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24226"/>
  <mc:AlternateContent xmlns:mc="http://schemas.openxmlformats.org/markup-compatibility/2006">
    <mc:Choice Requires="x15">
      <x15ac:absPath xmlns:x15ac="http://schemas.microsoft.com/office/spreadsheetml/2010/11/ac" url="https://floridalegislature-my.sharepoint.com/personal/ocain_steve_leg_state_fl_us/Documents/Documents/EDR/Revenue Data/constitutional/"/>
    </mc:Choice>
  </mc:AlternateContent>
  <xr:revisionPtr revIDLastSave="2658" documentId="11_F559526352E55ABB1706988E67BFBB9D5FE80246" xr6:coauthVersionLast="47" xr6:coauthVersionMax="47" xr10:uidLastSave="{879E86D9-BD4C-4854-92F2-B10546A904D5}"/>
  <bookViews>
    <workbookView xWindow="-120" yWindow="-120" windowWidth="29040" windowHeight="15720" tabRatio="867" xr2:uid="{00000000-000D-0000-FFFF-FFFF00000000}"/>
  </bookViews>
  <sheets>
    <sheet name="2024" sheetId="53" r:id="rId1"/>
    <sheet name="2023" sheetId="52" r:id="rId2"/>
    <sheet name="2022" sheetId="51" r:id="rId3"/>
    <sheet name="2021" sheetId="50" r:id="rId4"/>
    <sheet name="2020" sheetId="49" r:id="rId5"/>
    <sheet name="2019" sheetId="48" r:id="rId6"/>
    <sheet name="2018" sheetId="47" r:id="rId7"/>
    <sheet name="2017" sheetId="46" r:id="rId8"/>
    <sheet name="2016" sheetId="45" r:id="rId9"/>
    <sheet name="2015" sheetId="44" r:id="rId10"/>
    <sheet name="2014" sheetId="43" r:id="rId11"/>
    <sheet name="2013" sheetId="42" r:id="rId12"/>
    <sheet name="2012" sheetId="41" r:id="rId13"/>
    <sheet name="2011" sheetId="40" r:id="rId14"/>
    <sheet name="2010" sheetId="39" r:id="rId15"/>
    <sheet name="2009" sheetId="38" r:id="rId16"/>
    <sheet name="2008" sheetId="37" r:id="rId17"/>
    <sheet name="2007" sheetId="36" r:id="rId18"/>
    <sheet name="2006" sheetId="35" r:id="rId19"/>
    <sheet name="2005" sheetId="25" r:id="rId20"/>
    <sheet name="2004" sheetId="24" r:id="rId21"/>
    <sheet name="2003" sheetId="26" r:id="rId22"/>
    <sheet name="2002" sheetId="27" r:id="rId23"/>
    <sheet name="2001" sheetId="28" r:id="rId24"/>
    <sheet name="2000" sheetId="29" r:id="rId25"/>
    <sheet name="1999" sheetId="30" r:id="rId26"/>
    <sheet name="1998" sheetId="31" r:id="rId27"/>
    <sheet name="1997" sheetId="32" r:id="rId28"/>
    <sheet name="1996" sheetId="33" r:id="rId29"/>
    <sheet name="1995" sheetId="34" r:id="rId30"/>
  </sheets>
  <definedNames>
    <definedName name="helpLink" localSheetId="17">'2007'!#REF!</definedName>
    <definedName name="_xlnm.Print_Area" localSheetId="29">'1995'!$A$1:$O$410</definedName>
    <definedName name="_xlnm.Print_Area" localSheetId="28">'1996'!$A$1:$O$415</definedName>
    <definedName name="_xlnm.Print_Area" localSheetId="27">'1997'!$A$1:$O$416</definedName>
    <definedName name="_xlnm.Print_Area" localSheetId="26">'1998'!$A$1:$O$418</definedName>
    <definedName name="_xlnm.Print_Area" localSheetId="25">'1999'!$A$1:$O$418</definedName>
    <definedName name="_xlnm.Print_Area" localSheetId="24">'2000'!$A$1:$O$422</definedName>
    <definedName name="_xlnm.Print_Area" localSheetId="23">'2001'!$A$1:$O$423</definedName>
    <definedName name="_xlnm.Print_Area" localSheetId="22">'2002'!$A$1:$O$423</definedName>
    <definedName name="_xlnm.Print_Area" localSheetId="21">'2003'!$A$1:$O$424</definedName>
    <definedName name="_xlnm.Print_Area" localSheetId="20">'2004'!$A$1:$O$426</definedName>
    <definedName name="_xlnm.Print_Area" localSheetId="19">'2005'!$A$1:$O$427</definedName>
    <definedName name="_xlnm.Print_Area" localSheetId="18">'2006'!$A$1:$O$428</definedName>
    <definedName name="_xlnm.Print_Area" localSheetId="17">'2007'!$A$1:$O$430</definedName>
    <definedName name="_xlnm.Print_Area" localSheetId="16">'2008'!$A$1:$O$430</definedName>
    <definedName name="_xlnm.Print_Area" localSheetId="15">'2009'!$A$1:$N$429</definedName>
    <definedName name="_xlnm.Print_Area" localSheetId="14">'2010'!$A$1:$N$427</definedName>
    <definedName name="_xlnm.Print_Area" localSheetId="13">'2011'!$A$1:$N$427</definedName>
    <definedName name="_xlnm.Print_Area" localSheetId="12">'2012'!$A$1:$N$426</definedName>
    <definedName name="_xlnm.Print_Area" localSheetId="11">'2013'!$A$1:$N$426</definedName>
    <definedName name="_xlnm.Print_Area" localSheetId="10">'2014'!$A$1:$N$426</definedName>
    <definedName name="_xlnm.Print_Area" localSheetId="9">'2015'!$A$1:$N$427</definedName>
    <definedName name="_xlnm.Print_Area" localSheetId="8">'2016'!$A$1:$N$427</definedName>
    <definedName name="_xlnm.Print_Area" localSheetId="7">'2017'!$A$1:$N$428</definedName>
    <definedName name="_xlnm.Print_Area" localSheetId="6">'2018'!$A$1:$N$428</definedName>
    <definedName name="_xlnm.Print_Area" localSheetId="5">'2019'!$A$1:$N$428</definedName>
    <definedName name="_xlnm.Print_Area" localSheetId="4">'2020'!$A$1:$N$428</definedName>
    <definedName name="_xlnm.Print_Area" localSheetId="3">'2021'!$A$1:$N$428</definedName>
    <definedName name="_xlnm.Print_Area" localSheetId="2">'2022'!$A$1:$N$428</definedName>
    <definedName name="_xlnm.Print_Area" localSheetId="1">'2023'!$A$1:$N$428</definedName>
    <definedName name="_xlnm.Print_Area" localSheetId="0">'2024'!$A$1:$N$428</definedName>
    <definedName name="_xlnm.Print_Titles" localSheetId="29">'1995'!$1:$5</definedName>
    <definedName name="_xlnm.Print_Titles" localSheetId="28">'1996'!$1:$5</definedName>
    <definedName name="_xlnm.Print_Titles" localSheetId="27">'1997'!$1:$5</definedName>
    <definedName name="_xlnm.Print_Titles" localSheetId="26">'1998'!$1:$5</definedName>
    <definedName name="_xlnm.Print_Titles" localSheetId="25">'1999'!$1:$5</definedName>
    <definedName name="_xlnm.Print_Titles" localSheetId="24">'2000'!$1:$5</definedName>
    <definedName name="_xlnm.Print_Titles" localSheetId="23">'2001'!$1:$5</definedName>
    <definedName name="_xlnm.Print_Titles" localSheetId="22">'2002'!$1:$5</definedName>
    <definedName name="_xlnm.Print_Titles" localSheetId="21">'2003'!$1:$5</definedName>
    <definedName name="_xlnm.Print_Titles" localSheetId="20">'2004'!$1:$5</definedName>
    <definedName name="_xlnm.Print_Titles" localSheetId="19">'2005'!$1:$5</definedName>
    <definedName name="_xlnm.Print_Titles" localSheetId="18">'2006'!$1:$5</definedName>
    <definedName name="_xlnm.Print_Titles" localSheetId="17">'2007'!$1:$5</definedName>
    <definedName name="_xlnm.Print_Titles" localSheetId="16">'2008'!$1:$5</definedName>
    <definedName name="_xlnm.Print_Titles" localSheetId="15">'2009'!$1:$5</definedName>
    <definedName name="_xlnm.Print_Titles" localSheetId="14">'2010'!$1:$5</definedName>
    <definedName name="_xlnm.Print_Titles" localSheetId="13">'2011'!$1:$5</definedName>
    <definedName name="_xlnm.Print_Titles" localSheetId="12">'2012'!$1:$5</definedName>
    <definedName name="_xlnm.Print_Titles" localSheetId="11">'2013'!$1:$5</definedName>
    <definedName name="_xlnm.Print_Titles" localSheetId="10">'2014'!$1:$5</definedName>
    <definedName name="_xlnm.Print_Titles" localSheetId="9">'2015'!$1:$5</definedName>
    <definedName name="_xlnm.Print_Titles" localSheetId="8">'2016'!$1:$5</definedName>
    <definedName name="_xlnm.Print_Titles" localSheetId="7">'2017'!$1:$5</definedName>
    <definedName name="_xlnm.Print_Titles" localSheetId="6">'2018'!$1:$5</definedName>
    <definedName name="_xlnm.Print_Titles" localSheetId="5">'2019'!$1:$5</definedName>
    <definedName name="_xlnm.Print_Titles" localSheetId="4">'2020'!$1:$5</definedName>
    <definedName name="_xlnm.Print_Titles" localSheetId="3">'2021'!$1:$5</definedName>
    <definedName name="_xlnm.Print_Titles" localSheetId="2">'2022'!$1:$5</definedName>
    <definedName name="_xlnm.Print_Titles" localSheetId="1">'2023'!$1:$5</definedName>
    <definedName name="_xlnm.Print_Titles" localSheetId="0">'2024'!$1:$5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08" i="52" l="1"/>
  <c r="J103" i="52" l="1"/>
  <c r="F103" i="52"/>
  <c r="D103" i="52"/>
  <c r="K390" i="53"/>
  <c r="K390" i="52"/>
  <c r="J193" i="53" l="1"/>
  <c r="F193" i="53"/>
  <c r="D193" i="53"/>
  <c r="J193" i="52"/>
  <c r="F193" i="52"/>
  <c r="D193" i="52"/>
  <c r="K313" i="53"/>
  <c r="K314" i="53"/>
  <c r="K313" i="52"/>
  <c r="K314" i="52"/>
  <c r="K301" i="53" l="1"/>
  <c r="K302" i="53"/>
  <c r="K295" i="53"/>
  <c r="K296" i="53"/>
  <c r="K287" i="53"/>
  <c r="K288" i="53"/>
  <c r="K301" i="52"/>
  <c r="K302" i="52"/>
  <c r="K295" i="52"/>
  <c r="K287" i="52"/>
  <c r="G242" i="52" l="1"/>
  <c r="J114" i="53"/>
  <c r="F114" i="53"/>
  <c r="D114" i="53"/>
  <c r="J114" i="52"/>
  <c r="F114" i="52"/>
  <c r="D114" i="52"/>
  <c r="K163" i="53" l="1"/>
  <c r="K164" i="53"/>
  <c r="K165" i="53"/>
  <c r="K166" i="53"/>
  <c r="K163" i="52"/>
  <c r="K164" i="52"/>
  <c r="K165" i="52"/>
  <c r="K166" i="52"/>
  <c r="K80" i="53" l="1"/>
  <c r="K81" i="53"/>
  <c r="K80" i="52"/>
  <c r="K81" i="52"/>
  <c r="K67" i="53" l="1"/>
  <c r="L67" i="53"/>
  <c r="M67" i="53"/>
  <c r="N67" i="53" s="1"/>
  <c r="P67" i="53"/>
  <c r="Q67" i="53"/>
  <c r="G67" i="53"/>
  <c r="G68" i="53"/>
  <c r="K67" i="52"/>
  <c r="L67" i="52"/>
  <c r="M67" i="52" s="1"/>
  <c r="N67" i="52" s="1"/>
  <c r="P67" i="52"/>
  <c r="Q67" i="52"/>
  <c r="G67" i="52"/>
  <c r="W6" i="52"/>
  <c r="C417" i="53" l="1"/>
  <c r="W416" i="53"/>
  <c r="X416" i="53" s="1"/>
  <c r="U416" i="53"/>
  <c r="T416" i="53"/>
  <c r="S416" i="53"/>
  <c r="Q416" i="53"/>
  <c r="P416" i="53"/>
  <c r="L416" i="53"/>
  <c r="M416" i="53" s="1"/>
  <c r="N416" i="53" s="1"/>
  <c r="W415" i="53"/>
  <c r="X415" i="53" s="1"/>
  <c r="Q415" i="53"/>
  <c r="P415" i="53"/>
  <c r="L415" i="53"/>
  <c r="M415" i="53" s="1"/>
  <c r="N415" i="53" s="1"/>
  <c r="K415" i="53"/>
  <c r="G415" i="53"/>
  <c r="E415" i="53"/>
  <c r="W414" i="53"/>
  <c r="X414" i="53" s="1"/>
  <c r="Q414" i="53"/>
  <c r="P414" i="53"/>
  <c r="N414" i="53"/>
  <c r="M414" i="53"/>
  <c r="L414" i="53"/>
  <c r="W413" i="53"/>
  <c r="X413" i="53" s="1"/>
  <c r="Q413" i="53"/>
  <c r="P413" i="53"/>
  <c r="L413" i="53"/>
  <c r="M413" i="53" s="1"/>
  <c r="N413" i="53" s="1"/>
  <c r="K413" i="53"/>
  <c r="G413" i="53"/>
  <c r="E413" i="53"/>
  <c r="W412" i="53"/>
  <c r="X412" i="53" s="1"/>
  <c r="Q412" i="53"/>
  <c r="P412" i="53"/>
  <c r="L412" i="53"/>
  <c r="M412" i="53" s="1"/>
  <c r="N412" i="53" s="1"/>
  <c r="X411" i="53"/>
  <c r="W411" i="53"/>
  <c r="U411" i="53"/>
  <c r="T411" i="53"/>
  <c r="S411" i="53"/>
  <c r="Q411" i="53"/>
  <c r="P411" i="53"/>
  <c r="N411" i="53"/>
  <c r="L411" i="53"/>
  <c r="M411" i="53" s="1"/>
  <c r="W410" i="53"/>
  <c r="X410" i="53" s="1"/>
  <c r="Q410" i="53"/>
  <c r="P410" i="53"/>
  <c r="L410" i="53"/>
  <c r="M410" i="53" s="1"/>
  <c r="N410" i="53" s="1"/>
  <c r="K410" i="53"/>
  <c r="G410" i="53"/>
  <c r="E410" i="53"/>
  <c r="W409" i="53"/>
  <c r="X409" i="53" s="1"/>
  <c r="Q409" i="53"/>
  <c r="P409" i="53"/>
  <c r="L409" i="53"/>
  <c r="M409" i="53" s="1"/>
  <c r="N409" i="53" s="1"/>
  <c r="K409" i="53"/>
  <c r="G409" i="53"/>
  <c r="E409" i="53"/>
  <c r="W408" i="53"/>
  <c r="X408" i="53" s="1"/>
  <c r="U408" i="53"/>
  <c r="T408" i="53"/>
  <c r="S408" i="53"/>
  <c r="Q408" i="53"/>
  <c r="P408" i="53"/>
  <c r="L408" i="53"/>
  <c r="M408" i="53" s="1"/>
  <c r="N408" i="53" s="1"/>
  <c r="K408" i="53"/>
  <c r="G408" i="53"/>
  <c r="E408" i="53"/>
  <c r="W407" i="53"/>
  <c r="X407" i="53" s="1"/>
  <c r="Q407" i="53"/>
  <c r="P407" i="53"/>
  <c r="L407" i="53"/>
  <c r="M407" i="53" s="1"/>
  <c r="N407" i="53" s="1"/>
  <c r="W406" i="53"/>
  <c r="X406" i="53" s="1"/>
  <c r="U406" i="53"/>
  <c r="T406" i="53"/>
  <c r="S406" i="53"/>
  <c r="Q406" i="53"/>
  <c r="P406" i="53"/>
  <c r="L406" i="53"/>
  <c r="M406" i="53" s="1"/>
  <c r="N406" i="53" s="1"/>
  <c r="K406" i="53"/>
  <c r="G406" i="53"/>
  <c r="E406" i="53"/>
  <c r="W405" i="53"/>
  <c r="X405" i="53" s="1"/>
  <c r="Q405" i="53"/>
  <c r="P405" i="53"/>
  <c r="L405" i="53"/>
  <c r="M405" i="53" s="1"/>
  <c r="N405" i="53" s="1"/>
  <c r="K405" i="53"/>
  <c r="G405" i="53"/>
  <c r="E405" i="53"/>
  <c r="W404" i="53"/>
  <c r="X404" i="53" s="1"/>
  <c r="Q404" i="53"/>
  <c r="P404" i="53"/>
  <c r="L404" i="53"/>
  <c r="M404" i="53" s="1"/>
  <c r="N404" i="53" s="1"/>
  <c r="K404" i="53"/>
  <c r="G404" i="53"/>
  <c r="E404" i="53"/>
  <c r="W403" i="53"/>
  <c r="X403" i="53" s="1"/>
  <c r="Q403" i="53"/>
  <c r="P403" i="53"/>
  <c r="L403" i="53"/>
  <c r="M403" i="53" s="1"/>
  <c r="N403" i="53" s="1"/>
  <c r="K403" i="53"/>
  <c r="G403" i="53"/>
  <c r="E403" i="53"/>
  <c r="W402" i="53"/>
  <c r="X402" i="53" s="1"/>
  <c r="Q402" i="53"/>
  <c r="P402" i="53"/>
  <c r="L402" i="53"/>
  <c r="M402" i="53" s="1"/>
  <c r="N402" i="53" s="1"/>
  <c r="K402" i="53"/>
  <c r="G402" i="53"/>
  <c r="E402" i="53"/>
  <c r="W401" i="53"/>
  <c r="X401" i="53" s="1"/>
  <c r="Q401" i="53"/>
  <c r="P401" i="53"/>
  <c r="L401" i="53"/>
  <c r="M401" i="53" s="1"/>
  <c r="N401" i="53" s="1"/>
  <c r="K401" i="53"/>
  <c r="G401" i="53"/>
  <c r="E401" i="53"/>
  <c r="W400" i="53"/>
  <c r="X400" i="53" s="1"/>
  <c r="Q400" i="53"/>
  <c r="P400" i="53"/>
  <c r="L400" i="53"/>
  <c r="M400" i="53" s="1"/>
  <c r="N400" i="53" s="1"/>
  <c r="K400" i="53"/>
  <c r="G400" i="53"/>
  <c r="E400" i="53"/>
  <c r="W399" i="53"/>
  <c r="X399" i="53" s="1"/>
  <c r="Q399" i="53"/>
  <c r="P399" i="53"/>
  <c r="L399" i="53"/>
  <c r="M399" i="53" s="1"/>
  <c r="N399" i="53" s="1"/>
  <c r="K399" i="53"/>
  <c r="G399" i="53"/>
  <c r="E399" i="53"/>
  <c r="W398" i="53"/>
  <c r="X398" i="53" s="1"/>
  <c r="Q398" i="53"/>
  <c r="P398" i="53"/>
  <c r="L398" i="53"/>
  <c r="M398" i="53" s="1"/>
  <c r="N398" i="53" s="1"/>
  <c r="K398" i="53"/>
  <c r="G398" i="53"/>
  <c r="E398" i="53"/>
  <c r="W397" i="53"/>
  <c r="X397" i="53" s="1"/>
  <c r="Q397" i="53"/>
  <c r="P397" i="53"/>
  <c r="L397" i="53"/>
  <c r="M397" i="53" s="1"/>
  <c r="N397" i="53" s="1"/>
  <c r="K397" i="53"/>
  <c r="G397" i="53"/>
  <c r="E397" i="53"/>
  <c r="W396" i="53"/>
  <c r="X396" i="53" s="1"/>
  <c r="Q396" i="53"/>
  <c r="P396" i="53"/>
  <c r="L396" i="53"/>
  <c r="M396" i="53" s="1"/>
  <c r="N396" i="53" s="1"/>
  <c r="K396" i="53"/>
  <c r="G396" i="53"/>
  <c r="E396" i="53"/>
  <c r="W395" i="53"/>
  <c r="X395" i="53" s="1"/>
  <c r="Q395" i="53"/>
  <c r="P395" i="53"/>
  <c r="L395" i="53"/>
  <c r="M395" i="53" s="1"/>
  <c r="N395" i="53" s="1"/>
  <c r="K395" i="53"/>
  <c r="G395" i="53"/>
  <c r="E395" i="53"/>
  <c r="W394" i="53"/>
  <c r="X394" i="53" s="1"/>
  <c r="Q394" i="53"/>
  <c r="P394" i="53"/>
  <c r="L394" i="53"/>
  <c r="M394" i="53" s="1"/>
  <c r="N394" i="53" s="1"/>
  <c r="K394" i="53"/>
  <c r="G394" i="53"/>
  <c r="E394" i="53"/>
  <c r="W393" i="53"/>
  <c r="X393" i="53" s="1"/>
  <c r="Q393" i="53"/>
  <c r="P393" i="53"/>
  <c r="L393" i="53"/>
  <c r="M393" i="53" s="1"/>
  <c r="N393" i="53" s="1"/>
  <c r="K393" i="53"/>
  <c r="G393" i="53"/>
  <c r="E393" i="53"/>
  <c r="W392" i="53"/>
  <c r="X392" i="53" s="1"/>
  <c r="Q392" i="53"/>
  <c r="P392" i="53"/>
  <c r="L392" i="53"/>
  <c r="M392" i="53" s="1"/>
  <c r="N392" i="53" s="1"/>
  <c r="K392" i="53"/>
  <c r="G392" i="53"/>
  <c r="E392" i="53"/>
  <c r="W391" i="53"/>
  <c r="X391" i="53" s="1"/>
  <c r="Q391" i="53"/>
  <c r="P391" i="53"/>
  <c r="L391" i="53"/>
  <c r="M391" i="53" s="1"/>
  <c r="N391" i="53" s="1"/>
  <c r="K391" i="53"/>
  <c r="G391" i="53"/>
  <c r="E391" i="53"/>
  <c r="W390" i="53"/>
  <c r="X390" i="53" s="1"/>
  <c r="U390" i="53"/>
  <c r="T390" i="53"/>
  <c r="S390" i="53"/>
  <c r="Q390" i="53"/>
  <c r="P390" i="53"/>
  <c r="L390" i="53"/>
  <c r="M390" i="53" s="1"/>
  <c r="N390" i="53" s="1"/>
  <c r="G390" i="53"/>
  <c r="E390" i="53"/>
  <c r="W389" i="53"/>
  <c r="X389" i="53" s="1"/>
  <c r="Q389" i="53"/>
  <c r="P389" i="53"/>
  <c r="L389" i="53"/>
  <c r="M389" i="53" s="1"/>
  <c r="N389" i="53" s="1"/>
  <c r="W388" i="53"/>
  <c r="X388" i="53" s="1"/>
  <c r="Q388" i="53"/>
  <c r="P388" i="53"/>
  <c r="L388" i="53"/>
  <c r="M388" i="53" s="1"/>
  <c r="N388" i="53" s="1"/>
  <c r="K388" i="53"/>
  <c r="G388" i="53"/>
  <c r="E388" i="53"/>
  <c r="W387" i="53"/>
  <c r="X387" i="53" s="1"/>
  <c r="U387" i="53"/>
  <c r="T387" i="53"/>
  <c r="S387" i="53"/>
  <c r="Q387" i="53"/>
  <c r="P387" i="53"/>
  <c r="L387" i="53"/>
  <c r="M387" i="53" s="1"/>
  <c r="N387" i="53" s="1"/>
  <c r="K387" i="53"/>
  <c r="G387" i="53"/>
  <c r="E387" i="53"/>
  <c r="W386" i="53"/>
  <c r="X386" i="53" s="1"/>
  <c r="U386" i="53"/>
  <c r="T386" i="53"/>
  <c r="S386" i="53"/>
  <c r="Q386" i="53"/>
  <c r="P386" i="53"/>
  <c r="L386" i="53"/>
  <c r="M386" i="53" s="1"/>
  <c r="N386" i="53" s="1"/>
  <c r="K386" i="53"/>
  <c r="G386" i="53"/>
  <c r="E386" i="53"/>
  <c r="W385" i="53"/>
  <c r="X385" i="53" s="1"/>
  <c r="Q385" i="53"/>
  <c r="P385" i="53"/>
  <c r="L385" i="53"/>
  <c r="M385" i="53" s="1"/>
  <c r="N385" i="53" s="1"/>
  <c r="K385" i="53"/>
  <c r="G385" i="53"/>
  <c r="E385" i="53"/>
  <c r="W384" i="53"/>
  <c r="X384" i="53" s="1"/>
  <c r="U384" i="53"/>
  <c r="T384" i="53"/>
  <c r="S384" i="53"/>
  <c r="Q384" i="53"/>
  <c r="P384" i="53"/>
  <c r="L384" i="53"/>
  <c r="M384" i="53" s="1"/>
  <c r="N384" i="53" s="1"/>
  <c r="K384" i="53"/>
  <c r="G384" i="53"/>
  <c r="E384" i="53"/>
  <c r="W383" i="53"/>
  <c r="X383" i="53" s="1"/>
  <c r="Q383" i="53"/>
  <c r="P383" i="53"/>
  <c r="L383" i="53"/>
  <c r="M383" i="53" s="1"/>
  <c r="N383" i="53" s="1"/>
  <c r="K383" i="53"/>
  <c r="G383" i="53"/>
  <c r="E383" i="53"/>
  <c r="W382" i="53"/>
  <c r="X382" i="53" s="1"/>
  <c r="Q382" i="53"/>
  <c r="P382" i="53"/>
  <c r="L382" i="53"/>
  <c r="M382" i="53" s="1"/>
  <c r="N382" i="53" s="1"/>
  <c r="K382" i="53"/>
  <c r="G382" i="53"/>
  <c r="E382" i="53"/>
  <c r="W381" i="53"/>
  <c r="X381" i="53" s="1"/>
  <c r="Q381" i="53"/>
  <c r="P381" i="53"/>
  <c r="L381" i="53"/>
  <c r="M381" i="53" s="1"/>
  <c r="N381" i="53" s="1"/>
  <c r="K381" i="53"/>
  <c r="G381" i="53"/>
  <c r="E381" i="53"/>
  <c r="W380" i="53"/>
  <c r="X380" i="53" s="1"/>
  <c r="Q380" i="53"/>
  <c r="P380" i="53"/>
  <c r="L380" i="53"/>
  <c r="M380" i="53" s="1"/>
  <c r="N380" i="53" s="1"/>
  <c r="K380" i="53"/>
  <c r="G380" i="53"/>
  <c r="E380" i="53"/>
  <c r="W379" i="53"/>
  <c r="X379" i="53" s="1"/>
  <c r="U379" i="53"/>
  <c r="T379" i="53"/>
  <c r="S379" i="53"/>
  <c r="Q379" i="53"/>
  <c r="P379" i="53"/>
  <c r="L379" i="53"/>
  <c r="M379" i="53" s="1"/>
  <c r="N379" i="53" s="1"/>
  <c r="K379" i="53"/>
  <c r="G379" i="53"/>
  <c r="E379" i="53"/>
  <c r="W378" i="53"/>
  <c r="X378" i="53" s="1"/>
  <c r="Q378" i="53"/>
  <c r="P378" i="53"/>
  <c r="L378" i="53"/>
  <c r="M378" i="53" s="1"/>
  <c r="N378" i="53" s="1"/>
  <c r="K378" i="53"/>
  <c r="G378" i="53"/>
  <c r="E378" i="53"/>
  <c r="W377" i="53"/>
  <c r="X377" i="53" s="1"/>
  <c r="Q377" i="53"/>
  <c r="P377" i="53"/>
  <c r="L377" i="53"/>
  <c r="M377" i="53" s="1"/>
  <c r="N377" i="53" s="1"/>
  <c r="K377" i="53"/>
  <c r="G377" i="53"/>
  <c r="E377" i="53"/>
  <c r="W376" i="53"/>
  <c r="X376" i="53" s="1"/>
  <c r="U376" i="53"/>
  <c r="T376" i="53"/>
  <c r="S376" i="53"/>
  <c r="Q376" i="53"/>
  <c r="P376" i="53"/>
  <c r="L376" i="53"/>
  <c r="M376" i="53" s="1"/>
  <c r="N376" i="53" s="1"/>
  <c r="K376" i="53"/>
  <c r="G376" i="53"/>
  <c r="E376" i="53"/>
  <c r="W375" i="53"/>
  <c r="X375" i="53" s="1"/>
  <c r="Q375" i="53"/>
  <c r="P375" i="53"/>
  <c r="L375" i="53"/>
  <c r="M375" i="53" s="1"/>
  <c r="N375" i="53" s="1"/>
  <c r="K375" i="53"/>
  <c r="G375" i="53"/>
  <c r="E375" i="53"/>
  <c r="W374" i="53"/>
  <c r="X374" i="53" s="1"/>
  <c r="U374" i="53"/>
  <c r="T374" i="53"/>
  <c r="S374" i="53"/>
  <c r="Q374" i="53"/>
  <c r="P374" i="53"/>
  <c r="L374" i="53"/>
  <c r="M374" i="53" s="1"/>
  <c r="N374" i="53" s="1"/>
  <c r="K374" i="53"/>
  <c r="G374" i="53"/>
  <c r="E374" i="53"/>
  <c r="W373" i="53"/>
  <c r="X373" i="53" s="1"/>
  <c r="Q373" i="53"/>
  <c r="P373" i="53"/>
  <c r="L373" i="53"/>
  <c r="M373" i="53" s="1"/>
  <c r="N373" i="53" s="1"/>
  <c r="K373" i="53"/>
  <c r="G373" i="53"/>
  <c r="E373" i="53"/>
  <c r="W372" i="53"/>
  <c r="X372" i="53" s="1"/>
  <c r="Q372" i="53"/>
  <c r="P372" i="53"/>
  <c r="L372" i="53"/>
  <c r="M372" i="53" s="1"/>
  <c r="N372" i="53" s="1"/>
  <c r="K372" i="53"/>
  <c r="G372" i="53"/>
  <c r="E372" i="53"/>
  <c r="W371" i="53"/>
  <c r="X371" i="53" s="1"/>
  <c r="Q371" i="53"/>
  <c r="P371" i="53"/>
  <c r="L371" i="53"/>
  <c r="M371" i="53" s="1"/>
  <c r="N371" i="53" s="1"/>
  <c r="K371" i="53"/>
  <c r="G371" i="53"/>
  <c r="E371" i="53"/>
  <c r="W370" i="53"/>
  <c r="X370" i="53" s="1"/>
  <c r="Q370" i="53"/>
  <c r="P370" i="53"/>
  <c r="L370" i="53"/>
  <c r="M370" i="53" s="1"/>
  <c r="N370" i="53" s="1"/>
  <c r="K370" i="53"/>
  <c r="G370" i="53"/>
  <c r="E370" i="53"/>
  <c r="W369" i="53"/>
  <c r="X369" i="53" s="1"/>
  <c r="Q369" i="53"/>
  <c r="P369" i="53"/>
  <c r="L369" i="53"/>
  <c r="M369" i="53" s="1"/>
  <c r="N369" i="53" s="1"/>
  <c r="K369" i="53"/>
  <c r="G369" i="53"/>
  <c r="E369" i="53"/>
  <c r="W368" i="53"/>
  <c r="X368" i="53" s="1"/>
  <c r="Q368" i="53"/>
  <c r="P368" i="53"/>
  <c r="L368" i="53"/>
  <c r="M368" i="53" s="1"/>
  <c r="N368" i="53" s="1"/>
  <c r="K368" i="53"/>
  <c r="G368" i="53"/>
  <c r="E368" i="53"/>
  <c r="W367" i="53"/>
  <c r="X367" i="53" s="1"/>
  <c r="U367" i="53"/>
  <c r="T367" i="53"/>
  <c r="S367" i="53"/>
  <c r="Q367" i="53"/>
  <c r="P367" i="53"/>
  <c r="L367" i="53"/>
  <c r="M367" i="53" s="1"/>
  <c r="N367" i="53" s="1"/>
  <c r="K367" i="53"/>
  <c r="G367" i="53"/>
  <c r="E367" i="53"/>
  <c r="W366" i="53"/>
  <c r="X366" i="53" s="1"/>
  <c r="Q366" i="53"/>
  <c r="P366" i="53"/>
  <c r="L366" i="53"/>
  <c r="M366" i="53" s="1"/>
  <c r="N366" i="53" s="1"/>
  <c r="K366" i="53"/>
  <c r="G366" i="53"/>
  <c r="E366" i="53"/>
  <c r="W365" i="53"/>
  <c r="X365" i="53" s="1"/>
  <c r="Q365" i="53"/>
  <c r="P365" i="53"/>
  <c r="L365" i="53"/>
  <c r="M365" i="53" s="1"/>
  <c r="N365" i="53" s="1"/>
  <c r="K365" i="53"/>
  <c r="G365" i="53"/>
  <c r="E365" i="53"/>
  <c r="W364" i="53"/>
  <c r="X364" i="53" s="1"/>
  <c r="U364" i="53"/>
  <c r="T364" i="53"/>
  <c r="S364" i="53"/>
  <c r="Q364" i="53"/>
  <c r="P364" i="53"/>
  <c r="L364" i="53"/>
  <c r="M364" i="53" s="1"/>
  <c r="N364" i="53" s="1"/>
  <c r="K364" i="53"/>
  <c r="G364" i="53"/>
  <c r="E364" i="53"/>
  <c r="W363" i="53"/>
  <c r="X363" i="53" s="1"/>
  <c r="Q363" i="53"/>
  <c r="P363" i="53"/>
  <c r="L363" i="53"/>
  <c r="M363" i="53" s="1"/>
  <c r="N363" i="53" s="1"/>
  <c r="K363" i="53"/>
  <c r="G363" i="53"/>
  <c r="E363" i="53"/>
  <c r="W362" i="53"/>
  <c r="X362" i="53" s="1"/>
  <c r="Q362" i="53"/>
  <c r="P362" i="53"/>
  <c r="L362" i="53"/>
  <c r="M362" i="53" s="1"/>
  <c r="N362" i="53" s="1"/>
  <c r="K362" i="53"/>
  <c r="G362" i="53"/>
  <c r="E362" i="53"/>
  <c r="W361" i="53"/>
  <c r="X361" i="53" s="1"/>
  <c r="U361" i="53"/>
  <c r="T361" i="53"/>
  <c r="S361" i="53"/>
  <c r="Q361" i="53"/>
  <c r="P361" i="53"/>
  <c r="L361" i="53"/>
  <c r="M361" i="53" s="1"/>
  <c r="N361" i="53" s="1"/>
  <c r="K361" i="53"/>
  <c r="G361" i="53"/>
  <c r="E361" i="53"/>
  <c r="W360" i="53"/>
  <c r="X360" i="53" s="1"/>
  <c r="Q360" i="53"/>
  <c r="P360" i="53"/>
  <c r="L360" i="53"/>
  <c r="M360" i="53" s="1"/>
  <c r="N360" i="53" s="1"/>
  <c r="K360" i="53"/>
  <c r="G360" i="53"/>
  <c r="E360" i="53"/>
  <c r="W359" i="53"/>
  <c r="X359" i="53" s="1"/>
  <c r="Q359" i="53"/>
  <c r="P359" i="53"/>
  <c r="L359" i="53"/>
  <c r="M359" i="53" s="1"/>
  <c r="N359" i="53" s="1"/>
  <c r="K359" i="53"/>
  <c r="G359" i="53"/>
  <c r="E359" i="53"/>
  <c r="W358" i="53"/>
  <c r="X358" i="53" s="1"/>
  <c r="Q358" i="53"/>
  <c r="P358" i="53"/>
  <c r="L358" i="53"/>
  <c r="M358" i="53" s="1"/>
  <c r="N358" i="53" s="1"/>
  <c r="K358" i="53"/>
  <c r="G358" i="53"/>
  <c r="E358" i="53"/>
  <c r="W357" i="53"/>
  <c r="X357" i="53" s="1"/>
  <c r="Q357" i="53"/>
  <c r="P357" i="53"/>
  <c r="L357" i="53"/>
  <c r="M357" i="53" s="1"/>
  <c r="N357" i="53" s="1"/>
  <c r="K357" i="53"/>
  <c r="G357" i="53"/>
  <c r="E357" i="53"/>
  <c r="W356" i="53"/>
  <c r="X356" i="53" s="1"/>
  <c r="U356" i="53"/>
  <c r="T356" i="53"/>
  <c r="S356" i="53"/>
  <c r="Q356" i="53"/>
  <c r="P356" i="53"/>
  <c r="L356" i="53"/>
  <c r="M356" i="53" s="1"/>
  <c r="N356" i="53" s="1"/>
  <c r="K356" i="53"/>
  <c r="G356" i="53"/>
  <c r="E356" i="53"/>
  <c r="W355" i="53"/>
  <c r="X355" i="53" s="1"/>
  <c r="Q355" i="53"/>
  <c r="P355" i="53"/>
  <c r="L355" i="53"/>
  <c r="M355" i="53" s="1"/>
  <c r="N355" i="53" s="1"/>
  <c r="K355" i="53"/>
  <c r="G355" i="53"/>
  <c r="E355" i="53"/>
  <c r="W354" i="53"/>
  <c r="X354" i="53" s="1"/>
  <c r="Q354" i="53"/>
  <c r="P354" i="53"/>
  <c r="L354" i="53"/>
  <c r="M354" i="53" s="1"/>
  <c r="N354" i="53" s="1"/>
  <c r="K354" i="53"/>
  <c r="G354" i="53"/>
  <c r="E354" i="53"/>
  <c r="W353" i="53"/>
  <c r="X353" i="53" s="1"/>
  <c r="Q353" i="53"/>
  <c r="P353" i="53"/>
  <c r="L353" i="53"/>
  <c r="M353" i="53" s="1"/>
  <c r="N353" i="53" s="1"/>
  <c r="K353" i="53"/>
  <c r="G353" i="53"/>
  <c r="E353" i="53"/>
  <c r="W352" i="53"/>
  <c r="X352" i="53" s="1"/>
  <c r="Q352" i="53"/>
  <c r="P352" i="53"/>
  <c r="L352" i="53"/>
  <c r="M352" i="53" s="1"/>
  <c r="N352" i="53" s="1"/>
  <c r="K352" i="53"/>
  <c r="G352" i="53"/>
  <c r="E352" i="53"/>
  <c r="W351" i="53"/>
  <c r="X351" i="53" s="1"/>
  <c r="Q351" i="53"/>
  <c r="P351" i="53"/>
  <c r="L351" i="53"/>
  <c r="M351" i="53" s="1"/>
  <c r="N351" i="53" s="1"/>
  <c r="K351" i="53"/>
  <c r="G351" i="53"/>
  <c r="E351" i="53"/>
  <c r="W350" i="53"/>
  <c r="X350" i="53" s="1"/>
  <c r="Q350" i="53"/>
  <c r="P350" i="53"/>
  <c r="L350" i="53"/>
  <c r="M350" i="53" s="1"/>
  <c r="N350" i="53" s="1"/>
  <c r="K350" i="53"/>
  <c r="G350" i="53"/>
  <c r="E350" i="53"/>
  <c r="W349" i="53"/>
  <c r="X349" i="53" s="1"/>
  <c r="Q349" i="53"/>
  <c r="P349" i="53"/>
  <c r="L349" i="53"/>
  <c r="M349" i="53" s="1"/>
  <c r="N349" i="53" s="1"/>
  <c r="K349" i="53"/>
  <c r="G349" i="53"/>
  <c r="E349" i="53"/>
  <c r="W348" i="53"/>
  <c r="X348" i="53" s="1"/>
  <c r="Q348" i="53"/>
  <c r="P348" i="53"/>
  <c r="L348" i="53"/>
  <c r="M348" i="53" s="1"/>
  <c r="N348" i="53" s="1"/>
  <c r="K348" i="53"/>
  <c r="G348" i="53"/>
  <c r="E348" i="53"/>
  <c r="W347" i="53"/>
  <c r="X347" i="53" s="1"/>
  <c r="Q347" i="53"/>
  <c r="P347" i="53"/>
  <c r="L347" i="53"/>
  <c r="M347" i="53" s="1"/>
  <c r="N347" i="53" s="1"/>
  <c r="K347" i="53"/>
  <c r="G347" i="53"/>
  <c r="E347" i="53"/>
  <c r="W346" i="53"/>
  <c r="X346" i="53" s="1"/>
  <c r="Q346" i="53"/>
  <c r="P346" i="53"/>
  <c r="L346" i="53"/>
  <c r="M346" i="53" s="1"/>
  <c r="N346" i="53" s="1"/>
  <c r="K346" i="53"/>
  <c r="G346" i="53"/>
  <c r="E346" i="53"/>
  <c r="W345" i="53"/>
  <c r="X345" i="53" s="1"/>
  <c r="Q345" i="53"/>
  <c r="P345" i="53"/>
  <c r="L345" i="53"/>
  <c r="M345" i="53" s="1"/>
  <c r="N345" i="53" s="1"/>
  <c r="K345" i="53"/>
  <c r="G345" i="53"/>
  <c r="E345" i="53"/>
  <c r="W344" i="53"/>
  <c r="X344" i="53" s="1"/>
  <c r="Q344" i="53"/>
  <c r="P344" i="53"/>
  <c r="L344" i="53"/>
  <c r="M344" i="53" s="1"/>
  <c r="N344" i="53" s="1"/>
  <c r="K344" i="53"/>
  <c r="G344" i="53"/>
  <c r="E344" i="53"/>
  <c r="W343" i="53"/>
  <c r="X343" i="53" s="1"/>
  <c r="Q343" i="53"/>
  <c r="P343" i="53"/>
  <c r="L343" i="53"/>
  <c r="M343" i="53" s="1"/>
  <c r="N343" i="53" s="1"/>
  <c r="K343" i="53"/>
  <c r="G343" i="53"/>
  <c r="E343" i="53"/>
  <c r="W342" i="53"/>
  <c r="X342" i="53" s="1"/>
  <c r="Q342" i="53"/>
  <c r="P342" i="53"/>
  <c r="L342" i="53"/>
  <c r="M342" i="53" s="1"/>
  <c r="N342" i="53" s="1"/>
  <c r="K342" i="53"/>
  <c r="G342" i="53"/>
  <c r="E342" i="53"/>
  <c r="W341" i="53"/>
  <c r="X341" i="53" s="1"/>
  <c r="Q341" i="53"/>
  <c r="P341" i="53"/>
  <c r="L341" i="53"/>
  <c r="M341" i="53" s="1"/>
  <c r="N341" i="53" s="1"/>
  <c r="K341" i="53"/>
  <c r="G341" i="53"/>
  <c r="E341" i="53"/>
  <c r="W340" i="53"/>
  <c r="X340" i="53" s="1"/>
  <c r="Q340" i="53"/>
  <c r="P340" i="53"/>
  <c r="L340" i="53"/>
  <c r="M340" i="53" s="1"/>
  <c r="N340" i="53" s="1"/>
  <c r="K340" i="53"/>
  <c r="G340" i="53"/>
  <c r="E340" i="53"/>
  <c r="W339" i="53"/>
  <c r="X339" i="53" s="1"/>
  <c r="U339" i="53"/>
  <c r="T339" i="53"/>
  <c r="S339" i="53"/>
  <c r="Q339" i="53"/>
  <c r="P339" i="53"/>
  <c r="L339" i="53"/>
  <c r="M339" i="53" s="1"/>
  <c r="N339" i="53" s="1"/>
  <c r="K339" i="53"/>
  <c r="G339" i="53"/>
  <c r="E339" i="53"/>
  <c r="W338" i="53"/>
  <c r="X338" i="53" s="1"/>
  <c r="Q338" i="53"/>
  <c r="P338" i="53"/>
  <c r="L338" i="53"/>
  <c r="M338" i="53" s="1"/>
  <c r="N338" i="53" s="1"/>
  <c r="K338" i="53"/>
  <c r="G338" i="53"/>
  <c r="E338" i="53"/>
  <c r="W337" i="53"/>
  <c r="X337" i="53" s="1"/>
  <c r="Q337" i="53"/>
  <c r="P337" i="53"/>
  <c r="L337" i="53"/>
  <c r="M337" i="53" s="1"/>
  <c r="N337" i="53" s="1"/>
  <c r="K337" i="53"/>
  <c r="G337" i="53"/>
  <c r="E337" i="53"/>
  <c r="W336" i="53"/>
  <c r="X336" i="53" s="1"/>
  <c r="Q336" i="53"/>
  <c r="P336" i="53"/>
  <c r="L336" i="53"/>
  <c r="M336" i="53" s="1"/>
  <c r="N336" i="53" s="1"/>
  <c r="K336" i="53"/>
  <c r="G336" i="53"/>
  <c r="E336" i="53"/>
  <c r="W335" i="53"/>
  <c r="X335" i="53" s="1"/>
  <c r="Q335" i="53"/>
  <c r="P335" i="53"/>
  <c r="L335" i="53"/>
  <c r="M335" i="53" s="1"/>
  <c r="N335" i="53" s="1"/>
  <c r="K335" i="53"/>
  <c r="G335" i="53"/>
  <c r="E335" i="53"/>
  <c r="W334" i="53"/>
  <c r="X334" i="53" s="1"/>
  <c r="Q334" i="53"/>
  <c r="P334" i="53"/>
  <c r="L334" i="53"/>
  <c r="M334" i="53" s="1"/>
  <c r="N334" i="53" s="1"/>
  <c r="K334" i="53"/>
  <c r="G334" i="53"/>
  <c r="E334" i="53"/>
  <c r="W333" i="53"/>
  <c r="X333" i="53" s="1"/>
  <c r="Q333" i="53"/>
  <c r="P333" i="53"/>
  <c r="L333" i="53"/>
  <c r="M333" i="53" s="1"/>
  <c r="N333" i="53" s="1"/>
  <c r="K333" i="53"/>
  <c r="G333" i="53"/>
  <c r="E333" i="53"/>
  <c r="W332" i="53"/>
  <c r="X332" i="53" s="1"/>
  <c r="Q332" i="53"/>
  <c r="P332" i="53"/>
  <c r="L332" i="53"/>
  <c r="M332" i="53" s="1"/>
  <c r="N332" i="53" s="1"/>
  <c r="K332" i="53"/>
  <c r="G332" i="53"/>
  <c r="E332" i="53"/>
  <c r="W331" i="53"/>
  <c r="X331" i="53" s="1"/>
  <c r="Q331" i="53"/>
  <c r="P331" i="53"/>
  <c r="L331" i="53"/>
  <c r="M331" i="53" s="1"/>
  <c r="N331" i="53" s="1"/>
  <c r="K331" i="53"/>
  <c r="G331" i="53"/>
  <c r="E331" i="53"/>
  <c r="W330" i="53"/>
  <c r="X330" i="53" s="1"/>
  <c r="Q330" i="53"/>
  <c r="P330" i="53"/>
  <c r="L330" i="53"/>
  <c r="M330" i="53" s="1"/>
  <c r="N330" i="53" s="1"/>
  <c r="K330" i="53"/>
  <c r="G330" i="53"/>
  <c r="E330" i="53"/>
  <c r="W329" i="53"/>
  <c r="X329" i="53" s="1"/>
  <c r="Q329" i="53"/>
  <c r="P329" i="53"/>
  <c r="L329" i="53"/>
  <c r="M329" i="53" s="1"/>
  <c r="N329" i="53" s="1"/>
  <c r="K329" i="53"/>
  <c r="G329" i="53"/>
  <c r="E329" i="53"/>
  <c r="W328" i="53"/>
  <c r="X328" i="53" s="1"/>
  <c r="Q328" i="53"/>
  <c r="P328" i="53"/>
  <c r="L328" i="53"/>
  <c r="M328" i="53" s="1"/>
  <c r="N328" i="53" s="1"/>
  <c r="K328" i="53"/>
  <c r="G328" i="53"/>
  <c r="E328" i="53"/>
  <c r="W327" i="53"/>
  <c r="X327" i="53" s="1"/>
  <c r="Q327" i="53"/>
  <c r="P327" i="53"/>
  <c r="L327" i="53"/>
  <c r="M327" i="53" s="1"/>
  <c r="N327" i="53" s="1"/>
  <c r="K327" i="53"/>
  <c r="G327" i="53"/>
  <c r="E327" i="53"/>
  <c r="W326" i="53"/>
  <c r="X326" i="53" s="1"/>
  <c r="Q326" i="53"/>
  <c r="P326" i="53"/>
  <c r="L326" i="53"/>
  <c r="M326" i="53" s="1"/>
  <c r="N326" i="53" s="1"/>
  <c r="K326" i="53"/>
  <c r="G326" i="53"/>
  <c r="E326" i="53"/>
  <c r="W325" i="53"/>
  <c r="X325" i="53" s="1"/>
  <c r="Q325" i="53"/>
  <c r="P325" i="53"/>
  <c r="L325" i="53"/>
  <c r="M325" i="53" s="1"/>
  <c r="N325" i="53" s="1"/>
  <c r="K325" i="53"/>
  <c r="G325" i="53"/>
  <c r="E325" i="53"/>
  <c r="W324" i="53"/>
  <c r="X324" i="53" s="1"/>
  <c r="Q324" i="53"/>
  <c r="P324" i="53"/>
  <c r="L324" i="53"/>
  <c r="M324" i="53" s="1"/>
  <c r="N324" i="53" s="1"/>
  <c r="K324" i="53"/>
  <c r="G324" i="53"/>
  <c r="E324" i="53"/>
  <c r="W323" i="53"/>
  <c r="X323" i="53" s="1"/>
  <c r="Q323" i="53"/>
  <c r="P323" i="53"/>
  <c r="L323" i="53"/>
  <c r="M323" i="53" s="1"/>
  <c r="N323" i="53" s="1"/>
  <c r="K323" i="53"/>
  <c r="G323" i="53"/>
  <c r="E323" i="53"/>
  <c r="W322" i="53"/>
  <c r="X322" i="53" s="1"/>
  <c r="Q322" i="53"/>
  <c r="P322" i="53"/>
  <c r="L322" i="53"/>
  <c r="M322" i="53" s="1"/>
  <c r="N322" i="53" s="1"/>
  <c r="K322" i="53"/>
  <c r="G322" i="53"/>
  <c r="E322" i="53"/>
  <c r="W321" i="53"/>
  <c r="X321" i="53" s="1"/>
  <c r="Q321" i="53"/>
  <c r="P321" i="53"/>
  <c r="M321" i="53"/>
  <c r="N321" i="53" s="1"/>
  <c r="L321" i="53"/>
  <c r="K321" i="53"/>
  <c r="G321" i="53"/>
  <c r="E321" i="53"/>
  <c r="W320" i="53"/>
  <c r="X320" i="53" s="1"/>
  <c r="Q320" i="53"/>
  <c r="P320" i="53"/>
  <c r="L320" i="53"/>
  <c r="M320" i="53" s="1"/>
  <c r="N320" i="53" s="1"/>
  <c r="K320" i="53"/>
  <c r="G320" i="53"/>
  <c r="E320" i="53"/>
  <c r="W319" i="53"/>
  <c r="X319" i="53" s="1"/>
  <c r="Q319" i="53"/>
  <c r="P319" i="53"/>
  <c r="L319" i="53"/>
  <c r="M319" i="53" s="1"/>
  <c r="N319" i="53" s="1"/>
  <c r="K319" i="53"/>
  <c r="G319" i="53"/>
  <c r="E319" i="53"/>
  <c r="W318" i="53"/>
  <c r="X318" i="53" s="1"/>
  <c r="Q318" i="53"/>
  <c r="P318" i="53"/>
  <c r="L318" i="53"/>
  <c r="M318" i="53" s="1"/>
  <c r="N318" i="53" s="1"/>
  <c r="K318" i="53"/>
  <c r="G318" i="53"/>
  <c r="E318" i="53"/>
  <c r="W317" i="53"/>
  <c r="X317" i="53" s="1"/>
  <c r="Q317" i="53"/>
  <c r="P317" i="53"/>
  <c r="L317" i="53"/>
  <c r="M317" i="53" s="1"/>
  <c r="N317" i="53" s="1"/>
  <c r="K317" i="53"/>
  <c r="G317" i="53"/>
  <c r="E317" i="53"/>
  <c r="W316" i="53"/>
  <c r="X316" i="53" s="1"/>
  <c r="Q316" i="53"/>
  <c r="P316" i="53"/>
  <c r="L316" i="53"/>
  <c r="M316" i="53" s="1"/>
  <c r="N316" i="53" s="1"/>
  <c r="K316" i="53"/>
  <c r="G316" i="53"/>
  <c r="E316" i="53"/>
  <c r="W315" i="53"/>
  <c r="X315" i="53" s="1"/>
  <c r="U315" i="53"/>
  <c r="T315" i="53"/>
  <c r="S315" i="53"/>
  <c r="Q315" i="53"/>
  <c r="P315" i="53"/>
  <c r="L315" i="53"/>
  <c r="M315" i="53" s="1"/>
  <c r="N315" i="53" s="1"/>
  <c r="K315" i="53"/>
  <c r="G315" i="53"/>
  <c r="E315" i="53"/>
  <c r="W314" i="53"/>
  <c r="X314" i="53" s="1"/>
  <c r="Q314" i="53"/>
  <c r="P314" i="53"/>
  <c r="L314" i="53"/>
  <c r="M314" i="53" s="1"/>
  <c r="N314" i="53" s="1"/>
  <c r="G314" i="53"/>
  <c r="E314" i="53"/>
  <c r="W313" i="53"/>
  <c r="X313" i="53" s="1"/>
  <c r="Q313" i="53"/>
  <c r="P313" i="53"/>
  <c r="L313" i="53"/>
  <c r="M313" i="53" s="1"/>
  <c r="N313" i="53" s="1"/>
  <c r="G313" i="53"/>
  <c r="E313" i="53"/>
  <c r="W312" i="53"/>
  <c r="X312" i="53" s="1"/>
  <c r="Q312" i="53"/>
  <c r="P312" i="53"/>
  <c r="L312" i="53"/>
  <c r="M312" i="53" s="1"/>
  <c r="N312" i="53" s="1"/>
  <c r="K312" i="53"/>
  <c r="G312" i="53"/>
  <c r="E312" i="53"/>
  <c r="W311" i="53"/>
  <c r="X311" i="53" s="1"/>
  <c r="Q311" i="53"/>
  <c r="P311" i="53"/>
  <c r="L311" i="53"/>
  <c r="M311" i="53" s="1"/>
  <c r="N311" i="53" s="1"/>
  <c r="K311" i="53"/>
  <c r="G311" i="53"/>
  <c r="E311" i="53"/>
  <c r="W310" i="53"/>
  <c r="X310" i="53" s="1"/>
  <c r="Q310" i="53"/>
  <c r="P310" i="53"/>
  <c r="L310" i="53"/>
  <c r="M310" i="53" s="1"/>
  <c r="N310" i="53" s="1"/>
  <c r="K310" i="53"/>
  <c r="G310" i="53"/>
  <c r="E310" i="53"/>
  <c r="W309" i="53"/>
  <c r="X309" i="53" s="1"/>
  <c r="U309" i="53"/>
  <c r="T309" i="53"/>
  <c r="S309" i="53"/>
  <c r="Q309" i="53"/>
  <c r="P309" i="53"/>
  <c r="L309" i="53"/>
  <c r="M309" i="53" s="1"/>
  <c r="N309" i="53" s="1"/>
  <c r="K309" i="53"/>
  <c r="G309" i="53"/>
  <c r="E309" i="53"/>
  <c r="W308" i="53"/>
  <c r="X308" i="53" s="1"/>
  <c r="Q308" i="53"/>
  <c r="P308" i="53"/>
  <c r="L308" i="53"/>
  <c r="M308" i="53" s="1"/>
  <c r="N308" i="53" s="1"/>
  <c r="K308" i="53"/>
  <c r="G308" i="53"/>
  <c r="E308" i="53"/>
  <c r="W307" i="53"/>
  <c r="X307" i="53" s="1"/>
  <c r="Q307" i="53"/>
  <c r="P307" i="53"/>
  <c r="L307" i="53"/>
  <c r="M307" i="53" s="1"/>
  <c r="N307" i="53" s="1"/>
  <c r="K307" i="53"/>
  <c r="G307" i="53"/>
  <c r="E307" i="53"/>
  <c r="W306" i="53"/>
  <c r="X306" i="53" s="1"/>
  <c r="Q306" i="53"/>
  <c r="P306" i="53"/>
  <c r="L306" i="53"/>
  <c r="M306" i="53" s="1"/>
  <c r="N306" i="53" s="1"/>
  <c r="K306" i="53"/>
  <c r="G306" i="53"/>
  <c r="E306" i="53"/>
  <c r="W305" i="53"/>
  <c r="X305" i="53" s="1"/>
  <c r="Q305" i="53"/>
  <c r="P305" i="53"/>
  <c r="L305" i="53"/>
  <c r="M305" i="53" s="1"/>
  <c r="N305" i="53" s="1"/>
  <c r="K305" i="53"/>
  <c r="G305" i="53"/>
  <c r="E305" i="53"/>
  <c r="W304" i="53"/>
  <c r="X304" i="53" s="1"/>
  <c r="Q304" i="53"/>
  <c r="P304" i="53"/>
  <c r="L304" i="53"/>
  <c r="M304" i="53" s="1"/>
  <c r="N304" i="53" s="1"/>
  <c r="K304" i="53"/>
  <c r="G304" i="53"/>
  <c r="E304" i="53"/>
  <c r="W303" i="53"/>
  <c r="X303" i="53" s="1"/>
  <c r="Q303" i="53"/>
  <c r="P303" i="53"/>
  <c r="L303" i="53"/>
  <c r="M303" i="53" s="1"/>
  <c r="N303" i="53" s="1"/>
  <c r="K303" i="53"/>
  <c r="G303" i="53"/>
  <c r="E303" i="53"/>
  <c r="W302" i="53"/>
  <c r="X302" i="53" s="1"/>
  <c r="Q302" i="53"/>
  <c r="P302" i="53"/>
  <c r="L302" i="53"/>
  <c r="M302" i="53" s="1"/>
  <c r="N302" i="53" s="1"/>
  <c r="G302" i="53"/>
  <c r="E302" i="53"/>
  <c r="W301" i="53"/>
  <c r="X301" i="53" s="1"/>
  <c r="Q301" i="53"/>
  <c r="P301" i="53"/>
  <c r="L301" i="53"/>
  <c r="M301" i="53" s="1"/>
  <c r="N301" i="53" s="1"/>
  <c r="G301" i="53"/>
  <c r="E301" i="53"/>
  <c r="W300" i="53"/>
  <c r="X300" i="53" s="1"/>
  <c r="Q300" i="53"/>
  <c r="P300" i="53"/>
  <c r="L300" i="53"/>
  <c r="M300" i="53" s="1"/>
  <c r="N300" i="53" s="1"/>
  <c r="K300" i="53"/>
  <c r="G300" i="53"/>
  <c r="E300" i="53"/>
  <c r="W299" i="53"/>
  <c r="X299" i="53" s="1"/>
  <c r="Q299" i="53"/>
  <c r="P299" i="53"/>
  <c r="L299" i="53"/>
  <c r="M299" i="53" s="1"/>
  <c r="N299" i="53" s="1"/>
  <c r="K299" i="53"/>
  <c r="G299" i="53"/>
  <c r="E299" i="53"/>
  <c r="W298" i="53"/>
  <c r="X298" i="53" s="1"/>
  <c r="Q298" i="53"/>
  <c r="P298" i="53"/>
  <c r="L298" i="53"/>
  <c r="M298" i="53" s="1"/>
  <c r="N298" i="53" s="1"/>
  <c r="K298" i="53"/>
  <c r="G298" i="53"/>
  <c r="E298" i="53"/>
  <c r="W297" i="53"/>
  <c r="X297" i="53" s="1"/>
  <c r="Q297" i="53"/>
  <c r="P297" i="53"/>
  <c r="L297" i="53"/>
  <c r="M297" i="53" s="1"/>
  <c r="N297" i="53" s="1"/>
  <c r="K297" i="53"/>
  <c r="G297" i="53"/>
  <c r="E297" i="53"/>
  <c r="W296" i="53"/>
  <c r="X296" i="53" s="1"/>
  <c r="Q296" i="53"/>
  <c r="P296" i="53"/>
  <c r="L296" i="53"/>
  <c r="M296" i="53" s="1"/>
  <c r="N296" i="53" s="1"/>
  <c r="G296" i="53"/>
  <c r="E296" i="53"/>
  <c r="W295" i="53"/>
  <c r="X295" i="53" s="1"/>
  <c r="Q295" i="53"/>
  <c r="P295" i="53"/>
  <c r="L295" i="53"/>
  <c r="M295" i="53" s="1"/>
  <c r="N295" i="53" s="1"/>
  <c r="G295" i="53"/>
  <c r="E295" i="53"/>
  <c r="W294" i="53"/>
  <c r="X294" i="53" s="1"/>
  <c r="Q294" i="53"/>
  <c r="P294" i="53"/>
  <c r="L294" i="53"/>
  <c r="M294" i="53" s="1"/>
  <c r="N294" i="53" s="1"/>
  <c r="K294" i="53"/>
  <c r="G294" i="53"/>
  <c r="E294" i="53"/>
  <c r="W293" i="53"/>
  <c r="X293" i="53" s="1"/>
  <c r="Q293" i="53"/>
  <c r="P293" i="53"/>
  <c r="L293" i="53"/>
  <c r="M293" i="53" s="1"/>
  <c r="N293" i="53" s="1"/>
  <c r="K293" i="53"/>
  <c r="G293" i="53"/>
  <c r="E293" i="53"/>
  <c r="W292" i="53"/>
  <c r="X292" i="53" s="1"/>
  <c r="Q292" i="53"/>
  <c r="P292" i="53"/>
  <c r="L292" i="53"/>
  <c r="M292" i="53" s="1"/>
  <c r="N292" i="53" s="1"/>
  <c r="K292" i="53"/>
  <c r="G292" i="53"/>
  <c r="E292" i="53"/>
  <c r="W291" i="53"/>
  <c r="X291" i="53" s="1"/>
  <c r="Q291" i="53"/>
  <c r="P291" i="53"/>
  <c r="L291" i="53"/>
  <c r="M291" i="53" s="1"/>
  <c r="N291" i="53" s="1"/>
  <c r="K291" i="53"/>
  <c r="G291" i="53"/>
  <c r="E291" i="53"/>
  <c r="W290" i="53"/>
  <c r="X290" i="53" s="1"/>
  <c r="Q290" i="53"/>
  <c r="P290" i="53"/>
  <c r="L290" i="53"/>
  <c r="M290" i="53" s="1"/>
  <c r="N290" i="53" s="1"/>
  <c r="K290" i="53"/>
  <c r="G290" i="53"/>
  <c r="E290" i="53"/>
  <c r="W289" i="53"/>
  <c r="X289" i="53" s="1"/>
  <c r="Q289" i="53"/>
  <c r="P289" i="53"/>
  <c r="L289" i="53"/>
  <c r="M289" i="53" s="1"/>
  <c r="N289" i="53" s="1"/>
  <c r="K289" i="53"/>
  <c r="G289" i="53"/>
  <c r="E289" i="53"/>
  <c r="W288" i="53"/>
  <c r="X288" i="53" s="1"/>
  <c r="Q288" i="53"/>
  <c r="P288" i="53"/>
  <c r="L288" i="53"/>
  <c r="M288" i="53" s="1"/>
  <c r="N288" i="53" s="1"/>
  <c r="G288" i="53"/>
  <c r="E288" i="53"/>
  <c r="W287" i="53"/>
  <c r="X287" i="53" s="1"/>
  <c r="Q287" i="53"/>
  <c r="P287" i="53"/>
  <c r="L287" i="53"/>
  <c r="M287" i="53" s="1"/>
  <c r="N287" i="53" s="1"/>
  <c r="G287" i="53"/>
  <c r="E287" i="53"/>
  <c r="W286" i="53"/>
  <c r="X286" i="53" s="1"/>
  <c r="Q286" i="53"/>
  <c r="P286" i="53"/>
  <c r="L286" i="53"/>
  <c r="M286" i="53" s="1"/>
  <c r="N286" i="53" s="1"/>
  <c r="K286" i="53"/>
  <c r="G286" i="53"/>
  <c r="E286" i="53"/>
  <c r="W285" i="53"/>
  <c r="X285" i="53" s="1"/>
  <c r="Q285" i="53"/>
  <c r="P285" i="53"/>
  <c r="L285" i="53"/>
  <c r="M285" i="53" s="1"/>
  <c r="N285" i="53" s="1"/>
  <c r="K285" i="53"/>
  <c r="G285" i="53"/>
  <c r="E285" i="53"/>
  <c r="W284" i="53"/>
  <c r="X284" i="53" s="1"/>
  <c r="Q284" i="53"/>
  <c r="P284" i="53"/>
  <c r="L284" i="53"/>
  <c r="M284" i="53" s="1"/>
  <c r="N284" i="53" s="1"/>
  <c r="K284" i="53"/>
  <c r="G284" i="53"/>
  <c r="E284" i="53"/>
  <c r="W283" i="53"/>
  <c r="X283" i="53" s="1"/>
  <c r="Q283" i="53"/>
  <c r="P283" i="53"/>
  <c r="L283" i="53"/>
  <c r="M283" i="53" s="1"/>
  <c r="N283" i="53" s="1"/>
  <c r="K283" i="53"/>
  <c r="G283" i="53"/>
  <c r="E283" i="53"/>
  <c r="W282" i="53"/>
  <c r="X282" i="53" s="1"/>
  <c r="Q282" i="53"/>
  <c r="P282" i="53"/>
  <c r="L282" i="53"/>
  <c r="M282" i="53" s="1"/>
  <c r="N282" i="53" s="1"/>
  <c r="K282" i="53"/>
  <c r="G282" i="53"/>
  <c r="E282" i="53"/>
  <c r="W281" i="53"/>
  <c r="X281" i="53" s="1"/>
  <c r="Q281" i="53"/>
  <c r="P281" i="53"/>
  <c r="L281" i="53"/>
  <c r="M281" i="53" s="1"/>
  <c r="N281" i="53" s="1"/>
  <c r="K281" i="53"/>
  <c r="G281" i="53"/>
  <c r="E281" i="53"/>
  <c r="W280" i="53"/>
  <c r="X280" i="53" s="1"/>
  <c r="Q280" i="53"/>
  <c r="P280" i="53"/>
  <c r="L280" i="53"/>
  <c r="M280" i="53" s="1"/>
  <c r="N280" i="53" s="1"/>
  <c r="K280" i="53"/>
  <c r="G280" i="53"/>
  <c r="E280" i="53"/>
  <c r="W279" i="53"/>
  <c r="X279" i="53" s="1"/>
  <c r="Q279" i="53"/>
  <c r="P279" i="53"/>
  <c r="L279" i="53"/>
  <c r="M279" i="53" s="1"/>
  <c r="N279" i="53" s="1"/>
  <c r="K279" i="53"/>
  <c r="G279" i="53"/>
  <c r="E279" i="53"/>
  <c r="W278" i="53"/>
  <c r="X278" i="53" s="1"/>
  <c r="Q278" i="53"/>
  <c r="P278" i="53"/>
  <c r="L278" i="53"/>
  <c r="M278" i="53" s="1"/>
  <c r="N278" i="53" s="1"/>
  <c r="W277" i="53"/>
  <c r="X277" i="53" s="1"/>
  <c r="Q277" i="53"/>
  <c r="P277" i="53"/>
  <c r="L277" i="53"/>
  <c r="M277" i="53" s="1"/>
  <c r="N277" i="53" s="1"/>
  <c r="K277" i="53"/>
  <c r="G277" i="53"/>
  <c r="E277" i="53"/>
  <c r="W276" i="53"/>
  <c r="X276" i="53" s="1"/>
  <c r="Q276" i="53"/>
  <c r="P276" i="53"/>
  <c r="L276" i="53"/>
  <c r="M276" i="53" s="1"/>
  <c r="N276" i="53" s="1"/>
  <c r="W275" i="53"/>
  <c r="X275" i="53" s="1"/>
  <c r="Q275" i="53"/>
  <c r="P275" i="53"/>
  <c r="L275" i="53"/>
  <c r="M275" i="53" s="1"/>
  <c r="N275" i="53" s="1"/>
  <c r="K275" i="53"/>
  <c r="G275" i="53"/>
  <c r="E275" i="53"/>
  <c r="W274" i="53"/>
  <c r="X274" i="53" s="1"/>
  <c r="Q274" i="53"/>
  <c r="P274" i="53"/>
  <c r="L274" i="53"/>
  <c r="M274" i="53" s="1"/>
  <c r="N274" i="53" s="1"/>
  <c r="K274" i="53"/>
  <c r="G274" i="53"/>
  <c r="E274" i="53"/>
  <c r="W273" i="53"/>
  <c r="X273" i="53" s="1"/>
  <c r="Q273" i="53"/>
  <c r="P273" i="53"/>
  <c r="L273" i="53"/>
  <c r="M273" i="53" s="1"/>
  <c r="N273" i="53" s="1"/>
  <c r="K273" i="53"/>
  <c r="G273" i="53"/>
  <c r="E273" i="53"/>
  <c r="W272" i="53"/>
  <c r="X272" i="53" s="1"/>
  <c r="Q272" i="53"/>
  <c r="P272" i="53"/>
  <c r="L272" i="53"/>
  <c r="M272" i="53" s="1"/>
  <c r="N272" i="53" s="1"/>
  <c r="K272" i="53"/>
  <c r="G272" i="53"/>
  <c r="E272" i="53"/>
  <c r="W271" i="53"/>
  <c r="X271" i="53" s="1"/>
  <c r="Q271" i="53"/>
  <c r="P271" i="53"/>
  <c r="L271" i="53"/>
  <c r="M271" i="53" s="1"/>
  <c r="N271" i="53" s="1"/>
  <c r="K271" i="53"/>
  <c r="G271" i="53"/>
  <c r="E271" i="53"/>
  <c r="W270" i="53"/>
  <c r="X270" i="53" s="1"/>
  <c r="U270" i="53"/>
  <c r="T270" i="53"/>
  <c r="S270" i="53"/>
  <c r="Q270" i="53"/>
  <c r="P270" i="53"/>
  <c r="L270" i="53"/>
  <c r="M270" i="53" s="1"/>
  <c r="N270" i="53" s="1"/>
  <c r="K270" i="53"/>
  <c r="G270" i="53"/>
  <c r="E270" i="53"/>
  <c r="W269" i="53"/>
  <c r="X269" i="53" s="1"/>
  <c r="Q269" i="53"/>
  <c r="P269" i="53"/>
  <c r="L269" i="53"/>
  <c r="M269" i="53" s="1"/>
  <c r="N269" i="53" s="1"/>
  <c r="K269" i="53"/>
  <c r="G269" i="53"/>
  <c r="E269" i="53"/>
  <c r="W268" i="53"/>
  <c r="X268" i="53" s="1"/>
  <c r="U268" i="53"/>
  <c r="T268" i="53"/>
  <c r="S268" i="53"/>
  <c r="Q268" i="53"/>
  <c r="P268" i="53"/>
  <c r="L268" i="53"/>
  <c r="M268" i="53" s="1"/>
  <c r="N268" i="53" s="1"/>
  <c r="K268" i="53"/>
  <c r="G268" i="53"/>
  <c r="E268" i="53"/>
  <c r="W267" i="53"/>
  <c r="X267" i="53" s="1"/>
  <c r="Q267" i="53"/>
  <c r="P267" i="53"/>
  <c r="L267" i="53"/>
  <c r="M267" i="53" s="1"/>
  <c r="N267" i="53" s="1"/>
  <c r="K267" i="53"/>
  <c r="G267" i="53"/>
  <c r="E267" i="53"/>
  <c r="W266" i="53"/>
  <c r="X266" i="53" s="1"/>
  <c r="Q266" i="53"/>
  <c r="P266" i="53"/>
  <c r="L266" i="53"/>
  <c r="M266" i="53" s="1"/>
  <c r="N266" i="53" s="1"/>
  <c r="K266" i="53"/>
  <c r="G266" i="53"/>
  <c r="E266" i="53"/>
  <c r="W265" i="53"/>
  <c r="X265" i="53" s="1"/>
  <c r="Q265" i="53"/>
  <c r="P265" i="53"/>
  <c r="L265" i="53"/>
  <c r="M265" i="53" s="1"/>
  <c r="N265" i="53" s="1"/>
  <c r="K265" i="53"/>
  <c r="G265" i="53"/>
  <c r="E265" i="53"/>
  <c r="W264" i="53"/>
  <c r="X264" i="53" s="1"/>
  <c r="Q264" i="53"/>
  <c r="P264" i="53"/>
  <c r="L264" i="53"/>
  <c r="M264" i="53" s="1"/>
  <c r="N264" i="53" s="1"/>
  <c r="K264" i="53"/>
  <c r="G264" i="53"/>
  <c r="E264" i="53"/>
  <c r="W263" i="53"/>
  <c r="X263" i="53" s="1"/>
  <c r="Q263" i="53"/>
  <c r="P263" i="53"/>
  <c r="L263" i="53"/>
  <c r="M263" i="53" s="1"/>
  <c r="N263" i="53" s="1"/>
  <c r="K263" i="53"/>
  <c r="G263" i="53"/>
  <c r="E263" i="53"/>
  <c r="W262" i="53"/>
  <c r="X262" i="53" s="1"/>
  <c r="Q262" i="53"/>
  <c r="P262" i="53"/>
  <c r="L262" i="53"/>
  <c r="M262" i="53" s="1"/>
  <c r="N262" i="53" s="1"/>
  <c r="K262" i="53"/>
  <c r="G262" i="53"/>
  <c r="E262" i="53"/>
  <c r="W261" i="53"/>
  <c r="X261" i="53" s="1"/>
  <c r="Q261" i="53"/>
  <c r="P261" i="53"/>
  <c r="L261" i="53"/>
  <c r="M261" i="53" s="1"/>
  <c r="N261" i="53" s="1"/>
  <c r="K261" i="53"/>
  <c r="G261" i="53"/>
  <c r="E261" i="53"/>
  <c r="W260" i="53"/>
  <c r="X260" i="53" s="1"/>
  <c r="Q260" i="53"/>
  <c r="P260" i="53"/>
  <c r="L260" i="53"/>
  <c r="M260" i="53" s="1"/>
  <c r="N260" i="53" s="1"/>
  <c r="K260" i="53"/>
  <c r="G260" i="53"/>
  <c r="E260" i="53"/>
  <c r="W259" i="53"/>
  <c r="X259" i="53" s="1"/>
  <c r="Q259" i="53"/>
  <c r="P259" i="53"/>
  <c r="L259" i="53"/>
  <c r="M259" i="53" s="1"/>
  <c r="N259" i="53" s="1"/>
  <c r="K259" i="53"/>
  <c r="G259" i="53"/>
  <c r="E259" i="53"/>
  <c r="W258" i="53"/>
  <c r="X258" i="53" s="1"/>
  <c r="Q258" i="53"/>
  <c r="P258" i="53"/>
  <c r="L258" i="53"/>
  <c r="M258" i="53" s="1"/>
  <c r="N258" i="53" s="1"/>
  <c r="K258" i="53"/>
  <c r="G258" i="53"/>
  <c r="E258" i="53"/>
  <c r="W257" i="53"/>
  <c r="X257" i="53" s="1"/>
  <c r="Q257" i="53"/>
  <c r="P257" i="53"/>
  <c r="L257" i="53"/>
  <c r="M257" i="53" s="1"/>
  <c r="N257" i="53" s="1"/>
  <c r="K257" i="53"/>
  <c r="G257" i="53"/>
  <c r="E257" i="53"/>
  <c r="W256" i="53"/>
  <c r="X256" i="53" s="1"/>
  <c r="Q256" i="53"/>
  <c r="P256" i="53"/>
  <c r="L256" i="53"/>
  <c r="M256" i="53" s="1"/>
  <c r="N256" i="53" s="1"/>
  <c r="K256" i="53"/>
  <c r="G256" i="53"/>
  <c r="E256" i="53"/>
  <c r="W255" i="53"/>
  <c r="X255" i="53" s="1"/>
  <c r="U255" i="53"/>
  <c r="T255" i="53"/>
  <c r="S255" i="53"/>
  <c r="Q255" i="53"/>
  <c r="P255" i="53"/>
  <c r="L255" i="53"/>
  <c r="M255" i="53" s="1"/>
  <c r="N255" i="53" s="1"/>
  <c r="K255" i="53"/>
  <c r="G255" i="53"/>
  <c r="E255" i="53"/>
  <c r="W254" i="53"/>
  <c r="X254" i="53" s="1"/>
  <c r="U254" i="53"/>
  <c r="T254" i="53"/>
  <c r="S254" i="53"/>
  <c r="Q254" i="53"/>
  <c r="P254" i="53"/>
  <c r="L254" i="53"/>
  <c r="M254" i="53" s="1"/>
  <c r="N254" i="53" s="1"/>
  <c r="K254" i="53"/>
  <c r="G254" i="53"/>
  <c r="E254" i="53"/>
  <c r="W253" i="53"/>
  <c r="X253" i="53" s="1"/>
  <c r="Q253" i="53"/>
  <c r="P253" i="53"/>
  <c r="L253" i="53"/>
  <c r="M253" i="53" s="1"/>
  <c r="N253" i="53" s="1"/>
  <c r="K253" i="53"/>
  <c r="G253" i="53"/>
  <c r="E253" i="53"/>
  <c r="W252" i="53"/>
  <c r="X252" i="53" s="1"/>
  <c r="Q252" i="53"/>
  <c r="P252" i="53"/>
  <c r="L252" i="53"/>
  <c r="M252" i="53" s="1"/>
  <c r="N252" i="53" s="1"/>
  <c r="K252" i="53"/>
  <c r="G252" i="53"/>
  <c r="E252" i="53"/>
  <c r="W251" i="53"/>
  <c r="X251" i="53" s="1"/>
  <c r="Q251" i="53"/>
  <c r="P251" i="53"/>
  <c r="L251" i="53"/>
  <c r="M251" i="53" s="1"/>
  <c r="N251" i="53" s="1"/>
  <c r="K251" i="53"/>
  <c r="G251" i="53"/>
  <c r="E251" i="53"/>
  <c r="W250" i="53"/>
  <c r="X250" i="53" s="1"/>
  <c r="Q250" i="53"/>
  <c r="P250" i="53"/>
  <c r="L250" i="53"/>
  <c r="M250" i="53" s="1"/>
  <c r="N250" i="53" s="1"/>
  <c r="K250" i="53"/>
  <c r="G250" i="53"/>
  <c r="E250" i="53"/>
  <c r="W249" i="53"/>
  <c r="X249" i="53" s="1"/>
  <c r="Q249" i="53"/>
  <c r="P249" i="53"/>
  <c r="L249" i="53"/>
  <c r="M249" i="53" s="1"/>
  <c r="N249" i="53" s="1"/>
  <c r="K249" i="53"/>
  <c r="G249" i="53"/>
  <c r="E249" i="53"/>
  <c r="W248" i="53"/>
  <c r="X248" i="53" s="1"/>
  <c r="Q248" i="53"/>
  <c r="P248" i="53"/>
  <c r="L248" i="53"/>
  <c r="M248" i="53" s="1"/>
  <c r="N248" i="53" s="1"/>
  <c r="K248" i="53"/>
  <c r="G248" i="53"/>
  <c r="E248" i="53"/>
  <c r="W247" i="53"/>
  <c r="X247" i="53" s="1"/>
  <c r="Q247" i="53"/>
  <c r="P247" i="53"/>
  <c r="L247" i="53"/>
  <c r="M247" i="53" s="1"/>
  <c r="N247" i="53" s="1"/>
  <c r="K247" i="53"/>
  <c r="G247" i="53"/>
  <c r="E247" i="53"/>
  <c r="W246" i="53"/>
  <c r="X246" i="53" s="1"/>
  <c r="Q246" i="53"/>
  <c r="P246" i="53"/>
  <c r="L246" i="53"/>
  <c r="M246" i="53" s="1"/>
  <c r="N246" i="53" s="1"/>
  <c r="K246" i="53"/>
  <c r="G246" i="53"/>
  <c r="E246" i="53"/>
  <c r="W245" i="53"/>
  <c r="X245" i="53" s="1"/>
  <c r="U245" i="53"/>
  <c r="T245" i="53"/>
  <c r="S245" i="53"/>
  <c r="Q245" i="53"/>
  <c r="P245" i="53"/>
  <c r="L245" i="53"/>
  <c r="M245" i="53" s="1"/>
  <c r="N245" i="53" s="1"/>
  <c r="K245" i="53"/>
  <c r="G245" i="53"/>
  <c r="E245" i="53"/>
  <c r="W244" i="53"/>
  <c r="X244" i="53" s="1"/>
  <c r="Q244" i="53"/>
  <c r="P244" i="53"/>
  <c r="L244" i="53"/>
  <c r="M244" i="53" s="1"/>
  <c r="N244" i="53" s="1"/>
  <c r="K244" i="53"/>
  <c r="G244" i="53"/>
  <c r="E244" i="53"/>
  <c r="W243" i="53"/>
  <c r="X243" i="53" s="1"/>
  <c r="Q243" i="53"/>
  <c r="P243" i="53"/>
  <c r="L243" i="53"/>
  <c r="M243" i="53" s="1"/>
  <c r="N243" i="53" s="1"/>
  <c r="K243" i="53"/>
  <c r="G243" i="53"/>
  <c r="E243" i="53"/>
  <c r="W242" i="53"/>
  <c r="X242" i="53" s="1"/>
  <c r="U242" i="53"/>
  <c r="T242" i="53"/>
  <c r="S242" i="53"/>
  <c r="Q242" i="53"/>
  <c r="P242" i="53"/>
  <c r="L242" i="53"/>
  <c r="M242" i="53" s="1"/>
  <c r="N242" i="53" s="1"/>
  <c r="K242" i="53"/>
  <c r="G242" i="53"/>
  <c r="E242" i="53"/>
  <c r="W241" i="53"/>
  <c r="X241" i="53" s="1"/>
  <c r="Q241" i="53"/>
  <c r="P241" i="53"/>
  <c r="L241" i="53"/>
  <c r="M241" i="53" s="1"/>
  <c r="N241" i="53" s="1"/>
  <c r="K241" i="53"/>
  <c r="G241" i="53"/>
  <c r="E241" i="53"/>
  <c r="W240" i="53"/>
  <c r="X240" i="53" s="1"/>
  <c r="Q240" i="53"/>
  <c r="P240" i="53"/>
  <c r="L240" i="53"/>
  <c r="M240" i="53" s="1"/>
  <c r="N240" i="53" s="1"/>
  <c r="K240" i="53"/>
  <c r="G240" i="53"/>
  <c r="E240" i="53"/>
  <c r="W239" i="53"/>
  <c r="X239" i="53" s="1"/>
  <c r="Q239" i="53"/>
  <c r="P239" i="53"/>
  <c r="L239" i="53"/>
  <c r="M239" i="53" s="1"/>
  <c r="N239" i="53" s="1"/>
  <c r="K239" i="53"/>
  <c r="G239" i="53"/>
  <c r="E239" i="53"/>
  <c r="W238" i="53"/>
  <c r="X238" i="53" s="1"/>
  <c r="Q238" i="53"/>
  <c r="P238" i="53"/>
  <c r="L238" i="53"/>
  <c r="M238" i="53" s="1"/>
  <c r="N238" i="53" s="1"/>
  <c r="K238" i="53"/>
  <c r="G238" i="53"/>
  <c r="E238" i="53"/>
  <c r="W237" i="53"/>
  <c r="X237" i="53" s="1"/>
  <c r="U237" i="53"/>
  <c r="T237" i="53"/>
  <c r="S237" i="53"/>
  <c r="Q237" i="53"/>
  <c r="P237" i="53"/>
  <c r="L237" i="53"/>
  <c r="M237" i="53" s="1"/>
  <c r="N237" i="53" s="1"/>
  <c r="K237" i="53"/>
  <c r="G237" i="53"/>
  <c r="E237" i="53"/>
  <c r="W236" i="53"/>
  <c r="X236" i="53" s="1"/>
  <c r="Q236" i="53"/>
  <c r="P236" i="53"/>
  <c r="L236" i="53"/>
  <c r="M236" i="53" s="1"/>
  <c r="N236" i="53" s="1"/>
  <c r="K236" i="53"/>
  <c r="G236" i="53"/>
  <c r="E236" i="53"/>
  <c r="W235" i="53"/>
  <c r="X235" i="53" s="1"/>
  <c r="Q235" i="53"/>
  <c r="P235" i="53"/>
  <c r="L235" i="53"/>
  <c r="M235" i="53" s="1"/>
  <c r="N235" i="53" s="1"/>
  <c r="K235" i="53"/>
  <c r="G235" i="53"/>
  <c r="E235" i="53"/>
  <c r="W234" i="53"/>
  <c r="X234" i="53" s="1"/>
  <c r="Q234" i="53"/>
  <c r="P234" i="53"/>
  <c r="L234" i="53"/>
  <c r="M234" i="53" s="1"/>
  <c r="N234" i="53" s="1"/>
  <c r="K234" i="53"/>
  <c r="G234" i="53"/>
  <c r="E234" i="53"/>
  <c r="W233" i="53"/>
  <c r="X233" i="53" s="1"/>
  <c r="Q233" i="53"/>
  <c r="P233" i="53"/>
  <c r="L233" i="53"/>
  <c r="M233" i="53" s="1"/>
  <c r="N233" i="53" s="1"/>
  <c r="K233" i="53"/>
  <c r="G233" i="53"/>
  <c r="E233" i="53"/>
  <c r="W232" i="53"/>
  <c r="X232" i="53" s="1"/>
  <c r="Q232" i="53"/>
  <c r="P232" i="53"/>
  <c r="L232" i="53"/>
  <c r="M232" i="53" s="1"/>
  <c r="N232" i="53" s="1"/>
  <c r="K232" i="53"/>
  <c r="G232" i="53"/>
  <c r="E232" i="53"/>
  <c r="W231" i="53"/>
  <c r="X231" i="53" s="1"/>
  <c r="Q231" i="53"/>
  <c r="P231" i="53"/>
  <c r="M231" i="53"/>
  <c r="N231" i="53" s="1"/>
  <c r="L231" i="53"/>
  <c r="K231" i="53"/>
  <c r="G231" i="53"/>
  <c r="E231" i="53"/>
  <c r="W230" i="53"/>
  <c r="X230" i="53" s="1"/>
  <c r="Q230" i="53"/>
  <c r="P230" i="53"/>
  <c r="L230" i="53"/>
  <c r="M230" i="53" s="1"/>
  <c r="N230" i="53" s="1"/>
  <c r="K230" i="53"/>
  <c r="G230" i="53"/>
  <c r="E230" i="53"/>
  <c r="W229" i="53"/>
  <c r="X229" i="53" s="1"/>
  <c r="Q229" i="53"/>
  <c r="P229" i="53"/>
  <c r="L229" i="53"/>
  <c r="M229" i="53" s="1"/>
  <c r="N229" i="53" s="1"/>
  <c r="K229" i="53"/>
  <c r="G229" i="53"/>
  <c r="E229" i="53"/>
  <c r="W228" i="53"/>
  <c r="X228" i="53" s="1"/>
  <c r="Q228" i="53"/>
  <c r="P228" i="53"/>
  <c r="L228" i="53"/>
  <c r="M228" i="53" s="1"/>
  <c r="N228" i="53" s="1"/>
  <c r="K228" i="53"/>
  <c r="G228" i="53"/>
  <c r="E228" i="53"/>
  <c r="W227" i="53"/>
  <c r="X227" i="53" s="1"/>
  <c r="Q227" i="53"/>
  <c r="P227" i="53"/>
  <c r="L227" i="53"/>
  <c r="M227" i="53" s="1"/>
  <c r="N227" i="53" s="1"/>
  <c r="K227" i="53"/>
  <c r="G227" i="53"/>
  <c r="E227" i="53"/>
  <c r="W226" i="53"/>
  <c r="X226" i="53" s="1"/>
  <c r="Q226" i="53"/>
  <c r="P226" i="53"/>
  <c r="L226" i="53"/>
  <c r="M226" i="53" s="1"/>
  <c r="N226" i="53" s="1"/>
  <c r="K226" i="53"/>
  <c r="G226" i="53"/>
  <c r="E226" i="53"/>
  <c r="W225" i="53"/>
  <c r="X225" i="53" s="1"/>
  <c r="Q225" i="53"/>
  <c r="P225" i="53"/>
  <c r="L225" i="53"/>
  <c r="M225" i="53" s="1"/>
  <c r="N225" i="53" s="1"/>
  <c r="K225" i="53"/>
  <c r="G225" i="53"/>
  <c r="E225" i="53"/>
  <c r="W224" i="53"/>
  <c r="X224" i="53" s="1"/>
  <c r="Q224" i="53"/>
  <c r="P224" i="53"/>
  <c r="L224" i="53"/>
  <c r="M224" i="53" s="1"/>
  <c r="N224" i="53" s="1"/>
  <c r="K224" i="53"/>
  <c r="G224" i="53"/>
  <c r="E224" i="53"/>
  <c r="W223" i="53"/>
  <c r="X223" i="53" s="1"/>
  <c r="Q223" i="53"/>
  <c r="P223" i="53"/>
  <c r="L223" i="53"/>
  <c r="M223" i="53" s="1"/>
  <c r="N223" i="53" s="1"/>
  <c r="K223" i="53"/>
  <c r="G223" i="53"/>
  <c r="E223" i="53"/>
  <c r="W222" i="53"/>
  <c r="X222" i="53" s="1"/>
  <c r="Q222" i="53"/>
  <c r="P222" i="53"/>
  <c r="L222" i="53"/>
  <c r="M222" i="53" s="1"/>
  <c r="N222" i="53" s="1"/>
  <c r="K222" i="53"/>
  <c r="G222" i="53"/>
  <c r="E222" i="53"/>
  <c r="W221" i="53"/>
  <c r="X221" i="53" s="1"/>
  <c r="Q221" i="53"/>
  <c r="P221" i="53"/>
  <c r="L221" i="53"/>
  <c r="M221" i="53" s="1"/>
  <c r="N221" i="53" s="1"/>
  <c r="K221" i="53"/>
  <c r="G221" i="53"/>
  <c r="E221" i="53"/>
  <c r="W220" i="53"/>
  <c r="X220" i="53" s="1"/>
  <c r="Q220" i="53"/>
  <c r="P220" i="53"/>
  <c r="L220" i="53"/>
  <c r="M220" i="53" s="1"/>
  <c r="N220" i="53" s="1"/>
  <c r="K220" i="53"/>
  <c r="G220" i="53"/>
  <c r="E220" i="53"/>
  <c r="W219" i="53"/>
  <c r="X219" i="53" s="1"/>
  <c r="Q219" i="53"/>
  <c r="P219" i="53"/>
  <c r="L219" i="53"/>
  <c r="M219" i="53" s="1"/>
  <c r="N219" i="53" s="1"/>
  <c r="K219" i="53"/>
  <c r="G219" i="53"/>
  <c r="E219" i="53"/>
  <c r="W218" i="53"/>
  <c r="X218" i="53" s="1"/>
  <c r="Q218" i="53"/>
  <c r="P218" i="53"/>
  <c r="L218" i="53"/>
  <c r="M218" i="53" s="1"/>
  <c r="N218" i="53" s="1"/>
  <c r="K218" i="53"/>
  <c r="G218" i="53"/>
  <c r="E218" i="53"/>
  <c r="W217" i="53"/>
  <c r="X217" i="53" s="1"/>
  <c r="Q217" i="53"/>
  <c r="P217" i="53"/>
  <c r="L217" i="53"/>
  <c r="M217" i="53" s="1"/>
  <c r="N217" i="53" s="1"/>
  <c r="K217" i="53"/>
  <c r="G217" i="53"/>
  <c r="E217" i="53"/>
  <c r="W216" i="53"/>
  <c r="X216" i="53" s="1"/>
  <c r="Q216" i="53"/>
  <c r="P216" i="53"/>
  <c r="L216" i="53"/>
  <c r="M216" i="53" s="1"/>
  <c r="N216" i="53" s="1"/>
  <c r="K216" i="53"/>
  <c r="G216" i="53"/>
  <c r="E216" i="53"/>
  <c r="W215" i="53"/>
  <c r="X215" i="53" s="1"/>
  <c r="Q215" i="53"/>
  <c r="P215" i="53"/>
  <c r="L215" i="53"/>
  <c r="M215" i="53" s="1"/>
  <c r="N215" i="53" s="1"/>
  <c r="K215" i="53"/>
  <c r="G215" i="53"/>
  <c r="E215" i="53"/>
  <c r="W214" i="53"/>
  <c r="X214" i="53" s="1"/>
  <c r="Q214" i="53"/>
  <c r="P214" i="53"/>
  <c r="L214" i="53"/>
  <c r="M214" i="53" s="1"/>
  <c r="N214" i="53" s="1"/>
  <c r="K214" i="53"/>
  <c r="G214" i="53"/>
  <c r="E214" i="53"/>
  <c r="W213" i="53"/>
  <c r="X213" i="53" s="1"/>
  <c r="Q213" i="53"/>
  <c r="P213" i="53"/>
  <c r="L213" i="53"/>
  <c r="M213" i="53" s="1"/>
  <c r="N213" i="53" s="1"/>
  <c r="K213" i="53"/>
  <c r="G213" i="53"/>
  <c r="E213" i="53"/>
  <c r="W212" i="53"/>
  <c r="X212" i="53" s="1"/>
  <c r="Q212" i="53"/>
  <c r="P212" i="53"/>
  <c r="L212" i="53"/>
  <c r="M212" i="53" s="1"/>
  <c r="N212" i="53" s="1"/>
  <c r="K212" i="53"/>
  <c r="G212" i="53"/>
  <c r="E212" i="53"/>
  <c r="W211" i="53"/>
  <c r="X211" i="53" s="1"/>
  <c r="Q211" i="53"/>
  <c r="P211" i="53"/>
  <c r="L211" i="53"/>
  <c r="M211" i="53" s="1"/>
  <c r="N211" i="53" s="1"/>
  <c r="K211" i="53"/>
  <c r="G211" i="53"/>
  <c r="E211" i="53"/>
  <c r="W210" i="53"/>
  <c r="X210" i="53" s="1"/>
  <c r="Q210" i="53"/>
  <c r="P210" i="53"/>
  <c r="L210" i="53"/>
  <c r="M210" i="53" s="1"/>
  <c r="N210" i="53" s="1"/>
  <c r="K210" i="53"/>
  <c r="G210" i="53"/>
  <c r="E210" i="53"/>
  <c r="W209" i="53"/>
  <c r="X209" i="53" s="1"/>
  <c r="Q209" i="53"/>
  <c r="P209" i="53"/>
  <c r="L209" i="53"/>
  <c r="M209" i="53" s="1"/>
  <c r="N209" i="53" s="1"/>
  <c r="K209" i="53"/>
  <c r="G209" i="53"/>
  <c r="E209" i="53"/>
  <c r="W208" i="53"/>
  <c r="X208" i="53" s="1"/>
  <c r="Q208" i="53"/>
  <c r="P208" i="53"/>
  <c r="L208" i="53"/>
  <c r="M208" i="53" s="1"/>
  <c r="N208" i="53" s="1"/>
  <c r="K208" i="53"/>
  <c r="G208" i="53"/>
  <c r="E208" i="53"/>
  <c r="W207" i="53"/>
  <c r="X207" i="53" s="1"/>
  <c r="Q207" i="53"/>
  <c r="P207" i="53"/>
  <c r="L207" i="53"/>
  <c r="M207" i="53" s="1"/>
  <c r="N207" i="53" s="1"/>
  <c r="K207" i="53"/>
  <c r="G207" i="53"/>
  <c r="E207" i="53"/>
  <c r="W206" i="53"/>
  <c r="X206" i="53" s="1"/>
  <c r="Q206" i="53"/>
  <c r="P206" i="53"/>
  <c r="L206" i="53"/>
  <c r="M206" i="53" s="1"/>
  <c r="N206" i="53" s="1"/>
  <c r="K206" i="53"/>
  <c r="G206" i="53"/>
  <c r="E206" i="53"/>
  <c r="W205" i="53"/>
  <c r="X205" i="53" s="1"/>
  <c r="Q205" i="53"/>
  <c r="P205" i="53"/>
  <c r="L205" i="53"/>
  <c r="M205" i="53" s="1"/>
  <c r="N205" i="53" s="1"/>
  <c r="K205" i="53"/>
  <c r="G205" i="53"/>
  <c r="E205" i="53"/>
  <c r="W204" i="53"/>
  <c r="X204" i="53" s="1"/>
  <c r="Q204" i="53"/>
  <c r="P204" i="53"/>
  <c r="L204" i="53"/>
  <c r="M204" i="53" s="1"/>
  <c r="N204" i="53" s="1"/>
  <c r="K204" i="53"/>
  <c r="G204" i="53"/>
  <c r="E204" i="53"/>
  <c r="W203" i="53"/>
  <c r="X203" i="53" s="1"/>
  <c r="U203" i="53"/>
  <c r="T203" i="53"/>
  <c r="S203" i="53"/>
  <c r="Q203" i="53"/>
  <c r="P203" i="53"/>
  <c r="L203" i="53"/>
  <c r="M203" i="53" s="1"/>
  <c r="N203" i="53" s="1"/>
  <c r="K203" i="53"/>
  <c r="G203" i="53"/>
  <c r="E203" i="53"/>
  <c r="W202" i="53"/>
  <c r="X202" i="53" s="1"/>
  <c r="Q202" i="53"/>
  <c r="P202" i="53"/>
  <c r="L202" i="53"/>
  <c r="M202" i="53" s="1"/>
  <c r="N202" i="53" s="1"/>
  <c r="K202" i="53"/>
  <c r="G202" i="53"/>
  <c r="E202" i="53"/>
  <c r="W201" i="53"/>
  <c r="X201" i="53" s="1"/>
  <c r="Q201" i="53"/>
  <c r="P201" i="53"/>
  <c r="L201" i="53"/>
  <c r="M201" i="53" s="1"/>
  <c r="N201" i="53" s="1"/>
  <c r="K201" i="53"/>
  <c r="G201" i="53"/>
  <c r="E201" i="53"/>
  <c r="W200" i="53"/>
  <c r="X200" i="53" s="1"/>
  <c r="Q200" i="53"/>
  <c r="P200" i="53"/>
  <c r="L200" i="53"/>
  <c r="M200" i="53" s="1"/>
  <c r="N200" i="53" s="1"/>
  <c r="K200" i="53"/>
  <c r="G200" i="53"/>
  <c r="E200" i="53"/>
  <c r="W199" i="53"/>
  <c r="X199" i="53" s="1"/>
  <c r="Q199" i="53"/>
  <c r="P199" i="53"/>
  <c r="L199" i="53"/>
  <c r="M199" i="53" s="1"/>
  <c r="N199" i="53" s="1"/>
  <c r="K199" i="53"/>
  <c r="G199" i="53"/>
  <c r="E199" i="53"/>
  <c r="W198" i="53"/>
  <c r="X198" i="53" s="1"/>
  <c r="U198" i="53"/>
  <c r="T198" i="53"/>
  <c r="S198" i="53"/>
  <c r="Q198" i="53"/>
  <c r="P198" i="53"/>
  <c r="L198" i="53"/>
  <c r="M198" i="53" s="1"/>
  <c r="N198" i="53" s="1"/>
  <c r="W197" i="53"/>
  <c r="X197" i="53" s="1"/>
  <c r="Q197" i="53"/>
  <c r="P197" i="53"/>
  <c r="L197" i="53"/>
  <c r="M197" i="53" s="1"/>
  <c r="N197" i="53" s="1"/>
  <c r="K197" i="53"/>
  <c r="G197" i="53"/>
  <c r="E197" i="53"/>
  <c r="W196" i="53"/>
  <c r="X196" i="53" s="1"/>
  <c r="Q196" i="53"/>
  <c r="P196" i="53"/>
  <c r="L196" i="53"/>
  <c r="M196" i="53" s="1"/>
  <c r="N196" i="53" s="1"/>
  <c r="K196" i="53"/>
  <c r="G196" i="53"/>
  <c r="E196" i="53"/>
  <c r="W195" i="53"/>
  <c r="X195" i="53" s="1"/>
  <c r="Q195" i="53"/>
  <c r="P195" i="53"/>
  <c r="L195" i="53"/>
  <c r="M195" i="53" s="1"/>
  <c r="N195" i="53" s="1"/>
  <c r="K195" i="53"/>
  <c r="G195" i="53"/>
  <c r="E195" i="53"/>
  <c r="W194" i="53"/>
  <c r="X194" i="53" s="1"/>
  <c r="Q194" i="53"/>
  <c r="P194" i="53"/>
  <c r="L194" i="53"/>
  <c r="M194" i="53" s="1"/>
  <c r="N194" i="53" s="1"/>
  <c r="K194" i="53"/>
  <c r="G194" i="53"/>
  <c r="E194" i="53"/>
  <c r="W193" i="53"/>
  <c r="T193" i="53"/>
  <c r="Q193" i="53"/>
  <c r="P193" i="53"/>
  <c r="G193" i="53"/>
  <c r="L193" i="53"/>
  <c r="E193" i="53"/>
  <c r="W192" i="53"/>
  <c r="X192" i="53" s="1"/>
  <c r="Q192" i="53"/>
  <c r="P192" i="53"/>
  <c r="L192" i="53"/>
  <c r="M192" i="53" s="1"/>
  <c r="N192" i="53" s="1"/>
  <c r="K192" i="53"/>
  <c r="G192" i="53"/>
  <c r="E192" i="53"/>
  <c r="W191" i="53"/>
  <c r="X191" i="53" s="1"/>
  <c r="Q191" i="53"/>
  <c r="P191" i="53"/>
  <c r="L191" i="53"/>
  <c r="M191" i="53" s="1"/>
  <c r="N191" i="53" s="1"/>
  <c r="K191" i="53"/>
  <c r="G191" i="53"/>
  <c r="E191" i="53"/>
  <c r="W190" i="53"/>
  <c r="X190" i="53" s="1"/>
  <c r="Q190" i="53"/>
  <c r="P190" i="53"/>
  <c r="L190" i="53"/>
  <c r="M190" i="53" s="1"/>
  <c r="N190" i="53" s="1"/>
  <c r="K190" i="53"/>
  <c r="G190" i="53"/>
  <c r="E190" i="53"/>
  <c r="W189" i="53"/>
  <c r="X189" i="53" s="1"/>
  <c r="Q189" i="53"/>
  <c r="P189" i="53"/>
  <c r="L189" i="53"/>
  <c r="M189" i="53" s="1"/>
  <c r="N189" i="53" s="1"/>
  <c r="K189" i="53"/>
  <c r="G189" i="53"/>
  <c r="E189" i="53"/>
  <c r="W188" i="53"/>
  <c r="X188" i="53" s="1"/>
  <c r="Q188" i="53"/>
  <c r="P188" i="53"/>
  <c r="L188" i="53"/>
  <c r="M188" i="53" s="1"/>
  <c r="N188" i="53" s="1"/>
  <c r="K188" i="53"/>
  <c r="G188" i="53"/>
  <c r="E188" i="53"/>
  <c r="W187" i="53"/>
  <c r="X187" i="53" s="1"/>
  <c r="U187" i="53"/>
  <c r="T187" i="53"/>
  <c r="S187" i="53"/>
  <c r="Q187" i="53"/>
  <c r="P187" i="53"/>
  <c r="L187" i="53"/>
  <c r="M187" i="53" s="1"/>
  <c r="N187" i="53" s="1"/>
  <c r="K187" i="53"/>
  <c r="G187" i="53"/>
  <c r="E187" i="53"/>
  <c r="W186" i="53"/>
  <c r="X186" i="53" s="1"/>
  <c r="Q186" i="53"/>
  <c r="P186" i="53"/>
  <c r="L186" i="53"/>
  <c r="M186" i="53" s="1"/>
  <c r="N186" i="53" s="1"/>
  <c r="K186" i="53"/>
  <c r="G186" i="53"/>
  <c r="E186" i="53"/>
  <c r="W185" i="53"/>
  <c r="X185" i="53" s="1"/>
  <c r="Q185" i="53"/>
  <c r="P185" i="53"/>
  <c r="L185" i="53"/>
  <c r="M185" i="53" s="1"/>
  <c r="N185" i="53" s="1"/>
  <c r="K185" i="53"/>
  <c r="G185" i="53"/>
  <c r="E185" i="53"/>
  <c r="W184" i="53"/>
  <c r="X184" i="53" s="1"/>
  <c r="U184" i="53"/>
  <c r="T184" i="53"/>
  <c r="S184" i="53"/>
  <c r="Q184" i="53"/>
  <c r="P184" i="53"/>
  <c r="M184" i="53"/>
  <c r="N184" i="53" s="1"/>
  <c r="L184" i="53"/>
  <c r="K184" i="53"/>
  <c r="G184" i="53"/>
  <c r="E184" i="53"/>
  <c r="W183" i="53"/>
  <c r="X183" i="53" s="1"/>
  <c r="U183" i="53"/>
  <c r="T183" i="53"/>
  <c r="S183" i="53"/>
  <c r="Q183" i="53"/>
  <c r="P183" i="53"/>
  <c r="L183" i="53"/>
  <c r="M183" i="53" s="1"/>
  <c r="N183" i="53" s="1"/>
  <c r="K183" i="53"/>
  <c r="G183" i="53"/>
  <c r="E183" i="53"/>
  <c r="W182" i="53"/>
  <c r="X182" i="53" s="1"/>
  <c r="Q182" i="53"/>
  <c r="P182" i="53"/>
  <c r="L182" i="53"/>
  <c r="M182" i="53" s="1"/>
  <c r="N182" i="53" s="1"/>
  <c r="K182" i="53"/>
  <c r="G182" i="53"/>
  <c r="E182" i="53"/>
  <c r="W181" i="53"/>
  <c r="X181" i="53" s="1"/>
  <c r="Q181" i="53"/>
  <c r="P181" i="53"/>
  <c r="L181" i="53"/>
  <c r="M181" i="53" s="1"/>
  <c r="N181" i="53" s="1"/>
  <c r="K181" i="53"/>
  <c r="G181" i="53"/>
  <c r="E181" i="53"/>
  <c r="W180" i="53"/>
  <c r="X180" i="53" s="1"/>
  <c r="Q180" i="53"/>
  <c r="P180" i="53"/>
  <c r="L180" i="53"/>
  <c r="M180" i="53" s="1"/>
  <c r="N180" i="53" s="1"/>
  <c r="K180" i="53"/>
  <c r="G180" i="53"/>
  <c r="E180" i="53"/>
  <c r="W179" i="53"/>
  <c r="X179" i="53" s="1"/>
  <c r="Q179" i="53"/>
  <c r="P179" i="53"/>
  <c r="L179" i="53"/>
  <c r="M179" i="53" s="1"/>
  <c r="N179" i="53" s="1"/>
  <c r="K179" i="53"/>
  <c r="G179" i="53"/>
  <c r="E179" i="53"/>
  <c r="W178" i="53"/>
  <c r="X178" i="53" s="1"/>
  <c r="Q178" i="53"/>
  <c r="P178" i="53"/>
  <c r="L178" i="53"/>
  <c r="M178" i="53" s="1"/>
  <c r="N178" i="53" s="1"/>
  <c r="K178" i="53"/>
  <c r="G178" i="53"/>
  <c r="E178" i="53"/>
  <c r="W177" i="53"/>
  <c r="X177" i="53" s="1"/>
  <c r="Q177" i="53"/>
  <c r="P177" i="53"/>
  <c r="L177" i="53"/>
  <c r="M177" i="53" s="1"/>
  <c r="N177" i="53" s="1"/>
  <c r="K177" i="53"/>
  <c r="G177" i="53"/>
  <c r="E177" i="53"/>
  <c r="W176" i="53"/>
  <c r="X176" i="53" s="1"/>
  <c r="U176" i="53"/>
  <c r="T176" i="53"/>
  <c r="S176" i="53"/>
  <c r="Q176" i="53"/>
  <c r="P176" i="53"/>
  <c r="L176" i="53"/>
  <c r="M176" i="53" s="1"/>
  <c r="N176" i="53" s="1"/>
  <c r="K176" i="53"/>
  <c r="G176" i="53"/>
  <c r="E176" i="53"/>
  <c r="W175" i="53"/>
  <c r="X175" i="53" s="1"/>
  <c r="U175" i="53"/>
  <c r="T175" i="53"/>
  <c r="S175" i="53"/>
  <c r="Q175" i="53"/>
  <c r="P175" i="53"/>
  <c r="L175" i="53"/>
  <c r="M175" i="53" s="1"/>
  <c r="N175" i="53" s="1"/>
  <c r="K175" i="53"/>
  <c r="G175" i="53"/>
  <c r="E175" i="53"/>
  <c r="W174" i="53"/>
  <c r="X174" i="53" s="1"/>
  <c r="Q174" i="53"/>
  <c r="P174" i="53"/>
  <c r="L174" i="53"/>
  <c r="M174" i="53" s="1"/>
  <c r="N174" i="53" s="1"/>
  <c r="K174" i="53"/>
  <c r="G174" i="53"/>
  <c r="E174" i="53"/>
  <c r="W173" i="53"/>
  <c r="X173" i="53" s="1"/>
  <c r="Q173" i="53"/>
  <c r="P173" i="53"/>
  <c r="L173" i="53"/>
  <c r="M173" i="53" s="1"/>
  <c r="N173" i="53" s="1"/>
  <c r="K173" i="53"/>
  <c r="G173" i="53"/>
  <c r="E173" i="53"/>
  <c r="W172" i="53"/>
  <c r="X172" i="53" s="1"/>
  <c r="Q172" i="53"/>
  <c r="P172" i="53"/>
  <c r="L172" i="53"/>
  <c r="M172" i="53" s="1"/>
  <c r="N172" i="53" s="1"/>
  <c r="K172" i="53"/>
  <c r="G172" i="53"/>
  <c r="E172" i="53"/>
  <c r="W171" i="53"/>
  <c r="X171" i="53" s="1"/>
  <c r="Q171" i="53"/>
  <c r="P171" i="53"/>
  <c r="L171" i="53"/>
  <c r="M171" i="53" s="1"/>
  <c r="N171" i="53" s="1"/>
  <c r="K171" i="53"/>
  <c r="G171" i="53"/>
  <c r="E171" i="53"/>
  <c r="W170" i="53"/>
  <c r="X170" i="53" s="1"/>
  <c r="Q170" i="53"/>
  <c r="P170" i="53"/>
  <c r="L170" i="53"/>
  <c r="M170" i="53" s="1"/>
  <c r="N170" i="53" s="1"/>
  <c r="K170" i="53"/>
  <c r="G170" i="53"/>
  <c r="E170" i="53"/>
  <c r="W169" i="53"/>
  <c r="X169" i="53" s="1"/>
  <c r="U169" i="53"/>
  <c r="T169" i="53"/>
  <c r="S169" i="53"/>
  <c r="Q169" i="53"/>
  <c r="P169" i="53"/>
  <c r="L169" i="53"/>
  <c r="M169" i="53" s="1"/>
  <c r="N169" i="53" s="1"/>
  <c r="K169" i="53"/>
  <c r="G169" i="53"/>
  <c r="E169" i="53"/>
  <c r="W168" i="53"/>
  <c r="X168" i="53" s="1"/>
  <c r="Q168" i="53"/>
  <c r="P168" i="53"/>
  <c r="L168" i="53"/>
  <c r="M168" i="53" s="1"/>
  <c r="N168" i="53" s="1"/>
  <c r="K168" i="53"/>
  <c r="G168" i="53"/>
  <c r="E168" i="53"/>
  <c r="W167" i="53"/>
  <c r="X167" i="53" s="1"/>
  <c r="Q167" i="53"/>
  <c r="P167" i="53"/>
  <c r="L167" i="53"/>
  <c r="M167" i="53" s="1"/>
  <c r="N167" i="53" s="1"/>
  <c r="K167" i="53"/>
  <c r="G167" i="53"/>
  <c r="E167" i="53"/>
  <c r="W166" i="53"/>
  <c r="X166" i="53" s="1"/>
  <c r="Q166" i="53"/>
  <c r="P166" i="53"/>
  <c r="L166" i="53"/>
  <c r="M166" i="53" s="1"/>
  <c r="N166" i="53" s="1"/>
  <c r="G166" i="53"/>
  <c r="E166" i="53"/>
  <c r="W165" i="53"/>
  <c r="X165" i="53" s="1"/>
  <c r="Q165" i="53"/>
  <c r="P165" i="53"/>
  <c r="L165" i="53"/>
  <c r="M165" i="53" s="1"/>
  <c r="N165" i="53" s="1"/>
  <c r="G165" i="53"/>
  <c r="E165" i="53"/>
  <c r="W164" i="53"/>
  <c r="X164" i="53" s="1"/>
  <c r="Q164" i="53"/>
  <c r="P164" i="53"/>
  <c r="L164" i="53"/>
  <c r="M164" i="53" s="1"/>
  <c r="N164" i="53" s="1"/>
  <c r="G164" i="53"/>
  <c r="E164" i="53"/>
  <c r="W163" i="53"/>
  <c r="X163" i="53" s="1"/>
  <c r="Q163" i="53"/>
  <c r="P163" i="53"/>
  <c r="L163" i="53"/>
  <c r="M163" i="53" s="1"/>
  <c r="N163" i="53" s="1"/>
  <c r="G163" i="53"/>
  <c r="E163" i="53"/>
  <c r="W162" i="53"/>
  <c r="X162" i="53" s="1"/>
  <c r="Q162" i="53"/>
  <c r="P162" i="53"/>
  <c r="L162" i="53"/>
  <c r="M162" i="53" s="1"/>
  <c r="N162" i="53" s="1"/>
  <c r="K162" i="53"/>
  <c r="G162" i="53"/>
  <c r="E162" i="53"/>
  <c r="W161" i="53"/>
  <c r="X161" i="53" s="1"/>
  <c r="Q161" i="53"/>
  <c r="P161" i="53"/>
  <c r="L161" i="53"/>
  <c r="M161" i="53" s="1"/>
  <c r="N161" i="53" s="1"/>
  <c r="K161" i="53"/>
  <c r="G161" i="53"/>
  <c r="E161" i="53"/>
  <c r="W160" i="53"/>
  <c r="X160" i="53" s="1"/>
  <c r="Q160" i="53"/>
  <c r="P160" i="53"/>
  <c r="L160" i="53"/>
  <c r="M160" i="53" s="1"/>
  <c r="N160" i="53" s="1"/>
  <c r="K160" i="53"/>
  <c r="G160" i="53"/>
  <c r="E160" i="53"/>
  <c r="W159" i="53"/>
  <c r="X159" i="53" s="1"/>
  <c r="Q159" i="53"/>
  <c r="P159" i="53"/>
  <c r="L159" i="53"/>
  <c r="M159" i="53" s="1"/>
  <c r="N159" i="53" s="1"/>
  <c r="K159" i="53"/>
  <c r="G159" i="53"/>
  <c r="E159" i="53"/>
  <c r="W158" i="53"/>
  <c r="X158" i="53" s="1"/>
  <c r="Q158" i="53"/>
  <c r="P158" i="53"/>
  <c r="L158" i="53"/>
  <c r="M158" i="53" s="1"/>
  <c r="N158" i="53" s="1"/>
  <c r="K158" i="53"/>
  <c r="G158" i="53"/>
  <c r="E158" i="53"/>
  <c r="W157" i="53"/>
  <c r="X157" i="53" s="1"/>
  <c r="Q157" i="53"/>
  <c r="P157" i="53"/>
  <c r="L157" i="53"/>
  <c r="M157" i="53" s="1"/>
  <c r="N157" i="53" s="1"/>
  <c r="K157" i="53"/>
  <c r="G157" i="53"/>
  <c r="E157" i="53"/>
  <c r="W156" i="53"/>
  <c r="X156" i="53" s="1"/>
  <c r="Q156" i="53"/>
  <c r="P156" i="53"/>
  <c r="L156" i="53"/>
  <c r="M156" i="53" s="1"/>
  <c r="N156" i="53" s="1"/>
  <c r="K156" i="53"/>
  <c r="G156" i="53"/>
  <c r="E156" i="53"/>
  <c r="W155" i="53"/>
  <c r="X155" i="53" s="1"/>
  <c r="U155" i="53"/>
  <c r="T155" i="53"/>
  <c r="S155" i="53"/>
  <c r="Q155" i="53"/>
  <c r="P155" i="53"/>
  <c r="L155" i="53"/>
  <c r="M155" i="53" s="1"/>
  <c r="N155" i="53" s="1"/>
  <c r="K155" i="53"/>
  <c r="G155" i="53"/>
  <c r="E155" i="53"/>
  <c r="W154" i="53"/>
  <c r="X154" i="53" s="1"/>
  <c r="U154" i="53"/>
  <c r="T154" i="53"/>
  <c r="S154" i="53"/>
  <c r="Q154" i="53"/>
  <c r="P154" i="53"/>
  <c r="L154" i="53"/>
  <c r="M154" i="53" s="1"/>
  <c r="N154" i="53" s="1"/>
  <c r="K154" i="53"/>
  <c r="G154" i="53"/>
  <c r="E154" i="53"/>
  <c r="W153" i="53"/>
  <c r="X153" i="53" s="1"/>
  <c r="U153" i="53"/>
  <c r="T153" i="53"/>
  <c r="S153" i="53"/>
  <c r="Q153" i="53"/>
  <c r="P153" i="53"/>
  <c r="L153" i="53"/>
  <c r="M153" i="53" s="1"/>
  <c r="N153" i="53" s="1"/>
  <c r="K153" i="53"/>
  <c r="G153" i="53"/>
  <c r="E153" i="53"/>
  <c r="W152" i="53"/>
  <c r="X152" i="53" s="1"/>
  <c r="Q152" i="53"/>
  <c r="P152" i="53"/>
  <c r="L152" i="53"/>
  <c r="M152" i="53" s="1"/>
  <c r="N152" i="53" s="1"/>
  <c r="K152" i="53"/>
  <c r="G152" i="53"/>
  <c r="E152" i="53"/>
  <c r="W151" i="53"/>
  <c r="X151" i="53" s="1"/>
  <c r="Q151" i="53"/>
  <c r="P151" i="53"/>
  <c r="L151" i="53"/>
  <c r="M151" i="53" s="1"/>
  <c r="N151" i="53" s="1"/>
  <c r="K151" i="53"/>
  <c r="G151" i="53"/>
  <c r="E151" i="53"/>
  <c r="W150" i="53"/>
  <c r="X150" i="53" s="1"/>
  <c r="Q150" i="53"/>
  <c r="P150" i="53"/>
  <c r="L150" i="53"/>
  <c r="M150" i="53" s="1"/>
  <c r="N150" i="53" s="1"/>
  <c r="K150" i="53"/>
  <c r="G150" i="53"/>
  <c r="E150" i="53"/>
  <c r="W149" i="53"/>
  <c r="X149" i="53" s="1"/>
  <c r="Q149" i="53"/>
  <c r="P149" i="53"/>
  <c r="L149" i="53"/>
  <c r="M149" i="53" s="1"/>
  <c r="N149" i="53" s="1"/>
  <c r="K149" i="53"/>
  <c r="G149" i="53"/>
  <c r="E149" i="53"/>
  <c r="W148" i="53"/>
  <c r="X148" i="53" s="1"/>
  <c r="Q148" i="53"/>
  <c r="P148" i="53"/>
  <c r="M148" i="53"/>
  <c r="N148" i="53" s="1"/>
  <c r="L148" i="53"/>
  <c r="W147" i="53"/>
  <c r="X147" i="53" s="1"/>
  <c r="Q147" i="53"/>
  <c r="P147" i="53"/>
  <c r="L147" i="53"/>
  <c r="M147" i="53" s="1"/>
  <c r="N147" i="53" s="1"/>
  <c r="K147" i="53"/>
  <c r="G147" i="53"/>
  <c r="E147" i="53"/>
  <c r="W146" i="53"/>
  <c r="X146" i="53" s="1"/>
  <c r="Q146" i="53"/>
  <c r="P146" i="53"/>
  <c r="L146" i="53"/>
  <c r="M146" i="53" s="1"/>
  <c r="N146" i="53" s="1"/>
  <c r="K146" i="53"/>
  <c r="G146" i="53"/>
  <c r="E146" i="53"/>
  <c r="W145" i="53"/>
  <c r="X145" i="53" s="1"/>
  <c r="Q145" i="53"/>
  <c r="P145" i="53"/>
  <c r="L145" i="53"/>
  <c r="M145" i="53" s="1"/>
  <c r="N145" i="53" s="1"/>
  <c r="K145" i="53"/>
  <c r="G145" i="53"/>
  <c r="E145" i="53"/>
  <c r="W144" i="53"/>
  <c r="X144" i="53" s="1"/>
  <c r="Q144" i="53"/>
  <c r="P144" i="53"/>
  <c r="L144" i="53"/>
  <c r="M144" i="53" s="1"/>
  <c r="N144" i="53" s="1"/>
  <c r="W143" i="53"/>
  <c r="X143" i="53" s="1"/>
  <c r="Q143" i="53"/>
  <c r="P143" i="53"/>
  <c r="L143" i="53"/>
  <c r="M143" i="53" s="1"/>
  <c r="N143" i="53" s="1"/>
  <c r="K143" i="53"/>
  <c r="G143" i="53"/>
  <c r="E143" i="53"/>
  <c r="W142" i="53"/>
  <c r="X142" i="53" s="1"/>
  <c r="U142" i="53"/>
  <c r="T142" i="53"/>
  <c r="S142" i="53"/>
  <c r="Q142" i="53"/>
  <c r="P142" i="53"/>
  <c r="L142" i="53"/>
  <c r="M142" i="53" s="1"/>
  <c r="N142" i="53" s="1"/>
  <c r="K142" i="53"/>
  <c r="G142" i="53"/>
  <c r="E142" i="53"/>
  <c r="W141" i="53"/>
  <c r="X141" i="53" s="1"/>
  <c r="Q141" i="53"/>
  <c r="P141" i="53"/>
  <c r="L141" i="53"/>
  <c r="M141" i="53" s="1"/>
  <c r="N141" i="53" s="1"/>
  <c r="K141" i="53"/>
  <c r="G141" i="53"/>
  <c r="E141" i="53"/>
  <c r="W140" i="53"/>
  <c r="X140" i="53" s="1"/>
  <c r="Q140" i="53"/>
  <c r="P140" i="53"/>
  <c r="L140" i="53"/>
  <c r="M140" i="53" s="1"/>
  <c r="N140" i="53" s="1"/>
  <c r="K140" i="53"/>
  <c r="G140" i="53"/>
  <c r="E140" i="53"/>
  <c r="W139" i="53"/>
  <c r="X139" i="53" s="1"/>
  <c r="Q139" i="53"/>
  <c r="P139" i="53"/>
  <c r="L139" i="53"/>
  <c r="M139" i="53" s="1"/>
  <c r="N139" i="53" s="1"/>
  <c r="K139" i="53"/>
  <c r="G139" i="53"/>
  <c r="E139" i="53"/>
  <c r="W138" i="53"/>
  <c r="X138" i="53" s="1"/>
  <c r="Q138" i="53"/>
  <c r="P138" i="53"/>
  <c r="L138" i="53"/>
  <c r="M138" i="53" s="1"/>
  <c r="N138" i="53" s="1"/>
  <c r="K138" i="53"/>
  <c r="G138" i="53"/>
  <c r="E138" i="53"/>
  <c r="X137" i="53"/>
  <c r="W137" i="53"/>
  <c r="U137" i="53"/>
  <c r="T137" i="53"/>
  <c r="S137" i="53"/>
  <c r="Q137" i="53"/>
  <c r="P137" i="53"/>
  <c r="M137" i="53"/>
  <c r="N137" i="53" s="1"/>
  <c r="L137" i="53"/>
  <c r="W136" i="53"/>
  <c r="X136" i="53" s="1"/>
  <c r="Q136" i="53"/>
  <c r="P136" i="53"/>
  <c r="L136" i="53"/>
  <c r="M136" i="53" s="1"/>
  <c r="N136" i="53" s="1"/>
  <c r="K136" i="53"/>
  <c r="G136" i="53"/>
  <c r="E136" i="53"/>
  <c r="W135" i="53"/>
  <c r="X135" i="53" s="1"/>
  <c r="Q135" i="53"/>
  <c r="P135" i="53"/>
  <c r="L135" i="53"/>
  <c r="M135" i="53" s="1"/>
  <c r="N135" i="53" s="1"/>
  <c r="K135" i="53"/>
  <c r="G135" i="53"/>
  <c r="E135" i="53"/>
  <c r="W134" i="53"/>
  <c r="X134" i="53" s="1"/>
  <c r="Q134" i="53"/>
  <c r="P134" i="53"/>
  <c r="L134" i="53"/>
  <c r="M134" i="53" s="1"/>
  <c r="N134" i="53" s="1"/>
  <c r="K134" i="53"/>
  <c r="G134" i="53"/>
  <c r="E134" i="53"/>
  <c r="X133" i="53"/>
  <c r="W133" i="53"/>
  <c r="Q133" i="53"/>
  <c r="P133" i="53"/>
  <c r="L133" i="53"/>
  <c r="M133" i="53" s="1"/>
  <c r="N133" i="53" s="1"/>
  <c r="W132" i="53"/>
  <c r="X132" i="53" s="1"/>
  <c r="U132" i="53"/>
  <c r="T132" i="53"/>
  <c r="S132" i="53"/>
  <c r="Q132" i="53"/>
  <c r="P132" i="53"/>
  <c r="L132" i="53"/>
  <c r="M132" i="53" s="1"/>
  <c r="N132" i="53" s="1"/>
  <c r="K132" i="53"/>
  <c r="G132" i="53"/>
  <c r="E132" i="53"/>
  <c r="W131" i="53"/>
  <c r="X131" i="53" s="1"/>
  <c r="Q131" i="53"/>
  <c r="P131" i="53"/>
  <c r="L131" i="53"/>
  <c r="M131" i="53" s="1"/>
  <c r="N131" i="53" s="1"/>
  <c r="K131" i="53"/>
  <c r="G131" i="53"/>
  <c r="E131" i="53"/>
  <c r="W130" i="53"/>
  <c r="X130" i="53" s="1"/>
  <c r="Q130" i="53"/>
  <c r="P130" i="53"/>
  <c r="L130" i="53"/>
  <c r="M130" i="53" s="1"/>
  <c r="N130" i="53" s="1"/>
  <c r="K130" i="53"/>
  <c r="G130" i="53"/>
  <c r="E130" i="53"/>
  <c r="W129" i="53"/>
  <c r="X129" i="53" s="1"/>
  <c r="U129" i="53"/>
  <c r="T129" i="53"/>
  <c r="S129" i="53"/>
  <c r="Q129" i="53"/>
  <c r="P129" i="53"/>
  <c r="L129" i="53"/>
  <c r="M129" i="53" s="1"/>
  <c r="N129" i="53" s="1"/>
  <c r="K129" i="53"/>
  <c r="G129" i="53"/>
  <c r="E129" i="53"/>
  <c r="W128" i="53"/>
  <c r="X128" i="53" s="1"/>
  <c r="Q128" i="53"/>
  <c r="P128" i="53"/>
  <c r="L128" i="53"/>
  <c r="M128" i="53" s="1"/>
  <c r="N128" i="53" s="1"/>
  <c r="K128" i="53"/>
  <c r="G128" i="53"/>
  <c r="E128" i="53"/>
  <c r="W127" i="53"/>
  <c r="X127" i="53" s="1"/>
  <c r="Q127" i="53"/>
  <c r="P127" i="53"/>
  <c r="L127" i="53"/>
  <c r="M127" i="53" s="1"/>
  <c r="N127" i="53" s="1"/>
  <c r="K127" i="53"/>
  <c r="G127" i="53"/>
  <c r="E127" i="53"/>
  <c r="W126" i="53"/>
  <c r="X126" i="53" s="1"/>
  <c r="U126" i="53"/>
  <c r="T126" i="53"/>
  <c r="S126" i="53"/>
  <c r="Q126" i="53"/>
  <c r="P126" i="53"/>
  <c r="L126" i="53"/>
  <c r="M126" i="53" s="1"/>
  <c r="N126" i="53" s="1"/>
  <c r="K126" i="53"/>
  <c r="G126" i="53"/>
  <c r="E126" i="53"/>
  <c r="W125" i="53"/>
  <c r="X125" i="53" s="1"/>
  <c r="U125" i="53"/>
  <c r="T125" i="53"/>
  <c r="S125" i="53"/>
  <c r="Q125" i="53"/>
  <c r="P125" i="53"/>
  <c r="L125" i="53"/>
  <c r="M125" i="53" s="1"/>
  <c r="N125" i="53" s="1"/>
  <c r="K125" i="53"/>
  <c r="G125" i="53"/>
  <c r="E125" i="53"/>
  <c r="W124" i="53"/>
  <c r="X124" i="53" s="1"/>
  <c r="Q124" i="53"/>
  <c r="P124" i="53"/>
  <c r="L124" i="53"/>
  <c r="M124" i="53" s="1"/>
  <c r="N124" i="53" s="1"/>
  <c r="K124" i="53"/>
  <c r="G124" i="53"/>
  <c r="E124" i="53"/>
  <c r="W123" i="53"/>
  <c r="X123" i="53" s="1"/>
  <c r="U123" i="53"/>
  <c r="T123" i="53"/>
  <c r="S123" i="53"/>
  <c r="Q123" i="53"/>
  <c r="P123" i="53"/>
  <c r="L123" i="53"/>
  <c r="M123" i="53" s="1"/>
  <c r="N123" i="53" s="1"/>
  <c r="K123" i="53"/>
  <c r="G123" i="53"/>
  <c r="E123" i="53"/>
  <c r="W122" i="53"/>
  <c r="X122" i="53" s="1"/>
  <c r="Q122" i="53"/>
  <c r="P122" i="53"/>
  <c r="L122" i="53"/>
  <c r="M122" i="53" s="1"/>
  <c r="N122" i="53" s="1"/>
  <c r="K122" i="53"/>
  <c r="G122" i="53"/>
  <c r="E122" i="53"/>
  <c r="W121" i="53"/>
  <c r="X121" i="53" s="1"/>
  <c r="Q121" i="53"/>
  <c r="P121" i="53"/>
  <c r="L121" i="53"/>
  <c r="M121" i="53" s="1"/>
  <c r="N121" i="53" s="1"/>
  <c r="K121" i="53"/>
  <c r="G121" i="53"/>
  <c r="E121" i="53"/>
  <c r="W120" i="53"/>
  <c r="X120" i="53" s="1"/>
  <c r="U120" i="53"/>
  <c r="T120" i="53"/>
  <c r="S120" i="53"/>
  <c r="Q120" i="53"/>
  <c r="P120" i="53"/>
  <c r="L120" i="53"/>
  <c r="M120" i="53" s="1"/>
  <c r="N120" i="53" s="1"/>
  <c r="K120" i="53"/>
  <c r="G120" i="53"/>
  <c r="E120" i="53"/>
  <c r="W119" i="53"/>
  <c r="X119" i="53" s="1"/>
  <c r="Q119" i="53"/>
  <c r="P119" i="53"/>
  <c r="L119" i="53"/>
  <c r="M119" i="53" s="1"/>
  <c r="N119" i="53" s="1"/>
  <c r="K119" i="53"/>
  <c r="G119" i="53"/>
  <c r="E119" i="53"/>
  <c r="W118" i="53"/>
  <c r="X118" i="53" s="1"/>
  <c r="Q118" i="53"/>
  <c r="P118" i="53"/>
  <c r="L118" i="53"/>
  <c r="M118" i="53" s="1"/>
  <c r="N118" i="53" s="1"/>
  <c r="K118" i="53"/>
  <c r="G118" i="53"/>
  <c r="E118" i="53"/>
  <c r="W117" i="53"/>
  <c r="X117" i="53" s="1"/>
  <c r="U117" i="53"/>
  <c r="T117" i="53"/>
  <c r="S117" i="53"/>
  <c r="Q117" i="53"/>
  <c r="P117" i="53"/>
  <c r="L117" i="53"/>
  <c r="M117" i="53" s="1"/>
  <c r="N117" i="53" s="1"/>
  <c r="K117" i="53"/>
  <c r="G117" i="53"/>
  <c r="E117" i="53"/>
  <c r="W116" i="53"/>
  <c r="X116" i="53" s="1"/>
  <c r="Q116" i="53"/>
  <c r="P116" i="53"/>
  <c r="L116" i="53"/>
  <c r="M116" i="53" s="1"/>
  <c r="N116" i="53" s="1"/>
  <c r="K116" i="53"/>
  <c r="G116" i="53"/>
  <c r="E116" i="53"/>
  <c r="W115" i="53"/>
  <c r="X115" i="53" s="1"/>
  <c r="U115" i="53"/>
  <c r="T115" i="53"/>
  <c r="S115" i="53"/>
  <c r="Q115" i="53"/>
  <c r="P115" i="53"/>
  <c r="L115" i="53"/>
  <c r="M115" i="53" s="1"/>
  <c r="N115" i="53" s="1"/>
  <c r="K115" i="53"/>
  <c r="G115" i="53"/>
  <c r="E115" i="53"/>
  <c r="U114" i="53"/>
  <c r="T114" i="53"/>
  <c r="S114" i="53"/>
  <c r="Q114" i="53"/>
  <c r="P114" i="53"/>
  <c r="K114" i="53"/>
  <c r="E114" i="53"/>
  <c r="W113" i="53"/>
  <c r="X113" i="53" s="1"/>
  <c r="Q113" i="53"/>
  <c r="P113" i="53"/>
  <c r="L113" i="53"/>
  <c r="M113" i="53" s="1"/>
  <c r="N113" i="53" s="1"/>
  <c r="K113" i="53"/>
  <c r="G113" i="53"/>
  <c r="E113" i="53"/>
  <c r="W112" i="53"/>
  <c r="X112" i="53" s="1"/>
  <c r="Q112" i="53"/>
  <c r="P112" i="53"/>
  <c r="L112" i="53"/>
  <c r="M112" i="53" s="1"/>
  <c r="N112" i="53" s="1"/>
  <c r="K112" i="53"/>
  <c r="G112" i="53"/>
  <c r="E112" i="53"/>
  <c r="W111" i="53"/>
  <c r="X111" i="53" s="1"/>
  <c r="U111" i="53"/>
  <c r="T111" i="53"/>
  <c r="S111" i="53"/>
  <c r="Q111" i="53"/>
  <c r="P111" i="53"/>
  <c r="L111" i="53"/>
  <c r="M111" i="53" s="1"/>
  <c r="N111" i="53" s="1"/>
  <c r="K111" i="53"/>
  <c r="G111" i="53"/>
  <c r="E111" i="53"/>
  <c r="W110" i="53"/>
  <c r="X110" i="53" s="1"/>
  <c r="Q110" i="53"/>
  <c r="P110" i="53"/>
  <c r="L110" i="53"/>
  <c r="M110" i="53" s="1"/>
  <c r="N110" i="53" s="1"/>
  <c r="K110" i="53"/>
  <c r="G110" i="53"/>
  <c r="E110" i="53"/>
  <c r="W109" i="53"/>
  <c r="X109" i="53" s="1"/>
  <c r="Q109" i="53"/>
  <c r="P109" i="53"/>
  <c r="L109" i="53"/>
  <c r="M109" i="53" s="1"/>
  <c r="N109" i="53" s="1"/>
  <c r="K109" i="53"/>
  <c r="G109" i="53"/>
  <c r="E109" i="53"/>
  <c r="W108" i="53"/>
  <c r="X108" i="53" s="1"/>
  <c r="Q108" i="53"/>
  <c r="P108" i="53"/>
  <c r="L108" i="53"/>
  <c r="M108" i="53" s="1"/>
  <c r="N108" i="53" s="1"/>
  <c r="K108" i="53"/>
  <c r="G108" i="53"/>
  <c r="E108" i="53"/>
  <c r="W107" i="53"/>
  <c r="X107" i="53" s="1"/>
  <c r="Q107" i="53"/>
  <c r="P107" i="53"/>
  <c r="L107" i="53"/>
  <c r="M107" i="53" s="1"/>
  <c r="N107" i="53" s="1"/>
  <c r="K107" i="53"/>
  <c r="G107" i="53"/>
  <c r="E107" i="53"/>
  <c r="W106" i="53"/>
  <c r="X106" i="53" s="1"/>
  <c r="Q106" i="53"/>
  <c r="P106" i="53"/>
  <c r="L106" i="53"/>
  <c r="M106" i="53" s="1"/>
  <c r="N106" i="53" s="1"/>
  <c r="K106" i="53"/>
  <c r="G106" i="53"/>
  <c r="E106" i="53"/>
  <c r="W105" i="53"/>
  <c r="X105" i="53" s="1"/>
  <c r="U105" i="53"/>
  <c r="T105" i="53"/>
  <c r="S105" i="53"/>
  <c r="Q105" i="53"/>
  <c r="P105" i="53"/>
  <c r="L105" i="53"/>
  <c r="M105" i="53" s="1"/>
  <c r="N105" i="53" s="1"/>
  <c r="K105" i="53"/>
  <c r="G105" i="53"/>
  <c r="E105" i="53"/>
  <c r="W104" i="53"/>
  <c r="X104" i="53" s="1"/>
  <c r="Q104" i="53"/>
  <c r="P104" i="53"/>
  <c r="L104" i="53"/>
  <c r="M104" i="53" s="1"/>
  <c r="N104" i="53" s="1"/>
  <c r="K104" i="53"/>
  <c r="G104" i="53"/>
  <c r="E104" i="53"/>
  <c r="W103" i="53"/>
  <c r="X103" i="53" s="1"/>
  <c r="U103" i="53"/>
  <c r="T103" i="53"/>
  <c r="S103" i="53"/>
  <c r="Q103" i="53"/>
  <c r="P103" i="53"/>
  <c r="K103" i="53"/>
  <c r="L103" i="53"/>
  <c r="M103" i="53" s="1"/>
  <c r="N103" i="53" s="1"/>
  <c r="D417" i="53"/>
  <c r="W102" i="53"/>
  <c r="X102" i="53" s="1"/>
  <c r="Q102" i="53"/>
  <c r="P102" i="53"/>
  <c r="L102" i="53"/>
  <c r="M102" i="53" s="1"/>
  <c r="N102" i="53" s="1"/>
  <c r="K102" i="53"/>
  <c r="G102" i="53"/>
  <c r="E102" i="53"/>
  <c r="W101" i="53"/>
  <c r="X101" i="53" s="1"/>
  <c r="Q101" i="53"/>
  <c r="P101" i="53"/>
  <c r="L101" i="53"/>
  <c r="M101" i="53" s="1"/>
  <c r="N101" i="53" s="1"/>
  <c r="K101" i="53"/>
  <c r="G101" i="53"/>
  <c r="E101" i="53"/>
  <c r="W100" i="53"/>
  <c r="X100" i="53" s="1"/>
  <c r="Q100" i="53"/>
  <c r="P100" i="53"/>
  <c r="L100" i="53"/>
  <c r="M100" i="53" s="1"/>
  <c r="N100" i="53" s="1"/>
  <c r="K100" i="53"/>
  <c r="G100" i="53"/>
  <c r="E100" i="53"/>
  <c r="W99" i="53"/>
  <c r="X99" i="53" s="1"/>
  <c r="Q99" i="53"/>
  <c r="P99" i="53"/>
  <c r="L99" i="53"/>
  <c r="M99" i="53" s="1"/>
  <c r="N99" i="53" s="1"/>
  <c r="K99" i="53"/>
  <c r="G99" i="53"/>
  <c r="E99" i="53"/>
  <c r="W98" i="53"/>
  <c r="X98" i="53" s="1"/>
  <c r="U98" i="53"/>
  <c r="T98" i="53"/>
  <c r="S98" i="53"/>
  <c r="Q98" i="53"/>
  <c r="P98" i="53"/>
  <c r="L98" i="53"/>
  <c r="M98" i="53" s="1"/>
  <c r="N98" i="53" s="1"/>
  <c r="K98" i="53"/>
  <c r="G98" i="53"/>
  <c r="E98" i="53"/>
  <c r="W97" i="53"/>
  <c r="X97" i="53" s="1"/>
  <c r="Q97" i="53"/>
  <c r="P97" i="53"/>
  <c r="L97" i="53"/>
  <c r="M97" i="53" s="1"/>
  <c r="N97" i="53" s="1"/>
  <c r="K97" i="53"/>
  <c r="G97" i="53"/>
  <c r="E97" i="53"/>
  <c r="W96" i="53"/>
  <c r="X96" i="53" s="1"/>
  <c r="U96" i="53"/>
  <c r="T96" i="53"/>
  <c r="S96" i="53"/>
  <c r="Q96" i="53"/>
  <c r="P96" i="53"/>
  <c r="L96" i="53"/>
  <c r="M96" i="53" s="1"/>
  <c r="N96" i="53" s="1"/>
  <c r="K96" i="53"/>
  <c r="G96" i="53"/>
  <c r="E96" i="53"/>
  <c r="W95" i="53"/>
  <c r="X95" i="53" s="1"/>
  <c r="Q95" i="53"/>
  <c r="P95" i="53"/>
  <c r="L95" i="53"/>
  <c r="M95" i="53" s="1"/>
  <c r="N95" i="53" s="1"/>
  <c r="K95" i="53"/>
  <c r="G95" i="53"/>
  <c r="E95" i="53"/>
  <c r="X94" i="53"/>
  <c r="W94" i="53"/>
  <c r="Q94" i="53"/>
  <c r="P94" i="53"/>
  <c r="M94" i="53"/>
  <c r="N94" i="53" s="1"/>
  <c r="L94" i="53"/>
  <c r="W93" i="53"/>
  <c r="X93" i="53" s="1"/>
  <c r="Q93" i="53"/>
  <c r="P93" i="53"/>
  <c r="L93" i="53"/>
  <c r="M93" i="53" s="1"/>
  <c r="N93" i="53" s="1"/>
  <c r="K93" i="53"/>
  <c r="G93" i="53"/>
  <c r="E93" i="53"/>
  <c r="W92" i="53"/>
  <c r="X92" i="53" s="1"/>
  <c r="Q92" i="53"/>
  <c r="P92" i="53"/>
  <c r="L92" i="53"/>
  <c r="M92" i="53" s="1"/>
  <c r="N92" i="53" s="1"/>
  <c r="K92" i="53"/>
  <c r="G92" i="53"/>
  <c r="E92" i="53"/>
  <c r="W91" i="53"/>
  <c r="X91" i="53" s="1"/>
  <c r="U91" i="53"/>
  <c r="T91" i="53"/>
  <c r="S91" i="53"/>
  <c r="Q91" i="53"/>
  <c r="P91" i="53"/>
  <c r="L91" i="53"/>
  <c r="M91" i="53" s="1"/>
  <c r="N91" i="53" s="1"/>
  <c r="K91" i="53"/>
  <c r="G91" i="53"/>
  <c r="E91" i="53"/>
  <c r="W90" i="53"/>
  <c r="X90" i="53" s="1"/>
  <c r="Q90" i="53"/>
  <c r="P90" i="53"/>
  <c r="L90" i="53"/>
  <c r="M90" i="53" s="1"/>
  <c r="N90" i="53" s="1"/>
  <c r="K90" i="53"/>
  <c r="G90" i="53"/>
  <c r="E90" i="53"/>
  <c r="W89" i="53"/>
  <c r="X89" i="53" s="1"/>
  <c r="U89" i="53"/>
  <c r="T89" i="53"/>
  <c r="S89" i="53"/>
  <c r="Q89" i="53"/>
  <c r="P89" i="53"/>
  <c r="L89" i="53"/>
  <c r="M89" i="53" s="1"/>
  <c r="N89" i="53" s="1"/>
  <c r="K89" i="53"/>
  <c r="G89" i="53"/>
  <c r="E89" i="53"/>
  <c r="W88" i="53"/>
  <c r="X88" i="53" s="1"/>
  <c r="U88" i="53"/>
  <c r="T88" i="53"/>
  <c r="S88" i="53"/>
  <c r="Q88" i="53"/>
  <c r="P88" i="53"/>
  <c r="L88" i="53"/>
  <c r="M88" i="53" s="1"/>
  <c r="N88" i="53" s="1"/>
  <c r="K88" i="53"/>
  <c r="G88" i="53"/>
  <c r="E88" i="53"/>
  <c r="W87" i="53"/>
  <c r="X87" i="53" s="1"/>
  <c r="Q87" i="53"/>
  <c r="P87" i="53"/>
  <c r="M87" i="53"/>
  <c r="N87" i="53" s="1"/>
  <c r="L87" i="53"/>
  <c r="W86" i="53"/>
  <c r="X86" i="53" s="1"/>
  <c r="U86" i="53"/>
  <c r="T86" i="53"/>
  <c r="S86" i="53"/>
  <c r="Q86" i="53"/>
  <c r="P86" i="53"/>
  <c r="L86" i="53"/>
  <c r="M86" i="53" s="1"/>
  <c r="N86" i="53" s="1"/>
  <c r="K86" i="53"/>
  <c r="G86" i="53"/>
  <c r="E86" i="53"/>
  <c r="W85" i="53"/>
  <c r="X85" i="53" s="1"/>
  <c r="Q85" i="53"/>
  <c r="P85" i="53"/>
  <c r="L85" i="53"/>
  <c r="M85" i="53" s="1"/>
  <c r="N85" i="53" s="1"/>
  <c r="K85" i="53"/>
  <c r="G85" i="53"/>
  <c r="E85" i="53"/>
  <c r="W84" i="53"/>
  <c r="X84" i="53" s="1"/>
  <c r="Q84" i="53"/>
  <c r="P84" i="53"/>
  <c r="L84" i="53"/>
  <c r="M84" i="53" s="1"/>
  <c r="N84" i="53" s="1"/>
  <c r="K84" i="53"/>
  <c r="G84" i="53"/>
  <c r="E84" i="53"/>
  <c r="W83" i="53"/>
  <c r="X83" i="53" s="1"/>
  <c r="U83" i="53"/>
  <c r="T83" i="53"/>
  <c r="S83" i="53"/>
  <c r="Q83" i="53"/>
  <c r="P83" i="53"/>
  <c r="L83" i="53"/>
  <c r="M83" i="53" s="1"/>
  <c r="N83" i="53" s="1"/>
  <c r="K83" i="53"/>
  <c r="G83" i="53"/>
  <c r="E83" i="53"/>
  <c r="W82" i="53"/>
  <c r="X82" i="53" s="1"/>
  <c r="Q82" i="53"/>
  <c r="P82" i="53"/>
  <c r="L82" i="53"/>
  <c r="M82" i="53" s="1"/>
  <c r="N82" i="53" s="1"/>
  <c r="K82" i="53"/>
  <c r="G82" i="53"/>
  <c r="E82" i="53"/>
  <c r="W81" i="53"/>
  <c r="X81" i="53" s="1"/>
  <c r="Q81" i="53"/>
  <c r="P81" i="53"/>
  <c r="L81" i="53"/>
  <c r="M81" i="53" s="1"/>
  <c r="N81" i="53" s="1"/>
  <c r="G81" i="53"/>
  <c r="E81" i="53"/>
  <c r="W80" i="53"/>
  <c r="X80" i="53" s="1"/>
  <c r="Q80" i="53"/>
  <c r="P80" i="53"/>
  <c r="L80" i="53"/>
  <c r="M80" i="53" s="1"/>
  <c r="N80" i="53" s="1"/>
  <c r="G80" i="53"/>
  <c r="E80" i="53"/>
  <c r="W79" i="53"/>
  <c r="X79" i="53" s="1"/>
  <c r="U79" i="53"/>
  <c r="T79" i="53"/>
  <c r="S79" i="53"/>
  <c r="Q79" i="53"/>
  <c r="P79" i="53"/>
  <c r="L79" i="53"/>
  <c r="M79" i="53" s="1"/>
  <c r="N79" i="53" s="1"/>
  <c r="K79" i="53"/>
  <c r="G79" i="53"/>
  <c r="E79" i="53"/>
  <c r="W78" i="53"/>
  <c r="X78" i="53" s="1"/>
  <c r="Q78" i="53"/>
  <c r="P78" i="53"/>
  <c r="L78" i="53"/>
  <c r="M78" i="53" s="1"/>
  <c r="N78" i="53" s="1"/>
  <c r="K78" i="53"/>
  <c r="G78" i="53"/>
  <c r="E78" i="53"/>
  <c r="W77" i="53"/>
  <c r="X77" i="53" s="1"/>
  <c r="U77" i="53"/>
  <c r="T77" i="53"/>
  <c r="S77" i="53"/>
  <c r="Q77" i="53"/>
  <c r="P77" i="53"/>
  <c r="L77" i="53"/>
  <c r="M77" i="53" s="1"/>
  <c r="N77" i="53" s="1"/>
  <c r="K77" i="53"/>
  <c r="G77" i="53"/>
  <c r="E77" i="53"/>
  <c r="W76" i="53"/>
  <c r="X76" i="53" s="1"/>
  <c r="U76" i="53"/>
  <c r="T76" i="53"/>
  <c r="S76" i="53"/>
  <c r="Q76" i="53"/>
  <c r="P76" i="53"/>
  <c r="L76" i="53"/>
  <c r="M76" i="53" s="1"/>
  <c r="N76" i="53" s="1"/>
  <c r="K76" i="53"/>
  <c r="G76" i="53"/>
  <c r="E76" i="53"/>
  <c r="X75" i="53"/>
  <c r="W75" i="53"/>
  <c r="Q75" i="53"/>
  <c r="P75" i="53"/>
  <c r="L75" i="53"/>
  <c r="M75" i="53" s="1"/>
  <c r="N75" i="53" s="1"/>
  <c r="W74" i="53"/>
  <c r="X74" i="53" s="1"/>
  <c r="U74" i="53"/>
  <c r="T74" i="53"/>
  <c r="S74" i="53"/>
  <c r="Q74" i="53"/>
  <c r="P74" i="53"/>
  <c r="L74" i="53"/>
  <c r="M74" i="53" s="1"/>
  <c r="N74" i="53" s="1"/>
  <c r="K74" i="53"/>
  <c r="G74" i="53"/>
  <c r="E74" i="53"/>
  <c r="W73" i="53"/>
  <c r="X73" i="53" s="1"/>
  <c r="Q73" i="53"/>
  <c r="P73" i="53"/>
  <c r="L73" i="53"/>
  <c r="M73" i="53" s="1"/>
  <c r="N73" i="53" s="1"/>
  <c r="K73" i="53"/>
  <c r="G73" i="53"/>
  <c r="E73" i="53"/>
  <c r="W72" i="53"/>
  <c r="X72" i="53" s="1"/>
  <c r="Q72" i="53"/>
  <c r="P72" i="53"/>
  <c r="L72" i="53"/>
  <c r="M72" i="53" s="1"/>
  <c r="N72" i="53" s="1"/>
  <c r="K72" i="53"/>
  <c r="G72" i="53"/>
  <c r="E72" i="53"/>
  <c r="W71" i="53"/>
  <c r="X71" i="53" s="1"/>
  <c r="Q71" i="53"/>
  <c r="P71" i="53"/>
  <c r="L71" i="53"/>
  <c r="M71" i="53" s="1"/>
  <c r="N71" i="53" s="1"/>
  <c r="K71" i="53"/>
  <c r="G71" i="53"/>
  <c r="E71" i="53"/>
  <c r="W70" i="53"/>
  <c r="X70" i="53" s="1"/>
  <c r="Q70" i="53"/>
  <c r="P70" i="53"/>
  <c r="L70" i="53"/>
  <c r="M70" i="53" s="1"/>
  <c r="N70" i="53" s="1"/>
  <c r="K70" i="53"/>
  <c r="G70" i="53"/>
  <c r="E70" i="53"/>
  <c r="W69" i="53"/>
  <c r="X69" i="53" s="1"/>
  <c r="Q69" i="53"/>
  <c r="P69" i="53"/>
  <c r="L69" i="53"/>
  <c r="M69" i="53" s="1"/>
  <c r="N69" i="53" s="1"/>
  <c r="K69" i="53"/>
  <c r="G69" i="53"/>
  <c r="E69" i="53"/>
  <c r="W68" i="53"/>
  <c r="X68" i="53" s="1"/>
  <c r="Q68" i="53"/>
  <c r="P68" i="53"/>
  <c r="L68" i="53"/>
  <c r="M68" i="53" s="1"/>
  <c r="N68" i="53" s="1"/>
  <c r="K68" i="53"/>
  <c r="E68" i="53"/>
  <c r="W67" i="53"/>
  <c r="X67" i="53" s="1"/>
  <c r="E67" i="53"/>
  <c r="W66" i="53"/>
  <c r="X66" i="53" s="1"/>
  <c r="Q66" i="53"/>
  <c r="P66" i="53"/>
  <c r="L66" i="53"/>
  <c r="M66" i="53" s="1"/>
  <c r="N66" i="53" s="1"/>
  <c r="K66" i="53"/>
  <c r="G66" i="53"/>
  <c r="E66" i="53"/>
  <c r="W65" i="53"/>
  <c r="X65" i="53" s="1"/>
  <c r="Q65" i="53"/>
  <c r="P65" i="53"/>
  <c r="L65" i="53"/>
  <c r="M65" i="53" s="1"/>
  <c r="N65" i="53" s="1"/>
  <c r="K65" i="53"/>
  <c r="G65" i="53"/>
  <c r="E65" i="53"/>
  <c r="W64" i="53"/>
  <c r="X64" i="53" s="1"/>
  <c r="Q64" i="53"/>
  <c r="P64" i="53"/>
  <c r="L64" i="53"/>
  <c r="M64" i="53" s="1"/>
  <c r="N64" i="53" s="1"/>
  <c r="K64" i="53"/>
  <c r="G64" i="53"/>
  <c r="E64" i="53"/>
  <c r="W63" i="53"/>
  <c r="X63" i="53" s="1"/>
  <c r="Q63" i="53"/>
  <c r="P63" i="53"/>
  <c r="L63" i="53"/>
  <c r="M63" i="53" s="1"/>
  <c r="N63" i="53" s="1"/>
  <c r="K63" i="53"/>
  <c r="G63" i="53"/>
  <c r="E63" i="53"/>
  <c r="W62" i="53"/>
  <c r="X62" i="53" s="1"/>
  <c r="Q62" i="53"/>
  <c r="P62" i="53"/>
  <c r="L62" i="53"/>
  <c r="M62" i="53" s="1"/>
  <c r="N62" i="53" s="1"/>
  <c r="K62" i="53"/>
  <c r="G62" i="53"/>
  <c r="E62" i="53"/>
  <c r="W61" i="53"/>
  <c r="X61" i="53" s="1"/>
  <c r="Q61" i="53"/>
  <c r="P61" i="53"/>
  <c r="L61" i="53"/>
  <c r="M61" i="53" s="1"/>
  <c r="N61" i="53" s="1"/>
  <c r="K61" i="53"/>
  <c r="G61" i="53"/>
  <c r="E61" i="53"/>
  <c r="W60" i="53"/>
  <c r="X60" i="53" s="1"/>
  <c r="Q60" i="53"/>
  <c r="P60" i="53"/>
  <c r="L60" i="53"/>
  <c r="M60" i="53" s="1"/>
  <c r="N60" i="53" s="1"/>
  <c r="K60" i="53"/>
  <c r="G60" i="53"/>
  <c r="E60" i="53"/>
  <c r="W59" i="53"/>
  <c r="X59" i="53" s="1"/>
  <c r="Q59" i="53"/>
  <c r="P59" i="53"/>
  <c r="L59" i="53"/>
  <c r="M59" i="53" s="1"/>
  <c r="N59" i="53" s="1"/>
  <c r="K59" i="53"/>
  <c r="G59" i="53"/>
  <c r="E59" i="53"/>
  <c r="W58" i="53"/>
  <c r="X58" i="53" s="1"/>
  <c r="Q58" i="53"/>
  <c r="P58" i="53"/>
  <c r="L58" i="53"/>
  <c r="M58" i="53" s="1"/>
  <c r="N58" i="53" s="1"/>
  <c r="K58" i="53"/>
  <c r="G58" i="53"/>
  <c r="E58" i="53"/>
  <c r="W57" i="53"/>
  <c r="X57" i="53" s="1"/>
  <c r="Q57" i="53"/>
  <c r="P57" i="53"/>
  <c r="L57" i="53"/>
  <c r="M57" i="53" s="1"/>
  <c r="N57" i="53" s="1"/>
  <c r="K57" i="53"/>
  <c r="G57" i="53"/>
  <c r="E57" i="53"/>
  <c r="W56" i="53"/>
  <c r="X56" i="53" s="1"/>
  <c r="Q56" i="53"/>
  <c r="P56" i="53"/>
  <c r="L56" i="53"/>
  <c r="M56" i="53" s="1"/>
  <c r="N56" i="53" s="1"/>
  <c r="K56" i="53"/>
  <c r="G56" i="53"/>
  <c r="E56" i="53"/>
  <c r="W55" i="53"/>
  <c r="X55" i="53" s="1"/>
  <c r="Q55" i="53"/>
  <c r="P55" i="53"/>
  <c r="L55" i="53"/>
  <c r="M55" i="53" s="1"/>
  <c r="N55" i="53" s="1"/>
  <c r="K55" i="53"/>
  <c r="G55" i="53"/>
  <c r="E55" i="53"/>
  <c r="W54" i="53"/>
  <c r="X54" i="53" s="1"/>
  <c r="Q54" i="53"/>
  <c r="P54" i="53"/>
  <c r="L54" i="53"/>
  <c r="M54" i="53" s="1"/>
  <c r="N54" i="53" s="1"/>
  <c r="K54" i="53"/>
  <c r="G54" i="53"/>
  <c r="E54" i="53"/>
  <c r="W53" i="53"/>
  <c r="X53" i="53" s="1"/>
  <c r="Q53" i="53"/>
  <c r="P53" i="53"/>
  <c r="L53" i="53"/>
  <c r="M53" i="53" s="1"/>
  <c r="N53" i="53" s="1"/>
  <c r="K53" i="53"/>
  <c r="G53" i="53"/>
  <c r="E53" i="53"/>
  <c r="W52" i="53"/>
  <c r="X52" i="53" s="1"/>
  <c r="Q52" i="53"/>
  <c r="P52" i="53"/>
  <c r="L52" i="53"/>
  <c r="M52" i="53" s="1"/>
  <c r="N52" i="53" s="1"/>
  <c r="K52" i="53"/>
  <c r="G52" i="53"/>
  <c r="E52" i="53"/>
  <c r="W51" i="53"/>
  <c r="X51" i="53" s="1"/>
  <c r="Q51" i="53"/>
  <c r="P51" i="53"/>
  <c r="L51" i="53"/>
  <c r="M51" i="53" s="1"/>
  <c r="N51" i="53" s="1"/>
  <c r="K51" i="53"/>
  <c r="G51" i="53"/>
  <c r="E51" i="53"/>
  <c r="W50" i="53"/>
  <c r="X50" i="53" s="1"/>
  <c r="Q50" i="53"/>
  <c r="P50" i="53"/>
  <c r="L50" i="53"/>
  <c r="M50" i="53" s="1"/>
  <c r="N50" i="53" s="1"/>
  <c r="K50" i="53"/>
  <c r="G50" i="53"/>
  <c r="E50" i="53"/>
  <c r="W49" i="53"/>
  <c r="X49" i="53" s="1"/>
  <c r="Q49" i="53"/>
  <c r="P49" i="53"/>
  <c r="L49" i="53"/>
  <c r="M49" i="53" s="1"/>
  <c r="N49" i="53" s="1"/>
  <c r="K49" i="53"/>
  <c r="G49" i="53"/>
  <c r="E49" i="53"/>
  <c r="W48" i="53"/>
  <c r="X48" i="53" s="1"/>
  <c r="Q48" i="53"/>
  <c r="P48" i="53"/>
  <c r="L48" i="53"/>
  <c r="M48" i="53" s="1"/>
  <c r="N48" i="53" s="1"/>
  <c r="K48" i="53"/>
  <c r="G48" i="53"/>
  <c r="E48" i="53"/>
  <c r="W47" i="53"/>
  <c r="X47" i="53" s="1"/>
  <c r="Q47" i="53"/>
  <c r="P47" i="53"/>
  <c r="L47" i="53"/>
  <c r="M47" i="53" s="1"/>
  <c r="N47" i="53" s="1"/>
  <c r="K47" i="53"/>
  <c r="G47" i="53"/>
  <c r="E47" i="53"/>
  <c r="W46" i="53"/>
  <c r="X46" i="53" s="1"/>
  <c r="Q46" i="53"/>
  <c r="P46" i="53"/>
  <c r="L46" i="53"/>
  <c r="M46" i="53" s="1"/>
  <c r="N46" i="53" s="1"/>
  <c r="K46" i="53"/>
  <c r="G46" i="53"/>
  <c r="E46" i="53"/>
  <c r="W45" i="53"/>
  <c r="X45" i="53" s="1"/>
  <c r="Q45" i="53"/>
  <c r="P45" i="53"/>
  <c r="L45" i="53"/>
  <c r="M45" i="53" s="1"/>
  <c r="N45" i="53" s="1"/>
  <c r="K45" i="53"/>
  <c r="G45" i="53"/>
  <c r="E45" i="53"/>
  <c r="W44" i="53"/>
  <c r="X44" i="53" s="1"/>
  <c r="Q44" i="53"/>
  <c r="P44" i="53"/>
  <c r="L44" i="53"/>
  <c r="M44" i="53" s="1"/>
  <c r="N44" i="53" s="1"/>
  <c r="K44" i="53"/>
  <c r="G44" i="53"/>
  <c r="E44" i="53"/>
  <c r="W43" i="53"/>
  <c r="X43" i="53" s="1"/>
  <c r="U43" i="53"/>
  <c r="T43" i="53"/>
  <c r="S43" i="53"/>
  <c r="Q43" i="53"/>
  <c r="P43" i="53"/>
  <c r="L43" i="53"/>
  <c r="M43" i="53" s="1"/>
  <c r="N43" i="53" s="1"/>
  <c r="K43" i="53"/>
  <c r="G43" i="53"/>
  <c r="E43" i="53"/>
  <c r="W42" i="53"/>
  <c r="X42" i="53" s="1"/>
  <c r="Q42" i="53"/>
  <c r="P42" i="53"/>
  <c r="L42" i="53"/>
  <c r="M42" i="53" s="1"/>
  <c r="N42" i="53" s="1"/>
  <c r="K42" i="53"/>
  <c r="G42" i="53"/>
  <c r="E42" i="53"/>
  <c r="W41" i="53"/>
  <c r="X41" i="53" s="1"/>
  <c r="Q41" i="53"/>
  <c r="P41" i="53"/>
  <c r="L41" i="53"/>
  <c r="M41" i="53" s="1"/>
  <c r="N41" i="53" s="1"/>
  <c r="K41" i="53"/>
  <c r="G41" i="53"/>
  <c r="E41" i="53"/>
  <c r="W40" i="53"/>
  <c r="X40" i="53" s="1"/>
  <c r="Q40" i="53"/>
  <c r="P40" i="53"/>
  <c r="L40" i="53"/>
  <c r="M40" i="53" s="1"/>
  <c r="N40" i="53" s="1"/>
  <c r="K40" i="53"/>
  <c r="G40" i="53"/>
  <c r="E40" i="53"/>
  <c r="W39" i="53"/>
  <c r="X39" i="53" s="1"/>
  <c r="Q39" i="53"/>
  <c r="P39" i="53"/>
  <c r="M39" i="53"/>
  <c r="N39" i="53" s="1"/>
  <c r="L39" i="53"/>
  <c r="W38" i="53"/>
  <c r="X38" i="53" s="1"/>
  <c r="Q38" i="53"/>
  <c r="P38" i="53"/>
  <c r="L38" i="53"/>
  <c r="M38" i="53" s="1"/>
  <c r="N38" i="53" s="1"/>
  <c r="K38" i="53"/>
  <c r="G38" i="53"/>
  <c r="E38" i="53"/>
  <c r="W37" i="53"/>
  <c r="X37" i="53" s="1"/>
  <c r="Q37" i="53"/>
  <c r="P37" i="53"/>
  <c r="L37" i="53"/>
  <c r="M37" i="53" s="1"/>
  <c r="N37" i="53" s="1"/>
  <c r="K37" i="53"/>
  <c r="G37" i="53"/>
  <c r="E37" i="53"/>
  <c r="W36" i="53"/>
  <c r="X36" i="53" s="1"/>
  <c r="Q36" i="53"/>
  <c r="P36" i="53"/>
  <c r="L36" i="53"/>
  <c r="M36" i="53" s="1"/>
  <c r="N36" i="53" s="1"/>
  <c r="K36" i="53"/>
  <c r="G36" i="53"/>
  <c r="E36" i="53"/>
  <c r="W35" i="53"/>
  <c r="X35" i="53" s="1"/>
  <c r="Q35" i="53"/>
  <c r="P35" i="53"/>
  <c r="L35" i="53"/>
  <c r="M35" i="53" s="1"/>
  <c r="N35" i="53" s="1"/>
  <c r="K35" i="53"/>
  <c r="G35" i="53"/>
  <c r="E35" i="53"/>
  <c r="W34" i="53"/>
  <c r="X34" i="53" s="1"/>
  <c r="Q34" i="53"/>
  <c r="P34" i="53"/>
  <c r="L34" i="53"/>
  <c r="M34" i="53" s="1"/>
  <c r="N34" i="53" s="1"/>
  <c r="K34" i="53"/>
  <c r="G34" i="53"/>
  <c r="E34" i="53"/>
  <c r="W33" i="53"/>
  <c r="X33" i="53" s="1"/>
  <c r="Q33" i="53"/>
  <c r="P33" i="53"/>
  <c r="L33" i="53"/>
  <c r="M33" i="53" s="1"/>
  <c r="N33" i="53" s="1"/>
  <c r="K33" i="53"/>
  <c r="G33" i="53"/>
  <c r="E33" i="53"/>
  <c r="W32" i="53"/>
  <c r="X32" i="53" s="1"/>
  <c r="Q32" i="53"/>
  <c r="P32" i="53"/>
  <c r="L32" i="53"/>
  <c r="M32" i="53" s="1"/>
  <c r="N32" i="53" s="1"/>
  <c r="K32" i="53"/>
  <c r="G32" i="53"/>
  <c r="E32" i="53"/>
  <c r="W31" i="53"/>
  <c r="X31" i="53" s="1"/>
  <c r="Q31" i="53"/>
  <c r="P31" i="53"/>
  <c r="L31" i="53"/>
  <c r="M31" i="53" s="1"/>
  <c r="N31" i="53" s="1"/>
  <c r="K31" i="53"/>
  <c r="G31" i="53"/>
  <c r="E31" i="53"/>
  <c r="W30" i="53"/>
  <c r="X30" i="53" s="1"/>
  <c r="Q30" i="53"/>
  <c r="P30" i="53"/>
  <c r="L30" i="53"/>
  <c r="M30" i="53" s="1"/>
  <c r="N30" i="53" s="1"/>
  <c r="K30" i="53"/>
  <c r="G30" i="53"/>
  <c r="E30" i="53"/>
  <c r="W29" i="53"/>
  <c r="X29" i="53" s="1"/>
  <c r="Q29" i="53"/>
  <c r="P29" i="53"/>
  <c r="L29" i="53"/>
  <c r="M29" i="53" s="1"/>
  <c r="N29" i="53" s="1"/>
  <c r="K29" i="53"/>
  <c r="G29" i="53"/>
  <c r="E29" i="53"/>
  <c r="W28" i="53"/>
  <c r="X28" i="53" s="1"/>
  <c r="Q28" i="53"/>
  <c r="P28" i="53"/>
  <c r="L28" i="53"/>
  <c r="M28" i="53" s="1"/>
  <c r="N28" i="53" s="1"/>
  <c r="K28" i="53"/>
  <c r="G28" i="53"/>
  <c r="E28" i="53"/>
  <c r="W27" i="53"/>
  <c r="X27" i="53" s="1"/>
  <c r="U27" i="53"/>
  <c r="T27" i="53"/>
  <c r="S27" i="53"/>
  <c r="Q27" i="53"/>
  <c r="P27" i="53"/>
  <c r="L27" i="53"/>
  <c r="M27" i="53" s="1"/>
  <c r="N27" i="53" s="1"/>
  <c r="K27" i="53"/>
  <c r="G27" i="53"/>
  <c r="E27" i="53"/>
  <c r="W26" i="53"/>
  <c r="X26" i="53" s="1"/>
  <c r="Q26" i="53"/>
  <c r="P26" i="53"/>
  <c r="L26" i="53"/>
  <c r="M26" i="53" s="1"/>
  <c r="N26" i="53" s="1"/>
  <c r="K26" i="53"/>
  <c r="G26" i="53"/>
  <c r="E26" i="53"/>
  <c r="W25" i="53"/>
  <c r="X25" i="53" s="1"/>
  <c r="Q25" i="53"/>
  <c r="P25" i="53"/>
  <c r="L25" i="53"/>
  <c r="M25" i="53" s="1"/>
  <c r="N25" i="53" s="1"/>
  <c r="K25" i="53"/>
  <c r="G25" i="53"/>
  <c r="E25" i="53"/>
  <c r="W24" i="53"/>
  <c r="X24" i="53" s="1"/>
  <c r="Q24" i="53"/>
  <c r="P24" i="53"/>
  <c r="L24" i="53"/>
  <c r="M24" i="53" s="1"/>
  <c r="N24" i="53" s="1"/>
  <c r="K24" i="53"/>
  <c r="G24" i="53"/>
  <c r="E24" i="53"/>
  <c r="W23" i="53"/>
  <c r="X23" i="53" s="1"/>
  <c r="U23" i="53"/>
  <c r="T23" i="53"/>
  <c r="S23" i="53"/>
  <c r="Q23" i="53"/>
  <c r="P23" i="53"/>
  <c r="L23" i="53"/>
  <c r="M23" i="53" s="1"/>
  <c r="N23" i="53" s="1"/>
  <c r="K23" i="53"/>
  <c r="G23" i="53"/>
  <c r="E23" i="53"/>
  <c r="X22" i="53"/>
  <c r="W22" i="53"/>
  <c r="Q22" i="53"/>
  <c r="P22" i="53"/>
  <c r="N22" i="53"/>
  <c r="M22" i="53"/>
  <c r="L22" i="53"/>
  <c r="W21" i="53"/>
  <c r="X21" i="53" s="1"/>
  <c r="Q21" i="53"/>
  <c r="P21" i="53"/>
  <c r="L21" i="53"/>
  <c r="M21" i="53" s="1"/>
  <c r="N21" i="53" s="1"/>
  <c r="W20" i="53"/>
  <c r="X20" i="53" s="1"/>
  <c r="Q20" i="53"/>
  <c r="P20" i="53"/>
  <c r="L20" i="53"/>
  <c r="M20" i="53" s="1"/>
  <c r="N20" i="53" s="1"/>
  <c r="K20" i="53"/>
  <c r="G20" i="53"/>
  <c r="E20" i="53"/>
  <c r="W19" i="53"/>
  <c r="X19" i="53" s="1"/>
  <c r="Q19" i="53"/>
  <c r="P19" i="53"/>
  <c r="L19" i="53"/>
  <c r="M19" i="53" s="1"/>
  <c r="N19" i="53" s="1"/>
  <c r="K19" i="53"/>
  <c r="G19" i="53"/>
  <c r="E19" i="53"/>
  <c r="W18" i="53"/>
  <c r="X18" i="53" s="1"/>
  <c r="Q18" i="53"/>
  <c r="P18" i="53"/>
  <c r="L18" i="53"/>
  <c r="M18" i="53" s="1"/>
  <c r="N18" i="53" s="1"/>
  <c r="K18" i="53"/>
  <c r="G18" i="53"/>
  <c r="E18" i="53"/>
  <c r="W17" i="53"/>
  <c r="X17" i="53" s="1"/>
  <c r="Q17" i="53"/>
  <c r="P17" i="53"/>
  <c r="L17" i="53"/>
  <c r="M17" i="53" s="1"/>
  <c r="N17" i="53" s="1"/>
  <c r="K17" i="53"/>
  <c r="G17" i="53"/>
  <c r="E17" i="53"/>
  <c r="W16" i="53"/>
  <c r="X16" i="53" s="1"/>
  <c r="U16" i="53"/>
  <c r="T16" i="53"/>
  <c r="S16" i="53"/>
  <c r="Q16" i="53"/>
  <c r="P16" i="53"/>
  <c r="L16" i="53"/>
  <c r="M16" i="53" s="1"/>
  <c r="N16" i="53" s="1"/>
  <c r="K16" i="53"/>
  <c r="G16" i="53"/>
  <c r="E16" i="53"/>
  <c r="W15" i="53"/>
  <c r="X15" i="53" s="1"/>
  <c r="Q15" i="53"/>
  <c r="P15" i="53"/>
  <c r="L15" i="53"/>
  <c r="M15" i="53" s="1"/>
  <c r="N15" i="53" s="1"/>
  <c r="W14" i="53"/>
  <c r="X14" i="53" s="1"/>
  <c r="U14" i="53"/>
  <c r="T14" i="53"/>
  <c r="S14" i="53"/>
  <c r="Q14" i="53"/>
  <c r="P14" i="53"/>
  <c r="L14" i="53"/>
  <c r="M14" i="53" s="1"/>
  <c r="N14" i="53" s="1"/>
  <c r="K14" i="53"/>
  <c r="G14" i="53"/>
  <c r="E14" i="53"/>
  <c r="W13" i="53"/>
  <c r="X13" i="53" s="1"/>
  <c r="Q13" i="53"/>
  <c r="P13" i="53"/>
  <c r="L13" i="53"/>
  <c r="M13" i="53" s="1"/>
  <c r="N13" i="53" s="1"/>
  <c r="K13" i="53"/>
  <c r="G13" i="53"/>
  <c r="E13" i="53"/>
  <c r="W12" i="53"/>
  <c r="X12" i="53" s="1"/>
  <c r="Q12" i="53"/>
  <c r="P12" i="53"/>
  <c r="L12" i="53"/>
  <c r="M12" i="53" s="1"/>
  <c r="N12" i="53" s="1"/>
  <c r="K12" i="53"/>
  <c r="G12" i="53"/>
  <c r="E12" i="53"/>
  <c r="W11" i="53"/>
  <c r="X11" i="53" s="1"/>
  <c r="Q11" i="53"/>
  <c r="P11" i="53"/>
  <c r="L11" i="53"/>
  <c r="M11" i="53" s="1"/>
  <c r="N11" i="53" s="1"/>
  <c r="K11" i="53"/>
  <c r="G11" i="53"/>
  <c r="E11" i="53"/>
  <c r="W10" i="53"/>
  <c r="X10" i="53" s="1"/>
  <c r="Q10" i="53"/>
  <c r="P10" i="53"/>
  <c r="L10" i="53"/>
  <c r="M10" i="53" s="1"/>
  <c r="N10" i="53" s="1"/>
  <c r="K10" i="53"/>
  <c r="G10" i="53"/>
  <c r="E10" i="53"/>
  <c r="W9" i="53"/>
  <c r="X9" i="53" s="1"/>
  <c r="Q9" i="53"/>
  <c r="P9" i="53"/>
  <c r="L9" i="53"/>
  <c r="M9" i="53" s="1"/>
  <c r="N9" i="53" s="1"/>
  <c r="K9" i="53"/>
  <c r="G9" i="53"/>
  <c r="E9" i="53"/>
  <c r="W8" i="53"/>
  <c r="X8" i="53" s="1"/>
  <c r="Q8" i="53"/>
  <c r="P8" i="53"/>
  <c r="L8" i="53"/>
  <c r="M8" i="53" s="1"/>
  <c r="N8" i="53" s="1"/>
  <c r="K8" i="53"/>
  <c r="G8" i="53"/>
  <c r="E8" i="53"/>
  <c r="W7" i="53"/>
  <c r="X7" i="53" s="1"/>
  <c r="Q7" i="53"/>
  <c r="P7" i="53"/>
  <c r="L7" i="53"/>
  <c r="M7" i="53" s="1"/>
  <c r="N7" i="53" s="1"/>
  <c r="K7" i="53"/>
  <c r="G7" i="53"/>
  <c r="E7" i="53"/>
  <c r="W6" i="53"/>
  <c r="Q6" i="53"/>
  <c r="P6" i="53"/>
  <c r="L6" i="53"/>
  <c r="K6" i="53"/>
  <c r="G6" i="53"/>
  <c r="E6" i="53"/>
  <c r="J103" i="51"/>
  <c r="F103" i="51"/>
  <c r="D103" i="51"/>
  <c r="L114" i="53" l="1"/>
  <c r="M114" i="53" s="1"/>
  <c r="N114" i="53" s="1"/>
  <c r="W114" i="53"/>
  <c r="X114" i="53" s="1"/>
  <c r="G114" i="53"/>
  <c r="S193" i="53"/>
  <c r="P417" i="53"/>
  <c r="C418" i="53" s="1"/>
  <c r="Q417" i="53"/>
  <c r="E417" i="53" s="1"/>
  <c r="E103" i="53"/>
  <c r="W417" i="53"/>
  <c r="F417" i="53"/>
  <c r="X6" i="53"/>
  <c r="G103" i="53"/>
  <c r="J417" i="53"/>
  <c r="U193" i="53"/>
  <c r="K193" i="53"/>
  <c r="X193" i="53"/>
  <c r="L417" i="53"/>
  <c r="M6" i="53"/>
  <c r="M193" i="53"/>
  <c r="N193" i="53" s="1"/>
  <c r="J193" i="51"/>
  <c r="F193" i="51"/>
  <c r="D193" i="51"/>
  <c r="J114" i="51"/>
  <c r="F114" i="51"/>
  <c r="D114" i="51"/>
  <c r="X417" i="53" l="1"/>
  <c r="G417" i="53"/>
  <c r="K417" i="53"/>
  <c r="M417" i="53"/>
  <c r="N417" i="53" s="1"/>
  <c r="N6" i="53"/>
  <c r="C417" i="52"/>
  <c r="W416" i="52"/>
  <c r="X416" i="52" s="1"/>
  <c r="U416" i="52"/>
  <c r="T416" i="52"/>
  <c r="S416" i="52"/>
  <c r="Q416" i="52"/>
  <c r="P416" i="52"/>
  <c r="L416" i="52"/>
  <c r="M416" i="52" s="1"/>
  <c r="N416" i="52" s="1"/>
  <c r="W415" i="52"/>
  <c r="X415" i="52" s="1"/>
  <c r="Q415" i="52"/>
  <c r="P415" i="52"/>
  <c r="L415" i="52"/>
  <c r="M415" i="52" s="1"/>
  <c r="N415" i="52" s="1"/>
  <c r="K415" i="52"/>
  <c r="G415" i="52"/>
  <c r="E415" i="52"/>
  <c r="W414" i="52"/>
  <c r="X414" i="52" s="1"/>
  <c r="Q414" i="52"/>
  <c r="P414" i="52"/>
  <c r="L414" i="52"/>
  <c r="M414" i="52" s="1"/>
  <c r="N414" i="52" s="1"/>
  <c r="W413" i="52"/>
  <c r="X413" i="52" s="1"/>
  <c r="Q413" i="52"/>
  <c r="P413" i="52"/>
  <c r="L413" i="52"/>
  <c r="M413" i="52" s="1"/>
  <c r="N413" i="52" s="1"/>
  <c r="K413" i="52"/>
  <c r="G413" i="52"/>
  <c r="E413" i="52"/>
  <c r="W412" i="52"/>
  <c r="X412" i="52" s="1"/>
  <c r="Q412" i="52"/>
  <c r="P412" i="52"/>
  <c r="M412" i="52"/>
  <c r="N412" i="52" s="1"/>
  <c r="L412" i="52"/>
  <c r="W411" i="52"/>
  <c r="X411" i="52" s="1"/>
  <c r="U411" i="52"/>
  <c r="T411" i="52"/>
  <c r="S411" i="52"/>
  <c r="Q411" i="52"/>
  <c r="P411" i="52"/>
  <c r="L411" i="52"/>
  <c r="M411" i="52" s="1"/>
  <c r="N411" i="52" s="1"/>
  <c r="W410" i="52"/>
  <c r="X410" i="52" s="1"/>
  <c r="Q410" i="52"/>
  <c r="P410" i="52"/>
  <c r="L410" i="52"/>
  <c r="M410" i="52" s="1"/>
  <c r="N410" i="52" s="1"/>
  <c r="K410" i="52"/>
  <c r="G410" i="52"/>
  <c r="E410" i="52"/>
  <c r="W409" i="52"/>
  <c r="X409" i="52" s="1"/>
  <c r="Q409" i="52"/>
  <c r="P409" i="52"/>
  <c r="L409" i="52"/>
  <c r="M409" i="52" s="1"/>
  <c r="N409" i="52" s="1"/>
  <c r="K409" i="52"/>
  <c r="G409" i="52"/>
  <c r="E409" i="52"/>
  <c r="W408" i="52"/>
  <c r="X408" i="52" s="1"/>
  <c r="U408" i="52"/>
  <c r="T408" i="52"/>
  <c r="S408" i="52"/>
  <c r="Q408" i="52"/>
  <c r="P408" i="52"/>
  <c r="L408" i="52"/>
  <c r="M408" i="52" s="1"/>
  <c r="N408" i="52" s="1"/>
  <c r="K408" i="52"/>
  <c r="E408" i="52"/>
  <c r="W407" i="52"/>
  <c r="X407" i="52" s="1"/>
  <c r="Q407" i="52"/>
  <c r="P407" i="52"/>
  <c r="L407" i="52"/>
  <c r="M407" i="52" s="1"/>
  <c r="N407" i="52" s="1"/>
  <c r="W406" i="52"/>
  <c r="X406" i="52" s="1"/>
  <c r="U406" i="52"/>
  <c r="T406" i="52"/>
  <c r="S406" i="52"/>
  <c r="Q406" i="52"/>
  <c r="P406" i="52"/>
  <c r="L406" i="52"/>
  <c r="M406" i="52" s="1"/>
  <c r="N406" i="52" s="1"/>
  <c r="K406" i="52"/>
  <c r="G406" i="52"/>
  <c r="E406" i="52"/>
  <c r="W405" i="52"/>
  <c r="X405" i="52" s="1"/>
  <c r="Q405" i="52"/>
  <c r="P405" i="52"/>
  <c r="L405" i="52"/>
  <c r="M405" i="52" s="1"/>
  <c r="N405" i="52" s="1"/>
  <c r="K405" i="52"/>
  <c r="G405" i="52"/>
  <c r="E405" i="52"/>
  <c r="W404" i="52"/>
  <c r="X404" i="52" s="1"/>
  <c r="Q404" i="52"/>
  <c r="P404" i="52"/>
  <c r="L404" i="52"/>
  <c r="M404" i="52" s="1"/>
  <c r="N404" i="52" s="1"/>
  <c r="K404" i="52"/>
  <c r="G404" i="52"/>
  <c r="E404" i="52"/>
  <c r="W403" i="52"/>
  <c r="X403" i="52" s="1"/>
  <c r="Q403" i="52"/>
  <c r="P403" i="52"/>
  <c r="L403" i="52"/>
  <c r="M403" i="52" s="1"/>
  <c r="N403" i="52" s="1"/>
  <c r="K403" i="52"/>
  <c r="G403" i="52"/>
  <c r="E403" i="52"/>
  <c r="W402" i="52"/>
  <c r="X402" i="52" s="1"/>
  <c r="Q402" i="52"/>
  <c r="P402" i="52"/>
  <c r="L402" i="52"/>
  <c r="M402" i="52" s="1"/>
  <c r="N402" i="52" s="1"/>
  <c r="K402" i="52"/>
  <c r="G402" i="52"/>
  <c r="E402" i="52"/>
  <c r="W401" i="52"/>
  <c r="X401" i="52" s="1"/>
  <c r="Q401" i="52"/>
  <c r="P401" i="52"/>
  <c r="L401" i="52"/>
  <c r="M401" i="52" s="1"/>
  <c r="N401" i="52" s="1"/>
  <c r="K401" i="52"/>
  <c r="G401" i="52"/>
  <c r="E401" i="52"/>
  <c r="W400" i="52"/>
  <c r="X400" i="52" s="1"/>
  <c r="Q400" i="52"/>
  <c r="P400" i="52"/>
  <c r="L400" i="52"/>
  <c r="M400" i="52" s="1"/>
  <c r="N400" i="52" s="1"/>
  <c r="K400" i="52"/>
  <c r="G400" i="52"/>
  <c r="E400" i="52"/>
  <c r="W399" i="52"/>
  <c r="X399" i="52" s="1"/>
  <c r="Q399" i="52"/>
  <c r="P399" i="52"/>
  <c r="L399" i="52"/>
  <c r="M399" i="52" s="1"/>
  <c r="N399" i="52" s="1"/>
  <c r="K399" i="52"/>
  <c r="G399" i="52"/>
  <c r="E399" i="52"/>
  <c r="W398" i="52"/>
  <c r="X398" i="52" s="1"/>
  <c r="Q398" i="52"/>
  <c r="P398" i="52"/>
  <c r="L398" i="52"/>
  <c r="M398" i="52" s="1"/>
  <c r="N398" i="52" s="1"/>
  <c r="K398" i="52"/>
  <c r="G398" i="52"/>
  <c r="E398" i="52"/>
  <c r="W397" i="52"/>
  <c r="X397" i="52" s="1"/>
  <c r="Q397" i="52"/>
  <c r="P397" i="52"/>
  <c r="L397" i="52"/>
  <c r="M397" i="52" s="1"/>
  <c r="N397" i="52" s="1"/>
  <c r="K397" i="52"/>
  <c r="G397" i="52"/>
  <c r="E397" i="52"/>
  <c r="W396" i="52"/>
  <c r="X396" i="52" s="1"/>
  <c r="Q396" i="52"/>
  <c r="P396" i="52"/>
  <c r="L396" i="52"/>
  <c r="M396" i="52" s="1"/>
  <c r="N396" i="52" s="1"/>
  <c r="K396" i="52"/>
  <c r="G396" i="52"/>
  <c r="E396" i="52"/>
  <c r="W395" i="52"/>
  <c r="X395" i="52" s="1"/>
  <c r="Q395" i="52"/>
  <c r="P395" i="52"/>
  <c r="L395" i="52"/>
  <c r="M395" i="52" s="1"/>
  <c r="N395" i="52" s="1"/>
  <c r="K395" i="52"/>
  <c r="G395" i="52"/>
  <c r="E395" i="52"/>
  <c r="W394" i="52"/>
  <c r="X394" i="52" s="1"/>
  <c r="Q394" i="52"/>
  <c r="P394" i="52"/>
  <c r="L394" i="52"/>
  <c r="M394" i="52" s="1"/>
  <c r="N394" i="52" s="1"/>
  <c r="K394" i="52"/>
  <c r="G394" i="52"/>
  <c r="E394" i="52"/>
  <c r="W393" i="52"/>
  <c r="X393" i="52" s="1"/>
  <c r="Q393" i="52"/>
  <c r="P393" i="52"/>
  <c r="L393" i="52"/>
  <c r="M393" i="52" s="1"/>
  <c r="N393" i="52" s="1"/>
  <c r="K393" i="52"/>
  <c r="G393" i="52"/>
  <c r="E393" i="52"/>
  <c r="W392" i="52"/>
  <c r="X392" i="52" s="1"/>
  <c r="Q392" i="52"/>
  <c r="P392" i="52"/>
  <c r="L392" i="52"/>
  <c r="M392" i="52" s="1"/>
  <c r="N392" i="52" s="1"/>
  <c r="K392" i="52"/>
  <c r="G392" i="52"/>
  <c r="E392" i="52"/>
  <c r="W391" i="52"/>
  <c r="X391" i="52" s="1"/>
  <c r="Q391" i="52"/>
  <c r="P391" i="52"/>
  <c r="L391" i="52"/>
  <c r="M391" i="52" s="1"/>
  <c r="N391" i="52" s="1"/>
  <c r="K391" i="52"/>
  <c r="G391" i="52"/>
  <c r="E391" i="52"/>
  <c r="W390" i="52"/>
  <c r="X390" i="52" s="1"/>
  <c r="U390" i="52"/>
  <c r="T390" i="52"/>
  <c r="S390" i="52"/>
  <c r="Q390" i="52"/>
  <c r="P390" i="52"/>
  <c r="L390" i="52"/>
  <c r="M390" i="52" s="1"/>
  <c r="N390" i="52" s="1"/>
  <c r="G390" i="52"/>
  <c r="E390" i="52"/>
  <c r="W389" i="52"/>
  <c r="X389" i="52" s="1"/>
  <c r="Q389" i="52"/>
  <c r="P389" i="52"/>
  <c r="L389" i="52"/>
  <c r="M389" i="52" s="1"/>
  <c r="N389" i="52" s="1"/>
  <c r="W388" i="52"/>
  <c r="X388" i="52" s="1"/>
  <c r="Q388" i="52"/>
  <c r="P388" i="52"/>
  <c r="L388" i="52"/>
  <c r="M388" i="52" s="1"/>
  <c r="N388" i="52" s="1"/>
  <c r="K388" i="52"/>
  <c r="G388" i="52"/>
  <c r="E388" i="52"/>
  <c r="W387" i="52"/>
  <c r="X387" i="52" s="1"/>
  <c r="U387" i="52"/>
  <c r="T387" i="52"/>
  <c r="S387" i="52"/>
  <c r="Q387" i="52"/>
  <c r="P387" i="52"/>
  <c r="L387" i="52"/>
  <c r="M387" i="52" s="1"/>
  <c r="N387" i="52" s="1"/>
  <c r="K387" i="52"/>
  <c r="G387" i="52"/>
  <c r="E387" i="52"/>
  <c r="W386" i="52"/>
  <c r="X386" i="52" s="1"/>
  <c r="U386" i="52"/>
  <c r="T386" i="52"/>
  <c r="S386" i="52"/>
  <c r="Q386" i="52"/>
  <c r="P386" i="52"/>
  <c r="L386" i="52"/>
  <c r="M386" i="52" s="1"/>
  <c r="N386" i="52" s="1"/>
  <c r="K386" i="52"/>
  <c r="G386" i="52"/>
  <c r="E386" i="52"/>
  <c r="W385" i="52"/>
  <c r="X385" i="52" s="1"/>
  <c r="Q385" i="52"/>
  <c r="P385" i="52"/>
  <c r="L385" i="52"/>
  <c r="M385" i="52" s="1"/>
  <c r="N385" i="52" s="1"/>
  <c r="K385" i="52"/>
  <c r="G385" i="52"/>
  <c r="E385" i="52"/>
  <c r="W384" i="52"/>
  <c r="X384" i="52" s="1"/>
  <c r="U384" i="52"/>
  <c r="T384" i="52"/>
  <c r="S384" i="52"/>
  <c r="Q384" i="52"/>
  <c r="P384" i="52"/>
  <c r="L384" i="52"/>
  <c r="M384" i="52" s="1"/>
  <c r="N384" i="52" s="1"/>
  <c r="K384" i="52"/>
  <c r="G384" i="52"/>
  <c r="E384" i="52"/>
  <c r="W383" i="52"/>
  <c r="X383" i="52" s="1"/>
  <c r="Q383" i="52"/>
  <c r="P383" i="52"/>
  <c r="L383" i="52"/>
  <c r="M383" i="52" s="1"/>
  <c r="N383" i="52" s="1"/>
  <c r="K383" i="52"/>
  <c r="G383" i="52"/>
  <c r="E383" i="52"/>
  <c r="W382" i="52"/>
  <c r="X382" i="52" s="1"/>
  <c r="Q382" i="52"/>
  <c r="P382" i="52"/>
  <c r="L382" i="52"/>
  <c r="M382" i="52" s="1"/>
  <c r="N382" i="52" s="1"/>
  <c r="K382" i="52"/>
  <c r="G382" i="52"/>
  <c r="E382" i="52"/>
  <c r="W381" i="52"/>
  <c r="X381" i="52" s="1"/>
  <c r="Q381" i="52"/>
  <c r="P381" i="52"/>
  <c r="L381" i="52"/>
  <c r="M381" i="52" s="1"/>
  <c r="N381" i="52" s="1"/>
  <c r="K381" i="52"/>
  <c r="G381" i="52"/>
  <c r="E381" i="52"/>
  <c r="W380" i="52"/>
  <c r="X380" i="52" s="1"/>
  <c r="Q380" i="52"/>
  <c r="P380" i="52"/>
  <c r="L380" i="52"/>
  <c r="M380" i="52" s="1"/>
  <c r="N380" i="52" s="1"/>
  <c r="K380" i="52"/>
  <c r="G380" i="52"/>
  <c r="E380" i="52"/>
  <c r="W379" i="52"/>
  <c r="X379" i="52" s="1"/>
  <c r="U379" i="52"/>
  <c r="T379" i="52"/>
  <c r="S379" i="52"/>
  <c r="Q379" i="52"/>
  <c r="P379" i="52"/>
  <c r="L379" i="52"/>
  <c r="M379" i="52" s="1"/>
  <c r="N379" i="52" s="1"/>
  <c r="K379" i="52"/>
  <c r="G379" i="52"/>
  <c r="E379" i="52"/>
  <c r="W378" i="52"/>
  <c r="X378" i="52" s="1"/>
  <c r="Q378" i="52"/>
  <c r="P378" i="52"/>
  <c r="L378" i="52"/>
  <c r="M378" i="52" s="1"/>
  <c r="N378" i="52" s="1"/>
  <c r="K378" i="52"/>
  <c r="G378" i="52"/>
  <c r="E378" i="52"/>
  <c r="W377" i="52"/>
  <c r="X377" i="52" s="1"/>
  <c r="Q377" i="52"/>
  <c r="P377" i="52"/>
  <c r="L377" i="52"/>
  <c r="M377" i="52" s="1"/>
  <c r="N377" i="52" s="1"/>
  <c r="K377" i="52"/>
  <c r="G377" i="52"/>
  <c r="E377" i="52"/>
  <c r="W376" i="52"/>
  <c r="X376" i="52" s="1"/>
  <c r="U376" i="52"/>
  <c r="T376" i="52"/>
  <c r="S376" i="52"/>
  <c r="Q376" i="52"/>
  <c r="P376" i="52"/>
  <c r="L376" i="52"/>
  <c r="M376" i="52" s="1"/>
  <c r="N376" i="52" s="1"/>
  <c r="K376" i="52"/>
  <c r="G376" i="52"/>
  <c r="E376" i="52"/>
  <c r="W375" i="52"/>
  <c r="X375" i="52" s="1"/>
  <c r="Q375" i="52"/>
  <c r="P375" i="52"/>
  <c r="L375" i="52"/>
  <c r="M375" i="52" s="1"/>
  <c r="N375" i="52" s="1"/>
  <c r="K375" i="52"/>
  <c r="G375" i="52"/>
  <c r="E375" i="52"/>
  <c r="W374" i="52"/>
  <c r="X374" i="52" s="1"/>
  <c r="U374" i="52"/>
  <c r="T374" i="52"/>
  <c r="S374" i="52"/>
  <c r="Q374" i="52"/>
  <c r="P374" i="52"/>
  <c r="L374" i="52"/>
  <c r="M374" i="52" s="1"/>
  <c r="N374" i="52" s="1"/>
  <c r="K374" i="52"/>
  <c r="G374" i="52"/>
  <c r="E374" i="52"/>
  <c r="W373" i="52"/>
  <c r="X373" i="52" s="1"/>
  <c r="Q373" i="52"/>
  <c r="P373" i="52"/>
  <c r="L373" i="52"/>
  <c r="M373" i="52" s="1"/>
  <c r="N373" i="52" s="1"/>
  <c r="K373" i="52"/>
  <c r="G373" i="52"/>
  <c r="E373" i="52"/>
  <c r="W372" i="52"/>
  <c r="X372" i="52" s="1"/>
  <c r="Q372" i="52"/>
  <c r="P372" i="52"/>
  <c r="L372" i="52"/>
  <c r="M372" i="52" s="1"/>
  <c r="N372" i="52" s="1"/>
  <c r="K372" i="52"/>
  <c r="G372" i="52"/>
  <c r="E372" i="52"/>
  <c r="W371" i="52"/>
  <c r="X371" i="52" s="1"/>
  <c r="Q371" i="52"/>
  <c r="P371" i="52"/>
  <c r="L371" i="52"/>
  <c r="M371" i="52" s="1"/>
  <c r="N371" i="52" s="1"/>
  <c r="K371" i="52"/>
  <c r="G371" i="52"/>
  <c r="E371" i="52"/>
  <c r="W370" i="52"/>
  <c r="X370" i="52" s="1"/>
  <c r="Q370" i="52"/>
  <c r="P370" i="52"/>
  <c r="L370" i="52"/>
  <c r="M370" i="52" s="1"/>
  <c r="N370" i="52" s="1"/>
  <c r="K370" i="52"/>
  <c r="G370" i="52"/>
  <c r="E370" i="52"/>
  <c r="W369" i="52"/>
  <c r="X369" i="52" s="1"/>
  <c r="Q369" i="52"/>
  <c r="P369" i="52"/>
  <c r="L369" i="52"/>
  <c r="M369" i="52" s="1"/>
  <c r="N369" i="52" s="1"/>
  <c r="K369" i="52"/>
  <c r="G369" i="52"/>
  <c r="E369" i="52"/>
  <c r="W368" i="52"/>
  <c r="X368" i="52" s="1"/>
  <c r="Q368" i="52"/>
  <c r="P368" i="52"/>
  <c r="L368" i="52"/>
  <c r="M368" i="52" s="1"/>
  <c r="N368" i="52" s="1"/>
  <c r="K368" i="52"/>
  <c r="G368" i="52"/>
  <c r="E368" i="52"/>
  <c r="W367" i="52"/>
  <c r="X367" i="52" s="1"/>
  <c r="U367" i="52"/>
  <c r="T367" i="52"/>
  <c r="S367" i="52"/>
  <c r="Q367" i="52"/>
  <c r="P367" i="52"/>
  <c r="L367" i="52"/>
  <c r="M367" i="52" s="1"/>
  <c r="N367" i="52" s="1"/>
  <c r="K367" i="52"/>
  <c r="G367" i="52"/>
  <c r="E367" i="52"/>
  <c r="W366" i="52"/>
  <c r="X366" i="52" s="1"/>
  <c r="Q366" i="52"/>
  <c r="P366" i="52"/>
  <c r="L366" i="52"/>
  <c r="M366" i="52" s="1"/>
  <c r="N366" i="52" s="1"/>
  <c r="K366" i="52"/>
  <c r="G366" i="52"/>
  <c r="E366" i="52"/>
  <c r="W365" i="52"/>
  <c r="X365" i="52" s="1"/>
  <c r="Q365" i="52"/>
  <c r="P365" i="52"/>
  <c r="L365" i="52"/>
  <c r="M365" i="52" s="1"/>
  <c r="N365" i="52" s="1"/>
  <c r="K365" i="52"/>
  <c r="G365" i="52"/>
  <c r="E365" i="52"/>
  <c r="W364" i="52"/>
  <c r="X364" i="52" s="1"/>
  <c r="U364" i="52"/>
  <c r="T364" i="52"/>
  <c r="S364" i="52"/>
  <c r="Q364" i="52"/>
  <c r="P364" i="52"/>
  <c r="L364" i="52"/>
  <c r="M364" i="52" s="1"/>
  <c r="N364" i="52" s="1"/>
  <c r="K364" i="52"/>
  <c r="G364" i="52"/>
  <c r="E364" i="52"/>
  <c r="W363" i="52"/>
  <c r="X363" i="52" s="1"/>
  <c r="Q363" i="52"/>
  <c r="P363" i="52"/>
  <c r="L363" i="52"/>
  <c r="M363" i="52" s="1"/>
  <c r="N363" i="52" s="1"/>
  <c r="K363" i="52"/>
  <c r="G363" i="52"/>
  <c r="E363" i="52"/>
  <c r="W362" i="52"/>
  <c r="X362" i="52" s="1"/>
  <c r="Q362" i="52"/>
  <c r="P362" i="52"/>
  <c r="L362" i="52"/>
  <c r="M362" i="52" s="1"/>
  <c r="N362" i="52" s="1"/>
  <c r="K362" i="52"/>
  <c r="G362" i="52"/>
  <c r="E362" i="52"/>
  <c r="W361" i="52"/>
  <c r="X361" i="52" s="1"/>
  <c r="U361" i="52"/>
  <c r="T361" i="52"/>
  <c r="S361" i="52"/>
  <c r="Q361" i="52"/>
  <c r="P361" i="52"/>
  <c r="L361" i="52"/>
  <c r="M361" i="52" s="1"/>
  <c r="N361" i="52" s="1"/>
  <c r="K361" i="52"/>
  <c r="G361" i="52"/>
  <c r="E361" i="52"/>
  <c r="W360" i="52"/>
  <c r="X360" i="52" s="1"/>
  <c r="Q360" i="52"/>
  <c r="P360" i="52"/>
  <c r="L360" i="52"/>
  <c r="M360" i="52" s="1"/>
  <c r="N360" i="52" s="1"/>
  <c r="K360" i="52"/>
  <c r="G360" i="52"/>
  <c r="E360" i="52"/>
  <c r="W359" i="52"/>
  <c r="X359" i="52" s="1"/>
  <c r="Q359" i="52"/>
  <c r="P359" i="52"/>
  <c r="L359" i="52"/>
  <c r="M359" i="52" s="1"/>
  <c r="N359" i="52" s="1"/>
  <c r="K359" i="52"/>
  <c r="G359" i="52"/>
  <c r="E359" i="52"/>
  <c r="W358" i="52"/>
  <c r="X358" i="52" s="1"/>
  <c r="Q358" i="52"/>
  <c r="P358" i="52"/>
  <c r="L358" i="52"/>
  <c r="M358" i="52" s="1"/>
  <c r="N358" i="52" s="1"/>
  <c r="K358" i="52"/>
  <c r="G358" i="52"/>
  <c r="E358" i="52"/>
  <c r="W357" i="52"/>
  <c r="X357" i="52" s="1"/>
  <c r="Q357" i="52"/>
  <c r="P357" i="52"/>
  <c r="L357" i="52"/>
  <c r="M357" i="52" s="1"/>
  <c r="N357" i="52" s="1"/>
  <c r="K357" i="52"/>
  <c r="G357" i="52"/>
  <c r="E357" i="52"/>
  <c r="W356" i="52"/>
  <c r="X356" i="52" s="1"/>
  <c r="U356" i="52"/>
  <c r="T356" i="52"/>
  <c r="S356" i="52"/>
  <c r="Q356" i="52"/>
  <c r="P356" i="52"/>
  <c r="L356" i="52"/>
  <c r="M356" i="52" s="1"/>
  <c r="N356" i="52" s="1"/>
  <c r="K356" i="52"/>
  <c r="G356" i="52"/>
  <c r="E356" i="52"/>
  <c r="W355" i="52"/>
  <c r="X355" i="52" s="1"/>
  <c r="Q355" i="52"/>
  <c r="P355" i="52"/>
  <c r="L355" i="52"/>
  <c r="M355" i="52" s="1"/>
  <c r="N355" i="52" s="1"/>
  <c r="K355" i="52"/>
  <c r="G355" i="52"/>
  <c r="E355" i="52"/>
  <c r="W354" i="52"/>
  <c r="X354" i="52" s="1"/>
  <c r="Q354" i="52"/>
  <c r="P354" i="52"/>
  <c r="L354" i="52"/>
  <c r="M354" i="52" s="1"/>
  <c r="N354" i="52" s="1"/>
  <c r="K354" i="52"/>
  <c r="G354" i="52"/>
  <c r="E354" i="52"/>
  <c r="W353" i="52"/>
  <c r="X353" i="52" s="1"/>
  <c r="Q353" i="52"/>
  <c r="P353" i="52"/>
  <c r="L353" i="52"/>
  <c r="M353" i="52" s="1"/>
  <c r="N353" i="52" s="1"/>
  <c r="K353" i="52"/>
  <c r="G353" i="52"/>
  <c r="E353" i="52"/>
  <c r="W352" i="52"/>
  <c r="X352" i="52" s="1"/>
  <c r="Q352" i="52"/>
  <c r="P352" i="52"/>
  <c r="L352" i="52"/>
  <c r="M352" i="52" s="1"/>
  <c r="N352" i="52" s="1"/>
  <c r="K352" i="52"/>
  <c r="G352" i="52"/>
  <c r="E352" i="52"/>
  <c r="W351" i="52"/>
  <c r="X351" i="52" s="1"/>
  <c r="Q351" i="52"/>
  <c r="P351" i="52"/>
  <c r="L351" i="52"/>
  <c r="M351" i="52" s="1"/>
  <c r="N351" i="52" s="1"/>
  <c r="K351" i="52"/>
  <c r="G351" i="52"/>
  <c r="E351" i="52"/>
  <c r="W350" i="52"/>
  <c r="X350" i="52" s="1"/>
  <c r="Q350" i="52"/>
  <c r="P350" i="52"/>
  <c r="L350" i="52"/>
  <c r="M350" i="52" s="1"/>
  <c r="N350" i="52" s="1"/>
  <c r="K350" i="52"/>
  <c r="G350" i="52"/>
  <c r="E350" i="52"/>
  <c r="W349" i="52"/>
  <c r="X349" i="52" s="1"/>
  <c r="Q349" i="52"/>
  <c r="P349" i="52"/>
  <c r="L349" i="52"/>
  <c r="M349" i="52" s="1"/>
  <c r="N349" i="52" s="1"/>
  <c r="K349" i="52"/>
  <c r="G349" i="52"/>
  <c r="E349" i="52"/>
  <c r="W348" i="52"/>
  <c r="X348" i="52" s="1"/>
  <c r="Q348" i="52"/>
  <c r="P348" i="52"/>
  <c r="L348" i="52"/>
  <c r="M348" i="52" s="1"/>
  <c r="N348" i="52" s="1"/>
  <c r="K348" i="52"/>
  <c r="G348" i="52"/>
  <c r="E348" i="52"/>
  <c r="W347" i="52"/>
  <c r="X347" i="52" s="1"/>
  <c r="Q347" i="52"/>
  <c r="P347" i="52"/>
  <c r="L347" i="52"/>
  <c r="M347" i="52" s="1"/>
  <c r="N347" i="52" s="1"/>
  <c r="K347" i="52"/>
  <c r="G347" i="52"/>
  <c r="E347" i="52"/>
  <c r="W346" i="52"/>
  <c r="X346" i="52" s="1"/>
  <c r="Q346" i="52"/>
  <c r="P346" i="52"/>
  <c r="L346" i="52"/>
  <c r="M346" i="52" s="1"/>
  <c r="N346" i="52" s="1"/>
  <c r="K346" i="52"/>
  <c r="G346" i="52"/>
  <c r="E346" i="52"/>
  <c r="W345" i="52"/>
  <c r="X345" i="52" s="1"/>
  <c r="Q345" i="52"/>
  <c r="P345" i="52"/>
  <c r="L345" i="52"/>
  <c r="M345" i="52" s="1"/>
  <c r="N345" i="52" s="1"/>
  <c r="K345" i="52"/>
  <c r="G345" i="52"/>
  <c r="E345" i="52"/>
  <c r="W344" i="52"/>
  <c r="X344" i="52" s="1"/>
  <c r="Q344" i="52"/>
  <c r="P344" i="52"/>
  <c r="L344" i="52"/>
  <c r="M344" i="52" s="1"/>
  <c r="N344" i="52" s="1"/>
  <c r="K344" i="52"/>
  <c r="G344" i="52"/>
  <c r="E344" i="52"/>
  <c r="W343" i="52"/>
  <c r="X343" i="52" s="1"/>
  <c r="Q343" i="52"/>
  <c r="P343" i="52"/>
  <c r="L343" i="52"/>
  <c r="M343" i="52" s="1"/>
  <c r="N343" i="52" s="1"/>
  <c r="K343" i="52"/>
  <c r="G343" i="52"/>
  <c r="E343" i="52"/>
  <c r="W342" i="52"/>
  <c r="X342" i="52" s="1"/>
  <c r="Q342" i="52"/>
  <c r="P342" i="52"/>
  <c r="L342" i="52"/>
  <c r="M342" i="52" s="1"/>
  <c r="N342" i="52" s="1"/>
  <c r="K342" i="52"/>
  <c r="G342" i="52"/>
  <c r="E342" i="52"/>
  <c r="W341" i="52"/>
  <c r="X341" i="52" s="1"/>
  <c r="Q341" i="52"/>
  <c r="P341" i="52"/>
  <c r="L341" i="52"/>
  <c r="M341" i="52" s="1"/>
  <c r="N341" i="52" s="1"/>
  <c r="K341" i="52"/>
  <c r="G341" i="52"/>
  <c r="E341" i="52"/>
  <c r="W340" i="52"/>
  <c r="X340" i="52" s="1"/>
  <c r="Q340" i="52"/>
  <c r="P340" i="52"/>
  <c r="L340" i="52"/>
  <c r="M340" i="52" s="1"/>
  <c r="N340" i="52" s="1"/>
  <c r="K340" i="52"/>
  <c r="G340" i="52"/>
  <c r="E340" i="52"/>
  <c r="W339" i="52"/>
  <c r="X339" i="52" s="1"/>
  <c r="U339" i="52"/>
  <c r="T339" i="52"/>
  <c r="S339" i="52"/>
  <c r="Q339" i="52"/>
  <c r="P339" i="52"/>
  <c r="L339" i="52"/>
  <c r="M339" i="52" s="1"/>
  <c r="N339" i="52" s="1"/>
  <c r="K339" i="52"/>
  <c r="G339" i="52"/>
  <c r="E339" i="52"/>
  <c r="W338" i="52"/>
  <c r="X338" i="52" s="1"/>
  <c r="Q338" i="52"/>
  <c r="P338" i="52"/>
  <c r="L338" i="52"/>
  <c r="M338" i="52" s="1"/>
  <c r="N338" i="52" s="1"/>
  <c r="K338" i="52"/>
  <c r="G338" i="52"/>
  <c r="E338" i="52"/>
  <c r="W337" i="52"/>
  <c r="X337" i="52" s="1"/>
  <c r="Q337" i="52"/>
  <c r="P337" i="52"/>
  <c r="L337" i="52"/>
  <c r="M337" i="52" s="1"/>
  <c r="N337" i="52" s="1"/>
  <c r="K337" i="52"/>
  <c r="G337" i="52"/>
  <c r="E337" i="52"/>
  <c r="W336" i="52"/>
  <c r="X336" i="52" s="1"/>
  <c r="Q336" i="52"/>
  <c r="P336" i="52"/>
  <c r="L336" i="52"/>
  <c r="M336" i="52" s="1"/>
  <c r="N336" i="52" s="1"/>
  <c r="K336" i="52"/>
  <c r="G336" i="52"/>
  <c r="E336" i="52"/>
  <c r="W335" i="52"/>
  <c r="X335" i="52" s="1"/>
  <c r="Q335" i="52"/>
  <c r="P335" i="52"/>
  <c r="L335" i="52"/>
  <c r="M335" i="52" s="1"/>
  <c r="N335" i="52" s="1"/>
  <c r="K335" i="52"/>
  <c r="G335" i="52"/>
  <c r="E335" i="52"/>
  <c r="W334" i="52"/>
  <c r="X334" i="52" s="1"/>
  <c r="Q334" i="52"/>
  <c r="P334" i="52"/>
  <c r="L334" i="52"/>
  <c r="M334" i="52" s="1"/>
  <c r="N334" i="52" s="1"/>
  <c r="K334" i="52"/>
  <c r="G334" i="52"/>
  <c r="E334" i="52"/>
  <c r="W333" i="52"/>
  <c r="X333" i="52" s="1"/>
  <c r="Q333" i="52"/>
  <c r="P333" i="52"/>
  <c r="L333" i="52"/>
  <c r="M333" i="52" s="1"/>
  <c r="N333" i="52" s="1"/>
  <c r="K333" i="52"/>
  <c r="G333" i="52"/>
  <c r="E333" i="52"/>
  <c r="W332" i="52"/>
  <c r="X332" i="52" s="1"/>
  <c r="Q332" i="52"/>
  <c r="P332" i="52"/>
  <c r="L332" i="52"/>
  <c r="M332" i="52" s="1"/>
  <c r="N332" i="52" s="1"/>
  <c r="K332" i="52"/>
  <c r="G332" i="52"/>
  <c r="E332" i="52"/>
  <c r="W331" i="52"/>
  <c r="X331" i="52" s="1"/>
  <c r="Q331" i="52"/>
  <c r="P331" i="52"/>
  <c r="L331" i="52"/>
  <c r="M331" i="52" s="1"/>
  <c r="N331" i="52" s="1"/>
  <c r="K331" i="52"/>
  <c r="G331" i="52"/>
  <c r="E331" i="52"/>
  <c r="W330" i="52"/>
  <c r="X330" i="52" s="1"/>
  <c r="Q330" i="52"/>
  <c r="P330" i="52"/>
  <c r="L330" i="52"/>
  <c r="M330" i="52" s="1"/>
  <c r="N330" i="52" s="1"/>
  <c r="K330" i="52"/>
  <c r="G330" i="52"/>
  <c r="E330" i="52"/>
  <c r="W329" i="52"/>
  <c r="X329" i="52" s="1"/>
  <c r="Q329" i="52"/>
  <c r="P329" i="52"/>
  <c r="L329" i="52"/>
  <c r="M329" i="52" s="1"/>
  <c r="N329" i="52" s="1"/>
  <c r="K329" i="52"/>
  <c r="G329" i="52"/>
  <c r="E329" i="52"/>
  <c r="W328" i="52"/>
  <c r="X328" i="52" s="1"/>
  <c r="Q328" i="52"/>
  <c r="P328" i="52"/>
  <c r="L328" i="52"/>
  <c r="M328" i="52" s="1"/>
  <c r="N328" i="52" s="1"/>
  <c r="K328" i="52"/>
  <c r="G328" i="52"/>
  <c r="E328" i="52"/>
  <c r="W327" i="52"/>
  <c r="X327" i="52" s="1"/>
  <c r="Q327" i="52"/>
  <c r="P327" i="52"/>
  <c r="L327" i="52"/>
  <c r="M327" i="52" s="1"/>
  <c r="N327" i="52" s="1"/>
  <c r="K327" i="52"/>
  <c r="G327" i="52"/>
  <c r="E327" i="52"/>
  <c r="W326" i="52"/>
  <c r="X326" i="52" s="1"/>
  <c r="Q326" i="52"/>
  <c r="P326" i="52"/>
  <c r="L326" i="52"/>
  <c r="M326" i="52" s="1"/>
  <c r="N326" i="52" s="1"/>
  <c r="K326" i="52"/>
  <c r="G326" i="52"/>
  <c r="E326" i="52"/>
  <c r="W325" i="52"/>
  <c r="X325" i="52" s="1"/>
  <c r="Q325" i="52"/>
  <c r="P325" i="52"/>
  <c r="L325" i="52"/>
  <c r="M325" i="52" s="1"/>
  <c r="N325" i="52" s="1"/>
  <c r="K325" i="52"/>
  <c r="G325" i="52"/>
  <c r="E325" i="52"/>
  <c r="W324" i="52"/>
  <c r="X324" i="52" s="1"/>
  <c r="Q324" i="52"/>
  <c r="P324" i="52"/>
  <c r="L324" i="52"/>
  <c r="M324" i="52" s="1"/>
  <c r="N324" i="52" s="1"/>
  <c r="K324" i="52"/>
  <c r="G324" i="52"/>
  <c r="E324" i="52"/>
  <c r="W323" i="52"/>
  <c r="X323" i="52" s="1"/>
  <c r="Q323" i="52"/>
  <c r="P323" i="52"/>
  <c r="L323" i="52"/>
  <c r="M323" i="52" s="1"/>
  <c r="N323" i="52" s="1"/>
  <c r="K323" i="52"/>
  <c r="G323" i="52"/>
  <c r="E323" i="52"/>
  <c r="W322" i="52"/>
  <c r="X322" i="52" s="1"/>
  <c r="Q322" i="52"/>
  <c r="P322" i="52"/>
  <c r="L322" i="52"/>
  <c r="M322" i="52" s="1"/>
  <c r="N322" i="52" s="1"/>
  <c r="K322" i="52"/>
  <c r="G322" i="52"/>
  <c r="E322" i="52"/>
  <c r="W321" i="52"/>
  <c r="X321" i="52" s="1"/>
  <c r="Q321" i="52"/>
  <c r="P321" i="52"/>
  <c r="L321" i="52"/>
  <c r="M321" i="52" s="1"/>
  <c r="N321" i="52" s="1"/>
  <c r="K321" i="52"/>
  <c r="G321" i="52"/>
  <c r="E321" i="52"/>
  <c r="W320" i="52"/>
  <c r="X320" i="52" s="1"/>
  <c r="Q320" i="52"/>
  <c r="P320" i="52"/>
  <c r="L320" i="52"/>
  <c r="M320" i="52" s="1"/>
  <c r="N320" i="52" s="1"/>
  <c r="K320" i="52"/>
  <c r="G320" i="52"/>
  <c r="E320" i="52"/>
  <c r="W319" i="52"/>
  <c r="X319" i="52" s="1"/>
  <c r="Q319" i="52"/>
  <c r="P319" i="52"/>
  <c r="L319" i="52"/>
  <c r="M319" i="52" s="1"/>
  <c r="N319" i="52" s="1"/>
  <c r="K319" i="52"/>
  <c r="G319" i="52"/>
  <c r="E319" i="52"/>
  <c r="W318" i="52"/>
  <c r="X318" i="52" s="1"/>
  <c r="Q318" i="52"/>
  <c r="P318" i="52"/>
  <c r="L318" i="52"/>
  <c r="M318" i="52" s="1"/>
  <c r="N318" i="52" s="1"/>
  <c r="K318" i="52"/>
  <c r="G318" i="52"/>
  <c r="E318" i="52"/>
  <c r="W317" i="52"/>
  <c r="X317" i="52" s="1"/>
  <c r="Q317" i="52"/>
  <c r="P317" i="52"/>
  <c r="L317" i="52"/>
  <c r="M317" i="52" s="1"/>
  <c r="N317" i="52" s="1"/>
  <c r="K317" i="52"/>
  <c r="G317" i="52"/>
  <c r="E317" i="52"/>
  <c r="W316" i="52"/>
  <c r="X316" i="52" s="1"/>
  <c r="Q316" i="52"/>
  <c r="P316" i="52"/>
  <c r="L316" i="52"/>
  <c r="M316" i="52" s="1"/>
  <c r="N316" i="52" s="1"/>
  <c r="K316" i="52"/>
  <c r="G316" i="52"/>
  <c r="E316" i="52"/>
  <c r="W315" i="52"/>
  <c r="X315" i="52" s="1"/>
  <c r="U315" i="52"/>
  <c r="T315" i="52"/>
  <c r="S315" i="52"/>
  <c r="Q315" i="52"/>
  <c r="P315" i="52"/>
  <c r="L315" i="52"/>
  <c r="M315" i="52" s="1"/>
  <c r="N315" i="52" s="1"/>
  <c r="K315" i="52"/>
  <c r="G315" i="52"/>
  <c r="E315" i="52"/>
  <c r="W314" i="52"/>
  <c r="X314" i="52" s="1"/>
  <c r="Q314" i="52"/>
  <c r="P314" i="52"/>
  <c r="L314" i="52"/>
  <c r="M314" i="52" s="1"/>
  <c r="N314" i="52" s="1"/>
  <c r="G314" i="52"/>
  <c r="E314" i="52"/>
  <c r="W313" i="52"/>
  <c r="X313" i="52" s="1"/>
  <c r="Q313" i="52"/>
  <c r="P313" i="52"/>
  <c r="L313" i="52"/>
  <c r="M313" i="52" s="1"/>
  <c r="N313" i="52" s="1"/>
  <c r="G313" i="52"/>
  <c r="E313" i="52"/>
  <c r="W312" i="52"/>
  <c r="X312" i="52" s="1"/>
  <c r="Q312" i="52"/>
  <c r="P312" i="52"/>
  <c r="L312" i="52"/>
  <c r="M312" i="52" s="1"/>
  <c r="N312" i="52" s="1"/>
  <c r="K312" i="52"/>
  <c r="G312" i="52"/>
  <c r="E312" i="52"/>
  <c r="W311" i="52"/>
  <c r="X311" i="52" s="1"/>
  <c r="Q311" i="52"/>
  <c r="P311" i="52"/>
  <c r="L311" i="52"/>
  <c r="M311" i="52" s="1"/>
  <c r="N311" i="52" s="1"/>
  <c r="K311" i="52"/>
  <c r="G311" i="52"/>
  <c r="E311" i="52"/>
  <c r="W310" i="52"/>
  <c r="X310" i="52" s="1"/>
  <c r="Q310" i="52"/>
  <c r="P310" i="52"/>
  <c r="L310" i="52"/>
  <c r="M310" i="52" s="1"/>
  <c r="N310" i="52" s="1"/>
  <c r="K310" i="52"/>
  <c r="G310" i="52"/>
  <c r="E310" i="52"/>
  <c r="W309" i="52"/>
  <c r="X309" i="52" s="1"/>
  <c r="U309" i="52"/>
  <c r="T309" i="52"/>
  <c r="S309" i="52"/>
  <c r="Q309" i="52"/>
  <c r="P309" i="52"/>
  <c r="L309" i="52"/>
  <c r="M309" i="52" s="1"/>
  <c r="N309" i="52" s="1"/>
  <c r="K309" i="52"/>
  <c r="G309" i="52"/>
  <c r="E309" i="52"/>
  <c r="W308" i="52"/>
  <c r="X308" i="52" s="1"/>
  <c r="Q308" i="52"/>
  <c r="P308" i="52"/>
  <c r="L308" i="52"/>
  <c r="M308" i="52" s="1"/>
  <c r="N308" i="52" s="1"/>
  <c r="K308" i="52"/>
  <c r="G308" i="52"/>
  <c r="E308" i="52"/>
  <c r="W307" i="52"/>
  <c r="X307" i="52" s="1"/>
  <c r="Q307" i="52"/>
  <c r="P307" i="52"/>
  <c r="L307" i="52"/>
  <c r="M307" i="52" s="1"/>
  <c r="N307" i="52" s="1"/>
  <c r="K307" i="52"/>
  <c r="G307" i="52"/>
  <c r="E307" i="52"/>
  <c r="W306" i="52"/>
  <c r="X306" i="52" s="1"/>
  <c r="Q306" i="52"/>
  <c r="P306" i="52"/>
  <c r="L306" i="52"/>
  <c r="M306" i="52" s="1"/>
  <c r="N306" i="52" s="1"/>
  <c r="K306" i="52"/>
  <c r="G306" i="52"/>
  <c r="E306" i="52"/>
  <c r="W305" i="52"/>
  <c r="X305" i="52" s="1"/>
  <c r="Q305" i="52"/>
  <c r="P305" i="52"/>
  <c r="L305" i="52"/>
  <c r="M305" i="52" s="1"/>
  <c r="N305" i="52" s="1"/>
  <c r="K305" i="52"/>
  <c r="G305" i="52"/>
  <c r="E305" i="52"/>
  <c r="W304" i="52"/>
  <c r="X304" i="52" s="1"/>
  <c r="Q304" i="52"/>
  <c r="P304" i="52"/>
  <c r="L304" i="52"/>
  <c r="M304" i="52" s="1"/>
  <c r="N304" i="52" s="1"/>
  <c r="K304" i="52"/>
  <c r="G304" i="52"/>
  <c r="E304" i="52"/>
  <c r="W303" i="52"/>
  <c r="X303" i="52" s="1"/>
  <c r="Q303" i="52"/>
  <c r="P303" i="52"/>
  <c r="L303" i="52"/>
  <c r="M303" i="52" s="1"/>
  <c r="N303" i="52" s="1"/>
  <c r="K303" i="52"/>
  <c r="G303" i="52"/>
  <c r="E303" i="52"/>
  <c r="W302" i="52"/>
  <c r="X302" i="52" s="1"/>
  <c r="Q302" i="52"/>
  <c r="P302" i="52"/>
  <c r="L302" i="52"/>
  <c r="M302" i="52" s="1"/>
  <c r="N302" i="52" s="1"/>
  <c r="G302" i="52"/>
  <c r="E302" i="52"/>
  <c r="W301" i="52"/>
  <c r="X301" i="52" s="1"/>
  <c r="Q301" i="52"/>
  <c r="P301" i="52"/>
  <c r="L301" i="52"/>
  <c r="M301" i="52" s="1"/>
  <c r="N301" i="52" s="1"/>
  <c r="G301" i="52"/>
  <c r="E301" i="52"/>
  <c r="W300" i="52"/>
  <c r="X300" i="52" s="1"/>
  <c r="Q300" i="52"/>
  <c r="P300" i="52"/>
  <c r="L300" i="52"/>
  <c r="M300" i="52" s="1"/>
  <c r="N300" i="52" s="1"/>
  <c r="K300" i="52"/>
  <c r="G300" i="52"/>
  <c r="E300" i="52"/>
  <c r="W299" i="52"/>
  <c r="X299" i="52" s="1"/>
  <c r="Q299" i="52"/>
  <c r="P299" i="52"/>
  <c r="L299" i="52"/>
  <c r="M299" i="52" s="1"/>
  <c r="N299" i="52" s="1"/>
  <c r="K299" i="52"/>
  <c r="G299" i="52"/>
  <c r="E299" i="52"/>
  <c r="W298" i="52"/>
  <c r="X298" i="52" s="1"/>
  <c r="Q298" i="52"/>
  <c r="P298" i="52"/>
  <c r="L298" i="52"/>
  <c r="M298" i="52" s="1"/>
  <c r="N298" i="52" s="1"/>
  <c r="K298" i="52"/>
  <c r="G298" i="52"/>
  <c r="E298" i="52"/>
  <c r="W297" i="52"/>
  <c r="X297" i="52" s="1"/>
  <c r="Q297" i="52"/>
  <c r="P297" i="52"/>
  <c r="L297" i="52"/>
  <c r="M297" i="52" s="1"/>
  <c r="N297" i="52" s="1"/>
  <c r="K297" i="52"/>
  <c r="G297" i="52"/>
  <c r="E297" i="52"/>
  <c r="W296" i="52"/>
  <c r="X296" i="52" s="1"/>
  <c r="Q296" i="52"/>
  <c r="P296" i="52"/>
  <c r="L296" i="52"/>
  <c r="M296" i="52" s="1"/>
  <c r="N296" i="52" s="1"/>
  <c r="K296" i="52"/>
  <c r="G296" i="52"/>
  <c r="E296" i="52"/>
  <c r="W295" i="52"/>
  <c r="X295" i="52" s="1"/>
  <c r="Q295" i="52"/>
  <c r="P295" i="52"/>
  <c r="L295" i="52"/>
  <c r="M295" i="52" s="1"/>
  <c r="N295" i="52" s="1"/>
  <c r="G295" i="52"/>
  <c r="E295" i="52"/>
  <c r="W294" i="52"/>
  <c r="X294" i="52" s="1"/>
  <c r="Q294" i="52"/>
  <c r="P294" i="52"/>
  <c r="L294" i="52"/>
  <c r="M294" i="52" s="1"/>
  <c r="N294" i="52" s="1"/>
  <c r="K294" i="52"/>
  <c r="G294" i="52"/>
  <c r="E294" i="52"/>
  <c r="W293" i="52"/>
  <c r="X293" i="52" s="1"/>
  <c r="Q293" i="52"/>
  <c r="P293" i="52"/>
  <c r="L293" i="52"/>
  <c r="M293" i="52" s="1"/>
  <c r="N293" i="52" s="1"/>
  <c r="K293" i="52"/>
  <c r="G293" i="52"/>
  <c r="E293" i="52"/>
  <c r="W292" i="52"/>
  <c r="X292" i="52" s="1"/>
  <c r="Q292" i="52"/>
  <c r="P292" i="52"/>
  <c r="L292" i="52"/>
  <c r="M292" i="52" s="1"/>
  <c r="N292" i="52" s="1"/>
  <c r="K292" i="52"/>
  <c r="G292" i="52"/>
  <c r="E292" i="52"/>
  <c r="W291" i="52"/>
  <c r="X291" i="52" s="1"/>
  <c r="Q291" i="52"/>
  <c r="P291" i="52"/>
  <c r="L291" i="52"/>
  <c r="M291" i="52" s="1"/>
  <c r="N291" i="52" s="1"/>
  <c r="K291" i="52"/>
  <c r="G291" i="52"/>
  <c r="E291" i="52"/>
  <c r="W290" i="52"/>
  <c r="X290" i="52" s="1"/>
  <c r="Q290" i="52"/>
  <c r="P290" i="52"/>
  <c r="L290" i="52"/>
  <c r="M290" i="52" s="1"/>
  <c r="N290" i="52" s="1"/>
  <c r="K290" i="52"/>
  <c r="G290" i="52"/>
  <c r="E290" i="52"/>
  <c r="W289" i="52"/>
  <c r="X289" i="52" s="1"/>
  <c r="Q289" i="52"/>
  <c r="P289" i="52"/>
  <c r="L289" i="52"/>
  <c r="M289" i="52" s="1"/>
  <c r="N289" i="52" s="1"/>
  <c r="K289" i="52"/>
  <c r="G289" i="52"/>
  <c r="E289" i="52"/>
  <c r="W288" i="52"/>
  <c r="X288" i="52" s="1"/>
  <c r="Q288" i="52"/>
  <c r="P288" i="52"/>
  <c r="L288" i="52"/>
  <c r="M288" i="52" s="1"/>
  <c r="N288" i="52" s="1"/>
  <c r="K288" i="52"/>
  <c r="G288" i="52"/>
  <c r="E288" i="52"/>
  <c r="W287" i="52"/>
  <c r="X287" i="52" s="1"/>
  <c r="Q287" i="52"/>
  <c r="P287" i="52"/>
  <c r="L287" i="52"/>
  <c r="M287" i="52" s="1"/>
  <c r="N287" i="52" s="1"/>
  <c r="G287" i="52"/>
  <c r="E287" i="52"/>
  <c r="W286" i="52"/>
  <c r="X286" i="52" s="1"/>
  <c r="Q286" i="52"/>
  <c r="P286" i="52"/>
  <c r="L286" i="52"/>
  <c r="M286" i="52" s="1"/>
  <c r="N286" i="52" s="1"/>
  <c r="K286" i="52"/>
  <c r="G286" i="52"/>
  <c r="E286" i="52"/>
  <c r="W285" i="52"/>
  <c r="X285" i="52" s="1"/>
  <c r="Q285" i="52"/>
  <c r="P285" i="52"/>
  <c r="L285" i="52"/>
  <c r="M285" i="52" s="1"/>
  <c r="N285" i="52" s="1"/>
  <c r="K285" i="52"/>
  <c r="G285" i="52"/>
  <c r="E285" i="52"/>
  <c r="W284" i="52"/>
  <c r="X284" i="52" s="1"/>
  <c r="Q284" i="52"/>
  <c r="P284" i="52"/>
  <c r="L284" i="52"/>
  <c r="M284" i="52" s="1"/>
  <c r="N284" i="52" s="1"/>
  <c r="K284" i="52"/>
  <c r="G284" i="52"/>
  <c r="E284" i="52"/>
  <c r="W283" i="52"/>
  <c r="X283" i="52" s="1"/>
  <c r="Q283" i="52"/>
  <c r="P283" i="52"/>
  <c r="L283" i="52"/>
  <c r="M283" i="52" s="1"/>
  <c r="N283" i="52" s="1"/>
  <c r="K283" i="52"/>
  <c r="G283" i="52"/>
  <c r="E283" i="52"/>
  <c r="W282" i="52"/>
  <c r="X282" i="52" s="1"/>
  <c r="Q282" i="52"/>
  <c r="P282" i="52"/>
  <c r="L282" i="52"/>
  <c r="M282" i="52" s="1"/>
  <c r="N282" i="52" s="1"/>
  <c r="K282" i="52"/>
  <c r="G282" i="52"/>
  <c r="E282" i="52"/>
  <c r="W281" i="52"/>
  <c r="X281" i="52" s="1"/>
  <c r="Q281" i="52"/>
  <c r="P281" i="52"/>
  <c r="L281" i="52"/>
  <c r="M281" i="52" s="1"/>
  <c r="N281" i="52" s="1"/>
  <c r="K281" i="52"/>
  <c r="G281" i="52"/>
  <c r="E281" i="52"/>
  <c r="W280" i="52"/>
  <c r="X280" i="52" s="1"/>
  <c r="Q280" i="52"/>
  <c r="P280" i="52"/>
  <c r="L280" i="52"/>
  <c r="M280" i="52" s="1"/>
  <c r="N280" i="52" s="1"/>
  <c r="K280" i="52"/>
  <c r="G280" i="52"/>
  <c r="E280" i="52"/>
  <c r="W279" i="52"/>
  <c r="X279" i="52" s="1"/>
  <c r="Q279" i="52"/>
  <c r="P279" i="52"/>
  <c r="L279" i="52"/>
  <c r="M279" i="52" s="1"/>
  <c r="N279" i="52" s="1"/>
  <c r="K279" i="52"/>
  <c r="G279" i="52"/>
  <c r="E279" i="52"/>
  <c r="W278" i="52"/>
  <c r="X278" i="52" s="1"/>
  <c r="Q278" i="52"/>
  <c r="P278" i="52"/>
  <c r="L278" i="52"/>
  <c r="M278" i="52" s="1"/>
  <c r="N278" i="52" s="1"/>
  <c r="W277" i="52"/>
  <c r="X277" i="52" s="1"/>
  <c r="Q277" i="52"/>
  <c r="P277" i="52"/>
  <c r="L277" i="52"/>
  <c r="M277" i="52" s="1"/>
  <c r="N277" i="52" s="1"/>
  <c r="K277" i="52"/>
  <c r="G277" i="52"/>
  <c r="E277" i="52"/>
  <c r="W276" i="52"/>
  <c r="X276" i="52" s="1"/>
  <c r="Q276" i="52"/>
  <c r="P276" i="52"/>
  <c r="L276" i="52"/>
  <c r="M276" i="52" s="1"/>
  <c r="N276" i="52" s="1"/>
  <c r="W275" i="52"/>
  <c r="X275" i="52" s="1"/>
  <c r="Q275" i="52"/>
  <c r="P275" i="52"/>
  <c r="L275" i="52"/>
  <c r="M275" i="52" s="1"/>
  <c r="N275" i="52" s="1"/>
  <c r="K275" i="52"/>
  <c r="G275" i="52"/>
  <c r="E275" i="52"/>
  <c r="W274" i="52"/>
  <c r="X274" i="52" s="1"/>
  <c r="Q274" i="52"/>
  <c r="P274" i="52"/>
  <c r="L274" i="52"/>
  <c r="M274" i="52" s="1"/>
  <c r="N274" i="52" s="1"/>
  <c r="K274" i="52"/>
  <c r="G274" i="52"/>
  <c r="E274" i="52"/>
  <c r="W273" i="52"/>
  <c r="X273" i="52" s="1"/>
  <c r="Q273" i="52"/>
  <c r="P273" i="52"/>
  <c r="L273" i="52"/>
  <c r="M273" i="52" s="1"/>
  <c r="N273" i="52" s="1"/>
  <c r="K273" i="52"/>
  <c r="G273" i="52"/>
  <c r="E273" i="52"/>
  <c r="W272" i="52"/>
  <c r="X272" i="52" s="1"/>
  <c r="Q272" i="52"/>
  <c r="P272" i="52"/>
  <c r="L272" i="52"/>
  <c r="M272" i="52" s="1"/>
  <c r="N272" i="52" s="1"/>
  <c r="K272" i="52"/>
  <c r="G272" i="52"/>
  <c r="E272" i="52"/>
  <c r="W271" i="52"/>
  <c r="X271" i="52" s="1"/>
  <c r="Q271" i="52"/>
  <c r="P271" i="52"/>
  <c r="L271" i="52"/>
  <c r="M271" i="52" s="1"/>
  <c r="N271" i="52" s="1"/>
  <c r="K271" i="52"/>
  <c r="G271" i="52"/>
  <c r="E271" i="52"/>
  <c r="W270" i="52"/>
  <c r="X270" i="52" s="1"/>
  <c r="U270" i="52"/>
  <c r="T270" i="52"/>
  <c r="S270" i="52"/>
  <c r="Q270" i="52"/>
  <c r="P270" i="52"/>
  <c r="L270" i="52"/>
  <c r="M270" i="52" s="1"/>
  <c r="N270" i="52" s="1"/>
  <c r="K270" i="52"/>
  <c r="G270" i="52"/>
  <c r="E270" i="52"/>
  <c r="W269" i="52"/>
  <c r="X269" i="52" s="1"/>
  <c r="Q269" i="52"/>
  <c r="P269" i="52"/>
  <c r="L269" i="52"/>
  <c r="M269" i="52" s="1"/>
  <c r="N269" i="52" s="1"/>
  <c r="K269" i="52"/>
  <c r="G269" i="52"/>
  <c r="E269" i="52"/>
  <c r="W268" i="52"/>
  <c r="X268" i="52" s="1"/>
  <c r="U268" i="52"/>
  <c r="T268" i="52"/>
  <c r="S268" i="52"/>
  <c r="Q268" i="52"/>
  <c r="P268" i="52"/>
  <c r="L268" i="52"/>
  <c r="M268" i="52" s="1"/>
  <c r="N268" i="52" s="1"/>
  <c r="K268" i="52"/>
  <c r="G268" i="52"/>
  <c r="E268" i="52"/>
  <c r="W267" i="52"/>
  <c r="X267" i="52" s="1"/>
  <c r="Q267" i="52"/>
  <c r="P267" i="52"/>
  <c r="L267" i="52"/>
  <c r="M267" i="52" s="1"/>
  <c r="N267" i="52" s="1"/>
  <c r="K267" i="52"/>
  <c r="G267" i="52"/>
  <c r="E267" i="52"/>
  <c r="W266" i="52"/>
  <c r="X266" i="52" s="1"/>
  <c r="Q266" i="52"/>
  <c r="P266" i="52"/>
  <c r="L266" i="52"/>
  <c r="M266" i="52" s="1"/>
  <c r="N266" i="52" s="1"/>
  <c r="K266" i="52"/>
  <c r="G266" i="52"/>
  <c r="E266" i="52"/>
  <c r="W265" i="52"/>
  <c r="X265" i="52" s="1"/>
  <c r="Q265" i="52"/>
  <c r="P265" i="52"/>
  <c r="L265" i="52"/>
  <c r="M265" i="52" s="1"/>
  <c r="N265" i="52" s="1"/>
  <c r="K265" i="52"/>
  <c r="G265" i="52"/>
  <c r="E265" i="52"/>
  <c r="W264" i="52"/>
  <c r="X264" i="52" s="1"/>
  <c r="Q264" i="52"/>
  <c r="P264" i="52"/>
  <c r="L264" i="52"/>
  <c r="M264" i="52" s="1"/>
  <c r="N264" i="52" s="1"/>
  <c r="K264" i="52"/>
  <c r="G264" i="52"/>
  <c r="E264" i="52"/>
  <c r="W263" i="52"/>
  <c r="X263" i="52" s="1"/>
  <c r="Q263" i="52"/>
  <c r="P263" i="52"/>
  <c r="L263" i="52"/>
  <c r="M263" i="52" s="1"/>
  <c r="N263" i="52" s="1"/>
  <c r="K263" i="52"/>
  <c r="G263" i="52"/>
  <c r="E263" i="52"/>
  <c r="W262" i="52"/>
  <c r="X262" i="52" s="1"/>
  <c r="Q262" i="52"/>
  <c r="P262" i="52"/>
  <c r="L262" i="52"/>
  <c r="M262" i="52" s="1"/>
  <c r="N262" i="52" s="1"/>
  <c r="K262" i="52"/>
  <c r="G262" i="52"/>
  <c r="E262" i="52"/>
  <c r="W261" i="52"/>
  <c r="X261" i="52" s="1"/>
  <c r="Q261" i="52"/>
  <c r="P261" i="52"/>
  <c r="L261" i="52"/>
  <c r="M261" i="52" s="1"/>
  <c r="N261" i="52" s="1"/>
  <c r="K261" i="52"/>
  <c r="G261" i="52"/>
  <c r="E261" i="52"/>
  <c r="W260" i="52"/>
  <c r="X260" i="52" s="1"/>
  <c r="Q260" i="52"/>
  <c r="P260" i="52"/>
  <c r="L260" i="52"/>
  <c r="M260" i="52" s="1"/>
  <c r="N260" i="52" s="1"/>
  <c r="K260" i="52"/>
  <c r="G260" i="52"/>
  <c r="E260" i="52"/>
  <c r="W259" i="52"/>
  <c r="X259" i="52" s="1"/>
  <c r="Q259" i="52"/>
  <c r="P259" i="52"/>
  <c r="L259" i="52"/>
  <c r="M259" i="52" s="1"/>
  <c r="N259" i="52" s="1"/>
  <c r="K259" i="52"/>
  <c r="G259" i="52"/>
  <c r="E259" i="52"/>
  <c r="W258" i="52"/>
  <c r="X258" i="52" s="1"/>
  <c r="Q258" i="52"/>
  <c r="P258" i="52"/>
  <c r="L258" i="52"/>
  <c r="M258" i="52" s="1"/>
  <c r="N258" i="52" s="1"/>
  <c r="K258" i="52"/>
  <c r="G258" i="52"/>
  <c r="E258" i="52"/>
  <c r="W257" i="52"/>
  <c r="X257" i="52" s="1"/>
  <c r="Q257" i="52"/>
  <c r="P257" i="52"/>
  <c r="L257" i="52"/>
  <c r="M257" i="52" s="1"/>
  <c r="N257" i="52" s="1"/>
  <c r="K257" i="52"/>
  <c r="G257" i="52"/>
  <c r="E257" i="52"/>
  <c r="W256" i="52"/>
  <c r="X256" i="52" s="1"/>
  <c r="Q256" i="52"/>
  <c r="P256" i="52"/>
  <c r="L256" i="52"/>
  <c r="M256" i="52" s="1"/>
  <c r="N256" i="52" s="1"/>
  <c r="K256" i="52"/>
  <c r="G256" i="52"/>
  <c r="E256" i="52"/>
  <c r="W255" i="52"/>
  <c r="X255" i="52" s="1"/>
  <c r="U255" i="52"/>
  <c r="T255" i="52"/>
  <c r="S255" i="52"/>
  <c r="Q255" i="52"/>
  <c r="P255" i="52"/>
  <c r="L255" i="52"/>
  <c r="M255" i="52" s="1"/>
  <c r="N255" i="52" s="1"/>
  <c r="K255" i="52"/>
  <c r="G255" i="52"/>
  <c r="E255" i="52"/>
  <c r="W254" i="52"/>
  <c r="X254" i="52" s="1"/>
  <c r="U254" i="52"/>
  <c r="T254" i="52"/>
  <c r="S254" i="52"/>
  <c r="Q254" i="52"/>
  <c r="P254" i="52"/>
  <c r="L254" i="52"/>
  <c r="M254" i="52" s="1"/>
  <c r="N254" i="52" s="1"/>
  <c r="K254" i="52"/>
  <c r="G254" i="52"/>
  <c r="E254" i="52"/>
  <c r="W253" i="52"/>
  <c r="X253" i="52" s="1"/>
  <c r="Q253" i="52"/>
  <c r="P253" i="52"/>
  <c r="L253" i="52"/>
  <c r="M253" i="52" s="1"/>
  <c r="N253" i="52" s="1"/>
  <c r="K253" i="52"/>
  <c r="G253" i="52"/>
  <c r="E253" i="52"/>
  <c r="W252" i="52"/>
  <c r="X252" i="52" s="1"/>
  <c r="Q252" i="52"/>
  <c r="P252" i="52"/>
  <c r="L252" i="52"/>
  <c r="M252" i="52" s="1"/>
  <c r="N252" i="52" s="1"/>
  <c r="K252" i="52"/>
  <c r="G252" i="52"/>
  <c r="E252" i="52"/>
  <c r="W251" i="52"/>
  <c r="X251" i="52" s="1"/>
  <c r="Q251" i="52"/>
  <c r="P251" i="52"/>
  <c r="L251" i="52"/>
  <c r="M251" i="52" s="1"/>
  <c r="N251" i="52" s="1"/>
  <c r="K251" i="52"/>
  <c r="G251" i="52"/>
  <c r="E251" i="52"/>
  <c r="W250" i="52"/>
  <c r="X250" i="52" s="1"/>
  <c r="Q250" i="52"/>
  <c r="P250" i="52"/>
  <c r="L250" i="52"/>
  <c r="M250" i="52" s="1"/>
  <c r="N250" i="52" s="1"/>
  <c r="K250" i="52"/>
  <c r="G250" i="52"/>
  <c r="E250" i="52"/>
  <c r="W249" i="52"/>
  <c r="X249" i="52" s="1"/>
  <c r="Q249" i="52"/>
  <c r="P249" i="52"/>
  <c r="L249" i="52"/>
  <c r="M249" i="52" s="1"/>
  <c r="N249" i="52" s="1"/>
  <c r="K249" i="52"/>
  <c r="G249" i="52"/>
  <c r="E249" i="52"/>
  <c r="W248" i="52"/>
  <c r="X248" i="52" s="1"/>
  <c r="Q248" i="52"/>
  <c r="P248" i="52"/>
  <c r="L248" i="52"/>
  <c r="M248" i="52" s="1"/>
  <c r="N248" i="52" s="1"/>
  <c r="K248" i="52"/>
  <c r="G248" i="52"/>
  <c r="E248" i="52"/>
  <c r="W247" i="52"/>
  <c r="X247" i="52" s="1"/>
  <c r="Q247" i="52"/>
  <c r="P247" i="52"/>
  <c r="L247" i="52"/>
  <c r="M247" i="52" s="1"/>
  <c r="N247" i="52" s="1"/>
  <c r="K247" i="52"/>
  <c r="G247" i="52"/>
  <c r="E247" i="52"/>
  <c r="W246" i="52"/>
  <c r="X246" i="52" s="1"/>
  <c r="Q246" i="52"/>
  <c r="P246" i="52"/>
  <c r="L246" i="52"/>
  <c r="M246" i="52" s="1"/>
  <c r="N246" i="52" s="1"/>
  <c r="K246" i="52"/>
  <c r="G246" i="52"/>
  <c r="E246" i="52"/>
  <c r="W245" i="52"/>
  <c r="X245" i="52" s="1"/>
  <c r="U245" i="52"/>
  <c r="T245" i="52"/>
  <c r="S245" i="52"/>
  <c r="Q245" i="52"/>
  <c r="P245" i="52"/>
  <c r="L245" i="52"/>
  <c r="M245" i="52" s="1"/>
  <c r="N245" i="52" s="1"/>
  <c r="K245" i="52"/>
  <c r="G245" i="52"/>
  <c r="E245" i="52"/>
  <c r="W244" i="52"/>
  <c r="X244" i="52" s="1"/>
  <c r="Q244" i="52"/>
  <c r="P244" i="52"/>
  <c r="L244" i="52"/>
  <c r="M244" i="52" s="1"/>
  <c r="N244" i="52" s="1"/>
  <c r="K244" i="52"/>
  <c r="G244" i="52"/>
  <c r="E244" i="52"/>
  <c r="W243" i="52"/>
  <c r="X243" i="52" s="1"/>
  <c r="Q243" i="52"/>
  <c r="P243" i="52"/>
  <c r="L243" i="52"/>
  <c r="M243" i="52" s="1"/>
  <c r="N243" i="52" s="1"/>
  <c r="K243" i="52"/>
  <c r="G243" i="52"/>
  <c r="E243" i="52"/>
  <c r="W242" i="52"/>
  <c r="X242" i="52" s="1"/>
  <c r="U242" i="52"/>
  <c r="T242" i="52"/>
  <c r="S242" i="52"/>
  <c r="Q242" i="52"/>
  <c r="P242" i="52"/>
  <c r="L242" i="52"/>
  <c r="M242" i="52" s="1"/>
  <c r="N242" i="52" s="1"/>
  <c r="K242" i="52"/>
  <c r="E242" i="52"/>
  <c r="W241" i="52"/>
  <c r="X241" i="52" s="1"/>
  <c r="Q241" i="52"/>
  <c r="P241" i="52"/>
  <c r="L241" i="52"/>
  <c r="M241" i="52" s="1"/>
  <c r="N241" i="52" s="1"/>
  <c r="K241" i="52"/>
  <c r="G241" i="52"/>
  <c r="E241" i="52"/>
  <c r="W240" i="52"/>
  <c r="X240" i="52" s="1"/>
  <c r="Q240" i="52"/>
  <c r="P240" i="52"/>
  <c r="L240" i="52"/>
  <c r="M240" i="52" s="1"/>
  <c r="N240" i="52" s="1"/>
  <c r="K240" i="52"/>
  <c r="G240" i="52"/>
  <c r="E240" i="52"/>
  <c r="W239" i="52"/>
  <c r="X239" i="52" s="1"/>
  <c r="Q239" i="52"/>
  <c r="P239" i="52"/>
  <c r="L239" i="52"/>
  <c r="M239" i="52" s="1"/>
  <c r="N239" i="52" s="1"/>
  <c r="K239" i="52"/>
  <c r="G239" i="52"/>
  <c r="E239" i="52"/>
  <c r="W238" i="52"/>
  <c r="X238" i="52" s="1"/>
  <c r="Q238" i="52"/>
  <c r="P238" i="52"/>
  <c r="L238" i="52"/>
  <c r="M238" i="52" s="1"/>
  <c r="N238" i="52" s="1"/>
  <c r="K238" i="52"/>
  <c r="G238" i="52"/>
  <c r="E238" i="52"/>
  <c r="W237" i="52"/>
  <c r="X237" i="52" s="1"/>
  <c r="U237" i="52"/>
  <c r="T237" i="52"/>
  <c r="S237" i="52"/>
  <c r="Q237" i="52"/>
  <c r="P237" i="52"/>
  <c r="L237" i="52"/>
  <c r="M237" i="52" s="1"/>
  <c r="N237" i="52" s="1"/>
  <c r="K237" i="52"/>
  <c r="G237" i="52"/>
  <c r="E237" i="52"/>
  <c r="W236" i="52"/>
  <c r="X236" i="52" s="1"/>
  <c r="Q236" i="52"/>
  <c r="P236" i="52"/>
  <c r="L236" i="52"/>
  <c r="M236" i="52" s="1"/>
  <c r="N236" i="52" s="1"/>
  <c r="K236" i="52"/>
  <c r="G236" i="52"/>
  <c r="E236" i="52"/>
  <c r="W235" i="52"/>
  <c r="X235" i="52" s="1"/>
  <c r="Q235" i="52"/>
  <c r="P235" i="52"/>
  <c r="L235" i="52"/>
  <c r="M235" i="52" s="1"/>
  <c r="N235" i="52" s="1"/>
  <c r="K235" i="52"/>
  <c r="G235" i="52"/>
  <c r="E235" i="52"/>
  <c r="W234" i="52"/>
  <c r="X234" i="52" s="1"/>
  <c r="Q234" i="52"/>
  <c r="P234" i="52"/>
  <c r="L234" i="52"/>
  <c r="M234" i="52" s="1"/>
  <c r="N234" i="52" s="1"/>
  <c r="K234" i="52"/>
  <c r="G234" i="52"/>
  <c r="E234" i="52"/>
  <c r="W233" i="52"/>
  <c r="X233" i="52" s="1"/>
  <c r="Q233" i="52"/>
  <c r="P233" i="52"/>
  <c r="L233" i="52"/>
  <c r="M233" i="52" s="1"/>
  <c r="N233" i="52" s="1"/>
  <c r="K233" i="52"/>
  <c r="G233" i="52"/>
  <c r="E233" i="52"/>
  <c r="W232" i="52"/>
  <c r="X232" i="52" s="1"/>
  <c r="Q232" i="52"/>
  <c r="P232" i="52"/>
  <c r="L232" i="52"/>
  <c r="M232" i="52" s="1"/>
  <c r="N232" i="52" s="1"/>
  <c r="K232" i="52"/>
  <c r="G232" i="52"/>
  <c r="E232" i="52"/>
  <c r="W231" i="52"/>
  <c r="X231" i="52" s="1"/>
  <c r="Q231" i="52"/>
  <c r="P231" i="52"/>
  <c r="L231" i="52"/>
  <c r="M231" i="52" s="1"/>
  <c r="N231" i="52" s="1"/>
  <c r="K231" i="52"/>
  <c r="G231" i="52"/>
  <c r="E231" i="52"/>
  <c r="W230" i="52"/>
  <c r="X230" i="52" s="1"/>
  <c r="Q230" i="52"/>
  <c r="P230" i="52"/>
  <c r="L230" i="52"/>
  <c r="M230" i="52" s="1"/>
  <c r="N230" i="52" s="1"/>
  <c r="K230" i="52"/>
  <c r="G230" i="52"/>
  <c r="E230" i="52"/>
  <c r="W229" i="52"/>
  <c r="X229" i="52" s="1"/>
  <c r="Q229" i="52"/>
  <c r="P229" i="52"/>
  <c r="L229" i="52"/>
  <c r="M229" i="52" s="1"/>
  <c r="N229" i="52" s="1"/>
  <c r="K229" i="52"/>
  <c r="G229" i="52"/>
  <c r="E229" i="52"/>
  <c r="W228" i="52"/>
  <c r="X228" i="52" s="1"/>
  <c r="Q228" i="52"/>
  <c r="P228" i="52"/>
  <c r="L228" i="52"/>
  <c r="M228" i="52" s="1"/>
  <c r="N228" i="52" s="1"/>
  <c r="K228" i="52"/>
  <c r="G228" i="52"/>
  <c r="E228" i="52"/>
  <c r="W227" i="52"/>
  <c r="X227" i="52" s="1"/>
  <c r="Q227" i="52"/>
  <c r="P227" i="52"/>
  <c r="L227" i="52"/>
  <c r="M227" i="52" s="1"/>
  <c r="N227" i="52" s="1"/>
  <c r="K227" i="52"/>
  <c r="G227" i="52"/>
  <c r="E227" i="52"/>
  <c r="W226" i="52"/>
  <c r="X226" i="52" s="1"/>
  <c r="Q226" i="52"/>
  <c r="P226" i="52"/>
  <c r="L226" i="52"/>
  <c r="M226" i="52" s="1"/>
  <c r="N226" i="52" s="1"/>
  <c r="K226" i="52"/>
  <c r="G226" i="52"/>
  <c r="E226" i="52"/>
  <c r="W225" i="52"/>
  <c r="X225" i="52" s="1"/>
  <c r="Q225" i="52"/>
  <c r="P225" i="52"/>
  <c r="L225" i="52"/>
  <c r="M225" i="52" s="1"/>
  <c r="N225" i="52" s="1"/>
  <c r="K225" i="52"/>
  <c r="G225" i="52"/>
  <c r="E225" i="52"/>
  <c r="W224" i="52"/>
  <c r="X224" i="52" s="1"/>
  <c r="Q224" i="52"/>
  <c r="P224" i="52"/>
  <c r="L224" i="52"/>
  <c r="M224" i="52" s="1"/>
  <c r="N224" i="52" s="1"/>
  <c r="K224" i="52"/>
  <c r="G224" i="52"/>
  <c r="E224" i="52"/>
  <c r="W223" i="52"/>
  <c r="X223" i="52" s="1"/>
  <c r="Q223" i="52"/>
  <c r="P223" i="52"/>
  <c r="L223" i="52"/>
  <c r="M223" i="52" s="1"/>
  <c r="N223" i="52" s="1"/>
  <c r="K223" i="52"/>
  <c r="G223" i="52"/>
  <c r="E223" i="52"/>
  <c r="W222" i="52"/>
  <c r="X222" i="52" s="1"/>
  <c r="Q222" i="52"/>
  <c r="P222" i="52"/>
  <c r="L222" i="52"/>
  <c r="M222" i="52" s="1"/>
  <c r="N222" i="52" s="1"/>
  <c r="K222" i="52"/>
  <c r="G222" i="52"/>
  <c r="E222" i="52"/>
  <c r="W221" i="52"/>
  <c r="X221" i="52" s="1"/>
  <c r="Q221" i="52"/>
  <c r="P221" i="52"/>
  <c r="L221" i="52"/>
  <c r="M221" i="52" s="1"/>
  <c r="N221" i="52" s="1"/>
  <c r="K221" i="52"/>
  <c r="G221" i="52"/>
  <c r="E221" i="52"/>
  <c r="W220" i="52"/>
  <c r="X220" i="52" s="1"/>
  <c r="Q220" i="52"/>
  <c r="P220" i="52"/>
  <c r="L220" i="52"/>
  <c r="M220" i="52" s="1"/>
  <c r="N220" i="52" s="1"/>
  <c r="K220" i="52"/>
  <c r="G220" i="52"/>
  <c r="E220" i="52"/>
  <c r="W219" i="52"/>
  <c r="X219" i="52" s="1"/>
  <c r="Q219" i="52"/>
  <c r="P219" i="52"/>
  <c r="L219" i="52"/>
  <c r="M219" i="52" s="1"/>
  <c r="N219" i="52" s="1"/>
  <c r="K219" i="52"/>
  <c r="G219" i="52"/>
  <c r="E219" i="52"/>
  <c r="W218" i="52"/>
  <c r="X218" i="52" s="1"/>
  <c r="Q218" i="52"/>
  <c r="P218" i="52"/>
  <c r="L218" i="52"/>
  <c r="M218" i="52" s="1"/>
  <c r="N218" i="52" s="1"/>
  <c r="K218" i="52"/>
  <c r="G218" i="52"/>
  <c r="E218" i="52"/>
  <c r="W217" i="52"/>
  <c r="X217" i="52" s="1"/>
  <c r="Q217" i="52"/>
  <c r="P217" i="52"/>
  <c r="L217" i="52"/>
  <c r="M217" i="52" s="1"/>
  <c r="N217" i="52" s="1"/>
  <c r="K217" i="52"/>
  <c r="G217" i="52"/>
  <c r="E217" i="52"/>
  <c r="W216" i="52"/>
  <c r="X216" i="52" s="1"/>
  <c r="Q216" i="52"/>
  <c r="P216" i="52"/>
  <c r="L216" i="52"/>
  <c r="M216" i="52" s="1"/>
  <c r="N216" i="52" s="1"/>
  <c r="K216" i="52"/>
  <c r="G216" i="52"/>
  <c r="E216" i="52"/>
  <c r="W215" i="52"/>
  <c r="X215" i="52" s="1"/>
  <c r="Q215" i="52"/>
  <c r="P215" i="52"/>
  <c r="L215" i="52"/>
  <c r="M215" i="52" s="1"/>
  <c r="N215" i="52" s="1"/>
  <c r="K215" i="52"/>
  <c r="G215" i="52"/>
  <c r="E215" i="52"/>
  <c r="W214" i="52"/>
  <c r="X214" i="52" s="1"/>
  <c r="Q214" i="52"/>
  <c r="P214" i="52"/>
  <c r="L214" i="52"/>
  <c r="M214" i="52" s="1"/>
  <c r="N214" i="52" s="1"/>
  <c r="K214" i="52"/>
  <c r="G214" i="52"/>
  <c r="E214" i="52"/>
  <c r="W213" i="52"/>
  <c r="X213" i="52" s="1"/>
  <c r="Q213" i="52"/>
  <c r="P213" i="52"/>
  <c r="L213" i="52"/>
  <c r="M213" i="52" s="1"/>
  <c r="N213" i="52" s="1"/>
  <c r="K213" i="52"/>
  <c r="G213" i="52"/>
  <c r="E213" i="52"/>
  <c r="W212" i="52"/>
  <c r="X212" i="52" s="1"/>
  <c r="Q212" i="52"/>
  <c r="P212" i="52"/>
  <c r="L212" i="52"/>
  <c r="M212" i="52" s="1"/>
  <c r="N212" i="52" s="1"/>
  <c r="K212" i="52"/>
  <c r="G212" i="52"/>
  <c r="E212" i="52"/>
  <c r="W211" i="52"/>
  <c r="X211" i="52" s="1"/>
  <c r="Q211" i="52"/>
  <c r="P211" i="52"/>
  <c r="L211" i="52"/>
  <c r="M211" i="52" s="1"/>
  <c r="N211" i="52" s="1"/>
  <c r="K211" i="52"/>
  <c r="G211" i="52"/>
  <c r="E211" i="52"/>
  <c r="W210" i="52"/>
  <c r="X210" i="52" s="1"/>
  <c r="Q210" i="52"/>
  <c r="P210" i="52"/>
  <c r="L210" i="52"/>
  <c r="M210" i="52" s="1"/>
  <c r="N210" i="52" s="1"/>
  <c r="K210" i="52"/>
  <c r="G210" i="52"/>
  <c r="E210" i="52"/>
  <c r="W209" i="52"/>
  <c r="X209" i="52" s="1"/>
  <c r="Q209" i="52"/>
  <c r="P209" i="52"/>
  <c r="L209" i="52"/>
  <c r="M209" i="52" s="1"/>
  <c r="N209" i="52" s="1"/>
  <c r="K209" i="52"/>
  <c r="G209" i="52"/>
  <c r="E209" i="52"/>
  <c r="W208" i="52"/>
  <c r="X208" i="52" s="1"/>
  <c r="Q208" i="52"/>
  <c r="P208" i="52"/>
  <c r="L208" i="52"/>
  <c r="M208" i="52" s="1"/>
  <c r="N208" i="52" s="1"/>
  <c r="K208" i="52"/>
  <c r="G208" i="52"/>
  <c r="E208" i="52"/>
  <c r="W207" i="52"/>
  <c r="X207" i="52" s="1"/>
  <c r="Q207" i="52"/>
  <c r="P207" i="52"/>
  <c r="L207" i="52"/>
  <c r="M207" i="52" s="1"/>
  <c r="N207" i="52" s="1"/>
  <c r="K207" i="52"/>
  <c r="G207" i="52"/>
  <c r="E207" i="52"/>
  <c r="W206" i="52"/>
  <c r="X206" i="52" s="1"/>
  <c r="Q206" i="52"/>
  <c r="P206" i="52"/>
  <c r="L206" i="52"/>
  <c r="M206" i="52" s="1"/>
  <c r="N206" i="52" s="1"/>
  <c r="K206" i="52"/>
  <c r="G206" i="52"/>
  <c r="E206" i="52"/>
  <c r="W205" i="52"/>
  <c r="X205" i="52" s="1"/>
  <c r="Q205" i="52"/>
  <c r="P205" i="52"/>
  <c r="L205" i="52"/>
  <c r="M205" i="52" s="1"/>
  <c r="N205" i="52" s="1"/>
  <c r="K205" i="52"/>
  <c r="G205" i="52"/>
  <c r="E205" i="52"/>
  <c r="W204" i="52"/>
  <c r="X204" i="52" s="1"/>
  <c r="Q204" i="52"/>
  <c r="P204" i="52"/>
  <c r="L204" i="52"/>
  <c r="M204" i="52" s="1"/>
  <c r="N204" i="52" s="1"/>
  <c r="K204" i="52"/>
  <c r="G204" i="52"/>
  <c r="E204" i="52"/>
  <c r="W203" i="52"/>
  <c r="X203" i="52" s="1"/>
  <c r="U203" i="52"/>
  <c r="T203" i="52"/>
  <c r="S203" i="52"/>
  <c r="Q203" i="52"/>
  <c r="P203" i="52"/>
  <c r="L203" i="52"/>
  <c r="M203" i="52" s="1"/>
  <c r="N203" i="52" s="1"/>
  <c r="K203" i="52"/>
  <c r="G203" i="52"/>
  <c r="E203" i="52"/>
  <c r="W202" i="52"/>
  <c r="X202" i="52" s="1"/>
  <c r="Q202" i="52"/>
  <c r="P202" i="52"/>
  <c r="L202" i="52"/>
  <c r="M202" i="52" s="1"/>
  <c r="N202" i="52" s="1"/>
  <c r="K202" i="52"/>
  <c r="G202" i="52"/>
  <c r="E202" i="52"/>
  <c r="W201" i="52"/>
  <c r="X201" i="52" s="1"/>
  <c r="Q201" i="52"/>
  <c r="P201" i="52"/>
  <c r="L201" i="52"/>
  <c r="M201" i="52" s="1"/>
  <c r="N201" i="52" s="1"/>
  <c r="K201" i="52"/>
  <c r="G201" i="52"/>
  <c r="E201" i="52"/>
  <c r="W200" i="52"/>
  <c r="X200" i="52" s="1"/>
  <c r="Q200" i="52"/>
  <c r="P200" i="52"/>
  <c r="L200" i="52"/>
  <c r="M200" i="52" s="1"/>
  <c r="N200" i="52" s="1"/>
  <c r="K200" i="52"/>
  <c r="G200" i="52"/>
  <c r="E200" i="52"/>
  <c r="W199" i="52"/>
  <c r="X199" i="52" s="1"/>
  <c r="Q199" i="52"/>
  <c r="P199" i="52"/>
  <c r="L199" i="52"/>
  <c r="M199" i="52" s="1"/>
  <c r="N199" i="52" s="1"/>
  <c r="K199" i="52"/>
  <c r="G199" i="52"/>
  <c r="E199" i="52"/>
  <c r="W198" i="52"/>
  <c r="X198" i="52" s="1"/>
  <c r="U198" i="52"/>
  <c r="T198" i="52"/>
  <c r="S198" i="52"/>
  <c r="Q198" i="52"/>
  <c r="P198" i="52"/>
  <c r="L198" i="52"/>
  <c r="M198" i="52" s="1"/>
  <c r="N198" i="52" s="1"/>
  <c r="W197" i="52"/>
  <c r="X197" i="52" s="1"/>
  <c r="Q197" i="52"/>
  <c r="P197" i="52"/>
  <c r="L197" i="52"/>
  <c r="M197" i="52" s="1"/>
  <c r="N197" i="52" s="1"/>
  <c r="K197" i="52"/>
  <c r="G197" i="52"/>
  <c r="E197" i="52"/>
  <c r="W196" i="52"/>
  <c r="X196" i="52" s="1"/>
  <c r="Q196" i="52"/>
  <c r="P196" i="52"/>
  <c r="L196" i="52"/>
  <c r="M196" i="52" s="1"/>
  <c r="N196" i="52" s="1"/>
  <c r="K196" i="52"/>
  <c r="G196" i="52"/>
  <c r="E196" i="52"/>
  <c r="W195" i="52"/>
  <c r="X195" i="52" s="1"/>
  <c r="Q195" i="52"/>
  <c r="P195" i="52"/>
  <c r="L195" i="52"/>
  <c r="M195" i="52" s="1"/>
  <c r="N195" i="52" s="1"/>
  <c r="K195" i="52"/>
  <c r="G195" i="52"/>
  <c r="E195" i="52"/>
  <c r="W194" i="52"/>
  <c r="X194" i="52" s="1"/>
  <c r="Q194" i="52"/>
  <c r="P194" i="52"/>
  <c r="L194" i="52"/>
  <c r="M194" i="52" s="1"/>
  <c r="N194" i="52" s="1"/>
  <c r="K194" i="52"/>
  <c r="G194" i="52"/>
  <c r="E194" i="52"/>
  <c r="S193" i="52"/>
  <c r="Q193" i="52"/>
  <c r="P193" i="52"/>
  <c r="U193" i="52"/>
  <c r="G193" i="52"/>
  <c r="L193" i="52"/>
  <c r="M193" i="52" s="1"/>
  <c r="N193" i="52" s="1"/>
  <c r="E193" i="52"/>
  <c r="W192" i="52"/>
  <c r="X192" i="52" s="1"/>
  <c r="Q192" i="52"/>
  <c r="P192" i="52"/>
  <c r="L192" i="52"/>
  <c r="M192" i="52" s="1"/>
  <c r="N192" i="52" s="1"/>
  <c r="K192" i="52"/>
  <c r="G192" i="52"/>
  <c r="E192" i="52"/>
  <c r="W191" i="52"/>
  <c r="X191" i="52" s="1"/>
  <c r="Q191" i="52"/>
  <c r="P191" i="52"/>
  <c r="L191" i="52"/>
  <c r="M191" i="52" s="1"/>
  <c r="N191" i="52" s="1"/>
  <c r="K191" i="52"/>
  <c r="G191" i="52"/>
  <c r="E191" i="52"/>
  <c r="W190" i="52"/>
  <c r="X190" i="52" s="1"/>
  <c r="Q190" i="52"/>
  <c r="P190" i="52"/>
  <c r="L190" i="52"/>
  <c r="M190" i="52" s="1"/>
  <c r="N190" i="52" s="1"/>
  <c r="K190" i="52"/>
  <c r="G190" i="52"/>
  <c r="E190" i="52"/>
  <c r="W189" i="52"/>
  <c r="X189" i="52" s="1"/>
  <c r="Q189" i="52"/>
  <c r="P189" i="52"/>
  <c r="L189" i="52"/>
  <c r="M189" i="52" s="1"/>
  <c r="N189" i="52" s="1"/>
  <c r="K189" i="52"/>
  <c r="G189" i="52"/>
  <c r="E189" i="52"/>
  <c r="W188" i="52"/>
  <c r="X188" i="52" s="1"/>
  <c r="Q188" i="52"/>
  <c r="P188" i="52"/>
  <c r="L188" i="52"/>
  <c r="M188" i="52" s="1"/>
  <c r="N188" i="52" s="1"/>
  <c r="K188" i="52"/>
  <c r="G188" i="52"/>
  <c r="E188" i="52"/>
  <c r="W187" i="52"/>
  <c r="X187" i="52" s="1"/>
  <c r="U187" i="52"/>
  <c r="T187" i="52"/>
  <c r="S187" i="52"/>
  <c r="Q187" i="52"/>
  <c r="P187" i="52"/>
  <c r="L187" i="52"/>
  <c r="M187" i="52" s="1"/>
  <c r="N187" i="52" s="1"/>
  <c r="K187" i="52"/>
  <c r="G187" i="52"/>
  <c r="E187" i="52"/>
  <c r="W186" i="52"/>
  <c r="X186" i="52" s="1"/>
  <c r="Q186" i="52"/>
  <c r="P186" i="52"/>
  <c r="L186" i="52"/>
  <c r="M186" i="52" s="1"/>
  <c r="N186" i="52" s="1"/>
  <c r="K186" i="52"/>
  <c r="G186" i="52"/>
  <c r="E186" i="52"/>
  <c r="W185" i="52"/>
  <c r="X185" i="52" s="1"/>
  <c r="Q185" i="52"/>
  <c r="P185" i="52"/>
  <c r="L185" i="52"/>
  <c r="M185" i="52" s="1"/>
  <c r="N185" i="52" s="1"/>
  <c r="K185" i="52"/>
  <c r="G185" i="52"/>
  <c r="E185" i="52"/>
  <c r="W184" i="52"/>
  <c r="X184" i="52" s="1"/>
  <c r="U184" i="52"/>
  <c r="T184" i="52"/>
  <c r="S184" i="52"/>
  <c r="Q184" i="52"/>
  <c r="P184" i="52"/>
  <c r="L184" i="52"/>
  <c r="M184" i="52" s="1"/>
  <c r="N184" i="52" s="1"/>
  <c r="K184" i="52"/>
  <c r="G184" i="52"/>
  <c r="E184" i="52"/>
  <c r="W183" i="52"/>
  <c r="X183" i="52" s="1"/>
  <c r="U183" i="52"/>
  <c r="T183" i="52"/>
  <c r="S183" i="52"/>
  <c r="Q183" i="52"/>
  <c r="P183" i="52"/>
  <c r="L183" i="52"/>
  <c r="M183" i="52" s="1"/>
  <c r="N183" i="52" s="1"/>
  <c r="K183" i="52"/>
  <c r="G183" i="52"/>
  <c r="E183" i="52"/>
  <c r="W182" i="52"/>
  <c r="X182" i="52" s="1"/>
  <c r="Q182" i="52"/>
  <c r="P182" i="52"/>
  <c r="L182" i="52"/>
  <c r="M182" i="52" s="1"/>
  <c r="N182" i="52" s="1"/>
  <c r="K182" i="52"/>
  <c r="G182" i="52"/>
  <c r="E182" i="52"/>
  <c r="W181" i="52"/>
  <c r="X181" i="52" s="1"/>
  <c r="Q181" i="52"/>
  <c r="P181" i="52"/>
  <c r="L181" i="52"/>
  <c r="M181" i="52" s="1"/>
  <c r="N181" i="52" s="1"/>
  <c r="K181" i="52"/>
  <c r="G181" i="52"/>
  <c r="E181" i="52"/>
  <c r="W180" i="52"/>
  <c r="X180" i="52" s="1"/>
  <c r="Q180" i="52"/>
  <c r="P180" i="52"/>
  <c r="L180" i="52"/>
  <c r="M180" i="52" s="1"/>
  <c r="N180" i="52" s="1"/>
  <c r="K180" i="52"/>
  <c r="G180" i="52"/>
  <c r="E180" i="52"/>
  <c r="W179" i="52"/>
  <c r="X179" i="52" s="1"/>
  <c r="Q179" i="52"/>
  <c r="P179" i="52"/>
  <c r="L179" i="52"/>
  <c r="M179" i="52" s="1"/>
  <c r="N179" i="52" s="1"/>
  <c r="K179" i="52"/>
  <c r="G179" i="52"/>
  <c r="E179" i="52"/>
  <c r="W178" i="52"/>
  <c r="X178" i="52" s="1"/>
  <c r="Q178" i="52"/>
  <c r="P178" i="52"/>
  <c r="L178" i="52"/>
  <c r="M178" i="52" s="1"/>
  <c r="N178" i="52" s="1"/>
  <c r="K178" i="52"/>
  <c r="G178" i="52"/>
  <c r="E178" i="52"/>
  <c r="W177" i="52"/>
  <c r="X177" i="52" s="1"/>
  <c r="Q177" i="52"/>
  <c r="P177" i="52"/>
  <c r="L177" i="52"/>
  <c r="M177" i="52" s="1"/>
  <c r="N177" i="52" s="1"/>
  <c r="K177" i="52"/>
  <c r="G177" i="52"/>
  <c r="E177" i="52"/>
  <c r="W176" i="52"/>
  <c r="X176" i="52" s="1"/>
  <c r="U176" i="52"/>
  <c r="T176" i="52"/>
  <c r="S176" i="52"/>
  <c r="Q176" i="52"/>
  <c r="P176" i="52"/>
  <c r="L176" i="52"/>
  <c r="M176" i="52" s="1"/>
  <c r="N176" i="52" s="1"/>
  <c r="K176" i="52"/>
  <c r="G176" i="52"/>
  <c r="E176" i="52"/>
  <c r="W175" i="52"/>
  <c r="X175" i="52" s="1"/>
  <c r="U175" i="52"/>
  <c r="T175" i="52"/>
  <c r="S175" i="52"/>
  <c r="Q175" i="52"/>
  <c r="P175" i="52"/>
  <c r="L175" i="52"/>
  <c r="M175" i="52" s="1"/>
  <c r="N175" i="52" s="1"/>
  <c r="K175" i="52"/>
  <c r="G175" i="52"/>
  <c r="E175" i="52"/>
  <c r="W174" i="52"/>
  <c r="X174" i="52" s="1"/>
  <c r="Q174" i="52"/>
  <c r="P174" i="52"/>
  <c r="L174" i="52"/>
  <c r="M174" i="52" s="1"/>
  <c r="N174" i="52" s="1"/>
  <c r="K174" i="52"/>
  <c r="G174" i="52"/>
  <c r="E174" i="52"/>
  <c r="W173" i="52"/>
  <c r="X173" i="52" s="1"/>
  <c r="Q173" i="52"/>
  <c r="P173" i="52"/>
  <c r="L173" i="52"/>
  <c r="M173" i="52" s="1"/>
  <c r="N173" i="52" s="1"/>
  <c r="K173" i="52"/>
  <c r="G173" i="52"/>
  <c r="E173" i="52"/>
  <c r="W172" i="52"/>
  <c r="X172" i="52" s="1"/>
  <c r="Q172" i="52"/>
  <c r="P172" i="52"/>
  <c r="L172" i="52"/>
  <c r="M172" i="52" s="1"/>
  <c r="N172" i="52" s="1"/>
  <c r="K172" i="52"/>
  <c r="G172" i="52"/>
  <c r="E172" i="52"/>
  <c r="W171" i="52"/>
  <c r="X171" i="52" s="1"/>
  <c r="Q171" i="52"/>
  <c r="P171" i="52"/>
  <c r="L171" i="52"/>
  <c r="M171" i="52" s="1"/>
  <c r="N171" i="52" s="1"/>
  <c r="K171" i="52"/>
  <c r="G171" i="52"/>
  <c r="E171" i="52"/>
  <c r="W170" i="52"/>
  <c r="X170" i="52" s="1"/>
  <c r="Q170" i="52"/>
  <c r="P170" i="52"/>
  <c r="L170" i="52"/>
  <c r="M170" i="52" s="1"/>
  <c r="N170" i="52" s="1"/>
  <c r="K170" i="52"/>
  <c r="G170" i="52"/>
  <c r="E170" i="52"/>
  <c r="W169" i="52"/>
  <c r="X169" i="52" s="1"/>
  <c r="U169" i="52"/>
  <c r="T169" i="52"/>
  <c r="S169" i="52"/>
  <c r="Q169" i="52"/>
  <c r="P169" i="52"/>
  <c r="L169" i="52"/>
  <c r="M169" i="52" s="1"/>
  <c r="N169" i="52" s="1"/>
  <c r="K169" i="52"/>
  <c r="G169" i="52"/>
  <c r="E169" i="52"/>
  <c r="W168" i="52"/>
  <c r="X168" i="52" s="1"/>
  <c r="Q168" i="52"/>
  <c r="P168" i="52"/>
  <c r="L168" i="52"/>
  <c r="M168" i="52" s="1"/>
  <c r="N168" i="52" s="1"/>
  <c r="K168" i="52"/>
  <c r="G168" i="52"/>
  <c r="E168" i="52"/>
  <c r="W167" i="52"/>
  <c r="X167" i="52" s="1"/>
  <c r="Q167" i="52"/>
  <c r="P167" i="52"/>
  <c r="L167" i="52"/>
  <c r="M167" i="52" s="1"/>
  <c r="N167" i="52" s="1"/>
  <c r="K167" i="52"/>
  <c r="G167" i="52"/>
  <c r="E167" i="52"/>
  <c r="W166" i="52"/>
  <c r="X166" i="52" s="1"/>
  <c r="Q166" i="52"/>
  <c r="P166" i="52"/>
  <c r="L166" i="52"/>
  <c r="M166" i="52" s="1"/>
  <c r="N166" i="52" s="1"/>
  <c r="G166" i="52"/>
  <c r="E166" i="52"/>
  <c r="W165" i="52"/>
  <c r="X165" i="52" s="1"/>
  <c r="Q165" i="52"/>
  <c r="P165" i="52"/>
  <c r="L165" i="52"/>
  <c r="M165" i="52" s="1"/>
  <c r="N165" i="52" s="1"/>
  <c r="G165" i="52"/>
  <c r="E165" i="52"/>
  <c r="W164" i="52"/>
  <c r="X164" i="52" s="1"/>
  <c r="Q164" i="52"/>
  <c r="P164" i="52"/>
  <c r="L164" i="52"/>
  <c r="M164" i="52" s="1"/>
  <c r="N164" i="52" s="1"/>
  <c r="G164" i="52"/>
  <c r="E164" i="52"/>
  <c r="W163" i="52"/>
  <c r="X163" i="52" s="1"/>
  <c r="Q163" i="52"/>
  <c r="P163" i="52"/>
  <c r="L163" i="52"/>
  <c r="M163" i="52" s="1"/>
  <c r="N163" i="52" s="1"/>
  <c r="G163" i="52"/>
  <c r="E163" i="52"/>
  <c r="W162" i="52"/>
  <c r="X162" i="52" s="1"/>
  <c r="Q162" i="52"/>
  <c r="P162" i="52"/>
  <c r="L162" i="52"/>
  <c r="M162" i="52" s="1"/>
  <c r="N162" i="52" s="1"/>
  <c r="K162" i="52"/>
  <c r="G162" i="52"/>
  <c r="E162" i="52"/>
  <c r="W161" i="52"/>
  <c r="X161" i="52" s="1"/>
  <c r="Q161" i="52"/>
  <c r="P161" i="52"/>
  <c r="L161" i="52"/>
  <c r="M161" i="52" s="1"/>
  <c r="N161" i="52" s="1"/>
  <c r="K161" i="52"/>
  <c r="G161" i="52"/>
  <c r="E161" i="52"/>
  <c r="W160" i="52"/>
  <c r="X160" i="52" s="1"/>
  <c r="Q160" i="52"/>
  <c r="P160" i="52"/>
  <c r="L160" i="52"/>
  <c r="M160" i="52" s="1"/>
  <c r="N160" i="52" s="1"/>
  <c r="K160" i="52"/>
  <c r="G160" i="52"/>
  <c r="E160" i="52"/>
  <c r="W159" i="52"/>
  <c r="X159" i="52" s="1"/>
  <c r="Q159" i="52"/>
  <c r="P159" i="52"/>
  <c r="L159" i="52"/>
  <c r="M159" i="52" s="1"/>
  <c r="N159" i="52" s="1"/>
  <c r="K159" i="52"/>
  <c r="G159" i="52"/>
  <c r="E159" i="52"/>
  <c r="W158" i="52"/>
  <c r="X158" i="52" s="1"/>
  <c r="Q158" i="52"/>
  <c r="P158" i="52"/>
  <c r="L158" i="52"/>
  <c r="M158" i="52" s="1"/>
  <c r="N158" i="52" s="1"/>
  <c r="K158" i="52"/>
  <c r="G158" i="52"/>
  <c r="E158" i="52"/>
  <c r="W157" i="52"/>
  <c r="X157" i="52" s="1"/>
  <c r="Q157" i="52"/>
  <c r="P157" i="52"/>
  <c r="L157" i="52"/>
  <c r="M157" i="52" s="1"/>
  <c r="N157" i="52" s="1"/>
  <c r="K157" i="52"/>
  <c r="G157" i="52"/>
  <c r="E157" i="52"/>
  <c r="W156" i="52"/>
  <c r="X156" i="52" s="1"/>
  <c r="Q156" i="52"/>
  <c r="P156" i="52"/>
  <c r="L156" i="52"/>
  <c r="M156" i="52" s="1"/>
  <c r="N156" i="52" s="1"/>
  <c r="K156" i="52"/>
  <c r="G156" i="52"/>
  <c r="E156" i="52"/>
  <c r="W155" i="52"/>
  <c r="X155" i="52" s="1"/>
  <c r="U155" i="52"/>
  <c r="T155" i="52"/>
  <c r="S155" i="52"/>
  <c r="Q155" i="52"/>
  <c r="P155" i="52"/>
  <c r="L155" i="52"/>
  <c r="M155" i="52" s="1"/>
  <c r="N155" i="52" s="1"/>
  <c r="K155" i="52"/>
  <c r="G155" i="52"/>
  <c r="E155" i="52"/>
  <c r="W154" i="52"/>
  <c r="X154" i="52" s="1"/>
  <c r="U154" i="52"/>
  <c r="T154" i="52"/>
  <c r="S154" i="52"/>
  <c r="Q154" i="52"/>
  <c r="P154" i="52"/>
  <c r="L154" i="52"/>
  <c r="M154" i="52" s="1"/>
  <c r="N154" i="52" s="1"/>
  <c r="K154" i="52"/>
  <c r="G154" i="52"/>
  <c r="E154" i="52"/>
  <c r="W153" i="52"/>
  <c r="X153" i="52" s="1"/>
  <c r="U153" i="52"/>
  <c r="T153" i="52"/>
  <c r="S153" i="52"/>
  <c r="Q153" i="52"/>
  <c r="P153" i="52"/>
  <c r="L153" i="52"/>
  <c r="M153" i="52" s="1"/>
  <c r="N153" i="52" s="1"/>
  <c r="K153" i="52"/>
  <c r="G153" i="52"/>
  <c r="E153" i="52"/>
  <c r="W152" i="52"/>
  <c r="X152" i="52" s="1"/>
  <c r="Q152" i="52"/>
  <c r="P152" i="52"/>
  <c r="L152" i="52"/>
  <c r="M152" i="52" s="1"/>
  <c r="N152" i="52" s="1"/>
  <c r="K152" i="52"/>
  <c r="G152" i="52"/>
  <c r="E152" i="52"/>
  <c r="W151" i="52"/>
  <c r="X151" i="52" s="1"/>
  <c r="Q151" i="52"/>
  <c r="P151" i="52"/>
  <c r="L151" i="52"/>
  <c r="M151" i="52" s="1"/>
  <c r="N151" i="52" s="1"/>
  <c r="K151" i="52"/>
  <c r="G151" i="52"/>
  <c r="E151" i="52"/>
  <c r="W150" i="52"/>
  <c r="X150" i="52" s="1"/>
  <c r="Q150" i="52"/>
  <c r="P150" i="52"/>
  <c r="L150" i="52"/>
  <c r="M150" i="52" s="1"/>
  <c r="N150" i="52" s="1"/>
  <c r="K150" i="52"/>
  <c r="G150" i="52"/>
  <c r="E150" i="52"/>
  <c r="W149" i="52"/>
  <c r="X149" i="52" s="1"/>
  <c r="Q149" i="52"/>
  <c r="P149" i="52"/>
  <c r="L149" i="52"/>
  <c r="M149" i="52" s="1"/>
  <c r="N149" i="52" s="1"/>
  <c r="K149" i="52"/>
  <c r="G149" i="52"/>
  <c r="E149" i="52"/>
  <c r="W148" i="52"/>
  <c r="X148" i="52" s="1"/>
  <c r="Q148" i="52"/>
  <c r="P148" i="52"/>
  <c r="L148" i="52"/>
  <c r="M148" i="52" s="1"/>
  <c r="N148" i="52" s="1"/>
  <c r="W147" i="52"/>
  <c r="X147" i="52" s="1"/>
  <c r="Q147" i="52"/>
  <c r="P147" i="52"/>
  <c r="L147" i="52"/>
  <c r="M147" i="52" s="1"/>
  <c r="N147" i="52" s="1"/>
  <c r="K147" i="52"/>
  <c r="G147" i="52"/>
  <c r="E147" i="52"/>
  <c r="W146" i="52"/>
  <c r="X146" i="52" s="1"/>
  <c r="Q146" i="52"/>
  <c r="P146" i="52"/>
  <c r="L146" i="52"/>
  <c r="M146" i="52" s="1"/>
  <c r="N146" i="52" s="1"/>
  <c r="K146" i="52"/>
  <c r="G146" i="52"/>
  <c r="E146" i="52"/>
  <c r="W145" i="52"/>
  <c r="X145" i="52" s="1"/>
  <c r="Q145" i="52"/>
  <c r="P145" i="52"/>
  <c r="L145" i="52"/>
  <c r="M145" i="52" s="1"/>
  <c r="N145" i="52" s="1"/>
  <c r="K145" i="52"/>
  <c r="G145" i="52"/>
  <c r="E145" i="52"/>
  <c r="W144" i="52"/>
  <c r="X144" i="52" s="1"/>
  <c r="Q144" i="52"/>
  <c r="P144" i="52"/>
  <c r="L144" i="52"/>
  <c r="M144" i="52" s="1"/>
  <c r="N144" i="52" s="1"/>
  <c r="W143" i="52"/>
  <c r="X143" i="52" s="1"/>
  <c r="Q143" i="52"/>
  <c r="P143" i="52"/>
  <c r="L143" i="52"/>
  <c r="M143" i="52" s="1"/>
  <c r="N143" i="52" s="1"/>
  <c r="K143" i="52"/>
  <c r="G143" i="52"/>
  <c r="E143" i="52"/>
  <c r="W142" i="52"/>
  <c r="X142" i="52" s="1"/>
  <c r="U142" i="52"/>
  <c r="T142" i="52"/>
  <c r="S142" i="52"/>
  <c r="Q142" i="52"/>
  <c r="P142" i="52"/>
  <c r="L142" i="52"/>
  <c r="M142" i="52" s="1"/>
  <c r="N142" i="52" s="1"/>
  <c r="K142" i="52"/>
  <c r="G142" i="52"/>
  <c r="E142" i="52"/>
  <c r="W141" i="52"/>
  <c r="X141" i="52" s="1"/>
  <c r="Q141" i="52"/>
  <c r="P141" i="52"/>
  <c r="L141" i="52"/>
  <c r="M141" i="52" s="1"/>
  <c r="N141" i="52" s="1"/>
  <c r="K141" i="52"/>
  <c r="G141" i="52"/>
  <c r="E141" i="52"/>
  <c r="W140" i="52"/>
  <c r="X140" i="52" s="1"/>
  <c r="Q140" i="52"/>
  <c r="P140" i="52"/>
  <c r="L140" i="52"/>
  <c r="M140" i="52" s="1"/>
  <c r="N140" i="52" s="1"/>
  <c r="K140" i="52"/>
  <c r="G140" i="52"/>
  <c r="E140" i="52"/>
  <c r="W139" i="52"/>
  <c r="X139" i="52" s="1"/>
  <c r="Q139" i="52"/>
  <c r="P139" i="52"/>
  <c r="L139" i="52"/>
  <c r="M139" i="52" s="1"/>
  <c r="N139" i="52" s="1"/>
  <c r="K139" i="52"/>
  <c r="G139" i="52"/>
  <c r="E139" i="52"/>
  <c r="W138" i="52"/>
  <c r="X138" i="52" s="1"/>
  <c r="Q138" i="52"/>
  <c r="P138" i="52"/>
  <c r="L138" i="52"/>
  <c r="M138" i="52" s="1"/>
  <c r="N138" i="52" s="1"/>
  <c r="K138" i="52"/>
  <c r="G138" i="52"/>
  <c r="E138" i="52"/>
  <c r="X137" i="52"/>
  <c r="W137" i="52"/>
  <c r="U137" i="52"/>
  <c r="T137" i="52"/>
  <c r="S137" i="52"/>
  <c r="Q137" i="52"/>
  <c r="P137" i="52"/>
  <c r="L137" i="52"/>
  <c r="M137" i="52" s="1"/>
  <c r="N137" i="52" s="1"/>
  <c r="W136" i="52"/>
  <c r="X136" i="52" s="1"/>
  <c r="Q136" i="52"/>
  <c r="P136" i="52"/>
  <c r="L136" i="52"/>
  <c r="M136" i="52" s="1"/>
  <c r="N136" i="52" s="1"/>
  <c r="K136" i="52"/>
  <c r="G136" i="52"/>
  <c r="E136" i="52"/>
  <c r="W135" i="52"/>
  <c r="X135" i="52" s="1"/>
  <c r="Q135" i="52"/>
  <c r="P135" i="52"/>
  <c r="L135" i="52"/>
  <c r="M135" i="52" s="1"/>
  <c r="N135" i="52" s="1"/>
  <c r="K135" i="52"/>
  <c r="G135" i="52"/>
  <c r="E135" i="52"/>
  <c r="W134" i="52"/>
  <c r="X134" i="52" s="1"/>
  <c r="Q134" i="52"/>
  <c r="P134" i="52"/>
  <c r="L134" i="52"/>
  <c r="M134" i="52" s="1"/>
  <c r="N134" i="52" s="1"/>
  <c r="K134" i="52"/>
  <c r="G134" i="52"/>
  <c r="E134" i="52"/>
  <c r="W133" i="52"/>
  <c r="X133" i="52" s="1"/>
  <c r="Q133" i="52"/>
  <c r="P133" i="52"/>
  <c r="L133" i="52"/>
  <c r="M133" i="52" s="1"/>
  <c r="N133" i="52" s="1"/>
  <c r="W132" i="52"/>
  <c r="X132" i="52" s="1"/>
  <c r="U132" i="52"/>
  <c r="T132" i="52"/>
  <c r="S132" i="52"/>
  <c r="Q132" i="52"/>
  <c r="P132" i="52"/>
  <c r="L132" i="52"/>
  <c r="M132" i="52" s="1"/>
  <c r="N132" i="52" s="1"/>
  <c r="K132" i="52"/>
  <c r="G132" i="52"/>
  <c r="E132" i="52"/>
  <c r="W131" i="52"/>
  <c r="X131" i="52" s="1"/>
  <c r="Q131" i="52"/>
  <c r="P131" i="52"/>
  <c r="L131" i="52"/>
  <c r="M131" i="52" s="1"/>
  <c r="N131" i="52" s="1"/>
  <c r="K131" i="52"/>
  <c r="G131" i="52"/>
  <c r="E131" i="52"/>
  <c r="W130" i="52"/>
  <c r="X130" i="52" s="1"/>
  <c r="Q130" i="52"/>
  <c r="P130" i="52"/>
  <c r="L130" i="52"/>
  <c r="M130" i="52" s="1"/>
  <c r="N130" i="52" s="1"/>
  <c r="K130" i="52"/>
  <c r="G130" i="52"/>
  <c r="E130" i="52"/>
  <c r="W129" i="52"/>
  <c r="X129" i="52" s="1"/>
  <c r="U129" i="52"/>
  <c r="T129" i="52"/>
  <c r="S129" i="52"/>
  <c r="Q129" i="52"/>
  <c r="P129" i="52"/>
  <c r="L129" i="52"/>
  <c r="M129" i="52" s="1"/>
  <c r="N129" i="52" s="1"/>
  <c r="K129" i="52"/>
  <c r="G129" i="52"/>
  <c r="E129" i="52"/>
  <c r="W128" i="52"/>
  <c r="X128" i="52" s="1"/>
  <c r="Q128" i="52"/>
  <c r="P128" i="52"/>
  <c r="L128" i="52"/>
  <c r="M128" i="52" s="1"/>
  <c r="N128" i="52" s="1"/>
  <c r="K128" i="52"/>
  <c r="G128" i="52"/>
  <c r="E128" i="52"/>
  <c r="W127" i="52"/>
  <c r="X127" i="52" s="1"/>
  <c r="Q127" i="52"/>
  <c r="P127" i="52"/>
  <c r="L127" i="52"/>
  <c r="M127" i="52" s="1"/>
  <c r="N127" i="52" s="1"/>
  <c r="K127" i="52"/>
  <c r="G127" i="52"/>
  <c r="E127" i="52"/>
  <c r="W126" i="52"/>
  <c r="X126" i="52" s="1"/>
  <c r="U126" i="52"/>
  <c r="T126" i="52"/>
  <c r="S126" i="52"/>
  <c r="Q126" i="52"/>
  <c r="P126" i="52"/>
  <c r="L126" i="52"/>
  <c r="M126" i="52" s="1"/>
  <c r="N126" i="52" s="1"/>
  <c r="K126" i="52"/>
  <c r="G126" i="52"/>
  <c r="E126" i="52"/>
  <c r="W125" i="52"/>
  <c r="X125" i="52" s="1"/>
  <c r="U125" i="52"/>
  <c r="T125" i="52"/>
  <c r="S125" i="52"/>
  <c r="Q125" i="52"/>
  <c r="P125" i="52"/>
  <c r="L125" i="52"/>
  <c r="M125" i="52" s="1"/>
  <c r="N125" i="52" s="1"/>
  <c r="K125" i="52"/>
  <c r="G125" i="52"/>
  <c r="E125" i="52"/>
  <c r="W124" i="52"/>
  <c r="X124" i="52" s="1"/>
  <c r="Q124" i="52"/>
  <c r="P124" i="52"/>
  <c r="L124" i="52"/>
  <c r="M124" i="52" s="1"/>
  <c r="N124" i="52" s="1"/>
  <c r="K124" i="52"/>
  <c r="G124" i="52"/>
  <c r="E124" i="52"/>
  <c r="W123" i="52"/>
  <c r="X123" i="52" s="1"/>
  <c r="U123" i="52"/>
  <c r="T123" i="52"/>
  <c r="S123" i="52"/>
  <c r="Q123" i="52"/>
  <c r="P123" i="52"/>
  <c r="L123" i="52"/>
  <c r="M123" i="52" s="1"/>
  <c r="N123" i="52" s="1"/>
  <c r="K123" i="52"/>
  <c r="G123" i="52"/>
  <c r="E123" i="52"/>
  <c r="W122" i="52"/>
  <c r="X122" i="52" s="1"/>
  <c r="Q122" i="52"/>
  <c r="P122" i="52"/>
  <c r="L122" i="52"/>
  <c r="M122" i="52" s="1"/>
  <c r="N122" i="52" s="1"/>
  <c r="K122" i="52"/>
  <c r="G122" i="52"/>
  <c r="E122" i="52"/>
  <c r="W121" i="52"/>
  <c r="X121" i="52" s="1"/>
  <c r="Q121" i="52"/>
  <c r="P121" i="52"/>
  <c r="L121" i="52"/>
  <c r="M121" i="52" s="1"/>
  <c r="N121" i="52" s="1"/>
  <c r="K121" i="52"/>
  <c r="G121" i="52"/>
  <c r="E121" i="52"/>
  <c r="W120" i="52"/>
  <c r="X120" i="52" s="1"/>
  <c r="U120" i="52"/>
  <c r="T120" i="52"/>
  <c r="S120" i="52"/>
  <c r="Q120" i="52"/>
  <c r="P120" i="52"/>
  <c r="L120" i="52"/>
  <c r="M120" i="52" s="1"/>
  <c r="N120" i="52" s="1"/>
  <c r="K120" i="52"/>
  <c r="G120" i="52"/>
  <c r="E120" i="52"/>
  <c r="W119" i="52"/>
  <c r="X119" i="52" s="1"/>
  <c r="Q119" i="52"/>
  <c r="P119" i="52"/>
  <c r="L119" i="52"/>
  <c r="M119" i="52" s="1"/>
  <c r="N119" i="52" s="1"/>
  <c r="K119" i="52"/>
  <c r="G119" i="52"/>
  <c r="E119" i="52"/>
  <c r="W118" i="52"/>
  <c r="X118" i="52" s="1"/>
  <c r="Q118" i="52"/>
  <c r="P118" i="52"/>
  <c r="L118" i="52"/>
  <c r="M118" i="52" s="1"/>
  <c r="N118" i="52" s="1"/>
  <c r="K118" i="52"/>
  <c r="G118" i="52"/>
  <c r="E118" i="52"/>
  <c r="W117" i="52"/>
  <c r="X117" i="52" s="1"/>
  <c r="U117" i="52"/>
  <c r="T117" i="52"/>
  <c r="S117" i="52"/>
  <c r="Q117" i="52"/>
  <c r="P117" i="52"/>
  <c r="L117" i="52"/>
  <c r="M117" i="52" s="1"/>
  <c r="N117" i="52" s="1"/>
  <c r="K117" i="52"/>
  <c r="G117" i="52"/>
  <c r="E117" i="52"/>
  <c r="W116" i="52"/>
  <c r="X116" i="52" s="1"/>
  <c r="Q116" i="52"/>
  <c r="P116" i="52"/>
  <c r="L116" i="52"/>
  <c r="M116" i="52" s="1"/>
  <c r="N116" i="52" s="1"/>
  <c r="K116" i="52"/>
  <c r="G116" i="52"/>
  <c r="E116" i="52"/>
  <c r="W115" i="52"/>
  <c r="X115" i="52" s="1"/>
  <c r="U115" i="52"/>
  <c r="T115" i="52"/>
  <c r="S115" i="52"/>
  <c r="Q115" i="52"/>
  <c r="P115" i="52"/>
  <c r="L115" i="52"/>
  <c r="M115" i="52" s="1"/>
  <c r="N115" i="52" s="1"/>
  <c r="K115" i="52"/>
  <c r="G115" i="52"/>
  <c r="E115" i="52"/>
  <c r="Q114" i="52"/>
  <c r="P114" i="52"/>
  <c r="L114" i="52"/>
  <c r="U114" i="52"/>
  <c r="G114" i="52"/>
  <c r="W114" i="52"/>
  <c r="X114" i="52" s="1"/>
  <c r="E114" i="52"/>
  <c r="W113" i="52"/>
  <c r="X113" i="52" s="1"/>
  <c r="Q113" i="52"/>
  <c r="P113" i="52"/>
  <c r="L113" i="52"/>
  <c r="M113" i="52" s="1"/>
  <c r="N113" i="52" s="1"/>
  <c r="K113" i="52"/>
  <c r="G113" i="52"/>
  <c r="E113" i="52"/>
  <c r="W112" i="52"/>
  <c r="X112" i="52" s="1"/>
  <c r="Q112" i="52"/>
  <c r="P112" i="52"/>
  <c r="L112" i="52"/>
  <c r="M112" i="52" s="1"/>
  <c r="N112" i="52" s="1"/>
  <c r="K112" i="52"/>
  <c r="G112" i="52"/>
  <c r="E112" i="52"/>
  <c r="W111" i="52"/>
  <c r="X111" i="52" s="1"/>
  <c r="U111" i="52"/>
  <c r="T111" i="52"/>
  <c r="S111" i="52"/>
  <c r="Q111" i="52"/>
  <c r="P111" i="52"/>
  <c r="L111" i="52"/>
  <c r="M111" i="52" s="1"/>
  <c r="N111" i="52" s="1"/>
  <c r="K111" i="52"/>
  <c r="G111" i="52"/>
  <c r="E111" i="52"/>
  <c r="W110" i="52"/>
  <c r="X110" i="52" s="1"/>
  <c r="Q110" i="52"/>
  <c r="P110" i="52"/>
  <c r="L110" i="52"/>
  <c r="M110" i="52" s="1"/>
  <c r="N110" i="52" s="1"/>
  <c r="K110" i="52"/>
  <c r="G110" i="52"/>
  <c r="E110" i="52"/>
  <c r="W109" i="52"/>
  <c r="X109" i="52" s="1"/>
  <c r="Q109" i="52"/>
  <c r="P109" i="52"/>
  <c r="L109" i="52"/>
  <c r="M109" i="52" s="1"/>
  <c r="N109" i="52" s="1"/>
  <c r="K109" i="52"/>
  <c r="G109" i="52"/>
  <c r="E109" i="52"/>
  <c r="W108" i="52"/>
  <c r="X108" i="52" s="1"/>
  <c r="Q108" i="52"/>
  <c r="P108" i="52"/>
  <c r="L108" i="52"/>
  <c r="M108" i="52" s="1"/>
  <c r="N108" i="52" s="1"/>
  <c r="K108" i="52"/>
  <c r="G108" i="52"/>
  <c r="E108" i="52"/>
  <c r="W107" i="52"/>
  <c r="X107" i="52" s="1"/>
  <c r="Q107" i="52"/>
  <c r="P107" i="52"/>
  <c r="L107" i="52"/>
  <c r="M107" i="52" s="1"/>
  <c r="N107" i="52" s="1"/>
  <c r="K107" i="52"/>
  <c r="G107" i="52"/>
  <c r="E107" i="52"/>
  <c r="W106" i="52"/>
  <c r="X106" i="52" s="1"/>
  <c r="Q106" i="52"/>
  <c r="P106" i="52"/>
  <c r="L106" i="52"/>
  <c r="M106" i="52" s="1"/>
  <c r="N106" i="52" s="1"/>
  <c r="K106" i="52"/>
  <c r="G106" i="52"/>
  <c r="E106" i="52"/>
  <c r="W105" i="52"/>
  <c r="X105" i="52" s="1"/>
  <c r="U105" i="52"/>
  <c r="T105" i="52"/>
  <c r="S105" i="52"/>
  <c r="Q105" i="52"/>
  <c r="P105" i="52"/>
  <c r="L105" i="52"/>
  <c r="M105" i="52" s="1"/>
  <c r="N105" i="52" s="1"/>
  <c r="K105" i="52"/>
  <c r="G105" i="52"/>
  <c r="E105" i="52"/>
  <c r="W104" i="52"/>
  <c r="X104" i="52" s="1"/>
  <c r="Q104" i="52"/>
  <c r="P104" i="52"/>
  <c r="L104" i="52"/>
  <c r="M104" i="52" s="1"/>
  <c r="N104" i="52" s="1"/>
  <c r="K104" i="52"/>
  <c r="G104" i="52"/>
  <c r="E104" i="52"/>
  <c r="W103" i="52"/>
  <c r="X103" i="52" s="1"/>
  <c r="U103" i="52"/>
  <c r="T103" i="52"/>
  <c r="S103" i="52"/>
  <c r="Q103" i="52"/>
  <c r="P103" i="52"/>
  <c r="K103" i="52"/>
  <c r="E103" i="52"/>
  <c r="W102" i="52"/>
  <c r="X102" i="52" s="1"/>
  <c r="Q102" i="52"/>
  <c r="P102" i="52"/>
  <c r="L102" i="52"/>
  <c r="M102" i="52" s="1"/>
  <c r="N102" i="52" s="1"/>
  <c r="K102" i="52"/>
  <c r="G102" i="52"/>
  <c r="E102" i="52"/>
  <c r="W101" i="52"/>
  <c r="X101" i="52" s="1"/>
  <c r="Q101" i="52"/>
  <c r="P101" i="52"/>
  <c r="L101" i="52"/>
  <c r="M101" i="52" s="1"/>
  <c r="N101" i="52" s="1"/>
  <c r="K101" i="52"/>
  <c r="G101" i="52"/>
  <c r="E101" i="52"/>
  <c r="W100" i="52"/>
  <c r="X100" i="52" s="1"/>
  <c r="Q100" i="52"/>
  <c r="P100" i="52"/>
  <c r="L100" i="52"/>
  <c r="M100" i="52" s="1"/>
  <c r="N100" i="52" s="1"/>
  <c r="K100" i="52"/>
  <c r="G100" i="52"/>
  <c r="E100" i="52"/>
  <c r="W99" i="52"/>
  <c r="X99" i="52" s="1"/>
  <c r="Q99" i="52"/>
  <c r="P99" i="52"/>
  <c r="L99" i="52"/>
  <c r="M99" i="52" s="1"/>
  <c r="N99" i="52" s="1"/>
  <c r="K99" i="52"/>
  <c r="G99" i="52"/>
  <c r="E99" i="52"/>
  <c r="W98" i="52"/>
  <c r="X98" i="52" s="1"/>
  <c r="U98" i="52"/>
  <c r="T98" i="52"/>
  <c r="S98" i="52"/>
  <c r="Q98" i="52"/>
  <c r="P98" i="52"/>
  <c r="L98" i="52"/>
  <c r="M98" i="52" s="1"/>
  <c r="N98" i="52" s="1"/>
  <c r="K98" i="52"/>
  <c r="G98" i="52"/>
  <c r="E98" i="52"/>
  <c r="W97" i="52"/>
  <c r="X97" i="52" s="1"/>
  <c r="Q97" i="52"/>
  <c r="P97" i="52"/>
  <c r="L97" i="52"/>
  <c r="M97" i="52" s="1"/>
  <c r="N97" i="52" s="1"/>
  <c r="K97" i="52"/>
  <c r="G97" i="52"/>
  <c r="E97" i="52"/>
  <c r="W96" i="52"/>
  <c r="X96" i="52" s="1"/>
  <c r="U96" i="52"/>
  <c r="T96" i="52"/>
  <c r="S96" i="52"/>
  <c r="Q96" i="52"/>
  <c r="P96" i="52"/>
  <c r="L96" i="52"/>
  <c r="M96" i="52" s="1"/>
  <c r="N96" i="52" s="1"/>
  <c r="K96" i="52"/>
  <c r="G96" i="52"/>
  <c r="E96" i="52"/>
  <c r="W95" i="52"/>
  <c r="X95" i="52" s="1"/>
  <c r="Q95" i="52"/>
  <c r="P95" i="52"/>
  <c r="L95" i="52"/>
  <c r="M95" i="52" s="1"/>
  <c r="N95" i="52" s="1"/>
  <c r="K95" i="52"/>
  <c r="G95" i="52"/>
  <c r="E95" i="52"/>
  <c r="W94" i="52"/>
  <c r="X94" i="52" s="1"/>
  <c r="Q94" i="52"/>
  <c r="P94" i="52"/>
  <c r="L94" i="52"/>
  <c r="M94" i="52" s="1"/>
  <c r="N94" i="52" s="1"/>
  <c r="W93" i="52"/>
  <c r="X93" i="52" s="1"/>
  <c r="Q93" i="52"/>
  <c r="P93" i="52"/>
  <c r="L93" i="52"/>
  <c r="M93" i="52" s="1"/>
  <c r="N93" i="52" s="1"/>
  <c r="K93" i="52"/>
  <c r="G93" i="52"/>
  <c r="E93" i="52"/>
  <c r="W92" i="52"/>
  <c r="X92" i="52" s="1"/>
  <c r="Q92" i="52"/>
  <c r="P92" i="52"/>
  <c r="L92" i="52"/>
  <c r="M92" i="52" s="1"/>
  <c r="N92" i="52" s="1"/>
  <c r="K92" i="52"/>
  <c r="G92" i="52"/>
  <c r="E92" i="52"/>
  <c r="W91" i="52"/>
  <c r="X91" i="52" s="1"/>
  <c r="U91" i="52"/>
  <c r="T91" i="52"/>
  <c r="S91" i="52"/>
  <c r="Q91" i="52"/>
  <c r="P91" i="52"/>
  <c r="L91" i="52"/>
  <c r="M91" i="52" s="1"/>
  <c r="N91" i="52" s="1"/>
  <c r="K91" i="52"/>
  <c r="G91" i="52"/>
  <c r="E91" i="52"/>
  <c r="W90" i="52"/>
  <c r="X90" i="52" s="1"/>
  <c r="Q90" i="52"/>
  <c r="P90" i="52"/>
  <c r="L90" i="52"/>
  <c r="M90" i="52" s="1"/>
  <c r="N90" i="52" s="1"/>
  <c r="K90" i="52"/>
  <c r="G90" i="52"/>
  <c r="E90" i="52"/>
  <c r="W89" i="52"/>
  <c r="X89" i="52" s="1"/>
  <c r="U89" i="52"/>
  <c r="T89" i="52"/>
  <c r="S89" i="52"/>
  <c r="Q89" i="52"/>
  <c r="P89" i="52"/>
  <c r="L89" i="52"/>
  <c r="M89" i="52" s="1"/>
  <c r="N89" i="52" s="1"/>
  <c r="K89" i="52"/>
  <c r="G89" i="52"/>
  <c r="E89" i="52"/>
  <c r="W88" i="52"/>
  <c r="X88" i="52" s="1"/>
  <c r="U88" i="52"/>
  <c r="T88" i="52"/>
  <c r="S88" i="52"/>
  <c r="Q88" i="52"/>
  <c r="P88" i="52"/>
  <c r="L88" i="52"/>
  <c r="M88" i="52" s="1"/>
  <c r="N88" i="52" s="1"/>
  <c r="K88" i="52"/>
  <c r="G88" i="52"/>
  <c r="E88" i="52"/>
  <c r="W87" i="52"/>
  <c r="X87" i="52" s="1"/>
  <c r="Q87" i="52"/>
  <c r="P87" i="52"/>
  <c r="L87" i="52"/>
  <c r="M87" i="52" s="1"/>
  <c r="N87" i="52" s="1"/>
  <c r="W86" i="52"/>
  <c r="X86" i="52" s="1"/>
  <c r="U86" i="52"/>
  <c r="T86" i="52"/>
  <c r="S86" i="52"/>
  <c r="Q86" i="52"/>
  <c r="P86" i="52"/>
  <c r="L86" i="52"/>
  <c r="M86" i="52" s="1"/>
  <c r="N86" i="52" s="1"/>
  <c r="K86" i="52"/>
  <c r="G86" i="52"/>
  <c r="E86" i="52"/>
  <c r="W85" i="52"/>
  <c r="X85" i="52" s="1"/>
  <c r="Q85" i="52"/>
  <c r="P85" i="52"/>
  <c r="L85" i="52"/>
  <c r="M85" i="52" s="1"/>
  <c r="N85" i="52" s="1"/>
  <c r="K85" i="52"/>
  <c r="G85" i="52"/>
  <c r="E85" i="52"/>
  <c r="W84" i="52"/>
  <c r="X84" i="52" s="1"/>
  <c r="Q84" i="52"/>
  <c r="P84" i="52"/>
  <c r="L84" i="52"/>
  <c r="M84" i="52" s="1"/>
  <c r="N84" i="52" s="1"/>
  <c r="K84" i="52"/>
  <c r="G84" i="52"/>
  <c r="E84" i="52"/>
  <c r="W83" i="52"/>
  <c r="X83" i="52" s="1"/>
  <c r="U83" i="52"/>
  <c r="T83" i="52"/>
  <c r="S83" i="52"/>
  <c r="Q83" i="52"/>
  <c r="P83" i="52"/>
  <c r="L83" i="52"/>
  <c r="M83" i="52" s="1"/>
  <c r="N83" i="52" s="1"/>
  <c r="K83" i="52"/>
  <c r="G83" i="52"/>
  <c r="E83" i="52"/>
  <c r="W82" i="52"/>
  <c r="X82" i="52" s="1"/>
  <c r="Q82" i="52"/>
  <c r="P82" i="52"/>
  <c r="L82" i="52"/>
  <c r="M82" i="52" s="1"/>
  <c r="N82" i="52" s="1"/>
  <c r="K82" i="52"/>
  <c r="G82" i="52"/>
  <c r="E82" i="52"/>
  <c r="W81" i="52"/>
  <c r="X81" i="52" s="1"/>
  <c r="Q81" i="52"/>
  <c r="P81" i="52"/>
  <c r="L81" i="52"/>
  <c r="M81" i="52" s="1"/>
  <c r="N81" i="52" s="1"/>
  <c r="G81" i="52"/>
  <c r="E81" i="52"/>
  <c r="W80" i="52"/>
  <c r="X80" i="52" s="1"/>
  <c r="Q80" i="52"/>
  <c r="P80" i="52"/>
  <c r="L80" i="52"/>
  <c r="M80" i="52" s="1"/>
  <c r="N80" i="52" s="1"/>
  <c r="G80" i="52"/>
  <c r="E80" i="52"/>
  <c r="W79" i="52"/>
  <c r="X79" i="52" s="1"/>
  <c r="U79" i="52"/>
  <c r="T79" i="52"/>
  <c r="S79" i="52"/>
  <c r="Q79" i="52"/>
  <c r="P79" i="52"/>
  <c r="L79" i="52"/>
  <c r="M79" i="52" s="1"/>
  <c r="N79" i="52" s="1"/>
  <c r="K79" i="52"/>
  <c r="G79" i="52"/>
  <c r="E79" i="52"/>
  <c r="W78" i="52"/>
  <c r="X78" i="52" s="1"/>
  <c r="Q78" i="52"/>
  <c r="P78" i="52"/>
  <c r="L78" i="52"/>
  <c r="M78" i="52" s="1"/>
  <c r="N78" i="52" s="1"/>
  <c r="K78" i="52"/>
  <c r="G78" i="52"/>
  <c r="E78" i="52"/>
  <c r="W77" i="52"/>
  <c r="X77" i="52" s="1"/>
  <c r="U77" i="52"/>
  <c r="T77" i="52"/>
  <c r="S77" i="52"/>
  <c r="Q77" i="52"/>
  <c r="P77" i="52"/>
  <c r="L77" i="52"/>
  <c r="M77" i="52" s="1"/>
  <c r="N77" i="52" s="1"/>
  <c r="K77" i="52"/>
  <c r="G77" i="52"/>
  <c r="E77" i="52"/>
  <c r="W76" i="52"/>
  <c r="X76" i="52" s="1"/>
  <c r="U76" i="52"/>
  <c r="T76" i="52"/>
  <c r="S76" i="52"/>
  <c r="Q76" i="52"/>
  <c r="P76" i="52"/>
  <c r="L76" i="52"/>
  <c r="M76" i="52" s="1"/>
  <c r="N76" i="52" s="1"/>
  <c r="K76" i="52"/>
  <c r="G76" i="52"/>
  <c r="E76" i="52"/>
  <c r="W75" i="52"/>
  <c r="X75" i="52" s="1"/>
  <c r="Q75" i="52"/>
  <c r="P75" i="52"/>
  <c r="L75" i="52"/>
  <c r="M75" i="52" s="1"/>
  <c r="N75" i="52" s="1"/>
  <c r="W74" i="52"/>
  <c r="X74" i="52" s="1"/>
  <c r="U74" i="52"/>
  <c r="T74" i="52"/>
  <c r="S74" i="52"/>
  <c r="Q74" i="52"/>
  <c r="P74" i="52"/>
  <c r="L74" i="52"/>
  <c r="M74" i="52" s="1"/>
  <c r="N74" i="52" s="1"/>
  <c r="K74" i="52"/>
  <c r="G74" i="52"/>
  <c r="E74" i="52"/>
  <c r="W73" i="52"/>
  <c r="X73" i="52" s="1"/>
  <c r="Q73" i="52"/>
  <c r="P73" i="52"/>
  <c r="L73" i="52"/>
  <c r="M73" i="52" s="1"/>
  <c r="N73" i="52" s="1"/>
  <c r="K73" i="52"/>
  <c r="G73" i="52"/>
  <c r="E73" i="52"/>
  <c r="W72" i="52"/>
  <c r="X72" i="52" s="1"/>
  <c r="Q72" i="52"/>
  <c r="P72" i="52"/>
  <c r="L72" i="52"/>
  <c r="M72" i="52" s="1"/>
  <c r="N72" i="52" s="1"/>
  <c r="K72" i="52"/>
  <c r="G72" i="52"/>
  <c r="E72" i="52"/>
  <c r="W71" i="52"/>
  <c r="X71" i="52" s="1"/>
  <c r="Q71" i="52"/>
  <c r="P71" i="52"/>
  <c r="L71" i="52"/>
  <c r="M71" i="52" s="1"/>
  <c r="N71" i="52" s="1"/>
  <c r="K71" i="52"/>
  <c r="G71" i="52"/>
  <c r="E71" i="52"/>
  <c r="W70" i="52"/>
  <c r="X70" i="52" s="1"/>
  <c r="Q70" i="52"/>
  <c r="P70" i="52"/>
  <c r="L70" i="52"/>
  <c r="M70" i="52" s="1"/>
  <c r="N70" i="52" s="1"/>
  <c r="K70" i="52"/>
  <c r="G70" i="52"/>
  <c r="E70" i="52"/>
  <c r="W69" i="52"/>
  <c r="X69" i="52" s="1"/>
  <c r="Q69" i="52"/>
  <c r="P69" i="52"/>
  <c r="L69" i="52"/>
  <c r="M69" i="52" s="1"/>
  <c r="N69" i="52" s="1"/>
  <c r="K69" i="52"/>
  <c r="G69" i="52"/>
  <c r="E69" i="52"/>
  <c r="W68" i="52"/>
  <c r="X68" i="52" s="1"/>
  <c r="Q68" i="52"/>
  <c r="P68" i="52"/>
  <c r="L68" i="52"/>
  <c r="M68" i="52" s="1"/>
  <c r="N68" i="52" s="1"/>
  <c r="K68" i="52"/>
  <c r="G68" i="52"/>
  <c r="E68" i="52"/>
  <c r="W67" i="52"/>
  <c r="X67" i="52" s="1"/>
  <c r="E67" i="52"/>
  <c r="W66" i="52"/>
  <c r="X66" i="52" s="1"/>
  <c r="Q66" i="52"/>
  <c r="P66" i="52"/>
  <c r="L66" i="52"/>
  <c r="M66" i="52" s="1"/>
  <c r="N66" i="52" s="1"/>
  <c r="K66" i="52"/>
  <c r="G66" i="52"/>
  <c r="E66" i="52"/>
  <c r="W65" i="52"/>
  <c r="X65" i="52" s="1"/>
  <c r="Q65" i="52"/>
  <c r="P65" i="52"/>
  <c r="L65" i="52"/>
  <c r="M65" i="52" s="1"/>
  <c r="N65" i="52" s="1"/>
  <c r="K65" i="52"/>
  <c r="G65" i="52"/>
  <c r="E65" i="52"/>
  <c r="W64" i="52"/>
  <c r="X64" i="52" s="1"/>
  <c r="Q64" i="52"/>
  <c r="P64" i="52"/>
  <c r="L64" i="52"/>
  <c r="M64" i="52" s="1"/>
  <c r="N64" i="52" s="1"/>
  <c r="K64" i="52"/>
  <c r="G64" i="52"/>
  <c r="E64" i="52"/>
  <c r="W63" i="52"/>
  <c r="X63" i="52" s="1"/>
  <c r="Q63" i="52"/>
  <c r="P63" i="52"/>
  <c r="L63" i="52"/>
  <c r="M63" i="52" s="1"/>
  <c r="N63" i="52" s="1"/>
  <c r="K63" i="52"/>
  <c r="G63" i="52"/>
  <c r="E63" i="52"/>
  <c r="W62" i="52"/>
  <c r="X62" i="52" s="1"/>
  <c r="Q62" i="52"/>
  <c r="P62" i="52"/>
  <c r="L62" i="52"/>
  <c r="M62" i="52" s="1"/>
  <c r="N62" i="52" s="1"/>
  <c r="K62" i="52"/>
  <c r="G62" i="52"/>
  <c r="E62" i="52"/>
  <c r="W61" i="52"/>
  <c r="X61" i="52" s="1"/>
  <c r="Q61" i="52"/>
  <c r="P61" i="52"/>
  <c r="L61" i="52"/>
  <c r="M61" i="52" s="1"/>
  <c r="N61" i="52" s="1"/>
  <c r="K61" i="52"/>
  <c r="G61" i="52"/>
  <c r="E61" i="52"/>
  <c r="W60" i="52"/>
  <c r="X60" i="52" s="1"/>
  <c r="Q60" i="52"/>
  <c r="P60" i="52"/>
  <c r="L60" i="52"/>
  <c r="M60" i="52" s="1"/>
  <c r="N60" i="52" s="1"/>
  <c r="K60" i="52"/>
  <c r="G60" i="52"/>
  <c r="E60" i="52"/>
  <c r="W59" i="52"/>
  <c r="X59" i="52" s="1"/>
  <c r="Q59" i="52"/>
  <c r="P59" i="52"/>
  <c r="L59" i="52"/>
  <c r="M59" i="52" s="1"/>
  <c r="N59" i="52" s="1"/>
  <c r="K59" i="52"/>
  <c r="G59" i="52"/>
  <c r="E59" i="52"/>
  <c r="W58" i="52"/>
  <c r="X58" i="52" s="1"/>
  <c r="Q58" i="52"/>
  <c r="P58" i="52"/>
  <c r="L58" i="52"/>
  <c r="M58" i="52" s="1"/>
  <c r="N58" i="52" s="1"/>
  <c r="K58" i="52"/>
  <c r="G58" i="52"/>
  <c r="E58" i="52"/>
  <c r="W57" i="52"/>
  <c r="X57" i="52" s="1"/>
  <c r="Q57" i="52"/>
  <c r="P57" i="52"/>
  <c r="L57" i="52"/>
  <c r="M57" i="52" s="1"/>
  <c r="N57" i="52" s="1"/>
  <c r="K57" i="52"/>
  <c r="G57" i="52"/>
  <c r="E57" i="52"/>
  <c r="W56" i="52"/>
  <c r="X56" i="52" s="1"/>
  <c r="Q56" i="52"/>
  <c r="P56" i="52"/>
  <c r="L56" i="52"/>
  <c r="M56" i="52" s="1"/>
  <c r="N56" i="52" s="1"/>
  <c r="K56" i="52"/>
  <c r="G56" i="52"/>
  <c r="E56" i="52"/>
  <c r="W55" i="52"/>
  <c r="X55" i="52" s="1"/>
  <c r="Q55" i="52"/>
  <c r="P55" i="52"/>
  <c r="L55" i="52"/>
  <c r="M55" i="52" s="1"/>
  <c r="N55" i="52" s="1"/>
  <c r="K55" i="52"/>
  <c r="G55" i="52"/>
  <c r="E55" i="52"/>
  <c r="W54" i="52"/>
  <c r="X54" i="52" s="1"/>
  <c r="Q54" i="52"/>
  <c r="P54" i="52"/>
  <c r="L54" i="52"/>
  <c r="M54" i="52" s="1"/>
  <c r="N54" i="52" s="1"/>
  <c r="K54" i="52"/>
  <c r="G54" i="52"/>
  <c r="E54" i="52"/>
  <c r="W53" i="52"/>
  <c r="X53" i="52" s="1"/>
  <c r="Q53" i="52"/>
  <c r="P53" i="52"/>
  <c r="L53" i="52"/>
  <c r="M53" i="52" s="1"/>
  <c r="N53" i="52" s="1"/>
  <c r="K53" i="52"/>
  <c r="G53" i="52"/>
  <c r="E53" i="52"/>
  <c r="W52" i="52"/>
  <c r="X52" i="52" s="1"/>
  <c r="Q52" i="52"/>
  <c r="P52" i="52"/>
  <c r="L52" i="52"/>
  <c r="M52" i="52" s="1"/>
  <c r="N52" i="52" s="1"/>
  <c r="K52" i="52"/>
  <c r="G52" i="52"/>
  <c r="E52" i="52"/>
  <c r="W51" i="52"/>
  <c r="X51" i="52" s="1"/>
  <c r="Q51" i="52"/>
  <c r="P51" i="52"/>
  <c r="L51" i="52"/>
  <c r="M51" i="52" s="1"/>
  <c r="N51" i="52" s="1"/>
  <c r="K51" i="52"/>
  <c r="G51" i="52"/>
  <c r="E51" i="52"/>
  <c r="W50" i="52"/>
  <c r="X50" i="52" s="1"/>
  <c r="Q50" i="52"/>
  <c r="P50" i="52"/>
  <c r="L50" i="52"/>
  <c r="M50" i="52" s="1"/>
  <c r="N50" i="52" s="1"/>
  <c r="K50" i="52"/>
  <c r="G50" i="52"/>
  <c r="E50" i="52"/>
  <c r="W49" i="52"/>
  <c r="X49" i="52" s="1"/>
  <c r="Q49" i="52"/>
  <c r="P49" i="52"/>
  <c r="L49" i="52"/>
  <c r="M49" i="52" s="1"/>
  <c r="N49" i="52" s="1"/>
  <c r="K49" i="52"/>
  <c r="G49" i="52"/>
  <c r="E49" i="52"/>
  <c r="W48" i="52"/>
  <c r="X48" i="52" s="1"/>
  <c r="Q48" i="52"/>
  <c r="P48" i="52"/>
  <c r="L48" i="52"/>
  <c r="M48" i="52" s="1"/>
  <c r="N48" i="52" s="1"/>
  <c r="K48" i="52"/>
  <c r="G48" i="52"/>
  <c r="E48" i="52"/>
  <c r="W47" i="52"/>
  <c r="X47" i="52" s="1"/>
  <c r="Q47" i="52"/>
  <c r="P47" i="52"/>
  <c r="L47" i="52"/>
  <c r="M47" i="52" s="1"/>
  <c r="N47" i="52" s="1"/>
  <c r="K47" i="52"/>
  <c r="G47" i="52"/>
  <c r="E47" i="52"/>
  <c r="W46" i="52"/>
  <c r="X46" i="52" s="1"/>
  <c r="Q46" i="52"/>
  <c r="P46" i="52"/>
  <c r="L46" i="52"/>
  <c r="M46" i="52" s="1"/>
  <c r="N46" i="52" s="1"/>
  <c r="K46" i="52"/>
  <c r="G46" i="52"/>
  <c r="E46" i="52"/>
  <c r="W45" i="52"/>
  <c r="X45" i="52" s="1"/>
  <c r="Q45" i="52"/>
  <c r="P45" i="52"/>
  <c r="L45" i="52"/>
  <c r="M45" i="52" s="1"/>
  <c r="N45" i="52" s="1"/>
  <c r="K45" i="52"/>
  <c r="G45" i="52"/>
  <c r="E45" i="52"/>
  <c r="W44" i="52"/>
  <c r="X44" i="52" s="1"/>
  <c r="Q44" i="52"/>
  <c r="P44" i="52"/>
  <c r="L44" i="52"/>
  <c r="M44" i="52" s="1"/>
  <c r="N44" i="52" s="1"/>
  <c r="K44" i="52"/>
  <c r="G44" i="52"/>
  <c r="E44" i="52"/>
  <c r="W43" i="52"/>
  <c r="X43" i="52" s="1"/>
  <c r="U43" i="52"/>
  <c r="T43" i="52"/>
  <c r="S43" i="52"/>
  <c r="Q43" i="52"/>
  <c r="P43" i="52"/>
  <c r="L43" i="52"/>
  <c r="M43" i="52" s="1"/>
  <c r="N43" i="52" s="1"/>
  <c r="K43" i="52"/>
  <c r="G43" i="52"/>
  <c r="E43" i="52"/>
  <c r="W42" i="52"/>
  <c r="X42" i="52" s="1"/>
  <c r="Q42" i="52"/>
  <c r="P42" i="52"/>
  <c r="L42" i="52"/>
  <c r="M42" i="52" s="1"/>
  <c r="N42" i="52" s="1"/>
  <c r="K42" i="52"/>
  <c r="G42" i="52"/>
  <c r="E42" i="52"/>
  <c r="W41" i="52"/>
  <c r="X41" i="52" s="1"/>
  <c r="Q41" i="52"/>
  <c r="P41" i="52"/>
  <c r="L41" i="52"/>
  <c r="M41" i="52" s="1"/>
  <c r="N41" i="52" s="1"/>
  <c r="K41" i="52"/>
  <c r="G41" i="52"/>
  <c r="E41" i="52"/>
  <c r="W40" i="52"/>
  <c r="X40" i="52" s="1"/>
  <c r="Q40" i="52"/>
  <c r="P40" i="52"/>
  <c r="L40" i="52"/>
  <c r="M40" i="52" s="1"/>
  <c r="N40" i="52" s="1"/>
  <c r="K40" i="52"/>
  <c r="G40" i="52"/>
  <c r="E40" i="52"/>
  <c r="W39" i="52"/>
  <c r="X39" i="52" s="1"/>
  <c r="Q39" i="52"/>
  <c r="P39" i="52"/>
  <c r="L39" i="52"/>
  <c r="M39" i="52" s="1"/>
  <c r="N39" i="52" s="1"/>
  <c r="W38" i="52"/>
  <c r="X38" i="52" s="1"/>
  <c r="Q38" i="52"/>
  <c r="P38" i="52"/>
  <c r="L38" i="52"/>
  <c r="M38" i="52" s="1"/>
  <c r="N38" i="52" s="1"/>
  <c r="K38" i="52"/>
  <c r="G38" i="52"/>
  <c r="E38" i="52"/>
  <c r="W37" i="52"/>
  <c r="X37" i="52" s="1"/>
  <c r="Q37" i="52"/>
  <c r="P37" i="52"/>
  <c r="L37" i="52"/>
  <c r="M37" i="52" s="1"/>
  <c r="N37" i="52" s="1"/>
  <c r="K37" i="52"/>
  <c r="G37" i="52"/>
  <c r="E37" i="52"/>
  <c r="W36" i="52"/>
  <c r="X36" i="52" s="1"/>
  <c r="Q36" i="52"/>
  <c r="P36" i="52"/>
  <c r="L36" i="52"/>
  <c r="M36" i="52" s="1"/>
  <c r="N36" i="52" s="1"/>
  <c r="K36" i="52"/>
  <c r="G36" i="52"/>
  <c r="E36" i="52"/>
  <c r="W35" i="52"/>
  <c r="X35" i="52" s="1"/>
  <c r="Q35" i="52"/>
  <c r="P35" i="52"/>
  <c r="L35" i="52"/>
  <c r="M35" i="52" s="1"/>
  <c r="N35" i="52" s="1"/>
  <c r="K35" i="52"/>
  <c r="G35" i="52"/>
  <c r="E35" i="52"/>
  <c r="W34" i="52"/>
  <c r="X34" i="52" s="1"/>
  <c r="Q34" i="52"/>
  <c r="P34" i="52"/>
  <c r="L34" i="52"/>
  <c r="M34" i="52" s="1"/>
  <c r="N34" i="52" s="1"/>
  <c r="K34" i="52"/>
  <c r="G34" i="52"/>
  <c r="E34" i="52"/>
  <c r="W33" i="52"/>
  <c r="X33" i="52" s="1"/>
  <c r="Q33" i="52"/>
  <c r="P33" i="52"/>
  <c r="L33" i="52"/>
  <c r="M33" i="52" s="1"/>
  <c r="N33" i="52" s="1"/>
  <c r="K33" i="52"/>
  <c r="G33" i="52"/>
  <c r="E33" i="52"/>
  <c r="W32" i="52"/>
  <c r="X32" i="52" s="1"/>
  <c r="Q32" i="52"/>
  <c r="P32" i="52"/>
  <c r="L32" i="52"/>
  <c r="M32" i="52" s="1"/>
  <c r="N32" i="52" s="1"/>
  <c r="K32" i="52"/>
  <c r="G32" i="52"/>
  <c r="E32" i="52"/>
  <c r="W31" i="52"/>
  <c r="X31" i="52" s="1"/>
  <c r="Q31" i="52"/>
  <c r="P31" i="52"/>
  <c r="L31" i="52"/>
  <c r="M31" i="52" s="1"/>
  <c r="N31" i="52" s="1"/>
  <c r="K31" i="52"/>
  <c r="G31" i="52"/>
  <c r="E31" i="52"/>
  <c r="W30" i="52"/>
  <c r="X30" i="52" s="1"/>
  <c r="Q30" i="52"/>
  <c r="P30" i="52"/>
  <c r="L30" i="52"/>
  <c r="M30" i="52" s="1"/>
  <c r="N30" i="52" s="1"/>
  <c r="K30" i="52"/>
  <c r="G30" i="52"/>
  <c r="E30" i="52"/>
  <c r="W29" i="52"/>
  <c r="X29" i="52" s="1"/>
  <c r="Q29" i="52"/>
  <c r="P29" i="52"/>
  <c r="L29" i="52"/>
  <c r="M29" i="52" s="1"/>
  <c r="N29" i="52" s="1"/>
  <c r="K29" i="52"/>
  <c r="G29" i="52"/>
  <c r="E29" i="52"/>
  <c r="W28" i="52"/>
  <c r="X28" i="52" s="1"/>
  <c r="Q28" i="52"/>
  <c r="P28" i="52"/>
  <c r="L28" i="52"/>
  <c r="M28" i="52" s="1"/>
  <c r="N28" i="52" s="1"/>
  <c r="K28" i="52"/>
  <c r="G28" i="52"/>
  <c r="E28" i="52"/>
  <c r="W27" i="52"/>
  <c r="X27" i="52" s="1"/>
  <c r="U27" i="52"/>
  <c r="T27" i="52"/>
  <c r="S27" i="52"/>
  <c r="Q27" i="52"/>
  <c r="P27" i="52"/>
  <c r="L27" i="52"/>
  <c r="M27" i="52" s="1"/>
  <c r="N27" i="52" s="1"/>
  <c r="K27" i="52"/>
  <c r="G27" i="52"/>
  <c r="E27" i="52"/>
  <c r="W26" i="52"/>
  <c r="X26" i="52" s="1"/>
  <c r="Q26" i="52"/>
  <c r="P26" i="52"/>
  <c r="L26" i="52"/>
  <c r="M26" i="52" s="1"/>
  <c r="N26" i="52" s="1"/>
  <c r="K26" i="52"/>
  <c r="G26" i="52"/>
  <c r="E26" i="52"/>
  <c r="W25" i="52"/>
  <c r="X25" i="52" s="1"/>
  <c r="Q25" i="52"/>
  <c r="P25" i="52"/>
  <c r="L25" i="52"/>
  <c r="M25" i="52" s="1"/>
  <c r="N25" i="52" s="1"/>
  <c r="K25" i="52"/>
  <c r="G25" i="52"/>
  <c r="E25" i="52"/>
  <c r="W24" i="52"/>
  <c r="X24" i="52" s="1"/>
  <c r="Q24" i="52"/>
  <c r="P24" i="52"/>
  <c r="L24" i="52"/>
  <c r="M24" i="52" s="1"/>
  <c r="N24" i="52" s="1"/>
  <c r="K24" i="52"/>
  <c r="G24" i="52"/>
  <c r="E24" i="52"/>
  <c r="W23" i="52"/>
  <c r="X23" i="52" s="1"/>
  <c r="U23" i="52"/>
  <c r="T23" i="52"/>
  <c r="S23" i="52"/>
  <c r="Q23" i="52"/>
  <c r="P23" i="52"/>
  <c r="L23" i="52"/>
  <c r="M23" i="52" s="1"/>
  <c r="N23" i="52" s="1"/>
  <c r="K23" i="52"/>
  <c r="G23" i="52"/>
  <c r="E23" i="52"/>
  <c r="W22" i="52"/>
  <c r="X22" i="52" s="1"/>
  <c r="Q22" i="52"/>
  <c r="P22" i="52"/>
  <c r="L22" i="52"/>
  <c r="M22" i="52" s="1"/>
  <c r="N22" i="52" s="1"/>
  <c r="W21" i="52"/>
  <c r="X21" i="52" s="1"/>
  <c r="Q21" i="52"/>
  <c r="P21" i="52"/>
  <c r="L21" i="52"/>
  <c r="M21" i="52" s="1"/>
  <c r="N21" i="52" s="1"/>
  <c r="W20" i="52"/>
  <c r="X20" i="52" s="1"/>
  <c r="Q20" i="52"/>
  <c r="P20" i="52"/>
  <c r="L20" i="52"/>
  <c r="M20" i="52" s="1"/>
  <c r="N20" i="52" s="1"/>
  <c r="K20" i="52"/>
  <c r="G20" i="52"/>
  <c r="E20" i="52"/>
  <c r="W19" i="52"/>
  <c r="X19" i="52" s="1"/>
  <c r="Q19" i="52"/>
  <c r="P19" i="52"/>
  <c r="L19" i="52"/>
  <c r="M19" i="52" s="1"/>
  <c r="N19" i="52" s="1"/>
  <c r="K19" i="52"/>
  <c r="G19" i="52"/>
  <c r="E19" i="52"/>
  <c r="W18" i="52"/>
  <c r="X18" i="52" s="1"/>
  <c r="Q18" i="52"/>
  <c r="P18" i="52"/>
  <c r="L18" i="52"/>
  <c r="M18" i="52" s="1"/>
  <c r="N18" i="52" s="1"/>
  <c r="K18" i="52"/>
  <c r="G18" i="52"/>
  <c r="E18" i="52"/>
  <c r="W17" i="52"/>
  <c r="X17" i="52" s="1"/>
  <c r="Q17" i="52"/>
  <c r="P17" i="52"/>
  <c r="L17" i="52"/>
  <c r="M17" i="52" s="1"/>
  <c r="N17" i="52" s="1"/>
  <c r="K17" i="52"/>
  <c r="G17" i="52"/>
  <c r="E17" i="52"/>
  <c r="W16" i="52"/>
  <c r="X16" i="52" s="1"/>
  <c r="U16" i="52"/>
  <c r="T16" i="52"/>
  <c r="S16" i="52"/>
  <c r="Q16" i="52"/>
  <c r="P16" i="52"/>
  <c r="L16" i="52"/>
  <c r="M16" i="52" s="1"/>
  <c r="N16" i="52" s="1"/>
  <c r="K16" i="52"/>
  <c r="G16" i="52"/>
  <c r="E16" i="52"/>
  <c r="W15" i="52"/>
  <c r="X15" i="52" s="1"/>
  <c r="Q15" i="52"/>
  <c r="P15" i="52"/>
  <c r="L15" i="52"/>
  <c r="M15" i="52" s="1"/>
  <c r="N15" i="52" s="1"/>
  <c r="W14" i="52"/>
  <c r="X14" i="52" s="1"/>
  <c r="U14" i="52"/>
  <c r="T14" i="52"/>
  <c r="S14" i="52"/>
  <c r="Q14" i="52"/>
  <c r="P14" i="52"/>
  <c r="L14" i="52"/>
  <c r="M14" i="52" s="1"/>
  <c r="N14" i="52" s="1"/>
  <c r="K14" i="52"/>
  <c r="G14" i="52"/>
  <c r="E14" i="52"/>
  <c r="W13" i="52"/>
  <c r="X13" i="52" s="1"/>
  <c r="Q13" i="52"/>
  <c r="P13" i="52"/>
  <c r="L13" i="52"/>
  <c r="M13" i="52" s="1"/>
  <c r="N13" i="52" s="1"/>
  <c r="K13" i="52"/>
  <c r="G13" i="52"/>
  <c r="E13" i="52"/>
  <c r="W12" i="52"/>
  <c r="X12" i="52" s="1"/>
  <c r="Q12" i="52"/>
  <c r="P12" i="52"/>
  <c r="L12" i="52"/>
  <c r="M12" i="52" s="1"/>
  <c r="N12" i="52" s="1"/>
  <c r="K12" i="52"/>
  <c r="G12" i="52"/>
  <c r="E12" i="52"/>
  <c r="W11" i="52"/>
  <c r="X11" i="52" s="1"/>
  <c r="Q11" i="52"/>
  <c r="P11" i="52"/>
  <c r="L11" i="52"/>
  <c r="M11" i="52" s="1"/>
  <c r="N11" i="52" s="1"/>
  <c r="K11" i="52"/>
  <c r="G11" i="52"/>
  <c r="E11" i="52"/>
  <c r="W10" i="52"/>
  <c r="X10" i="52" s="1"/>
  <c r="Q10" i="52"/>
  <c r="P10" i="52"/>
  <c r="L10" i="52"/>
  <c r="M10" i="52" s="1"/>
  <c r="N10" i="52" s="1"/>
  <c r="K10" i="52"/>
  <c r="G10" i="52"/>
  <c r="E10" i="52"/>
  <c r="W9" i="52"/>
  <c r="X9" i="52" s="1"/>
  <c r="Q9" i="52"/>
  <c r="P9" i="52"/>
  <c r="L9" i="52"/>
  <c r="M9" i="52" s="1"/>
  <c r="N9" i="52" s="1"/>
  <c r="K9" i="52"/>
  <c r="G9" i="52"/>
  <c r="E9" i="52"/>
  <c r="W8" i="52"/>
  <c r="X8" i="52" s="1"/>
  <c r="Q8" i="52"/>
  <c r="P8" i="52"/>
  <c r="L8" i="52"/>
  <c r="M8" i="52" s="1"/>
  <c r="N8" i="52" s="1"/>
  <c r="K8" i="52"/>
  <c r="G8" i="52"/>
  <c r="E8" i="52"/>
  <c r="W7" i="52"/>
  <c r="X7" i="52" s="1"/>
  <c r="Q7" i="52"/>
  <c r="P7" i="52"/>
  <c r="L7" i="52"/>
  <c r="M7" i="52" s="1"/>
  <c r="N7" i="52" s="1"/>
  <c r="K7" i="52"/>
  <c r="G7" i="52"/>
  <c r="E7" i="52"/>
  <c r="X6" i="52"/>
  <c r="Q6" i="52"/>
  <c r="P6" i="52"/>
  <c r="L6" i="52"/>
  <c r="K6" i="52"/>
  <c r="G6" i="52"/>
  <c r="E6" i="52"/>
  <c r="K114" i="52" l="1"/>
  <c r="D417" i="52"/>
  <c r="K193" i="52"/>
  <c r="M114" i="52"/>
  <c r="N114" i="52" s="1"/>
  <c r="G103" i="52"/>
  <c r="F417" i="52"/>
  <c r="J417" i="52"/>
  <c r="M6" i="52"/>
  <c r="S114" i="52"/>
  <c r="L103" i="52"/>
  <c r="M103" i="52" s="1"/>
  <c r="N103" i="52" s="1"/>
  <c r="T114" i="52"/>
  <c r="P417" i="52"/>
  <c r="C418" i="52" s="1"/>
  <c r="Q417" i="52"/>
  <c r="T193" i="52"/>
  <c r="W193" i="52"/>
  <c r="X193" i="52" s="1"/>
  <c r="X417" i="52" s="1"/>
  <c r="J103" i="50"/>
  <c r="F103" i="50"/>
  <c r="D103" i="50"/>
  <c r="J193" i="50"/>
  <c r="F193" i="50"/>
  <c r="G193" i="50" s="1"/>
  <c r="D193" i="50"/>
  <c r="J114" i="50"/>
  <c r="F114" i="50"/>
  <c r="D114" i="50"/>
  <c r="U103" i="51"/>
  <c r="G261" i="51"/>
  <c r="C417" i="51"/>
  <c r="W416" i="51"/>
  <c r="X416" i="51" s="1"/>
  <c r="U416" i="51"/>
  <c r="T416" i="51"/>
  <c r="S416" i="51"/>
  <c r="Q416" i="51"/>
  <c r="P416" i="51"/>
  <c r="L416" i="51"/>
  <c r="M416" i="51" s="1"/>
  <c r="N416" i="51" s="1"/>
  <c r="W415" i="51"/>
  <c r="X415" i="51" s="1"/>
  <c r="Q415" i="51"/>
  <c r="P415" i="51"/>
  <c r="L415" i="51"/>
  <c r="M415" i="51" s="1"/>
  <c r="N415" i="51" s="1"/>
  <c r="K415" i="51"/>
  <c r="G415" i="51"/>
  <c r="E415" i="51"/>
  <c r="W414" i="51"/>
  <c r="X414" i="51" s="1"/>
  <c r="Q414" i="51"/>
  <c r="P414" i="51"/>
  <c r="L414" i="51"/>
  <c r="M414" i="51" s="1"/>
  <c r="N414" i="51" s="1"/>
  <c r="W413" i="51"/>
  <c r="X413" i="51" s="1"/>
  <c r="Q413" i="51"/>
  <c r="P413" i="51"/>
  <c r="L413" i="51"/>
  <c r="M413" i="51" s="1"/>
  <c r="N413" i="51" s="1"/>
  <c r="K413" i="51"/>
  <c r="G413" i="51"/>
  <c r="E413" i="51"/>
  <c r="W412" i="51"/>
  <c r="X412" i="51" s="1"/>
  <c r="Q412" i="51"/>
  <c r="P412" i="51"/>
  <c r="L412" i="51"/>
  <c r="M412" i="51" s="1"/>
  <c r="N412" i="51" s="1"/>
  <c r="W411" i="51"/>
  <c r="X411" i="51" s="1"/>
  <c r="U411" i="51"/>
  <c r="T411" i="51"/>
  <c r="S411" i="51"/>
  <c r="Q411" i="51"/>
  <c r="P411" i="51"/>
  <c r="L411" i="51"/>
  <c r="M411" i="51" s="1"/>
  <c r="N411" i="51" s="1"/>
  <c r="W410" i="51"/>
  <c r="X410" i="51" s="1"/>
  <c r="Q410" i="51"/>
  <c r="P410" i="51"/>
  <c r="L410" i="51"/>
  <c r="M410" i="51" s="1"/>
  <c r="N410" i="51" s="1"/>
  <c r="K410" i="51"/>
  <c r="G410" i="51"/>
  <c r="E410" i="51"/>
  <c r="W409" i="51"/>
  <c r="X409" i="51" s="1"/>
  <c r="Q409" i="51"/>
  <c r="P409" i="51"/>
  <c r="L409" i="51"/>
  <c r="M409" i="51" s="1"/>
  <c r="N409" i="51" s="1"/>
  <c r="K409" i="51"/>
  <c r="G409" i="51"/>
  <c r="E409" i="51"/>
  <c r="W408" i="51"/>
  <c r="X408" i="51" s="1"/>
  <c r="U408" i="51"/>
  <c r="T408" i="51"/>
  <c r="S408" i="51"/>
  <c r="Q408" i="51"/>
  <c r="P408" i="51"/>
  <c r="L408" i="51"/>
  <c r="M408" i="51" s="1"/>
  <c r="N408" i="51" s="1"/>
  <c r="K408" i="51"/>
  <c r="G408" i="51"/>
  <c r="E408" i="51"/>
  <c r="W407" i="51"/>
  <c r="X407" i="51" s="1"/>
  <c r="Q407" i="51"/>
  <c r="P407" i="51"/>
  <c r="L407" i="51"/>
  <c r="M407" i="51" s="1"/>
  <c r="N407" i="51" s="1"/>
  <c r="W406" i="51"/>
  <c r="X406" i="51" s="1"/>
  <c r="U406" i="51"/>
  <c r="T406" i="51"/>
  <c r="S406" i="51"/>
  <c r="Q406" i="51"/>
  <c r="P406" i="51"/>
  <c r="L406" i="51"/>
  <c r="M406" i="51" s="1"/>
  <c r="N406" i="51" s="1"/>
  <c r="K406" i="51"/>
  <c r="G406" i="51"/>
  <c r="E406" i="51"/>
  <c r="W405" i="51"/>
  <c r="X405" i="51" s="1"/>
  <c r="Q405" i="51"/>
  <c r="P405" i="51"/>
  <c r="L405" i="51"/>
  <c r="M405" i="51" s="1"/>
  <c r="N405" i="51" s="1"/>
  <c r="K405" i="51"/>
  <c r="G405" i="51"/>
  <c r="E405" i="51"/>
  <c r="W404" i="51"/>
  <c r="X404" i="51" s="1"/>
  <c r="Q404" i="51"/>
  <c r="P404" i="51"/>
  <c r="L404" i="51"/>
  <c r="M404" i="51" s="1"/>
  <c r="N404" i="51" s="1"/>
  <c r="K404" i="51"/>
  <c r="G404" i="51"/>
  <c r="E404" i="51"/>
  <c r="W403" i="51"/>
  <c r="X403" i="51" s="1"/>
  <c r="Q403" i="51"/>
  <c r="P403" i="51"/>
  <c r="L403" i="51"/>
  <c r="M403" i="51" s="1"/>
  <c r="N403" i="51" s="1"/>
  <c r="K403" i="51"/>
  <c r="G403" i="51"/>
  <c r="E403" i="51"/>
  <c r="W402" i="51"/>
  <c r="X402" i="51" s="1"/>
  <c r="Q402" i="51"/>
  <c r="P402" i="51"/>
  <c r="L402" i="51"/>
  <c r="M402" i="51" s="1"/>
  <c r="N402" i="51" s="1"/>
  <c r="K402" i="51"/>
  <c r="G402" i="51"/>
  <c r="E402" i="51"/>
  <c r="W401" i="51"/>
  <c r="X401" i="51" s="1"/>
  <c r="Q401" i="51"/>
  <c r="P401" i="51"/>
  <c r="L401" i="51"/>
  <c r="M401" i="51" s="1"/>
  <c r="N401" i="51" s="1"/>
  <c r="K401" i="51"/>
  <c r="G401" i="51"/>
  <c r="E401" i="51"/>
  <c r="W400" i="51"/>
  <c r="X400" i="51" s="1"/>
  <c r="Q400" i="51"/>
  <c r="P400" i="51"/>
  <c r="L400" i="51"/>
  <c r="M400" i="51" s="1"/>
  <c r="N400" i="51" s="1"/>
  <c r="K400" i="51"/>
  <c r="G400" i="51"/>
  <c r="E400" i="51"/>
  <c r="W399" i="51"/>
  <c r="X399" i="51" s="1"/>
  <c r="Q399" i="51"/>
  <c r="P399" i="51"/>
  <c r="L399" i="51"/>
  <c r="M399" i="51" s="1"/>
  <c r="N399" i="51" s="1"/>
  <c r="K399" i="51"/>
  <c r="G399" i="51"/>
  <c r="E399" i="51"/>
  <c r="W398" i="51"/>
  <c r="X398" i="51" s="1"/>
  <c r="Q398" i="51"/>
  <c r="P398" i="51"/>
  <c r="L398" i="51"/>
  <c r="M398" i="51" s="1"/>
  <c r="N398" i="51" s="1"/>
  <c r="K398" i="51"/>
  <c r="G398" i="51"/>
  <c r="E398" i="51"/>
  <c r="W397" i="51"/>
  <c r="X397" i="51" s="1"/>
  <c r="Q397" i="51"/>
  <c r="P397" i="51"/>
  <c r="L397" i="51"/>
  <c r="M397" i="51" s="1"/>
  <c r="N397" i="51" s="1"/>
  <c r="K397" i="51"/>
  <c r="G397" i="51"/>
  <c r="E397" i="51"/>
  <c r="W396" i="51"/>
  <c r="X396" i="51" s="1"/>
  <c r="Q396" i="51"/>
  <c r="P396" i="51"/>
  <c r="L396" i="51"/>
  <c r="M396" i="51" s="1"/>
  <c r="N396" i="51" s="1"/>
  <c r="K396" i="51"/>
  <c r="G396" i="51"/>
  <c r="E396" i="51"/>
  <c r="W395" i="51"/>
  <c r="X395" i="51" s="1"/>
  <c r="Q395" i="51"/>
  <c r="P395" i="51"/>
  <c r="L395" i="51"/>
  <c r="M395" i="51" s="1"/>
  <c r="N395" i="51" s="1"/>
  <c r="K395" i="51"/>
  <c r="G395" i="51"/>
  <c r="E395" i="51"/>
  <c r="W394" i="51"/>
  <c r="X394" i="51" s="1"/>
  <c r="Q394" i="51"/>
  <c r="P394" i="51"/>
  <c r="L394" i="51"/>
  <c r="M394" i="51" s="1"/>
  <c r="N394" i="51" s="1"/>
  <c r="K394" i="51"/>
  <c r="G394" i="51"/>
  <c r="E394" i="51"/>
  <c r="W393" i="51"/>
  <c r="X393" i="51" s="1"/>
  <c r="Q393" i="51"/>
  <c r="P393" i="51"/>
  <c r="L393" i="51"/>
  <c r="M393" i="51" s="1"/>
  <c r="N393" i="51" s="1"/>
  <c r="K393" i="51"/>
  <c r="G393" i="51"/>
  <c r="E393" i="51"/>
  <c r="W392" i="51"/>
  <c r="X392" i="51" s="1"/>
  <c r="Q392" i="51"/>
  <c r="P392" i="51"/>
  <c r="L392" i="51"/>
  <c r="M392" i="51" s="1"/>
  <c r="N392" i="51" s="1"/>
  <c r="K392" i="51"/>
  <c r="G392" i="51"/>
  <c r="E392" i="51"/>
  <c r="W391" i="51"/>
  <c r="X391" i="51" s="1"/>
  <c r="Q391" i="51"/>
  <c r="P391" i="51"/>
  <c r="L391" i="51"/>
  <c r="M391" i="51" s="1"/>
  <c r="N391" i="51" s="1"/>
  <c r="K391" i="51"/>
  <c r="G391" i="51"/>
  <c r="E391" i="51"/>
  <c r="W390" i="51"/>
  <c r="X390" i="51" s="1"/>
  <c r="U390" i="51"/>
  <c r="T390" i="51"/>
  <c r="S390" i="51"/>
  <c r="Q390" i="51"/>
  <c r="P390" i="51"/>
  <c r="L390" i="51"/>
  <c r="M390" i="51" s="1"/>
  <c r="N390" i="51" s="1"/>
  <c r="K390" i="51"/>
  <c r="G390" i="51"/>
  <c r="E390" i="51"/>
  <c r="W389" i="51"/>
  <c r="X389" i="51" s="1"/>
  <c r="Q389" i="51"/>
  <c r="P389" i="51"/>
  <c r="L389" i="51"/>
  <c r="M389" i="51"/>
  <c r="N389" i="51" s="1"/>
  <c r="W388" i="51"/>
  <c r="X388" i="51" s="1"/>
  <c r="Q388" i="51"/>
  <c r="P388" i="51"/>
  <c r="L388" i="51"/>
  <c r="M388" i="51" s="1"/>
  <c r="N388" i="51" s="1"/>
  <c r="K388" i="51"/>
  <c r="G388" i="51"/>
  <c r="E388" i="51"/>
  <c r="W387" i="51"/>
  <c r="X387" i="51" s="1"/>
  <c r="U387" i="51"/>
  <c r="T387" i="51"/>
  <c r="S387" i="51"/>
  <c r="Q387" i="51"/>
  <c r="P387" i="51"/>
  <c r="L387" i="51"/>
  <c r="M387" i="51" s="1"/>
  <c r="N387" i="51" s="1"/>
  <c r="K387" i="51"/>
  <c r="G387" i="51"/>
  <c r="E387" i="51"/>
  <c r="W386" i="51"/>
  <c r="X386" i="51" s="1"/>
  <c r="U386" i="51"/>
  <c r="T386" i="51"/>
  <c r="S386" i="51"/>
  <c r="Q386" i="51"/>
  <c r="P386" i="51"/>
  <c r="L386" i="51"/>
  <c r="M386" i="51" s="1"/>
  <c r="N386" i="51" s="1"/>
  <c r="K386" i="51"/>
  <c r="G386" i="51"/>
  <c r="E386" i="51"/>
  <c r="W385" i="51"/>
  <c r="X385" i="51" s="1"/>
  <c r="Q385" i="51"/>
  <c r="P385" i="51"/>
  <c r="L385" i="51"/>
  <c r="M385" i="51" s="1"/>
  <c r="N385" i="51" s="1"/>
  <c r="K385" i="51"/>
  <c r="G385" i="51"/>
  <c r="E385" i="51"/>
  <c r="W384" i="51"/>
  <c r="X384" i="51" s="1"/>
  <c r="U384" i="51"/>
  <c r="T384" i="51"/>
  <c r="S384" i="51"/>
  <c r="Q384" i="51"/>
  <c r="P384" i="51"/>
  <c r="L384" i="51"/>
  <c r="M384" i="51" s="1"/>
  <c r="N384" i="51" s="1"/>
  <c r="K384" i="51"/>
  <c r="G384" i="51"/>
  <c r="E384" i="51"/>
  <c r="W383" i="51"/>
  <c r="X383" i="51" s="1"/>
  <c r="Q383" i="51"/>
  <c r="P383" i="51"/>
  <c r="L383" i="51"/>
  <c r="M383" i="51" s="1"/>
  <c r="N383" i="51" s="1"/>
  <c r="K383" i="51"/>
  <c r="G383" i="51"/>
  <c r="E383" i="51"/>
  <c r="W382" i="51"/>
  <c r="X382" i="51"/>
  <c r="Q382" i="51"/>
  <c r="P382" i="51"/>
  <c r="L382" i="51"/>
  <c r="M382" i="51" s="1"/>
  <c r="N382" i="51" s="1"/>
  <c r="K382" i="51"/>
  <c r="G382" i="51"/>
  <c r="E382" i="51"/>
  <c r="W381" i="51"/>
  <c r="X381" i="51" s="1"/>
  <c r="Q381" i="51"/>
  <c r="P381" i="51"/>
  <c r="L381" i="51"/>
  <c r="M381" i="51" s="1"/>
  <c r="N381" i="51" s="1"/>
  <c r="K381" i="51"/>
  <c r="G381" i="51"/>
  <c r="E381" i="51"/>
  <c r="W380" i="51"/>
  <c r="X380" i="51" s="1"/>
  <c r="Q380" i="51"/>
  <c r="P380" i="51"/>
  <c r="L380" i="51"/>
  <c r="M380" i="51" s="1"/>
  <c r="N380" i="51" s="1"/>
  <c r="K380" i="51"/>
  <c r="G380" i="51"/>
  <c r="E380" i="51"/>
  <c r="W379" i="51"/>
  <c r="X379" i="51" s="1"/>
  <c r="U379" i="51"/>
  <c r="T379" i="51"/>
  <c r="S379" i="51"/>
  <c r="Q379" i="51"/>
  <c r="P379" i="51"/>
  <c r="L379" i="51"/>
  <c r="M379" i="51" s="1"/>
  <c r="N379" i="51" s="1"/>
  <c r="K379" i="51"/>
  <c r="G379" i="51"/>
  <c r="E379" i="51"/>
  <c r="W378" i="51"/>
  <c r="X378" i="51" s="1"/>
  <c r="Q378" i="51"/>
  <c r="P378" i="51"/>
  <c r="L378" i="51"/>
  <c r="M378" i="51" s="1"/>
  <c r="N378" i="51" s="1"/>
  <c r="K378" i="51"/>
  <c r="G378" i="51"/>
  <c r="E378" i="51"/>
  <c r="W377" i="51"/>
  <c r="X377" i="51" s="1"/>
  <c r="Q377" i="51"/>
  <c r="P377" i="51"/>
  <c r="L377" i="51"/>
  <c r="M377" i="51" s="1"/>
  <c r="N377" i="51" s="1"/>
  <c r="K377" i="51"/>
  <c r="G377" i="51"/>
  <c r="E377" i="51"/>
  <c r="W376" i="51"/>
  <c r="X376" i="51" s="1"/>
  <c r="U376" i="51"/>
  <c r="T376" i="51"/>
  <c r="S376" i="51"/>
  <c r="Q376" i="51"/>
  <c r="P376" i="51"/>
  <c r="L376" i="51"/>
  <c r="M376" i="51" s="1"/>
  <c r="N376" i="51" s="1"/>
  <c r="K376" i="51"/>
  <c r="G376" i="51"/>
  <c r="E376" i="51"/>
  <c r="W375" i="51"/>
  <c r="X375" i="51" s="1"/>
  <c r="Q375" i="51"/>
  <c r="P375" i="51"/>
  <c r="L375" i="51"/>
  <c r="M375" i="51" s="1"/>
  <c r="N375" i="51" s="1"/>
  <c r="K375" i="51"/>
  <c r="G375" i="51"/>
  <c r="E375" i="51"/>
  <c r="W374" i="51"/>
  <c r="X374" i="51" s="1"/>
  <c r="U374" i="51"/>
  <c r="T374" i="51"/>
  <c r="S374" i="51"/>
  <c r="Q374" i="51"/>
  <c r="P374" i="51"/>
  <c r="L374" i="51"/>
  <c r="M374" i="51" s="1"/>
  <c r="N374" i="51" s="1"/>
  <c r="K374" i="51"/>
  <c r="G374" i="51"/>
  <c r="E374" i="51"/>
  <c r="W373" i="51"/>
  <c r="X373" i="51" s="1"/>
  <c r="Q373" i="51"/>
  <c r="P373" i="51"/>
  <c r="L373" i="51"/>
  <c r="M373" i="51" s="1"/>
  <c r="N373" i="51" s="1"/>
  <c r="K373" i="51"/>
  <c r="G373" i="51"/>
  <c r="E373" i="51"/>
  <c r="W372" i="51"/>
  <c r="X372" i="51" s="1"/>
  <c r="Q372" i="51"/>
  <c r="P372" i="51"/>
  <c r="L372" i="51"/>
  <c r="M372" i="51" s="1"/>
  <c r="N372" i="51" s="1"/>
  <c r="K372" i="51"/>
  <c r="G372" i="51"/>
  <c r="E372" i="51"/>
  <c r="W371" i="51"/>
  <c r="X371" i="51" s="1"/>
  <c r="Q371" i="51"/>
  <c r="P371" i="51"/>
  <c r="L371" i="51"/>
  <c r="M371" i="51" s="1"/>
  <c r="N371" i="51" s="1"/>
  <c r="K371" i="51"/>
  <c r="G371" i="51"/>
  <c r="E371" i="51"/>
  <c r="W370" i="51"/>
  <c r="X370" i="51" s="1"/>
  <c r="Q370" i="51"/>
  <c r="P370" i="51"/>
  <c r="L370" i="51"/>
  <c r="M370" i="51" s="1"/>
  <c r="N370" i="51" s="1"/>
  <c r="K370" i="51"/>
  <c r="G370" i="51"/>
  <c r="E370" i="51"/>
  <c r="W369" i="51"/>
  <c r="X369" i="51" s="1"/>
  <c r="Q369" i="51"/>
  <c r="P369" i="51"/>
  <c r="L369" i="51"/>
  <c r="M369" i="51" s="1"/>
  <c r="N369" i="51" s="1"/>
  <c r="K369" i="51"/>
  <c r="G369" i="51"/>
  <c r="E369" i="51"/>
  <c r="W368" i="51"/>
  <c r="X368" i="51" s="1"/>
  <c r="Q368" i="51"/>
  <c r="P368" i="51"/>
  <c r="L368" i="51"/>
  <c r="M368" i="51" s="1"/>
  <c r="N368" i="51" s="1"/>
  <c r="K368" i="51"/>
  <c r="G368" i="51"/>
  <c r="E368" i="51"/>
  <c r="W367" i="51"/>
  <c r="X367" i="51" s="1"/>
  <c r="U367" i="51"/>
  <c r="T367" i="51"/>
  <c r="S367" i="51"/>
  <c r="Q367" i="51"/>
  <c r="P367" i="51"/>
  <c r="L367" i="51"/>
  <c r="M367" i="51" s="1"/>
  <c r="N367" i="51" s="1"/>
  <c r="K367" i="51"/>
  <c r="G367" i="51"/>
  <c r="E367" i="51"/>
  <c r="W366" i="51"/>
  <c r="X366" i="51" s="1"/>
  <c r="Q366" i="51"/>
  <c r="P366" i="51"/>
  <c r="L366" i="51"/>
  <c r="M366" i="51" s="1"/>
  <c r="N366" i="51" s="1"/>
  <c r="K366" i="51"/>
  <c r="G366" i="51"/>
  <c r="E366" i="51"/>
  <c r="W365" i="51"/>
  <c r="X365" i="51" s="1"/>
  <c r="Q365" i="51"/>
  <c r="P365" i="51"/>
  <c r="L365" i="51"/>
  <c r="M365" i="51" s="1"/>
  <c r="N365" i="51" s="1"/>
  <c r="K365" i="51"/>
  <c r="G365" i="51"/>
  <c r="E365" i="51"/>
  <c r="W364" i="51"/>
  <c r="X364" i="51" s="1"/>
  <c r="U364" i="51"/>
  <c r="T364" i="51"/>
  <c r="S364" i="51"/>
  <c r="Q364" i="51"/>
  <c r="P364" i="51"/>
  <c r="L364" i="51"/>
  <c r="M364" i="51" s="1"/>
  <c r="N364" i="51" s="1"/>
  <c r="K364" i="51"/>
  <c r="G364" i="51"/>
  <c r="E364" i="51"/>
  <c r="W363" i="51"/>
  <c r="X363" i="51" s="1"/>
  <c r="Q363" i="51"/>
  <c r="P363" i="51"/>
  <c r="L363" i="51"/>
  <c r="M363" i="51" s="1"/>
  <c r="N363" i="51" s="1"/>
  <c r="K363" i="51"/>
  <c r="G363" i="51"/>
  <c r="E363" i="51"/>
  <c r="W362" i="51"/>
  <c r="X362" i="51" s="1"/>
  <c r="Q362" i="51"/>
  <c r="P362" i="51"/>
  <c r="L362" i="51"/>
  <c r="M362" i="51" s="1"/>
  <c r="N362" i="51" s="1"/>
  <c r="K362" i="51"/>
  <c r="G362" i="51"/>
  <c r="E362" i="51"/>
  <c r="W361" i="51"/>
  <c r="X361" i="51" s="1"/>
  <c r="U361" i="51"/>
  <c r="T361" i="51"/>
  <c r="S361" i="51"/>
  <c r="Q361" i="51"/>
  <c r="P361" i="51"/>
  <c r="L361" i="51"/>
  <c r="M361" i="51" s="1"/>
  <c r="N361" i="51" s="1"/>
  <c r="K361" i="51"/>
  <c r="G361" i="51"/>
  <c r="E361" i="51"/>
  <c r="W360" i="51"/>
  <c r="X360" i="51"/>
  <c r="Q360" i="51"/>
  <c r="P360" i="51"/>
  <c r="L360" i="51"/>
  <c r="M360" i="51" s="1"/>
  <c r="N360" i="51" s="1"/>
  <c r="K360" i="51"/>
  <c r="G360" i="51"/>
  <c r="E360" i="51"/>
  <c r="W359" i="51"/>
  <c r="X359" i="51" s="1"/>
  <c r="Q359" i="51"/>
  <c r="P359" i="51"/>
  <c r="L359" i="51"/>
  <c r="M359" i="51" s="1"/>
  <c r="N359" i="51" s="1"/>
  <c r="K359" i="51"/>
  <c r="G359" i="51"/>
  <c r="E359" i="51"/>
  <c r="W358" i="51"/>
  <c r="X358" i="51" s="1"/>
  <c r="Q358" i="51"/>
  <c r="P358" i="51"/>
  <c r="L358" i="51"/>
  <c r="M358" i="51" s="1"/>
  <c r="N358" i="51" s="1"/>
  <c r="K358" i="51"/>
  <c r="G358" i="51"/>
  <c r="E358" i="51"/>
  <c r="W357" i="51"/>
  <c r="X357" i="51" s="1"/>
  <c r="Q357" i="51"/>
  <c r="P357" i="51"/>
  <c r="L357" i="51"/>
  <c r="M357" i="51" s="1"/>
  <c r="N357" i="51" s="1"/>
  <c r="K357" i="51"/>
  <c r="G357" i="51"/>
  <c r="E357" i="51"/>
  <c r="W356" i="51"/>
  <c r="X356" i="51" s="1"/>
  <c r="U356" i="51"/>
  <c r="T356" i="51"/>
  <c r="S356" i="51"/>
  <c r="Q356" i="51"/>
  <c r="P356" i="51"/>
  <c r="L356" i="51"/>
  <c r="M356" i="51" s="1"/>
  <c r="N356" i="51" s="1"/>
  <c r="K356" i="51"/>
  <c r="G356" i="51"/>
  <c r="E356" i="51"/>
  <c r="W355" i="51"/>
  <c r="X355" i="51" s="1"/>
  <c r="Q355" i="51"/>
  <c r="P355" i="51"/>
  <c r="L355" i="51"/>
  <c r="M355" i="51" s="1"/>
  <c r="N355" i="51" s="1"/>
  <c r="K355" i="51"/>
  <c r="G355" i="51"/>
  <c r="E355" i="51"/>
  <c r="W354" i="51"/>
  <c r="X354" i="51" s="1"/>
  <c r="Q354" i="51"/>
  <c r="P354" i="51"/>
  <c r="L354" i="51"/>
  <c r="M354" i="51"/>
  <c r="N354" i="51" s="1"/>
  <c r="K354" i="51"/>
  <c r="G354" i="51"/>
  <c r="E354" i="51"/>
  <c r="W353" i="51"/>
  <c r="X353" i="51" s="1"/>
  <c r="Q353" i="51"/>
  <c r="P353" i="51"/>
  <c r="L353" i="51"/>
  <c r="M353" i="51" s="1"/>
  <c r="N353" i="51" s="1"/>
  <c r="K353" i="51"/>
  <c r="G353" i="51"/>
  <c r="E353" i="51"/>
  <c r="W352" i="51"/>
  <c r="X352" i="51" s="1"/>
  <c r="Q352" i="51"/>
  <c r="P352" i="51"/>
  <c r="L352" i="51"/>
  <c r="M352" i="51" s="1"/>
  <c r="N352" i="51" s="1"/>
  <c r="K352" i="51"/>
  <c r="G352" i="51"/>
  <c r="E352" i="51"/>
  <c r="W351" i="51"/>
  <c r="X351" i="51" s="1"/>
  <c r="Q351" i="51"/>
  <c r="P351" i="51"/>
  <c r="L351" i="51"/>
  <c r="M351" i="51" s="1"/>
  <c r="N351" i="51" s="1"/>
  <c r="K351" i="51"/>
  <c r="G351" i="51"/>
  <c r="E351" i="51"/>
  <c r="W350" i="51"/>
  <c r="X350" i="51" s="1"/>
  <c r="Q350" i="51"/>
  <c r="P350" i="51"/>
  <c r="L350" i="51"/>
  <c r="M350" i="51" s="1"/>
  <c r="N350" i="51" s="1"/>
  <c r="K350" i="51"/>
  <c r="G350" i="51"/>
  <c r="E350" i="51"/>
  <c r="W349" i="51"/>
  <c r="X349" i="51" s="1"/>
  <c r="Q349" i="51"/>
  <c r="P349" i="51"/>
  <c r="L349" i="51"/>
  <c r="M349" i="51" s="1"/>
  <c r="N349" i="51" s="1"/>
  <c r="K349" i="51"/>
  <c r="G349" i="51"/>
  <c r="E349" i="51"/>
  <c r="W348" i="51"/>
  <c r="X348" i="51" s="1"/>
  <c r="Q348" i="51"/>
  <c r="P348" i="51"/>
  <c r="L348" i="51"/>
  <c r="M348" i="51" s="1"/>
  <c r="N348" i="51" s="1"/>
  <c r="K348" i="51"/>
  <c r="G348" i="51"/>
  <c r="E348" i="51"/>
  <c r="W347" i="51"/>
  <c r="X347" i="51" s="1"/>
  <c r="Q347" i="51"/>
  <c r="P347" i="51"/>
  <c r="L347" i="51"/>
  <c r="M347" i="51" s="1"/>
  <c r="N347" i="51" s="1"/>
  <c r="K347" i="51"/>
  <c r="G347" i="51"/>
  <c r="E347" i="51"/>
  <c r="W346" i="51"/>
  <c r="X346" i="51" s="1"/>
  <c r="Q346" i="51"/>
  <c r="P346" i="51"/>
  <c r="L346" i="51"/>
  <c r="M346" i="51" s="1"/>
  <c r="N346" i="51" s="1"/>
  <c r="K346" i="51"/>
  <c r="G346" i="51"/>
  <c r="E346" i="51"/>
  <c r="W345" i="51"/>
  <c r="X345" i="51" s="1"/>
  <c r="Q345" i="51"/>
  <c r="P345" i="51"/>
  <c r="L345" i="51"/>
  <c r="M345" i="51" s="1"/>
  <c r="N345" i="51" s="1"/>
  <c r="K345" i="51"/>
  <c r="G345" i="51"/>
  <c r="E345" i="51"/>
  <c r="W344" i="51"/>
  <c r="X344" i="51" s="1"/>
  <c r="Q344" i="51"/>
  <c r="P344" i="51"/>
  <c r="L344" i="51"/>
  <c r="M344" i="51" s="1"/>
  <c r="N344" i="51" s="1"/>
  <c r="K344" i="51"/>
  <c r="G344" i="51"/>
  <c r="E344" i="51"/>
  <c r="W343" i="51"/>
  <c r="X343" i="51" s="1"/>
  <c r="Q343" i="51"/>
  <c r="P343" i="51"/>
  <c r="L343" i="51"/>
  <c r="M343" i="51" s="1"/>
  <c r="N343" i="51" s="1"/>
  <c r="K343" i="51"/>
  <c r="G343" i="51"/>
  <c r="E343" i="51"/>
  <c r="W342" i="51"/>
  <c r="X342" i="51" s="1"/>
  <c r="Q342" i="51"/>
  <c r="P342" i="51"/>
  <c r="L342" i="51"/>
  <c r="M342" i="51" s="1"/>
  <c r="N342" i="51" s="1"/>
  <c r="K342" i="51"/>
  <c r="G342" i="51"/>
  <c r="E342" i="51"/>
  <c r="W341" i="51"/>
  <c r="X341" i="51" s="1"/>
  <c r="Q341" i="51"/>
  <c r="P341" i="51"/>
  <c r="L341" i="51"/>
  <c r="M341" i="51" s="1"/>
  <c r="N341" i="51" s="1"/>
  <c r="K341" i="51"/>
  <c r="G341" i="51"/>
  <c r="E341" i="51"/>
  <c r="W340" i="51"/>
  <c r="X340" i="51" s="1"/>
  <c r="Q340" i="51"/>
  <c r="P340" i="51"/>
  <c r="L340" i="51"/>
  <c r="M340" i="51" s="1"/>
  <c r="N340" i="51" s="1"/>
  <c r="K340" i="51"/>
  <c r="G340" i="51"/>
  <c r="E340" i="51"/>
  <c r="W339" i="51"/>
  <c r="X339" i="51" s="1"/>
  <c r="U339" i="51"/>
  <c r="T339" i="51"/>
  <c r="S339" i="51"/>
  <c r="Q339" i="51"/>
  <c r="P339" i="51"/>
  <c r="L339" i="51"/>
  <c r="M339" i="51" s="1"/>
  <c r="N339" i="51" s="1"/>
  <c r="K339" i="51"/>
  <c r="G339" i="51"/>
  <c r="E339" i="51"/>
  <c r="W338" i="51"/>
  <c r="X338" i="51" s="1"/>
  <c r="Q338" i="51"/>
  <c r="P338" i="51"/>
  <c r="L338" i="51"/>
  <c r="M338" i="51" s="1"/>
  <c r="N338" i="51" s="1"/>
  <c r="K338" i="51"/>
  <c r="G338" i="51"/>
  <c r="E338" i="51"/>
  <c r="W337" i="51"/>
  <c r="X337" i="51" s="1"/>
  <c r="Q337" i="51"/>
  <c r="P337" i="51"/>
  <c r="L337" i="51"/>
  <c r="M337" i="51" s="1"/>
  <c r="N337" i="51" s="1"/>
  <c r="K337" i="51"/>
  <c r="G337" i="51"/>
  <c r="E337" i="51"/>
  <c r="W336" i="51"/>
  <c r="X336" i="51" s="1"/>
  <c r="Q336" i="51"/>
  <c r="P336" i="51"/>
  <c r="L336" i="51"/>
  <c r="M336" i="51" s="1"/>
  <c r="N336" i="51" s="1"/>
  <c r="K336" i="51"/>
  <c r="G336" i="51"/>
  <c r="E336" i="51"/>
  <c r="W335" i="51"/>
  <c r="X335" i="51" s="1"/>
  <c r="Q335" i="51"/>
  <c r="P335" i="51"/>
  <c r="L335" i="51"/>
  <c r="M335" i="51" s="1"/>
  <c r="N335" i="51" s="1"/>
  <c r="K335" i="51"/>
  <c r="G335" i="51"/>
  <c r="E335" i="51"/>
  <c r="W334" i="51"/>
  <c r="X334" i="51" s="1"/>
  <c r="Q334" i="51"/>
  <c r="P334" i="51"/>
  <c r="L334" i="51"/>
  <c r="M334" i="51" s="1"/>
  <c r="N334" i="51" s="1"/>
  <c r="K334" i="51"/>
  <c r="G334" i="51"/>
  <c r="E334" i="51"/>
  <c r="W333" i="51"/>
  <c r="X333" i="51" s="1"/>
  <c r="Q333" i="51"/>
  <c r="P333" i="51"/>
  <c r="L333" i="51"/>
  <c r="M333" i="51" s="1"/>
  <c r="N333" i="51" s="1"/>
  <c r="K333" i="51"/>
  <c r="G333" i="51"/>
  <c r="E333" i="51"/>
  <c r="W332" i="51"/>
  <c r="X332" i="51" s="1"/>
  <c r="Q332" i="51"/>
  <c r="P332" i="51"/>
  <c r="L332" i="51"/>
  <c r="M332" i="51" s="1"/>
  <c r="N332" i="51" s="1"/>
  <c r="K332" i="51"/>
  <c r="G332" i="51"/>
  <c r="E332" i="51"/>
  <c r="W331" i="51"/>
  <c r="X331" i="51" s="1"/>
  <c r="Q331" i="51"/>
  <c r="P331" i="51"/>
  <c r="L331" i="51"/>
  <c r="M331" i="51" s="1"/>
  <c r="N331" i="51" s="1"/>
  <c r="K331" i="51"/>
  <c r="G331" i="51"/>
  <c r="E331" i="51"/>
  <c r="W330" i="51"/>
  <c r="X330" i="51" s="1"/>
  <c r="Q330" i="51"/>
  <c r="P330" i="51"/>
  <c r="L330" i="51"/>
  <c r="M330" i="51" s="1"/>
  <c r="N330" i="51" s="1"/>
  <c r="K330" i="51"/>
  <c r="G330" i="51"/>
  <c r="E330" i="51"/>
  <c r="W329" i="51"/>
  <c r="X329" i="51" s="1"/>
  <c r="Q329" i="51"/>
  <c r="P329" i="51"/>
  <c r="L329" i="51"/>
  <c r="M329" i="51" s="1"/>
  <c r="N329" i="51" s="1"/>
  <c r="K329" i="51"/>
  <c r="G329" i="51"/>
  <c r="E329" i="51"/>
  <c r="W328" i="51"/>
  <c r="X328" i="51" s="1"/>
  <c r="Q328" i="51"/>
  <c r="P328" i="51"/>
  <c r="L328" i="51"/>
  <c r="M328" i="51" s="1"/>
  <c r="N328" i="51" s="1"/>
  <c r="K328" i="51"/>
  <c r="G328" i="51"/>
  <c r="E328" i="51"/>
  <c r="W327" i="51"/>
  <c r="X327" i="51" s="1"/>
  <c r="Q327" i="51"/>
  <c r="P327" i="51"/>
  <c r="L327" i="51"/>
  <c r="M327" i="51" s="1"/>
  <c r="N327" i="51" s="1"/>
  <c r="K327" i="51"/>
  <c r="G327" i="51"/>
  <c r="E327" i="51"/>
  <c r="W326" i="51"/>
  <c r="X326" i="51" s="1"/>
  <c r="Q326" i="51"/>
  <c r="P326" i="51"/>
  <c r="L326" i="51"/>
  <c r="M326" i="51" s="1"/>
  <c r="N326" i="51" s="1"/>
  <c r="K326" i="51"/>
  <c r="G326" i="51"/>
  <c r="E326" i="51"/>
  <c r="W325" i="51"/>
  <c r="X325" i="51" s="1"/>
  <c r="Q325" i="51"/>
  <c r="P325" i="51"/>
  <c r="L325" i="51"/>
  <c r="M325" i="51" s="1"/>
  <c r="N325" i="51" s="1"/>
  <c r="K325" i="51"/>
  <c r="G325" i="51"/>
  <c r="E325" i="51"/>
  <c r="W324" i="51"/>
  <c r="X324" i="51" s="1"/>
  <c r="Q324" i="51"/>
  <c r="P324" i="51"/>
  <c r="L324" i="51"/>
  <c r="M324" i="51" s="1"/>
  <c r="N324" i="51" s="1"/>
  <c r="K324" i="51"/>
  <c r="G324" i="51"/>
  <c r="E324" i="51"/>
  <c r="W323" i="51"/>
  <c r="X323" i="51" s="1"/>
  <c r="Q323" i="51"/>
  <c r="P323" i="51"/>
  <c r="L323" i="51"/>
  <c r="M323" i="51" s="1"/>
  <c r="N323" i="51" s="1"/>
  <c r="K323" i="51"/>
  <c r="G323" i="51"/>
  <c r="E323" i="51"/>
  <c r="W322" i="51"/>
  <c r="X322" i="51" s="1"/>
  <c r="Q322" i="51"/>
  <c r="P322" i="51"/>
  <c r="L322" i="51"/>
  <c r="M322" i="51" s="1"/>
  <c r="N322" i="51" s="1"/>
  <c r="K322" i="51"/>
  <c r="G322" i="51"/>
  <c r="E322" i="51"/>
  <c r="W321" i="51"/>
  <c r="X321" i="51" s="1"/>
  <c r="Q321" i="51"/>
  <c r="P321" i="51"/>
  <c r="L321" i="51"/>
  <c r="M321" i="51" s="1"/>
  <c r="N321" i="51" s="1"/>
  <c r="K321" i="51"/>
  <c r="G321" i="51"/>
  <c r="E321" i="51"/>
  <c r="W320" i="51"/>
  <c r="X320" i="51" s="1"/>
  <c r="Q320" i="51"/>
  <c r="P320" i="51"/>
  <c r="L320" i="51"/>
  <c r="M320" i="51" s="1"/>
  <c r="N320" i="51" s="1"/>
  <c r="K320" i="51"/>
  <c r="G320" i="51"/>
  <c r="E320" i="51"/>
  <c r="W319" i="51"/>
  <c r="X319" i="51" s="1"/>
  <c r="Q319" i="51"/>
  <c r="P319" i="51"/>
  <c r="L319" i="51"/>
  <c r="M319" i="51" s="1"/>
  <c r="N319" i="51" s="1"/>
  <c r="K319" i="51"/>
  <c r="G319" i="51"/>
  <c r="E319" i="51"/>
  <c r="W318" i="51"/>
  <c r="X318" i="51" s="1"/>
  <c r="Q318" i="51"/>
  <c r="P318" i="51"/>
  <c r="L318" i="51"/>
  <c r="M318" i="51" s="1"/>
  <c r="N318" i="51" s="1"/>
  <c r="K318" i="51"/>
  <c r="G318" i="51"/>
  <c r="E318" i="51"/>
  <c r="W317" i="51"/>
  <c r="X317" i="51" s="1"/>
  <c r="Q317" i="51"/>
  <c r="P317" i="51"/>
  <c r="L317" i="51"/>
  <c r="M317" i="51" s="1"/>
  <c r="N317" i="51" s="1"/>
  <c r="K317" i="51"/>
  <c r="G317" i="51"/>
  <c r="E317" i="51"/>
  <c r="W316" i="51"/>
  <c r="X316" i="51" s="1"/>
  <c r="Q316" i="51"/>
  <c r="P316" i="51"/>
  <c r="L316" i="51"/>
  <c r="M316" i="51" s="1"/>
  <c r="N316" i="51" s="1"/>
  <c r="K316" i="51"/>
  <c r="G316" i="51"/>
  <c r="E316" i="51"/>
  <c r="W315" i="51"/>
  <c r="X315" i="51" s="1"/>
  <c r="U315" i="51"/>
  <c r="T315" i="51"/>
  <c r="S315" i="51"/>
  <c r="Q315" i="51"/>
  <c r="P315" i="51"/>
  <c r="L315" i="51"/>
  <c r="M315" i="51" s="1"/>
  <c r="N315" i="51" s="1"/>
  <c r="K315" i="51"/>
  <c r="G315" i="51"/>
  <c r="E315" i="51"/>
  <c r="W314" i="51"/>
  <c r="X314" i="51" s="1"/>
  <c r="Q314" i="51"/>
  <c r="P314" i="51"/>
  <c r="L314" i="51"/>
  <c r="M314" i="51" s="1"/>
  <c r="N314" i="51" s="1"/>
  <c r="K314" i="51"/>
  <c r="G314" i="51"/>
  <c r="E314" i="51"/>
  <c r="W313" i="51"/>
  <c r="X313" i="51" s="1"/>
  <c r="Q313" i="51"/>
  <c r="P313" i="51"/>
  <c r="L313" i="51"/>
  <c r="M313" i="51" s="1"/>
  <c r="N313" i="51" s="1"/>
  <c r="K313" i="51"/>
  <c r="G313" i="51"/>
  <c r="E313" i="51"/>
  <c r="W312" i="51"/>
  <c r="X312" i="51" s="1"/>
  <c r="Q312" i="51"/>
  <c r="P312" i="51"/>
  <c r="L312" i="51"/>
  <c r="M312" i="51" s="1"/>
  <c r="N312" i="51" s="1"/>
  <c r="K312" i="51"/>
  <c r="G312" i="51"/>
  <c r="E312" i="51"/>
  <c r="W311" i="51"/>
  <c r="X311" i="51" s="1"/>
  <c r="Q311" i="51"/>
  <c r="P311" i="51"/>
  <c r="L311" i="51"/>
  <c r="M311" i="51" s="1"/>
  <c r="N311" i="51" s="1"/>
  <c r="K311" i="51"/>
  <c r="G311" i="51"/>
  <c r="E311" i="51"/>
  <c r="W310" i="51"/>
  <c r="X310" i="51" s="1"/>
  <c r="Q310" i="51"/>
  <c r="P310" i="51"/>
  <c r="L310" i="51"/>
  <c r="M310" i="51" s="1"/>
  <c r="N310" i="51" s="1"/>
  <c r="K310" i="51"/>
  <c r="G310" i="51"/>
  <c r="E310" i="51"/>
  <c r="W309" i="51"/>
  <c r="X309" i="51" s="1"/>
  <c r="U309" i="51"/>
  <c r="T309" i="51"/>
  <c r="S309" i="51"/>
  <c r="Q309" i="51"/>
  <c r="P309" i="51"/>
  <c r="L309" i="51"/>
  <c r="M309" i="51" s="1"/>
  <c r="N309" i="51" s="1"/>
  <c r="K309" i="51"/>
  <c r="G309" i="51"/>
  <c r="E309" i="51"/>
  <c r="W308" i="51"/>
  <c r="X308" i="51" s="1"/>
  <c r="Q308" i="51"/>
  <c r="P308" i="51"/>
  <c r="L308" i="51"/>
  <c r="M308" i="51" s="1"/>
  <c r="N308" i="51" s="1"/>
  <c r="K308" i="51"/>
  <c r="G308" i="51"/>
  <c r="E308" i="51"/>
  <c r="W307" i="51"/>
  <c r="X307" i="51" s="1"/>
  <c r="Q307" i="51"/>
  <c r="P307" i="51"/>
  <c r="L307" i="51"/>
  <c r="M307" i="51" s="1"/>
  <c r="N307" i="51" s="1"/>
  <c r="K307" i="51"/>
  <c r="G307" i="51"/>
  <c r="E307" i="51"/>
  <c r="W306" i="51"/>
  <c r="X306" i="51" s="1"/>
  <c r="Q306" i="51"/>
  <c r="P306" i="51"/>
  <c r="L306" i="51"/>
  <c r="M306" i="51" s="1"/>
  <c r="N306" i="51" s="1"/>
  <c r="K306" i="51"/>
  <c r="G306" i="51"/>
  <c r="E306" i="51"/>
  <c r="W305" i="51"/>
  <c r="X305" i="51" s="1"/>
  <c r="Q305" i="51"/>
  <c r="P305" i="51"/>
  <c r="L305" i="51"/>
  <c r="M305" i="51"/>
  <c r="N305" i="51" s="1"/>
  <c r="K305" i="51"/>
  <c r="G305" i="51"/>
  <c r="E305" i="51"/>
  <c r="W304" i="51"/>
  <c r="X304" i="51" s="1"/>
  <c r="Q304" i="51"/>
  <c r="P304" i="51"/>
  <c r="L304" i="51"/>
  <c r="M304" i="51" s="1"/>
  <c r="N304" i="51" s="1"/>
  <c r="K304" i="51"/>
  <c r="G304" i="51"/>
  <c r="E304" i="51"/>
  <c r="W303" i="51"/>
  <c r="X303" i="51" s="1"/>
  <c r="Q303" i="51"/>
  <c r="P303" i="51"/>
  <c r="L303" i="51"/>
  <c r="M303" i="51" s="1"/>
  <c r="N303" i="51" s="1"/>
  <c r="K303" i="51"/>
  <c r="G303" i="51"/>
  <c r="E303" i="51"/>
  <c r="W302" i="51"/>
  <c r="X302" i="51" s="1"/>
  <c r="Q302" i="51"/>
  <c r="P302" i="51"/>
  <c r="L302" i="51"/>
  <c r="M302" i="51"/>
  <c r="N302" i="51" s="1"/>
  <c r="K302" i="51"/>
  <c r="G302" i="51"/>
  <c r="E302" i="51"/>
  <c r="W301" i="51"/>
  <c r="X301" i="51" s="1"/>
  <c r="Q301" i="51"/>
  <c r="P301" i="51"/>
  <c r="L301" i="51"/>
  <c r="M301" i="51" s="1"/>
  <c r="N301" i="51" s="1"/>
  <c r="K301" i="51"/>
  <c r="G301" i="51"/>
  <c r="E301" i="51"/>
  <c r="W300" i="51"/>
  <c r="X300" i="51" s="1"/>
  <c r="Q300" i="51"/>
  <c r="P300" i="51"/>
  <c r="L300" i="51"/>
  <c r="M300" i="51" s="1"/>
  <c r="N300" i="51" s="1"/>
  <c r="K300" i="51"/>
  <c r="G300" i="51"/>
  <c r="E300" i="51"/>
  <c r="W299" i="51"/>
  <c r="X299" i="51" s="1"/>
  <c r="Q299" i="51"/>
  <c r="P299" i="51"/>
  <c r="L299" i="51"/>
  <c r="M299" i="51" s="1"/>
  <c r="N299" i="51" s="1"/>
  <c r="K299" i="51"/>
  <c r="G299" i="51"/>
  <c r="E299" i="51"/>
  <c r="W298" i="51"/>
  <c r="X298" i="51" s="1"/>
  <c r="Q298" i="51"/>
  <c r="P298" i="51"/>
  <c r="L298" i="51"/>
  <c r="M298" i="51" s="1"/>
  <c r="N298" i="51" s="1"/>
  <c r="K298" i="51"/>
  <c r="G298" i="51"/>
  <c r="E298" i="51"/>
  <c r="W297" i="51"/>
  <c r="X297" i="51" s="1"/>
  <c r="Q297" i="51"/>
  <c r="P297" i="51"/>
  <c r="L297" i="51"/>
  <c r="M297" i="51" s="1"/>
  <c r="N297" i="51" s="1"/>
  <c r="K297" i="51"/>
  <c r="G297" i="51"/>
  <c r="E297" i="51"/>
  <c r="W296" i="51"/>
  <c r="X296" i="51" s="1"/>
  <c r="Q296" i="51"/>
  <c r="P296" i="51"/>
  <c r="L296" i="51"/>
  <c r="M296" i="51" s="1"/>
  <c r="N296" i="51" s="1"/>
  <c r="K296" i="51"/>
  <c r="G296" i="51"/>
  <c r="E296" i="51"/>
  <c r="W295" i="51"/>
  <c r="X295" i="51" s="1"/>
  <c r="Q295" i="51"/>
  <c r="P295" i="51"/>
  <c r="L295" i="51"/>
  <c r="M295" i="51" s="1"/>
  <c r="N295" i="51" s="1"/>
  <c r="K295" i="51"/>
  <c r="G295" i="51"/>
  <c r="E295" i="51"/>
  <c r="W294" i="51"/>
  <c r="X294" i="51" s="1"/>
  <c r="Q294" i="51"/>
  <c r="P294" i="51"/>
  <c r="L294" i="51"/>
  <c r="M294" i="51" s="1"/>
  <c r="N294" i="51" s="1"/>
  <c r="K294" i="51"/>
  <c r="G294" i="51"/>
  <c r="E294" i="51"/>
  <c r="W293" i="51"/>
  <c r="X293" i="51" s="1"/>
  <c r="Q293" i="51"/>
  <c r="P293" i="51"/>
  <c r="L293" i="51"/>
  <c r="M293" i="51" s="1"/>
  <c r="N293" i="51" s="1"/>
  <c r="K293" i="51"/>
  <c r="G293" i="51"/>
  <c r="E293" i="51"/>
  <c r="W292" i="51"/>
  <c r="X292" i="51" s="1"/>
  <c r="Q292" i="51"/>
  <c r="P292" i="51"/>
  <c r="L292" i="51"/>
  <c r="M292" i="51" s="1"/>
  <c r="N292" i="51" s="1"/>
  <c r="K292" i="51"/>
  <c r="G292" i="51"/>
  <c r="E292" i="51"/>
  <c r="W291" i="51"/>
  <c r="X291" i="51" s="1"/>
  <c r="Q291" i="51"/>
  <c r="P291" i="51"/>
  <c r="L291" i="51"/>
  <c r="M291" i="51" s="1"/>
  <c r="N291" i="51" s="1"/>
  <c r="K291" i="51"/>
  <c r="G291" i="51"/>
  <c r="E291" i="51"/>
  <c r="W290" i="51"/>
  <c r="X290" i="51" s="1"/>
  <c r="Q290" i="51"/>
  <c r="P290" i="51"/>
  <c r="L290" i="51"/>
  <c r="M290" i="51" s="1"/>
  <c r="N290" i="51" s="1"/>
  <c r="K290" i="51"/>
  <c r="G290" i="51"/>
  <c r="E290" i="51"/>
  <c r="W289" i="51"/>
  <c r="X289" i="51" s="1"/>
  <c r="Q289" i="51"/>
  <c r="P289" i="51"/>
  <c r="L289" i="51"/>
  <c r="M289" i="51" s="1"/>
  <c r="N289" i="51" s="1"/>
  <c r="K289" i="51"/>
  <c r="G289" i="51"/>
  <c r="E289" i="51"/>
  <c r="W288" i="51"/>
  <c r="X288" i="51" s="1"/>
  <c r="Q288" i="51"/>
  <c r="P288" i="51"/>
  <c r="L288" i="51"/>
  <c r="M288" i="51" s="1"/>
  <c r="N288" i="51" s="1"/>
  <c r="K288" i="51"/>
  <c r="G288" i="51"/>
  <c r="E288" i="51"/>
  <c r="W287" i="51"/>
  <c r="X287" i="51" s="1"/>
  <c r="Q287" i="51"/>
  <c r="P287" i="51"/>
  <c r="L287" i="51"/>
  <c r="M287" i="51" s="1"/>
  <c r="N287" i="51" s="1"/>
  <c r="K287" i="51"/>
  <c r="G287" i="51"/>
  <c r="E287" i="51"/>
  <c r="W286" i="51"/>
  <c r="X286" i="51" s="1"/>
  <c r="Q286" i="51"/>
  <c r="P286" i="51"/>
  <c r="L286" i="51"/>
  <c r="M286" i="51" s="1"/>
  <c r="N286" i="51" s="1"/>
  <c r="K286" i="51"/>
  <c r="G286" i="51"/>
  <c r="E286" i="51"/>
  <c r="W285" i="51"/>
  <c r="X285" i="51" s="1"/>
  <c r="Q285" i="51"/>
  <c r="P285" i="51"/>
  <c r="L285" i="51"/>
  <c r="M285" i="51" s="1"/>
  <c r="N285" i="51" s="1"/>
  <c r="K285" i="51"/>
  <c r="G285" i="51"/>
  <c r="E285" i="51"/>
  <c r="W284" i="51"/>
  <c r="X284" i="51" s="1"/>
  <c r="Q284" i="51"/>
  <c r="P284" i="51"/>
  <c r="L284" i="51"/>
  <c r="M284" i="51" s="1"/>
  <c r="N284" i="51" s="1"/>
  <c r="K284" i="51"/>
  <c r="G284" i="51"/>
  <c r="E284" i="51"/>
  <c r="W283" i="51"/>
  <c r="X283" i="51" s="1"/>
  <c r="Q283" i="51"/>
  <c r="P283" i="51"/>
  <c r="L283" i="51"/>
  <c r="M283" i="51" s="1"/>
  <c r="N283" i="51" s="1"/>
  <c r="K283" i="51"/>
  <c r="G283" i="51"/>
  <c r="E283" i="51"/>
  <c r="W282" i="51"/>
  <c r="X282" i="51" s="1"/>
  <c r="Q282" i="51"/>
  <c r="P282" i="51"/>
  <c r="L282" i="51"/>
  <c r="M282" i="51" s="1"/>
  <c r="N282" i="51" s="1"/>
  <c r="K282" i="51"/>
  <c r="G282" i="51"/>
  <c r="E282" i="51"/>
  <c r="W281" i="51"/>
  <c r="X281" i="51" s="1"/>
  <c r="Q281" i="51"/>
  <c r="P281" i="51"/>
  <c r="L281" i="51"/>
  <c r="M281" i="51" s="1"/>
  <c r="N281" i="51" s="1"/>
  <c r="K281" i="51"/>
  <c r="G281" i="51"/>
  <c r="E281" i="51"/>
  <c r="W280" i="51"/>
  <c r="X280" i="51" s="1"/>
  <c r="Q280" i="51"/>
  <c r="P280" i="51"/>
  <c r="L280" i="51"/>
  <c r="M280" i="51" s="1"/>
  <c r="N280" i="51" s="1"/>
  <c r="K280" i="51"/>
  <c r="G280" i="51"/>
  <c r="E280" i="51"/>
  <c r="W279" i="51"/>
  <c r="X279" i="51" s="1"/>
  <c r="Q279" i="51"/>
  <c r="P279" i="51"/>
  <c r="L279" i="51"/>
  <c r="M279" i="51" s="1"/>
  <c r="N279" i="51" s="1"/>
  <c r="K279" i="51"/>
  <c r="G279" i="51"/>
  <c r="E279" i="51"/>
  <c r="W278" i="51"/>
  <c r="X278" i="51" s="1"/>
  <c r="Q278" i="51"/>
  <c r="P278" i="51"/>
  <c r="L278" i="51"/>
  <c r="M278" i="51" s="1"/>
  <c r="N278" i="51" s="1"/>
  <c r="W277" i="51"/>
  <c r="X277" i="51" s="1"/>
  <c r="Q277" i="51"/>
  <c r="P277" i="51"/>
  <c r="L277" i="51"/>
  <c r="M277" i="51" s="1"/>
  <c r="N277" i="51" s="1"/>
  <c r="K277" i="51"/>
  <c r="G277" i="51"/>
  <c r="E277" i="51"/>
  <c r="W276" i="51"/>
  <c r="X276" i="51" s="1"/>
  <c r="Q276" i="51"/>
  <c r="P276" i="51"/>
  <c r="L276" i="51"/>
  <c r="M276" i="51" s="1"/>
  <c r="N276" i="51" s="1"/>
  <c r="W275" i="51"/>
  <c r="X275" i="51" s="1"/>
  <c r="Q275" i="51"/>
  <c r="P275" i="51"/>
  <c r="L275" i="51"/>
  <c r="M275" i="51" s="1"/>
  <c r="N275" i="51" s="1"/>
  <c r="K275" i="51"/>
  <c r="G275" i="51"/>
  <c r="E275" i="51"/>
  <c r="W274" i="51"/>
  <c r="X274" i="51" s="1"/>
  <c r="Q274" i="51"/>
  <c r="P274" i="51"/>
  <c r="L274" i="51"/>
  <c r="M274" i="51" s="1"/>
  <c r="N274" i="51" s="1"/>
  <c r="K274" i="51"/>
  <c r="G274" i="51"/>
  <c r="E274" i="51"/>
  <c r="W273" i="51"/>
  <c r="X273" i="51" s="1"/>
  <c r="Q273" i="51"/>
  <c r="P273" i="51"/>
  <c r="L273" i="51"/>
  <c r="M273" i="51" s="1"/>
  <c r="N273" i="51" s="1"/>
  <c r="K273" i="51"/>
  <c r="G273" i="51"/>
  <c r="E273" i="51"/>
  <c r="W272" i="51"/>
  <c r="X272" i="51" s="1"/>
  <c r="Q272" i="51"/>
  <c r="P272" i="51"/>
  <c r="L272" i="51"/>
  <c r="M272" i="51"/>
  <c r="N272" i="51" s="1"/>
  <c r="K272" i="51"/>
  <c r="G272" i="51"/>
  <c r="E272" i="51"/>
  <c r="W271" i="51"/>
  <c r="X271" i="51" s="1"/>
  <c r="Q271" i="51"/>
  <c r="P271" i="51"/>
  <c r="L271" i="51"/>
  <c r="M271" i="51" s="1"/>
  <c r="N271" i="51" s="1"/>
  <c r="K271" i="51"/>
  <c r="G271" i="51"/>
  <c r="E271" i="51"/>
  <c r="W270" i="51"/>
  <c r="X270" i="51" s="1"/>
  <c r="U270" i="51"/>
  <c r="T270" i="51"/>
  <c r="S270" i="51"/>
  <c r="Q270" i="51"/>
  <c r="P270" i="51"/>
  <c r="L270" i="51"/>
  <c r="M270" i="51" s="1"/>
  <c r="N270" i="51" s="1"/>
  <c r="K270" i="51"/>
  <c r="G270" i="51"/>
  <c r="E270" i="51"/>
  <c r="W269" i="51"/>
  <c r="X269" i="51" s="1"/>
  <c r="Q269" i="51"/>
  <c r="P269" i="51"/>
  <c r="L269" i="51"/>
  <c r="M269" i="51" s="1"/>
  <c r="N269" i="51" s="1"/>
  <c r="K269" i="51"/>
  <c r="G269" i="51"/>
  <c r="E269" i="51"/>
  <c r="W268" i="51"/>
  <c r="X268" i="51" s="1"/>
  <c r="U268" i="51"/>
  <c r="T268" i="51"/>
  <c r="S268" i="51"/>
  <c r="Q268" i="51"/>
  <c r="P268" i="51"/>
  <c r="L268" i="51"/>
  <c r="M268" i="51" s="1"/>
  <c r="N268" i="51" s="1"/>
  <c r="K268" i="51"/>
  <c r="G268" i="51"/>
  <c r="E268" i="51"/>
  <c r="W267" i="51"/>
  <c r="X267" i="51" s="1"/>
  <c r="Q267" i="51"/>
  <c r="P267" i="51"/>
  <c r="L267" i="51"/>
  <c r="M267" i="51"/>
  <c r="N267" i="51" s="1"/>
  <c r="K267" i="51"/>
  <c r="G267" i="51"/>
  <c r="E267" i="51"/>
  <c r="W266" i="51"/>
  <c r="X266" i="51" s="1"/>
  <c r="Q266" i="51"/>
  <c r="P266" i="51"/>
  <c r="L266" i="51"/>
  <c r="M266" i="51" s="1"/>
  <c r="N266" i="51" s="1"/>
  <c r="K266" i="51"/>
  <c r="G266" i="51"/>
  <c r="E266" i="51"/>
  <c r="W265" i="51"/>
  <c r="X265" i="51" s="1"/>
  <c r="Q265" i="51"/>
  <c r="P265" i="51"/>
  <c r="L265" i="51"/>
  <c r="M265" i="51" s="1"/>
  <c r="N265" i="51" s="1"/>
  <c r="K265" i="51"/>
  <c r="G265" i="51"/>
  <c r="E265" i="51"/>
  <c r="W264" i="51"/>
  <c r="X264" i="51" s="1"/>
  <c r="Q264" i="51"/>
  <c r="P264" i="51"/>
  <c r="L264" i="51"/>
  <c r="M264" i="51" s="1"/>
  <c r="N264" i="51" s="1"/>
  <c r="K264" i="51"/>
  <c r="G264" i="51"/>
  <c r="E264" i="51"/>
  <c r="W263" i="51"/>
  <c r="X263" i="51" s="1"/>
  <c r="Q263" i="51"/>
  <c r="P263" i="51"/>
  <c r="L263" i="51"/>
  <c r="M263" i="51" s="1"/>
  <c r="N263" i="51" s="1"/>
  <c r="K263" i="51"/>
  <c r="G263" i="51"/>
  <c r="E263" i="51"/>
  <c r="W262" i="51"/>
  <c r="X262" i="51" s="1"/>
  <c r="Q262" i="51"/>
  <c r="P262" i="51"/>
  <c r="L262" i="51"/>
  <c r="M262" i="51" s="1"/>
  <c r="N262" i="51" s="1"/>
  <c r="K262" i="51"/>
  <c r="G262" i="51"/>
  <c r="E262" i="51"/>
  <c r="W261" i="51"/>
  <c r="X261" i="51" s="1"/>
  <c r="Q261" i="51"/>
  <c r="P261" i="51"/>
  <c r="L261" i="51"/>
  <c r="M261" i="51"/>
  <c r="N261" i="51" s="1"/>
  <c r="K261" i="51"/>
  <c r="E261" i="51"/>
  <c r="W260" i="51"/>
  <c r="X260" i="51" s="1"/>
  <c r="Q260" i="51"/>
  <c r="P260" i="51"/>
  <c r="L260" i="51"/>
  <c r="M260" i="51" s="1"/>
  <c r="N260" i="51" s="1"/>
  <c r="K260" i="51"/>
  <c r="G260" i="51"/>
  <c r="E260" i="51"/>
  <c r="W259" i="51"/>
  <c r="X259" i="51" s="1"/>
  <c r="Q259" i="51"/>
  <c r="P259" i="51"/>
  <c r="L259" i="51"/>
  <c r="M259" i="51" s="1"/>
  <c r="N259" i="51" s="1"/>
  <c r="K259" i="51"/>
  <c r="G259" i="51"/>
  <c r="E259" i="51"/>
  <c r="W258" i="51"/>
  <c r="X258" i="51" s="1"/>
  <c r="Q258" i="51"/>
  <c r="P258" i="51"/>
  <c r="L258" i="51"/>
  <c r="M258" i="51" s="1"/>
  <c r="N258" i="51" s="1"/>
  <c r="K258" i="51"/>
  <c r="G258" i="51"/>
  <c r="E258" i="51"/>
  <c r="W257" i="51"/>
  <c r="X257" i="51" s="1"/>
  <c r="Q257" i="51"/>
  <c r="P257" i="51"/>
  <c r="L257" i="51"/>
  <c r="M257" i="51" s="1"/>
  <c r="N257" i="51" s="1"/>
  <c r="K257" i="51"/>
  <c r="G257" i="51"/>
  <c r="E257" i="51"/>
  <c r="W256" i="51"/>
  <c r="X256" i="51" s="1"/>
  <c r="Q256" i="51"/>
  <c r="P256" i="51"/>
  <c r="L256" i="51"/>
  <c r="M256" i="51" s="1"/>
  <c r="N256" i="51" s="1"/>
  <c r="K256" i="51"/>
  <c r="G256" i="51"/>
  <c r="E256" i="51"/>
  <c r="W255" i="51"/>
  <c r="X255" i="51" s="1"/>
  <c r="U255" i="51"/>
  <c r="T255" i="51"/>
  <c r="S255" i="51"/>
  <c r="Q255" i="51"/>
  <c r="P255" i="51"/>
  <c r="L255" i="51"/>
  <c r="M255" i="51"/>
  <c r="N255" i="51" s="1"/>
  <c r="K255" i="51"/>
  <c r="G255" i="51"/>
  <c r="E255" i="51"/>
  <c r="W254" i="51"/>
  <c r="X254" i="51" s="1"/>
  <c r="U254" i="51"/>
  <c r="T254" i="51"/>
  <c r="S254" i="51"/>
  <c r="Q254" i="51"/>
  <c r="P254" i="51"/>
  <c r="L254" i="51"/>
  <c r="M254" i="51" s="1"/>
  <c r="N254" i="51" s="1"/>
  <c r="K254" i="51"/>
  <c r="G254" i="51"/>
  <c r="E254" i="51"/>
  <c r="W253" i="51"/>
  <c r="X253" i="51" s="1"/>
  <c r="Q253" i="51"/>
  <c r="P253" i="51"/>
  <c r="L253" i="51"/>
  <c r="M253" i="51" s="1"/>
  <c r="N253" i="51" s="1"/>
  <c r="K253" i="51"/>
  <c r="G253" i="51"/>
  <c r="E253" i="51"/>
  <c r="W252" i="51"/>
  <c r="X252" i="51" s="1"/>
  <c r="Q252" i="51"/>
  <c r="P252" i="51"/>
  <c r="L252" i="51"/>
  <c r="M252" i="51" s="1"/>
  <c r="N252" i="51" s="1"/>
  <c r="K252" i="51"/>
  <c r="G252" i="51"/>
  <c r="E252" i="51"/>
  <c r="W251" i="51"/>
  <c r="X251" i="51" s="1"/>
  <c r="Q251" i="51"/>
  <c r="P251" i="51"/>
  <c r="L251" i="51"/>
  <c r="M251" i="51" s="1"/>
  <c r="N251" i="51" s="1"/>
  <c r="K251" i="51"/>
  <c r="G251" i="51"/>
  <c r="E251" i="51"/>
  <c r="W250" i="51"/>
  <c r="X250" i="51" s="1"/>
  <c r="Q250" i="51"/>
  <c r="P250" i="51"/>
  <c r="L250" i="51"/>
  <c r="M250" i="51" s="1"/>
  <c r="N250" i="51" s="1"/>
  <c r="K250" i="51"/>
  <c r="G250" i="51"/>
  <c r="E250" i="51"/>
  <c r="W249" i="51"/>
  <c r="X249" i="51" s="1"/>
  <c r="Q249" i="51"/>
  <c r="P249" i="51"/>
  <c r="L249" i="51"/>
  <c r="M249" i="51" s="1"/>
  <c r="N249" i="51" s="1"/>
  <c r="K249" i="51"/>
  <c r="G249" i="51"/>
  <c r="E249" i="51"/>
  <c r="W248" i="51"/>
  <c r="X248" i="51" s="1"/>
  <c r="Q248" i="51"/>
  <c r="P248" i="51"/>
  <c r="L248" i="51"/>
  <c r="M248" i="51" s="1"/>
  <c r="N248" i="51" s="1"/>
  <c r="K248" i="51"/>
  <c r="G248" i="51"/>
  <c r="E248" i="51"/>
  <c r="W247" i="51"/>
  <c r="X247" i="51" s="1"/>
  <c r="Q247" i="51"/>
  <c r="P247" i="51"/>
  <c r="L247" i="51"/>
  <c r="M247" i="51" s="1"/>
  <c r="N247" i="51" s="1"/>
  <c r="K247" i="51"/>
  <c r="G247" i="51"/>
  <c r="E247" i="51"/>
  <c r="W246" i="51"/>
  <c r="X246" i="51" s="1"/>
  <c r="Q246" i="51"/>
  <c r="P246" i="51"/>
  <c r="L246" i="51"/>
  <c r="M246" i="51" s="1"/>
  <c r="N246" i="51" s="1"/>
  <c r="K246" i="51"/>
  <c r="G246" i="51"/>
  <c r="E246" i="51"/>
  <c r="W245" i="51"/>
  <c r="X245" i="51" s="1"/>
  <c r="U245" i="51"/>
  <c r="T245" i="51"/>
  <c r="S245" i="51"/>
  <c r="Q245" i="51"/>
  <c r="P245" i="51"/>
  <c r="L245" i="51"/>
  <c r="M245" i="51" s="1"/>
  <c r="N245" i="51" s="1"/>
  <c r="K245" i="51"/>
  <c r="G245" i="51"/>
  <c r="E245" i="51"/>
  <c r="W244" i="51"/>
  <c r="X244" i="51" s="1"/>
  <c r="Q244" i="51"/>
  <c r="P244" i="51"/>
  <c r="L244" i="51"/>
  <c r="M244" i="51" s="1"/>
  <c r="N244" i="51" s="1"/>
  <c r="K244" i="51"/>
  <c r="G244" i="51"/>
  <c r="E244" i="51"/>
  <c r="W243" i="51"/>
  <c r="X243" i="51" s="1"/>
  <c r="Q243" i="51"/>
  <c r="P243" i="51"/>
  <c r="L243" i="51"/>
  <c r="M243" i="51" s="1"/>
  <c r="N243" i="51" s="1"/>
  <c r="K243" i="51"/>
  <c r="G243" i="51"/>
  <c r="E243" i="51"/>
  <c r="W242" i="51"/>
  <c r="X242" i="51" s="1"/>
  <c r="U242" i="51"/>
  <c r="T242" i="51"/>
  <c r="S242" i="51"/>
  <c r="Q242" i="51"/>
  <c r="P242" i="51"/>
  <c r="L242" i="51"/>
  <c r="M242" i="51" s="1"/>
  <c r="N242" i="51" s="1"/>
  <c r="K242" i="51"/>
  <c r="G242" i="51"/>
  <c r="E242" i="51"/>
  <c r="W241" i="51"/>
  <c r="X241" i="51" s="1"/>
  <c r="Q241" i="51"/>
  <c r="P241" i="51"/>
  <c r="L241" i="51"/>
  <c r="M241" i="51" s="1"/>
  <c r="N241" i="51" s="1"/>
  <c r="K241" i="51"/>
  <c r="G241" i="51"/>
  <c r="E241" i="51"/>
  <c r="W240" i="51"/>
  <c r="X240" i="51" s="1"/>
  <c r="Q240" i="51"/>
  <c r="P240" i="51"/>
  <c r="L240" i="51"/>
  <c r="M240" i="51" s="1"/>
  <c r="N240" i="51" s="1"/>
  <c r="K240" i="51"/>
  <c r="G240" i="51"/>
  <c r="E240" i="51"/>
  <c r="W239" i="51"/>
  <c r="X239" i="51" s="1"/>
  <c r="Q239" i="51"/>
  <c r="P239" i="51"/>
  <c r="L239" i="51"/>
  <c r="M239" i="51" s="1"/>
  <c r="N239" i="51" s="1"/>
  <c r="K239" i="51"/>
  <c r="G239" i="51"/>
  <c r="E239" i="51"/>
  <c r="W238" i="51"/>
  <c r="X238" i="51" s="1"/>
  <c r="Q238" i="51"/>
  <c r="P238" i="51"/>
  <c r="L238" i="51"/>
  <c r="M238" i="51" s="1"/>
  <c r="N238" i="51" s="1"/>
  <c r="K238" i="51"/>
  <c r="G238" i="51"/>
  <c r="E238" i="51"/>
  <c r="W237" i="51"/>
  <c r="X237" i="51" s="1"/>
  <c r="U237" i="51"/>
  <c r="T237" i="51"/>
  <c r="S237" i="51"/>
  <c r="Q237" i="51"/>
  <c r="P237" i="51"/>
  <c r="L237" i="51"/>
  <c r="M237" i="51"/>
  <c r="N237" i="51" s="1"/>
  <c r="K237" i="51"/>
  <c r="G237" i="51"/>
  <c r="E237" i="51"/>
  <c r="W236" i="51"/>
  <c r="X236" i="51" s="1"/>
  <c r="Q236" i="51"/>
  <c r="P236" i="51"/>
  <c r="L236" i="51"/>
  <c r="M236" i="51" s="1"/>
  <c r="N236" i="51" s="1"/>
  <c r="K236" i="51"/>
  <c r="G236" i="51"/>
  <c r="E236" i="51"/>
  <c r="W235" i="51"/>
  <c r="X235" i="51" s="1"/>
  <c r="Q235" i="51"/>
  <c r="P235" i="51"/>
  <c r="L235" i="51"/>
  <c r="M235" i="51" s="1"/>
  <c r="N235" i="51" s="1"/>
  <c r="K235" i="51"/>
  <c r="G235" i="51"/>
  <c r="E235" i="51"/>
  <c r="W234" i="51"/>
  <c r="X234" i="51" s="1"/>
  <c r="Q234" i="51"/>
  <c r="P234" i="51"/>
  <c r="L234" i="51"/>
  <c r="M234" i="51" s="1"/>
  <c r="N234" i="51" s="1"/>
  <c r="K234" i="51"/>
  <c r="G234" i="51"/>
  <c r="E234" i="51"/>
  <c r="W233" i="51"/>
  <c r="X233" i="51" s="1"/>
  <c r="Q233" i="51"/>
  <c r="P233" i="51"/>
  <c r="L233" i="51"/>
  <c r="M233" i="51" s="1"/>
  <c r="N233" i="51" s="1"/>
  <c r="K233" i="51"/>
  <c r="G233" i="51"/>
  <c r="E233" i="51"/>
  <c r="W232" i="51"/>
  <c r="X232" i="51" s="1"/>
  <c r="Q232" i="51"/>
  <c r="P232" i="51"/>
  <c r="L232" i="51"/>
  <c r="M232" i="51" s="1"/>
  <c r="N232" i="51" s="1"/>
  <c r="K232" i="51"/>
  <c r="G232" i="51"/>
  <c r="E232" i="51"/>
  <c r="W231" i="51"/>
  <c r="X231" i="51" s="1"/>
  <c r="Q231" i="51"/>
  <c r="P231" i="51"/>
  <c r="L231" i="51"/>
  <c r="M231" i="51" s="1"/>
  <c r="N231" i="51" s="1"/>
  <c r="K231" i="51"/>
  <c r="G231" i="51"/>
  <c r="E231" i="51"/>
  <c r="W230" i="51"/>
  <c r="X230" i="51" s="1"/>
  <c r="Q230" i="51"/>
  <c r="P230" i="51"/>
  <c r="L230" i="51"/>
  <c r="M230" i="51" s="1"/>
  <c r="N230" i="51" s="1"/>
  <c r="K230" i="51"/>
  <c r="G230" i="51"/>
  <c r="E230" i="51"/>
  <c r="W229" i="51"/>
  <c r="X229" i="51" s="1"/>
  <c r="Q229" i="51"/>
  <c r="P229" i="51"/>
  <c r="L229" i="51"/>
  <c r="M229" i="51" s="1"/>
  <c r="N229" i="51" s="1"/>
  <c r="K229" i="51"/>
  <c r="G229" i="51"/>
  <c r="E229" i="51"/>
  <c r="W228" i="51"/>
  <c r="X228" i="51" s="1"/>
  <c r="Q228" i="51"/>
  <c r="P228" i="51"/>
  <c r="L228" i="51"/>
  <c r="M228" i="51" s="1"/>
  <c r="N228" i="51" s="1"/>
  <c r="K228" i="51"/>
  <c r="G228" i="51"/>
  <c r="E228" i="51"/>
  <c r="W227" i="51"/>
  <c r="X227" i="51" s="1"/>
  <c r="Q227" i="51"/>
  <c r="P227" i="51"/>
  <c r="L227" i="51"/>
  <c r="M227" i="51" s="1"/>
  <c r="N227" i="51" s="1"/>
  <c r="K227" i="51"/>
  <c r="G227" i="51"/>
  <c r="E227" i="51"/>
  <c r="W226" i="51"/>
  <c r="X226" i="51" s="1"/>
  <c r="Q226" i="51"/>
  <c r="P226" i="51"/>
  <c r="L226" i="51"/>
  <c r="M226" i="51" s="1"/>
  <c r="N226" i="51" s="1"/>
  <c r="K226" i="51"/>
  <c r="G226" i="51"/>
  <c r="E226" i="51"/>
  <c r="W225" i="51"/>
  <c r="X225" i="51" s="1"/>
  <c r="Q225" i="51"/>
  <c r="P225" i="51"/>
  <c r="L225" i="51"/>
  <c r="M225" i="51" s="1"/>
  <c r="N225" i="51" s="1"/>
  <c r="K225" i="51"/>
  <c r="G225" i="51"/>
  <c r="E225" i="51"/>
  <c r="W224" i="51"/>
  <c r="X224" i="51" s="1"/>
  <c r="Q224" i="51"/>
  <c r="P224" i="51"/>
  <c r="L224" i="51"/>
  <c r="M224" i="51" s="1"/>
  <c r="N224" i="51" s="1"/>
  <c r="K224" i="51"/>
  <c r="G224" i="51"/>
  <c r="E224" i="51"/>
  <c r="W223" i="51"/>
  <c r="X223" i="51" s="1"/>
  <c r="Q223" i="51"/>
  <c r="P223" i="51"/>
  <c r="L223" i="51"/>
  <c r="M223" i="51" s="1"/>
  <c r="N223" i="51" s="1"/>
  <c r="K223" i="51"/>
  <c r="G223" i="51"/>
  <c r="E223" i="51"/>
  <c r="W222" i="51"/>
  <c r="X222" i="51" s="1"/>
  <c r="Q222" i="51"/>
  <c r="P222" i="51"/>
  <c r="L222" i="51"/>
  <c r="M222" i="51" s="1"/>
  <c r="N222" i="51" s="1"/>
  <c r="K222" i="51"/>
  <c r="G222" i="51"/>
  <c r="E222" i="51"/>
  <c r="W221" i="51"/>
  <c r="X221" i="51" s="1"/>
  <c r="Q221" i="51"/>
  <c r="P221" i="51"/>
  <c r="L221" i="51"/>
  <c r="M221" i="51" s="1"/>
  <c r="N221" i="51" s="1"/>
  <c r="K221" i="51"/>
  <c r="G221" i="51"/>
  <c r="E221" i="51"/>
  <c r="W220" i="51"/>
  <c r="X220" i="51" s="1"/>
  <c r="Q220" i="51"/>
  <c r="P220" i="51"/>
  <c r="L220" i="51"/>
  <c r="M220" i="51" s="1"/>
  <c r="N220" i="51" s="1"/>
  <c r="K220" i="51"/>
  <c r="G220" i="51"/>
  <c r="E220" i="51"/>
  <c r="W219" i="51"/>
  <c r="X219" i="51" s="1"/>
  <c r="Q219" i="51"/>
  <c r="P219" i="51"/>
  <c r="L219" i="51"/>
  <c r="M219" i="51" s="1"/>
  <c r="N219" i="51" s="1"/>
  <c r="K219" i="51"/>
  <c r="G219" i="51"/>
  <c r="E219" i="51"/>
  <c r="W218" i="51"/>
  <c r="X218" i="51" s="1"/>
  <c r="Q218" i="51"/>
  <c r="P218" i="51"/>
  <c r="L218" i="51"/>
  <c r="M218" i="51" s="1"/>
  <c r="N218" i="51" s="1"/>
  <c r="K218" i="51"/>
  <c r="G218" i="51"/>
  <c r="E218" i="51"/>
  <c r="W217" i="51"/>
  <c r="X217" i="51" s="1"/>
  <c r="Q217" i="51"/>
  <c r="P217" i="51"/>
  <c r="L217" i="51"/>
  <c r="M217" i="51" s="1"/>
  <c r="N217" i="51" s="1"/>
  <c r="K217" i="51"/>
  <c r="G217" i="51"/>
  <c r="E217" i="51"/>
  <c r="W216" i="51"/>
  <c r="X216" i="51" s="1"/>
  <c r="Q216" i="51"/>
  <c r="P216" i="51"/>
  <c r="L216" i="51"/>
  <c r="M216" i="51" s="1"/>
  <c r="N216" i="51" s="1"/>
  <c r="K216" i="51"/>
  <c r="G216" i="51"/>
  <c r="E216" i="51"/>
  <c r="W215" i="51"/>
  <c r="X215" i="51" s="1"/>
  <c r="Q215" i="51"/>
  <c r="P215" i="51"/>
  <c r="L215" i="51"/>
  <c r="M215" i="51" s="1"/>
  <c r="N215" i="51" s="1"/>
  <c r="K215" i="51"/>
  <c r="G215" i="51"/>
  <c r="E215" i="51"/>
  <c r="W214" i="51"/>
  <c r="X214" i="51" s="1"/>
  <c r="Q214" i="51"/>
  <c r="P214" i="51"/>
  <c r="L214" i="51"/>
  <c r="M214" i="51" s="1"/>
  <c r="N214" i="51" s="1"/>
  <c r="K214" i="51"/>
  <c r="G214" i="51"/>
  <c r="E214" i="51"/>
  <c r="W213" i="51"/>
  <c r="X213" i="51" s="1"/>
  <c r="Q213" i="51"/>
  <c r="P213" i="51"/>
  <c r="L213" i="51"/>
  <c r="M213" i="51" s="1"/>
  <c r="N213" i="51" s="1"/>
  <c r="K213" i="51"/>
  <c r="G213" i="51"/>
  <c r="E213" i="51"/>
  <c r="W212" i="51"/>
  <c r="X212" i="51" s="1"/>
  <c r="Q212" i="51"/>
  <c r="P212" i="51"/>
  <c r="L212" i="51"/>
  <c r="M212" i="51" s="1"/>
  <c r="N212" i="51" s="1"/>
  <c r="K212" i="51"/>
  <c r="G212" i="51"/>
  <c r="E212" i="51"/>
  <c r="W211" i="51"/>
  <c r="X211" i="51" s="1"/>
  <c r="Q211" i="51"/>
  <c r="P211" i="51"/>
  <c r="L211" i="51"/>
  <c r="M211" i="51" s="1"/>
  <c r="N211" i="51" s="1"/>
  <c r="K211" i="51"/>
  <c r="G211" i="51"/>
  <c r="E211" i="51"/>
  <c r="W210" i="51"/>
  <c r="X210" i="51" s="1"/>
  <c r="Q210" i="51"/>
  <c r="P210" i="51"/>
  <c r="L210" i="51"/>
  <c r="M210" i="51" s="1"/>
  <c r="N210" i="51" s="1"/>
  <c r="K210" i="51"/>
  <c r="G210" i="51"/>
  <c r="E210" i="51"/>
  <c r="W209" i="51"/>
  <c r="X209" i="51" s="1"/>
  <c r="Q209" i="51"/>
  <c r="P209" i="51"/>
  <c r="L209" i="51"/>
  <c r="M209" i="51" s="1"/>
  <c r="N209" i="51" s="1"/>
  <c r="K209" i="51"/>
  <c r="G209" i="51"/>
  <c r="E209" i="51"/>
  <c r="W208" i="51"/>
  <c r="X208" i="51" s="1"/>
  <c r="Q208" i="51"/>
  <c r="P208" i="51"/>
  <c r="L208" i="51"/>
  <c r="M208" i="51" s="1"/>
  <c r="N208" i="51" s="1"/>
  <c r="K208" i="51"/>
  <c r="G208" i="51"/>
  <c r="E208" i="51"/>
  <c r="W207" i="51"/>
  <c r="X207" i="51" s="1"/>
  <c r="Q207" i="51"/>
  <c r="P207" i="51"/>
  <c r="L207" i="51"/>
  <c r="M207" i="51" s="1"/>
  <c r="N207" i="51" s="1"/>
  <c r="K207" i="51"/>
  <c r="G207" i="51"/>
  <c r="E207" i="51"/>
  <c r="W206" i="51"/>
  <c r="X206" i="51" s="1"/>
  <c r="Q206" i="51"/>
  <c r="P206" i="51"/>
  <c r="L206" i="51"/>
  <c r="M206" i="51" s="1"/>
  <c r="N206" i="51" s="1"/>
  <c r="K206" i="51"/>
  <c r="G206" i="51"/>
  <c r="E206" i="51"/>
  <c r="W205" i="51"/>
  <c r="X205" i="51" s="1"/>
  <c r="Q205" i="51"/>
  <c r="P205" i="51"/>
  <c r="L205" i="51"/>
  <c r="M205" i="51" s="1"/>
  <c r="N205" i="51" s="1"/>
  <c r="K205" i="51"/>
  <c r="G205" i="51"/>
  <c r="E205" i="51"/>
  <c r="W204" i="51"/>
  <c r="X204" i="51" s="1"/>
  <c r="Q204" i="51"/>
  <c r="P204" i="51"/>
  <c r="L204" i="51"/>
  <c r="M204" i="51" s="1"/>
  <c r="N204" i="51" s="1"/>
  <c r="K204" i="51"/>
  <c r="G204" i="51"/>
  <c r="E204" i="51"/>
  <c r="W203" i="51"/>
  <c r="X203" i="51" s="1"/>
  <c r="U203" i="51"/>
  <c r="T203" i="51"/>
  <c r="S203" i="51"/>
  <c r="Q203" i="51"/>
  <c r="P203" i="51"/>
  <c r="L203" i="51"/>
  <c r="M203" i="51" s="1"/>
  <c r="N203" i="51" s="1"/>
  <c r="K203" i="51"/>
  <c r="G203" i="51"/>
  <c r="E203" i="51"/>
  <c r="W202" i="51"/>
  <c r="X202" i="51" s="1"/>
  <c r="Q202" i="51"/>
  <c r="P202" i="51"/>
  <c r="L202" i="51"/>
  <c r="M202" i="51" s="1"/>
  <c r="N202" i="51" s="1"/>
  <c r="K202" i="51"/>
  <c r="G202" i="51"/>
  <c r="E202" i="51"/>
  <c r="W201" i="51"/>
  <c r="X201" i="51" s="1"/>
  <c r="Q201" i="51"/>
  <c r="P201" i="51"/>
  <c r="L201" i="51"/>
  <c r="M201" i="51" s="1"/>
  <c r="N201" i="51" s="1"/>
  <c r="K201" i="51"/>
  <c r="G201" i="51"/>
  <c r="E201" i="51"/>
  <c r="W200" i="51"/>
  <c r="X200" i="51" s="1"/>
  <c r="Q200" i="51"/>
  <c r="P200" i="51"/>
  <c r="L200" i="51"/>
  <c r="M200" i="51" s="1"/>
  <c r="N200" i="51" s="1"/>
  <c r="K200" i="51"/>
  <c r="G200" i="51"/>
  <c r="E200" i="51"/>
  <c r="W199" i="51"/>
  <c r="X199" i="51" s="1"/>
  <c r="Q199" i="51"/>
  <c r="P199" i="51"/>
  <c r="L199" i="51"/>
  <c r="M199" i="51" s="1"/>
  <c r="N199" i="51" s="1"/>
  <c r="K199" i="51"/>
  <c r="G199" i="51"/>
  <c r="E199" i="51"/>
  <c r="W198" i="51"/>
  <c r="X198" i="51" s="1"/>
  <c r="U198" i="51"/>
  <c r="T198" i="51"/>
  <c r="S198" i="51"/>
  <c r="Q198" i="51"/>
  <c r="P198" i="51"/>
  <c r="L198" i="51"/>
  <c r="M198" i="51" s="1"/>
  <c r="N198" i="51" s="1"/>
  <c r="W197" i="51"/>
  <c r="X197" i="51" s="1"/>
  <c r="Q197" i="51"/>
  <c r="P197" i="51"/>
  <c r="L197" i="51"/>
  <c r="M197" i="51" s="1"/>
  <c r="N197" i="51" s="1"/>
  <c r="K197" i="51"/>
  <c r="G197" i="51"/>
  <c r="E197" i="51"/>
  <c r="W196" i="51"/>
  <c r="X196" i="51" s="1"/>
  <c r="Q196" i="51"/>
  <c r="P196" i="51"/>
  <c r="L196" i="51"/>
  <c r="M196" i="51" s="1"/>
  <c r="N196" i="51" s="1"/>
  <c r="K196" i="51"/>
  <c r="G196" i="51"/>
  <c r="E196" i="51"/>
  <c r="W195" i="51"/>
  <c r="X195" i="51" s="1"/>
  <c r="Q195" i="51"/>
  <c r="P195" i="51"/>
  <c r="L195" i="51"/>
  <c r="M195" i="51" s="1"/>
  <c r="N195" i="51" s="1"/>
  <c r="K195" i="51"/>
  <c r="G195" i="51"/>
  <c r="E195" i="51"/>
  <c r="W194" i="51"/>
  <c r="X194" i="51" s="1"/>
  <c r="Q194" i="51"/>
  <c r="P194" i="51"/>
  <c r="L194" i="51"/>
  <c r="M194" i="51" s="1"/>
  <c r="N194" i="51" s="1"/>
  <c r="K194" i="51"/>
  <c r="G194" i="51"/>
  <c r="E194" i="51"/>
  <c r="W193" i="51"/>
  <c r="X193" i="51" s="1"/>
  <c r="U193" i="51"/>
  <c r="S193" i="51"/>
  <c r="Q193" i="51"/>
  <c r="P193" i="51"/>
  <c r="K193" i="51"/>
  <c r="G193" i="51"/>
  <c r="E193" i="51"/>
  <c r="W192" i="51"/>
  <c r="X192" i="51" s="1"/>
  <c r="Q192" i="51"/>
  <c r="P192" i="51"/>
  <c r="L192" i="51"/>
  <c r="M192" i="51" s="1"/>
  <c r="N192" i="51" s="1"/>
  <c r="K192" i="51"/>
  <c r="G192" i="51"/>
  <c r="E192" i="51"/>
  <c r="W191" i="51"/>
  <c r="X191" i="51" s="1"/>
  <c r="Q191" i="51"/>
  <c r="P191" i="51"/>
  <c r="L191" i="51"/>
  <c r="M191" i="51" s="1"/>
  <c r="N191" i="51" s="1"/>
  <c r="K191" i="51"/>
  <c r="G191" i="51"/>
  <c r="E191" i="51"/>
  <c r="W190" i="51"/>
  <c r="X190" i="51" s="1"/>
  <c r="Q190" i="51"/>
  <c r="P190" i="51"/>
  <c r="L190" i="51"/>
  <c r="M190" i="51" s="1"/>
  <c r="N190" i="51" s="1"/>
  <c r="K190" i="51"/>
  <c r="G190" i="51"/>
  <c r="E190" i="51"/>
  <c r="W189" i="51"/>
  <c r="X189" i="51" s="1"/>
  <c r="Q189" i="51"/>
  <c r="P189" i="51"/>
  <c r="L189" i="51"/>
  <c r="M189" i="51" s="1"/>
  <c r="N189" i="51" s="1"/>
  <c r="K189" i="51"/>
  <c r="G189" i="51"/>
  <c r="E189" i="51"/>
  <c r="W188" i="51"/>
  <c r="X188" i="51" s="1"/>
  <c r="Q188" i="51"/>
  <c r="P188" i="51"/>
  <c r="L188" i="51"/>
  <c r="M188" i="51" s="1"/>
  <c r="N188" i="51" s="1"/>
  <c r="K188" i="51"/>
  <c r="G188" i="51"/>
  <c r="E188" i="51"/>
  <c r="W187" i="51"/>
  <c r="X187" i="51" s="1"/>
  <c r="U187" i="51"/>
  <c r="T187" i="51"/>
  <c r="S187" i="51"/>
  <c r="Q187" i="51"/>
  <c r="P187" i="51"/>
  <c r="L187" i="51"/>
  <c r="M187" i="51" s="1"/>
  <c r="N187" i="51" s="1"/>
  <c r="K187" i="51"/>
  <c r="G187" i="51"/>
  <c r="E187" i="51"/>
  <c r="W186" i="51"/>
  <c r="X186" i="51" s="1"/>
  <c r="Q186" i="51"/>
  <c r="P186" i="51"/>
  <c r="L186" i="51"/>
  <c r="M186" i="51" s="1"/>
  <c r="N186" i="51" s="1"/>
  <c r="K186" i="51"/>
  <c r="G186" i="51"/>
  <c r="E186" i="51"/>
  <c r="W185" i="51"/>
  <c r="X185" i="51" s="1"/>
  <c r="Q185" i="51"/>
  <c r="P185" i="51"/>
  <c r="L185" i="51"/>
  <c r="M185" i="51" s="1"/>
  <c r="N185" i="51" s="1"/>
  <c r="K185" i="51"/>
  <c r="G185" i="51"/>
  <c r="E185" i="51"/>
  <c r="W184" i="51"/>
  <c r="X184" i="51" s="1"/>
  <c r="U184" i="51"/>
  <c r="T184" i="51"/>
  <c r="S184" i="51"/>
  <c r="Q184" i="51"/>
  <c r="P184" i="51"/>
  <c r="L184" i="51"/>
  <c r="M184" i="51" s="1"/>
  <c r="N184" i="51" s="1"/>
  <c r="K184" i="51"/>
  <c r="G184" i="51"/>
  <c r="E184" i="51"/>
  <c r="W183" i="51"/>
  <c r="X183" i="51" s="1"/>
  <c r="U183" i="51"/>
  <c r="T183" i="51"/>
  <c r="S183" i="51"/>
  <c r="Q183" i="51"/>
  <c r="P183" i="51"/>
  <c r="L183" i="51"/>
  <c r="M183" i="51" s="1"/>
  <c r="N183" i="51" s="1"/>
  <c r="K183" i="51"/>
  <c r="G183" i="51"/>
  <c r="E183" i="51"/>
  <c r="W182" i="51"/>
  <c r="X182" i="51" s="1"/>
  <c r="Q182" i="51"/>
  <c r="P182" i="51"/>
  <c r="L182" i="51"/>
  <c r="M182" i="51" s="1"/>
  <c r="N182" i="51" s="1"/>
  <c r="K182" i="51"/>
  <c r="G182" i="51"/>
  <c r="E182" i="51"/>
  <c r="W181" i="51"/>
  <c r="X181" i="51" s="1"/>
  <c r="Q181" i="51"/>
  <c r="P181" i="51"/>
  <c r="L181" i="51"/>
  <c r="M181" i="51" s="1"/>
  <c r="N181" i="51" s="1"/>
  <c r="K181" i="51"/>
  <c r="G181" i="51"/>
  <c r="E181" i="51"/>
  <c r="W180" i="51"/>
  <c r="X180" i="51" s="1"/>
  <c r="Q180" i="51"/>
  <c r="P180" i="51"/>
  <c r="L180" i="51"/>
  <c r="M180" i="51" s="1"/>
  <c r="N180" i="51" s="1"/>
  <c r="K180" i="51"/>
  <c r="G180" i="51"/>
  <c r="E180" i="51"/>
  <c r="W179" i="51"/>
  <c r="X179" i="51" s="1"/>
  <c r="Q179" i="51"/>
  <c r="P179" i="51"/>
  <c r="L179" i="51"/>
  <c r="M179" i="51" s="1"/>
  <c r="N179" i="51" s="1"/>
  <c r="K179" i="51"/>
  <c r="G179" i="51"/>
  <c r="E179" i="51"/>
  <c r="W178" i="51"/>
  <c r="X178" i="51" s="1"/>
  <c r="Q178" i="51"/>
  <c r="P178" i="51"/>
  <c r="L178" i="51"/>
  <c r="M178" i="51" s="1"/>
  <c r="N178" i="51" s="1"/>
  <c r="K178" i="51"/>
  <c r="G178" i="51"/>
  <c r="E178" i="51"/>
  <c r="W177" i="51"/>
  <c r="X177" i="51" s="1"/>
  <c r="Q177" i="51"/>
  <c r="P177" i="51"/>
  <c r="L177" i="51"/>
  <c r="M177" i="51" s="1"/>
  <c r="N177" i="51" s="1"/>
  <c r="K177" i="51"/>
  <c r="G177" i="51"/>
  <c r="E177" i="51"/>
  <c r="W176" i="51"/>
  <c r="X176" i="51" s="1"/>
  <c r="U176" i="51"/>
  <c r="T176" i="51"/>
  <c r="S176" i="51"/>
  <c r="Q176" i="51"/>
  <c r="P176" i="51"/>
  <c r="L176" i="51"/>
  <c r="M176" i="51" s="1"/>
  <c r="N176" i="51" s="1"/>
  <c r="K176" i="51"/>
  <c r="G176" i="51"/>
  <c r="E176" i="51"/>
  <c r="W175" i="51"/>
  <c r="X175" i="51" s="1"/>
  <c r="U175" i="51"/>
  <c r="T175" i="51"/>
  <c r="S175" i="51"/>
  <c r="Q175" i="51"/>
  <c r="P175" i="51"/>
  <c r="L175" i="51"/>
  <c r="M175" i="51" s="1"/>
  <c r="N175" i="51" s="1"/>
  <c r="K175" i="51"/>
  <c r="G175" i="51"/>
  <c r="E175" i="51"/>
  <c r="W174" i="51"/>
  <c r="X174" i="51" s="1"/>
  <c r="Q174" i="51"/>
  <c r="P174" i="51"/>
  <c r="L174" i="51"/>
  <c r="M174" i="51" s="1"/>
  <c r="N174" i="51" s="1"/>
  <c r="K174" i="51"/>
  <c r="G174" i="51"/>
  <c r="E174" i="51"/>
  <c r="W173" i="51"/>
  <c r="X173" i="51" s="1"/>
  <c r="Q173" i="51"/>
  <c r="P173" i="51"/>
  <c r="L173" i="51"/>
  <c r="M173" i="51" s="1"/>
  <c r="N173" i="51" s="1"/>
  <c r="K173" i="51"/>
  <c r="G173" i="51"/>
  <c r="E173" i="51"/>
  <c r="W172" i="51"/>
  <c r="X172" i="51" s="1"/>
  <c r="Q172" i="51"/>
  <c r="P172" i="51"/>
  <c r="L172" i="51"/>
  <c r="M172" i="51" s="1"/>
  <c r="N172" i="51" s="1"/>
  <c r="K172" i="51"/>
  <c r="G172" i="51"/>
  <c r="E172" i="51"/>
  <c r="W171" i="51"/>
  <c r="X171" i="51" s="1"/>
  <c r="Q171" i="51"/>
  <c r="P171" i="51"/>
  <c r="L171" i="51"/>
  <c r="M171" i="51" s="1"/>
  <c r="N171" i="51" s="1"/>
  <c r="K171" i="51"/>
  <c r="G171" i="51"/>
  <c r="E171" i="51"/>
  <c r="W170" i="51"/>
  <c r="X170" i="51" s="1"/>
  <c r="Q170" i="51"/>
  <c r="P170" i="51"/>
  <c r="L170" i="51"/>
  <c r="M170" i="51" s="1"/>
  <c r="N170" i="51" s="1"/>
  <c r="K170" i="51"/>
  <c r="G170" i="51"/>
  <c r="E170" i="51"/>
  <c r="W169" i="51"/>
  <c r="X169" i="51" s="1"/>
  <c r="U169" i="51"/>
  <c r="T169" i="51"/>
  <c r="S169" i="51"/>
  <c r="Q169" i="51"/>
  <c r="P169" i="51"/>
  <c r="L169" i="51"/>
  <c r="M169" i="51" s="1"/>
  <c r="N169" i="51" s="1"/>
  <c r="K169" i="51"/>
  <c r="G169" i="51"/>
  <c r="E169" i="51"/>
  <c r="W168" i="51"/>
  <c r="X168" i="51" s="1"/>
  <c r="Q168" i="51"/>
  <c r="P168" i="51"/>
  <c r="L168" i="51"/>
  <c r="M168" i="51" s="1"/>
  <c r="N168" i="51" s="1"/>
  <c r="K168" i="51"/>
  <c r="G168" i="51"/>
  <c r="E168" i="51"/>
  <c r="W167" i="51"/>
  <c r="X167" i="51" s="1"/>
  <c r="Q167" i="51"/>
  <c r="P167" i="51"/>
  <c r="L167" i="51"/>
  <c r="M167" i="51" s="1"/>
  <c r="N167" i="51" s="1"/>
  <c r="K167" i="51"/>
  <c r="G167" i="51"/>
  <c r="E167" i="51"/>
  <c r="W166" i="51"/>
  <c r="X166" i="51" s="1"/>
  <c r="Q166" i="51"/>
  <c r="P166" i="51"/>
  <c r="L166" i="51"/>
  <c r="M166" i="51" s="1"/>
  <c r="N166" i="51" s="1"/>
  <c r="K166" i="51"/>
  <c r="G166" i="51"/>
  <c r="E166" i="51"/>
  <c r="W165" i="51"/>
  <c r="X165" i="51" s="1"/>
  <c r="Q165" i="51"/>
  <c r="P165" i="51"/>
  <c r="L165" i="51"/>
  <c r="M165" i="51" s="1"/>
  <c r="N165" i="51" s="1"/>
  <c r="K165" i="51"/>
  <c r="G165" i="51"/>
  <c r="E165" i="51"/>
  <c r="W164" i="51"/>
  <c r="X164" i="51" s="1"/>
  <c r="Q164" i="51"/>
  <c r="P164" i="51"/>
  <c r="L164" i="51"/>
  <c r="M164" i="51" s="1"/>
  <c r="N164" i="51" s="1"/>
  <c r="K164" i="51"/>
  <c r="G164" i="51"/>
  <c r="E164" i="51"/>
  <c r="W163" i="51"/>
  <c r="X163" i="51" s="1"/>
  <c r="Q163" i="51"/>
  <c r="P163" i="51"/>
  <c r="L163" i="51"/>
  <c r="M163" i="51" s="1"/>
  <c r="N163" i="51" s="1"/>
  <c r="K163" i="51"/>
  <c r="G163" i="51"/>
  <c r="E163" i="51"/>
  <c r="W162" i="51"/>
  <c r="X162" i="51" s="1"/>
  <c r="Q162" i="51"/>
  <c r="P162" i="51"/>
  <c r="L162" i="51"/>
  <c r="M162" i="51" s="1"/>
  <c r="N162" i="51" s="1"/>
  <c r="K162" i="51"/>
  <c r="G162" i="51"/>
  <c r="E162" i="51"/>
  <c r="W161" i="51"/>
  <c r="X161" i="51" s="1"/>
  <c r="Q161" i="51"/>
  <c r="P161" i="51"/>
  <c r="L161" i="51"/>
  <c r="M161" i="51" s="1"/>
  <c r="N161" i="51" s="1"/>
  <c r="K161" i="51"/>
  <c r="G161" i="51"/>
  <c r="E161" i="51"/>
  <c r="W160" i="51"/>
  <c r="X160" i="51" s="1"/>
  <c r="Q160" i="51"/>
  <c r="P160" i="51"/>
  <c r="L160" i="51"/>
  <c r="M160" i="51" s="1"/>
  <c r="N160" i="51" s="1"/>
  <c r="K160" i="51"/>
  <c r="G160" i="51"/>
  <c r="E160" i="51"/>
  <c r="W159" i="51"/>
  <c r="X159" i="51" s="1"/>
  <c r="Q159" i="51"/>
  <c r="P159" i="51"/>
  <c r="L159" i="51"/>
  <c r="M159" i="51" s="1"/>
  <c r="N159" i="51" s="1"/>
  <c r="K159" i="51"/>
  <c r="G159" i="51"/>
  <c r="E159" i="51"/>
  <c r="W158" i="51"/>
  <c r="X158" i="51" s="1"/>
  <c r="Q158" i="51"/>
  <c r="P158" i="51"/>
  <c r="L158" i="51"/>
  <c r="M158" i="51" s="1"/>
  <c r="N158" i="51" s="1"/>
  <c r="K158" i="51"/>
  <c r="G158" i="51"/>
  <c r="E158" i="51"/>
  <c r="W157" i="51"/>
  <c r="X157" i="51" s="1"/>
  <c r="Q157" i="51"/>
  <c r="P157" i="51"/>
  <c r="L157" i="51"/>
  <c r="M157" i="51" s="1"/>
  <c r="N157" i="51" s="1"/>
  <c r="K157" i="51"/>
  <c r="G157" i="51"/>
  <c r="E157" i="51"/>
  <c r="W156" i="51"/>
  <c r="X156" i="51" s="1"/>
  <c r="Q156" i="51"/>
  <c r="P156" i="51"/>
  <c r="L156" i="51"/>
  <c r="M156" i="51" s="1"/>
  <c r="N156" i="51" s="1"/>
  <c r="K156" i="51"/>
  <c r="G156" i="51"/>
  <c r="E156" i="51"/>
  <c r="W155" i="51"/>
  <c r="X155" i="51" s="1"/>
  <c r="U155" i="51"/>
  <c r="T155" i="51"/>
  <c r="S155" i="51"/>
  <c r="Q155" i="51"/>
  <c r="P155" i="51"/>
  <c r="L155" i="51"/>
  <c r="M155" i="51" s="1"/>
  <c r="N155" i="51" s="1"/>
  <c r="K155" i="51"/>
  <c r="G155" i="51"/>
  <c r="E155" i="51"/>
  <c r="W154" i="51"/>
  <c r="X154" i="51" s="1"/>
  <c r="U154" i="51"/>
  <c r="T154" i="51"/>
  <c r="S154" i="51"/>
  <c r="Q154" i="51"/>
  <c r="P154" i="51"/>
  <c r="L154" i="51"/>
  <c r="M154" i="51" s="1"/>
  <c r="N154" i="51" s="1"/>
  <c r="K154" i="51"/>
  <c r="G154" i="51"/>
  <c r="E154" i="51"/>
  <c r="W153" i="51"/>
  <c r="X153" i="51" s="1"/>
  <c r="U153" i="51"/>
  <c r="T153" i="51"/>
  <c r="S153" i="51"/>
  <c r="Q153" i="51"/>
  <c r="P153" i="51"/>
  <c r="L153" i="51"/>
  <c r="M153" i="51" s="1"/>
  <c r="N153" i="51" s="1"/>
  <c r="K153" i="51"/>
  <c r="G153" i="51"/>
  <c r="E153" i="51"/>
  <c r="W152" i="51"/>
  <c r="X152" i="51" s="1"/>
  <c r="Q152" i="51"/>
  <c r="P152" i="51"/>
  <c r="L152" i="51"/>
  <c r="M152" i="51" s="1"/>
  <c r="N152" i="51" s="1"/>
  <c r="K152" i="51"/>
  <c r="G152" i="51"/>
  <c r="E152" i="51"/>
  <c r="W151" i="51"/>
  <c r="X151" i="51" s="1"/>
  <c r="Q151" i="51"/>
  <c r="P151" i="51"/>
  <c r="L151" i="51"/>
  <c r="M151" i="51" s="1"/>
  <c r="N151" i="51" s="1"/>
  <c r="K151" i="51"/>
  <c r="G151" i="51"/>
  <c r="E151" i="51"/>
  <c r="W150" i="51"/>
  <c r="X150" i="51" s="1"/>
  <c r="Q150" i="51"/>
  <c r="P150" i="51"/>
  <c r="L150" i="51"/>
  <c r="M150" i="51" s="1"/>
  <c r="N150" i="51" s="1"/>
  <c r="K150" i="51"/>
  <c r="G150" i="51"/>
  <c r="E150" i="51"/>
  <c r="W149" i="51"/>
  <c r="X149" i="51" s="1"/>
  <c r="Q149" i="51"/>
  <c r="P149" i="51"/>
  <c r="L149" i="51"/>
  <c r="M149" i="51" s="1"/>
  <c r="N149" i="51" s="1"/>
  <c r="K149" i="51"/>
  <c r="G149" i="51"/>
  <c r="E149" i="51"/>
  <c r="W148" i="51"/>
  <c r="X148" i="51" s="1"/>
  <c r="Q148" i="51"/>
  <c r="P148" i="51"/>
  <c r="L148" i="51"/>
  <c r="M148" i="51" s="1"/>
  <c r="N148" i="51" s="1"/>
  <c r="W147" i="51"/>
  <c r="X147" i="51" s="1"/>
  <c r="Q147" i="51"/>
  <c r="P147" i="51"/>
  <c r="L147" i="51"/>
  <c r="M147" i="51" s="1"/>
  <c r="N147" i="51" s="1"/>
  <c r="K147" i="51"/>
  <c r="G147" i="51"/>
  <c r="E147" i="51"/>
  <c r="W146" i="51"/>
  <c r="X146" i="51" s="1"/>
  <c r="Q146" i="51"/>
  <c r="P146" i="51"/>
  <c r="L146" i="51"/>
  <c r="M146" i="51" s="1"/>
  <c r="N146" i="51" s="1"/>
  <c r="K146" i="51"/>
  <c r="G146" i="51"/>
  <c r="E146" i="51"/>
  <c r="W145" i="51"/>
  <c r="X145" i="51" s="1"/>
  <c r="Q145" i="51"/>
  <c r="P145" i="51"/>
  <c r="L145" i="51"/>
  <c r="M145" i="51" s="1"/>
  <c r="N145" i="51" s="1"/>
  <c r="K145" i="51"/>
  <c r="G145" i="51"/>
  <c r="E145" i="51"/>
  <c r="W144" i="51"/>
  <c r="X144" i="51" s="1"/>
  <c r="Q144" i="51"/>
  <c r="P144" i="51"/>
  <c r="L144" i="51"/>
  <c r="M144" i="51"/>
  <c r="N144" i="51" s="1"/>
  <c r="W143" i="51"/>
  <c r="X143" i="51" s="1"/>
  <c r="Q143" i="51"/>
  <c r="P143" i="51"/>
  <c r="L143" i="51"/>
  <c r="M143" i="51" s="1"/>
  <c r="N143" i="51" s="1"/>
  <c r="K143" i="51"/>
  <c r="G143" i="51"/>
  <c r="E143" i="51"/>
  <c r="W142" i="51"/>
  <c r="X142" i="51" s="1"/>
  <c r="U142" i="51"/>
  <c r="T142" i="51"/>
  <c r="S142" i="51"/>
  <c r="Q142" i="51"/>
  <c r="P142" i="51"/>
  <c r="L142" i="51"/>
  <c r="M142" i="51" s="1"/>
  <c r="N142" i="51" s="1"/>
  <c r="K142" i="51"/>
  <c r="G142" i="51"/>
  <c r="E142" i="51"/>
  <c r="W141" i="51"/>
  <c r="X141" i="51" s="1"/>
  <c r="Q141" i="51"/>
  <c r="P141" i="51"/>
  <c r="L141" i="51"/>
  <c r="M141" i="51" s="1"/>
  <c r="N141" i="51" s="1"/>
  <c r="K141" i="51"/>
  <c r="G141" i="51"/>
  <c r="E141" i="51"/>
  <c r="W140" i="51"/>
  <c r="X140" i="51" s="1"/>
  <c r="Q140" i="51"/>
  <c r="P140" i="51"/>
  <c r="L140" i="51"/>
  <c r="M140" i="51" s="1"/>
  <c r="N140" i="51" s="1"/>
  <c r="K140" i="51"/>
  <c r="G140" i="51"/>
  <c r="E140" i="51"/>
  <c r="W139" i="51"/>
  <c r="X139" i="51" s="1"/>
  <c r="Q139" i="51"/>
  <c r="P139" i="51"/>
  <c r="L139" i="51"/>
  <c r="M139" i="51" s="1"/>
  <c r="N139" i="51" s="1"/>
  <c r="K139" i="51"/>
  <c r="G139" i="51"/>
  <c r="E139" i="51"/>
  <c r="W138" i="51"/>
  <c r="X138" i="51" s="1"/>
  <c r="Q138" i="51"/>
  <c r="P138" i="51"/>
  <c r="L138" i="51"/>
  <c r="M138" i="51" s="1"/>
  <c r="N138" i="51" s="1"/>
  <c r="K138" i="51"/>
  <c r="G138" i="51"/>
  <c r="E138" i="51"/>
  <c r="W137" i="51"/>
  <c r="X137" i="51" s="1"/>
  <c r="U137" i="51"/>
  <c r="T137" i="51"/>
  <c r="S137" i="51"/>
  <c r="Q137" i="51"/>
  <c r="P137" i="51"/>
  <c r="L137" i="51"/>
  <c r="M137" i="51" s="1"/>
  <c r="N137" i="51" s="1"/>
  <c r="W136" i="51"/>
  <c r="X136" i="51" s="1"/>
  <c r="Q136" i="51"/>
  <c r="P136" i="51"/>
  <c r="L136" i="51"/>
  <c r="M136" i="51" s="1"/>
  <c r="N136" i="51" s="1"/>
  <c r="K136" i="51"/>
  <c r="G136" i="51"/>
  <c r="E136" i="51"/>
  <c r="W135" i="51"/>
  <c r="X135" i="51" s="1"/>
  <c r="Q135" i="51"/>
  <c r="P135" i="51"/>
  <c r="L135" i="51"/>
  <c r="M135" i="51" s="1"/>
  <c r="N135" i="51" s="1"/>
  <c r="K135" i="51"/>
  <c r="G135" i="51"/>
  <c r="E135" i="51"/>
  <c r="W134" i="51"/>
  <c r="X134" i="51" s="1"/>
  <c r="Q134" i="51"/>
  <c r="P134" i="51"/>
  <c r="L134" i="51"/>
  <c r="M134" i="51" s="1"/>
  <c r="N134" i="51" s="1"/>
  <c r="K134" i="51"/>
  <c r="G134" i="51"/>
  <c r="E134" i="51"/>
  <c r="W133" i="51"/>
  <c r="X133" i="51" s="1"/>
  <c r="Q133" i="51"/>
  <c r="P133" i="51"/>
  <c r="L133" i="51"/>
  <c r="M133" i="51" s="1"/>
  <c r="N133" i="51" s="1"/>
  <c r="W132" i="51"/>
  <c r="X132" i="51" s="1"/>
  <c r="U132" i="51"/>
  <c r="T132" i="51"/>
  <c r="S132" i="51"/>
  <c r="Q132" i="51"/>
  <c r="P132" i="51"/>
  <c r="L132" i="51"/>
  <c r="M132" i="51" s="1"/>
  <c r="N132" i="51" s="1"/>
  <c r="K132" i="51"/>
  <c r="G132" i="51"/>
  <c r="E132" i="51"/>
  <c r="W131" i="51"/>
  <c r="X131" i="51" s="1"/>
  <c r="Q131" i="51"/>
  <c r="P131" i="51"/>
  <c r="L131" i="51"/>
  <c r="M131" i="51" s="1"/>
  <c r="N131" i="51" s="1"/>
  <c r="K131" i="51"/>
  <c r="G131" i="51"/>
  <c r="E131" i="51"/>
  <c r="W130" i="51"/>
  <c r="X130" i="51" s="1"/>
  <c r="Q130" i="51"/>
  <c r="P130" i="51"/>
  <c r="L130" i="51"/>
  <c r="M130" i="51" s="1"/>
  <c r="N130" i="51" s="1"/>
  <c r="K130" i="51"/>
  <c r="G130" i="51"/>
  <c r="E130" i="51"/>
  <c r="W129" i="51"/>
  <c r="X129" i="51" s="1"/>
  <c r="U129" i="51"/>
  <c r="T129" i="51"/>
  <c r="S129" i="51"/>
  <c r="Q129" i="51"/>
  <c r="P129" i="51"/>
  <c r="L129" i="51"/>
  <c r="M129" i="51" s="1"/>
  <c r="N129" i="51" s="1"/>
  <c r="K129" i="51"/>
  <c r="G129" i="51"/>
  <c r="E129" i="51"/>
  <c r="W128" i="51"/>
  <c r="X128" i="51" s="1"/>
  <c r="Q128" i="51"/>
  <c r="P128" i="51"/>
  <c r="L128" i="51"/>
  <c r="M128" i="51" s="1"/>
  <c r="N128" i="51" s="1"/>
  <c r="K128" i="51"/>
  <c r="G128" i="51"/>
  <c r="E128" i="51"/>
  <c r="W127" i="51"/>
  <c r="X127" i="51" s="1"/>
  <c r="Q127" i="51"/>
  <c r="P127" i="51"/>
  <c r="L127" i="51"/>
  <c r="M127" i="51" s="1"/>
  <c r="N127" i="51" s="1"/>
  <c r="K127" i="51"/>
  <c r="G127" i="51"/>
  <c r="E127" i="51"/>
  <c r="W126" i="51"/>
  <c r="X126" i="51" s="1"/>
  <c r="U126" i="51"/>
  <c r="T126" i="51"/>
  <c r="S126" i="51"/>
  <c r="Q126" i="51"/>
  <c r="P126" i="51"/>
  <c r="L126" i="51"/>
  <c r="M126" i="51" s="1"/>
  <c r="N126" i="51" s="1"/>
  <c r="K126" i="51"/>
  <c r="G126" i="51"/>
  <c r="E126" i="51"/>
  <c r="W125" i="51"/>
  <c r="X125" i="51" s="1"/>
  <c r="U125" i="51"/>
  <c r="T125" i="51"/>
  <c r="S125" i="51"/>
  <c r="Q125" i="51"/>
  <c r="P125" i="51"/>
  <c r="L125" i="51"/>
  <c r="M125" i="51" s="1"/>
  <c r="N125" i="51" s="1"/>
  <c r="K125" i="51"/>
  <c r="G125" i="51"/>
  <c r="E125" i="51"/>
  <c r="W124" i="51"/>
  <c r="X124" i="51" s="1"/>
  <c r="Q124" i="51"/>
  <c r="P124" i="51"/>
  <c r="L124" i="51"/>
  <c r="M124" i="51" s="1"/>
  <c r="N124" i="51" s="1"/>
  <c r="K124" i="51"/>
  <c r="G124" i="51"/>
  <c r="E124" i="51"/>
  <c r="W123" i="51"/>
  <c r="X123" i="51" s="1"/>
  <c r="U123" i="51"/>
  <c r="T123" i="51"/>
  <c r="S123" i="51"/>
  <c r="Q123" i="51"/>
  <c r="P123" i="51"/>
  <c r="L123" i="51"/>
  <c r="M123" i="51" s="1"/>
  <c r="N123" i="51" s="1"/>
  <c r="K123" i="51"/>
  <c r="G123" i="51"/>
  <c r="E123" i="51"/>
  <c r="W122" i="51"/>
  <c r="X122" i="51" s="1"/>
  <c r="Q122" i="51"/>
  <c r="P122" i="51"/>
  <c r="L122" i="51"/>
  <c r="M122" i="51" s="1"/>
  <c r="N122" i="51" s="1"/>
  <c r="K122" i="51"/>
  <c r="G122" i="51"/>
  <c r="E122" i="51"/>
  <c r="W121" i="51"/>
  <c r="X121" i="51" s="1"/>
  <c r="Q121" i="51"/>
  <c r="P121" i="51"/>
  <c r="L121" i="51"/>
  <c r="M121" i="51" s="1"/>
  <c r="N121" i="51" s="1"/>
  <c r="K121" i="51"/>
  <c r="G121" i="51"/>
  <c r="E121" i="51"/>
  <c r="W120" i="51"/>
  <c r="X120" i="51" s="1"/>
  <c r="U120" i="51"/>
  <c r="T120" i="51"/>
  <c r="S120" i="51"/>
  <c r="Q120" i="51"/>
  <c r="P120" i="51"/>
  <c r="L120" i="51"/>
  <c r="M120" i="51" s="1"/>
  <c r="N120" i="51" s="1"/>
  <c r="K120" i="51"/>
  <c r="G120" i="51"/>
  <c r="E120" i="51"/>
  <c r="W119" i="51"/>
  <c r="X119" i="51" s="1"/>
  <c r="Q119" i="51"/>
  <c r="P119" i="51"/>
  <c r="L119" i="51"/>
  <c r="M119" i="51" s="1"/>
  <c r="N119" i="51" s="1"/>
  <c r="K119" i="51"/>
  <c r="G119" i="51"/>
  <c r="E119" i="51"/>
  <c r="W118" i="51"/>
  <c r="X118" i="51" s="1"/>
  <c r="Q118" i="51"/>
  <c r="P118" i="51"/>
  <c r="L118" i="51"/>
  <c r="M118" i="51" s="1"/>
  <c r="N118" i="51" s="1"/>
  <c r="K118" i="51"/>
  <c r="G118" i="51"/>
  <c r="E118" i="51"/>
  <c r="W117" i="51"/>
  <c r="X117" i="51" s="1"/>
  <c r="U117" i="51"/>
  <c r="T117" i="51"/>
  <c r="S117" i="51"/>
  <c r="Q117" i="51"/>
  <c r="P117" i="51"/>
  <c r="L117" i="51"/>
  <c r="M117" i="51" s="1"/>
  <c r="N117" i="51" s="1"/>
  <c r="K117" i="51"/>
  <c r="G117" i="51"/>
  <c r="E117" i="51"/>
  <c r="W116" i="51"/>
  <c r="X116" i="51" s="1"/>
  <c r="Q116" i="51"/>
  <c r="P116" i="51"/>
  <c r="L116" i="51"/>
  <c r="M116" i="51" s="1"/>
  <c r="N116" i="51" s="1"/>
  <c r="K116" i="51"/>
  <c r="G116" i="51"/>
  <c r="E116" i="51"/>
  <c r="W115" i="51"/>
  <c r="X115" i="51" s="1"/>
  <c r="U115" i="51"/>
  <c r="T115" i="51"/>
  <c r="S115" i="51"/>
  <c r="Q115" i="51"/>
  <c r="P115" i="51"/>
  <c r="L115" i="51"/>
  <c r="M115" i="51" s="1"/>
  <c r="N115" i="51" s="1"/>
  <c r="K115" i="51"/>
  <c r="G115" i="51"/>
  <c r="E115" i="51"/>
  <c r="S114" i="51"/>
  <c r="Q114" i="51"/>
  <c r="P114" i="51"/>
  <c r="L114" i="51"/>
  <c r="M114" i="51" s="1"/>
  <c r="N114" i="51" s="1"/>
  <c r="G114" i="51"/>
  <c r="W114" i="51"/>
  <c r="X114" i="51" s="1"/>
  <c r="E114" i="51"/>
  <c r="W113" i="51"/>
  <c r="X113" i="51" s="1"/>
  <c r="Q113" i="51"/>
  <c r="P113" i="51"/>
  <c r="L113" i="51"/>
  <c r="M113" i="51" s="1"/>
  <c r="N113" i="51" s="1"/>
  <c r="K113" i="51"/>
  <c r="G113" i="51"/>
  <c r="E113" i="51"/>
  <c r="W112" i="51"/>
  <c r="X112" i="51" s="1"/>
  <c r="Q112" i="51"/>
  <c r="P112" i="51"/>
  <c r="L112" i="51"/>
  <c r="M112" i="51" s="1"/>
  <c r="N112" i="51" s="1"/>
  <c r="K112" i="51"/>
  <c r="G112" i="51"/>
  <c r="E112" i="51"/>
  <c r="W111" i="51"/>
  <c r="X111" i="51" s="1"/>
  <c r="U111" i="51"/>
  <c r="T111" i="51"/>
  <c r="S111" i="51"/>
  <c r="Q111" i="51"/>
  <c r="P111" i="51"/>
  <c r="L111" i="51"/>
  <c r="M111" i="51" s="1"/>
  <c r="N111" i="51" s="1"/>
  <c r="K111" i="51"/>
  <c r="G111" i="51"/>
  <c r="E111" i="51"/>
  <c r="W110" i="51"/>
  <c r="X110" i="51" s="1"/>
  <c r="Q110" i="51"/>
  <c r="P110" i="51"/>
  <c r="L110" i="51"/>
  <c r="M110" i="51" s="1"/>
  <c r="N110" i="51" s="1"/>
  <c r="K110" i="51"/>
  <c r="G110" i="51"/>
  <c r="E110" i="51"/>
  <c r="W109" i="51"/>
  <c r="X109" i="51" s="1"/>
  <c r="Q109" i="51"/>
  <c r="P109" i="51"/>
  <c r="L109" i="51"/>
  <c r="M109" i="51" s="1"/>
  <c r="N109" i="51" s="1"/>
  <c r="K109" i="51"/>
  <c r="G109" i="51"/>
  <c r="E109" i="51"/>
  <c r="W108" i="51"/>
  <c r="X108" i="51" s="1"/>
  <c r="Q108" i="51"/>
  <c r="P108" i="51"/>
  <c r="L108" i="51"/>
  <c r="M108" i="51" s="1"/>
  <c r="N108" i="51" s="1"/>
  <c r="K108" i="51"/>
  <c r="G108" i="51"/>
  <c r="E108" i="51"/>
  <c r="W107" i="51"/>
  <c r="X107" i="51" s="1"/>
  <c r="Q107" i="51"/>
  <c r="P107" i="51"/>
  <c r="L107" i="51"/>
  <c r="M107" i="51" s="1"/>
  <c r="N107" i="51" s="1"/>
  <c r="K107" i="51"/>
  <c r="G107" i="51"/>
  <c r="E107" i="51"/>
  <c r="W106" i="51"/>
  <c r="X106" i="51" s="1"/>
  <c r="Q106" i="51"/>
  <c r="P106" i="51"/>
  <c r="L106" i="51"/>
  <c r="M106" i="51" s="1"/>
  <c r="N106" i="51" s="1"/>
  <c r="K106" i="51"/>
  <c r="G106" i="51"/>
  <c r="E106" i="51"/>
  <c r="W105" i="51"/>
  <c r="X105" i="51" s="1"/>
  <c r="U105" i="51"/>
  <c r="T105" i="51"/>
  <c r="S105" i="51"/>
  <c r="Q105" i="51"/>
  <c r="P105" i="51"/>
  <c r="L105" i="51"/>
  <c r="M105" i="51" s="1"/>
  <c r="N105" i="51" s="1"/>
  <c r="K105" i="51"/>
  <c r="G105" i="51"/>
  <c r="E105" i="51"/>
  <c r="W104" i="51"/>
  <c r="X104" i="51" s="1"/>
  <c r="Q104" i="51"/>
  <c r="P104" i="51"/>
  <c r="L104" i="51"/>
  <c r="M104" i="51" s="1"/>
  <c r="N104" i="51" s="1"/>
  <c r="K104" i="51"/>
  <c r="G104" i="51"/>
  <c r="E104" i="51"/>
  <c r="S103" i="51"/>
  <c r="Q103" i="51"/>
  <c r="P103" i="51"/>
  <c r="E103" i="51"/>
  <c r="D417" i="51"/>
  <c r="W102" i="51"/>
  <c r="X102" i="51" s="1"/>
  <c r="Q102" i="51"/>
  <c r="P102" i="51"/>
  <c r="L102" i="51"/>
  <c r="M102" i="51" s="1"/>
  <c r="N102" i="51" s="1"/>
  <c r="K102" i="51"/>
  <c r="G102" i="51"/>
  <c r="E102" i="51"/>
  <c r="W101" i="51"/>
  <c r="X101" i="51" s="1"/>
  <c r="Q101" i="51"/>
  <c r="P101" i="51"/>
  <c r="L101" i="51"/>
  <c r="M101" i="51" s="1"/>
  <c r="N101" i="51" s="1"/>
  <c r="K101" i="51"/>
  <c r="G101" i="51"/>
  <c r="E101" i="51"/>
  <c r="W100" i="51"/>
  <c r="X100" i="51" s="1"/>
  <c r="Q100" i="51"/>
  <c r="P100" i="51"/>
  <c r="L100" i="51"/>
  <c r="M100" i="51"/>
  <c r="N100" i="51" s="1"/>
  <c r="K100" i="51"/>
  <c r="G100" i="51"/>
  <c r="E100" i="51"/>
  <c r="W99" i="51"/>
  <c r="X99" i="51" s="1"/>
  <c r="Q99" i="51"/>
  <c r="P99" i="51"/>
  <c r="L99" i="51"/>
  <c r="M99" i="51" s="1"/>
  <c r="N99" i="51" s="1"/>
  <c r="K99" i="51"/>
  <c r="G99" i="51"/>
  <c r="E99" i="51"/>
  <c r="W98" i="51"/>
  <c r="X98" i="51" s="1"/>
  <c r="U98" i="51"/>
  <c r="T98" i="51"/>
  <c r="S98" i="51"/>
  <c r="Q98" i="51"/>
  <c r="P98" i="51"/>
  <c r="L98" i="51"/>
  <c r="M98" i="51" s="1"/>
  <c r="N98" i="51" s="1"/>
  <c r="K98" i="51"/>
  <c r="G98" i="51"/>
  <c r="E98" i="51"/>
  <c r="W97" i="51"/>
  <c r="X97" i="51" s="1"/>
  <c r="Q97" i="51"/>
  <c r="P97" i="51"/>
  <c r="L97" i="51"/>
  <c r="M97" i="51" s="1"/>
  <c r="N97" i="51" s="1"/>
  <c r="K97" i="51"/>
  <c r="G97" i="51"/>
  <c r="E97" i="51"/>
  <c r="W96" i="51"/>
  <c r="X96" i="51" s="1"/>
  <c r="U96" i="51"/>
  <c r="T96" i="51"/>
  <c r="S96" i="51"/>
  <c r="Q96" i="51"/>
  <c r="P96" i="51"/>
  <c r="L96" i="51"/>
  <c r="M96" i="51" s="1"/>
  <c r="N96" i="51" s="1"/>
  <c r="K96" i="51"/>
  <c r="G96" i="51"/>
  <c r="E96" i="51"/>
  <c r="W95" i="51"/>
  <c r="X95" i="51" s="1"/>
  <c r="Q95" i="51"/>
  <c r="P95" i="51"/>
  <c r="L95" i="51"/>
  <c r="M95" i="51" s="1"/>
  <c r="N95" i="51" s="1"/>
  <c r="K95" i="51"/>
  <c r="G95" i="51"/>
  <c r="E95" i="51"/>
  <c r="W94" i="51"/>
  <c r="X94" i="51" s="1"/>
  <c r="Q94" i="51"/>
  <c r="P94" i="51"/>
  <c r="L94" i="51"/>
  <c r="M94" i="51" s="1"/>
  <c r="N94" i="51" s="1"/>
  <c r="W93" i="51"/>
  <c r="X93" i="51" s="1"/>
  <c r="Q93" i="51"/>
  <c r="P93" i="51"/>
  <c r="L93" i="51"/>
  <c r="M93" i="51" s="1"/>
  <c r="N93" i="51" s="1"/>
  <c r="K93" i="51"/>
  <c r="G93" i="51"/>
  <c r="E93" i="51"/>
  <c r="W92" i="51"/>
  <c r="X92" i="51" s="1"/>
  <c r="Q92" i="51"/>
  <c r="P92" i="51"/>
  <c r="L92" i="51"/>
  <c r="M92" i="51" s="1"/>
  <c r="N92" i="51" s="1"/>
  <c r="K92" i="51"/>
  <c r="G92" i="51"/>
  <c r="E92" i="51"/>
  <c r="W91" i="51"/>
  <c r="X91" i="51" s="1"/>
  <c r="U91" i="51"/>
  <c r="T91" i="51"/>
  <c r="S91" i="51"/>
  <c r="Q91" i="51"/>
  <c r="P91" i="51"/>
  <c r="L91" i="51"/>
  <c r="M91" i="51" s="1"/>
  <c r="N91" i="51" s="1"/>
  <c r="K91" i="51"/>
  <c r="G91" i="51"/>
  <c r="E91" i="51"/>
  <c r="W90" i="51"/>
  <c r="X90" i="51" s="1"/>
  <c r="Q90" i="51"/>
  <c r="P90" i="51"/>
  <c r="L90" i="51"/>
  <c r="M90" i="51" s="1"/>
  <c r="N90" i="51" s="1"/>
  <c r="K90" i="51"/>
  <c r="G90" i="51"/>
  <c r="E90" i="51"/>
  <c r="W89" i="51"/>
  <c r="X89" i="51" s="1"/>
  <c r="U89" i="51"/>
  <c r="T89" i="51"/>
  <c r="S89" i="51"/>
  <c r="Q89" i="51"/>
  <c r="P89" i="51"/>
  <c r="L89" i="51"/>
  <c r="M89" i="51" s="1"/>
  <c r="N89" i="51" s="1"/>
  <c r="K89" i="51"/>
  <c r="G89" i="51"/>
  <c r="E89" i="51"/>
  <c r="W88" i="51"/>
  <c r="X88" i="51" s="1"/>
  <c r="U88" i="51"/>
  <c r="T88" i="51"/>
  <c r="S88" i="51"/>
  <c r="Q88" i="51"/>
  <c r="P88" i="51"/>
  <c r="L88" i="51"/>
  <c r="M88" i="51" s="1"/>
  <c r="N88" i="51" s="1"/>
  <c r="K88" i="51"/>
  <c r="G88" i="51"/>
  <c r="E88" i="51"/>
  <c r="W87" i="51"/>
  <c r="X87" i="51" s="1"/>
  <c r="Q87" i="51"/>
  <c r="P87" i="51"/>
  <c r="L87" i="51"/>
  <c r="M87" i="51" s="1"/>
  <c r="N87" i="51" s="1"/>
  <c r="W86" i="51"/>
  <c r="X86" i="51" s="1"/>
  <c r="U86" i="51"/>
  <c r="T86" i="51"/>
  <c r="S86" i="51"/>
  <c r="Q86" i="51"/>
  <c r="P86" i="51"/>
  <c r="L86" i="51"/>
  <c r="M86" i="51" s="1"/>
  <c r="N86" i="51" s="1"/>
  <c r="K86" i="51"/>
  <c r="G86" i="51"/>
  <c r="E86" i="51"/>
  <c r="W85" i="51"/>
  <c r="X85" i="51" s="1"/>
  <c r="Q85" i="51"/>
  <c r="P85" i="51"/>
  <c r="L85" i="51"/>
  <c r="M85" i="51" s="1"/>
  <c r="N85" i="51" s="1"/>
  <c r="K85" i="51"/>
  <c r="G85" i="51"/>
  <c r="E85" i="51"/>
  <c r="W84" i="51"/>
  <c r="X84" i="51" s="1"/>
  <c r="Q84" i="51"/>
  <c r="P84" i="51"/>
  <c r="L84" i="51"/>
  <c r="M84" i="51" s="1"/>
  <c r="N84" i="51" s="1"/>
  <c r="K84" i="51"/>
  <c r="G84" i="51"/>
  <c r="E84" i="51"/>
  <c r="W83" i="51"/>
  <c r="X83" i="51" s="1"/>
  <c r="U83" i="51"/>
  <c r="T83" i="51"/>
  <c r="S83" i="51"/>
  <c r="Q83" i="51"/>
  <c r="P83" i="51"/>
  <c r="L83" i="51"/>
  <c r="M83" i="51" s="1"/>
  <c r="N83" i="51" s="1"/>
  <c r="K83" i="51"/>
  <c r="G83" i="51"/>
  <c r="E83" i="51"/>
  <c r="W82" i="51"/>
  <c r="X82" i="51" s="1"/>
  <c r="Q82" i="51"/>
  <c r="P82" i="51"/>
  <c r="L82" i="51"/>
  <c r="M82" i="51" s="1"/>
  <c r="N82" i="51" s="1"/>
  <c r="K82" i="51"/>
  <c r="G82" i="51"/>
  <c r="E82" i="51"/>
  <c r="W81" i="51"/>
  <c r="X81" i="51" s="1"/>
  <c r="Q81" i="51"/>
  <c r="P81" i="51"/>
  <c r="L81" i="51"/>
  <c r="M81" i="51" s="1"/>
  <c r="N81" i="51" s="1"/>
  <c r="K81" i="51"/>
  <c r="G81" i="51"/>
  <c r="E81" i="51"/>
  <c r="W80" i="51"/>
  <c r="X80" i="51" s="1"/>
  <c r="Q80" i="51"/>
  <c r="P80" i="51"/>
  <c r="L80" i="51"/>
  <c r="M80" i="51" s="1"/>
  <c r="N80" i="51" s="1"/>
  <c r="K80" i="51"/>
  <c r="G80" i="51"/>
  <c r="E80" i="51"/>
  <c r="W79" i="51"/>
  <c r="X79" i="51" s="1"/>
  <c r="U79" i="51"/>
  <c r="T79" i="51"/>
  <c r="S79" i="51"/>
  <c r="Q79" i="51"/>
  <c r="P79" i="51"/>
  <c r="L79" i="51"/>
  <c r="M79" i="51" s="1"/>
  <c r="N79" i="51" s="1"/>
  <c r="K79" i="51"/>
  <c r="G79" i="51"/>
  <c r="E79" i="51"/>
  <c r="W78" i="51"/>
  <c r="X78" i="51" s="1"/>
  <c r="Q78" i="51"/>
  <c r="P78" i="51"/>
  <c r="L78" i="51"/>
  <c r="M78" i="51" s="1"/>
  <c r="N78" i="51" s="1"/>
  <c r="K78" i="51"/>
  <c r="G78" i="51"/>
  <c r="E78" i="51"/>
  <c r="W77" i="51"/>
  <c r="X77" i="51" s="1"/>
  <c r="U77" i="51"/>
  <c r="T77" i="51"/>
  <c r="S77" i="51"/>
  <c r="Q77" i="51"/>
  <c r="P77" i="51"/>
  <c r="L77" i="51"/>
  <c r="M77" i="51" s="1"/>
  <c r="N77" i="51" s="1"/>
  <c r="K77" i="51"/>
  <c r="G77" i="51"/>
  <c r="E77" i="51"/>
  <c r="W76" i="51"/>
  <c r="X76" i="51" s="1"/>
  <c r="U76" i="51"/>
  <c r="T76" i="51"/>
  <c r="S76" i="51"/>
  <c r="Q76" i="51"/>
  <c r="P76" i="51"/>
  <c r="L76" i="51"/>
  <c r="M76" i="51" s="1"/>
  <c r="N76" i="51" s="1"/>
  <c r="K76" i="51"/>
  <c r="G76" i="51"/>
  <c r="E76" i="51"/>
  <c r="W75" i="51"/>
  <c r="X75" i="51" s="1"/>
  <c r="Q75" i="51"/>
  <c r="P75" i="51"/>
  <c r="L75" i="51"/>
  <c r="M75" i="51" s="1"/>
  <c r="N75" i="51" s="1"/>
  <c r="W74" i="51"/>
  <c r="X74" i="51" s="1"/>
  <c r="U74" i="51"/>
  <c r="T74" i="51"/>
  <c r="S74" i="51"/>
  <c r="Q74" i="51"/>
  <c r="P74" i="51"/>
  <c r="L74" i="51"/>
  <c r="M74" i="51" s="1"/>
  <c r="N74" i="51" s="1"/>
  <c r="K74" i="51"/>
  <c r="G74" i="51"/>
  <c r="E74" i="51"/>
  <c r="W73" i="51"/>
  <c r="X73" i="51" s="1"/>
  <c r="Q73" i="51"/>
  <c r="P73" i="51"/>
  <c r="L73" i="51"/>
  <c r="M73" i="51" s="1"/>
  <c r="N73" i="51" s="1"/>
  <c r="K73" i="51"/>
  <c r="G73" i="51"/>
  <c r="E73" i="51"/>
  <c r="W72" i="51"/>
  <c r="X72" i="51" s="1"/>
  <c r="Q72" i="51"/>
  <c r="P72" i="51"/>
  <c r="L72" i="51"/>
  <c r="M72" i="51" s="1"/>
  <c r="N72" i="51" s="1"/>
  <c r="K72" i="51"/>
  <c r="G72" i="51"/>
  <c r="E72" i="51"/>
  <c r="W71" i="51"/>
  <c r="X71" i="51" s="1"/>
  <c r="Q71" i="51"/>
  <c r="P71" i="51"/>
  <c r="L71" i="51"/>
  <c r="M71" i="51" s="1"/>
  <c r="N71" i="51" s="1"/>
  <c r="K71" i="51"/>
  <c r="G71" i="51"/>
  <c r="E71" i="51"/>
  <c r="W70" i="51"/>
  <c r="X70" i="51" s="1"/>
  <c r="Q70" i="51"/>
  <c r="P70" i="51"/>
  <c r="L70" i="51"/>
  <c r="M70" i="51" s="1"/>
  <c r="N70" i="51" s="1"/>
  <c r="K70" i="51"/>
  <c r="G70" i="51"/>
  <c r="E70" i="51"/>
  <c r="W69" i="51"/>
  <c r="X69" i="51" s="1"/>
  <c r="Q69" i="51"/>
  <c r="P69" i="51"/>
  <c r="L69" i="51"/>
  <c r="M69" i="51" s="1"/>
  <c r="N69" i="51" s="1"/>
  <c r="K69" i="51"/>
  <c r="G69" i="51"/>
  <c r="E69" i="51"/>
  <c r="W68" i="51"/>
  <c r="X68" i="51" s="1"/>
  <c r="Q68" i="51"/>
  <c r="P68" i="51"/>
  <c r="L68" i="51"/>
  <c r="M68" i="51" s="1"/>
  <c r="N68" i="51" s="1"/>
  <c r="K68" i="51"/>
  <c r="G68" i="51"/>
  <c r="E68" i="51"/>
  <c r="W67" i="51"/>
  <c r="X67" i="51" s="1"/>
  <c r="Q67" i="51"/>
  <c r="P67" i="51"/>
  <c r="L67" i="51"/>
  <c r="M67" i="51" s="1"/>
  <c r="N67" i="51" s="1"/>
  <c r="K67" i="51"/>
  <c r="G67" i="51"/>
  <c r="E67" i="51"/>
  <c r="W66" i="51"/>
  <c r="X66" i="51" s="1"/>
  <c r="Q66" i="51"/>
  <c r="P66" i="51"/>
  <c r="L66" i="51"/>
  <c r="M66" i="51" s="1"/>
  <c r="N66" i="51" s="1"/>
  <c r="K66" i="51"/>
  <c r="G66" i="51"/>
  <c r="E66" i="51"/>
  <c r="W65" i="51"/>
  <c r="X65" i="51" s="1"/>
  <c r="Q65" i="51"/>
  <c r="P65" i="51"/>
  <c r="L65" i="51"/>
  <c r="M65" i="51" s="1"/>
  <c r="N65" i="51" s="1"/>
  <c r="K65" i="51"/>
  <c r="G65" i="51"/>
  <c r="E65" i="51"/>
  <c r="W64" i="51"/>
  <c r="X64" i="51" s="1"/>
  <c r="Q64" i="51"/>
  <c r="P64" i="51"/>
  <c r="L64" i="51"/>
  <c r="M64" i="51" s="1"/>
  <c r="N64" i="51" s="1"/>
  <c r="K64" i="51"/>
  <c r="G64" i="51"/>
  <c r="E64" i="51"/>
  <c r="W63" i="51"/>
  <c r="X63" i="51" s="1"/>
  <c r="Q63" i="51"/>
  <c r="P63" i="51"/>
  <c r="L63" i="51"/>
  <c r="M63" i="51" s="1"/>
  <c r="N63" i="51" s="1"/>
  <c r="K63" i="51"/>
  <c r="G63" i="51"/>
  <c r="E63" i="51"/>
  <c r="W62" i="51"/>
  <c r="X62" i="51" s="1"/>
  <c r="Q62" i="51"/>
  <c r="P62" i="51"/>
  <c r="L62" i="51"/>
  <c r="M62" i="51" s="1"/>
  <c r="N62" i="51" s="1"/>
  <c r="K62" i="51"/>
  <c r="G62" i="51"/>
  <c r="E62" i="51"/>
  <c r="W61" i="51"/>
  <c r="X61" i="51" s="1"/>
  <c r="Q61" i="51"/>
  <c r="P61" i="51"/>
  <c r="L61" i="51"/>
  <c r="M61" i="51" s="1"/>
  <c r="N61" i="51" s="1"/>
  <c r="K61" i="51"/>
  <c r="G61" i="51"/>
  <c r="E61" i="51"/>
  <c r="W60" i="51"/>
  <c r="X60" i="51" s="1"/>
  <c r="Q60" i="51"/>
  <c r="P60" i="51"/>
  <c r="L60" i="51"/>
  <c r="M60" i="51" s="1"/>
  <c r="N60" i="51" s="1"/>
  <c r="K60" i="51"/>
  <c r="G60" i="51"/>
  <c r="E60" i="51"/>
  <c r="W59" i="51"/>
  <c r="X59" i="51" s="1"/>
  <c r="Q59" i="51"/>
  <c r="P59" i="51"/>
  <c r="L59" i="51"/>
  <c r="M59" i="51" s="1"/>
  <c r="N59" i="51" s="1"/>
  <c r="K59" i="51"/>
  <c r="G59" i="51"/>
  <c r="E59" i="51"/>
  <c r="W58" i="51"/>
  <c r="X58" i="51" s="1"/>
  <c r="Q58" i="51"/>
  <c r="P58" i="51"/>
  <c r="L58" i="51"/>
  <c r="M58" i="51"/>
  <c r="N58" i="51" s="1"/>
  <c r="K58" i="51"/>
  <c r="G58" i="51"/>
  <c r="E58" i="51"/>
  <c r="W57" i="51"/>
  <c r="X57" i="51" s="1"/>
  <c r="Q57" i="51"/>
  <c r="P57" i="51"/>
  <c r="L57" i="51"/>
  <c r="M57" i="51" s="1"/>
  <c r="N57" i="51" s="1"/>
  <c r="K57" i="51"/>
  <c r="G57" i="51"/>
  <c r="E57" i="51"/>
  <c r="W56" i="51"/>
  <c r="X56" i="51" s="1"/>
  <c r="Q56" i="51"/>
  <c r="P56" i="51"/>
  <c r="L56" i="51"/>
  <c r="M56" i="51" s="1"/>
  <c r="N56" i="51" s="1"/>
  <c r="K56" i="51"/>
  <c r="G56" i="51"/>
  <c r="E56" i="51"/>
  <c r="W55" i="51"/>
  <c r="X55" i="51" s="1"/>
  <c r="Q55" i="51"/>
  <c r="P55" i="51"/>
  <c r="L55" i="51"/>
  <c r="M55" i="51" s="1"/>
  <c r="N55" i="51" s="1"/>
  <c r="K55" i="51"/>
  <c r="G55" i="51"/>
  <c r="E55" i="51"/>
  <c r="W54" i="51"/>
  <c r="X54" i="51" s="1"/>
  <c r="Q54" i="51"/>
  <c r="P54" i="51"/>
  <c r="L54" i="51"/>
  <c r="M54" i="51" s="1"/>
  <c r="N54" i="51" s="1"/>
  <c r="K54" i="51"/>
  <c r="G54" i="51"/>
  <c r="E54" i="51"/>
  <c r="W53" i="51"/>
  <c r="X53" i="51" s="1"/>
  <c r="Q53" i="51"/>
  <c r="P53" i="51"/>
  <c r="L53" i="51"/>
  <c r="M53" i="51" s="1"/>
  <c r="N53" i="51" s="1"/>
  <c r="K53" i="51"/>
  <c r="G53" i="51"/>
  <c r="E53" i="51"/>
  <c r="W52" i="51"/>
  <c r="X52" i="51" s="1"/>
  <c r="Q52" i="51"/>
  <c r="P52" i="51"/>
  <c r="L52" i="51"/>
  <c r="M52" i="51" s="1"/>
  <c r="N52" i="51" s="1"/>
  <c r="K52" i="51"/>
  <c r="G52" i="51"/>
  <c r="E52" i="51"/>
  <c r="W51" i="51"/>
  <c r="X51" i="51" s="1"/>
  <c r="Q51" i="51"/>
  <c r="P51" i="51"/>
  <c r="L51" i="51"/>
  <c r="M51" i="51" s="1"/>
  <c r="N51" i="51" s="1"/>
  <c r="K51" i="51"/>
  <c r="G51" i="51"/>
  <c r="E51" i="51"/>
  <c r="W50" i="51"/>
  <c r="X50" i="51" s="1"/>
  <c r="Q50" i="51"/>
  <c r="P50" i="51"/>
  <c r="L50" i="51"/>
  <c r="M50" i="51" s="1"/>
  <c r="N50" i="51" s="1"/>
  <c r="K50" i="51"/>
  <c r="G50" i="51"/>
  <c r="E50" i="51"/>
  <c r="W49" i="51"/>
  <c r="X49" i="51" s="1"/>
  <c r="Q49" i="51"/>
  <c r="P49" i="51"/>
  <c r="L49" i="51"/>
  <c r="M49" i="51" s="1"/>
  <c r="N49" i="51" s="1"/>
  <c r="K49" i="51"/>
  <c r="G49" i="51"/>
  <c r="E49" i="51"/>
  <c r="W48" i="51"/>
  <c r="X48" i="51" s="1"/>
  <c r="Q48" i="51"/>
  <c r="P48" i="51"/>
  <c r="L48" i="51"/>
  <c r="M48" i="51" s="1"/>
  <c r="N48" i="51" s="1"/>
  <c r="K48" i="51"/>
  <c r="G48" i="51"/>
  <c r="E48" i="51"/>
  <c r="W47" i="51"/>
  <c r="X47" i="51" s="1"/>
  <c r="Q47" i="51"/>
  <c r="P47" i="51"/>
  <c r="L47" i="51"/>
  <c r="M47" i="51" s="1"/>
  <c r="N47" i="51" s="1"/>
  <c r="K47" i="51"/>
  <c r="G47" i="51"/>
  <c r="E47" i="51"/>
  <c r="W46" i="51"/>
  <c r="X46" i="51" s="1"/>
  <c r="Q46" i="51"/>
  <c r="P46" i="51"/>
  <c r="L46" i="51"/>
  <c r="M46" i="51" s="1"/>
  <c r="N46" i="51" s="1"/>
  <c r="K46" i="51"/>
  <c r="G46" i="51"/>
  <c r="E46" i="51"/>
  <c r="W45" i="51"/>
  <c r="X45" i="51" s="1"/>
  <c r="Q45" i="51"/>
  <c r="P45" i="51"/>
  <c r="L45" i="51"/>
  <c r="M45" i="51" s="1"/>
  <c r="N45" i="51" s="1"/>
  <c r="K45" i="51"/>
  <c r="G45" i="51"/>
  <c r="E45" i="51"/>
  <c r="W44" i="51"/>
  <c r="X44" i="51" s="1"/>
  <c r="Q44" i="51"/>
  <c r="P44" i="51"/>
  <c r="L44" i="51"/>
  <c r="M44" i="51" s="1"/>
  <c r="N44" i="51" s="1"/>
  <c r="K44" i="51"/>
  <c r="G44" i="51"/>
  <c r="E44" i="51"/>
  <c r="W43" i="51"/>
  <c r="X43" i="51" s="1"/>
  <c r="U43" i="51"/>
  <c r="T43" i="51"/>
  <c r="S43" i="51"/>
  <c r="Q43" i="51"/>
  <c r="P43" i="51"/>
  <c r="L43" i="51"/>
  <c r="M43" i="51" s="1"/>
  <c r="N43" i="51" s="1"/>
  <c r="K43" i="51"/>
  <c r="G43" i="51"/>
  <c r="E43" i="51"/>
  <c r="W42" i="51"/>
  <c r="X42" i="51" s="1"/>
  <c r="Q42" i="51"/>
  <c r="P42" i="51"/>
  <c r="L42" i="51"/>
  <c r="M42" i="51" s="1"/>
  <c r="N42" i="51" s="1"/>
  <c r="K42" i="51"/>
  <c r="G42" i="51"/>
  <c r="E42" i="51"/>
  <c r="W41" i="51"/>
  <c r="X41" i="51" s="1"/>
  <c r="Q41" i="51"/>
  <c r="P41" i="51"/>
  <c r="L41" i="51"/>
  <c r="M41" i="51" s="1"/>
  <c r="N41" i="51" s="1"/>
  <c r="K41" i="51"/>
  <c r="G41" i="51"/>
  <c r="E41" i="51"/>
  <c r="W40" i="51"/>
  <c r="X40" i="51" s="1"/>
  <c r="Q40" i="51"/>
  <c r="P40" i="51"/>
  <c r="L40" i="51"/>
  <c r="M40" i="51" s="1"/>
  <c r="N40" i="51" s="1"/>
  <c r="K40" i="51"/>
  <c r="G40" i="51"/>
  <c r="E40" i="51"/>
  <c r="W39" i="51"/>
  <c r="X39" i="51" s="1"/>
  <c r="Q39" i="51"/>
  <c r="P39" i="51"/>
  <c r="L39" i="51"/>
  <c r="M39" i="51" s="1"/>
  <c r="N39" i="51" s="1"/>
  <c r="W38" i="51"/>
  <c r="X38" i="51" s="1"/>
  <c r="Q38" i="51"/>
  <c r="P38" i="51"/>
  <c r="L38" i="51"/>
  <c r="M38" i="51" s="1"/>
  <c r="N38" i="51" s="1"/>
  <c r="K38" i="51"/>
  <c r="G38" i="51"/>
  <c r="E38" i="51"/>
  <c r="W37" i="51"/>
  <c r="X37" i="51" s="1"/>
  <c r="Q37" i="51"/>
  <c r="P37" i="51"/>
  <c r="L37" i="51"/>
  <c r="M37" i="51" s="1"/>
  <c r="N37" i="51" s="1"/>
  <c r="K37" i="51"/>
  <c r="G37" i="51"/>
  <c r="E37" i="51"/>
  <c r="W36" i="51"/>
  <c r="X36" i="51" s="1"/>
  <c r="Q36" i="51"/>
  <c r="P36" i="51"/>
  <c r="L36" i="51"/>
  <c r="M36" i="51" s="1"/>
  <c r="N36" i="51" s="1"/>
  <c r="K36" i="51"/>
  <c r="G36" i="51"/>
  <c r="E36" i="51"/>
  <c r="W35" i="51"/>
  <c r="X35" i="51" s="1"/>
  <c r="Q35" i="51"/>
  <c r="P35" i="51"/>
  <c r="L35" i="51"/>
  <c r="M35" i="51" s="1"/>
  <c r="N35" i="51" s="1"/>
  <c r="K35" i="51"/>
  <c r="G35" i="51"/>
  <c r="E35" i="51"/>
  <c r="W34" i="51"/>
  <c r="X34" i="51" s="1"/>
  <c r="Q34" i="51"/>
  <c r="P34" i="51"/>
  <c r="L34" i="51"/>
  <c r="M34" i="51" s="1"/>
  <c r="N34" i="51" s="1"/>
  <c r="K34" i="51"/>
  <c r="G34" i="51"/>
  <c r="E34" i="51"/>
  <c r="W33" i="51"/>
  <c r="X33" i="51" s="1"/>
  <c r="Q33" i="51"/>
  <c r="P33" i="51"/>
  <c r="L33" i="51"/>
  <c r="M33" i="51" s="1"/>
  <c r="N33" i="51" s="1"/>
  <c r="K33" i="51"/>
  <c r="G33" i="51"/>
  <c r="E33" i="51"/>
  <c r="W32" i="51"/>
  <c r="X32" i="51" s="1"/>
  <c r="Q32" i="51"/>
  <c r="P32" i="51"/>
  <c r="L32" i="51"/>
  <c r="M32" i="51" s="1"/>
  <c r="N32" i="51" s="1"/>
  <c r="K32" i="51"/>
  <c r="G32" i="51"/>
  <c r="E32" i="51"/>
  <c r="W31" i="51"/>
  <c r="X31" i="51" s="1"/>
  <c r="Q31" i="51"/>
  <c r="P31" i="51"/>
  <c r="L31" i="51"/>
  <c r="M31" i="51" s="1"/>
  <c r="N31" i="51" s="1"/>
  <c r="K31" i="51"/>
  <c r="G31" i="51"/>
  <c r="E31" i="51"/>
  <c r="W30" i="51"/>
  <c r="X30" i="51" s="1"/>
  <c r="Q30" i="51"/>
  <c r="P30" i="51"/>
  <c r="L30" i="51"/>
  <c r="M30" i="51" s="1"/>
  <c r="N30" i="51" s="1"/>
  <c r="K30" i="51"/>
  <c r="G30" i="51"/>
  <c r="E30" i="51"/>
  <c r="W29" i="51"/>
  <c r="X29" i="51" s="1"/>
  <c r="Q29" i="51"/>
  <c r="P29" i="51"/>
  <c r="L29" i="51"/>
  <c r="M29" i="51" s="1"/>
  <c r="N29" i="51" s="1"/>
  <c r="K29" i="51"/>
  <c r="G29" i="51"/>
  <c r="E29" i="51"/>
  <c r="W28" i="51"/>
  <c r="X28" i="51" s="1"/>
  <c r="Q28" i="51"/>
  <c r="P28" i="51"/>
  <c r="L28" i="51"/>
  <c r="M28" i="51" s="1"/>
  <c r="N28" i="51" s="1"/>
  <c r="K28" i="51"/>
  <c r="G28" i="51"/>
  <c r="E28" i="51"/>
  <c r="W27" i="51"/>
  <c r="X27" i="51" s="1"/>
  <c r="U27" i="51"/>
  <c r="T27" i="51"/>
  <c r="S27" i="51"/>
  <c r="Q27" i="51"/>
  <c r="P27" i="51"/>
  <c r="L27" i="51"/>
  <c r="M27" i="51" s="1"/>
  <c r="N27" i="51" s="1"/>
  <c r="K27" i="51"/>
  <c r="G27" i="51"/>
  <c r="E27" i="51"/>
  <c r="W26" i="51"/>
  <c r="X26" i="51" s="1"/>
  <c r="Q26" i="51"/>
  <c r="P26" i="51"/>
  <c r="L26" i="51"/>
  <c r="M26" i="51" s="1"/>
  <c r="N26" i="51" s="1"/>
  <c r="K26" i="51"/>
  <c r="G26" i="51"/>
  <c r="E26" i="51"/>
  <c r="W25" i="51"/>
  <c r="X25" i="51" s="1"/>
  <c r="Q25" i="51"/>
  <c r="P25" i="51"/>
  <c r="L25" i="51"/>
  <c r="M25" i="51" s="1"/>
  <c r="N25" i="51" s="1"/>
  <c r="K25" i="51"/>
  <c r="G25" i="51"/>
  <c r="E25" i="51"/>
  <c r="W24" i="51"/>
  <c r="X24" i="51" s="1"/>
  <c r="Q24" i="51"/>
  <c r="P24" i="51"/>
  <c r="L24" i="51"/>
  <c r="M24" i="51" s="1"/>
  <c r="N24" i="51" s="1"/>
  <c r="K24" i="51"/>
  <c r="G24" i="51"/>
  <c r="E24" i="51"/>
  <c r="W23" i="51"/>
  <c r="X23" i="51" s="1"/>
  <c r="U23" i="51"/>
  <c r="T23" i="51"/>
  <c r="S23" i="51"/>
  <c r="Q23" i="51"/>
  <c r="P23" i="51"/>
  <c r="L23" i="51"/>
  <c r="M23" i="51" s="1"/>
  <c r="N23" i="51" s="1"/>
  <c r="K23" i="51"/>
  <c r="G23" i="51"/>
  <c r="E23" i="51"/>
  <c r="W22" i="51"/>
  <c r="X22" i="51" s="1"/>
  <c r="Q22" i="51"/>
  <c r="P22" i="51"/>
  <c r="L22" i="51"/>
  <c r="M22" i="51"/>
  <c r="N22" i="51" s="1"/>
  <c r="W21" i="51"/>
  <c r="X21" i="51" s="1"/>
  <c r="Q21" i="51"/>
  <c r="P21" i="51"/>
  <c r="L21" i="51"/>
  <c r="M21" i="51" s="1"/>
  <c r="N21" i="51" s="1"/>
  <c r="W20" i="51"/>
  <c r="X20" i="51" s="1"/>
  <c r="Q20" i="51"/>
  <c r="P20" i="51"/>
  <c r="L20" i="51"/>
  <c r="M20" i="51" s="1"/>
  <c r="N20" i="51" s="1"/>
  <c r="K20" i="51"/>
  <c r="G20" i="51"/>
  <c r="E20" i="51"/>
  <c r="W19" i="51"/>
  <c r="X19" i="51" s="1"/>
  <c r="Q19" i="51"/>
  <c r="P19" i="51"/>
  <c r="L19" i="51"/>
  <c r="M19" i="51" s="1"/>
  <c r="N19" i="51" s="1"/>
  <c r="K19" i="51"/>
  <c r="G19" i="51"/>
  <c r="E19" i="51"/>
  <c r="W18" i="51"/>
  <c r="X18" i="51" s="1"/>
  <c r="Q18" i="51"/>
  <c r="P18" i="51"/>
  <c r="L18" i="51"/>
  <c r="M18" i="51" s="1"/>
  <c r="N18" i="51" s="1"/>
  <c r="K18" i="51"/>
  <c r="G18" i="51"/>
  <c r="E18" i="51"/>
  <c r="W17" i="51"/>
  <c r="X17" i="51" s="1"/>
  <c r="Q17" i="51"/>
  <c r="P17" i="51"/>
  <c r="L17" i="51"/>
  <c r="M17" i="51" s="1"/>
  <c r="N17" i="51" s="1"/>
  <c r="K17" i="51"/>
  <c r="G17" i="51"/>
  <c r="E17" i="51"/>
  <c r="W16" i="51"/>
  <c r="X16" i="51" s="1"/>
  <c r="U16" i="51"/>
  <c r="T16" i="51"/>
  <c r="S16" i="51"/>
  <c r="Q16" i="51"/>
  <c r="P16" i="51"/>
  <c r="L16" i="51"/>
  <c r="M16" i="51" s="1"/>
  <c r="N16" i="51" s="1"/>
  <c r="K16" i="51"/>
  <c r="G16" i="51"/>
  <c r="E16" i="51"/>
  <c r="W15" i="51"/>
  <c r="X15" i="51" s="1"/>
  <c r="Q15" i="51"/>
  <c r="P15" i="51"/>
  <c r="L15" i="51"/>
  <c r="M15" i="51" s="1"/>
  <c r="N15" i="51" s="1"/>
  <c r="W14" i="51"/>
  <c r="X14" i="51" s="1"/>
  <c r="U14" i="51"/>
  <c r="T14" i="51"/>
  <c r="S14" i="51"/>
  <c r="Q14" i="51"/>
  <c r="P14" i="51"/>
  <c r="L14" i="51"/>
  <c r="M14" i="51" s="1"/>
  <c r="N14" i="51" s="1"/>
  <c r="K14" i="51"/>
  <c r="G14" i="51"/>
  <c r="E14" i="51"/>
  <c r="W13" i="51"/>
  <c r="X13" i="51" s="1"/>
  <c r="Q13" i="51"/>
  <c r="P13" i="51"/>
  <c r="L13" i="51"/>
  <c r="M13" i="51" s="1"/>
  <c r="N13" i="51" s="1"/>
  <c r="K13" i="51"/>
  <c r="G13" i="51"/>
  <c r="E13" i="51"/>
  <c r="W12" i="51"/>
  <c r="X12" i="51" s="1"/>
  <c r="Q12" i="51"/>
  <c r="P12" i="51"/>
  <c r="L12" i="51"/>
  <c r="M12" i="51" s="1"/>
  <c r="N12" i="51" s="1"/>
  <c r="K12" i="51"/>
  <c r="G12" i="51"/>
  <c r="E12" i="51"/>
  <c r="W11" i="51"/>
  <c r="X11" i="51" s="1"/>
  <c r="Q11" i="51"/>
  <c r="P11" i="51"/>
  <c r="L11" i="51"/>
  <c r="M11" i="51" s="1"/>
  <c r="N11" i="51" s="1"/>
  <c r="K11" i="51"/>
  <c r="G11" i="51"/>
  <c r="E11" i="51"/>
  <c r="W10" i="51"/>
  <c r="X10" i="51" s="1"/>
  <c r="Q10" i="51"/>
  <c r="P10" i="51"/>
  <c r="L10" i="51"/>
  <c r="M10" i="51" s="1"/>
  <c r="N10" i="51" s="1"/>
  <c r="K10" i="51"/>
  <c r="G10" i="51"/>
  <c r="E10" i="51"/>
  <c r="W9" i="51"/>
  <c r="X9" i="51" s="1"/>
  <c r="Q9" i="51"/>
  <c r="P9" i="51"/>
  <c r="L9" i="51"/>
  <c r="M9" i="51" s="1"/>
  <c r="N9" i="51" s="1"/>
  <c r="K9" i="51"/>
  <c r="G9" i="51"/>
  <c r="E9" i="51"/>
  <c r="W8" i="51"/>
  <c r="X8" i="51" s="1"/>
  <c r="Q8" i="51"/>
  <c r="P8" i="51"/>
  <c r="L8" i="51"/>
  <c r="M8" i="51" s="1"/>
  <c r="N8" i="51" s="1"/>
  <c r="K8" i="51"/>
  <c r="G8" i="51"/>
  <c r="E8" i="51"/>
  <c r="W7" i="51"/>
  <c r="Q7" i="51"/>
  <c r="P7" i="51"/>
  <c r="L7" i="51"/>
  <c r="M7" i="51" s="1"/>
  <c r="N7" i="51" s="1"/>
  <c r="K7" i="51"/>
  <c r="G7" i="51"/>
  <c r="E7" i="51"/>
  <c r="W6" i="51"/>
  <c r="X6" i="51" s="1"/>
  <c r="Q6" i="51"/>
  <c r="P6" i="51"/>
  <c r="L6" i="51"/>
  <c r="M6" i="51" s="1"/>
  <c r="N6" i="51" s="1"/>
  <c r="K6" i="51"/>
  <c r="G6" i="51"/>
  <c r="E6" i="51"/>
  <c r="J103" i="49"/>
  <c r="F103" i="49"/>
  <c r="D103" i="49"/>
  <c r="J193" i="49"/>
  <c r="F193" i="49"/>
  <c r="W193" i="49" s="1"/>
  <c r="D193" i="49"/>
  <c r="E193" i="49" s="1"/>
  <c r="U237" i="49"/>
  <c r="T237" i="49"/>
  <c r="W114" i="50"/>
  <c r="X114" i="50" s="1"/>
  <c r="J114" i="49"/>
  <c r="F114" i="49"/>
  <c r="D114" i="49"/>
  <c r="K175" i="50"/>
  <c r="U176" i="50"/>
  <c r="K175" i="49"/>
  <c r="S416" i="49"/>
  <c r="U126" i="49"/>
  <c r="T126" i="49"/>
  <c r="S126" i="49"/>
  <c r="W260" i="50"/>
  <c r="X260" i="50" s="1"/>
  <c r="W261" i="50"/>
  <c r="X261" i="50" s="1"/>
  <c r="W262" i="50"/>
  <c r="X262" i="50" s="1"/>
  <c r="W263" i="50"/>
  <c r="X263" i="50" s="1"/>
  <c r="W193" i="50"/>
  <c r="W194" i="50"/>
  <c r="W115" i="50"/>
  <c r="X115" i="50"/>
  <c r="W116" i="50"/>
  <c r="X116" i="50" s="1"/>
  <c r="W6" i="49"/>
  <c r="W114" i="49"/>
  <c r="W261" i="49"/>
  <c r="W262" i="49"/>
  <c r="W263" i="49"/>
  <c r="X263" i="49" s="1"/>
  <c r="W264" i="49"/>
  <c r="W194" i="49"/>
  <c r="X194" i="49" s="1"/>
  <c r="S96" i="50"/>
  <c r="S43" i="50"/>
  <c r="S14" i="50"/>
  <c r="U126" i="50"/>
  <c r="T126" i="50"/>
  <c r="S126" i="50"/>
  <c r="C417" i="50"/>
  <c r="W416" i="50"/>
  <c r="X416" i="50"/>
  <c r="U416" i="50"/>
  <c r="T416" i="50"/>
  <c r="S416" i="50"/>
  <c r="Q416" i="50"/>
  <c r="P416" i="50"/>
  <c r="L416" i="50"/>
  <c r="M416" i="50" s="1"/>
  <c r="N416" i="50" s="1"/>
  <c r="W415" i="50"/>
  <c r="X415" i="50" s="1"/>
  <c r="Q415" i="50"/>
  <c r="P415" i="50"/>
  <c r="L415" i="50"/>
  <c r="M415" i="50"/>
  <c r="N415" i="50" s="1"/>
  <c r="K415" i="50"/>
  <c r="G415" i="50"/>
  <c r="E415" i="50"/>
  <c r="W414" i="50"/>
  <c r="X414" i="50"/>
  <c r="Q414" i="50"/>
  <c r="P414" i="50"/>
  <c r="L414" i="50"/>
  <c r="M414" i="50" s="1"/>
  <c r="N414" i="50" s="1"/>
  <c r="W413" i="50"/>
  <c r="X413" i="50"/>
  <c r="Q413" i="50"/>
  <c r="P413" i="50"/>
  <c r="L413" i="50"/>
  <c r="M413" i="50" s="1"/>
  <c r="N413" i="50" s="1"/>
  <c r="K413" i="50"/>
  <c r="G413" i="50"/>
  <c r="E413" i="50"/>
  <c r="W412" i="50"/>
  <c r="X412" i="50" s="1"/>
  <c r="Q412" i="50"/>
  <c r="P412" i="50"/>
  <c r="L412" i="50"/>
  <c r="M412" i="50" s="1"/>
  <c r="N412" i="50" s="1"/>
  <c r="W411" i="50"/>
  <c r="X411" i="50"/>
  <c r="U411" i="50"/>
  <c r="T411" i="50"/>
  <c r="S411" i="50"/>
  <c r="Q411" i="50"/>
  <c r="P411" i="50"/>
  <c r="L411" i="50"/>
  <c r="M411" i="50" s="1"/>
  <c r="N411" i="50" s="1"/>
  <c r="W410" i="50"/>
  <c r="X410" i="50" s="1"/>
  <c r="Q410" i="50"/>
  <c r="P410" i="50"/>
  <c r="L410" i="50"/>
  <c r="M410" i="50" s="1"/>
  <c r="N410" i="50" s="1"/>
  <c r="K410" i="50"/>
  <c r="G410" i="50"/>
  <c r="E410" i="50"/>
  <c r="W409" i="50"/>
  <c r="X409" i="50" s="1"/>
  <c r="Q409" i="50"/>
  <c r="P409" i="50"/>
  <c r="L409" i="50"/>
  <c r="M409" i="50" s="1"/>
  <c r="N409" i="50" s="1"/>
  <c r="K409" i="50"/>
  <c r="G409" i="50"/>
  <c r="E409" i="50"/>
  <c r="W408" i="50"/>
  <c r="X408" i="50" s="1"/>
  <c r="U408" i="50"/>
  <c r="T408" i="50"/>
  <c r="S408" i="50"/>
  <c r="Q408" i="50"/>
  <c r="P408" i="50"/>
  <c r="L408" i="50"/>
  <c r="M408" i="50"/>
  <c r="N408" i="50" s="1"/>
  <c r="K408" i="50"/>
  <c r="G408" i="50"/>
  <c r="E408" i="50"/>
  <c r="W407" i="50"/>
  <c r="X407" i="50" s="1"/>
  <c r="Q407" i="50"/>
  <c r="P407" i="50"/>
  <c r="L407" i="50"/>
  <c r="M407" i="50" s="1"/>
  <c r="N407" i="50" s="1"/>
  <c r="W406" i="50"/>
  <c r="X406" i="50" s="1"/>
  <c r="U406" i="50"/>
  <c r="T406" i="50"/>
  <c r="S406" i="50"/>
  <c r="Q406" i="50"/>
  <c r="P406" i="50"/>
  <c r="L406" i="50"/>
  <c r="M406" i="50" s="1"/>
  <c r="N406" i="50" s="1"/>
  <c r="K406" i="50"/>
  <c r="G406" i="50"/>
  <c r="E406" i="50"/>
  <c r="W405" i="50"/>
  <c r="X405" i="50" s="1"/>
  <c r="Q405" i="50"/>
  <c r="P405" i="50"/>
  <c r="L405" i="50"/>
  <c r="M405" i="50" s="1"/>
  <c r="N405" i="50" s="1"/>
  <c r="K405" i="50"/>
  <c r="G405" i="50"/>
  <c r="E405" i="50"/>
  <c r="W404" i="50"/>
  <c r="X404" i="50"/>
  <c r="Q404" i="50"/>
  <c r="P404" i="50"/>
  <c r="L404" i="50"/>
  <c r="M404" i="50" s="1"/>
  <c r="N404" i="50" s="1"/>
  <c r="K404" i="50"/>
  <c r="G404" i="50"/>
  <c r="E404" i="50"/>
  <c r="W403" i="50"/>
  <c r="X403" i="50" s="1"/>
  <c r="Q403" i="50"/>
  <c r="P403" i="50"/>
  <c r="L403" i="50"/>
  <c r="M403" i="50" s="1"/>
  <c r="N403" i="50"/>
  <c r="K403" i="50"/>
  <c r="G403" i="50"/>
  <c r="E403" i="50"/>
  <c r="W402" i="50"/>
  <c r="X402" i="50" s="1"/>
  <c r="Q402" i="50"/>
  <c r="P402" i="50"/>
  <c r="L402" i="50"/>
  <c r="M402" i="50"/>
  <c r="N402" i="50" s="1"/>
  <c r="K402" i="50"/>
  <c r="G402" i="50"/>
  <c r="E402" i="50"/>
  <c r="W401" i="50"/>
  <c r="X401" i="50"/>
  <c r="Q401" i="50"/>
  <c r="P401" i="50"/>
  <c r="L401" i="50"/>
  <c r="M401" i="50" s="1"/>
  <c r="N401" i="50" s="1"/>
  <c r="K401" i="50"/>
  <c r="G401" i="50"/>
  <c r="E401" i="50"/>
  <c r="W400" i="50"/>
  <c r="X400" i="50" s="1"/>
  <c r="Q400" i="50"/>
  <c r="P400" i="50"/>
  <c r="L400" i="50"/>
  <c r="M400" i="50" s="1"/>
  <c r="N400" i="50" s="1"/>
  <c r="K400" i="50"/>
  <c r="G400" i="50"/>
  <c r="E400" i="50"/>
  <c r="W399" i="50"/>
  <c r="X399" i="50" s="1"/>
  <c r="Q399" i="50"/>
  <c r="P399" i="50"/>
  <c r="L399" i="50"/>
  <c r="M399" i="50" s="1"/>
  <c r="N399" i="50" s="1"/>
  <c r="K399" i="50"/>
  <c r="G399" i="50"/>
  <c r="E399" i="50"/>
  <c r="W398" i="50"/>
  <c r="X398" i="50"/>
  <c r="Q398" i="50"/>
  <c r="P398" i="50"/>
  <c r="L398" i="50"/>
  <c r="M398" i="50" s="1"/>
  <c r="N398" i="50" s="1"/>
  <c r="K398" i="50"/>
  <c r="G398" i="50"/>
  <c r="E398" i="50"/>
  <c r="W397" i="50"/>
  <c r="X397" i="50" s="1"/>
  <c r="Q397" i="50"/>
  <c r="P397" i="50"/>
  <c r="L397" i="50"/>
  <c r="M397" i="50" s="1"/>
  <c r="N397" i="50"/>
  <c r="K397" i="50"/>
  <c r="G397" i="50"/>
  <c r="E397" i="50"/>
  <c r="W396" i="50"/>
  <c r="X396" i="50" s="1"/>
  <c r="Q396" i="50"/>
  <c r="P396" i="50"/>
  <c r="L396" i="50"/>
  <c r="M396" i="50" s="1"/>
  <c r="N396" i="50" s="1"/>
  <c r="K396" i="50"/>
  <c r="G396" i="50"/>
  <c r="E396" i="50"/>
  <c r="W395" i="50"/>
  <c r="X395" i="50"/>
  <c r="Q395" i="50"/>
  <c r="P395" i="50"/>
  <c r="L395" i="50"/>
  <c r="M395" i="50" s="1"/>
  <c r="N395" i="50" s="1"/>
  <c r="K395" i="50"/>
  <c r="G395" i="50"/>
  <c r="E395" i="50"/>
  <c r="W394" i="50"/>
  <c r="X394" i="50" s="1"/>
  <c r="Q394" i="50"/>
  <c r="P394" i="50"/>
  <c r="L394" i="50"/>
  <c r="M394" i="50" s="1"/>
  <c r="N394" i="50" s="1"/>
  <c r="K394" i="50"/>
  <c r="G394" i="50"/>
  <c r="E394" i="50"/>
  <c r="W393" i="50"/>
  <c r="X393" i="50" s="1"/>
  <c r="Q393" i="50"/>
  <c r="P393" i="50"/>
  <c r="L393" i="50"/>
  <c r="M393" i="50"/>
  <c r="N393" i="50" s="1"/>
  <c r="K393" i="50"/>
  <c r="G393" i="50"/>
  <c r="E393" i="50"/>
  <c r="W392" i="50"/>
  <c r="X392" i="50" s="1"/>
  <c r="Q392" i="50"/>
  <c r="P392" i="50"/>
  <c r="L392" i="50"/>
  <c r="M392" i="50" s="1"/>
  <c r="N392" i="50" s="1"/>
  <c r="K392" i="50"/>
  <c r="G392" i="50"/>
  <c r="E392" i="50"/>
  <c r="W391" i="50"/>
  <c r="X391" i="50" s="1"/>
  <c r="Q391" i="50"/>
  <c r="P391" i="50"/>
  <c r="L391" i="50"/>
  <c r="M391" i="50" s="1"/>
  <c r="N391" i="50" s="1"/>
  <c r="K391" i="50"/>
  <c r="G391" i="50"/>
  <c r="E391" i="50"/>
  <c r="W390" i="50"/>
  <c r="X390" i="50"/>
  <c r="U390" i="50"/>
  <c r="T390" i="50"/>
  <c r="S390" i="50"/>
  <c r="Q390" i="50"/>
  <c r="P390" i="50"/>
  <c r="L390" i="50"/>
  <c r="M390" i="50"/>
  <c r="N390" i="50" s="1"/>
  <c r="K390" i="50"/>
  <c r="G390" i="50"/>
  <c r="E390" i="50"/>
  <c r="W389" i="50"/>
  <c r="X389" i="50" s="1"/>
  <c r="Q389" i="50"/>
  <c r="P389" i="50"/>
  <c r="L389" i="50"/>
  <c r="M389" i="50" s="1"/>
  <c r="N389" i="50" s="1"/>
  <c r="W388" i="50"/>
  <c r="X388" i="50" s="1"/>
  <c r="Q388" i="50"/>
  <c r="P388" i="50"/>
  <c r="L388" i="50"/>
  <c r="M388" i="50" s="1"/>
  <c r="N388" i="50" s="1"/>
  <c r="K388" i="50"/>
  <c r="G388" i="50"/>
  <c r="E388" i="50"/>
  <c r="W387" i="50"/>
  <c r="X387" i="50" s="1"/>
  <c r="U387" i="50"/>
  <c r="T387" i="50"/>
  <c r="S387" i="50"/>
  <c r="Q387" i="50"/>
  <c r="P387" i="50"/>
  <c r="L387" i="50"/>
  <c r="M387" i="50" s="1"/>
  <c r="N387" i="50" s="1"/>
  <c r="K387" i="50"/>
  <c r="G387" i="50"/>
  <c r="E387" i="50"/>
  <c r="W386" i="50"/>
  <c r="X386" i="50" s="1"/>
  <c r="U386" i="50"/>
  <c r="T386" i="50"/>
  <c r="S386" i="50"/>
  <c r="Q386" i="50"/>
  <c r="P386" i="50"/>
  <c r="L386" i="50"/>
  <c r="M386" i="50" s="1"/>
  <c r="N386" i="50" s="1"/>
  <c r="K386" i="50"/>
  <c r="G386" i="50"/>
  <c r="E386" i="50"/>
  <c r="W385" i="50"/>
  <c r="X385" i="50" s="1"/>
  <c r="Q385" i="50"/>
  <c r="P385" i="50"/>
  <c r="L385" i="50"/>
  <c r="M385" i="50" s="1"/>
  <c r="N385" i="50" s="1"/>
  <c r="K385" i="50"/>
  <c r="G385" i="50"/>
  <c r="E385" i="50"/>
  <c r="W384" i="50"/>
  <c r="X384" i="50" s="1"/>
  <c r="U384" i="50"/>
  <c r="T384" i="50"/>
  <c r="S384" i="50"/>
  <c r="Q384" i="50"/>
  <c r="P384" i="50"/>
  <c r="L384" i="50"/>
  <c r="M384" i="50" s="1"/>
  <c r="N384" i="50" s="1"/>
  <c r="K384" i="50"/>
  <c r="G384" i="50"/>
  <c r="E384" i="50"/>
  <c r="W383" i="50"/>
  <c r="X383" i="50" s="1"/>
  <c r="Q383" i="50"/>
  <c r="P383" i="50"/>
  <c r="L383" i="50"/>
  <c r="M383" i="50" s="1"/>
  <c r="N383" i="50" s="1"/>
  <c r="K383" i="50"/>
  <c r="G383" i="50"/>
  <c r="E383" i="50"/>
  <c r="W382" i="50"/>
  <c r="X382" i="50" s="1"/>
  <c r="Q382" i="50"/>
  <c r="P382" i="50"/>
  <c r="L382" i="50"/>
  <c r="M382" i="50" s="1"/>
  <c r="N382" i="50" s="1"/>
  <c r="K382" i="50"/>
  <c r="G382" i="50"/>
  <c r="E382" i="50"/>
  <c r="W381" i="50"/>
  <c r="X381" i="50" s="1"/>
  <c r="Q381" i="50"/>
  <c r="P381" i="50"/>
  <c r="L381" i="50"/>
  <c r="M381" i="50"/>
  <c r="N381" i="50" s="1"/>
  <c r="K381" i="50"/>
  <c r="G381" i="50"/>
  <c r="E381" i="50"/>
  <c r="W380" i="50"/>
  <c r="X380" i="50" s="1"/>
  <c r="Q380" i="50"/>
  <c r="P380" i="50"/>
  <c r="L380" i="50"/>
  <c r="M380" i="50" s="1"/>
  <c r="N380" i="50" s="1"/>
  <c r="K380" i="50"/>
  <c r="G380" i="50"/>
  <c r="E380" i="50"/>
  <c r="W379" i="50"/>
  <c r="X379" i="50" s="1"/>
  <c r="U379" i="50"/>
  <c r="T379" i="50"/>
  <c r="S379" i="50"/>
  <c r="Q379" i="50"/>
  <c r="P379" i="50"/>
  <c r="L379" i="50"/>
  <c r="M379" i="50" s="1"/>
  <c r="N379" i="50"/>
  <c r="K379" i="50"/>
  <c r="G379" i="50"/>
  <c r="E379" i="50"/>
  <c r="W378" i="50"/>
  <c r="X378" i="50"/>
  <c r="Q378" i="50"/>
  <c r="P378" i="50"/>
  <c r="L378" i="50"/>
  <c r="M378" i="50"/>
  <c r="N378" i="50" s="1"/>
  <c r="K378" i="50"/>
  <c r="G378" i="50"/>
  <c r="E378" i="50"/>
  <c r="W377" i="50"/>
  <c r="X377" i="50"/>
  <c r="Q377" i="50"/>
  <c r="P377" i="50"/>
  <c r="L377" i="50"/>
  <c r="M377" i="50" s="1"/>
  <c r="N377" i="50" s="1"/>
  <c r="K377" i="50"/>
  <c r="G377" i="50"/>
  <c r="E377" i="50"/>
  <c r="W376" i="50"/>
  <c r="X376" i="50" s="1"/>
  <c r="U376" i="50"/>
  <c r="T376" i="50"/>
  <c r="S376" i="50"/>
  <c r="Q376" i="50"/>
  <c r="P376" i="50"/>
  <c r="L376" i="50"/>
  <c r="M376" i="50"/>
  <c r="N376" i="50"/>
  <c r="K376" i="50"/>
  <c r="G376" i="50"/>
  <c r="E376" i="50"/>
  <c r="W375" i="50"/>
  <c r="X375" i="50"/>
  <c r="Q375" i="50"/>
  <c r="P375" i="50"/>
  <c r="L375" i="50"/>
  <c r="M375" i="50" s="1"/>
  <c r="N375" i="50" s="1"/>
  <c r="K375" i="50"/>
  <c r="G375" i="50"/>
  <c r="E375" i="50"/>
  <c r="W374" i="50"/>
  <c r="X374" i="50"/>
  <c r="U374" i="50"/>
  <c r="T374" i="50"/>
  <c r="S374" i="50"/>
  <c r="Q374" i="50"/>
  <c r="P374" i="50"/>
  <c r="L374" i="50"/>
  <c r="M374" i="50" s="1"/>
  <c r="N374" i="50" s="1"/>
  <c r="K374" i="50"/>
  <c r="G374" i="50"/>
  <c r="E374" i="50"/>
  <c r="W373" i="50"/>
  <c r="X373" i="50" s="1"/>
  <c r="Q373" i="50"/>
  <c r="P373" i="50"/>
  <c r="L373" i="50"/>
  <c r="M373" i="50"/>
  <c r="N373" i="50" s="1"/>
  <c r="K373" i="50"/>
  <c r="G373" i="50"/>
  <c r="E373" i="50"/>
  <c r="W372" i="50"/>
  <c r="X372" i="50" s="1"/>
  <c r="Q372" i="50"/>
  <c r="P372" i="50"/>
  <c r="L372" i="50"/>
  <c r="M372" i="50"/>
  <c r="N372" i="50" s="1"/>
  <c r="K372" i="50"/>
  <c r="G372" i="50"/>
  <c r="E372" i="50"/>
  <c r="W371" i="50"/>
  <c r="X371" i="50"/>
  <c r="Q371" i="50"/>
  <c r="P371" i="50"/>
  <c r="L371" i="50"/>
  <c r="M371" i="50" s="1"/>
  <c r="N371" i="50" s="1"/>
  <c r="K371" i="50"/>
  <c r="G371" i="50"/>
  <c r="E371" i="50"/>
  <c r="W370" i="50"/>
  <c r="X370" i="50" s="1"/>
  <c r="Q370" i="50"/>
  <c r="P370" i="50"/>
  <c r="L370" i="50"/>
  <c r="M370" i="50" s="1"/>
  <c r="N370" i="50"/>
  <c r="K370" i="50"/>
  <c r="G370" i="50"/>
  <c r="E370" i="50"/>
  <c r="W369" i="50"/>
  <c r="X369" i="50"/>
  <c r="Q369" i="50"/>
  <c r="P369" i="50"/>
  <c r="L369" i="50"/>
  <c r="M369" i="50"/>
  <c r="N369" i="50" s="1"/>
  <c r="K369" i="50"/>
  <c r="G369" i="50"/>
  <c r="E369" i="50"/>
  <c r="W368" i="50"/>
  <c r="X368" i="50"/>
  <c r="Q368" i="50"/>
  <c r="P368" i="50"/>
  <c r="L368" i="50"/>
  <c r="M368" i="50" s="1"/>
  <c r="N368" i="50" s="1"/>
  <c r="K368" i="50"/>
  <c r="G368" i="50"/>
  <c r="E368" i="50"/>
  <c r="W367" i="50"/>
  <c r="X367" i="50" s="1"/>
  <c r="U367" i="50"/>
  <c r="T367" i="50"/>
  <c r="S367" i="50"/>
  <c r="Q367" i="50"/>
  <c r="P367" i="50"/>
  <c r="L367" i="50"/>
  <c r="M367" i="50"/>
  <c r="N367" i="50"/>
  <c r="K367" i="50"/>
  <c r="G367" i="50"/>
  <c r="E367" i="50"/>
  <c r="W366" i="50"/>
  <c r="X366" i="50"/>
  <c r="Q366" i="50"/>
  <c r="P366" i="50"/>
  <c r="L366" i="50"/>
  <c r="M366" i="50" s="1"/>
  <c r="N366" i="50" s="1"/>
  <c r="K366" i="50"/>
  <c r="G366" i="50"/>
  <c r="E366" i="50"/>
  <c r="W365" i="50"/>
  <c r="X365" i="50" s="1"/>
  <c r="Q365" i="50"/>
  <c r="P365" i="50"/>
  <c r="L365" i="50"/>
  <c r="M365" i="50" s="1"/>
  <c r="N365" i="50" s="1"/>
  <c r="K365" i="50"/>
  <c r="G365" i="50"/>
  <c r="E365" i="50"/>
  <c r="W364" i="50"/>
  <c r="X364" i="50" s="1"/>
  <c r="U364" i="50"/>
  <c r="T364" i="50"/>
  <c r="S364" i="50"/>
  <c r="Q364" i="50"/>
  <c r="P364" i="50"/>
  <c r="L364" i="50"/>
  <c r="M364" i="50" s="1"/>
  <c r="N364" i="50" s="1"/>
  <c r="K364" i="50"/>
  <c r="G364" i="50"/>
  <c r="E364" i="50"/>
  <c r="W363" i="50"/>
  <c r="X363" i="50" s="1"/>
  <c r="Q363" i="50"/>
  <c r="P363" i="50"/>
  <c r="L363" i="50"/>
  <c r="M363" i="50"/>
  <c r="N363" i="50" s="1"/>
  <c r="K363" i="50"/>
  <c r="G363" i="50"/>
  <c r="E363" i="50"/>
  <c r="W362" i="50"/>
  <c r="X362" i="50"/>
  <c r="Q362" i="50"/>
  <c r="P362" i="50"/>
  <c r="L362" i="50"/>
  <c r="M362" i="50" s="1"/>
  <c r="N362" i="50" s="1"/>
  <c r="K362" i="50"/>
  <c r="G362" i="50"/>
  <c r="E362" i="50"/>
  <c r="W361" i="50"/>
  <c r="X361" i="50" s="1"/>
  <c r="U361" i="50"/>
  <c r="T361" i="50"/>
  <c r="S361" i="50"/>
  <c r="Q361" i="50"/>
  <c r="P361" i="50"/>
  <c r="L361" i="50"/>
  <c r="M361" i="50" s="1"/>
  <c r="N361" i="50" s="1"/>
  <c r="K361" i="50"/>
  <c r="G361" i="50"/>
  <c r="E361" i="50"/>
  <c r="W360" i="50"/>
  <c r="X360" i="50" s="1"/>
  <c r="Q360" i="50"/>
  <c r="P360" i="50"/>
  <c r="L360" i="50"/>
  <c r="M360" i="50" s="1"/>
  <c r="N360" i="50" s="1"/>
  <c r="K360" i="50"/>
  <c r="G360" i="50"/>
  <c r="E360" i="50"/>
  <c r="W359" i="50"/>
  <c r="X359" i="50" s="1"/>
  <c r="Q359" i="50"/>
  <c r="P359" i="50"/>
  <c r="L359" i="50"/>
  <c r="M359" i="50" s="1"/>
  <c r="N359" i="50" s="1"/>
  <c r="K359" i="50"/>
  <c r="G359" i="50"/>
  <c r="E359" i="50"/>
  <c r="W358" i="50"/>
  <c r="X358" i="50" s="1"/>
  <c r="Q358" i="50"/>
  <c r="P358" i="50"/>
  <c r="L358" i="50"/>
  <c r="M358" i="50"/>
  <c r="N358" i="50" s="1"/>
  <c r="K358" i="50"/>
  <c r="G358" i="50"/>
  <c r="E358" i="50"/>
  <c r="W357" i="50"/>
  <c r="X357" i="50"/>
  <c r="Q357" i="50"/>
  <c r="P357" i="50"/>
  <c r="L357" i="50"/>
  <c r="M357" i="50" s="1"/>
  <c r="N357" i="50" s="1"/>
  <c r="K357" i="50"/>
  <c r="G357" i="50"/>
  <c r="E357" i="50"/>
  <c r="W356" i="50"/>
  <c r="X356" i="50" s="1"/>
  <c r="U356" i="50"/>
  <c r="T356" i="50"/>
  <c r="S356" i="50"/>
  <c r="Q356" i="50"/>
  <c r="P356" i="50"/>
  <c r="L356" i="50"/>
  <c r="M356" i="50" s="1"/>
  <c r="N356" i="50" s="1"/>
  <c r="K356" i="50"/>
  <c r="G356" i="50"/>
  <c r="E356" i="50"/>
  <c r="W355" i="50"/>
  <c r="X355" i="50" s="1"/>
  <c r="Q355" i="50"/>
  <c r="P355" i="50"/>
  <c r="L355" i="50"/>
  <c r="M355" i="50"/>
  <c r="N355" i="50" s="1"/>
  <c r="K355" i="50"/>
  <c r="G355" i="50"/>
  <c r="E355" i="50"/>
  <c r="W354" i="50"/>
  <c r="X354" i="50" s="1"/>
  <c r="Q354" i="50"/>
  <c r="P354" i="50"/>
  <c r="L354" i="50"/>
  <c r="M354" i="50"/>
  <c r="N354" i="50" s="1"/>
  <c r="K354" i="50"/>
  <c r="G354" i="50"/>
  <c r="E354" i="50"/>
  <c r="W353" i="50"/>
  <c r="X353" i="50" s="1"/>
  <c r="Q353" i="50"/>
  <c r="P353" i="50"/>
  <c r="L353" i="50"/>
  <c r="M353" i="50" s="1"/>
  <c r="N353" i="50" s="1"/>
  <c r="K353" i="50"/>
  <c r="G353" i="50"/>
  <c r="E353" i="50"/>
  <c r="W352" i="50"/>
  <c r="X352" i="50" s="1"/>
  <c r="Q352" i="50"/>
  <c r="P352" i="50"/>
  <c r="L352" i="50"/>
  <c r="M352" i="50" s="1"/>
  <c r="N352" i="50"/>
  <c r="K352" i="50"/>
  <c r="G352" i="50"/>
  <c r="E352" i="50"/>
  <c r="W351" i="50"/>
  <c r="X351" i="50"/>
  <c r="Q351" i="50"/>
  <c r="P351" i="50"/>
  <c r="L351" i="50"/>
  <c r="M351" i="50" s="1"/>
  <c r="N351" i="50" s="1"/>
  <c r="K351" i="50"/>
  <c r="G351" i="50"/>
  <c r="E351" i="50"/>
  <c r="W350" i="50"/>
  <c r="X350" i="50" s="1"/>
  <c r="Q350" i="50"/>
  <c r="P350" i="50"/>
  <c r="L350" i="50"/>
  <c r="M350" i="50" s="1"/>
  <c r="N350" i="50" s="1"/>
  <c r="K350" i="50"/>
  <c r="G350" i="50"/>
  <c r="E350" i="50"/>
  <c r="W349" i="50"/>
  <c r="X349" i="50" s="1"/>
  <c r="Q349" i="50"/>
  <c r="P349" i="50"/>
  <c r="L349" i="50"/>
  <c r="M349" i="50"/>
  <c r="N349" i="50" s="1"/>
  <c r="K349" i="50"/>
  <c r="G349" i="50"/>
  <c r="E349" i="50"/>
  <c r="W348" i="50"/>
  <c r="X348" i="50" s="1"/>
  <c r="Q348" i="50"/>
  <c r="P348" i="50"/>
  <c r="L348" i="50"/>
  <c r="M348" i="50"/>
  <c r="N348" i="50" s="1"/>
  <c r="K348" i="50"/>
  <c r="G348" i="50"/>
  <c r="E348" i="50"/>
  <c r="W347" i="50"/>
  <c r="X347" i="50" s="1"/>
  <c r="Q347" i="50"/>
  <c r="P347" i="50"/>
  <c r="L347" i="50"/>
  <c r="M347" i="50" s="1"/>
  <c r="N347" i="50" s="1"/>
  <c r="K347" i="50"/>
  <c r="G347" i="50"/>
  <c r="E347" i="50"/>
  <c r="W346" i="50"/>
  <c r="X346" i="50" s="1"/>
  <c r="Q346" i="50"/>
  <c r="P346" i="50"/>
  <c r="L346" i="50"/>
  <c r="M346" i="50" s="1"/>
  <c r="N346" i="50" s="1"/>
  <c r="K346" i="50"/>
  <c r="G346" i="50"/>
  <c r="E346" i="50"/>
  <c r="W345" i="50"/>
  <c r="X345" i="50"/>
  <c r="Q345" i="50"/>
  <c r="P345" i="50"/>
  <c r="L345" i="50"/>
  <c r="M345" i="50"/>
  <c r="N345" i="50" s="1"/>
  <c r="K345" i="50"/>
  <c r="G345" i="50"/>
  <c r="E345" i="50"/>
  <c r="W344" i="50"/>
  <c r="X344" i="50" s="1"/>
  <c r="Q344" i="50"/>
  <c r="P344" i="50"/>
  <c r="L344" i="50"/>
  <c r="M344" i="50" s="1"/>
  <c r="N344" i="50" s="1"/>
  <c r="K344" i="50"/>
  <c r="G344" i="50"/>
  <c r="E344" i="50"/>
  <c r="W343" i="50"/>
  <c r="X343" i="50" s="1"/>
  <c r="Q343" i="50"/>
  <c r="P343" i="50"/>
  <c r="L343" i="50"/>
  <c r="M343" i="50"/>
  <c r="N343" i="50" s="1"/>
  <c r="K343" i="50"/>
  <c r="G343" i="50"/>
  <c r="E343" i="50"/>
  <c r="W342" i="50"/>
  <c r="X342" i="50" s="1"/>
  <c r="Q342" i="50"/>
  <c r="P342" i="50"/>
  <c r="L342" i="50"/>
  <c r="M342" i="50" s="1"/>
  <c r="N342" i="50" s="1"/>
  <c r="K342" i="50"/>
  <c r="G342" i="50"/>
  <c r="E342" i="50"/>
  <c r="W341" i="50"/>
  <c r="X341" i="50" s="1"/>
  <c r="Q341" i="50"/>
  <c r="P341" i="50"/>
  <c r="L341" i="50"/>
  <c r="M341" i="50" s="1"/>
  <c r="N341" i="50" s="1"/>
  <c r="K341" i="50"/>
  <c r="G341" i="50"/>
  <c r="E341" i="50"/>
  <c r="W340" i="50"/>
  <c r="X340" i="50" s="1"/>
  <c r="Q340" i="50"/>
  <c r="P340" i="50"/>
  <c r="L340" i="50"/>
  <c r="M340" i="50" s="1"/>
  <c r="N340" i="50" s="1"/>
  <c r="K340" i="50"/>
  <c r="G340" i="50"/>
  <c r="E340" i="50"/>
  <c r="W339" i="50"/>
  <c r="X339" i="50" s="1"/>
  <c r="U339" i="50"/>
  <c r="T339" i="50"/>
  <c r="S339" i="50"/>
  <c r="Q339" i="50"/>
  <c r="P339" i="50"/>
  <c r="L339" i="50"/>
  <c r="M339" i="50"/>
  <c r="N339" i="50" s="1"/>
  <c r="K339" i="50"/>
  <c r="G339" i="50"/>
  <c r="E339" i="50"/>
  <c r="W338" i="50"/>
  <c r="X338" i="50" s="1"/>
  <c r="Q338" i="50"/>
  <c r="P338" i="50"/>
  <c r="L338" i="50"/>
  <c r="M338" i="50" s="1"/>
  <c r="N338" i="50" s="1"/>
  <c r="K338" i="50"/>
  <c r="G338" i="50"/>
  <c r="E338" i="50"/>
  <c r="W337" i="50"/>
  <c r="X337" i="50" s="1"/>
  <c r="Q337" i="50"/>
  <c r="P337" i="50"/>
  <c r="L337" i="50"/>
  <c r="M337" i="50" s="1"/>
  <c r="N337" i="50" s="1"/>
  <c r="K337" i="50"/>
  <c r="G337" i="50"/>
  <c r="E337" i="50"/>
  <c r="W336" i="50"/>
  <c r="X336" i="50" s="1"/>
  <c r="Q336" i="50"/>
  <c r="P336" i="50"/>
  <c r="L336" i="50"/>
  <c r="M336" i="50" s="1"/>
  <c r="N336" i="50" s="1"/>
  <c r="K336" i="50"/>
  <c r="G336" i="50"/>
  <c r="E336" i="50"/>
  <c r="W335" i="50"/>
  <c r="X335" i="50" s="1"/>
  <c r="Q335" i="50"/>
  <c r="P335" i="50"/>
  <c r="L335" i="50"/>
  <c r="M335" i="50" s="1"/>
  <c r="N335" i="50" s="1"/>
  <c r="K335" i="50"/>
  <c r="G335" i="50"/>
  <c r="E335" i="50"/>
  <c r="W334" i="50"/>
  <c r="X334" i="50" s="1"/>
  <c r="Q334" i="50"/>
  <c r="P334" i="50"/>
  <c r="L334" i="50"/>
  <c r="M334" i="50" s="1"/>
  <c r="N334" i="50" s="1"/>
  <c r="K334" i="50"/>
  <c r="G334" i="50"/>
  <c r="E334" i="50"/>
  <c r="W333" i="50"/>
  <c r="X333" i="50"/>
  <c r="Q333" i="50"/>
  <c r="P333" i="50"/>
  <c r="L333" i="50"/>
  <c r="M333" i="50"/>
  <c r="N333" i="50" s="1"/>
  <c r="K333" i="50"/>
  <c r="G333" i="50"/>
  <c r="E333" i="50"/>
  <c r="W332" i="50"/>
  <c r="X332" i="50" s="1"/>
  <c r="Q332" i="50"/>
  <c r="P332" i="50"/>
  <c r="L332" i="50"/>
  <c r="M332" i="50" s="1"/>
  <c r="N332" i="50" s="1"/>
  <c r="K332" i="50"/>
  <c r="G332" i="50"/>
  <c r="E332" i="50"/>
  <c r="W331" i="50"/>
  <c r="X331" i="50" s="1"/>
  <c r="Q331" i="50"/>
  <c r="P331" i="50"/>
  <c r="L331" i="50"/>
  <c r="M331" i="50" s="1"/>
  <c r="N331" i="50"/>
  <c r="K331" i="50"/>
  <c r="G331" i="50"/>
  <c r="E331" i="50"/>
  <c r="W330" i="50"/>
  <c r="X330" i="50"/>
  <c r="Q330" i="50"/>
  <c r="P330" i="50"/>
  <c r="L330" i="50"/>
  <c r="M330" i="50" s="1"/>
  <c r="N330" i="50" s="1"/>
  <c r="K330" i="50"/>
  <c r="G330" i="50"/>
  <c r="E330" i="50"/>
  <c r="W329" i="50"/>
  <c r="X329" i="50"/>
  <c r="Q329" i="50"/>
  <c r="P329" i="50"/>
  <c r="L329" i="50"/>
  <c r="M329" i="50" s="1"/>
  <c r="N329" i="50" s="1"/>
  <c r="K329" i="50"/>
  <c r="G329" i="50"/>
  <c r="E329" i="50"/>
  <c r="W328" i="50"/>
  <c r="X328" i="50"/>
  <c r="Q328" i="50"/>
  <c r="P328" i="50"/>
  <c r="L328" i="50"/>
  <c r="M328" i="50"/>
  <c r="N328" i="50" s="1"/>
  <c r="K328" i="50"/>
  <c r="G328" i="50"/>
  <c r="E328" i="50"/>
  <c r="W327" i="50"/>
  <c r="X327" i="50"/>
  <c r="Q327" i="50"/>
  <c r="P327" i="50"/>
  <c r="L327" i="50"/>
  <c r="M327" i="50" s="1"/>
  <c r="N327" i="50" s="1"/>
  <c r="K327" i="50"/>
  <c r="G327" i="50"/>
  <c r="E327" i="50"/>
  <c r="W326" i="50"/>
  <c r="X326" i="50" s="1"/>
  <c r="Q326" i="50"/>
  <c r="P326" i="50"/>
  <c r="L326" i="50"/>
  <c r="M326" i="50" s="1"/>
  <c r="N326" i="50" s="1"/>
  <c r="K326" i="50"/>
  <c r="G326" i="50"/>
  <c r="E326" i="50"/>
  <c r="W325" i="50"/>
  <c r="X325" i="50" s="1"/>
  <c r="Q325" i="50"/>
  <c r="P325" i="50"/>
  <c r="L325" i="50"/>
  <c r="M325" i="50"/>
  <c r="N325" i="50"/>
  <c r="K325" i="50"/>
  <c r="G325" i="50"/>
  <c r="E325" i="50"/>
  <c r="W324" i="50"/>
  <c r="X324" i="50"/>
  <c r="Q324" i="50"/>
  <c r="P324" i="50"/>
  <c r="L324" i="50"/>
  <c r="M324" i="50" s="1"/>
  <c r="N324" i="50" s="1"/>
  <c r="K324" i="50"/>
  <c r="G324" i="50"/>
  <c r="E324" i="50"/>
  <c r="W323" i="50"/>
  <c r="X323" i="50"/>
  <c r="Q323" i="50"/>
  <c r="P323" i="50"/>
  <c r="L323" i="50"/>
  <c r="M323" i="50" s="1"/>
  <c r="N323" i="50" s="1"/>
  <c r="K323" i="50"/>
  <c r="G323" i="50"/>
  <c r="E323" i="50"/>
  <c r="W322" i="50"/>
  <c r="X322" i="50" s="1"/>
  <c r="Q322" i="50"/>
  <c r="P322" i="50"/>
  <c r="L322" i="50"/>
  <c r="M322" i="50" s="1"/>
  <c r="N322" i="50" s="1"/>
  <c r="K322" i="50"/>
  <c r="G322" i="50"/>
  <c r="E322" i="50"/>
  <c r="W321" i="50"/>
  <c r="X321" i="50" s="1"/>
  <c r="Q321" i="50"/>
  <c r="P321" i="50"/>
  <c r="L321" i="50"/>
  <c r="M321" i="50"/>
  <c r="N321" i="50" s="1"/>
  <c r="K321" i="50"/>
  <c r="G321" i="50"/>
  <c r="E321" i="50"/>
  <c r="W320" i="50"/>
  <c r="X320" i="50" s="1"/>
  <c r="Q320" i="50"/>
  <c r="P320" i="50"/>
  <c r="L320" i="50"/>
  <c r="M320" i="50" s="1"/>
  <c r="N320" i="50" s="1"/>
  <c r="K320" i="50"/>
  <c r="G320" i="50"/>
  <c r="E320" i="50"/>
  <c r="W319" i="50"/>
  <c r="X319" i="50" s="1"/>
  <c r="Q319" i="50"/>
  <c r="P319" i="50"/>
  <c r="L319" i="50"/>
  <c r="M319" i="50"/>
  <c r="N319" i="50" s="1"/>
  <c r="K319" i="50"/>
  <c r="G319" i="50"/>
  <c r="E319" i="50"/>
  <c r="W318" i="50"/>
  <c r="X318" i="50" s="1"/>
  <c r="Q318" i="50"/>
  <c r="P318" i="50"/>
  <c r="L318" i="50"/>
  <c r="M318" i="50" s="1"/>
  <c r="N318" i="50" s="1"/>
  <c r="K318" i="50"/>
  <c r="G318" i="50"/>
  <c r="E318" i="50"/>
  <c r="W317" i="50"/>
  <c r="X317" i="50" s="1"/>
  <c r="Q317" i="50"/>
  <c r="P317" i="50"/>
  <c r="L317" i="50"/>
  <c r="M317" i="50" s="1"/>
  <c r="N317" i="50" s="1"/>
  <c r="K317" i="50"/>
  <c r="G317" i="50"/>
  <c r="E317" i="50"/>
  <c r="W316" i="50"/>
  <c r="X316" i="50" s="1"/>
  <c r="Q316" i="50"/>
  <c r="P316" i="50"/>
  <c r="L316" i="50"/>
  <c r="M316" i="50"/>
  <c r="N316" i="50"/>
  <c r="K316" i="50"/>
  <c r="G316" i="50"/>
  <c r="E316" i="50"/>
  <c r="W315" i="50"/>
  <c r="X315" i="50"/>
  <c r="U315" i="50"/>
  <c r="T315" i="50"/>
  <c r="S315" i="50"/>
  <c r="Q315" i="50"/>
  <c r="P315" i="50"/>
  <c r="L315" i="50"/>
  <c r="M315" i="50"/>
  <c r="N315" i="50" s="1"/>
  <c r="K315" i="50"/>
  <c r="G315" i="50"/>
  <c r="E315" i="50"/>
  <c r="W314" i="50"/>
  <c r="X314" i="50" s="1"/>
  <c r="Q314" i="50"/>
  <c r="P314" i="50"/>
  <c r="L314" i="50"/>
  <c r="M314" i="50" s="1"/>
  <c r="N314" i="50" s="1"/>
  <c r="K314" i="50"/>
  <c r="G314" i="50"/>
  <c r="E314" i="50"/>
  <c r="W313" i="50"/>
  <c r="X313" i="50" s="1"/>
  <c r="Q313" i="50"/>
  <c r="P313" i="50"/>
  <c r="L313" i="50"/>
  <c r="M313" i="50" s="1"/>
  <c r="N313" i="50" s="1"/>
  <c r="K313" i="50"/>
  <c r="G313" i="50"/>
  <c r="E313" i="50"/>
  <c r="W312" i="50"/>
  <c r="X312" i="50"/>
  <c r="Q312" i="50"/>
  <c r="P312" i="50"/>
  <c r="L312" i="50"/>
  <c r="M312" i="50"/>
  <c r="N312" i="50" s="1"/>
  <c r="K312" i="50"/>
  <c r="G312" i="50"/>
  <c r="E312" i="50"/>
  <c r="W311" i="50"/>
  <c r="X311" i="50"/>
  <c r="Q311" i="50"/>
  <c r="P311" i="50"/>
  <c r="L311" i="50"/>
  <c r="M311" i="50" s="1"/>
  <c r="N311" i="50" s="1"/>
  <c r="K311" i="50"/>
  <c r="G311" i="50"/>
  <c r="E311" i="50"/>
  <c r="W310" i="50"/>
  <c r="X310" i="50" s="1"/>
  <c r="Q310" i="50"/>
  <c r="P310" i="50"/>
  <c r="L310" i="50"/>
  <c r="M310" i="50" s="1"/>
  <c r="N310" i="50" s="1"/>
  <c r="K310" i="50"/>
  <c r="G310" i="50"/>
  <c r="E310" i="50"/>
  <c r="W309" i="50"/>
  <c r="X309" i="50" s="1"/>
  <c r="U309" i="50"/>
  <c r="T309" i="50"/>
  <c r="S309" i="50"/>
  <c r="Q309" i="50"/>
  <c r="P309" i="50"/>
  <c r="L309" i="50"/>
  <c r="M309" i="50" s="1"/>
  <c r="N309" i="50" s="1"/>
  <c r="K309" i="50"/>
  <c r="G309" i="50"/>
  <c r="E309" i="50"/>
  <c r="W308" i="50"/>
  <c r="X308" i="50" s="1"/>
  <c r="Q308" i="50"/>
  <c r="P308" i="50"/>
  <c r="L308" i="50"/>
  <c r="M308" i="50" s="1"/>
  <c r="N308" i="50" s="1"/>
  <c r="K308" i="50"/>
  <c r="G308" i="50"/>
  <c r="E308" i="50"/>
  <c r="W307" i="50"/>
  <c r="X307" i="50" s="1"/>
  <c r="Q307" i="50"/>
  <c r="P307" i="50"/>
  <c r="L307" i="50"/>
  <c r="M307" i="50" s="1"/>
  <c r="N307" i="50" s="1"/>
  <c r="K307" i="50"/>
  <c r="G307" i="50"/>
  <c r="E307" i="50"/>
  <c r="W306" i="50"/>
  <c r="X306" i="50" s="1"/>
  <c r="Q306" i="50"/>
  <c r="P306" i="50"/>
  <c r="L306" i="50"/>
  <c r="M306" i="50" s="1"/>
  <c r="N306" i="50" s="1"/>
  <c r="K306" i="50"/>
  <c r="G306" i="50"/>
  <c r="E306" i="50"/>
  <c r="W305" i="50"/>
  <c r="X305" i="50" s="1"/>
  <c r="Q305" i="50"/>
  <c r="P305" i="50"/>
  <c r="L305" i="50"/>
  <c r="M305" i="50" s="1"/>
  <c r="N305" i="50" s="1"/>
  <c r="K305" i="50"/>
  <c r="G305" i="50"/>
  <c r="E305" i="50"/>
  <c r="W304" i="50"/>
  <c r="X304" i="50" s="1"/>
  <c r="Q304" i="50"/>
  <c r="P304" i="50"/>
  <c r="L304" i="50"/>
  <c r="M304" i="50"/>
  <c r="N304" i="50" s="1"/>
  <c r="K304" i="50"/>
  <c r="G304" i="50"/>
  <c r="E304" i="50"/>
  <c r="W303" i="50"/>
  <c r="X303" i="50" s="1"/>
  <c r="Q303" i="50"/>
  <c r="P303" i="50"/>
  <c r="L303" i="50"/>
  <c r="M303" i="50" s="1"/>
  <c r="N303" i="50" s="1"/>
  <c r="K303" i="50"/>
  <c r="G303" i="50"/>
  <c r="E303" i="50"/>
  <c r="W302" i="50"/>
  <c r="X302" i="50"/>
  <c r="Q302" i="50"/>
  <c r="P302" i="50"/>
  <c r="L302" i="50"/>
  <c r="M302" i="50" s="1"/>
  <c r="N302" i="50" s="1"/>
  <c r="K302" i="50"/>
  <c r="G302" i="50"/>
  <c r="E302" i="50"/>
  <c r="W301" i="50"/>
  <c r="X301" i="50" s="1"/>
  <c r="Q301" i="50"/>
  <c r="P301" i="50"/>
  <c r="L301" i="50"/>
  <c r="M301" i="50" s="1"/>
  <c r="N301" i="50" s="1"/>
  <c r="K301" i="50"/>
  <c r="G301" i="50"/>
  <c r="E301" i="50"/>
  <c r="W300" i="50"/>
  <c r="X300" i="50" s="1"/>
  <c r="Q300" i="50"/>
  <c r="P300" i="50"/>
  <c r="L300" i="50"/>
  <c r="M300" i="50" s="1"/>
  <c r="N300" i="50" s="1"/>
  <c r="K300" i="50"/>
  <c r="G300" i="50"/>
  <c r="E300" i="50"/>
  <c r="W299" i="50"/>
  <c r="X299" i="50" s="1"/>
  <c r="Q299" i="50"/>
  <c r="P299" i="50"/>
  <c r="L299" i="50"/>
  <c r="M299" i="50" s="1"/>
  <c r="N299" i="50" s="1"/>
  <c r="K299" i="50"/>
  <c r="G299" i="50"/>
  <c r="E299" i="50"/>
  <c r="W298" i="50"/>
  <c r="X298" i="50" s="1"/>
  <c r="Q298" i="50"/>
  <c r="P298" i="50"/>
  <c r="L298" i="50"/>
  <c r="M298" i="50"/>
  <c r="N298" i="50" s="1"/>
  <c r="K298" i="50"/>
  <c r="G298" i="50"/>
  <c r="E298" i="50"/>
  <c r="W297" i="50"/>
  <c r="X297" i="50" s="1"/>
  <c r="Q297" i="50"/>
  <c r="P297" i="50"/>
  <c r="L297" i="50"/>
  <c r="M297" i="50" s="1"/>
  <c r="N297" i="50" s="1"/>
  <c r="K297" i="50"/>
  <c r="G297" i="50"/>
  <c r="E297" i="50"/>
  <c r="W296" i="50"/>
  <c r="X296" i="50"/>
  <c r="Q296" i="50"/>
  <c r="P296" i="50"/>
  <c r="L296" i="50"/>
  <c r="M296" i="50" s="1"/>
  <c r="N296" i="50" s="1"/>
  <c r="K296" i="50"/>
  <c r="G296" i="50"/>
  <c r="E296" i="50"/>
  <c r="W295" i="50"/>
  <c r="X295" i="50" s="1"/>
  <c r="Q295" i="50"/>
  <c r="P295" i="50"/>
  <c r="L295" i="50"/>
  <c r="M295" i="50" s="1"/>
  <c r="N295" i="50" s="1"/>
  <c r="K295" i="50"/>
  <c r="G295" i="50"/>
  <c r="E295" i="50"/>
  <c r="W294" i="50"/>
  <c r="X294" i="50" s="1"/>
  <c r="Q294" i="50"/>
  <c r="P294" i="50"/>
  <c r="L294" i="50"/>
  <c r="M294" i="50"/>
  <c r="N294" i="50" s="1"/>
  <c r="K294" i="50"/>
  <c r="G294" i="50"/>
  <c r="E294" i="50"/>
  <c r="W293" i="50"/>
  <c r="X293" i="50" s="1"/>
  <c r="Q293" i="50"/>
  <c r="P293" i="50"/>
  <c r="L293" i="50"/>
  <c r="M293" i="50" s="1"/>
  <c r="N293" i="50" s="1"/>
  <c r="K293" i="50"/>
  <c r="G293" i="50"/>
  <c r="E293" i="50"/>
  <c r="W292" i="50"/>
  <c r="X292" i="50" s="1"/>
  <c r="Q292" i="50"/>
  <c r="P292" i="50"/>
  <c r="L292" i="50"/>
  <c r="M292" i="50"/>
  <c r="N292" i="50" s="1"/>
  <c r="K292" i="50"/>
  <c r="G292" i="50"/>
  <c r="E292" i="50"/>
  <c r="W291" i="50"/>
  <c r="X291" i="50"/>
  <c r="Q291" i="50"/>
  <c r="P291" i="50"/>
  <c r="L291" i="50"/>
  <c r="M291" i="50" s="1"/>
  <c r="N291" i="50" s="1"/>
  <c r="K291" i="50"/>
  <c r="G291" i="50"/>
  <c r="E291" i="50"/>
  <c r="W290" i="50"/>
  <c r="X290" i="50"/>
  <c r="Q290" i="50"/>
  <c r="P290" i="50"/>
  <c r="L290" i="50"/>
  <c r="M290" i="50" s="1"/>
  <c r="N290" i="50"/>
  <c r="K290" i="50"/>
  <c r="G290" i="50"/>
  <c r="E290" i="50"/>
  <c r="W289" i="50"/>
  <c r="X289" i="50" s="1"/>
  <c r="Q289" i="50"/>
  <c r="P289" i="50"/>
  <c r="L289" i="50"/>
  <c r="M289" i="50"/>
  <c r="N289" i="50" s="1"/>
  <c r="K289" i="50"/>
  <c r="G289" i="50"/>
  <c r="E289" i="50"/>
  <c r="W288" i="50"/>
  <c r="X288" i="50" s="1"/>
  <c r="Q288" i="50"/>
  <c r="P288" i="50"/>
  <c r="L288" i="50"/>
  <c r="M288" i="50" s="1"/>
  <c r="N288" i="50" s="1"/>
  <c r="K288" i="50"/>
  <c r="G288" i="50"/>
  <c r="E288" i="50"/>
  <c r="W287" i="50"/>
  <c r="X287" i="50" s="1"/>
  <c r="Q287" i="50"/>
  <c r="P287" i="50"/>
  <c r="L287" i="50"/>
  <c r="M287" i="50"/>
  <c r="N287" i="50" s="1"/>
  <c r="K287" i="50"/>
  <c r="G287" i="50"/>
  <c r="E287" i="50"/>
  <c r="W286" i="50"/>
  <c r="X286" i="50" s="1"/>
  <c r="Q286" i="50"/>
  <c r="P286" i="50"/>
  <c r="L286" i="50"/>
  <c r="M286" i="50" s="1"/>
  <c r="N286" i="50" s="1"/>
  <c r="K286" i="50"/>
  <c r="G286" i="50"/>
  <c r="E286" i="50"/>
  <c r="W285" i="50"/>
  <c r="X285" i="50" s="1"/>
  <c r="Q285" i="50"/>
  <c r="P285" i="50"/>
  <c r="L285" i="50"/>
  <c r="M285" i="50" s="1"/>
  <c r="N285" i="50" s="1"/>
  <c r="K285" i="50"/>
  <c r="G285" i="50"/>
  <c r="E285" i="50"/>
  <c r="W284" i="50"/>
  <c r="X284" i="50"/>
  <c r="Q284" i="50"/>
  <c r="P284" i="50"/>
  <c r="L284" i="50"/>
  <c r="M284" i="50" s="1"/>
  <c r="N284" i="50" s="1"/>
  <c r="K284" i="50"/>
  <c r="G284" i="50"/>
  <c r="E284" i="50"/>
  <c r="W283" i="50"/>
  <c r="X283" i="50" s="1"/>
  <c r="Q283" i="50"/>
  <c r="P283" i="50"/>
  <c r="L283" i="50"/>
  <c r="M283" i="50" s="1"/>
  <c r="N283" i="50" s="1"/>
  <c r="K283" i="50"/>
  <c r="G283" i="50"/>
  <c r="E283" i="50"/>
  <c r="W282" i="50"/>
  <c r="X282" i="50" s="1"/>
  <c r="Q282" i="50"/>
  <c r="P282" i="50"/>
  <c r="L282" i="50"/>
  <c r="M282" i="50" s="1"/>
  <c r="N282" i="50" s="1"/>
  <c r="K282" i="50"/>
  <c r="G282" i="50"/>
  <c r="E282" i="50"/>
  <c r="W281" i="50"/>
  <c r="X281" i="50" s="1"/>
  <c r="Q281" i="50"/>
  <c r="P281" i="50"/>
  <c r="L281" i="50"/>
  <c r="M281" i="50" s="1"/>
  <c r="N281" i="50" s="1"/>
  <c r="K281" i="50"/>
  <c r="G281" i="50"/>
  <c r="E281" i="50"/>
  <c r="W280" i="50"/>
  <c r="X280" i="50" s="1"/>
  <c r="Q280" i="50"/>
  <c r="P280" i="50"/>
  <c r="L280" i="50"/>
  <c r="M280" i="50"/>
  <c r="N280" i="50" s="1"/>
  <c r="K280" i="50"/>
  <c r="G280" i="50"/>
  <c r="E280" i="50"/>
  <c r="W279" i="50"/>
  <c r="X279" i="50" s="1"/>
  <c r="Q279" i="50"/>
  <c r="P279" i="50"/>
  <c r="L279" i="50"/>
  <c r="M279" i="50" s="1"/>
  <c r="N279" i="50" s="1"/>
  <c r="K279" i="50"/>
  <c r="G279" i="50"/>
  <c r="E279" i="50"/>
  <c r="W278" i="50"/>
  <c r="X278" i="50" s="1"/>
  <c r="Q278" i="50"/>
  <c r="P278" i="50"/>
  <c r="L278" i="50"/>
  <c r="M278" i="50" s="1"/>
  <c r="N278" i="50" s="1"/>
  <c r="W277" i="50"/>
  <c r="X277" i="50" s="1"/>
  <c r="Q277" i="50"/>
  <c r="P277" i="50"/>
  <c r="L277" i="50"/>
  <c r="M277" i="50" s="1"/>
  <c r="N277" i="50" s="1"/>
  <c r="K277" i="50"/>
  <c r="G277" i="50"/>
  <c r="E277" i="50"/>
  <c r="W276" i="50"/>
  <c r="X276" i="50" s="1"/>
  <c r="Q276" i="50"/>
  <c r="P276" i="50"/>
  <c r="L276" i="50"/>
  <c r="M276" i="50" s="1"/>
  <c r="N276" i="50" s="1"/>
  <c r="W275" i="50"/>
  <c r="X275" i="50"/>
  <c r="Q275" i="50"/>
  <c r="P275" i="50"/>
  <c r="L275" i="50"/>
  <c r="M275" i="50" s="1"/>
  <c r="N275" i="50" s="1"/>
  <c r="K275" i="50"/>
  <c r="G275" i="50"/>
  <c r="E275" i="50"/>
  <c r="W274" i="50"/>
  <c r="X274" i="50" s="1"/>
  <c r="Q274" i="50"/>
  <c r="P274" i="50"/>
  <c r="L274" i="50"/>
  <c r="M274" i="50" s="1"/>
  <c r="N274" i="50" s="1"/>
  <c r="K274" i="50"/>
  <c r="G274" i="50"/>
  <c r="E274" i="50"/>
  <c r="W273" i="50"/>
  <c r="X273" i="50" s="1"/>
  <c r="Q273" i="50"/>
  <c r="P273" i="50"/>
  <c r="L273" i="50"/>
  <c r="M273" i="50"/>
  <c r="N273" i="50" s="1"/>
  <c r="K273" i="50"/>
  <c r="G273" i="50"/>
  <c r="E273" i="50"/>
  <c r="W272" i="50"/>
  <c r="X272" i="50" s="1"/>
  <c r="Q272" i="50"/>
  <c r="P272" i="50"/>
  <c r="L272" i="50"/>
  <c r="M272" i="50" s="1"/>
  <c r="N272" i="50" s="1"/>
  <c r="K272" i="50"/>
  <c r="G272" i="50"/>
  <c r="E272" i="50"/>
  <c r="W271" i="50"/>
  <c r="X271" i="50"/>
  <c r="Q271" i="50"/>
  <c r="P271" i="50"/>
  <c r="L271" i="50"/>
  <c r="M271" i="50" s="1"/>
  <c r="N271" i="50"/>
  <c r="K271" i="50"/>
  <c r="G271" i="50"/>
  <c r="E271" i="50"/>
  <c r="W270" i="50"/>
  <c r="X270" i="50" s="1"/>
  <c r="U270" i="50"/>
  <c r="T270" i="50"/>
  <c r="S270" i="50"/>
  <c r="Q270" i="50"/>
  <c r="P270" i="50"/>
  <c r="L270" i="50"/>
  <c r="M270" i="50"/>
  <c r="N270" i="50" s="1"/>
  <c r="K270" i="50"/>
  <c r="G270" i="50"/>
  <c r="E270" i="50"/>
  <c r="W269" i="50"/>
  <c r="X269" i="50"/>
  <c r="Q269" i="50"/>
  <c r="P269" i="50"/>
  <c r="L269" i="50"/>
  <c r="M269" i="50" s="1"/>
  <c r="N269" i="50" s="1"/>
  <c r="K269" i="50"/>
  <c r="G269" i="50"/>
  <c r="E269" i="50"/>
  <c r="W268" i="50"/>
  <c r="X268" i="50" s="1"/>
  <c r="U268" i="50"/>
  <c r="T268" i="50"/>
  <c r="S268" i="50"/>
  <c r="Q268" i="50"/>
  <c r="P268" i="50"/>
  <c r="L268" i="50"/>
  <c r="M268" i="50" s="1"/>
  <c r="N268" i="50" s="1"/>
  <c r="K268" i="50"/>
  <c r="G268" i="50"/>
  <c r="E268" i="50"/>
  <c r="W267" i="50"/>
  <c r="X267" i="50" s="1"/>
  <c r="Q267" i="50"/>
  <c r="P267" i="50"/>
  <c r="L267" i="50"/>
  <c r="M267" i="50" s="1"/>
  <c r="N267" i="50" s="1"/>
  <c r="K267" i="50"/>
  <c r="G267" i="50"/>
  <c r="E267" i="50"/>
  <c r="W266" i="50"/>
  <c r="X266" i="50"/>
  <c r="Q266" i="50"/>
  <c r="P266" i="50"/>
  <c r="L266" i="50"/>
  <c r="M266" i="50" s="1"/>
  <c r="N266" i="50" s="1"/>
  <c r="K266" i="50"/>
  <c r="G266" i="50"/>
  <c r="E266" i="50"/>
  <c r="W265" i="50"/>
  <c r="X265" i="50" s="1"/>
  <c r="Q265" i="50"/>
  <c r="P265" i="50"/>
  <c r="L265" i="50"/>
  <c r="M265" i="50"/>
  <c r="N265" i="50" s="1"/>
  <c r="K265" i="50"/>
  <c r="G265" i="50"/>
  <c r="E265" i="50"/>
  <c r="W264" i="50"/>
  <c r="X264" i="50"/>
  <c r="Q264" i="50"/>
  <c r="P264" i="50"/>
  <c r="L264" i="50"/>
  <c r="M264" i="50"/>
  <c r="N264" i="50" s="1"/>
  <c r="K264" i="50"/>
  <c r="G264" i="50"/>
  <c r="E264" i="50"/>
  <c r="Q263" i="50"/>
  <c r="P263" i="50"/>
  <c r="L263" i="50"/>
  <c r="M263" i="50"/>
  <c r="N263" i="50"/>
  <c r="K263" i="50"/>
  <c r="G263" i="50"/>
  <c r="E263" i="50"/>
  <c r="Q262" i="50"/>
  <c r="P262" i="50"/>
  <c r="L262" i="50"/>
  <c r="M262" i="50" s="1"/>
  <c r="N262" i="50" s="1"/>
  <c r="K262" i="50"/>
  <c r="G262" i="50"/>
  <c r="E262" i="50"/>
  <c r="Q261" i="50"/>
  <c r="P261" i="50"/>
  <c r="L261" i="50"/>
  <c r="M261" i="50"/>
  <c r="N261" i="50" s="1"/>
  <c r="K261" i="50"/>
  <c r="G261" i="50"/>
  <c r="E261" i="50"/>
  <c r="Q260" i="50"/>
  <c r="P260" i="50"/>
  <c r="L260" i="50"/>
  <c r="M260" i="50"/>
  <c r="N260" i="50" s="1"/>
  <c r="K260" i="50"/>
  <c r="G260" i="50"/>
  <c r="E260" i="50"/>
  <c r="W259" i="50"/>
  <c r="X259" i="50"/>
  <c r="Q259" i="50"/>
  <c r="P259" i="50"/>
  <c r="L259" i="50"/>
  <c r="M259" i="50" s="1"/>
  <c r="N259" i="50" s="1"/>
  <c r="K259" i="50"/>
  <c r="G259" i="50"/>
  <c r="E259" i="50"/>
  <c r="W258" i="50"/>
  <c r="X258" i="50"/>
  <c r="Q258" i="50"/>
  <c r="P258" i="50"/>
  <c r="L258" i="50"/>
  <c r="M258" i="50" s="1"/>
  <c r="N258" i="50" s="1"/>
  <c r="K258" i="50"/>
  <c r="G258" i="50"/>
  <c r="E258" i="50"/>
  <c r="W257" i="50"/>
  <c r="X257" i="50" s="1"/>
  <c r="Q257" i="50"/>
  <c r="P257" i="50"/>
  <c r="L257" i="50"/>
  <c r="M257" i="50" s="1"/>
  <c r="N257" i="50" s="1"/>
  <c r="K257" i="50"/>
  <c r="G257" i="50"/>
  <c r="E257" i="50"/>
  <c r="W256" i="50"/>
  <c r="X256" i="50"/>
  <c r="Q256" i="50"/>
  <c r="P256" i="50"/>
  <c r="L256" i="50"/>
  <c r="M256" i="50"/>
  <c r="N256" i="50" s="1"/>
  <c r="K256" i="50"/>
  <c r="G256" i="50"/>
  <c r="E256" i="50"/>
  <c r="W255" i="50"/>
  <c r="X255" i="50" s="1"/>
  <c r="U255" i="50"/>
  <c r="T255" i="50"/>
  <c r="S255" i="50"/>
  <c r="Q255" i="50"/>
  <c r="P255" i="50"/>
  <c r="L255" i="50"/>
  <c r="M255" i="50" s="1"/>
  <c r="N255" i="50" s="1"/>
  <c r="K255" i="50"/>
  <c r="G255" i="50"/>
  <c r="E255" i="50"/>
  <c r="W254" i="50"/>
  <c r="X254" i="50" s="1"/>
  <c r="U254" i="50"/>
  <c r="T254" i="50"/>
  <c r="S254" i="50"/>
  <c r="Q254" i="50"/>
  <c r="P254" i="50"/>
  <c r="L254" i="50"/>
  <c r="M254" i="50"/>
  <c r="N254" i="50" s="1"/>
  <c r="K254" i="50"/>
  <c r="G254" i="50"/>
  <c r="E254" i="50"/>
  <c r="W253" i="50"/>
  <c r="X253" i="50" s="1"/>
  <c r="Q253" i="50"/>
  <c r="P253" i="50"/>
  <c r="L253" i="50"/>
  <c r="M253" i="50" s="1"/>
  <c r="N253" i="50" s="1"/>
  <c r="K253" i="50"/>
  <c r="G253" i="50"/>
  <c r="E253" i="50"/>
  <c r="W252" i="50"/>
  <c r="X252" i="50" s="1"/>
  <c r="Q252" i="50"/>
  <c r="P252" i="50"/>
  <c r="L252" i="50"/>
  <c r="M252" i="50" s="1"/>
  <c r="N252" i="50" s="1"/>
  <c r="K252" i="50"/>
  <c r="G252" i="50"/>
  <c r="E252" i="50"/>
  <c r="W251" i="50"/>
  <c r="X251" i="50" s="1"/>
  <c r="Q251" i="50"/>
  <c r="P251" i="50"/>
  <c r="L251" i="50"/>
  <c r="M251" i="50"/>
  <c r="N251" i="50" s="1"/>
  <c r="K251" i="50"/>
  <c r="G251" i="50"/>
  <c r="E251" i="50"/>
  <c r="W250" i="50"/>
  <c r="X250" i="50" s="1"/>
  <c r="Q250" i="50"/>
  <c r="P250" i="50"/>
  <c r="L250" i="50"/>
  <c r="M250" i="50" s="1"/>
  <c r="N250" i="50" s="1"/>
  <c r="K250" i="50"/>
  <c r="G250" i="50"/>
  <c r="E250" i="50"/>
  <c r="W249" i="50"/>
  <c r="X249" i="50"/>
  <c r="Q249" i="50"/>
  <c r="P249" i="50"/>
  <c r="L249" i="50"/>
  <c r="M249" i="50" s="1"/>
  <c r="N249" i="50" s="1"/>
  <c r="K249" i="50"/>
  <c r="G249" i="50"/>
  <c r="E249" i="50"/>
  <c r="W248" i="50"/>
  <c r="X248" i="50" s="1"/>
  <c r="Q248" i="50"/>
  <c r="P248" i="50"/>
  <c r="L248" i="50"/>
  <c r="M248" i="50"/>
  <c r="N248" i="50" s="1"/>
  <c r="K248" i="50"/>
  <c r="G248" i="50"/>
  <c r="E248" i="50"/>
  <c r="W247" i="50"/>
  <c r="X247" i="50"/>
  <c r="Q247" i="50"/>
  <c r="P247" i="50"/>
  <c r="L247" i="50"/>
  <c r="M247" i="50"/>
  <c r="N247" i="50" s="1"/>
  <c r="K247" i="50"/>
  <c r="G247" i="50"/>
  <c r="E247" i="50"/>
  <c r="W246" i="50"/>
  <c r="X246" i="50" s="1"/>
  <c r="Q246" i="50"/>
  <c r="P246" i="50"/>
  <c r="L246" i="50"/>
  <c r="M246" i="50" s="1"/>
  <c r="N246" i="50" s="1"/>
  <c r="K246" i="50"/>
  <c r="G246" i="50"/>
  <c r="E246" i="50"/>
  <c r="W245" i="50"/>
  <c r="X245" i="50" s="1"/>
  <c r="U245" i="50"/>
  <c r="T245" i="50"/>
  <c r="S245" i="50"/>
  <c r="Q245" i="50"/>
  <c r="P245" i="50"/>
  <c r="L245" i="50"/>
  <c r="M245" i="50" s="1"/>
  <c r="N245" i="50" s="1"/>
  <c r="K245" i="50"/>
  <c r="G245" i="50"/>
  <c r="E245" i="50"/>
  <c r="W244" i="50"/>
  <c r="X244" i="50" s="1"/>
  <c r="Q244" i="50"/>
  <c r="P244" i="50"/>
  <c r="L244" i="50"/>
  <c r="M244" i="50"/>
  <c r="N244" i="50" s="1"/>
  <c r="K244" i="50"/>
  <c r="G244" i="50"/>
  <c r="E244" i="50"/>
  <c r="W243" i="50"/>
  <c r="X243" i="50" s="1"/>
  <c r="Q243" i="50"/>
  <c r="P243" i="50"/>
  <c r="L243" i="50"/>
  <c r="M243" i="50" s="1"/>
  <c r="N243" i="50" s="1"/>
  <c r="K243" i="50"/>
  <c r="G243" i="50"/>
  <c r="E243" i="50"/>
  <c r="W242" i="50"/>
  <c r="X242" i="50" s="1"/>
  <c r="U242" i="50"/>
  <c r="T242" i="50"/>
  <c r="S242" i="50"/>
  <c r="Q242" i="50"/>
  <c r="P242" i="50"/>
  <c r="L242" i="50"/>
  <c r="M242" i="50"/>
  <c r="N242" i="50" s="1"/>
  <c r="K242" i="50"/>
  <c r="G242" i="50"/>
  <c r="E242" i="50"/>
  <c r="W241" i="50"/>
  <c r="X241" i="50"/>
  <c r="Q241" i="50"/>
  <c r="P241" i="50"/>
  <c r="L241" i="50"/>
  <c r="M241" i="50" s="1"/>
  <c r="N241" i="50" s="1"/>
  <c r="K241" i="50"/>
  <c r="G241" i="50"/>
  <c r="E241" i="50"/>
  <c r="W240" i="50"/>
  <c r="X240" i="50" s="1"/>
  <c r="Q240" i="50"/>
  <c r="P240" i="50"/>
  <c r="L240" i="50"/>
  <c r="M240" i="50"/>
  <c r="N240" i="50" s="1"/>
  <c r="K240" i="50"/>
  <c r="G240" i="50"/>
  <c r="E240" i="50"/>
  <c r="W239" i="50"/>
  <c r="X239" i="50"/>
  <c r="Q239" i="50"/>
  <c r="P239" i="50"/>
  <c r="L239" i="50"/>
  <c r="M239" i="50"/>
  <c r="N239" i="50" s="1"/>
  <c r="K239" i="50"/>
  <c r="G239" i="50"/>
  <c r="E239" i="50"/>
  <c r="W238" i="50"/>
  <c r="X238" i="50" s="1"/>
  <c r="Q238" i="50"/>
  <c r="P238" i="50"/>
  <c r="L238" i="50"/>
  <c r="M238" i="50" s="1"/>
  <c r="N238" i="50" s="1"/>
  <c r="K238" i="50"/>
  <c r="G238" i="50"/>
  <c r="E238" i="50"/>
  <c r="W237" i="50"/>
  <c r="X237" i="50" s="1"/>
  <c r="U237" i="50"/>
  <c r="T237" i="50"/>
  <c r="S237" i="50"/>
  <c r="Q237" i="50"/>
  <c r="P237" i="50"/>
  <c r="L237" i="50"/>
  <c r="M237" i="50" s="1"/>
  <c r="N237" i="50" s="1"/>
  <c r="K237" i="50"/>
  <c r="G237" i="50"/>
  <c r="E237" i="50"/>
  <c r="W236" i="50"/>
  <c r="X236" i="50" s="1"/>
  <c r="Q236" i="50"/>
  <c r="P236" i="50"/>
  <c r="L236" i="50"/>
  <c r="M236" i="50" s="1"/>
  <c r="N236" i="50" s="1"/>
  <c r="K236" i="50"/>
  <c r="G236" i="50"/>
  <c r="E236" i="50"/>
  <c r="W235" i="50"/>
  <c r="X235" i="50" s="1"/>
  <c r="Q235" i="50"/>
  <c r="P235" i="50"/>
  <c r="L235" i="50"/>
  <c r="M235" i="50" s="1"/>
  <c r="N235" i="50" s="1"/>
  <c r="K235" i="50"/>
  <c r="G235" i="50"/>
  <c r="E235" i="50"/>
  <c r="W234" i="50"/>
  <c r="X234" i="50"/>
  <c r="Q234" i="50"/>
  <c r="P234" i="50"/>
  <c r="L234" i="50"/>
  <c r="M234" i="50" s="1"/>
  <c r="N234" i="50" s="1"/>
  <c r="K234" i="50"/>
  <c r="G234" i="50"/>
  <c r="E234" i="50"/>
  <c r="W233" i="50"/>
  <c r="X233" i="50" s="1"/>
  <c r="Q233" i="50"/>
  <c r="P233" i="50"/>
  <c r="L233" i="50"/>
  <c r="M233" i="50" s="1"/>
  <c r="N233" i="50" s="1"/>
  <c r="K233" i="50"/>
  <c r="G233" i="50"/>
  <c r="E233" i="50"/>
  <c r="W232" i="50"/>
  <c r="X232" i="50" s="1"/>
  <c r="Q232" i="50"/>
  <c r="P232" i="50"/>
  <c r="L232" i="50"/>
  <c r="M232" i="50" s="1"/>
  <c r="N232" i="50" s="1"/>
  <c r="K232" i="50"/>
  <c r="G232" i="50"/>
  <c r="E232" i="50"/>
  <c r="W231" i="50"/>
  <c r="X231" i="50" s="1"/>
  <c r="Q231" i="50"/>
  <c r="P231" i="50"/>
  <c r="L231" i="50"/>
  <c r="M231" i="50" s="1"/>
  <c r="N231" i="50" s="1"/>
  <c r="K231" i="50"/>
  <c r="G231" i="50"/>
  <c r="E231" i="50"/>
  <c r="W230" i="50"/>
  <c r="X230" i="50" s="1"/>
  <c r="Q230" i="50"/>
  <c r="P230" i="50"/>
  <c r="L230" i="50"/>
  <c r="M230" i="50" s="1"/>
  <c r="N230" i="50" s="1"/>
  <c r="K230" i="50"/>
  <c r="G230" i="50"/>
  <c r="E230" i="50"/>
  <c r="W229" i="50"/>
  <c r="X229" i="50"/>
  <c r="Q229" i="50"/>
  <c r="P229" i="50"/>
  <c r="L229" i="50"/>
  <c r="M229" i="50" s="1"/>
  <c r="N229" i="50" s="1"/>
  <c r="K229" i="50"/>
  <c r="G229" i="50"/>
  <c r="E229" i="50"/>
  <c r="W228" i="50"/>
  <c r="X228" i="50" s="1"/>
  <c r="Q228" i="50"/>
  <c r="P228" i="50"/>
  <c r="L228" i="50"/>
  <c r="M228" i="50" s="1"/>
  <c r="N228" i="50" s="1"/>
  <c r="K228" i="50"/>
  <c r="G228" i="50"/>
  <c r="E228" i="50"/>
  <c r="W227" i="50"/>
  <c r="X227" i="50" s="1"/>
  <c r="Q227" i="50"/>
  <c r="P227" i="50"/>
  <c r="L227" i="50"/>
  <c r="M227" i="50" s="1"/>
  <c r="N227" i="50" s="1"/>
  <c r="K227" i="50"/>
  <c r="G227" i="50"/>
  <c r="E227" i="50"/>
  <c r="W226" i="50"/>
  <c r="X226" i="50" s="1"/>
  <c r="Q226" i="50"/>
  <c r="P226" i="50"/>
  <c r="L226" i="50"/>
  <c r="M226" i="50"/>
  <c r="N226" i="50" s="1"/>
  <c r="K226" i="50"/>
  <c r="G226" i="50"/>
  <c r="E226" i="50"/>
  <c r="W225" i="50"/>
  <c r="X225" i="50" s="1"/>
  <c r="Q225" i="50"/>
  <c r="P225" i="50"/>
  <c r="L225" i="50"/>
  <c r="M225" i="50" s="1"/>
  <c r="N225" i="50" s="1"/>
  <c r="K225" i="50"/>
  <c r="G225" i="50"/>
  <c r="E225" i="50"/>
  <c r="W224" i="50"/>
  <c r="X224" i="50" s="1"/>
  <c r="Q224" i="50"/>
  <c r="P224" i="50"/>
  <c r="L224" i="50"/>
  <c r="M224" i="50" s="1"/>
  <c r="N224" i="50" s="1"/>
  <c r="K224" i="50"/>
  <c r="G224" i="50"/>
  <c r="E224" i="50"/>
  <c r="W223" i="50"/>
  <c r="X223" i="50"/>
  <c r="Q223" i="50"/>
  <c r="P223" i="50"/>
  <c r="L223" i="50"/>
  <c r="M223" i="50" s="1"/>
  <c r="N223" i="50" s="1"/>
  <c r="K223" i="50"/>
  <c r="G223" i="50"/>
  <c r="E223" i="50"/>
  <c r="W222" i="50"/>
  <c r="X222" i="50" s="1"/>
  <c r="Q222" i="50"/>
  <c r="P222" i="50"/>
  <c r="L222" i="50"/>
  <c r="M222" i="50" s="1"/>
  <c r="N222" i="50" s="1"/>
  <c r="K222" i="50"/>
  <c r="G222" i="50"/>
  <c r="E222" i="50"/>
  <c r="W221" i="50"/>
  <c r="X221" i="50" s="1"/>
  <c r="Q221" i="50"/>
  <c r="P221" i="50"/>
  <c r="L221" i="50"/>
  <c r="M221" i="50"/>
  <c r="N221" i="50" s="1"/>
  <c r="K221" i="50"/>
  <c r="G221" i="50"/>
  <c r="E221" i="50"/>
  <c r="W220" i="50"/>
  <c r="X220" i="50" s="1"/>
  <c r="Q220" i="50"/>
  <c r="P220" i="50"/>
  <c r="L220" i="50"/>
  <c r="M220" i="50" s="1"/>
  <c r="N220" i="50" s="1"/>
  <c r="K220" i="50"/>
  <c r="G220" i="50"/>
  <c r="E220" i="50"/>
  <c r="W219" i="50"/>
  <c r="X219" i="50"/>
  <c r="Q219" i="50"/>
  <c r="P219" i="50"/>
  <c r="L219" i="50"/>
  <c r="M219" i="50" s="1"/>
  <c r="N219" i="50"/>
  <c r="K219" i="50"/>
  <c r="G219" i="50"/>
  <c r="E219" i="50"/>
  <c r="W218" i="50"/>
  <c r="X218" i="50" s="1"/>
  <c r="Q218" i="50"/>
  <c r="P218" i="50"/>
  <c r="L218" i="50"/>
  <c r="M218" i="50" s="1"/>
  <c r="N218" i="50" s="1"/>
  <c r="K218" i="50"/>
  <c r="G218" i="50"/>
  <c r="E218" i="50"/>
  <c r="W217" i="50"/>
  <c r="X217" i="50" s="1"/>
  <c r="Q217" i="50"/>
  <c r="P217" i="50"/>
  <c r="L217" i="50"/>
  <c r="M217" i="50"/>
  <c r="N217" i="50" s="1"/>
  <c r="K217" i="50"/>
  <c r="G217" i="50"/>
  <c r="E217" i="50"/>
  <c r="W216" i="50"/>
  <c r="X216" i="50" s="1"/>
  <c r="Q216" i="50"/>
  <c r="P216" i="50"/>
  <c r="L216" i="50"/>
  <c r="M216" i="50" s="1"/>
  <c r="N216" i="50" s="1"/>
  <c r="K216" i="50"/>
  <c r="G216" i="50"/>
  <c r="E216" i="50"/>
  <c r="W215" i="50"/>
  <c r="X215" i="50" s="1"/>
  <c r="Q215" i="50"/>
  <c r="P215" i="50"/>
  <c r="L215" i="50"/>
  <c r="M215" i="50"/>
  <c r="N215" i="50" s="1"/>
  <c r="K215" i="50"/>
  <c r="G215" i="50"/>
  <c r="E215" i="50"/>
  <c r="W214" i="50"/>
  <c r="X214" i="50" s="1"/>
  <c r="Q214" i="50"/>
  <c r="P214" i="50"/>
  <c r="L214" i="50"/>
  <c r="M214" i="50" s="1"/>
  <c r="N214" i="50" s="1"/>
  <c r="K214" i="50"/>
  <c r="G214" i="50"/>
  <c r="E214" i="50"/>
  <c r="W213" i="50"/>
  <c r="X213" i="50"/>
  <c r="Q213" i="50"/>
  <c r="P213" i="50"/>
  <c r="L213" i="50"/>
  <c r="M213" i="50" s="1"/>
  <c r="N213" i="50"/>
  <c r="K213" i="50"/>
  <c r="G213" i="50"/>
  <c r="E213" i="50"/>
  <c r="W212" i="50"/>
  <c r="X212" i="50" s="1"/>
  <c r="Q212" i="50"/>
  <c r="P212" i="50"/>
  <c r="L212" i="50"/>
  <c r="M212" i="50" s="1"/>
  <c r="N212" i="50" s="1"/>
  <c r="K212" i="50"/>
  <c r="G212" i="50"/>
  <c r="E212" i="50"/>
  <c r="W211" i="50"/>
  <c r="X211" i="50" s="1"/>
  <c r="Q211" i="50"/>
  <c r="P211" i="50"/>
  <c r="L211" i="50"/>
  <c r="M211" i="50"/>
  <c r="N211" i="50" s="1"/>
  <c r="K211" i="50"/>
  <c r="G211" i="50"/>
  <c r="E211" i="50"/>
  <c r="W210" i="50"/>
  <c r="X210" i="50" s="1"/>
  <c r="Q210" i="50"/>
  <c r="P210" i="50"/>
  <c r="L210" i="50"/>
  <c r="M210" i="50" s="1"/>
  <c r="N210" i="50" s="1"/>
  <c r="K210" i="50"/>
  <c r="G210" i="50"/>
  <c r="E210" i="50"/>
  <c r="W209" i="50"/>
  <c r="X209" i="50" s="1"/>
  <c r="Q209" i="50"/>
  <c r="P209" i="50"/>
  <c r="L209" i="50"/>
  <c r="M209" i="50"/>
  <c r="N209" i="50" s="1"/>
  <c r="K209" i="50"/>
  <c r="G209" i="50"/>
  <c r="E209" i="50"/>
  <c r="W208" i="50"/>
  <c r="X208" i="50" s="1"/>
  <c r="Q208" i="50"/>
  <c r="P208" i="50"/>
  <c r="M208" i="50"/>
  <c r="N208" i="50" s="1"/>
  <c r="L208" i="50"/>
  <c r="K208" i="50"/>
  <c r="G208" i="50"/>
  <c r="E208" i="50"/>
  <c r="W207" i="50"/>
  <c r="X207" i="50" s="1"/>
  <c r="Q207" i="50"/>
  <c r="P207" i="50"/>
  <c r="L207" i="50"/>
  <c r="M207" i="50" s="1"/>
  <c r="N207" i="50"/>
  <c r="K207" i="50"/>
  <c r="G207" i="50"/>
  <c r="E207" i="50"/>
  <c r="W206" i="50"/>
  <c r="X206" i="50" s="1"/>
  <c r="Q206" i="50"/>
  <c r="P206" i="50"/>
  <c r="L206" i="50"/>
  <c r="K206" i="50"/>
  <c r="G206" i="50"/>
  <c r="E206" i="50"/>
  <c r="W205" i="50"/>
  <c r="X205" i="50" s="1"/>
  <c r="Q205" i="50"/>
  <c r="P205" i="50"/>
  <c r="L205" i="50"/>
  <c r="M205" i="50" s="1"/>
  <c r="N205" i="50" s="1"/>
  <c r="K205" i="50"/>
  <c r="G205" i="50"/>
  <c r="E205" i="50"/>
  <c r="W204" i="50"/>
  <c r="X204" i="50" s="1"/>
  <c r="Q204" i="50"/>
  <c r="P204" i="50"/>
  <c r="L204" i="50"/>
  <c r="M204" i="50" s="1"/>
  <c r="N204" i="50" s="1"/>
  <c r="K204" i="50"/>
  <c r="G204" i="50"/>
  <c r="E204" i="50"/>
  <c r="W203" i="50"/>
  <c r="X203" i="50" s="1"/>
  <c r="U203" i="50"/>
  <c r="T203" i="50"/>
  <c r="S203" i="50"/>
  <c r="Q203" i="50"/>
  <c r="P203" i="50"/>
  <c r="L203" i="50"/>
  <c r="M203" i="50" s="1"/>
  <c r="N203" i="50" s="1"/>
  <c r="K203" i="50"/>
  <c r="G203" i="50"/>
  <c r="E203" i="50"/>
  <c r="W202" i="50"/>
  <c r="X202" i="50" s="1"/>
  <c r="Q202" i="50"/>
  <c r="P202" i="50"/>
  <c r="L202" i="50"/>
  <c r="M202" i="50" s="1"/>
  <c r="N202" i="50" s="1"/>
  <c r="K202" i="50"/>
  <c r="G202" i="50"/>
  <c r="E202" i="50"/>
  <c r="W201" i="50"/>
  <c r="X201" i="50" s="1"/>
  <c r="Q201" i="50"/>
  <c r="P201" i="50"/>
  <c r="L201" i="50"/>
  <c r="M201" i="50"/>
  <c r="N201" i="50" s="1"/>
  <c r="K201" i="50"/>
  <c r="G201" i="50"/>
  <c r="E201" i="50"/>
  <c r="W200" i="50"/>
  <c r="X200" i="50" s="1"/>
  <c r="Q200" i="50"/>
  <c r="P200" i="50"/>
  <c r="L200" i="50"/>
  <c r="M200" i="50" s="1"/>
  <c r="N200" i="50" s="1"/>
  <c r="K200" i="50"/>
  <c r="G200" i="50"/>
  <c r="E200" i="50"/>
  <c r="W199" i="50"/>
  <c r="X199" i="50" s="1"/>
  <c r="Q199" i="50"/>
  <c r="P199" i="50"/>
  <c r="L199" i="50"/>
  <c r="M199" i="50" s="1"/>
  <c r="N199" i="50" s="1"/>
  <c r="K199" i="50"/>
  <c r="G199" i="50"/>
  <c r="E199" i="50"/>
  <c r="W198" i="50"/>
  <c r="X198" i="50" s="1"/>
  <c r="U198" i="50"/>
  <c r="T198" i="50"/>
  <c r="S198" i="50"/>
  <c r="Q198" i="50"/>
  <c r="P198" i="50"/>
  <c r="L198" i="50"/>
  <c r="M198" i="50" s="1"/>
  <c r="N198" i="50" s="1"/>
  <c r="W197" i="50"/>
  <c r="X197" i="50" s="1"/>
  <c r="Q197" i="50"/>
  <c r="P197" i="50"/>
  <c r="L197" i="50"/>
  <c r="M197" i="50" s="1"/>
  <c r="N197" i="50" s="1"/>
  <c r="K197" i="50"/>
  <c r="G197" i="50"/>
  <c r="E197" i="50"/>
  <c r="W196" i="50"/>
  <c r="X196" i="50" s="1"/>
  <c r="Q196" i="50"/>
  <c r="P196" i="50"/>
  <c r="L196" i="50"/>
  <c r="M196" i="50" s="1"/>
  <c r="N196" i="50" s="1"/>
  <c r="K196" i="50"/>
  <c r="G196" i="50"/>
  <c r="E196" i="50"/>
  <c r="W195" i="50"/>
  <c r="X195" i="50" s="1"/>
  <c r="Q195" i="50"/>
  <c r="P195" i="50"/>
  <c r="L195" i="50"/>
  <c r="M195" i="50"/>
  <c r="K195" i="50"/>
  <c r="G195" i="50"/>
  <c r="E195" i="50"/>
  <c r="X194" i="50"/>
  <c r="Q194" i="50"/>
  <c r="P194" i="50"/>
  <c r="L194" i="50"/>
  <c r="M194" i="50" s="1"/>
  <c r="N194" i="50" s="1"/>
  <c r="K194" i="50"/>
  <c r="G194" i="50"/>
  <c r="E194" i="50"/>
  <c r="Q193" i="50"/>
  <c r="P193" i="50"/>
  <c r="E193" i="50"/>
  <c r="W192" i="50"/>
  <c r="X192" i="50"/>
  <c r="Q192" i="50"/>
  <c r="P192" i="50"/>
  <c r="L192" i="50"/>
  <c r="M192" i="50" s="1"/>
  <c r="N192" i="50" s="1"/>
  <c r="K192" i="50"/>
  <c r="G192" i="50"/>
  <c r="E192" i="50"/>
  <c r="W191" i="50"/>
  <c r="X191" i="50" s="1"/>
  <c r="Q191" i="50"/>
  <c r="P191" i="50"/>
  <c r="L191" i="50"/>
  <c r="M191" i="50" s="1"/>
  <c r="N191" i="50" s="1"/>
  <c r="K191" i="50"/>
  <c r="G191" i="50"/>
  <c r="E191" i="50"/>
  <c r="W190" i="50"/>
  <c r="X190" i="50" s="1"/>
  <c r="Q190" i="50"/>
  <c r="P190" i="50"/>
  <c r="L190" i="50"/>
  <c r="M190" i="50" s="1"/>
  <c r="N190" i="50" s="1"/>
  <c r="K190" i="50"/>
  <c r="G190" i="50"/>
  <c r="E190" i="50"/>
  <c r="W189" i="50"/>
  <c r="X189" i="50" s="1"/>
  <c r="Q189" i="50"/>
  <c r="P189" i="50"/>
  <c r="L189" i="50"/>
  <c r="M189" i="50" s="1"/>
  <c r="N189" i="50" s="1"/>
  <c r="K189" i="50"/>
  <c r="G189" i="50"/>
  <c r="E189" i="50"/>
  <c r="W188" i="50"/>
  <c r="X188" i="50" s="1"/>
  <c r="Q188" i="50"/>
  <c r="P188" i="50"/>
  <c r="L188" i="50"/>
  <c r="M188" i="50" s="1"/>
  <c r="N188" i="50" s="1"/>
  <c r="K188" i="50"/>
  <c r="G188" i="50"/>
  <c r="E188" i="50"/>
  <c r="W187" i="50"/>
  <c r="X187" i="50" s="1"/>
  <c r="U187" i="50"/>
  <c r="T187" i="50"/>
  <c r="S187" i="50"/>
  <c r="Q187" i="50"/>
  <c r="P187" i="50"/>
  <c r="L187" i="50"/>
  <c r="M187" i="50" s="1"/>
  <c r="N187" i="50" s="1"/>
  <c r="K187" i="50"/>
  <c r="G187" i="50"/>
  <c r="E187" i="50"/>
  <c r="W186" i="50"/>
  <c r="X186" i="50" s="1"/>
  <c r="Q186" i="50"/>
  <c r="P186" i="50"/>
  <c r="L186" i="50"/>
  <c r="M186" i="50" s="1"/>
  <c r="N186" i="50" s="1"/>
  <c r="K186" i="50"/>
  <c r="G186" i="50"/>
  <c r="E186" i="50"/>
  <c r="W185" i="50"/>
  <c r="X185" i="50" s="1"/>
  <c r="Q185" i="50"/>
  <c r="P185" i="50"/>
  <c r="L185" i="50"/>
  <c r="M185" i="50" s="1"/>
  <c r="N185" i="50"/>
  <c r="K185" i="50"/>
  <c r="G185" i="50"/>
  <c r="E185" i="50"/>
  <c r="W184" i="50"/>
  <c r="X184" i="50" s="1"/>
  <c r="U184" i="50"/>
  <c r="T184" i="50"/>
  <c r="S184" i="50"/>
  <c r="Q184" i="50"/>
  <c r="P184" i="50"/>
  <c r="L184" i="50"/>
  <c r="M184" i="50"/>
  <c r="N184" i="50" s="1"/>
  <c r="K184" i="50"/>
  <c r="G184" i="50"/>
  <c r="E184" i="50"/>
  <c r="W183" i="50"/>
  <c r="X183" i="50" s="1"/>
  <c r="U183" i="50"/>
  <c r="T183" i="50"/>
  <c r="S183" i="50"/>
  <c r="Q183" i="50"/>
  <c r="P183" i="50"/>
  <c r="L183" i="50"/>
  <c r="M183" i="50" s="1"/>
  <c r="N183" i="50" s="1"/>
  <c r="K183" i="50"/>
  <c r="G183" i="50"/>
  <c r="E183" i="50"/>
  <c r="W182" i="50"/>
  <c r="X182" i="50"/>
  <c r="Q182" i="50"/>
  <c r="P182" i="50"/>
  <c r="L182" i="50"/>
  <c r="M182" i="50" s="1"/>
  <c r="N182" i="50" s="1"/>
  <c r="K182" i="50"/>
  <c r="G182" i="50"/>
  <c r="E182" i="50"/>
  <c r="W181" i="50"/>
  <c r="X181" i="50" s="1"/>
  <c r="Q181" i="50"/>
  <c r="P181" i="50"/>
  <c r="L181" i="50"/>
  <c r="M181" i="50" s="1"/>
  <c r="N181" i="50" s="1"/>
  <c r="K181" i="50"/>
  <c r="G181" i="50"/>
  <c r="E181" i="50"/>
  <c r="W180" i="50"/>
  <c r="X180" i="50"/>
  <c r="Q180" i="50"/>
  <c r="P180" i="50"/>
  <c r="L180" i="50"/>
  <c r="M180" i="50"/>
  <c r="N180" i="50" s="1"/>
  <c r="K180" i="50"/>
  <c r="G180" i="50"/>
  <c r="E180" i="50"/>
  <c r="W179" i="50"/>
  <c r="X179" i="50" s="1"/>
  <c r="Q179" i="50"/>
  <c r="P179" i="50"/>
  <c r="L179" i="50"/>
  <c r="M179" i="50" s="1"/>
  <c r="N179" i="50" s="1"/>
  <c r="K179" i="50"/>
  <c r="G179" i="50"/>
  <c r="E179" i="50"/>
  <c r="W178" i="50"/>
  <c r="X178" i="50" s="1"/>
  <c r="Q178" i="50"/>
  <c r="P178" i="50"/>
  <c r="L178" i="50"/>
  <c r="M178" i="50" s="1"/>
  <c r="N178" i="50" s="1"/>
  <c r="K178" i="50"/>
  <c r="G178" i="50"/>
  <c r="E178" i="50"/>
  <c r="W177" i="50"/>
  <c r="X177" i="50" s="1"/>
  <c r="Q177" i="50"/>
  <c r="P177" i="50"/>
  <c r="L177" i="50"/>
  <c r="M177" i="50" s="1"/>
  <c r="N177" i="50" s="1"/>
  <c r="K177" i="50"/>
  <c r="G177" i="50"/>
  <c r="E177" i="50"/>
  <c r="W176" i="50"/>
  <c r="X176" i="50" s="1"/>
  <c r="T176" i="50"/>
  <c r="S176" i="50"/>
  <c r="Q176" i="50"/>
  <c r="P176" i="50"/>
  <c r="L176" i="50"/>
  <c r="G176" i="50"/>
  <c r="E176" i="50"/>
  <c r="W175" i="50"/>
  <c r="X175" i="50" s="1"/>
  <c r="U175" i="50"/>
  <c r="T175" i="50"/>
  <c r="S175" i="50"/>
  <c r="Q175" i="50"/>
  <c r="P175" i="50"/>
  <c r="L175" i="50"/>
  <c r="M175" i="50" s="1"/>
  <c r="N175" i="50" s="1"/>
  <c r="G175" i="50"/>
  <c r="E175" i="50"/>
  <c r="W174" i="50"/>
  <c r="X174" i="50" s="1"/>
  <c r="Q174" i="50"/>
  <c r="P174" i="50"/>
  <c r="L174" i="50"/>
  <c r="M174" i="50" s="1"/>
  <c r="N174" i="50" s="1"/>
  <c r="K174" i="50"/>
  <c r="G174" i="50"/>
  <c r="E174" i="50"/>
  <c r="W173" i="50"/>
  <c r="X173" i="50" s="1"/>
  <c r="Q173" i="50"/>
  <c r="P173" i="50"/>
  <c r="L173" i="50"/>
  <c r="M173" i="50"/>
  <c r="N173" i="50" s="1"/>
  <c r="K173" i="50"/>
  <c r="G173" i="50"/>
  <c r="E173" i="50"/>
  <c r="W172" i="50"/>
  <c r="X172" i="50"/>
  <c r="Q172" i="50"/>
  <c r="P172" i="50"/>
  <c r="L172" i="50"/>
  <c r="M172" i="50" s="1"/>
  <c r="N172" i="50" s="1"/>
  <c r="K172" i="50"/>
  <c r="G172" i="50"/>
  <c r="E172" i="50"/>
  <c r="W171" i="50"/>
  <c r="X171" i="50" s="1"/>
  <c r="Q171" i="50"/>
  <c r="P171" i="50"/>
  <c r="L171" i="50"/>
  <c r="M171" i="50" s="1"/>
  <c r="N171" i="50" s="1"/>
  <c r="K171" i="50"/>
  <c r="G171" i="50"/>
  <c r="E171" i="50"/>
  <c r="W170" i="50"/>
  <c r="X170" i="50" s="1"/>
  <c r="Q170" i="50"/>
  <c r="P170" i="50"/>
  <c r="L170" i="50"/>
  <c r="M170" i="50"/>
  <c r="N170" i="50" s="1"/>
  <c r="K170" i="50"/>
  <c r="G170" i="50"/>
  <c r="E170" i="50"/>
  <c r="W169" i="50"/>
  <c r="X169" i="50"/>
  <c r="U169" i="50"/>
  <c r="T169" i="50"/>
  <c r="S169" i="50"/>
  <c r="Q169" i="50"/>
  <c r="P169" i="50"/>
  <c r="L169" i="50"/>
  <c r="M169" i="50" s="1"/>
  <c r="N169" i="50" s="1"/>
  <c r="K169" i="50"/>
  <c r="G169" i="50"/>
  <c r="E169" i="50"/>
  <c r="W168" i="50"/>
  <c r="X168" i="50"/>
  <c r="Q168" i="50"/>
  <c r="P168" i="50"/>
  <c r="L168" i="50"/>
  <c r="M168" i="50" s="1"/>
  <c r="N168" i="50"/>
  <c r="K168" i="50"/>
  <c r="G168" i="50"/>
  <c r="E168" i="50"/>
  <c r="W167" i="50"/>
  <c r="X167" i="50" s="1"/>
  <c r="Q167" i="50"/>
  <c r="P167" i="50"/>
  <c r="L167" i="50"/>
  <c r="M167" i="50" s="1"/>
  <c r="N167" i="50" s="1"/>
  <c r="K167" i="50"/>
  <c r="G167" i="50"/>
  <c r="E167" i="50"/>
  <c r="W166" i="50"/>
  <c r="X166" i="50" s="1"/>
  <c r="Q166" i="50"/>
  <c r="P166" i="50"/>
  <c r="L166" i="50"/>
  <c r="M166" i="50"/>
  <c r="N166" i="50" s="1"/>
  <c r="K166" i="50"/>
  <c r="G166" i="50"/>
  <c r="E166" i="50"/>
  <c r="W165" i="50"/>
  <c r="X165" i="50" s="1"/>
  <c r="Q165" i="50"/>
  <c r="P165" i="50"/>
  <c r="L165" i="50"/>
  <c r="M165" i="50" s="1"/>
  <c r="N165" i="50" s="1"/>
  <c r="K165" i="50"/>
  <c r="G165" i="50"/>
  <c r="E165" i="50"/>
  <c r="W164" i="50"/>
  <c r="X164" i="50" s="1"/>
  <c r="Q164" i="50"/>
  <c r="P164" i="50"/>
  <c r="L164" i="50"/>
  <c r="M164" i="50" s="1"/>
  <c r="N164" i="50" s="1"/>
  <c r="K164" i="50"/>
  <c r="G164" i="50"/>
  <c r="E164" i="50"/>
  <c r="W163" i="50"/>
  <c r="X163" i="50" s="1"/>
  <c r="Q163" i="50"/>
  <c r="P163" i="50"/>
  <c r="L163" i="50"/>
  <c r="M163" i="50" s="1"/>
  <c r="N163" i="50" s="1"/>
  <c r="K163" i="50"/>
  <c r="G163" i="50"/>
  <c r="E163" i="50"/>
  <c r="W162" i="50"/>
  <c r="X162" i="50" s="1"/>
  <c r="Q162" i="50"/>
  <c r="P162" i="50"/>
  <c r="L162" i="50"/>
  <c r="M162" i="50" s="1"/>
  <c r="N162" i="50" s="1"/>
  <c r="K162" i="50"/>
  <c r="G162" i="50"/>
  <c r="E162" i="50"/>
  <c r="W161" i="50"/>
  <c r="X161" i="50" s="1"/>
  <c r="Q161" i="50"/>
  <c r="P161" i="50"/>
  <c r="L161" i="50"/>
  <c r="M161" i="50" s="1"/>
  <c r="N161" i="50" s="1"/>
  <c r="K161" i="50"/>
  <c r="G161" i="50"/>
  <c r="E161" i="50"/>
  <c r="W160" i="50"/>
  <c r="X160" i="50" s="1"/>
  <c r="Q160" i="50"/>
  <c r="P160" i="50"/>
  <c r="L160" i="50"/>
  <c r="M160" i="50" s="1"/>
  <c r="N160" i="50" s="1"/>
  <c r="K160" i="50"/>
  <c r="G160" i="50"/>
  <c r="E160" i="50"/>
  <c r="W159" i="50"/>
  <c r="X159" i="50" s="1"/>
  <c r="Q159" i="50"/>
  <c r="P159" i="50"/>
  <c r="L159" i="50"/>
  <c r="M159" i="50" s="1"/>
  <c r="N159" i="50" s="1"/>
  <c r="K159" i="50"/>
  <c r="G159" i="50"/>
  <c r="E159" i="50"/>
  <c r="W158" i="50"/>
  <c r="X158" i="50" s="1"/>
  <c r="Q158" i="50"/>
  <c r="P158" i="50"/>
  <c r="L158" i="50"/>
  <c r="M158" i="50"/>
  <c r="N158" i="50" s="1"/>
  <c r="K158" i="50"/>
  <c r="G158" i="50"/>
  <c r="E158" i="50"/>
  <c r="W157" i="50"/>
  <c r="X157" i="50" s="1"/>
  <c r="Q157" i="50"/>
  <c r="P157" i="50"/>
  <c r="L157" i="50"/>
  <c r="M157" i="50" s="1"/>
  <c r="N157" i="50" s="1"/>
  <c r="K157" i="50"/>
  <c r="G157" i="50"/>
  <c r="E157" i="50"/>
  <c r="W156" i="50"/>
  <c r="X156" i="50"/>
  <c r="Q156" i="50"/>
  <c r="P156" i="50"/>
  <c r="L156" i="50"/>
  <c r="M156" i="50" s="1"/>
  <c r="N156" i="50" s="1"/>
  <c r="K156" i="50"/>
  <c r="G156" i="50"/>
  <c r="E156" i="50"/>
  <c r="W155" i="50"/>
  <c r="X155" i="50" s="1"/>
  <c r="U155" i="50"/>
  <c r="T155" i="50"/>
  <c r="S155" i="50"/>
  <c r="Q155" i="50"/>
  <c r="P155" i="50"/>
  <c r="L155" i="50"/>
  <c r="M155" i="50" s="1"/>
  <c r="N155" i="50" s="1"/>
  <c r="K155" i="50"/>
  <c r="G155" i="50"/>
  <c r="E155" i="50"/>
  <c r="W154" i="50"/>
  <c r="X154" i="50" s="1"/>
  <c r="U154" i="50"/>
  <c r="T154" i="50"/>
  <c r="S154" i="50"/>
  <c r="Q154" i="50"/>
  <c r="P154" i="50"/>
  <c r="L154" i="50"/>
  <c r="M154" i="50" s="1"/>
  <c r="N154" i="50" s="1"/>
  <c r="K154" i="50"/>
  <c r="G154" i="50"/>
  <c r="E154" i="50"/>
  <c r="W153" i="50"/>
  <c r="X153" i="50"/>
  <c r="U153" i="50"/>
  <c r="T153" i="50"/>
  <c r="S153" i="50"/>
  <c r="Q153" i="50"/>
  <c r="P153" i="50"/>
  <c r="L153" i="50"/>
  <c r="M153" i="50" s="1"/>
  <c r="N153" i="50" s="1"/>
  <c r="K153" i="50"/>
  <c r="G153" i="50"/>
  <c r="E153" i="50"/>
  <c r="W152" i="50"/>
  <c r="X152" i="50" s="1"/>
  <c r="Q152" i="50"/>
  <c r="P152" i="50"/>
  <c r="L152" i="50"/>
  <c r="M152" i="50" s="1"/>
  <c r="N152" i="50" s="1"/>
  <c r="K152" i="50"/>
  <c r="G152" i="50"/>
  <c r="E152" i="50"/>
  <c r="W151" i="50"/>
  <c r="X151" i="50"/>
  <c r="Q151" i="50"/>
  <c r="P151" i="50"/>
  <c r="L151" i="50"/>
  <c r="M151" i="50" s="1"/>
  <c r="N151" i="50" s="1"/>
  <c r="K151" i="50"/>
  <c r="G151" i="50"/>
  <c r="E151" i="50"/>
  <c r="W150" i="50"/>
  <c r="X150" i="50" s="1"/>
  <c r="Q150" i="50"/>
  <c r="P150" i="50"/>
  <c r="L150" i="50"/>
  <c r="M150" i="50" s="1"/>
  <c r="N150" i="50" s="1"/>
  <c r="K150" i="50"/>
  <c r="G150" i="50"/>
  <c r="E150" i="50"/>
  <c r="W149" i="50"/>
  <c r="X149" i="50" s="1"/>
  <c r="Q149" i="50"/>
  <c r="P149" i="50"/>
  <c r="L149" i="50"/>
  <c r="M149" i="50" s="1"/>
  <c r="N149" i="50" s="1"/>
  <c r="K149" i="50"/>
  <c r="G149" i="50"/>
  <c r="E149" i="50"/>
  <c r="W148" i="50"/>
  <c r="X148" i="50"/>
  <c r="Q148" i="50"/>
  <c r="P148" i="50"/>
  <c r="L148" i="50"/>
  <c r="M148" i="50" s="1"/>
  <c r="N148" i="50" s="1"/>
  <c r="W147" i="50"/>
  <c r="X147" i="50"/>
  <c r="Q147" i="50"/>
  <c r="P147" i="50"/>
  <c r="L147" i="50"/>
  <c r="M147" i="50" s="1"/>
  <c r="N147" i="50" s="1"/>
  <c r="K147" i="50"/>
  <c r="G147" i="50"/>
  <c r="E147" i="50"/>
  <c r="W146" i="50"/>
  <c r="X146" i="50" s="1"/>
  <c r="Q146" i="50"/>
  <c r="P146" i="50"/>
  <c r="L146" i="50"/>
  <c r="M146" i="50" s="1"/>
  <c r="N146" i="50" s="1"/>
  <c r="K146" i="50"/>
  <c r="G146" i="50"/>
  <c r="E146" i="50"/>
  <c r="W145" i="50"/>
  <c r="X145" i="50"/>
  <c r="Q145" i="50"/>
  <c r="P145" i="50"/>
  <c r="L145" i="50"/>
  <c r="M145" i="50"/>
  <c r="N145" i="50" s="1"/>
  <c r="K145" i="50"/>
  <c r="G145" i="50"/>
  <c r="E145" i="50"/>
  <c r="W144" i="50"/>
  <c r="X144" i="50" s="1"/>
  <c r="Q144" i="50"/>
  <c r="P144" i="50"/>
  <c r="L144" i="50"/>
  <c r="M144" i="50" s="1"/>
  <c r="N144" i="50" s="1"/>
  <c r="W143" i="50"/>
  <c r="X143" i="50" s="1"/>
  <c r="Q143" i="50"/>
  <c r="P143" i="50"/>
  <c r="L143" i="50"/>
  <c r="M143" i="50"/>
  <c r="N143" i="50" s="1"/>
  <c r="K143" i="50"/>
  <c r="G143" i="50"/>
  <c r="E143" i="50"/>
  <c r="W142" i="50"/>
  <c r="X142" i="50" s="1"/>
  <c r="U142" i="50"/>
  <c r="T142" i="50"/>
  <c r="S142" i="50"/>
  <c r="Q142" i="50"/>
  <c r="P142" i="50"/>
  <c r="L142" i="50"/>
  <c r="M142" i="50" s="1"/>
  <c r="N142" i="50" s="1"/>
  <c r="K142" i="50"/>
  <c r="G142" i="50"/>
  <c r="E142" i="50"/>
  <c r="W141" i="50"/>
  <c r="X141" i="50"/>
  <c r="Q141" i="50"/>
  <c r="P141" i="50"/>
  <c r="L141" i="50"/>
  <c r="M141" i="50" s="1"/>
  <c r="N141" i="50" s="1"/>
  <c r="K141" i="50"/>
  <c r="G141" i="50"/>
  <c r="E141" i="50"/>
  <c r="W140" i="50"/>
  <c r="X140" i="50" s="1"/>
  <c r="Q140" i="50"/>
  <c r="P140" i="50"/>
  <c r="L140" i="50"/>
  <c r="M140" i="50" s="1"/>
  <c r="N140" i="50" s="1"/>
  <c r="K140" i="50"/>
  <c r="G140" i="50"/>
  <c r="E140" i="50"/>
  <c r="W139" i="50"/>
  <c r="X139" i="50"/>
  <c r="Q139" i="50"/>
  <c r="P139" i="50"/>
  <c r="L139" i="50"/>
  <c r="M139" i="50" s="1"/>
  <c r="N139" i="50" s="1"/>
  <c r="K139" i="50"/>
  <c r="G139" i="50"/>
  <c r="E139" i="50"/>
  <c r="W138" i="50"/>
  <c r="X138" i="50" s="1"/>
  <c r="Q138" i="50"/>
  <c r="P138" i="50"/>
  <c r="L138" i="50"/>
  <c r="M138" i="50" s="1"/>
  <c r="N138" i="50" s="1"/>
  <c r="K138" i="50"/>
  <c r="G138" i="50"/>
  <c r="E138" i="50"/>
  <c r="W137" i="50"/>
  <c r="X137" i="50" s="1"/>
  <c r="U137" i="50"/>
  <c r="T137" i="50"/>
  <c r="S137" i="50"/>
  <c r="Q137" i="50"/>
  <c r="P137" i="50"/>
  <c r="L137" i="50"/>
  <c r="M137" i="50"/>
  <c r="N137" i="50" s="1"/>
  <c r="W136" i="50"/>
  <c r="X136" i="50" s="1"/>
  <c r="Q136" i="50"/>
  <c r="P136" i="50"/>
  <c r="L136" i="50"/>
  <c r="M136" i="50" s="1"/>
  <c r="N136" i="50" s="1"/>
  <c r="K136" i="50"/>
  <c r="G136" i="50"/>
  <c r="E136" i="50"/>
  <c r="W135" i="50"/>
  <c r="X135" i="50" s="1"/>
  <c r="Q135" i="50"/>
  <c r="P135" i="50"/>
  <c r="L135" i="50"/>
  <c r="M135" i="50" s="1"/>
  <c r="N135" i="50" s="1"/>
  <c r="K135" i="50"/>
  <c r="G135" i="50"/>
  <c r="E135" i="50"/>
  <c r="W134" i="50"/>
  <c r="X134" i="50" s="1"/>
  <c r="Q134" i="50"/>
  <c r="P134" i="50"/>
  <c r="L134" i="50"/>
  <c r="M134" i="50" s="1"/>
  <c r="N134" i="50" s="1"/>
  <c r="K134" i="50"/>
  <c r="G134" i="50"/>
  <c r="E134" i="50"/>
  <c r="W133" i="50"/>
  <c r="X133" i="50" s="1"/>
  <c r="Q133" i="50"/>
  <c r="P133" i="50"/>
  <c r="L133" i="50"/>
  <c r="M133" i="50"/>
  <c r="N133" i="50" s="1"/>
  <c r="W132" i="50"/>
  <c r="X132" i="50" s="1"/>
  <c r="U132" i="50"/>
  <c r="T132" i="50"/>
  <c r="S132" i="50"/>
  <c r="Q132" i="50"/>
  <c r="P132" i="50"/>
  <c r="L132" i="50"/>
  <c r="M132" i="50" s="1"/>
  <c r="N132" i="50" s="1"/>
  <c r="K132" i="50"/>
  <c r="G132" i="50"/>
  <c r="E132" i="50"/>
  <c r="W131" i="50"/>
  <c r="X131" i="50" s="1"/>
  <c r="Q131" i="50"/>
  <c r="P131" i="50"/>
  <c r="L131" i="50"/>
  <c r="M131" i="50" s="1"/>
  <c r="N131" i="50" s="1"/>
  <c r="K131" i="50"/>
  <c r="G131" i="50"/>
  <c r="E131" i="50"/>
  <c r="W130" i="50"/>
  <c r="X130" i="50" s="1"/>
  <c r="Q130" i="50"/>
  <c r="P130" i="50"/>
  <c r="L130" i="50"/>
  <c r="M130" i="50" s="1"/>
  <c r="N130" i="50" s="1"/>
  <c r="K130" i="50"/>
  <c r="G130" i="50"/>
  <c r="E130" i="50"/>
  <c r="W129" i="50"/>
  <c r="X129" i="50"/>
  <c r="U129" i="50"/>
  <c r="T129" i="50"/>
  <c r="S129" i="50"/>
  <c r="Q129" i="50"/>
  <c r="P129" i="50"/>
  <c r="L129" i="50"/>
  <c r="M129" i="50" s="1"/>
  <c r="N129" i="50" s="1"/>
  <c r="K129" i="50"/>
  <c r="G129" i="50"/>
  <c r="E129" i="50"/>
  <c r="W128" i="50"/>
  <c r="X128" i="50" s="1"/>
  <c r="Q128" i="50"/>
  <c r="P128" i="50"/>
  <c r="L128" i="50"/>
  <c r="M128" i="50" s="1"/>
  <c r="N128" i="50" s="1"/>
  <c r="K128" i="50"/>
  <c r="G128" i="50"/>
  <c r="E128" i="50"/>
  <c r="W127" i="50"/>
  <c r="X127" i="50"/>
  <c r="Q127" i="50"/>
  <c r="P127" i="50"/>
  <c r="L127" i="50"/>
  <c r="M127" i="50" s="1"/>
  <c r="N127" i="50" s="1"/>
  <c r="K127" i="50"/>
  <c r="G127" i="50"/>
  <c r="E127" i="50"/>
  <c r="W126" i="50"/>
  <c r="X126" i="50" s="1"/>
  <c r="Q126" i="50"/>
  <c r="P126" i="50"/>
  <c r="L126" i="50"/>
  <c r="M126" i="50" s="1"/>
  <c r="N126" i="50" s="1"/>
  <c r="K126" i="50"/>
  <c r="G126" i="50"/>
  <c r="E126" i="50"/>
  <c r="W125" i="50"/>
  <c r="X125" i="50" s="1"/>
  <c r="U125" i="50"/>
  <c r="T125" i="50"/>
  <c r="S125" i="50"/>
  <c r="Q125" i="50"/>
  <c r="P125" i="50"/>
  <c r="L125" i="50"/>
  <c r="M125" i="50" s="1"/>
  <c r="N125" i="50" s="1"/>
  <c r="K125" i="50"/>
  <c r="G125" i="50"/>
  <c r="E125" i="50"/>
  <c r="W124" i="50"/>
  <c r="X124" i="50"/>
  <c r="Q124" i="50"/>
  <c r="P124" i="50"/>
  <c r="L124" i="50"/>
  <c r="M124" i="50" s="1"/>
  <c r="N124" i="50" s="1"/>
  <c r="K124" i="50"/>
  <c r="G124" i="50"/>
  <c r="E124" i="50"/>
  <c r="W123" i="50"/>
  <c r="X123" i="50" s="1"/>
  <c r="U123" i="50"/>
  <c r="T123" i="50"/>
  <c r="S123" i="50"/>
  <c r="Q123" i="50"/>
  <c r="P123" i="50"/>
  <c r="L123" i="50"/>
  <c r="M123" i="50" s="1"/>
  <c r="N123" i="50" s="1"/>
  <c r="K123" i="50"/>
  <c r="G123" i="50"/>
  <c r="E123" i="50"/>
  <c r="W122" i="50"/>
  <c r="X122" i="50" s="1"/>
  <c r="Q122" i="50"/>
  <c r="P122" i="50"/>
  <c r="L122" i="50"/>
  <c r="M122" i="50" s="1"/>
  <c r="N122" i="50" s="1"/>
  <c r="K122" i="50"/>
  <c r="G122" i="50"/>
  <c r="E122" i="50"/>
  <c r="W121" i="50"/>
  <c r="X121" i="50"/>
  <c r="Q121" i="50"/>
  <c r="P121" i="50"/>
  <c r="L121" i="50"/>
  <c r="M121" i="50" s="1"/>
  <c r="N121" i="50" s="1"/>
  <c r="K121" i="50"/>
  <c r="G121" i="50"/>
  <c r="E121" i="50"/>
  <c r="W120" i="50"/>
  <c r="X120" i="50" s="1"/>
  <c r="U120" i="50"/>
  <c r="T120" i="50"/>
  <c r="S120" i="50"/>
  <c r="Q120" i="50"/>
  <c r="P120" i="50"/>
  <c r="L120" i="50"/>
  <c r="M120" i="50" s="1"/>
  <c r="N120" i="50" s="1"/>
  <c r="K120" i="50"/>
  <c r="G120" i="50"/>
  <c r="E120" i="50"/>
  <c r="W119" i="50"/>
  <c r="X119" i="50" s="1"/>
  <c r="Q119" i="50"/>
  <c r="P119" i="50"/>
  <c r="L119" i="50"/>
  <c r="M119" i="50"/>
  <c r="N119" i="50" s="1"/>
  <c r="K119" i="50"/>
  <c r="G119" i="50"/>
  <c r="E119" i="50"/>
  <c r="W118" i="50"/>
  <c r="X118" i="50" s="1"/>
  <c r="Q118" i="50"/>
  <c r="P118" i="50"/>
  <c r="L118" i="50"/>
  <c r="M118" i="50" s="1"/>
  <c r="N118" i="50" s="1"/>
  <c r="K118" i="50"/>
  <c r="G118" i="50"/>
  <c r="E118" i="50"/>
  <c r="W117" i="50"/>
  <c r="X117" i="50"/>
  <c r="U117" i="50"/>
  <c r="T117" i="50"/>
  <c r="S117" i="50"/>
  <c r="Q117" i="50"/>
  <c r="P117" i="50"/>
  <c r="L117" i="50"/>
  <c r="M117" i="50" s="1"/>
  <c r="N117" i="50" s="1"/>
  <c r="K117" i="50"/>
  <c r="G117" i="50"/>
  <c r="E117" i="50"/>
  <c r="Q116" i="50"/>
  <c r="P116" i="50"/>
  <c r="L116" i="50"/>
  <c r="M116" i="50" s="1"/>
  <c r="N116" i="50" s="1"/>
  <c r="K116" i="50"/>
  <c r="G116" i="50"/>
  <c r="E116" i="50"/>
  <c r="U115" i="50"/>
  <c r="T115" i="50"/>
  <c r="S115" i="50"/>
  <c r="Q115" i="50"/>
  <c r="P115" i="50"/>
  <c r="L115" i="50"/>
  <c r="M115" i="50" s="1"/>
  <c r="N115" i="50" s="1"/>
  <c r="K115" i="50"/>
  <c r="G115" i="50"/>
  <c r="E115" i="50"/>
  <c r="Q114" i="50"/>
  <c r="P114" i="50"/>
  <c r="L114" i="50"/>
  <c r="S114" i="50"/>
  <c r="W113" i="50"/>
  <c r="X113" i="50"/>
  <c r="Q113" i="50"/>
  <c r="P113" i="50"/>
  <c r="L113" i="50"/>
  <c r="M113" i="50" s="1"/>
  <c r="N113" i="50" s="1"/>
  <c r="K113" i="50"/>
  <c r="G113" i="50"/>
  <c r="E113" i="50"/>
  <c r="W112" i="50"/>
  <c r="X112" i="50" s="1"/>
  <c r="Q112" i="50"/>
  <c r="P112" i="50"/>
  <c r="L112" i="50"/>
  <c r="M112" i="50" s="1"/>
  <c r="N112" i="50" s="1"/>
  <c r="K112" i="50"/>
  <c r="G112" i="50"/>
  <c r="E112" i="50"/>
  <c r="W111" i="50"/>
  <c r="X111" i="50" s="1"/>
  <c r="U111" i="50"/>
  <c r="T111" i="50"/>
  <c r="S111" i="50"/>
  <c r="Q111" i="50"/>
  <c r="P111" i="50"/>
  <c r="L111" i="50"/>
  <c r="M111" i="50" s="1"/>
  <c r="N111" i="50" s="1"/>
  <c r="K111" i="50"/>
  <c r="G111" i="50"/>
  <c r="E111" i="50"/>
  <c r="W110" i="50"/>
  <c r="X110" i="50" s="1"/>
  <c r="Q110" i="50"/>
  <c r="P110" i="50"/>
  <c r="L110" i="50"/>
  <c r="M110" i="50" s="1"/>
  <c r="N110" i="50" s="1"/>
  <c r="K110" i="50"/>
  <c r="G110" i="50"/>
  <c r="E110" i="50"/>
  <c r="W109" i="50"/>
  <c r="X109" i="50" s="1"/>
  <c r="Q109" i="50"/>
  <c r="P109" i="50"/>
  <c r="L109" i="50"/>
  <c r="M109" i="50"/>
  <c r="N109" i="50"/>
  <c r="K109" i="50"/>
  <c r="G109" i="50"/>
  <c r="E109" i="50"/>
  <c r="W108" i="50"/>
  <c r="X108" i="50"/>
  <c r="Q108" i="50"/>
  <c r="P108" i="50"/>
  <c r="L108" i="50"/>
  <c r="M108" i="50" s="1"/>
  <c r="N108" i="50" s="1"/>
  <c r="K108" i="50"/>
  <c r="G108" i="50"/>
  <c r="E108" i="50"/>
  <c r="W107" i="50"/>
  <c r="X107" i="50" s="1"/>
  <c r="Q107" i="50"/>
  <c r="P107" i="50"/>
  <c r="L107" i="50"/>
  <c r="M107" i="50" s="1"/>
  <c r="N107" i="50" s="1"/>
  <c r="K107" i="50"/>
  <c r="G107" i="50"/>
  <c r="E107" i="50"/>
  <c r="W106" i="50"/>
  <c r="X106" i="50" s="1"/>
  <c r="Q106" i="50"/>
  <c r="P106" i="50"/>
  <c r="L106" i="50"/>
  <c r="M106" i="50"/>
  <c r="N106" i="50" s="1"/>
  <c r="K106" i="50"/>
  <c r="G106" i="50"/>
  <c r="E106" i="50"/>
  <c r="W105" i="50"/>
  <c r="X105" i="50"/>
  <c r="U105" i="50"/>
  <c r="T105" i="50"/>
  <c r="S105" i="50"/>
  <c r="Q105" i="50"/>
  <c r="P105" i="50"/>
  <c r="L105" i="50"/>
  <c r="M105" i="50" s="1"/>
  <c r="N105" i="50" s="1"/>
  <c r="K105" i="50"/>
  <c r="G105" i="50"/>
  <c r="E105" i="50"/>
  <c r="W104" i="50"/>
  <c r="X104" i="50"/>
  <c r="Q104" i="50"/>
  <c r="P104" i="50"/>
  <c r="L104" i="50"/>
  <c r="M104" i="50" s="1"/>
  <c r="N104" i="50" s="1"/>
  <c r="K104" i="50"/>
  <c r="G104" i="50"/>
  <c r="E104" i="50"/>
  <c r="Q103" i="50"/>
  <c r="P103" i="50"/>
  <c r="W102" i="50"/>
  <c r="X102" i="50" s="1"/>
  <c r="Q102" i="50"/>
  <c r="P102" i="50"/>
  <c r="L102" i="50"/>
  <c r="M102" i="50" s="1"/>
  <c r="N102" i="50" s="1"/>
  <c r="K102" i="50"/>
  <c r="G102" i="50"/>
  <c r="E102" i="50"/>
  <c r="W101" i="50"/>
  <c r="X101" i="50" s="1"/>
  <c r="Q101" i="50"/>
  <c r="P101" i="50"/>
  <c r="L101" i="50"/>
  <c r="M101" i="50"/>
  <c r="N101" i="50" s="1"/>
  <c r="K101" i="50"/>
  <c r="G101" i="50"/>
  <c r="E101" i="50"/>
  <c r="W100" i="50"/>
  <c r="X100" i="50" s="1"/>
  <c r="Q100" i="50"/>
  <c r="P100" i="50"/>
  <c r="L100" i="50"/>
  <c r="M100" i="50" s="1"/>
  <c r="N100" i="50" s="1"/>
  <c r="K100" i="50"/>
  <c r="G100" i="50"/>
  <c r="E100" i="50"/>
  <c r="W99" i="50"/>
  <c r="X99" i="50" s="1"/>
  <c r="Q99" i="50"/>
  <c r="P99" i="50"/>
  <c r="L99" i="50"/>
  <c r="M99" i="50"/>
  <c r="N99" i="50" s="1"/>
  <c r="K99" i="50"/>
  <c r="G99" i="50"/>
  <c r="E99" i="50"/>
  <c r="W98" i="50"/>
  <c r="X98" i="50" s="1"/>
  <c r="U98" i="50"/>
  <c r="T98" i="50"/>
  <c r="S98" i="50"/>
  <c r="Q98" i="50"/>
  <c r="P98" i="50"/>
  <c r="L98" i="50"/>
  <c r="M98" i="50" s="1"/>
  <c r="N98" i="50" s="1"/>
  <c r="K98" i="50"/>
  <c r="G98" i="50"/>
  <c r="E98" i="50"/>
  <c r="W97" i="50"/>
  <c r="X97" i="50" s="1"/>
  <c r="Q97" i="50"/>
  <c r="P97" i="50"/>
  <c r="L97" i="50"/>
  <c r="M97" i="50" s="1"/>
  <c r="N97" i="50" s="1"/>
  <c r="K97" i="50"/>
  <c r="G97" i="50"/>
  <c r="E97" i="50"/>
  <c r="W96" i="50"/>
  <c r="X96" i="50" s="1"/>
  <c r="U96" i="50"/>
  <c r="T96" i="50"/>
  <c r="Q96" i="50"/>
  <c r="P96" i="50"/>
  <c r="L96" i="50"/>
  <c r="M96" i="50" s="1"/>
  <c r="N96" i="50"/>
  <c r="K96" i="50"/>
  <c r="G96" i="50"/>
  <c r="E96" i="50"/>
  <c r="W95" i="50"/>
  <c r="X95" i="50" s="1"/>
  <c r="Q95" i="50"/>
  <c r="P95" i="50"/>
  <c r="L95" i="50"/>
  <c r="M95" i="50" s="1"/>
  <c r="N95" i="50" s="1"/>
  <c r="K95" i="50"/>
  <c r="G95" i="50"/>
  <c r="E95" i="50"/>
  <c r="W94" i="50"/>
  <c r="X94" i="50"/>
  <c r="Q94" i="50"/>
  <c r="P94" i="50"/>
  <c r="L94" i="50"/>
  <c r="M94" i="50" s="1"/>
  <c r="N94" i="50" s="1"/>
  <c r="W93" i="50"/>
  <c r="X93" i="50" s="1"/>
  <c r="Q93" i="50"/>
  <c r="P93" i="50"/>
  <c r="L93" i="50"/>
  <c r="M93" i="50" s="1"/>
  <c r="N93" i="50" s="1"/>
  <c r="K93" i="50"/>
  <c r="G93" i="50"/>
  <c r="E93" i="50"/>
  <c r="W92" i="50"/>
  <c r="X92" i="50" s="1"/>
  <c r="Q92" i="50"/>
  <c r="P92" i="50"/>
  <c r="L92" i="50"/>
  <c r="M92" i="50" s="1"/>
  <c r="N92" i="50" s="1"/>
  <c r="K92" i="50"/>
  <c r="G92" i="50"/>
  <c r="E92" i="50"/>
  <c r="W91" i="50"/>
  <c r="X91" i="50" s="1"/>
  <c r="U91" i="50"/>
  <c r="T91" i="50"/>
  <c r="S91" i="50"/>
  <c r="Q91" i="50"/>
  <c r="P91" i="50"/>
  <c r="L91" i="50"/>
  <c r="M91" i="50" s="1"/>
  <c r="N91" i="50" s="1"/>
  <c r="K91" i="50"/>
  <c r="G91" i="50"/>
  <c r="E91" i="50"/>
  <c r="W90" i="50"/>
  <c r="X90" i="50" s="1"/>
  <c r="Q90" i="50"/>
  <c r="P90" i="50"/>
  <c r="L90" i="50"/>
  <c r="M90" i="50" s="1"/>
  <c r="N90" i="50" s="1"/>
  <c r="K90" i="50"/>
  <c r="G90" i="50"/>
  <c r="E90" i="50"/>
  <c r="W89" i="50"/>
  <c r="X89" i="50" s="1"/>
  <c r="U89" i="50"/>
  <c r="T89" i="50"/>
  <c r="S89" i="50"/>
  <c r="Q89" i="50"/>
  <c r="P89" i="50"/>
  <c r="L89" i="50"/>
  <c r="M89" i="50"/>
  <c r="N89" i="50" s="1"/>
  <c r="K89" i="50"/>
  <c r="G89" i="50"/>
  <c r="E89" i="50"/>
  <c r="W88" i="50"/>
  <c r="X88" i="50" s="1"/>
  <c r="U88" i="50"/>
  <c r="T88" i="50"/>
  <c r="S88" i="50"/>
  <c r="Q88" i="50"/>
  <c r="P88" i="50"/>
  <c r="L88" i="50"/>
  <c r="M88" i="50" s="1"/>
  <c r="N88" i="50" s="1"/>
  <c r="K88" i="50"/>
  <c r="G88" i="50"/>
  <c r="E88" i="50"/>
  <c r="W87" i="50"/>
  <c r="X87" i="50" s="1"/>
  <c r="Q87" i="50"/>
  <c r="P87" i="50"/>
  <c r="L87" i="50"/>
  <c r="M87" i="50" s="1"/>
  <c r="N87" i="50" s="1"/>
  <c r="W86" i="50"/>
  <c r="X86" i="50" s="1"/>
  <c r="U86" i="50"/>
  <c r="T86" i="50"/>
  <c r="S86" i="50"/>
  <c r="Q86" i="50"/>
  <c r="P86" i="50"/>
  <c r="L86" i="50"/>
  <c r="M86" i="50"/>
  <c r="N86" i="50" s="1"/>
  <c r="K86" i="50"/>
  <c r="G86" i="50"/>
  <c r="E86" i="50"/>
  <c r="W85" i="50"/>
  <c r="X85" i="50"/>
  <c r="Q85" i="50"/>
  <c r="P85" i="50"/>
  <c r="L85" i="50"/>
  <c r="M85" i="50" s="1"/>
  <c r="N85" i="50" s="1"/>
  <c r="K85" i="50"/>
  <c r="G85" i="50"/>
  <c r="E85" i="50"/>
  <c r="W84" i="50"/>
  <c r="X84" i="50" s="1"/>
  <c r="Q84" i="50"/>
  <c r="P84" i="50"/>
  <c r="L84" i="50"/>
  <c r="M84" i="50" s="1"/>
  <c r="N84" i="50" s="1"/>
  <c r="K84" i="50"/>
  <c r="G84" i="50"/>
  <c r="E84" i="50"/>
  <c r="W83" i="50"/>
  <c r="X83" i="50" s="1"/>
  <c r="U83" i="50"/>
  <c r="T83" i="50"/>
  <c r="S83" i="50"/>
  <c r="Q83" i="50"/>
  <c r="P83" i="50"/>
  <c r="L83" i="50"/>
  <c r="M83" i="50" s="1"/>
  <c r="N83" i="50" s="1"/>
  <c r="K83" i="50"/>
  <c r="G83" i="50"/>
  <c r="E83" i="50"/>
  <c r="W82" i="50"/>
  <c r="X82" i="50" s="1"/>
  <c r="Q82" i="50"/>
  <c r="P82" i="50"/>
  <c r="L82" i="50"/>
  <c r="M82" i="50" s="1"/>
  <c r="N82" i="50" s="1"/>
  <c r="K82" i="50"/>
  <c r="G82" i="50"/>
  <c r="E82" i="50"/>
  <c r="W81" i="50"/>
  <c r="X81" i="50" s="1"/>
  <c r="Q81" i="50"/>
  <c r="P81" i="50"/>
  <c r="L81" i="50"/>
  <c r="M81" i="50" s="1"/>
  <c r="N81" i="50" s="1"/>
  <c r="K81" i="50"/>
  <c r="G81" i="50"/>
  <c r="E81" i="50"/>
  <c r="W80" i="50"/>
  <c r="X80" i="50" s="1"/>
  <c r="Q80" i="50"/>
  <c r="P80" i="50"/>
  <c r="L80" i="50"/>
  <c r="M80" i="50" s="1"/>
  <c r="N80" i="50" s="1"/>
  <c r="K80" i="50"/>
  <c r="G80" i="50"/>
  <c r="E80" i="50"/>
  <c r="W79" i="50"/>
  <c r="X79" i="50" s="1"/>
  <c r="U79" i="50"/>
  <c r="T79" i="50"/>
  <c r="S79" i="50"/>
  <c r="Q79" i="50"/>
  <c r="P79" i="50"/>
  <c r="L79" i="50"/>
  <c r="M79" i="50" s="1"/>
  <c r="N79" i="50" s="1"/>
  <c r="K79" i="50"/>
  <c r="G79" i="50"/>
  <c r="E79" i="50"/>
  <c r="W78" i="50"/>
  <c r="X78" i="50" s="1"/>
  <c r="Q78" i="50"/>
  <c r="P78" i="50"/>
  <c r="L78" i="50"/>
  <c r="M78" i="50" s="1"/>
  <c r="N78" i="50" s="1"/>
  <c r="K78" i="50"/>
  <c r="G78" i="50"/>
  <c r="E78" i="50"/>
  <c r="W77" i="50"/>
  <c r="X77" i="50" s="1"/>
  <c r="U77" i="50"/>
  <c r="T77" i="50"/>
  <c r="S77" i="50"/>
  <c r="Q77" i="50"/>
  <c r="P77" i="50"/>
  <c r="L77" i="50"/>
  <c r="M77" i="50" s="1"/>
  <c r="N77" i="50" s="1"/>
  <c r="K77" i="50"/>
  <c r="G77" i="50"/>
  <c r="E77" i="50"/>
  <c r="W76" i="50"/>
  <c r="X76" i="50" s="1"/>
  <c r="U76" i="50"/>
  <c r="T76" i="50"/>
  <c r="S76" i="50"/>
  <c r="Q76" i="50"/>
  <c r="P76" i="50"/>
  <c r="L76" i="50"/>
  <c r="M76" i="50" s="1"/>
  <c r="N76" i="50" s="1"/>
  <c r="K76" i="50"/>
  <c r="G76" i="50"/>
  <c r="E76" i="50"/>
  <c r="W75" i="50"/>
  <c r="X75" i="50" s="1"/>
  <c r="Q75" i="50"/>
  <c r="P75" i="50"/>
  <c r="L75" i="50"/>
  <c r="M75" i="50" s="1"/>
  <c r="N75" i="50"/>
  <c r="W74" i="50"/>
  <c r="X74" i="50" s="1"/>
  <c r="U74" i="50"/>
  <c r="T74" i="50"/>
  <c r="S74" i="50"/>
  <c r="Q74" i="50"/>
  <c r="P74" i="50"/>
  <c r="L74" i="50"/>
  <c r="M74" i="50"/>
  <c r="N74" i="50" s="1"/>
  <c r="K74" i="50"/>
  <c r="G74" i="50"/>
  <c r="E74" i="50"/>
  <c r="W73" i="50"/>
  <c r="X73" i="50"/>
  <c r="Q73" i="50"/>
  <c r="P73" i="50"/>
  <c r="L73" i="50"/>
  <c r="M73" i="50" s="1"/>
  <c r="N73" i="50" s="1"/>
  <c r="K73" i="50"/>
  <c r="G73" i="50"/>
  <c r="E73" i="50"/>
  <c r="W72" i="50"/>
  <c r="X72" i="50" s="1"/>
  <c r="Q72" i="50"/>
  <c r="P72" i="50"/>
  <c r="L72" i="50"/>
  <c r="M72" i="50" s="1"/>
  <c r="N72" i="50" s="1"/>
  <c r="K72" i="50"/>
  <c r="G72" i="50"/>
  <c r="E72" i="50"/>
  <c r="W71" i="50"/>
  <c r="X71" i="50" s="1"/>
  <c r="Q71" i="50"/>
  <c r="P71" i="50"/>
  <c r="L71" i="50"/>
  <c r="M71" i="50" s="1"/>
  <c r="N71" i="50" s="1"/>
  <c r="K71" i="50"/>
  <c r="G71" i="50"/>
  <c r="E71" i="50"/>
  <c r="W70" i="50"/>
  <c r="X70" i="50" s="1"/>
  <c r="Q70" i="50"/>
  <c r="P70" i="50"/>
  <c r="L70" i="50"/>
  <c r="M70" i="50" s="1"/>
  <c r="N70" i="50" s="1"/>
  <c r="K70" i="50"/>
  <c r="G70" i="50"/>
  <c r="E70" i="50"/>
  <c r="W69" i="50"/>
  <c r="X69" i="50" s="1"/>
  <c r="Q69" i="50"/>
  <c r="P69" i="50"/>
  <c r="L69" i="50"/>
  <c r="M69" i="50" s="1"/>
  <c r="N69" i="50"/>
  <c r="K69" i="50"/>
  <c r="G69" i="50"/>
  <c r="E69" i="50"/>
  <c r="W68" i="50"/>
  <c r="X68" i="50" s="1"/>
  <c r="Q68" i="50"/>
  <c r="P68" i="50"/>
  <c r="L68" i="50"/>
  <c r="M68" i="50"/>
  <c r="N68" i="50" s="1"/>
  <c r="K68" i="50"/>
  <c r="G68" i="50"/>
  <c r="E68" i="50"/>
  <c r="W67" i="50"/>
  <c r="X67" i="50"/>
  <c r="Q67" i="50"/>
  <c r="P67" i="50"/>
  <c r="L67" i="50"/>
  <c r="M67" i="50" s="1"/>
  <c r="N67" i="50" s="1"/>
  <c r="K67" i="50"/>
  <c r="G67" i="50"/>
  <c r="E67" i="50"/>
  <c r="W66" i="50"/>
  <c r="X66" i="50" s="1"/>
  <c r="Q66" i="50"/>
  <c r="P66" i="50"/>
  <c r="L66" i="50"/>
  <c r="M66" i="50" s="1"/>
  <c r="N66" i="50" s="1"/>
  <c r="K66" i="50"/>
  <c r="G66" i="50"/>
  <c r="E66" i="50"/>
  <c r="W65" i="50"/>
  <c r="X65" i="50" s="1"/>
  <c r="Q65" i="50"/>
  <c r="P65" i="50"/>
  <c r="L65" i="50"/>
  <c r="M65" i="50" s="1"/>
  <c r="N65" i="50" s="1"/>
  <c r="K65" i="50"/>
  <c r="G65" i="50"/>
  <c r="E65" i="50"/>
  <c r="W64" i="50"/>
  <c r="X64" i="50" s="1"/>
  <c r="Q64" i="50"/>
  <c r="P64" i="50"/>
  <c r="L64" i="50"/>
  <c r="M64" i="50" s="1"/>
  <c r="N64" i="50" s="1"/>
  <c r="K64" i="50"/>
  <c r="G64" i="50"/>
  <c r="E64" i="50"/>
  <c r="W63" i="50"/>
  <c r="X63" i="50" s="1"/>
  <c r="Q63" i="50"/>
  <c r="P63" i="50"/>
  <c r="L63" i="50"/>
  <c r="M63" i="50" s="1"/>
  <c r="N63" i="50" s="1"/>
  <c r="K63" i="50"/>
  <c r="G63" i="50"/>
  <c r="E63" i="50"/>
  <c r="W62" i="50"/>
  <c r="X62" i="50" s="1"/>
  <c r="Q62" i="50"/>
  <c r="P62" i="50"/>
  <c r="L62" i="50"/>
  <c r="M62" i="50"/>
  <c r="N62" i="50" s="1"/>
  <c r="K62" i="50"/>
  <c r="G62" i="50"/>
  <c r="E62" i="50"/>
  <c r="W61" i="50"/>
  <c r="X61" i="50" s="1"/>
  <c r="Q61" i="50"/>
  <c r="P61" i="50"/>
  <c r="L61" i="50"/>
  <c r="M61" i="50" s="1"/>
  <c r="N61" i="50" s="1"/>
  <c r="K61" i="50"/>
  <c r="G61" i="50"/>
  <c r="E61" i="50"/>
  <c r="W60" i="50"/>
  <c r="X60" i="50" s="1"/>
  <c r="Q60" i="50"/>
  <c r="P60" i="50"/>
  <c r="L60" i="50"/>
  <c r="M60" i="50" s="1"/>
  <c r="N60" i="50" s="1"/>
  <c r="K60" i="50"/>
  <c r="G60" i="50"/>
  <c r="E60" i="50"/>
  <c r="W59" i="50"/>
  <c r="X59" i="50" s="1"/>
  <c r="Q59" i="50"/>
  <c r="P59" i="50"/>
  <c r="L59" i="50"/>
  <c r="M59" i="50" s="1"/>
  <c r="N59" i="50" s="1"/>
  <c r="K59" i="50"/>
  <c r="G59" i="50"/>
  <c r="E59" i="50"/>
  <c r="W58" i="50"/>
  <c r="X58" i="50"/>
  <c r="Q58" i="50"/>
  <c r="P58" i="50"/>
  <c r="L58" i="50"/>
  <c r="M58" i="50" s="1"/>
  <c r="N58" i="50" s="1"/>
  <c r="K58" i="50"/>
  <c r="G58" i="50"/>
  <c r="E58" i="50"/>
  <c r="W57" i="50"/>
  <c r="X57" i="50" s="1"/>
  <c r="Q57" i="50"/>
  <c r="P57" i="50"/>
  <c r="L57" i="50"/>
  <c r="M57" i="50" s="1"/>
  <c r="N57" i="50"/>
  <c r="K57" i="50"/>
  <c r="G57" i="50"/>
  <c r="E57" i="50"/>
  <c r="W56" i="50"/>
  <c r="X56" i="50" s="1"/>
  <c r="Q56" i="50"/>
  <c r="P56" i="50"/>
  <c r="L56" i="50"/>
  <c r="M56" i="50" s="1"/>
  <c r="N56" i="50" s="1"/>
  <c r="K56" i="50"/>
  <c r="G56" i="50"/>
  <c r="E56" i="50"/>
  <c r="W55" i="50"/>
  <c r="X55" i="50" s="1"/>
  <c r="Q55" i="50"/>
  <c r="P55" i="50"/>
  <c r="L55" i="50"/>
  <c r="M55" i="50" s="1"/>
  <c r="N55" i="50" s="1"/>
  <c r="K55" i="50"/>
  <c r="G55" i="50"/>
  <c r="E55" i="50"/>
  <c r="W54" i="50"/>
  <c r="X54" i="50" s="1"/>
  <c r="Q54" i="50"/>
  <c r="P54" i="50"/>
  <c r="L54" i="50"/>
  <c r="M54" i="50" s="1"/>
  <c r="N54" i="50" s="1"/>
  <c r="K54" i="50"/>
  <c r="G54" i="50"/>
  <c r="E54" i="50"/>
  <c r="W53" i="50"/>
  <c r="X53" i="50" s="1"/>
  <c r="Q53" i="50"/>
  <c r="P53" i="50"/>
  <c r="L53" i="50"/>
  <c r="M53" i="50"/>
  <c r="N53" i="50" s="1"/>
  <c r="K53" i="50"/>
  <c r="G53" i="50"/>
  <c r="E53" i="50"/>
  <c r="W52" i="50"/>
  <c r="X52" i="50" s="1"/>
  <c r="Q52" i="50"/>
  <c r="P52" i="50"/>
  <c r="L52" i="50"/>
  <c r="M52" i="50"/>
  <c r="N52" i="50" s="1"/>
  <c r="K52" i="50"/>
  <c r="G52" i="50"/>
  <c r="E52" i="50"/>
  <c r="W51" i="50"/>
  <c r="X51" i="50" s="1"/>
  <c r="Q51" i="50"/>
  <c r="P51" i="50"/>
  <c r="L51" i="50"/>
  <c r="M51" i="50" s="1"/>
  <c r="N51" i="50" s="1"/>
  <c r="K51" i="50"/>
  <c r="G51" i="50"/>
  <c r="E51" i="50"/>
  <c r="W50" i="50"/>
  <c r="X50" i="50" s="1"/>
  <c r="Q50" i="50"/>
  <c r="P50" i="50"/>
  <c r="L50" i="50"/>
  <c r="M50" i="50"/>
  <c r="N50" i="50" s="1"/>
  <c r="K50" i="50"/>
  <c r="G50" i="50"/>
  <c r="E50" i="50"/>
  <c r="W49" i="50"/>
  <c r="X49" i="50"/>
  <c r="Q49" i="50"/>
  <c r="P49" i="50"/>
  <c r="L49" i="50"/>
  <c r="M49" i="50" s="1"/>
  <c r="N49" i="50" s="1"/>
  <c r="K49" i="50"/>
  <c r="G49" i="50"/>
  <c r="E49" i="50"/>
  <c r="W48" i="50"/>
  <c r="X48" i="50" s="1"/>
  <c r="Q48" i="50"/>
  <c r="P48" i="50"/>
  <c r="L48" i="50"/>
  <c r="M48" i="50" s="1"/>
  <c r="N48" i="50" s="1"/>
  <c r="K48" i="50"/>
  <c r="G48" i="50"/>
  <c r="E48" i="50"/>
  <c r="W47" i="50"/>
  <c r="X47" i="50" s="1"/>
  <c r="Q47" i="50"/>
  <c r="P47" i="50"/>
  <c r="L47" i="50"/>
  <c r="M47" i="50"/>
  <c r="N47" i="50"/>
  <c r="K47" i="50"/>
  <c r="G47" i="50"/>
  <c r="E47" i="50"/>
  <c r="W46" i="50"/>
  <c r="X46" i="50" s="1"/>
  <c r="Q46" i="50"/>
  <c r="Q417" i="50" s="1"/>
  <c r="P46" i="50"/>
  <c r="L46" i="50"/>
  <c r="M46" i="50" s="1"/>
  <c r="N46" i="50" s="1"/>
  <c r="K46" i="50"/>
  <c r="G46" i="50"/>
  <c r="E46" i="50"/>
  <c r="W45" i="50"/>
  <c r="X45" i="50" s="1"/>
  <c r="Q45" i="50"/>
  <c r="P45" i="50"/>
  <c r="L45" i="50"/>
  <c r="M45" i="50" s="1"/>
  <c r="N45" i="50" s="1"/>
  <c r="K45" i="50"/>
  <c r="G45" i="50"/>
  <c r="E45" i="50"/>
  <c r="W44" i="50"/>
  <c r="X44" i="50" s="1"/>
  <c r="Q44" i="50"/>
  <c r="P44" i="50"/>
  <c r="L44" i="50"/>
  <c r="M44" i="50" s="1"/>
  <c r="N44" i="50" s="1"/>
  <c r="K44" i="50"/>
  <c r="G44" i="50"/>
  <c r="E44" i="50"/>
  <c r="W43" i="50"/>
  <c r="X43" i="50"/>
  <c r="U43" i="50"/>
  <c r="T43" i="50"/>
  <c r="Q43" i="50"/>
  <c r="P43" i="50"/>
  <c r="L43" i="50"/>
  <c r="M43" i="50"/>
  <c r="N43" i="50" s="1"/>
  <c r="K43" i="50"/>
  <c r="G43" i="50"/>
  <c r="E43" i="50"/>
  <c r="W42" i="50"/>
  <c r="X42" i="50"/>
  <c r="Q42" i="50"/>
  <c r="P42" i="50"/>
  <c r="L42" i="50"/>
  <c r="M42" i="50" s="1"/>
  <c r="N42" i="50" s="1"/>
  <c r="K42" i="50"/>
  <c r="G42" i="50"/>
  <c r="E42" i="50"/>
  <c r="W41" i="50"/>
  <c r="X41" i="50" s="1"/>
  <c r="Q41" i="50"/>
  <c r="P41" i="50"/>
  <c r="L41" i="50"/>
  <c r="M41" i="50" s="1"/>
  <c r="N41" i="50" s="1"/>
  <c r="K41" i="50"/>
  <c r="G41" i="50"/>
  <c r="E41" i="50"/>
  <c r="W40" i="50"/>
  <c r="X40" i="50" s="1"/>
  <c r="Q40" i="50"/>
  <c r="P40" i="50"/>
  <c r="L40" i="50"/>
  <c r="M40" i="50" s="1"/>
  <c r="N40" i="50" s="1"/>
  <c r="K40" i="50"/>
  <c r="G40" i="50"/>
  <c r="E40" i="50"/>
  <c r="W39" i="50"/>
  <c r="X39" i="50" s="1"/>
  <c r="Q39" i="50"/>
  <c r="P39" i="50"/>
  <c r="L39" i="50"/>
  <c r="M39" i="50" s="1"/>
  <c r="N39" i="50" s="1"/>
  <c r="W38" i="50"/>
  <c r="X38" i="50" s="1"/>
  <c r="Q38" i="50"/>
  <c r="P38" i="50"/>
  <c r="L38" i="50"/>
  <c r="M38" i="50" s="1"/>
  <c r="N38" i="50"/>
  <c r="K38" i="50"/>
  <c r="G38" i="50"/>
  <c r="E38" i="50"/>
  <c r="W37" i="50"/>
  <c r="X37" i="50" s="1"/>
  <c r="Q37" i="50"/>
  <c r="P37" i="50"/>
  <c r="L37" i="50"/>
  <c r="M37" i="50" s="1"/>
  <c r="N37" i="50" s="1"/>
  <c r="K37" i="50"/>
  <c r="G37" i="50"/>
  <c r="E37" i="50"/>
  <c r="W36" i="50"/>
  <c r="X36" i="50" s="1"/>
  <c r="Q36" i="50"/>
  <c r="P36" i="50"/>
  <c r="L36" i="50"/>
  <c r="M36" i="50" s="1"/>
  <c r="N36" i="50" s="1"/>
  <c r="K36" i="50"/>
  <c r="G36" i="50"/>
  <c r="E36" i="50"/>
  <c r="W35" i="50"/>
  <c r="X35" i="50" s="1"/>
  <c r="Q35" i="50"/>
  <c r="P35" i="50"/>
  <c r="L35" i="50"/>
  <c r="M35" i="50" s="1"/>
  <c r="N35" i="50" s="1"/>
  <c r="K35" i="50"/>
  <c r="G35" i="50"/>
  <c r="E35" i="50"/>
  <c r="W34" i="50"/>
  <c r="X34" i="50" s="1"/>
  <c r="Q34" i="50"/>
  <c r="P34" i="50"/>
  <c r="L34" i="50"/>
  <c r="M34" i="50"/>
  <c r="N34" i="50" s="1"/>
  <c r="K34" i="50"/>
  <c r="G34" i="50"/>
  <c r="E34" i="50"/>
  <c r="W33" i="50"/>
  <c r="X33" i="50" s="1"/>
  <c r="Q33" i="50"/>
  <c r="P33" i="50"/>
  <c r="L33" i="50"/>
  <c r="M33" i="50" s="1"/>
  <c r="N33" i="50" s="1"/>
  <c r="K33" i="50"/>
  <c r="G33" i="50"/>
  <c r="E33" i="50"/>
  <c r="W32" i="50"/>
  <c r="X32" i="50" s="1"/>
  <c r="Q32" i="50"/>
  <c r="P32" i="50"/>
  <c r="L32" i="50"/>
  <c r="M32" i="50" s="1"/>
  <c r="N32" i="50" s="1"/>
  <c r="K32" i="50"/>
  <c r="G32" i="50"/>
  <c r="E32" i="50"/>
  <c r="W31" i="50"/>
  <c r="X31" i="50" s="1"/>
  <c r="Q31" i="50"/>
  <c r="P31" i="50"/>
  <c r="L31" i="50"/>
  <c r="M31" i="50" s="1"/>
  <c r="N31" i="50" s="1"/>
  <c r="K31" i="50"/>
  <c r="G31" i="50"/>
  <c r="E31" i="50"/>
  <c r="W30" i="50"/>
  <c r="X30" i="50"/>
  <c r="Q30" i="50"/>
  <c r="P30" i="50"/>
  <c r="L30" i="50"/>
  <c r="M30" i="50"/>
  <c r="N30" i="50" s="1"/>
  <c r="K30" i="50"/>
  <c r="G30" i="50"/>
  <c r="E30" i="50"/>
  <c r="W29" i="50"/>
  <c r="X29" i="50" s="1"/>
  <c r="Q29" i="50"/>
  <c r="P29" i="50"/>
  <c r="L29" i="50"/>
  <c r="M29" i="50" s="1"/>
  <c r="N29" i="50" s="1"/>
  <c r="K29" i="50"/>
  <c r="G29" i="50"/>
  <c r="E29" i="50"/>
  <c r="W28" i="50"/>
  <c r="X28" i="50" s="1"/>
  <c r="Q28" i="50"/>
  <c r="P28" i="50"/>
  <c r="L28" i="50"/>
  <c r="M28" i="50" s="1"/>
  <c r="N28" i="50" s="1"/>
  <c r="K28" i="50"/>
  <c r="G28" i="50"/>
  <c r="E28" i="50"/>
  <c r="W27" i="50"/>
  <c r="X27" i="50" s="1"/>
  <c r="U27" i="50"/>
  <c r="T27" i="50"/>
  <c r="S27" i="50"/>
  <c r="Q27" i="50"/>
  <c r="P27" i="50"/>
  <c r="L27" i="50"/>
  <c r="M27" i="50" s="1"/>
  <c r="N27" i="50" s="1"/>
  <c r="K27" i="50"/>
  <c r="G27" i="50"/>
  <c r="E27" i="50"/>
  <c r="W26" i="50"/>
  <c r="X26" i="50" s="1"/>
  <c r="Q26" i="50"/>
  <c r="P26" i="50"/>
  <c r="L26" i="50"/>
  <c r="M26" i="50" s="1"/>
  <c r="N26" i="50" s="1"/>
  <c r="K26" i="50"/>
  <c r="G26" i="50"/>
  <c r="E26" i="50"/>
  <c r="W25" i="50"/>
  <c r="X25" i="50"/>
  <c r="Q25" i="50"/>
  <c r="P25" i="50"/>
  <c r="L25" i="50"/>
  <c r="M25" i="50"/>
  <c r="N25" i="50" s="1"/>
  <c r="K25" i="50"/>
  <c r="G25" i="50"/>
  <c r="E25" i="50"/>
  <c r="W24" i="50"/>
  <c r="X24" i="50"/>
  <c r="Q24" i="50"/>
  <c r="P24" i="50"/>
  <c r="L24" i="50"/>
  <c r="M24" i="50" s="1"/>
  <c r="N24" i="50" s="1"/>
  <c r="K24" i="50"/>
  <c r="G24" i="50"/>
  <c r="E24" i="50"/>
  <c r="W23" i="50"/>
  <c r="X23" i="50" s="1"/>
  <c r="U23" i="50"/>
  <c r="T23" i="50"/>
  <c r="S23" i="50"/>
  <c r="Q23" i="50"/>
  <c r="P23" i="50"/>
  <c r="L23" i="50"/>
  <c r="M23" i="50" s="1"/>
  <c r="N23" i="50" s="1"/>
  <c r="K23" i="50"/>
  <c r="G23" i="50"/>
  <c r="E23" i="50"/>
  <c r="W22" i="50"/>
  <c r="X22" i="50" s="1"/>
  <c r="Q22" i="50"/>
  <c r="P22" i="50"/>
  <c r="L22" i="50"/>
  <c r="M22" i="50"/>
  <c r="N22" i="50"/>
  <c r="W21" i="50"/>
  <c r="X21" i="50"/>
  <c r="Q21" i="50"/>
  <c r="P21" i="50"/>
  <c r="L21" i="50"/>
  <c r="M21" i="50" s="1"/>
  <c r="N21" i="50" s="1"/>
  <c r="W20" i="50"/>
  <c r="X20" i="50"/>
  <c r="Q20" i="50"/>
  <c r="P20" i="50"/>
  <c r="L20" i="50"/>
  <c r="M20" i="50" s="1"/>
  <c r="N20" i="50" s="1"/>
  <c r="K20" i="50"/>
  <c r="G20" i="50"/>
  <c r="E20" i="50"/>
  <c r="W19" i="50"/>
  <c r="X19" i="50" s="1"/>
  <c r="Q19" i="50"/>
  <c r="P19" i="50"/>
  <c r="L19" i="50"/>
  <c r="M19" i="50" s="1"/>
  <c r="N19" i="50" s="1"/>
  <c r="K19" i="50"/>
  <c r="G19" i="50"/>
  <c r="E19" i="50"/>
  <c r="W18" i="50"/>
  <c r="X18" i="50"/>
  <c r="Q18" i="50"/>
  <c r="P18" i="50"/>
  <c r="L18" i="50"/>
  <c r="M18" i="50"/>
  <c r="N18" i="50"/>
  <c r="K18" i="50"/>
  <c r="G18" i="50"/>
  <c r="E18" i="50"/>
  <c r="W17" i="50"/>
  <c r="X17" i="50" s="1"/>
  <c r="Q17" i="50"/>
  <c r="P17" i="50"/>
  <c r="L17" i="50"/>
  <c r="M17" i="50" s="1"/>
  <c r="N17" i="50" s="1"/>
  <c r="K17" i="50"/>
  <c r="G17" i="50"/>
  <c r="E17" i="50"/>
  <c r="W16" i="50"/>
  <c r="X16" i="50" s="1"/>
  <c r="U16" i="50"/>
  <c r="T16" i="50"/>
  <c r="S16" i="50"/>
  <c r="Q16" i="50"/>
  <c r="P16" i="50"/>
  <c r="L16" i="50"/>
  <c r="M16" i="50" s="1"/>
  <c r="N16" i="50" s="1"/>
  <c r="K16" i="50"/>
  <c r="G16" i="50"/>
  <c r="E16" i="50"/>
  <c r="W15" i="50"/>
  <c r="X15" i="50"/>
  <c r="Q15" i="50"/>
  <c r="P15" i="50"/>
  <c r="L15" i="50"/>
  <c r="M15" i="50"/>
  <c r="W14" i="50"/>
  <c r="X14" i="50" s="1"/>
  <c r="U14" i="50"/>
  <c r="T14" i="50"/>
  <c r="Q14" i="50"/>
  <c r="P14" i="50"/>
  <c r="L14" i="50"/>
  <c r="M14" i="50" s="1"/>
  <c r="N14" i="50" s="1"/>
  <c r="K14" i="50"/>
  <c r="G14" i="50"/>
  <c r="E14" i="50"/>
  <c r="W13" i="50"/>
  <c r="X13" i="50"/>
  <c r="Q13" i="50"/>
  <c r="P13" i="50"/>
  <c r="L13" i="50"/>
  <c r="M13" i="50" s="1"/>
  <c r="N13" i="50" s="1"/>
  <c r="K13" i="50"/>
  <c r="G13" i="50"/>
  <c r="E13" i="50"/>
  <c r="W12" i="50"/>
  <c r="X12" i="50" s="1"/>
  <c r="Q12" i="50"/>
  <c r="P12" i="50"/>
  <c r="L12" i="50"/>
  <c r="M12" i="50" s="1"/>
  <c r="N12" i="50" s="1"/>
  <c r="K12" i="50"/>
  <c r="G12" i="50"/>
  <c r="E12" i="50"/>
  <c r="W11" i="50"/>
  <c r="X11" i="50"/>
  <c r="Q11" i="50"/>
  <c r="P11" i="50"/>
  <c r="L11" i="50"/>
  <c r="M11" i="50"/>
  <c r="N11" i="50" s="1"/>
  <c r="K11" i="50"/>
  <c r="G11" i="50"/>
  <c r="E11" i="50"/>
  <c r="W10" i="50"/>
  <c r="X10" i="50" s="1"/>
  <c r="Q10" i="50"/>
  <c r="P10" i="50"/>
  <c r="L10" i="50"/>
  <c r="M10" i="50" s="1"/>
  <c r="N10" i="50" s="1"/>
  <c r="K10" i="50"/>
  <c r="G10" i="50"/>
  <c r="E10" i="50"/>
  <c r="W9" i="50"/>
  <c r="X9" i="50" s="1"/>
  <c r="Q9" i="50"/>
  <c r="P9" i="50"/>
  <c r="L9" i="50"/>
  <c r="M9" i="50" s="1"/>
  <c r="N9" i="50" s="1"/>
  <c r="K9" i="50"/>
  <c r="G9" i="50"/>
  <c r="E9" i="50"/>
  <c r="W8" i="50"/>
  <c r="X8" i="50" s="1"/>
  <c r="Q8" i="50"/>
  <c r="P8" i="50"/>
  <c r="L8" i="50"/>
  <c r="M8" i="50" s="1"/>
  <c r="N8" i="50" s="1"/>
  <c r="K8" i="50"/>
  <c r="G8" i="50"/>
  <c r="E8" i="50"/>
  <c r="W7" i="50"/>
  <c r="X7" i="50"/>
  <c r="Q7" i="50"/>
  <c r="P7" i="50"/>
  <c r="L7" i="50"/>
  <c r="M7" i="50" s="1"/>
  <c r="K7" i="50"/>
  <c r="G7" i="50"/>
  <c r="E7" i="50"/>
  <c r="W6" i="50"/>
  <c r="X6" i="50" s="1"/>
  <c r="Q6" i="50"/>
  <c r="P6" i="50"/>
  <c r="L6" i="50"/>
  <c r="M6" i="50" s="1"/>
  <c r="K6" i="50"/>
  <c r="G6" i="50"/>
  <c r="E6" i="50"/>
  <c r="S367" i="49"/>
  <c r="S309" i="49"/>
  <c r="F103" i="48"/>
  <c r="D103" i="48"/>
  <c r="J194" i="48"/>
  <c r="F194" i="48"/>
  <c r="D194" i="48"/>
  <c r="K239" i="48"/>
  <c r="K195" i="48"/>
  <c r="J114" i="48"/>
  <c r="F114" i="48"/>
  <c r="D114" i="48"/>
  <c r="G150" i="48"/>
  <c r="K136" i="49"/>
  <c r="G136" i="49"/>
  <c r="E136" i="49"/>
  <c r="K137" i="48"/>
  <c r="G137" i="48"/>
  <c r="E137" i="48"/>
  <c r="K83" i="49"/>
  <c r="K84" i="49"/>
  <c r="G83" i="49"/>
  <c r="G84" i="49"/>
  <c r="E83" i="49"/>
  <c r="E84" i="49"/>
  <c r="K83" i="48"/>
  <c r="G83" i="48"/>
  <c r="E83" i="48"/>
  <c r="W7" i="49"/>
  <c r="W8" i="49"/>
  <c r="X8" i="49" s="1"/>
  <c r="W9" i="49"/>
  <c r="X9" i="49" s="1"/>
  <c r="W10" i="49"/>
  <c r="X10" i="49" s="1"/>
  <c r="W11" i="49"/>
  <c r="X11" i="49" s="1"/>
  <c r="W12" i="49"/>
  <c r="X12" i="49" s="1"/>
  <c r="W13" i="49"/>
  <c r="X13" i="49" s="1"/>
  <c r="W14" i="49"/>
  <c r="X14" i="49"/>
  <c r="W15" i="49"/>
  <c r="X15" i="49"/>
  <c r="W16" i="49"/>
  <c r="X16" i="49" s="1"/>
  <c r="W17" i="49"/>
  <c r="X17" i="49"/>
  <c r="W18" i="49"/>
  <c r="X18" i="49" s="1"/>
  <c r="W19" i="49"/>
  <c r="X19" i="49" s="1"/>
  <c r="W20" i="49"/>
  <c r="X20" i="49"/>
  <c r="W21" i="49"/>
  <c r="X21" i="49" s="1"/>
  <c r="W22" i="49"/>
  <c r="X22" i="49" s="1"/>
  <c r="W23" i="49"/>
  <c r="X23" i="49"/>
  <c r="W24" i="49"/>
  <c r="X24" i="49" s="1"/>
  <c r="W25" i="49"/>
  <c r="X25" i="49"/>
  <c r="W26" i="49"/>
  <c r="X26" i="49"/>
  <c r="W27" i="49"/>
  <c r="X27" i="49"/>
  <c r="W28" i="49"/>
  <c r="X28" i="49" s="1"/>
  <c r="W29" i="49"/>
  <c r="X29" i="49"/>
  <c r="W30" i="49"/>
  <c r="X30" i="49" s="1"/>
  <c r="W31" i="49"/>
  <c r="X31" i="49" s="1"/>
  <c r="W32" i="49"/>
  <c r="X32" i="49" s="1"/>
  <c r="W33" i="49"/>
  <c r="X33" i="49" s="1"/>
  <c r="W34" i="49"/>
  <c r="X34" i="49" s="1"/>
  <c r="W35" i="49"/>
  <c r="X35" i="49"/>
  <c r="W36" i="49"/>
  <c r="X36" i="49" s="1"/>
  <c r="W37" i="49"/>
  <c r="X37" i="49"/>
  <c r="W38" i="49"/>
  <c r="X38" i="49"/>
  <c r="W39" i="49"/>
  <c r="X39" i="49" s="1"/>
  <c r="W40" i="49"/>
  <c r="X40" i="49"/>
  <c r="W41" i="49"/>
  <c r="X41" i="49" s="1"/>
  <c r="W42" i="49"/>
  <c r="X42" i="49" s="1"/>
  <c r="W43" i="49"/>
  <c r="X43" i="49" s="1"/>
  <c r="W44" i="49"/>
  <c r="X44" i="49"/>
  <c r="W45" i="49"/>
  <c r="X45" i="49"/>
  <c r="W46" i="49"/>
  <c r="X46" i="49" s="1"/>
  <c r="W47" i="49"/>
  <c r="X47" i="49" s="1"/>
  <c r="W48" i="49"/>
  <c r="X48" i="49" s="1"/>
  <c r="W49" i="49"/>
  <c r="X49" i="49" s="1"/>
  <c r="W50" i="49"/>
  <c r="X50" i="49"/>
  <c r="W51" i="49"/>
  <c r="X51" i="49" s="1"/>
  <c r="W52" i="49"/>
  <c r="X52" i="49" s="1"/>
  <c r="W53" i="49"/>
  <c r="X53" i="49" s="1"/>
  <c r="W54" i="49"/>
  <c r="X54" i="49" s="1"/>
  <c r="W55" i="49"/>
  <c r="X55" i="49" s="1"/>
  <c r="W56" i="49"/>
  <c r="X56" i="49" s="1"/>
  <c r="W57" i="49"/>
  <c r="X57" i="49" s="1"/>
  <c r="W58" i="49"/>
  <c r="X58" i="49"/>
  <c r="W59" i="49"/>
  <c r="X59" i="49"/>
  <c r="W60" i="49"/>
  <c r="X60" i="49" s="1"/>
  <c r="W61" i="49"/>
  <c r="X61" i="49" s="1"/>
  <c r="W62" i="49"/>
  <c r="X62" i="49"/>
  <c r="W63" i="49"/>
  <c r="X63" i="49"/>
  <c r="W64" i="49"/>
  <c r="X64" i="49" s="1"/>
  <c r="W65" i="49"/>
  <c r="X65" i="49"/>
  <c r="W66" i="49"/>
  <c r="X66" i="49" s="1"/>
  <c r="W67" i="49"/>
  <c r="X67" i="49" s="1"/>
  <c r="W68" i="49"/>
  <c r="X68" i="49" s="1"/>
  <c r="W69" i="49"/>
  <c r="X69" i="49" s="1"/>
  <c r="W70" i="49"/>
  <c r="X70" i="49" s="1"/>
  <c r="W71" i="49"/>
  <c r="X71" i="49"/>
  <c r="W72" i="49"/>
  <c r="X72" i="49" s="1"/>
  <c r="W73" i="49"/>
  <c r="X73" i="49"/>
  <c r="W74" i="49"/>
  <c r="X74" i="49" s="1"/>
  <c r="W75" i="49"/>
  <c r="X75" i="49"/>
  <c r="W76" i="49"/>
  <c r="X76" i="49" s="1"/>
  <c r="W77" i="49"/>
  <c r="X77" i="49"/>
  <c r="W78" i="49"/>
  <c r="X78" i="49" s="1"/>
  <c r="W79" i="49"/>
  <c r="X79" i="49" s="1"/>
  <c r="W80" i="49"/>
  <c r="X80" i="49" s="1"/>
  <c r="W81" i="49"/>
  <c r="X81" i="49" s="1"/>
  <c r="W82" i="49"/>
  <c r="X82" i="49" s="1"/>
  <c r="W83" i="49"/>
  <c r="X83" i="49" s="1"/>
  <c r="W84" i="49"/>
  <c r="X84" i="49" s="1"/>
  <c r="W85" i="49"/>
  <c r="X85" i="49" s="1"/>
  <c r="W86" i="49"/>
  <c r="X86" i="49"/>
  <c r="W87" i="49"/>
  <c r="X87" i="49" s="1"/>
  <c r="W88" i="49"/>
  <c r="X88" i="49"/>
  <c r="W89" i="49"/>
  <c r="X89" i="49" s="1"/>
  <c r="W90" i="49"/>
  <c r="X90" i="49" s="1"/>
  <c r="W91" i="49"/>
  <c r="X91" i="49"/>
  <c r="W92" i="49"/>
  <c r="X92" i="49"/>
  <c r="W93" i="49"/>
  <c r="X93" i="49" s="1"/>
  <c r="W94" i="49"/>
  <c r="X94" i="49" s="1"/>
  <c r="W95" i="49"/>
  <c r="X95" i="49"/>
  <c r="W96" i="49"/>
  <c r="X96" i="49" s="1"/>
  <c r="W97" i="49"/>
  <c r="X97" i="49" s="1"/>
  <c r="W98" i="49"/>
  <c r="X98" i="49" s="1"/>
  <c r="W99" i="49"/>
  <c r="X99" i="49" s="1"/>
  <c r="W100" i="49"/>
  <c r="X100" i="49"/>
  <c r="W101" i="49"/>
  <c r="X101" i="49"/>
  <c r="W102" i="49"/>
  <c r="X102" i="49" s="1"/>
  <c r="W103" i="49"/>
  <c r="W104" i="49"/>
  <c r="X104" i="49" s="1"/>
  <c r="W105" i="49"/>
  <c r="X105" i="49" s="1"/>
  <c r="W106" i="49"/>
  <c r="X106" i="49" s="1"/>
  <c r="W107" i="49"/>
  <c r="X107" i="49" s="1"/>
  <c r="W108" i="49"/>
  <c r="X108" i="49" s="1"/>
  <c r="W109" i="49"/>
  <c r="X109" i="49"/>
  <c r="W110" i="49"/>
  <c r="X110" i="49" s="1"/>
  <c r="W111" i="49"/>
  <c r="X111" i="49" s="1"/>
  <c r="W112" i="49"/>
  <c r="X112" i="49" s="1"/>
  <c r="W113" i="49"/>
  <c r="X113" i="49" s="1"/>
  <c r="W115" i="49"/>
  <c r="X115" i="49"/>
  <c r="W116" i="49"/>
  <c r="X116" i="49" s="1"/>
  <c r="W117" i="49"/>
  <c r="X117" i="49" s="1"/>
  <c r="W118" i="49"/>
  <c r="X118" i="49"/>
  <c r="W119" i="49"/>
  <c r="X119" i="49" s="1"/>
  <c r="W120" i="49"/>
  <c r="X120" i="49" s="1"/>
  <c r="W121" i="49"/>
  <c r="X121" i="49" s="1"/>
  <c r="W122" i="49"/>
  <c r="X122" i="49"/>
  <c r="W123" i="49"/>
  <c r="X123" i="49" s="1"/>
  <c r="W124" i="49"/>
  <c r="X124" i="49"/>
  <c r="W125" i="49"/>
  <c r="X125" i="49" s="1"/>
  <c r="W126" i="49"/>
  <c r="X126" i="49" s="1"/>
  <c r="W127" i="49"/>
  <c r="X127" i="49" s="1"/>
  <c r="W128" i="49"/>
  <c r="X128" i="49"/>
  <c r="W129" i="49"/>
  <c r="X129" i="49" s="1"/>
  <c r="W130" i="49"/>
  <c r="X130" i="49" s="1"/>
  <c r="W131" i="49"/>
  <c r="X131" i="49" s="1"/>
  <c r="W132" i="49"/>
  <c r="X132" i="49" s="1"/>
  <c r="W133" i="49"/>
  <c r="X133" i="49" s="1"/>
  <c r="W134" i="49"/>
  <c r="X134" i="49"/>
  <c r="W135" i="49"/>
  <c r="X135" i="49" s="1"/>
  <c r="W136" i="49"/>
  <c r="X136" i="49"/>
  <c r="W137" i="49"/>
  <c r="X137" i="49" s="1"/>
  <c r="W138" i="49"/>
  <c r="X138" i="49" s="1"/>
  <c r="W139" i="49"/>
  <c r="X139" i="49"/>
  <c r="W140" i="49"/>
  <c r="X140" i="49" s="1"/>
  <c r="W141" i="49"/>
  <c r="X141" i="49" s="1"/>
  <c r="W142" i="49"/>
  <c r="X142" i="49"/>
  <c r="W143" i="49"/>
  <c r="X143" i="49" s="1"/>
  <c r="W144" i="49"/>
  <c r="X144" i="49" s="1"/>
  <c r="W145" i="49"/>
  <c r="X145" i="49" s="1"/>
  <c r="W146" i="49"/>
  <c r="X146" i="49" s="1"/>
  <c r="W147" i="49"/>
  <c r="X147" i="49" s="1"/>
  <c r="W148" i="49"/>
  <c r="X148" i="49"/>
  <c r="W149" i="49"/>
  <c r="X149" i="49" s="1"/>
  <c r="W150" i="49"/>
  <c r="X150" i="49" s="1"/>
  <c r="W151" i="49"/>
  <c r="X151" i="49"/>
  <c r="W152" i="49"/>
  <c r="X152" i="49"/>
  <c r="W153" i="49"/>
  <c r="X153" i="49" s="1"/>
  <c r="W154" i="49"/>
  <c r="X154" i="49"/>
  <c r="W155" i="49"/>
  <c r="X155" i="49" s="1"/>
  <c r="W156" i="49"/>
  <c r="X156" i="49" s="1"/>
  <c r="W157" i="49"/>
  <c r="X157" i="49" s="1"/>
  <c r="W158" i="49"/>
  <c r="X158" i="49" s="1"/>
  <c r="W159" i="49"/>
  <c r="X159" i="49" s="1"/>
  <c r="W160" i="49"/>
  <c r="X160" i="49" s="1"/>
  <c r="W161" i="49"/>
  <c r="X161" i="49" s="1"/>
  <c r="W162" i="49"/>
  <c r="X162" i="49" s="1"/>
  <c r="W163" i="49"/>
  <c r="X163" i="49" s="1"/>
  <c r="W164" i="49"/>
  <c r="X164" i="49"/>
  <c r="W165" i="49"/>
  <c r="X165" i="49" s="1"/>
  <c r="W166" i="49"/>
  <c r="X166" i="49"/>
  <c r="W167" i="49"/>
  <c r="X167" i="49" s="1"/>
  <c r="W168" i="49"/>
  <c r="X168" i="49" s="1"/>
  <c r="W169" i="49"/>
  <c r="X169" i="49"/>
  <c r="W170" i="49"/>
  <c r="X170" i="49" s="1"/>
  <c r="W171" i="49"/>
  <c r="X171" i="49" s="1"/>
  <c r="W172" i="49"/>
  <c r="X172" i="49" s="1"/>
  <c r="W173" i="49"/>
  <c r="X173" i="49" s="1"/>
  <c r="W174" i="49"/>
  <c r="X174" i="49" s="1"/>
  <c r="W175" i="49"/>
  <c r="X175" i="49"/>
  <c r="W176" i="49"/>
  <c r="X176" i="49"/>
  <c r="W177" i="49"/>
  <c r="X177" i="49" s="1"/>
  <c r="W178" i="49"/>
  <c r="X178" i="49"/>
  <c r="W179" i="49"/>
  <c r="X179" i="49" s="1"/>
  <c r="W180" i="49"/>
  <c r="X180" i="49" s="1"/>
  <c r="W181" i="49"/>
  <c r="X181" i="49"/>
  <c r="W182" i="49"/>
  <c r="X182" i="49"/>
  <c r="W183" i="49"/>
  <c r="X183" i="49" s="1"/>
  <c r="W184" i="49"/>
  <c r="X184" i="49"/>
  <c r="W185" i="49"/>
  <c r="X185" i="49" s="1"/>
  <c r="W186" i="49"/>
  <c r="X186" i="49" s="1"/>
  <c r="W187" i="49"/>
  <c r="X187" i="49" s="1"/>
  <c r="W188" i="49"/>
  <c r="X188" i="49"/>
  <c r="W189" i="49"/>
  <c r="X189" i="49" s="1"/>
  <c r="W190" i="49"/>
  <c r="X190" i="49"/>
  <c r="W191" i="49"/>
  <c r="X191" i="49" s="1"/>
  <c r="W192" i="49"/>
  <c r="X192" i="49" s="1"/>
  <c r="W195" i="49"/>
  <c r="X195" i="49" s="1"/>
  <c r="W196" i="49"/>
  <c r="X196" i="49"/>
  <c r="W197" i="49"/>
  <c r="X197" i="49" s="1"/>
  <c r="W198" i="49"/>
  <c r="X198" i="49"/>
  <c r="W199" i="49"/>
  <c r="X199" i="49"/>
  <c r="W200" i="49"/>
  <c r="X200" i="49"/>
  <c r="W201" i="49"/>
  <c r="X201" i="49" s="1"/>
  <c r="W202" i="49"/>
  <c r="X202" i="49" s="1"/>
  <c r="W203" i="49"/>
  <c r="X203" i="49"/>
  <c r="W204" i="49"/>
  <c r="X204" i="49" s="1"/>
  <c r="W205" i="49"/>
  <c r="X205" i="49" s="1"/>
  <c r="W206" i="49"/>
  <c r="X206" i="49"/>
  <c r="W207" i="49"/>
  <c r="X207" i="49" s="1"/>
  <c r="W208" i="49"/>
  <c r="X208" i="49" s="1"/>
  <c r="W209" i="49"/>
  <c r="X209" i="49" s="1"/>
  <c r="W210" i="49"/>
  <c r="X210" i="49" s="1"/>
  <c r="W211" i="49"/>
  <c r="X211" i="49" s="1"/>
  <c r="W212" i="49"/>
  <c r="X212" i="49" s="1"/>
  <c r="W213" i="49"/>
  <c r="X213" i="49" s="1"/>
  <c r="W214" i="49"/>
  <c r="X214" i="49" s="1"/>
  <c r="W215" i="49"/>
  <c r="X215" i="49" s="1"/>
  <c r="W216" i="49"/>
  <c r="X216" i="49" s="1"/>
  <c r="W217" i="49"/>
  <c r="X217" i="49" s="1"/>
  <c r="W218" i="49"/>
  <c r="X218" i="49" s="1"/>
  <c r="W219" i="49"/>
  <c r="X219" i="49" s="1"/>
  <c r="W220" i="49"/>
  <c r="X220" i="49"/>
  <c r="W221" i="49"/>
  <c r="X221" i="49" s="1"/>
  <c r="W222" i="49"/>
  <c r="X222" i="49"/>
  <c r="W223" i="49"/>
  <c r="X223" i="49" s="1"/>
  <c r="W224" i="49"/>
  <c r="X224" i="49" s="1"/>
  <c r="W225" i="49"/>
  <c r="X225" i="49" s="1"/>
  <c r="W226" i="49"/>
  <c r="X226" i="49" s="1"/>
  <c r="W227" i="49"/>
  <c r="X227" i="49" s="1"/>
  <c r="W228" i="49"/>
  <c r="X228" i="49" s="1"/>
  <c r="W229" i="49"/>
  <c r="X229" i="49"/>
  <c r="W230" i="49"/>
  <c r="X230" i="49" s="1"/>
  <c r="W231" i="49"/>
  <c r="X231" i="49" s="1"/>
  <c r="W232" i="49"/>
  <c r="X232" i="49" s="1"/>
  <c r="W233" i="49"/>
  <c r="X233" i="49" s="1"/>
  <c r="W234" i="49"/>
  <c r="X234" i="49" s="1"/>
  <c r="W235" i="49"/>
  <c r="X235" i="49" s="1"/>
  <c r="W236" i="49"/>
  <c r="X236" i="49" s="1"/>
  <c r="W237" i="49"/>
  <c r="X237" i="49" s="1"/>
  <c r="W238" i="49"/>
  <c r="X238" i="49" s="1"/>
  <c r="W239" i="49"/>
  <c r="X239" i="49" s="1"/>
  <c r="W240" i="49"/>
  <c r="X240" i="49" s="1"/>
  <c r="W241" i="49"/>
  <c r="X241" i="49" s="1"/>
  <c r="W242" i="49"/>
  <c r="X242" i="49"/>
  <c r="W243" i="49"/>
  <c r="X243" i="49" s="1"/>
  <c r="W244" i="49"/>
  <c r="X244" i="49" s="1"/>
  <c r="W245" i="49"/>
  <c r="X245" i="49" s="1"/>
  <c r="W246" i="49"/>
  <c r="X246" i="49" s="1"/>
  <c r="W247" i="49"/>
  <c r="X247" i="49" s="1"/>
  <c r="W248" i="49"/>
  <c r="X248" i="49" s="1"/>
  <c r="W249" i="49"/>
  <c r="X249" i="49" s="1"/>
  <c r="W250" i="49"/>
  <c r="X250" i="49"/>
  <c r="W251" i="49"/>
  <c r="X251" i="49" s="1"/>
  <c r="W252" i="49"/>
  <c r="X252" i="49" s="1"/>
  <c r="W253" i="49"/>
  <c r="X253" i="49" s="1"/>
  <c r="W254" i="49"/>
  <c r="X254" i="49" s="1"/>
  <c r="W255" i="49"/>
  <c r="X255" i="49" s="1"/>
  <c r="W256" i="49"/>
  <c r="X256" i="49" s="1"/>
  <c r="W257" i="49"/>
  <c r="X257" i="49" s="1"/>
  <c r="W258" i="49"/>
  <c r="X258" i="49" s="1"/>
  <c r="W259" i="49"/>
  <c r="X259" i="49" s="1"/>
  <c r="W260" i="49"/>
  <c r="X260" i="49" s="1"/>
  <c r="X261" i="49"/>
  <c r="X262" i="49"/>
  <c r="X264" i="49"/>
  <c r="W265" i="49"/>
  <c r="X265" i="49" s="1"/>
  <c r="W266" i="49"/>
  <c r="X266" i="49"/>
  <c r="W267" i="49"/>
  <c r="X267" i="49" s="1"/>
  <c r="W268" i="49"/>
  <c r="X268" i="49"/>
  <c r="W269" i="49"/>
  <c r="X269" i="49" s="1"/>
  <c r="W270" i="49"/>
  <c r="X270" i="49" s="1"/>
  <c r="W271" i="49"/>
  <c r="X271" i="49" s="1"/>
  <c r="W272" i="49"/>
  <c r="X272" i="49" s="1"/>
  <c r="W273" i="49"/>
  <c r="X273" i="49" s="1"/>
  <c r="W274" i="49"/>
  <c r="X274" i="49"/>
  <c r="W275" i="49"/>
  <c r="X275" i="49" s="1"/>
  <c r="W276" i="49"/>
  <c r="X276" i="49"/>
  <c r="W277" i="49"/>
  <c r="X277" i="49" s="1"/>
  <c r="W278" i="49"/>
  <c r="X278" i="49" s="1"/>
  <c r="W279" i="49"/>
  <c r="X279" i="49"/>
  <c r="W280" i="49"/>
  <c r="X280" i="49" s="1"/>
  <c r="W281" i="49"/>
  <c r="X281" i="49"/>
  <c r="W282" i="49"/>
  <c r="X282" i="49" s="1"/>
  <c r="W283" i="49"/>
  <c r="X283" i="49" s="1"/>
  <c r="W284" i="49"/>
  <c r="X284" i="49"/>
  <c r="W285" i="49"/>
  <c r="X285" i="49" s="1"/>
  <c r="W286" i="49"/>
  <c r="X286" i="49"/>
  <c r="W287" i="49"/>
  <c r="X287" i="49" s="1"/>
  <c r="W288" i="49"/>
  <c r="X288" i="49"/>
  <c r="W289" i="49"/>
  <c r="X289" i="49" s="1"/>
  <c r="W290" i="49"/>
  <c r="X290" i="49" s="1"/>
  <c r="W291" i="49"/>
  <c r="X291" i="49" s="1"/>
  <c r="W292" i="49"/>
  <c r="X292" i="49" s="1"/>
  <c r="W293" i="49"/>
  <c r="X293" i="49" s="1"/>
  <c r="W294" i="49"/>
  <c r="X294" i="49"/>
  <c r="W295" i="49"/>
  <c r="X295" i="49" s="1"/>
  <c r="W296" i="49"/>
  <c r="X296" i="49" s="1"/>
  <c r="W297" i="49"/>
  <c r="X297" i="49" s="1"/>
  <c r="W298" i="49"/>
  <c r="X298" i="49" s="1"/>
  <c r="W299" i="49"/>
  <c r="X299" i="49" s="1"/>
  <c r="W300" i="49"/>
  <c r="X300" i="49"/>
  <c r="W301" i="49"/>
  <c r="X301" i="49" s="1"/>
  <c r="W302" i="49"/>
  <c r="X302" i="49" s="1"/>
  <c r="W303" i="49"/>
  <c r="X303" i="49" s="1"/>
  <c r="W304" i="49"/>
  <c r="X304" i="49" s="1"/>
  <c r="W305" i="49"/>
  <c r="X305" i="49"/>
  <c r="W306" i="49"/>
  <c r="X306" i="49" s="1"/>
  <c r="W307" i="49"/>
  <c r="X307" i="49" s="1"/>
  <c r="W308" i="49"/>
  <c r="X308" i="49"/>
  <c r="W309" i="49"/>
  <c r="X309" i="49"/>
  <c r="W310" i="49"/>
  <c r="X310" i="49"/>
  <c r="W311" i="49"/>
  <c r="X311" i="49"/>
  <c r="W312" i="49"/>
  <c r="X312" i="49" s="1"/>
  <c r="W313" i="49"/>
  <c r="X313" i="49" s="1"/>
  <c r="W314" i="49"/>
  <c r="X314" i="49" s="1"/>
  <c r="W315" i="49"/>
  <c r="X315" i="49" s="1"/>
  <c r="W316" i="49"/>
  <c r="X316" i="49"/>
  <c r="W317" i="49"/>
  <c r="X317" i="49" s="1"/>
  <c r="W318" i="49"/>
  <c r="X318" i="49" s="1"/>
  <c r="W319" i="49"/>
  <c r="X319" i="49" s="1"/>
  <c r="W320" i="49"/>
  <c r="X320" i="49"/>
  <c r="W321" i="49"/>
  <c r="X321" i="49"/>
  <c r="W322" i="49"/>
  <c r="X322" i="49"/>
  <c r="W323" i="49"/>
  <c r="X323" i="49"/>
  <c r="W324" i="49"/>
  <c r="X324" i="49"/>
  <c r="W325" i="49"/>
  <c r="X325" i="49" s="1"/>
  <c r="W326" i="49"/>
  <c r="X326" i="49" s="1"/>
  <c r="W327" i="49"/>
  <c r="X327" i="49"/>
  <c r="W328" i="49"/>
  <c r="X328" i="49" s="1"/>
  <c r="W329" i="49"/>
  <c r="X329" i="49" s="1"/>
  <c r="W330" i="49"/>
  <c r="X330" i="49"/>
  <c r="W331" i="49"/>
  <c r="X331" i="49" s="1"/>
  <c r="W332" i="49"/>
  <c r="X332" i="49" s="1"/>
  <c r="W333" i="49"/>
  <c r="X333" i="49" s="1"/>
  <c r="W334" i="49"/>
  <c r="X334" i="49" s="1"/>
  <c r="W335" i="49"/>
  <c r="X335" i="49"/>
  <c r="W336" i="49"/>
  <c r="X336" i="49"/>
  <c r="W337" i="49"/>
  <c r="X337" i="49" s="1"/>
  <c r="W338" i="49"/>
  <c r="X338" i="49"/>
  <c r="W339" i="49"/>
  <c r="X339" i="49"/>
  <c r="W340" i="49"/>
  <c r="X340" i="49" s="1"/>
  <c r="W341" i="49"/>
  <c r="X341" i="49"/>
  <c r="W342" i="49"/>
  <c r="X342" i="49"/>
  <c r="W343" i="49"/>
  <c r="X343" i="49" s="1"/>
  <c r="W344" i="49"/>
  <c r="X344" i="49" s="1"/>
  <c r="W345" i="49"/>
  <c r="X345" i="49" s="1"/>
  <c r="W346" i="49"/>
  <c r="X346" i="49"/>
  <c r="W347" i="49"/>
  <c r="X347" i="49"/>
  <c r="W348" i="49"/>
  <c r="X348" i="49" s="1"/>
  <c r="W349" i="49"/>
  <c r="X349" i="49" s="1"/>
  <c r="W350" i="49"/>
  <c r="X350" i="49" s="1"/>
  <c r="W351" i="49"/>
  <c r="X351" i="49"/>
  <c r="W352" i="49"/>
  <c r="X352" i="49" s="1"/>
  <c r="W353" i="49"/>
  <c r="X353" i="49"/>
  <c r="W354" i="49"/>
  <c r="X354" i="49" s="1"/>
  <c r="W355" i="49"/>
  <c r="X355" i="49" s="1"/>
  <c r="W356" i="49"/>
  <c r="X356" i="49" s="1"/>
  <c r="W357" i="49"/>
  <c r="X357" i="49"/>
  <c r="W358" i="49"/>
  <c r="X358" i="49"/>
  <c r="W359" i="49"/>
  <c r="X359" i="49" s="1"/>
  <c r="W360" i="49"/>
  <c r="X360" i="49" s="1"/>
  <c r="W361" i="49"/>
  <c r="X361" i="49" s="1"/>
  <c r="W362" i="49"/>
  <c r="X362" i="49"/>
  <c r="W363" i="49"/>
  <c r="X363" i="49" s="1"/>
  <c r="W364" i="49"/>
  <c r="X364" i="49"/>
  <c r="W365" i="49"/>
  <c r="X365" i="49"/>
  <c r="W366" i="49"/>
  <c r="X366" i="49"/>
  <c r="W367" i="49"/>
  <c r="X367" i="49" s="1"/>
  <c r="W368" i="49"/>
  <c r="X368" i="49"/>
  <c r="W369" i="49"/>
  <c r="X369" i="49"/>
  <c r="W370" i="49"/>
  <c r="X370" i="49" s="1"/>
  <c r="W371" i="49"/>
  <c r="X371" i="49"/>
  <c r="W372" i="49"/>
  <c r="X372" i="49" s="1"/>
  <c r="W373" i="49"/>
  <c r="X373" i="49" s="1"/>
  <c r="W374" i="49"/>
  <c r="X374" i="49"/>
  <c r="W375" i="49"/>
  <c r="X375" i="49" s="1"/>
  <c r="W376" i="49"/>
  <c r="X376" i="49"/>
  <c r="W377" i="49"/>
  <c r="X377" i="49" s="1"/>
  <c r="W378" i="49"/>
  <c r="X378" i="49" s="1"/>
  <c r="W379" i="49"/>
  <c r="X379" i="49" s="1"/>
  <c r="W380" i="49"/>
  <c r="X380" i="49"/>
  <c r="W381" i="49"/>
  <c r="X381" i="49" s="1"/>
  <c r="W382" i="49"/>
  <c r="X382" i="49"/>
  <c r="W383" i="49"/>
  <c r="X383" i="49"/>
  <c r="W384" i="49"/>
  <c r="X384" i="49"/>
  <c r="W385" i="49"/>
  <c r="X385" i="49" s="1"/>
  <c r="W386" i="49"/>
  <c r="X386" i="49" s="1"/>
  <c r="W387" i="49"/>
  <c r="X387" i="49" s="1"/>
  <c r="W388" i="49"/>
  <c r="X388" i="49"/>
  <c r="W389" i="49"/>
  <c r="X389" i="49" s="1"/>
  <c r="W390" i="49"/>
  <c r="X390" i="49" s="1"/>
  <c r="W391" i="49"/>
  <c r="X391" i="49" s="1"/>
  <c r="W392" i="49"/>
  <c r="X392" i="49" s="1"/>
  <c r="W393" i="49"/>
  <c r="X393" i="49" s="1"/>
  <c r="W394" i="49"/>
  <c r="X394" i="49"/>
  <c r="W395" i="49"/>
  <c r="X395" i="49" s="1"/>
  <c r="W396" i="49"/>
  <c r="X396" i="49" s="1"/>
  <c r="W397" i="49"/>
  <c r="X397" i="49" s="1"/>
  <c r="W398" i="49"/>
  <c r="X398" i="49" s="1"/>
  <c r="W399" i="49"/>
  <c r="X399" i="49" s="1"/>
  <c r="W400" i="49"/>
  <c r="X400" i="49" s="1"/>
  <c r="W401" i="49"/>
  <c r="X401" i="49"/>
  <c r="W402" i="49"/>
  <c r="X402" i="49" s="1"/>
  <c r="W403" i="49"/>
  <c r="X403" i="49" s="1"/>
  <c r="W404" i="49"/>
  <c r="X404" i="49"/>
  <c r="W405" i="49"/>
  <c r="X405" i="49" s="1"/>
  <c r="W406" i="49"/>
  <c r="X406" i="49"/>
  <c r="W407" i="49"/>
  <c r="X407" i="49"/>
  <c r="W408" i="49"/>
  <c r="X408" i="49" s="1"/>
  <c r="W409" i="49"/>
  <c r="X409" i="49" s="1"/>
  <c r="W410" i="49"/>
  <c r="X410" i="49" s="1"/>
  <c r="W411" i="49"/>
  <c r="X411" i="49" s="1"/>
  <c r="W412" i="49"/>
  <c r="X412" i="49" s="1"/>
  <c r="W413" i="49"/>
  <c r="X413" i="49" s="1"/>
  <c r="W414" i="49"/>
  <c r="X414" i="49"/>
  <c r="W415" i="49"/>
  <c r="X415" i="49" s="1"/>
  <c r="W416" i="49"/>
  <c r="X416" i="49"/>
  <c r="X6" i="49"/>
  <c r="X14" i="48"/>
  <c r="X16" i="48"/>
  <c r="X25" i="48"/>
  <c r="X26" i="48"/>
  <c r="X28" i="48"/>
  <c r="X37" i="48"/>
  <c r="X38" i="48"/>
  <c r="X134" i="48"/>
  <c r="W7" i="48"/>
  <c r="X7" i="48" s="1"/>
  <c r="W8" i="48"/>
  <c r="X8" i="48" s="1"/>
  <c r="W9" i="48"/>
  <c r="X9" i="48" s="1"/>
  <c r="W10" i="48"/>
  <c r="X10" i="48" s="1"/>
  <c r="W11" i="48"/>
  <c r="X11" i="48" s="1"/>
  <c r="W12" i="48"/>
  <c r="X12" i="48" s="1"/>
  <c r="W13" i="48"/>
  <c r="X13" i="48" s="1"/>
  <c r="W14" i="48"/>
  <c r="W15" i="48"/>
  <c r="X15" i="48" s="1"/>
  <c r="W16" i="48"/>
  <c r="W17" i="48"/>
  <c r="X17" i="48" s="1"/>
  <c r="W18" i="48"/>
  <c r="X18" i="48" s="1"/>
  <c r="W19" i="48"/>
  <c r="X19" i="48" s="1"/>
  <c r="W20" i="48"/>
  <c r="X20" i="48" s="1"/>
  <c r="W21" i="48"/>
  <c r="X21" i="48" s="1"/>
  <c r="W22" i="48"/>
  <c r="X22" i="48" s="1"/>
  <c r="W23" i="48"/>
  <c r="X23" i="48" s="1"/>
  <c r="W24" i="48"/>
  <c r="X24" i="48" s="1"/>
  <c r="W25" i="48"/>
  <c r="W26" i="48"/>
  <c r="W27" i="48"/>
  <c r="X27" i="48" s="1"/>
  <c r="W28" i="48"/>
  <c r="W29" i="48"/>
  <c r="X29" i="48" s="1"/>
  <c r="W30" i="48"/>
  <c r="X30" i="48" s="1"/>
  <c r="W31" i="48"/>
  <c r="X31" i="48" s="1"/>
  <c r="W32" i="48"/>
  <c r="X32" i="48" s="1"/>
  <c r="W33" i="48"/>
  <c r="X33" i="48" s="1"/>
  <c r="W34" i="48"/>
  <c r="X34" i="48" s="1"/>
  <c r="W35" i="48"/>
  <c r="X35" i="48" s="1"/>
  <c r="W36" i="48"/>
  <c r="X36" i="48" s="1"/>
  <c r="W37" i="48"/>
  <c r="W38" i="48"/>
  <c r="W39" i="48"/>
  <c r="X39" i="48" s="1"/>
  <c r="W40" i="48"/>
  <c r="X40" i="48" s="1"/>
  <c r="W41" i="48"/>
  <c r="X41" i="48" s="1"/>
  <c r="W42" i="48"/>
  <c r="X42" i="48" s="1"/>
  <c r="W43" i="48"/>
  <c r="X43" i="48" s="1"/>
  <c r="W44" i="48"/>
  <c r="X44" i="48" s="1"/>
  <c r="W45" i="48"/>
  <c r="X45" i="48" s="1"/>
  <c r="W46" i="48"/>
  <c r="X46" i="48" s="1"/>
  <c r="W47" i="48"/>
  <c r="X47" i="48" s="1"/>
  <c r="W48" i="48"/>
  <c r="X48" i="48" s="1"/>
  <c r="W49" i="48"/>
  <c r="X49" i="48"/>
  <c r="W50" i="48"/>
  <c r="X50" i="48" s="1"/>
  <c r="W51" i="48"/>
  <c r="X51" i="48"/>
  <c r="W52" i="48"/>
  <c r="X52" i="48" s="1"/>
  <c r="W53" i="48"/>
  <c r="X53" i="48"/>
  <c r="W54" i="48"/>
  <c r="X54" i="48" s="1"/>
  <c r="W55" i="48"/>
  <c r="X55" i="48" s="1"/>
  <c r="W56" i="48"/>
  <c r="X56" i="48" s="1"/>
  <c r="W57" i="48"/>
  <c r="X57" i="48" s="1"/>
  <c r="W58" i="48"/>
  <c r="X58" i="48" s="1"/>
  <c r="W59" i="48"/>
  <c r="X59" i="48" s="1"/>
  <c r="W60" i="48"/>
  <c r="X60" i="48" s="1"/>
  <c r="W61" i="48"/>
  <c r="X61" i="48"/>
  <c r="W62" i="48"/>
  <c r="X62" i="48" s="1"/>
  <c r="W63" i="48"/>
  <c r="X63" i="48" s="1"/>
  <c r="W64" i="48"/>
  <c r="X64" i="48" s="1"/>
  <c r="W65" i="48"/>
  <c r="X65" i="48" s="1"/>
  <c r="W66" i="48"/>
  <c r="X66" i="48"/>
  <c r="W67" i="48"/>
  <c r="X67" i="48" s="1"/>
  <c r="W68" i="48"/>
  <c r="X68" i="48" s="1"/>
  <c r="W69" i="48"/>
  <c r="X69" i="48"/>
  <c r="W70" i="48"/>
  <c r="X70" i="48"/>
  <c r="W71" i="48"/>
  <c r="X71" i="48" s="1"/>
  <c r="W72" i="48"/>
  <c r="X72" i="48" s="1"/>
  <c r="W73" i="48"/>
  <c r="X73" i="48"/>
  <c r="W74" i="48"/>
  <c r="X74" i="48" s="1"/>
  <c r="W75" i="48"/>
  <c r="X75" i="48" s="1"/>
  <c r="W76" i="48"/>
  <c r="X76" i="48" s="1"/>
  <c r="W77" i="48"/>
  <c r="X77" i="48" s="1"/>
  <c r="W78" i="48"/>
  <c r="X78" i="48" s="1"/>
  <c r="W79" i="48"/>
  <c r="X79" i="48" s="1"/>
  <c r="W80" i="48"/>
  <c r="X80" i="48"/>
  <c r="W81" i="48"/>
  <c r="X81" i="48" s="1"/>
  <c r="W82" i="48"/>
  <c r="X82" i="48" s="1"/>
  <c r="W83" i="48"/>
  <c r="X83" i="48" s="1"/>
  <c r="W84" i="48"/>
  <c r="X84" i="48" s="1"/>
  <c r="W85" i="48"/>
  <c r="X85" i="48"/>
  <c r="W86" i="48"/>
  <c r="X86" i="48"/>
  <c r="W87" i="48"/>
  <c r="X87" i="48" s="1"/>
  <c r="W88" i="48"/>
  <c r="X88" i="48" s="1"/>
  <c r="W89" i="48"/>
  <c r="X89" i="48"/>
  <c r="W90" i="48"/>
  <c r="X90" i="48" s="1"/>
  <c r="W91" i="48"/>
  <c r="X91" i="48" s="1"/>
  <c r="W92" i="48"/>
  <c r="X92" i="48" s="1"/>
  <c r="W93" i="48"/>
  <c r="X93" i="48" s="1"/>
  <c r="W94" i="48"/>
  <c r="X94" i="48" s="1"/>
  <c r="W95" i="48"/>
  <c r="X95" i="48" s="1"/>
  <c r="W96" i="48"/>
  <c r="X96" i="48" s="1"/>
  <c r="W97" i="48"/>
  <c r="X97" i="48" s="1"/>
  <c r="W98" i="48"/>
  <c r="X98" i="48" s="1"/>
  <c r="W99" i="48"/>
  <c r="X99" i="48" s="1"/>
  <c r="W100" i="48"/>
  <c r="X100" i="48" s="1"/>
  <c r="W101" i="48"/>
  <c r="X101" i="48"/>
  <c r="W102" i="48"/>
  <c r="X102" i="48" s="1"/>
  <c r="W104" i="48"/>
  <c r="X104" i="48" s="1"/>
  <c r="W105" i="48"/>
  <c r="X105" i="48" s="1"/>
  <c r="W106" i="48"/>
  <c r="X106" i="48" s="1"/>
  <c r="W107" i="48"/>
  <c r="X107" i="48" s="1"/>
  <c r="W108" i="48"/>
  <c r="X108" i="48" s="1"/>
  <c r="W109" i="48"/>
  <c r="X109" i="48" s="1"/>
  <c r="W110" i="48"/>
  <c r="X110" i="48" s="1"/>
  <c r="W111" i="48"/>
  <c r="X111" i="48" s="1"/>
  <c r="W112" i="48"/>
  <c r="X112" i="48" s="1"/>
  <c r="W113" i="48"/>
  <c r="X113" i="48"/>
  <c r="X114" i="48"/>
  <c r="W115" i="48"/>
  <c r="X115" i="48"/>
  <c r="W116" i="48"/>
  <c r="X116" i="48" s="1"/>
  <c r="W117" i="48"/>
  <c r="X117" i="48"/>
  <c r="W118" i="48"/>
  <c r="X118" i="48" s="1"/>
  <c r="W119" i="48"/>
  <c r="X119" i="48"/>
  <c r="W120" i="48"/>
  <c r="X120" i="48" s="1"/>
  <c r="W121" i="48"/>
  <c r="X121" i="48" s="1"/>
  <c r="W122" i="48"/>
  <c r="X122" i="48" s="1"/>
  <c r="W123" i="48"/>
  <c r="X123" i="48"/>
  <c r="W124" i="48"/>
  <c r="X124" i="48" s="1"/>
  <c r="W125" i="48"/>
  <c r="X125" i="48" s="1"/>
  <c r="W126" i="48"/>
  <c r="X126" i="48" s="1"/>
  <c r="W127" i="48"/>
  <c r="X127" i="48" s="1"/>
  <c r="W128" i="48"/>
  <c r="X128" i="48"/>
  <c r="W129" i="48"/>
  <c r="X129" i="48" s="1"/>
  <c r="W130" i="48"/>
  <c r="X130" i="48" s="1"/>
  <c r="W131" i="48"/>
  <c r="X131" i="48" s="1"/>
  <c r="W132" i="48"/>
  <c r="X132" i="48" s="1"/>
  <c r="W133" i="48"/>
  <c r="X133" i="48" s="1"/>
  <c r="W134" i="48"/>
  <c r="W135" i="48"/>
  <c r="X135" i="48" s="1"/>
  <c r="W136" i="48"/>
  <c r="X136" i="48" s="1"/>
  <c r="W137" i="48"/>
  <c r="X137" i="48" s="1"/>
  <c r="W138" i="48"/>
  <c r="X138" i="48" s="1"/>
  <c r="W139" i="48"/>
  <c r="X139" i="48" s="1"/>
  <c r="W140" i="48"/>
  <c r="X140" i="48" s="1"/>
  <c r="W141" i="48"/>
  <c r="X141" i="48" s="1"/>
  <c r="W142" i="48"/>
  <c r="X142" i="48" s="1"/>
  <c r="W143" i="48"/>
  <c r="X143" i="48"/>
  <c r="W144" i="48"/>
  <c r="X144" i="48" s="1"/>
  <c r="W145" i="48"/>
  <c r="X145" i="48" s="1"/>
  <c r="W146" i="48"/>
  <c r="X146" i="48"/>
  <c r="W147" i="48"/>
  <c r="X147" i="48" s="1"/>
  <c r="W148" i="48"/>
  <c r="X148" i="48" s="1"/>
  <c r="W149" i="48"/>
  <c r="X149" i="48" s="1"/>
  <c r="W150" i="48"/>
  <c r="X150" i="48"/>
  <c r="W151" i="48"/>
  <c r="X151" i="48"/>
  <c r="W152" i="48"/>
  <c r="X152" i="48" s="1"/>
  <c r="W153" i="48"/>
  <c r="X153" i="48"/>
  <c r="W154" i="48"/>
  <c r="X154" i="48" s="1"/>
  <c r="W155" i="48"/>
  <c r="X155" i="48" s="1"/>
  <c r="W156" i="48"/>
  <c r="X156" i="48"/>
  <c r="W157" i="48"/>
  <c r="X157" i="48" s="1"/>
  <c r="W158" i="48"/>
  <c r="X158" i="48" s="1"/>
  <c r="W159" i="48"/>
  <c r="X159" i="48" s="1"/>
  <c r="W160" i="48"/>
  <c r="X160" i="48"/>
  <c r="W161" i="48"/>
  <c r="X161" i="48"/>
  <c r="W162" i="48"/>
  <c r="X162" i="48"/>
  <c r="W163" i="48"/>
  <c r="X163" i="48"/>
  <c r="W164" i="48"/>
  <c r="X164" i="48" s="1"/>
  <c r="W165" i="48"/>
  <c r="X165" i="48"/>
  <c r="W166" i="48"/>
  <c r="X166" i="48" s="1"/>
  <c r="W167" i="48"/>
  <c r="X167" i="48" s="1"/>
  <c r="W168" i="48"/>
  <c r="X168" i="48"/>
  <c r="W169" i="48"/>
  <c r="X169" i="48"/>
  <c r="W170" i="48"/>
  <c r="X170" i="48" s="1"/>
  <c r="W171" i="48"/>
  <c r="X171" i="48"/>
  <c r="W172" i="48"/>
  <c r="X172" i="48"/>
  <c r="W173" i="48"/>
  <c r="X173" i="48"/>
  <c r="W174" i="48"/>
  <c r="X174" i="48" s="1"/>
  <c r="W175" i="48"/>
  <c r="X175" i="48"/>
  <c r="W176" i="48"/>
  <c r="X176" i="48" s="1"/>
  <c r="W177" i="48"/>
  <c r="X177" i="48" s="1"/>
  <c r="W178" i="48"/>
  <c r="X178" i="48" s="1"/>
  <c r="W179" i="48"/>
  <c r="X179" i="48" s="1"/>
  <c r="W180" i="48"/>
  <c r="X180" i="48" s="1"/>
  <c r="W181" i="48"/>
  <c r="X181" i="48" s="1"/>
  <c r="W182" i="48"/>
  <c r="X182" i="48" s="1"/>
  <c r="W183" i="48"/>
  <c r="X183" i="48" s="1"/>
  <c r="W184" i="48"/>
  <c r="X184" i="48" s="1"/>
  <c r="W185" i="48"/>
  <c r="X185" i="48" s="1"/>
  <c r="W186" i="48"/>
  <c r="X186" i="48" s="1"/>
  <c r="W187" i="48"/>
  <c r="X187" i="48" s="1"/>
  <c r="W188" i="48"/>
  <c r="X188" i="48"/>
  <c r="W189" i="48"/>
  <c r="X189" i="48"/>
  <c r="W190" i="48"/>
  <c r="X190" i="48" s="1"/>
  <c r="W191" i="48"/>
  <c r="X191" i="48" s="1"/>
  <c r="W192" i="48"/>
  <c r="X192" i="48" s="1"/>
  <c r="W193" i="48"/>
  <c r="X193" i="48" s="1"/>
  <c r="X194" i="48"/>
  <c r="W195" i="48"/>
  <c r="X195" i="48" s="1"/>
  <c r="W196" i="48"/>
  <c r="X196" i="48" s="1"/>
  <c r="W197" i="48"/>
  <c r="X197" i="48" s="1"/>
  <c r="W198" i="48"/>
  <c r="X198" i="48" s="1"/>
  <c r="W199" i="48"/>
  <c r="X199" i="48" s="1"/>
  <c r="W200" i="48"/>
  <c r="X200" i="48" s="1"/>
  <c r="W201" i="48"/>
  <c r="X201" i="48" s="1"/>
  <c r="W202" i="48"/>
  <c r="X202" i="48" s="1"/>
  <c r="W203" i="48"/>
  <c r="X203" i="48" s="1"/>
  <c r="W204" i="48"/>
  <c r="X204" i="48" s="1"/>
  <c r="W205" i="48"/>
  <c r="X205" i="48" s="1"/>
  <c r="W206" i="48"/>
  <c r="X206" i="48" s="1"/>
  <c r="W207" i="48"/>
  <c r="X207" i="48" s="1"/>
  <c r="W208" i="48"/>
  <c r="X208" i="48" s="1"/>
  <c r="W209" i="48"/>
  <c r="X209" i="48" s="1"/>
  <c r="W210" i="48"/>
  <c r="X210" i="48" s="1"/>
  <c r="W211" i="48"/>
  <c r="X211" i="48" s="1"/>
  <c r="W212" i="48"/>
  <c r="X212" i="48" s="1"/>
  <c r="W213" i="48"/>
  <c r="X213" i="48"/>
  <c r="W214" i="48"/>
  <c r="X214" i="48" s="1"/>
  <c r="W215" i="48"/>
  <c r="X215" i="48" s="1"/>
  <c r="W216" i="48"/>
  <c r="X216" i="48" s="1"/>
  <c r="W217" i="48"/>
  <c r="X217" i="48" s="1"/>
  <c r="W218" i="48"/>
  <c r="X218" i="48" s="1"/>
  <c r="W219" i="48"/>
  <c r="X219" i="48"/>
  <c r="W220" i="48"/>
  <c r="X220" i="48" s="1"/>
  <c r="W221" i="48"/>
  <c r="X221" i="48" s="1"/>
  <c r="W222" i="48"/>
  <c r="X222" i="48" s="1"/>
  <c r="W223" i="48"/>
  <c r="X223" i="48" s="1"/>
  <c r="W224" i="48"/>
  <c r="X224" i="48"/>
  <c r="W225" i="48"/>
  <c r="X225" i="48" s="1"/>
  <c r="W226" i="48"/>
  <c r="X226" i="48" s="1"/>
  <c r="W227" i="48"/>
  <c r="X227" i="48" s="1"/>
  <c r="W228" i="48"/>
  <c r="X228" i="48"/>
  <c r="W229" i="48"/>
  <c r="X229" i="48" s="1"/>
  <c r="W230" i="48"/>
  <c r="X230" i="48" s="1"/>
  <c r="W231" i="48"/>
  <c r="X231" i="48" s="1"/>
  <c r="W232" i="48"/>
  <c r="X232" i="48" s="1"/>
  <c r="W233" i="48"/>
  <c r="X233" i="48"/>
  <c r="W234" i="48"/>
  <c r="X234" i="48" s="1"/>
  <c r="W235" i="48"/>
  <c r="X235" i="48" s="1"/>
  <c r="W236" i="48"/>
  <c r="X236" i="48" s="1"/>
  <c r="W237" i="48"/>
  <c r="X237" i="48" s="1"/>
  <c r="W238" i="48"/>
  <c r="X238" i="48" s="1"/>
  <c r="W239" i="48"/>
  <c r="X239" i="48"/>
  <c r="W240" i="48"/>
  <c r="X240" i="48" s="1"/>
  <c r="W241" i="48"/>
  <c r="X241" i="48" s="1"/>
  <c r="W242" i="48"/>
  <c r="X242" i="48" s="1"/>
  <c r="W243" i="48"/>
  <c r="X243" i="48" s="1"/>
  <c r="W244" i="48"/>
  <c r="X244" i="48" s="1"/>
  <c r="W245" i="48"/>
  <c r="X245" i="48"/>
  <c r="W246" i="48"/>
  <c r="X246" i="48" s="1"/>
  <c r="W247" i="48"/>
  <c r="X247" i="48" s="1"/>
  <c r="W248" i="48"/>
  <c r="X248" i="48" s="1"/>
  <c r="W249" i="48"/>
  <c r="X249" i="48" s="1"/>
  <c r="W250" i="48"/>
  <c r="X250" i="48" s="1"/>
  <c r="W251" i="48"/>
  <c r="X251" i="48" s="1"/>
  <c r="W252" i="48"/>
  <c r="X252" i="48" s="1"/>
  <c r="W253" i="48"/>
  <c r="X253" i="48" s="1"/>
  <c r="W254" i="48"/>
  <c r="X254" i="48" s="1"/>
  <c r="W255" i="48"/>
  <c r="X255" i="48" s="1"/>
  <c r="W256" i="48"/>
  <c r="X256" i="48" s="1"/>
  <c r="W257" i="48"/>
  <c r="X257" i="48" s="1"/>
  <c r="W258" i="48"/>
  <c r="X258" i="48" s="1"/>
  <c r="W259" i="48"/>
  <c r="X259" i="48" s="1"/>
  <c r="W260" i="48"/>
  <c r="X260" i="48" s="1"/>
  <c r="W261" i="48"/>
  <c r="X261" i="48" s="1"/>
  <c r="W262" i="48"/>
  <c r="X262" i="48" s="1"/>
  <c r="W263" i="48"/>
  <c r="X263" i="48"/>
  <c r="W264" i="48"/>
  <c r="X264" i="48" s="1"/>
  <c r="W265" i="48"/>
  <c r="X265" i="48" s="1"/>
  <c r="W266" i="48"/>
  <c r="X266" i="48" s="1"/>
  <c r="W267" i="48"/>
  <c r="X267" i="48" s="1"/>
  <c r="W268" i="48"/>
  <c r="X268" i="48" s="1"/>
  <c r="W269" i="48"/>
  <c r="X269" i="48"/>
  <c r="W270" i="48"/>
  <c r="X270" i="48" s="1"/>
  <c r="W271" i="48"/>
  <c r="X271" i="48" s="1"/>
  <c r="W272" i="48"/>
  <c r="X272" i="48" s="1"/>
  <c r="W273" i="48"/>
  <c r="X273" i="48" s="1"/>
  <c r="W274" i="48"/>
  <c r="X274" i="48" s="1"/>
  <c r="W275" i="48"/>
  <c r="X275" i="48"/>
  <c r="W276" i="48"/>
  <c r="X276" i="48" s="1"/>
  <c r="W277" i="48"/>
  <c r="X277" i="48" s="1"/>
  <c r="W278" i="48"/>
  <c r="X278" i="48" s="1"/>
  <c r="W279" i="48"/>
  <c r="X279" i="48" s="1"/>
  <c r="W280" i="48"/>
  <c r="X280" i="48" s="1"/>
  <c r="W281" i="48"/>
  <c r="X281" i="48"/>
  <c r="W282" i="48"/>
  <c r="X282" i="48" s="1"/>
  <c r="W283" i="48"/>
  <c r="X283" i="48" s="1"/>
  <c r="W284" i="48"/>
  <c r="X284" i="48" s="1"/>
  <c r="W285" i="48"/>
  <c r="X285" i="48" s="1"/>
  <c r="W286" i="48"/>
  <c r="X286" i="48" s="1"/>
  <c r="W287" i="48"/>
  <c r="X287" i="48"/>
  <c r="W288" i="48"/>
  <c r="X288" i="48"/>
  <c r="W289" i="48"/>
  <c r="X289" i="48" s="1"/>
  <c r="W290" i="48"/>
  <c r="X290" i="48" s="1"/>
  <c r="W291" i="48"/>
  <c r="X291" i="48" s="1"/>
  <c r="W292" i="48"/>
  <c r="X292" i="48" s="1"/>
  <c r="W293" i="48"/>
  <c r="X293" i="48" s="1"/>
  <c r="W294" i="48"/>
  <c r="X294" i="48" s="1"/>
  <c r="W295" i="48"/>
  <c r="X295" i="48" s="1"/>
  <c r="W296" i="48"/>
  <c r="X296" i="48" s="1"/>
  <c r="W297" i="48"/>
  <c r="X297" i="48" s="1"/>
  <c r="W298" i="48"/>
  <c r="X298" i="48" s="1"/>
  <c r="W299" i="48"/>
  <c r="X299" i="48" s="1"/>
  <c r="W300" i="48"/>
  <c r="X300" i="48" s="1"/>
  <c r="W301" i="48"/>
  <c r="X301" i="48" s="1"/>
  <c r="W302" i="48"/>
  <c r="X302" i="48" s="1"/>
  <c r="W303" i="48"/>
  <c r="X303" i="48" s="1"/>
  <c r="W304" i="48"/>
  <c r="X304" i="48"/>
  <c r="W305" i="48"/>
  <c r="X305" i="48"/>
  <c r="W306" i="48"/>
  <c r="X306" i="48" s="1"/>
  <c r="W307" i="48"/>
  <c r="X307" i="48" s="1"/>
  <c r="W308" i="48"/>
  <c r="X308" i="48" s="1"/>
  <c r="W309" i="48"/>
  <c r="X309" i="48" s="1"/>
  <c r="W310" i="48"/>
  <c r="X310" i="48" s="1"/>
  <c r="W311" i="48"/>
  <c r="X311" i="48" s="1"/>
  <c r="W312" i="48"/>
  <c r="X312" i="48" s="1"/>
  <c r="W313" i="48"/>
  <c r="X313" i="48"/>
  <c r="W314" i="48"/>
  <c r="X314" i="48" s="1"/>
  <c r="W315" i="48"/>
  <c r="X315" i="48" s="1"/>
  <c r="W316" i="48"/>
  <c r="X316" i="48" s="1"/>
  <c r="W317" i="48"/>
  <c r="X317" i="48"/>
  <c r="W318" i="48"/>
  <c r="X318" i="48" s="1"/>
  <c r="W319" i="48"/>
  <c r="X319" i="48" s="1"/>
  <c r="W320" i="48"/>
  <c r="X320" i="48" s="1"/>
  <c r="W321" i="48"/>
  <c r="X321" i="48" s="1"/>
  <c r="W322" i="48"/>
  <c r="X322" i="48"/>
  <c r="W323" i="48"/>
  <c r="X323" i="48" s="1"/>
  <c r="W324" i="48"/>
  <c r="X324" i="48" s="1"/>
  <c r="W325" i="48"/>
  <c r="X325" i="48" s="1"/>
  <c r="W326" i="48"/>
  <c r="X326" i="48" s="1"/>
  <c r="W327" i="48"/>
  <c r="X327" i="48" s="1"/>
  <c r="W328" i="48"/>
  <c r="X328" i="48" s="1"/>
  <c r="W329" i="48"/>
  <c r="X329" i="48"/>
  <c r="W330" i="48"/>
  <c r="X330" i="48" s="1"/>
  <c r="W331" i="48"/>
  <c r="X331" i="48" s="1"/>
  <c r="W332" i="48"/>
  <c r="X332" i="48" s="1"/>
  <c r="W333" i="48"/>
  <c r="X333" i="48" s="1"/>
  <c r="W334" i="48"/>
  <c r="X334" i="48" s="1"/>
  <c r="W335" i="48"/>
  <c r="X335" i="48" s="1"/>
  <c r="W336" i="48"/>
  <c r="X336" i="48"/>
  <c r="W337" i="48"/>
  <c r="X337" i="48"/>
  <c r="W338" i="48"/>
  <c r="X338" i="48" s="1"/>
  <c r="W339" i="48"/>
  <c r="X339" i="48" s="1"/>
  <c r="W340" i="48"/>
  <c r="X340" i="48" s="1"/>
  <c r="W341" i="48"/>
  <c r="X341" i="48"/>
  <c r="W342" i="48"/>
  <c r="X342" i="48" s="1"/>
  <c r="W343" i="48"/>
  <c r="X343" i="48" s="1"/>
  <c r="W344" i="48"/>
  <c r="X344" i="48"/>
  <c r="W345" i="48"/>
  <c r="X345" i="48" s="1"/>
  <c r="W346" i="48"/>
  <c r="X346" i="48" s="1"/>
  <c r="W347" i="48"/>
  <c r="X347" i="48"/>
  <c r="W348" i="48"/>
  <c r="X348" i="48" s="1"/>
  <c r="W349" i="48"/>
  <c r="X349" i="48" s="1"/>
  <c r="W350" i="48"/>
  <c r="X350" i="48"/>
  <c r="W351" i="48"/>
  <c r="X351" i="48" s="1"/>
  <c r="W352" i="48"/>
  <c r="X352" i="48" s="1"/>
  <c r="W353" i="48"/>
  <c r="X353" i="48" s="1"/>
  <c r="W354" i="48"/>
  <c r="X354" i="48" s="1"/>
  <c r="W355" i="48"/>
  <c r="X355" i="48"/>
  <c r="W356" i="48"/>
  <c r="X356" i="48" s="1"/>
  <c r="W357" i="48"/>
  <c r="X357" i="48" s="1"/>
  <c r="W358" i="48"/>
  <c r="X358" i="48" s="1"/>
  <c r="W359" i="48"/>
  <c r="X359" i="48" s="1"/>
  <c r="W360" i="48"/>
  <c r="X360" i="48" s="1"/>
  <c r="W361" i="48"/>
  <c r="X361" i="48"/>
  <c r="W362" i="48"/>
  <c r="X362" i="48"/>
  <c r="W363" i="48"/>
  <c r="X363" i="48" s="1"/>
  <c r="W364" i="48"/>
  <c r="X364" i="48" s="1"/>
  <c r="W365" i="48"/>
  <c r="X365" i="48" s="1"/>
  <c r="W366" i="48"/>
  <c r="X366" i="48" s="1"/>
  <c r="W367" i="48"/>
  <c r="X367" i="48" s="1"/>
  <c r="W368" i="48"/>
  <c r="X368" i="48" s="1"/>
  <c r="W369" i="48"/>
  <c r="X369" i="48" s="1"/>
  <c r="W370" i="48"/>
  <c r="X370" i="48" s="1"/>
  <c r="W371" i="48"/>
  <c r="X371" i="48" s="1"/>
  <c r="W372" i="48"/>
  <c r="X372" i="48" s="1"/>
  <c r="W373" i="48"/>
  <c r="X373" i="48"/>
  <c r="W374" i="48"/>
  <c r="X374" i="48" s="1"/>
  <c r="W375" i="48"/>
  <c r="X375" i="48" s="1"/>
  <c r="W376" i="48"/>
  <c r="X376" i="48" s="1"/>
  <c r="W377" i="48"/>
  <c r="X377" i="48" s="1"/>
  <c r="W378" i="48"/>
  <c r="X378" i="48" s="1"/>
  <c r="W379" i="48"/>
  <c r="X379" i="48"/>
  <c r="W380" i="48"/>
  <c r="X380" i="48" s="1"/>
  <c r="W381" i="48"/>
  <c r="X381" i="48" s="1"/>
  <c r="W382" i="48"/>
  <c r="X382" i="48" s="1"/>
  <c r="W383" i="48"/>
  <c r="X383" i="48" s="1"/>
  <c r="W384" i="48"/>
  <c r="X384" i="48" s="1"/>
  <c r="W385" i="48"/>
  <c r="X385" i="48"/>
  <c r="W386" i="48"/>
  <c r="X386" i="48" s="1"/>
  <c r="W387" i="48"/>
  <c r="X387" i="48" s="1"/>
  <c r="W388" i="48"/>
  <c r="X388" i="48" s="1"/>
  <c r="W389" i="48"/>
  <c r="X389" i="48" s="1"/>
  <c r="W390" i="48"/>
  <c r="X390" i="48" s="1"/>
  <c r="W391" i="48"/>
  <c r="X391" i="48"/>
  <c r="W392" i="48"/>
  <c r="X392" i="48"/>
  <c r="W393" i="48"/>
  <c r="X393" i="48" s="1"/>
  <c r="W394" i="48"/>
  <c r="X394" i="48" s="1"/>
  <c r="W395" i="48"/>
  <c r="X395" i="48" s="1"/>
  <c r="W396" i="48"/>
  <c r="X396" i="48" s="1"/>
  <c r="W397" i="48"/>
  <c r="X397" i="48" s="1"/>
  <c r="W398" i="48"/>
  <c r="X398" i="48" s="1"/>
  <c r="W399" i="48"/>
  <c r="X399" i="48" s="1"/>
  <c r="W400" i="48"/>
  <c r="X400" i="48" s="1"/>
  <c r="W401" i="48"/>
  <c r="X401" i="48" s="1"/>
  <c r="W402" i="48"/>
  <c r="X402" i="48" s="1"/>
  <c r="W403" i="48"/>
  <c r="X403" i="48" s="1"/>
  <c r="W404" i="48"/>
  <c r="X404" i="48"/>
  <c r="W405" i="48"/>
  <c r="X405" i="48" s="1"/>
  <c r="W406" i="48"/>
  <c r="X406" i="48" s="1"/>
  <c r="W407" i="48"/>
  <c r="X407" i="48" s="1"/>
  <c r="W408" i="48"/>
  <c r="X408" i="48" s="1"/>
  <c r="W409" i="48"/>
  <c r="X409" i="48" s="1"/>
  <c r="W410" i="48"/>
  <c r="X410" i="48" s="1"/>
  <c r="W411" i="48"/>
  <c r="X411" i="48" s="1"/>
  <c r="W412" i="48"/>
  <c r="X412" i="48" s="1"/>
  <c r="W413" i="48"/>
  <c r="X413" i="48" s="1"/>
  <c r="W414" i="48"/>
  <c r="X414" i="48" s="1"/>
  <c r="W415" i="48"/>
  <c r="X415" i="48" s="1"/>
  <c r="W416" i="48"/>
  <c r="X416" i="48" s="1"/>
  <c r="W6" i="48"/>
  <c r="X6" i="48" s="1"/>
  <c r="K17" i="48"/>
  <c r="K6" i="48"/>
  <c r="C417" i="49"/>
  <c r="U416" i="49"/>
  <c r="T416" i="49"/>
  <c r="Q416" i="49"/>
  <c r="P416" i="49"/>
  <c r="L416" i="49"/>
  <c r="M416" i="49" s="1"/>
  <c r="N416" i="49" s="1"/>
  <c r="Q415" i="49"/>
  <c r="P415" i="49"/>
  <c r="L415" i="49"/>
  <c r="M415" i="49" s="1"/>
  <c r="N415" i="49" s="1"/>
  <c r="K415" i="49"/>
  <c r="G415" i="49"/>
  <c r="E415" i="49"/>
  <c r="Q414" i="49"/>
  <c r="P414" i="49"/>
  <c r="L414" i="49"/>
  <c r="M414" i="49" s="1"/>
  <c r="N414" i="49" s="1"/>
  <c r="Q413" i="49"/>
  <c r="P413" i="49"/>
  <c r="L413" i="49"/>
  <c r="M413" i="49" s="1"/>
  <c r="N413" i="49" s="1"/>
  <c r="K413" i="49"/>
  <c r="G413" i="49"/>
  <c r="E413" i="49"/>
  <c r="Q412" i="49"/>
  <c r="P412" i="49"/>
  <c r="L412" i="49"/>
  <c r="M412" i="49"/>
  <c r="N412" i="49" s="1"/>
  <c r="U411" i="49"/>
  <c r="T411" i="49"/>
  <c r="S411" i="49"/>
  <c r="Q411" i="49"/>
  <c r="P411" i="49"/>
  <c r="M411" i="49"/>
  <c r="N411" i="49" s="1"/>
  <c r="L411" i="49"/>
  <c r="Q410" i="49"/>
  <c r="P410" i="49"/>
  <c r="L410" i="49"/>
  <c r="M410" i="49" s="1"/>
  <c r="N410" i="49" s="1"/>
  <c r="K410" i="49"/>
  <c r="G410" i="49"/>
  <c r="E410" i="49"/>
  <c r="Q409" i="49"/>
  <c r="P409" i="49"/>
  <c r="L409" i="49"/>
  <c r="M409" i="49" s="1"/>
  <c r="N409" i="49" s="1"/>
  <c r="K409" i="49"/>
  <c r="G409" i="49"/>
  <c r="E409" i="49"/>
  <c r="U408" i="49"/>
  <c r="T408" i="49"/>
  <c r="S408" i="49"/>
  <c r="Q408" i="49"/>
  <c r="P408" i="49"/>
  <c r="L408" i="49"/>
  <c r="M408" i="49" s="1"/>
  <c r="N408" i="49" s="1"/>
  <c r="K408" i="49"/>
  <c r="G408" i="49"/>
  <c r="E408" i="49"/>
  <c r="Q407" i="49"/>
  <c r="P407" i="49"/>
  <c r="L407" i="49"/>
  <c r="M407" i="49" s="1"/>
  <c r="N407" i="49" s="1"/>
  <c r="U406" i="49"/>
  <c r="T406" i="49"/>
  <c r="S406" i="49"/>
  <c r="Q406" i="49"/>
  <c r="P406" i="49"/>
  <c r="L406" i="49"/>
  <c r="M406" i="49" s="1"/>
  <c r="N406" i="49" s="1"/>
  <c r="K406" i="49"/>
  <c r="G406" i="49"/>
  <c r="E406" i="49"/>
  <c r="Q405" i="49"/>
  <c r="P405" i="49"/>
  <c r="L405" i="49"/>
  <c r="M405" i="49" s="1"/>
  <c r="N405" i="49" s="1"/>
  <c r="K405" i="49"/>
  <c r="G405" i="49"/>
  <c r="E405" i="49"/>
  <c r="Q404" i="49"/>
  <c r="P404" i="49"/>
  <c r="L404" i="49"/>
  <c r="M404" i="49"/>
  <c r="N404" i="49" s="1"/>
  <c r="K404" i="49"/>
  <c r="G404" i="49"/>
  <c r="E404" i="49"/>
  <c r="Q403" i="49"/>
  <c r="P403" i="49"/>
  <c r="L403" i="49"/>
  <c r="M403" i="49" s="1"/>
  <c r="N403" i="49"/>
  <c r="K403" i="49"/>
  <c r="G403" i="49"/>
  <c r="E403" i="49"/>
  <c r="Q402" i="49"/>
  <c r="P402" i="49"/>
  <c r="L402" i="49"/>
  <c r="M402" i="49" s="1"/>
  <c r="N402" i="49" s="1"/>
  <c r="K402" i="49"/>
  <c r="G402" i="49"/>
  <c r="E402" i="49"/>
  <c r="Q401" i="49"/>
  <c r="P401" i="49"/>
  <c r="L401" i="49"/>
  <c r="M401" i="49" s="1"/>
  <c r="N401" i="49" s="1"/>
  <c r="K401" i="49"/>
  <c r="G401" i="49"/>
  <c r="E401" i="49"/>
  <c r="Q400" i="49"/>
  <c r="P400" i="49"/>
  <c r="L400" i="49"/>
  <c r="M400" i="49" s="1"/>
  <c r="N400" i="49" s="1"/>
  <c r="K400" i="49"/>
  <c r="G400" i="49"/>
  <c r="E400" i="49"/>
  <c r="Q399" i="49"/>
  <c r="P399" i="49"/>
  <c r="L399" i="49"/>
  <c r="M399" i="49" s="1"/>
  <c r="N399" i="49" s="1"/>
  <c r="K399" i="49"/>
  <c r="G399" i="49"/>
  <c r="E399" i="49"/>
  <c r="Q398" i="49"/>
  <c r="P398" i="49"/>
  <c r="L398" i="49"/>
  <c r="M398" i="49"/>
  <c r="N398" i="49"/>
  <c r="K398" i="49"/>
  <c r="G398" i="49"/>
  <c r="E398" i="49"/>
  <c r="Q397" i="49"/>
  <c r="P397" i="49"/>
  <c r="L397" i="49"/>
  <c r="M397" i="49" s="1"/>
  <c r="N397" i="49" s="1"/>
  <c r="K397" i="49"/>
  <c r="G397" i="49"/>
  <c r="E397" i="49"/>
  <c r="Q396" i="49"/>
  <c r="P396" i="49"/>
  <c r="L396" i="49"/>
  <c r="M396" i="49" s="1"/>
  <c r="N396" i="49" s="1"/>
  <c r="K396" i="49"/>
  <c r="G396" i="49"/>
  <c r="E396" i="49"/>
  <c r="Q395" i="49"/>
  <c r="P395" i="49"/>
  <c r="L395" i="49"/>
  <c r="M395" i="49"/>
  <c r="N395" i="49"/>
  <c r="K395" i="49"/>
  <c r="G395" i="49"/>
  <c r="E395" i="49"/>
  <c r="Q394" i="49"/>
  <c r="P394" i="49"/>
  <c r="L394" i="49"/>
  <c r="M394" i="49"/>
  <c r="N394" i="49" s="1"/>
  <c r="K394" i="49"/>
  <c r="G394" i="49"/>
  <c r="E394" i="49"/>
  <c r="Q393" i="49"/>
  <c r="P393" i="49"/>
  <c r="L393" i="49"/>
  <c r="M393" i="49" s="1"/>
  <c r="N393" i="49" s="1"/>
  <c r="K393" i="49"/>
  <c r="G393" i="49"/>
  <c r="E393" i="49"/>
  <c r="Q392" i="49"/>
  <c r="P392" i="49"/>
  <c r="L392" i="49"/>
  <c r="M392" i="49"/>
  <c r="N392" i="49"/>
  <c r="K392" i="49"/>
  <c r="G392" i="49"/>
  <c r="E392" i="49"/>
  <c r="Q391" i="49"/>
  <c r="P391" i="49"/>
  <c r="L391" i="49"/>
  <c r="M391" i="49" s="1"/>
  <c r="N391" i="49"/>
  <c r="K391" i="49"/>
  <c r="G391" i="49"/>
  <c r="E391" i="49"/>
  <c r="U390" i="49"/>
  <c r="T390" i="49"/>
  <c r="S390" i="49"/>
  <c r="Q390" i="49"/>
  <c r="P390" i="49"/>
  <c r="L390" i="49"/>
  <c r="M390" i="49" s="1"/>
  <c r="N390" i="49" s="1"/>
  <c r="K390" i="49"/>
  <c r="G390" i="49"/>
  <c r="E390" i="49"/>
  <c r="Q389" i="49"/>
  <c r="P389" i="49"/>
  <c r="L389" i="49"/>
  <c r="M389" i="49"/>
  <c r="N389" i="49" s="1"/>
  <c r="Q388" i="49"/>
  <c r="P388" i="49"/>
  <c r="L388" i="49"/>
  <c r="M388" i="49"/>
  <c r="N388" i="49" s="1"/>
  <c r="K388" i="49"/>
  <c r="G388" i="49"/>
  <c r="E388" i="49"/>
  <c r="U387" i="49"/>
  <c r="T387" i="49"/>
  <c r="S387" i="49"/>
  <c r="Q387" i="49"/>
  <c r="P387" i="49"/>
  <c r="L387" i="49"/>
  <c r="M387" i="49" s="1"/>
  <c r="N387" i="49" s="1"/>
  <c r="K387" i="49"/>
  <c r="G387" i="49"/>
  <c r="E387" i="49"/>
  <c r="U386" i="49"/>
  <c r="T386" i="49"/>
  <c r="S386" i="49"/>
  <c r="Q386" i="49"/>
  <c r="P386" i="49"/>
  <c r="L386" i="49"/>
  <c r="M386" i="49"/>
  <c r="N386" i="49" s="1"/>
  <c r="K386" i="49"/>
  <c r="G386" i="49"/>
  <c r="E386" i="49"/>
  <c r="Q385" i="49"/>
  <c r="P385" i="49"/>
  <c r="L385" i="49"/>
  <c r="M385" i="49" s="1"/>
  <c r="N385" i="49" s="1"/>
  <c r="K385" i="49"/>
  <c r="G385" i="49"/>
  <c r="E385" i="49"/>
  <c r="U384" i="49"/>
  <c r="T384" i="49"/>
  <c r="S384" i="49"/>
  <c r="Q384" i="49"/>
  <c r="P384" i="49"/>
  <c r="L384" i="49"/>
  <c r="M384" i="49"/>
  <c r="N384" i="49" s="1"/>
  <c r="K384" i="49"/>
  <c r="G384" i="49"/>
  <c r="E384" i="49"/>
  <c r="Q383" i="49"/>
  <c r="P383" i="49"/>
  <c r="L383" i="49"/>
  <c r="M383" i="49" s="1"/>
  <c r="N383" i="49" s="1"/>
  <c r="K383" i="49"/>
  <c r="G383" i="49"/>
  <c r="E383" i="49"/>
  <c r="Q382" i="49"/>
  <c r="P382" i="49"/>
  <c r="L382" i="49"/>
  <c r="M382" i="49" s="1"/>
  <c r="N382" i="49" s="1"/>
  <c r="K382" i="49"/>
  <c r="G382" i="49"/>
  <c r="E382" i="49"/>
  <c r="Q381" i="49"/>
  <c r="P381" i="49"/>
  <c r="L381" i="49"/>
  <c r="M381" i="49"/>
  <c r="N381" i="49" s="1"/>
  <c r="K381" i="49"/>
  <c r="G381" i="49"/>
  <c r="E381" i="49"/>
  <c r="Q380" i="49"/>
  <c r="P380" i="49"/>
  <c r="L380" i="49"/>
  <c r="M380" i="49"/>
  <c r="N380" i="49"/>
  <c r="K380" i="49"/>
  <c r="G380" i="49"/>
  <c r="E380" i="49"/>
  <c r="U379" i="49"/>
  <c r="T379" i="49"/>
  <c r="S379" i="49"/>
  <c r="Q379" i="49"/>
  <c r="P379" i="49"/>
  <c r="L379" i="49"/>
  <c r="M379" i="49"/>
  <c r="N379" i="49"/>
  <c r="K379" i="49"/>
  <c r="G379" i="49"/>
  <c r="E379" i="49"/>
  <c r="Q378" i="49"/>
  <c r="P378" i="49"/>
  <c r="L378" i="49"/>
  <c r="K378" i="49"/>
  <c r="G378" i="49"/>
  <c r="E378" i="49"/>
  <c r="Q377" i="49"/>
  <c r="P377" i="49"/>
  <c r="L377" i="49"/>
  <c r="M377" i="49" s="1"/>
  <c r="N377" i="49" s="1"/>
  <c r="K377" i="49"/>
  <c r="G377" i="49"/>
  <c r="E377" i="49"/>
  <c r="U376" i="49"/>
  <c r="T376" i="49"/>
  <c r="S376" i="49"/>
  <c r="Q376" i="49"/>
  <c r="P376" i="49"/>
  <c r="L376" i="49"/>
  <c r="M376" i="49" s="1"/>
  <c r="N376" i="49" s="1"/>
  <c r="K376" i="49"/>
  <c r="G376" i="49"/>
  <c r="E376" i="49"/>
  <c r="Q375" i="49"/>
  <c r="P375" i="49"/>
  <c r="L375" i="49"/>
  <c r="M375" i="49" s="1"/>
  <c r="N375" i="49" s="1"/>
  <c r="K375" i="49"/>
  <c r="G375" i="49"/>
  <c r="E375" i="49"/>
  <c r="U374" i="49"/>
  <c r="T374" i="49"/>
  <c r="S374" i="49"/>
  <c r="Q374" i="49"/>
  <c r="P374" i="49"/>
  <c r="L374" i="49"/>
  <c r="M374" i="49" s="1"/>
  <c r="N374" i="49" s="1"/>
  <c r="K374" i="49"/>
  <c r="G374" i="49"/>
  <c r="E374" i="49"/>
  <c r="Q373" i="49"/>
  <c r="P373" i="49"/>
  <c r="L373" i="49"/>
  <c r="M373" i="49"/>
  <c r="N373" i="49"/>
  <c r="K373" i="49"/>
  <c r="G373" i="49"/>
  <c r="E373" i="49"/>
  <c r="Q372" i="49"/>
  <c r="P372" i="49"/>
  <c r="L372" i="49"/>
  <c r="M372" i="49"/>
  <c r="N372" i="49" s="1"/>
  <c r="K372" i="49"/>
  <c r="G372" i="49"/>
  <c r="E372" i="49"/>
  <c r="Q371" i="49"/>
  <c r="P371" i="49"/>
  <c r="L371" i="49"/>
  <c r="M371" i="49" s="1"/>
  <c r="N371" i="49" s="1"/>
  <c r="K371" i="49"/>
  <c r="G371" i="49"/>
  <c r="E371" i="49"/>
  <c r="Q370" i="49"/>
  <c r="P370" i="49"/>
  <c r="L370" i="49"/>
  <c r="M370" i="49"/>
  <c r="N370" i="49" s="1"/>
  <c r="K370" i="49"/>
  <c r="G370" i="49"/>
  <c r="E370" i="49"/>
  <c r="Q369" i="49"/>
  <c r="P369" i="49"/>
  <c r="L369" i="49"/>
  <c r="M369" i="49" s="1"/>
  <c r="N369" i="49" s="1"/>
  <c r="K369" i="49"/>
  <c r="G369" i="49"/>
  <c r="E369" i="49"/>
  <c r="Q368" i="49"/>
  <c r="P368" i="49"/>
  <c r="L368" i="49"/>
  <c r="M368" i="49" s="1"/>
  <c r="N368" i="49" s="1"/>
  <c r="K368" i="49"/>
  <c r="G368" i="49"/>
  <c r="E368" i="49"/>
  <c r="U367" i="49"/>
  <c r="T367" i="49"/>
  <c r="Q367" i="49"/>
  <c r="P367" i="49"/>
  <c r="L367" i="49"/>
  <c r="M367" i="49" s="1"/>
  <c r="N367" i="49" s="1"/>
  <c r="K367" i="49"/>
  <c r="G367" i="49"/>
  <c r="E367" i="49"/>
  <c r="Q366" i="49"/>
  <c r="P366" i="49"/>
  <c r="L366" i="49"/>
  <c r="M366" i="49"/>
  <c r="N366" i="49" s="1"/>
  <c r="K366" i="49"/>
  <c r="G366" i="49"/>
  <c r="E366" i="49"/>
  <c r="Q365" i="49"/>
  <c r="P365" i="49"/>
  <c r="L365" i="49"/>
  <c r="M365" i="49" s="1"/>
  <c r="N365" i="49" s="1"/>
  <c r="K365" i="49"/>
  <c r="G365" i="49"/>
  <c r="E365" i="49"/>
  <c r="U364" i="49"/>
  <c r="T364" i="49"/>
  <c r="S364" i="49"/>
  <c r="Q364" i="49"/>
  <c r="P364" i="49"/>
  <c r="L364" i="49"/>
  <c r="M364" i="49" s="1"/>
  <c r="N364" i="49" s="1"/>
  <c r="K364" i="49"/>
  <c r="G364" i="49"/>
  <c r="E364" i="49"/>
  <c r="Q363" i="49"/>
  <c r="P363" i="49"/>
  <c r="L363" i="49"/>
  <c r="M363" i="49"/>
  <c r="N363" i="49" s="1"/>
  <c r="K363" i="49"/>
  <c r="G363" i="49"/>
  <c r="E363" i="49"/>
  <c r="Q362" i="49"/>
  <c r="P362" i="49"/>
  <c r="L362" i="49"/>
  <c r="M362" i="49" s="1"/>
  <c r="N362" i="49"/>
  <c r="K362" i="49"/>
  <c r="G362" i="49"/>
  <c r="E362" i="49"/>
  <c r="U361" i="49"/>
  <c r="T361" i="49"/>
  <c r="S361" i="49"/>
  <c r="Q361" i="49"/>
  <c r="P361" i="49"/>
  <c r="L361" i="49"/>
  <c r="M361" i="49"/>
  <c r="N361" i="49" s="1"/>
  <c r="K361" i="49"/>
  <c r="G361" i="49"/>
  <c r="E361" i="49"/>
  <c r="Q360" i="49"/>
  <c r="P360" i="49"/>
  <c r="L360" i="49"/>
  <c r="M360" i="49" s="1"/>
  <c r="N360" i="49" s="1"/>
  <c r="K360" i="49"/>
  <c r="G360" i="49"/>
  <c r="E360" i="49"/>
  <c r="Q359" i="49"/>
  <c r="P359" i="49"/>
  <c r="L359" i="49"/>
  <c r="M359" i="49" s="1"/>
  <c r="N359" i="49" s="1"/>
  <c r="K359" i="49"/>
  <c r="G359" i="49"/>
  <c r="E359" i="49"/>
  <c r="Q358" i="49"/>
  <c r="P358" i="49"/>
  <c r="L358" i="49"/>
  <c r="M358" i="49"/>
  <c r="N358" i="49"/>
  <c r="K358" i="49"/>
  <c r="G358" i="49"/>
  <c r="E358" i="49"/>
  <c r="Q357" i="49"/>
  <c r="P357" i="49"/>
  <c r="L357" i="49"/>
  <c r="M357" i="49" s="1"/>
  <c r="N357" i="49" s="1"/>
  <c r="K357" i="49"/>
  <c r="G357" i="49"/>
  <c r="E357" i="49"/>
  <c r="U356" i="49"/>
  <c r="T356" i="49"/>
  <c r="S356" i="49"/>
  <c r="Q356" i="49"/>
  <c r="P356" i="49"/>
  <c r="L356" i="49"/>
  <c r="M356" i="49" s="1"/>
  <c r="N356" i="49" s="1"/>
  <c r="K356" i="49"/>
  <c r="G356" i="49"/>
  <c r="E356" i="49"/>
  <c r="Q355" i="49"/>
  <c r="P355" i="49"/>
  <c r="L355" i="49"/>
  <c r="M355" i="49" s="1"/>
  <c r="N355" i="49" s="1"/>
  <c r="K355" i="49"/>
  <c r="G355" i="49"/>
  <c r="E355" i="49"/>
  <c r="Q354" i="49"/>
  <c r="P354" i="49"/>
  <c r="L354" i="49"/>
  <c r="M354" i="49" s="1"/>
  <c r="N354" i="49" s="1"/>
  <c r="K354" i="49"/>
  <c r="G354" i="49"/>
  <c r="E354" i="49"/>
  <c r="Q353" i="49"/>
  <c r="P353" i="49"/>
  <c r="L353" i="49"/>
  <c r="M353" i="49" s="1"/>
  <c r="N353" i="49" s="1"/>
  <c r="K353" i="49"/>
  <c r="G353" i="49"/>
  <c r="E353" i="49"/>
  <c r="Q352" i="49"/>
  <c r="P352" i="49"/>
  <c r="L352" i="49"/>
  <c r="M352" i="49" s="1"/>
  <c r="N352" i="49" s="1"/>
  <c r="K352" i="49"/>
  <c r="G352" i="49"/>
  <c r="E352" i="49"/>
  <c r="Q351" i="49"/>
  <c r="P351" i="49"/>
  <c r="L351" i="49"/>
  <c r="M351" i="49" s="1"/>
  <c r="N351" i="49" s="1"/>
  <c r="K351" i="49"/>
  <c r="G351" i="49"/>
  <c r="E351" i="49"/>
  <c r="Q350" i="49"/>
  <c r="P350" i="49"/>
  <c r="L350" i="49"/>
  <c r="M350" i="49" s="1"/>
  <c r="N350" i="49" s="1"/>
  <c r="K350" i="49"/>
  <c r="G350" i="49"/>
  <c r="E350" i="49"/>
  <c r="Q349" i="49"/>
  <c r="P349" i="49"/>
  <c r="L349" i="49"/>
  <c r="M349" i="49" s="1"/>
  <c r="N349" i="49" s="1"/>
  <c r="K349" i="49"/>
  <c r="G349" i="49"/>
  <c r="E349" i="49"/>
  <c r="Q348" i="49"/>
  <c r="P348" i="49"/>
  <c r="L348" i="49"/>
  <c r="M348" i="49" s="1"/>
  <c r="N348" i="49" s="1"/>
  <c r="K348" i="49"/>
  <c r="G348" i="49"/>
  <c r="E348" i="49"/>
  <c r="Q347" i="49"/>
  <c r="P347" i="49"/>
  <c r="L347" i="49"/>
  <c r="M347" i="49"/>
  <c r="N347" i="49" s="1"/>
  <c r="K347" i="49"/>
  <c r="G347" i="49"/>
  <c r="E347" i="49"/>
  <c r="Q346" i="49"/>
  <c r="P346" i="49"/>
  <c r="L346" i="49"/>
  <c r="M346" i="49" s="1"/>
  <c r="N346" i="49" s="1"/>
  <c r="K346" i="49"/>
  <c r="G346" i="49"/>
  <c r="E346" i="49"/>
  <c r="Q345" i="49"/>
  <c r="P345" i="49"/>
  <c r="L345" i="49"/>
  <c r="M345" i="49" s="1"/>
  <c r="N345" i="49" s="1"/>
  <c r="K345" i="49"/>
  <c r="G345" i="49"/>
  <c r="E345" i="49"/>
  <c r="Q344" i="49"/>
  <c r="P344" i="49"/>
  <c r="L344" i="49"/>
  <c r="M344" i="49"/>
  <c r="N344" i="49" s="1"/>
  <c r="K344" i="49"/>
  <c r="G344" i="49"/>
  <c r="E344" i="49"/>
  <c r="Q343" i="49"/>
  <c r="P343" i="49"/>
  <c r="L343" i="49"/>
  <c r="M343" i="49" s="1"/>
  <c r="N343" i="49" s="1"/>
  <c r="K343" i="49"/>
  <c r="G343" i="49"/>
  <c r="E343" i="49"/>
  <c r="Q342" i="49"/>
  <c r="P342" i="49"/>
  <c r="L342" i="49"/>
  <c r="M342" i="49" s="1"/>
  <c r="N342" i="49" s="1"/>
  <c r="K342" i="49"/>
  <c r="G342" i="49"/>
  <c r="E342" i="49"/>
  <c r="Q341" i="49"/>
  <c r="P341" i="49"/>
  <c r="L341" i="49"/>
  <c r="M341" i="49" s="1"/>
  <c r="N341" i="49" s="1"/>
  <c r="K341" i="49"/>
  <c r="G341" i="49"/>
  <c r="E341" i="49"/>
  <c r="Q340" i="49"/>
  <c r="P340" i="49"/>
  <c r="L340" i="49"/>
  <c r="M340" i="49" s="1"/>
  <c r="N340" i="49" s="1"/>
  <c r="K340" i="49"/>
  <c r="G340" i="49"/>
  <c r="E340" i="49"/>
  <c r="U339" i="49"/>
  <c r="T339" i="49"/>
  <c r="S339" i="49"/>
  <c r="Q339" i="49"/>
  <c r="P339" i="49"/>
  <c r="L339" i="49"/>
  <c r="M339" i="49" s="1"/>
  <c r="N339" i="49" s="1"/>
  <c r="K339" i="49"/>
  <c r="G339" i="49"/>
  <c r="E339" i="49"/>
  <c r="Q338" i="49"/>
  <c r="P338" i="49"/>
  <c r="L338" i="49"/>
  <c r="M338" i="49" s="1"/>
  <c r="N338" i="49" s="1"/>
  <c r="K338" i="49"/>
  <c r="G338" i="49"/>
  <c r="E338" i="49"/>
  <c r="Q337" i="49"/>
  <c r="P337" i="49"/>
  <c r="L337" i="49"/>
  <c r="M337" i="49" s="1"/>
  <c r="N337" i="49" s="1"/>
  <c r="K337" i="49"/>
  <c r="G337" i="49"/>
  <c r="E337" i="49"/>
  <c r="Q336" i="49"/>
  <c r="P336" i="49"/>
  <c r="L336" i="49"/>
  <c r="M336" i="49" s="1"/>
  <c r="N336" i="49" s="1"/>
  <c r="K336" i="49"/>
  <c r="G336" i="49"/>
  <c r="E336" i="49"/>
  <c r="Q335" i="49"/>
  <c r="P335" i="49"/>
  <c r="L335" i="49"/>
  <c r="M335" i="49" s="1"/>
  <c r="N335" i="49" s="1"/>
  <c r="K335" i="49"/>
  <c r="G335" i="49"/>
  <c r="E335" i="49"/>
  <c r="Q334" i="49"/>
  <c r="P334" i="49"/>
  <c r="L334" i="49"/>
  <c r="M334" i="49" s="1"/>
  <c r="N334" i="49"/>
  <c r="K334" i="49"/>
  <c r="G334" i="49"/>
  <c r="E334" i="49"/>
  <c r="Q333" i="49"/>
  <c r="P333" i="49"/>
  <c r="L333" i="49"/>
  <c r="M333" i="49" s="1"/>
  <c r="N333" i="49" s="1"/>
  <c r="K333" i="49"/>
  <c r="G333" i="49"/>
  <c r="E333" i="49"/>
  <c r="Q332" i="49"/>
  <c r="P332" i="49"/>
  <c r="L332" i="49"/>
  <c r="M332" i="49" s="1"/>
  <c r="N332" i="49" s="1"/>
  <c r="K332" i="49"/>
  <c r="G332" i="49"/>
  <c r="E332" i="49"/>
  <c r="Q331" i="49"/>
  <c r="P331" i="49"/>
  <c r="L331" i="49"/>
  <c r="M331" i="49" s="1"/>
  <c r="N331" i="49" s="1"/>
  <c r="K331" i="49"/>
  <c r="G331" i="49"/>
  <c r="E331" i="49"/>
  <c r="Q330" i="49"/>
  <c r="P330" i="49"/>
  <c r="L330" i="49"/>
  <c r="M330" i="49" s="1"/>
  <c r="N330" i="49" s="1"/>
  <c r="K330" i="49"/>
  <c r="G330" i="49"/>
  <c r="E330" i="49"/>
  <c r="Q329" i="49"/>
  <c r="P329" i="49"/>
  <c r="L329" i="49"/>
  <c r="M329" i="49"/>
  <c r="N329" i="49" s="1"/>
  <c r="K329" i="49"/>
  <c r="G329" i="49"/>
  <c r="E329" i="49"/>
  <c r="Q328" i="49"/>
  <c r="P328" i="49"/>
  <c r="L328" i="49"/>
  <c r="M328" i="49" s="1"/>
  <c r="N328" i="49" s="1"/>
  <c r="K328" i="49"/>
  <c r="G328" i="49"/>
  <c r="E328" i="49"/>
  <c r="Q327" i="49"/>
  <c r="P327" i="49"/>
  <c r="L327" i="49"/>
  <c r="M327" i="49" s="1"/>
  <c r="N327" i="49" s="1"/>
  <c r="K327" i="49"/>
  <c r="G327" i="49"/>
  <c r="E327" i="49"/>
  <c r="Q326" i="49"/>
  <c r="P326" i="49"/>
  <c r="L326" i="49"/>
  <c r="M326" i="49"/>
  <c r="N326" i="49" s="1"/>
  <c r="K326" i="49"/>
  <c r="G326" i="49"/>
  <c r="E326" i="49"/>
  <c r="Q325" i="49"/>
  <c r="P325" i="49"/>
  <c r="L325" i="49"/>
  <c r="M325" i="49" s="1"/>
  <c r="N325" i="49" s="1"/>
  <c r="K325" i="49"/>
  <c r="G325" i="49"/>
  <c r="E325" i="49"/>
  <c r="Q324" i="49"/>
  <c r="P324" i="49"/>
  <c r="L324" i="49"/>
  <c r="M324" i="49" s="1"/>
  <c r="N324" i="49" s="1"/>
  <c r="K324" i="49"/>
  <c r="G324" i="49"/>
  <c r="E324" i="49"/>
  <c r="Q323" i="49"/>
  <c r="P323" i="49"/>
  <c r="L323" i="49"/>
  <c r="M323" i="49" s="1"/>
  <c r="N323" i="49" s="1"/>
  <c r="K323" i="49"/>
  <c r="G323" i="49"/>
  <c r="E323" i="49"/>
  <c r="Q322" i="49"/>
  <c r="P322" i="49"/>
  <c r="L322" i="49"/>
  <c r="M322" i="49" s="1"/>
  <c r="N322" i="49" s="1"/>
  <c r="K322" i="49"/>
  <c r="G322" i="49"/>
  <c r="E322" i="49"/>
  <c r="Q321" i="49"/>
  <c r="P321" i="49"/>
  <c r="L321" i="49"/>
  <c r="M321" i="49" s="1"/>
  <c r="N321" i="49" s="1"/>
  <c r="K321" i="49"/>
  <c r="G321" i="49"/>
  <c r="E321" i="49"/>
  <c r="Q320" i="49"/>
  <c r="P320" i="49"/>
  <c r="L320" i="49"/>
  <c r="M320" i="49"/>
  <c r="N320" i="49" s="1"/>
  <c r="K320" i="49"/>
  <c r="G320" i="49"/>
  <c r="E320" i="49"/>
  <c r="Q319" i="49"/>
  <c r="P319" i="49"/>
  <c r="L319" i="49"/>
  <c r="M319" i="49" s="1"/>
  <c r="N319" i="49"/>
  <c r="K319" i="49"/>
  <c r="G319" i="49"/>
  <c r="E319" i="49"/>
  <c r="Q318" i="49"/>
  <c r="P318" i="49"/>
  <c r="L318" i="49"/>
  <c r="M318" i="49" s="1"/>
  <c r="N318" i="49" s="1"/>
  <c r="K318" i="49"/>
  <c r="G318" i="49"/>
  <c r="E318" i="49"/>
  <c r="Q317" i="49"/>
  <c r="P317" i="49"/>
  <c r="L317" i="49"/>
  <c r="M317" i="49" s="1"/>
  <c r="N317" i="49" s="1"/>
  <c r="K317" i="49"/>
  <c r="G317" i="49"/>
  <c r="E317" i="49"/>
  <c r="Q316" i="49"/>
  <c r="P316" i="49"/>
  <c r="L316" i="49"/>
  <c r="M316" i="49" s="1"/>
  <c r="N316" i="49" s="1"/>
  <c r="K316" i="49"/>
  <c r="G316" i="49"/>
  <c r="E316" i="49"/>
  <c r="U315" i="49"/>
  <c r="T315" i="49"/>
  <c r="S315" i="49"/>
  <c r="Q315" i="49"/>
  <c r="P315" i="49"/>
  <c r="L315" i="49"/>
  <c r="M315" i="49" s="1"/>
  <c r="N315" i="49" s="1"/>
  <c r="K315" i="49"/>
  <c r="G315" i="49"/>
  <c r="E315" i="49"/>
  <c r="Q314" i="49"/>
  <c r="P314" i="49"/>
  <c r="L314" i="49"/>
  <c r="M314" i="49"/>
  <c r="N314" i="49"/>
  <c r="K314" i="49"/>
  <c r="G314" i="49"/>
  <c r="E314" i="49"/>
  <c r="Q313" i="49"/>
  <c r="P313" i="49"/>
  <c r="L313" i="49"/>
  <c r="M313" i="49" s="1"/>
  <c r="N313" i="49" s="1"/>
  <c r="K313" i="49"/>
  <c r="G313" i="49"/>
  <c r="E313" i="49"/>
  <c r="Q312" i="49"/>
  <c r="P312" i="49"/>
  <c r="L312" i="49"/>
  <c r="M312" i="49" s="1"/>
  <c r="N312" i="49" s="1"/>
  <c r="K312" i="49"/>
  <c r="G312" i="49"/>
  <c r="E312" i="49"/>
  <c r="Q311" i="49"/>
  <c r="P311" i="49"/>
  <c r="L311" i="49"/>
  <c r="M311" i="49"/>
  <c r="N311" i="49"/>
  <c r="K311" i="49"/>
  <c r="G311" i="49"/>
  <c r="E311" i="49"/>
  <c r="Q310" i="49"/>
  <c r="P310" i="49"/>
  <c r="L310" i="49"/>
  <c r="M310" i="49" s="1"/>
  <c r="N310" i="49" s="1"/>
  <c r="K310" i="49"/>
  <c r="G310" i="49"/>
  <c r="E310" i="49"/>
  <c r="U309" i="49"/>
  <c r="T309" i="49"/>
  <c r="Q309" i="49"/>
  <c r="P309" i="49"/>
  <c r="L309" i="49"/>
  <c r="M309" i="49" s="1"/>
  <c r="N309" i="49" s="1"/>
  <c r="K309" i="49"/>
  <c r="G309" i="49"/>
  <c r="E309" i="49"/>
  <c r="Q308" i="49"/>
  <c r="P308" i="49"/>
  <c r="L308" i="49"/>
  <c r="M308" i="49" s="1"/>
  <c r="N308" i="49" s="1"/>
  <c r="K308" i="49"/>
  <c r="G308" i="49"/>
  <c r="E308" i="49"/>
  <c r="Q307" i="49"/>
  <c r="P307" i="49"/>
  <c r="L307" i="49"/>
  <c r="M307" i="49" s="1"/>
  <c r="N307" i="49" s="1"/>
  <c r="K307" i="49"/>
  <c r="G307" i="49"/>
  <c r="E307" i="49"/>
  <c r="Q306" i="49"/>
  <c r="P306" i="49"/>
  <c r="L306" i="49"/>
  <c r="M306" i="49"/>
  <c r="N306" i="49" s="1"/>
  <c r="K306" i="49"/>
  <c r="G306" i="49"/>
  <c r="E306" i="49"/>
  <c r="Q305" i="49"/>
  <c r="P305" i="49"/>
  <c r="L305" i="49"/>
  <c r="M305" i="49" s="1"/>
  <c r="N305" i="49"/>
  <c r="K305" i="49"/>
  <c r="G305" i="49"/>
  <c r="E305" i="49"/>
  <c r="Q304" i="49"/>
  <c r="P304" i="49"/>
  <c r="L304" i="49"/>
  <c r="M304" i="49" s="1"/>
  <c r="N304" i="49" s="1"/>
  <c r="K304" i="49"/>
  <c r="G304" i="49"/>
  <c r="E304" i="49"/>
  <c r="Q303" i="49"/>
  <c r="P303" i="49"/>
  <c r="L303" i="49"/>
  <c r="M303" i="49"/>
  <c r="N303" i="49" s="1"/>
  <c r="K303" i="49"/>
  <c r="G303" i="49"/>
  <c r="E303" i="49"/>
  <c r="Q302" i="49"/>
  <c r="P302" i="49"/>
  <c r="L302" i="49"/>
  <c r="M302" i="49" s="1"/>
  <c r="N302" i="49" s="1"/>
  <c r="K302" i="49"/>
  <c r="G302" i="49"/>
  <c r="E302" i="49"/>
  <c r="Q301" i="49"/>
  <c r="P301" i="49"/>
  <c r="L301" i="49"/>
  <c r="M301" i="49" s="1"/>
  <c r="N301" i="49" s="1"/>
  <c r="K301" i="49"/>
  <c r="G301" i="49"/>
  <c r="E301" i="49"/>
  <c r="Q300" i="49"/>
  <c r="P300" i="49"/>
  <c r="L300" i="49"/>
  <c r="M300" i="49"/>
  <c r="N300" i="49" s="1"/>
  <c r="K300" i="49"/>
  <c r="G300" i="49"/>
  <c r="E300" i="49"/>
  <c r="Q299" i="49"/>
  <c r="P299" i="49"/>
  <c r="L299" i="49"/>
  <c r="M299" i="49" s="1"/>
  <c r="N299" i="49" s="1"/>
  <c r="K299" i="49"/>
  <c r="G299" i="49"/>
  <c r="E299" i="49"/>
  <c r="Q298" i="49"/>
  <c r="P298" i="49"/>
  <c r="L298" i="49"/>
  <c r="M298" i="49" s="1"/>
  <c r="N298" i="49" s="1"/>
  <c r="K298" i="49"/>
  <c r="G298" i="49"/>
  <c r="E298" i="49"/>
  <c r="Q297" i="49"/>
  <c r="P297" i="49"/>
  <c r="L297" i="49"/>
  <c r="M297" i="49" s="1"/>
  <c r="N297" i="49" s="1"/>
  <c r="K297" i="49"/>
  <c r="G297" i="49"/>
  <c r="E297" i="49"/>
  <c r="Q296" i="49"/>
  <c r="P296" i="49"/>
  <c r="L296" i="49"/>
  <c r="M296" i="49" s="1"/>
  <c r="N296" i="49" s="1"/>
  <c r="K296" i="49"/>
  <c r="G296" i="49"/>
  <c r="E296" i="49"/>
  <c r="Q295" i="49"/>
  <c r="P295" i="49"/>
  <c r="L295" i="49"/>
  <c r="M295" i="49" s="1"/>
  <c r="N295" i="49" s="1"/>
  <c r="K295" i="49"/>
  <c r="G295" i="49"/>
  <c r="E295" i="49"/>
  <c r="Q294" i="49"/>
  <c r="P294" i="49"/>
  <c r="P417" i="49" s="1"/>
  <c r="C418" i="49" s="1"/>
  <c r="L294" i="49"/>
  <c r="M294" i="49" s="1"/>
  <c r="N294" i="49" s="1"/>
  <c r="K294" i="49"/>
  <c r="G294" i="49"/>
  <c r="E294" i="49"/>
  <c r="Q293" i="49"/>
  <c r="P293" i="49"/>
  <c r="L293" i="49"/>
  <c r="M293" i="49" s="1"/>
  <c r="N293" i="49"/>
  <c r="K293" i="49"/>
  <c r="G293" i="49"/>
  <c r="E293" i="49"/>
  <c r="Q292" i="49"/>
  <c r="P292" i="49"/>
  <c r="L292" i="49"/>
  <c r="M292" i="49" s="1"/>
  <c r="N292" i="49" s="1"/>
  <c r="K292" i="49"/>
  <c r="G292" i="49"/>
  <c r="E292" i="49"/>
  <c r="Q291" i="49"/>
  <c r="P291" i="49"/>
  <c r="L291" i="49"/>
  <c r="M291" i="49" s="1"/>
  <c r="N291" i="49" s="1"/>
  <c r="K291" i="49"/>
  <c r="G291" i="49"/>
  <c r="E291" i="49"/>
  <c r="Q290" i="49"/>
  <c r="P290" i="49"/>
  <c r="L290" i="49"/>
  <c r="M290" i="49" s="1"/>
  <c r="N290" i="49" s="1"/>
  <c r="K290" i="49"/>
  <c r="G290" i="49"/>
  <c r="E290" i="49"/>
  <c r="Q289" i="49"/>
  <c r="P289" i="49"/>
  <c r="L289" i="49"/>
  <c r="M289" i="49" s="1"/>
  <c r="N289" i="49" s="1"/>
  <c r="K289" i="49"/>
  <c r="G289" i="49"/>
  <c r="E289" i="49"/>
  <c r="Q288" i="49"/>
  <c r="P288" i="49"/>
  <c r="L288" i="49"/>
  <c r="M288" i="49"/>
  <c r="N288" i="49" s="1"/>
  <c r="K288" i="49"/>
  <c r="G288" i="49"/>
  <c r="E288" i="49"/>
  <c r="Q287" i="49"/>
  <c r="P287" i="49"/>
  <c r="L287" i="49"/>
  <c r="M287" i="49" s="1"/>
  <c r="N287" i="49" s="1"/>
  <c r="K287" i="49"/>
  <c r="G287" i="49"/>
  <c r="E287" i="49"/>
  <c r="Q286" i="49"/>
  <c r="P286" i="49"/>
  <c r="L286" i="49"/>
  <c r="M286" i="49" s="1"/>
  <c r="N286" i="49" s="1"/>
  <c r="K286" i="49"/>
  <c r="G286" i="49"/>
  <c r="E286" i="49"/>
  <c r="Q285" i="49"/>
  <c r="P285" i="49"/>
  <c r="L285" i="49"/>
  <c r="M285" i="49"/>
  <c r="N285" i="49" s="1"/>
  <c r="K285" i="49"/>
  <c r="G285" i="49"/>
  <c r="E285" i="49"/>
  <c r="Q284" i="49"/>
  <c r="P284" i="49"/>
  <c r="L284" i="49"/>
  <c r="M284" i="49" s="1"/>
  <c r="N284" i="49" s="1"/>
  <c r="K284" i="49"/>
  <c r="G284" i="49"/>
  <c r="E284" i="49"/>
  <c r="Q283" i="49"/>
  <c r="P283" i="49"/>
  <c r="L283" i="49"/>
  <c r="M283" i="49" s="1"/>
  <c r="N283" i="49" s="1"/>
  <c r="K283" i="49"/>
  <c r="G283" i="49"/>
  <c r="E283" i="49"/>
  <c r="Q282" i="49"/>
  <c r="P282" i="49"/>
  <c r="L282" i="49"/>
  <c r="M282" i="49" s="1"/>
  <c r="N282" i="49"/>
  <c r="K282" i="49"/>
  <c r="G282" i="49"/>
  <c r="E282" i="49"/>
  <c r="Q281" i="49"/>
  <c r="P281" i="49"/>
  <c r="L281" i="49"/>
  <c r="M281" i="49"/>
  <c r="N281" i="49" s="1"/>
  <c r="K281" i="49"/>
  <c r="G281" i="49"/>
  <c r="E281" i="49"/>
  <c r="Q280" i="49"/>
  <c r="P280" i="49"/>
  <c r="L280" i="49"/>
  <c r="M280" i="49" s="1"/>
  <c r="N280" i="49" s="1"/>
  <c r="K280" i="49"/>
  <c r="G280" i="49"/>
  <c r="E280" i="49"/>
  <c r="Q279" i="49"/>
  <c r="P279" i="49"/>
  <c r="L279" i="49"/>
  <c r="M279" i="49" s="1"/>
  <c r="N279" i="49" s="1"/>
  <c r="K279" i="49"/>
  <c r="G279" i="49"/>
  <c r="E279" i="49"/>
  <c r="Q278" i="49"/>
  <c r="P278" i="49"/>
  <c r="L278" i="49"/>
  <c r="M278" i="49" s="1"/>
  <c r="N278" i="49" s="1"/>
  <c r="Q277" i="49"/>
  <c r="P277" i="49"/>
  <c r="L277" i="49"/>
  <c r="M277" i="49" s="1"/>
  <c r="N277" i="49" s="1"/>
  <c r="K277" i="49"/>
  <c r="G277" i="49"/>
  <c r="E277" i="49"/>
  <c r="Q276" i="49"/>
  <c r="P276" i="49"/>
  <c r="L276" i="49"/>
  <c r="M276" i="49" s="1"/>
  <c r="N276" i="49" s="1"/>
  <c r="Q275" i="49"/>
  <c r="P275" i="49"/>
  <c r="L275" i="49"/>
  <c r="M275" i="49" s="1"/>
  <c r="N275" i="49" s="1"/>
  <c r="K275" i="49"/>
  <c r="G275" i="49"/>
  <c r="E275" i="49"/>
  <c r="Q274" i="49"/>
  <c r="P274" i="49"/>
  <c r="L274" i="49"/>
  <c r="M274" i="49" s="1"/>
  <c r="N274" i="49" s="1"/>
  <c r="K274" i="49"/>
  <c r="G274" i="49"/>
  <c r="E274" i="49"/>
  <c r="Q273" i="49"/>
  <c r="P273" i="49"/>
  <c r="L273" i="49"/>
  <c r="M273" i="49" s="1"/>
  <c r="N273" i="49" s="1"/>
  <c r="K273" i="49"/>
  <c r="G273" i="49"/>
  <c r="E273" i="49"/>
  <c r="Q272" i="49"/>
  <c r="P272" i="49"/>
  <c r="L272" i="49"/>
  <c r="M272" i="49" s="1"/>
  <c r="N272" i="49"/>
  <c r="K272" i="49"/>
  <c r="G272" i="49"/>
  <c r="E272" i="49"/>
  <c r="Q271" i="49"/>
  <c r="P271" i="49"/>
  <c r="L271" i="49"/>
  <c r="M271" i="49" s="1"/>
  <c r="N271" i="49" s="1"/>
  <c r="K271" i="49"/>
  <c r="G271" i="49"/>
  <c r="E271" i="49"/>
  <c r="U270" i="49"/>
  <c r="T270" i="49"/>
  <c r="S270" i="49"/>
  <c r="Q270" i="49"/>
  <c r="P270" i="49"/>
  <c r="L270" i="49"/>
  <c r="M270" i="49" s="1"/>
  <c r="N270" i="49" s="1"/>
  <c r="K270" i="49"/>
  <c r="G270" i="49"/>
  <c r="E270" i="49"/>
  <c r="Q269" i="49"/>
  <c r="P269" i="49"/>
  <c r="L269" i="49"/>
  <c r="M269" i="49" s="1"/>
  <c r="N269" i="49" s="1"/>
  <c r="K269" i="49"/>
  <c r="G269" i="49"/>
  <c r="E269" i="49"/>
  <c r="U268" i="49"/>
  <c r="T268" i="49"/>
  <c r="S268" i="49"/>
  <c r="Q268" i="49"/>
  <c r="P268" i="49"/>
  <c r="L268" i="49"/>
  <c r="M268" i="49" s="1"/>
  <c r="N268" i="49"/>
  <c r="K268" i="49"/>
  <c r="G268" i="49"/>
  <c r="E268" i="49"/>
  <c r="Q267" i="49"/>
  <c r="P267" i="49"/>
  <c r="L267" i="49"/>
  <c r="M267" i="49" s="1"/>
  <c r="N267" i="49"/>
  <c r="K267" i="49"/>
  <c r="G267" i="49"/>
  <c r="E267" i="49"/>
  <c r="Q266" i="49"/>
  <c r="P266" i="49"/>
  <c r="L266" i="49"/>
  <c r="M266" i="49" s="1"/>
  <c r="N266" i="49" s="1"/>
  <c r="K266" i="49"/>
  <c r="G266" i="49"/>
  <c r="E266" i="49"/>
  <c r="Q265" i="49"/>
  <c r="P265" i="49"/>
  <c r="L265" i="49"/>
  <c r="M265" i="49" s="1"/>
  <c r="N265" i="49" s="1"/>
  <c r="K265" i="49"/>
  <c r="G265" i="49"/>
  <c r="E265" i="49"/>
  <c r="Q264" i="49"/>
  <c r="P264" i="49"/>
  <c r="L264" i="49"/>
  <c r="M264" i="49" s="1"/>
  <c r="N264" i="49" s="1"/>
  <c r="K264" i="49"/>
  <c r="G264" i="49"/>
  <c r="E264" i="49"/>
  <c r="Q263" i="49"/>
  <c r="P263" i="49"/>
  <c r="L263" i="49"/>
  <c r="M263" i="49" s="1"/>
  <c r="N263" i="49" s="1"/>
  <c r="K263" i="49"/>
  <c r="G263" i="49"/>
  <c r="E263" i="49"/>
  <c r="Q262" i="49"/>
  <c r="P262" i="49"/>
  <c r="L262" i="49"/>
  <c r="M262" i="49" s="1"/>
  <c r="N262" i="49"/>
  <c r="K262" i="49"/>
  <c r="G262" i="49"/>
  <c r="E262" i="49"/>
  <c r="Q261" i="49"/>
  <c r="P261" i="49"/>
  <c r="L261" i="49"/>
  <c r="M261" i="49" s="1"/>
  <c r="N261" i="49" s="1"/>
  <c r="K261" i="49"/>
  <c r="G261" i="49"/>
  <c r="E261" i="49"/>
  <c r="Q260" i="49"/>
  <c r="P260" i="49"/>
  <c r="L260" i="49"/>
  <c r="M260" i="49" s="1"/>
  <c r="N260" i="49" s="1"/>
  <c r="K260" i="49"/>
  <c r="G260" i="49"/>
  <c r="E260" i="49"/>
  <c r="Q259" i="49"/>
  <c r="P259" i="49"/>
  <c r="L259" i="49"/>
  <c r="M259" i="49" s="1"/>
  <c r="N259" i="49" s="1"/>
  <c r="K259" i="49"/>
  <c r="G259" i="49"/>
  <c r="E259" i="49"/>
  <c r="Q258" i="49"/>
  <c r="P258" i="49"/>
  <c r="L258" i="49"/>
  <c r="M258" i="49" s="1"/>
  <c r="N258" i="49" s="1"/>
  <c r="K258" i="49"/>
  <c r="G258" i="49"/>
  <c r="E258" i="49"/>
  <c r="Q257" i="49"/>
  <c r="P257" i="49"/>
  <c r="L257" i="49"/>
  <c r="M257" i="49" s="1"/>
  <c r="N257" i="49" s="1"/>
  <c r="K257" i="49"/>
  <c r="G257" i="49"/>
  <c r="E257" i="49"/>
  <c r="Q256" i="49"/>
  <c r="P256" i="49"/>
  <c r="L256" i="49"/>
  <c r="M256" i="49" s="1"/>
  <c r="N256" i="49"/>
  <c r="K256" i="49"/>
  <c r="G256" i="49"/>
  <c r="E256" i="49"/>
  <c r="U255" i="49"/>
  <c r="T255" i="49"/>
  <c r="S255" i="49"/>
  <c r="Q255" i="49"/>
  <c r="P255" i="49"/>
  <c r="L255" i="49"/>
  <c r="M255" i="49"/>
  <c r="N255" i="49" s="1"/>
  <c r="K255" i="49"/>
  <c r="G255" i="49"/>
  <c r="E255" i="49"/>
  <c r="U254" i="49"/>
  <c r="T254" i="49"/>
  <c r="S254" i="49"/>
  <c r="Q254" i="49"/>
  <c r="P254" i="49"/>
  <c r="L254" i="49"/>
  <c r="M254" i="49" s="1"/>
  <c r="N254" i="49" s="1"/>
  <c r="K254" i="49"/>
  <c r="G254" i="49"/>
  <c r="E254" i="49"/>
  <c r="Q253" i="49"/>
  <c r="P253" i="49"/>
  <c r="L253" i="49"/>
  <c r="M253" i="49" s="1"/>
  <c r="N253" i="49" s="1"/>
  <c r="K253" i="49"/>
  <c r="G253" i="49"/>
  <c r="E253" i="49"/>
  <c r="Q252" i="49"/>
  <c r="P252" i="49"/>
  <c r="L252" i="49"/>
  <c r="M252" i="49" s="1"/>
  <c r="N252" i="49" s="1"/>
  <c r="K252" i="49"/>
  <c r="G252" i="49"/>
  <c r="E252" i="49"/>
  <c r="Q251" i="49"/>
  <c r="P251" i="49"/>
  <c r="L251" i="49"/>
  <c r="M251" i="49" s="1"/>
  <c r="N251" i="49" s="1"/>
  <c r="K251" i="49"/>
  <c r="G251" i="49"/>
  <c r="E251" i="49"/>
  <c r="Q250" i="49"/>
  <c r="P250" i="49"/>
  <c r="L250" i="49"/>
  <c r="M250" i="49" s="1"/>
  <c r="N250" i="49" s="1"/>
  <c r="K250" i="49"/>
  <c r="G250" i="49"/>
  <c r="E250" i="49"/>
  <c r="Q249" i="49"/>
  <c r="P249" i="49"/>
  <c r="L249" i="49"/>
  <c r="M249" i="49"/>
  <c r="N249" i="49" s="1"/>
  <c r="K249" i="49"/>
  <c r="G249" i="49"/>
  <c r="E249" i="49"/>
  <c r="Q248" i="49"/>
  <c r="P248" i="49"/>
  <c r="L248" i="49"/>
  <c r="M248" i="49" s="1"/>
  <c r="N248" i="49" s="1"/>
  <c r="K248" i="49"/>
  <c r="G248" i="49"/>
  <c r="E248" i="49"/>
  <c r="Q247" i="49"/>
  <c r="P247" i="49"/>
  <c r="L247" i="49"/>
  <c r="M247" i="49" s="1"/>
  <c r="N247" i="49" s="1"/>
  <c r="K247" i="49"/>
  <c r="G247" i="49"/>
  <c r="E247" i="49"/>
  <c r="Q246" i="49"/>
  <c r="P246" i="49"/>
  <c r="L246" i="49"/>
  <c r="M246" i="49" s="1"/>
  <c r="N246" i="49" s="1"/>
  <c r="K246" i="49"/>
  <c r="G246" i="49"/>
  <c r="E246" i="49"/>
  <c r="U245" i="49"/>
  <c r="T245" i="49"/>
  <c r="S245" i="49"/>
  <c r="Q245" i="49"/>
  <c r="P245" i="49"/>
  <c r="L245" i="49"/>
  <c r="M245" i="49" s="1"/>
  <c r="N245" i="49" s="1"/>
  <c r="K245" i="49"/>
  <c r="G245" i="49"/>
  <c r="E245" i="49"/>
  <c r="Q244" i="49"/>
  <c r="P244" i="49"/>
  <c r="L244" i="49"/>
  <c r="M244" i="49" s="1"/>
  <c r="N244" i="49" s="1"/>
  <c r="K244" i="49"/>
  <c r="G244" i="49"/>
  <c r="E244" i="49"/>
  <c r="Q243" i="49"/>
  <c r="P243" i="49"/>
  <c r="L243" i="49"/>
  <c r="M243" i="49" s="1"/>
  <c r="N243" i="49" s="1"/>
  <c r="K243" i="49"/>
  <c r="G243" i="49"/>
  <c r="E243" i="49"/>
  <c r="U242" i="49"/>
  <c r="T242" i="49"/>
  <c r="S242" i="49"/>
  <c r="Q242" i="49"/>
  <c r="P242" i="49"/>
  <c r="L242" i="49"/>
  <c r="M242" i="49" s="1"/>
  <c r="N242" i="49" s="1"/>
  <c r="K242" i="49"/>
  <c r="G242" i="49"/>
  <c r="E242" i="49"/>
  <c r="Q241" i="49"/>
  <c r="P241" i="49"/>
  <c r="L241" i="49"/>
  <c r="M241" i="49" s="1"/>
  <c r="N241" i="49" s="1"/>
  <c r="K241" i="49"/>
  <c r="G241" i="49"/>
  <c r="E241" i="49"/>
  <c r="Q240" i="49"/>
  <c r="P240" i="49"/>
  <c r="L240" i="49"/>
  <c r="M240" i="49" s="1"/>
  <c r="N240" i="49" s="1"/>
  <c r="K240" i="49"/>
  <c r="G240" i="49"/>
  <c r="E240" i="49"/>
  <c r="Q239" i="49"/>
  <c r="P239" i="49"/>
  <c r="L239" i="49"/>
  <c r="M239" i="49" s="1"/>
  <c r="N239" i="49" s="1"/>
  <c r="K239" i="49"/>
  <c r="G239" i="49"/>
  <c r="E239" i="49"/>
  <c r="Q238" i="49"/>
  <c r="P238" i="49"/>
  <c r="L238" i="49"/>
  <c r="M238" i="49" s="1"/>
  <c r="K238" i="49"/>
  <c r="G238" i="49"/>
  <c r="E238" i="49"/>
  <c r="S237" i="49"/>
  <c r="Q237" i="49"/>
  <c r="P237" i="49"/>
  <c r="L237" i="49"/>
  <c r="M237" i="49" s="1"/>
  <c r="N237" i="49" s="1"/>
  <c r="K237" i="49"/>
  <c r="G237" i="49"/>
  <c r="E237" i="49"/>
  <c r="Q236" i="49"/>
  <c r="P236" i="49"/>
  <c r="L236" i="49"/>
  <c r="M236" i="49" s="1"/>
  <c r="N236" i="49" s="1"/>
  <c r="K236" i="49"/>
  <c r="G236" i="49"/>
  <c r="E236" i="49"/>
  <c r="Q235" i="49"/>
  <c r="P235" i="49"/>
  <c r="L235" i="49"/>
  <c r="M235" i="49" s="1"/>
  <c r="N235" i="49" s="1"/>
  <c r="K235" i="49"/>
  <c r="G235" i="49"/>
  <c r="E235" i="49"/>
  <c r="Q234" i="49"/>
  <c r="P234" i="49"/>
  <c r="L234" i="49"/>
  <c r="M234" i="49" s="1"/>
  <c r="N234" i="49" s="1"/>
  <c r="K234" i="49"/>
  <c r="G234" i="49"/>
  <c r="E234" i="49"/>
  <c r="Q233" i="49"/>
  <c r="P233" i="49"/>
  <c r="L233" i="49"/>
  <c r="M233" i="49" s="1"/>
  <c r="N233" i="49" s="1"/>
  <c r="K233" i="49"/>
  <c r="G233" i="49"/>
  <c r="E233" i="49"/>
  <c r="Q232" i="49"/>
  <c r="P232" i="49"/>
  <c r="L232" i="49"/>
  <c r="M232" i="49" s="1"/>
  <c r="N232" i="49" s="1"/>
  <c r="K232" i="49"/>
  <c r="G232" i="49"/>
  <c r="E232" i="49"/>
  <c r="Q231" i="49"/>
  <c r="P231" i="49"/>
  <c r="L231" i="49"/>
  <c r="M231" i="49" s="1"/>
  <c r="N231" i="49" s="1"/>
  <c r="K231" i="49"/>
  <c r="G231" i="49"/>
  <c r="E231" i="49"/>
  <c r="Q230" i="49"/>
  <c r="P230" i="49"/>
  <c r="L230" i="49"/>
  <c r="M230" i="49" s="1"/>
  <c r="N230" i="49" s="1"/>
  <c r="K230" i="49"/>
  <c r="G230" i="49"/>
  <c r="E230" i="49"/>
  <c r="Q229" i="49"/>
  <c r="P229" i="49"/>
  <c r="L229" i="49"/>
  <c r="M229" i="49" s="1"/>
  <c r="N229" i="49" s="1"/>
  <c r="K229" i="49"/>
  <c r="G229" i="49"/>
  <c r="E229" i="49"/>
  <c r="Q228" i="49"/>
  <c r="P228" i="49"/>
  <c r="L228" i="49"/>
  <c r="M228" i="49" s="1"/>
  <c r="N228" i="49" s="1"/>
  <c r="K228" i="49"/>
  <c r="G228" i="49"/>
  <c r="E228" i="49"/>
  <c r="Q227" i="49"/>
  <c r="P227" i="49"/>
  <c r="L227" i="49"/>
  <c r="M227" i="49" s="1"/>
  <c r="N227" i="49" s="1"/>
  <c r="K227" i="49"/>
  <c r="G227" i="49"/>
  <c r="E227" i="49"/>
  <c r="Q226" i="49"/>
  <c r="P226" i="49"/>
  <c r="L226" i="49"/>
  <c r="M226" i="49" s="1"/>
  <c r="N226" i="49" s="1"/>
  <c r="K226" i="49"/>
  <c r="G226" i="49"/>
  <c r="E226" i="49"/>
  <c r="Q225" i="49"/>
  <c r="P225" i="49"/>
  <c r="L225" i="49"/>
  <c r="M225" i="49" s="1"/>
  <c r="N225" i="49" s="1"/>
  <c r="K225" i="49"/>
  <c r="G225" i="49"/>
  <c r="E225" i="49"/>
  <c r="Q224" i="49"/>
  <c r="P224" i="49"/>
  <c r="L224" i="49"/>
  <c r="M224" i="49" s="1"/>
  <c r="N224" i="49" s="1"/>
  <c r="K224" i="49"/>
  <c r="G224" i="49"/>
  <c r="E224" i="49"/>
  <c r="Q223" i="49"/>
  <c r="P223" i="49"/>
  <c r="L223" i="49"/>
  <c r="M223" i="49" s="1"/>
  <c r="N223" i="49" s="1"/>
  <c r="K223" i="49"/>
  <c r="G223" i="49"/>
  <c r="E223" i="49"/>
  <c r="Q222" i="49"/>
  <c r="P222" i="49"/>
  <c r="L222" i="49"/>
  <c r="M222" i="49" s="1"/>
  <c r="N222" i="49" s="1"/>
  <c r="K222" i="49"/>
  <c r="G222" i="49"/>
  <c r="E222" i="49"/>
  <c r="Q221" i="49"/>
  <c r="P221" i="49"/>
  <c r="L221" i="49"/>
  <c r="M221" i="49" s="1"/>
  <c r="N221" i="49" s="1"/>
  <c r="K221" i="49"/>
  <c r="G221" i="49"/>
  <c r="E221" i="49"/>
  <c r="Q220" i="49"/>
  <c r="P220" i="49"/>
  <c r="L220" i="49"/>
  <c r="M220" i="49" s="1"/>
  <c r="N220" i="49" s="1"/>
  <c r="K220" i="49"/>
  <c r="G220" i="49"/>
  <c r="E220" i="49"/>
  <c r="Q219" i="49"/>
  <c r="P219" i="49"/>
  <c r="L219" i="49"/>
  <c r="M219" i="49" s="1"/>
  <c r="N219" i="49" s="1"/>
  <c r="K219" i="49"/>
  <c r="G219" i="49"/>
  <c r="E219" i="49"/>
  <c r="Q218" i="49"/>
  <c r="P218" i="49"/>
  <c r="L218" i="49"/>
  <c r="M218" i="49" s="1"/>
  <c r="N218" i="49" s="1"/>
  <c r="K218" i="49"/>
  <c r="G218" i="49"/>
  <c r="E218" i="49"/>
  <c r="Q217" i="49"/>
  <c r="P217" i="49"/>
  <c r="L217" i="49"/>
  <c r="M217" i="49" s="1"/>
  <c r="N217" i="49" s="1"/>
  <c r="K217" i="49"/>
  <c r="G217" i="49"/>
  <c r="E217" i="49"/>
  <c r="Q216" i="49"/>
  <c r="P216" i="49"/>
  <c r="L216" i="49"/>
  <c r="M216" i="49" s="1"/>
  <c r="N216" i="49" s="1"/>
  <c r="K216" i="49"/>
  <c r="G216" i="49"/>
  <c r="E216" i="49"/>
  <c r="Q215" i="49"/>
  <c r="P215" i="49"/>
  <c r="L215" i="49"/>
  <c r="M215" i="49" s="1"/>
  <c r="N215" i="49" s="1"/>
  <c r="K215" i="49"/>
  <c r="G215" i="49"/>
  <c r="E215" i="49"/>
  <c r="Q214" i="49"/>
  <c r="P214" i="49"/>
  <c r="L214" i="49"/>
  <c r="M214" i="49" s="1"/>
  <c r="N214" i="49" s="1"/>
  <c r="K214" i="49"/>
  <c r="G214" i="49"/>
  <c r="E214" i="49"/>
  <c r="Q213" i="49"/>
  <c r="P213" i="49"/>
  <c r="L213" i="49"/>
  <c r="M213" i="49" s="1"/>
  <c r="N213" i="49" s="1"/>
  <c r="K213" i="49"/>
  <c r="G213" i="49"/>
  <c r="E213" i="49"/>
  <c r="Q212" i="49"/>
  <c r="P212" i="49"/>
  <c r="L212" i="49"/>
  <c r="M212" i="49" s="1"/>
  <c r="N212" i="49" s="1"/>
  <c r="K212" i="49"/>
  <c r="G212" i="49"/>
  <c r="E212" i="49"/>
  <c r="Q211" i="49"/>
  <c r="P211" i="49"/>
  <c r="L211" i="49"/>
  <c r="M211" i="49" s="1"/>
  <c r="N211" i="49" s="1"/>
  <c r="K211" i="49"/>
  <c r="G211" i="49"/>
  <c r="E211" i="49"/>
  <c r="Q210" i="49"/>
  <c r="P210" i="49"/>
  <c r="L210" i="49"/>
  <c r="M210" i="49" s="1"/>
  <c r="N210" i="49" s="1"/>
  <c r="K210" i="49"/>
  <c r="G210" i="49"/>
  <c r="E210" i="49"/>
  <c r="Q209" i="49"/>
  <c r="P209" i="49"/>
  <c r="L209" i="49"/>
  <c r="M209" i="49" s="1"/>
  <c r="N209" i="49" s="1"/>
  <c r="K209" i="49"/>
  <c r="G209" i="49"/>
  <c r="E209" i="49"/>
  <c r="Q208" i="49"/>
  <c r="P208" i="49"/>
  <c r="L208" i="49"/>
  <c r="M208" i="49" s="1"/>
  <c r="N208" i="49" s="1"/>
  <c r="K208" i="49"/>
  <c r="G208" i="49"/>
  <c r="E208" i="49"/>
  <c r="Q207" i="49"/>
  <c r="P207" i="49"/>
  <c r="L207" i="49"/>
  <c r="M207" i="49" s="1"/>
  <c r="N207" i="49" s="1"/>
  <c r="K207" i="49"/>
  <c r="G207" i="49"/>
  <c r="E207" i="49"/>
  <c r="Q206" i="49"/>
  <c r="P206" i="49"/>
  <c r="L206" i="49"/>
  <c r="M206" i="49" s="1"/>
  <c r="N206" i="49" s="1"/>
  <c r="K206" i="49"/>
  <c r="G206" i="49"/>
  <c r="E206" i="49"/>
  <c r="Q205" i="49"/>
  <c r="P205" i="49"/>
  <c r="L205" i="49"/>
  <c r="M205" i="49" s="1"/>
  <c r="N205" i="49" s="1"/>
  <c r="K205" i="49"/>
  <c r="G205" i="49"/>
  <c r="E205" i="49"/>
  <c r="Q204" i="49"/>
  <c r="P204" i="49"/>
  <c r="L204" i="49"/>
  <c r="M204" i="49" s="1"/>
  <c r="N204" i="49" s="1"/>
  <c r="K204" i="49"/>
  <c r="G204" i="49"/>
  <c r="E204" i="49"/>
  <c r="U203" i="49"/>
  <c r="T203" i="49"/>
  <c r="S203" i="49"/>
  <c r="Q203" i="49"/>
  <c r="P203" i="49"/>
  <c r="L203" i="49"/>
  <c r="M203" i="49"/>
  <c r="N203" i="49" s="1"/>
  <c r="K203" i="49"/>
  <c r="G203" i="49"/>
  <c r="E203" i="49"/>
  <c r="Q202" i="49"/>
  <c r="P202" i="49"/>
  <c r="L202" i="49"/>
  <c r="M202" i="49" s="1"/>
  <c r="N202" i="49" s="1"/>
  <c r="K202" i="49"/>
  <c r="G202" i="49"/>
  <c r="E202" i="49"/>
  <c r="Q201" i="49"/>
  <c r="P201" i="49"/>
  <c r="L201" i="49"/>
  <c r="M201" i="49"/>
  <c r="N201" i="49" s="1"/>
  <c r="K201" i="49"/>
  <c r="G201" i="49"/>
  <c r="E201" i="49"/>
  <c r="Q200" i="49"/>
  <c r="P200" i="49"/>
  <c r="L200" i="49"/>
  <c r="M200" i="49"/>
  <c r="N200" i="49" s="1"/>
  <c r="K200" i="49"/>
  <c r="G200" i="49"/>
  <c r="E200" i="49"/>
  <c r="Q199" i="49"/>
  <c r="P199" i="49"/>
  <c r="L199" i="49"/>
  <c r="M199" i="49" s="1"/>
  <c r="N199" i="49" s="1"/>
  <c r="K199" i="49"/>
  <c r="G199" i="49"/>
  <c r="E199" i="49"/>
  <c r="U198" i="49"/>
  <c r="T198" i="49"/>
  <c r="S198" i="49"/>
  <c r="Q198" i="49"/>
  <c r="P198" i="49"/>
  <c r="L198" i="49"/>
  <c r="M198" i="49"/>
  <c r="N198" i="49" s="1"/>
  <c r="Q197" i="49"/>
  <c r="P197" i="49"/>
  <c r="L197" i="49"/>
  <c r="M197" i="49"/>
  <c r="N197" i="49" s="1"/>
  <c r="K197" i="49"/>
  <c r="G197" i="49"/>
  <c r="E197" i="49"/>
  <c r="Q196" i="49"/>
  <c r="P196" i="49"/>
  <c r="L196" i="49"/>
  <c r="M196" i="49" s="1"/>
  <c r="N196" i="49" s="1"/>
  <c r="K196" i="49"/>
  <c r="G196" i="49"/>
  <c r="E196" i="49"/>
  <c r="Q195" i="49"/>
  <c r="P195" i="49"/>
  <c r="L195" i="49"/>
  <c r="M195" i="49"/>
  <c r="N195" i="49" s="1"/>
  <c r="K195" i="49"/>
  <c r="G195" i="49"/>
  <c r="E195" i="49"/>
  <c r="Q194" i="49"/>
  <c r="P194" i="49"/>
  <c r="L194" i="49"/>
  <c r="M194" i="49"/>
  <c r="N194" i="49" s="1"/>
  <c r="K194" i="49"/>
  <c r="G194" i="49"/>
  <c r="E194" i="49"/>
  <c r="S193" i="49"/>
  <c r="Q193" i="49"/>
  <c r="P193" i="49"/>
  <c r="K193" i="49"/>
  <c r="U193" i="49"/>
  <c r="G193" i="49"/>
  <c r="Q192" i="49"/>
  <c r="P192" i="49"/>
  <c r="L192" i="49"/>
  <c r="M192" i="49" s="1"/>
  <c r="N192" i="49" s="1"/>
  <c r="K192" i="49"/>
  <c r="G192" i="49"/>
  <c r="E192" i="49"/>
  <c r="Q191" i="49"/>
  <c r="P191" i="49"/>
  <c r="L191" i="49"/>
  <c r="M191" i="49" s="1"/>
  <c r="N191" i="49" s="1"/>
  <c r="K191" i="49"/>
  <c r="G191" i="49"/>
  <c r="E191" i="49"/>
  <c r="Q190" i="49"/>
  <c r="P190" i="49"/>
  <c r="L190" i="49"/>
  <c r="M190" i="49" s="1"/>
  <c r="N190" i="49" s="1"/>
  <c r="K190" i="49"/>
  <c r="G190" i="49"/>
  <c r="E190" i="49"/>
  <c r="Q189" i="49"/>
  <c r="P189" i="49"/>
  <c r="L189" i="49"/>
  <c r="M189" i="49" s="1"/>
  <c r="N189" i="49" s="1"/>
  <c r="K189" i="49"/>
  <c r="G189" i="49"/>
  <c r="E189" i="49"/>
  <c r="Q188" i="49"/>
  <c r="P188" i="49"/>
  <c r="L188" i="49"/>
  <c r="M188" i="49" s="1"/>
  <c r="N188" i="49" s="1"/>
  <c r="K188" i="49"/>
  <c r="G188" i="49"/>
  <c r="E188" i="49"/>
  <c r="U187" i="49"/>
  <c r="T187" i="49"/>
  <c r="S187" i="49"/>
  <c r="Q187" i="49"/>
  <c r="P187" i="49"/>
  <c r="L187" i="49"/>
  <c r="M187" i="49"/>
  <c r="N187" i="49" s="1"/>
  <c r="K187" i="49"/>
  <c r="G187" i="49"/>
  <c r="E187" i="49"/>
  <c r="Q186" i="49"/>
  <c r="P186" i="49"/>
  <c r="L186" i="49"/>
  <c r="M186" i="49" s="1"/>
  <c r="N186" i="49" s="1"/>
  <c r="K186" i="49"/>
  <c r="G186" i="49"/>
  <c r="E186" i="49"/>
  <c r="Q185" i="49"/>
  <c r="P185" i="49"/>
  <c r="L185" i="49"/>
  <c r="M185" i="49"/>
  <c r="N185" i="49" s="1"/>
  <c r="K185" i="49"/>
  <c r="G185" i="49"/>
  <c r="E185" i="49"/>
  <c r="U184" i="49"/>
  <c r="T184" i="49"/>
  <c r="S184" i="49"/>
  <c r="Q184" i="49"/>
  <c r="P184" i="49"/>
  <c r="L184" i="49"/>
  <c r="M184" i="49" s="1"/>
  <c r="N184" i="49" s="1"/>
  <c r="K184" i="49"/>
  <c r="G184" i="49"/>
  <c r="E184" i="49"/>
  <c r="U183" i="49"/>
  <c r="T183" i="49"/>
  <c r="S183" i="49"/>
  <c r="Q183" i="49"/>
  <c r="P183" i="49"/>
  <c r="L183" i="49"/>
  <c r="M183" i="49"/>
  <c r="N183" i="49" s="1"/>
  <c r="K183" i="49"/>
  <c r="G183" i="49"/>
  <c r="E183" i="49"/>
  <c r="Q182" i="49"/>
  <c r="P182" i="49"/>
  <c r="L182" i="49"/>
  <c r="M182" i="49" s="1"/>
  <c r="N182" i="49" s="1"/>
  <c r="K182" i="49"/>
  <c r="G182" i="49"/>
  <c r="E182" i="49"/>
  <c r="Q181" i="49"/>
  <c r="P181" i="49"/>
  <c r="L181" i="49"/>
  <c r="M181" i="49" s="1"/>
  <c r="N181" i="49" s="1"/>
  <c r="K181" i="49"/>
  <c r="G181" i="49"/>
  <c r="E181" i="49"/>
  <c r="Q180" i="49"/>
  <c r="P180" i="49"/>
  <c r="L180" i="49"/>
  <c r="M180" i="49"/>
  <c r="N180" i="49" s="1"/>
  <c r="K180" i="49"/>
  <c r="G180" i="49"/>
  <c r="E180" i="49"/>
  <c r="Q179" i="49"/>
  <c r="P179" i="49"/>
  <c r="L179" i="49"/>
  <c r="M179" i="49" s="1"/>
  <c r="N179" i="49" s="1"/>
  <c r="K179" i="49"/>
  <c r="G179" i="49"/>
  <c r="E179" i="49"/>
  <c r="Q178" i="49"/>
  <c r="P178" i="49"/>
  <c r="L178" i="49"/>
  <c r="M178" i="49" s="1"/>
  <c r="N178" i="49" s="1"/>
  <c r="K178" i="49"/>
  <c r="G178" i="49"/>
  <c r="E178" i="49"/>
  <c r="Q177" i="49"/>
  <c r="P177" i="49"/>
  <c r="L177" i="49"/>
  <c r="M177" i="49"/>
  <c r="N177" i="49" s="1"/>
  <c r="K177" i="49"/>
  <c r="G177" i="49"/>
  <c r="E177" i="49"/>
  <c r="U176" i="49"/>
  <c r="T176" i="49"/>
  <c r="S176" i="49"/>
  <c r="Q176" i="49"/>
  <c r="P176" i="49"/>
  <c r="L176" i="49"/>
  <c r="M176" i="49" s="1"/>
  <c r="N176" i="49" s="1"/>
  <c r="K176" i="49"/>
  <c r="G176" i="49"/>
  <c r="E176" i="49"/>
  <c r="U175" i="49"/>
  <c r="T175" i="49"/>
  <c r="S175" i="49"/>
  <c r="Q175" i="49"/>
  <c r="P175" i="49"/>
  <c r="L175" i="49"/>
  <c r="M175" i="49"/>
  <c r="N175" i="49" s="1"/>
  <c r="G175" i="49"/>
  <c r="E175" i="49"/>
  <c r="Q174" i="49"/>
  <c r="P174" i="49"/>
  <c r="L174" i="49"/>
  <c r="M174" i="49" s="1"/>
  <c r="N174" i="49" s="1"/>
  <c r="K174" i="49"/>
  <c r="G174" i="49"/>
  <c r="E174" i="49"/>
  <c r="Q173" i="49"/>
  <c r="P173" i="49"/>
  <c r="L173" i="49"/>
  <c r="M173" i="49" s="1"/>
  <c r="N173" i="49" s="1"/>
  <c r="K173" i="49"/>
  <c r="G173" i="49"/>
  <c r="E173" i="49"/>
  <c r="Q172" i="49"/>
  <c r="P172" i="49"/>
  <c r="L172" i="49"/>
  <c r="M172" i="49" s="1"/>
  <c r="N172" i="49" s="1"/>
  <c r="K172" i="49"/>
  <c r="G172" i="49"/>
  <c r="E172" i="49"/>
  <c r="Q171" i="49"/>
  <c r="P171" i="49"/>
  <c r="L171" i="49"/>
  <c r="M171" i="49" s="1"/>
  <c r="N171" i="49" s="1"/>
  <c r="K171" i="49"/>
  <c r="G171" i="49"/>
  <c r="E171" i="49"/>
  <c r="Q170" i="49"/>
  <c r="P170" i="49"/>
  <c r="L170" i="49"/>
  <c r="M170" i="49" s="1"/>
  <c r="N170" i="49" s="1"/>
  <c r="K170" i="49"/>
  <c r="G170" i="49"/>
  <c r="E170" i="49"/>
  <c r="U169" i="49"/>
  <c r="T169" i="49"/>
  <c r="S169" i="49"/>
  <c r="Q169" i="49"/>
  <c r="P169" i="49"/>
  <c r="L169" i="49"/>
  <c r="M169" i="49" s="1"/>
  <c r="N169" i="49" s="1"/>
  <c r="K169" i="49"/>
  <c r="G169" i="49"/>
  <c r="E169" i="49"/>
  <c r="Q168" i="49"/>
  <c r="P168" i="49"/>
  <c r="L168" i="49"/>
  <c r="M168" i="49" s="1"/>
  <c r="N168" i="49" s="1"/>
  <c r="K168" i="49"/>
  <c r="G168" i="49"/>
  <c r="E168" i="49"/>
  <c r="Q167" i="49"/>
  <c r="P167" i="49"/>
  <c r="L167" i="49"/>
  <c r="M167" i="49"/>
  <c r="N167" i="49" s="1"/>
  <c r="K167" i="49"/>
  <c r="G167" i="49"/>
  <c r="E167" i="49"/>
  <c r="Q166" i="49"/>
  <c r="P166" i="49"/>
  <c r="L166" i="49"/>
  <c r="M166" i="49" s="1"/>
  <c r="N166" i="49" s="1"/>
  <c r="K166" i="49"/>
  <c r="G166" i="49"/>
  <c r="E166" i="49"/>
  <c r="Q165" i="49"/>
  <c r="P165" i="49"/>
  <c r="L165" i="49"/>
  <c r="M165" i="49" s="1"/>
  <c r="N165" i="49" s="1"/>
  <c r="K165" i="49"/>
  <c r="G165" i="49"/>
  <c r="E165" i="49"/>
  <c r="Q164" i="49"/>
  <c r="P164" i="49"/>
  <c r="L164" i="49"/>
  <c r="M164" i="49"/>
  <c r="N164" i="49" s="1"/>
  <c r="K164" i="49"/>
  <c r="G164" i="49"/>
  <c r="E164" i="49"/>
  <c r="Q163" i="49"/>
  <c r="P163" i="49"/>
  <c r="L163" i="49"/>
  <c r="M163" i="49" s="1"/>
  <c r="N163" i="49" s="1"/>
  <c r="K163" i="49"/>
  <c r="G163" i="49"/>
  <c r="E163" i="49"/>
  <c r="Q162" i="49"/>
  <c r="P162" i="49"/>
  <c r="L162" i="49"/>
  <c r="M162" i="49" s="1"/>
  <c r="N162" i="49" s="1"/>
  <c r="K162" i="49"/>
  <c r="G162" i="49"/>
  <c r="E162" i="49"/>
  <c r="Q161" i="49"/>
  <c r="P161" i="49"/>
  <c r="L161" i="49"/>
  <c r="M161" i="49"/>
  <c r="N161" i="49" s="1"/>
  <c r="K161" i="49"/>
  <c r="G161" i="49"/>
  <c r="E161" i="49"/>
  <c r="Q160" i="49"/>
  <c r="P160" i="49"/>
  <c r="L160" i="49"/>
  <c r="M160" i="49" s="1"/>
  <c r="N160" i="49" s="1"/>
  <c r="K160" i="49"/>
  <c r="G160" i="49"/>
  <c r="E160" i="49"/>
  <c r="Q159" i="49"/>
  <c r="P159" i="49"/>
  <c r="L159" i="49"/>
  <c r="M159" i="49" s="1"/>
  <c r="N159" i="49" s="1"/>
  <c r="K159" i="49"/>
  <c r="G159" i="49"/>
  <c r="E159" i="49"/>
  <c r="Q158" i="49"/>
  <c r="P158" i="49"/>
  <c r="L158" i="49"/>
  <c r="M158" i="49"/>
  <c r="N158" i="49" s="1"/>
  <c r="K158" i="49"/>
  <c r="G158" i="49"/>
  <c r="E158" i="49"/>
  <c r="Q157" i="49"/>
  <c r="P157" i="49"/>
  <c r="L157" i="49"/>
  <c r="M157" i="49" s="1"/>
  <c r="N157" i="49" s="1"/>
  <c r="K157" i="49"/>
  <c r="G157" i="49"/>
  <c r="E157" i="49"/>
  <c r="Q156" i="49"/>
  <c r="P156" i="49"/>
  <c r="L156" i="49"/>
  <c r="M156" i="49" s="1"/>
  <c r="N156" i="49" s="1"/>
  <c r="K156" i="49"/>
  <c r="G156" i="49"/>
  <c r="E156" i="49"/>
  <c r="U155" i="49"/>
  <c r="T155" i="49"/>
  <c r="S155" i="49"/>
  <c r="Q155" i="49"/>
  <c r="P155" i="49"/>
  <c r="L155" i="49"/>
  <c r="M155" i="49"/>
  <c r="N155" i="49" s="1"/>
  <c r="K155" i="49"/>
  <c r="G155" i="49"/>
  <c r="E155" i="49"/>
  <c r="U154" i="49"/>
  <c r="T154" i="49"/>
  <c r="S154" i="49"/>
  <c r="Q154" i="49"/>
  <c r="P154" i="49"/>
  <c r="L154" i="49"/>
  <c r="M154" i="49" s="1"/>
  <c r="N154" i="49" s="1"/>
  <c r="K154" i="49"/>
  <c r="G154" i="49"/>
  <c r="E154" i="49"/>
  <c r="U153" i="49"/>
  <c r="T153" i="49"/>
  <c r="S153" i="49"/>
  <c r="Q153" i="49"/>
  <c r="P153" i="49"/>
  <c r="L153" i="49"/>
  <c r="M153" i="49" s="1"/>
  <c r="N153" i="49" s="1"/>
  <c r="K153" i="49"/>
  <c r="G153" i="49"/>
  <c r="E153" i="49"/>
  <c r="Q152" i="49"/>
  <c r="P152" i="49"/>
  <c r="L152" i="49"/>
  <c r="M152" i="49" s="1"/>
  <c r="N152" i="49" s="1"/>
  <c r="K152" i="49"/>
  <c r="G152" i="49"/>
  <c r="E152" i="49"/>
  <c r="Q151" i="49"/>
  <c r="P151" i="49"/>
  <c r="L151" i="49"/>
  <c r="M151" i="49" s="1"/>
  <c r="N151" i="49" s="1"/>
  <c r="K151" i="49"/>
  <c r="G151" i="49"/>
  <c r="E151" i="49"/>
  <c r="Q150" i="49"/>
  <c r="P150" i="49"/>
  <c r="L150" i="49"/>
  <c r="M150" i="49" s="1"/>
  <c r="N150" i="49" s="1"/>
  <c r="K150" i="49"/>
  <c r="G150" i="49"/>
  <c r="E150" i="49"/>
  <c r="Q149" i="49"/>
  <c r="P149" i="49"/>
  <c r="L149" i="49"/>
  <c r="M149" i="49" s="1"/>
  <c r="N149" i="49" s="1"/>
  <c r="K149" i="49"/>
  <c r="G149" i="49"/>
  <c r="E149" i="49"/>
  <c r="Q148" i="49"/>
  <c r="P148" i="49"/>
  <c r="L148" i="49"/>
  <c r="M148" i="49" s="1"/>
  <c r="N148" i="49" s="1"/>
  <c r="Q147" i="49"/>
  <c r="P147" i="49"/>
  <c r="L147" i="49"/>
  <c r="M147" i="49"/>
  <c r="N147" i="49" s="1"/>
  <c r="K147" i="49"/>
  <c r="G147" i="49"/>
  <c r="E147" i="49"/>
  <c r="Q146" i="49"/>
  <c r="P146" i="49"/>
  <c r="L146" i="49"/>
  <c r="M146" i="49"/>
  <c r="N146" i="49" s="1"/>
  <c r="K146" i="49"/>
  <c r="G146" i="49"/>
  <c r="E146" i="49"/>
  <c r="Q145" i="49"/>
  <c r="P145" i="49"/>
  <c r="L145" i="49"/>
  <c r="M145" i="49"/>
  <c r="N145" i="49"/>
  <c r="K145" i="49"/>
  <c r="G145" i="49"/>
  <c r="E145" i="49"/>
  <c r="Q144" i="49"/>
  <c r="P144" i="49"/>
  <c r="L144" i="49"/>
  <c r="M144" i="49"/>
  <c r="N144" i="49" s="1"/>
  <c r="Q143" i="49"/>
  <c r="P143" i="49"/>
  <c r="L143" i="49"/>
  <c r="M143" i="49" s="1"/>
  <c r="N143" i="49" s="1"/>
  <c r="K143" i="49"/>
  <c r="G143" i="49"/>
  <c r="E143" i="49"/>
  <c r="U142" i="49"/>
  <c r="T142" i="49"/>
  <c r="S142" i="49"/>
  <c r="Q142" i="49"/>
  <c r="P142" i="49"/>
  <c r="L142" i="49"/>
  <c r="M142" i="49" s="1"/>
  <c r="N142" i="49"/>
  <c r="K142" i="49"/>
  <c r="G142" i="49"/>
  <c r="E142" i="49"/>
  <c r="Q141" i="49"/>
  <c r="P141" i="49"/>
  <c r="L141" i="49"/>
  <c r="M141" i="49" s="1"/>
  <c r="N141" i="49" s="1"/>
  <c r="K141" i="49"/>
  <c r="G141" i="49"/>
  <c r="E141" i="49"/>
  <c r="Q140" i="49"/>
  <c r="P140" i="49"/>
  <c r="L140" i="49"/>
  <c r="M140" i="49" s="1"/>
  <c r="N140" i="49" s="1"/>
  <c r="K140" i="49"/>
  <c r="G140" i="49"/>
  <c r="E140" i="49"/>
  <c r="Q139" i="49"/>
  <c r="P139" i="49"/>
  <c r="L139" i="49"/>
  <c r="M139" i="49"/>
  <c r="N139" i="49" s="1"/>
  <c r="K139" i="49"/>
  <c r="G139" i="49"/>
  <c r="E139" i="49"/>
  <c r="Q138" i="49"/>
  <c r="P138" i="49"/>
  <c r="L138" i="49"/>
  <c r="M138" i="49" s="1"/>
  <c r="N138" i="49" s="1"/>
  <c r="K138" i="49"/>
  <c r="G138" i="49"/>
  <c r="E138" i="49"/>
  <c r="U137" i="49"/>
  <c r="T137" i="49"/>
  <c r="S137" i="49"/>
  <c r="Q137" i="49"/>
  <c r="P137" i="49"/>
  <c r="L137" i="49"/>
  <c r="M137" i="49" s="1"/>
  <c r="N137" i="49" s="1"/>
  <c r="Q136" i="49"/>
  <c r="P136" i="49"/>
  <c r="L136" i="49"/>
  <c r="M136" i="49" s="1"/>
  <c r="N136" i="49" s="1"/>
  <c r="Q135" i="49"/>
  <c r="P135" i="49"/>
  <c r="L135" i="49"/>
  <c r="M135" i="49" s="1"/>
  <c r="N135" i="49" s="1"/>
  <c r="K135" i="49"/>
  <c r="G135" i="49"/>
  <c r="E135" i="49"/>
  <c r="Q134" i="49"/>
  <c r="P134" i="49"/>
  <c r="L134" i="49"/>
  <c r="M134" i="49" s="1"/>
  <c r="N134" i="49" s="1"/>
  <c r="K134" i="49"/>
  <c r="G134" i="49"/>
  <c r="E134" i="49"/>
  <c r="Q133" i="49"/>
  <c r="P133" i="49"/>
  <c r="L133" i="49"/>
  <c r="M133" i="49" s="1"/>
  <c r="N133" i="49" s="1"/>
  <c r="U132" i="49"/>
  <c r="T132" i="49"/>
  <c r="S132" i="49"/>
  <c r="Q132" i="49"/>
  <c r="P132" i="49"/>
  <c r="L132" i="49"/>
  <c r="M132" i="49" s="1"/>
  <c r="N132" i="49" s="1"/>
  <c r="K132" i="49"/>
  <c r="G132" i="49"/>
  <c r="E132" i="49"/>
  <c r="Q131" i="49"/>
  <c r="P131" i="49"/>
  <c r="L131" i="49"/>
  <c r="M131" i="49" s="1"/>
  <c r="N131" i="49" s="1"/>
  <c r="K131" i="49"/>
  <c r="G131" i="49"/>
  <c r="E131" i="49"/>
  <c r="Q130" i="49"/>
  <c r="P130" i="49"/>
  <c r="L130" i="49"/>
  <c r="M130" i="49" s="1"/>
  <c r="N130" i="49" s="1"/>
  <c r="K130" i="49"/>
  <c r="G130" i="49"/>
  <c r="E130" i="49"/>
  <c r="U129" i="49"/>
  <c r="T129" i="49"/>
  <c r="S129" i="49"/>
  <c r="Q129" i="49"/>
  <c r="P129" i="49"/>
  <c r="L129" i="49"/>
  <c r="M129" i="49"/>
  <c r="N129" i="49" s="1"/>
  <c r="K129" i="49"/>
  <c r="G129" i="49"/>
  <c r="E129" i="49"/>
  <c r="Q128" i="49"/>
  <c r="P128" i="49"/>
  <c r="L128" i="49"/>
  <c r="M128" i="49"/>
  <c r="N128" i="49" s="1"/>
  <c r="K128" i="49"/>
  <c r="G128" i="49"/>
  <c r="E128" i="49"/>
  <c r="Q127" i="49"/>
  <c r="P127" i="49"/>
  <c r="L127" i="49"/>
  <c r="M127" i="49" s="1"/>
  <c r="N127" i="49" s="1"/>
  <c r="K127" i="49"/>
  <c r="G127" i="49"/>
  <c r="E127" i="49"/>
  <c r="Q126" i="49"/>
  <c r="P126" i="49"/>
  <c r="L126" i="49"/>
  <c r="M126" i="49"/>
  <c r="N126" i="49" s="1"/>
  <c r="K126" i="49"/>
  <c r="G126" i="49"/>
  <c r="E126" i="49"/>
  <c r="U125" i="49"/>
  <c r="T125" i="49"/>
  <c r="S125" i="49"/>
  <c r="Q125" i="49"/>
  <c r="P125" i="49"/>
  <c r="L125" i="49"/>
  <c r="M125" i="49" s="1"/>
  <c r="N125" i="49" s="1"/>
  <c r="K125" i="49"/>
  <c r="G125" i="49"/>
  <c r="E125" i="49"/>
  <c r="Q124" i="49"/>
  <c r="P124" i="49"/>
  <c r="L124" i="49"/>
  <c r="M124" i="49" s="1"/>
  <c r="N124" i="49" s="1"/>
  <c r="K124" i="49"/>
  <c r="G124" i="49"/>
  <c r="E124" i="49"/>
  <c r="U123" i="49"/>
  <c r="T123" i="49"/>
  <c r="S123" i="49"/>
  <c r="Q123" i="49"/>
  <c r="P123" i="49"/>
  <c r="L123" i="49"/>
  <c r="M123" i="49" s="1"/>
  <c r="N123" i="49" s="1"/>
  <c r="K123" i="49"/>
  <c r="G123" i="49"/>
  <c r="E123" i="49"/>
  <c r="Q122" i="49"/>
  <c r="P122" i="49"/>
  <c r="L122" i="49"/>
  <c r="M122" i="49" s="1"/>
  <c r="N122" i="49" s="1"/>
  <c r="K122" i="49"/>
  <c r="G122" i="49"/>
  <c r="E122" i="49"/>
  <c r="Q121" i="49"/>
  <c r="P121" i="49"/>
  <c r="L121" i="49"/>
  <c r="M121" i="49" s="1"/>
  <c r="N121" i="49" s="1"/>
  <c r="K121" i="49"/>
  <c r="G121" i="49"/>
  <c r="E121" i="49"/>
  <c r="U120" i="49"/>
  <c r="T120" i="49"/>
  <c r="S120" i="49"/>
  <c r="Q120" i="49"/>
  <c r="P120" i="49"/>
  <c r="L120" i="49"/>
  <c r="M120" i="49" s="1"/>
  <c r="N120" i="49" s="1"/>
  <c r="K120" i="49"/>
  <c r="G120" i="49"/>
  <c r="E120" i="49"/>
  <c r="Q119" i="49"/>
  <c r="P119" i="49"/>
  <c r="L119" i="49"/>
  <c r="M119" i="49" s="1"/>
  <c r="N119" i="49" s="1"/>
  <c r="K119" i="49"/>
  <c r="G119" i="49"/>
  <c r="E119" i="49"/>
  <c r="Q118" i="49"/>
  <c r="P118" i="49"/>
  <c r="L118" i="49"/>
  <c r="M118" i="49" s="1"/>
  <c r="N118" i="49" s="1"/>
  <c r="K118" i="49"/>
  <c r="G118" i="49"/>
  <c r="E118" i="49"/>
  <c r="U117" i="49"/>
  <c r="T117" i="49"/>
  <c r="S117" i="49"/>
  <c r="Q117" i="49"/>
  <c r="P117" i="49"/>
  <c r="L117" i="49"/>
  <c r="M117" i="49"/>
  <c r="N117" i="49" s="1"/>
  <c r="K117" i="49"/>
  <c r="G117" i="49"/>
  <c r="E117" i="49"/>
  <c r="Q116" i="49"/>
  <c r="P116" i="49"/>
  <c r="L116" i="49"/>
  <c r="M116" i="49"/>
  <c r="N116" i="49" s="1"/>
  <c r="K116" i="49"/>
  <c r="G116" i="49"/>
  <c r="E116" i="49"/>
  <c r="U115" i="49"/>
  <c r="T115" i="49"/>
  <c r="S115" i="49"/>
  <c r="Q115" i="49"/>
  <c r="P115" i="49"/>
  <c r="L115" i="49"/>
  <c r="M115" i="49" s="1"/>
  <c r="N115" i="49" s="1"/>
  <c r="K115" i="49"/>
  <c r="G115" i="49"/>
  <c r="E115" i="49"/>
  <c r="U114" i="49"/>
  <c r="S114" i="49"/>
  <c r="Q114" i="49"/>
  <c r="P114" i="49"/>
  <c r="Q113" i="49"/>
  <c r="P113" i="49"/>
  <c r="L113" i="49"/>
  <c r="M113" i="49" s="1"/>
  <c r="N113" i="49" s="1"/>
  <c r="K113" i="49"/>
  <c r="G113" i="49"/>
  <c r="E113" i="49"/>
  <c r="Q112" i="49"/>
  <c r="P112" i="49"/>
  <c r="L112" i="49"/>
  <c r="M112" i="49" s="1"/>
  <c r="N112" i="49" s="1"/>
  <c r="K112" i="49"/>
  <c r="G112" i="49"/>
  <c r="E112" i="49"/>
  <c r="U111" i="49"/>
  <c r="T111" i="49"/>
  <c r="S111" i="49"/>
  <c r="Q111" i="49"/>
  <c r="P111" i="49"/>
  <c r="L111" i="49"/>
  <c r="M111" i="49" s="1"/>
  <c r="N111" i="49" s="1"/>
  <c r="K111" i="49"/>
  <c r="G111" i="49"/>
  <c r="E111" i="49"/>
  <c r="Q110" i="49"/>
  <c r="P110" i="49"/>
  <c r="L110" i="49"/>
  <c r="M110" i="49" s="1"/>
  <c r="N110" i="49" s="1"/>
  <c r="K110" i="49"/>
  <c r="G110" i="49"/>
  <c r="E110" i="49"/>
  <c r="Q109" i="49"/>
  <c r="P109" i="49"/>
  <c r="L109" i="49"/>
  <c r="M109" i="49"/>
  <c r="N109" i="49" s="1"/>
  <c r="K109" i="49"/>
  <c r="G109" i="49"/>
  <c r="E109" i="49"/>
  <c r="Q108" i="49"/>
  <c r="P108" i="49"/>
  <c r="L108" i="49"/>
  <c r="M108" i="49" s="1"/>
  <c r="N108" i="49" s="1"/>
  <c r="K108" i="49"/>
  <c r="G108" i="49"/>
  <c r="E108" i="49"/>
  <c r="Q107" i="49"/>
  <c r="P107" i="49"/>
  <c r="L107" i="49"/>
  <c r="M107" i="49" s="1"/>
  <c r="N107" i="49" s="1"/>
  <c r="K107" i="49"/>
  <c r="G107" i="49"/>
  <c r="E107" i="49"/>
  <c r="Q106" i="49"/>
  <c r="P106" i="49"/>
  <c r="L106" i="49"/>
  <c r="M106" i="49" s="1"/>
  <c r="N106" i="49" s="1"/>
  <c r="K106" i="49"/>
  <c r="G106" i="49"/>
  <c r="E106" i="49"/>
  <c r="U105" i="49"/>
  <c r="T105" i="49"/>
  <c r="S105" i="49"/>
  <c r="Q105" i="49"/>
  <c r="P105" i="49"/>
  <c r="L105" i="49"/>
  <c r="M105" i="49" s="1"/>
  <c r="N105" i="49" s="1"/>
  <c r="K105" i="49"/>
  <c r="G105" i="49"/>
  <c r="E105" i="49"/>
  <c r="Q104" i="49"/>
  <c r="P104" i="49"/>
  <c r="L104" i="49"/>
  <c r="M104" i="49" s="1"/>
  <c r="N104" i="49" s="1"/>
  <c r="K104" i="49"/>
  <c r="G104" i="49"/>
  <c r="E104" i="49"/>
  <c r="U103" i="49"/>
  <c r="S103" i="49"/>
  <c r="Q103" i="49"/>
  <c r="P103" i="49"/>
  <c r="L103" i="49"/>
  <c r="M103" i="49" s="1"/>
  <c r="N103" i="49" s="1"/>
  <c r="K103" i="49"/>
  <c r="G103" i="49"/>
  <c r="T103" i="49"/>
  <c r="E103" i="49"/>
  <c r="Q102" i="49"/>
  <c r="P102" i="49"/>
  <c r="L102" i="49"/>
  <c r="M102" i="49" s="1"/>
  <c r="N102" i="49" s="1"/>
  <c r="K102" i="49"/>
  <c r="G102" i="49"/>
  <c r="E102" i="49"/>
  <c r="Q101" i="49"/>
  <c r="P101" i="49"/>
  <c r="L101" i="49"/>
  <c r="M101" i="49" s="1"/>
  <c r="N101" i="49" s="1"/>
  <c r="K101" i="49"/>
  <c r="G101" i="49"/>
  <c r="E101" i="49"/>
  <c r="Q100" i="49"/>
  <c r="P100" i="49"/>
  <c r="L100" i="49"/>
  <c r="M100" i="49" s="1"/>
  <c r="N100" i="49" s="1"/>
  <c r="K100" i="49"/>
  <c r="G100" i="49"/>
  <c r="E100" i="49"/>
  <c r="Q99" i="49"/>
  <c r="P99" i="49"/>
  <c r="L99" i="49"/>
  <c r="M99" i="49" s="1"/>
  <c r="N99" i="49" s="1"/>
  <c r="K99" i="49"/>
  <c r="G99" i="49"/>
  <c r="E99" i="49"/>
  <c r="U98" i="49"/>
  <c r="T98" i="49"/>
  <c r="S98" i="49"/>
  <c r="Q98" i="49"/>
  <c r="P98" i="49"/>
  <c r="L98" i="49"/>
  <c r="M98" i="49" s="1"/>
  <c r="N98" i="49" s="1"/>
  <c r="K98" i="49"/>
  <c r="G98" i="49"/>
  <c r="E98" i="49"/>
  <c r="Q97" i="49"/>
  <c r="P97" i="49"/>
  <c r="L97" i="49"/>
  <c r="M97" i="49" s="1"/>
  <c r="N97" i="49" s="1"/>
  <c r="K97" i="49"/>
  <c r="G97" i="49"/>
  <c r="E97" i="49"/>
  <c r="U96" i="49"/>
  <c r="T96" i="49"/>
  <c r="S96" i="49"/>
  <c r="Q96" i="49"/>
  <c r="P96" i="49"/>
  <c r="L96" i="49"/>
  <c r="M96" i="49"/>
  <c r="N96" i="49" s="1"/>
  <c r="K96" i="49"/>
  <c r="G96" i="49"/>
  <c r="E96" i="49"/>
  <c r="Q95" i="49"/>
  <c r="P95" i="49"/>
  <c r="L95" i="49"/>
  <c r="M95" i="49" s="1"/>
  <c r="N95" i="49" s="1"/>
  <c r="K95" i="49"/>
  <c r="G95" i="49"/>
  <c r="E95" i="49"/>
  <c r="Q94" i="49"/>
  <c r="P94" i="49"/>
  <c r="L94" i="49"/>
  <c r="M94" i="49"/>
  <c r="N94" i="49" s="1"/>
  <c r="Q93" i="49"/>
  <c r="P93" i="49"/>
  <c r="L93" i="49"/>
  <c r="M93" i="49" s="1"/>
  <c r="N93" i="49" s="1"/>
  <c r="K93" i="49"/>
  <c r="G93" i="49"/>
  <c r="E93" i="49"/>
  <c r="Q92" i="49"/>
  <c r="P92" i="49"/>
  <c r="L92" i="49"/>
  <c r="M92" i="49" s="1"/>
  <c r="N92" i="49" s="1"/>
  <c r="K92" i="49"/>
  <c r="G92" i="49"/>
  <c r="E92" i="49"/>
  <c r="U91" i="49"/>
  <c r="T91" i="49"/>
  <c r="S91" i="49"/>
  <c r="Q91" i="49"/>
  <c r="P91" i="49"/>
  <c r="L91" i="49"/>
  <c r="M91" i="49" s="1"/>
  <c r="N91" i="49" s="1"/>
  <c r="K91" i="49"/>
  <c r="G91" i="49"/>
  <c r="E91" i="49"/>
  <c r="Q90" i="49"/>
  <c r="P90" i="49"/>
  <c r="L90" i="49"/>
  <c r="M90" i="49"/>
  <c r="N90" i="49" s="1"/>
  <c r="K90" i="49"/>
  <c r="G90" i="49"/>
  <c r="E90" i="49"/>
  <c r="U89" i="49"/>
  <c r="T89" i="49"/>
  <c r="S89" i="49"/>
  <c r="Q89" i="49"/>
  <c r="P89" i="49"/>
  <c r="L89" i="49"/>
  <c r="M89" i="49" s="1"/>
  <c r="N89" i="49" s="1"/>
  <c r="K89" i="49"/>
  <c r="G89" i="49"/>
  <c r="E89" i="49"/>
  <c r="U88" i="49"/>
  <c r="T88" i="49"/>
  <c r="S88" i="49"/>
  <c r="Q88" i="49"/>
  <c r="P88" i="49"/>
  <c r="L88" i="49"/>
  <c r="M88" i="49"/>
  <c r="N88" i="49" s="1"/>
  <c r="K88" i="49"/>
  <c r="G88" i="49"/>
  <c r="E88" i="49"/>
  <c r="Q87" i="49"/>
  <c r="P87" i="49"/>
  <c r="L87" i="49"/>
  <c r="M87" i="49" s="1"/>
  <c r="N87" i="49" s="1"/>
  <c r="U86" i="49"/>
  <c r="T86" i="49"/>
  <c r="S86" i="49"/>
  <c r="Q86" i="49"/>
  <c r="P86" i="49"/>
  <c r="L86" i="49"/>
  <c r="M86" i="49" s="1"/>
  <c r="N86" i="49" s="1"/>
  <c r="K86" i="49"/>
  <c r="G86" i="49"/>
  <c r="E86" i="49"/>
  <c r="Q85" i="49"/>
  <c r="P85" i="49"/>
  <c r="L85" i="49"/>
  <c r="M85" i="49"/>
  <c r="N85" i="49" s="1"/>
  <c r="K85" i="49"/>
  <c r="G85" i="49"/>
  <c r="E85" i="49"/>
  <c r="Q84" i="49"/>
  <c r="P84" i="49"/>
  <c r="L84" i="49"/>
  <c r="M84" i="49" s="1"/>
  <c r="N84" i="49" s="1"/>
  <c r="U83" i="49"/>
  <c r="T83" i="49"/>
  <c r="S83" i="49"/>
  <c r="Q83" i="49"/>
  <c r="P83" i="49"/>
  <c r="L83" i="49"/>
  <c r="M83" i="49" s="1"/>
  <c r="N83" i="49" s="1"/>
  <c r="Q82" i="49"/>
  <c r="P82" i="49"/>
  <c r="L82" i="49"/>
  <c r="M82" i="49" s="1"/>
  <c r="N82" i="49" s="1"/>
  <c r="K82" i="49"/>
  <c r="G82" i="49"/>
  <c r="E82" i="49"/>
  <c r="Q81" i="49"/>
  <c r="P81" i="49"/>
  <c r="L81" i="49"/>
  <c r="M81" i="49" s="1"/>
  <c r="N81" i="49" s="1"/>
  <c r="K81" i="49"/>
  <c r="G81" i="49"/>
  <c r="E81" i="49"/>
  <c r="Q80" i="49"/>
  <c r="P80" i="49"/>
  <c r="L80" i="49"/>
  <c r="M80" i="49" s="1"/>
  <c r="N80" i="49" s="1"/>
  <c r="K80" i="49"/>
  <c r="G80" i="49"/>
  <c r="E80" i="49"/>
  <c r="U79" i="49"/>
  <c r="T79" i="49"/>
  <c r="S79" i="49"/>
  <c r="Q79" i="49"/>
  <c r="P79" i="49"/>
  <c r="L79" i="49"/>
  <c r="M79" i="49" s="1"/>
  <c r="N79" i="49" s="1"/>
  <c r="K79" i="49"/>
  <c r="G79" i="49"/>
  <c r="E79" i="49"/>
  <c r="Q78" i="49"/>
  <c r="P78" i="49"/>
  <c r="L78" i="49"/>
  <c r="M78" i="49" s="1"/>
  <c r="N78" i="49" s="1"/>
  <c r="K78" i="49"/>
  <c r="G78" i="49"/>
  <c r="E78" i="49"/>
  <c r="U77" i="49"/>
  <c r="T77" i="49"/>
  <c r="S77" i="49"/>
  <c r="Q77" i="49"/>
  <c r="P77" i="49"/>
  <c r="L77" i="49"/>
  <c r="M77" i="49" s="1"/>
  <c r="N77" i="49" s="1"/>
  <c r="K77" i="49"/>
  <c r="G77" i="49"/>
  <c r="E77" i="49"/>
  <c r="U76" i="49"/>
  <c r="T76" i="49"/>
  <c r="S76" i="49"/>
  <c r="Q76" i="49"/>
  <c r="P76" i="49"/>
  <c r="L76" i="49"/>
  <c r="M76" i="49"/>
  <c r="N76" i="49" s="1"/>
  <c r="K76" i="49"/>
  <c r="G76" i="49"/>
  <c r="E76" i="49"/>
  <c r="Q75" i="49"/>
  <c r="P75" i="49"/>
  <c r="L75" i="49"/>
  <c r="M75" i="49"/>
  <c r="N75" i="49" s="1"/>
  <c r="U74" i="49"/>
  <c r="T74" i="49"/>
  <c r="S74" i="49"/>
  <c r="Q74" i="49"/>
  <c r="P74" i="49"/>
  <c r="L74" i="49"/>
  <c r="M74" i="49" s="1"/>
  <c r="N74" i="49" s="1"/>
  <c r="K74" i="49"/>
  <c r="G74" i="49"/>
  <c r="E74" i="49"/>
  <c r="Q73" i="49"/>
  <c r="P73" i="49"/>
  <c r="L73" i="49"/>
  <c r="M73" i="49"/>
  <c r="N73" i="49" s="1"/>
  <c r="K73" i="49"/>
  <c r="G73" i="49"/>
  <c r="E73" i="49"/>
  <c r="Q72" i="49"/>
  <c r="P72" i="49"/>
  <c r="L72" i="49"/>
  <c r="M72" i="49"/>
  <c r="N72" i="49" s="1"/>
  <c r="K72" i="49"/>
  <c r="G72" i="49"/>
  <c r="E72" i="49"/>
  <c r="Q71" i="49"/>
  <c r="P71" i="49"/>
  <c r="L71" i="49"/>
  <c r="M71" i="49" s="1"/>
  <c r="N71" i="49" s="1"/>
  <c r="K71" i="49"/>
  <c r="G71" i="49"/>
  <c r="E71" i="49"/>
  <c r="Q70" i="49"/>
  <c r="P70" i="49"/>
  <c r="L70" i="49"/>
  <c r="M70" i="49"/>
  <c r="N70" i="49" s="1"/>
  <c r="K70" i="49"/>
  <c r="G70" i="49"/>
  <c r="E70" i="49"/>
  <c r="Q69" i="49"/>
  <c r="P69" i="49"/>
  <c r="L69" i="49"/>
  <c r="M69" i="49"/>
  <c r="N69" i="49" s="1"/>
  <c r="K69" i="49"/>
  <c r="G69" i="49"/>
  <c r="E69" i="49"/>
  <c r="Q68" i="49"/>
  <c r="P68" i="49"/>
  <c r="L68" i="49"/>
  <c r="M68" i="49" s="1"/>
  <c r="N68" i="49" s="1"/>
  <c r="K68" i="49"/>
  <c r="G68" i="49"/>
  <c r="E68" i="49"/>
  <c r="Q67" i="49"/>
  <c r="P67" i="49"/>
  <c r="L67" i="49"/>
  <c r="M67" i="49"/>
  <c r="N67" i="49" s="1"/>
  <c r="K67" i="49"/>
  <c r="G67" i="49"/>
  <c r="E67" i="49"/>
  <c r="Q66" i="49"/>
  <c r="P66" i="49"/>
  <c r="L66" i="49"/>
  <c r="M66" i="49"/>
  <c r="N66" i="49" s="1"/>
  <c r="K66" i="49"/>
  <c r="G66" i="49"/>
  <c r="E66" i="49"/>
  <c r="Q65" i="49"/>
  <c r="P65" i="49"/>
  <c r="L65" i="49"/>
  <c r="M65" i="49" s="1"/>
  <c r="N65" i="49" s="1"/>
  <c r="K65" i="49"/>
  <c r="G65" i="49"/>
  <c r="E65" i="49"/>
  <c r="Q64" i="49"/>
  <c r="P64" i="49"/>
  <c r="L64" i="49"/>
  <c r="M64" i="49"/>
  <c r="N64" i="49" s="1"/>
  <c r="K64" i="49"/>
  <c r="G64" i="49"/>
  <c r="E64" i="49"/>
  <c r="Q63" i="49"/>
  <c r="P63" i="49"/>
  <c r="L63" i="49"/>
  <c r="M63" i="49"/>
  <c r="N63" i="49" s="1"/>
  <c r="K63" i="49"/>
  <c r="G63" i="49"/>
  <c r="E63" i="49"/>
  <c r="Q62" i="49"/>
  <c r="P62" i="49"/>
  <c r="L62" i="49"/>
  <c r="M62" i="49" s="1"/>
  <c r="N62" i="49" s="1"/>
  <c r="K62" i="49"/>
  <c r="G62" i="49"/>
  <c r="E62" i="49"/>
  <c r="Q61" i="49"/>
  <c r="P61" i="49"/>
  <c r="L61" i="49"/>
  <c r="M61" i="49"/>
  <c r="N61" i="49" s="1"/>
  <c r="K61" i="49"/>
  <c r="G61" i="49"/>
  <c r="E61" i="49"/>
  <c r="Q60" i="49"/>
  <c r="P60" i="49"/>
  <c r="L60" i="49"/>
  <c r="M60" i="49"/>
  <c r="N60" i="49" s="1"/>
  <c r="K60" i="49"/>
  <c r="G60" i="49"/>
  <c r="E60" i="49"/>
  <c r="Q59" i="49"/>
  <c r="P59" i="49"/>
  <c r="L59" i="49"/>
  <c r="M59" i="49" s="1"/>
  <c r="N59" i="49" s="1"/>
  <c r="K59" i="49"/>
  <c r="G59" i="49"/>
  <c r="E59" i="49"/>
  <c r="Q58" i="49"/>
  <c r="P58" i="49"/>
  <c r="L58" i="49"/>
  <c r="M58" i="49"/>
  <c r="N58" i="49" s="1"/>
  <c r="K58" i="49"/>
  <c r="G58" i="49"/>
  <c r="E58" i="49"/>
  <c r="Q57" i="49"/>
  <c r="P57" i="49"/>
  <c r="L57" i="49"/>
  <c r="M57" i="49"/>
  <c r="N57" i="49" s="1"/>
  <c r="K57" i="49"/>
  <c r="G57" i="49"/>
  <c r="E57" i="49"/>
  <c r="Q56" i="49"/>
  <c r="P56" i="49"/>
  <c r="L56" i="49"/>
  <c r="M56" i="49" s="1"/>
  <c r="N56" i="49" s="1"/>
  <c r="K56" i="49"/>
  <c r="G56" i="49"/>
  <c r="E56" i="49"/>
  <c r="Q55" i="49"/>
  <c r="P55" i="49"/>
  <c r="L55" i="49"/>
  <c r="M55" i="49"/>
  <c r="N55" i="49" s="1"/>
  <c r="K55" i="49"/>
  <c r="G55" i="49"/>
  <c r="E55" i="49"/>
  <c r="Q54" i="49"/>
  <c r="P54" i="49"/>
  <c r="L54" i="49"/>
  <c r="M54" i="49"/>
  <c r="N54" i="49" s="1"/>
  <c r="K54" i="49"/>
  <c r="G54" i="49"/>
  <c r="E54" i="49"/>
  <c r="Q53" i="49"/>
  <c r="P53" i="49"/>
  <c r="L53" i="49"/>
  <c r="M53" i="49" s="1"/>
  <c r="N53" i="49" s="1"/>
  <c r="K53" i="49"/>
  <c r="G53" i="49"/>
  <c r="E53" i="49"/>
  <c r="Q52" i="49"/>
  <c r="P52" i="49"/>
  <c r="L52" i="49"/>
  <c r="M52" i="49"/>
  <c r="N52" i="49" s="1"/>
  <c r="K52" i="49"/>
  <c r="G52" i="49"/>
  <c r="E52" i="49"/>
  <c r="Q51" i="49"/>
  <c r="P51" i="49"/>
  <c r="L51" i="49"/>
  <c r="M51" i="49"/>
  <c r="N51" i="49" s="1"/>
  <c r="K51" i="49"/>
  <c r="G51" i="49"/>
  <c r="E51" i="49"/>
  <c r="Q50" i="49"/>
  <c r="P50" i="49"/>
  <c r="L50" i="49"/>
  <c r="M50" i="49" s="1"/>
  <c r="N50" i="49" s="1"/>
  <c r="K50" i="49"/>
  <c r="G50" i="49"/>
  <c r="E50" i="49"/>
  <c r="Q49" i="49"/>
  <c r="P49" i="49"/>
  <c r="L49" i="49"/>
  <c r="M49" i="49"/>
  <c r="N49" i="49" s="1"/>
  <c r="K49" i="49"/>
  <c r="G49" i="49"/>
  <c r="E49" i="49"/>
  <c r="Q48" i="49"/>
  <c r="P48" i="49"/>
  <c r="L48" i="49"/>
  <c r="M48" i="49"/>
  <c r="N48" i="49" s="1"/>
  <c r="K48" i="49"/>
  <c r="G48" i="49"/>
  <c r="E48" i="49"/>
  <c r="Q47" i="49"/>
  <c r="P47" i="49"/>
  <c r="L47" i="49"/>
  <c r="M47" i="49" s="1"/>
  <c r="N47" i="49" s="1"/>
  <c r="K47" i="49"/>
  <c r="G47" i="49"/>
  <c r="E47" i="49"/>
  <c r="Q46" i="49"/>
  <c r="P46" i="49"/>
  <c r="L46" i="49"/>
  <c r="M46" i="49" s="1"/>
  <c r="N46" i="49" s="1"/>
  <c r="K46" i="49"/>
  <c r="G46" i="49"/>
  <c r="E46" i="49"/>
  <c r="Q45" i="49"/>
  <c r="P45" i="49"/>
  <c r="L45" i="49"/>
  <c r="M45" i="49" s="1"/>
  <c r="N45" i="49" s="1"/>
  <c r="K45" i="49"/>
  <c r="G45" i="49"/>
  <c r="E45" i="49"/>
  <c r="Q44" i="49"/>
  <c r="P44" i="49"/>
  <c r="L44" i="49"/>
  <c r="M44" i="49" s="1"/>
  <c r="N44" i="49" s="1"/>
  <c r="K44" i="49"/>
  <c r="G44" i="49"/>
  <c r="E44" i="49"/>
  <c r="U43" i="49"/>
  <c r="T43" i="49"/>
  <c r="S43" i="49"/>
  <c r="Q43" i="49"/>
  <c r="P43" i="49"/>
  <c r="L43" i="49"/>
  <c r="M43" i="49"/>
  <c r="N43" i="49" s="1"/>
  <c r="K43" i="49"/>
  <c r="G43" i="49"/>
  <c r="E43" i="49"/>
  <c r="Q42" i="49"/>
  <c r="P42" i="49"/>
  <c r="L42" i="49"/>
  <c r="M42" i="49" s="1"/>
  <c r="N42" i="49" s="1"/>
  <c r="K42" i="49"/>
  <c r="G42" i="49"/>
  <c r="E42" i="49"/>
  <c r="Q41" i="49"/>
  <c r="P41" i="49"/>
  <c r="L41" i="49"/>
  <c r="M41" i="49" s="1"/>
  <c r="N41" i="49" s="1"/>
  <c r="K41" i="49"/>
  <c r="G41" i="49"/>
  <c r="E41" i="49"/>
  <c r="Q40" i="49"/>
  <c r="P40" i="49"/>
  <c r="L40" i="49"/>
  <c r="M40" i="49"/>
  <c r="N40" i="49" s="1"/>
  <c r="K40" i="49"/>
  <c r="G40" i="49"/>
  <c r="E40" i="49"/>
  <c r="Q39" i="49"/>
  <c r="P39" i="49"/>
  <c r="L39" i="49"/>
  <c r="M39" i="49" s="1"/>
  <c r="N39" i="49"/>
  <c r="Q38" i="49"/>
  <c r="P38" i="49"/>
  <c r="L38" i="49"/>
  <c r="M38" i="49" s="1"/>
  <c r="N38" i="49" s="1"/>
  <c r="K38" i="49"/>
  <c r="G38" i="49"/>
  <c r="E38" i="49"/>
  <c r="Q37" i="49"/>
  <c r="P37" i="49"/>
  <c r="L37" i="49"/>
  <c r="M37" i="49"/>
  <c r="N37" i="49" s="1"/>
  <c r="K37" i="49"/>
  <c r="G37" i="49"/>
  <c r="E37" i="49"/>
  <c r="Q36" i="49"/>
  <c r="P36" i="49"/>
  <c r="L36" i="49"/>
  <c r="M36" i="49"/>
  <c r="N36" i="49" s="1"/>
  <c r="K36" i="49"/>
  <c r="G36" i="49"/>
  <c r="E36" i="49"/>
  <c r="Q35" i="49"/>
  <c r="P35" i="49"/>
  <c r="L35" i="49"/>
  <c r="M35" i="49" s="1"/>
  <c r="N35" i="49" s="1"/>
  <c r="K35" i="49"/>
  <c r="G35" i="49"/>
  <c r="E35" i="49"/>
  <c r="Q34" i="49"/>
  <c r="P34" i="49"/>
  <c r="L34" i="49"/>
  <c r="M34" i="49"/>
  <c r="N34" i="49" s="1"/>
  <c r="K34" i="49"/>
  <c r="G34" i="49"/>
  <c r="E34" i="49"/>
  <c r="Q33" i="49"/>
  <c r="P33" i="49"/>
  <c r="L33" i="49"/>
  <c r="M33" i="49"/>
  <c r="N33" i="49" s="1"/>
  <c r="K33" i="49"/>
  <c r="G33" i="49"/>
  <c r="E33" i="49"/>
  <c r="Q32" i="49"/>
  <c r="P32" i="49"/>
  <c r="L32" i="49"/>
  <c r="M32" i="49" s="1"/>
  <c r="N32" i="49" s="1"/>
  <c r="K32" i="49"/>
  <c r="G32" i="49"/>
  <c r="E32" i="49"/>
  <c r="Q31" i="49"/>
  <c r="P31" i="49"/>
  <c r="L31" i="49"/>
  <c r="M31" i="49"/>
  <c r="N31" i="49" s="1"/>
  <c r="K31" i="49"/>
  <c r="G31" i="49"/>
  <c r="E31" i="49"/>
  <c r="Q30" i="49"/>
  <c r="P30" i="49"/>
  <c r="L30" i="49"/>
  <c r="M30" i="49"/>
  <c r="N30" i="49" s="1"/>
  <c r="K30" i="49"/>
  <c r="G30" i="49"/>
  <c r="E30" i="49"/>
  <c r="Q29" i="49"/>
  <c r="P29" i="49"/>
  <c r="L29" i="49"/>
  <c r="K29" i="49"/>
  <c r="G29" i="49"/>
  <c r="E29" i="49"/>
  <c r="Q28" i="49"/>
  <c r="P28" i="49"/>
  <c r="L28" i="49"/>
  <c r="M28" i="49"/>
  <c r="N28" i="49" s="1"/>
  <c r="K28" i="49"/>
  <c r="G28" i="49"/>
  <c r="E28" i="49"/>
  <c r="U27" i="49"/>
  <c r="T27" i="49"/>
  <c r="S27" i="49"/>
  <c r="Q27" i="49"/>
  <c r="P27" i="49"/>
  <c r="L27" i="49"/>
  <c r="M27" i="49" s="1"/>
  <c r="N27" i="49"/>
  <c r="K27" i="49"/>
  <c r="G27" i="49"/>
  <c r="E27" i="49"/>
  <c r="Q26" i="49"/>
  <c r="P26" i="49"/>
  <c r="L26" i="49"/>
  <c r="M26" i="49" s="1"/>
  <c r="N26" i="49" s="1"/>
  <c r="K26" i="49"/>
  <c r="G26" i="49"/>
  <c r="E26" i="49"/>
  <c r="Q25" i="49"/>
  <c r="P25" i="49"/>
  <c r="L25" i="49"/>
  <c r="M25" i="49" s="1"/>
  <c r="N25" i="49" s="1"/>
  <c r="K25" i="49"/>
  <c r="G25" i="49"/>
  <c r="E25" i="49"/>
  <c r="Q24" i="49"/>
  <c r="P24" i="49"/>
  <c r="L24" i="49"/>
  <c r="M24" i="49" s="1"/>
  <c r="N24" i="49" s="1"/>
  <c r="K24" i="49"/>
  <c r="G24" i="49"/>
  <c r="E24" i="49"/>
  <c r="U23" i="49"/>
  <c r="T23" i="49"/>
  <c r="S23" i="49"/>
  <c r="Q23" i="49"/>
  <c r="P23" i="49"/>
  <c r="L23" i="49"/>
  <c r="M23" i="49" s="1"/>
  <c r="N23" i="49" s="1"/>
  <c r="K23" i="49"/>
  <c r="G23" i="49"/>
  <c r="E23" i="49"/>
  <c r="Q22" i="49"/>
  <c r="P22" i="49"/>
  <c r="L22" i="49"/>
  <c r="M22" i="49" s="1"/>
  <c r="N22" i="49" s="1"/>
  <c r="Q21" i="49"/>
  <c r="P21" i="49"/>
  <c r="L21" i="49"/>
  <c r="M21" i="49" s="1"/>
  <c r="N21" i="49"/>
  <c r="Q20" i="49"/>
  <c r="P20" i="49"/>
  <c r="L20" i="49"/>
  <c r="M20" i="49"/>
  <c r="N20" i="49" s="1"/>
  <c r="K20" i="49"/>
  <c r="G20" i="49"/>
  <c r="E20" i="49"/>
  <c r="Q19" i="49"/>
  <c r="P19" i="49"/>
  <c r="L19" i="49"/>
  <c r="M19" i="49" s="1"/>
  <c r="N19" i="49" s="1"/>
  <c r="K19" i="49"/>
  <c r="G19" i="49"/>
  <c r="E19" i="49"/>
  <c r="Q18" i="49"/>
  <c r="P18" i="49"/>
  <c r="L18" i="49"/>
  <c r="M18" i="49" s="1"/>
  <c r="N18" i="49" s="1"/>
  <c r="K18" i="49"/>
  <c r="G18" i="49"/>
  <c r="E18" i="49"/>
  <c r="Q17" i="49"/>
  <c r="P17" i="49"/>
  <c r="L17" i="49"/>
  <c r="M17" i="49" s="1"/>
  <c r="N17" i="49" s="1"/>
  <c r="K17" i="49"/>
  <c r="G17" i="49"/>
  <c r="E17" i="49"/>
  <c r="U16" i="49"/>
  <c r="T16" i="49"/>
  <c r="S16" i="49"/>
  <c r="Q16" i="49"/>
  <c r="P16" i="49"/>
  <c r="L16" i="49"/>
  <c r="M16" i="49" s="1"/>
  <c r="N16" i="49" s="1"/>
  <c r="K16" i="49"/>
  <c r="G16" i="49"/>
  <c r="E16" i="49"/>
  <c r="Q15" i="49"/>
  <c r="P15" i="49"/>
  <c r="L15" i="49"/>
  <c r="M15" i="49" s="1"/>
  <c r="N15" i="49"/>
  <c r="U14" i="49"/>
  <c r="T14" i="49"/>
  <c r="S14" i="49"/>
  <c r="Q14" i="49"/>
  <c r="P14" i="49"/>
  <c r="L14" i="49"/>
  <c r="M14" i="49" s="1"/>
  <c r="N14" i="49" s="1"/>
  <c r="K14" i="49"/>
  <c r="G14" i="49"/>
  <c r="E14" i="49"/>
  <c r="Q13" i="49"/>
  <c r="P13" i="49"/>
  <c r="L13" i="49"/>
  <c r="M13" i="49" s="1"/>
  <c r="N13" i="49" s="1"/>
  <c r="K13" i="49"/>
  <c r="G13" i="49"/>
  <c r="E13" i="49"/>
  <c r="Q12" i="49"/>
  <c r="P12" i="49"/>
  <c r="L12" i="49"/>
  <c r="M12" i="49" s="1"/>
  <c r="N12" i="49" s="1"/>
  <c r="K12" i="49"/>
  <c r="G12" i="49"/>
  <c r="E12" i="49"/>
  <c r="Q11" i="49"/>
  <c r="P11" i="49"/>
  <c r="L11" i="49"/>
  <c r="M11" i="49" s="1"/>
  <c r="N11" i="49"/>
  <c r="K11" i="49"/>
  <c r="G11" i="49"/>
  <c r="E11" i="49"/>
  <c r="Q10" i="49"/>
  <c r="P10" i="49"/>
  <c r="L10" i="49"/>
  <c r="M10" i="49" s="1"/>
  <c r="N10" i="49" s="1"/>
  <c r="K10" i="49"/>
  <c r="G10" i="49"/>
  <c r="E10" i="49"/>
  <c r="Q9" i="49"/>
  <c r="P9" i="49"/>
  <c r="L9" i="49"/>
  <c r="M9" i="49" s="1"/>
  <c r="N9" i="49" s="1"/>
  <c r="K9" i="49"/>
  <c r="G9" i="49"/>
  <c r="E9" i="49"/>
  <c r="Q8" i="49"/>
  <c r="P8" i="49"/>
  <c r="L8" i="49"/>
  <c r="M8" i="49" s="1"/>
  <c r="N8" i="49" s="1"/>
  <c r="K8" i="49"/>
  <c r="G8" i="49"/>
  <c r="E8" i="49"/>
  <c r="Q7" i="49"/>
  <c r="P7" i="49"/>
  <c r="L7" i="49"/>
  <c r="M7" i="49" s="1"/>
  <c r="N7" i="49" s="1"/>
  <c r="K7" i="49"/>
  <c r="G7" i="49"/>
  <c r="E7" i="49"/>
  <c r="Q6" i="49"/>
  <c r="P6" i="49"/>
  <c r="L6" i="49"/>
  <c r="M6" i="49" s="1"/>
  <c r="K6" i="49"/>
  <c r="G6" i="49"/>
  <c r="E6" i="49"/>
  <c r="J103" i="47"/>
  <c r="F103" i="47"/>
  <c r="D103" i="47"/>
  <c r="J194" i="47"/>
  <c r="F194" i="47"/>
  <c r="D194" i="47"/>
  <c r="J114" i="47"/>
  <c r="F114" i="47"/>
  <c r="D114" i="47"/>
  <c r="C418" i="48"/>
  <c r="U417" i="48"/>
  <c r="T417" i="48"/>
  <c r="S417" i="48"/>
  <c r="Q417" i="48"/>
  <c r="P417" i="48"/>
  <c r="L417" i="48"/>
  <c r="M417" i="48" s="1"/>
  <c r="N417" i="48" s="1"/>
  <c r="Q416" i="48"/>
  <c r="P416" i="48"/>
  <c r="L416" i="48"/>
  <c r="M416" i="48" s="1"/>
  <c r="N416" i="48" s="1"/>
  <c r="K416" i="48"/>
  <c r="G416" i="48"/>
  <c r="E416" i="48"/>
  <c r="Q415" i="48"/>
  <c r="P415" i="48"/>
  <c r="L415" i="48"/>
  <c r="M415" i="48" s="1"/>
  <c r="N415" i="48" s="1"/>
  <c r="Q414" i="48"/>
  <c r="P414" i="48"/>
  <c r="L414" i="48"/>
  <c r="M414" i="48" s="1"/>
  <c r="N414" i="48" s="1"/>
  <c r="K414" i="48"/>
  <c r="G414" i="48"/>
  <c r="E414" i="48"/>
  <c r="Q413" i="48"/>
  <c r="P413" i="48"/>
  <c r="L413" i="48"/>
  <c r="M413" i="48" s="1"/>
  <c r="N413" i="48" s="1"/>
  <c r="U412" i="48"/>
  <c r="T412" i="48"/>
  <c r="S412" i="48"/>
  <c r="Q412" i="48"/>
  <c r="P412" i="48"/>
  <c r="L412" i="48"/>
  <c r="M412" i="48" s="1"/>
  <c r="N412" i="48" s="1"/>
  <c r="Q411" i="48"/>
  <c r="P411" i="48"/>
  <c r="L411" i="48"/>
  <c r="M411" i="48" s="1"/>
  <c r="N411" i="48" s="1"/>
  <c r="K411" i="48"/>
  <c r="G411" i="48"/>
  <c r="E411" i="48"/>
  <c r="Q410" i="48"/>
  <c r="P410" i="48"/>
  <c r="L410" i="48"/>
  <c r="M410" i="48" s="1"/>
  <c r="N410" i="48"/>
  <c r="K410" i="48"/>
  <c r="G410" i="48"/>
  <c r="E410" i="48"/>
  <c r="U409" i="48"/>
  <c r="T409" i="48"/>
  <c r="S409" i="48"/>
  <c r="Q409" i="48"/>
  <c r="P409" i="48"/>
  <c r="L409" i="48"/>
  <c r="M409" i="48"/>
  <c r="N409" i="48" s="1"/>
  <c r="K409" i="48"/>
  <c r="G409" i="48"/>
  <c r="E409" i="48"/>
  <c r="Q408" i="48"/>
  <c r="P408" i="48"/>
  <c r="L408" i="48"/>
  <c r="M408" i="48" s="1"/>
  <c r="N408" i="48" s="1"/>
  <c r="U407" i="48"/>
  <c r="T407" i="48"/>
  <c r="S407" i="48"/>
  <c r="Q407" i="48"/>
  <c r="P407" i="48"/>
  <c r="L407" i="48"/>
  <c r="M407" i="48" s="1"/>
  <c r="N407" i="48" s="1"/>
  <c r="K407" i="48"/>
  <c r="G407" i="48"/>
  <c r="E407" i="48"/>
  <c r="Q406" i="48"/>
  <c r="P406" i="48"/>
  <c r="L406" i="48"/>
  <c r="M406" i="48"/>
  <c r="N406" i="48" s="1"/>
  <c r="K406" i="48"/>
  <c r="G406" i="48"/>
  <c r="E406" i="48"/>
  <c r="Q405" i="48"/>
  <c r="P405" i="48"/>
  <c r="L405" i="48"/>
  <c r="M405" i="48" s="1"/>
  <c r="N405" i="48" s="1"/>
  <c r="K405" i="48"/>
  <c r="G405" i="48"/>
  <c r="E405" i="48"/>
  <c r="Q404" i="48"/>
  <c r="P404" i="48"/>
  <c r="L404" i="48"/>
  <c r="M404" i="48" s="1"/>
  <c r="N404" i="48" s="1"/>
  <c r="K404" i="48"/>
  <c r="G404" i="48"/>
  <c r="E404" i="48"/>
  <c r="Q403" i="48"/>
  <c r="P403" i="48"/>
  <c r="L403" i="48"/>
  <c r="M403" i="48" s="1"/>
  <c r="N403" i="48" s="1"/>
  <c r="K403" i="48"/>
  <c r="G403" i="48"/>
  <c r="E403" i="48"/>
  <c r="Q402" i="48"/>
  <c r="P402" i="48"/>
  <c r="L402" i="48"/>
  <c r="M402" i="48" s="1"/>
  <c r="N402" i="48" s="1"/>
  <c r="K402" i="48"/>
  <c r="G402" i="48"/>
  <c r="E402" i="48"/>
  <c r="Q401" i="48"/>
  <c r="P401" i="48"/>
  <c r="L401" i="48"/>
  <c r="M401" i="48" s="1"/>
  <c r="N401" i="48" s="1"/>
  <c r="K401" i="48"/>
  <c r="G401" i="48"/>
  <c r="E401" i="48"/>
  <c r="Q400" i="48"/>
  <c r="P400" i="48"/>
  <c r="L400" i="48"/>
  <c r="M400" i="48"/>
  <c r="N400" i="48" s="1"/>
  <c r="K400" i="48"/>
  <c r="G400" i="48"/>
  <c r="E400" i="48"/>
  <c r="Q399" i="48"/>
  <c r="P399" i="48"/>
  <c r="L399" i="48"/>
  <c r="M399" i="48" s="1"/>
  <c r="N399" i="48" s="1"/>
  <c r="K399" i="48"/>
  <c r="G399" i="48"/>
  <c r="E399" i="48"/>
  <c r="Q398" i="48"/>
  <c r="P398" i="48"/>
  <c r="L398" i="48"/>
  <c r="M398" i="48" s="1"/>
  <c r="N398" i="48" s="1"/>
  <c r="K398" i="48"/>
  <c r="G398" i="48"/>
  <c r="E398" i="48"/>
  <c r="Q397" i="48"/>
  <c r="P397" i="48"/>
  <c r="L397" i="48"/>
  <c r="M397" i="48"/>
  <c r="N397" i="48" s="1"/>
  <c r="K397" i="48"/>
  <c r="G397" i="48"/>
  <c r="E397" i="48"/>
  <c r="Q396" i="48"/>
  <c r="P396" i="48"/>
  <c r="L396" i="48"/>
  <c r="M396" i="48" s="1"/>
  <c r="N396" i="48"/>
  <c r="K396" i="48"/>
  <c r="G396" i="48"/>
  <c r="E396" i="48"/>
  <c r="Q395" i="48"/>
  <c r="P395" i="48"/>
  <c r="L395" i="48"/>
  <c r="M395" i="48"/>
  <c r="N395" i="48" s="1"/>
  <c r="K395" i="48"/>
  <c r="G395" i="48"/>
  <c r="E395" i="48"/>
  <c r="Q394" i="48"/>
  <c r="P394" i="48"/>
  <c r="L394" i="48"/>
  <c r="M394" i="48" s="1"/>
  <c r="N394" i="48" s="1"/>
  <c r="K394" i="48"/>
  <c r="G394" i="48"/>
  <c r="E394" i="48"/>
  <c r="Q393" i="48"/>
  <c r="P393" i="48"/>
  <c r="L393" i="48"/>
  <c r="M393" i="48" s="1"/>
  <c r="N393" i="48" s="1"/>
  <c r="K393" i="48"/>
  <c r="G393" i="48"/>
  <c r="E393" i="48"/>
  <c r="Q392" i="48"/>
  <c r="P392" i="48"/>
  <c r="L392" i="48"/>
  <c r="M392" i="48" s="1"/>
  <c r="N392" i="48" s="1"/>
  <c r="K392" i="48"/>
  <c r="G392" i="48"/>
  <c r="E392" i="48"/>
  <c r="U391" i="48"/>
  <c r="T391" i="48"/>
  <c r="S391" i="48"/>
  <c r="Q391" i="48"/>
  <c r="P391" i="48"/>
  <c r="L391" i="48"/>
  <c r="M391" i="48" s="1"/>
  <c r="N391" i="48" s="1"/>
  <c r="K391" i="48"/>
  <c r="G391" i="48"/>
  <c r="E391" i="48"/>
  <c r="Q390" i="48"/>
  <c r="P390" i="48"/>
  <c r="L390" i="48"/>
  <c r="M390" i="48" s="1"/>
  <c r="N390" i="48" s="1"/>
  <c r="Q389" i="48"/>
  <c r="P389" i="48"/>
  <c r="L389" i="48"/>
  <c r="M389" i="48"/>
  <c r="N389" i="48" s="1"/>
  <c r="K389" i="48"/>
  <c r="G389" i="48"/>
  <c r="E389" i="48"/>
  <c r="U388" i="48"/>
  <c r="T388" i="48"/>
  <c r="S388" i="48"/>
  <c r="Q388" i="48"/>
  <c r="P388" i="48"/>
  <c r="L388" i="48"/>
  <c r="M388" i="48" s="1"/>
  <c r="N388" i="48" s="1"/>
  <c r="K388" i="48"/>
  <c r="G388" i="48"/>
  <c r="E388" i="48"/>
  <c r="U387" i="48"/>
  <c r="T387" i="48"/>
  <c r="S387" i="48"/>
  <c r="Q387" i="48"/>
  <c r="P387" i="48"/>
  <c r="L387" i="48"/>
  <c r="M387" i="48"/>
  <c r="N387" i="48" s="1"/>
  <c r="K387" i="48"/>
  <c r="G387" i="48"/>
  <c r="E387" i="48"/>
  <c r="Q386" i="48"/>
  <c r="P386" i="48"/>
  <c r="L386" i="48"/>
  <c r="M386" i="48" s="1"/>
  <c r="N386" i="48" s="1"/>
  <c r="K386" i="48"/>
  <c r="G386" i="48"/>
  <c r="E386" i="48"/>
  <c r="U385" i="48"/>
  <c r="T385" i="48"/>
  <c r="S385" i="48"/>
  <c r="Q385" i="48"/>
  <c r="P385" i="48"/>
  <c r="L385" i="48"/>
  <c r="M385" i="48" s="1"/>
  <c r="N385" i="48" s="1"/>
  <c r="K385" i="48"/>
  <c r="G385" i="48"/>
  <c r="E385" i="48"/>
  <c r="Q384" i="48"/>
  <c r="P384" i="48"/>
  <c r="L384" i="48"/>
  <c r="M384" i="48" s="1"/>
  <c r="N384" i="48"/>
  <c r="K384" i="48"/>
  <c r="G384" i="48"/>
  <c r="E384" i="48"/>
  <c r="Q383" i="48"/>
  <c r="P383" i="48"/>
  <c r="L383" i="48"/>
  <c r="M383" i="48" s="1"/>
  <c r="N383" i="48"/>
  <c r="K383" i="48"/>
  <c r="G383" i="48"/>
  <c r="E383" i="48"/>
  <c r="Q382" i="48"/>
  <c r="P382" i="48"/>
  <c r="L382" i="48"/>
  <c r="M382" i="48"/>
  <c r="N382" i="48" s="1"/>
  <c r="K382" i="48"/>
  <c r="G382" i="48"/>
  <c r="E382" i="48"/>
  <c r="Q381" i="48"/>
  <c r="P381" i="48"/>
  <c r="L381" i="48"/>
  <c r="M381" i="48" s="1"/>
  <c r="N381" i="48" s="1"/>
  <c r="K381" i="48"/>
  <c r="G381" i="48"/>
  <c r="E381" i="48"/>
  <c r="U380" i="48"/>
  <c r="T380" i="48"/>
  <c r="S380" i="48"/>
  <c r="Q380" i="48"/>
  <c r="P380" i="48"/>
  <c r="L380" i="48"/>
  <c r="M380" i="48"/>
  <c r="N380" i="48" s="1"/>
  <c r="K380" i="48"/>
  <c r="G380" i="48"/>
  <c r="E380" i="48"/>
  <c r="Q379" i="48"/>
  <c r="P379" i="48"/>
  <c r="L379" i="48"/>
  <c r="M379" i="48"/>
  <c r="N379" i="48" s="1"/>
  <c r="K379" i="48"/>
  <c r="G379" i="48"/>
  <c r="E379" i="48"/>
  <c r="Q378" i="48"/>
  <c r="P378" i="48"/>
  <c r="L378" i="48"/>
  <c r="M378" i="48" s="1"/>
  <c r="N378" i="48"/>
  <c r="K378" i="48"/>
  <c r="G378" i="48"/>
  <c r="E378" i="48"/>
  <c r="U377" i="48"/>
  <c r="T377" i="48"/>
  <c r="S377" i="48"/>
  <c r="Q377" i="48"/>
  <c r="P377" i="48"/>
  <c r="L377" i="48"/>
  <c r="M377" i="48" s="1"/>
  <c r="N377" i="48" s="1"/>
  <c r="K377" i="48"/>
  <c r="G377" i="48"/>
  <c r="E377" i="48"/>
  <c r="Q376" i="48"/>
  <c r="P376" i="48"/>
  <c r="L376" i="48"/>
  <c r="K376" i="48"/>
  <c r="G376" i="48"/>
  <c r="E376" i="48"/>
  <c r="U375" i="48"/>
  <c r="T375" i="48"/>
  <c r="S375" i="48"/>
  <c r="Q375" i="48"/>
  <c r="P375" i="48"/>
  <c r="L375" i="48"/>
  <c r="M375" i="48" s="1"/>
  <c r="N375" i="48" s="1"/>
  <c r="K375" i="48"/>
  <c r="G375" i="48"/>
  <c r="E375" i="48"/>
  <c r="Q374" i="48"/>
  <c r="P374" i="48"/>
  <c r="L374" i="48"/>
  <c r="M374" i="48" s="1"/>
  <c r="N374" i="48"/>
  <c r="K374" i="48"/>
  <c r="G374" i="48"/>
  <c r="E374" i="48"/>
  <c r="Q373" i="48"/>
  <c r="P373" i="48"/>
  <c r="L373" i="48"/>
  <c r="M373" i="48"/>
  <c r="N373" i="48" s="1"/>
  <c r="K373" i="48"/>
  <c r="G373" i="48"/>
  <c r="E373" i="48"/>
  <c r="Q372" i="48"/>
  <c r="P372" i="48"/>
  <c r="L372" i="48"/>
  <c r="M372" i="48"/>
  <c r="N372" i="48" s="1"/>
  <c r="K372" i="48"/>
  <c r="G372" i="48"/>
  <c r="E372" i="48"/>
  <c r="Q371" i="48"/>
  <c r="P371" i="48"/>
  <c r="L371" i="48"/>
  <c r="M371" i="48" s="1"/>
  <c r="N371" i="48" s="1"/>
  <c r="K371" i="48"/>
  <c r="G371" i="48"/>
  <c r="E371" i="48"/>
  <c r="Q370" i="48"/>
  <c r="P370" i="48"/>
  <c r="L370" i="48"/>
  <c r="M370" i="48"/>
  <c r="N370" i="48" s="1"/>
  <c r="K370" i="48"/>
  <c r="G370" i="48"/>
  <c r="E370" i="48"/>
  <c r="Q369" i="48"/>
  <c r="P369" i="48"/>
  <c r="L369" i="48"/>
  <c r="M369" i="48"/>
  <c r="N369" i="48" s="1"/>
  <c r="K369" i="48"/>
  <c r="G369" i="48"/>
  <c r="E369" i="48"/>
  <c r="U368" i="48"/>
  <c r="T368" i="48"/>
  <c r="S368" i="48"/>
  <c r="Q368" i="48"/>
  <c r="P368" i="48"/>
  <c r="L368" i="48"/>
  <c r="M368" i="48" s="1"/>
  <c r="N368" i="48" s="1"/>
  <c r="K368" i="48"/>
  <c r="G368" i="48"/>
  <c r="E368" i="48"/>
  <c r="Q367" i="48"/>
  <c r="P367" i="48"/>
  <c r="L367" i="48"/>
  <c r="M367" i="48" s="1"/>
  <c r="N367" i="48" s="1"/>
  <c r="K367" i="48"/>
  <c r="G367" i="48"/>
  <c r="E367" i="48"/>
  <c r="Q366" i="48"/>
  <c r="P366" i="48"/>
  <c r="L366" i="48"/>
  <c r="M366" i="48" s="1"/>
  <c r="N366" i="48" s="1"/>
  <c r="K366" i="48"/>
  <c r="G366" i="48"/>
  <c r="E366" i="48"/>
  <c r="U365" i="48"/>
  <c r="T365" i="48"/>
  <c r="S365" i="48"/>
  <c r="Q365" i="48"/>
  <c r="P365" i="48"/>
  <c r="L365" i="48"/>
  <c r="M365" i="48" s="1"/>
  <c r="N365" i="48" s="1"/>
  <c r="K365" i="48"/>
  <c r="G365" i="48"/>
  <c r="E365" i="48"/>
  <c r="Q364" i="48"/>
  <c r="P364" i="48"/>
  <c r="L364" i="48"/>
  <c r="M364" i="48"/>
  <c r="N364" i="48" s="1"/>
  <c r="K364" i="48"/>
  <c r="G364" i="48"/>
  <c r="E364" i="48"/>
  <c r="Q363" i="48"/>
  <c r="P363" i="48"/>
  <c r="L363" i="48"/>
  <c r="M363" i="48" s="1"/>
  <c r="N363" i="48" s="1"/>
  <c r="K363" i="48"/>
  <c r="G363" i="48"/>
  <c r="E363" i="48"/>
  <c r="U362" i="48"/>
  <c r="T362" i="48"/>
  <c r="S362" i="48"/>
  <c r="Q362" i="48"/>
  <c r="P362" i="48"/>
  <c r="L362" i="48"/>
  <c r="M362" i="48" s="1"/>
  <c r="N362" i="48" s="1"/>
  <c r="K362" i="48"/>
  <c r="G362" i="48"/>
  <c r="E362" i="48"/>
  <c r="Q361" i="48"/>
  <c r="P361" i="48"/>
  <c r="L361" i="48"/>
  <c r="M361" i="48" s="1"/>
  <c r="N361" i="48" s="1"/>
  <c r="K361" i="48"/>
  <c r="G361" i="48"/>
  <c r="E361" i="48"/>
  <c r="Q360" i="48"/>
  <c r="P360" i="48"/>
  <c r="L360" i="48"/>
  <c r="M360" i="48"/>
  <c r="N360" i="48" s="1"/>
  <c r="K360" i="48"/>
  <c r="G360" i="48"/>
  <c r="E360" i="48"/>
  <c r="Q359" i="48"/>
  <c r="P359" i="48"/>
  <c r="L359" i="48"/>
  <c r="M359" i="48" s="1"/>
  <c r="N359" i="48" s="1"/>
  <c r="K359" i="48"/>
  <c r="G359" i="48"/>
  <c r="E359" i="48"/>
  <c r="Q358" i="48"/>
  <c r="P358" i="48"/>
  <c r="L358" i="48"/>
  <c r="M358" i="48" s="1"/>
  <c r="N358" i="48" s="1"/>
  <c r="K358" i="48"/>
  <c r="G358" i="48"/>
  <c r="E358" i="48"/>
  <c r="U357" i="48"/>
  <c r="T357" i="48"/>
  <c r="S357" i="48"/>
  <c r="Q357" i="48"/>
  <c r="P357" i="48"/>
  <c r="L357" i="48"/>
  <c r="M357" i="48" s="1"/>
  <c r="N357" i="48" s="1"/>
  <c r="K357" i="48"/>
  <c r="G357" i="48"/>
  <c r="E357" i="48"/>
  <c r="Q356" i="48"/>
  <c r="P356" i="48"/>
  <c r="L356" i="48"/>
  <c r="M356" i="48" s="1"/>
  <c r="N356" i="48" s="1"/>
  <c r="K356" i="48"/>
  <c r="G356" i="48"/>
  <c r="E356" i="48"/>
  <c r="Q355" i="48"/>
  <c r="P355" i="48"/>
  <c r="L355" i="48"/>
  <c r="M355" i="48" s="1"/>
  <c r="N355" i="48" s="1"/>
  <c r="K355" i="48"/>
  <c r="G355" i="48"/>
  <c r="E355" i="48"/>
  <c r="Q354" i="48"/>
  <c r="P354" i="48"/>
  <c r="L354" i="48"/>
  <c r="M354" i="48" s="1"/>
  <c r="N354" i="48" s="1"/>
  <c r="K354" i="48"/>
  <c r="G354" i="48"/>
  <c r="E354" i="48"/>
  <c r="Q353" i="48"/>
  <c r="P353" i="48"/>
  <c r="L353" i="48"/>
  <c r="M353" i="48" s="1"/>
  <c r="N353" i="48" s="1"/>
  <c r="K353" i="48"/>
  <c r="G353" i="48"/>
  <c r="E353" i="48"/>
  <c r="Q352" i="48"/>
  <c r="P352" i="48"/>
  <c r="L352" i="48"/>
  <c r="M352" i="48"/>
  <c r="N352" i="48" s="1"/>
  <c r="K352" i="48"/>
  <c r="G352" i="48"/>
  <c r="E352" i="48"/>
  <c r="Q351" i="48"/>
  <c r="P351" i="48"/>
  <c r="L351" i="48"/>
  <c r="M351" i="48" s="1"/>
  <c r="N351" i="48" s="1"/>
  <c r="K351" i="48"/>
  <c r="G351" i="48"/>
  <c r="E351" i="48"/>
  <c r="Q350" i="48"/>
  <c r="P350" i="48"/>
  <c r="L350" i="48"/>
  <c r="M350" i="48" s="1"/>
  <c r="N350" i="48"/>
  <c r="K350" i="48"/>
  <c r="G350" i="48"/>
  <c r="E350" i="48"/>
  <c r="Q349" i="48"/>
  <c r="P349" i="48"/>
  <c r="L349" i="48"/>
  <c r="M349" i="48"/>
  <c r="N349" i="48" s="1"/>
  <c r="K349" i="48"/>
  <c r="G349" i="48"/>
  <c r="E349" i="48"/>
  <c r="Q348" i="48"/>
  <c r="P348" i="48"/>
  <c r="L348" i="48"/>
  <c r="M348" i="48"/>
  <c r="N348" i="48" s="1"/>
  <c r="K348" i="48"/>
  <c r="G348" i="48"/>
  <c r="E348" i="48"/>
  <c r="Q347" i="48"/>
  <c r="P347" i="48"/>
  <c r="L347" i="48"/>
  <c r="M347" i="48" s="1"/>
  <c r="N347" i="48" s="1"/>
  <c r="K347" i="48"/>
  <c r="G347" i="48"/>
  <c r="E347" i="48"/>
  <c r="Q346" i="48"/>
  <c r="P346" i="48"/>
  <c r="L346" i="48"/>
  <c r="M346" i="48"/>
  <c r="N346" i="48" s="1"/>
  <c r="K346" i="48"/>
  <c r="G346" i="48"/>
  <c r="E346" i="48"/>
  <c r="Q345" i="48"/>
  <c r="P345" i="48"/>
  <c r="L345" i="48"/>
  <c r="M345" i="48"/>
  <c r="N345" i="48" s="1"/>
  <c r="K345" i="48"/>
  <c r="G345" i="48"/>
  <c r="E345" i="48"/>
  <c r="Q344" i="48"/>
  <c r="P344" i="48"/>
  <c r="L344" i="48"/>
  <c r="M344" i="48" s="1"/>
  <c r="N344" i="48" s="1"/>
  <c r="K344" i="48"/>
  <c r="G344" i="48"/>
  <c r="E344" i="48"/>
  <c r="Q343" i="48"/>
  <c r="P343" i="48"/>
  <c r="L343" i="48"/>
  <c r="M343" i="48"/>
  <c r="N343" i="48" s="1"/>
  <c r="K343" i="48"/>
  <c r="G343" i="48"/>
  <c r="E343" i="48"/>
  <c r="Q342" i="48"/>
  <c r="P342" i="48"/>
  <c r="L342" i="48"/>
  <c r="M342" i="48"/>
  <c r="N342" i="48" s="1"/>
  <c r="K342" i="48"/>
  <c r="G342" i="48"/>
  <c r="E342" i="48"/>
  <c r="Q341" i="48"/>
  <c r="P341" i="48"/>
  <c r="L341" i="48"/>
  <c r="M341" i="48" s="1"/>
  <c r="N341" i="48"/>
  <c r="K341" i="48"/>
  <c r="G341" i="48"/>
  <c r="E341" i="48"/>
  <c r="U340" i="48"/>
  <c r="T340" i="48"/>
  <c r="S340" i="48"/>
  <c r="Q340" i="48"/>
  <c r="P340" i="48"/>
  <c r="L340" i="48"/>
  <c r="M340" i="48" s="1"/>
  <c r="N340" i="48" s="1"/>
  <c r="K340" i="48"/>
  <c r="G340" i="48"/>
  <c r="E340" i="48"/>
  <c r="Q339" i="48"/>
  <c r="P339" i="48"/>
  <c r="L339" i="48"/>
  <c r="M339" i="48" s="1"/>
  <c r="N339" i="48" s="1"/>
  <c r="K339" i="48"/>
  <c r="G339" i="48"/>
  <c r="E339" i="48"/>
  <c r="Q338" i="48"/>
  <c r="P338" i="48"/>
  <c r="L338" i="48"/>
  <c r="M338" i="48" s="1"/>
  <c r="N338" i="48" s="1"/>
  <c r="K338" i="48"/>
  <c r="G338" i="48"/>
  <c r="E338" i="48"/>
  <c r="Q337" i="48"/>
  <c r="P337" i="48"/>
  <c r="L337" i="48"/>
  <c r="M337" i="48" s="1"/>
  <c r="N337" i="48" s="1"/>
  <c r="K337" i="48"/>
  <c r="G337" i="48"/>
  <c r="E337" i="48"/>
  <c r="Q336" i="48"/>
  <c r="P336" i="48"/>
  <c r="L336" i="48"/>
  <c r="M336" i="48" s="1"/>
  <c r="N336" i="48" s="1"/>
  <c r="K336" i="48"/>
  <c r="G336" i="48"/>
  <c r="E336" i="48"/>
  <c r="Q335" i="48"/>
  <c r="P335" i="48"/>
  <c r="L335" i="48"/>
  <c r="M335" i="48" s="1"/>
  <c r="N335" i="48" s="1"/>
  <c r="K335" i="48"/>
  <c r="G335" i="48"/>
  <c r="E335" i="48"/>
  <c r="Q334" i="48"/>
  <c r="P334" i="48"/>
  <c r="L334" i="48"/>
  <c r="M334" i="48" s="1"/>
  <c r="N334" i="48" s="1"/>
  <c r="K334" i="48"/>
  <c r="G334" i="48"/>
  <c r="E334" i="48"/>
  <c r="Q333" i="48"/>
  <c r="P333" i="48"/>
  <c r="L333" i="48"/>
  <c r="M333" i="48" s="1"/>
  <c r="N333" i="48" s="1"/>
  <c r="K333" i="48"/>
  <c r="G333" i="48"/>
  <c r="E333" i="48"/>
  <c r="Q332" i="48"/>
  <c r="P332" i="48"/>
  <c r="L332" i="48"/>
  <c r="M332" i="48" s="1"/>
  <c r="N332" i="48" s="1"/>
  <c r="K332" i="48"/>
  <c r="G332" i="48"/>
  <c r="E332" i="48"/>
  <c r="Q331" i="48"/>
  <c r="P331" i="48"/>
  <c r="L331" i="48"/>
  <c r="M331" i="48" s="1"/>
  <c r="N331" i="48" s="1"/>
  <c r="K331" i="48"/>
  <c r="G331" i="48"/>
  <c r="E331" i="48"/>
  <c r="Q330" i="48"/>
  <c r="P330" i="48"/>
  <c r="L330" i="48"/>
  <c r="M330" i="48" s="1"/>
  <c r="N330" i="48" s="1"/>
  <c r="K330" i="48"/>
  <c r="G330" i="48"/>
  <c r="E330" i="48"/>
  <c r="Q329" i="48"/>
  <c r="P329" i="48"/>
  <c r="L329" i="48"/>
  <c r="M329" i="48" s="1"/>
  <c r="N329" i="48" s="1"/>
  <c r="K329" i="48"/>
  <c r="G329" i="48"/>
  <c r="E329" i="48"/>
  <c r="Q328" i="48"/>
  <c r="P328" i="48"/>
  <c r="L328" i="48"/>
  <c r="M328" i="48" s="1"/>
  <c r="N328" i="48" s="1"/>
  <c r="K328" i="48"/>
  <c r="G328" i="48"/>
  <c r="E328" i="48"/>
  <c r="Q327" i="48"/>
  <c r="P327" i="48"/>
  <c r="L327" i="48"/>
  <c r="M327" i="48" s="1"/>
  <c r="N327" i="48" s="1"/>
  <c r="K327" i="48"/>
  <c r="G327" i="48"/>
  <c r="E327" i="48"/>
  <c r="Q326" i="48"/>
  <c r="P326" i="48"/>
  <c r="L326" i="48"/>
  <c r="M326" i="48" s="1"/>
  <c r="N326" i="48" s="1"/>
  <c r="K326" i="48"/>
  <c r="G326" i="48"/>
  <c r="E326" i="48"/>
  <c r="Q325" i="48"/>
  <c r="P325" i="48"/>
  <c r="L325" i="48"/>
  <c r="M325" i="48" s="1"/>
  <c r="N325" i="48" s="1"/>
  <c r="K325" i="48"/>
  <c r="G325" i="48"/>
  <c r="E325" i="48"/>
  <c r="Q324" i="48"/>
  <c r="P324" i="48"/>
  <c r="L324" i="48"/>
  <c r="M324" i="48" s="1"/>
  <c r="N324" i="48" s="1"/>
  <c r="K324" i="48"/>
  <c r="G324" i="48"/>
  <c r="E324" i="48"/>
  <c r="Q323" i="48"/>
  <c r="P323" i="48"/>
  <c r="L323" i="48"/>
  <c r="M323" i="48" s="1"/>
  <c r="N323" i="48" s="1"/>
  <c r="K323" i="48"/>
  <c r="G323" i="48"/>
  <c r="E323" i="48"/>
  <c r="Q322" i="48"/>
  <c r="P322" i="48"/>
  <c r="L322" i="48"/>
  <c r="M322" i="48" s="1"/>
  <c r="N322" i="48" s="1"/>
  <c r="K322" i="48"/>
  <c r="G322" i="48"/>
  <c r="E322" i="48"/>
  <c r="Q321" i="48"/>
  <c r="P321" i="48"/>
  <c r="L321" i="48"/>
  <c r="M321" i="48" s="1"/>
  <c r="N321" i="48" s="1"/>
  <c r="K321" i="48"/>
  <c r="G321" i="48"/>
  <c r="E321" i="48"/>
  <c r="Q320" i="48"/>
  <c r="P320" i="48"/>
  <c r="L320" i="48"/>
  <c r="M320" i="48" s="1"/>
  <c r="N320" i="48" s="1"/>
  <c r="K320" i="48"/>
  <c r="G320" i="48"/>
  <c r="E320" i="48"/>
  <c r="Q319" i="48"/>
  <c r="P319" i="48"/>
  <c r="L319" i="48"/>
  <c r="M319" i="48" s="1"/>
  <c r="N319" i="48" s="1"/>
  <c r="K319" i="48"/>
  <c r="G319" i="48"/>
  <c r="E319" i="48"/>
  <c r="Q318" i="48"/>
  <c r="P318" i="48"/>
  <c r="L318" i="48"/>
  <c r="M318" i="48" s="1"/>
  <c r="N318" i="48"/>
  <c r="K318" i="48"/>
  <c r="G318" i="48"/>
  <c r="E318" i="48"/>
  <c r="Q317" i="48"/>
  <c r="P317" i="48"/>
  <c r="L317" i="48"/>
  <c r="M317" i="48" s="1"/>
  <c r="N317" i="48" s="1"/>
  <c r="K317" i="48"/>
  <c r="G317" i="48"/>
  <c r="E317" i="48"/>
  <c r="U316" i="48"/>
  <c r="T316" i="48"/>
  <c r="S316" i="48"/>
  <c r="Q316" i="48"/>
  <c r="P316" i="48"/>
  <c r="L316" i="48"/>
  <c r="M316" i="48"/>
  <c r="N316" i="48" s="1"/>
  <c r="K316" i="48"/>
  <c r="G316" i="48"/>
  <c r="E316" i="48"/>
  <c r="Q315" i="48"/>
  <c r="P315" i="48"/>
  <c r="L315" i="48"/>
  <c r="M315" i="48" s="1"/>
  <c r="N315" i="48" s="1"/>
  <c r="K315" i="48"/>
  <c r="G315" i="48"/>
  <c r="E315" i="48"/>
  <c r="Q314" i="48"/>
  <c r="P314" i="48"/>
  <c r="L314" i="48"/>
  <c r="M314" i="48"/>
  <c r="N314" i="48" s="1"/>
  <c r="K314" i="48"/>
  <c r="G314" i="48"/>
  <c r="E314" i="48"/>
  <c r="Q313" i="48"/>
  <c r="P313" i="48"/>
  <c r="L313" i="48"/>
  <c r="M313" i="48" s="1"/>
  <c r="N313" i="48" s="1"/>
  <c r="K313" i="48"/>
  <c r="G313" i="48"/>
  <c r="E313" i="48"/>
  <c r="Q312" i="48"/>
  <c r="P312" i="48"/>
  <c r="L312" i="48"/>
  <c r="M312" i="48" s="1"/>
  <c r="N312" i="48" s="1"/>
  <c r="K312" i="48"/>
  <c r="G312" i="48"/>
  <c r="E312" i="48"/>
  <c r="Q311" i="48"/>
  <c r="P311" i="48"/>
  <c r="L311" i="48"/>
  <c r="M311" i="48" s="1"/>
  <c r="N311" i="48" s="1"/>
  <c r="K311" i="48"/>
  <c r="G311" i="48"/>
  <c r="E311" i="48"/>
  <c r="U310" i="48"/>
  <c r="T310" i="48"/>
  <c r="S310" i="48"/>
  <c r="Q310" i="48"/>
  <c r="P310" i="48"/>
  <c r="L310" i="48"/>
  <c r="M310" i="48" s="1"/>
  <c r="N310" i="48" s="1"/>
  <c r="K310" i="48"/>
  <c r="G310" i="48"/>
  <c r="E310" i="48"/>
  <c r="Q309" i="48"/>
  <c r="P309" i="48"/>
  <c r="L309" i="48"/>
  <c r="M309" i="48" s="1"/>
  <c r="N309" i="48" s="1"/>
  <c r="K309" i="48"/>
  <c r="G309" i="48"/>
  <c r="E309" i="48"/>
  <c r="Q308" i="48"/>
  <c r="P308" i="48"/>
  <c r="L308" i="48"/>
  <c r="M308" i="48" s="1"/>
  <c r="N308" i="48" s="1"/>
  <c r="K308" i="48"/>
  <c r="G308" i="48"/>
  <c r="E308" i="48"/>
  <c r="Q307" i="48"/>
  <c r="P307" i="48"/>
  <c r="L307" i="48"/>
  <c r="M307" i="48" s="1"/>
  <c r="N307" i="48"/>
  <c r="K307" i="48"/>
  <c r="G307" i="48"/>
  <c r="E307" i="48"/>
  <c r="Q306" i="48"/>
  <c r="P306" i="48"/>
  <c r="L306" i="48"/>
  <c r="M306" i="48" s="1"/>
  <c r="N306" i="48" s="1"/>
  <c r="K306" i="48"/>
  <c r="G306" i="48"/>
  <c r="E306" i="48"/>
  <c r="Q305" i="48"/>
  <c r="P305" i="48"/>
  <c r="L305" i="48"/>
  <c r="M305" i="48" s="1"/>
  <c r="N305" i="48" s="1"/>
  <c r="K305" i="48"/>
  <c r="G305" i="48"/>
  <c r="E305" i="48"/>
  <c r="Q304" i="48"/>
  <c r="P304" i="48"/>
  <c r="L304" i="48"/>
  <c r="M304" i="48" s="1"/>
  <c r="N304" i="48" s="1"/>
  <c r="K304" i="48"/>
  <c r="G304" i="48"/>
  <c r="E304" i="48"/>
  <c r="Q303" i="48"/>
  <c r="P303" i="48"/>
  <c r="L303" i="48"/>
  <c r="M303" i="48" s="1"/>
  <c r="N303" i="48" s="1"/>
  <c r="K303" i="48"/>
  <c r="G303" i="48"/>
  <c r="E303" i="48"/>
  <c r="Q302" i="48"/>
  <c r="P302" i="48"/>
  <c r="L302" i="48"/>
  <c r="M302" i="48" s="1"/>
  <c r="N302" i="48" s="1"/>
  <c r="K302" i="48"/>
  <c r="G302" i="48"/>
  <c r="E302" i="48"/>
  <c r="Q301" i="48"/>
  <c r="P301" i="48"/>
  <c r="L301" i="48"/>
  <c r="M301" i="48"/>
  <c r="N301" i="48" s="1"/>
  <c r="K301" i="48"/>
  <c r="G301" i="48"/>
  <c r="E301" i="48"/>
  <c r="Q300" i="48"/>
  <c r="P300" i="48"/>
  <c r="L300" i="48"/>
  <c r="M300" i="48" s="1"/>
  <c r="N300" i="48" s="1"/>
  <c r="K300" i="48"/>
  <c r="G300" i="48"/>
  <c r="E300" i="48"/>
  <c r="Q299" i="48"/>
  <c r="P299" i="48"/>
  <c r="L299" i="48"/>
  <c r="M299" i="48" s="1"/>
  <c r="N299" i="48" s="1"/>
  <c r="K299" i="48"/>
  <c r="G299" i="48"/>
  <c r="E299" i="48"/>
  <c r="Q298" i="48"/>
  <c r="P298" i="48"/>
  <c r="L298" i="48"/>
  <c r="M298" i="48" s="1"/>
  <c r="N298" i="48" s="1"/>
  <c r="K298" i="48"/>
  <c r="G298" i="48"/>
  <c r="E298" i="48"/>
  <c r="Q297" i="48"/>
  <c r="P297" i="48"/>
  <c r="L297" i="48"/>
  <c r="M297" i="48" s="1"/>
  <c r="N297" i="48" s="1"/>
  <c r="K297" i="48"/>
  <c r="G297" i="48"/>
  <c r="E297" i="48"/>
  <c r="Q296" i="48"/>
  <c r="P296" i="48"/>
  <c r="L296" i="48"/>
  <c r="M296" i="48" s="1"/>
  <c r="N296" i="48"/>
  <c r="K296" i="48"/>
  <c r="G296" i="48"/>
  <c r="E296" i="48"/>
  <c r="Q295" i="48"/>
  <c r="P295" i="48"/>
  <c r="L295" i="48"/>
  <c r="M295" i="48" s="1"/>
  <c r="N295" i="48" s="1"/>
  <c r="K295" i="48"/>
  <c r="G295" i="48"/>
  <c r="E295" i="48"/>
  <c r="Q294" i="48"/>
  <c r="P294" i="48"/>
  <c r="L294" i="48"/>
  <c r="M294" i="48" s="1"/>
  <c r="N294" i="48" s="1"/>
  <c r="K294" i="48"/>
  <c r="G294" i="48"/>
  <c r="E294" i="48"/>
  <c r="Q293" i="48"/>
  <c r="P293" i="48"/>
  <c r="L293" i="48"/>
  <c r="M293" i="48" s="1"/>
  <c r="N293" i="48" s="1"/>
  <c r="K293" i="48"/>
  <c r="G293" i="48"/>
  <c r="E293" i="48"/>
  <c r="Q292" i="48"/>
  <c r="P292" i="48"/>
  <c r="L292" i="48"/>
  <c r="M292" i="48" s="1"/>
  <c r="N292" i="48" s="1"/>
  <c r="K292" i="48"/>
  <c r="G292" i="48"/>
  <c r="E292" i="48"/>
  <c r="Q291" i="48"/>
  <c r="P291" i="48"/>
  <c r="L291" i="48"/>
  <c r="M291" i="48" s="1"/>
  <c r="N291" i="48" s="1"/>
  <c r="K291" i="48"/>
  <c r="G291" i="48"/>
  <c r="E291" i="48"/>
  <c r="Q290" i="48"/>
  <c r="P290" i="48"/>
  <c r="L290" i="48"/>
  <c r="M290" i="48" s="1"/>
  <c r="N290" i="48" s="1"/>
  <c r="K290" i="48"/>
  <c r="G290" i="48"/>
  <c r="E290" i="48"/>
  <c r="Q289" i="48"/>
  <c r="P289" i="48"/>
  <c r="L289" i="48"/>
  <c r="M289" i="48" s="1"/>
  <c r="N289" i="48" s="1"/>
  <c r="K289" i="48"/>
  <c r="G289" i="48"/>
  <c r="E289" i="48"/>
  <c r="Q288" i="48"/>
  <c r="P288" i="48"/>
  <c r="L288" i="48"/>
  <c r="M288" i="48" s="1"/>
  <c r="N288" i="48" s="1"/>
  <c r="K288" i="48"/>
  <c r="G288" i="48"/>
  <c r="E288" i="48"/>
  <c r="Q287" i="48"/>
  <c r="P287" i="48"/>
  <c r="L287" i="48"/>
  <c r="M287" i="48" s="1"/>
  <c r="N287" i="48" s="1"/>
  <c r="K287" i="48"/>
  <c r="G287" i="48"/>
  <c r="E287" i="48"/>
  <c r="Q286" i="48"/>
  <c r="P286" i="48"/>
  <c r="L286" i="48"/>
  <c r="M286" i="48" s="1"/>
  <c r="N286" i="48" s="1"/>
  <c r="K286" i="48"/>
  <c r="G286" i="48"/>
  <c r="E286" i="48"/>
  <c r="Q285" i="48"/>
  <c r="P285" i="48"/>
  <c r="L285" i="48"/>
  <c r="M285" i="48" s="1"/>
  <c r="N285" i="48" s="1"/>
  <c r="K285" i="48"/>
  <c r="G285" i="48"/>
  <c r="E285" i="48"/>
  <c r="Q284" i="48"/>
  <c r="P284" i="48"/>
  <c r="L284" i="48"/>
  <c r="M284" i="48" s="1"/>
  <c r="N284" i="48" s="1"/>
  <c r="K284" i="48"/>
  <c r="G284" i="48"/>
  <c r="E284" i="48"/>
  <c r="Q283" i="48"/>
  <c r="P283" i="48"/>
  <c r="L283" i="48"/>
  <c r="M283" i="48" s="1"/>
  <c r="N283" i="48" s="1"/>
  <c r="K283" i="48"/>
  <c r="G283" i="48"/>
  <c r="E283" i="48"/>
  <c r="Q282" i="48"/>
  <c r="P282" i="48"/>
  <c r="L282" i="48"/>
  <c r="M282" i="48" s="1"/>
  <c r="N282" i="48" s="1"/>
  <c r="K282" i="48"/>
  <c r="G282" i="48"/>
  <c r="E282" i="48"/>
  <c r="Q281" i="48"/>
  <c r="P281" i="48"/>
  <c r="L281" i="48"/>
  <c r="M281" i="48" s="1"/>
  <c r="N281" i="48" s="1"/>
  <c r="K281" i="48"/>
  <c r="G281" i="48"/>
  <c r="E281" i="48"/>
  <c r="Q280" i="48"/>
  <c r="P280" i="48"/>
  <c r="L280" i="48"/>
  <c r="M280" i="48" s="1"/>
  <c r="N280" i="48" s="1"/>
  <c r="K280" i="48"/>
  <c r="G280" i="48"/>
  <c r="E280" i="48"/>
  <c r="Q279" i="48"/>
  <c r="P279" i="48"/>
  <c r="L279" i="48"/>
  <c r="M279" i="48" s="1"/>
  <c r="N279" i="48" s="1"/>
  <c r="Q278" i="48"/>
  <c r="P278" i="48"/>
  <c r="L278" i="48"/>
  <c r="M278" i="48" s="1"/>
  <c r="N278" i="48" s="1"/>
  <c r="K278" i="48"/>
  <c r="G278" i="48"/>
  <c r="E278" i="48"/>
  <c r="Q277" i="48"/>
  <c r="P277" i="48"/>
  <c r="M277" i="48"/>
  <c r="N277" i="48" s="1"/>
  <c r="L277" i="48"/>
  <c r="Q276" i="48"/>
  <c r="P276" i="48"/>
  <c r="L276" i="48"/>
  <c r="M276" i="48" s="1"/>
  <c r="N276" i="48" s="1"/>
  <c r="K276" i="48"/>
  <c r="G276" i="48"/>
  <c r="E276" i="48"/>
  <c r="Q275" i="48"/>
  <c r="P275" i="48"/>
  <c r="L275" i="48"/>
  <c r="M275" i="48" s="1"/>
  <c r="N275" i="48" s="1"/>
  <c r="K275" i="48"/>
  <c r="G275" i="48"/>
  <c r="E275" i="48"/>
  <c r="Q274" i="48"/>
  <c r="P274" i="48"/>
  <c r="L274" i="48"/>
  <c r="M274" i="48" s="1"/>
  <c r="N274" i="48" s="1"/>
  <c r="K274" i="48"/>
  <c r="G274" i="48"/>
  <c r="E274" i="48"/>
  <c r="Q273" i="48"/>
  <c r="P273" i="48"/>
  <c r="L273" i="48"/>
  <c r="M273" i="48" s="1"/>
  <c r="N273" i="48" s="1"/>
  <c r="K273" i="48"/>
  <c r="G273" i="48"/>
  <c r="E273" i="48"/>
  <c r="Q272" i="48"/>
  <c r="P272" i="48"/>
  <c r="L272" i="48"/>
  <c r="M272" i="48" s="1"/>
  <c r="N272" i="48" s="1"/>
  <c r="K272" i="48"/>
  <c r="G272" i="48"/>
  <c r="E272" i="48"/>
  <c r="U271" i="48"/>
  <c r="T271" i="48"/>
  <c r="S271" i="48"/>
  <c r="Q271" i="48"/>
  <c r="P271" i="48"/>
  <c r="L271" i="48"/>
  <c r="M271" i="48"/>
  <c r="N271" i="48" s="1"/>
  <c r="K271" i="48"/>
  <c r="G271" i="48"/>
  <c r="E271" i="48"/>
  <c r="Q270" i="48"/>
  <c r="P270" i="48"/>
  <c r="L270" i="48"/>
  <c r="M270" i="48" s="1"/>
  <c r="N270" i="48" s="1"/>
  <c r="K270" i="48"/>
  <c r="G270" i="48"/>
  <c r="E270" i="48"/>
  <c r="U269" i="48"/>
  <c r="T269" i="48"/>
  <c r="S269" i="48"/>
  <c r="Q269" i="48"/>
  <c r="P269" i="48"/>
  <c r="L269" i="48"/>
  <c r="M269" i="48" s="1"/>
  <c r="N269" i="48" s="1"/>
  <c r="K269" i="48"/>
  <c r="G269" i="48"/>
  <c r="E269" i="48"/>
  <c r="Q268" i="48"/>
  <c r="P268" i="48"/>
  <c r="L268" i="48"/>
  <c r="M268" i="48" s="1"/>
  <c r="N268" i="48" s="1"/>
  <c r="K268" i="48"/>
  <c r="G268" i="48"/>
  <c r="E268" i="48"/>
  <c r="Q267" i="48"/>
  <c r="P267" i="48"/>
  <c r="L267" i="48"/>
  <c r="M267" i="48" s="1"/>
  <c r="N267" i="48" s="1"/>
  <c r="K267" i="48"/>
  <c r="G267" i="48"/>
  <c r="E267" i="48"/>
  <c r="Q266" i="48"/>
  <c r="P266" i="48"/>
  <c r="L266" i="48"/>
  <c r="M266" i="48" s="1"/>
  <c r="N266" i="48" s="1"/>
  <c r="K266" i="48"/>
  <c r="G266" i="48"/>
  <c r="E266" i="48"/>
  <c r="Q265" i="48"/>
  <c r="P265" i="48"/>
  <c r="L265" i="48"/>
  <c r="M265" i="48"/>
  <c r="N265" i="48" s="1"/>
  <c r="K265" i="48"/>
  <c r="G265" i="48"/>
  <c r="E265" i="48"/>
  <c r="Q264" i="48"/>
  <c r="P264" i="48"/>
  <c r="L264" i="48"/>
  <c r="M264" i="48"/>
  <c r="N264" i="48" s="1"/>
  <c r="K264" i="48"/>
  <c r="G264" i="48"/>
  <c r="E264" i="48"/>
  <c r="Q263" i="48"/>
  <c r="P263" i="48"/>
  <c r="L263" i="48"/>
  <c r="M263" i="48" s="1"/>
  <c r="N263" i="48"/>
  <c r="K263" i="48"/>
  <c r="G263" i="48"/>
  <c r="E263" i="48"/>
  <c r="Q262" i="48"/>
  <c r="P262" i="48"/>
  <c r="L262" i="48"/>
  <c r="M262" i="48" s="1"/>
  <c r="N262" i="48" s="1"/>
  <c r="K262" i="48"/>
  <c r="G262" i="48"/>
  <c r="E262" i="48"/>
  <c r="Q261" i="48"/>
  <c r="P261" i="48"/>
  <c r="L261" i="48"/>
  <c r="M261" i="48" s="1"/>
  <c r="N261" i="48" s="1"/>
  <c r="K261" i="48"/>
  <c r="G261" i="48"/>
  <c r="E261" i="48"/>
  <c r="Q260" i="48"/>
  <c r="P260" i="48"/>
  <c r="L260" i="48"/>
  <c r="M260" i="48" s="1"/>
  <c r="N260" i="48"/>
  <c r="K260" i="48"/>
  <c r="G260" i="48"/>
  <c r="E260" i="48"/>
  <c r="Q259" i="48"/>
  <c r="P259" i="48"/>
  <c r="L259" i="48"/>
  <c r="M259" i="48" s="1"/>
  <c r="N259" i="48" s="1"/>
  <c r="K259" i="48"/>
  <c r="G259" i="48"/>
  <c r="E259" i="48"/>
  <c r="Q258" i="48"/>
  <c r="P258" i="48"/>
  <c r="L258" i="48"/>
  <c r="M258" i="48" s="1"/>
  <c r="N258" i="48" s="1"/>
  <c r="K258" i="48"/>
  <c r="G258" i="48"/>
  <c r="E258" i="48"/>
  <c r="Q257" i="48"/>
  <c r="P257" i="48"/>
  <c r="L257" i="48"/>
  <c r="M257" i="48" s="1"/>
  <c r="N257" i="48" s="1"/>
  <c r="K257" i="48"/>
  <c r="G257" i="48"/>
  <c r="E257" i="48"/>
  <c r="U256" i="48"/>
  <c r="T256" i="48"/>
  <c r="S256" i="48"/>
  <c r="Q256" i="48"/>
  <c r="P256" i="48"/>
  <c r="L256" i="48"/>
  <c r="M256" i="48"/>
  <c r="N256" i="48" s="1"/>
  <c r="K256" i="48"/>
  <c r="G256" i="48"/>
  <c r="E256" i="48"/>
  <c r="U255" i="48"/>
  <c r="T255" i="48"/>
  <c r="S255" i="48"/>
  <c r="Q255" i="48"/>
  <c r="P255" i="48"/>
  <c r="L255" i="48"/>
  <c r="M255" i="48" s="1"/>
  <c r="N255" i="48" s="1"/>
  <c r="K255" i="48"/>
  <c r="G255" i="48"/>
  <c r="E255" i="48"/>
  <c r="Q254" i="48"/>
  <c r="P254" i="48"/>
  <c r="L254" i="48"/>
  <c r="M254" i="48" s="1"/>
  <c r="N254" i="48" s="1"/>
  <c r="K254" i="48"/>
  <c r="G254" i="48"/>
  <c r="E254" i="48"/>
  <c r="Q253" i="48"/>
  <c r="P253" i="48"/>
  <c r="L253" i="48"/>
  <c r="M253" i="48" s="1"/>
  <c r="N253" i="48" s="1"/>
  <c r="K253" i="48"/>
  <c r="G253" i="48"/>
  <c r="E253" i="48"/>
  <c r="Q252" i="48"/>
  <c r="P252" i="48"/>
  <c r="L252" i="48"/>
  <c r="M252" i="48" s="1"/>
  <c r="N252" i="48" s="1"/>
  <c r="K252" i="48"/>
  <c r="G252" i="48"/>
  <c r="E252" i="48"/>
  <c r="Q251" i="48"/>
  <c r="P251" i="48"/>
  <c r="L251" i="48"/>
  <c r="M251" i="48" s="1"/>
  <c r="N251" i="48" s="1"/>
  <c r="K251" i="48"/>
  <c r="G251" i="48"/>
  <c r="E251" i="48"/>
  <c r="Q250" i="48"/>
  <c r="P250" i="48"/>
  <c r="L250" i="48"/>
  <c r="M250" i="48" s="1"/>
  <c r="N250" i="48" s="1"/>
  <c r="K250" i="48"/>
  <c r="G250" i="48"/>
  <c r="E250" i="48"/>
  <c r="Q249" i="48"/>
  <c r="P249" i="48"/>
  <c r="L249" i="48"/>
  <c r="M249" i="48"/>
  <c r="N249" i="48" s="1"/>
  <c r="K249" i="48"/>
  <c r="G249" i="48"/>
  <c r="E249" i="48"/>
  <c r="Q248" i="48"/>
  <c r="P248" i="48"/>
  <c r="L248" i="48"/>
  <c r="M248" i="48" s="1"/>
  <c r="N248" i="48"/>
  <c r="K248" i="48"/>
  <c r="G248" i="48"/>
  <c r="E248" i="48"/>
  <c r="Q247" i="48"/>
  <c r="P247" i="48"/>
  <c r="L247" i="48"/>
  <c r="M247" i="48" s="1"/>
  <c r="N247" i="48" s="1"/>
  <c r="K247" i="48"/>
  <c r="G247" i="48"/>
  <c r="E247" i="48"/>
  <c r="U246" i="48"/>
  <c r="T246" i="48"/>
  <c r="S246" i="48"/>
  <c r="Q246" i="48"/>
  <c r="P246" i="48"/>
  <c r="L246" i="48"/>
  <c r="M246" i="48" s="1"/>
  <c r="N246" i="48" s="1"/>
  <c r="K246" i="48"/>
  <c r="G246" i="48"/>
  <c r="E246" i="48"/>
  <c r="Q245" i="48"/>
  <c r="P245" i="48"/>
  <c r="L245" i="48"/>
  <c r="M245" i="48" s="1"/>
  <c r="N245" i="48" s="1"/>
  <c r="K245" i="48"/>
  <c r="G245" i="48"/>
  <c r="E245" i="48"/>
  <c r="Q244" i="48"/>
  <c r="P244" i="48"/>
  <c r="L244" i="48"/>
  <c r="M244" i="48" s="1"/>
  <c r="N244" i="48" s="1"/>
  <c r="K244" i="48"/>
  <c r="G244" i="48"/>
  <c r="E244" i="48"/>
  <c r="U243" i="48"/>
  <c r="T243" i="48"/>
  <c r="S243" i="48"/>
  <c r="Q243" i="48"/>
  <c r="P243" i="48"/>
  <c r="L243" i="48"/>
  <c r="M243" i="48" s="1"/>
  <c r="N243" i="48" s="1"/>
  <c r="K243" i="48"/>
  <c r="G243" i="48"/>
  <c r="E243" i="48"/>
  <c r="Q242" i="48"/>
  <c r="P242" i="48"/>
  <c r="L242" i="48"/>
  <c r="M242" i="48" s="1"/>
  <c r="N242" i="48" s="1"/>
  <c r="K242" i="48"/>
  <c r="G242" i="48"/>
  <c r="E242" i="48"/>
  <c r="Q241" i="48"/>
  <c r="P241" i="48"/>
  <c r="L241" i="48"/>
  <c r="M241" i="48"/>
  <c r="N241" i="48"/>
  <c r="K241" i="48"/>
  <c r="G241" i="48"/>
  <c r="E241" i="48"/>
  <c r="Q240" i="48"/>
  <c r="P240" i="48"/>
  <c r="L240" i="48"/>
  <c r="M240" i="48" s="1"/>
  <c r="N240" i="48" s="1"/>
  <c r="K240" i="48"/>
  <c r="G240" i="48"/>
  <c r="E240" i="48"/>
  <c r="Q239" i="48"/>
  <c r="P239" i="48"/>
  <c r="L239" i="48"/>
  <c r="M239" i="48" s="1"/>
  <c r="N239" i="48" s="1"/>
  <c r="G239" i="48"/>
  <c r="E239" i="48"/>
  <c r="U238" i="48"/>
  <c r="T238" i="48"/>
  <c r="S238" i="48"/>
  <c r="Q238" i="48"/>
  <c r="P238" i="48"/>
  <c r="L238" i="48"/>
  <c r="M238" i="48"/>
  <c r="N238" i="48" s="1"/>
  <c r="K238" i="48"/>
  <c r="G238" i="48"/>
  <c r="E238" i="48"/>
  <c r="Q237" i="48"/>
  <c r="P237" i="48"/>
  <c r="L237" i="48"/>
  <c r="M237" i="48" s="1"/>
  <c r="N237" i="48"/>
  <c r="K237" i="48"/>
  <c r="G237" i="48"/>
  <c r="E237" i="48"/>
  <c r="Q236" i="48"/>
  <c r="P236" i="48"/>
  <c r="L236" i="48"/>
  <c r="M236" i="48" s="1"/>
  <c r="N236" i="48" s="1"/>
  <c r="K236" i="48"/>
  <c r="G236" i="48"/>
  <c r="E236" i="48"/>
  <c r="Q235" i="48"/>
  <c r="P235" i="48"/>
  <c r="L235" i="48"/>
  <c r="M235" i="48"/>
  <c r="N235" i="48"/>
  <c r="K235" i="48"/>
  <c r="G235" i="48"/>
  <c r="E235" i="48"/>
  <c r="Q234" i="48"/>
  <c r="P234" i="48"/>
  <c r="L234" i="48"/>
  <c r="M234" i="48" s="1"/>
  <c r="N234" i="48" s="1"/>
  <c r="K234" i="48"/>
  <c r="G234" i="48"/>
  <c r="E234" i="48"/>
  <c r="Q233" i="48"/>
  <c r="P233" i="48"/>
  <c r="L233" i="48"/>
  <c r="M233" i="48" s="1"/>
  <c r="N233" i="48" s="1"/>
  <c r="K233" i="48"/>
  <c r="G233" i="48"/>
  <c r="E233" i="48"/>
  <c r="Q232" i="48"/>
  <c r="P232" i="48"/>
  <c r="L232" i="48"/>
  <c r="M232" i="48" s="1"/>
  <c r="N232" i="48" s="1"/>
  <c r="K232" i="48"/>
  <c r="G232" i="48"/>
  <c r="E232" i="48"/>
  <c r="Q231" i="48"/>
  <c r="P231" i="48"/>
  <c r="L231" i="48"/>
  <c r="M231" i="48" s="1"/>
  <c r="N231" i="48" s="1"/>
  <c r="K231" i="48"/>
  <c r="G231" i="48"/>
  <c r="E231" i="48"/>
  <c r="Q230" i="48"/>
  <c r="P230" i="48"/>
  <c r="L230" i="48"/>
  <c r="M230" i="48" s="1"/>
  <c r="N230" i="48" s="1"/>
  <c r="K230" i="48"/>
  <c r="G230" i="48"/>
  <c r="E230" i="48"/>
  <c r="Q229" i="48"/>
  <c r="P229" i="48"/>
  <c r="L229" i="48"/>
  <c r="M229" i="48"/>
  <c r="N229" i="48" s="1"/>
  <c r="K229" i="48"/>
  <c r="G229" i="48"/>
  <c r="E229" i="48"/>
  <c r="Q228" i="48"/>
  <c r="P228" i="48"/>
  <c r="L228" i="48"/>
  <c r="M228" i="48" s="1"/>
  <c r="N228" i="48" s="1"/>
  <c r="K228" i="48"/>
  <c r="G228" i="48"/>
  <c r="E228" i="48"/>
  <c r="Q227" i="48"/>
  <c r="P227" i="48"/>
  <c r="L227" i="48"/>
  <c r="M227" i="48" s="1"/>
  <c r="N227" i="48" s="1"/>
  <c r="K227" i="48"/>
  <c r="G227" i="48"/>
  <c r="E227" i="48"/>
  <c r="Q226" i="48"/>
  <c r="P226" i="48"/>
  <c r="L226" i="48"/>
  <c r="M226" i="48" s="1"/>
  <c r="N226" i="48" s="1"/>
  <c r="K226" i="48"/>
  <c r="G226" i="48"/>
  <c r="E226" i="48"/>
  <c r="Q225" i="48"/>
  <c r="P225" i="48"/>
  <c r="L225" i="48"/>
  <c r="M225" i="48" s="1"/>
  <c r="N225" i="48" s="1"/>
  <c r="K225" i="48"/>
  <c r="G225" i="48"/>
  <c r="E225" i="48"/>
  <c r="Q224" i="48"/>
  <c r="P224" i="48"/>
  <c r="L224" i="48"/>
  <c r="M224" i="48"/>
  <c r="N224" i="48" s="1"/>
  <c r="K224" i="48"/>
  <c r="G224" i="48"/>
  <c r="E224" i="48"/>
  <c r="Q223" i="48"/>
  <c r="P223" i="48"/>
  <c r="L223" i="48"/>
  <c r="M223" i="48"/>
  <c r="N223" i="48"/>
  <c r="K223" i="48"/>
  <c r="G223" i="48"/>
  <c r="E223" i="48"/>
  <c r="Q222" i="48"/>
  <c r="P222" i="48"/>
  <c r="L222" i="48"/>
  <c r="M222" i="48" s="1"/>
  <c r="N222" i="48" s="1"/>
  <c r="K222" i="48"/>
  <c r="G222" i="48"/>
  <c r="E222" i="48"/>
  <c r="Q221" i="48"/>
  <c r="P221" i="48"/>
  <c r="L221" i="48"/>
  <c r="M221" i="48" s="1"/>
  <c r="N221" i="48" s="1"/>
  <c r="K221" i="48"/>
  <c r="G221" i="48"/>
  <c r="E221" i="48"/>
  <c r="Q220" i="48"/>
  <c r="P220" i="48"/>
  <c r="L220" i="48"/>
  <c r="M220" i="48"/>
  <c r="N220" i="48"/>
  <c r="K220" i="48"/>
  <c r="G220" i="48"/>
  <c r="E220" i="48"/>
  <c r="Q219" i="48"/>
  <c r="P219" i="48"/>
  <c r="L219" i="48"/>
  <c r="M219" i="48"/>
  <c r="N219" i="48" s="1"/>
  <c r="K219" i="48"/>
  <c r="G219" i="48"/>
  <c r="E219" i="48"/>
  <c r="Q218" i="48"/>
  <c r="P218" i="48"/>
  <c r="L218" i="48"/>
  <c r="M218" i="48"/>
  <c r="N218" i="48" s="1"/>
  <c r="K218" i="48"/>
  <c r="G218" i="48"/>
  <c r="E218" i="48"/>
  <c r="Q217" i="48"/>
  <c r="P217" i="48"/>
  <c r="L217" i="48"/>
  <c r="M217" i="48"/>
  <c r="N217" i="48" s="1"/>
  <c r="K217" i="48"/>
  <c r="G217" i="48"/>
  <c r="E217" i="48"/>
  <c r="Q216" i="48"/>
  <c r="P216" i="48"/>
  <c r="L216" i="48"/>
  <c r="M216" i="48"/>
  <c r="N216" i="48" s="1"/>
  <c r="K216" i="48"/>
  <c r="G216" i="48"/>
  <c r="E216" i="48"/>
  <c r="Q215" i="48"/>
  <c r="P215" i="48"/>
  <c r="L215" i="48"/>
  <c r="M215" i="48"/>
  <c r="N215" i="48" s="1"/>
  <c r="K215" i="48"/>
  <c r="G215" i="48"/>
  <c r="E215" i="48"/>
  <c r="Q214" i="48"/>
  <c r="P214" i="48"/>
  <c r="L214" i="48"/>
  <c r="M214" i="48" s="1"/>
  <c r="N214" i="48" s="1"/>
  <c r="K214" i="48"/>
  <c r="G214" i="48"/>
  <c r="E214" i="48"/>
  <c r="Q213" i="48"/>
  <c r="P213" i="48"/>
  <c r="L213" i="48"/>
  <c r="M213" i="48"/>
  <c r="N213" i="48" s="1"/>
  <c r="K213" i="48"/>
  <c r="G213" i="48"/>
  <c r="E213" i="48"/>
  <c r="Q212" i="48"/>
  <c r="P212" i="48"/>
  <c r="L212" i="48"/>
  <c r="M212" i="48"/>
  <c r="N212" i="48" s="1"/>
  <c r="K212" i="48"/>
  <c r="G212" i="48"/>
  <c r="E212" i="48"/>
  <c r="Q211" i="48"/>
  <c r="P211" i="48"/>
  <c r="L211" i="48"/>
  <c r="M211" i="48" s="1"/>
  <c r="N211" i="48"/>
  <c r="K211" i="48"/>
  <c r="G211" i="48"/>
  <c r="E211" i="48"/>
  <c r="Q210" i="48"/>
  <c r="P210" i="48"/>
  <c r="L210" i="48"/>
  <c r="M210" i="48"/>
  <c r="N210" i="48" s="1"/>
  <c r="K210" i="48"/>
  <c r="G210" i="48"/>
  <c r="E210" i="48"/>
  <c r="Q209" i="48"/>
  <c r="P209" i="48"/>
  <c r="L209" i="48"/>
  <c r="M209" i="48" s="1"/>
  <c r="N209" i="48" s="1"/>
  <c r="K209" i="48"/>
  <c r="G209" i="48"/>
  <c r="E209" i="48"/>
  <c r="Q208" i="48"/>
  <c r="P208" i="48"/>
  <c r="L208" i="48"/>
  <c r="M208" i="48"/>
  <c r="N208" i="48" s="1"/>
  <c r="K208" i="48"/>
  <c r="G208" i="48"/>
  <c r="E208" i="48"/>
  <c r="Q207" i="48"/>
  <c r="P207" i="48"/>
  <c r="L207" i="48"/>
  <c r="M207" i="48"/>
  <c r="N207" i="48" s="1"/>
  <c r="K207" i="48"/>
  <c r="G207" i="48"/>
  <c r="E207" i="48"/>
  <c r="Q206" i="48"/>
  <c r="P206" i="48"/>
  <c r="L206" i="48"/>
  <c r="M206" i="48"/>
  <c r="N206" i="48" s="1"/>
  <c r="K206" i="48"/>
  <c r="G206" i="48"/>
  <c r="E206" i="48"/>
  <c r="Q205" i="48"/>
  <c r="P205" i="48"/>
  <c r="L205" i="48"/>
  <c r="M205" i="48"/>
  <c r="N205" i="48"/>
  <c r="K205" i="48"/>
  <c r="G205" i="48"/>
  <c r="E205" i="48"/>
  <c r="U204" i="48"/>
  <c r="T204" i="48"/>
  <c r="S204" i="48"/>
  <c r="Q204" i="48"/>
  <c r="P204" i="48"/>
  <c r="L204" i="48"/>
  <c r="M204" i="48" s="1"/>
  <c r="N204" i="48" s="1"/>
  <c r="K204" i="48"/>
  <c r="G204" i="48"/>
  <c r="E204" i="48"/>
  <c r="Q203" i="48"/>
  <c r="P203" i="48"/>
  <c r="L203" i="48"/>
  <c r="M203" i="48" s="1"/>
  <c r="N203" i="48" s="1"/>
  <c r="K203" i="48"/>
  <c r="G203" i="48"/>
  <c r="E203" i="48"/>
  <c r="Q202" i="48"/>
  <c r="P202" i="48"/>
  <c r="L202" i="48"/>
  <c r="M202" i="48" s="1"/>
  <c r="N202" i="48"/>
  <c r="K202" i="48"/>
  <c r="G202" i="48"/>
  <c r="E202" i="48"/>
  <c r="Q201" i="48"/>
  <c r="P201" i="48"/>
  <c r="L201" i="48"/>
  <c r="M201" i="48" s="1"/>
  <c r="N201" i="48" s="1"/>
  <c r="K201" i="48"/>
  <c r="G201" i="48"/>
  <c r="E201" i="48"/>
  <c r="Q200" i="48"/>
  <c r="P200" i="48"/>
  <c r="L200" i="48"/>
  <c r="M200" i="48" s="1"/>
  <c r="N200" i="48" s="1"/>
  <c r="K200" i="48"/>
  <c r="G200" i="48"/>
  <c r="E200" i="48"/>
  <c r="U199" i="48"/>
  <c r="T199" i="48"/>
  <c r="S199" i="48"/>
  <c r="Q199" i="48"/>
  <c r="P199" i="48"/>
  <c r="L199" i="48"/>
  <c r="M199" i="48" s="1"/>
  <c r="N199" i="48" s="1"/>
  <c r="Q198" i="48"/>
  <c r="P198" i="48"/>
  <c r="L198" i="48"/>
  <c r="M198" i="48" s="1"/>
  <c r="N198" i="48" s="1"/>
  <c r="K198" i="48"/>
  <c r="G198" i="48"/>
  <c r="E198" i="48"/>
  <c r="Q197" i="48"/>
  <c r="P197" i="48"/>
  <c r="L197" i="48"/>
  <c r="M197" i="48" s="1"/>
  <c r="N197" i="48" s="1"/>
  <c r="K197" i="48"/>
  <c r="G197" i="48"/>
  <c r="E197" i="48"/>
  <c r="Q196" i="48"/>
  <c r="P196" i="48"/>
  <c r="L196" i="48"/>
  <c r="M196" i="48"/>
  <c r="N196" i="48" s="1"/>
  <c r="K196" i="48"/>
  <c r="G196" i="48"/>
  <c r="E196" i="48"/>
  <c r="Q195" i="48"/>
  <c r="P195" i="48"/>
  <c r="L195" i="48"/>
  <c r="M195" i="48" s="1"/>
  <c r="N195" i="48" s="1"/>
  <c r="G195" i="48"/>
  <c r="E195" i="48"/>
  <c r="Q194" i="48"/>
  <c r="P194" i="48"/>
  <c r="Q193" i="48"/>
  <c r="P193" i="48"/>
  <c r="L193" i="48"/>
  <c r="M193" i="48" s="1"/>
  <c r="N193" i="48" s="1"/>
  <c r="K193" i="48"/>
  <c r="G193" i="48"/>
  <c r="E193" i="48"/>
  <c r="Q192" i="48"/>
  <c r="P192" i="48"/>
  <c r="L192" i="48"/>
  <c r="M192" i="48"/>
  <c r="N192" i="48" s="1"/>
  <c r="K192" i="48"/>
  <c r="G192" i="48"/>
  <c r="E192" i="48"/>
  <c r="Q191" i="48"/>
  <c r="P191" i="48"/>
  <c r="L191" i="48"/>
  <c r="M191" i="48" s="1"/>
  <c r="N191" i="48" s="1"/>
  <c r="K191" i="48"/>
  <c r="G191" i="48"/>
  <c r="E191" i="48"/>
  <c r="Q190" i="48"/>
  <c r="P190" i="48"/>
  <c r="L190" i="48"/>
  <c r="M190" i="48" s="1"/>
  <c r="N190" i="48" s="1"/>
  <c r="K190" i="48"/>
  <c r="G190" i="48"/>
  <c r="E190" i="48"/>
  <c r="Q189" i="48"/>
  <c r="P189" i="48"/>
  <c r="L189" i="48"/>
  <c r="M189" i="48"/>
  <c r="N189" i="48" s="1"/>
  <c r="K189" i="48"/>
  <c r="G189" i="48"/>
  <c r="E189" i="48"/>
  <c r="U188" i="48"/>
  <c r="T188" i="48"/>
  <c r="S188" i="48"/>
  <c r="Q188" i="48"/>
  <c r="P188" i="48"/>
  <c r="L188" i="48"/>
  <c r="M188" i="48" s="1"/>
  <c r="N188" i="48" s="1"/>
  <c r="K188" i="48"/>
  <c r="G188" i="48"/>
  <c r="E188" i="48"/>
  <c r="Q187" i="48"/>
  <c r="P187" i="48"/>
  <c r="L187" i="48"/>
  <c r="M187" i="48" s="1"/>
  <c r="N187" i="48" s="1"/>
  <c r="K187" i="48"/>
  <c r="G187" i="48"/>
  <c r="E187" i="48"/>
  <c r="Q186" i="48"/>
  <c r="P186" i="48"/>
  <c r="L186" i="48"/>
  <c r="M186" i="48" s="1"/>
  <c r="N186" i="48" s="1"/>
  <c r="K186" i="48"/>
  <c r="G186" i="48"/>
  <c r="E186" i="48"/>
  <c r="U185" i="48"/>
  <c r="T185" i="48"/>
  <c r="S185" i="48"/>
  <c r="Q185" i="48"/>
  <c r="P185" i="48"/>
  <c r="L185" i="48"/>
  <c r="M185" i="48"/>
  <c r="N185" i="48"/>
  <c r="K185" i="48"/>
  <c r="G185" i="48"/>
  <c r="E185" i="48"/>
  <c r="U184" i="48"/>
  <c r="T184" i="48"/>
  <c r="S184" i="48"/>
  <c r="Q184" i="48"/>
  <c r="P184" i="48"/>
  <c r="L184" i="48"/>
  <c r="M184" i="48" s="1"/>
  <c r="N184" i="48" s="1"/>
  <c r="K184" i="48"/>
  <c r="G184" i="48"/>
  <c r="E184" i="48"/>
  <c r="Q183" i="48"/>
  <c r="P183" i="48"/>
  <c r="L183" i="48"/>
  <c r="M183" i="48" s="1"/>
  <c r="N183" i="48" s="1"/>
  <c r="K183" i="48"/>
  <c r="G183" i="48"/>
  <c r="E183" i="48"/>
  <c r="Q182" i="48"/>
  <c r="P182" i="48"/>
  <c r="L182" i="48"/>
  <c r="M182" i="48" s="1"/>
  <c r="N182" i="48" s="1"/>
  <c r="K182" i="48"/>
  <c r="G182" i="48"/>
  <c r="E182" i="48"/>
  <c r="Q181" i="48"/>
  <c r="P181" i="48"/>
  <c r="L181" i="48"/>
  <c r="M181" i="48" s="1"/>
  <c r="N181" i="48" s="1"/>
  <c r="K181" i="48"/>
  <c r="G181" i="48"/>
  <c r="E181" i="48"/>
  <c r="Q180" i="48"/>
  <c r="P180" i="48"/>
  <c r="L180" i="48"/>
  <c r="M180" i="48" s="1"/>
  <c r="N180" i="48" s="1"/>
  <c r="K180" i="48"/>
  <c r="G180" i="48"/>
  <c r="E180" i="48"/>
  <c r="Q179" i="48"/>
  <c r="P179" i="48"/>
  <c r="L179" i="48"/>
  <c r="M179" i="48" s="1"/>
  <c r="N179" i="48" s="1"/>
  <c r="K179" i="48"/>
  <c r="G179" i="48"/>
  <c r="E179" i="48"/>
  <c r="Q178" i="48"/>
  <c r="P178" i="48"/>
  <c r="L178" i="48"/>
  <c r="M178" i="48" s="1"/>
  <c r="N178" i="48" s="1"/>
  <c r="K178" i="48"/>
  <c r="G178" i="48"/>
  <c r="E178" i="48"/>
  <c r="U177" i="48"/>
  <c r="T177" i="48"/>
  <c r="S177" i="48"/>
  <c r="Q177" i="48"/>
  <c r="P177" i="48"/>
  <c r="L177" i="48"/>
  <c r="M177" i="48" s="1"/>
  <c r="N177" i="48" s="1"/>
  <c r="K177" i="48"/>
  <c r="G177" i="48"/>
  <c r="E177" i="48"/>
  <c r="U176" i="48"/>
  <c r="T176" i="48"/>
  <c r="S176" i="48"/>
  <c r="Q176" i="48"/>
  <c r="P176" i="48"/>
  <c r="L176" i="48"/>
  <c r="M176" i="48" s="1"/>
  <c r="N176" i="48" s="1"/>
  <c r="K176" i="48"/>
  <c r="G176" i="48"/>
  <c r="E176" i="48"/>
  <c r="Q175" i="48"/>
  <c r="P175" i="48"/>
  <c r="L175" i="48"/>
  <c r="M175" i="48"/>
  <c r="N175" i="48" s="1"/>
  <c r="K175" i="48"/>
  <c r="G175" i="48"/>
  <c r="E175" i="48"/>
  <c r="Q174" i="48"/>
  <c r="P174" i="48"/>
  <c r="L174" i="48"/>
  <c r="M174" i="48"/>
  <c r="N174" i="48" s="1"/>
  <c r="K174" i="48"/>
  <c r="G174" i="48"/>
  <c r="E174" i="48"/>
  <c r="Q173" i="48"/>
  <c r="P173" i="48"/>
  <c r="L173" i="48"/>
  <c r="M173" i="48" s="1"/>
  <c r="N173" i="48"/>
  <c r="K173" i="48"/>
  <c r="G173" i="48"/>
  <c r="E173" i="48"/>
  <c r="Q172" i="48"/>
  <c r="P172" i="48"/>
  <c r="L172" i="48"/>
  <c r="M172" i="48" s="1"/>
  <c r="N172" i="48" s="1"/>
  <c r="K172" i="48"/>
  <c r="G172" i="48"/>
  <c r="E172" i="48"/>
  <c r="Q171" i="48"/>
  <c r="P171" i="48"/>
  <c r="L171" i="48"/>
  <c r="M171" i="48"/>
  <c r="K171" i="48"/>
  <c r="G171" i="48"/>
  <c r="E171" i="48"/>
  <c r="U170" i="48"/>
  <c r="T170" i="48"/>
  <c r="S170" i="48"/>
  <c r="Q170" i="48"/>
  <c r="P170" i="48"/>
  <c r="L170" i="48"/>
  <c r="M170" i="48" s="1"/>
  <c r="N170" i="48" s="1"/>
  <c r="K170" i="48"/>
  <c r="G170" i="48"/>
  <c r="E170" i="48"/>
  <c r="Q169" i="48"/>
  <c r="P169" i="48"/>
  <c r="L169" i="48"/>
  <c r="M169" i="48" s="1"/>
  <c r="N169" i="48" s="1"/>
  <c r="K169" i="48"/>
  <c r="G169" i="48"/>
  <c r="E169" i="48"/>
  <c r="Q168" i="48"/>
  <c r="P168" i="48"/>
  <c r="L168" i="48"/>
  <c r="M168" i="48" s="1"/>
  <c r="N168" i="48" s="1"/>
  <c r="K168" i="48"/>
  <c r="G168" i="48"/>
  <c r="E168" i="48"/>
  <c r="Q167" i="48"/>
  <c r="P167" i="48"/>
  <c r="L167" i="48"/>
  <c r="M167" i="48" s="1"/>
  <c r="N167" i="48" s="1"/>
  <c r="K167" i="48"/>
  <c r="G167" i="48"/>
  <c r="E167" i="48"/>
  <c r="Q166" i="48"/>
  <c r="P166" i="48"/>
  <c r="L166" i="48"/>
  <c r="M166" i="48" s="1"/>
  <c r="N166" i="48" s="1"/>
  <c r="K166" i="48"/>
  <c r="G166" i="48"/>
  <c r="E166" i="48"/>
  <c r="Q165" i="48"/>
  <c r="P165" i="48"/>
  <c r="L165" i="48"/>
  <c r="M165" i="48" s="1"/>
  <c r="N165" i="48" s="1"/>
  <c r="K165" i="48"/>
  <c r="G165" i="48"/>
  <c r="E165" i="48"/>
  <c r="Q164" i="48"/>
  <c r="P164" i="48"/>
  <c r="L164" i="48"/>
  <c r="M164" i="48" s="1"/>
  <c r="N164" i="48" s="1"/>
  <c r="K164" i="48"/>
  <c r="G164" i="48"/>
  <c r="E164" i="48"/>
  <c r="Q163" i="48"/>
  <c r="P163" i="48"/>
  <c r="L163" i="48"/>
  <c r="M163" i="48" s="1"/>
  <c r="N163" i="48" s="1"/>
  <c r="K163" i="48"/>
  <c r="G163" i="48"/>
  <c r="E163" i="48"/>
  <c r="Q162" i="48"/>
  <c r="P162" i="48"/>
  <c r="L162" i="48"/>
  <c r="M162" i="48" s="1"/>
  <c r="N162" i="48" s="1"/>
  <c r="K162" i="48"/>
  <c r="G162" i="48"/>
  <c r="E162" i="48"/>
  <c r="Q161" i="48"/>
  <c r="P161" i="48"/>
  <c r="L161" i="48"/>
  <c r="M161" i="48" s="1"/>
  <c r="N161" i="48" s="1"/>
  <c r="K161" i="48"/>
  <c r="G161" i="48"/>
  <c r="E161" i="48"/>
  <c r="Q160" i="48"/>
  <c r="P160" i="48"/>
  <c r="L160" i="48"/>
  <c r="M160" i="48" s="1"/>
  <c r="N160" i="48" s="1"/>
  <c r="K160" i="48"/>
  <c r="G160" i="48"/>
  <c r="E160" i="48"/>
  <c r="Q159" i="48"/>
  <c r="P159" i="48"/>
  <c r="L159" i="48"/>
  <c r="M159" i="48" s="1"/>
  <c r="N159" i="48" s="1"/>
  <c r="K159" i="48"/>
  <c r="G159" i="48"/>
  <c r="E159" i="48"/>
  <c r="Q158" i="48"/>
  <c r="P158" i="48"/>
  <c r="L158" i="48"/>
  <c r="M158" i="48" s="1"/>
  <c r="N158" i="48" s="1"/>
  <c r="K158" i="48"/>
  <c r="G158" i="48"/>
  <c r="E158" i="48"/>
  <c r="Q157" i="48"/>
  <c r="P157" i="48"/>
  <c r="L157" i="48"/>
  <c r="M157" i="48" s="1"/>
  <c r="N157" i="48" s="1"/>
  <c r="K157" i="48"/>
  <c r="G157" i="48"/>
  <c r="E157" i="48"/>
  <c r="U156" i="48"/>
  <c r="T156" i="48"/>
  <c r="S156" i="48"/>
  <c r="Q156" i="48"/>
  <c r="P156" i="48"/>
  <c r="L156" i="48"/>
  <c r="M156" i="48" s="1"/>
  <c r="N156" i="48" s="1"/>
  <c r="K156" i="48"/>
  <c r="G156" i="48"/>
  <c r="E156" i="48"/>
  <c r="U155" i="48"/>
  <c r="T155" i="48"/>
  <c r="S155" i="48"/>
  <c r="Q155" i="48"/>
  <c r="P155" i="48"/>
  <c r="L155" i="48"/>
  <c r="M155" i="48" s="1"/>
  <c r="N155" i="48" s="1"/>
  <c r="K155" i="48"/>
  <c r="G155" i="48"/>
  <c r="E155" i="48"/>
  <c r="U154" i="48"/>
  <c r="T154" i="48"/>
  <c r="S154" i="48"/>
  <c r="Q154" i="48"/>
  <c r="P154" i="48"/>
  <c r="L154" i="48"/>
  <c r="M154" i="48" s="1"/>
  <c r="N154" i="48" s="1"/>
  <c r="K154" i="48"/>
  <c r="G154" i="48"/>
  <c r="E154" i="48"/>
  <c r="Q153" i="48"/>
  <c r="P153" i="48"/>
  <c r="L153" i="48"/>
  <c r="M153" i="48"/>
  <c r="N153" i="48"/>
  <c r="K153" i="48"/>
  <c r="G153" i="48"/>
  <c r="E153" i="48"/>
  <c r="Q152" i="48"/>
  <c r="P152" i="48"/>
  <c r="L152" i="48"/>
  <c r="M152" i="48" s="1"/>
  <c r="N152" i="48" s="1"/>
  <c r="K152" i="48"/>
  <c r="G152" i="48"/>
  <c r="E152" i="48"/>
  <c r="Q151" i="48"/>
  <c r="P151" i="48"/>
  <c r="L151" i="48"/>
  <c r="M151" i="48" s="1"/>
  <c r="N151" i="48" s="1"/>
  <c r="K151" i="48"/>
  <c r="G151" i="48"/>
  <c r="E151" i="48"/>
  <c r="Q150" i="48"/>
  <c r="P150" i="48"/>
  <c r="L150" i="48"/>
  <c r="M150" i="48"/>
  <c r="N150" i="48"/>
  <c r="K150" i="48"/>
  <c r="E150" i="48"/>
  <c r="Q149" i="48"/>
  <c r="P149" i="48"/>
  <c r="L149" i="48"/>
  <c r="M149" i="48" s="1"/>
  <c r="N149" i="48" s="1"/>
  <c r="Q148" i="48"/>
  <c r="P148" i="48"/>
  <c r="L148" i="48"/>
  <c r="M148" i="48" s="1"/>
  <c r="N148" i="48"/>
  <c r="K148" i="48"/>
  <c r="G148" i="48"/>
  <c r="E148" i="48"/>
  <c r="Q147" i="48"/>
  <c r="P147" i="48"/>
  <c r="L147" i="48"/>
  <c r="M147" i="48" s="1"/>
  <c r="N147" i="48" s="1"/>
  <c r="K147" i="48"/>
  <c r="G147" i="48"/>
  <c r="E147" i="48"/>
  <c r="Q146" i="48"/>
  <c r="P146" i="48"/>
  <c r="L146" i="48"/>
  <c r="M146" i="48" s="1"/>
  <c r="N146" i="48" s="1"/>
  <c r="K146" i="48"/>
  <c r="G146" i="48"/>
  <c r="E146" i="48"/>
  <c r="Q145" i="48"/>
  <c r="P145" i="48"/>
  <c r="L145" i="48"/>
  <c r="M145" i="48" s="1"/>
  <c r="N145" i="48" s="1"/>
  <c r="Q144" i="48"/>
  <c r="P144" i="48"/>
  <c r="L144" i="48"/>
  <c r="M144" i="48"/>
  <c r="N144" i="48" s="1"/>
  <c r="K144" i="48"/>
  <c r="G144" i="48"/>
  <c r="E144" i="48"/>
  <c r="U143" i="48"/>
  <c r="T143" i="48"/>
  <c r="S143" i="48"/>
  <c r="Q143" i="48"/>
  <c r="P143" i="48"/>
  <c r="L143" i="48"/>
  <c r="M143" i="48" s="1"/>
  <c r="N143" i="48" s="1"/>
  <c r="K143" i="48"/>
  <c r="G143" i="48"/>
  <c r="E143" i="48"/>
  <c r="Q142" i="48"/>
  <c r="P142" i="48"/>
  <c r="L142" i="48"/>
  <c r="M142" i="48" s="1"/>
  <c r="N142" i="48" s="1"/>
  <c r="K142" i="48"/>
  <c r="G142" i="48"/>
  <c r="E142" i="48"/>
  <c r="Q141" i="48"/>
  <c r="P141" i="48"/>
  <c r="L141" i="48"/>
  <c r="M141" i="48" s="1"/>
  <c r="N141" i="48" s="1"/>
  <c r="K141" i="48"/>
  <c r="G141" i="48"/>
  <c r="E141" i="48"/>
  <c r="Q140" i="48"/>
  <c r="P140" i="48"/>
  <c r="L140" i="48"/>
  <c r="M140" i="48" s="1"/>
  <c r="N140" i="48" s="1"/>
  <c r="K140" i="48"/>
  <c r="G140" i="48"/>
  <c r="E140" i="48"/>
  <c r="Q139" i="48"/>
  <c r="P139" i="48"/>
  <c r="L139" i="48"/>
  <c r="M139" i="48" s="1"/>
  <c r="N139" i="48"/>
  <c r="K139" i="48"/>
  <c r="G139" i="48"/>
  <c r="E139" i="48"/>
  <c r="U138" i="48"/>
  <c r="T138" i="48"/>
  <c r="S138" i="48"/>
  <c r="Q138" i="48"/>
  <c r="P138" i="48"/>
  <c r="L138" i="48"/>
  <c r="M138" i="48" s="1"/>
  <c r="N138" i="48" s="1"/>
  <c r="Q137" i="48"/>
  <c r="P137" i="48"/>
  <c r="L137" i="48"/>
  <c r="M137" i="48" s="1"/>
  <c r="N137" i="48" s="1"/>
  <c r="Q136" i="48"/>
  <c r="P136" i="48"/>
  <c r="L136" i="48"/>
  <c r="M136" i="48" s="1"/>
  <c r="N136" i="48" s="1"/>
  <c r="K136" i="48"/>
  <c r="G136" i="48"/>
  <c r="E136" i="48"/>
  <c r="Q135" i="48"/>
  <c r="P135" i="48"/>
  <c r="L135" i="48"/>
  <c r="M135" i="48" s="1"/>
  <c r="N135" i="48" s="1"/>
  <c r="K135" i="48"/>
  <c r="G135" i="48"/>
  <c r="E135" i="48"/>
  <c r="Q134" i="48"/>
  <c r="P134" i="48"/>
  <c r="L134" i="48"/>
  <c r="M134" i="48" s="1"/>
  <c r="N134" i="48" s="1"/>
  <c r="U133" i="48"/>
  <c r="T133" i="48"/>
  <c r="S133" i="48"/>
  <c r="Q133" i="48"/>
  <c r="P133" i="48"/>
  <c r="L133" i="48"/>
  <c r="M133" i="48"/>
  <c r="N133" i="48" s="1"/>
  <c r="K133" i="48"/>
  <c r="G133" i="48"/>
  <c r="E133" i="48"/>
  <c r="Q132" i="48"/>
  <c r="P132" i="48"/>
  <c r="L132" i="48"/>
  <c r="M132" i="48"/>
  <c r="N132" i="48" s="1"/>
  <c r="K132" i="48"/>
  <c r="G132" i="48"/>
  <c r="E132" i="48"/>
  <c r="Q131" i="48"/>
  <c r="P131" i="48"/>
  <c r="L131" i="48"/>
  <c r="M131" i="48" s="1"/>
  <c r="N131" i="48" s="1"/>
  <c r="K131" i="48"/>
  <c r="G131" i="48"/>
  <c r="E131" i="48"/>
  <c r="U130" i="48"/>
  <c r="T130" i="48"/>
  <c r="S130" i="48"/>
  <c r="Q130" i="48"/>
  <c r="P130" i="48"/>
  <c r="L130" i="48"/>
  <c r="M130" i="48"/>
  <c r="N130" i="48"/>
  <c r="K130" i="48"/>
  <c r="G130" i="48"/>
  <c r="E130" i="48"/>
  <c r="Q129" i="48"/>
  <c r="P129" i="48"/>
  <c r="L129" i="48"/>
  <c r="M129" i="48" s="1"/>
  <c r="N129" i="48" s="1"/>
  <c r="K129" i="48"/>
  <c r="G129" i="48"/>
  <c r="E129" i="48"/>
  <c r="Q128" i="48"/>
  <c r="P128" i="48"/>
  <c r="L128" i="48"/>
  <c r="M128" i="48" s="1"/>
  <c r="N128" i="48" s="1"/>
  <c r="K128" i="48"/>
  <c r="G128" i="48"/>
  <c r="E128" i="48"/>
  <c r="U127" i="48"/>
  <c r="T127" i="48"/>
  <c r="S127" i="48"/>
  <c r="Q127" i="48"/>
  <c r="P127" i="48"/>
  <c r="L127" i="48"/>
  <c r="M127" i="48" s="1"/>
  <c r="N127" i="48" s="1"/>
  <c r="K127" i="48"/>
  <c r="G127" i="48"/>
  <c r="E127" i="48"/>
  <c r="Q126" i="48"/>
  <c r="P126" i="48"/>
  <c r="L126" i="48"/>
  <c r="M126" i="48" s="1"/>
  <c r="N126" i="48" s="1"/>
  <c r="K126" i="48"/>
  <c r="G126" i="48"/>
  <c r="E126" i="48"/>
  <c r="U125" i="48"/>
  <c r="T125" i="48"/>
  <c r="S125" i="48"/>
  <c r="Q125" i="48"/>
  <c r="P125" i="48"/>
  <c r="L125" i="48"/>
  <c r="M125" i="48" s="1"/>
  <c r="N125" i="48" s="1"/>
  <c r="K125" i="48"/>
  <c r="G125" i="48"/>
  <c r="E125" i="48"/>
  <c r="Q124" i="48"/>
  <c r="P124" i="48"/>
  <c r="L124" i="48"/>
  <c r="M124" i="48" s="1"/>
  <c r="N124" i="48" s="1"/>
  <c r="K124" i="48"/>
  <c r="G124" i="48"/>
  <c r="E124" i="48"/>
  <c r="U123" i="48"/>
  <c r="T123" i="48"/>
  <c r="S123" i="48"/>
  <c r="Q123" i="48"/>
  <c r="P123" i="48"/>
  <c r="L123" i="48"/>
  <c r="M123" i="48" s="1"/>
  <c r="N123" i="48" s="1"/>
  <c r="K123" i="48"/>
  <c r="G123" i="48"/>
  <c r="E123" i="48"/>
  <c r="Q122" i="48"/>
  <c r="P122" i="48"/>
  <c r="L122" i="48"/>
  <c r="M122" i="48" s="1"/>
  <c r="N122" i="48" s="1"/>
  <c r="K122" i="48"/>
  <c r="G122" i="48"/>
  <c r="E122" i="48"/>
  <c r="Q121" i="48"/>
  <c r="P121" i="48"/>
  <c r="L121" i="48"/>
  <c r="M121" i="48" s="1"/>
  <c r="N121" i="48" s="1"/>
  <c r="K121" i="48"/>
  <c r="G121" i="48"/>
  <c r="E121" i="48"/>
  <c r="U120" i="48"/>
  <c r="T120" i="48"/>
  <c r="S120" i="48"/>
  <c r="Q120" i="48"/>
  <c r="P120" i="48"/>
  <c r="L120" i="48"/>
  <c r="M120" i="48" s="1"/>
  <c r="N120" i="48" s="1"/>
  <c r="K120" i="48"/>
  <c r="G120" i="48"/>
  <c r="E120" i="48"/>
  <c r="Q119" i="48"/>
  <c r="P119" i="48"/>
  <c r="L119" i="48"/>
  <c r="M119" i="48" s="1"/>
  <c r="N119" i="48" s="1"/>
  <c r="K119" i="48"/>
  <c r="G119" i="48"/>
  <c r="E119" i="48"/>
  <c r="Q118" i="48"/>
  <c r="P118" i="48"/>
  <c r="L118" i="48"/>
  <c r="M118" i="48" s="1"/>
  <c r="N118" i="48" s="1"/>
  <c r="K118" i="48"/>
  <c r="G118" i="48"/>
  <c r="E118" i="48"/>
  <c r="U117" i="48"/>
  <c r="T117" i="48"/>
  <c r="S117" i="48"/>
  <c r="Q117" i="48"/>
  <c r="P117" i="48"/>
  <c r="L117" i="48"/>
  <c r="M117" i="48" s="1"/>
  <c r="N117" i="48" s="1"/>
  <c r="K117" i="48"/>
  <c r="G117" i="48"/>
  <c r="E117" i="48"/>
  <c r="Q116" i="48"/>
  <c r="P116" i="48"/>
  <c r="L116" i="48"/>
  <c r="M116" i="48" s="1"/>
  <c r="N116" i="48" s="1"/>
  <c r="K116" i="48"/>
  <c r="G116" i="48"/>
  <c r="E116" i="48"/>
  <c r="U115" i="48"/>
  <c r="T115" i="48"/>
  <c r="S115" i="48"/>
  <c r="Q115" i="48"/>
  <c r="P115" i="48"/>
  <c r="L115" i="48"/>
  <c r="M115" i="48" s="1"/>
  <c r="N115" i="48" s="1"/>
  <c r="K115" i="48"/>
  <c r="G115" i="48"/>
  <c r="E115" i="48"/>
  <c r="U114" i="48"/>
  <c r="T114" i="48"/>
  <c r="S114" i="48"/>
  <c r="Q114" i="48"/>
  <c r="P114" i="48"/>
  <c r="L114" i="48"/>
  <c r="M114" i="48"/>
  <c r="N114" i="48" s="1"/>
  <c r="K114" i="48"/>
  <c r="G114" i="48"/>
  <c r="E114" i="48"/>
  <c r="Q113" i="48"/>
  <c r="P113" i="48"/>
  <c r="L113" i="48"/>
  <c r="M113" i="48"/>
  <c r="N113" i="48" s="1"/>
  <c r="K113" i="48"/>
  <c r="G113" i="48"/>
  <c r="E113" i="48"/>
  <c r="Q112" i="48"/>
  <c r="P112" i="48"/>
  <c r="L112" i="48"/>
  <c r="M112" i="48"/>
  <c r="N112" i="48"/>
  <c r="K112" i="48"/>
  <c r="G112" i="48"/>
  <c r="E112" i="48"/>
  <c r="U111" i="48"/>
  <c r="T111" i="48"/>
  <c r="S111" i="48"/>
  <c r="Q111" i="48"/>
  <c r="P111" i="48"/>
  <c r="L111" i="48"/>
  <c r="M111" i="48" s="1"/>
  <c r="N111" i="48" s="1"/>
  <c r="K111" i="48"/>
  <c r="G111" i="48"/>
  <c r="E111" i="48"/>
  <c r="Q110" i="48"/>
  <c r="P110" i="48"/>
  <c r="L110" i="48"/>
  <c r="M110" i="48" s="1"/>
  <c r="N110" i="48" s="1"/>
  <c r="K110" i="48"/>
  <c r="G110" i="48"/>
  <c r="E110" i="48"/>
  <c r="Q109" i="48"/>
  <c r="P109" i="48"/>
  <c r="L109" i="48"/>
  <c r="M109" i="48" s="1"/>
  <c r="N109" i="48" s="1"/>
  <c r="K109" i="48"/>
  <c r="G109" i="48"/>
  <c r="E109" i="48"/>
  <c r="Q108" i="48"/>
  <c r="P108" i="48"/>
  <c r="L108" i="48"/>
  <c r="M108" i="48" s="1"/>
  <c r="N108" i="48" s="1"/>
  <c r="K108" i="48"/>
  <c r="G108" i="48"/>
  <c r="E108" i="48"/>
  <c r="Q107" i="48"/>
  <c r="P107" i="48"/>
  <c r="L107" i="48"/>
  <c r="M107" i="48" s="1"/>
  <c r="N107" i="48" s="1"/>
  <c r="K107" i="48"/>
  <c r="G107" i="48"/>
  <c r="E107" i="48"/>
  <c r="Q106" i="48"/>
  <c r="P106" i="48"/>
  <c r="L106" i="48"/>
  <c r="M106" i="48" s="1"/>
  <c r="N106" i="48" s="1"/>
  <c r="K106" i="48"/>
  <c r="G106" i="48"/>
  <c r="E106" i="48"/>
  <c r="U105" i="48"/>
  <c r="T105" i="48"/>
  <c r="S105" i="48"/>
  <c r="Q105" i="48"/>
  <c r="P105" i="48"/>
  <c r="L105" i="48"/>
  <c r="M105" i="48" s="1"/>
  <c r="N105" i="48" s="1"/>
  <c r="K105" i="48"/>
  <c r="G105" i="48"/>
  <c r="E105" i="48"/>
  <c r="Q104" i="48"/>
  <c r="P104" i="48"/>
  <c r="L104" i="48"/>
  <c r="M104" i="48" s="1"/>
  <c r="N104" i="48" s="1"/>
  <c r="K104" i="48"/>
  <c r="G104" i="48"/>
  <c r="E104" i="48"/>
  <c r="U103" i="48"/>
  <c r="Q103" i="48"/>
  <c r="P103" i="48"/>
  <c r="K103" i="48"/>
  <c r="G103" i="48"/>
  <c r="E103" i="48"/>
  <c r="Q102" i="48"/>
  <c r="P102" i="48"/>
  <c r="L102" i="48"/>
  <c r="M102" i="48" s="1"/>
  <c r="N102" i="48" s="1"/>
  <c r="K102" i="48"/>
  <c r="G102" i="48"/>
  <c r="E102" i="48"/>
  <c r="Q101" i="48"/>
  <c r="P101" i="48"/>
  <c r="L101" i="48"/>
  <c r="M101" i="48"/>
  <c r="N101" i="48" s="1"/>
  <c r="K101" i="48"/>
  <c r="G101" i="48"/>
  <c r="E101" i="48"/>
  <c r="Q100" i="48"/>
  <c r="P100" i="48"/>
  <c r="L100" i="48"/>
  <c r="M100" i="48" s="1"/>
  <c r="N100" i="48" s="1"/>
  <c r="K100" i="48"/>
  <c r="G100" i="48"/>
  <c r="E100" i="48"/>
  <c r="Q99" i="48"/>
  <c r="P99" i="48"/>
  <c r="L99" i="48"/>
  <c r="M99" i="48" s="1"/>
  <c r="N99" i="48" s="1"/>
  <c r="K99" i="48"/>
  <c r="G99" i="48"/>
  <c r="E99" i="48"/>
  <c r="U98" i="48"/>
  <c r="T98" i="48"/>
  <c r="S98" i="48"/>
  <c r="Q98" i="48"/>
  <c r="P98" i="48"/>
  <c r="L98" i="48"/>
  <c r="M98" i="48" s="1"/>
  <c r="N98" i="48" s="1"/>
  <c r="K98" i="48"/>
  <c r="G98" i="48"/>
  <c r="E98" i="48"/>
  <c r="Q97" i="48"/>
  <c r="P97" i="48"/>
  <c r="L97" i="48"/>
  <c r="M97" i="48" s="1"/>
  <c r="N97" i="48" s="1"/>
  <c r="K97" i="48"/>
  <c r="G97" i="48"/>
  <c r="E97" i="48"/>
  <c r="U96" i="48"/>
  <c r="T96" i="48"/>
  <c r="S96" i="48"/>
  <c r="Q96" i="48"/>
  <c r="P96" i="48"/>
  <c r="L96" i="48"/>
  <c r="M96" i="48" s="1"/>
  <c r="N96" i="48" s="1"/>
  <c r="K96" i="48"/>
  <c r="G96" i="48"/>
  <c r="E96" i="48"/>
  <c r="Q95" i="48"/>
  <c r="P95" i="48"/>
  <c r="L95" i="48"/>
  <c r="K95" i="48"/>
  <c r="G95" i="48"/>
  <c r="E95" i="48"/>
  <c r="Q94" i="48"/>
  <c r="P94" i="48"/>
  <c r="L94" i="48"/>
  <c r="M94" i="48" s="1"/>
  <c r="N94" i="48" s="1"/>
  <c r="Q93" i="48"/>
  <c r="P93" i="48"/>
  <c r="L93" i="48"/>
  <c r="M93" i="48" s="1"/>
  <c r="N93" i="48" s="1"/>
  <c r="K93" i="48"/>
  <c r="G93" i="48"/>
  <c r="E93" i="48"/>
  <c r="Q92" i="48"/>
  <c r="P92" i="48"/>
  <c r="L92" i="48"/>
  <c r="M92" i="48" s="1"/>
  <c r="N92" i="48" s="1"/>
  <c r="K92" i="48"/>
  <c r="G92" i="48"/>
  <c r="E92" i="48"/>
  <c r="U91" i="48"/>
  <c r="T91" i="48"/>
  <c r="S91" i="48"/>
  <c r="Q91" i="48"/>
  <c r="P91" i="48"/>
  <c r="L91" i="48"/>
  <c r="M91" i="48" s="1"/>
  <c r="N91" i="48" s="1"/>
  <c r="K91" i="48"/>
  <c r="G91" i="48"/>
  <c r="E91" i="48"/>
  <c r="Q90" i="48"/>
  <c r="P90" i="48"/>
  <c r="L90" i="48"/>
  <c r="M90" i="48" s="1"/>
  <c r="N90" i="48" s="1"/>
  <c r="K90" i="48"/>
  <c r="G90" i="48"/>
  <c r="E90" i="48"/>
  <c r="U89" i="48"/>
  <c r="T89" i="48"/>
  <c r="S89" i="48"/>
  <c r="Q89" i="48"/>
  <c r="P89" i="48"/>
  <c r="L89" i="48"/>
  <c r="M89" i="48" s="1"/>
  <c r="N89" i="48" s="1"/>
  <c r="K89" i="48"/>
  <c r="G89" i="48"/>
  <c r="E89" i="48"/>
  <c r="U88" i="48"/>
  <c r="T88" i="48"/>
  <c r="S88" i="48"/>
  <c r="Q88" i="48"/>
  <c r="P88" i="48"/>
  <c r="L88" i="48"/>
  <c r="M88" i="48" s="1"/>
  <c r="N88" i="48" s="1"/>
  <c r="K88" i="48"/>
  <c r="G88" i="48"/>
  <c r="E88" i="48"/>
  <c r="Q87" i="48"/>
  <c r="P87" i="48"/>
  <c r="L87" i="48"/>
  <c r="M87" i="48" s="1"/>
  <c r="N87" i="48" s="1"/>
  <c r="U86" i="48"/>
  <c r="T86" i="48"/>
  <c r="S86" i="48"/>
  <c r="Q86" i="48"/>
  <c r="P86" i="48"/>
  <c r="L86" i="48"/>
  <c r="M86" i="48" s="1"/>
  <c r="N86" i="48" s="1"/>
  <c r="K86" i="48"/>
  <c r="G86" i="48"/>
  <c r="E86" i="48"/>
  <c r="Q85" i="48"/>
  <c r="P85" i="48"/>
  <c r="L85" i="48"/>
  <c r="M85" i="48" s="1"/>
  <c r="N85" i="48" s="1"/>
  <c r="K85" i="48"/>
  <c r="G85" i="48"/>
  <c r="E85" i="48"/>
  <c r="Q84" i="48"/>
  <c r="P84" i="48"/>
  <c r="L84" i="48"/>
  <c r="M84" i="48"/>
  <c r="N84" i="48"/>
  <c r="K84" i="48"/>
  <c r="G84" i="48"/>
  <c r="E84" i="48"/>
  <c r="U83" i="48"/>
  <c r="T83" i="48"/>
  <c r="S83" i="48"/>
  <c r="Q83" i="48"/>
  <c r="P83" i="48"/>
  <c r="L83" i="48"/>
  <c r="M83" i="48" s="1"/>
  <c r="N83" i="48" s="1"/>
  <c r="Q82" i="48"/>
  <c r="P82" i="48"/>
  <c r="L82" i="48"/>
  <c r="M82" i="48" s="1"/>
  <c r="N82" i="48" s="1"/>
  <c r="K82" i="48"/>
  <c r="G82" i="48"/>
  <c r="E82" i="48"/>
  <c r="Q81" i="48"/>
  <c r="P81" i="48"/>
  <c r="L81" i="48"/>
  <c r="M81" i="48"/>
  <c r="N81" i="48"/>
  <c r="K81" i="48"/>
  <c r="G81" i="48"/>
  <c r="E81" i="48"/>
  <c r="Q80" i="48"/>
  <c r="P80" i="48"/>
  <c r="L80" i="48"/>
  <c r="M80" i="48" s="1"/>
  <c r="N80" i="48" s="1"/>
  <c r="K80" i="48"/>
  <c r="G80" i="48"/>
  <c r="E80" i="48"/>
  <c r="U79" i="48"/>
  <c r="T79" i="48"/>
  <c r="S79" i="48"/>
  <c r="Q79" i="48"/>
  <c r="P79" i="48"/>
  <c r="L79" i="48"/>
  <c r="M79" i="48" s="1"/>
  <c r="N79" i="48" s="1"/>
  <c r="K79" i="48"/>
  <c r="G79" i="48"/>
  <c r="E79" i="48"/>
  <c r="Q78" i="48"/>
  <c r="P78" i="48"/>
  <c r="L78" i="48"/>
  <c r="M78" i="48" s="1"/>
  <c r="N78" i="48" s="1"/>
  <c r="K78" i="48"/>
  <c r="G78" i="48"/>
  <c r="E78" i="48"/>
  <c r="U77" i="48"/>
  <c r="T77" i="48"/>
  <c r="S77" i="48"/>
  <c r="Q77" i="48"/>
  <c r="P77" i="48"/>
  <c r="L77" i="48"/>
  <c r="M77" i="48" s="1"/>
  <c r="N77" i="48" s="1"/>
  <c r="K77" i="48"/>
  <c r="G77" i="48"/>
  <c r="E77" i="48"/>
  <c r="U76" i="48"/>
  <c r="T76" i="48"/>
  <c r="S76" i="48"/>
  <c r="Q76" i="48"/>
  <c r="P76" i="48"/>
  <c r="L76" i="48"/>
  <c r="M76" i="48"/>
  <c r="N76" i="48" s="1"/>
  <c r="K76" i="48"/>
  <c r="G76" i="48"/>
  <c r="E76" i="48"/>
  <c r="Q75" i="48"/>
  <c r="P75" i="48"/>
  <c r="L75" i="48"/>
  <c r="M75" i="48"/>
  <c r="N75" i="48" s="1"/>
  <c r="U74" i="48"/>
  <c r="T74" i="48"/>
  <c r="S74" i="48"/>
  <c r="Q74" i="48"/>
  <c r="P74" i="48"/>
  <c r="L74" i="48"/>
  <c r="M74" i="48"/>
  <c r="N74" i="48" s="1"/>
  <c r="K74" i="48"/>
  <c r="G74" i="48"/>
  <c r="E74" i="48"/>
  <c r="Q73" i="48"/>
  <c r="P73" i="48"/>
  <c r="L73" i="48"/>
  <c r="M73" i="48"/>
  <c r="N73" i="48" s="1"/>
  <c r="K73" i="48"/>
  <c r="G73" i="48"/>
  <c r="E73" i="48"/>
  <c r="Q72" i="48"/>
  <c r="P72" i="48"/>
  <c r="L72" i="48"/>
  <c r="M72" i="48" s="1"/>
  <c r="N72" i="48" s="1"/>
  <c r="K72" i="48"/>
  <c r="G72" i="48"/>
  <c r="E72" i="48"/>
  <c r="Q71" i="48"/>
  <c r="P71" i="48"/>
  <c r="L71" i="48"/>
  <c r="M71" i="48" s="1"/>
  <c r="N71" i="48" s="1"/>
  <c r="K71" i="48"/>
  <c r="G71" i="48"/>
  <c r="E71" i="48"/>
  <c r="Q70" i="48"/>
  <c r="P70" i="48"/>
  <c r="L70" i="48"/>
  <c r="M70" i="48"/>
  <c r="N70" i="48" s="1"/>
  <c r="K70" i="48"/>
  <c r="G70" i="48"/>
  <c r="E70" i="48"/>
  <c r="Q69" i="48"/>
  <c r="P69" i="48"/>
  <c r="L69" i="48"/>
  <c r="M69" i="48" s="1"/>
  <c r="N69" i="48" s="1"/>
  <c r="K69" i="48"/>
  <c r="G69" i="48"/>
  <c r="E69" i="48"/>
  <c r="Q68" i="48"/>
  <c r="P68" i="48"/>
  <c r="L68" i="48"/>
  <c r="M68" i="48" s="1"/>
  <c r="N68" i="48" s="1"/>
  <c r="K68" i="48"/>
  <c r="G68" i="48"/>
  <c r="E68" i="48"/>
  <c r="Q67" i="48"/>
  <c r="P67" i="48"/>
  <c r="L67" i="48"/>
  <c r="M67" i="48"/>
  <c r="N67" i="48" s="1"/>
  <c r="K67" i="48"/>
  <c r="G67" i="48"/>
  <c r="E67" i="48"/>
  <c r="Q66" i="48"/>
  <c r="P66" i="48"/>
  <c r="L66" i="48"/>
  <c r="M66" i="48"/>
  <c r="N66" i="48" s="1"/>
  <c r="K66" i="48"/>
  <c r="G66" i="48"/>
  <c r="E66" i="48"/>
  <c r="Q65" i="48"/>
  <c r="P65" i="48"/>
  <c r="L65" i="48"/>
  <c r="M65" i="48" s="1"/>
  <c r="N65" i="48" s="1"/>
  <c r="K65" i="48"/>
  <c r="G65" i="48"/>
  <c r="E65" i="48"/>
  <c r="Q64" i="48"/>
  <c r="P64" i="48"/>
  <c r="L64" i="48"/>
  <c r="M64" i="48"/>
  <c r="N64" i="48" s="1"/>
  <c r="K64" i="48"/>
  <c r="G64" i="48"/>
  <c r="E64" i="48"/>
  <c r="Q63" i="48"/>
  <c r="P63" i="48"/>
  <c r="L63" i="48"/>
  <c r="M63" i="48"/>
  <c r="N63" i="48" s="1"/>
  <c r="K63" i="48"/>
  <c r="G63" i="48"/>
  <c r="E63" i="48"/>
  <c r="Q62" i="48"/>
  <c r="P62" i="48"/>
  <c r="L62" i="48"/>
  <c r="M62" i="48"/>
  <c r="N62" i="48" s="1"/>
  <c r="K62" i="48"/>
  <c r="G62" i="48"/>
  <c r="E62" i="48"/>
  <c r="Q61" i="48"/>
  <c r="P61" i="48"/>
  <c r="L61" i="48"/>
  <c r="M61" i="48"/>
  <c r="N61" i="48" s="1"/>
  <c r="K61" i="48"/>
  <c r="G61" i="48"/>
  <c r="E61" i="48"/>
  <c r="Q60" i="48"/>
  <c r="P60" i="48"/>
  <c r="L60" i="48"/>
  <c r="M60" i="48" s="1"/>
  <c r="N60" i="48"/>
  <c r="K60" i="48"/>
  <c r="G60" i="48"/>
  <c r="E60" i="48"/>
  <c r="Q59" i="48"/>
  <c r="P59" i="48"/>
  <c r="L59" i="48"/>
  <c r="M59" i="48" s="1"/>
  <c r="N59" i="48" s="1"/>
  <c r="K59" i="48"/>
  <c r="G59" i="48"/>
  <c r="E59" i="48"/>
  <c r="Q58" i="48"/>
  <c r="P58" i="48"/>
  <c r="L58" i="48"/>
  <c r="M58" i="48" s="1"/>
  <c r="N58" i="48" s="1"/>
  <c r="K58" i="48"/>
  <c r="G58" i="48"/>
  <c r="E58" i="48"/>
  <c r="Q57" i="48"/>
  <c r="P57" i="48"/>
  <c r="L57" i="48"/>
  <c r="M57" i="48" s="1"/>
  <c r="N57" i="48" s="1"/>
  <c r="K57" i="48"/>
  <c r="G57" i="48"/>
  <c r="E57" i="48"/>
  <c r="Q56" i="48"/>
  <c r="P56" i="48"/>
  <c r="L56" i="48"/>
  <c r="M56" i="48"/>
  <c r="N56" i="48" s="1"/>
  <c r="K56" i="48"/>
  <c r="G56" i="48"/>
  <c r="E56" i="48"/>
  <c r="Q55" i="48"/>
  <c r="P55" i="48"/>
  <c r="L55" i="48"/>
  <c r="M55" i="48" s="1"/>
  <c r="N55" i="48" s="1"/>
  <c r="K55" i="48"/>
  <c r="G55" i="48"/>
  <c r="E55" i="48"/>
  <c r="Q54" i="48"/>
  <c r="P54" i="48"/>
  <c r="L54" i="48"/>
  <c r="M54" i="48"/>
  <c r="N54" i="48"/>
  <c r="K54" i="48"/>
  <c r="G54" i="48"/>
  <c r="E54" i="48"/>
  <c r="Q53" i="48"/>
  <c r="P53" i="48"/>
  <c r="L53" i="48"/>
  <c r="M53" i="48"/>
  <c r="N53" i="48" s="1"/>
  <c r="K53" i="48"/>
  <c r="G53" i="48"/>
  <c r="E53" i="48"/>
  <c r="Q52" i="48"/>
  <c r="P52" i="48"/>
  <c r="L52" i="48"/>
  <c r="M52" i="48"/>
  <c r="N52" i="48" s="1"/>
  <c r="K52" i="48"/>
  <c r="G52" i="48"/>
  <c r="E52" i="48"/>
  <c r="Q51" i="48"/>
  <c r="P51" i="48"/>
  <c r="L51" i="48"/>
  <c r="M51" i="48" s="1"/>
  <c r="N51" i="48" s="1"/>
  <c r="K51" i="48"/>
  <c r="G51" i="48"/>
  <c r="E51" i="48"/>
  <c r="Q50" i="48"/>
  <c r="P50" i="48"/>
  <c r="L50" i="48"/>
  <c r="M50" i="48"/>
  <c r="N50" i="48" s="1"/>
  <c r="K50" i="48"/>
  <c r="G50" i="48"/>
  <c r="E50" i="48"/>
  <c r="Q49" i="48"/>
  <c r="P49" i="48"/>
  <c r="L49" i="48"/>
  <c r="M49" i="48"/>
  <c r="N49" i="48" s="1"/>
  <c r="K49" i="48"/>
  <c r="G49" i="48"/>
  <c r="E49" i="48"/>
  <c r="Q48" i="48"/>
  <c r="P48" i="48"/>
  <c r="L48" i="48"/>
  <c r="M48" i="48" s="1"/>
  <c r="N48" i="48" s="1"/>
  <c r="K48" i="48"/>
  <c r="G48" i="48"/>
  <c r="E48" i="48"/>
  <c r="Q47" i="48"/>
  <c r="P47" i="48"/>
  <c r="L47" i="48"/>
  <c r="M47" i="48"/>
  <c r="N47" i="48" s="1"/>
  <c r="K47" i="48"/>
  <c r="G47" i="48"/>
  <c r="E47" i="48"/>
  <c r="Q46" i="48"/>
  <c r="P46" i="48"/>
  <c r="L46" i="48"/>
  <c r="M46" i="48"/>
  <c r="N46" i="48" s="1"/>
  <c r="K46" i="48"/>
  <c r="G46" i="48"/>
  <c r="E46" i="48"/>
  <c r="Q45" i="48"/>
  <c r="P45" i="48"/>
  <c r="L45" i="48"/>
  <c r="M45" i="48" s="1"/>
  <c r="K45" i="48"/>
  <c r="G45" i="48"/>
  <c r="E45" i="48"/>
  <c r="Q44" i="48"/>
  <c r="P44" i="48"/>
  <c r="L44" i="48"/>
  <c r="M44" i="48" s="1"/>
  <c r="N44" i="48" s="1"/>
  <c r="K44" i="48"/>
  <c r="G44" i="48"/>
  <c r="E44" i="48"/>
  <c r="U43" i="48"/>
  <c r="T43" i="48"/>
  <c r="S43" i="48"/>
  <c r="Q43" i="48"/>
  <c r="P43" i="48"/>
  <c r="L43" i="48"/>
  <c r="M43" i="48" s="1"/>
  <c r="N43" i="48" s="1"/>
  <c r="K43" i="48"/>
  <c r="G43" i="48"/>
  <c r="E43" i="48"/>
  <c r="Q42" i="48"/>
  <c r="P42" i="48"/>
  <c r="L42" i="48"/>
  <c r="M42" i="48" s="1"/>
  <c r="N42" i="48" s="1"/>
  <c r="K42" i="48"/>
  <c r="G42" i="48"/>
  <c r="E42" i="48"/>
  <c r="Q41" i="48"/>
  <c r="P41" i="48"/>
  <c r="L41" i="48"/>
  <c r="M41" i="48" s="1"/>
  <c r="N41" i="48" s="1"/>
  <c r="K41" i="48"/>
  <c r="G41" i="48"/>
  <c r="E41" i="48"/>
  <c r="Q40" i="48"/>
  <c r="P40" i="48"/>
  <c r="L40" i="48"/>
  <c r="M40" i="48" s="1"/>
  <c r="N40" i="48" s="1"/>
  <c r="K40" i="48"/>
  <c r="G40" i="48"/>
  <c r="E40" i="48"/>
  <c r="Q39" i="48"/>
  <c r="P39" i="48"/>
  <c r="M39" i="48"/>
  <c r="N39" i="48" s="1"/>
  <c r="L39" i="48"/>
  <c r="Q38" i="48"/>
  <c r="P38" i="48"/>
  <c r="L38" i="48"/>
  <c r="M38" i="48" s="1"/>
  <c r="N38" i="48" s="1"/>
  <c r="K38" i="48"/>
  <c r="G38" i="48"/>
  <c r="E38" i="48"/>
  <c r="Q37" i="48"/>
  <c r="P37" i="48"/>
  <c r="L37" i="48"/>
  <c r="M37" i="48" s="1"/>
  <c r="N37" i="48"/>
  <c r="K37" i="48"/>
  <c r="G37" i="48"/>
  <c r="E37" i="48"/>
  <c r="Q36" i="48"/>
  <c r="P36" i="48"/>
  <c r="L36" i="48"/>
  <c r="M36" i="48" s="1"/>
  <c r="N36" i="48" s="1"/>
  <c r="K36" i="48"/>
  <c r="G36" i="48"/>
  <c r="E36" i="48"/>
  <c r="Q35" i="48"/>
  <c r="P35" i="48"/>
  <c r="L35" i="48"/>
  <c r="M35" i="48" s="1"/>
  <c r="N35" i="48" s="1"/>
  <c r="K35" i="48"/>
  <c r="G35" i="48"/>
  <c r="E35" i="48"/>
  <c r="Q34" i="48"/>
  <c r="P34" i="48"/>
  <c r="L34" i="48"/>
  <c r="M34" i="48" s="1"/>
  <c r="N34" i="48"/>
  <c r="K34" i="48"/>
  <c r="G34" i="48"/>
  <c r="E34" i="48"/>
  <c r="Q33" i="48"/>
  <c r="P33" i="48"/>
  <c r="L33" i="48"/>
  <c r="M33" i="48" s="1"/>
  <c r="N33" i="48" s="1"/>
  <c r="K33" i="48"/>
  <c r="G33" i="48"/>
  <c r="E33" i="48"/>
  <c r="Q32" i="48"/>
  <c r="P32" i="48"/>
  <c r="L32" i="48"/>
  <c r="M32" i="48" s="1"/>
  <c r="N32" i="48" s="1"/>
  <c r="K32" i="48"/>
  <c r="G32" i="48"/>
  <c r="E32" i="48"/>
  <c r="Q31" i="48"/>
  <c r="P31" i="48"/>
  <c r="L31" i="48"/>
  <c r="M31" i="48" s="1"/>
  <c r="N31" i="48"/>
  <c r="K31" i="48"/>
  <c r="G31" i="48"/>
  <c r="E31" i="48"/>
  <c r="Q30" i="48"/>
  <c r="P30" i="48"/>
  <c r="L30" i="48"/>
  <c r="M30" i="48" s="1"/>
  <c r="N30" i="48" s="1"/>
  <c r="K30" i="48"/>
  <c r="G30" i="48"/>
  <c r="E30" i="48"/>
  <c r="Q29" i="48"/>
  <c r="P29" i="48"/>
  <c r="L29" i="48"/>
  <c r="M29" i="48" s="1"/>
  <c r="N29" i="48" s="1"/>
  <c r="K29" i="48"/>
  <c r="G29" i="48"/>
  <c r="E29" i="48"/>
  <c r="Q28" i="48"/>
  <c r="P28" i="48"/>
  <c r="L28" i="48"/>
  <c r="M28" i="48" s="1"/>
  <c r="N28" i="48" s="1"/>
  <c r="K28" i="48"/>
  <c r="G28" i="48"/>
  <c r="E28" i="48"/>
  <c r="U27" i="48"/>
  <c r="T27" i="48"/>
  <c r="S27" i="48"/>
  <c r="Q27" i="48"/>
  <c r="P27" i="48"/>
  <c r="L27" i="48"/>
  <c r="K27" i="48"/>
  <c r="G27" i="48"/>
  <c r="E27" i="48"/>
  <c r="Q26" i="48"/>
  <c r="P26" i="48"/>
  <c r="L26" i="48"/>
  <c r="M26" i="48" s="1"/>
  <c r="N26" i="48" s="1"/>
  <c r="K26" i="48"/>
  <c r="G26" i="48"/>
  <c r="E26" i="48"/>
  <c r="Q25" i="48"/>
  <c r="P25" i="48"/>
  <c r="L25" i="48"/>
  <c r="M25" i="48" s="1"/>
  <c r="N25" i="48" s="1"/>
  <c r="K25" i="48"/>
  <c r="G25" i="48"/>
  <c r="E25" i="48"/>
  <c r="Q24" i="48"/>
  <c r="P24" i="48"/>
  <c r="L24" i="48"/>
  <c r="M24" i="48" s="1"/>
  <c r="N24" i="48" s="1"/>
  <c r="K24" i="48"/>
  <c r="G24" i="48"/>
  <c r="E24" i="48"/>
  <c r="U23" i="48"/>
  <c r="T23" i="48"/>
  <c r="S23" i="48"/>
  <c r="Q23" i="48"/>
  <c r="P23" i="48"/>
  <c r="L23" i="48"/>
  <c r="M23" i="48" s="1"/>
  <c r="N23" i="48" s="1"/>
  <c r="K23" i="48"/>
  <c r="G23" i="48"/>
  <c r="E23" i="48"/>
  <c r="Q22" i="48"/>
  <c r="P22" i="48"/>
  <c r="L22" i="48"/>
  <c r="M22" i="48" s="1"/>
  <c r="N22" i="48" s="1"/>
  <c r="Q21" i="48"/>
  <c r="P21" i="48"/>
  <c r="P418" i="48" s="1"/>
  <c r="C419" i="48" s="1"/>
  <c r="L21" i="48"/>
  <c r="M21" i="48" s="1"/>
  <c r="N21" i="48" s="1"/>
  <c r="Q20" i="48"/>
  <c r="P20" i="48"/>
  <c r="L20" i="48"/>
  <c r="M20" i="48" s="1"/>
  <c r="N20" i="48" s="1"/>
  <c r="K20" i="48"/>
  <c r="G20" i="48"/>
  <c r="E20" i="48"/>
  <c r="Q19" i="48"/>
  <c r="P19" i="48"/>
  <c r="L19" i="48"/>
  <c r="M19" i="48" s="1"/>
  <c r="N19" i="48" s="1"/>
  <c r="K19" i="48"/>
  <c r="G19" i="48"/>
  <c r="E19" i="48"/>
  <c r="Q18" i="48"/>
  <c r="P18" i="48"/>
  <c r="L18" i="48"/>
  <c r="M18" i="48" s="1"/>
  <c r="N18" i="48" s="1"/>
  <c r="K18" i="48"/>
  <c r="G18" i="48"/>
  <c r="E18" i="48"/>
  <c r="Q17" i="48"/>
  <c r="Q418" i="48" s="1"/>
  <c r="P17" i="48"/>
  <c r="L17" i="48"/>
  <c r="M17" i="48" s="1"/>
  <c r="N17" i="48" s="1"/>
  <c r="G17" i="48"/>
  <c r="E17" i="48"/>
  <c r="U16" i="48"/>
  <c r="T16" i="48"/>
  <c r="S16" i="48"/>
  <c r="Q16" i="48"/>
  <c r="P16" i="48"/>
  <c r="L16" i="48"/>
  <c r="M16" i="48"/>
  <c r="N16" i="48"/>
  <c r="K16" i="48"/>
  <c r="G16" i="48"/>
  <c r="E16" i="48"/>
  <c r="Q15" i="48"/>
  <c r="P15" i="48"/>
  <c r="L15" i="48"/>
  <c r="M15" i="48" s="1"/>
  <c r="N15" i="48" s="1"/>
  <c r="U14" i="48"/>
  <c r="T14" i="48"/>
  <c r="S14" i="48"/>
  <c r="Q14" i="48"/>
  <c r="P14" i="48"/>
  <c r="L14" i="48"/>
  <c r="M14" i="48" s="1"/>
  <c r="N14" i="48" s="1"/>
  <c r="K14" i="48"/>
  <c r="G14" i="48"/>
  <c r="E14" i="48"/>
  <c r="Q13" i="48"/>
  <c r="P13" i="48"/>
  <c r="L13" i="48"/>
  <c r="M13" i="48"/>
  <c r="N13" i="48"/>
  <c r="K13" i="48"/>
  <c r="G13" i="48"/>
  <c r="E13" i="48"/>
  <c r="Q12" i="48"/>
  <c r="P12" i="48"/>
  <c r="L12" i="48"/>
  <c r="M12" i="48"/>
  <c r="N12" i="48"/>
  <c r="K12" i="48"/>
  <c r="G12" i="48"/>
  <c r="E12" i="48"/>
  <c r="Q11" i="48"/>
  <c r="P11" i="48"/>
  <c r="L11" i="48"/>
  <c r="M11" i="48" s="1"/>
  <c r="N11" i="48" s="1"/>
  <c r="K11" i="48"/>
  <c r="G11" i="48"/>
  <c r="E11" i="48"/>
  <c r="Q10" i="48"/>
  <c r="P10" i="48"/>
  <c r="L10" i="48"/>
  <c r="M10" i="48" s="1"/>
  <c r="N10" i="48" s="1"/>
  <c r="K10" i="48"/>
  <c r="G10" i="48"/>
  <c r="E10" i="48"/>
  <c r="Q9" i="48"/>
  <c r="P9" i="48"/>
  <c r="L9" i="48"/>
  <c r="M9" i="48"/>
  <c r="N9" i="48" s="1"/>
  <c r="K9" i="48"/>
  <c r="G9" i="48"/>
  <c r="E9" i="48"/>
  <c r="Q8" i="48"/>
  <c r="P8" i="48"/>
  <c r="L8" i="48"/>
  <c r="M8" i="48" s="1"/>
  <c r="N8" i="48" s="1"/>
  <c r="K8" i="48"/>
  <c r="G8" i="48"/>
  <c r="E8" i="48"/>
  <c r="Q7" i="48"/>
  <c r="P7" i="48"/>
  <c r="L7" i="48"/>
  <c r="M7" i="48"/>
  <c r="N7" i="48"/>
  <c r="K7" i="48"/>
  <c r="G7" i="48"/>
  <c r="E7" i="48"/>
  <c r="Q6" i="48"/>
  <c r="P6" i="48"/>
  <c r="L6" i="48"/>
  <c r="M6" i="48" s="1"/>
  <c r="G6" i="48"/>
  <c r="E6" i="48"/>
  <c r="U417" i="47"/>
  <c r="T417" i="47"/>
  <c r="S417" i="47"/>
  <c r="U412" i="47"/>
  <c r="T412" i="47"/>
  <c r="S412" i="47"/>
  <c r="U409" i="47"/>
  <c r="T409" i="47"/>
  <c r="S409" i="47"/>
  <c r="U407" i="47"/>
  <c r="T407" i="47"/>
  <c r="S407" i="47"/>
  <c r="U391" i="47"/>
  <c r="T391" i="47"/>
  <c r="S391" i="47"/>
  <c r="U388" i="47"/>
  <c r="T388" i="47"/>
  <c r="S388" i="47"/>
  <c r="U387" i="47"/>
  <c r="T387" i="47"/>
  <c r="S387" i="47"/>
  <c r="U385" i="47"/>
  <c r="T385" i="47"/>
  <c r="S385" i="47"/>
  <c r="U380" i="47"/>
  <c r="T380" i="47"/>
  <c r="S380" i="47"/>
  <c r="U377" i="47"/>
  <c r="T377" i="47"/>
  <c r="S377" i="47"/>
  <c r="U375" i="47"/>
  <c r="T375" i="47"/>
  <c r="S375" i="47"/>
  <c r="U368" i="47"/>
  <c r="T368" i="47"/>
  <c r="S368" i="47"/>
  <c r="U365" i="47"/>
  <c r="T365" i="47"/>
  <c r="S365" i="47"/>
  <c r="U362" i="47"/>
  <c r="T362" i="47"/>
  <c r="S362" i="47"/>
  <c r="U357" i="47"/>
  <c r="T357" i="47"/>
  <c r="S357" i="47"/>
  <c r="U340" i="47"/>
  <c r="T340" i="47"/>
  <c r="S340" i="47"/>
  <c r="S339" i="46"/>
  <c r="U316" i="47"/>
  <c r="T316" i="47"/>
  <c r="S316" i="47"/>
  <c r="U310" i="47"/>
  <c r="T310" i="47"/>
  <c r="S310" i="47"/>
  <c r="S309" i="46"/>
  <c r="K275" i="47"/>
  <c r="K276" i="47"/>
  <c r="K278" i="47"/>
  <c r="G276" i="47"/>
  <c r="G278" i="47"/>
  <c r="G280" i="47"/>
  <c r="E276" i="47"/>
  <c r="E278" i="47"/>
  <c r="E280" i="47"/>
  <c r="U271" i="47"/>
  <c r="T271" i="47"/>
  <c r="S271" i="47"/>
  <c r="U269" i="47"/>
  <c r="T269" i="47"/>
  <c r="S269" i="47"/>
  <c r="U256" i="47"/>
  <c r="T256" i="47"/>
  <c r="S256" i="47"/>
  <c r="U255" i="47"/>
  <c r="T255" i="47"/>
  <c r="S255" i="47"/>
  <c r="U246" i="47"/>
  <c r="T246" i="47"/>
  <c r="S246" i="47"/>
  <c r="U243" i="47"/>
  <c r="T243" i="47"/>
  <c r="S243" i="47"/>
  <c r="U238" i="47"/>
  <c r="T238" i="47"/>
  <c r="S238" i="47"/>
  <c r="U204" i="47"/>
  <c r="T204" i="47"/>
  <c r="S204" i="47"/>
  <c r="C418" i="47"/>
  <c r="Q417" i="47"/>
  <c r="P417" i="47"/>
  <c r="L417" i="47"/>
  <c r="M417" i="47" s="1"/>
  <c r="N417" i="47" s="1"/>
  <c r="Q416" i="47"/>
  <c r="P416" i="47"/>
  <c r="L416" i="47"/>
  <c r="M416" i="47" s="1"/>
  <c r="N416" i="47" s="1"/>
  <c r="K416" i="47"/>
  <c r="G416" i="47"/>
  <c r="E416" i="47"/>
  <c r="Q415" i="47"/>
  <c r="P415" i="47"/>
  <c r="L415" i="47"/>
  <c r="M415" i="47" s="1"/>
  <c r="N415" i="47" s="1"/>
  <c r="Q414" i="47"/>
  <c r="P414" i="47"/>
  <c r="L414" i="47"/>
  <c r="M414" i="47" s="1"/>
  <c r="N414" i="47" s="1"/>
  <c r="K414" i="47"/>
  <c r="G414" i="47"/>
  <c r="E414" i="47"/>
  <c r="Q413" i="47"/>
  <c r="P413" i="47"/>
  <c r="L413" i="47"/>
  <c r="M413" i="47" s="1"/>
  <c r="N413" i="47" s="1"/>
  <c r="Q412" i="47"/>
  <c r="P412" i="47"/>
  <c r="L412" i="47"/>
  <c r="M412" i="47" s="1"/>
  <c r="N412" i="47" s="1"/>
  <c r="Q411" i="47"/>
  <c r="P411" i="47"/>
  <c r="L411" i="47"/>
  <c r="M411" i="47" s="1"/>
  <c r="N411" i="47" s="1"/>
  <c r="K411" i="47"/>
  <c r="G411" i="47"/>
  <c r="E411" i="47"/>
  <c r="Q410" i="47"/>
  <c r="P410" i="47"/>
  <c r="L410" i="47"/>
  <c r="M410" i="47" s="1"/>
  <c r="N410" i="47" s="1"/>
  <c r="K410" i="47"/>
  <c r="G410" i="47"/>
  <c r="E410" i="47"/>
  <c r="Q409" i="47"/>
  <c r="P409" i="47"/>
  <c r="L409" i="47"/>
  <c r="M409" i="47" s="1"/>
  <c r="N409" i="47" s="1"/>
  <c r="K409" i="47"/>
  <c r="G409" i="47"/>
  <c r="E409" i="47"/>
  <c r="Q408" i="47"/>
  <c r="P408" i="47"/>
  <c r="L408" i="47"/>
  <c r="M408" i="47" s="1"/>
  <c r="N408" i="47" s="1"/>
  <c r="Q407" i="47"/>
  <c r="P407" i="47"/>
  <c r="L407" i="47"/>
  <c r="M407" i="47" s="1"/>
  <c r="N407" i="47" s="1"/>
  <c r="K407" i="47"/>
  <c r="G407" i="47"/>
  <c r="E407" i="47"/>
  <c r="Q406" i="47"/>
  <c r="P406" i="47"/>
  <c r="L406" i="47"/>
  <c r="M406" i="47" s="1"/>
  <c r="N406" i="47"/>
  <c r="K406" i="47"/>
  <c r="G406" i="47"/>
  <c r="E406" i="47"/>
  <c r="Q405" i="47"/>
  <c r="P405" i="47"/>
  <c r="L405" i="47"/>
  <c r="M405" i="47" s="1"/>
  <c r="N405" i="47" s="1"/>
  <c r="K405" i="47"/>
  <c r="G405" i="47"/>
  <c r="E405" i="47"/>
  <c r="Q404" i="47"/>
  <c r="P404" i="47"/>
  <c r="L404" i="47"/>
  <c r="M404" i="47" s="1"/>
  <c r="N404" i="47" s="1"/>
  <c r="K404" i="47"/>
  <c r="G404" i="47"/>
  <c r="E404" i="47"/>
  <c r="Q403" i="47"/>
  <c r="P403" i="47"/>
  <c r="L403" i="47"/>
  <c r="M403" i="47" s="1"/>
  <c r="N403" i="47" s="1"/>
  <c r="K403" i="47"/>
  <c r="G403" i="47"/>
  <c r="E403" i="47"/>
  <c r="Q402" i="47"/>
  <c r="P402" i="47"/>
  <c r="L402" i="47"/>
  <c r="M402" i="47" s="1"/>
  <c r="N402" i="47" s="1"/>
  <c r="K402" i="47"/>
  <c r="G402" i="47"/>
  <c r="E402" i="47"/>
  <c r="Q401" i="47"/>
  <c r="P401" i="47"/>
  <c r="L401" i="47"/>
  <c r="M401" i="47" s="1"/>
  <c r="N401" i="47" s="1"/>
  <c r="K401" i="47"/>
  <c r="G401" i="47"/>
  <c r="E401" i="47"/>
  <c r="Q400" i="47"/>
  <c r="P400" i="47"/>
  <c r="L400" i="47"/>
  <c r="M400" i="47" s="1"/>
  <c r="N400" i="47"/>
  <c r="K400" i="47"/>
  <c r="G400" i="47"/>
  <c r="E400" i="47"/>
  <c r="Q399" i="47"/>
  <c r="P399" i="47"/>
  <c r="L399" i="47"/>
  <c r="M399" i="47" s="1"/>
  <c r="N399" i="47" s="1"/>
  <c r="K399" i="47"/>
  <c r="G399" i="47"/>
  <c r="E399" i="47"/>
  <c r="Q398" i="47"/>
  <c r="P398" i="47"/>
  <c r="L398" i="47"/>
  <c r="M398" i="47" s="1"/>
  <c r="N398" i="47" s="1"/>
  <c r="K398" i="47"/>
  <c r="G398" i="47"/>
  <c r="E398" i="47"/>
  <c r="Q397" i="47"/>
  <c r="P397" i="47"/>
  <c r="L397" i="47"/>
  <c r="M397" i="47" s="1"/>
  <c r="N397" i="47" s="1"/>
  <c r="K397" i="47"/>
  <c r="G397" i="47"/>
  <c r="E397" i="47"/>
  <c r="Q396" i="47"/>
  <c r="P396" i="47"/>
  <c r="L396" i="47"/>
  <c r="M396" i="47" s="1"/>
  <c r="N396" i="47" s="1"/>
  <c r="K396" i="47"/>
  <c r="G396" i="47"/>
  <c r="E396" i="47"/>
  <c r="Q395" i="47"/>
  <c r="P395" i="47"/>
  <c r="L395" i="47"/>
  <c r="M395" i="47" s="1"/>
  <c r="N395" i="47" s="1"/>
  <c r="K395" i="47"/>
  <c r="G395" i="47"/>
  <c r="E395" i="47"/>
  <c r="Q394" i="47"/>
  <c r="P394" i="47"/>
  <c r="L394" i="47"/>
  <c r="M394" i="47" s="1"/>
  <c r="N394" i="47"/>
  <c r="K394" i="47"/>
  <c r="G394" i="47"/>
  <c r="E394" i="47"/>
  <c r="Q393" i="47"/>
  <c r="P393" i="47"/>
  <c r="L393" i="47"/>
  <c r="M393" i="47" s="1"/>
  <c r="N393" i="47" s="1"/>
  <c r="K393" i="47"/>
  <c r="G393" i="47"/>
  <c r="E393" i="47"/>
  <c r="Q392" i="47"/>
  <c r="P392" i="47"/>
  <c r="L392" i="47"/>
  <c r="M392" i="47" s="1"/>
  <c r="N392" i="47" s="1"/>
  <c r="K392" i="47"/>
  <c r="G392" i="47"/>
  <c r="E392" i="47"/>
  <c r="Q391" i="47"/>
  <c r="P391" i="47"/>
  <c r="L391" i="47"/>
  <c r="M391" i="47" s="1"/>
  <c r="N391" i="47" s="1"/>
  <c r="K391" i="47"/>
  <c r="G391" i="47"/>
  <c r="E391" i="47"/>
  <c r="Q390" i="47"/>
  <c r="P390" i="47"/>
  <c r="L390" i="47"/>
  <c r="M390" i="47" s="1"/>
  <c r="N390" i="47" s="1"/>
  <c r="Q389" i="47"/>
  <c r="P389" i="47"/>
  <c r="L389" i="47"/>
  <c r="M389" i="47" s="1"/>
  <c r="N389" i="47" s="1"/>
  <c r="K389" i="47"/>
  <c r="G389" i="47"/>
  <c r="E389" i="47"/>
  <c r="Q388" i="47"/>
  <c r="P388" i="47"/>
  <c r="L388" i="47"/>
  <c r="M388" i="47"/>
  <c r="N388" i="47"/>
  <c r="K388" i="47"/>
  <c r="G388" i="47"/>
  <c r="E388" i="47"/>
  <c r="Q387" i="47"/>
  <c r="P387" i="47"/>
  <c r="L387" i="47"/>
  <c r="M387" i="47" s="1"/>
  <c r="N387" i="47" s="1"/>
  <c r="K387" i="47"/>
  <c r="G387" i="47"/>
  <c r="E387" i="47"/>
  <c r="Q386" i="47"/>
  <c r="P386" i="47"/>
  <c r="L386" i="47"/>
  <c r="M386" i="47"/>
  <c r="N386" i="47" s="1"/>
  <c r="K386" i="47"/>
  <c r="G386" i="47"/>
  <c r="E386" i="47"/>
  <c r="Q385" i="47"/>
  <c r="P385" i="47"/>
  <c r="L385" i="47"/>
  <c r="M385" i="47" s="1"/>
  <c r="N385" i="47"/>
  <c r="K385" i="47"/>
  <c r="G385" i="47"/>
  <c r="E385" i="47"/>
  <c r="Q384" i="47"/>
  <c r="P384" i="47"/>
  <c r="L384" i="47"/>
  <c r="M384" i="47"/>
  <c r="N384" i="47" s="1"/>
  <c r="K384" i="47"/>
  <c r="G384" i="47"/>
  <c r="E384" i="47"/>
  <c r="Q383" i="47"/>
  <c r="P383" i="47"/>
  <c r="L383" i="47"/>
  <c r="M383" i="47" s="1"/>
  <c r="N383" i="47" s="1"/>
  <c r="K383" i="47"/>
  <c r="G383" i="47"/>
  <c r="E383" i="47"/>
  <c r="Q382" i="47"/>
  <c r="P382" i="47"/>
  <c r="L382" i="47"/>
  <c r="M382" i="47"/>
  <c r="N382" i="47"/>
  <c r="K382" i="47"/>
  <c r="G382" i="47"/>
  <c r="E382" i="47"/>
  <c r="Q381" i="47"/>
  <c r="P381" i="47"/>
  <c r="L381" i="47"/>
  <c r="M381" i="47" s="1"/>
  <c r="N381" i="47" s="1"/>
  <c r="K381" i="47"/>
  <c r="G381" i="47"/>
  <c r="E381" i="47"/>
  <c r="Q380" i="47"/>
  <c r="P380" i="47"/>
  <c r="L380" i="47"/>
  <c r="M380" i="47" s="1"/>
  <c r="N380" i="47"/>
  <c r="K380" i="47"/>
  <c r="G380" i="47"/>
  <c r="E380" i="47"/>
  <c r="Q379" i="47"/>
  <c r="P379" i="47"/>
  <c r="L379" i="47"/>
  <c r="M379" i="47"/>
  <c r="N379" i="47" s="1"/>
  <c r="K379" i="47"/>
  <c r="G379" i="47"/>
  <c r="E379" i="47"/>
  <c r="Q378" i="47"/>
  <c r="P378" i="47"/>
  <c r="L378" i="47"/>
  <c r="M378" i="47"/>
  <c r="N378" i="47" s="1"/>
  <c r="K378" i="47"/>
  <c r="G378" i="47"/>
  <c r="E378" i="47"/>
  <c r="Q377" i="47"/>
  <c r="P377" i="47"/>
  <c r="L377" i="47"/>
  <c r="M377" i="47" s="1"/>
  <c r="N377" i="47" s="1"/>
  <c r="K377" i="47"/>
  <c r="G377" i="47"/>
  <c r="E377" i="47"/>
  <c r="Q376" i="47"/>
  <c r="P376" i="47"/>
  <c r="L376" i="47"/>
  <c r="M376" i="47" s="1"/>
  <c r="N376" i="47"/>
  <c r="K376" i="47"/>
  <c r="G376" i="47"/>
  <c r="E376" i="47"/>
  <c r="Q375" i="47"/>
  <c r="P375" i="47"/>
  <c r="L375" i="47"/>
  <c r="M375" i="47" s="1"/>
  <c r="N375" i="47" s="1"/>
  <c r="K375" i="47"/>
  <c r="G375" i="47"/>
  <c r="E375" i="47"/>
  <c r="Q374" i="47"/>
  <c r="P374" i="47"/>
  <c r="L374" i="47"/>
  <c r="M374" i="47"/>
  <c r="N374" i="47" s="1"/>
  <c r="K374" i="47"/>
  <c r="G374" i="47"/>
  <c r="E374" i="47"/>
  <c r="Q373" i="47"/>
  <c r="P373" i="47"/>
  <c r="L373" i="47"/>
  <c r="M373" i="47"/>
  <c r="N373" i="47"/>
  <c r="K373" i="47"/>
  <c r="G373" i="47"/>
  <c r="E373" i="47"/>
  <c r="Q372" i="47"/>
  <c r="P372" i="47"/>
  <c r="L372" i="47"/>
  <c r="M372" i="47"/>
  <c r="N372" i="47" s="1"/>
  <c r="K372" i="47"/>
  <c r="G372" i="47"/>
  <c r="E372" i="47"/>
  <c r="Q371" i="47"/>
  <c r="P371" i="47"/>
  <c r="L371" i="47"/>
  <c r="M371" i="47"/>
  <c r="N371" i="47" s="1"/>
  <c r="K371" i="47"/>
  <c r="G371" i="47"/>
  <c r="E371" i="47"/>
  <c r="Q370" i="47"/>
  <c r="P370" i="47"/>
  <c r="L370" i="47"/>
  <c r="M370" i="47" s="1"/>
  <c r="N370" i="47"/>
  <c r="K370" i="47"/>
  <c r="G370" i="47"/>
  <c r="E370" i="47"/>
  <c r="Q369" i="47"/>
  <c r="P369" i="47"/>
  <c r="L369" i="47"/>
  <c r="M369" i="47" s="1"/>
  <c r="N369" i="47" s="1"/>
  <c r="K369" i="47"/>
  <c r="G369" i="47"/>
  <c r="E369" i="47"/>
  <c r="Q368" i="47"/>
  <c r="P368" i="47"/>
  <c r="L368" i="47"/>
  <c r="M368" i="47"/>
  <c r="N368" i="47"/>
  <c r="K368" i="47"/>
  <c r="G368" i="47"/>
  <c r="E368" i="47"/>
  <c r="Q367" i="47"/>
  <c r="P367" i="47"/>
  <c r="L367" i="47"/>
  <c r="M367" i="47" s="1"/>
  <c r="N367" i="47" s="1"/>
  <c r="K367" i="47"/>
  <c r="G367" i="47"/>
  <c r="E367" i="47"/>
  <c r="Q366" i="47"/>
  <c r="P366" i="47"/>
  <c r="L366" i="47"/>
  <c r="M366" i="47" s="1"/>
  <c r="N366" i="47" s="1"/>
  <c r="K366" i="47"/>
  <c r="G366" i="47"/>
  <c r="E366" i="47"/>
  <c r="Q365" i="47"/>
  <c r="P365" i="47"/>
  <c r="L365" i="47"/>
  <c r="M365" i="47" s="1"/>
  <c r="N365" i="47" s="1"/>
  <c r="K365" i="47"/>
  <c r="G365" i="47"/>
  <c r="E365" i="47"/>
  <c r="Q364" i="47"/>
  <c r="P364" i="47"/>
  <c r="L364" i="47"/>
  <c r="M364" i="47" s="1"/>
  <c r="N364" i="47"/>
  <c r="K364" i="47"/>
  <c r="G364" i="47"/>
  <c r="E364" i="47"/>
  <c r="Q363" i="47"/>
  <c r="P363" i="47"/>
  <c r="L363" i="47"/>
  <c r="M363" i="47" s="1"/>
  <c r="N363" i="47" s="1"/>
  <c r="K363" i="47"/>
  <c r="G363" i="47"/>
  <c r="E363" i="47"/>
  <c r="Q362" i="47"/>
  <c r="P362" i="47"/>
  <c r="L362" i="47"/>
  <c r="M362" i="47"/>
  <c r="N362" i="47" s="1"/>
  <c r="K362" i="47"/>
  <c r="G362" i="47"/>
  <c r="E362" i="47"/>
  <c r="Q361" i="47"/>
  <c r="P361" i="47"/>
  <c r="L361" i="47"/>
  <c r="M361" i="47" s="1"/>
  <c r="N361" i="47"/>
  <c r="K361" i="47"/>
  <c r="G361" i="47"/>
  <c r="E361" i="47"/>
  <c r="Q360" i="47"/>
  <c r="P360" i="47"/>
  <c r="L360" i="47"/>
  <c r="M360" i="47"/>
  <c r="N360" i="47" s="1"/>
  <c r="K360" i="47"/>
  <c r="G360" i="47"/>
  <c r="E360" i="47"/>
  <c r="Q359" i="47"/>
  <c r="P359" i="47"/>
  <c r="L359" i="47"/>
  <c r="M359" i="47" s="1"/>
  <c r="N359" i="47" s="1"/>
  <c r="K359" i="47"/>
  <c r="G359" i="47"/>
  <c r="E359" i="47"/>
  <c r="Q358" i="47"/>
  <c r="P358" i="47"/>
  <c r="L358" i="47"/>
  <c r="M358" i="47"/>
  <c r="N358" i="47"/>
  <c r="K358" i="47"/>
  <c r="G358" i="47"/>
  <c r="E358" i="47"/>
  <c r="Q357" i="47"/>
  <c r="P357" i="47"/>
  <c r="L357" i="47"/>
  <c r="M357" i="47"/>
  <c r="N357" i="47" s="1"/>
  <c r="K357" i="47"/>
  <c r="G357" i="47"/>
  <c r="E357" i="47"/>
  <c r="Q356" i="47"/>
  <c r="P356" i="47"/>
  <c r="L356" i="47"/>
  <c r="M356" i="47" s="1"/>
  <c r="N356" i="47" s="1"/>
  <c r="K356" i="47"/>
  <c r="G356" i="47"/>
  <c r="E356" i="47"/>
  <c r="Q355" i="47"/>
  <c r="P355" i="47"/>
  <c r="L355" i="47"/>
  <c r="M355" i="47" s="1"/>
  <c r="N355" i="47"/>
  <c r="K355" i="47"/>
  <c r="G355" i="47"/>
  <c r="E355" i="47"/>
  <c r="Q354" i="47"/>
  <c r="P354" i="47"/>
  <c r="L354" i="47"/>
  <c r="M354" i="47"/>
  <c r="N354" i="47" s="1"/>
  <c r="K354" i="47"/>
  <c r="G354" i="47"/>
  <c r="E354" i="47"/>
  <c r="Q353" i="47"/>
  <c r="P353" i="47"/>
  <c r="L353" i="47"/>
  <c r="M353" i="47" s="1"/>
  <c r="N353" i="47" s="1"/>
  <c r="K353" i="47"/>
  <c r="G353" i="47"/>
  <c r="E353" i="47"/>
  <c r="Q352" i="47"/>
  <c r="P352" i="47"/>
  <c r="L352" i="47"/>
  <c r="M352" i="47" s="1"/>
  <c r="N352" i="47" s="1"/>
  <c r="K352" i="47"/>
  <c r="G352" i="47"/>
  <c r="E352" i="47"/>
  <c r="Q351" i="47"/>
  <c r="P351" i="47"/>
  <c r="L351" i="47"/>
  <c r="M351" i="47"/>
  <c r="N351" i="47" s="1"/>
  <c r="K351" i="47"/>
  <c r="G351" i="47"/>
  <c r="E351" i="47"/>
  <c r="Q350" i="47"/>
  <c r="P350" i="47"/>
  <c r="L350" i="47"/>
  <c r="M350" i="47" s="1"/>
  <c r="N350" i="47" s="1"/>
  <c r="K350" i="47"/>
  <c r="G350" i="47"/>
  <c r="E350" i="47"/>
  <c r="Q349" i="47"/>
  <c r="P349" i="47"/>
  <c r="L349" i="47"/>
  <c r="M349" i="47"/>
  <c r="N349" i="47"/>
  <c r="K349" i="47"/>
  <c r="G349" i="47"/>
  <c r="E349" i="47"/>
  <c r="Q348" i="47"/>
  <c r="P348" i="47"/>
  <c r="L348" i="47"/>
  <c r="M348" i="47" s="1"/>
  <c r="N348" i="47" s="1"/>
  <c r="K348" i="47"/>
  <c r="G348" i="47"/>
  <c r="E348" i="47"/>
  <c r="Q347" i="47"/>
  <c r="P347" i="47"/>
  <c r="L347" i="47"/>
  <c r="M347" i="47"/>
  <c r="N347" i="47" s="1"/>
  <c r="K347" i="47"/>
  <c r="G347" i="47"/>
  <c r="E347" i="47"/>
  <c r="Q346" i="47"/>
  <c r="P346" i="47"/>
  <c r="L346" i="47"/>
  <c r="M346" i="47"/>
  <c r="N346" i="47" s="1"/>
  <c r="K346" i="47"/>
  <c r="G346" i="47"/>
  <c r="E346" i="47"/>
  <c r="Q345" i="47"/>
  <c r="P345" i="47"/>
  <c r="L345" i="47"/>
  <c r="M345" i="47" s="1"/>
  <c r="N345" i="47" s="1"/>
  <c r="K345" i="47"/>
  <c r="G345" i="47"/>
  <c r="E345" i="47"/>
  <c r="Q344" i="47"/>
  <c r="P344" i="47"/>
  <c r="L344" i="47"/>
  <c r="M344" i="47"/>
  <c r="N344" i="47"/>
  <c r="K344" i="47"/>
  <c r="G344" i="47"/>
  <c r="E344" i="47"/>
  <c r="Q343" i="47"/>
  <c r="P343" i="47"/>
  <c r="L343" i="47"/>
  <c r="M343" i="47" s="1"/>
  <c r="N343" i="47"/>
  <c r="K343" i="47"/>
  <c r="G343" i="47"/>
  <c r="E343" i="47"/>
  <c r="Q342" i="47"/>
  <c r="P342" i="47"/>
  <c r="L342" i="47"/>
  <c r="M342" i="47" s="1"/>
  <c r="N342" i="47" s="1"/>
  <c r="K342" i="47"/>
  <c r="G342" i="47"/>
  <c r="E342" i="47"/>
  <c r="Q341" i="47"/>
  <c r="P341" i="47"/>
  <c r="L341" i="47"/>
  <c r="M341" i="47" s="1"/>
  <c r="N341" i="47" s="1"/>
  <c r="K341" i="47"/>
  <c r="G341" i="47"/>
  <c r="E341" i="47"/>
  <c r="Q340" i="47"/>
  <c r="P340" i="47"/>
  <c r="L340" i="47"/>
  <c r="M340" i="47"/>
  <c r="N340" i="47" s="1"/>
  <c r="K340" i="47"/>
  <c r="G340" i="47"/>
  <c r="E340" i="47"/>
  <c r="Q339" i="47"/>
  <c r="P339" i="47"/>
  <c r="L339" i="47"/>
  <c r="M339" i="47" s="1"/>
  <c r="N339" i="47" s="1"/>
  <c r="K339" i="47"/>
  <c r="G339" i="47"/>
  <c r="E339" i="47"/>
  <c r="Q338" i="47"/>
  <c r="P338" i="47"/>
  <c r="L338" i="47"/>
  <c r="M338" i="47"/>
  <c r="N338" i="47"/>
  <c r="K338" i="47"/>
  <c r="G338" i="47"/>
  <c r="E338" i="47"/>
  <c r="Q337" i="47"/>
  <c r="P337" i="47"/>
  <c r="L337" i="47"/>
  <c r="M337" i="47" s="1"/>
  <c r="N337" i="47"/>
  <c r="K337" i="47"/>
  <c r="G337" i="47"/>
  <c r="E337" i="47"/>
  <c r="Q336" i="47"/>
  <c r="P336" i="47"/>
  <c r="L336" i="47"/>
  <c r="M336" i="47" s="1"/>
  <c r="N336" i="47" s="1"/>
  <c r="K336" i="47"/>
  <c r="G336" i="47"/>
  <c r="E336" i="47"/>
  <c r="Q335" i="47"/>
  <c r="P335" i="47"/>
  <c r="L335" i="47"/>
  <c r="M335" i="47" s="1"/>
  <c r="N335" i="47" s="1"/>
  <c r="K335" i="47"/>
  <c r="G335" i="47"/>
  <c r="E335" i="47"/>
  <c r="Q334" i="47"/>
  <c r="P334" i="47"/>
  <c r="L334" i="47"/>
  <c r="M334" i="47"/>
  <c r="N334" i="47"/>
  <c r="K334" i="47"/>
  <c r="G334" i="47"/>
  <c r="E334" i="47"/>
  <c r="Q333" i="47"/>
  <c r="P333" i="47"/>
  <c r="L333" i="47"/>
  <c r="M333" i="47"/>
  <c r="N333" i="47" s="1"/>
  <c r="K333" i="47"/>
  <c r="G333" i="47"/>
  <c r="E333" i="47"/>
  <c r="Q332" i="47"/>
  <c r="P332" i="47"/>
  <c r="L332" i="47"/>
  <c r="M332" i="47" s="1"/>
  <c r="N332" i="47"/>
  <c r="K332" i="47"/>
  <c r="G332" i="47"/>
  <c r="E332" i="47"/>
  <c r="Q331" i="47"/>
  <c r="P331" i="47"/>
  <c r="L331" i="47"/>
  <c r="M331" i="47" s="1"/>
  <c r="N331" i="47"/>
  <c r="K331" i="47"/>
  <c r="G331" i="47"/>
  <c r="E331" i="47"/>
  <c r="Q330" i="47"/>
  <c r="P330" i="47"/>
  <c r="L330" i="47"/>
  <c r="M330" i="47"/>
  <c r="N330" i="47" s="1"/>
  <c r="K330" i="47"/>
  <c r="G330" i="47"/>
  <c r="E330" i="47"/>
  <c r="Q329" i="47"/>
  <c r="P329" i="47"/>
  <c r="L329" i="47"/>
  <c r="M329" i="47" s="1"/>
  <c r="N329" i="47" s="1"/>
  <c r="K329" i="47"/>
  <c r="G329" i="47"/>
  <c r="E329" i="47"/>
  <c r="Q328" i="47"/>
  <c r="P328" i="47"/>
  <c r="L328" i="47"/>
  <c r="M328" i="47"/>
  <c r="N328" i="47" s="1"/>
  <c r="K328" i="47"/>
  <c r="G328" i="47"/>
  <c r="E328" i="47"/>
  <c r="Q327" i="47"/>
  <c r="P327" i="47"/>
  <c r="L327" i="47"/>
  <c r="M327" i="47" s="1"/>
  <c r="N327" i="47" s="1"/>
  <c r="K327" i="47"/>
  <c r="G327" i="47"/>
  <c r="E327" i="47"/>
  <c r="Q326" i="47"/>
  <c r="P326" i="47"/>
  <c r="L326" i="47"/>
  <c r="M326" i="47"/>
  <c r="N326" i="47" s="1"/>
  <c r="K326" i="47"/>
  <c r="G326" i="47"/>
  <c r="E326" i="47"/>
  <c r="Q325" i="47"/>
  <c r="P325" i="47"/>
  <c r="L325" i="47"/>
  <c r="M325" i="47" s="1"/>
  <c r="N325" i="47"/>
  <c r="K325" i="47"/>
  <c r="G325" i="47"/>
  <c r="E325" i="47"/>
  <c r="Q324" i="47"/>
  <c r="P324" i="47"/>
  <c r="L324" i="47"/>
  <c r="M324" i="47"/>
  <c r="N324" i="47" s="1"/>
  <c r="K324" i="47"/>
  <c r="G324" i="47"/>
  <c r="E324" i="47"/>
  <c r="Q323" i="47"/>
  <c r="P323" i="47"/>
  <c r="L323" i="47"/>
  <c r="M323" i="47"/>
  <c r="N323" i="47" s="1"/>
  <c r="K323" i="47"/>
  <c r="G323" i="47"/>
  <c r="E323" i="47"/>
  <c r="Q322" i="47"/>
  <c r="P322" i="47"/>
  <c r="L322" i="47"/>
  <c r="M322" i="47" s="1"/>
  <c r="N322" i="47" s="1"/>
  <c r="K322" i="47"/>
  <c r="G322" i="47"/>
  <c r="E322" i="47"/>
  <c r="Q321" i="47"/>
  <c r="P321" i="47"/>
  <c r="L321" i="47"/>
  <c r="M321" i="47" s="1"/>
  <c r="N321" i="47" s="1"/>
  <c r="K321" i="47"/>
  <c r="G321" i="47"/>
  <c r="E321" i="47"/>
  <c r="Q320" i="47"/>
  <c r="P320" i="47"/>
  <c r="L320" i="47"/>
  <c r="M320" i="47"/>
  <c r="N320" i="47" s="1"/>
  <c r="K320" i="47"/>
  <c r="G320" i="47"/>
  <c r="E320" i="47"/>
  <c r="Q319" i="47"/>
  <c r="P319" i="47"/>
  <c r="L319" i="47"/>
  <c r="M319" i="47" s="1"/>
  <c r="N319" i="47" s="1"/>
  <c r="K319" i="47"/>
  <c r="G319" i="47"/>
  <c r="E319" i="47"/>
  <c r="Q318" i="47"/>
  <c r="P318" i="47"/>
  <c r="L318" i="47"/>
  <c r="M318" i="47"/>
  <c r="N318" i="47" s="1"/>
  <c r="K318" i="47"/>
  <c r="G318" i="47"/>
  <c r="E318" i="47"/>
  <c r="Q317" i="47"/>
  <c r="P317" i="47"/>
  <c r="L317" i="47"/>
  <c r="M317" i="47" s="1"/>
  <c r="N317" i="47"/>
  <c r="K317" i="47"/>
  <c r="G317" i="47"/>
  <c r="E317" i="47"/>
  <c r="Q316" i="47"/>
  <c r="P316" i="47"/>
  <c r="L316" i="47"/>
  <c r="M316" i="47"/>
  <c r="N316" i="47"/>
  <c r="K316" i="47"/>
  <c r="G316" i="47"/>
  <c r="E316" i="47"/>
  <c r="Q315" i="47"/>
  <c r="P315" i="47"/>
  <c r="L315" i="47"/>
  <c r="M315" i="47" s="1"/>
  <c r="N315" i="47" s="1"/>
  <c r="K315" i="47"/>
  <c r="G315" i="47"/>
  <c r="E315" i="47"/>
  <c r="Q314" i="47"/>
  <c r="P314" i="47"/>
  <c r="L314" i="47"/>
  <c r="M314" i="47" s="1"/>
  <c r="N314" i="47" s="1"/>
  <c r="K314" i="47"/>
  <c r="G314" i="47"/>
  <c r="E314" i="47"/>
  <c r="Q313" i="47"/>
  <c r="P313" i="47"/>
  <c r="L313" i="47"/>
  <c r="M313" i="47" s="1"/>
  <c r="N313" i="47" s="1"/>
  <c r="K313" i="47"/>
  <c r="G313" i="47"/>
  <c r="E313" i="47"/>
  <c r="Q312" i="47"/>
  <c r="P312" i="47"/>
  <c r="L312" i="47"/>
  <c r="M312" i="47" s="1"/>
  <c r="N312" i="47" s="1"/>
  <c r="K312" i="47"/>
  <c r="G312" i="47"/>
  <c r="E312" i="47"/>
  <c r="Q311" i="47"/>
  <c r="P311" i="47"/>
  <c r="L311" i="47"/>
  <c r="M311" i="47"/>
  <c r="N311" i="47" s="1"/>
  <c r="K311" i="47"/>
  <c r="G311" i="47"/>
  <c r="E311" i="47"/>
  <c r="Q310" i="47"/>
  <c r="P310" i="47"/>
  <c r="L310" i="47"/>
  <c r="M310" i="47" s="1"/>
  <c r="N310" i="47" s="1"/>
  <c r="K310" i="47"/>
  <c r="G310" i="47"/>
  <c r="E310" i="47"/>
  <c r="Q309" i="47"/>
  <c r="P309" i="47"/>
  <c r="L309" i="47"/>
  <c r="M309" i="47" s="1"/>
  <c r="N309" i="47" s="1"/>
  <c r="K309" i="47"/>
  <c r="G309" i="47"/>
  <c r="E309" i="47"/>
  <c r="Q308" i="47"/>
  <c r="P308" i="47"/>
  <c r="L308" i="47"/>
  <c r="M308" i="47"/>
  <c r="N308" i="47" s="1"/>
  <c r="K308" i="47"/>
  <c r="G308" i="47"/>
  <c r="E308" i="47"/>
  <c r="Q307" i="47"/>
  <c r="P307" i="47"/>
  <c r="L307" i="47"/>
  <c r="M307" i="47" s="1"/>
  <c r="N307" i="47" s="1"/>
  <c r="K307" i="47"/>
  <c r="G307" i="47"/>
  <c r="E307" i="47"/>
  <c r="Q306" i="47"/>
  <c r="P306" i="47"/>
  <c r="L306" i="47"/>
  <c r="M306" i="47"/>
  <c r="N306" i="47" s="1"/>
  <c r="K306" i="47"/>
  <c r="G306" i="47"/>
  <c r="E306" i="47"/>
  <c r="Q305" i="47"/>
  <c r="P305" i="47"/>
  <c r="L305" i="47"/>
  <c r="M305" i="47"/>
  <c r="N305" i="47" s="1"/>
  <c r="K305" i="47"/>
  <c r="G305" i="47"/>
  <c r="E305" i="47"/>
  <c r="Q304" i="47"/>
  <c r="P304" i="47"/>
  <c r="L304" i="47"/>
  <c r="M304" i="47"/>
  <c r="N304" i="47" s="1"/>
  <c r="K304" i="47"/>
  <c r="G304" i="47"/>
  <c r="E304" i="47"/>
  <c r="Q303" i="47"/>
  <c r="P303" i="47"/>
  <c r="L303" i="47"/>
  <c r="M303" i="47"/>
  <c r="N303" i="47" s="1"/>
  <c r="K303" i="47"/>
  <c r="G303" i="47"/>
  <c r="E303" i="47"/>
  <c r="Q302" i="47"/>
  <c r="P302" i="47"/>
  <c r="L302" i="47"/>
  <c r="M302" i="47"/>
  <c r="N302" i="47" s="1"/>
  <c r="K302" i="47"/>
  <c r="G302" i="47"/>
  <c r="E302" i="47"/>
  <c r="Q301" i="47"/>
  <c r="P301" i="47"/>
  <c r="L301" i="47"/>
  <c r="M301" i="47" s="1"/>
  <c r="N301" i="47" s="1"/>
  <c r="K301" i="47"/>
  <c r="G301" i="47"/>
  <c r="E301" i="47"/>
  <c r="Q300" i="47"/>
  <c r="P300" i="47"/>
  <c r="L300" i="47"/>
  <c r="M300" i="47" s="1"/>
  <c r="N300" i="47" s="1"/>
  <c r="K300" i="47"/>
  <c r="G300" i="47"/>
  <c r="E300" i="47"/>
  <c r="Q299" i="47"/>
  <c r="P299" i="47"/>
  <c r="L299" i="47"/>
  <c r="M299" i="47" s="1"/>
  <c r="N299" i="47" s="1"/>
  <c r="K299" i="47"/>
  <c r="G299" i="47"/>
  <c r="E299" i="47"/>
  <c r="Q298" i="47"/>
  <c r="P298" i="47"/>
  <c r="L298" i="47"/>
  <c r="M298" i="47" s="1"/>
  <c r="N298" i="47" s="1"/>
  <c r="K298" i="47"/>
  <c r="G298" i="47"/>
  <c r="E298" i="47"/>
  <c r="Q297" i="47"/>
  <c r="P297" i="47"/>
  <c r="L297" i="47"/>
  <c r="M297" i="47"/>
  <c r="N297" i="47" s="1"/>
  <c r="K297" i="47"/>
  <c r="G297" i="47"/>
  <c r="E297" i="47"/>
  <c r="Q296" i="47"/>
  <c r="P296" i="47"/>
  <c r="L296" i="47"/>
  <c r="M296" i="47" s="1"/>
  <c r="N296" i="47" s="1"/>
  <c r="K296" i="47"/>
  <c r="G296" i="47"/>
  <c r="E296" i="47"/>
  <c r="Q295" i="47"/>
  <c r="P295" i="47"/>
  <c r="L295" i="47"/>
  <c r="M295" i="47"/>
  <c r="N295" i="47" s="1"/>
  <c r="K295" i="47"/>
  <c r="G295" i="47"/>
  <c r="E295" i="47"/>
  <c r="Q294" i="47"/>
  <c r="P294" i="47"/>
  <c r="L294" i="47"/>
  <c r="M294" i="47" s="1"/>
  <c r="N294" i="47" s="1"/>
  <c r="K294" i="47"/>
  <c r="G294" i="47"/>
  <c r="E294" i="47"/>
  <c r="Q293" i="47"/>
  <c r="P293" i="47"/>
  <c r="L293" i="47"/>
  <c r="M293" i="47"/>
  <c r="N293" i="47" s="1"/>
  <c r="K293" i="47"/>
  <c r="G293" i="47"/>
  <c r="E293" i="47"/>
  <c r="Q292" i="47"/>
  <c r="P292" i="47"/>
  <c r="L292" i="47"/>
  <c r="M292" i="47" s="1"/>
  <c r="N292" i="47" s="1"/>
  <c r="K292" i="47"/>
  <c r="G292" i="47"/>
  <c r="E292" i="47"/>
  <c r="Q291" i="47"/>
  <c r="P291" i="47"/>
  <c r="L291" i="47"/>
  <c r="M291" i="47" s="1"/>
  <c r="N291" i="47" s="1"/>
  <c r="K291" i="47"/>
  <c r="G291" i="47"/>
  <c r="E291" i="47"/>
  <c r="Q290" i="47"/>
  <c r="P290" i="47"/>
  <c r="L290" i="47"/>
  <c r="M290" i="47" s="1"/>
  <c r="N290" i="47" s="1"/>
  <c r="K290" i="47"/>
  <c r="G290" i="47"/>
  <c r="E290" i="47"/>
  <c r="Q289" i="47"/>
  <c r="P289" i="47"/>
  <c r="L289" i="47"/>
  <c r="M289" i="47"/>
  <c r="N289" i="47"/>
  <c r="K289" i="47"/>
  <c r="G289" i="47"/>
  <c r="E289" i="47"/>
  <c r="Q288" i="47"/>
  <c r="P288" i="47"/>
  <c r="L288" i="47"/>
  <c r="M288" i="47"/>
  <c r="N288" i="47" s="1"/>
  <c r="K288" i="47"/>
  <c r="G288" i="47"/>
  <c r="E288" i="47"/>
  <c r="Q287" i="47"/>
  <c r="P287" i="47"/>
  <c r="L287" i="47"/>
  <c r="M287" i="47" s="1"/>
  <c r="N287" i="47" s="1"/>
  <c r="K287" i="47"/>
  <c r="G287" i="47"/>
  <c r="E287" i="47"/>
  <c r="Q286" i="47"/>
  <c r="P286" i="47"/>
  <c r="L286" i="47"/>
  <c r="M286" i="47"/>
  <c r="N286" i="47"/>
  <c r="K286" i="47"/>
  <c r="G286" i="47"/>
  <c r="E286" i="47"/>
  <c r="Q285" i="47"/>
  <c r="P285" i="47"/>
  <c r="L285" i="47"/>
  <c r="M285" i="47" s="1"/>
  <c r="N285" i="47" s="1"/>
  <c r="K285" i="47"/>
  <c r="G285" i="47"/>
  <c r="E285" i="47"/>
  <c r="Q284" i="47"/>
  <c r="P284" i="47"/>
  <c r="L284" i="47"/>
  <c r="M284" i="47"/>
  <c r="N284" i="47" s="1"/>
  <c r="K284" i="47"/>
  <c r="G284" i="47"/>
  <c r="E284" i="47"/>
  <c r="Q283" i="47"/>
  <c r="P283" i="47"/>
  <c r="L283" i="47"/>
  <c r="M283" i="47" s="1"/>
  <c r="N283" i="47" s="1"/>
  <c r="K283" i="47"/>
  <c r="G283" i="47"/>
  <c r="E283" i="47"/>
  <c r="Q282" i="47"/>
  <c r="P282" i="47"/>
  <c r="L282" i="47"/>
  <c r="M282" i="47" s="1"/>
  <c r="N282" i="47" s="1"/>
  <c r="K282" i="47"/>
  <c r="G282" i="47"/>
  <c r="E282" i="47"/>
  <c r="Q281" i="47"/>
  <c r="P281" i="47"/>
  <c r="L281" i="47"/>
  <c r="M281" i="47" s="1"/>
  <c r="N281" i="47" s="1"/>
  <c r="K281" i="47"/>
  <c r="G281" i="47"/>
  <c r="E281" i="47"/>
  <c r="Q280" i="47"/>
  <c r="P280" i="47"/>
  <c r="L280" i="47"/>
  <c r="M280" i="47" s="1"/>
  <c r="N280" i="47"/>
  <c r="K280" i="47"/>
  <c r="Q279" i="47"/>
  <c r="P279" i="47"/>
  <c r="L279" i="47"/>
  <c r="M279" i="47" s="1"/>
  <c r="N279" i="47" s="1"/>
  <c r="Q278" i="47"/>
  <c r="P278" i="47"/>
  <c r="L278" i="47"/>
  <c r="M278" i="47" s="1"/>
  <c r="N278" i="47" s="1"/>
  <c r="Q277" i="47"/>
  <c r="P277" i="47"/>
  <c r="L277" i="47"/>
  <c r="M277" i="47" s="1"/>
  <c r="N277" i="47" s="1"/>
  <c r="Q276" i="47"/>
  <c r="P276" i="47"/>
  <c r="L276" i="47"/>
  <c r="M276" i="47" s="1"/>
  <c r="N276" i="47" s="1"/>
  <c r="Q275" i="47"/>
  <c r="P275" i="47"/>
  <c r="L275" i="47"/>
  <c r="M275" i="47" s="1"/>
  <c r="N275" i="47" s="1"/>
  <c r="G275" i="47"/>
  <c r="E275" i="47"/>
  <c r="Q274" i="47"/>
  <c r="P274" i="47"/>
  <c r="L274" i="47"/>
  <c r="M274" i="47"/>
  <c r="N274" i="47" s="1"/>
  <c r="K274" i="47"/>
  <c r="G274" i="47"/>
  <c r="E274" i="47"/>
  <c r="Q273" i="47"/>
  <c r="P273" i="47"/>
  <c r="L273" i="47"/>
  <c r="M273" i="47" s="1"/>
  <c r="N273" i="47" s="1"/>
  <c r="K273" i="47"/>
  <c r="G273" i="47"/>
  <c r="E273" i="47"/>
  <c r="Q272" i="47"/>
  <c r="P272" i="47"/>
  <c r="L272" i="47"/>
  <c r="M272" i="47" s="1"/>
  <c r="N272" i="47" s="1"/>
  <c r="K272" i="47"/>
  <c r="G272" i="47"/>
  <c r="E272" i="47"/>
  <c r="Q271" i="47"/>
  <c r="P271" i="47"/>
  <c r="L271" i="47"/>
  <c r="M271" i="47" s="1"/>
  <c r="N271" i="47" s="1"/>
  <c r="K271" i="47"/>
  <c r="G271" i="47"/>
  <c r="E271" i="47"/>
  <c r="Q270" i="47"/>
  <c r="P270" i="47"/>
  <c r="L270" i="47"/>
  <c r="M270" i="47" s="1"/>
  <c r="N270" i="47" s="1"/>
  <c r="K270" i="47"/>
  <c r="G270" i="47"/>
  <c r="E270" i="47"/>
  <c r="Q269" i="47"/>
  <c r="P269" i="47"/>
  <c r="L269" i="47"/>
  <c r="M269" i="47"/>
  <c r="N269" i="47" s="1"/>
  <c r="K269" i="47"/>
  <c r="G269" i="47"/>
  <c r="E269" i="47"/>
  <c r="Q268" i="47"/>
  <c r="P268" i="47"/>
  <c r="L268" i="47"/>
  <c r="M268" i="47" s="1"/>
  <c r="N268" i="47" s="1"/>
  <c r="K268" i="47"/>
  <c r="G268" i="47"/>
  <c r="E268" i="47"/>
  <c r="Q267" i="47"/>
  <c r="P267" i="47"/>
  <c r="L267" i="47"/>
  <c r="M267" i="47" s="1"/>
  <c r="N267" i="47" s="1"/>
  <c r="K267" i="47"/>
  <c r="G267" i="47"/>
  <c r="E267" i="47"/>
  <c r="Q266" i="47"/>
  <c r="P266" i="47"/>
  <c r="L266" i="47"/>
  <c r="M266" i="47"/>
  <c r="N266" i="47" s="1"/>
  <c r="K266" i="47"/>
  <c r="G266" i="47"/>
  <c r="E266" i="47"/>
  <c r="Q265" i="47"/>
  <c r="P265" i="47"/>
  <c r="L265" i="47"/>
  <c r="M265" i="47" s="1"/>
  <c r="N265" i="47" s="1"/>
  <c r="K265" i="47"/>
  <c r="G265" i="47"/>
  <c r="E265" i="47"/>
  <c r="Q264" i="47"/>
  <c r="P264" i="47"/>
  <c r="L264" i="47"/>
  <c r="M264" i="47" s="1"/>
  <c r="N264" i="47" s="1"/>
  <c r="K264" i="47"/>
  <c r="G264" i="47"/>
  <c r="E264" i="47"/>
  <c r="Q263" i="47"/>
  <c r="P263" i="47"/>
  <c r="L263" i="47"/>
  <c r="M263" i="47"/>
  <c r="N263" i="47" s="1"/>
  <c r="K263" i="47"/>
  <c r="G263" i="47"/>
  <c r="E263" i="47"/>
  <c r="Q262" i="47"/>
  <c r="P262" i="47"/>
  <c r="L262" i="47"/>
  <c r="M262" i="47" s="1"/>
  <c r="N262" i="47" s="1"/>
  <c r="K262" i="47"/>
  <c r="G262" i="47"/>
  <c r="E262" i="47"/>
  <c r="Q261" i="47"/>
  <c r="P261" i="47"/>
  <c r="L261" i="47"/>
  <c r="M261" i="47" s="1"/>
  <c r="N261" i="47" s="1"/>
  <c r="K261" i="47"/>
  <c r="G261" i="47"/>
  <c r="E261" i="47"/>
  <c r="Q260" i="47"/>
  <c r="P260" i="47"/>
  <c r="L260" i="47"/>
  <c r="M260" i="47"/>
  <c r="N260" i="47" s="1"/>
  <c r="K260" i="47"/>
  <c r="G260" i="47"/>
  <c r="E260" i="47"/>
  <c r="Q259" i="47"/>
  <c r="P259" i="47"/>
  <c r="L259" i="47"/>
  <c r="M259" i="47"/>
  <c r="N259" i="47" s="1"/>
  <c r="K259" i="47"/>
  <c r="G259" i="47"/>
  <c r="E259" i="47"/>
  <c r="Q258" i="47"/>
  <c r="P258" i="47"/>
  <c r="L258" i="47"/>
  <c r="M258" i="47" s="1"/>
  <c r="N258" i="47" s="1"/>
  <c r="K258" i="47"/>
  <c r="G258" i="47"/>
  <c r="E258" i="47"/>
  <c r="Q257" i="47"/>
  <c r="P257" i="47"/>
  <c r="L257" i="47"/>
  <c r="M257" i="47"/>
  <c r="N257" i="47"/>
  <c r="K257" i="47"/>
  <c r="G257" i="47"/>
  <c r="E257" i="47"/>
  <c r="Q256" i="47"/>
  <c r="P256" i="47"/>
  <c r="L256" i="47"/>
  <c r="M256" i="47" s="1"/>
  <c r="N256" i="47" s="1"/>
  <c r="K256" i="47"/>
  <c r="G256" i="47"/>
  <c r="E256" i="47"/>
  <c r="Q255" i="47"/>
  <c r="P255" i="47"/>
  <c r="L255" i="47"/>
  <c r="M255" i="47" s="1"/>
  <c r="N255" i="47" s="1"/>
  <c r="K255" i="47"/>
  <c r="G255" i="47"/>
  <c r="E255" i="47"/>
  <c r="Q254" i="47"/>
  <c r="P254" i="47"/>
  <c r="L254" i="47"/>
  <c r="M254" i="47"/>
  <c r="N254" i="47" s="1"/>
  <c r="K254" i="47"/>
  <c r="G254" i="47"/>
  <c r="E254" i="47"/>
  <c r="Q253" i="47"/>
  <c r="P253" i="47"/>
  <c r="L253" i="47"/>
  <c r="M253" i="47"/>
  <c r="N253" i="47" s="1"/>
  <c r="K253" i="47"/>
  <c r="G253" i="47"/>
  <c r="E253" i="47"/>
  <c r="Q252" i="47"/>
  <c r="P252" i="47"/>
  <c r="L252" i="47"/>
  <c r="M252" i="47"/>
  <c r="N252" i="47" s="1"/>
  <c r="K252" i="47"/>
  <c r="G252" i="47"/>
  <c r="E252" i="47"/>
  <c r="Q251" i="47"/>
  <c r="P251" i="47"/>
  <c r="L251" i="47"/>
  <c r="M251" i="47"/>
  <c r="N251" i="47"/>
  <c r="K251" i="47"/>
  <c r="G251" i="47"/>
  <c r="E251" i="47"/>
  <c r="Q250" i="47"/>
  <c r="P250" i="47"/>
  <c r="L250" i="47"/>
  <c r="M250" i="47" s="1"/>
  <c r="N250" i="47" s="1"/>
  <c r="K250" i="47"/>
  <c r="G250" i="47"/>
  <c r="E250" i="47"/>
  <c r="Q249" i="47"/>
  <c r="P249" i="47"/>
  <c r="L249" i="47"/>
  <c r="M249" i="47" s="1"/>
  <c r="N249" i="47" s="1"/>
  <c r="K249" i="47"/>
  <c r="G249" i="47"/>
  <c r="E249" i="47"/>
  <c r="Q248" i="47"/>
  <c r="P248" i="47"/>
  <c r="L248" i="47"/>
  <c r="M248" i="47" s="1"/>
  <c r="N248" i="47" s="1"/>
  <c r="K248" i="47"/>
  <c r="G248" i="47"/>
  <c r="E248" i="47"/>
  <c r="Q247" i="47"/>
  <c r="P247" i="47"/>
  <c r="L247" i="47"/>
  <c r="M247" i="47" s="1"/>
  <c r="N247" i="47" s="1"/>
  <c r="K247" i="47"/>
  <c r="G247" i="47"/>
  <c r="E247" i="47"/>
  <c r="Q246" i="47"/>
  <c r="P246" i="47"/>
  <c r="L246" i="47"/>
  <c r="M246" i="47"/>
  <c r="N246" i="47" s="1"/>
  <c r="K246" i="47"/>
  <c r="G246" i="47"/>
  <c r="E246" i="47"/>
  <c r="Q245" i="47"/>
  <c r="P245" i="47"/>
  <c r="L245" i="47"/>
  <c r="M245" i="47" s="1"/>
  <c r="N245" i="47"/>
  <c r="K245" i="47"/>
  <c r="G245" i="47"/>
  <c r="E245" i="47"/>
  <c r="Q244" i="47"/>
  <c r="P244" i="47"/>
  <c r="M244" i="47"/>
  <c r="N244" i="47" s="1"/>
  <c r="L244" i="47"/>
  <c r="K244" i="47"/>
  <c r="G244" i="47"/>
  <c r="E244" i="47"/>
  <c r="Q243" i="47"/>
  <c r="P243" i="47"/>
  <c r="L243" i="47"/>
  <c r="M243" i="47" s="1"/>
  <c r="N243" i="47" s="1"/>
  <c r="K243" i="47"/>
  <c r="G243" i="47"/>
  <c r="E243" i="47"/>
  <c r="Q242" i="47"/>
  <c r="P242" i="47"/>
  <c r="L242" i="47"/>
  <c r="M242" i="47"/>
  <c r="N242" i="47" s="1"/>
  <c r="K242" i="47"/>
  <c r="G242" i="47"/>
  <c r="E242" i="47"/>
  <c r="Q241" i="47"/>
  <c r="P241" i="47"/>
  <c r="L241" i="47"/>
  <c r="M241" i="47" s="1"/>
  <c r="N241" i="47" s="1"/>
  <c r="K241" i="47"/>
  <c r="G241" i="47"/>
  <c r="E241" i="47"/>
  <c r="Q240" i="47"/>
  <c r="P240" i="47"/>
  <c r="L240" i="47"/>
  <c r="M240" i="47" s="1"/>
  <c r="N240" i="47" s="1"/>
  <c r="K240" i="47"/>
  <c r="G240" i="47"/>
  <c r="E240" i="47"/>
  <c r="Q239" i="47"/>
  <c r="P239" i="47"/>
  <c r="L239" i="47"/>
  <c r="M239" i="47"/>
  <c r="N239" i="47" s="1"/>
  <c r="K239" i="47"/>
  <c r="G239" i="47"/>
  <c r="E239" i="47"/>
  <c r="Q238" i="47"/>
  <c r="P238" i="47"/>
  <c r="L238" i="47"/>
  <c r="M238" i="47" s="1"/>
  <c r="N238" i="47" s="1"/>
  <c r="K238" i="47"/>
  <c r="G238" i="47"/>
  <c r="E238" i="47"/>
  <c r="Q237" i="47"/>
  <c r="P237" i="47"/>
  <c r="L237" i="47"/>
  <c r="M237" i="47" s="1"/>
  <c r="N237" i="47" s="1"/>
  <c r="K237" i="47"/>
  <c r="G237" i="47"/>
  <c r="E237" i="47"/>
  <c r="Q236" i="47"/>
  <c r="P236" i="47"/>
  <c r="L236" i="47"/>
  <c r="M236" i="47"/>
  <c r="N236" i="47" s="1"/>
  <c r="K236" i="47"/>
  <c r="G236" i="47"/>
  <c r="E236" i="47"/>
  <c r="Q235" i="47"/>
  <c r="P235" i="47"/>
  <c r="L235" i="47"/>
  <c r="M235" i="47"/>
  <c r="N235" i="47" s="1"/>
  <c r="K235" i="47"/>
  <c r="G235" i="47"/>
  <c r="E235" i="47"/>
  <c r="Q234" i="47"/>
  <c r="P234" i="47"/>
  <c r="L234" i="47"/>
  <c r="M234" i="47"/>
  <c r="N234" i="47" s="1"/>
  <c r="K234" i="47"/>
  <c r="G234" i="47"/>
  <c r="E234" i="47"/>
  <c r="Q233" i="47"/>
  <c r="P233" i="47"/>
  <c r="L233" i="47"/>
  <c r="M233" i="47" s="1"/>
  <c r="N233" i="47" s="1"/>
  <c r="K233" i="47"/>
  <c r="G233" i="47"/>
  <c r="E233" i="47"/>
  <c r="Q232" i="47"/>
  <c r="P232" i="47"/>
  <c r="L232" i="47"/>
  <c r="M232" i="47" s="1"/>
  <c r="N232" i="47" s="1"/>
  <c r="K232" i="47"/>
  <c r="G232" i="47"/>
  <c r="E232" i="47"/>
  <c r="Q231" i="47"/>
  <c r="P231" i="47"/>
  <c r="L231" i="47"/>
  <c r="M231" i="47" s="1"/>
  <c r="N231" i="47" s="1"/>
  <c r="K231" i="47"/>
  <c r="G231" i="47"/>
  <c r="E231" i="47"/>
  <c r="Q230" i="47"/>
  <c r="P230" i="47"/>
  <c r="L230" i="47"/>
  <c r="M230" i="47"/>
  <c r="N230" i="47" s="1"/>
  <c r="K230" i="47"/>
  <c r="G230" i="47"/>
  <c r="E230" i="47"/>
  <c r="Q229" i="47"/>
  <c r="P229" i="47"/>
  <c r="L229" i="47"/>
  <c r="M229" i="47"/>
  <c r="N229" i="47" s="1"/>
  <c r="K229" i="47"/>
  <c r="G229" i="47"/>
  <c r="E229" i="47"/>
  <c r="Q228" i="47"/>
  <c r="P228" i="47"/>
  <c r="L228" i="47"/>
  <c r="M228" i="47"/>
  <c r="N228" i="47" s="1"/>
  <c r="K228" i="47"/>
  <c r="G228" i="47"/>
  <c r="E228" i="47"/>
  <c r="Q227" i="47"/>
  <c r="P227" i="47"/>
  <c r="L227" i="47"/>
  <c r="M227" i="47" s="1"/>
  <c r="N227" i="47" s="1"/>
  <c r="K227" i="47"/>
  <c r="G227" i="47"/>
  <c r="E227" i="47"/>
  <c r="Q226" i="47"/>
  <c r="P226" i="47"/>
  <c r="L226" i="47"/>
  <c r="M226" i="47" s="1"/>
  <c r="N226" i="47" s="1"/>
  <c r="K226" i="47"/>
  <c r="G226" i="47"/>
  <c r="E226" i="47"/>
  <c r="Q225" i="47"/>
  <c r="P225" i="47"/>
  <c r="L225" i="47"/>
  <c r="M225" i="47"/>
  <c r="N225" i="47" s="1"/>
  <c r="K225" i="47"/>
  <c r="G225" i="47"/>
  <c r="E225" i="47"/>
  <c r="Q224" i="47"/>
  <c r="P224" i="47"/>
  <c r="L224" i="47"/>
  <c r="M224" i="47" s="1"/>
  <c r="N224" i="47" s="1"/>
  <c r="K224" i="47"/>
  <c r="G224" i="47"/>
  <c r="E224" i="47"/>
  <c r="Q223" i="47"/>
  <c r="P223" i="47"/>
  <c r="L223" i="47"/>
  <c r="M223" i="47"/>
  <c r="N223" i="47" s="1"/>
  <c r="K223" i="47"/>
  <c r="G223" i="47"/>
  <c r="E223" i="47"/>
  <c r="Q222" i="47"/>
  <c r="P222" i="47"/>
  <c r="L222" i="47"/>
  <c r="M222" i="47" s="1"/>
  <c r="N222" i="47" s="1"/>
  <c r="K222" i="47"/>
  <c r="G222" i="47"/>
  <c r="E222" i="47"/>
  <c r="Q221" i="47"/>
  <c r="P221" i="47"/>
  <c r="L221" i="47"/>
  <c r="M221" i="47" s="1"/>
  <c r="N221" i="47" s="1"/>
  <c r="K221" i="47"/>
  <c r="G221" i="47"/>
  <c r="E221" i="47"/>
  <c r="Q220" i="47"/>
  <c r="P220" i="47"/>
  <c r="L220" i="47"/>
  <c r="M220" i="47" s="1"/>
  <c r="N220" i="47" s="1"/>
  <c r="K220" i="47"/>
  <c r="G220" i="47"/>
  <c r="E220" i="47"/>
  <c r="Q219" i="47"/>
  <c r="P219" i="47"/>
  <c r="L219" i="47"/>
  <c r="M219" i="47" s="1"/>
  <c r="N219" i="47" s="1"/>
  <c r="K219" i="47"/>
  <c r="G219" i="47"/>
  <c r="E219" i="47"/>
  <c r="Q218" i="47"/>
  <c r="P218" i="47"/>
  <c r="L218" i="47"/>
  <c r="M218" i="47" s="1"/>
  <c r="N218" i="47" s="1"/>
  <c r="K218" i="47"/>
  <c r="G218" i="47"/>
  <c r="E218" i="47"/>
  <c r="Q217" i="47"/>
  <c r="P217" i="47"/>
  <c r="L217" i="47"/>
  <c r="M217" i="47" s="1"/>
  <c r="N217" i="47" s="1"/>
  <c r="K217" i="47"/>
  <c r="G217" i="47"/>
  <c r="E217" i="47"/>
  <c r="Q216" i="47"/>
  <c r="P216" i="47"/>
  <c r="L216" i="47"/>
  <c r="M216" i="47" s="1"/>
  <c r="N216" i="47" s="1"/>
  <c r="K216" i="47"/>
  <c r="G216" i="47"/>
  <c r="E216" i="47"/>
  <c r="Q215" i="47"/>
  <c r="P215" i="47"/>
  <c r="L215" i="47"/>
  <c r="M215" i="47" s="1"/>
  <c r="N215" i="47" s="1"/>
  <c r="K215" i="47"/>
  <c r="G215" i="47"/>
  <c r="E215" i="47"/>
  <c r="Q214" i="47"/>
  <c r="P214" i="47"/>
  <c r="L214" i="47"/>
  <c r="M214" i="47" s="1"/>
  <c r="N214" i="47" s="1"/>
  <c r="K214" i="47"/>
  <c r="G214" i="47"/>
  <c r="E214" i="47"/>
  <c r="Q213" i="47"/>
  <c r="P213" i="47"/>
  <c r="L213" i="47"/>
  <c r="M213" i="47" s="1"/>
  <c r="N213" i="47" s="1"/>
  <c r="K213" i="47"/>
  <c r="G213" i="47"/>
  <c r="E213" i="47"/>
  <c r="Q212" i="47"/>
  <c r="P212" i="47"/>
  <c r="L212" i="47"/>
  <c r="M212" i="47" s="1"/>
  <c r="N212" i="47" s="1"/>
  <c r="K212" i="47"/>
  <c r="G212" i="47"/>
  <c r="E212" i="47"/>
  <c r="Q211" i="47"/>
  <c r="P211" i="47"/>
  <c r="L211" i="47"/>
  <c r="M211" i="47"/>
  <c r="N211" i="47" s="1"/>
  <c r="K211" i="47"/>
  <c r="G211" i="47"/>
  <c r="E211" i="47"/>
  <c r="Q210" i="47"/>
  <c r="P210" i="47"/>
  <c r="L210" i="47"/>
  <c r="M210" i="47" s="1"/>
  <c r="N210" i="47" s="1"/>
  <c r="K210" i="47"/>
  <c r="G210" i="47"/>
  <c r="E210" i="47"/>
  <c r="Q209" i="47"/>
  <c r="P209" i="47"/>
  <c r="L209" i="47"/>
  <c r="M209" i="47" s="1"/>
  <c r="N209" i="47" s="1"/>
  <c r="K209" i="47"/>
  <c r="G209" i="47"/>
  <c r="E209" i="47"/>
  <c r="Q208" i="47"/>
  <c r="P208" i="47"/>
  <c r="L208" i="47"/>
  <c r="M208" i="47" s="1"/>
  <c r="N208" i="47" s="1"/>
  <c r="K208" i="47"/>
  <c r="G208" i="47"/>
  <c r="E208" i="47"/>
  <c r="Q207" i="47"/>
  <c r="P207" i="47"/>
  <c r="L207" i="47"/>
  <c r="M207" i="47" s="1"/>
  <c r="N207" i="47" s="1"/>
  <c r="K207" i="47"/>
  <c r="G207" i="47"/>
  <c r="E207" i="47"/>
  <c r="Q206" i="47"/>
  <c r="P206" i="47"/>
  <c r="L206" i="47"/>
  <c r="M206" i="47" s="1"/>
  <c r="N206" i="47" s="1"/>
  <c r="K206" i="47"/>
  <c r="G206" i="47"/>
  <c r="E206" i="47"/>
  <c r="Q205" i="47"/>
  <c r="P205" i="47"/>
  <c r="L205" i="47"/>
  <c r="M205" i="47"/>
  <c r="N205" i="47" s="1"/>
  <c r="K205" i="47"/>
  <c r="G205" i="47"/>
  <c r="E205" i="47"/>
  <c r="Q204" i="47"/>
  <c r="P204" i="47"/>
  <c r="L204" i="47"/>
  <c r="M204" i="47" s="1"/>
  <c r="N204" i="47" s="1"/>
  <c r="K204" i="47"/>
  <c r="G204" i="47"/>
  <c r="E204" i="47"/>
  <c r="Q203" i="47"/>
  <c r="P203" i="47"/>
  <c r="L203" i="47"/>
  <c r="M203" i="47" s="1"/>
  <c r="N203" i="47" s="1"/>
  <c r="K203" i="47"/>
  <c r="G203" i="47"/>
  <c r="E203" i="47"/>
  <c r="Q202" i="47"/>
  <c r="P202" i="47"/>
  <c r="L202" i="47"/>
  <c r="M202" i="47" s="1"/>
  <c r="N202" i="47" s="1"/>
  <c r="K202" i="47"/>
  <c r="G202" i="47"/>
  <c r="E202" i="47"/>
  <c r="Q201" i="47"/>
  <c r="P201" i="47"/>
  <c r="L201" i="47"/>
  <c r="M201" i="47" s="1"/>
  <c r="N201" i="47" s="1"/>
  <c r="K201" i="47"/>
  <c r="G201" i="47"/>
  <c r="E201" i="47"/>
  <c r="Q200" i="47"/>
  <c r="P200" i="47"/>
  <c r="L200" i="47"/>
  <c r="M200" i="47" s="1"/>
  <c r="N200" i="47" s="1"/>
  <c r="K200" i="47"/>
  <c r="G200" i="47"/>
  <c r="E200" i="47"/>
  <c r="U199" i="47"/>
  <c r="T199" i="47"/>
  <c r="S199" i="47"/>
  <c r="Q199" i="47"/>
  <c r="P199" i="47"/>
  <c r="L199" i="47"/>
  <c r="M199" i="47" s="1"/>
  <c r="N199" i="47" s="1"/>
  <c r="Q198" i="47"/>
  <c r="P198" i="47"/>
  <c r="L198" i="47"/>
  <c r="M198" i="47" s="1"/>
  <c r="N198" i="47" s="1"/>
  <c r="K198" i="47"/>
  <c r="G198" i="47"/>
  <c r="E198" i="47"/>
  <c r="Q197" i="47"/>
  <c r="P197" i="47"/>
  <c r="L197" i="47"/>
  <c r="M197" i="47" s="1"/>
  <c r="N197" i="47" s="1"/>
  <c r="K197" i="47"/>
  <c r="G197" i="47"/>
  <c r="E197" i="47"/>
  <c r="Q196" i="47"/>
  <c r="P196" i="47"/>
  <c r="L196" i="47"/>
  <c r="M196" i="47" s="1"/>
  <c r="N196" i="47" s="1"/>
  <c r="K196" i="47"/>
  <c r="G196" i="47"/>
  <c r="E196" i="47"/>
  <c r="Q195" i="47"/>
  <c r="P195" i="47"/>
  <c r="L195" i="47"/>
  <c r="M195" i="47" s="1"/>
  <c r="N195" i="47" s="1"/>
  <c r="K195" i="47"/>
  <c r="G195" i="47"/>
  <c r="E195" i="47"/>
  <c r="T194" i="47"/>
  <c r="S194" i="47"/>
  <c r="Q194" i="47"/>
  <c r="P194" i="47"/>
  <c r="L194" i="47"/>
  <c r="G194" i="47"/>
  <c r="E194" i="47"/>
  <c r="Q193" i="47"/>
  <c r="P193" i="47"/>
  <c r="L193" i="47"/>
  <c r="M193" i="47" s="1"/>
  <c r="N193" i="47" s="1"/>
  <c r="K193" i="47"/>
  <c r="G193" i="47"/>
  <c r="E193" i="47"/>
  <c r="Q192" i="47"/>
  <c r="P192" i="47"/>
  <c r="L192" i="47"/>
  <c r="M192" i="47" s="1"/>
  <c r="N192" i="47" s="1"/>
  <c r="K192" i="47"/>
  <c r="G192" i="47"/>
  <c r="E192" i="47"/>
  <c r="Q191" i="47"/>
  <c r="P191" i="47"/>
  <c r="L191" i="47"/>
  <c r="M191" i="47" s="1"/>
  <c r="N191" i="47" s="1"/>
  <c r="K191" i="47"/>
  <c r="G191" i="47"/>
  <c r="E191" i="47"/>
  <c r="Q190" i="47"/>
  <c r="P190" i="47"/>
  <c r="L190" i="47"/>
  <c r="M190" i="47" s="1"/>
  <c r="N190" i="47" s="1"/>
  <c r="K190" i="47"/>
  <c r="G190" i="47"/>
  <c r="E190" i="47"/>
  <c r="Q189" i="47"/>
  <c r="P189" i="47"/>
  <c r="L189" i="47"/>
  <c r="M189" i="47" s="1"/>
  <c r="N189" i="47" s="1"/>
  <c r="K189" i="47"/>
  <c r="G189" i="47"/>
  <c r="E189" i="47"/>
  <c r="U188" i="47"/>
  <c r="T188" i="47"/>
  <c r="S188" i="47"/>
  <c r="Q188" i="47"/>
  <c r="P188" i="47"/>
  <c r="L188" i="47"/>
  <c r="M188" i="47" s="1"/>
  <c r="N188" i="47" s="1"/>
  <c r="K188" i="47"/>
  <c r="G188" i="47"/>
  <c r="E188" i="47"/>
  <c r="Q187" i="47"/>
  <c r="P187" i="47"/>
  <c r="L187" i="47"/>
  <c r="M187" i="47" s="1"/>
  <c r="N187" i="47" s="1"/>
  <c r="K187" i="47"/>
  <c r="G187" i="47"/>
  <c r="E187" i="47"/>
  <c r="Q186" i="47"/>
  <c r="P186" i="47"/>
  <c r="L186" i="47"/>
  <c r="M186" i="47" s="1"/>
  <c r="N186" i="47" s="1"/>
  <c r="K186" i="47"/>
  <c r="G186" i="47"/>
  <c r="E186" i="47"/>
  <c r="U185" i="47"/>
  <c r="T185" i="47"/>
  <c r="S185" i="47"/>
  <c r="Q185" i="47"/>
  <c r="P185" i="47"/>
  <c r="L185" i="47"/>
  <c r="M185" i="47" s="1"/>
  <c r="N185" i="47" s="1"/>
  <c r="K185" i="47"/>
  <c r="G185" i="47"/>
  <c r="E185" i="47"/>
  <c r="U184" i="47"/>
  <c r="T184" i="47"/>
  <c r="S184" i="47"/>
  <c r="Q184" i="47"/>
  <c r="P184" i="47"/>
  <c r="L184" i="47"/>
  <c r="M184" i="47"/>
  <c r="N184" i="47" s="1"/>
  <c r="K184" i="47"/>
  <c r="G184" i="47"/>
  <c r="E184" i="47"/>
  <c r="Q183" i="47"/>
  <c r="P183" i="47"/>
  <c r="L183" i="47"/>
  <c r="M183" i="47" s="1"/>
  <c r="N183" i="47" s="1"/>
  <c r="K183" i="47"/>
  <c r="G183" i="47"/>
  <c r="E183" i="47"/>
  <c r="Q182" i="47"/>
  <c r="P182" i="47"/>
  <c r="L182" i="47"/>
  <c r="K182" i="47"/>
  <c r="G182" i="47"/>
  <c r="E182" i="47"/>
  <c r="Q181" i="47"/>
  <c r="P181" i="47"/>
  <c r="L181" i="47"/>
  <c r="M181" i="47"/>
  <c r="N181" i="47" s="1"/>
  <c r="K181" i="47"/>
  <c r="G181" i="47"/>
  <c r="E181" i="47"/>
  <c r="Q180" i="47"/>
  <c r="P180" i="47"/>
  <c r="L180" i="47"/>
  <c r="M180" i="47"/>
  <c r="N180" i="47" s="1"/>
  <c r="K180" i="47"/>
  <c r="G180" i="47"/>
  <c r="E180" i="47"/>
  <c r="Q179" i="47"/>
  <c r="P179" i="47"/>
  <c r="L179" i="47"/>
  <c r="M179" i="47"/>
  <c r="N179" i="47" s="1"/>
  <c r="K179" i="47"/>
  <c r="G179" i="47"/>
  <c r="E179" i="47"/>
  <c r="Q178" i="47"/>
  <c r="P178" i="47"/>
  <c r="L178" i="47"/>
  <c r="M178" i="47"/>
  <c r="N178" i="47" s="1"/>
  <c r="K178" i="47"/>
  <c r="G178" i="47"/>
  <c r="E178" i="47"/>
  <c r="U177" i="47"/>
  <c r="T177" i="47"/>
  <c r="S177" i="47"/>
  <c r="Q177" i="47"/>
  <c r="P177" i="47"/>
  <c r="L177" i="47"/>
  <c r="M177" i="47"/>
  <c r="N177" i="47"/>
  <c r="K177" i="47"/>
  <c r="G177" i="47"/>
  <c r="E177" i="47"/>
  <c r="U176" i="47"/>
  <c r="T176" i="47"/>
  <c r="S176" i="47"/>
  <c r="Q176" i="47"/>
  <c r="P176" i="47"/>
  <c r="L176" i="47"/>
  <c r="M176" i="47" s="1"/>
  <c r="N176" i="47" s="1"/>
  <c r="K176" i="47"/>
  <c r="G176" i="47"/>
  <c r="E176" i="47"/>
  <c r="Q175" i="47"/>
  <c r="P175" i="47"/>
  <c r="L175" i="47"/>
  <c r="M175" i="47" s="1"/>
  <c r="N175" i="47" s="1"/>
  <c r="K175" i="47"/>
  <c r="G175" i="47"/>
  <c r="E175" i="47"/>
  <c r="Q174" i="47"/>
  <c r="P174" i="47"/>
  <c r="L174" i="47"/>
  <c r="M174" i="47" s="1"/>
  <c r="N174" i="47" s="1"/>
  <c r="K174" i="47"/>
  <c r="G174" i="47"/>
  <c r="E174" i="47"/>
  <c r="Q173" i="47"/>
  <c r="P173" i="47"/>
  <c r="L173" i="47"/>
  <c r="M173" i="47" s="1"/>
  <c r="N173" i="47" s="1"/>
  <c r="K173" i="47"/>
  <c r="G173" i="47"/>
  <c r="E173" i="47"/>
  <c r="Q172" i="47"/>
  <c r="P172" i="47"/>
  <c r="L172" i="47"/>
  <c r="M172" i="47" s="1"/>
  <c r="N172" i="47" s="1"/>
  <c r="K172" i="47"/>
  <c r="G172" i="47"/>
  <c r="E172" i="47"/>
  <c r="Q171" i="47"/>
  <c r="P171" i="47"/>
  <c r="L171" i="47"/>
  <c r="M171" i="47"/>
  <c r="N171" i="47" s="1"/>
  <c r="K171" i="47"/>
  <c r="G171" i="47"/>
  <c r="E171" i="47"/>
  <c r="U170" i="47"/>
  <c r="T170" i="47"/>
  <c r="S170" i="47"/>
  <c r="Q170" i="47"/>
  <c r="P170" i="47"/>
  <c r="L170" i="47"/>
  <c r="M170" i="47" s="1"/>
  <c r="N170" i="47" s="1"/>
  <c r="K170" i="47"/>
  <c r="G170" i="47"/>
  <c r="E170" i="47"/>
  <c r="Q169" i="47"/>
  <c r="P169" i="47"/>
  <c r="L169" i="47"/>
  <c r="M169" i="47" s="1"/>
  <c r="N169" i="47" s="1"/>
  <c r="K169" i="47"/>
  <c r="G169" i="47"/>
  <c r="E169" i="47"/>
  <c r="Q168" i="47"/>
  <c r="P168" i="47"/>
  <c r="L168" i="47"/>
  <c r="M168" i="47" s="1"/>
  <c r="N168" i="47" s="1"/>
  <c r="K168" i="47"/>
  <c r="G168" i="47"/>
  <c r="E168" i="47"/>
  <c r="Q167" i="47"/>
  <c r="P167" i="47"/>
  <c r="L167" i="47"/>
  <c r="M167" i="47" s="1"/>
  <c r="N167" i="47" s="1"/>
  <c r="K167" i="47"/>
  <c r="G167" i="47"/>
  <c r="E167" i="47"/>
  <c r="Q166" i="47"/>
  <c r="P166" i="47"/>
  <c r="L166" i="47"/>
  <c r="M166" i="47" s="1"/>
  <c r="N166" i="47" s="1"/>
  <c r="K166" i="47"/>
  <c r="G166" i="47"/>
  <c r="E166" i="47"/>
  <c r="Q165" i="47"/>
  <c r="P165" i="47"/>
  <c r="L165" i="47"/>
  <c r="M165" i="47" s="1"/>
  <c r="N165" i="47" s="1"/>
  <c r="K165" i="47"/>
  <c r="G165" i="47"/>
  <c r="E165" i="47"/>
  <c r="Q164" i="47"/>
  <c r="P164" i="47"/>
  <c r="L164" i="47"/>
  <c r="M164" i="47" s="1"/>
  <c r="N164" i="47" s="1"/>
  <c r="K164" i="47"/>
  <c r="G164" i="47"/>
  <c r="E164" i="47"/>
  <c r="Q163" i="47"/>
  <c r="P163" i="47"/>
  <c r="L163" i="47"/>
  <c r="M163" i="47" s="1"/>
  <c r="N163" i="47" s="1"/>
  <c r="K163" i="47"/>
  <c r="G163" i="47"/>
  <c r="E163" i="47"/>
  <c r="Q162" i="47"/>
  <c r="P162" i="47"/>
  <c r="L162" i="47"/>
  <c r="M162" i="47" s="1"/>
  <c r="N162" i="47" s="1"/>
  <c r="K162" i="47"/>
  <c r="G162" i="47"/>
  <c r="E162" i="47"/>
  <c r="Q161" i="47"/>
  <c r="P161" i="47"/>
  <c r="L161" i="47"/>
  <c r="M161" i="47" s="1"/>
  <c r="N161" i="47" s="1"/>
  <c r="K161" i="47"/>
  <c r="G161" i="47"/>
  <c r="E161" i="47"/>
  <c r="Q160" i="47"/>
  <c r="P160" i="47"/>
  <c r="L160" i="47"/>
  <c r="M160" i="47" s="1"/>
  <c r="N160" i="47" s="1"/>
  <c r="K160" i="47"/>
  <c r="G160" i="47"/>
  <c r="E160" i="47"/>
  <c r="Q159" i="47"/>
  <c r="P159" i="47"/>
  <c r="L159" i="47"/>
  <c r="M159" i="47" s="1"/>
  <c r="N159" i="47" s="1"/>
  <c r="K159" i="47"/>
  <c r="G159" i="47"/>
  <c r="E159" i="47"/>
  <c r="Q158" i="47"/>
  <c r="P158" i="47"/>
  <c r="L158" i="47"/>
  <c r="M158" i="47" s="1"/>
  <c r="N158" i="47" s="1"/>
  <c r="K158" i="47"/>
  <c r="G158" i="47"/>
  <c r="E158" i="47"/>
  <c r="Q157" i="47"/>
  <c r="P157" i="47"/>
  <c r="L157" i="47"/>
  <c r="M157" i="47" s="1"/>
  <c r="N157" i="47" s="1"/>
  <c r="K157" i="47"/>
  <c r="G157" i="47"/>
  <c r="E157" i="47"/>
  <c r="U156" i="47"/>
  <c r="T156" i="47"/>
  <c r="S156" i="47"/>
  <c r="Q156" i="47"/>
  <c r="P156" i="47"/>
  <c r="L156" i="47"/>
  <c r="M156" i="47"/>
  <c r="N156" i="47" s="1"/>
  <c r="K156" i="47"/>
  <c r="G156" i="47"/>
  <c r="E156" i="47"/>
  <c r="U155" i="47"/>
  <c r="T155" i="47"/>
  <c r="S155" i="47"/>
  <c r="Q155" i="47"/>
  <c r="P155" i="47"/>
  <c r="L155" i="47"/>
  <c r="M155" i="47" s="1"/>
  <c r="N155" i="47" s="1"/>
  <c r="K155" i="47"/>
  <c r="G155" i="47"/>
  <c r="E155" i="47"/>
  <c r="U154" i="47"/>
  <c r="T154" i="47"/>
  <c r="S154" i="47"/>
  <c r="Q154" i="47"/>
  <c r="P154" i="47"/>
  <c r="L154" i="47"/>
  <c r="M154" i="47"/>
  <c r="N154" i="47" s="1"/>
  <c r="K154" i="47"/>
  <c r="G154" i="47"/>
  <c r="E154" i="47"/>
  <c r="Q153" i="47"/>
  <c r="P153" i="47"/>
  <c r="L153" i="47"/>
  <c r="M153" i="47"/>
  <c r="N153" i="47" s="1"/>
  <c r="K153" i="47"/>
  <c r="G153" i="47"/>
  <c r="E153" i="47"/>
  <c r="Q152" i="47"/>
  <c r="P152" i="47"/>
  <c r="L152" i="47"/>
  <c r="M152" i="47" s="1"/>
  <c r="N152" i="47" s="1"/>
  <c r="K152" i="47"/>
  <c r="G152" i="47"/>
  <c r="E152" i="47"/>
  <c r="Q151" i="47"/>
  <c r="P151" i="47"/>
  <c r="L151" i="47"/>
  <c r="M151" i="47"/>
  <c r="N151" i="47" s="1"/>
  <c r="K151" i="47"/>
  <c r="G151" i="47"/>
  <c r="E151" i="47"/>
  <c r="Q150" i="47"/>
  <c r="P150" i="47"/>
  <c r="L150" i="47"/>
  <c r="M150" i="47"/>
  <c r="N150" i="47" s="1"/>
  <c r="K150" i="47"/>
  <c r="G150" i="47"/>
  <c r="E150" i="47"/>
  <c r="Q149" i="47"/>
  <c r="P149" i="47"/>
  <c r="L149" i="47"/>
  <c r="M149" i="47" s="1"/>
  <c r="N149" i="47" s="1"/>
  <c r="Q148" i="47"/>
  <c r="P148" i="47"/>
  <c r="L148" i="47"/>
  <c r="M148" i="47" s="1"/>
  <c r="N148" i="47" s="1"/>
  <c r="K148" i="47"/>
  <c r="G148" i="47"/>
  <c r="E148" i="47"/>
  <c r="Q147" i="47"/>
  <c r="P147" i="47"/>
  <c r="L147" i="47"/>
  <c r="M147" i="47"/>
  <c r="N147" i="47"/>
  <c r="K147" i="47"/>
  <c r="G147" i="47"/>
  <c r="E147" i="47"/>
  <c r="Q146" i="47"/>
  <c r="P146" i="47"/>
  <c r="L146" i="47"/>
  <c r="M146" i="47" s="1"/>
  <c r="N146" i="47" s="1"/>
  <c r="K146" i="47"/>
  <c r="G146" i="47"/>
  <c r="E146" i="47"/>
  <c r="Q145" i="47"/>
  <c r="P145" i="47"/>
  <c r="L145" i="47"/>
  <c r="M145" i="47" s="1"/>
  <c r="N145" i="47" s="1"/>
  <c r="Q144" i="47"/>
  <c r="P144" i="47"/>
  <c r="L144" i="47"/>
  <c r="M144" i="47"/>
  <c r="N144" i="47" s="1"/>
  <c r="K144" i="47"/>
  <c r="G144" i="47"/>
  <c r="E144" i="47"/>
  <c r="U143" i="47"/>
  <c r="T143" i="47"/>
  <c r="S143" i="47"/>
  <c r="Q143" i="47"/>
  <c r="P143" i="47"/>
  <c r="L143" i="47"/>
  <c r="M143" i="47" s="1"/>
  <c r="N143" i="47" s="1"/>
  <c r="K143" i="47"/>
  <c r="G143" i="47"/>
  <c r="E143" i="47"/>
  <c r="Q142" i="47"/>
  <c r="P142" i="47"/>
  <c r="L142" i="47"/>
  <c r="M142" i="47" s="1"/>
  <c r="N142" i="47" s="1"/>
  <c r="K142" i="47"/>
  <c r="G142" i="47"/>
  <c r="E142" i="47"/>
  <c r="Q141" i="47"/>
  <c r="P141" i="47"/>
  <c r="L141" i="47"/>
  <c r="M141" i="47" s="1"/>
  <c r="N141" i="47"/>
  <c r="K141" i="47"/>
  <c r="G141" i="47"/>
  <c r="E141" i="47"/>
  <c r="Q140" i="47"/>
  <c r="P140" i="47"/>
  <c r="L140" i="47"/>
  <c r="M140" i="47" s="1"/>
  <c r="N140" i="47" s="1"/>
  <c r="K140" i="47"/>
  <c r="G140" i="47"/>
  <c r="E140" i="47"/>
  <c r="Q139" i="47"/>
  <c r="P139" i="47"/>
  <c r="L139" i="47"/>
  <c r="M139" i="47" s="1"/>
  <c r="N139" i="47" s="1"/>
  <c r="K139" i="47"/>
  <c r="G139" i="47"/>
  <c r="E139" i="47"/>
  <c r="U138" i="47"/>
  <c r="T138" i="47"/>
  <c r="S138" i="47"/>
  <c r="Q138" i="47"/>
  <c r="P138" i="47"/>
  <c r="L138" i="47"/>
  <c r="M138" i="47"/>
  <c r="N138" i="47" s="1"/>
  <c r="Q137" i="47"/>
  <c r="P137" i="47"/>
  <c r="L137" i="47"/>
  <c r="M137" i="47" s="1"/>
  <c r="N137" i="47" s="1"/>
  <c r="Q136" i="47"/>
  <c r="P136" i="47"/>
  <c r="L136" i="47"/>
  <c r="M136" i="47"/>
  <c r="N136" i="47" s="1"/>
  <c r="K136" i="47"/>
  <c r="G136" i="47"/>
  <c r="E136" i="47"/>
  <c r="Q135" i="47"/>
  <c r="P135" i="47"/>
  <c r="L135" i="47"/>
  <c r="M135" i="47" s="1"/>
  <c r="N135" i="47" s="1"/>
  <c r="K135" i="47"/>
  <c r="G135" i="47"/>
  <c r="E135" i="47"/>
  <c r="Q134" i="47"/>
  <c r="P134" i="47"/>
  <c r="L134" i="47"/>
  <c r="M134" i="47" s="1"/>
  <c r="N134" i="47" s="1"/>
  <c r="U133" i="47"/>
  <c r="T133" i="47"/>
  <c r="S133" i="47"/>
  <c r="Q133" i="47"/>
  <c r="P133" i="47"/>
  <c r="L133" i="47"/>
  <c r="M133" i="47"/>
  <c r="N133" i="47" s="1"/>
  <c r="K133" i="47"/>
  <c r="G133" i="47"/>
  <c r="E133" i="47"/>
  <c r="Q132" i="47"/>
  <c r="P132" i="47"/>
  <c r="L132" i="47"/>
  <c r="M132" i="47" s="1"/>
  <c r="N132" i="47" s="1"/>
  <c r="K132" i="47"/>
  <c r="G132" i="47"/>
  <c r="E132" i="47"/>
  <c r="Q131" i="47"/>
  <c r="P131" i="47"/>
  <c r="L131" i="47"/>
  <c r="M131" i="47"/>
  <c r="N131" i="47" s="1"/>
  <c r="K131" i="47"/>
  <c r="G131" i="47"/>
  <c r="E131" i="47"/>
  <c r="U130" i="47"/>
  <c r="T130" i="47"/>
  <c r="S130" i="47"/>
  <c r="Q130" i="47"/>
  <c r="P130" i="47"/>
  <c r="L130" i="47"/>
  <c r="M130" i="47" s="1"/>
  <c r="N130" i="47" s="1"/>
  <c r="K130" i="47"/>
  <c r="G130" i="47"/>
  <c r="E130" i="47"/>
  <c r="Q129" i="47"/>
  <c r="P129" i="47"/>
  <c r="L129" i="47"/>
  <c r="M129" i="47" s="1"/>
  <c r="N129" i="47"/>
  <c r="K129" i="47"/>
  <c r="G129" i="47"/>
  <c r="E129" i="47"/>
  <c r="Q128" i="47"/>
  <c r="P128" i="47"/>
  <c r="L128" i="47"/>
  <c r="M128" i="47" s="1"/>
  <c r="N128" i="47" s="1"/>
  <c r="K128" i="47"/>
  <c r="G128" i="47"/>
  <c r="E128" i="47"/>
  <c r="U127" i="47"/>
  <c r="T127" i="47"/>
  <c r="S127" i="47"/>
  <c r="Q127" i="47"/>
  <c r="P127" i="47"/>
  <c r="L127" i="47"/>
  <c r="M127" i="47" s="1"/>
  <c r="N127" i="47" s="1"/>
  <c r="K127" i="47"/>
  <c r="G127" i="47"/>
  <c r="E127" i="47"/>
  <c r="Q126" i="47"/>
  <c r="P126" i="47"/>
  <c r="L126" i="47"/>
  <c r="M126" i="47"/>
  <c r="N126" i="47" s="1"/>
  <c r="K126" i="47"/>
  <c r="G126" i="47"/>
  <c r="E126" i="47"/>
  <c r="U125" i="47"/>
  <c r="T125" i="47"/>
  <c r="S125" i="47"/>
  <c r="Q125" i="47"/>
  <c r="P125" i="47"/>
  <c r="L125" i="47"/>
  <c r="M125" i="47" s="1"/>
  <c r="N125" i="47" s="1"/>
  <c r="K125" i="47"/>
  <c r="G125" i="47"/>
  <c r="E125" i="47"/>
  <c r="Q124" i="47"/>
  <c r="P124" i="47"/>
  <c r="L124" i="47"/>
  <c r="M124" i="47" s="1"/>
  <c r="N124" i="47" s="1"/>
  <c r="K124" i="47"/>
  <c r="G124" i="47"/>
  <c r="E124" i="47"/>
  <c r="U123" i="47"/>
  <c r="T123" i="47"/>
  <c r="S123" i="47"/>
  <c r="Q123" i="47"/>
  <c r="P123" i="47"/>
  <c r="L123" i="47"/>
  <c r="M123" i="47"/>
  <c r="N123" i="47" s="1"/>
  <c r="K123" i="47"/>
  <c r="G123" i="47"/>
  <c r="E123" i="47"/>
  <c r="Q122" i="47"/>
  <c r="P122" i="47"/>
  <c r="L122" i="47"/>
  <c r="M122" i="47" s="1"/>
  <c r="N122" i="47" s="1"/>
  <c r="K122" i="47"/>
  <c r="G122" i="47"/>
  <c r="E122" i="47"/>
  <c r="Q121" i="47"/>
  <c r="P121" i="47"/>
  <c r="L121" i="47"/>
  <c r="M121" i="47" s="1"/>
  <c r="N121" i="47" s="1"/>
  <c r="K121" i="47"/>
  <c r="G121" i="47"/>
  <c r="E121" i="47"/>
  <c r="U120" i="47"/>
  <c r="T120" i="47"/>
  <c r="S120" i="47"/>
  <c r="Q120" i="47"/>
  <c r="P120" i="47"/>
  <c r="L120" i="47"/>
  <c r="M120" i="47"/>
  <c r="N120" i="47" s="1"/>
  <c r="K120" i="47"/>
  <c r="G120" i="47"/>
  <c r="E120" i="47"/>
  <c r="Q119" i="47"/>
  <c r="P119" i="47"/>
  <c r="L119" i="47"/>
  <c r="K119" i="47"/>
  <c r="G119" i="47"/>
  <c r="E119" i="47"/>
  <c r="Q118" i="47"/>
  <c r="P118" i="47"/>
  <c r="L118" i="47"/>
  <c r="M118" i="47" s="1"/>
  <c r="K118" i="47"/>
  <c r="G118" i="47"/>
  <c r="E118" i="47"/>
  <c r="U117" i="47"/>
  <c r="T117" i="47"/>
  <c r="S117" i="47"/>
  <c r="Q117" i="47"/>
  <c r="P117" i="47"/>
  <c r="L117" i="47"/>
  <c r="M117" i="47" s="1"/>
  <c r="N117" i="47" s="1"/>
  <c r="K117" i="47"/>
  <c r="G117" i="47"/>
  <c r="E117" i="47"/>
  <c r="Q116" i="47"/>
  <c r="P116" i="47"/>
  <c r="L116" i="47"/>
  <c r="M116" i="47" s="1"/>
  <c r="N116" i="47" s="1"/>
  <c r="K116" i="47"/>
  <c r="G116" i="47"/>
  <c r="E116" i="47"/>
  <c r="U115" i="47"/>
  <c r="T115" i="47"/>
  <c r="S115" i="47"/>
  <c r="Q115" i="47"/>
  <c r="P115" i="47"/>
  <c r="L115" i="47"/>
  <c r="M115" i="47"/>
  <c r="N115" i="47" s="1"/>
  <c r="K115" i="47"/>
  <c r="G115" i="47"/>
  <c r="E115" i="47"/>
  <c r="U114" i="47"/>
  <c r="T114" i="47"/>
  <c r="Q114" i="47"/>
  <c r="P114" i="47"/>
  <c r="L114" i="47"/>
  <c r="M114" i="47" s="1"/>
  <c r="N114" i="47" s="1"/>
  <c r="K114" i="47"/>
  <c r="Q113" i="47"/>
  <c r="P113" i="47"/>
  <c r="L113" i="47"/>
  <c r="M113" i="47" s="1"/>
  <c r="N113" i="47" s="1"/>
  <c r="K113" i="47"/>
  <c r="G113" i="47"/>
  <c r="E113" i="47"/>
  <c r="Q112" i="47"/>
  <c r="P112" i="47"/>
  <c r="L112" i="47"/>
  <c r="M112" i="47" s="1"/>
  <c r="N112" i="47" s="1"/>
  <c r="K112" i="47"/>
  <c r="G112" i="47"/>
  <c r="E112" i="47"/>
  <c r="U111" i="47"/>
  <c r="T111" i="47"/>
  <c r="S111" i="47"/>
  <c r="Q111" i="47"/>
  <c r="P111" i="47"/>
  <c r="L111" i="47"/>
  <c r="M111" i="47"/>
  <c r="N111" i="47" s="1"/>
  <c r="K111" i="47"/>
  <c r="G111" i="47"/>
  <c r="E111" i="47"/>
  <c r="Q110" i="47"/>
  <c r="P110" i="47"/>
  <c r="L110" i="47"/>
  <c r="M110" i="47"/>
  <c r="N110" i="47" s="1"/>
  <c r="K110" i="47"/>
  <c r="G110" i="47"/>
  <c r="E110" i="47"/>
  <c r="Q109" i="47"/>
  <c r="P109" i="47"/>
  <c r="L109" i="47"/>
  <c r="M109" i="47" s="1"/>
  <c r="N109" i="47" s="1"/>
  <c r="K109" i="47"/>
  <c r="G109" i="47"/>
  <c r="E109" i="47"/>
  <c r="Q108" i="47"/>
  <c r="P108" i="47"/>
  <c r="L108" i="47"/>
  <c r="M108" i="47"/>
  <c r="N108" i="47" s="1"/>
  <c r="K108" i="47"/>
  <c r="G108" i="47"/>
  <c r="E108" i="47"/>
  <c r="Q107" i="47"/>
  <c r="P107" i="47"/>
  <c r="L107" i="47"/>
  <c r="M107" i="47"/>
  <c r="N107" i="47" s="1"/>
  <c r="K107" i="47"/>
  <c r="G107" i="47"/>
  <c r="E107" i="47"/>
  <c r="Q106" i="47"/>
  <c r="P106" i="47"/>
  <c r="L106" i="47"/>
  <c r="M106" i="47" s="1"/>
  <c r="N106" i="47" s="1"/>
  <c r="K106" i="47"/>
  <c r="G106" i="47"/>
  <c r="E106" i="47"/>
  <c r="U105" i="47"/>
  <c r="T105" i="47"/>
  <c r="S105" i="47"/>
  <c r="Q105" i="47"/>
  <c r="P105" i="47"/>
  <c r="L105" i="47"/>
  <c r="M105" i="47"/>
  <c r="N105" i="47" s="1"/>
  <c r="K105" i="47"/>
  <c r="G105" i="47"/>
  <c r="E105" i="47"/>
  <c r="Q104" i="47"/>
  <c r="P104" i="47"/>
  <c r="L104" i="47"/>
  <c r="M104" i="47" s="1"/>
  <c r="N104" i="47" s="1"/>
  <c r="K104" i="47"/>
  <c r="G104" i="47"/>
  <c r="E104" i="47"/>
  <c r="S103" i="47"/>
  <c r="Q103" i="47"/>
  <c r="P103" i="47"/>
  <c r="E103" i="47"/>
  <c r="Q102" i="47"/>
  <c r="P102" i="47"/>
  <c r="L102" i="47"/>
  <c r="M102" i="47"/>
  <c r="N102" i="47" s="1"/>
  <c r="K102" i="47"/>
  <c r="G102" i="47"/>
  <c r="E102" i="47"/>
  <c r="Q101" i="47"/>
  <c r="P101" i="47"/>
  <c r="L101" i="47"/>
  <c r="M101" i="47" s="1"/>
  <c r="N101" i="47" s="1"/>
  <c r="K101" i="47"/>
  <c r="G101" i="47"/>
  <c r="E101" i="47"/>
  <c r="Q100" i="47"/>
  <c r="P100" i="47"/>
  <c r="L100" i="47"/>
  <c r="M100" i="47"/>
  <c r="N100" i="47" s="1"/>
  <c r="K100" i="47"/>
  <c r="G100" i="47"/>
  <c r="E100" i="47"/>
  <c r="Q99" i="47"/>
  <c r="P99" i="47"/>
  <c r="L99" i="47"/>
  <c r="M99" i="47"/>
  <c r="N99" i="47" s="1"/>
  <c r="K99" i="47"/>
  <c r="G99" i="47"/>
  <c r="E99" i="47"/>
  <c r="U98" i="47"/>
  <c r="T98" i="47"/>
  <c r="S98" i="47"/>
  <c r="Q98" i="47"/>
  <c r="P98" i="47"/>
  <c r="L98" i="47"/>
  <c r="M98" i="47" s="1"/>
  <c r="N98" i="47" s="1"/>
  <c r="K98" i="47"/>
  <c r="G98" i="47"/>
  <c r="E98" i="47"/>
  <c r="Q97" i="47"/>
  <c r="P97" i="47"/>
  <c r="L97" i="47"/>
  <c r="M97" i="47" s="1"/>
  <c r="N97" i="47" s="1"/>
  <c r="K97" i="47"/>
  <c r="G97" i="47"/>
  <c r="E97" i="47"/>
  <c r="U96" i="47"/>
  <c r="T96" i="47"/>
  <c r="S96" i="47"/>
  <c r="Q96" i="47"/>
  <c r="P96" i="47"/>
  <c r="L96" i="47"/>
  <c r="M96" i="47" s="1"/>
  <c r="N96" i="47" s="1"/>
  <c r="K96" i="47"/>
  <c r="G96" i="47"/>
  <c r="E96" i="47"/>
  <c r="Q95" i="47"/>
  <c r="P95" i="47"/>
  <c r="L95" i="47"/>
  <c r="M95" i="47"/>
  <c r="N95" i="47" s="1"/>
  <c r="K95" i="47"/>
  <c r="G95" i="47"/>
  <c r="E95" i="47"/>
  <c r="Q94" i="47"/>
  <c r="P94" i="47"/>
  <c r="L94" i="47"/>
  <c r="M94" i="47" s="1"/>
  <c r="N94" i="47" s="1"/>
  <c r="Q93" i="47"/>
  <c r="P93" i="47"/>
  <c r="L93" i="47"/>
  <c r="M93" i="47" s="1"/>
  <c r="N93" i="47" s="1"/>
  <c r="K93" i="47"/>
  <c r="G93" i="47"/>
  <c r="E93" i="47"/>
  <c r="Q92" i="47"/>
  <c r="P92" i="47"/>
  <c r="L92" i="47"/>
  <c r="M92" i="47" s="1"/>
  <c r="N92" i="47" s="1"/>
  <c r="K92" i="47"/>
  <c r="G92" i="47"/>
  <c r="E92" i="47"/>
  <c r="U91" i="47"/>
  <c r="T91" i="47"/>
  <c r="S91" i="47"/>
  <c r="Q91" i="47"/>
  <c r="P91" i="47"/>
  <c r="L91" i="47"/>
  <c r="M91" i="47" s="1"/>
  <c r="N91" i="47" s="1"/>
  <c r="K91" i="47"/>
  <c r="G91" i="47"/>
  <c r="E91" i="47"/>
  <c r="Q90" i="47"/>
  <c r="P90" i="47"/>
  <c r="L90" i="47"/>
  <c r="M90" i="47"/>
  <c r="N90" i="47" s="1"/>
  <c r="K90" i="47"/>
  <c r="G90" i="47"/>
  <c r="E90" i="47"/>
  <c r="U89" i="47"/>
  <c r="T89" i="47"/>
  <c r="S89" i="47"/>
  <c r="Q89" i="47"/>
  <c r="P89" i="47"/>
  <c r="L89" i="47"/>
  <c r="M89" i="47" s="1"/>
  <c r="N89" i="47" s="1"/>
  <c r="K89" i="47"/>
  <c r="G89" i="47"/>
  <c r="E89" i="47"/>
  <c r="U88" i="47"/>
  <c r="T88" i="47"/>
  <c r="S88" i="47"/>
  <c r="Q88" i="47"/>
  <c r="P88" i="47"/>
  <c r="L88" i="47"/>
  <c r="M88" i="47"/>
  <c r="N88" i="47" s="1"/>
  <c r="K88" i="47"/>
  <c r="G88" i="47"/>
  <c r="E88" i="47"/>
  <c r="Q87" i="47"/>
  <c r="P87" i="47"/>
  <c r="L87" i="47"/>
  <c r="M87" i="47"/>
  <c r="N87" i="47" s="1"/>
  <c r="U86" i="47"/>
  <c r="T86" i="47"/>
  <c r="S86" i="47"/>
  <c r="Q86" i="47"/>
  <c r="P86" i="47"/>
  <c r="L86" i="47"/>
  <c r="M86" i="47" s="1"/>
  <c r="N86" i="47" s="1"/>
  <c r="K86" i="47"/>
  <c r="G86" i="47"/>
  <c r="E86" i="47"/>
  <c r="Q85" i="47"/>
  <c r="P85" i="47"/>
  <c r="L85" i="47"/>
  <c r="M85" i="47"/>
  <c r="N85" i="47" s="1"/>
  <c r="K85" i="47"/>
  <c r="G85" i="47"/>
  <c r="E85" i="47"/>
  <c r="Q84" i="47"/>
  <c r="P84" i="47"/>
  <c r="L84" i="47"/>
  <c r="M84" i="47"/>
  <c r="N84" i="47" s="1"/>
  <c r="K84" i="47"/>
  <c r="G84" i="47"/>
  <c r="E84" i="47"/>
  <c r="U83" i="47"/>
  <c r="T83" i="47"/>
  <c r="S83" i="47"/>
  <c r="Q83" i="47"/>
  <c r="P83" i="47"/>
  <c r="L83" i="47"/>
  <c r="M83" i="47" s="1"/>
  <c r="N83" i="47" s="1"/>
  <c r="Q82" i="47"/>
  <c r="P82" i="47"/>
  <c r="L82" i="47"/>
  <c r="M82" i="47"/>
  <c r="N82" i="47" s="1"/>
  <c r="K82" i="47"/>
  <c r="G82" i="47"/>
  <c r="E82" i="47"/>
  <c r="Q81" i="47"/>
  <c r="P81" i="47"/>
  <c r="L81" i="47"/>
  <c r="M81" i="47"/>
  <c r="N81" i="47" s="1"/>
  <c r="K81" i="47"/>
  <c r="G81" i="47"/>
  <c r="E81" i="47"/>
  <c r="Q80" i="47"/>
  <c r="P80" i="47"/>
  <c r="L80" i="47"/>
  <c r="M80" i="47" s="1"/>
  <c r="N80" i="47" s="1"/>
  <c r="K80" i="47"/>
  <c r="G80" i="47"/>
  <c r="E80" i="47"/>
  <c r="U79" i="47"/>
  <c r="T79" i="47"/>
  <c r="S79" i="47"/>
  <c r="Q79" i="47"/>
  <c r="P79" i="47"/>
  <c r="L79" i="47"/>
  <c r="M79" i="47" s="1"/>
  <c r="N79" i="47" s="1"/>
  <c r="K79" i="47"/>
  <c r="G79" i="47"/>
  <c r="E79" i="47"/>
  <c r="Q78" i="47"/>
  <c r="P78" i="47"/>
  <c r="L78" i="47"/>
  <c r="M78" i="47" s="1"/>
  <c r="N78" i="47" s="1"/>
  <c r="K78" i="47"/>
  <c r="G78" i="47"/>
  <c r="E78" i="47"/>
  <c r="U77" i="47"/>
  <c r="T77" i="47"/>
  <c r="S77" i="47"/>
  <c r="Q77" i="47"/>
  <c r="P77" i="47"/>
  <c r="L77" i="47"/>
  <c r="M77" i="47" s="1"/>
  <c r="N77" i="47" s="1"/>
  <c r="K77" i="47"/>
  <c r="G77" i="47"/>
  <c r="E77" i="47"/>
  <c r="U76" i="47"/>
  <c r="T76" i="47"/>
  <c r="S76" i="47"/>
  <c r="Q76" i="47"/>
  <c r="P76" i="47"/>
  <c r="L76" i="47"/>
  <c r="M76" i="47" s="1"/>
  <c r="N76" i="47"/>
  <c r="K76" i="47"/>
  <c r="G76" i="47"/>
  <c r="E76" i="47"/>
  <c r="Q75" i="47"/>
  <c r="P75" i="47"/>
  <c r="L75" i="47"/>
  <c r="M75" i="47"/>
  <c r="N75" i="47"/>
  <c r="U74" i="47"/>
  <c r="T74" i="47"/>
  <c r="S74" i="47"/>
  <c r="Q74" i="47"/>
  <c r="P74" i="47"/>
  <c r="L74" i="47"/>
  <c r="M74" i="47" s="1"/>
  <c r="N74" i="47" s="1"/>
  <c r="K74" i="47"/>
  <c r="G74" i="47"/>
  <c r="E74" i="47"/>
  <c r="Q73" i="47"/>
  <c r="P73" i="47"/>
  <c r="L73" i="47"/>
  <c r="M73" i="47" s="1"/>
  <c r="N73" i="47" s="1"/>
  <c r="K73" i="47"/>
  <c r="G73" i="47"/>
  <c r="E73" i="47"/>
  <c r="Q72" i="47"/>
  <c r="P72" i="47"/>
  <c r="L72" i="47"/>
  <c r="M72" i="47"/>
  <c r="N72" i="47"/>
  <c r="K72" i="47"/>
  <c r="G72" i="47"/>
  <c r="E72" i="47"/>
  <c r="Q71" i="47"/>
  <c r="P71" i="47"/>
  <c r="L71" i="47"/>
  <c r="M71" i="47" s="1"/>
  <c r="N71" i="47" s="1"/>
  <c r="K71" i="47"/>
  <c r="G71" i="47"/>
  <c r="E71" i="47"/>
  <c r="Q70" i="47"/>
  <c r="P70" i="47"/>
  <c r="L70" i="47"/>
  <c r="M70" i="47" s="1"/>
  <c r="N70" i="47"/>
  <c r="K70" i="47"/>
  <c r="G70" i="47"/>
  <c r="E70" i="47"/>
  <c r="Q69" i="47"/>
  <c r="P69" i="47"/>
  <c r="L69" i="47"/>
  <c r="M69" i="47"/>
  <c r="N69" i="47"/>
  <c r="K69" i="47"/>
  <c r="G69" i="47"/>
  <c r="E69" i="47"/>
  <c r="Q68" i="47"/>
  <c r="P68" i="47"/>
  <c r="L68" i="47"/>
  <c r="M68" i="47" s="1"/>
  <c r="N68" i="47" s="1"/>
  <c r="K68" i="47"/>
  <c r="G68" i="47"/>
  <c r="E68" i="47"/>
  <c r="Q67" i="47"/>
  <c r="P67" i="47"/>
  <c r="L67" i="47"/>
  <c r="M67" i="47" s="1"/>
  <c r="N67" i="47" s="1"/>
  <c r="K67" i="47"/>
  <c r="G67" i="47"/>
  <c r="E67" i="47"/>
  <c r="Q66" i="47"/>
  <c r="P66" i="47"/>
  <c r="L66" i="47"/>
  <c r="M66" i="47"/>
  <c r="N66" i="47"/>
  <c r="K66" i="47"/>
  <c r="G66" i="47"/>
  <c r="E66" i="47"/>
  <c r="Q65" i="47"/>
  <c r="P65" i="47"/>
  <c r="L65" i="47"/>
  <c r="M65" i="47" s="1"/>
  <c r="N65" i="47" s="1"/>
  <c r="K65" i="47"/>
  <c r="G65" i="47"/>
  <c r="E65" i="47"/>
  <c r="Q64" i="47"/>
  <c r="P64" i="47"/>
  <c r="L64" i="47"/>
  <c r="M64" i="47" s="1"/>
  <c r="N64" i="47" s="1"/>
  <c r="K64" i="47"/>
  <c r="G64" i="47"/>
  <c r="E64" i="47"/>
  <c r="Q63" i="47"/>
  <c r="P63" i="47"/>
  <c r="L63" i="47"/>
  <c r="M63" i="47"/>
  <c r="N63" i="47"/>
  <c r="K63" i="47"/>
  <c r="G63" i="47"/>
  <c r="E63" i="47"/>
  <c r="Q62" i="47"/>
  <c r="P62" i="47"/>
  <c r="L62" i="47"/>
  <c r="M62" i="47" s="1"/>
  <c r="N62" i="47" s="1"/>
  <c r="K62" i="47"/>
  <c r="G62" i="47"/>
  <c r="E62" i="47"/>
  <c r="Q61" i="47"/>
  <c r="P61" i="47"/>
  <c r="L61" i="47"/>
  <c r="M61" i="47" s="1"/>
  <c r="N61" i="47"/>
  <c r="K61" i="47"/>
  <c r="G61" i="47"/>
  <c r="E61" i="47"/>
  <c r="Q60" i="47"/>
  <c r="P60" i="47"/>
  <c r="L60" i="47"/>
  <c r="M60" i="47"/>
  <c r="N60" i="47" s="1"/>
  <c r="K60" i="47"/>
  <c r="G60" i="47"/>
  <c r="E60" i="47"/>
  <c r="Q59" i="47"/>
  <c r="P59" i="47"/>
  <c r="L59" i="47"/>
  <c r="M59" i="47" s="1"/>
  <c r="N59" i="47"/>
  <c r="K59" i="47"/>
  <c r="G59" i="47"/>
  <c r="E59" i="47"/>
  <c r="Q58" i="47"/>
  <c r="P58" i="47"/>
  <c r="L58" i="47"/>
  <c r="M58" i="47" s="1"/>
  <c r="N58" i="47" s="1"/>
  <c r="K58" i="47"/>
  <c r="G58" i="47"/>
  <c r="E58" i="47"/>
  <c r="Q57" i="47"/>
  <c r="P57" i="47"/>
  <c r="L57" i="47"/>
  <c r="M57" i="47" s="1"/>
  <c r="N57" i="47"/>
  <c r="K57" i="47"/>
  <c r="G57" i="47"/>
  <c r="E57" i="47"/>
  <c r="Q56" i="47"/>
  <c r="P56" i="47"/>
  <c r="L56" i="47"/>
  <c r="M56" i="47" s="1"/>
  <c r="N56" i="47" s="1"/>
  <c r="K56" i="47"/>
  <c r="G56" i="47"/>
  <c r="E56" i="47"/>
  <c r="Q55" i="47"/>
  <c r="P55" i="47"/>
  <c r="L55" i="47"/>
  <c r="M55" i="47" s="1"/>
  <c r="N55" i="47"/>
  <c r="K55" i="47"/>
  <c r="G55" i="47"/>
  <c r="E55" i="47"/>
  <c r="Q54" i="47"/>
  <c r="P54" i="47"/>
  <c r="L54" i="47"/>
  <c r="M54" i="47"/>
  <c r="N54" i="47" s="1"/>
  <c r="K54" i="47"/>
  <c r="G54" i="47"/>
  <c r="E54" i="47"/>
  <c r="Q53" i="47"/>
  <c r="P53" i="47"/>
  <c r="L53" i="47"/>
  <c r="M53" i="47" s="1"/>
  <c r="N53" i="47" s="1"/>
  <c r="K53" i="47"/>
  <c r="G53" i="47"/>
  <c r="E53" i="47"/>
  <c r="Q52" i="47"/>
  <c r="P52" i="47"/>
  <c r="L52" i="47"/>
  <c r="M52" i="47" s="1"/>
  <c r="N52" i="47" s="1"/>
  <c r="K52" i="47"/>
  <c r="G52" i="47"/>
  <c r="E52" i="47"/>
  <c r="Q51" i="47"/>
  <c r="P51" i="47"/>
  <c r="L51" i="47"/>
  <c r="M51" i="47"/>
  <c r="N51" i="47" s="1"/>
  <c r="K51" i="47"/>
  <c r="G51" i="47"/>
  <c r="E51" i="47"/>
  <c r="Q50" i="47"/>
  <c r="P50" i="47"/>
  <c r="L50" i="47"/>
  <c r="M50" i="47" s="1"/>
  <c r="N50" i="47" s="1"/>
  <c r="K50" i="47"/>
  <c r="G50" i="47"/>
  <c r="E50" i="47"/>
  <c r="Q49" i="47"/>
  <c r="P49" i="47"/>
  <c r="L49" i="47"/>
  <c r="M49" i="47" s="1"/>
  <c r="N49" i="47" s="1"/>
  <c r="K49" i="47"/>
  <c r="G49" i="47"/>
  <c r="E49" i="47"/>
  <c r="Q48" i="47"/>
  <c r="P48" i="47"/>
  <c r="L48" i="47"/>
  <c r="M48" i="47"/>
  <c r="N48" i="47" s="1"/>
  <c r="K48" i="47"/>
  <c r="G48" i="47"/>
  <c r="E48" i="47"/>
  <c r="Q47" i="47"/>
  <c r="P47" i="47"/>
  <c r="L47" i="47"/>
  <c r="M47" i="47" s="1"/>
  <c r="N47" i="47" s="1"/>
  <c r="K47" i="47"/>
  <c r="G47" i="47"/>
  <c r="E47" i="47"/>
  <c r="Q46" i="47"/>
  <c r="P46" i="47"/>
  <c r="L46" i="47"/>
  <c r="M46" i="47" s="1"/>
  <c r="N46" i="47" s="1"/>
  <c r="K46" i="47"/>
  <c r="G46" i="47"/>
  <c r="E46" i="47"/>
  <c r="Q45" i="47"/>
  <c r="P45" i="47"/>
  <c r="L45" i="47"/>
  <c r="M45" i="47"/>
  <c r="N45" i="47" s="1"/>
  <c r="K45" i="47"/>
  <c r="G45" i="47"/>
  <c r="E45" i="47"/>
  <c r="Q44" i="47"/>
  <c r="P44" i="47"/>
  <c r="L44" i="47"/>
  <c r="M44" i="47" s="1"/>
  <c r="N44" i="47" s="1"/>
  <c r="K44" i="47"/>
  <c r="G44" i="47"/>
  <c r="E44" i="47"/>
  <c r="U43" i="47"/>
  <c r="T43" i="47"/>
  <c r="S43" i="47"/>
  <c r="Q43" i="47"/>
  <c r="P43" i="47"/>
  <c r="L43" i="47"/>
  <c r="M43" i="47" s="1"/>
  <c r="N43" i="47" s="1"/>
  <c r="K43" i="47"/>
  <c r="G43" i="47"/>
  <c r="E43" i="47"/>
  <c r="Q42" i="47"/>
  <c r="P42" i="47"/>
  <c r="L42" i="47"/>
  <c r="M42" i="47"/>
  <c r="N42" i="47" s="1"/>
  <c r="K42" i="47"/>
  <c r="G42" i="47"/>
  <c r="E42" i="47"/>
  <c r="Q41" i="47"/>
  <c r="P41" i="47"/>
  <c r="L41" i="47"/>
  <c r="M41" i="47" s="1"/>
  <c r="N41" i="47" s="1"/>
  <c r="K41" i="47"/>
  <c r="G41" i="47"/>
  <c r="E41" i="47"/>
  <c r="Q40" i="47"/>
  <c r="P40" i="47"/>
  <c r="L40" i="47"/>
  <c r="M40" i="47" s="1"/>
  <c r="N40" i="47" s="1"/>
  <c r="K40" i="47"/>
  <c r="G40" i="47"/>
  <c r="E40" i="47"/>
  <c r="Q39" i="47"/>
  <c r="P39" i="47"/>
  <c r="L39" i="47"/>
  <c r="M39" i="47"/>
  <c r="N39" i="47" s="1"/>
  <c r="Q38" i="47"/>
  <c r="P38" i="47"/>
  <c r="L38" i="47"/>
  <c r="M38" i="47" s="1"/>
  <c r="N38" i="47" s="1"/>
  <c r="K38" i="47"/>
  <c r="G38" i="47"/>
  <c r="E38" i="47"/>
  <c r="Q37" i="47"/>
  <c r="P37" i="47"/>
  <c r="L37" i="47"/>
  <c r="M37" i="47" s="1"/>
  <c r="N37" i="47" s="1"/>
  <c r="K37" i="47"/>
  <c r="G37" i="47"/>
  <c r="E37" i="47"/>
  <c r="Q36" i="47"/>
  <c r="P36" i="47"/>
  <c r="L36" i="47"/>
  <c r="M36" i="47"/>
  <c r="N36" i="47" s="1"/>
  <c r="K36" i="47"/>
  <c r="G36" i="47"/>
  <c r="E36" i="47"/>
  <c r="Q35" i="47"/>
  <c r="P35" i="47"/>
  <c r="L35" i="47"/>
  <c r="M35" i="47" s="1"/>
  <c r="N35" i="47" s="1"/>
  <c r="K35" i="47"/>
  <c r="G35" i="47"/>
  <c r="E35" i="47"/>
  <c r="Q34" i="47"/>
  <c r="P34" i="47"/>
  <c r="L34" i="47"/>
  <c r="M34" i="47" s="1"/>
  <c r="N34" i="47"/>
  <c r="K34" i="47"/>
  <c r="G34" i="47"/>
  <c r="E34" i="47"/>
  <c r="Q33" i="47"/>
  <c r="P33" i="47"/>
  <c r="L33" i="47"/>
  <c r="M33" i="47" s="1"/>
  <c r="N33" i="47" s="1"/>
  <c r="K33" i="47"/>
  <c r="G33" i="47"/>
  <c r="E33" i="47"/>
  <c r="Q32" i="47"/>
  <c r="P32" i="47"/>
  <c r="L32" i="47"/>
  <c r="M32" i="47" s="1"/>
  <c r="N32" i="47" s="1"/>
  <c r="K32" i="47"/>
  <c r="G32" i="47"/>
  <c r="E32" i="47"/>
  <c r="Q31" i="47"/>
  <c r="P31" i="47"/>
  <c r="L31" i="47"/>
  <c r="M31" i="47" s="1"/>
  <c r="N31" i="47" s="1"/>
  <c r="K31" i="47"/>
  <c r="G31" i="47"/>
  <c r="E31" i="47"/>
  <c r="Q30" i="47"/>
  <c r="P30" i="47"/>
  <c r="L30" i="47"/>
  <c r="M30" i="47" s="1"/>
  <c r="N30" i="47" s="1"/>
  <c r="K30" i="47"/>
  <c r="G30" i="47"/>
  <c r="E30" i="47"/>
  <c r="Q29" i="47"/>
  <c r="P29" i="47"/>
  <c r="L29" i="47"/>
  <c r="M29" i="47" s="1"/>
  <c r="N29" i="47" s="1"/>
  <c r="K29" i="47"/>
  <c r="G29" i="47"/>
  <c r="E29" i="47"/>
  <c r="Q28" i="47"/>
  <c r="P28" i="47"/>
  <c r="L28" i="47"/>
  <c r="M28" i="47" s="1"/>
  <c r="N28" i="47" s="1"/>
  <c r="K28" i="47"/>
  <c r="G28" i="47"/>
  <c r="E28" i="47"/>
  <c r="U27" i="47"/>
  <c r="T27" i="47"/>
  <c r="S27" i="47"/>
  <c r="Q27" i="47"/>
  <c r="P27" i="47"/>
  <c r="L27" i="47"/>
  <c r="M27" i="47"/>
  <c r="N27" i="47" s="1"/>
  <c r="K27" i="47"/>
  <c r="G27" i="47"/>
  <c r="E27" i="47"/>
  <c r="Q26" i="47"/>
  <c r="P26" i="47"/>
  <c r="L26" i="47"/>
  <c r="M26" i="47" s="1"/>
  <c r="N26" i="47" s="1"/>
  <c r="K26" i="47"/>
  <c r="G26" i="47"/>
  <c r="E26" i="47"/>
  <c r="Q25" i="47"/>
  <c r="P25" i="47"/>
  <c r="L25" i="47"/>
  <c r="K25" i="47"/>
  <c r="G25" i="47"/>
  <c r="E25" i="47"/>
  <c r="Q24" i="47"/>
  <c r="P24" i="47"/>
  <c r="L24" i="47"/>
  <c r="K24" i="47"/>
  <c r="G24" i="47"/>
  <c r="E24" i="47"/>
  <c r="U23" i="47"/>
  <c r="T23" i="47"/>
  <c r="S23" i="47"/>
  <c r="Q23" i="47"/>
  <c r="P23" i="47"/>
  <c r="L23" i="47"/>
  <c r="M23" i="47" s="1"/>
  <c r="N23" i="47" s="1"/>
  <c r="K23" i="47"/>
  <c r="G23" i="47"/>
  <c r="E23" i="47"/>
  <c r="Q22" i="47"/>
  <c r="P22" i="47"/>
  <c r="L22" i="47"/>
  <c r="M22" i="47" s="1"/>
  <c r="N22" i="47" s="1"/>
  <c r="Q21" i="47"/>
  <c r="P21" i="47"/>
  <c r="L21" i="47"/>
  <c r="M21" i="47" s="1"/>
  <c r="N21" i="47" s="1"/>
  <c r="Q20" i="47"/>
  <c r="P20" i="47"/>
  <c r="L20" i="47"/>
  <c r="M20" i="47" s="1"/>
  <c r="N20" i="47" s="1"/>
  <c r="K20" i="47"/>
  <c r="G20" i="47"/>
  <c r="E20" i="47"/>
  <c r="Q19" i="47"/>
  <c r="P19" i="47"/>
  <c r="L19" i="47"/>
  <c r="M19" i="47" s="1"/>
  <c r="N19" i="47" s="1"/>
  <c r="K19" i="47"/>
  <c r="G19" i="47"/>
  <c r="E19" i="47"/>
  <c r="Q18" i="47"/>
  <c r="P18" i="47"/>
  <c r="L18" i="47"/>
  <c r="M18" i="47" s="1"/>
  <c r="N18" i="47" s="1"/>
  <c r="K18" i="47"/>
  <c r="G18" i="47"/>
  <c r="E18" i="47"/>
  <c r="Q17" i="47"/>
  <c r="P17" i="47"/>
  <c r="L17" i="47"/>
  <c r="M17" i="47" s="1"/>
  <c r="N17" i="47" s="1"/>
  <c r="K17" i="47"/>
  <c r="G17" i="47"/>
  <c r="E17" i="47"/>
  <c r="U16" i="47"/>
  <c r="T16" i="47"/>
  <c r="S16" i="47"/>
  <c r="Q16" i="47"/>
  <c r="P16" i="47"/>
  <c r="L16" i="47"/>
  <c r="M16" i="47" s="1"/>
  <c r="N16" i="47" s="1"/>
  <c r="K16" i="47"/>
  <c r="G16" i="47"/>
  <c r="E16" i="47"/>
  <c r="Q15" i="47"/>
  <c r="P15" i="47"/>
  <c r="L15" i="47"/>
  <c r="M15" i="47" s="1"/>
  <c r="N15" i="47" s="1"/>
  <c r="U14" i="47"/>
  <c r="T14" i="47"/>
  <c r="S14" i="47"/>
  <c r="Q14" i="47"/>
  <c r="P14" i="47"/>
  <c r="L14" i="47"/>
  <c r="M14" i="47" s="1"/>
  <c r="N14" i="47" s="1"/>
  <c r="K14" i="47"/>
  <c r="G14" i="47"/>
  <c r="E14" i="47"/>
  <c r="Q13" i="47"/>
  <c r="P13" i="47"/>
  <c r="L13" i="47"/>
  <c r="M13" i="47" s="1"/>
  <c r="N13" i="47" s="1"/>
  <c r="K13" i="47"/>
  <c r="G13" i="47"/>
  <c r="E13" i="47"/>
  <c r="Q12" i="47"/>
  <c r="P12" i="47"/>
  <c r="L12" i="47"/>
  <c r="M12" i="47" s="1"/>
  <c r="N12" i="47" s="1"/>
  <c r="K12" i="47"/>
  <c r="G12" i="47"/>
  <c r="E12" i="47"/>
  <c r="Q11" i="47"/>
  <c r="P11" i="47"/>
  <c r="L11" i="47"/>
  <c r="M11" i="47" s="1"/>
  <c r="N11" i="47" s="1"/>
  <c r="K11" i="47"/>
  <c r="G11" i="47"/>
  <c r="E11" i="47"/>
  <c r="Q10" i="47"/>
  <c r="P10" i="47"/>
  <c r="L10" i="47"/>
  <c r="M10" i="47" s="1"/>
  <c r="N10" i="47" s="1"/>
  <c r="K10" i="47"/>
  <c r="G10" i="47"/>
  <c r="E10" i="47"/>
  <c r="Q9" i="47"/>
  <c r="P9" i="47"/>
  <c r="L9" i="47"/>
  <c r="M9" i="47" s="1"/>
  <c r="N9" i="47" s="1"/>
  <c r="K9" i="47"/>
  <c r="G9" i="47"/>
  <c r="E9" i="47"/>
  <c r="Q8" i="47"/>
  <c r="P8" i="47"/>
  <c r="L8" i="47"/>
  <c r="M8" i="47"/>
  <c r="N8" i="47" s="1"/>
  <c r="K8" i="47"/>
  <c r="G8" i="47"/>
  <c r="E8" i="47"/>
  <c r="Q7" i="47"/>
  <c r="P7" i="47"/>
  <c r="L7" i="47"/>
  <c r="M7" i="47" s="1"/>
  <c r="N7" i="47" s="1"/>
  <c r="K7" i="47"/>
  <c r="G7" i="47"/>
  <c r="E7" i="47"/>
  <c r="Q6" i="47"/>
  <c r="P6" i="47"/>
  <c r="L6" i="47"/>
  <c r="K6" i="47"/>
  <c r="G6" i="47"/>
  <c r="E6" i="47"/>
  <c r="D418" i="46"/>
  <c r="F418" i="46"/>
  <c r="K127" i="45"/>
  <c r="K54" i="45"/>
  <c r="L309" i="46"/>
  <c r="M309" i="46" s="1"/>
  <c r="N309" i="46" s="1"/>
  <c r="P309" i="46"/>
  <c r="Q309" i="46"/>
  <c r="K309" i="46"/>
  <c r="G309" i="46"/>
  <c r="E309" i="46"/>
  <c r="U309" i="46"/>
  <c r="T309" i="46"/>
  <c r="K23" i="46"/>
  <c r="K23" i="44"/>
  <c r="K23" i="45"/>
  <c r="J418" i="46"/>
  <c r="C418" i="46"/>
  <c r="U417" i="46"/>
  <c r="T417" i="46"/>
  <c r="S417" i="46"/>
  <c r="Q417" i="46"/>
  <c r="P417" i="46"/>
  <c r="L417" i="46"/>
  <c r="M417" i="46"/>
  <c r="N417" i="46" s="1"/>
  <c r="Q416" i="46"/>
  <c r="P416" i="46"/>
  <c r="L416" i="46"/>
  <c r="M416" i="46" s="1"/>
  <c r="N416" i="46" s="1"/>
  <c r="K416" i="46"/>
  <c r="G416" i="46"/>
  <c r="E416" i="46"/>
  <c r="Q415" i="46"/>
  <c r="P415" i="46"/>
  <c r="M415" i="46"/>
  <c r="N415" i="46" s="1"/>
  <c r="L415" i="46"/>
  <c r="Q414" i="46"/>
  <c r="P414" i="46"/>
  <c r="L414" i="46"/>
  <c r="M414" i="46"/>
  <c r="N414" i="46" s="1"/>
  <c r="K414" i="46"/>
  <c r="G414" i="46"/>
  <c r="E414" i="46"/>
  <c r="Q413" i="46"/>
  <c r="P413" i="46"/>
  <c r="M413" i="46"/>
  <c r="N413" i="46" s="1"/>
  <c r="L413" i="46"/>
  <c r="U412" i="46"/>
  <c r="T412" i="46"/>
  <c r="S412" i="46"/>
  <c r="Q412" i="46"/>
  <c r="P412" i="46"/>
  <c r="L412" i="46"/>
  <c r="M412" i="46" s="1"/>
  <c r="N412" i="46" s="1"/>
  <c r="Q411" i="46"/>
  <c r="P411" i="46"/>
  <c r="L411" i="46"/>
  <c r="M411" i="46" s="1"/>
  <c r="N411" i="46" s="1"/>
  <c r="K411" i="46"/>
  <c r="G411" i="46"/>
  <c r="E411" i="46"/>
  <c r="Q410" i="46"/>
  <c r="P410" i="46"/>
  <c r="L410" i="46"/>
  <c r="M410" i="46" s="1"/>
  <c r="N410" i="46" s="1"/>
  <c r="K410" i="46"/>
  <c r="G410" i="46"/>
  <c r="E410" i="46"/>
  <c r="U409" i="46"/>
  <c r="T409" i="46"/>
  <c r="S409" i="46"/>
  <c r="Q409" i="46"/>
  <c r="P409" i="46"/>
  <c r="L409" i="46"/>
  <c r="M409" i="46"/>
  <c r="N409" i="46" s="1"/>
  <c r="K409" i="46"/>
  <c r="G409" i="46"/>
  <c r="E409" i="46"/>
  <c r="Q408" i="46"/>
  <c r="P408" i="46"/>
  <c r="M408" i="46"/>
  <c r="N408" i="46" s="1"/>
  <c r="L408" i="46"/>
  <c r="U407" i="46"/>
  <c r="T407" i="46"/>
  <c r="S407" i="46"/>
  <c r="Q407" i="46"/>
  <c r="P407" i="46"/>
  <c r="L407" i="46"/>
  <c r="M407" i="46" s="1"/>
  <c r="N407" i="46" s="1"/>
  <c r="K407" i="46"/>
  <c r="G407" i="46"/>
  <c r="E407" i="46"/>
  <c r="Q406" i="46"/>
  <c r="P406" i="46"/>
  <c r="L406" i="46"/>
  <c r="M406" i="46" s="1"/>
  <c r="N406" i="46" s="1"/>
  <c r="K406" i="46"/>
  <c r="G406" i="46"/>
  <c r="E406" i="46"/>
  <c r="Q405" i="46"/>
  <c r="P405" i="46"/>
  <c r="L405" i="46"/>
  <c r="M405" i="46" s="1"/>
  <c r="N405" i="46" s="1"/>
  <c r="K405" i="46"/>
  <c r="G405" i="46"/>
  <c r="E405" i="46"/>
  <c r="Q404" i="46"/>
  <c r="P404" i="46"/>
  <c r="L404" i="46"/>
  <c r="M404" i="46"/>
  <c r="N404" i="46" s="1"/>
  <c r="K404" i="46"/>
  <c r="G404" i="46"/>
  <c r="E404" i="46"/>
  <c r="Q403" i="46"/>
  <c r="P403" i="46"/>
  <c r="L403" i="46"/>
  <c r="M403" i="46" s="1"/>
  <c r="N403" i="46" s="1"/>
  <c r="K403" i="46"/>
  <c r="G403" i="46"/>
  <c r="E403" i="46"/>
  <c r="Q402" i="46"/>
  <c r="P402" i="46"/>
  <c r="L402" i="46"/>
  <c r="M402" i="46" s="1"/>
  <c r="N402" i="46" s="1"/>
  <c r="K402" i="46"/>
  <c r="G402" i="46"/>
  <c r="E402" i="46"/>
  <c r="Q401" i="46"/>
  <c r="P401" i="46"/>
  <c r="L401" i="46"/>
  <c r="M401" i="46" s="1"/>
  <c r="N401" i="46" s="1"/>
  <c r="K401" i="46"/>
  <c r="G401" i="46"/>
  <c r="E401" i="46"/>
  <c r="Q400" i="46"/>
  <c r="P400" i="46"/>
  <c r="L400" i="46"/>
  <c r="M400" i="46" s="1"/>
  <c r="N400" i="46" s="1"/>
  <c r="K400" i="46"/>
  <c r="G400" i="46"/>
  <c r="E400" i="46"/>
  <c r="Q399" i="46"/>
  <c r="P399" i="46"/>
  <c r="L399" i="46"/>
  <c r="M399" i="46"/>
  <c r="N399" i="46" s="1"/>
  <c r="K399" i="46"/>
  <c r="G399" i="46"/>
  <c r="E399" i="46"/>
  <c r="Q398" i="46"/>
  <c r="P398" i="46"/>
  <c r="L398" i="46"/>
  <c r="M398" i="46" s="1"/>
  <c r="N398" i="46" s="1"/>
  <c r="K398" i="46"/>
  <c r="G398" i="46"/>
  <c r="E398" i="46"/>
  <c r="Q397" i="46"/>
  <c r="P397" i="46"/>
  <c r="M397" i="46"/>
  <c r="N397" i="46" s="1"/>
  <c r="L397" i="46"/>
  <c r="K397" i="46"/>
  <c r="G397" i="46"/>
  <c r="E397" i="46"/>
  <c r="Q396" i="46"/>
  <c r="P396" i="46"/>
  <c r="L396" i="46"/>
  <c r="M396" i="46" s="1"/>
  <c r="N396" i="46" s="1"/>
  <c r="K396" i="46"/>
  <c r="G396" i="46"/>
  <c r="E396" i="46"/>
  <c r="Q395" i="46"/>
  <c r="P395" i="46"/>
  <c r="L395" i="46"/>
  <c r="M395" i="46" s="1"/>
  <c r="N395" i="46" s="1"/>
  <c r="K395" i="46"/>
  <c r="G395" i="46"/>
  <c r="E395" i="46"/>
  <c r="Q394" i="46"/>
  <c r="P394" i="46"/>
  <c r="L394" i="46"/>
  <c r="M394" i="46" s="1"/>
  <c r="N394" i="46" s="1"/>
  <c r="K394" i="46"/>
  <c r="G394" i="46"/>
  <c r="E394" i="46"/>
  <c r="Q393" i="46"/>
  <c r="P393" i="46"/>
  <c r="L393" i="46"/>
  <c r="M393" i="46" s="1"/>
  <c r="N393" i="46" s="1"/>
  <c r="K393" i="46"/>
  <c r="G393" i="46"/>
  <c r="E393" i="46"/>
  <c r="Q392" i="46"/>
  <c r="P392" i="46"/>
  <c r="L392" i="46"/>
  <c r="M392" i="46" s="1"/>
  <c r="N392" i="46" s="1"/>
  <c r="K392" i="46"/>
  <c r="G392" i="46"/>
  <c r="E392" i="46"/>
  <c r="U391" i="46"/>
  <c r="T391" i="46"/>
  <c r="S391" i="46"/>
  <c r="Q391" i="46"/>
  <c r="P391" i="46"/>
  <c r="L391" i="46"/>
  <c r="M391" i="46" s="1"/>
  <c r="N391" i="46" s="1"/>
  <c r="K391" i="46"/>
  <c r="G391" i="46"/>
  <c r="E391" i="46"/>
  <c r="Q390" i="46"/>
  <c r="P390" i="46"/>
  <c r="L390" i="46"/>
  <c r="M390" i="46" s="1"/>
  <c r="N390" i="46" s="1"/>
  <c r="Q389" i="46"/>
  <c r="P389" i="46"/>
  <c r="L389" i="46"/>
  <c r="M389" i="46" s="1"/>
  <c r="N389" i="46" s="1"/>
  <c r="K389" i="46"/>
  <c r="G389" i="46"/>
  <c r="E389" i="46"/>
  <c r="U388" i="46"/>
  <c r="T388" i="46"/>
  <c r="S388" i="46"/>
  <c r="Q388" i="46"/>
  <c r="P388" i="46"/>
  <c r="L388" i="46"/>
  <c r="M388" i="46" s="1"/>
  <c r="N388" i="46" s="1"/>
  <c r="K388" i="46"/>
  <c r="G388" i="46"/>
  <c r="E388" i="46"/>
  <c r="U387" i="46"/>
  <c r="T387" i="46"/>
  <c r="S387" i="46"/>
  <c r="Q387" i="46"/>
  <c r="P387" i="46"/>
  <c r="L387" i="46"/>
  <c r="M387" i="46" s="1"/>
  <c r="N387" i="46" s="1"/>
  <c r="K387" i="46"/>
  <c r="G387" i="46"/>
  <c r="E387" i="46"/>
  <c r="Q386" i="46"/>
  <c r="P386" i="46"/>
  <c r="L386" i="46"/>
  <c r="M386" i="46" s="1"/>
  <c r="N386" i="46" s="1"/>
  <c r="K386" i="46"/>
  <c r="G386" i="46"/>
  <c r="E386" i="46"/>
  <c r="U385" i="46"/>
  <c r="T385" i="46"/>
  <c r="S385" i="46"/>
  <c r="Q385" i="46"/>
  <c r="P385" i="46"/>
  <c r="L385" i="46"/>
  <c r="M385" i="46" s="1"/>
  <c r="N385" i="46" s="1"/>
  <c r="K385" i="46"/>
  <c r="G385" i="46"/>
  <c r="E385" i="46"/>
  <c r="Q384" i="46"/>
  <c r="P384" i="46"/>
  <c r="L384" i="46"/>
  <c r="M384" i="46" s="1"/>
  <c r="N384" i="46" s="1"/>
  <c r="K384" i="46"/>
  <c r="G384" i="46"/>
  <c r="E384" i="46"/>
  <c r="Q383" i="46"/>
  <c r="P383" i="46"/>
  <c r="L383" i="46"/>
  <c r="M383" i="46" s="1"/>
  <c r="N383" i="46" s="1"/>
  <c r="K383" i="46"/>
  <c r="G383" i="46"/>
  <c r="E383" i="46"/>
  <c r="Q382" i="46"/>
  <c r="P382" i="46"/>
  <c r="L382" i="46"/>
  <c r="M382" i="46" s="1"/>
  <c r="N382" i="46" s="1"/>
  <c r="K382" i="46"/>
  <c r="G382" i="46"/>
  <c r="E382" i="46"/>
  <c r="Q381" i="46"/>
  <c r="P381" i="46"/>
  <c r="L381" i="46"/>
  <c r="M381" i="46" s="1"/>
  <c r="N381" i="46" s="1"/>
  <c r="K381" i="46"/>
  <c r="G381" i="46"/>
  <c r="E381" i="46"/>
  <c r="U380" i="46"/>
  <c r="T380" i="46"/>
  <c r="S380" i="46"/>
  <c r="Q380" i="46"/>
  <c r="P380" i="46"/>
  <c r="L380" i="46"/>
  <c r="M380" i="46" s="1"/>
  <c r="N380" i="46" s="1"/>
  <c r="K380" i="46"/>
  <c r="G380" i="46"/>
  <c r="E380" i="46"/>
  <c r="Q379" i="46"/>
  <c r="P379" i="46"/>
  <c r="L379" i="46"/>
  <c r="M379" i="46" s="1"/>
  <c r="N379" i="46" s="1"/>
  <c r="K379" i="46"/>
  <c r="G379" i="46"/>
  <c r="E379" i="46"/>
  <c r="Q378" i="46"/>
  <c r="P378" i="46"/>
  <c r="L378" i="46"/>
  <c r="M378" i="46" s="1"/>
  <c r="N378" i="46" s="1"/>
  <c r="K378" i="46"/>
  <c r="G378" i="46"/>
  <c r="E378" i="46"/>
  <c r="U377" i="46"/>
  <c r="T377" i="46"/>
  <c r="S377" i="46"/>
  <c r="Q377" i="46"/>
  <c r="P377" i="46"/>
  <c r="L377" i="46"/>
  <c r="M377" i="46" s="1"/>
  <c r="N377" i="46" s="1"/>
  <c r="K377" i="46"/>
  <c r="G377" i="46"/>
  <c r="E377" i="46"/>
  <c r="Q376" i="46"/>
  <c r="P376" i="46"/>
  <c r="L376" i="46"/>
  <c r="M376" i="46" s="1"/>
  <c r="N376" i="46" s="1"/>
  <c r="K376" i="46"/>
  <c r="G376" i="46"/>
  <c r="E376" i="46"/>
  <c r="Q375" i="46"/>
  <c r="P375" i="46"/>
  <c r="L375" i="46"/>
  <c r="M375" i="46"/>
  <c r="N375" i="46" s="1"/>
  <c r="K375" i="46"/>
  <c r="G375" i="46"/>
  <c r="E375" i="46"/>
  <c r="U374" i="46"/>
  <c r="T374" i="46"/>
  <c r="S374" i="46"/>
  <c r="Q374" i="46"/>
  <c r="P374" i="46"/>
  <c r="L374" i="46"/>
  <c r="M374" i="46" s="1"/>
  <c r="N374" i="46" s="1"/>
  <c r="K374" i="46"/>
  <c r="G374" i="46"/>
  <c r="E374" i="46"/>
  <c r="Q373" i="46"/>
  <c r="P373" i="46"/>
  <c r="L373" i="46"/>
  <c r="M373" i="46"/>
  <c r="N373" i="46" s="1"/>
  <c r="K373" i="46"/>
  <c r="G373" i="46"/>
  <c r="E373" i="46"/>
  <c r="Q372" i="46"/>
  <c r="P372" i="46"/>
  <c r="L372" i="46"/>
  <c r="M372" i="46"/>
  <c r="N372" i="46" s="1"/>
  <c r="K372" i="46"/>
  <c r="G372" i="46"/>
  <c r="E372" i="46"/>
  <c r="Q371" i="46"/>
  <c r="P371" i="46"/>
  <c r="L371" i="46"/>
  <c r="M371" i="46" s="1"/>
  <c r="N371" i="46" s="1"/>
  <c r="K371" i="46"/>
  <c r="G371" i="46"/>
  <c r="E371" i="46"/>
  <c r="Q370" i="46"/>
  <c r="P370" i="46"/>
  <c r="L370" i="46"/>
  <c r="M370" i="46"/>
  <c r="N370" i="46" s="1"/>
  <c r="K370" i="46"/>
  <c r="G370" i="46"/>
  <c r="E370" i="46"/>
  <c r="Q369" i="46"/>
  <c r="P369" i="46"/>
  <c r="L369" i="46"/>
  <c r="M369" i="46"/>
  <c r="N369" i="46" s="1"/>
  <c r="K369" i="46"/>
  <c r="G369" i="46"/>
  <c r="E369" i="46"/>
  <c r="Q368" i="46"/>
  <c r="P368" i="46"/>
  <c r="L368" i="46"/>
  <c r="M368" i="46" s="1"/>
  <c r="N368" i="46" s="1"/>
  <c r="K368" i="46"/>
  <c r="G368" i="46"/>
  <c r="E368" i="46"/>
  <c r="U367" i="46"/>
  <c r="T367" i="46"/>
  <c r="S367" i="46"/>
  <c r="Q367" i="46"/>
  <c r="P367" i="46"/>
  <c r="L367" i="46"/>
  <c r="M367" i="46" s="1"/>
  <c r="N367" i="46" s="1"/>
  <c r="K367" i="46"/>
  <c r="G367" i="46"/>
  <c r="E367" i="46"/>
  <c r="Q366" i="46"/>
  <c r="P366" i="46"/>
  <c r="L366" i="46"/>
  <c r="M366" i="46" s="1"/>
  <c r="N366" i="46" s="1"/>
  <c r="K366" i="46"/>
  <c r="G366" i="46"/>
  <c r="E366" i="46"/>
  <c r="Q365" i="46"/>
  <c r="P365" i="46"/>
  <c r="L365" i="46"/>
  <c r="M365" i="46" s="1"/>
  <c r="N365" i="46"/>
  <c r="K365" i="46"/>
  <c r="G365" i="46"/>
  <c r="E365" i="46"/>
  <c r="U364" i="46"/>
  <c r="T364" i="46"/>
  <c r="S364" i="46"/>
  <c r="Q364" i="46"/>
  <c r="P364" i="46"/>
  <c r="L364" i="46"/>
  <c r="M364" i="46" s="1"/>
  <c r="N364" i="46" s="1"/>
  <c r="K364" i="46"/>
  <c r="G364" i="46"/>
  <c r="E364" i="46"/>
  <c r="Q363" i="46"/>
  <c r="P363" i="46"/>
  <c r="L363" i="46"/>
  <c r="M363" i="46" s="1"/>
  <c r="N363" i="46" s="1"/>
  <c r="K363" i="46"/>
  <c r="G363" i="46"/>
  <c r="E363" i="46"/>
  <c r="Q362" i="46"/>
  <c r="P362" i="46"/>
  <c r="L362" i="46"/>
  <c r="M362" i="46" s="1"/>
  <c r="N362" i="46" s="1"/>
  <c r="K362" i="46"/>
  <c r="G362" i="46"/>
  <c r="E362" i="46"/>
  <c r="U361" i="46"/>
  <c r="T361" i="46"/>
  <c r="S361" i="46"/>
  <c r="Q361" i="46"/>
  <c r="P361" i="46"/>
  <c r="L361" i="46"/>
  <c r="M361" i="46" s="1"/>
  <c r="N361" i="46" s="1"/>
  <c r="K361" i="46"/>
  <c r="G361" i="46"/>
  <c r="E361" i="46"/>
  <c r="Q360" i="46"/>
  <c r="P360" i="46"/>
  <c r="L360" i="46"/>
  <c r="M360" i="46" s="1"/>
  <c r="N360" i="46" s="1"/>
  <c r="K360" i="46"/>
  <c r="G360" i="46"/>
  <c r="E360" i="46"/>
  <c r="Q359" i="46"/>
  <c r="P359" i="46"/>
  <c r="L359" i="46"/>
  <c r="M359" i="46" s="1"/>
  <c r="N359" i="46"/>
  <c r="K359" i="46"/>
  <c r="G359" i="46"/>
  <c r="E359" i="46"/>
  <c r="Q358" i="46"/>
  <c r="P358" i="46"/>
  <c r="L358" i="46"/>
  <c r="M358" i="46" s="1"/>
  <c r="N358" i="46" s="1"/>
  <c r="K358" i="46"/>
  <c r="G358" i="46"/>
  <c r="E358" i="46"/>
  <c r="Q357" i="46"/>
  <c r="P357" i="46"/>
  <c r="L357" i="46"/>
  <c r="M357" i="46" s="1"/>
  <c r="N357" i="46"/>
  <c r="K357" i="46"/>
  <c r="G357" i="46"/>
  <c r="E357" i="46"/>
  <c r="U356" i="46"/>
  <c r="T356" i="46"/>
  <c r="S356" i="46"/>
  <c r="Q356" i="46"/>
  <c r="P356" i="46"/>
  <c r="L356" i="46"/>
  <c r="M356" i="46" s="1"/>
  <c r="N356" i="46" s="1"/>
  <c r="K356" i="46"/>
  <c r="G356" i="46"/>
  <c r="E356" i="46"/>
  <c r="Q355" i="46"/>
  <c r="P355" i="46"/>
  <c r="L355" i="46"/>
  <c r="M355" i="46"/>
  <c r="N355" i="46" s="1"/>
  <c r="K355" i="46"/>
  <c r="G355" i="46"/>
  <c r="E355" i="46"/>
  <c r="Q354" i="46"/>
  <c r="P354" i="46"/>
  <c r="L354" i="46"/>
  <c r="M354" i="46"/>
  <c r="N354" i="46" s="1"/>
  <c r="K354" i="46"/>
  <c r="G354" i="46"/>
  <c r="E354" i="46"/>
  <c r="Q353" i="46"/>
  <c r="P353" i="46"/>
  <c r="L353" i="46"/>
  <c r="M353" i="46" s="1"/>
  <c r="N353" i="46" s="1"/>
  <c r="K353" i="46"/>
  <c r="G353" i="46"/>
  <c r="E353" i="46"/>
  <c r="Q352" i="46"/>
  <c r="P352" i="46"/>
  <c r="L352" i="46"/>
  <c r="M352" i="46"/>
  <c r="N352" i="46" s="1"/>
  <c r="K352" i="46"/>
  <c r="G352" i="46"/>
  <c r="E352" i="46"/>
  <c r="Q351" i="46"/>
  <c r="P351" i="46"/>
  <c r="L351" i="46"/>
  <c r="M351" i="46"/>
  <c r="N351" i="46" s="1"/>
  <c r="K351" i="46"/>
  <c r="G351" i="46"/>
  <c r="E351" i="46"/>
  <c r="Q350" i="46"/>
  <c r="P350" i="46"/>
  <c r="L350" i="46"/>
  <c r="M350" i="46" s="1"/>
  <c r="N350" i="46" s="1"/>
  <c r="K350" i="46"/>
  <c r="G350" i="46"/>
  <c r="E350" i="46"/>
  <c r="Q349" i="46"/>
  <c r="P349" i="46"/>
  <c r="L349" i="46"/>
  <c r="M349" i="46"/>
  <c r="N349" i="46" s="1"/>
  <c r="K349" i="46"/>
  <c r="G349" i="46"/>
  <c r="E349" i="46"/>
  <c r="Q348" i="46"/>
  <c r="P348" i="46"/>
  <c r="L348" i="46"/>
  <c r="M348" i="46"/>
  <c r="N348" i="46" s="1"/>
  <c r="K348" i="46"/>
  <c r="G348" i="46"/>
  <c r="E348" i="46"/>
  <c r="Q347" i="46"/>
  <c r="P347" i="46"/>
  <c r="L347" i="46"/>
  <c r="M347" i="46" s="1"/>
  <c r="N347" i="46" s="1"/>
  <c r="K347" i="46"/>
  <c r="G347" i="46"/>
  <c r="E347" i="46"/>
  <c r="Q346" i="46"/>
  <c r="P346" i="46"/>
  <c r="L346" i="46"/>
  <c r="M346" i="46"/>
  <c r="N346" i="46" s="1"/>
  <c r="K346" i="46"/>
  <c r="G346" i="46"/>
  <c r="E346" i="46"/>
  <c r="Q345" i="46"/>
  <c r="P345" i="46"/>
  <c r="L345" i="46"/>
  <c r="M345" i="46"/>
  <c r="N345" i="46" s="1"/>
  <c r="K345" i="46"/>
  <c r="G345" i="46"/>
  <c r="E345" i="46"/>
  <c r="Q344" i="46"/>
  <c r="P344" i="46"/>
  <c r="L344" i="46"/>
  <c r="M344" i="46" s="1"/>
  <c r="N344" i="46" s="1"/>
  <c r="K344" i="46"/>
  <c r="G344" i="46"/>
  <c r="E344" i="46"/>
  <c r="Q343" i="46"/>
  <c r="P343" i="46"/>
  <c r="L343" i="46"/>
  <c r="M343" i="46"/>
  <c r="N343" i="46" s="1"/>
  <c r="K343" i="46"/>
  <c r="G343" i="46"/>
  <c r="E343" i="46"/>
  <c r="Q342" i="46"/>
  <c r="P342" i="46"/>
  <c r="L342" i="46"/>
  <c r="M342" i="46"/>
  <c r="N342" i="46" s="1"/>
  <c r="K342" i="46"/>
  <c r="G342" i="46"/>
  <c r="E342" i="46"/>
  <c r="Q341" i="46"/>
  <c r="P341" i="46"/>
  <c r="L341" i="46"/>
  <c r="M341" i="46" s="1"/>
  <c r="N341" i="46" s="1"/>
  <c r="K341" i="46"/>
  <c r="G341" i="46"/>
  <c r="E341" i="46"/>
  <c r="Q340" i="46"/>
  <c r="P340" i="46"/>
  <c r="L340" i="46"/>
  <c r="M340" i="46"/>
  <c r="N340" i="46" s="1"/>
  <c r="K340" i="46"/>
  <c r="G340" i="46"/>
  <c r="E340" i="46"/>
  <c r="U339" i="46"/>
  <c r="T339" i="46"/>
  <c r="Q339" i="46"/>
  <c r="P339" i="46"/>
  <c r="L339" i="46"/>
  <c r="M339" i="46" s="1"/>
  <c r="N339" i="46" s="1"/>
  <c r="K339" i="46"/>
  <c r="G339" i="46"/>
  <c r="E339" i="46"/>
  <c r="Q338" i="46"/>
  <c r="P338" i="46"/>
  <c r="L338" i="46"/>
  <c r="M338" i="46"/>
  <c r="N338" i="46" s="1"/>
  <c r="K338" i="46"/>
  <c r="G338" i="46"/>
  <c r="E338" i="46"/>
  <c r="Q337" i="46"/>
  <c r="P337" i="46"/>
  <c r="L337" i="46"/>
  <c r="M337" i="46" s="1"/>
  <c r="N337" i="46" s="1"/>
  <c r="K337" i="46"/>
  <c r="G337" i="46"/>
  <c r="E337" i="46"/>
  <c r="Q336" i="46"/>
  <c r="P336" i="46"/>
  <c r="L336" i="46"/>
  <c r="M336" i="46" s="1"/>
  <c r="N336" i="46" s="1"/>
  <c r="K336" i="46"/>
  <c r="G336" i="46"/>
  <c r="E336" i="46"/>
  <c r="Q335" i="46"/>
  <c r="P335" i="46"/>
  <c r="L335" i="46"/>
  <c r="M335" i="46" s="1"/>
  <c r="N335" i="46" s="1"/>
  <c r="K335" i="46"/>
  <c r="G335" i="46"/>
  <c r="E335" i="46"/>
  <c r="Q334" i="46"/>
  <c r="P334" i="46"/>
  <c r="L334" i="46"/>
  <c r="M334" i="46" s="1"/>
  <c r="N334" i="46" s="1"/>
  <c r="K334" i="46"/>
  <c r="G334" i="46"/>
  <c r="E334" i="46"/>
  <c r="Q333" i="46"/>
  <c r="P333" i="46"/>
  <c r="L333" i="46"/>
  <c r="M333" i="46"/>
  <c r="N333" i="46" s="1"/>
  <c r="K333" i="46"/>
  <c r="G333" i="46"/>
  <c r="E333" i="46"/>
  <c r="Q332" i="46"/>
  <c r="P332" i="46"/>
  <c r="L332" i="46"/>
  <c r="M332" i="46" s="1"/>
  <c r="N332" i="46" s="1"/>
  <c r="K332" i="46"/>
  <c r="G332" i="46"/>
  <c r="E332" i="46"/>
  <c r="Q331" i="46"/>
  <c r="P331" i="46"/>
  <c r="L331" i="46"/>
  <c r="M331" i="46" s="1"/>
  <c r="N331" i="46"/>
  <c r="K331" i="46"/>
  <c r="G331" i="46"/>
  <c r="E331" i="46"/>
  <c r="Q330" i="46"/>
  <c r="P330" i="46"/>
  <c r="L330" i="46"/>
  <c r="M330" i="46"/>
  <c r="N330" i="46" s="1"/>
  <c r="K330" i="46"/>
  <c r="G330" i="46"/>
  <c r="E330" i="46"/>
  <c r="Q329" i="46"/>
  <c r="P329" i="46"/>
  <c r="L329" i="46"/>
  <c r="M329" i="46" s="1"/>
  <c r="N329" i="46" s="1"/>
  <c r="K329" i="46"/>
  <c r="G329" i="46"/>
  <c r="E329" i="46"/>
  <c r="Q328" i="46"/>
  <c r="P328" i="46"/>
  <c r="L328" i="46"/>
  <c r="M328" i="46"/>
  <c r="N328" i="46" s="1"/>
  <c r="K328" i="46"/>
  <c r="G328" i="46"/>
  <c r="E328" i="46"/>
  <c r="Q327" i="46"/>
  <c r="P327" i="46"/>
  <c r="L327" i="46"/>
  <c r="M327" i="46" s="1"/>
  <c r="N327" i="46" s="1"/>
  <c r="K327" i="46"/>
  <c r="G327" i="46"/>
  <c r="E327" i="46"/>
  <c r="Q326" i="46"/>
  <c r="P326" i="46"/>
  <c r="L326" i="46"/>
  <c r="M326" i="46"/>
  <c r="N326" i="46" s="1"/>
  <c r="K326" i="46"/>
  <c r="G326" i="46"/>
  <c r="E326" i="46"/>
  <c r="Q325" i="46"/>
  <c r="P325" i="46"/>
  <c r="L325" i="46"/>
  <c r="M325" i="46" s="1"/>
  <c r="N325" i="46" s="1"/>
  <c r="K325" i="46"/>
  <c r="G325" i="46"/>
  <c r="E325" i="46"/>
  <c r="Q324" i="46"/>
  <c r="P324" i="46"/>
  <c r="L324" i="46"/>
  <c r="M324" i="46"/>
  <c r="N324" i="46" s="1"/>
  <c r="K324" i="46"/>
  <c r="G324" i="46"/>
  <c r="E324" i="46"/>
  <c r="Q323" i="46"/>
  <c r="P323" i="46"/>
  <c r="L323" i="46"/>
  <c r="M323" i="46"/>
  <c r="N323" i="46" s="1"/>
  <c r="K323" i="46"/>
  <c r="G323" i="46"/>
  <c r="E323" i="46"/>
  <c r="Q322" i="46"/>
  <c r="P322" i="46"/>
  <c r="L322" i="46"/>
  <c r="M322" i="46"/>
  <c r="N322" i="46" s="1"/>
  <c r="K322" i="46"/>
  <c r="G322" i="46"/>
  <c r="E322" i="46"/>
  <c r="Q321" i="46"/>
  <c r="P321" i="46"/>
  <c r="L321" i="46"/>
  <c r="M321" i="46"/>
  <c r="N321" i="46" s="1"/>
  <c r="K321" i="46"/>
  <c r="G321" i="46"/>
  <c r="E321" i="46"/>
  <c r="Q320" i="46"/>
  <c r="P320" i="46"/>
  <c r="L320" i="46"/>
  <c r="M320" i="46" s="1"/>
  <c r="N320" i="46" s="1"/>
  <c r="K320" i="46"/>
  <c r="G320" i="46"/>
  <c r="E320" i="46"/>
  <c r="Q319" i="46"/>
  <c r="P319" i="46"/>
  <c r="L319" i="46"/>
  <c r="M319" i="46" s="1"/>
  <c r="N319" i="46" s="1"/>
  <c r="K319" i="46"/>
  <c r="G319" i="46"/>
  <c r="E319" i="46"/>
  <c r="Q318" i="46"/>
  <c r="P318" i="46"/>
  <c r="L318" i="46"/>
  <c r="M318" i="46"/>
  <c r="N318" i="46" s="1"/>
  <c r="K318" i="46"/>
  <c r="G318" i="46"/>
  <c r="E318" i="46"/>
  <c r="Q317" i="46"/>
  <c r="P317" i="46"/>
  <c r="L317" i="46"/>
  <c r="M317" i="46"/>
  <c r="N317" i="46" s="1"/>
  <c r="K317" i="46"/>
  <c r="G317" i="46"/>
  <c r="E317" i="46"/>
  <c r="Q316" i="46"/>
  <c r="P316" i="46"/>
  <c r="L316" i="46"/>
  <c r="M316" i="46"/>
  <c r="N316" i="46" s="1"/>
  <c r="K316" i="46"/>
  <c r="G316" i="46"/>
  <c r="E316" i="46"/>
  <c r="U315" i="46"/>
  <c r="T315" i="46"/>
  <c r="S315" i="46"/>
  <c r="Q315" i="46"/>
  <c r="P315" i="46"/>
  <c r="L315" i="46"/>
  <c r="M315" i="46" s="1"/>
  <c r="N315" i="46"/>
  <c r="K315" i="46"/>
  <c r="G315" i="46"/>
  <c r="E315" i="46"/>
  <c r="Q314" i="46"/>
  <c r="P314" i="46"/>
  <c r="L314" i="46"/>
  <c r="M314" i="46" s="1"/>
  <c r="N314" i="46" s="1"/>
  <c r="K314" i="46"/>
  <c r="G314" i="46"/>
  <c r="E314" i="46"/>
  <c r="Q313" i="46"/>
  <c r="P313" i="46"/>
  <c r="L313" i="46"/>
  <c r="M313" i="46"/>
  <c r="N313" i="46" s="1"/>
  <c r="K313" i="46"/>
  <c r="G313" i="46"/>
  <c r="E313" i="46"/>
  <c r="Q312" i="46"/>
  <c r="P312" i="46"/>
  <c r="L312" i="46"/>
  <c r="M312" i="46" s="1"/>
  <c r="N312" i="46"/>
  <c r="K312" i="46"/>
  <c r="G312" i="46"/>
  <c r="E312" i="46"/>
  <c r="Q311" i="46"/>
  <c r="P311" i="46"/>
  <c r="L311" i="46"/>
  <c r="M311" i="46" s="1"/>
  <c r="N311" i="46" s="1"/>
  <c r="K311" i="46"/>
  <c r="G311" i="46"/>
  <c r="E311" i="46"/>
  <c r="Q310" i="46"/>
  <c r="P310" i="46"/>
  <c r="L310" i="46"/>
  <c r="M310" i="46"/>
  <c r="N310" i="46"/>
  <c r="K310" i="46"/>
  <c r="G310" i="46"/>
  <c r="E310" i="46"/>
  <c r="Q308" i="46"/>
  <c r="P308" i="46"/>
  <c r="L308" i="46"/>
  <c r="M308" i="46" s="1"/>
  <c r="N308" i="46" s="1"/>
  <c r="K308" i="46"/>
  <c r="G308" i="46"/>
  <c r="E308" i="46"/>
  <c r="Q307" i="46"/>
  <c r="P307" i="46"/>
  <c r="L307" i="46"/>
  <c r="M307" i="46" s="1"/>
  <c r="N307" i="46" s="1"/>
  <c r="K307" i="46"/>
  <c r="G307" i="46"/>
  <c r="E307" i="46"/>
  <c r="Q306" i="46"/>
  <c r="P306" i="46"/>
  <c r="L306" i="46"/>
  <c r="M306" i="46"/>
  <c r="N306" i="46" s="1"/>
  <c r="K306" i="46"/>
  <c r="G306" i="46"/>
  <c r="E306" i="46"/>
  <c r="Q305" i="46"/>
  <c r="P305" i="46"/>
  <c r="L305" i="46"/>
  <c r="M305" i="46" s="1"/>
  <c r="N305" i="46"/>
  <c r="K305" i="46"/>
  <c r="G305" i="46"/>
  <c r="E305" i="46"/>
  <c r="Q304" i="46"/>
  <c r="P304" i="46"/>
  <c r="L304" i="46"/>
  <c r="M304" i="46" s="1"/>
  <c r="N304" i="46"/>
  <c r="K304" i="46"/>
  <c r="G304" i="46"/>
  <c r="E304" i="46"/>
  <c r="Q303" i="46"/>
  <c r="P303" i="46"/>
  <c r="L303" i="46"/>
  <c r="M303" i="46"/>
  <c r="N303" i="46" s="1"/>
  <c r="K303" i="46"/>
  <c r="G303" i="46"/>
  <c r="E303" i="46"/>
  <c r="Q302" i="46"/>
  <c r="P302" i="46"/>
  <c r="L302" i="46"/>
  <c r="M302" i="46" s="1"/>
  <c r="N302" i="46"/>
  <c r="K302" i="46"/>
  <c r="G302" i="46"/>
  <c r="E302" i="46"/>
  <c r="Q301" i="46"/>
  <c r="P301" i="46"/>
  <c r="L301" i="46"/>
  <c r="M301" i="46" s="1"/>
  <c r="N301" i="46" s="1"/>
  <c r="K301" i="46"/>
  <c r="G301" i="46"/>
  <c r="E301" i="46"/>
  <c r="Q300" i="46"/>
  <c r="P300" i="46"/>
  <c r="L300" i="46"/>
  <c r="M300" i="46"/>
  <c r="N300" i="46" s="1"/>
  <c r="K300" i="46"/>
  <c r="G300" i="46"/>
  <c r="E300" i="46"/>
  <c r="Q299" i="46"/>
  <c r="P299" i="46"/>
  <c r="L299" i="46"/>
  <c r="M299" i="46" s="1"/>
  <c r="N299" i="46" s="1"/>
  <c r="K299" i="46"/>
  <c r="G299" i="46"/>
  <c r="E299" i="46"/>
  <c r="Q298" i="46"/>
  <c r="P298" i="46"/>
  <c r="L298" i="46"/>
  <c r="M298" i="46" s="1"/>
  <c r="N298" i="46" s="1"/>
  <c r="K298" i="46"/>
  <c r="G298" i="46"/>
  <c r="E298" i="46"/>
  <c r="Q297" i="46"/>
  <c r="P297" i="46"/>
  <c r="L297" i="46"/>
  <c r="M297" i="46"/>
  <c r="N297" i="46" s="1"/>
  <c r="K297" i="46"/>
  <c r="G297" i="46"/>
  <c r="E297" i="46"/>
  <c r="Q296" i="46"/>
  <c r="P296" i="46"/>
  <c r="L296" i="46"/>
  <c r="M296" i="46" s="1"/>
  <c r="N296" i="46"/>
  <c r="K296" i="46"/>
  <c r="G296" i="46"/>
  <c r="E296" i="46"/>
  <c r="Q295" i="46"/>
  <c r="P295" i="46"/>
  <c r="L295" i="46"/>
  <c r="M295" i="46" s="1"/>
  <c r="N295" i="46" s="1"/>
  <c r="K295" i="46"/>
  <c r="G295" i="46"/>
  <c r="E295" i="46"/>
  <c r="Q294" i="46"/>
  <c r="P294" i="46"/>
  <c r="L294" i="46"/>
  <c r="M294" i="46" s="1"/>
  <c r="N294" i="46" s="1"/>
  <c r="K294" i="46"/>
  <c r="G294" i="46"/>
  <c r="E294" i="46"/>
  <c r="Q293" i="46"/>
  <c r="P293" i="46"/>
  <c r="L293" i="46"/>
  <c r="M293" i="46" s="1"/>
  <c r="N293" i="46" s="1"/>
  <c r="K293" i="46"/>
  <c r="G293" i="46"/>
  <c r="E293" i="46"/>
  <c r="Q292" i="46"/>
  <c r="P292" i="46"/>
  <c r="L292" i="46"/>
  <c r="M292" i="46" s="1"/>
  <c r="N292" i="46"/>
  <c r="K292" i="46"/>
  <c r="G292" i="46"/>
  <c r="E292" i="46"/>
  <c r="Q291" i="46"/>
  <c r="P291" i="46"/>
  <c r="L291" i="46"/>
  <c r="M291" i="46"/>
  <c r="N291" i="46"/>
  <c r="K291" i="46"/>
  <c r="G291" i="46"/>
  <c r="E291" i="46"/>
  <c r="Q290" i="46"/>
  <c r="P290" i="46"/>
  <c r="L290" i="46"/>
  <c r="M290" i="46" s="1"/>
  <c r="N290" i="46" s="1"/>
  <c r="K290" i="46"/>
  <c r="G290" i="46"/>
  <c r="E290" i="46"/>
  <c r="Q289" i="46"/>
  <c r="P289" i="46"/>
  <c r="L289" i="46"/>
  <c r="M289" i="46" s="1"/>
  <c r="N289" i="46" s="1"/>
  <c r="K289" i="46"/>
  <c r="G289" i="46"/>
  <c r="E289" i="46"/>
  <c r="Q288" i="46"/>
  <c r="P288" i="46"/>
  <c r="L288" i="46"/>
  <c r="M288" i="46"/>
  <c r="N288" i="46" s="1"/>
  <c r="K288" i="46"/>
  <c r="G288" i="46"/>
  <c r="E288" i="46"/>
  <c r="Q287" i="46"/>
  <c r="P287" i="46"/>
  <c r="L287" i="46"/>
  <c r="M287" i="46" s="1"/>
  <c r="N287" i="46" s="1"/>
  <c r="K287" i="46"/>
  <c r="G287" i="46"/>
  <c r="E287" i="46"/>
  <c r="Q286" i="46"/>
  <c r="P286" i="46"/>
  <c r="L286" i="46"/>
  <c r="M286" i="46"/>
  <c r="N286" i="46" s="1"/>
  <c r="K286" i="46"/>
  <c r="G286" i="46"/>
  <c r="E286" i="46"/>
  <c r="Q285" i="46"/>
  <c r="P285" i="46"/>
  <c r="L285" i="46"/>
  <c r="M285" i="46"/>
  <c r="N285" i="46" s="1"/>
  <c r="K285" i="46"/>
  <c r="G285" i="46"/>
  <c r="E285" i="46"/>
  <c r="Q284" i="46"/>
  <c r="P284" i="46"/>
  <c r="L284" i="46"/>
  <c r="M284" i="46" s="1"/>
  <c r="N284" i="46"/>
  <c r="K284" i="46"/>
  <c r="G284" i="46"/>
  <c r="E284" i="46"/>
  <c r="Q283" i="46"/>
  <c r="P283" i="46"/>
  <c r="L283" i="46"/>
  <c r="M283" i="46" s="1"/>
  <c r="N283" i="46" s="1"/>
  <c r="K283" i="46"/>
  <c r="G283" i="46"/>
  <c r="E283" i="46"/>
  <c r="Q282" i="46"/>
  <c r="P282" i="46"/>
  <c r="L282" i="46"/>
  <c r="M282" i="46"/>
  <c r="N282" i="46" s="1"/>
  <c r="K282" i="46"/>
  <c r="G282" i="46"/>
  <c r="E282" i="46"/>
  <c r="Q281" i="46"/>
  <c r="P281" i="46"/>
  <c r="L281" i="46"/>
  <c r="M281" i="46" s="1"/>
  <c r="N281" i="46" s="1"/>
  <c r="K281" i="46"/>
  <c r="G281" i="46"/>
  <c r="E281" i="46"/>
  <c r="Q280" i="46"/>
  <c r="P280" i="46"/>
  <c r="L280" i="46"/>
  <c r="M280" i="46" s="1"/>
  <c r="N280" i="46" s="1"/>
  <c r="K280" i="46"/>
  <c r="G280" i="46"/>
  <c r="E280" i="46"/>
  <c r="Q279" i="46"/>
  <c r="P279" i="46"/>
  <c r="L279" i="46"/>
  <c r="M279" i="46"/>
  <c r="N279" i="46" s="1"/>
  <c r="K279" i="46"/>
  <c r="G279" i="46"/>
  <c r="E279" i="46"/>
  <c r="Q278" i="46"/>
  <c r="P278" i="46"/>
  <c r="L278" i="46"/>
  <c r="M278" i="46" s="1"/>
  <c r="N278" i="46" s="1"/>
  <c r="Q277" i="46"/>
  <c r="P277" i="46"/>
  <c r="L277" i="46"/>
  <c r="M277" i="46"/>
  <c r="N277" i="46" s="1"/>
  <c r="K277" i="46"/>
  <c r="G277" i="46"/>
  <c r="E277" i="46"/>
  <c r="Q276" i="46"/>
  <c r="P276" i="46"/>
  <c r="L276" i="46"/>
  <c r="M276" i="46" s="1"/>
  <c r="N276" i="46" s="1"/>
  <c r="Q275" i="46"/>
  <c r="P275" i="46"/>
  <c r="L275" i="46"/>
  <c r="M275" i="46" s="1"/>
  <c r="N275" i="46" s="1"/>
  <c r="K275" i="46"/>
  <c r="G275" i="46"/>
  <c r="E275" i="46"/>
  <c r="Q274" i="46"/>
  <c r="P274" i="46"/>
  <c r="L274" i="46"/>
  <c r="M274" i="46"/>
  <c r="N274" i="46" s="1"/>
  <c r="K274" i="46"/>
  <c r="G274" i="46"/>
  <c r="E274" i="46"/>
  <c r="Q273" i="46"/>
  <c r="P273" i="46"/>
  <c r="L273" i="46"/>
  <c r="M273" i="46" s="1"/>
  <c r="N273" i="46" s="1"/>
  <c r="K273" i="46"/>
  <c r="G273" i="46"/>
  <c r="E273" i="46"/>
  <c r="Q272" i="46"/>
  <c r="P272" i="46"/>
  <c r="L272" i="46"/>
  <c r="M272" i="46" s="1"/>
  <c r="N272" i="46" s="1"/>
  <c r="K272" i="46"/>
  <c r="G272" i="46"/>
  <c r="E272" i="46"/>
  <c r="Q271" i="46"/>
  <c r="P271" i="46"/>
  <c r="L271" i="46"/>
  <c r="M271" i="46" s="1"/>
  <c r="N271" i="46" s="1"/>
  <c r="K271" i="46"/>
  <c r="G271" i="46"/>
  <c r="E271" i="46"/>
  <c r="U270" i="46"/>
  <c r="T270" i="46"/>
  <c r="S270" i="46"/>
  <c r="Q270" i="46"/>
  <c r="P270" i="46"/>
  <c r="L270" i="46"/>
  <c r="M270" i="46"/>
  <c r="N270" i="46" s="1"/>
  <c r="K270" i="46"/>
  <c r="G270" i="46"/>
  <c r="E270" i="46"/>
  <c r="Q269" i="46"/>
  <c r="P269" i="46"/>
  <c r="L269" i="46"/>
  <c r="M269" i="46" s="1"/>
  <c r="N269" i="46" s="1"/>
  <c r="K269" i="46"/>
  <c r="G269" i="46"/>
  <c r="E269" i="46"/>
  <c r="U268" i="46"/>
  <c r="T268" i="46"/>
  <c r="S268" i="46"/>
  <c r="Q268" i="46"/>
  <c r="P268" i="46"/>
  <c r="L268" i="46"/>
  <c r="M268" i="46"/>
  <c r="N268" i="46" s="1"/>
  <c r="K268" i="46"/>
  <c r="G268" i="46"/>
  <c r="E268" i="46"/>
  <c r="Q267" i="46"/>
  <c r="P267" i="46"/>
  <c r="L267" i="46"/>
  <c r="M267" i="46"/>
  <c r="N267" i="46" s="1"/>
  <c r="K267" i="46"/>
  <c r="G267" i="46"/>
  <c r="E267" i="46"/>
  <c r="Q266" i="46"/>
  <c r="P266" i="46"/>
  <c r="L266" i="46"/>
  <c r="M266" i="46" s="1"/>
  <c r="N266" i="46" s="1"/>
  <c r="K266" i="46"/>
  <c r="G266" i="46"/>
  <c r="E266" i="46"/>
  <c r="Q265" i="46"/>
  <c r="P265" i="46"/>
  <c r="L265" i="46"/>
  <c r="M265" i="46"/>
  <c r="N265" i="46" s="1"/>
  <c r="K265" i="46"/>
  <c r="G265" i="46"/>
  <c r="E265" i="46"/>
  <c r="Q264" i="46"/>
  <c r="P264" i="46"/>
  <c r="L264" i="46"/>
  <c r="M264" i="46"/>
  <c r="N264" i="46" s="1"/>
  <c r="K264" i="46"/>
  <c r="G264" i="46"/>
  <c r="E264" i="46"/>
  <c r="Q263" i="46"/>
  <c r="P263" i="46"/>
  <c r="L263" i="46"/>
  <c r="M263" i="46" s="1"/>
  <c r="N263" i="46"/>
  <c r="K263" i="46"/>
  <c r="G263" i="46"/>
  <c r="E263" i="46"/>
  <c r="Q262" i="46"/>
  <c r="P262" i="46"/>
  <c r="L262" i="46"/>
  <c r="M262" i="46" s="1"/>
  <c r="N262" i="46" s="1"/>
  <c r="K262" i="46"/>
  <c r="G262" i="46"/>
  <c r="E262" i="46"/>
  <c r="Q261" i="46"/>
  <c r="P261" i="46"/>
  <c r="L261" i="46"/>
  <c r="M261" i="46"/>
  <c r="N261" i="46" s="1"/>
  <c r="K261" i="46"/>
  <c r="G261" i="46"/>
  <c r="E261" i="46"/>
  <c r="Q260" i="46"/>
  <c r="P260" i="46"/>
  <c r="L260" i="46"/>
  <c r="M260" i="46" s="1"/>
  <c r="N260" i="46" s="1"/>
  <c r="K260" i="46"/>
  <c r="G260" i="46"/>
  <c r="E260" i="46"/>
  <c r="Q259" i="46"/>
  <c r="P259" i="46"/>
  <c r="L259" i="46"/>
  <c r="M259" i="46" s="1"/>
  <c r="N259" i="46" s="1"/>
  <c r="K259" i="46"/>
  <c r="G259" i="46"/>
  <c r="E259" i="46"/>
  <c r="Q258" i="46"/>
  <c r="P258" i="46"/>
  <c r="L258" i="46"/>
  <c r="M258" i="46"/>
  <c r="N258" i="46" s="1"/>
  <c r="K258" i="46"/>
  <c r="G258" i="46"/>
  <c r="E258" i="46"/>
  <c r="Q257" i="46"/>
  <c r="P257" i="46"/>
  <c r="L257" i="46"/>
  <c r="M257" i="46" s="1"/>
  <c r="N257" i="46" s="1"/>
  <c r="K257" i="46"/>
  <c r="G257" i="46"/>
  <c r="E257" i="46"/>
  <c r="Q256" i="46"/>
  <c r="P256" i="46"/>
  <c r="L256" i="46"/>
  <c r="M256" i="46" s="1"/>
  <c r="N256" i="46" s="1"/>
  <c r="K256" i="46"/>
  <c r="G256" i="46"/>
  <c r="E256" i="46"/>
  <c r="U255" i="46"/>
  <c r="T255" i="46"/>
  <c r="S255" i="46"/>
  <c r="Q255" i="46"/>
  <c r="P255" i="46"/>
  <c r="L255" i="46"/>
  <c r="M255" i="46" s="1"/>
  <c r="N255" i="46" s="1"/>
  <c r="K255" i="46"/>
  <c r="G255" i="46"/>
  <c r="E255" i="46"/>
  <c r="U254" i="46"/>
  <c r="T254" i="46"/>
  <c r="S254" i="46"/>
  <c r="Q254" i="46"/>
  <c r="P254" i="46"/>
  <c r="L254" i="46"/>
  <c r="M254" i="46" s="1"/>
  <c r="N254" i="46" s="1"/>
  <c r="K254" i="46"/>
  <c r="G254" i="46"/>
  <c r="E254" i="46"/>
  <c r="Q253" i="46"/>
  <c r="P253" i="46"/>
  <c r="L253" i="46"/>
  <c r="M253" i="46" s="1"/>
  <c r="N253" i="46" s="1"/>
  <c r="K253" i="46"/>
  <c r="G253" i="46"/>
  <c r="E253" i="46"/>
  <c r="Q252" i="46"/>
  <c r="P252" i="46"/>
  <c r="L252" i="46"/>
  <c r="M252" i="46" s="1"/>
  <c r="N252" i="46"/>
  <c r="K252" i="46"/>
  <c r="G252" i="46"/>
  <c r="E252" i="46"/>
  <c r="Q251" i="46"/>
  <c r="P251" i="46"/>
  <c r="L251" i="46"/>
  <c r="M251" i="46" s="1"/>
  <c r="N251" i="46" s="1"/>
  <c r="K251" i="46"/>
  <c r="G251" i="46"/>
  <c r="E251" i="46"/>
  <c r="Q250" i="46"/>
  <c r="P250" i="46"/>
  <c r="L250" i="46"/>
  <c r="M250" i="46"/>
  <c r="N250" i="46" s="1"/>
  <c r="K250" i="46"/>
  <c r="G250" i="46"/>
  <c r="E250" i="46"/>
  <c r="Q249" i="46"/>
  <c r="P249" i="46"/>
  <c r="L249" i="46"/>
  <c r="M249" i="46" s="1"/>
  <c r="N249" i="46" s="1"/>
  <c r="K249" i="46"/>
  <c r="G249" i="46"/>
  <c r="E249" i="46"/>
  <c r="Q248" i="46"/>
  <c r="P248" i="46"/>
  <c r="L248" i="46"/>
  <c r="M248" i="46" s="1"/>
  <c r="N248" i="46" s="1"/>
  <c r="K248" i="46"/>
  <c r="G248" i="46"/>
  <c r="E248" i="46"/>
  <c r="Q247" i="46"/>
  <c r="P247" i="46"/>
  <c r="L247" i="46"/>
  <c r="M247" i="46" s="1"/>
  <c r="N247" i="46" s="1"/>
  <c r="K247" i="46"/>
  <c r="G247" i="46"/>
  <c r="E247" i="46"/>
  <c r="Q246" i="46"/>
  <c r="P246" i="46"/>
  <c r="L246" i="46"/>
  <c r="M246" i="46" s="1"/>
  <c r="N246" i="46" s="1"/>
  <c r="K246" i="46"/>
  <c r="G246" i="46"/>
  <c r="E246" i="46"/>
  <c r="U245" i="46"/>
  <c r="T245" i="46"/>
  <c r="S245" i="46"/>
  <c r="Q245" i="46"/>
  <c r="P245" i="46"/>
  <c r="L245" i="46"/>
  <c r="M245" i="46" s="1"/>
  <c r="N245" i="46" s="1"/>
  <c r="K245" i="46"/>
  <c r="G245" i="46"/>
  <c r="E245" i="46"/>
  <c r="Q244" i="46"/>
  <c r="P244" i="46"/>
  <c r="L244" i="46"/>
  <c r="M244" i="46" s="1"/>
  <c r="N244" i="46" s="1"/>
  <c r="K244" i="46"/>
  <c r="G244" i="46"/>
  <c r="E244" i="46"/>
  <c r="Q243" i="46"/>
  <c r="P243" i="46"/>
  <c r="L243" i="46"/>
  <c r="M243" i="46" s="1"/>
  <c r="N243" i="46" s="1"/>
  <c r="K243" i="46"/>
  <c r="G243" i="46"/>
  <c r="E243" i="46"/>
  <c r="U242" i="46"/>
  <c r="T242" i="46"/>
  <c r="S242" i="46"/>
  <c r="Q242" i="46"/>
  <c r="P242" i="46"/>
  <c r="L242" i="46"/>
  <c r="M242" i="46"/>
  <c r="N242" i="46" s="1"/>
  <c r="K242" i="46"/>
  <c r="G242" i="46"/>
  <c r="E242" i="46"/>
  <c r="Q241" i="46"/>
  <c r="P241" i="46"/>
  <c r="L241" i="46"/>
  <c r="M241" i="46" s="1"/>
  <c r="N241" i="46" s="1"/>
  <c r="K241" i="46"/>
  <c r="G241" i="46"/>
  <c r="E241" i="46"/>
  <c r="Q240" i="46"/>
  <c r="P240" i="46"/>
  <c r="L240" i="46"/>
  <c r="M240" i="46"/>
  <c r="N240" i="46" s="1"/>
  <c r="K240" i="46"/>
  <c r="G240" i="46"/>
  <c r="E240" i="46"/>
  <c r="Q239" i="46"/>
  <c r="P239" i="46"/>
  <c r="L239" i="46"/>
  <c r="M239" i="46"/>
  <c r="N239" i="46" s="1"/>
  <c r="K239" i="46"/>
  <c r="G239" i="46"/>
  <c r="E239" i="46"/>
  <c r="Q238" i="46"/>
  <c r="P238" i="46"/>
  <c r="L238" i="46"/>
  <c r="M238" i="46" s="1"/>
  <c r="N238" i="46" s="1"/>
  <c r="K238" i="46"/>
  <c r="G238" i="46"/>
  <c r="E238" i="46"/>
  <c r="U237" i="46"/>
  <c r="T237" i="46"/>
  <c r="S237" i="46"/>
  <c r="Q237" i="46"/>
  <c r="P237" i="46"/>
  <c r="L237" i="46"/>
  <c r="M237" i="46"/>
  <c r="N237" i="46" s="1"/>
  <c r="K237" i="46"/>
  <c r="G237" i="46"/>
  <c r="E237" i="46"/>
  <c r="Q236" i="46"/>
  <c r="P236" i="46"/>
  <c r="L236" i="46"/>
  <c r="M236" i="46" s="1"/>
  <c r="N236" i="46" s="1"/>
  <c r="K236" i="46"/>
  <c r="G236" i="46"/>
  <c r="E236" i="46"/>
  <c r="Q235" i="46"/>
  <c r="P235" i="46"/>
  <c r="L235" i="46"/>
  <c r="M235" i="46" s="1"/>
  <c r="N235" i="46" s="1"/>
  <c r="K235" i="46"/>
  <c r="G235" i="46"/>
  <c r="E235" i="46"/>
  <c r="Q234" i="46"/>
  <c r="P234" i="46"/>
  <c r="L234" i="46"/>
  <c r="M234" i="46"/>
  <c r="N234" i="46" s="1"/>
  <c r="K234" i="46"/>
  <c r="G234" i="46"/>
  <c r="E234" i="46"/>
  <c r="Q233" i="46"/>
  <c r="P233" i="46"/>
  <c r="L233" i="46"/>
  <c r="M233" i="46" s="1"/>
  <c r="N233" i="46" s="1"/>
  <c r="K233" i="46"/>
  <c r="G233" i="46"/>
  <c r="E233" i="46"/>
  <c r="Q232" i="46"/>
  <c r="P232" i="46"/>
  <c r="L232" i="46"/>
  <c r="M232" i="46" s="1"/>
  <c r="N232" i="46" s="1"/>
  <c r="K232" i="46"/>
  <c r="G232" i="46"/>
  <c r="E232" i="46"/>
  <c r="Q231" i="46"/>
  <c r="P231" i="46"/>
  <c r="L231" i="46"/>
  <c r="M231" i="46" s="1"/>
  <c r="N231" i="46" s="1"/>
  <c r="K231" i="46"/>
  <c r="G231" i="46"/>
  <c r="E231" i="46"/>
  <c r="Q230" i="46"/>
  <c r="P230" i="46"/>
  <c r="L230" i="46"/>
  <c r="M230" i="46" s="1"/>
  <c r="N230" i="46" s="1"/>
  <c r="K230" i="46"/>
  <c r="G230" i="46"/>
  <c r="E230" i="46"/>
  <c r="Q229" i="46"/>
  <c r="P229" i="46"/>
  <c r="L229" i="46"/>
  <c r="M229" i="46" s="1"/>
  <c r="N229" i="46" s="1"/>
  <c r="K229" i="46"/>
  <c r="G229" i="46"/>
  <c r="E229" i="46"/>
  <c r="Q228" i="46"/>
  <c r="P228" i="46"/>
  <c r="L228" i="46"/>
  <c r="M228" i="46"/>
  <c r="N228" i="46" s="1"/>
  <c r="K228" i="46"/>
  <c r="G228" i="46"/>
  <c r="E228" i="46"/>
  <c r="Q227" i="46"/>
  <c r="P227" i="46"/>
  <c r="L227" i="46"/>
  <c r="M227" i="46" s="1"/>
  <c r="N227" i="46" s="1"/>
  <c r="K227" i="46"/>
  <c r="G227" i="46"/>
  <c r="E227" i="46"/>
  <c r="Q226" i="46"/>
  <c r="P226" i="46"/>
  <c r="L226" i="46"/>
  <c r="M226" i="46" s="1"/>
  <c r="N226" i="46" s="1"/>
  <c r="K226" i="46"/>
  <c r="G226" i="46"/>
  <c r="E226" i="46"/>
  <c r="Q225" i="46"/>
  <c r="P225" i="46"/>
  <c r="L225" i="46"/>
  <c r="M225" i="46" s="1"/>
  <c r="N225" i="46" s="1"/>
  <c r="K225" i="46"/>
  <c r="G225" i="46"/>
  <c r="E225" i="46"/>
  <c r="Q224" i="46"/>
  <c r="P224" i="46"/>
  <c r="L224" i="46"/>
  <c r="M224" i="46" s="1"/>
  <c r="N224" i="46" s="1"/>
  <c r="K224" i="46"/>
  <c r="G224" i="46"/>
  <c r="E224" i="46"/>
  <c r="Q223" i="46"/>
  <c r="P223" i="46"/>
  <c r="L223" i="46"/>
  <c r="M223" i="46" s="1"/>
  <c r="N223" i="46" s="1"/>
  <c r="K223" i="46"/>
  <c r="G223" i="46"/>
  <c r="E223" i="46"/>
  <c r="Q222" i="46"/>
  <c r="P222" i="46"/>
  <c r="L222" i="46"/>
  <c r="M222" i="46"/>
  <c r="N222" i="46" s="1"/>
  <c r="K222" i="46"/>
  <c r="G222" i="46"/>
  <c r="E222" i="46"/>
  <c r="Q221" i="46"/>
  <c r="P221" i="46"/>
  <c r="L221" i="46"/>
  <c r="M221" i="46" s="1"/>
  <c r="N221" i="46" s="1"/>
  <c r="K221" i="46"/>
  <c r="G221" i="46"/>
  <c r="E221" i="46"/>
  <c r="Q220" i="46"/>
  <c r="P220" i="46"/>
  <c r="L220" i="46"/>
  <c r="M220" i="46" s="1"/>
  <c r="N220" i="46" s="1"/>
  <c r="K220" i="46"/>
  <c r="G220" i="46"/>
  <c r="E220" i="46"/>
  <c r="Q219" i="46"/>
  <c r="P219" i="46"/>
  <c r="L219" i="46"/>
  <c r="M219" i="46"/>
  <c r="N219" i="46" s="1"/>
  <c r="K219" i="46"/>
  <c r="G219" i="46"/>
  <c r="E219" i="46"/>
  <c r="Q218" i="46"/>
  <c r="P218" i="46"/>
  <c r="L218" i="46"/>
  <c r="M218" i="46" s="1"/>
  <c r="N218" i="46" s="1"/>
  <c r="K218" i="46"/>
  <c r="G218" i="46"/>
  <c r="E218" i="46"/>
  <c r="Q217" i="46"/>
  <c r="P217" i="46"/>
  <c r="L217" i="46"/>
  <c r="M217" i="46" s="1"/>
  <c r="N217" i="46" s="1"/>
  <c r="K217" i="46"/>
  <c r="G217" i="46"/>
  <c r="E217" i="46"/>
  <c r="Q216" i="46"/>
  <c r="P216" i="46"/>
  <c r="L216" i="46"/>
  <c r="M216" i="46" s="1"/>
  <c r="N216" i="46" s="1"/>
  <c r="K216" i="46"/>
  <c r="G216" i="46"/>
  <c r="E216" i="46"/>
  <c r="Q215" i="46"/>
  <c r="P215" i="46"/>
  <c r="L215" i="46"/>
  <c r="M215" i="46" s="1"/>
  <c r="N215" i="46" s="1"/>
  <c r="K215" i="46"/>
  <c r="G215" i="46"/>
  <c r="E215" i="46"/>
  <c r="Q214" i="46"/>
  <c r="P214" i="46"/>
  <c r="L214" i="46"/>
  <c r="M214" i="46" s="1"/>
  <c r="N214" i="46" s="1"/>
  <c r="K214" i="46"/>
  <c r="G214" i="46"/>
  <c r="E214" i="46"/>
  <c r="Q213" i="46"/>
  <c r="P213" i="46"/>
  <c r="L213" i="46"/>
  <c r="M213" i="46"/>
  <c r="N213" i="46" s="1"/>
  <c r="K213" i="46"/>
  <c r="G213" i="46"/>
  <c r="E213" i="46"/>
  <c r="Q212" i="46"/>
  <c r="P212" i="46"/>
  <c r="L212" i="46"/>
  <c r="M212" i="46" s="1"/>
  <c r="N212" i="46" s="1"/>
  <c r="K212" i="46"/>
  <c r="G212" i="46"/>
  <c r="E212" i="46"/>
  <c r="Q211" i="46"/>
  <c r="P211" i="46"/>
  <c r="L211" i="46"/>
  <c r="M211" i="46" s="1"/>
  <c r="N211" i="46" s="1"/>
  <c r="K211" i="46"/>
  <c r="G211" i="46"/>
  <c r="E211" i="46"/>
  <c r="Q210" i="46"/>
  <c r="P210" i="46"/>
  <c r="L210" i="46"/>
  <c r="M210" i="46"/>
  <c r="N210" i="46" s="1"/>
  <c r="K210" i="46"/>
  <c r="G210" i="46"/>
  <c r="E210" i="46"/>
  <c r="Q209" i="46"/>
  <c r="P209" i="46"/>
  <c r="L209" i="46"/>
  <c r="M209" i="46" s="1"/>
  <c r="N209" i="46" s="1"/>
  <c r="K209" i="46"/>
  <c r="G209" i="46"/>
  <c r="E209" i="46"/>
  <c r="Q208" i="46"/>
  <c r="P208" i="46"/>
  <c r="L208" i="46"/>
  <c r="M208" i="46" s="1"/>
  <c r="N208" i="46" s="1"/>
  <c r="K208" i="46"/>
  <c r="G208" i="46"/>
  <c r="E208" i="46"/>
  <c r="Q207" i="46"/>
  <c r="P207" i="46"/>
  <c r="L207" i="46"/>
  <c r="M207" i="46" s="1"/>
  <c r="N207" i="46" s="1"/>
  <c r="K207" i="46"/>
  <c r="G207" i="46"/>
  <c r="E207" i="46"/>
  <c r="Q206" i="46"/>
  <c r="P206" i="46"/>
  <c r="L206" i="46"/>
  <c r="M206" i="46" s="1"/>
  <c r="N206" i="46" s="1"/>
  <c r="K206" i="46"/>
  <c r="G206" i="46"/>
  <c r="E206" i="46"/>
  <c r="Q205" i="46"/>
  <c r="P205" i="46"/>
  <c r="L205" i="46"/>
  <c r="M205" i="46" s="1"/>
  <c r="N205" i="46" s="1"/>
  <c r="K205" i="46"/>
  <c r="G205" i="46"/>
  <c r="E205" i="46"/>
  <c r="Q204" i="46"/>
  <c r="P204" i="46"/>
  <c r="L204" i="46"/>
  <c r="M204" i="46"/>
  <c r="N204" i="46" s="1"/>
  <c r="K204" i="46"/>
  <c r="G204" i="46"/>
  <c r="E204" i="46"/>
  <c r="U203" i="46"/>
  <c r="T203" i="46"/>
  <c r="S203" i="46"/>
  <c r="Q203" i="46"/>
  <c r="P203" i="46"/>
  <c r="L203" i="46"/>
  <c r="M203" i="46"/>
  <c r="N203" i="46"/>
  <c r="K203" i="46"/>
  <c r="G203" i="46"/>
  <c r="E203" i="46"/>
  <c r="Q202" i="46"/>
  <c r="P202" i="46"/>
  <c r="L202" i="46"/>
  <c r="M202" i="46" s="1"/>
  <c r="N202" i="46" s="1"/>
  <c r="K202" i="46"/>
  <c r="G202" i="46"/>
  <c r="E202" i="46"/>
  <c r="Q201" i="46"/>
  <c r="P201" i="46"/>
  <c r="L201" i="46"/>
  <c r="M201" i="46" s="1"/>
  <c r="N201" i="46" s="1"/>
  <c r="K201" i="46"/>
  <c r="G201" i="46"/>
  <c r="E201" i="46"/>
  <c r="Q200" i="46"/>
  <c r="P200" i="46"/>
  <c r="L200" i="46"/>
  <c r="M200" i="46"/>
  <c r="N200" i="46"/>
  <c r="K200" i="46"/>
  <c r="G200" i="46"/>
  <c r="E200" i="46"/>
  <c r="U199" i="46"/>
  <c r="T199" i="46"/>
  <c r="S199" i="46"/>
  <c r="Q199" i="46"/>
  <c r="P199" i="46"/>
  <c r="L199" i="46"/>
  <c r="M199" i="46"/>
  <c r="N199" i="46" s="1"/>
  <c r="Q198" i="46"/>
  <c r="P198" i="46"/>
  <c r="L198" i="46"/>
  <c r="M198" i="46" s="1"/>
  <c r="N198" i="46" s="1"/>
  <c r="K198" i="46"/>
  <c r="G198" i="46"/>
  <c r="E198" i="46"/>
  <c r="Q197" i="46"/>
  <c r="P197" i="46"/>
  <c r="L197" i="46"/>
  <c r="K197" i="46"/>
  <c r="G197" i="46"/>
  <c r="E197" i="46"/>
  <c r="Q196" i="46"/>
  <c r="P196" i="46"/>
  <c r="L196" i="46"/>
  <c r="M196" i="46" s="1"/>
  <c r="N196" i="46" s="1"/>
  <c r="K196" i="46"/>
  <c r="G196" i="46"/>
  <c r="E196" i="46"/>
  <c r="Q195" i="46"/>
  <c r="P195" i="46"/>
  <c r="L195" i="46"/>
  <c r="M195" i="46" s="1"/>
  <c r="N195" i="46" s="1"/>
  <c r="K195" i="46"/>
  <c r="G195" i="46"/>
  <c r="E195" i="46"/>
  <c r="U194" i="46"/>
  <c r="T194" i="46"/>
  <c r="S194" i="46"/>
  <c r="Q194" i="46"/>
  <c r="P194" i="46"/>
  <c r="L194" i="46"/>
  <c r="M194" i="46" s="1"/>
  <c r="N194" i="46" s="1"/>
  <c r="K194" i="46"/>
  <c r="G194" i="46"/>
  <c r="E194" i="46"/>
  <c r="Q193" i="46"/>
  <c r="P193" i="46"/>
  <c r="L193" i="46"/>
  <c r="M193" i="46" s="1"/>
  <c r="N193" i="46" s="1"/>
  <c r="K193" i="46"/>
  <c r="G193" i="46"/>
  <c r="E193" i="46"/>
  <c r="Q192" i="46"/>
  <c r="P192" i="46"/>
  <c r="L192" i="46"/>
  <c r="M192" i="46" s="1"/>
  <c r="N192" i="46" s="1"/>
  <c r="K192" i="46"/>
  <c r="G192" i="46"/>
  <c r="E192" i="46"/>
  <c r="Q191" i="46"/>
  <c r="P191" i="46"/>
  <c r="L191" i="46"/>
  <c r="M191" i="46"/>
  <c r="N191" i="46" s="1"/>
  <c r="K191" i="46"/>
  <c r="G191" i="46"/>
  <c r="E191" i="46"/>
  <c r="Q190" i="46"/>
  <c r="P190" i="46"/>
  <c r="L190" i="46"/>
  <c r="M190" i="46" s="1"/>
  <c r="N190" i="46" s="1"/>
  <c r="K190" i="46"/>
  <c r="G190" i="46"/>
  <c r="E190" i="46"/>
  <c r="Q189" i="46"/>
  <c r="P189" i="46"/>
  <c r="L189" i="46"/>
  <c r="M189" i="46" s="1"/>
  <c r="N189" i="46" s="1"/>
  <c r="K189" i="46"/>
  <c r="G189" i="46"/>
  <c r="E189" i="46"/>
  <c r="U188" i="46"/>
  <c r="T188" i="46"/>
  <c r="S188" i="46"/>
  <c r="Q188" i="46"/>
  <c r="P188" i="46"/>
  <c r="L188" i="46"/>
  <c r="M188" i="46"/>
  <c r="N188" i="46" s="1"/>
  <c r="K188" i="46"/>
  <c r="G188" i="46"/>
  <c r="E188" i="46"/>
  <c r="Q187" i="46"/>
  <c r="P187" i="46"/>
  <c r="L187" i="46"/>
  <c r="M187" i="46"/>
  <c r="N187" i="46" s="1"/>
  <c r="K187" i="46"/>
  <c r="G187" i="46"/>
  <c r="E187" i="46"/>
  <c r="Q186" i="46"/>
  <c r="P186" i="46"/>
  <c r="L186" i="46"/>
  <c r="M186" i="46" s="1"/>
  <c r="N186" i="46" s="1"/>
  <c r="K186" i="46"/>
  <c r="G186" i="46"/>
  <c r="E186" i="46"/>
  <c r="U185" i="46"/>
  <c r="T185" i="46"/>
  <c r="S185" i="46"/>
  <c r="Q185" i="46"/>
  <c r="P185" i="46"/>
  <c r="L185" i="46"/>
  <c r="M185" i="46" s="1"/>
  <c r="N185" i="46" s="1"/>
  <c r="K185" i="46"/>
  <c r="G185" i="46"/>
  <c r="E185" i="46"/>
  <c r="U184" i="46"/>
  <c r="T184" i="46"/>
  <c r="S184" i="46"/>
  <c r="Q184" i="46"/>
  <c r="P184" i="46"/>
  <c r="L184" i="46"/>
  <c r="M184" i="46"/>
  <c r="N184" i="46" s="1"/>
  <c r="K184" i="46"/>
  <c r="G184" i="46"/>
  <c r="E184" i="46"/>
  <c r="Q183" i="46"/>
  <c r="P183" i="46"/>
  <c r="L183" i="46"/>
  <c r="M183" i="46" s="1"/>
  <c r="N183" i="46" s="1"/>
  <c r="K183" i="46"/>
  <c r="G183" i="46"/>
  <c r="E183" i="46"/>
  <c r="Q182" i="46"/>
  <c r="P182" i="46"/>
  <c r="L182" i="46"/>
  <c r="M182" i="46"/>
  <c r="N182" i="46" s="1"/>
  <c r="K182" i="46"/>
  <c r="G182" i="46"/>
  <c r="E182" i="46"/>
  <c r="Q181" i="46"/>
  <c r="P181" i="46"/>
  <c r="L181" i="46"/>
  <c r="M181" i="46" s="1"/>
  <c r="N181" i="46" s="1"/>
  <c r="K181" i="46"/>
  <c r="G181" i="46"/>
  <c r="E181" i="46"/>
  <c r="Q180" i="46"/>
  <c r="P180" i="46"/>
  <c r="L180" i="46"/>
  <c r="M180" i="46" s="1"/>
  <c r="N180" i="46" s="1"/>
  <c r="K180" i="46"/>
  <c r="G180" i="46"/>
  <c r="E180" i="46"/>
  <c r="Q179" i="46"/>
  <c r="P179" i="46"/>
  <c r="L179" i="46"/>
  <c r="M179" i="46" s="1"/>
  <c r="N179" i="46" s="1"/>
  <c r="K179" i="46"/>
  <c r="G179" i="46"/>
  <c r="E179" i="46"/>
  <c r="Q178" i="46"/>
  <c r="P178" i="46"/>
  <c r="L178" i="46"/>
  <c r="M178" i="46" s="1"/>
  <c r="N178" i="46" s="1"/>
  <c r="K178" i="46"/>
  <c r="G178" i="46"/>
  <c r="E178" i="46"/>
  <c r="U177" i="46"/>
  <c r="T177" i="46"/>
  <c r="S177" i="46"/>
  <c r="Q177" i="46"/>
  <c r="P177" i="46"/>
  <c r="L177" i="46"/>
  <c r="M177" i="46" s="1"/>
  <c r="N177" i="46" s="1"/>
  <c r="K177" i="46"/>
  <c r="G177" i="46"/>
  <c r="E177" i="46"/>
  <c r="U176" i="46"/>
  <c r="T176" i="46"/>
  <c r="S176" i="46"/>
  <c r="Q176" i="46"/>
  <c r="P176" i="46"/>
  <c r="L176" i="46"/>
  <c r="M176" i="46"/>
  <c r="N176" i="46" s="1"/>
  <c r="K176" i="46"/>
  <c r="G176" i="46"/>
  <c r="E176" i="46"/>
  <c r="Q175" i="46"/>
  <c r="P175" i="46"/>
  <c r="L175" i="46"/>
  <c r="M175" i="46"/>
  <c r="N175" i="46"/>
  <c r="K175" i="46"/>
  <c r="G175" i="46"/>
  <c r="E175" i="46"/>
  <c r="Q174" i="46"/>
  <c r="P174" i="46"/>
  <c r="L174" i="46"/>
  <c r="M174" i="46" s="1"/>
  <c r="N174" i="46" s="1"/>
  <c r="K174" i="46"/>
  <c r="G174" i="46"/>
  <c r="E174" i="46"/>
  <c r="Q173" i="46"/>
  <c r="P173" i="46"/>
  <c r="L173" i="46"/>
  <c r="M173" i="46" s="1"/>
  <c r="N173" i="46" s="1"/>
  <c r="K173" i="46"/>
  <c r="G173" i="46"/>
  <c r="E173" i="46"/>
  <c r="Q172" i="46"/>
  <c r="P172" i="46"/>
  <c r="L172" i="46"/>
  <c r="M172" i="46"/>
  <c r="N172" i="46"/>
  <c r="K172" i="46"/>
  <c r="G172" i="46"/>
  <c r="E172" i="46"/>
  <c r="Q171" i="46"/>
  <c r="P171" i="46"/>
  <c r="L171" i="46"/>
  <c r="M171" i="46" s="1"/>
  <c r="N171" i="46" s="1"/>
  <c r="K171" i="46"/>
  <c r="G171" i="46"/>
  <c r="E171" i="46"/>
  <c r="U170" i="46"/>
  <c r="T170" i="46"/>
  <c r="S170" i="46"/>
  <c r="Q170" i="46"/>
  <c r="P170" i="46"/>
  <c r="L170" i="46"/>
  <c r="M170" i="46" s="1"/>
  <c r="N170" i="46" s="1"/>
  <c r="K170" i="46"/>
  <c r="G170" i="46"/>
  <c r="E170" i="46"/>
  <c r="Q169" i="46"/>
  <c r="P169" i="46"/>
  <c r="L169" i="46"/>
  <c r="M169" i="46" s="1"/>
  <c r="N169" i="46" s="1"/>
  <c r="K169" i="46"/>
  <c r="G169" i="46"/>
  <c r="E169" i="46"/>
  <c r="Q168" i="46"/>
  <c r="P168" i="46"/>
  <c r="L168" i="46"/>
  <c r="M168" i="46" s="1"/>
  <c r="N168" i="46" s="1"/>
  <c r="K168" i="46"/>
  <c r="G168" i="46"/>
  <c r="E168" i="46"/>
  <c r="Q167" i="46"/>
  <c r="P167" i="46"/>
  <c r="L167" i="46"/>
  <c r="M167" i="46" s="1"/>
  <c r="N167" i="46" s="1"/>
  <c r="K167" i="46"/>
  <c r="G167" i="46"/>
  <c r="E167" i="46"/>
  <c r="Q166" i="46"/>
  <c r="P166" i="46"/>
  <c r="L166" i="46"/>
  <c r="M166" i="46" s="1"/>
  <c r="N166" i="46"/>
  <c r="K166" i="46"/>
  <c r="G166" i="46"/>
  <c r="E166" i="46"/>
  <c r="Q165" i="46"/>
  <c r="P165" i="46"/>
  <c r="L165" i="46"/>
  <c r="M165" i="46" s="1"/>
  <c r="N165" i="46" s="1"/>
  <c r="K165" i="46"/>
  <c r="G165" i="46"/>
  <c r="E165" i="46"/>
  <c r="Q164" i="46"/>
  <c r="P164" i="46"/>
  <c r="L164" i="46"/>
  <c r="M164" i="46" s="1"/>
  <c r="N164" i="46" s="1"/>
  <c r="K164" i="46"/>
  <c r="G164" i="46"/>
  <c r="E164" i="46"/>
  <c r="Q163" i="46"/>
  <c r="P163" i="46"/>
  <c r="L163" i="46"/>
  <c r="M163" i="46" s="1"/>
  <c r="N163" i="46"/>
  <c r="K163" i="46"/>
  <c r="G163" i="46"/>
  <c r="E163" i="46"/>
  <c r="Q162" i="46"/>
  <c r="P162" i="46"/>
  <c r="L162" i="46"/>
  <c r="M162" i="46" s="1"/>
  <c r="N162" i="46" s="1"/>
  <c r="K162" i="46"/>
  <c r="G162" i="46"/>
  <c r="E162" i="46"/>
  <c r="Q161" i="46"/>
  <c r="P161" i="46"/>
  <c r="L161" i="46"/>
  <c r="M161" i="46" s="1"/>
  <c r="N161" i="46" s="1"/>
  <c r="K161" i="46"/>
  <c r="G161" i="46"/>
  <c r="E161" i="46"/>
  <c r="Q160" i="46"/>
  <c r="P160" i="46"/>
  <c r="L160" i="46"/>
  <c r="M160" i="46" s="1"/>
  <c r="N160" i="46"/>
  <c r="K160" i="46"/>
  <c r="G160" i="46"/>
  <c r="E160" i="46"/>
  <c r="Q159" i="46"/>
  <c r="P159" i="46"/>
  <c r="L159" i="46"/>
  <c r="M159" i="46" s="1"/>
  <c r="N159" i="46" s="1"/>
  <c r="K159" i="46"/>
  <c r="G159" i="46"/>
  <c r="E159" i="46"/>
  <c r="Q158" i="46"/>
  <c r="P158" i="46"/>
  <c r="L158" i="46"/>
  <c r="M158" i="46" s="1"/>
  <c r="N158" i="46" s="1"/>
  <c r="K158" i="46"/>
  <c r="G158" i="46"/>
  <c r="E158" i="46"/>
  <c r="Q157" i="46"/>
  <c r="P157" i="46"/>
  <c r="L157" i="46"/>
  <c r="M157" i="46" s="1"/>
  <c r="N157" i="46" s="1"/>
  <c r="K157" i="46"/>
  <c r="G157" i="46"/>
  <c r="E157" i="46"/>
  <c r="U156" i="46"/>
  <c r="T156" i="46"/>
  <c r="S156" i="46"/>
  <c r="Q156" i="46"/>
  <c r="P156" i="46"/>
  <c r="L156" i="46"/>
  <c r="M156" i="46" s="1"/>
  <c r="N156" i="46" s="1"/>
  <c r="K156" i="46"/>
  <c r="G156" i="46"/>
  <c r="E156" i="46"/>
  <c r="U155" i="46"/>
  <c r="T155" i="46"/>
  <c r="S155" i="46"/>
  <c r="Q155" i="46"/>
  <c r="P155" i="46"/>
  <c r="L155" i="46"/>
  <c r="M155" i="46"/>
  <c r="N155" i="46" s="1"/>
  <c r="K155" i="46"/>
  <c r="G155" i="46"/>
  <c r="E155" i="46"/>
  <c r="U154" i="46"/>
  <c r="T154" i="46"/>
  <c r="S154" i="46"/>
  <c r="Q154" i="46"/>
  <c r="P154" i="46"/>
  <c r="L154" i="46"/>
  <c r="M154" i="46" s="1"/>
  <c r="N154" i="46" s="1"/>
  <c r="K154" i="46"/>
  <c r="G154" i="46"/>
  <c r="E154" i="46"/>
  <c r="Q153" i="46"/>
  <c r="P153" i="46"/>
  <c r="L153" i="46"/>
  <c r="M153" i="46" s="1"/>
  <c r="N153" i="46" s="1"/>
  <c r="K153" i="46"/>
  <c r="G153" i="46"/>
  <c r="E153" i="46"/>
  <c r="Q152" i="46"/>
  <c r="P152" i="46"/>
  <c r="L152" i="46"/>
  <c r="M152" i="46"/>
  <c r="N152" i="46" s="1"/>
  <c r="K152" i="46"/>
  <c r="G152" i="46"/>
  <c r="E152" i="46"/>
  <c r="Q151" i="46"/>
  <c r="P151" i="46"/>
  <c r="L151" i="46"/>
  <c r="M151" i="46"/>
  <c r="N151" i="46"/>
  <c r="K151" i="46"/>
  <c r="G151" i="46"/>
  <c r="E151" i="46"/>
  <c r="Q150" i="46"/>
  <c r="P150" i="46"/>
  <c r="L150" i="46"/>
  <c r="M150" i="46" s="1"/>
  <c r="N150" i="46" s="1"/>
  <c r="K150" i="46"/>
  <c r="G150" i="46"/>
  <c r="E150" i="46"/>
  <c r="Q149" i="46"/>
  <c r="P149" i="46"/>
  <c r="L149" i="46"/>
  <c r="M149" i="46"/>
  <c r="N149" i="46" s="1"/>
  <c r="Q148" i="46"/>
  <c r="P148" i="46"/>
  <c r="L148" i="46"/>
  <c r="M148" i="46"/>
  <c r="N148" i="46" s="1"/>
  <c r="K148" i="46"/>
  <c r="G148" i="46"/>
  <c r="E148" i="46"/>
  <c r="Q147" i="46"/>
  <c r="P147" i="46"/>
  <c r="L147" i="46"/>
  <c r="M147" i="46" s="1"/>
  <c r="N147" i="46" s="1"/>
  <c r="K147" i="46"/>
  <c r="G147" i="46"/>
  <c r="E147" i="46"/>
  <c r="Q146" i="46"/>
  <c r="P146" i="46"/>
  <c r="L146" i="46"/>
  <c r="M146" i="46"/>
  <c r="N146" i="46" s="1"/>
  <c r="K146" i="46"/>
  <c r="G146" i="46"/>
  <c r="E146" i="46"/>
  <c r="Q145" i="46"/>
  <c r="P145" i="46"/>
  <c r="L145" i="46"/>
  <c r="M145" i="46" s="1"/>
  <c r="N145" i="46" s="1"/>
  <c r="Q144" i="46"/>
  <c r="P144" i="46"/>
  <c r="L144" i="46"/>
  <c r="M144" i="46" s="1"/>
  <c r="N144" i="46" s="1"/>
  <c r="K144" i="46"/>
  <c r="G144" i="46"/>
  <c r="E144" i="46"/>
  <c r="U143" i="46"/>
  <c r="T143" i="46"/>
  <c r="S143" i="46"/>
  <c r="Q143" i="46"/>
  <c r="P143" i="46"/>
  <c r="L143" i="46"/>
  <c r="M143" i="46"/>
  <c r="N143" i="46" s="1"/>
  <c r="K143" i="46"/>
  <c r="G143" i="46"/>
  <c r="E143" i="46"/>
  <c r="Q142" i="46"/>
  <c r="P142" i="46"/>
  <c r="L142" i="46"/>
  <c r="M142" i="46" s="1"/>
  <c r="N142" i="46" s="1"/>
  <c r="K142" i="46"/>
  <c r="G142" i="46"/>
  <c r="E142" i="46"/>
  <c r="Q141" i="46"/>
  <c r="P141" i="46"/>
  <c r="L141" i="46"/>
  <c r="K141" i="46"/>
  <c r="G141" i="46"/>
  <c r="E141" i="46"/>
  <c r="Q140" i="46"/>
  <c r="P140" i="46"/>
  <c r="L140" i="46"/>
  <c r="M140" i="46" s="1"/>
  <c r="N140" i="46" s="1"/>
  <c r="K140" i="46"/>
  <c r="G140" i="46"/>
  <c r="E140" i="46"/>
  <c r="Q139" i="46"/>
  <c r="P139" i="46"/>
  <c r="L139" i="46"/>
  <c r="M139" i="46" s="1"/>
  <c r="N139" i="46" s="1"/>
  <c r="K139" i="46"/>
  <c r="G139" i="46"/>
  <c r="E139" i="46"/>
  <c r="U138" i="46"/>
  <c r="T138" i="46"/>
  <c r="S138" i="46"/>
  <c r="Q138" i="46"/>
  <c r="P138" i="46"/>
  <c r="L138" i="46"/>
  <c r="M138" i="46" s="1"/>
  <c r="N138" i="46" s="1"/>
  <c r="Q137" i="46"/>
  <c r="P137" i="46"/>
  <c r="L137" i="46"/>
  <c r="M137" i="46" s="1"/>
  <c r="N137" i="46" s="1"/>
  <c r="Q136" i="46"/>
  <c r="P136" i="46"/>
  <c r="L136" i="46"/>
  <c r="M136" i="46"/>
  <c r="N136" i="46" s="1"/>
  <c r="K136" i="46"/>
  <c r="G136" i="46"/>
  <c r="E136" i="46"/>
  <c r="Q135" i="46"/>
  <c r="P135" i="46"/>
  <c r="L135" i="46"/>
  <c r="M135" i="46" s="1"/>
  <c r="N135" i="46" s="1"/>
  <c r="K135" i="46"/>
  <c r="G135" i="46"/>
  <c r="E135" i="46"/>
  <c r="Q134" i="46"/>
  <c r="P134" i="46"/>
  <c r="L134" i="46"/>
  <c r="M134" i="46" s="1"/>
  <c r="N134" i="46" s="1"/>
  <c r="U133" i="46"/>
  <c r="T133" i="46"/>
  <c r="S133" i="46"/>
  <c r="Q133" i="46"/>
  <c r="P133" i="46"/>
  <c r="L133" i="46"/>
  <c r="M133" i="46"/>
  <c r="N133" i="46" s="1"/>
  <c r="K133" i="46"/>
  <c r="G133" i="46"/>
  <c r="E133" i="46"/>
  <c r="Q132" i="46"/>
  <c r="P132" i="46"/>
  <c r="L132" i="46"/>
  <c r="M132" i="46"/>
  <c r="N132" i="46" s="1"/>
  <c r="K132" i="46"/>
  <c r="G132" i="46"/>
  <c r="E132" i="46"/>
  <c r="Q131" i="46"/>
  <c r="P131" i="46"/>
  <c r="L131" i="46"/>
  <c r="M131" i="46" s="1"/>
  <c r="N131" i="46" s="1"/>
  <c r="K131" i="46"/>
  <c r="G131" i="46"/>
  <c r="E131" i="46"/>
  <c r="U130" i="46"/>
  <c r="T130" i="46"/>
  <c r="S130" i="46"/>
  <c r="Q130" i="46"/>
  <c r="P130" i="46"/>
  <c r="L130" i="46"/>
  <c r="M130" i="46" s="1"/>
  <c r="N130" i="46" s="1"/>
  <c r="K130" i="46"/>
  <c r="G130" i="46"/>
  <c r="E130" i="46"/>
  <c r="Q129" i="46"/>
  <c r="P129" i="46"/>
  <c r="L129" i="46"/>
  <c r="M129" i="46" s="1"/>
  <c r="N129" i="46" s="1"/>
  <c r="K129" i="46"/>
  <c r="G129" i="46"/>
  <c r="E129" i="46"/>
  <c r="Q128" i="46"/>
  <c r="P128" i="46"/>
  <c r="L128" i="46"/>
  <c r="M128" i="46" s="1"/>
  <c r="N128" i="46" s="1"/>
  <c r="K128" i="46"/>
  <c r="G128" i="46"/>
  <c r="E128" i="46"/>
  <c r="U127" i="46"/>
  <c r="T127" i="46"/>
  <c r="S127" i="46"/>
  <c r="Q127" i="46"/>
  <c r="P127" i="46"/>
  <c r="L127" i="46"/>
  <c r="M127" i="46" s="1"/>
  <c r="N127" i="46" s="1"/>
  <c r="K127" i="46"/>
  <c r="G127" i="46"/>
  <c r="E127" i="46"/>
  <c r="Q126" i="46"/>
  <c r="P126" i="46"/>
  <c r="L126" i="46"/>
  <c r="M126" i="46"/>
  <c r="N126" i="46" s="1"/>
  <c r="K126" i="46"/>
  <c r="G126" i="46"/>
  <c r="E126" i="46"/>
  <c r="U125" i="46"/>
  <c r="T125" i="46"/>
  <c r="S125" i="46"/>
  <c r="Q125" i="46"/>
  <c r="P125" i="46"/>
  <c r="L125" i="46"/>
  <c r="M125" i="46" s="1"/>
  <c r="N125" i="46" s="1"/>
  <c r="K125" i="46"/>
  <c r="G125" i="46"/>
  <c r="E125" i="46"/>
  <c r="Q124" i="46"/>
  <c r="P124" i="46"/>
  <c r="L124" i="46"/>
  <c r="M124" i="46"/>
  <c r="K124" i="46"/>
  <c r="G124" i="46"/>
  <c r="E124" i="46"/>
  <c r="U123" i="46"/>
  <c r="T123" i="46"/>
  <c r="S123" i="46"/>
  <c r="Q123" i="46"/>
  <c r="P123" i="46"/>
  <c r="L123" i="46"/>
  <c r="M123" i="46" s="1"/>
  <c r="N123" i="46" s="1"/>
  <c r="K123" i="46"/>
  <c r="G123" i="46"/>
  <c r="E123" i="46"/>
  <c r="Q122" i="46"/>
  <c r="P122" i="46"/>
  <c r="L122" i="46"/>
  <c r="M122" i="46" s="1"/>
  <c r="N122" i="46" s="1"/>
  <c r="K122" i="46"/>
  <c r="G122" i="46"/>
  <c r="E122" i="46"/>
  <c r="Q121" i="46"/>
  <c r="P121" i="46"/>
  <c r="L121" i="46"/>
  <c r="M121" i="46" s="1"/>
  <c r="N121" i="46" s="1"/>
  <c r="K121" i="46"/>
  <c r="G121" i="46"/>
  <c r="E121" i="46"/>
  <c r="U120" i="46"/>
  <c r="T120" i="46"/>
  <c r="S120" i="46"/>
  <c r="Q120" i="46"/>
  <c r="P120" i="46"/>
  <c r="L120" i="46"/>
  <c r="M120" i="46" s="1"/>
  <c r="N120" i="46" s="1"/>
  <c r="K120" i="46"/>
  <c r="G120" i="46"/>
  <c r="E120" i="46"/>
  <c r="Q119" i="46"/>
  <c r="P119" i="46"/>
  <c r="L119" i="46"/>
  <c r="M119" i="46" s="1"/>
  <c r="N119" i="46" s="1"/>
  <c r="K119" i="46"/>
  <c r="G119" i="46"/>
  <c r="E119" i="46"/>
  <c r="Q118" i="46"/>
  <c r="P118" i="46"/>
  <c r="L118" i="46"/>
  <c r="M118" i="46"/>
  <c r="N118" i="46" s="1"/>
  <c r="K118" i="46"/>
  <c r="G118" i="46"/>
  <c r="E118" i="46"/>
  <c r="U117" i="46"/>
  <c r="T117" i="46"/>
  <c r="S117" i="46"/>
  <c r="Q117" i="46"/>
  <c r="P117" i="46"/>
  <c r="L117" i="46"/>
  <c r="M117" i="46" s="1"/>
  <c r="N117" i="46" s="1"/>
  <c r="K117" i="46"/>
  <c r="G117" i="46"/>
  <c r="E117" i="46"/>
  <c r="Q116" i="46"/>
  <c r="P116" i="46"/>
  <c r="L116" i="46"/>
  <c r="M116" i="46" s="1"/>
  <c r="N116" i="46" s="1"/>
  <c r="K116" i="46"/>
  <c r="G116" i="46"/>
  <c r="E116" i="46"/>
  <c r="U115" i="46"/>
  <c r="T115" i="46"/>
  <c r="S115" i="46"/>
  <c r="Q115" i="46"/>
  <c r="P115" i="46"/>
  <c r="L115" i="46"/>
  <c r="M115" i="46" s="1"/>
  <c r="N115" i="46" s="1"/>
  <c r="K115" i="46"/>
  <c r="G115" i="46"/>
  <c r="E115" i="46"/>
  <c r="U114" i="46"/>
  <c r="T114" i="46"/>
  <c r="S114" i="46"/>
  <c r="Q114" i="46"/>
  <c r="P114" i="46"/>
  <c r="L114" i="46"/>
  <c r="M114" i="46" s="1"/>
  <c r="N114" i="46" s="1"/>
  <c r="K114" i="46"/>
  <c r="G114" i="46"/>
  <c r="E114" i="46"/>
  <c r="Q113" i="46"/>
  <c r="P113" i="46"/>
  <c r="L113" i="46"/>
  <c r="M113" i="46" s="1"/>
  <c r="N113" i="46" s="1"/>
  <c r="K113" i="46"/>
  <c r="G113" i="46"/>
  <c r="E113" i="46"/>
  <c r="Q112" i="46"/>
  <c r="P112" i="46"/>
  <c r="L112" i="46"/>
  <c r="M112" i="46" s="1"/>
  <c r="N112" i="46" s="1"/>
  <c r="K112" i="46"/>
  <c r="G112" i="46"/>
  <c r="E112" i="46"/>
  <c r="U111" i="46"/>
  <c r="T111" i="46"/>
  <c r="S111" i="46"/>
  <c r="Q111" i="46"/>
  <c r="P111" i="46"/>
  <c r="L111" i="46"/>
  <c r="M111" i="46" s="1"/>
  <c r="N111" i="46" s="1"/>
  <c r="K111" i="46"/>
  <c r="G111" i="46"/>
  <c r="E111" i="46"/>
  <c r="Q110" i="46"/>
  <c r="P110" i="46"/>
  <c r="L110" i="46"/>
  <c r="M110" i="46" s="1"/>
  <c r="N110" i="46" s="1"/>
  <c r="K110" i="46"/>
  <c r="G110" i="46"/>
  <c r="E110" i="46"/>
  <c r="Q109" i="46"/>
  <c r="P109" i="46"/>
  <c r="L109" i="46"/>
  <c r="M109" i="46"/>
  <c r="N109" i="46" s="1"/>
  <c r="K109" i="46"/>
  <c r="G109" i="46"/>
  <c r="E109" i="46"/>
  <c r="Q108" i="46"/>
  <c r="P108" i="46"/>
  <c r="L108" i="46"/>
  <c r="M108" i="46" s="1"/>
  <c r="N108" i="46" s="1"/>
  <c r="K108" i="46"/>
  <c r="G108" i="46"/>
  <c r="E108" i="46"/>
  <c r="Q107" i="46"/>
  <c r="P107" i="46"/>
  <c r="L107" i="46"/>
  <c r="M107" i="46" s="1"/>
  <c r="N107" i="46" s="1"/>
  <c r="K107" i="46"/>
  <c r="G107" i="46"/>
  <c r="E107" i="46"/>
  <c r="Q106" i="46"/>
  <c r="P106" i="46"/>
  <c r="L106" i="46"/>
  <c r="M106" i="46"/>
  <c r="N106" i="46" s="1"/>
  <c r="K106" i="46"/>
  <c r="G106" i="46"/>
  <c r="E106" i="46"/>
  <c r="U105" i="46"/>
  <c r="T105" i="46"/>
  <c r="S105" i="46"/>
  <c r="Q105" i="46"/>
  <c r="P105" i="46"/>
  <c r="L105" i="46"/>
  <c r="M105" i="46" s="1"/>
  <c r="N105" i="46" s="1"/>
  <c r="K105" i="46"/>
  <c r="G105" i="46"/>
  <c r="E105" i="46"/>
  <c r="Q104" i="46"/>
  <c r="P104" i="46"/>
  <c r="L104" i="46"/>
  <c r="M104" i="46"/>
  <c r="N104" i="46" s="1"/>
  <c r="K104" i="46"/>
  <c r="G104" i="46"/>
  <c r="E104" i="46"/>
  <c r="U103" i="46"/>
  <c r="T103" i="46"/>
  <c r="S103" i="46"/>
  <c r="Q103" i="46"/>
  <c r="P103" i="46"/>
  <c r="L103" i="46"/>
  <c r="M103" i="46"/>
  <c r="N103" i="46" s="1"/>
  <c r="K103" i="46"/>
  <c r="G103" i="46"/>
  <c r="E103" i="46"/>
  <c r="Q102" i="46"/>
  <c r="P102" i="46"/>
  <c r="L102" i="46"/>
  <c r="M102" i="46" s="1"/>
  <c r="N102" i="46" s="1"/>
  <c r="K102" i="46"/>
  <c r="G102" i="46"/>
  <c r="E102" i="46"/>
  <c r="Q101" i="46"/>
  <c r="P101" i="46"/>
  <c r="L101" i="46"/>
  <c r="M101" i="46" s="1"/>
  <c r="N101" i="46" s="1"/>
  <c r="K101" i="46"/>
  <c r="G101" i="46"/>
  <c r="E101" i="46"/>
  <c r="Q100" i="46"/>
  <c r="P100" i="46"/>
  <c r="L100" i="46"/>
  <c r="K100" i="46"/>
  <c r="G100" i="46"/>
  <c r="E100" i="46"/>
  <c r="Q99" i="46"/>
  <c r="P99" i="46"/>
  <c r="L99" i="46"/>
  <c r="M99" i="46" s="1"/>
  <c r="N99" i="46" s="1"/>
  <c r="K99" i="46"/>
  <c r="G99" i="46"/>
  <c r="E99" i="46"/>
  <c r="U98" i="46"/>
  <c r="T98" i="46"/>
  <c r="S98" i="46"/>
  <c r="Q98" i="46"/>
  <c r="P98" i="46"/>
  <c r="L98" i="46"/>
  <c r="M98" i="46" s="1"/>
  <c r="N98" i="46" s="1"/>
  <c r="K98" i="46"/>
  <c r="G98" i="46"/>
  <c r="E98" i="46"/>
  <c r="Q97" i="46"/>
  <c r="P97" i="46"/>
  <c r="L97" i="46"/>
  <c r="M97" i="46" s="1"/>
  <c r="K97" i="46"/>
  <c r="G97" i="46"/>
  <c r="E97" i="46"/>
  <c r="U96" i="46"/>
  <c r="T96" i="46"/>
  <c r="S96" i="46"/>
  <c r="Q96" i="46"/>
  <c r="P96" i="46"/>
  <c r="L96" i="46"/>
  <c r="M96" i="46" s="1"/>
  <c r="N96" i="46" s="1"/>
  <c r="K96" i="46"/>
  <c r="G96" i="46"/>
  <c r="E96" i="46"/>
  <c r="Q95" i="46"/>
  <c r="P95" i="46"/>
  <c r="L95" i="46"/>
  <c r="M95" i="46" s="1"/>
  <c r="N95" i="46" s="1"/>
  <c r="K95" i="46"/>
  <c r="G95" i="46"/>
  <c r="E95" i="46"/>
  <c r="Q94" i="46"/>
  <c r="P94" i="46"/>
  <c r="L94" i="46"/>
  <c r="M94" i="46" s="1"/>
  <c r="N94" i="46" s="1"/>
  <c r="Q93" i="46"/>
  <c r="P93" i="46"/>
  <c r="L93" i="46"/>
  <c r="M93" i="46" s="1"/>
  <c r="N93" i="46" s="1"/>
  <c r="K93" i="46"/>
  <c r="G93" i="46"/>
  <c r="E93" i="46"/>
  <c r="Q92" i="46"/>
  <c r="P92" i="46"/>
  <c r="L92" i="46"/>
  <c r="M92" i="46" s="1"/>
  <c r="N92" i="46" s="1"/>
  <c r="K92" i="46"/>
  <c r="G92" i="46"/>
  <c r="E92" i="46"/>
  <c r="U91" i="46"/>
  <c r="T91" i="46"/>
  <c r="S91" i="46"/>
  <c r="Q91" i="46"/>
  <c r="P91" i="46"/>
  <c r="L91" i="46"/>
  <c r="M91" i="46" s="1"/>
  <c r="N91" i="46" s="1"/>
  <c r="K91" i="46"/>
  <c r="G91" i="46"/>
  <c r="E91" i="46"/>
  <c r="Q90" i="46"/>
  <c r="P90" i="46"/>
  <c r="L90" i="46"/>
  <c r="M90" i="46" s="1"/>
  <c r="N90" i="46" s="1"/>
  <c r="K90" i="46"/>
  <c r="G90" i="46"/>
  <c r="E90" i="46"/>
  <c r="U89" i="46"/>
  <c r="T89" i="46"/>
  <c r="S89" i="46"/>
  <c r="Q89" i="46"/>
  <c r="P89" i="46"/>
  <c r="L89" i="46"/>
  <c r="M89" i="46" s="1"/>
  <c r="N89" i="46" s="1"/>
  <c r="K89" i="46"/>
  <c r="G89" i="46"/>
  <c r="E89" i="46"/>
  <c r="U88" i="46"/>
  <c r="T88" i="46"/>
  <c r="S88" i="46"/>
  <c r="Q88" i="46"/>
  <c r="P88" i="46"/>
  <c r="L88" i="46"/>
  <c r="M88" i="46" s="1"/>
  <c r="N88" i="46" s="1"/>
  <c r="K88" i="46"/>
  <c r="G88" i="46"/>
  <c r="E88" i="46"/>
  <c r="Q87" i="46"/>
  <c r="P87" i="46"/>
  <c r="L87" i="46"/>
  <c r="M87" i="46" s="1"/>
  <c r="N87" i="46" s="1"/>
  <c r="U86" i="46"/>
  <c r="T86" i="46"/>
  <c r="S86" i="46"/>
  <c r="Q86" i="46"/>
  <c r="P86" i="46"/>
  <c r="L86" i="46"/>
  <c r="M86" i="46"/>
  <c r="N86" i="46" s="1"/>
  <c r="K86" i="46"/>
  <c r="G86" i="46"/>
  <c r="E86" i="46"/>
  <c r="Q85" i="46"/>
  <c r="P85" i="46"/>
  <c r="L85" i="46"/>
  <c r="M85" i="46" s="1"/>
  <c r="N85" i="46" s="1"/>
  <c r="K85" i="46"/>
  <c r="G85" i="46"/>
  <c r="E85" i="46"/>
  <c r="Q84" i="46"/>
  <c r="P84" i="46"/>
  <c r="L84" i="46"/>
  <c r="M84" i="46" s="1"/>
  <c r="N84" i="46" s="1"/>
  <c r="K84" i="46"/>
  <c r="G84" i="46"/>
  <c r="E84" i="46"/>
  <c r="U83" i="46"/>
  <c r="T83" i="46"/>
  <c r="S83" i="46"/>
  <c r="Q83" i="46"/>
  <c r="P83" i="46"/>
  <c r="L83" i="46"/>
  <c r="M83" i="46"/>
  <c r="N83" i="46" s="1"/>
  <c r="Q82" i="46"/>
  <c r="P82" i="46"/>
  <c r="L82" i="46"/>
  <c r="M82" i="46" s="1"/>
  <c r="N82" i="46" s="1"/>
  <c r="K82" i="46"/>
  <c r="G82" i="46"/>
  <c r="E82" i="46"/>
  <c r="Q81" i="46"/>
  <c r="P81" i="46"/>
  <c r="L81" i="46"/>
  <c r="M81" i="46" s="1"/>
  <c r="N81" i="46" s="1"/>
  <c r="K81" i="46"/>
  <c r="G81" i="46"/>
  <c r="E81" i="46"/>
  <c r="Q80" i="46"/>
  <c r="P80" i="46"/>
  <c r="L80" i="46"/>
  <c r="M80" i="46"/>
  <c r="N80" i="46" s="1"/>
  <c r="K80" i="46"/>
  <c r="G80" i="46"/>
  <c r="E80" i="46"/>
  <c r="U79" i="46"/>
  <c r="T79" i="46"/>
  <c r="S79" i="46"/>
  <c r="Q79" i="46"/>
  <c r="P79" i="46"/>
  <c r="L79" i="46"/>
  <c r="M79" i="46"/>
  <c r="N79" i="46" s="1"/>
  <c r="K79" i="46"/>
  <c r="G79" i="46"/>
  <c r="E79" i="46"/>
  <c r="Q78" i="46"/>
  <c r="P78" i="46"/>
  <c r="L78" i="46"/>
  <c r="M78" i="46" s="1"/>
  <c r="N78" i="46" s="1"/>
  <c r="K78" i="46"/>
  <c r="G78" i="46"/>
  <c r="E78" i="46"/>
  <c r="U77" i="46"/>
  <c r="T77" i="46"/>
  <c r="S77" i="46"/>
  <c r="Q77" i="46"/>
  <c r="P77" i="46"/>
  <c r="L77" i="46"/>
  <c r="M77" i="46" s="1"/>
  <c r="N77" i="46" s="1"/>
  <c r="K77" i="46"/>
  <c r="G77" i="46"/>
  <c r="E77" i="46"/>
  <c r="U76" i="46"/>
  <c r="T76" i="46"/>
  <c r="S76" i="46"/>
  <c r="Q76" i="46"/>
  <c r="P76" i="46"/>
  <c r="L76" i="46"/>
  <c r="M76" i="46" s="1"/>
  <c r="K76" i="46"/>
  <c r="G76" i="46"/>
  <c r="E76" i="46"/>
  <c r="Q75" i="46"/>
  <c r="P75" i="46"/>
  <c r="L75" i="46"/>
  <c r="M75" i="46"/>
  <c r="N75" i="46" s="1"/>
  <c r="U74" i="46"/>
  <c r="T74" i="46"/>
  <c r="S74" i="46"/>
  <c r="Q74" i="46"/>
  <c r="P74" i="46"/>
  <c r="L74" i="46"/>
  <c r="M74" i="46"/>
  <c r="N74" i="46" s="1"/>
  <c r="K74" i="46"/>
  <c r="G74" i="46"/>
  <c r="E74" i="46"/>
  <c r="Q73" i="46"/>
  <c r="P73" i="46"/>
  <c r="L73" i="46"/>
  <c r="M73" i="46" s="1"/>
  <c r="N73" i="46" s="1"/>
  <c r="K73" i="46"/>
  <c r="G73" i="46"/>
  <c r="E73" i="46"/>
  <c r="Q72" i="46"/>
  <c r="P72" i="46"/>
  <c r="L72" i="46"/>
  <c r="M72" i="46"/>
  <c r="N72" i="46" s="1"/>
  <c r="K72" i="46"/>
  <c r="G72" i="46"/>
  <c r="E72" i="46"/>
  <c r="Q71" i="46"/>
  <c r="P71" i="46"/>
  <c r="L71" i="46"/>
  <c r="M71" i="46"/>
  <c r="N71" i="46" s="1"/>
  <c r="K71" i="46"/>
  <c r="G71" i="46"/>
  <c r="E71" i="46"/>
  <c r="Q70" i="46"/>
  <c r="P70" i="46"/>
  <c r="L70" i="46"/>
  <c r="M70" i="46" s="1"/>
  <c r="N70" i="46" s="1"/>
  <c r="K70" i="46"/>
  <c r="G70" i="46"/>
  <c r="E70" i="46"/>
  <c r="Q69" i="46"/>
  <c r="P69" i="46"/>
  <c r="L69" i="46"/>
  <c r="M69" i="46"/>
  <c r="N69" i="46" s="1"/>
  <c r="K69" i="46"/>
  <c r="G69" i="46"/>
  <c r="E69" i="46"/>
  <c r="Q68" i="46"/>
  <c r="P68" i="46"/>
  <c r="L68" i="46"/>
  <c r="M68" i="46"/>
  <c r="N68" i="46" s="1"/>
  <c r="K68" i="46"/>
  <c r="G68" i="46"/>
  <c r="E68" i="46"/>
  <c r="Q67" i="46"/>
  <c r="P67" i="46"/>
  <c r="L67" i="46"/>
  <c r="M67" i="46" s="1"/>
  <c r="N67" i="46" s="1"/>
  <c r="K67" i="46"/>
  <c r="G67" i="46"/>
  <c r="E67" i="46"/>
  <c r="Q66" i="46"/>
  <c r="P66" i="46"/>
  <c r="L66" i="46"/>
  <c r="M66" i="46"/>
  <c r="N66" i="46" s="1"/>
  <c r="K66" i="46"/>
  <c r="G66" i="46"/>
  <c r="E66" i="46"/>
  <c r="Q65" i="46"/>
  <c r="P65" i="46"/>
  <c r="L65" i="46"/>
  <c r="M65" i="46"/>
  <c r="N65" i="46" s="1"/>
  <c r="K65" i="46"/>
  <c r="G65" i="46"/>
  <c r="E65" i="46"/>
  <c r="Q64" i="46"/>
  <c r="P64" i="46"/>
  <c r="L64" i="46"/>
  <c r="M64" i="46" s="1"/>
  <c r="N64" i="46" s="1"/>
  <c r="K64" i="46"/>
  <c r="G64" i="46"/>
  <c r="E64" i="46"/>
  <c r="Q63" i="46"/>
  <c r="P63" i="46"/>
  <c r="L63" i="46"/>
  <c r="M63" i="46"/>
  <c r="N63" i="46" s="1"/>
  <c r="K63" i="46"/>
  <c r="G63" i="46"/>
  <c r="E63" i="46"/>
  <c r="Q62" i="46"/>
  <c r="P62" i="46"/>
  <c r="L62" i="46"/>
  <c r="M62" i="46"/>
  <c r="N62" i="46" s="1"/>
  <c r="K62" i="46"/>
  <c r="G62" i="46"/>
  <c r="E62" i="46"/>
  <c r="Q61" i="46"/>
  <c r="P61" i="46"/>
  <c r="L61" i="46"/>
  <c r="M61" i="46" s="1"/>
  <c r="N61" i="46" s="1"/>
  <c r="K61" i="46"/>
  <c r="G61" i="46"/>
  <c r="E61" i="46"/>
  <c r="Q60" i="46"/>
  <c r="P60" i="46"/>
  <c r="L60" i="46"/>
  <c r="M60" i="46"/>
  <c r="N60" i="46" s="1"/>
  <c r="K60" i="46"/>
  <c r="G60" i="46"/>
  <c r="E60" i="46"/>
  <c r="Q59" i="46"/>
  <c r="P59" i="46"/>
  <c r="L59" i="46"/>
  <c r="M59" i="46"/>
  <c r="N59" i="46" s="1"/>
  <c r="K59" i="46"/>
  <c r="G59" i="46"/>
  <c r="E59" i="46"/>
  <c r="Q58" i="46"/>
  <c r="P58" i="46"/>
  <c r="L58" i="46"/>
  <c r="M58" i="46" s="1"/>
  <c r="N58" i="46" s="1"/>
  <c r="K58" i="46"/>
  <c r="G58" i="46"/>
  <c r="E58" i="46"/>
  <c r="Q57" i="46"/>
  <c r="P57" i="46"/>
  <c r="L57" i="46"/>
  <c r="M57" i="46"/>
  <c r="N57" i="46" s="1"/>
  <c r="K57" i="46"/>
  <c r="G57" i="46"/>
  <c r="E57" i="46"/>
  <c r="Q56" i="46"/>
  <c r="P56" i="46"/>
  <c r="L56" i="46"/>
  <c r="M56" i="46"/>
  <c r="N56" i="46" s="1"/>
  <c r="K56" i="46"/>
  <c r="G56" i="46"/>
  <c r="E56" i="46"/>
  <c r="Q55" i="46"/>
  <c r="P55" i="46"/>
  <c r="L55" i="46"/>
  <c r="M55" i="46" s="1"/>
  <c r="N55" i="46" s="1"/>
  <c r="K55" i="46"/>
  <c r="G55" i="46"/>
  <c r="E55" i="46"/>
  <c r="Q54" i="46"/>
  <c r="P54" i="46"/>
  <c r="L54" i="46"/>
  <c r="M54" i="46"/>
  <c r="N54" i="46" s="1"/>
  <c r="K54" i="46"/>
  <c r="G54" i="46"/>
  <c r="E54" i="46"/>
  <c r="Q53" i="46"/>
  <c r="P53" i="46"/>
  <c r="L53" i="46"/>
  <c r="M53" i="46"/>
  <c r="N53" i="46" s="1"/>
  <c r="K53" i="46"/>
  <c r="G53" i="46"/>
  <c r="E53" i="46"/>
  <c r="Q52" i="46"/>
  <c r="P52" i="46"/>
  <c r="L52" i="46"/>
  <c r="M52" i="46" s="1"/>
  <c r="N52" i="46" s="1"/>
  <c r="K52" i="46"/>
  <c r="G52" i="46"/>
  <c r="E52" i="46"/>
  <c r="Q51" i="46"/>
  <c r="P51" i="46"/>
  <c r="L51" i="46"/>
  <c r="M51" i="46"/>
  <c r="N51" i="46" s="1"/>
  <c r="K51" i="46"/>
  <c r="G51" i="46"/>
  <c r="E51" i="46"/>
  <c r="Q50" i="46"/>
  <c r="P50" i="46"/>
  <c r="L50" i="46"/>
  <c r="M50" i="46"/>
  <c r="N50" i="46" s="1"/>
  <c r="K50" i="46"/>
  <c r="G50" i="46"/>
  <c r="E50" i="46"/>
  <c r="Q49" i="46"/>
  <c r="P49" i="46"/>
  <c r="L49" i="46"/>
  <c r="M49" i="46" s="1"/>
  <c r="N49" i="46" s="1"/>
  <c r="K49" i="46"/>
  <c r="G49" i="46"/>
  <c r="E49" i="46"/>
  <c r="Q48" i="46"/>
  <c r="P48" i="46"/>
  <c r="L48" i="46"/>
  <c r="M48" i="46"/>
  <c r="N48" i="46" s="1"/>
  <c r="K48" i="46"/>
  <c r="G48" i="46"/>
  <c r="E48" i="46"/>
  <c r="Q47" i="46"/>
  <c r="P47" i="46"/>
  <c r="L47" i="46"/>
  <c r="M47" i="46"/>
  <c r="N47" i="46" s="1"/>
  <c r="K47" i="46"/>
  <c r="G47" i="46"/>
  <c r="E47" i="46"/>
  <c r="Q46" i="46"/>
  <c r="P46" i="46"/>
  <c r="L46" i="46"/>
  <c r="M46" i="46" s="1"/>
  <c r="N46" i="46" s="1"/>
  <c r="K46" i="46"/>
  <c r="G46" i="46"/>
  <c r="E46" i="46"/>
  <c r="Q45" i="46"/>
  <c r="P45" i="46"/>
  <c r="L45" i="46"/>
  <c r="M45" i="46"/>
  <c r="N45" i="46" s="1"/>
  <c r="K45" i="46"/>
  <c r="G45" i="46"/>
  <c r="E45" i="46"/>
  <c r="Q44" i="46"/>
  <c r="P44" i="46"/>
  <c r="L44" i="46"/>
  <c r="M44" i="46"/>
  <c r="N44" i="46" s="1"/>
  <c r="K44" i="46"/>
  <c r="G44" i="46"/>
  <c r="E44" i="46"/>
  <c r="U43" i="46"/>
  <c r="T43" i="46"/>
  <c r="S43" i="46"/>
  <c r="Q43" i="46"/>
  <c r="P43" i="46"/>
  <c r="L43" i="46"/>
  <c r="M43" i="46" s="1"/>
  <c r="N43" i="46" s="1"/>
  <c r="K43" i="46"/>
  <c r="G43" i="46"/>
  <c r="E43" i="46"/>
  <c r="Q42" i="46"/>
  <c r="P42" i="46"/>
  <c r="L42" i="46"/>
  <c r="M42" i="46" s="1"/>
  <c r="N42" i="46" s="1"/>
  <c r="K42" i="46"/>
  <c r="G42" i="46"/>
  <c r="E42" i="46"/>
  <c r="Q41" i="46"/>
  <c r="P41" i="46"/>
  <c r="L41" i="46"/>
  <c r="M41" i="46" s="1"/>
  <c r="N41" i="46" s="1"/>
  <c r="K41" i="46"/>
  <c r="G41" i="46"/>
  <c r="E41" i="46"/>
  <c r="Q40" i="46"/>
  <c r="P40" i="46"/>
  <c r="L40" i="46"/>
  <c r="M40" i="46" s="1"/>
  <c r="N40" i="46" s="1"/>
  <c r="K40" i="46"/>
  <c r="G40" i="46"/>
  <c r="E40" i="46"/>
  <c r="Q39" i="46"/>
  <c r="P39" i="46"/>
  <c r="L39" i="46"/>
  <c r="M39" i="46" s="1"/>
  <c r="N39" i="46" s="1"/>
  <c r="Q38" i="46"/>
  <c r="P38" i="46"/>
  <c r="L38" i="46"/>
  <c r="M38" i="46" s="1"/>
  <c r="N38" i="46" s="1"/>
  <c r="K38" i="46"/>
  <c r="G38" i="46"/>
  <c r="E38" i="46"/>
  <c r="Q37" i="46"/>
  <c r="P37" i="46"/>
  <c r="L37" i="46"/>
  <c r="M37" i="46"/>
  <c r="N37" i="46" s="1"/>
  <c r="K37" i="46"/>
  <c r="G37" i="46"/>
  <c r="E37" i="46"/>
  <c r="Q36" i="46"/>
  <c r="P36" i="46"/>
  <c r="L36" i="46"/>
  <c r="M36" i="46"/>
  <c r="N36" i="46"/>
  <c r="K36" i="46"/>
  <c r="G36" i="46"/>
  <c r="E36" i="46"/>
  <c r="Q35" i="46"/>
  <c r="P35" i="46"/>
  <c r="L35" i="46"/>
  <c r="M35" i="46" s="1"/>
  <c r="N35" i="46" s="1"/>
  <c r="K35" i="46"/>
  <c r="G35" i="46"/>
  <c r="E35" i="46"/>
  <c r="Q34" i="46"/>
  <c r="P34" i="46"/>
  <c r="L34" i="46"/>
  <c r="M34" i="46"/>
  <c r="N34" i="46" s="1"/>
  <c r="K34" i="46"/>
  <c r="G34" i="46"/>
  <c r="E34" i="46"/>
  <c r="Q33" i="46"/>
  <c r="P33" i="46"/>
  <c r="L33" i="46"/>
  <c r="M33" i="46"/>
  <c r="N33" i="46" s="1"/>
  <c r="K33" i="46"/>
  <c r="G33" i="46"/>
  <c r="E33" i="46"/>
  <c r="Q32" i="46"/>
  <c r="P32" i="46"/>
  <c r="L32" i="46"/>
  <c r="M32" i="46" s="1"/>
  <c r="N32" i="46" s="1"/>
  <c r="K32" i="46"/>
  <c r="G32" i="46"/>
  <c r="E32" i="46"/>
  <c r="Q31" i="46"/>
  <c r="P31" i="46"/>
  <c r="L31" i="46"/>
  <c r="M31" i="46" s="1"/>
  <c r="N31" i="46" s="1"/>
  <c r="K31" i="46"/>
  <c r="G31" i="46"/>
  <c r="E31" i="46"/>
  <c r="Q30" i="46"/>
  <c r="P30" i="46"/>
  <c r="L30" i="46"/>
  <c r="M30" i="46" s="1"/>
  <c r="N30" i="46" s="1"/>
  <c r="K30" i="46"/>
  <c r="G30" i="46"/>
  <c r="E30" i="46"/>
  <c r="Q29" i="46"/>
  <c r="P29" i="46"/>
  <c r="L29" i="46"/>
  <c r="M29" i="46"/>
  <c r="K29" i="46"/>
  <c r="G29" i="46"/>
  <c r="E29" i="46"/>
  <c r="Q28" i="46"/>
  <c r="P28" i="46"/>
  <c r="L28" i="46"/>
  <c r="M28" i="46"/>
  <c r="K28" i="46"/>
  <c r="G28" i="46"/>
  <c r="E28" i="46"/>
  <c r="U27" i="46"/>
  <c r="T27" i="46"/>
  <c r="S27" i="46"/>
  <c r="Q27" i="46"/>
  <c r="P27" i="46"/>
  <c r="L27" i="46"/>
  <c r="M27" i="46" s="1"/>
  <c r="N27" i="46" s="1"/>
  <c r="K27" i="46"/>
  <c r="G27" i="46"/>
  <c r="E27" i="46"/>
  <c r="Q26" i="46"/>
  <c r="P26" i="46"/>
  <c r="L26" i="46"/>
  <c r="M26" i="46" s="1"/>
  <c r="N26" i="46" s="1"/>
  <c r="K26" i="46"/>
  <c r="G26" i="46"/>
  <c r="E26" i="46"/>
  <c r="Q25" i="46"/>
  <c r="P25" i="46"/>
  <c r="L25" i="46"/>
  <c r="M25" i="46" s="1"/>
  <c r="N25" i="46" s="1"/>
  <c r="K25" i="46"/>
  <c r="G25" i="46"/>
  <c r="E25" i="46"/>
  <c r="Q24" i="46"/>
  <c r="P24" i="46"/>
  <c r="L24" i="46"/>
  <c r="M24" i="46" s="1"/>
  <c r="N24" i="46" s="1"/>
  <c r="K24" i="46"/>
  <c r="G24" i="46"/>
  <c r="E24" i="46"/>
  <c r="U23" i="46"/>
  <c r="T23" i="46"/>
  <c r="S23" i="46"/>
  <c r="Q23" i="46"/>
  <c r="P23" i="46"/>
  <c r="L23" i="46"/>
  <c r="M23" i="46" s="1"/>
  <c r="N23" i="46" s="1"/>
  <c r="G23" i="46"/>
  <c r="E23" i="46"/>
  <c r="Q22" i="46"/>
  <c r="P22" i="46"/>
  <c r="L22" i="46"/>
  <c r="M22" i="46" s="1"/>
  <c r="N22" i="46" s="1"/>
  <c r="Q21" i="46"/>
  <c r="P21" i="46"/>
  <c r="L21" i="46"/>
  <c r="M21" i="46" s="1"/>
  <c r="N21" i="46" s="1"/>
  <c r="Q20" i="46"/>
  <c r="P20" i="46"/>
  <c r="L20" i="46"/>
  <c r="K20" i="46"/>
  <c r="G20" i="46"/>
  <c r="E20" i="46"/>
  <c r="Q19" i="46"/>
  <c r="P19" i="46"/>
  <c r="L19" i="46"/>
  <c r="M19" i="46"/>
  <c r="N19" i="46" s="1"/>
  <c r="K19" i="46"/>
  <c r="G19" i="46"/>
  <c r="E19" i="46"/>
  <c r="Q18" i="46"/>
  <c r="P18" i="46"/>
  <c r="L18" i="46"/>
  <c r="M18" i="46" s="1"/>
  <c r="N18" i="46" s="1"/>
  <c r="K18" i="46"/>
  <c r="G18" i="46"/>
  <c r="E18" i="46"/>
  <c r="Q17" i="46"/>
  <c r="P17" i="46"/>
  <c r="L17" i="46"/>
  <c r="M17" i="46" s="1"/>
  <c r="N17" i="46" s="1"/>
  <c r="K17" i="46"/>
  <c r="G17" i="46"/>
  <c r="E17" i="46"/>
  <c r="U16" i="46"/>
  <c r="T16" i="46"/>
  <c r="S16" i="46"/>
  <c r="Q16" i="46"/>
  <c r="P16" i="46"/>
  <c r="L16" i="46"/>
  <c r="M16" i="46"/>
  <c r="N16" i="46"/>
  <c r="K16" i="46"/>
  <c r="G16" i="46"/>
  <c r="E16" i="46"/>
  <c r="Q15" i="46"/>
  <c r="P15" i="46"/>
  <c r="L15" i="46"/>
  <c r="M15" i="46" s="1"/>
  <c r="N15" i="46" s="1"/>
  <c r="U14" i="46"/>
  <c r="T14" i="46"/>
  <c r="S14" i="46"/>
  <c r="Q14" i="46"/>
  <c r="P14" i="46"/>
  <c r="L14" i="46"/>
  <c r="M14" i="46"/>
  <c r="N14" i="46" s="1"/>
  <c r="K14" i="46"/>
  <c r="G14" i="46"/>
  <c r="E14" i="46"/>
  <c r="Q13" i="46"/>
  <c r="P13" i="46"/>
  <c r="L13" i="46"/>
  <c r="M13" i="46"/>
  <c r="N13" i="46" s="1"/>
  <c r="K13" i="46"/>
  <c r="G13" i="46"/>
  <c r="E13" i="46"/>
  <c r="Q12" i="46"/>
  <c r="P12" i="46"/>
  <c r="L12" i="46"/>
  <c r="M12" i="46" s="1"/>
  <c r="N12" i="46" s="1"/>
  <c r="K12" i="46"/>
  <c r="G12" i="46"/>
  <c r="E12" i="46"/>
  <c r="Q11" i="46"/>
  <c r="P11" i="46"/>
  <c r="L11" i="46"/>
  <c r="M11" i="46"/>
  <c r="N11" i="46" s="1"/>
  <c r="K11" i="46"/>
  <c r="G11" i="46"/>
  <c r="E11" i="46"/>
  <c r="Q10" i="46"/>
  <c r="P10" i="46"/>
  <c r="L10" i="46"/>
  <c r="M10" i="46" s="1"/>
  <c r="K10" i="46"/>
  <c r="G10" i="46"/>
  <c r="E10" i="46"/>
  <c r="Q9" i="46"/>
  <c r="P9" i="46"/>
  <c r="L9" i="46"/>
  <c r="M9" i="46" s="1"/>
  <c r="N9" i="46" s="1"/>
  <c r="K9" i="46"/>
  <c r="G9" i="46"/>
  <c r="E9" i="46"/>
  <c r="Q8" i="46"/>
  <c r="P8" i="46"/>
  <c r="L8" i="46"/>
  <c r="M8" i="46" s="1"/>
  <c r="N8" i="46" s="1"/>
  <c r="K8" i="46"/>
  <c r="G8" i="46"/>
  <c r="E8" i="46"/>
  <c r="Q7" i="46"/>
  <c r="P7" i="46"/>
  <c r="L7" i="46"/>
  <c r="M7" i="46" s="1"/>
  <c r="N7" i="46" s="1"/>
  <c r="K7" i="46"/>
  <c r="G7" i="46"/>
  <c r="E7" i="46"/>
  <c r="Q6" i="46"/>
  <c r="P6" i="46"/>
  <c r="L6" i="46"/>
  <c r="K6" i="46"/>
  <c r="G6" i="46"/>
  <c r="E6" i="46"/>
  <c r="K173" i="44"/>
  <c r="G173" i="44"/>
  <c r="E173" i="44"/>
  <c r="K382" i="45"/>
  <c r="G382" i="45"/>
  <c r="E382" i="45"/>
  <c r="K173" i="45"/>
  <c r="E173" i="45"/>
  <c r="G173" i="45"/>
  <c r="J417" i="45"/>
  <c r="F417" i="45"/>
  <c r="D417" i="45"/>
  <c r="C417" i="45"/>
  <c r="U416" i="45"/>
  <c r="T416" i="45"/>
  <c r="S416" i="45"/>
  <c r="Q416" i="45"/>
  <c r="P416" i="45"/>
  <c r="L416" i="45"/>
  <c r="M416" i="45"/>
  <c r="N416" i="45" s="1"/>
  <c r="Q415" i="45"/>
  <c r="P415" i="45"/>
  <c r="L415" i="45"/>
  <c r="M415" i="45" s="1"/>
  <c r="N415" i="45" s="1"/>
  <c r="K415" i="45"/>
  <c r="G415" i="45"/>
  <c r="E415" i="45"/>
  <c r="Q414" i="45"/>
  <c r="P414" i="45"/>
  <c r="L414" i="45"/>
  <c r="M414" i="45" s="1"/>
  <c r="N414" i="45" s="1"/>
  <c r="Q413" i="45"/>
  <c r="P413" i="45"/>
  <c r="L413" i="45"/>
  <c r="M413" i="45" s="1"/>
  <c r="N413" i="45" s="1"/>
  <c r="K413" i="45"/>
  <c r="G413" i="45"/>
  <c r="E413" i="45"/>
  <c r="Q412" i="45"/>
  <c r="P412" i="45"/>
  <c r="L412" i="45"/>
  <c r="M412" i="45"/>
  <c r="N412" i="45" s="1"/>
  <c r="U411" i="45"/>
  <c r="T411" i="45"/>
  <c r="S411" i="45"/>
  <c r="Q411" i="45"/>
  <c r="P411" i="45"/>
  <c r="L411" i="45"/>
  <c r="M411" i="45" s="1"/>
  <c r="N411" i="45" s="1"/>
  <c r="Q410" i="45"/>
  <c r="P410" i="45"/>
  <c r="L410" i="45"/>
  <c r="M410" i="45" s="1"/>
  <c r="N410" i="45" s="1"/>
  <c r="K410" i="45"/>
  <c r="G410" i="45"/>
  <c r="E410" i="45"/>
  <c r="Q409" i="45"/>
  <c r="P409" i="45"/>
  <c r="L409" i="45"/>
  <c r="M409" i="45" s="1"/>
  <c r="N409" i="45" s="1"/>
  <c r="K409" i="45"/>
  <c r="G409" i="45"/>
  <c r="E409" i="45"/>
  <c r="U408" i="45"/>
  <c r="T408" i="45"/>
  <c r="S408" i="45"/>
  <c r="Q408" i="45"/>
  <c r="P408" i="45"/>
  <c r="L408" i="45"/>
  <c r="M408" i="45" s="1"/>
  <c r="N408" i="45" s="1"/>
  <c r="K408" i="45"/>
  <c r="G408" i="45"/>
  <c r="E408" i="45"/>
  <c r="Q407" i="45"/>
  <c r="P407" i="45"/>
  <c r="L407" i="45"/>
  <c r="M407" i="45" s="1"/>
  <c r="N407" i="45" s="1"/>
  <c r="U406" i="45"/>
  <c r="T406" i="45"/>
  <c r="S406" i="45"/>
  <c r="Q406" i="45"/>
  <c r="P406" i="45"/>
  <c r="L406" i="45"/>
  <c r="M406" i="45"/>
  <c r="N406" i="45" s="1"/>
  <c r="K406" i="45"/>
  <c r="G406" i="45"/>
  <c r="E406" i="45"/>
  <c r="Q405" i="45"/>
  <c r="P405" i="45"/>
  <c r="L405" i="45"/>
  <c r="M405" i="45" s="1"/>
  <c r="N405" i="45" s="1"/>
  <c r="K405" i="45"/>
  <c r="G405" i="45"/>
  <c r="E405" i="45"/>
  <c r="Q404" i="45"/>
  <c r="P404" i="45"/>
  <c r="L404" i="45"/>
  <c r="M404" i="45" s="1"/>
  <c r="N404" i="45" s="1"/>
  <c r="K404" i="45"/>
  <c r="G404" i="45"/>
  <c r="E404" i="45"/>
  <c r="Q403" i="45"/>
  <c r="P403" i="45"/>
  <c r="L403" i="45"/>
  <c r="M403" i="45"/>
  <c r="N403" i="45" s="1"/>
  <c r="K403" i="45"/>
  <c r="G403" i="45"/>
  <c r="E403" i="45"/>
  <c r="Q402" i="45"/>
  <c r="P402" i="45"/>
  <c r="L402" i="45"/>
  <c r="M402" i="45" s="1"/>
  <c r="N402" i="45" s="1"/>
  <c r="K402" i="45"/>
  <c r="G402" i="45"/>
  <c r="E402" i="45"/>
  <c r="Q401" i="45"/>
  <c r="P401" i="45"/>
  <c r="L401" i="45"/>
  <c r="M401" i="45" s="1"/>
  <c r="N401" i="45" s="1"/>
  <c r="K401" i="45"/>
  <c r="G401" i="45"/>
  <c r="E401" i="45"/>
  <c r="Q400" i="45"/>
  <c r="P400" i="45"/>
  <c r="L400" i="45"/>
  <c r="M400" i="45" s="1"/>
  <c r="N400" i="45" s="1"/>
  <c r="K400" i="45"/>
  <c r="G400" i="45"/>
  <c r="E400" i="45"/>
  <c r="Q399" i="45"/>
  <c r="P399" i="45"/>
  <c r="L399" i="45"/>
  <c r="M399" i="45" s="1"/>
  <c r="N399" i="45" s="1"/>
  <c r="K399" i="45"/>
  <c r="G399" i="45"/>
  <c r="E399" i="45"/>
  <c r="Q398" i="45"/>
  <c r="P398" i="45"/>
  <c r="L398" i="45"/>
  <c r="M398" i="45" s="1"/>
  <c r="N398" i="45" s="1"/>
  <c r="K398" i="45"/>
  <c r="G398" i="45"/>
  <c r="E398" i="45"/>
  <c r="Q397" i="45"/>
  <c r="P397" i="45"/>
  <c r="L397" i="45"/>
  <c r="M397" i="45" s="1"/>
  <c r="N397" i="45" s="1"/>
  <c r="K397" i="45"/>
  <c r="G397" i="45"/>
  <c r="E397" i="45"/>
  <c r="Q396" i="45"/>
  <c r="P396" i="45"/>
  <c r="L396" i="45"/>
  <c r="M396" i="45" s="1"/>
  <c r="N396" i="45" s="1"/>
  <c r="K396" i="45"/>
  <c r="G396" i="45"/>
  <c r="E396" i="45"/>
  <c r="Q395" i="45"/>
  <c r="P395" i="45"/>
  <c r="L395" i="45"/>
  <c r="M395" i="45" s="1"/>
  <c r="N395" i="45" s="1"/>
  <c r="K395" i="45"/>
  <c r="G395" i="45"/>
  <c r="E395" i="45"/>
  <c r="Q394" i="45"/>
  <c r="P394" i="45"/>
  <c r="L394" i="45"/>
  <c r="M394" i="45"/>
  <c r="N394" i="45" s="1"/>
  <c r="K394" i="45"/>
  <c r="G394" i="45"/>
  <c r="E394" i="45"/>
  <c r="Q393" i="45"/>
  <c r="P393" i="45"/>
  <c r="L393" i="45"/>
  <c r="M393" i="45" s="1"/>
  <c r="N393" i="45" s="1"/>
  <c r="K393" i="45"/>
  <c r="G393" i="45"/>
  <c r="E393" i="45"/>
  <c r="Q392" i="45"/>
  <c r="P392" i="45"/>
  <c r="L392" i="45"/>
  <c r="M392" i="45" s="1"/>
  <c r="N392" i="45" s="1"/>
  <c r="K392" i="45"/>
  <c r="G392" i="45"/>
  <c r="E392" i="45"/>
  <c r="Q391" i="45"/>
  <c r="P391" i="45"/>
  <c r="L391" i="45"/>
  <c r="M391" i="45" s="1"/>
  <c r="N391" i="45" s="1"/>
  <c r="K391" i="45"/>
  <c r="G391" i="45"/>
  <c r="E391" i="45"/>
  <c r="U390" i="45"/>
  <c r="T390" i="45"/>
  <c r="S390" i="45"/>
  <c r="Q390" i="45"/>
  <c r="P390" i="45"/>
  <c r="L390" i="45"/>
  <c r="M390" i="45" s="1"/>
  <c r="N390" i="45"/>
  <c r="K390" i="45"/>
  <c r="G390" i="45"/>
  <c r="E390" i="45"/>
  <c r="Q389" i="45"/>
  <c r="P389" i="45"/>
  <c r="L389" i="45"/>
  <c r="M389" i="45"/>
  <c r="N389" i="45" s="1"/>
  <c r="Q388" i="45"/>
  <c r="P388" i="45"/>
  <c r="L388" i="45"/>
  <c r="M388" i="45"/>
  <c r="N388" i="45" s="1"/>
  <c r="K388" i="45"/>
  <c r="G388" i="45"/>
  <c r="E388" i="45"/>
  <c r="U387" i="45"/>
  <c r="T387" i="45"/>
  <c r="S387" i="45"/>
  <c r="Q387" i="45"/>
  <c r="P387" i="45"/>
  <c r="L387" i="45"/>
  <c r="M387" i="45" s="1"/>
  <c r="N387" i="45"/>
  <c r="K387" i="45"/>
  <c r="G387" i="45"/>
  <c r="E387" i="45"/>
  <c r="U386" i="45"/>
  <c r="T386" i="45"/>
  <c r="S386" i="45"/>
  <c r="Q386" i="45"/>
  <c r="P386" i="45"/>
  <c r="L386" i="45"/>
  <c r="M386" i="45"/>
  <c r="N386" i="45" s="1"/>
  <c r="K386" i="45"/>
  <c r="G386" i="45"/>
  <c r="E386" i="45"/>
  <c r="Q385" i="45"/>
  <c r="P385" i="45"/>
  <c r="L385" i="45"/>
  <c r="M385" i="45" s="1"/>
  <c r="N385" i="45" s="1"/>
  <c r="K385" i="45"/>
  <c r="G385" i="45"/>
  <c r="E385" i="45"/>
  <c r="U384" i="45"/>
  <c r="T384" i="45"/>
  <c r="S384" i="45"/>
  <c r="Q384" i="45"/>
  <c r="P384" i="45"/>
  <c r="L384" i="45"/>
  <c r="M384" i="45" s="1"/>
  <c r="N384" i="45" s="1"/>
  <c r="K384" i="45"/>
  <c r="G384" i="45"/>
  <c r="E384" i="45"/>
  <c r="Q383" i="45"/>
  <c r="P383" i="45"/>
  <c r="L383" i="45"/>
  <c r="M383" i="45" s="1"/>
  <c r="N383" i="45" s="1"/>
  <c r="K383" i="45"/>
  <c r="G383" i="45"/>
  <c r="E383" i="45"/>
  <c r="Q382" i="45"/>
  <c r="P382" i="45"/>
  <c r="L382" i="45"/>
  <c r="M382" i="45" s="1"/>
  <c r="N382" i="45" s="1"/>
  <c r="Q381" i="45"/>
  <c r="P381" i="45"/>
  <c r="L381" i="45"/>
  <c r="M381" i="45" s="1"/>
  <c r="N381" i="45" s="1"/>
  <c r="K381" i="45"/>
  <c r="G381" i="45"/>
  <c r="E381" i="45"/>
  <c r="Q380" i="45"/>
  <c r="P380" i="45"/>
  <c r="L380" i="45"/>
  <c r="M380" i="45"/>
  <c r="K380" i="45"/>
  <c r="G380" i="45"/>
  <c r="E380" i="45"/>
  <c r="U379" i="45"/>
  <c r="T379" i="45"/>
  <c r="S379" i="45"/>
  <c r="Q379" i="45"/>
  <c r="P379" i="45"/>
  <c r="L379" i="45"/>
  <c r="M379" i="45" s="1"/>
  <c r="N379" i="45" s="1"/>
  <c r="K379" i="45"/>
  <c r="G379" i="45"/>
  <c r="E379" i="45"/>
  <c r="Q378" i="45"/>
  <c r="P378" i="45"/>
  <c r="L378" i="45"/>
  <c r="M378" i="45" s="1"/>
  <c r="N378" i="45" s="1"/>
  <c r="K378" i="45"/>
  <c r="G378" i="45"/>
  <c r="E378" i="45"/>
  <c r="Q377" i="45"/>
  <c r="P377" i="45"/>
  <c r="L377" i="45"/>
  <c r="M377" i="45" s="1"/>
  <c r="N377" i="45" s="1"/>
  <c r="K377" i="45"/>
  <c r="G377" i="45"/>
  <c r="E377" i="45"/>
  <c r="U376" i="45"/>
  <c r="T376" i="45"/>
  <c r="S376" i="45"/>
  <c r="Q376" i="45"/>
  <c r="P376" i="45"/>
  <c r="L376" i="45"/>
  <c r="M376" i="45" s="1"/>
  <c r="N376" i="45" s="1"/>
  <c r="K376" i="45"/>
  <c r="G376" i="45"/>
  <c r="E376" i="45"/>
  <c r="Q375" i="45"/>
  <c r="P375" i="45"/>
  <c r="L375" i="45"/>
  <c r="M375" i="45"/>
  <c r="N375" i="45" s="1"/>
  <c r="K375" i="45"/>
  <c r="G375" i="45"/>
  <c r="E375" i="45"/>
  <c r="Q374" i="45"/>
  <c r="P374" i="45"/>
  <c r="L374" i="45"/>
  <c r="M374" i="45"/>
  <c r="N374" i="45" s="1"/>
  <c r="K374" i="45"/>
  <c r="G374" i="45"/>
  <c r="E374" i="45"/>
  <c r="U373" i="45"/>
  <c r="T373" i="45"/>
  <c r="S373" i="45"/>
  <c r="Q373" i="45"/>
  <c r="P373" i="45"/>
  <c r="L373" i="45"/>
  <c r="M373" i="45" s="1"/>
  <c r="N373" i="45" s="1"/>
  <c r="K373" i="45"/>
  <c r="G373" i="45"/>
  <c r="E373" i="45"/>
  <c r="Q372" i="45"/>
  <c r="P372" i="45"/>
  <c r="L372" i="45"/>
  <c r="M372" i="45"/>
  <c r="N372" i="45" s="1"/>
  <c r="K372" i="45"/>
  <c r="G372" i="45"/>
  <c r="E372" i="45"/>
  <c r="Q371" i="45"/>
  <c r="P371" i="45"/>
  <c r="L371" i="45"/>
  <c r="M371" i="45" s="1"/>
  <c r="N371" i="45"/>
  <c r="K371" i="45"/>
  <c r="G371" i="45"/>
  <c r="E371" i="45"/>
  <c r="Q370" i="45"/>
  <c r="P370" i="45"/>
  <c r="L370" i="45"/>
  <c r="M370" i="45" s="1"/>
  <c r="N370" i="45" s="1"/>
  <c r="K370" i="45"/>
  <c r="G370" i="45"/>
  <c r="E370" i="45"/>
  <c r="Q369" i="45"/>
  <c r="P369" i="45"/>
  <c r="L369" i="45"/>
  <c r="M369" i="45"/>
  <c r="N369" i="45" s="1"/>
  <c r="K369" i="45"/>
  <c r="G369" i="45"/>
  <c r="E369" i="45"/>
  <c r="Q368" i="45"/>
  <c r="P368" i="45"/>
  <c r="L368" i="45"/>
  <c r="M368" i="45"/>
  <c r="N368" i="45" s="1"/>
  <c r="K368" i="45"/>
  <c r="G368" i="45"/>
  <c r="E368" i="45"/>
  <c r="Q367" i="45"/>
  <c r="P367" i="45"/>
  <c r="L367" i="45"/>
  <c r="M367" i="45" s="1"/>
  <c r="N367" i="45" s="1"/>
  <c r="K367" i="45"/>
  <c r="G367" i="45"/>
  <c r="E367" i="45"/>
  <c r="U366" i="45"/>
  <c r="T366" i="45"/>
  <c r="S366" i="45"/>
  <c r="Q366" i="45"/>
  <c r="P366" i="45"/>
  <c r="L366" i="45"/>
  <c r="M366" i="45"/>
  <c r="N366" i="45" s="1"/>
  <c r="K366" i="45"/>
  <c r="G366" i="45"/>
  <c r="E366" i="45"/>
  <c r="Q365" i="45"/>
  <c r="P365" i="45"/>
  <c r="L365" i="45"/>
  <c r="M365" i="45" s="1"/>
  <c r="N365" i="45" s="1"/>
  <c r="K365" i="45"/>
  <c r="G365" i="45"/>
  <c r="E365" i="45"/>
  <c r="Q364" i="45"/>
  <c r="P364" i="45"/>
  <c r="L364" i="45"/>
  <c r="M364" i="45" s="1"/>
  <c r="N364" i="45" s="1"/>
  <c r="K364" i="45"/>
  <c r="G364" i="45"/>
  <c r="E364" i="45"/>
  <c r="U363" i="45"/>
  <c r="T363" i="45"/>
  <c r="S363" i="45"/>
  <c r="Q363" i="45"/>
  <c r="P363" i="45"/>
  <c r="L363" i="45"/>
  <c r="M363" i="45" s="1"/>
  <c r="N363" i="45" s="1"/>
  <c r="K363" i="45"/>
  <c r="G363" i="45"/>
  <c r="E363" i="45"/>
  <c r="Q362" i="45"/>
  <c r="P362" i="45"/>
  <c r="L362" i="45"/>
  <c r="M362" i="45" s="1"/>
  <c r="N362" i="45" s="1"/>
  <c r="K362" i="45"/>
  <c r="G362" i="45"/>
  <c r="E362" i="45"/>
  <c r="Q361" i="45"/>
  <c r="P361" i="45"/>
  <c r="L361" i="45"/>
  <c r="M361" i="45" s="1"/>
  <c r="N361" i="45" s="1"/>
  <c r="K361" i="45"/>
  <c r="G361" i="45"/>
  <c r="E361" i="45"/>
  <c r="U360" i="45"/>
  <c r="T360" i="45"/>
  <c r="S360" i="45"/>
  <c r="Q360" i="45"/>
  <c r="P360" i="45"/>
  <c r="L360" i="45"/>
  <c r="M360" i="45" s="1"/>
  <c r="N360" i="45" s="1"/>
  <c r="K360" i="45"/>
  <c r="G360" i="45"/>
  <c r="E360" i="45"/>
  <c r="Q359" i="45"/>
  <c r="P359" i="45"/>
  <c r="L359" i="45"/>
  <c r="M359" i="45"/>
  <c r="N359" i="45" s="1"/>
  <c r="K359" i="45"/>
  <c r="G359" i="45"/>
  <c r="E359" i="45"/>
  <c r="Q358" i="45"/>
  <c r="P358" i="45"/>
  <c r="L358" i="45"/>
  <c r="M358" i="45" s="1"/>
  <c r="N358" i="45"/>
  <c r="K358" i="45"/>
  <c r="G358" i="45"/>
  <c r="E358" i="45"/>
  <c r="Q357" i="45"/>
  <c r="P357" i="45"/>
  <c r="L357" i="45"/>
  <c r="M357" i="45"/>
  <c r="N357" i="45" s="1"/>
  <c r="K357" i="45"/>
  <c r="G357" i="45"/>
  <c r="E357" i="45"/>
  <c r="Q356" i="45"/>
  <c r="P356" i="45"/>
  <c r="L356" i="45"/>
  <c r="M356" i="45"/>
  <c r="N356" i="45" s="1"/>
  <c r="K356" i="45"/>
  <c r="G356" i="45"/>
  <c r="E356" i="45"/>
  <c r="U355" i="45"/>
  <c r="T355" i="45"/>
  <c r="S355" i="45"/>
  <c r="Q355" i="45"/>
  <c r="P355" i="45"/>
  <c r="L355" i="45"/>
  <c r="M355" i="45" s="1"/>
  <c r="N355" i="45" s="1"/>
  <c r="K355" i="45"/>
  <c r="G355" i="45"/>
  <c r="E355" i="45"/>
  <c r="Q354" i="45"/>
  <c r="P354" i="45"/>
  <c r="L354" i="45"/>
  <c r="M354" i="45" s="1"/>
  <c r="N354" i="45" s="1"/>
  <c r="K354" i="45"/>
  <c r="G354" i="45"/>
  <c r="E354" i="45"/>
  <c r="Q353" i="45"/>
  <c r="P353" i="45"/>
  <c r="L353" i="45"/>
  <c r="M353" i="45" s="1"/>
  <c r="N353" i="45" s="1"/>
  <c r="K353" i="45"/>
  <c r="G353" i="45"/>
  <c r="E353" i="45"/>
  <c r="Q352" i="45"/>
  <c r="P352" i="45"/>
  <c r="L352" i="45"/>
  <c r="M352" i="45" s="1"/>
  <c r="N352" i="45" s="1"/>
  <c r="K352" i="45"/>
  <c r="G352" i="45"/>
  <c r="E352" i="45"/>
  <c r="Q351" i="45"/>
  <c r="P351" i="45"/>
  <c r="L351" i="45"/>
  <c r="M351" i="45" s="1"/>
  <c r="N351" i="45" s="1"/>
  <c r="K351" i="45"/>
  <c r="G351" i="45"/>
  <c r="E351" i="45"/>
  <c r="Q350" i="45"/>
  <c r="P350" i="45"/>
  <c r="L350" i="45"/>
  <c r="M350" i="45" s="1"/>
  <c r="N350" i="45" s="1"/>
  <c r="K350" i="45"/>
  <c r="G350" i="45"/>
  <c r="E350" i="45"/>
  <c r="Q349" i="45"/>
  <c r="P349" i="45"/>
  <c r="L349" i="45"/>
  <c r="M349" i="45" s="1"/>
  <c r="N349" i="45" s="1"/>
  <c r="K349" i="45"/>
  <c r="G349" i="45"/>
  <c r="E349" i="45"/>
  <c r="Q348" i="45"/>
  <c r="P348" i="45"/>
  <c r="L348" i="45"/>
  <c r="M348" i="45"/>
  <c r="N348" i="45" s="1"/>
  <c r="K348" i="45"/>
  <c r="G348" i="45"/>
  <c r="E348" i="45"/>
  <c r="Q347" i="45"/>
  <c r="P347" i="45"/>
  <c r="L347" i="45"/>
  <c r="M347" i="45" s="1"/>
  <c r="N347" i="45" s="1"/>
  <c r="K347" i="45"/>
  <c r="G347" i="45"/>
  <c r="E347" i="45"/>
  <c r="Q346" i="45"/>
  <c r="P346" i="45"/>
  <c r="L346" i="45"/>
  <c r="M346" i="45" s="1"/>
  <c r="N346" i="45" s="1"/>
  <c r="K346" i="45"/>
  <c r="G346" i="45"/>
  <c r="E346" i="45"/>
  <c r="Q345" i="45"/>
  <c r="P345" i="45"/>
  <c r="L345" i="45"/>
  <c r="M345" i="45" s="1"/>
  <c r="N345" i="45" s="1"/>
  <c r="K345" i="45"/>
  <c r="G345" i="45"/>
  <c r="E345" i="45"/>
  <c r="Q344" i="45"/>
  <c r="P344" i="45"/>
  <c r="L344" i="45"/>
  <c r="M344" i="45"/>
  <c r="N344" i="45"/>
  <c r="K344" i="45"/>
  <c r="G344" i="45"/>
  <c r="E344" i="45"/>
  <c r="Q343" i="45"/>
  <c r="P343" i="45"/>
  <c r="L343" i="45"/>
  <c r="M343" i="45" s="1"/>
  <c r="N343" i="45" s="1"/>
  <c r="K343" i="45"/>
  <c r="G343" i="45"/>
  <c r="E343" i="45"/>
  <c r="Q342" i="45"/>
  <c r="P342" i="45"/>
  <c r="L342" i="45"/>
  <c r="M342" i="45"/>
  <c r="N342" i="45" s="1"/>
  <c r="K342" i="45"/>
  <c r="G342" i="45"/>
  <c r="E342" i="45"/>
  <c r="Q341" i="45"/>
  <c r="P341" i="45"/>
  <c r="L341" i="45"/>
  <c r="M341" i="45"/>
  <c r="N341" i="45" s="1"/>
  <c r="K341" i="45"/>
  <c r="G341" i="45"/>
  <c r="E341" i="45"/>
  <c r="Q340" i="45"/>
  <c r="P340" i="45"/>
  <c r="L340" i="45"/>
  <c r="M340" i="45" s="1"/>
  <c r="N340" i="45"/>
  <c r="K340" i="45"/>
  <c r="G340" i="45"/>
  <c r="E340" i="45"/>
  <c r="Q339" i="45"/>
  <c r="P339" i="45"/>
  <c r="L339" i="45"/>
  <c r="M339" i="45" s="1"/>
  <c r="N339" i="45" s="1"/>
  <c r="K339" i="45"/>
  <c r="G339" i="45"/>
  <c r="E339" i="45"/>
  <c r="U338" i="45"/>
  <c r="T338" i="45"/>
  <c r="S338" i="45"/>
  <c r="Q338" i="45"/>
  <c r="P338" i="45"/>
  <c r="L338" i="45"/>
  <c r="M338" i="45" s="1"/>
  <c r="N338" i="45" s="1"/>
  <c r="K338" i="45"/>
  <c r="G338" i="45"/>
  <c r="E338" i="45"/>
  <c r="Q337" i="45"/>
  <c r="P337" i="45"/>
  <c r="L337" i="45"/>
  <c r="M337" i="45" s="1"/>
  <c r="N337" i="45" s="1"/>
  <c r="K337" i="45"/>
  <c r="G337" i="45"/>
  <c r="E337" i="45"/>
  <c r="Q336" i="45"/>
  <c r="P336" i="45"/>
  <c r="L336" i="45"/>
  <c r="M336" i="45" s="1"/>
  <c r="N336" i="45" s="1"/>
  <c r="K336" i="45"/>
  <c r="G336" i="45"/>
  <c r="E336" i="45"/>
  <c r="Q335" i="45"/>
  <c r="P335" i="45"/>
  <c r="L335" i="45"/>
  <c r="M335" i="45" s="1"/>
  <c r="N335" i="45"/>
  <c r="K335" i="45"/>
  <c r="G335" i="45"/>
  <c r="E335" i="45"/>
  <c r="Q334" i="45"/>
  <c r="P334" i="45"/>
  <c r="L334" i="45"/>
  <c r="M334" i="45" s="1"/>
  <c r="N334" i="45" s="1"/>
  <c r="K334" i="45"/>
  <c r="G334" i="45"/>
  <c r="E334" i="45"/>
  <c r="Q333" i="45"/>
  <c r="P333" i="45"/>
  <c r="L333" i="45"/>
  <c r="M333" i="45" s="1"/>
  <c r="N333" i="45" s="1"/>
  <c r="K333" i="45"/>
  <c r="G333" i="45"/>
  <c r="E333" i="45"/>
  <c r="Q332" i="45"/>
  <c r="P332" i="45"/>
  <c r="L332" i="45"/>
  <c r="M332" i="45" s="1"/>
  <c r="N332" i="45"/>
  <c r="K332" i="45"/>
  <c r="G332" i="45"/>
  <c r="E332" i="45"/>
  <c r="Q331" i="45"/>
  <c r="P331" i="45"/>
  <c r="L331" i="45"/>
  <c r="M331" i="45" s="1"/>
  <c r="N331" i="45" s="1"/>
  <c r="K331" i="45"/>
  <c r="G331" i="45"/>
  <c r="E331" i="45"/>
  <c r="Q330" i="45"/>
  <c r="P330" i="45"/>
  <c r="L330" i="45"/>
  <c r="M330" i="45" s="1"/>
  <c r="N330" i="45" s="1"/>
  <c r="K330" i="45"/>
  <c r="G330" i="45"/>
  <c r="E330" i="45"/>
  <c r="Q329" i="45"/>
  <c r="P329" i="45"/>
  <c r="L329" i="45"/>
  <c r="M329" i="45" s="1"/>
  <c r="N329" i="45" s="1"/>
  <c r="K329" i="45"/>
  <c r="G329" i="45"/>
  <c r="E329" i="45"/>
  <c r="Q328" i="45"/>
  <c r="P328" i="45"/>
  <c r="L328" i="45"/>
  <c r="M328" i="45" s="1"/>
  <c r="N328" i="45" s="1"/>
  <c r="K328" i="45"/>
  <c r="G328" i="45"/>
  <c r="E328" i="45"/>
  <c r="Q327" i="45"/>
  <c r="P327" i="45"/>
  <c r="L327" i="45"/>
  <c r="M327" i="45" s="1"/>
  <c r="N327" i="45" s="1"/>
  <c r="K327" i="45"/>
  <c r="G327" i="45"/>
  <c r="E327" i="45"/>
  <c r="Q326" i="45"/>
  <c r="P326" i="45"/>
  <c r="L326" i="45"/>
  <c r="M326" i="45" s="1"/>
  <c r="N326" i="45" s="1"/>
  <c r="K326" i="45"/>
  <c r="G326" i="45"/>
  <c r="E326" i="45"/>
  <c r="Q325" i="45"/>
  <c r="P325" i="45"/>
  <c r="L325" i="45"/>
  <c r="M325" i="45" s="1"/>
  <c r="N325" i="45"/>
  <c r="K325" i="45"/>
  <c r="G325" i="45"/>
  <c r="E325" i="45"/>
  <c r="Q324" i="45"/>
  <c r="P324" i="45"/>
  <c r="L324" i="45"/>
  <c r="M324" i="45" s="1"/>
  <c r="N324" i="45" s="1"/>
  <c r="K324" i="45"/>
  <c r="G324" i="45"/>
  <c r="E324" i="45"/>
  <c r="Q323" i="45"/>
  <c r="P323" i="45"/>
  <c r="L323" i="45"/>
  <c r="M323" i="45" s="1"/>
  <c r="N323" i="45" s="1"/>
  <c r="K323" i="45"/>
  <c r="G323" i="45"/>
  <c r="E323" i="45"/>
  <c r="Q322" i="45"/>
  <c r="P322" i="45"/>
  <c r="L322" i="45"/>
  <c r="M322" i="45" s="1"/>
  <c r="N322" i="45" s="1"/>
  <c r="K322" i="45"/>
  <c r="G322" i="45"/>
  <c r="E322" i="45"/>
  <c r="Q321" i="45"/>
  <c r="P321" i="45"/>
  <c r="L321" i="45"/>
  <c r="M321" i="45" s="1"/>
  <c r="N321" i="45" s="1"/>
  <c r="K321" i="45"/>
  <c r="G321" i="45"/>
  <c r="E321" i="45"/>
  <c r="Q320" i="45"/>
  <c r="P320" i="45"/>
  <c r="L320" i="45"/>
  <c r="M320" i="45" s="1"/>
  <c r="N320" i="45" s="1"/>
  <c r="K320" i="45"/>
  <c r="G320" i="45"/>
  <c r="E320" i="45"/>
  <c r="Q319" i="45"/>
  <c r="P319" i="45"/>
  <c r="L319" i="45"/>
  <c r="M319" i="45" s="1"/>
  <c r="N319" i="45" s="1"/>
  <c r="K319" i="45"/>
  <c r="G319" i="45"/>
  <c r="E319" i="45"/>
  <c r="Q318" i="45"/>
  <c r="P318" i="45"/>
  <c r="L318" i="45"/>
  <c r="M318" i="45" s="1"/>
  <c r="N318" i="45" s="1"/>
  <c r="K318" i="45"/>
  <c r="G318" i="45"/>
  <c r="E318" i="45"/>
  <c r="Q317" i="45"/>
  <c r="P317" i="45"/>
  <c r="L317" i="45"/>
  <c r="M317" i="45" s="1"/>
  <c r="N317" i="45" s="1"/>
  <c r="K317" i="45"/>
  <c r="G317" i="45"/>
  <c r="E317" i="45"/>
  <c r="Q316" i="45"/>
  <c r="P316" i="45"/>
  <c r="L316" i="45"/>
  <c r="M316" i="45" s="1"/>
  <c r="N316" i="45" s="1"/>
  <c r="K316" i="45"/>
  <c r="G316" i="45"/>
  <c r="E316" i="45"/>
  <c r="Q315" i="45"/>
  <c r="P315" i="45"/>
  <c r="L315" i="45"/>
  <c r="M315" i="45" s="1"/>
  <c r="N315" i="45" s="1"/>
  <c r="K315" i="45"/>
  <c r="G315" i="45"/>
  <c r="E315" i="45"/>
  <c r="U314" i="45"/>
  <c r="T314" i="45"/>
  <c r="S314" i="45"/>
  <c r="Q314" i="45"/>
  <c r="P314" i="45"/>
  <c r="L314" i="45"/>
  <c r="M314" i="45"/>
  <c r="N314" i="45" s="1"/>
  <c r="K314" i="45"/>
  <c r="G314" i="45"/>
  <c r="E314" i="45"/>
  <c r="Q313" i="45"/>
  <c r="P313" i="45"/>
  <c r="L313" i="45"/>
  <c r="M313" i="45" s="1"/>
  <c r="N313" i="45" s="1"/>
  <c r="K313" i="45"/>
  <c r="G313" i="45"/>
  <c r="E313" i="45"/>
  <c r="Q312" i="45"/>
  <c r="P312" i="45"/>
  <c r="L312" i="45"/>
  <c r="M312" i="45" s="1"/>
  <c r="N312" i="45" s="1"/>
  <c r="K312" i="45"/>
  <c r="G312" i="45"/>
  <c r="E312" i="45"/>
  <c r="Q311" i="45"/>
  <c r="P311" i="45"/>
  <c r="L311" i="45"/>
  <c r="M311" i="45" s="1"/>
  <c r="N311" i="45" s="1"/>
  <c r="K311" i="45"/>
  <c r="G311" i="45"/>
  <c r="E311" i="45"/>
  <c r="Q310" i="45"/>
  <c r="P310" i="45"/>
  <c r="L310" i="45"/>
  <c r="M310" i="45" s="1"/>
  <c r="N310" i="45" s="1"/>
  <c r="K310" i="45"/>
  <c r="G310" i="45"/>
  <c r="E310" i="45"/>
  <c r="Q309" i="45"/>
  <c r="P309" i="45"/>
  <c r="L309" i="45"/>
  <c r="M309" i="45" s="1"/>
  <c r="N309" i="45" s="1"/>
  <c r="K309" i="45"/>
  <c r="G309" i="45"/>
  <c r="E309" i="45"/>
  <c r="U308" i="45"/>
  <c r="T308" i="45"/>
  <c r="S308" i="45"/>
  <c r="Q308" i="45"/>
  <c r="P308" i="45"/>
  <c r="L308" i="45"/>
  <c r="M308" i="45"/>
  <c r="N308" i="45" s="1"/>
  <c r="K308" i="45"/>
  <c r="G308" i="45"/>
  <c r="E308" i="45"/>
  <c r="Q307" i="45"/>
  <c r="P307" i="45"/>
  <c r="L307" i="45"/>
  <c r="M307" i="45" s="1"/>
  <c r="N307" i="45"/>
  <c r="K307" i="45"/>
  <c r="G307" i="45"/>
  <c r="E307" i="45"/>
  <c r="Q306" i="45"/>
  <c r="P306" i="45"/>
  <c r="L306" i="45"/>
  <c r="M306" i="45" s="1"/>
  <c r="N306" i="45" s="1"/>
  <c r="K306" i="45"/>
  <c r="G306" i="45"/>
  <c r="E306" i="45"/>
  <c r="Q305" i="45"/>
  <c r="P305" i="45"/>
  <c r="L305" i="45"/>
  <c r="M305" i="45" s="1"/>
  <c r="N305" i="45" s="1"/>
  <c r="K305" i="45"/>
  <c r="G305" i="45"/>
  <c r="E305" i="45"/>
  <c r="Q304" i="45"/>
  <c r="P304" i="45"/>
  <c r="L304" i="45"/>
  <c r="M304" i="45" s="1"/>
  <c r="N304" i="45"/>
  <c r="K304" i="45"/>
  <c r="G304" i="45"/>
  <c r="E304" i="45"/>
  <c r="Q303" i="45"/>
  <c r="P303" i="45"/>
  <c r="L303" i="45"/>
  <c r="M303" i="45"/>
  <c r="N303" i="45" s="1"/>
  <c r="K303" i="45"/>
  <c r="G303" i="45"/>
  <c r="E303" i="45"/>
  <c r="Q302" i="45"/>
  <c r="P302" i="45"/>
  <c r="L302" i="45"/>
  <c r="M302" i="45" s="1"/>
  <c r="N302" i="45" s="1"/>
  <c r="K302" i="45"/>
  <c r="G302" i="45"/>
  <c r="E302" i="45"/>
  <c r="Q301" i="45"/>
  <c r="P301" i="45"/>
  <c r="L301" i="45"/>
  <c r="M301" i="45" s="1"/>
  <c r="N301" i="45" s="1"/>
  <c r="K301" i="45"/>
  <c r="G301" i="45"/>
  <c r="E301" i="45"/>
  <c r="Q300" i="45"/>
  <c r="P300" i="45"/>
  <c r="L300" i="45"/>
  <c r="M300" i="45" s="1"/>
  <c r="N300" i="45" s="1"/>
  <c r="K300" i="45"/>
  <c r="G300" i="45"/>
  <c r="E300" i="45"/>
  <c r="Q299" i="45"/>
  <c r="P299" i="45"/>
  <c r="L299" i="45"/>
  <c r="M299" i="45" s="1"/>
  <c r="N299" i="45" s="1"/>
  <c r="K299" i="45"/>
  <c r="G299" i="45"/>
  <c r="E299" i="45"/>
  <c r="Q298" i="45"/>
  <c r="P298" i="45"/>
  <c r="L298" i="45"/>
  <c r="M298" i="45" s="1"/>
  <c r="N298" i="45" s="1"/>
  <c r="K298" i="45"/>
  <c r="G298" i="45"/>
  <c r="E298" i="45"/>
  <c r="Q297" i="45"/>
  <c r="P297" i="45"/>
  <c r="L297" i="45"/>
  <c r="M297" i="45"/>
  <c r="N297" i="45" s="1"/>
  <c r="K297" i="45"/>
  <c r="G297" i="45"/>
  <c r="E297" i="45"/>
  <c r="Q296" i="45"/>
  <c r="P296" i="45"/>
  <c r="L296" i="45"/>
  <c r="M296" i="45" s="1"/>
  <c r="N296" i="45" s="1"/>
  <c r="K296" i="45"/>
  <c r="G296" i="45"/>
  <c r="E296" i="45"/>
  <c r="Q295" i="45"/>
  <c r="P295" i="45"/>
  <c r="L295" i="45"/>
  <c r="M295" i="45" s="1"/>
  <c r="N295" i="45"/>
  <c r="K295" i="45"/>
  <c r="G295" i="45"/>
  <c r="E295" i="45"/>
  <c r="Q294" i="45"/>
  <c r="P294" i="45"/>
  <c r="L294" i="45"/>
  <c r="M294" i="45" s="1"/>
  <c r="N294" i="45" s="1"/>
  <c r="K294" i="45"/>
  <c r="G294" i="45"/>
  <c r="E294" i="45"/>
  <c r="Q293" i="45"/>
  <c r="P293" i="45"/>
  <c r="L293" i="45"/>
  <c r="M293" i="45" s="1"/>
  <c r="N293" i="45" s="1"/>
  <c r="K293" i="45"/>
  <c r="G293" i="45"/>
  <c r="E293" i="45"/>
  <c r="Q292" i="45"/>
  <c r="P292" i="45"/>
  <c r="L292" i="45"/>
  <c r="M292" i="45" s="1"/>
  <c r="N292" i="45" s="1"/>
  <c r="K292" i="45"/>
  <c r="G292" i="45"/>
  <c r="E292" i="45"/>
  <c r="Q291" i="45"/>
  <c r="P291" i="45"/>
  <c r="L291" i="45"/>
  <c r="M291" i="45" s="1"/>
  <c r="N291" i="45" s="1"/>
  <c r="K291" i="45"/>
  <c r="G291" i="45"/>
  <c r="E291" i="45"/>
  <c r="Q290" i="45"/>
  <c r="P290" i="45"/>
  <c r="L290" i="45"/>
  <c r="M290" i="45" s="1"/>
  <c r="N290" i="45" s="1"/>
  <c r="K290" i="45"/>
  <c r="G290" i="45"/>
  <c r="E290" i="45"/>
  <c r="Q289" i="45"/>
  <c r="P289" i="45"/>
  <c r="L289" i="45"/>
  <c r="M289" i="45" s="1"/>
  <c r="N289" i="45" s="1"/>
  <c r="K289" i="45"/>
  <c r="G289" i="45"/>
  <c r="E289" i="45"/>
  <c r="Q288" i="45"/>
  <c r="P288" i="45"/>
  <c r="L288" i="45"/>
  <c r="M288" i="45" s="1"/>
  <c r="N288" i="45" s="1"/>
  <c r="K288" i="45"/>
  <c r="G288" i="45"/>
  <c r="E288" i="45"/>
  <c r="Q287" i="45"/>
  <c r="P287" i="45"/>
  <c r="L287" i="45"/>
  <c r="M287" i="45" s="1"/>
  <c r="N287" i="45" s="1"/>
  <c r="K287" i="45"/>
  <c r="G287" i="45"/>
  <c r="E287" i="45"/>
  <c r="Q286" i="45"/>
  <c r="P286" i="45"/>
  <c r="L286" i="45"/>
  <c r="M286" i="45" s="1"/>
  <c r="N286" i="45" s="1"/>
  <c r="K286" i="45"/>
  <c r="G286" i="45"/>
  <c r="E286" i="45"/>
  <c r="Q285" i="45"/>
  <c r="P285" i="45"/>
  <c r="L285" i="45"/>
  <c r="M285" i="45"/>
  <c r="N285" i="45" s="1"/>
  <c r="K285" i="45"/>
  <c r="G285" i="45"/>
  <c r="E285" i="45"/>
  <c r="Q284" i="45"/>
  <c r="P284" i="45"/>
  <c r="L284" i="45"/>
  <c r="M284" i="45"/>
  <c r="N284" i="45" s="1"/>
  <c r="K284" i="45"/>
  <c r="G284" i="45"/>
  <c r="E284" i="45"/>
  <c r="Q283" i="45"/>
  <c r="P283" i="45"/>
  <c r="L283" i="45"/>
  <c r="M283" i="45" s="1"/>
  <c r="N283" i="45" s="1"/>
  <c r="K283" i="45"/>
  <c r="G283" i="45"/>
  <c r="E283" i="45"/>
  <c r="Q282" i="45"/>
  <c r="P282" i="45"/>
  <c r="L282" i="45"/>
  <c r="M282" i="45" s="1"/>
  <c r="N282" i="45" s="1"/>
  <c r="K282" i="45"/>
  <c r="G282" i="45"/>
  <c r="E282" i="45"/>
  <c r="Q281" i="45"/>
  <c r="P281" i="45"/>
  <c r="L281" i="45"/>
  <c r="M281" i="45" s="1"/>
  <c r="N281" i="45" s="1"/>
  <c r="K281" i="45"/>
  <c r="G281" i="45"/>
  <c r="E281" i="45"/>
  <c r="Q280" i="45"/>
  <c r="P280" i="45"/>
  <c r="L280" i="45"/>
  <c r="M280" i="45" s="1"/>
  <c r="N280" i="45"/>
  <c r="K280" i="45"/>
  <c r="G280" i="45"/>
  <c r="E280" i="45"/>
  <c r="Q279" i="45"/>
  <c r="P279" i="45"/>
  <c r="L279" i="45"/>
  <c r="M279" i="45" s="1"/>
  <c r="N279" i="45" s="1"/>
  <c r="K279" i="45"/>
  <c r="G279" i="45"/>
  <c r="E279" i="45"/>
  <c r="Q278" i="45"/>
  <c r="P278" i="45"/>
  <c r="L278" i="45"/>
  <c r="M278" i="45" s="1"/>
  <c r="N278" i="45" s="1"/>
  <c r="Q277" i="45"/>
  <c r="P277" i="45"/>
  <c r="L277" i="45"/>
  <c r="M277" i="45" s="1"/>
  <c r="N277" i="45" s="1"/>
  <c r="K277" i="45"/>
  <c r="G277" i="45"/>
  <c r="E277" i="45"/>
  <c r="Q276" i="45"/>
  <c r="P276" i="45"/>
  <c r="L276" i="45"/>
  <c r="M276" i="45" s="1"/>
  <c r="N276" i="45" s="1"/>
  <c r="Q275" i="45"/>
  <c r="P275" i="45"/>
  <c r="L275" i="45"/>
  <c r="M275" i="45" s="1"/>
  <c r="N275" i="45" s="1"/>
  <c r="K275" i="45"/>
  <c r="G275" i="45"/>
  <c r="E275" i="45"/>
  <c r="Q274" i="45"/>
  <c r="P274" i="45"/>
  <c r="L274" i="45"/>
  <c r="M274" i="45" s="1"/>
  <c r="N274" i="45" s="1"/>
  <c r="K274" i="45"/>
  <c r="G274" i="45"/>
  <c r="E274" i="45"/>
  <c r="Q273" i="45"/>
  <c r="P273" i="45"/>
  <c r="L273" i="45"/>
  <c r="M273" i="45" s="1"/>
  <c r="N273" i="45" s="1"/>
  <c r="K273" i="45"/>
  <c r="G273" i="45"/>
  <c r="E273" i="45"/>
  <c r="Q272" i="45"/>
  <c r="P272" i="45"/>
  <c r="L272" i="45"/>
  <c r="M272" i="45" s="1"/>
  <c r="N272" i="45" s="1"/>
  <c r="K272" i="45"/>
  <c r="G272" i="45"/>
  <c r="E272" i="45"/>
  <c r="Q271" i="45"/>
  <c r="P271" i="45"/>
  <c r="L271" i="45"/>
  <c r="M271" i="45" s="1"/>
  <c r="N271" i="45"/>
  <c r="K271" i="45"/>
  <c r="G271" i="45"/>
  <c r="E271" i="45"/>
  <c r="U270" i="45"/>
  <c r="T270" i="45"/>
  <c r="S270" i="45"/>
  <c r="Q270" i="45"/>
  <c r="P270" i="45"/>
  <c r="L270" i="45"/>
  <c r="M270" i="45" s="1"/>
  <c r="N270" i="45" s="1"/>
  <c r="K270" i="45"/>
  <c r="G270" i="45"/>
  <c r="E270" i="45"/>
  <c r="Q269" i="45"/>
  <c r="P269" i="45"/>
  <c r="L269" i="45"/>
  <c r="M269" i="45"/>
  <c r="N269" i="45" s="1"/>
  <c r="K269" i="45"/>
  <c r="G269" i="45"/>
  <c r="E269" i="45"/>
  <c r="U268" i="45"/>
  <c r="T268" i="45"/>
  <c r="S268" i="45"/>
  <c r="Q268" i="45"/>
  <c r="P268" i="45"/>
  <c r="L268" i="45"/>
  <c r="M268" i="45" s="1"/>
  <c r="N268" i="45"/>
  <c r="K268" i="45"/>
  <c r="G268" i="45"/>
  <c r="E268" i="45"/>
  <c r="Q267" i="45"/>
  <c r="P267" i="45"/>
  <c r="L267" i="45"/>
  <c r="M267" i="45" s="1"/>
  <c r="N267" i="45" s="1"/>
  <c r="K267" i="45"/>
  <c r="G267" i="45"/>
  <c r="E267" i="45"/>
  <c r="Q266" i="45"/>
  <c r="P266" i="45"/>
  <c r="L266" i="45"/>
  <c r="M266" i="45" s="1"/>
  <c r="N266" i="45" s="1"/>
  <c r="K266" i="45"/>
  <c r="G266" i="45"/>
  <c r="E266" i="45"/>
  <c r="Q265" i="45"/>
  <c r="P265" i="45"/>
  <c r="L265" i="45"/>
  <c r="M265" i="45" s="1"/>
  <c r="N265" i="45" s="1"/>
  <c r="K265" i="45"/>
  <c r="G265" i="45"/>
  <c r="E265" i="45"/>
  <c r="Q264" i="45"/>
  <c r="P264" i="45"/>
  <c r="L264" i="45"/>
  <c r="M264" i="45"/>
  <c r="N264" i="45" s="1"/>
  <c r="K264" i="45"/>
  <c r="G264" i="45"/>
  <c r="E264" i="45"/>
  <c r="Q263" i="45"/>
  <c r="P263" i="45"/>
  <c r="L263" i="45"/>
  <c r="M263" i="45" s="1"/>
  <c r="N263" i="45" s="1"/>
  <c r="K263" i="45"/>
  <c r="G263" i="45"/>
  <c r="E263" i="45"/>
  <c r="Q262" i="45"/>
  <c r="P262" i="45"/>
  <c r="L262" i="45"/>
  <c r="M262" i="45" s="1"/>
  <c r="N262" i="45" s="1"/>
  <c r="K262" i="45"/>
  <c r="G262" i="45"/>
  <c r="E262" i="45"/>
  <c r="Q261" i="45"/>
  <c r="P261" i="45"/>
  <c r="L261" i="45"/>
  <c r="M261" i="45"/>
  <c r="N261" i="45"/>
  <c r="K261" i="45"/>
  <c r="G261" i="45"/>
  <c r="E261" i="45"/>
  <c r="Q260" i="45"/>
  <c r="P260" i="45"/>
  <c r="L260" i="45"/>
  <c r="M260" i="45"/>
  <c r="N260" i="45" s="1"/>
  <c r="K260" i="45"/>
  <c r="G260" i="45"/>
  <c r="E260" i="45"/>
  <c r="Q259" i="45"/>
  <c r="P259" i="45"/>
  <c r="L259" i="45"/>
  <c r="M259" i="45" s="1"/>
  <c r="N259" i="45" s="1"/>
  <c r="K259" i="45"/>
  <c r="G259" i="45"/>
  <c r="E259" i="45"/>
  <c r="Q258" i="45"/>
  <c r="P258" i="45"/>
  <c r="L258" i="45"/>
  <c r="M258" i="45" s="1"/>
  <c r="N258" i="45" s="1"/>
  <c r="K258" i="45"/>
  <c r="G258" i="45"/>
  <c r="E258" i="45"/>
  <c r="Q257" i="45"/>
  <c r="P257" i="45"/>
  <c r="L257" i="45"/>
  <c r="M257" i="45" s="1"/>
  <c r="N257" i="45" s="1"/>
  <c r="K257" i="45"/>
  <c r="G257" i="45"/>
  <c r="E257" i="45"/>
  <c r="Q256" i="45"/>
  <c r="P256" i="45"/>
  <c r="L256" i="45"/>
  <c r="M256" i="45" s="1"/>
  <c r="N256" i="45"/>
  <c r="K256" i="45"/>
  <c r="G256" i="45"/>
  <c r="E256" i="45"/>
  <c r="U255" i="45"/>
  <c r="T255" i="45"/>
  <c r="S255" i="45"/>
  <c r="Q255" i="45"/>
  <c r="P255" i="45"/>
  <c r="L255" i="45"/>
  <c r="M255" i="45" s="1"/>
  <c r="N255" i="45" s="1"/>
  <c r="K255" i="45"/>
  <c r="G255" i="45"/>
  <c r="E255" i="45"/>
  <c r="U254" i="45"/>
  <c r="T254" i="45"/>
  <c r="S254" i="45"/>
  <c r="Q254" i="45"/>
  <c r="P254" i="45"/>
  <c r="L254" i="45"/>
  <c r="M254" i="45" s="1"/>
  <c r="N254" i="45" s="1"/>
  <c r="K254" i="45"/>
  <c r="G254" i="45"/>
  <c r="E254" i="45"/>
  <c r="Q253" i="45"/>
  <c r="P253" i="45"/>
  <c r="L253" i="45"/>
  <c r="M253" i="45" s="1"/>
  <c r="N253" i="45" s="1"/>
  <c r="K253" i="45"/>
  <c r="G253" i="45"/>
  <c r="E253" i="45"/>
  <c r="Q252" i="45"/>
  <c r="P252" i="45"/>
  <c r="L252" i="45"/>
  <c r="M252" i="45" s="1"/>
  <c r="N252" i="45" s="1"/>
  <c r="K252" i="45"/>
  <c r="G252" i="45"/>
  <c r="E252" i="45"/>
  <c r="Q251" i="45"/>
  <c r="P251" i="45"/>
  <c r="L251" i="45"/>
  <c r="M251" i="45" s="1"/>
  <c r="N251" i="45" s="1"/>
  <c r="K251" i="45"/>
  <c r="G251" i="45"/>
  <c r="E251" i="45"/>
  <c r="Q250" i="45"/>
  <c r="P250" i="45"/>
  <c r="L250" i="45"/>
  <c r="M250" i="45" s="1"/>
  <c r="N250" i="45" s="1"/>
  <c r="K250" i="45"/>
  <c r="G250" i="45"/>
  <c r="E250" i="45"/>
  <c r="Q249" i="45"/>
  <c r="P249" i="45"/>
  <c r="L249" i="45"/>
  <c r="M249" i="45" s="1"/>
  <c r="N249" i="45" s="1"/>
  <c r="K249" i="45"/>
  <c r="G249" i="45"/>
  <c r="E249" i="45"/>
  <c r="Q248" i="45"/>
  <c r="P248" i="45"/>
  <c r="L248" i="45"/>
  <c r="M248" i="45" s="1"/>
  <c r="N248" i="45" s="1"/>
  <c r="K248" i="45"/>
  <c r="G248" i="45"/>
  <c r="E248" i="45"/>
  <c r="Q247" i="45"/>
  <c r="P247" i="45"/>
  <c r="L247" i="45"/>
  <c r="M247" i="45" s="1"/>
  <c r="N247" i="45" s="1"/>
  <c r="K247" i="45"/>
  <c r="G247" i="45"/>
  <c r="E247" i="45"/>
  <c r="Q246" i="45"/>
  <c r="P246" i="45"/>
  <c r="L246" i="45"/>
  <c r="M246" i="45" s="1"/>
  <c r="N246" i="45" s="1"/>
  <c r="K246" i="45"/>
  <c r="G246" i="45"/>
  <c r="E246" i="45"/>
  <c r="U245" i="45"/>
  <c r="T245" i="45"/>
  <c r="S245" i="45"/>
  <c r="Q245" i="45"/>
  <c r="P245" i="45"/>
  <c r="L245" i="45"/>
  <c r="M245" i="45"/>
  <c r="N245" i="45" s="1"/>
  <c r="K245" i="45"/>
  <c r="G245" i="45"/>
  <c r="E245" i="45"/>
  <c r="Q244" i="45"/>
  <c r="P244" i="45"/>
  <c r="L244" i="45"/>
  <c r="M244" i="45" s="1"/>
  <c r="N244" i="45" s="1"/>
  <c r="K244" i="45"/>
  <c r="G244" i="45"/>
  <c r="E244" i="45"/>
  <c r="Q243" i="45"/>
  <c r="P243" i="45"/>
  <c r="L243" i="45"/>
  <c r="M243" i="45" s="1"/>
  <c r="N243" i="45" s="1"/>
  <c r="K243" i="45"/>
  <c r="G243" i="45"/>
  <c r="E243" i="45"/>
  <c r="U242" i="45"/>
  <c r="T242" i="45"/>
  <c r="S242" i="45"/>
  <c r="Q242" i="45"/>
  <c r="P242" i="45"/>
  <c r="L242" i="45"/>
  <c r="M242" i="45" s="1"/>
  <c r="N242" i="45" s="1"/>
  <c r="K242" i="45"/>
  <c r="G242" i="45"/>
  <c r="E242" i="45"/>
  <c r="Q241" i="45"/>
  <c r="P241" i="45"/>
  <c r="L241" i="45"/>
  <c r="M241" i="45" s="1"/>
  <c r="N241" i="45" s="1"/>
  <c r="K241" i="45"/>
  <c r="G241" i="45"/>
  <c r="E241" i="45"/>
  <c r="Q240" i="45"/>
  <c r="P240" i="45"/>
  <c r="L240" i="45"/>
  <c r="M240" i="45"/>
  <c r="N240" i="45"/>
  <c r="K240" i="45"/>
  <c r="G240" i="45"/>
  <c r="E240" i="45"/>
  <c r="Q239" i="45"/>
  <c r="P239" i="45"/>
  <c r="L239" i="45"/>
  <c r="M239" i="45"/>
  <c r="N239" i="45" s="1"/>
  <c r="K239" i="45"/>
  <c r="G239" i="45"/>
  <c r="E239" i="45"/>
  <c r="Q238" i="45"/>
  <c r="P238" i="45"/>
  <c r="L238" i="45"/>
  <c r="M238" i="45" s="1"/>
  <c r="N238" i="45" s="1"/>
  <c r="K238" i="45"/>
  <c r="G238" i="45"/>
  <c r="E238" i="45"/>
  <c r="U237" i="45"/>
  <c r="T237" i="45"/>
  <c r="S237" i="45"/>
  <c r="Q237" i="45"/>
  <c r="P237" i="45"/>
  <c r="L237" i="45"/>
  <c r="M237" i="45"/>
  <c r="N237" i="45" s="1"/>
  <c r="K237" i="45"/>
  <c r="G237" i="45"/>
  <c r="E237" i="45"/>
  <c r="Q236" i="45"/>
  <c r="P236" i="45"/>
  <c r="L236" i="45"/>
  <c r="M236" i="45"/>
  <c r="N236" i="45" s="1"/>
  <c r="K236" i="45"/>
  <c r="G236" i="45"/>
  <c r="E236" i="45"/>
  <c r="Q235" i="45"/>
  <c r="P235" i="45"/>
  <c r="L235" i="45"/>
  <c r="M235" i="45" s="1"/>
  <c r="N235" i="45" s="1"/>
  <c r="K235" i="45"/>
  <c r="G235" i="45"/>
  <c r="E235" i="45"/>
  <c r="Q234" i="45"/>
  <c r="P234" i="45"/>
  <c r="L234" i="45"/>
  <c r="M234" i="45"/>
  <c r="N234" i="45" s="1"/>
  <c r="K234" i="45"/>
  <c r="G234" i="45"/>
  <c r="E234" i="45"/>
  <c r="Q233" i="45"/>
  <c r="P233" i="45"/>
  <c r="L233" i="45"/>
  <c r="M233" i="45" s="1"/>
  <c r="N233" i="45" s="1"/>
  <c r="K233" i="45"/>
  <c r="G233" i="45"/>
  <c r="E233" i="45"/>
  <c r="Q232" i="45"/>
  <c r="P232" i="45"/>
  <c r="L232" i="45"/>
  <c r="M232" i="45" s="1"/>
  <c r="N232" i="45" s="1"/>
  <c r="K232" i="45"/>
  <c r="G232" i="45"/>
  <c r="E232" i="45"/>
  <c r="Q231" i="45"/>
  <c r="P231" i="45"/>
  <c r="L231" i="45"/>
  <c r="M231" i="45"/>
  <c r="N231" i="45" s="1"/>
  <c r="K231" i="45"/>
  <c r="G231" i="45"/>
  <c r="E231" i="45"/>
  <c r="Q230" i="45"/>
  <c r="P230" i="45"/>
  <c r="L230" i="45"/>
  <c r="M230" i="45" s="1"/>
  <c r="N230" i="45" s="1"/>
  <c r="K230" i="45"/>
  <c r="G230" i="45"/>
  <c r="E230" i="45"/>
  <c r="Q229" i="45"/>
  <c r="P229" i="45"/>
  <c r="L229" i="45"/>
  <c r="M229" i="45"/>
  <c r="N229" i="45" s="1"/>
  <c r="K229" i="45"/>
  <c r="G229" i="45"/>
  <c r="E229" i="45"/>
  <c r="Q228" i="45"/>
  <c r="P228" i="45"/>
  <c r="L228" i="45"/>
  <c r="M228" i="45" s="1"/>
  <c r="N228" i="45" s="1"/>
  <c r="K228" i="45"/>
  <c r="G228" i="45"/>
  <c r="E228" i="45"/>
  <c r="Q227" i="45"/>
  <c r="P227" i="45"/>
  <c r="L227" i="45"/>
  <c r="M227" i="45"/>
  <c r="N227" i="45" s="1"/>
  <c r="K227" i="45"/>
  <c r="G227" i="45"/>
  <c r="E227" i="45"/>
  <c r="Q226" i="45"/>
  <c r="P226" i="45"/>
  <c r="L226" i="45"/>
  <c r="M226" i="45" s="1"/>
  <c r="N226" i="45"/>
  <c r="K226" i="45"/>
  <c r="G226" i="45"/>
  <c r="E226" i="45"/>
  <c r="Q225" i="45"/>
  <c r="P225" i="45"/>
  <c r="L225" i="45"/>
  <c r="M225" i="45" s="1"/>
  <c r="N225" i="45" s="1"/>
  <c r="K225" i="45"/>
  <c r="G225" i="45"/>
  <c r="E225" i="45"/>
  <c r="Q224" i="45"/>
  <c r="P224" i="45"/>
  <c r="L224" i="45"/>
  <c r="M224" i="45"/>
  <c r="N224" i="45" s="1"/>
  <c r="K224" i="45"/>
  <c r="G224" i="45"/>
  <c r="E224" i="45"/>
  <c r="Q223" i="45"/>
  <c r="P223" i="45"/>
  <c r="L223" i="45"/>
  <c r="M223" i="45"/>
  <c r="N223" i="45" s="1"/>
  <c r="K223" i="45"/>
  <c r="G223" i="45"/>
  <c r="E223" i="45"/>
  <c r="Q222" i="45"/>
  <c r="P222" i="45"/>
  <c r="L222" i="45"/>
  <c r="M222" i="45" s="1"/>
  <c r="N222" i="45" s="1"/>
  <c r="K222" i="45"/>
  <c r="G222" i="45"/>
  <c r="E222" i="45"/>
  <c r="Q221" i="45"/>
  <c r="P221" i="45"/>
  <c r="L221" i="45"/>
  <c r="M221" i="45"/>
  <c r="N221" i="45" s="1"/>
  <c r="K221" i="45"/>
  <c r="G221" i="45"/>
  <c r="E221" i="45"/>
  <c r="Q220" i="45"/>
  <c r="P220" i="45"/>
  <c r="L220" i="45"/>
  <c r="M220" i="45"/>
  <c r="N220" i="45" s="1"/>
  <c r="K220" i="45"/>
  <c r="G220" i="45"/>
  <c r="E220" i="45"/>
  <c r="Q219" i="45"/>
  <c r="P219" i="45"/>
  <c r="L219" i="45"/>
  <c r="M219" i="45" s="1"/>
  <c r="N219" i="45" s="1"/>
  <c r="K219" i="45"/>
  <c r="G219" i="45"/>
  <c r="E219" i="45"/>
  <c r="Q218" i="45"/>
  <c r="P218" i="45"/>
  <c r="L218" i="45"/>
  <c r="M218" i="45" s="1"/>
  <c r="N218" i="45" s="1"/>
  <c r="K218" i="45"/>
  <c r="G218" i="45"/>
  <c r="E218" i="45"/>
  <c r="Q217" i="45"/>
  <c r="P217" i="45"/>
  <c r="L217" i="45"/>
  <c r="M217" i="45" s="1"/>
  <c r="N217" i="45" s="1"/>
  <c r="K217" i="45"/>
  <c r="G217" i="45"/>
  <c r="E217" i="45"/>
  <c r="Q216" i="45"/>
  <c r="P216" i="45"/>
  <c r="L216" i="45"/>
  <c r="M216" i="45" s="1"/>
  <c r="N216" i="45" s="1"/>
  <c r="K216" i="45"/>
  <c r="G216" i="45"/>
  <c r="E216" i="45"/>
  <c r="Q215" i="45"/>
  <c r="P215" i="45"/>
  <c r="L215" i="45"/>
  <c r="M215" i="45" s="1"/>
  <c r="N215" i="45" s="1"/>
  <c r="K215" i="45"/>
  <c r="G215" i="45"/>
  <c r="E215" i="45"/>
  <c r="Q214" i="45"/>
  <c r="P214" i="45"/>
  <c r="L214" i="45"/>
  <c r="M214" i="45" s="1"/>
  <c r="N214" i="45" s="1"/>
  <c r="K214" i="45"/>
  <c r="G214" i="45"/>
  <c r="E214" i="45"/>
  <c r="Q213" i="45"/>
  <c r="P213" i="45"/>
  <c r="L213" i="45"/>
  <c r="M213" i="45" s="1"/>
  <c r="N213" i="45" s="1"/>
  <c r="K213" i="45"/>
  <c r="G213" i="45"/>
  <c r="E213" i="45"/>
  <c r="Q212" i="45"/>
  <c r="P212" i="45"/>
  <c r="L212" i="45"/>
  <c r="M212" i="45" s="1"/>
  <c r="N212" i="45" s="1"/>
  <c r="K212" i="45"/>
  <c r="G212" i="45"/>
  <c r="E212" i="45"/>
  <c r="Q211" i="45"/>
  <c r="P211" i="45"/>
  <c r="L211" i="45"/>
  <c r="M211" i="45" s="1"/>
  <c r="N211" i="45" s="1"/>
  <c r="K211" i="45"/>
  <c r="G211" i="45"/>
  <c r="E211" i="45"/>
  <c r="Q210" i="45"/>
  <c r="P210" i="45"/>
  <c r="L210" i="45"/>
  <c r="M210" i="45" s="1"/>
  <c r="N210" i="45" s="1"/>
  <c r="K210" i="45"/>
  <c r="G210" i="45"/>
  <c r="E210" i="45"/>
  <c r="Q209" i="45"/>
  <c r="P209" i="45"/>
  <c r="L209" i="45"/>
  <c r="M209" i="45" s="1"/>
  <c r="N209" i="45" s="1"/>
  <c r="K209" i="45"/>
  <c r="G209" i="45"/>
  <c r="E209" i="45"/>
  <c r="Q208" i="45"/>
  <c r="P208" i="45"/>
  <c r="L208" i="45"/>
  <c r="M208" i="45" s="1"/>
  <c r="N208" i="45" s="1"/>
  <c r="K208" i="45"/>
  <c r="G208" i="45"/>
  <c r="E208" i="45"/>
  <c r="Q207" i="45"/>
  <c r="P207" i="45"/>
  <c r="L207" i="45"/>
  <c r="M207" i="45" s="1"/>
  <c r="N207" i="45" s="1"/>
  <c r="K207" i="45"/>
  <c r="G207" i="45"/>
  <c r="E207" i="45"/>
  <c r="Q206" i="45"/>
  <c r="P206" i="45"/>
  <c r="L206" i="45"/>
  <c r="M206" i="45" s="1"/>
  <c r="N206" i="45" s="1"/>
  <c r="K206" i="45"/>
  <c r="G206" i="45"/>
  <c r="E206" i="45"/>
  <c r="Q205" i="45"/>
  <c r="P205" i="45"/>
  <c r="L205" i="45"/>
  <c r="M205" i="45" s="1"/>
  <c r="N205" i="45" s="1"/>
  <c r="K205" i="45"/>
  <c r="G205" i="45"/>
  <c r="E205" i="45"/>
  <c r="Q204" i="45"/>
  <c r="P204" i="45"/>
  <c r="L204" i="45"/>
  <c r="M204" i="45" s="1"/>
  <c r="N204" i="45" s="1"/>
  <c r="K204" i="45"/>
  <c r="G204" i="45"/>
  <c r="E204" i="45"/>
  <c r="U203" i="45"/>
  <c r="T203" i="45"/>
  <c r="S203" i="45"/>
  <c r="Q203" i="45"/>
  <c r="P203" i="45"/>
  <c r="L203" i="45"/>
  <c r="M203" i="45"/>
  <c r="N203" i="45" s="1"/>
  <c r="K203" i="45"/>
  <c r="G203" i="45"/>
  <c r="E203" i="45"/>
  <c r="Q202" i="45"/>
  <c r="P202" i="45"/>
  <c r="L202" i="45"/>
  <c r="M202" i="45" s="1"/>
  <c r="N202" i="45" s="1"/>
  <c r="K202" i="45"/>
  <c r="G202" i="45"/>
  <c r="E202" i="45"/>
  <c r="Q201" i="45"/>
  <c r="P201" i="45"/>
  <c r="L201" i="45"/>
  <c r="M201" i="45"/>
  <c r="N201" i="45" s="1"/>
  <c r="K201" i="45"/>
  <c r="G201" i="45"/>
  <c r="E201" i="45"/>
  <c r="Q200" i="45"/>
  <c r="P200" i="45"/>
  <c r="L200" i="45"/>
  <c r="M200" i="45" s="1"/>
  <c r="N200" i="45" s="1"/>
  <c r="K200" i="45"/>
  <c r="G200" i="45"/>
  <c r="E200" i="45"/>
  <c r="U199" i="45"/>
  <c r="T199" i="45"/>
  <c r="S199" i="45"/>
  <c r="Q199" i="45"/>
  <c r="P199" i="45"/>
  <c r="L199" i="45"/>
  <c r="M199" i="45" s="1"/>
  <c r="N199" i="45" s="1"/>
  <c r="Q198" i="45"/>
  <c r="P198" i="45"/>
  <c r="L198" i="45"/>
  <c r="M198" i="45" s="1"/>
  <c r="N198" i="45" s="1"/>
  <c r="K198" i="45"/>
  <c r="G198" i="45"/>
  <c r="E198" i="45"/>
  <c r="Q197" i="45"/>
  <c r="P197" i="45"/>
  <c r="L197" i="45"/>
  <c r="M197" i="45" s="1"/>
  <c r="N197" i="45" s="1"/>
  <c r="K197" i="45"/>
  <c r="G197" i="45"/>
  <c r="E197" i="45"/>
  <c r="Q196" i="45"/>
  <c r="P196" i="45"/>
  <c r="L196" i="45"/>
  <c r="M196" i="45" s="1"/>
  <c r="N196" i="45" s="1"/>
  <c r="K196" i="45"/>
  <c r="G196" i="45"/>
  <c r="E196" i="45"/>
  <c r="Q195" i="45"/>
  <c r="P195" i="45"/>
  <c r="L195" i="45"/>
  <c r="M195" i="45" s="1"/>
  <c r="N195" i="45" s="1"/>
  <c r="K195" i="45"/>
  <c r="G195" i="45"/>
  <c r="E195" i="45"/>
  <c r="U194" i="45"/>
  <c r="T194" i="45"/>
  <c r="S194" i="45"/>
  <c r="Q194" i="45"/>
  <c r="P194" i="45"/>
  <c r="L194" i="45"/>
  <c r="M194" i="45" s="1"/>
  <c r="N194" i="45" s="1"/>
  <c r="K194" i="45"/>
  <c r="G194" i="45"/>
  <c r="E194" i="45"/>
  <c r="Q193" i="45"/>
  <c r="P193" i="45"/>
  <c r="L193" i="45"/>
  <c r="M193" i="45" s="1"/>
  <c r="N193" i="45" s="1"/>
  <c r="K193" i="45"/>
  <c r="G193" i="45"/>
  <c r="E193" i="45"/>
  <c r="Q192" i="45"/>
  <c r="P192" i="45"/>
  <c r="L192" i="45"/>
  <c r="M192" i="45"/>
  <c r="N192" i="45" s="1"/>
  <c r="K192" i="45"/>
  <c r="G192" i="45"/>
  <c r="E192" i="45"/>
  <c r="Q191" i="45"/>
  <c r="P191" i="45"/>
  <c r="L191" i="45"/>
  <c r="M191" i="45" s="1"/>
  <c r="N191" i="45" s="1"/>
  <c r="K191" i="45"/>
  <c r="G191" i="45"/>
  <c r="E191" i="45"/>
  <c r="Q190" i="45"/>
  <c r="P190" i="45"/>
  <c r="L190" i="45"/>
  <c r="M190" i="45" s="1"/>
  <c r="N190" i="45" s="1"/>
  <c r="K190" i="45"/>
  <c r="G190" i="45"/>
  <c r="E190" i="45"/>
  <c r="Q189" i="45"/>
  <c r="P189" i="45"/>
  <c r="L189" i="45"/>
  <c r="M189" i="45"/>
  <c r="N189" i="45" s="1"/>
  <c r="K189" i="45"/>
  <c r="G189" i="45"/>
  <c r="E189" i="45"/>
  <c r="U188" i="45"/>
  <c r="T188" i="45"/>
  <c r="S188" i="45"/>
  <c r="Q188" i="45"/>
  <c r="P188" i="45"/>
  <c r="L188" i="45"/>
  <c r="M188" i="45" s="1"/>
  <c r="N188" i="45" s="1"/>
  <c r="K188" i="45"/>
  <c r="G188" i="45"/>
  <c r="E188" i="45"/>
  <c r="Q187" i="45"/>
  <c r="P187" i="45"/>
  <c r="L187" i="45"/>
  <c r="M187" i="45" s="1"/>
  <c r="N187" i="45" s="1"/>
  <c r="K187" i="45"/>
  <c r="G187" i="45"/>
  <c r="E187" i="45"/>
  <c r="Q186" i="45"/>
  <c r="P186" i="45"/>
  <c r="L186" i="45"/>
  <c r="M186" i="45" s="1"/>
  <c r="N186" i="45" s="1"/>
  <c r="K186" i="45"/>
  <c r="G186" i="45"/>
  <c r="E186" i="45"/>
  <c r="U185" i="45"/>
  <c r="T185" i="45"/>
  <c r="S185" i="45"/>
  <c r="Q185" i="45"/>
  <c r="P185" i="45"/>
  <c r="L185" i="45"/>
  <c r="M185" i="45" s="1"/>
  <c r="N185" i="45" s="1"/>
  <c r="K185" i="45"/>
  <c r="G185" i="45"/>
  <c r="E185" i="45"/>
  <c r="U184" i="45"/>
  <c r="T184" i="45"/>
  <c r="S184" i="45"/>
  <c r="Q184" i="45"/>
  <c r="P184" i="45"/>
  <c r="L184" i="45"/>
  <c r="M184" i="45" s="1"/>
  <c r="N184" i="45" s="1"/>
  <c r="K184" i="45"/>
  <c r="G184" i="45"/>
  <c r="E184" i="45"/>
  <c r="Q183" i="45"/>
  <c r="P183" i="45"/>
  <c r="L183" i="45"/>
  <c r="M183" i="45"/>
  <c r="N183" i="45" s="1"/>
  <c r="K183" i="45"/>
  <c r="G183" i="45"/>
  <c r="E183" i="45"/>
  <c r="Q182" i="45"/>
  <c r="P182" i="45"/>
  <c r="L182" i="45"/>
  <c r="M182" i="45" s="1"/>
  <c r="N182" i="45" s="1"/>
  <c r="K182" i="45"/>
  <c r="G182" i="45"/>
  <c r="E182" i="45"/>
  <c r="Q181" i="45"/>
  <c r="P181" i="45"/>
  <c r="L181" i="45"/>
  <c r="M181" i="45" s="1"/>
  <c r="N181" i="45" s="1"/>
  <c r="K181" i="45"/>
  <c r="G181" i="45"/>
  <c r="E181" i="45"/>
  <c r="Q180" i="45"/>
  <c r="P180" i="45"/>
  <c r="L180" i="45"/>
  <c r="M180" i="45"/>
  <c r="N180" i="45" s="1"/>
  <c r="K180" i="45"/>
  <c r="G180" i="45"/>
  <c r="E180" i="45"/>
  <c r="Q179" i="45"/>
  <c r="P179" i="45"/>
  <c r="L179" i="45"/>
  <c r="M179" i="45" s="1"/>
  <c r="N179" i="45" s="1"/>
  <c r="K179" i="45"/>
  <c r="G179" i="45"/>
  <c r="E179" i="45"/>
  <c r="Q178" i="45"/>
  <c r="P178" i="45"/>
  <c r="L178" i="45"/>
  <c r="M178" i="45" s="1"/>
  <c r="N178" i="45" s="1"/>
  <c r="K178" i="45"/>
  <c r="G178" i="45"/>
  <c r="E178" i="45"/>
  <c r="U177" i="45"/>
  <c r="T177" i="45"/>
  <c r="S177" i="45"/>
  <c r="Q177" i="45"/>
  <c r="P177" i="45"/>
  <c r="L177" i="45"/>
  <c r="M177" i="45"/>
  <c r="N177" i="45" s="1"/>
  <c r="K177" i="45"/>
  <c r="G177" i="45"/>
  <c r="E177" i="45"/>
  <c r="U176" i="45"/>
  <c r="T176" i="45"/>
  <c r="S176" i="45"/>
  <c r="Q176" i="45"/>
  <c r="P176" i="45"/>
  <c r="L176" i="45"/>
  <c r="M176" i="45" s="1"/>
  <c r="N176" i="45"/>
  <c r="K176" i="45"/>
  <c r="G176" i="45"/>
  <c r="E176" i="45"/>
  <c r="Q175" i="45"/>
  <c r="P175" i="45"/>
  <c r="L175" i="45"/>
  <c r="M175" i="45" s="1"/>
  <c r="N175" i="45" s="1"/>
  <c r="K175" i="45"/>
  <c r="G175" i="45"/>
  <c r="E175" i="45"/>
  <c r="Q174" i="45"/>
  <c r="P174" i="45"/>
  <c r="L174" i="45"/>
  <c r="M174" i="45" s="1"/>
  <c r="N174" i="45" s="1"/>
  <c r="K174" i="45"/>
  <c r="G174" i="45"/>
  <c r="E174" i="45"/>
  <c r="Q173" i="45"/>
  <c r="P173" i="45"/>
  <c r="L173" i="45"/>
  <c r="M173" i="45" s="1"/>
  <c r="N173" i="45"/>
  <c r="Q172" i="45"/>
  <c r="P172" i="45"/>
  <c r="L172" i="45"/>
  <c r="M172" i="45" s="1"/>
  <c r="N172" i="45" s="1"/>
  <c r="K172" i="45"/>
  <c r="G172" i="45"/>
  <c r="E172" i="45"/>
  <c r="Q171" i="45"/>
  <c r="P171" i="45"/>
  <c r="L171" i="45"/>
  <c r="M171" i="45"/>
  <c r="N171" i="45" s="1"/>
  <c r="K171" i="45"/>
  <c r="G171" i="45"/>
  <c r="E171" i="45"/>
  <c r="U170" i="45"/>
  <c r="T170" i="45"/>
  <c r="S170" i="45"/>
  <c r="Q170" i="45"/>
  <c r="P170" i="45"/>
  <c r="L170" i="45"/>
  <c r="M170" i="45" s="1"/>
  <c r="N170" i="45" s="1"/>
  <c r="K170" i="45"/>
  <c r="G170" i="45"/>
  <c r="E170" i="45"/>
  <c r="Q169" i="45"/>
  <c r="P169" i="45"/>
  <c r="L169" i="45"/>
  <c r="M169" i="45" s="1"/>
  <c r="N169" i="45" s="1"/>
  <c r="K169" i="45"/>
  <c r="G169" i="45"/>
  <c r="E169" i="45"/>
  <c r="Q168" i="45"/>
  <c r="P168" i="45"/>
  <c r="L168" i="45"/>
  <c r="M168" i="45" s="1"/>
  <c r="N168" i="45" s="1"/>
  <c r="K168" i="45"/>
  <c r="G168" i="45"/>
  <c r="E168" i="45"/>
  <c r="Q167" i="45"/>
  <c r="P167" i="45"/>
  <c r="L167" i="45"/>
  <c r="M167" i="45" s="1"/>
  <c r="N167" i="45" s="1"/>
  <c r="K167" i="45"/>
  <c r="G167" i="45"/>
  <c r="E167" i="45"/>
  <c r="Q166" i="45"/>
  <c r="P166" i="45"/>
  <c r="L166" i="45"/>
  <c r="M166" i="45" s="1"/>
  <c r="N166" i="45" s="1"/>
  <c r="K166" i="45"/>
  <c r="G166" i="45"/>
  <c r="E166" i="45"/>
  <c r="Q165" i="45"/>
  <c r="P165" i="45"/>
  <c r="L165" i="45"/>
  <c r="M165" i="45" s="1"/>
  <c r="N165" i="45" s="1"/>
  <c r="K165" i="45"/>
  <c r="G165" i="45"/>
  <c r="E165" i="45"/>
  <c r="Q164" i="45"/>
  <c r="P164" i="45"/>
  <c r="L164" i="45"/>
  <c r="M164" i="45" s="1"/>
  <c r="N164" i="45" s="1"/>
  <c r="K164" i="45"/>
  <c r="G164" i="45"/>
  <c r="E164" i="45"/>
  <c r="Q163" i="45"/>
  <c r="P163" i="45"/>
  <c r="L163" i="45"/>
  <c r="M163" i="45" s="1"/>
  <c r="N163" i="45" s="1"/>
  <c r="K163" i="45"/>
  <c r="G163" i="45"/>
  <c r="E163" i="45"/>
  <c r="Q162" i="45"/>
  <c r="P162" i="45"/>
  <c r="L162" i="45"/>
  <c r="M162" i="45" s="1"/>
  <c r="N162" i="45" s="1"/>
  <c r="K162" i="45"/>
  <c r="G162" i="45"/>
  <c r="E162" i="45"/>
  <c r="Q161" i="45"/>
  <c r="P161" i="45"/>
  <c r="L161" i="45"/>
  <c r="M161" i="45" s="1"/>
  <c r="N161" i="45" s="1"/>
  <c r="K161" i="45"/>
  <c r="G161" i="45"/>
  <c r="E161" i="45"/>
  <c r="Q160" i="45"/>
  <c r="P160" i="45"/>
  <c r="L160" i="45"/>
  <c r="M160" i="45" s="1"/>
  <c r="N160" i="45" s="1"/>
  <c r="K160" i="45"/>
  <c r="G160" i="45"/>
  <c r="E160" i="45"/>
  <c r="Q159" i="45"/>
  <c r="P159" i="45"/>
  <c r="L159" i="45"/>
  <c r="M159" i="45" s="1"/>
  <c r="N159" i="45" s="1"/>
  <c r="K159" i="45"/>
  <c r="G159" i="45"/>
  <c r="E159" i="45"/>
  <c r="Q158" i="45"/>
  <c r="P158" i="45"/>
  <c r="L158" i="45"/>
  <c r="M158" i="45" s="1"/>
  <c r="N158" i="45" s="1"/>
  <c r="K158" i="45"/>
  <c r="G158" i="45"/>
  <c r="E158" i="45"/>
  <c r="Q157" i="45"/>
  <c r="P157" i="45"/>
  <c r="L157" i="45"/>
  <c r="M157" i="45" s="1"/>
  <c r="N157" i="45" s="1"/>
  <c r="K157" i="45"/>
  <c r="G157" i="45"/>
  <c r="E157" i="45"/>
  <c r="U156" i="45"/>
  <c r="T156" i="45"/>
  <c r="S156" i="45"/>
  <c r="Q156" i="45"/>
  <c r="P156" i="45"/>
  <c r="L156" i="45"/>
  <c r="M156" i="45" s="1"/>
  <c r="N156" i="45" s="1"/>
  <c r="K156" i="45"/>
  <c r="G156" i="45"/>
  <c r="E156" i="45"/>
  <c r="U155" i="45"/>
  <c r="T155" i="45"/>
  <c r="S155" i="45"/>
  <c r="Q155" i="45"/>
  <c r="P155" i="45"/>
  <c r="L155" i="45"/>
  <c r="M155" i="45"/>
  <c r="N155" i="45" s="1"/>
  <c r="K155" i="45"/>
  <c r="G155" i="45"/>
  <c r="E155" i="45"/>
  <c r="U154" i="45"/>
  <c r="T154" i="45"/>
  <c r="S154" i="45"/>
  <c r="Q154" i="45"/>
  <c r="P154" i="45"/>
  <c r="L154" i="45"/>
  <c r="M154" i="45" s="1"/>
  <c r="N154" i="45"/>
  <c r="K154" i="45"/>
  <c r="G154" i="45"/>
  <c r="E154" i="45"/>
  <c r="Q153" i="45"/>
  <c r="P153" i="45"/>
  <c r="L153" i="45"/>
  <c r="M153" i="45" s="1"/>
  <c r="N153" i="45" s="1"/>
  <c r="K153" i="45"/>
  <c r="G153" i="45"/>
  <c r="E153" i="45"/>
  <c r="Q152" i="45"/>
  <c r="P152" i="45"/>
  <c r="L152" i="45"/>
  <c r="M152" i="45" s="1"/>
  <c r="N152" i="45" s="1"/>
  <c r="K152" i="45"/>
  <c r="G152" i="45"/>
  <c r="E152" i="45"/>
  <c r="Q151" i="45"/>
  <c r="P151" i="45"/>
  <c r="L151" i="45"/>
  <c r="M151" i="45"/>
  <c r="N151" i="45" s="1"/>
  <c r="K151" i="45"/>
  <c r="G151" i="45"/>
  <c r="E151" i="45"/>
  <c r="Q150" i="45"/>
  <c r="P150" i="45"/>
  <c r="L150" i="45"/>
  <c r="M150" i="45" s="1"/>
  <c r="N150" i="45" s="1"/>
  <c r="K150" i="45"/>
  <c r="G150" i="45"/>
  <c r="E150" i="45"/>
  <c r="Q149" i="45"/>
  <c r="P149" i="45"/>
  <c r="L149" i="45"/>
  <c r="M149" i="45" s="1"/>
  <c r="N149" i="45" s="1"/>
  <c r="Q148" i="45"/>
  <c r="P148" i="45"/>
  <c r="L148" i="45"/>
  <c r="M148" i="45" s="1"/>
  <c r="N148" i="45" s="1"/>
  <c r="K148" i="45"/>
  <c r="G148" i="45"/>
  <c r="E148" i="45"/>
  <c r="Q147" i="45"/>
  <c r="P147" i="45"/>
  <c r="L147" i="45"/>
  <c r="M147" i="45"/>
  <c r="N147" i="45" s="1"/>
  <c r="K147" i="45"/>
  <c r="G147" i="45"/>
  <c r="E147" i="45"/>
  <c r="Q146" i="45"/>
  <c r="P146" i="45"/>
  <c r="L146" i="45"/>
  <c r="M146" i="45"/>
  <c r="N146" i="45" s="1"/>
  <c r="K146" i="45"/>
  <c r="G146" i="45"/>
  <c r="E146" i="45"/>
  <c r="Q145" i="45"/>
  <c r="P145" i="45"/>
  <c r="L145" i="45"/>
  <c r="M145" i="45" s="1"/>
  <c r="N145" i="45" s="1"/>
  <c r="Q144" i="45"/>
  <c r="P144" i="45"/>
  <c r="L144" i="45"/>
  <c r="M144" i="45" s="1"/>
  <c r="N144" i="45" s="1"/>
  <c r="K144" i="45"/>
  <c r="G144" i="45"/>
  <c r="E144" i="45"/>
  <c r="U143" i="45"/>
  <c r="T143" i="45"/>
  <c r="S143" i="45"/>
  <c r="Q143" i="45"/>
  <c r="P143" i="45"/>
  <c r="L143" i="45"/>
  <c r="M143" i="45"/>
  <c r="N143" i="45" s="1"/>
  <c r="K143" i="45"/>
  <c r="G143" i="45"/>
  <c r="E143" i="45"/>
  <c r="Q142" i="45"/>
  <c r="P142" i="45"/>
  <c r="L142" i="45"/>
  <c r="M142" i="45" s="1"/>
  <c r="N142" i="45" s="1"/>
  <c r="K142" i="45"/>
  <c r="G142" i="45"/>
  <c r="E142" i="45"/>
  <c r="Q141" i="45"/>
  <c r="P141" i="45"/>
  <c r="L141" i="45"/>
  <c r="M141" i="45" s="1"/>
  <c r="N141" i="45" s="1"/>
  <c r="K141" i="45"/>
  <c r="G141" i="45"/>
  <c r="E141" i="45"/>
  <c r="Q140" i="45"/>
  <c r="P140" i="45"/>
  <c r="L140" i="45"/>
  <c r="M140" i="45"/>
  <c r="N140" i="45" s="1"/>
  <c r="K140" i="45"/>
  <c r="G140" i="45"/>
  <c r="E140" i="45"/>
  <c r="Q139" i="45"/>
  <c r="P139" i="45"/>
  <c r="L139" i="45"/>
  <c r="M139" i="45" s="1"/>
  <c r="N139" i="45" s="1"/>
  <c r="K139" i="45"/>
  <c r="G139" i="45"/>
  <c r="E139" i="45"/>
  <c r="U138" i="45"/>
  <c r="T138" i="45"/>
  <c r="S138" i="45"/>
  <c r="Q138" i="45"/>
  <c r="P138" i="45"/>
  <c r="L138" i="45"/>
  <c r="M138" i="45" s="1"/>
  <c r="N138" i="45" s="1"/>
  <c r="Q137" i="45"/>
  <c r="P137" i="45"/>
  <c r="L137" i="45"/>
  <c r="M137" i="45"/>
  <c r="N137" i="45" s="1"/>
  <c r="Q136" i="45"/>
  <c r="P136" i="45"/>
  <c r="L136" i="45"/>
  <c r="M136" i="45"/>
  <c r="N136" i="45" s="1"/>
  <c r="K136" i="45"/>
  <c r="G136" i="45"/>
  <c r="E136" i="45"/>
  <c r="Q135" i="45"/>
  <c r="P135" i="45"/>
  <c r="L135" i="45"/>
  <c r="M135" i="45" s="1"/>
  <c r="N135" i="45" s="1"/>
  <c r="K135" i="45"/>
  <c r="G135" i="45"/>
  <c r="E135" i="45"/>
  <c r="Q134" i="45"/>
  <c r="P134" i="45"/>
  <c r="L134" i="45"/>
  <c r="M134" i="45" s="1"/>
  <c r="N134" i="45" s="1"/>
  <c r="U133" i="45"/>
  <c r="T133" i="45"/>
  <c r="S133" i="45"/>
  <c r="Q133" i="45"/>
  <c r="P133" i="45"/>
  <c r="L133" i="45"/>
  <c r="M133" i="45" s="1"/>
  <c r="N133" i="45" s="1"/>
  <c r="K133" i="45"/>
  <c r="G133" i="45"/>
  <c r="E133" i="45"/>
  <c r="Q132" i="45"/>
  <c r="P132" i="45"/>
  <c r="L132" i="45"/>
  <c r="M132" i="45" s="1"/>
  <c r="N132" i="45" s="1"/>
  <c r="K132" i="45"/>
  <c r="G132" i="45"/>
  <c r="E132" i="45"/>
  <c r="Q131" i="45"/>
  <c r="P131" i="45"/>
  <c r="L131" i="45"/>
  <c r="M131" i="45" s="1"/>
  <c r="N131" i="45" s="1"/>
  <c r="K131" i="45"/>
  <c r="G131" i="45"/>
  <c r="E131" i="45"/>
  <c r="U130" i="45"/>
  <c r="T130" i="45"/>
  <c r="S130" i="45"/>
  <c r="Q130" i="45"/>
  <c r="P130" i="45"/>
  <c r="L130" i="45"/>
  <c r="M130" i="45" s="1"/>
  <c r="N130" i="45" s="1"/>
  <c r="K130" i="45"/>
  <c r="G130" i="45"/>
  <c r="E130" i="45"/>
  <c r="Q129" i="45"/>
  <c r="P129" i="45"/>
  <c r="L129" i="45"/>
  <c r="M129" i="45"/>
  <c r="N129" i="45" s="1"/>
  <c r="K129" i="45"/>
  <c r="G129" i="45"/>
  <c r="E129" i="45"/>
  <c r="Q128" i="45"/>
  <c r="P128" i="45"/>
  <c r="L128" i="45"/>
  <c r="M128" i="45"/>
  <c r="N128" i="45" s="1"/>
  <c r="K128" i="45"/>
  <c r="G128" i="45"/>
  <c r="E128" i="45"/>
  <c r="U127" i="45"/>
  <c r="T127" i="45"/>
  <c r="S127" i="45"/>
  <c r="Q127" i="45"/>
  <c r="P127" i="45"/>
  <c r="L127" i="45"/>
  <c r="M127" i="45" s="1"/>
  <c r="N127" i="45"/>
  <c r="G127" i="45"/>
  <c r="E127" i="45"/>
  <c r="Q126" i="45"/>
  <c r="P126" i="45"/>
  <c r="L126" i="45"/>
  <c r="M126" i="45" s="1"/>
  <c r="N126" i="45" s="1"/>
  <c r="K126" i="45"/>
  <c r="G126" i="45"/>
  <c r="E126" i="45"/>
  <c r="U125" i="45"/>
  <c r="T125" i="45"/>
  <c r="S125" i="45"/>
  <c r="Q125" i="45"/>
  <c r="P125" i="45"/>
  <c r="L125" i="45"/>
  <c r="M125" i="45"/>
  <c r="N125" i="45" s="1"/>
  <c r="K125" i="45"/>
  <c r="G125" i="45"/>
  <c r="E125" i="45"/>
  <c r="Q124" i="45"/>
  <c r="P124" i="45"/>
  <c r="L124" i="45"/>
  <c r="M124" i="45" s="1"/>
  <c r="N124" i="45" s="1"/>
  <c r="K124" i="45"/>
  <c r="G124" i="45"/>
  <c r="E124" i="45"/>
  <c r="U123" i="45"/>
  <c r="T123" i="45"/>
  <c r="S123" i="45"/>
  <c r="Q123" i="45"/>
  <c r="P123" i="45"/>
  <c r="L123" i="45"/>
  <c r="M123" i="45"/>
  <c r="N123" i="45" s="1"/>
  <c r="K123" i="45"/>
  <c r="G123" i="45"/>
  <c r="E123" i="45"/>
  <c r="Q122" i="45"/>
  <c r="P122" i="45"/>
  <c r="L122" i="45"/>
  <c r="M122" i="45" s="1"/>
  <c r="N122" i="45" s="1"/>
  <c r="K122" i="45"/>
  <c r="G122" i="45"/>
  <c r="E122" i="45"/>
  <c r="Q121" i="45"/>
  <c r="P121" i="45"/>
  <c r="L121" i="45"/>
  <c r="M121" i="45"/>
  <c r="N121" i="45"/>
  <c r="K121" i="45"/>
  <c r="G121" i="45"/>
  <c r="E121" i="45"/>
  <c r="U120" i="45"/>
  <c r="T120" i="45"/>
  <c r="S120" i="45"/>
  <c r="Q120" i="45"/>
  <c r="P120" i="45"/>
  <c r="L120" i="45"/>
  <c r="M120" i="45" s="1"/>
  <c r="N120" i="45" s="1"/>
  <c r="K120" i="45"/>
  <c r="G120" i="45"/>
  <c r="E120" i="45"/>
  <c r="Q119" i="45"/>
  <c r="P119" i="45"/>
  <c r="L119" i="45"/>
  <c r="M119" i="45" s="1"/>
  <c r="N119" i="45" s="1"/>
  <c r="K119" i="45"/>
  <c r="G119" i="45"/>
  <c r="E119" i="45"/>
  <c r="Q118" i="45"/>
  <c r="P118" i="45"/>
  <c r="L118" i="45"/>
  <c r="M118" i="45" s="1"/>
  <c r="N118" i="45" s="1"/>
  <c r="K118" i="45"/>
  <c r="G118" i="45"/>
  <c r="E118" i="45"/>
  <c r="U117" i="45"/>
  <c r="T117" i="45"/>
  <c r="S117" i="45"/>
  <c r="Q117" i="45"/>
  <c r="P117" i="45"/>
  <c r="L117" i="45"/>
  <c r="M117" i="45" s="1"/>
  <c r="N117" i="45" s="1"/>
  <c r="K117" i="45"/>
  <c r="G117" i="45"/>
  <c r="E117" i="45"/>
  <c r="Q116" i="45"/>
  <c r="P116" i="45"/>
  <c r="L116" i="45"/>
  <c r="M116" i="45" s="1"/>
  <c r="N116" i="45" s="1"/>
  <c r="K116" i="45"/>
  <c r="G116" i="45"/>
  <c r="E116" i="45"/>
  <c r="U115" i="45"/>
  <c r="T115" i="45"/>
  <c r="S115" i="45"/>
  <c r="Q115" i="45"/>
  <c r="P115" i="45"/>
  <c r="L115" i="45"/>
  <c r="M115" i="45" s="1"/>
  <c r="N115" i="45" s="1"/>
  <c r="K115" i="45"/>
  <c r="G115" i="45"/>
  <c r="E115" i="45"/>
  <c r="U114" i="45"/>
  <c r="T114" i="45"/>
  <c r="S114" i="45"/>
  <c r="Q114" i="45"/>
  <c r="P114" i="45"/>
  <c r="L114" i="45"/>
  <c r="M114" i="45" s="1"/>
  <c r="N114" i="45" s="1"/>
  <c r="K114" i="45"/>
  <c r="G114" i="45"/>
  <c r="E114" i="45"/>
  <c r="Q113" i="45"/>
  <c r="P113" i="45"/>
  <c r="L113" i="45"/>
  <c r="M113" i="45" s="1"/>
  <c r="N113" i="45" s="1"/>
  <c r="K113" i="45"/>
  <c r="G113" i="45"/>
  <c r="E113" i="45"/>
  <c r="Q112" i="45"/>
  <c r="P112" i="45"/>
  <c r="L112" i="45"/>
  <c r="M112" i="45" s="1"/>
  <c r="N112" i="45"/>
  <c r="K112" i="45"/>
  <c r="G112" i="45"/>
  <c r="E112" i="45"/>
  <c r="U111" i="45"/>
  <c r="T111" i="45"/>
  <c r="S111" i="45"/>
  <c r="Q111" i="45"/>
  <c r="P111" i="45"/>
  <c r="L111" i="45"/>
  <c r="M111" i="45" s="1"/>
  <c r="N111" i="45" s="1"/>
  <c r="K111" i="45"/>
  <c r="G111" i="45"/>
  <c r="E111" i="45"/>
  <c r="Q110" i="45"/>
  <c r="P110" i="45"/>
  <c r="L110" i="45"/>
  <c r="M110" i="45" s="1"/>
  <c r="N110" i="45" s="1"/>
  <c r="K110" i="45"/>
  <c r="G110" i="45"/>
  <c r="E110" i="45"/>
  <c r="Q109" i="45"/>
  <c r="P109" i="45"/>
  <c r="L109" i="45"/>
  <c r="M109" i="45"/>
  <c r="N109" i="45" s="1"/>
  <c r="K109" i="45"/>
  <c r="G109" i="45"/>
  <c r="E109" i="45"/>
  <c r="Q108" i="45"/>
  <c r="P108" i="45"/>
  <c r="L108" i="45"/>
  <c r="M108" i="45" s="1"/>
  <c r="N108" i="45" s="1"/>
  <c r="K108" i="45"/>
  <c r="G108" i="45"/>
  <c r="E108" i="45"/>
  <c r="Q107" i="45"/>
  <c r="P107" i="45"/>
  <c r="L107" i="45"/>
  <c r="M107" i="45" s="1"/>
  <c r="N107" i="45"/>
  <c r="K107" i="45"/>
  <c r="G107" i="45"/>
  <c r="E107" i="45"/>
  <c r="Q106" i="45"/>
  <c r="P106" i="45"/>
  <c r="L106" i="45"/>
  <c r="M106" i="45"/>
  <c r="N106" i="45" s="1"/>
  <c r="K106" i="45"/>
  <c r="G106" i="45"/>
  <c r="E106" i="45"/>
  <c r="U105" i="45"/>
  <c r="T105" i="45"/>
  <c r="S105" i="45"/>
  <c r="Q105" i="45"/>
  <c r="P105" i="45"/>
  <c r="L105" i="45"/>
  <c r="M105" i="45" s="1"/>
  <c r="N105" i="45"/>
  <c r="K105" i="45"/>
  <c r="G105" i="45"/>
  <c r="E105" i="45"/>
  <c r="Q104" i="45"/>
  <c r="P104" i="45"/>
  <c r="L104" i="45"/>
  <c r="M104" i="45" s="1"/>
  <c r="N104" i="45" s="1"/>
  <c r="K104" i="45"/>
  <c r="G104" i="45"/>
  <c r="E104" i="45"/>
  <c r="U103" i="45"/>
  <c r="T103" i="45"/>
  <c r="S103" i="45"/>
  <c r="Q103" i="45"/>
  <c r="P103" i="45"/>
  <c r="L103" i="45"/>
  <c r="M103" i="45" s="1"/>
  <c r="N103" i="45" s="1"/>
  <c r="K103" i="45"/>
  <c r="G103" i="45"/>
  <c r="E103" i="45"/>
  <c r="Q102" i="45"/>
  <c r="P102" i="45"/>
  <c r="L102" i="45"/>
  <c r="M102" i="45" s="1"/>
  <c r="N102" i="45" s="1"/>
  <c r="K102" i="45"/>
  <c r="G102" i="45"/>
  <c r="E102" i="45"/>
  <c r="Q101" i="45"/>
  <c r="P101" i="45"/>
  <c r="L101" i="45"/>
  <c r="M101" i="45"/>
  <c r="N101" i="45" s="1"/>
  <c r="K101" i="45"/>
  <c r="G101" i="45"/>
  <c r="E101" i="45"/>
  <c r="Q100" i="45"/>
  <c r="P100" i="45"/>
  <c r="L100" i="45"/>
  <c r="M100" i="45" s="1"/>
  <c r="N100" i="45" s="1"/>
  <c r="K100" i="45"/>
  <c r="G100" i="45"/>
  <c r="E100" i="45"/>
  <c r="Q99" i="45"/>
  <c r="P99" i="45"/>
  <c r="L99" i="45"/>
  <c r="M99" i="45" s="1"/>
  <c r="N99" i="45" s="1"/>
  <c r="K99" i="45"/>
  <c r="G99" i="45"/>
  <c r="E99" i="45"/>
  <c r="U98" i="45"/>
  <c r="T98" i="45"/>
  <c r="S98" i="45"/>
  <c r="Q98" i="45"/>
  <c r="P98" i="45"/>
  <c r="L98" i="45"/>
  <c r="M98" i="45"/>
  <c r="N98" i="45" s="1"/>
  <c r="K98" i="45"/>
  <c r="G98" i="45"/>
  <c r="E98" i="45"/>
  <c r="Q97" i="45"/>
  <c r="P97" i="45"/>
  <c r="L97" i="45"/>
  <c r="M97" i="45"/>
  <c r="N97" i="45" s="1"/>
  <c r="K97" i="45"/>
  <c r="G97" i="45"/>
  <c r="E97" i="45"/>
  <c r="U96" i="45"/>
  <c r="T96" i="45"/>
  <c r="S96" i="45"/>
  <c r="Q96" i="45"/>
  <c r="P96" i="45"/>
  <c r="L96" i="45"/>
  <c r="M96" i="45" s="1"/>
  <c r="N96" i="45" s="1"/>
  <c r="K96" i="45"/>
  <c r="G96" i="45"/>
  <c r="E96" i="45"/>
  <c r="Q95" i="45"/>
  <c r="P95" i="45"/>
  <c r="L95" i="45"/>
  <c r="M95" i="45"/>
  <c r="N95" i="45" s="1"/>
  <c r="K95" i="45"/>
  <c r="G95" i="45"/>
  <c r="E95" i="45"/>
  <c r="Q94" i="45"/>
  <c r="P94" i="45"/>
  <c r="L94" i="45"/>
  <c r="M94" i="45" s="1"/>
  <c r="N94" i="45" s="1"/>
  <c r="Q93" i="45"/>
  <c r="P93" i="45"/>
  <c r="L93" i="45"/>
  <c r="M93" i="45"/>
  <c r="N93" i="45" s="1"/>
  <c r="K93" i="45"/>
  <c r="G93" i="45"/>
  <c r="E93" i="45"/>
  <c r="Q92" i="45"/>
  <c r="P92" i="45"/>
  <c r="L92" i="45"/>
  <c r="M92" i="45"/>
  <c r="N92" i="45" s="1"/>
  <c r="K92" i="45"/>
  <c r="G92" i="45"/>
  <c r="E92" i="45"/>
  <c r="U91" i="45"/>
  <c r="T91" i="45"/>
  <c r="S91" i="45"/>
  <c r="Q91" i="45"/>
  <c r="P91" i="45"/>
  <c r="L91" i="45"/>
  <c r="M91" i="45"/>
  <c r="N91" i="45"/>
  <c r="K91" i="45"/>
  <c r="G91" i="45"/>
  <c r="E91" i="45"/>
  <c r="Q90" i="45"/>
  <c r="P90" i="45"/>
  <c r="L90" i="45"/>
  <c r="M90" i="45" s="1"/>
  <c r="N90" i="45" s="1"/>
  <c r="K90" i="45"/>
  <c r="G90" i="45"/>
  <c r="E90" i="45"/>
  <c r="U89" i="45"/>
  <c r="T89" i="45"/>
  <c r="S89" i="45"/>
  <c r="Q89" i="45"/>
  <c r="P89" i="45"/>
  <c r="L89" i="45"/>
  <c r="M89" i="45" s="1"/>
  <c r="N89" i="45" s="1"/>
  <c r="K89" i="45"/>
  <c r="G89" i="45"/>
  <c r="E89" i="45"/>
  <c r="U88" i="45"/>
  <c r="T88" i="45"/>
  <c r="S88" i="45"/>
  <c r="Q88" i="45"/>
  <c r="P88" i="45"/>
  <c r="L88" i="45"/>
  <c r="M88" i="45" s="1"/>
  <c r="N88" i="45" s="1"/>
  <c r="K88" i="45"/>
  <c r="G88" i="45"/>
  <c r="E88" i="45"/>
  <c r="Q87" i="45"/>
  <c r="P87" i="45"/>
  <c r="L87" i="45"/>
  <c r="M87" i="45" s="1"/>
  <c r="N87" i="45" s="1"/>
  <c r="U86" i="45"/>
  <c r="T86" i="45"/>
  <c r="S86" i="45"/>
  <c r="Q86" i="45"/>
  <c r="P86" i="45"/>
  <c r="L86" i="45"/>
  <c r="M86" i="45"/>
  <c r="N86" i="45" s="1"/>
  <c r="K86" i="45"/>
  <c r="G86" i="45"/>
  <c r="E86" i="45"/>
  <c r="Q85" i="45"/>
  <c r="P85" i="45"/>
  <c r="L85" i="45"/>
  <c r="M85" i="45" s="1"/>
  <c r="N85" i="45" s="1"/>
  <c r="K85" i="45"/>
  <c r="G85" i="45"/>
  <c r="E85" i="45"/>
  <c r="Q84" i="45"/>
  <c r="P84" i="45"/>
  <c r="L84" i="45"/>
  <c r="M84" i="45" s="1"/>
  <c r="N84" i="45" s="1"/>
  <c r="K84" i="45"/>
  <c r="G84" i="45"/>
  <c r="E84" i="45"/>
  <c r="U83" i="45"/>
  <c r="T83" i="45"/>
  <c r="S83" i="45"/>
  <c r="Q83" i="45"/>
  <c r="P83" i="45"/>
  <c r="L83" i="45"/>
  <c r="M83" i="45" s="1"/>
  <c r="N83" i="45" s="1"/>
  <c r="Q82" i="45"/>
  <c r="P82" i="45"/>
  <c r="L82" i="45"/>
  <c r="M82" i="45" s="1"/>
  <c r="N82" i="45" s="1"/>
  <c r="K82" i="45"/>
  <c r="G82" i="45"/>
  <c r="E82" i="45"/>
  <c r="Q81" i="45"/>
  <c r="P81" i="45"/>
  <c r="L81" i="45"/>
  <c r="M81" i="45" s="1"/>
  <c r="N81" i="45" s="1"/>
  <c r="K81" i="45"/>
  <c r="G81" i="45"/>
  <c r="E81" i="45"/>
  <c r="Q80" i="45"/>
  <c r="P80" i="45"/>
  <c r="L80" i="45"/>
  <c r="M80" i="45"/>
  <c r="N80" i="45" s="1"/>
  <c r="K80" i="45"/>
  <c r="G80" i="45"/>
  <c r="E80" i="45"/>
  <c r="U79" i="45"/>
  <c r="T79" i="45"/>
  <c r="S79" i="45"/>
  <c r="Q79" i="45"/>
  <c r="P79" i="45"/>
  <c r="L79" i="45"/>
  <c r="M79" i="45"/>
  <c r="N79" i="45"/>
  <c r="K79" i="45"/>
  <c r="G79" i="45"/>
  <c r="E79" i="45"/>
  <c r="Q78" i="45"/>
  <c r="P78" i="45"/>
  <c r="L78" i="45"/>
  <c r="M78" i="45" s="1"/>
  <c r="N78" i="45" s="1"/>
  <c r="K78" i="45"/>
  <c r="G78" i="45"/>
  <c r="E78" i="45"/>
  <c r="U77" i="45"/>
  <c r="T77" i="45"/>
  <c r="S77" i="45"/>
  <c r="Q77" i="45"/>
  <c r="P77" i="45"/>
  <c r="L77" i="45"/>
  <c r="M77" i="45" s="1"/>
  <c r="N77" i="45" s="1"/>
  <c r="K77" i="45"/>
  <c r="G77" i="45"/>
  <c r="E77" i="45"/>
  <c r="U76" i="45"/>
  <c r="T76" i="45"/>
  <c r="S76" i="45"/>
  <c r="Q76" i="45"/>
  <c r="P76" i="45"/>
  <c r="L76" i="45"/>
  <c r="M76" i="45" s="1"/>
  <c r="N76" i="45" s="1"/>
  <c r="K76" i="45"/>
  <c r="G76" i="45"/>
  <c r="E76" i="45"/>
  <c r="Q75" i="45"/>
  <c r="P75" i="45"/>
  <c r="L75" i="45"/>
  <c r="M75" i="45" s="1"/>
  <c r="N75" i="45" s="1"/>
  <c r="U74" i="45"/>
  <c r="T74" i="45"/>
  <c r="S74" i="45"/>
  <c r="Q74" i="45"/>
  <c r="P74" i="45"/>
  <c r="L74" i="45"/>
  <c r="M74" i="45" s="1"/>
  <c r="N74" i="45" s="1"/>
  <c r="K74" i="45"/>
  <c r="G74" i="45"/>
  <c r="E74" i="45"/>
  <c r="Q73" i="45"/>
  <c r="P73" i="45"/>
  <c r="L73" i="45"/>
  <c r="M73" i="45" s="1"/>
  <c r="N73" i="45" s="1"/>
  <c r="K73" i="45"/>
  <c r="G73" i="45"/>
  <c r="E73" i="45"/>
  <c r="Q72" i="45"/>
  <c r="P72" i="45"/>
  <c r="L72" i="45"/>
  <c r="M72" i="45" s="1"/>
  <c r="N72" i="45" s="1"/>
  <c r="K72" i="45"/>
  <c r="G72" i="45"/>
  <c r="E72" i="45"/>
  <c r="Q71" i="45"/>
  <c r="P71" i="45"/>
  <c r="L71" i="45"/>
  <c r="M71" i="45" s="1"/>
  <c r="N71" i="45" s="1"/>
  <c r="K71" i="45"/>
  <c r="G71" i="45"/>
  <c r="E71" i="45"/>
  <c r="Q70" i="45"/>
  <c r="P70" i="45"/>
  <c r="L70" i="45"/>
  <c r="M70" i="45" s="1"/>
  <c r="N70" i="45" s="1"/>
  <c r="K70" i="45"/>
  <c r="G70" i="45"/>
  <c r="E70" i="45"/>
  <c r="Q69" i="45"/>
  <c r="P69" i="45"/>
  <c r="L69" i="45"/>
  <c r="M69" i="45" s="1"/>
  <c r="N69" i="45" s="1"/>
  <c r="K69" i="45"/>
  <c r="G69" i="45"/>
  <c r="E69" i="45"/>
  <c r="Q68" i="45"/>
  <c r="P68" i="45"/>
  <c r="L68" i="45"/>
  <c r="M68" i="45"/>
  <c r="N68" i="45" s="1"/>
  <c r="K68" i="45"/>
  <c r="G68" i="45"/>
  <c r="E68" i="45"/>
  <c r="Q67" i="45"/>
  <c r="P67" i="45"/>
  <c r="L67" i="45"/>
  <c r="M67" i="45" s="1"/>
  <c r="N67" i="45" s="1"/>
  <c r="K67" i="45"/>
  <c r="G67" i="45"/>
  <c r="E67" i="45"/>
  <c r="Q66" i="45"/>
  <c r="P66" i="45"/>
  <c r="L66" i="45"/>
  <c r="M66" i="45" s="1"/>
  <c r="N66" i="45" s="1"/>
  <c r="K66" i="45"/>
  <c r="G66" i="45"/>
  <c r="E66" i="45"/>
  <c r="Q65" i="45"/>
  <c r="P65" i="45"/>
  <c r="L65" i="45"/>
  <c r="M65" i="45" s="1"/>
  <c r="N65" i="45" s="1"/>
  <c r="K65" i="45"/>
  <c r="G65" i="45"/>
  <c r="E65" i="45"/>
  <c r="Q64" i="45"/>
  <c r="P64" i="45"/>
  <c r="L64" i="45"/>
  <c r="M64" i="45" s="1"/>
  <c r="N64" i="45" s="1"/>
  <c r="K64" i="45"/>
  <c r="G64" i="45"/>
  <c r="E64" i="45"/>
  <c r="Q63" i="45"/>
  <c r="P63" i="45"/>
  <c r="L63" i="45"/>
  <c r="M63" i="45" s="1"/>
  <c r="N63" i="45"/>
  <c r="K63" i="45"/>
  <c r="G63" i="45"/>
  <c r="E63" i="45"/>
  <c r="Q62" i="45"/>
  <c r="P62" i="45"/>
  <c r="L62" i="45"/>
  <c r="M62" i="45" s="1"/>
  <c r="N62" i="45" s="1"/>
  <c r="K62" i="45"/>
  <c r="G62" i="45"/>
  <c r="E62" i="45"/>
  <c r="Q61" i="45"/>
  <c r="P61" i="45"/>
  <c r="L61" i="45"/>
  <c r="M61" i="45" s="1"/>
  <c r="N61" i="45" s="1"/>
  <c r="K61" i="45"/>
  <c r="G61" i="45"/>
  <c r="E61" i="45"/>
  <c r="Q60" i="45"/>
  <c r="P60" i="45"/>
  <c r="L60" i="45"/>
  <c r="M60" i="45" s="1"/>
  <c r="N60" i="45" s="1"/>
  <c r="K60" i="45"/>
  <c r="G60" i="45"/>
  <c r="E60" i="45"/>
  <c r="Q59" i="45"/>
  <c r="P59" i="45"/>
  <c r="L59" i="45"/>
  <c r="M59" i="45" s="1"/>
  <c r="N59" i="45" s="1"/>
  <c r="K59" i="45"/>
  <c r="G59" i="45"/>
  <c r="E59" i="45"/>
  <c r="Q58" i="45"/>
  <c r="P58" i="45"/>
  <c r="L58" i="45"/>
  <c r="M58" i="45" s="1"/>
  <c r="N58" i="45" s="1"/>
  <c r="K58" i="45"/>
  <c r="G58" i="45"/>
  <c r="E58" i="45"/>
  <c r="Q57" i="45"/>
  <c r="P57" i="45"/>
  <c r="L57" i="45"/>
  <c r="M57" i="45" s="1"/>
  <c r="N57" i="45" s="1"/>
  <c r="K57" i="45"/>
  <c r="G57" i="45"/>
  <c r="E57" i="45"/>
  <c r="Q56" i="45"/>
  <c r="P56" i="45"/>
  <c r="L56" i="45"/>
  <c r="M56" i="45" s="1"/>
  <c r="N56" i="45" s="1"/>
  <c r="K56" i="45"/>
  <c r="G56" i="45"/>
  <c r="E56" i="45"/>
  <c r="Q55" i="45"/>
  <c r="P55" i="45"/>
  <c r="L55" i="45"/>
  <c r="M55" i="45" s="1"/>
  <c r="N55" i="45" s="1"/>
  <c r="K55" i="45"/>
  <c r="G55" i="45"/>
  <c r="E55" i="45"/>
  <c r="Q54" i="45"/>
  <c r="P54" i="45"/>
  <c r="L54" i="45"/>
  <c r="M54" i="45" s="1"/>
  <c r="N54" i="45" s="1"/>
  <c r="G54" i="45"/>
  <c r="E54" i="45"/>
  <c r="Q53" i="45"/>
  <c r="P53" i="45"/>
  <c r="L53" i="45"/>
  <c r="M53" i="45" s="1"/>
  <c r="N53" i="45" s="1"/>
  <c r="K53" i="45"/>
  <c r="G53" i="45"/>
  <c r="E53" i="45"/>
  <c r="Q52" i="45"/>
  <c r="P52" i="45"/>
  <c r="L52" i="45"/>
  <c r="M52" i="45" s="1"/>
  <c r="N52" i="45" s="1"/>
  <c r="K52" i="45"/>
  <c r="G52" i="45"/>
  <c r="E52" i="45"/>
  <c r="Q51" i="45"/>
  <c r="P51" i="45"/>
  <c r="L51" i="45"/>
  <c r="M51" i="45"/>
  <c r="N51" i="45" s="1"/>
  <c r="K51" i="45"/>
  <c r="G51" i="45"/>
  <c r="E51" i="45"/>
  <c r="Q50" i="45"/>
  <c r="P50" i="45"/>
  <c r="L50" i="45"/>
  <c r="M50" i="45" s="1"/>
  <c r="N50" i="45" s="1"/>
  <c r="K50" i="45"/>
  <c r="G50" i="45"/>
  <c r="E50" i="45"/>
  <c r="Q49" i="45"/>
  <c r="P49" i="45"/>
  <c r="L49" i="45"/>
  <c r="M49" i="45" s="1"/>
  <c r="N49" i="45" s="1"/>
  <c r="K49" i="45"/>
  <c r="G49" i="45"/>
  <c r="E49" i="45"/>
  <c r="Q48" i="45"/>
  <c r="P48" i="45"/>
  <c r="L48" i="45"/>
  <c r="M48" i="45"/>
  <c r="N48" i="45" s="1"/>
  <c r="K48" i="45"/>
  <c r="G48" i="45"/>
  <c r="E48" i="45"/>
  <c r="Q47" i="45"/>
  <c r="P47" i="45"/>
  <c r="L47" i="45"/>
  <c r="M47" i="45" s="1"/>
  <c r="N47" i="45" s="1"/>
  <c r="K47" i="45"/>
  <c r="G47" i="45"/>
  <c r="E47" i="45"/>
  <c r="Q46" i="45"/>
  <c r="P46" i="45"/>
  <c r="L46" i="45"/>
  <c r="M46" i="45" s="1"/>
  <c r="N46" i="45" s="1"/>
  <c r="K46" i="45"/>
  <c r="G46" i="45"/>
  <c r="E46" i="45"/>
  <c r="Q45" i="45"/>
  <c r="P45" i="45"/>
  <c r="L45" i="45"/>
  <c r="M45" i="45"/>
  <c r="N45" i="45" s="1"/>
  <c r="K45" i="45"/>
  <c r="G45" i="45"/>
  <c r="E45" i="45"/>
  <c r="Q44" i="45"/>
  <c r="P44" i="45"/>
  <c r="L44" i="45"/>
  <c r="M44" i="45" s="1"/>
  <c r="N44" i="45" s="1"/>
  <c r="K44" i="45"/>
  <c r="G44" i="45"/>
  <c r="E44" i="45"/>
  <c r="U43" i="45"/>
  <c r="T43" i="45"/>
  <c r="S43" i="45"/>
  <c r="Q43" i="45"/>
  <c r="P43" i="45"/>
  <c r="L43" i="45"/>
  <c r="M43" i="45" s="1"/>
  <c r="N43" i="45" s="1"/>
  <c r="K43" i="45"/>
  <c r="G43" i="45"/>
  <c r="E43" i="45"/>
  <c r="Q42" i="45"/>
  <c r="P42" i="45"/>
  <c r="L42" i="45"/>
  <c r="M42" i="45"/>
  <c r="N42" i="45"/>
  <c r="K42" i="45"/>
  <c r="G42" i="45"/>
  <c r="E42" i="45"/>
  <c r="Q41" i="45"/>
  <c r="P41" i="45"/>
  <c r="L41" i="45"/>
  <c r="M41" i="45" s="1"/>
  <c r="N41" i="45" s="1"/>
  <c r="K41" i="45"/>
  <c r="G41" i="45"/>
  <c r="E41" i="45"/>
  <c r="Q40" i="45"/>
  <c r="P40" i="45"/>
  <c r="L40" i="45"/>
  <c r="M40" i="45"/>
  <c r="N40" i="45" s="1"/>
  <c r="K40" i="45"/>
  <c r="G40" i="45"/>
  <c r="E40" i="45"/>
  <c r="Q39" i="45"/>
  <c r="P39" i="45"/>
  <c r="M39" i="45"/>
  <c r="N39" i="45"/>
  <c r="L39" i="45"/>
  <c r="Q38" i="45"/>
  <c r="P38" i="45"/>
  <c r="L38" i="45"/>
  <c r="M38" i="45" s="1"/>
  <c r="N38" i="45" s="1"/>
  <c r="K38" i="45"/>
  <c r="G38" i="45"/>
  <c r="E38" i="45"/>
  <c r="Q37" i="45"/>
  <c r="P37" i="45"/>
  <c r="L37" i="45"/>
  <c r="M37" i="45"/>
  <c r="N37" i="45" s="1"/>
  <c r="K37" i="45"/>
  <c r="G37" i="45"/>
  <c r="E37" i="45"/>
  <c r="Q36" i="45"/>
  <c r="P36" i="45"/>
  <c r="L36" i="45"/>
  <c r="M36" i="45" s="1"/>
  <c r="N36" i="45" s="1"/>
  <c r="K36" i="45"/>
  <c r="G36" i="45"/>
  <c r="E36" i="45"/>
  <c r="Q35" i="45"/>
  <c r="P35" i="45"/>
  <c r="L35" i="45"/>
  <c r="M35" i="45" s="1"/>
  <c r="N35" i="45" s="1"/>
  <c r="K35" i="45"/>
  <c r="G35" i="45"/>
  <c r="E35" i="45"/>
  <c r="Q34" i="45"/>
  <c r="P34" i="45"/>
  <c r="L34" i="45"/>
  <c r="M34" i="45" s="1"/>
  <c r="N34" i="45" s="1"/>
  <c r="K34" i="45"/>
  <c r="G34" i="45"/>
  <c r="E34" i="45"/>
  <c r="Q33" i="45"/>
  <c r="P33" i="45"/>
  <c r="L33" i="45"/>
  <c r="M33" i="45" s="1"/>
  <c r="N33" i="45" s="1"/>
  <c r="K33" i="45"/>
  <c r="G33" i="45"/>
  <c r="E33" i="45"/>
  <c r="Q32" i="45"/>
  <c r="P32" i="45"/>
  <c r="L32" i="45"/>
  <c r="M32" i="45" s="1"/>
  <c r="N32" i="45" s="1"/>
  <c r="K32" i="45"/>
  <c r="G32" i="45"/>
  <c r="E32" i="45"/>
  <c r="Q31" i="45"/>
  <c r="P31" i="45"/>
  <c r="L31" i="45"/>
  <c r="M31" i="45" s="1"/>
  <c r="N31" i="45" s="1"/>
  <c r="K31" i="45"/>
  <c r="G31" i="45"/>
  <c r="E31" i="45"/>
  <c r="Q30" i="45"/>
  <c r="P30" i="45"/>
  <c r="L30" i="45"/>
  <c r="M30" i="45"/>
  <c r="N30" i="45" s="1"/>
  <c r="K30" i="45"/>
  <c r="G30" i="45"/>
  <c r="E30" i="45"/>
  <c r="Q29" i="45"/>
  <c r="P29" i="45"/>
  <c r="L29" i="45"/>
  <c r="M29" i="45" s="1"/>
  <c r="N29" i="45" s="1"/>
  <c r="K29" i="45"/>
  <c r="G29" i="45"/>
  <c r="E29" i="45"/>
  <c r="Q28" i="45"/>
  <c r="P28" i="45"/>
  <c r="L28" i="45"/>
  <c r="M28" i="45"/>
  <c r="N28" i="45" s="1"/>
  <c r="K28" i="45"/>
  <c r="G28" i="45"/>
  <c r="E28" i="45"/>
  <c r="U27" i="45"/>
  <c r="T27" i="45"/>
  <c r="S27" i="45"/>
  <c r="Q27" i="45"/>
  <c r="P27" i="45"/>
  <c r="L27" i="45"/>
  <c r="M27" i="45" s="1"/>
  <c r="N27" i="45" s="1"/>
  <c r="K27" i="45"/>
  <c r="G27" i="45"/>
  <c r="E27" i="45"/>
  <c r="Q26" i="45"/>
  <c r="P26" i="45"/>
  <c r="L26" i="45"/>
  <c r="M26" i="45" s="1"/>
  <c r="N26" i="45" s="1"/>
  <c r="K26" i="45"/>
  <c r="G26" i="45"/>
  <c r="E26" i="45"/>
  <c r="Q25" i="45"/>
  <c r="P25" i="45"/>
  <c r="L25" i="45"/>
  <c r="M25" i="45"/>
  <c r="N25" i="45" s="1"/>
  <c r="K25" i="45"/>
  <c r="G25" i="45"/>
  <c r="E25" i="45"/>
  <c r="Q24" i="45"/>
  <c r="P24" i="45"/>
  <c r="L24" i="45"/>
  <c r="M24" i="45" s="1"/>
  <c r="N24" i="45" s="1"/>
  <c r="K24" i="45"/>
  <c r="G24" i="45"/>
  <c r="E24" i="45"/>
  <c r="U23" i="45"/>
  <c r="T23" i="45"/>
  <c r="S23" i="45"/>
  <c r="Q23" i="45"/>
  <c r="P23" i="45"/>
  <c r="L23" i="45"/>
  <c r="M23" i="45"/>
  <c r="N23" i="45" s="1"/>
  <c r="G23" i="45"/>
  <c r="E23" i="45"/>
  <c r="Q22" i="45"/>
  <c r="P22" i="45"/>
  <c r="L22" i="45"/>
  <c r="M22" i="45" s="1"/>
  <c r="N22" i="45" s="1"/>
  <c r="Q21" i="45"/>
  <c r="P21" i="45"/>
  <c r="L21" i="45"/>
  <c r="M21" i="45" s="1"/>
  <c r="N21" i="45" s="1"/>
  <c r="Q20" i="45"/>
  <c r="P20" i="45"/>
  <c r="L20" i="45"/>
  <c r="M20" i="45" s="1"/>
  <c r="N20" i="45" s="1"/>
  <c r="K20" i="45"/>
  <c r="G20" i="45"/>
  <c r="E20" i="45"/>
  <c r="Q19" i="45"/>
  <c r="P19" i="45"/>
  <c r="L19" i="45"/>
  <c r="M19" i="45" s="1"/>
  <c r="N19" i="45" s="1"/>
  <c r="K19" i="45"/>
  <c r="G19" i="45"/>
  <c r="E19" i="45"/>
  <c r="Q18" i="45"/>
  <c r="P18" i="45"/>
  <c r="L18" i="45"/>
  <c r="M18" i="45"/>
  <c r="N18" i="45"/>
  <c r="K18" i="45"/>
  <c r="G18" i="45"/>
  <c r="E18" i="45"/>
  <c r="Q17" i="45"/>
  <c r="P17" i="45"/>
  <c r="L17" i="45"/>
  <c r="M17" i="45"/>
  <c r="N17" i="45" s="1"/>
  <c r="K17" i="45"/>
  <c r="G17" i="45"/>
  <c r="E17" i="45"/>
  <c r="U16" i="45"/>
  <c r="T16" i="45"/>
  <c r="S16" i="45"/>
  <c r="Q16" i="45"/>
  <c r="P16" i="45"/>
  <c r="L16" i="45"/>
  <c r="M16" i="45" s="1"/>
  <c r="N16" i="45" s="1"/>
  <c r="K16" i="45"/>
  <c r="G16" i="45"/>
  <c r="E16" i="45"/>
  <c r="Q15" i="45"/>
  <c r="P15" i="45"/>
  <c r="L15" i="45"/>
  <c r="M15" i="45" s="1"/>
  <c r="N15" i="45" s="1"/>
  <c r="U14" i="45"/>
  <c r="T14" i="45"/>
  <c r="S14" i="45"/>
  <c r="Q14" i="45"/>
  <c r="P14" i="45"/>
  <c r="L14" i="45"/>
  <c r="M14" i="45" s="1"/>
  <c r="N14" i="45" s="1"/>
  <c r="K14" i="45"/>
  <c r="G14" i="45"/>
  <c r="E14" i="45"/>
  <c r="Q13" i="45"/>
  <c r="P13" i="45"/>
  <c r="L13" i="45"/>
  <c r="M13" i="45" s="1"/>
  <c r="N13" i="45" s="1"/>
  <c r="K13" i="45"/>
  <c r="G13" i="45"/>
  <c r="E13" i="45"/>
  <c r="Q12" i="45"/>
  <c r="P12" i="45"/>
  <c r="L12" i="45"/>
  <c r="M12" i="45" s="1"/>
  <c r="N12" i="45" s="1"/>
  <c r="K12" i="45"/>
  <c r="G12" i="45"/>
  <c r="E12" i="45"/>
  <c r="Q11" i="45"/>
  <c r="P11" i="45"/>
  <c r="L11" i="45"/>
  <c r="M11" i="45" s="1"/>
  <c r="N11" i="45" s="1"/>
  <c r="K11" i="45"/>
  <c r="G11" i="45"/>
  <c r="E11" i="45"/>
  <c r="Q10" i="45"/>
  <c r="P10" i="45"/>
  <c r="L10" i="45"/>
  <c r="M10" i="45" s="1"/>
  <c r="N10" i="45" s="1"/>
  <c r="K10" i="45"/>
  <c r="G10" i="45"/>
  <c r="E10" i="45"/>
  <c r="Q9" i="45"/>
  <c r="P9" i="45"/>
  <c r="L9" i="45"/>
  <c r="M9" i="45" s="1"/>
  <c r="N9" i="45" s="1"/>
  <c r="K9" i="45"/>
  <c r="G9" i="45"/>
  <c r="E9" i="45"/>
  <c r="Q8" i="45"/>
  <c r="P8" i="45"/>
  <c r="L8" i="45"/>
  <c r="M8" i="45" s="1"/>
  <c r="N8" i="45" s="1"/>
  <c r="K8" i="45"/>
  <c r="G8" i="45"/>
  <c r="E8" i="45"/>
  <c r="Q7" i="45"/>
  <c r="P7" i="45"/>
  <c r="L7" i="45"/>
  <c r="M7" i="45" s="1"/>
  <c r="N7" i="45" s="1"/>
  <c r="K7" i="45"/>
  <c r="G7" i="45"/>
  <c r="E7" i="45"/>
  <c r="Q6" i="45"/>
  <c r="P6" i="45"/>
  <c r="L6" i="45"/>
  <c r="M6" i="45"/>
  <c r="N6" i="45" s="1"/>
  <c r="K6" i="45"/>
  <c r="G6" i="45"/>
  <c r="E6" i="45"/>
  <c r="K23" i="43"/>
  <c r="L173" i="44"/>
  <c r="M173" i="44" s="1"/>
  <c r="N173" i="44" s="1"/>
  <c r="P173" i="44"/>
  <c r="Q173" i="44"/>
  <c r="J417" i="44"/>
  <c r="F417" i="44"/>
  <c r="D417" i="44"/>
  <c r="C417" i="44"/>
  <c r="U416" i="44"/>
  <c r="T416" i="44"/>
  <c r="S416" i="44"/>
  <c r="Q416" i="44"/>
  <c r="P416" i="44"/>
  <c r="L416" i="44"/>
  <c r="M416" i="44" s="1"/>
  <c r="N416" i="44" s="1"/>
  <c r="Q415" i="44"/>
  <c r="P415" i="44"/>
  <c r="L415" i="44"/>
  <c r="M415" i="44" s="1"/>
  <c r="N415" i="44" s="1"/>
  <c r="K415" i="44"/>
  <c r="G415" i="44"/>
  <c r="E415" i="44"/>
  <c r="Q414" i="44"/>
  <c r="P414" i="44"/>
  <c r="L414" i="44"/>
  <c r="M414" i="44" s="1"/>
  <c r="N414" i="44" s="1"/>
  <c r="Q413" i="44"/>
  <c r="P413" i="44"/>
  <c r="L413" i="44"/>
  <c r="M413" i="44" s="1"/>
  <c r="N413" i="44" s="1"/>
  <c r="K413" i="44"/>
  <c r="G413" i="44"/>
  <c r="E413" i="44"/>
  <c r="Q412" i="44"/>
  <c r="P412" i="44"/>
  <c r="L412" i="44"/>
  <c r="M412" i="44" s="1"/>
  <c r="N412" i="44" s="1"/>
  <c r="U411" i="44"/>
  <c r="T411" i="44"/>
  <c r="S411" i="44"/>
  <c r="Q411" i="44"/>
  <c r="P411" i="44"/>
  <c r="L411" i="44"/>
  <c r="M411" i="44" s="1"/>
  <c r="N411" i="44" s="1"/>
  <c r="Q410" i="44"/>
  <c r="P410" i="44"/>
  <c r="L410" i="44"/>
  <c r="M410" i="44"/>
  <c r="N410" i="44" s="1"/>
  <c r="K410" i="44"/>
  <c r="G410" i="44"/>
  <c r="E410" i="44"/>
  <c r="Q409" i="44"/>
  <c r="P409" i="44"/>
  <c r="L409" i="44"/>
  <c r="M409" i="44" s="1"/>
  <c r="N409" i="44" s="1"/>
  <c r="K409" i="44"/>
  <c r="G409" i="44"/>
  <c r="E409" i="44"/>
  <c r="U408" i="44"/>
  <c r="T408" i="44"/>
  <c r="S408" i="44"/>
  <c r="Q408" i="44"/>
  <c r="P408" i="44"/>
  <c r="L408" i="44"/>
  <c r="M408" i="44" s="1"/>
  <c r="N408" i="44" s="1"/>
  <c r="K408" i="44"/>
  <c r="G408" i="44"/>
  <c r="E408" i="44"/>
  <c r="Q407" i="44"/>
  <c r="P407" i="44"/>
  <c r="L407" i="44"/>
  <c r="M407" i="44" s="1"/>
  <c r="N407" i="44" s="1"/>
  <c r="U406" i="44"/>
  <c r="T406" i="44"/>
  <c r="S406" i="44"/>
  <c r="Q406" i="44"/>
  <c r="P406" i="44"/>
  <c r="L406" i="44"/>
  <c r="M406" i="44" s="1"/>
  <c r="N406" i="44"/>
  <c r="K406" i="44"/>
  <c r="G406" i="44"/>
  <c r="E406" i="44"/>
  <c r="Q405" i="44"/>
  <c r="P405" i="44"/>
  <c r="L405" i="44"/>
  <c r="M405" i="44" s="1"/>
  <c r="N405" i="44" s="1"/>
  <c r="K405" i="44"/>
  <c r="G405" i="44"/>
  <c r="E405" i="44"/>
  <c r="Q404" i="44"/>
  <c r="P404" i="44"/>
  <c r="L404" i="44"/>
  <c r="M404" i="44" s="1"/>
  <c r="N404" i="44" s="1"/>
  <c r="K404" i="44"/>
  <c r="G404" i="44"/>
  <c r="E404" i="44"/>
  <c r="Q403" i="44"/>
  <c r="P403" i="44"/>
  <c r="L403" i="44"/>
  <c r="M403" i="44" s="1"/>
  <c r="N403" i="44"/>
  <c r="K403" i="44"/>
  <c r="G403" i="44"/>
  <c r="E403" i="44"/>
  <c r="Q402" i="44"/>
  <c r="P402" i="44"/>
  <c r="L402" i="44"/>
  <c r="M402" i="44" s="1"/>
  <c r="N402" i="44" s="1"/>
  <c r="K402" i="44"/>
  <c r="G402" i="44"/>
  <c r="E402" i="44"/>
  <c r="Q401" i="44"/>
  <c r="P401" i="44"/>
  <c r="L401" i="44"/>
  <c r="M401" i="44" s="1"/>
  <c r="N401" i="44" s="1"/>
  <c r="K401" i="44"/>
  <c r="G401" i="44"/>
  <c r="E401" i="44"/>
  <c r="Q400" i="44"/>
  <c r="P400" i="44"/>
  <c r="L400" i="44"/>
  <c r="M400" i="44" s="1"/>
  <c r="N400" i="44" s="1"/>
  <c r="K400" i="44"/>
  <c r="G400" i="44"/>
  <c r="E400" i="44"/>
  <c r="Q399" i="44"/>
  <c r="P399" i="44"/>
  <c r="L399" i="44"/>
  <c r="M399" i="44" s="1"/>
  <c r="N399" i="44" s="1"/>
  <c r="K399" i="44"/>
  <c r="G399" i="44"/>
  <c r="E399" i="44"/>
  <c r="Q398" i="44"/>
  <c r="P398" i="44"/>
  <c r="L398" i="44"/>
  <c r="M398" i="44" s="1"/>
  <c r="N398" i="44" s="1"/>
  <c r="K398" i="44"/>
  <c r="G398" i="44"/>
  <c r="E398" i="44"/>
  <c r="Q397" i="44"/>
  <c r="P397" i="44"/>
  <c r="L397" i="44"/>
  <c r="M397" i="44" s="1"/>
  <c r="N397" i="44" s="1"/>
  <c r="K397" i="44"/>
  <c r="G397" i="44"/>
  <c r="E397" i="44"/>
  <c r="Q396" i="44"/>
  <c r="P396" i="44"/>
  <c r="L396" i="44"/>
  <c r="M396" i="44" s="1"/>
  <c r="N396" i="44" s="1"/>
  <c r="K396" i="44"/>
  <c r="G396" i="44"/>
  <c r="E396" i="44"/>
  <c r="Q395" i="44"/>
  <c r="P395" i="44"/>
  <c r="L395" i="44"/>
  <c r="M395" i="44" s="1"/>
  <c r="N395" i="44" s="1"/>
  <c r="K395" i="44"/>
  <c r="G395" i="44"/>
  <c r="E395" i="44"/>
  <c r="Q394" i="44"/>
  <c r="P394" i="44"/>
  <c r="L394" i="44"/>
  <c r="M394" i="44" s="1"/>
  <c r="N394" i="44" s="1"/>
  <c r="K394" i="44"/>
  <c r="G394" i="44"/>
  <c r="E394" i="44"/>
  <c r="Q393" i="44"/>
  <c r="P393" i="44"/>
  <c r="L393" i="44"/>
  <c r="M393" i="44" s="1"/>
  <c r="N393" i="44" s="1"/>
  <c r="K393" i="44"/>
  <c r="G393" i="44"/>
  <c r="E393" i="44"/>
  <c r="Q392" i="44"/>
  <c r="P392" i="44"/>
  <c r="L392" i="44"/>
  <c r="M392" i="44" s="1"/>
  <c r="N392" i="44" s="1"/>
  <c r="K392" i="44"/>
  <c r="G392" i="44"/>
  <c r="E392" i="44"/>
  <c r="Q391" i="44"/>
  <c r="P391" i="44"/>
  <c r="L391" i="44"/>
  <c r="M391" i="44" s="1"/>
  <c r="N391" i="44" s="1"/>
  <c r="K391" i="44"/>
  <c r="G391" i="44"/>
  <c r="E391" i="44"/>
  <c r="U390" i="44"/>
  <c r="T390" i="44"/>
  <c r="S390" i="44"/>
  <c r="Q390" i="44"/>
  <c r="P390" i="44"/>
  <c r="L390" i="44"/>
  <c r="M390" i="44"/>
  <c r="N390" i="44" s="1"/>
  <c r="K390" i="44"/>
  <c r="G390" i="44"/>
  <c r="E390" i="44"/>
  <c r="Q389" i="44"/>
  <c r="P389" i="44"/>
  <c r="L389" i="44"/>
  <c r="M389" i="44" s="1"/>
  <c r="N389" i="44" s="1"/>
  <c r="Q388" i="44"/>
  <c r="P388" i="44"/>
  <c r="L388" i="44"/>
  <c r="M388" i="44" s="1"/>
  <c r="N388" i="44" s="1"/>
  <c r="K388" i="44"/>
  <c r="G388" i="44"/>
  <c r="E388" i="44"/>
  <c r="U387" i="44"/>
  <c r="T387" i="44"/>
  <c r="S387" i="44"/>
  <c r="Q387" i="44"/>
  <c r="P387" i="44"/>
  <c r="L387" i="44"/>
  <c r="M387" i="44"/>
  <c r="N387" i="44" s="1"/>
  <c r="K387" i="44"/>
  <c r="G387" i="44"/>
  <c r="E387" i="44"/>
  <c r="U386" i="44"/>
  <c r="T386" i="44"/>
  <c r="S386" i="44"/>
  <c r="Q386" i="44"/>
  <c r="P386" i="44"/>
  <c r="L386" i="44"/>
  <c r="M386" i="44" s="1"/>
  <c r="N386" i="44" s="1"/>
  <c r="K386" i="44"/>
  <c r="G386" i="44"/>
  <c r="E386" i="44"/>
  <c r="Q385" i="44"/>
  <c r="P385" i="44"/>
  <c r="L385" i="44"/>
  <c r="M385" i="44" s="1"/>
  <c r="N385" i="44" s="1"/>
  <c r="K385" i="44"/>
  <c r="G385" i="44"/>
  <c r="E385" i="44"/>
  <c r="U384" i="44"/>
  <c r="T384" i="44"/>
  <c r="S384" i="44"/>
  <c r="Q384" i="44"/>
  <c r="P384" i="44"/>
  <c r="L384" i="44"/>
  <c r="M384" i="44" s="1"/>
  <c r="N384" i="44" s="1"/>
  <c r="K384" i="44"/>
  <c r="G384" i="44"/>
  <c r="E384" i="44"/>
  <c r="Q383" i="44"/>
  <c r="P383" i="44"/>
  <c r="L383" i="44"/>
  <c r="M383" i="44"/>
  <c r="N383" i="44" s="1"/>
  <c r="K383" i="44"/>
  <c r="G383" i="44"/>
  <c r="E383" i="44"/>
  <c r="Q382" i="44"/>
  <c r="P382" i="44"/>
  <c r="L382" i="44"/>
  <c r="M382" i="44" s="1"/>
  <c r="N382" i="44" s="1"/>
  <c r="Q381" i="44"/>
  <c r="P381" i="44"/>
  <c r="L381" i="44"/>
  <c r="M381" i="44" s="1"/>
  <c r="N381" i="44" s="1"/>
  <c r="K381" i="44"/>
  <c r="G381" i="44"/>
  <c r="E381" i="44"/>
  <c r="Q380" i="44"/>
  <c r="P380" i="44"/>
  <c r="L380" i="44"/>
  <c r="M380" i="44"/>
  <c r="N380" i="44" s="1"/>
  <c r="K380" i="44"/>
  <c r="G380" i="44"/>
  <c r="E380" i="44"/>
  <c r="U379" i="44"/>
  <c r="T379" i="44"/>
  <c r="S379" i="44"/>
  <c r="Q379" i="44"/>
  <c r="P379" i="44"/>
  <c r="L379" i="44"/>
  <c r="M379" i="44" s="1"/>
  <c r="N379" i="44" s="1"/>
  <c r="K379" i="44"/>
  <c r="G379" i="44"/>
  <c r="E379" i="44"/>
  <c r="Q378" i="44"/>
  <c r="P378" i="44"/>
  <c r="L378" i="44"/>
  <c r="M378" i="44" s="1"/>
  <c r="N378" i="44" s="1"/>
  <c r="K378" i="44"/>
  <c r="G378" i="44"/>
  <c r="E378" i="44"/>
  <c r="Q377" i="44"/>
  <c r="P377" i="44"/>
  <c r="L377" i="44"/>
  <c r="M377" i="44" s="1"/>
  <c r="N377" i="44" s="1"/>
  <c r="K377" i="44"/>
  <c r="G377" i="44"/>
  <c r="E377" i="44"/>
  <c r="U376" i="44"/>
  <c r="T376" i="44"/>
  <c r="S376" i="44"/>
  <c r="Q376" i="44"/>
  <c r="P376" i="44"/>
  <c r="L376" i="44"/>
  <c r="M376" i="44" s="1"/>
  <c r="N376" i="44" s="1"/>
  <c r="K376" i="44"/>
  <c r="G376" i="44"/>
  <c r="E376" i="44"/>
  <c r="Q375" i="44"/>
  <c r="P375" i="44"/>
  <c r="L375" i="44"/>
  <c r="M375" i="44" s="1"/>
  <c r="N375" i="44" s="1"/>
  <c r="K375" i="44"/>
  <c r="G375" i="44"/>
  <c r="E375" i="44"/>
  <c r="Q374" i="44"/>
  <c r="P374" i="44"/>
  <c r="L374" i="44"/>
  <c r="M374" i="44" s="1"/>
  <c r="N374" i="44" s="1"/>
  <c r="K374" i="44"/>
  <c r="G374" i="44"/>
  <c r="E374" i="44"/>
  <c r="U373" i="44"/>
  <c r="T373" i="44"/>
  <c r="S373" i="44"/>
  <c r="Q373" i="44"/>
  <c r="P373" i="44"/>
  <c r="L373" i="44"/>
  <c r="M373" i="44" s="1"/>
  <c r="N373" i="44" s="1"/>
  <c r="K373" i="44"/>
  <c r="G373" i="44"/>
  <c r="E373" i="44"/>
  <c r="Q372" i="44"/>
  <c r="P372" i="44"/>
  <c r="L372" i="44"/>
  <c r="M372" i="44" s="1"/>
  <c r="N372" i="44" s="1"/>
  <c r="K372" i="44"/>
  <c r="G372" i="44"/>
  <c r="E372" i="44"/>
  <c r="Q371" i="44"/>
  <c r="P371" i="44"/>
  <c r="L371" i="44"/>
  <c r="M371" i="44" s="1"/>
  <c r="N371" i="44" s="1"/>
  <c r="K371" i="44"/>
  <c r="G371" i="44"/>
  <c r="E371" i="44"/>
  <c r="Q370" i="44"/>
  <c r="P370" i="44"/>
  <c r="L370" i="44"/>
  <c r="M370" i="44" s="1"/>
  <c r="N370" i="44" s="1"/>
  <c r="K370" i="44"/>
  <c r="G370" i="44"/>
  <c r="E370" i="44"/>
  <c r="Q369" i="44"/>
  <c r="P369" i="44"/>
  <c r="L369" i="44"/>
  <c r="M369" i="44" s="1"/>
  <c r="N369" i="44" s="1"/>
  <c r="K369" i="44"/>
  <c r="G369" i="44"/>
  <c r="E369" i="44"/>
  <c r="Q368" i="44"/>
  <c r="P368" i="44"/>
  <c r="L368" i="44"/>
  <c r="M368" i="44" s="1"/>
  <c r="N368" i="44" s="1"/>
  <c r="K368" i="44"/>
  <c r="G368" i="44"/>
  <c r="E368" i="44"/>
  <c r="Q367" i="44"/>
  <c r="P367" i="44"/>
  <c r="L367" i="44"/>
  <c r="M367" i="44"/>
  <c r="N367" i="44" s="1"/>
  <c r="K367" i="44"/>
  <c r="G367" i="44"/>
  <c r="E367" i="44"/>
  <c r="U366" i="44"/>
  <c r="T366" i="44"/>
  <c r="S366" i="44"/>
  <c r="Q366" i="44"/>
  <c r="P366" i="44"/>
  <c r="L366" i="44"/>
  <c r="M366" i="44" s="1"/>
  <c r="N366" i="44" s="1"/>
  <c r="K366" i="44"/>
  <c r="G366" i="44"/>
  <c r="E366" i="44"/>
  <c r="Q365" i="44"/>
  <c r="P365" i="44"/>
  <c r="L365" i="44"/>
  <c r="M365" i="44" s="1"/>
  <c r="N365" i="44" s="1"/>
  <c r="K365" i="44"/>
  <c r="G365" i="44"/>
  <c r="E365" i="44"/>
  <c r="Q364" i="44"/>
  <c r="P364" i="44"/>
  <c r="L364" i="44"/>
  <c r="M364" i="44" s="1"/>
  <c r="N364" i="44" s="1"/>
  <c r="K364" i="44"/>
  <c r="G364" i="44"/>
  <c r="E364" i="44"/>
  <c r="U363" i="44"/>
  <c r="T363" i="44"/>
  <c r="S363" i="44"/>
  <c r="Q363" i="44"/>
  <c r="P363" i="44"/>
  <c r="L363" i="44"/>
  <c r="M363" i="44" s="1"/>
  <c r="N363" i="44" s="1"/>
  <c r="K363" i="44"/>
  <c r="G363" i="44"/>
  <c r="E363" i="44"/>
  <c r="Q362" i="44"/>
  <c r="P362" i="44"/>
  <c r="L362" i="44"/>
  <c r="M362" i="44"/>
  <c r="N362" i="44" s="1"/>
  <c r="K362" i="44"/>
  <c r="G362" i="44"/>
  <c r="E362" i="44"/>
  <c r="Q361" i="44"/>
  <c r="P361" i="44"/>
  <c r="L361" i="44"/>
  <c r="M361" i="44" s="1"/>
  <c r="N361" i="44"/>
  <c r="K361" i="44"/>
  <c r="G361" i="44"/>
  <c r="E361" i="44"/>
  <c r="U360" i="44"/>
  <c r="T360" i="44"/>
  <c r="S360" i="44"/>
  <c r="Q360" i="44"/>
  <c r="P360" i="44"/>
  <c r="L360" i="44"/>
  <c r="M360" i="44" s="1"/>
  <c r="N360" i="44" s="1"/>
  <c r="K360" i="44"/>
  <c r="G360" i="44"/>
  <c r="E360" i="44"/>
  <c r="Q359" i="44"/>
  <c r="P359" i="44"/>
  <c r="L359" i="44"/>
  <c r="M359" i="44" s="1"/>
  <c r="N359" i="44" s="1"/>
  <c r="K359" i="44"/>
  <c r="G359" i="44"/>
  <c r="E359" i="44"/>
  <c r="Q358" i="44"/>
  <c r="P358" i="44"/>
  <c r="L358" i="44"/>
  <c r="M358" i="44" s="1"/>
  <c r="N358" i="44" s="1"/>
  <c r="K358" i="44"/>
  <c r="G358" i="44"/>
  <c r="E358" i="44"/>
  <c r="Q357" i="44"/>
  <c r="P357" i="44"/>
  <c r="L357" i="44"/>
  <c r="M357" i="44" s="1"/>
  <c r="N357" i="44" s="1"/>
  <c r="K357" i="44"/>
  <c r="G357" i="44"/>
  <c r="E357" i="44"/>
  <c r="Q356" i="44"/>
  <c r="P356" i="44"/>
  <c r="L356" i="44"/>
  <c r="M356" i="44" s="1"/>
  <c r="N356" i="44" s="1"/>
  <c r="K356" i="44"/>
  <c r="G356" i="44"/>
  <c r="E356" i="44"/>
  <c r="U355" i="44"/>
  <c r="T355" i="44"/>
  <c r="S355" i="44"/>
  <c r="Q355" i="44"/>
  <c r="P355" i="44"/>
  <c r="L355" i="44"/>
  <c r="M355" i="44" s="1"/>
  <c r="N355" i="44" s="1"/>
  <c r="K355" i="44"/>
  <c r="G355" i="44"/>
  <c r="E355" i="44"/>
  <c r="Q354" i="44"/>
  <c r="P354" i="44"/>
  <c r="L354" i="44"/>
  <c r="M354" i="44" s="1"/>
  <c r="N354" i="44" s="1"/>
  <c r="K354" i="44"/>
  <c r="G354" i="44"/>
  <c r="E354" i="44"/>
  <c r="Q353" i="44"/>
  <c r="P353" i="44"/>
  <c r="L353" i="44"/>
  <c r="M353" i="44" s="1"/>
  <c r="N353" i="44" s="1"/>
  <c r="K353" i="44"/>
  <c r="G353" i="44"/>
  <c r="E353" i="44"/>
  <c r="Q352" i="44"/>
  <c r="P352" i="44"/>
  <c r="L352" i="44"/>
  <c r="M352" i="44" s="1"/>
  <c r="N352" i="44" s="1"/>
  <c r="K352" i="44"/>
  <c r="G352" i="44"/>
  <c r="E352" i="44"/>
  <c r="Q351" i="44"/>
  <c r="P351" i="44"/>
  <c r="L351" i="44"/>
  <c r="M351" i="44" s="1"/>
  <c r="N351" i="44" s="1"/>
  <c r="K351" i="44"/>
  <c r="G351" i="44"/>
  <c r="E351" i="44"/>
  <c r="Q350" i="44"/>
  <c r="P350" i="44"/>
  <c r="L350" i="44"/>
  <c r="M350" i="44" s="1"/>
  <c r="N350" i="44" s="1"/>
  <c r="K350" i="44"/>
  <c r="G350" i="44"/>
  <c r="E350" i="44"/>
  <c r="Q349" i="44"/>
  <c r="P349" i="44"/>
  <c r="L349" i="44"/>
  <c r="M349" i="44"/>
  <c r="N349" i="44" s="1"/>
  <c r="K349" i="44"/>
  <c r="G349" i="44"/>
  <c r="E349" i="44"/>
  <c r="Q348" i="44"/>
  <c r="P348" i="44"/>
  <c r="L348" i="44"/>
  <c r="M348" i="44"/>
  <c r="N348" i="44" s="1"/>
  <c r="K348" i="44"/>
  <c r="G348" i="44"/>
  <c r="E348" i="44"/>
  <c r="Q347" i="44"/>
  <c r="P347" i="44"/>
  <c r="L347" i="44"/>
  <c r="M347" i="44" s="1"/>
  <c r="N347" i="44" s="1"/>
  <c r="K347" i="44"/>
  <c r="G347" i="44"/>
  <c r="E347" i="44"/>
  <c r="Q346" i="44"/>
  <c r="P346" i="44"/>
  <c r="L346" i="44"/>
  <c r="M346" i="44" s="1"/>
  <c r="N346" i="44" s="1"/>
  <c r="K346" i="44"/>
  <c r="G346" i="44"/>
  <c r="E346" i="44"/>
  <c r="Q345" i="44"/>
  <c r="P345" i="44"/>
  <c r="L345" i="44"/>
  <c r="M345" i="44" s="1"/>
  <c r="N345" i="44" s="1"/>
  <c r="K345" i="44"/>
  <c r="G345" i="44"/>
  <c r="E345" i="44"/>
  <c r="Q344" i="44"/>
  <c r="P344" i="44"/>
  <c r="L344" i="44"/>
  <c r="M344" i="44" s="1"/>
  <c r="N344" i="44" s="1"/>
  <c r="K344" i="44"/>
  <c r="G344" i="44"/>
  <c r="E344" i="44"/>
  <c r="Q343" i="44"/>
  <c r="P343" i="44"/>
  <c r="L343" i="44"/>
  <c r="M343" i="44" s="1"/>
  <c r="N343" i="44" s="1"/>
  <c r="K343" i="44"/>
  <c r="G343" i="44"/>
  <c r="E343" i="44"/>
  <c r="Q342" i="44"/>
  <c r="P342" i="44"/>
  <c r="L342" i="44"/>
  <c r="M342" i="44" s="1"/>
  <c r="N342" i="44" s="1"/>
  <c r="K342" i="44"/>
  <c r="G342" i="44"/>
  <c r="E342" i="44"/>
  <c r="Q341" i="44"/>
  <c r="P341" i="44"/>
  <c r="L341" i="44"/>
  <c r="M341" i="44" s="1"/>
  <c r="N341" i="44" s="1"/>
  <c r="K341" i="44"/>
  <c r="G341" i="44"/>
  <c r="E341" i="44"/>
  <c r="Q340" i="44"/>
  <c r="P340" i="44"/>
  <c r="L340" i="44"/>
  <c r="M340" i="44" s="1"/>
  <c r="N340" i="44" s="1"/>
  <c r="K340" i="44"/>
  <c r="G340" i="44"/>
  <c r="E340" i="44"/>
  <c r="Q339" i="44"/>
  <c r="P339" i="44"/>
  <c r="L339" i="44"/>
  <c r="M339" i="44" s="1"/>
  <c r="N339" i="44" s="1"/>
  <c r="K339" i="44"/>
  <c r="G339" i="44"/>
  <c r="E339" i="44"/>
  <c r="U338" i="44"/>
  <c r="T338" i="44"/>
  <c r="S338" i="44"/>
  <c r="Q338" i="44"/>
  <c r="P338" i="44"/>
  <c r="L338" i="44"/>
  <c r="M338" i="44" s="1"/>
  <c r="N338" i="44" s="1"/>
  <c r="K338" i="44"/>
  <c r="G338" i="44"/>
  <c r="E338" i="44"/>
  <c r="Q337" i="44"/>
  <c r="P337" i="44"/>
  <c r="L337" i="44"/>
  <c r="M337" i="44" s="1"/>
  <c r="N337" i="44" s="1"/>
  <c r="K337" i="44"/>
  <c r="G337" i="44"/>
  <c r="E337" i="44"/>
  <c r="Q336" i="44"/>
  <c r="P336" i="44"/>
  <c r="L336" i="44"/>
  <c r="M336" i="44"/>
  <c r="N336" i="44" s="1"/>
  <c r="K336" i="44"/>
  <c r="G336" i="44"/>
  <c r="E336" i="44"/>
  <c r="Q335" i="44"/>
  <c r="P335" i="44"/>
  <c r="L335" i="44"/>
  <c r="M335" i="44" s="1"/>
  <c r="N335" i="44" s="1"/>
  <c r="K335" i="44"/>
  <c r="G335" i="44"/>
  <c r="E335" i="44"/>
  <c r="Q334" i="44"/>
  <c r="P334" i="44"/>
  <c r="L334" i="44"/>
  <c r="M334" i="44"/>
  <c r="N334" i="44" s="1"/>
  <c r="K334" i="44"/>
  <c r="G334" i="44"/>
  <c r="E334" i="44"/>
  <c r="Q333" i="44"/>
  <c r="P333" i="44"/>
  <c r="L333" i="44"/>
  <c r="M333" i="44" s="1"/>
  <c r="N333" i="44" s="1"/>
  <c r="K333" i="44"/>
  <c r="G333" i="44"/>
  <c r="E333" i="44"/>
  <c r="Q332" i="44"/>
  <c r="P332" i="44"/>
  <c r="L332" i="44"/>
  <c r="M332" i="44" s="1"/>
  <c r="N332" i="44" s="1"/>
  <c r="K332" i="44"/>
  <c r="G332" i="44"/>
  <c r="E332" i="44"/>
  <c r="Q331" i="44"/>
  <c r="P331" i="44"/>
  <c r="L331" i="44"/>
  <c r="M331" i="44"/>
  <c r="N331" i="44" s="1"/>
  <c r="K331" i="44"/>
  <c r="G331" i="44"/>
  <c r="E331" i="44"/>
  <c r="Q330" i="44"/>
  <c r="P330" i="44"/>
  <c r="L330" i="44"/>
  <c r="M330" i="44"/>
  <c r="N330" i="44" s="1"/>
  <c r="K330" i="44"/>
  <c r="G330" i="44"/>
  <c r="E330" i="44"/>
  <c r="Q329" i="44"/>
  <c r="P329" i="44"/>
  <c r="L329" i="44"/>
  <c r="M329" i="44" s="1"/>
  <c r="N329" i="44" s="1"/>
  <c r="K329" i="44"/>
  <c r="G329" i="44"/>
  <c r="E329" i="44"/>
  <c r="Q328" i="44"/>
  <c r="P328" i="44"/>
  <c r="L328" i="44"/>
  <c r="M328" i="44"/>
  <c r="N328" i="44" s="1"/>
  <c r="K328" i="44"/>
  <c r="G328" i="44"/>
  <c r="E328" i="44"/>
  <c r="Q327" i="44"/>
  <c r="P327" i="44"/>
  <c r="L327" i="44"/>
  <c r="M327" i="44" s="1"/>
  <c r="N327" i="44"/>
  <c r="K327" i="44"/>
  <c r="G327" i="44"/>
  <c r="E327" i="44"/>
  <c r="Q326" i="44"/>
  <c r="P326" i="44"/>
  <c r="L326" i="44"/>
  <c r="M326" i="44" s="1"/>
  <c r="N326" i="44" s="1"/>
  <c r="K326" i="44"/>
  <c r="G326" i="44"/>
  <c r="E326" i="44"/>
  <c r="Q325" i="44"/>
  <c r="P325" i="44"/>
  <c r="L325" i="44"/>
  <c r="M325" i="44"/>
  <c r="N325" i="44" s="1"/>
  <c r="K325" i="44"/>
  <c r="G325" i="44"/>
  <c r="E325" i="44"/>
  <c r="Q324" i="44"/>
  <c r="P324" i="44"/>
  <c r="L324" i="44"/>
  <c r="M324" i="44" s="1"/>
  <c r="N324" i="44" s="1"/>
  <c r="K324" i="44"/>
  <c r="G324" i="44"/>
  <c r="E324" i="44"/>
  <c r="Q323" i="44"/>
  <c r="P323" i="44"/>
  <c r="L323" i="44"/>
  <c r="M323" i="44" s="1"/>
  <c r="N323" i="44"/>
  <c r="K323" i="44"/>
  <c r="G323" i="44"/>
  <c r="E323" i="44"/>
  <c r="Q322" i="44"/>
  <c r="P322" i="44"/>
  <c r="L322" i="44"/>
  <c r="M322" i="44"/>
  <c r="N322" i="44" s="1"/>
  <c r="K322" i="44"/>
  <c r="G322" i="44"/>
  <c r="E322" i="44"/>
  <c r="Q321" i="44"/>
  <c r="P321" i="44"/>
  <c r="L321" i="44"/>
  <c r="M321" i="44"/>
  <c r="N321" i="44" s="1"/>
  <c r="K321" i="44"/>
  <c r="G321" i="44"/>
  <c r="E321" i="44"/>
  <c r="Q320" i="44"/>
  <c r="P320" i="44"/>
  <c r="L320" i="44"/>
  <c r="M320" i="44" s="1"/>
  <c r="N320" i="44" s="1"/>
  <c r="K320" i="44"/>
  <c r="G320" i="44"/>
  <c r="E320" i="44"/>
  <c r="Q319" i="44"/>
  <c r="P319" i="44"/>
  <c r="L319" i="44"/>
  <c r="M319" i="44"/>
  <c r="N319" i="44" s="1"/>
  <c r="K319" i="44"/>
  <c r="G319" i="44"/>
  <c r="E319" i="44"/>
  <c r="Q318" i="44"/>
  <c r="P318" i="44"/>
  <c r="L318" i="44"/>
  <c r="M318" i="44" s="1"/>
  <c r="K318" i="44"/>
  <c r="G318" i="44"/>
  <c r="E318" i="44"/>
  <c r="Q317" i="44"/>
  <c r="P317" i="44"/>
  <c r="L317" i="44"/>
  <c r="M317" i="44" s="1"/>
  <c r="N317" i="44" s="1"/>
  <c r="K317" i="44"/>
  <c r="G317" i="44"/>
  <c r="E317" i="44"/>
  <c r="Q316" i="44"/>
  <c r="P316" i="44"/>
  <c r="L316" i="44"/>
  <c r="M316" i="44" s="1"/>
  <c r="N316" i="44" s="1"/>
  <c r="K316" i="44"/>
  <c r="G316" i="44"/>
  <c r="E316" i="44"/>
  <c r="Q315" i="44"/>
  <c r="P315" i="44"/>
  <c r="L315" i="44"/>
  <c r="M315" i="44"/>
  <c r="N315" i="44" s="1"/>
  <c r="K315" i="44"/>
  <c r="G315" i="44"/>
  <c r="E315" i="44"/>
  <c r="U314" i="44"/>
  <c r="T314" i="44"/>
  <c r="S314" i="44"/>
  <c r="Q314" i="44"/>
  <c r="P314" i="44"/>
  <c r="L314" i="44"/>
  <c r="M314" i="44" s="1"/>
  <c r="N314" i="44" s="1"/>
  <c r="K314" i="44"/>
  <c r="G314" i="44"/>
  <c r="E314" i="44"/>
  <c r="Q313" i="44"/>
  <c r="P313" i="44"/>
  <c r="L313" i="44"/>
  <c r="M313" i="44" s="1"/>
  <c r="N313" i="44" s="1"/>
  <c r="K313" i="44"/>
  <c r="G313" i="44"/>
  <c r="E313" i="44"/>
  <c r="Q312" i="44"/>
  <c r="P312" i="44"/>
  <c r="L312" i="44"/>
  <c r="M312" i="44" s="1"/>
  <c r="N312" i="44" s="1"/>
  <c r="K312" i="44"/>
  <c r="G312" i="44"/>
  <c r="E312" i="44"/>
  <c r="Q311" i="44"/>
  <c r="P311" i="44"/>
  <c r="L311" i="44"/>
  <c r="M311" i="44"/>
  <c r="N311" i="44" s="1"/>
  <c r="K311" i="44"/>
  <c r="G311" i="44"/>
  <c r="E311" i="44"/>
  <c r="Q310" i="44"/>
  <c r="P310" i="44"/>
  <c r="L310" i="44"/>
  <c r="M310" i="44" s="1"/>
  <c r="N310" i="44" s="1"/>
  <c r="K310" i="44"/>
  <c r="G310" i="44"/>
  <c r="E310" i="44"/>
  <c r="Q309" i="44"/>
  <c r="P309" i="44"/>
  <c r="L309" i="44"/>
  <c r="M309" i="44" s="1"/>
  <c r="N309" i="44" s="1"/>
  <c r="K309" i="44"/>
  <c r="G309" i="44"/>
  <c r="E309" i="44"/>
  <c r="U308" i="44"/>
  <c r="T308" i="44"/>
  <c r="S308" i="44"/>
  <c r="Q308" i="44"/>
  <c r="P308" i="44"/>
  <c r="L308" i="44"/>
  <c r="M308" i="44" s="1"/>
  <c r="N308" i="44" s="1"/>
  <c r="K308" i="44"/>
  <c r="G308" i="44"/>
  <c r="E308" i="44"/>
  <c r="Q307" i="44"/>
  <c r="P307" i="44"/>
  <c r="L307" i="44"/>
  <c r="M307" i="44"/>
  <c r="N307" i="44"/>
  <c r="K307" i="44"/>
  <c r="G307" i="44"/>
  <c r="E307" i="44"/>
  <c r="Q306" i="44"/>
  <c r="P306" i="44"/>
  <c r="L306" i="44"/>
  <c r="M306" i="44" s="1"/>
  <c r="N306" i="44" s="1"/>
  <c r="K306" i="44"/>
  <c r="G306" i="44"/>
  <c r="E306" i="44"/>
  <c r="Q305" i="44"/>
  <c r="P305" i="44"/>
  <c r="L305" i="44"/>
  <c r="M305" i="44" s="1"/>
  <c r="N305" i="44" s="1"/>
  <c r="K305" i="44"/>
  <c r="G305" i="44"/>
  <c r="E305" i="44"/>
  <c r="Q304" i="44"/>
  <c r="P304" i="44"/>
  <c r="L304" i="44"/>
  <c r="M304" i="44" s="1"/>
  <c r="N304" i="44" s="1"/>
  <c r="K304" i="44"/>
  <c r="G304" i="44"/>
  <c r="E304" i="44"/>
  <c r="Q303" i="44"/>
  <c r="P303" i="44"/>
  <c r="L303" i="44"/>
  <c r="M303" i="44" s="1"/>
  <c r="N303" i="44" s="1"/>
  <c r="K303" i="44"/>
  <c r="G303" i="44"/>
  <c r="E303" i="44"/>
  <c r="Q302" i="44"/>
  <c r="P302" i="44"/>
  <c r="L302" i="44"/>
  <c r="M302" i="44"/>
  <c r="N302" i="44" s="1"/>
  <c r="K302" i="44"/>
  <c r="G302" i="44"/>
  <c r="E302" i="44"/>
  <c r="Q301" i="44"/>
  <c r="P301" i="44"/>
  <c r="L301" i="44"/>
  <c r="M301" i="44" s="1"/>
  <c r="N301" i="44" s="1"/>
  <c r="K301" i="44"/>
  <c r="G301" i="44"/>
  <c r="E301" i="44"/>
  <c r="Q300" i="44"/>
  <c r="P300" i="44"/>
  <c r="L300" i="44"/>
  <c r="M300" i="44" s="1"/>
  <c r="N300" i="44" s="1"/>
  <c r="K300" i="44"/>
  <c r="G300" i="44"/>
  <c r="E300" i="44"/>
  <c r="Q299" i="44"/>
  <c r="P299" i="44"/>
  <c r="L299" i="44"/>
  <c r="M299" i="44"/>
  <c r="N299" i="44" s="1"/>
  <c r="K299" i="44"/>
  <c r="G299" i="44"/>
  <c r="E299" i="44"/>
  <c r="Q298" i="44"/>
  <c r="P298" i="44"/>
  <c r="L298" i="44"/>
  <c r="M298" i="44" s="1"/>
  <c r="N298" i="44"/>
  <c r="K298" i="44"/>
  <c r="G298" i="44"/>
  <c r="E298" i="44"/>
  <c r="Q297" i="44"/>
  <c r="P297" i="44"/>
  <c r="L297" i="44"/>
  <c r="M297" i="44" s="1"/>
  <c r="N297" i="44" s="1"/>
  <c r="K297" i="44"/>
  <c r="G297" i="44"/>
  <c r="E297" i="44"/>
  <c r="Q296" i="44"/>
  <c r="P296" i="44"/>
  <c r="L296" i="44"/>
  <c r="M296" i="44" s="1"/>
  <c r="N296" i="44" s="1"/>
  <c r="K296" i="44"/>
  <c r="G296" i="44"/>
  <c r="E296" i="44"/>
  <c r="Q295" i="44"/>
  <c r="P295" i="44"/>
  <c r="L295" i="44"/>
  <c r="M295" i="44" s="1"/>
  <c r="N295" i="44" s="1"/>
  <c r="K295" i="44"/>
  <c r="G295" i="44"/>
  <c r="E295" i="44"/>
  <c r="Q294" i="44"/>
  <c r="P294" i="44"/>
  <c r="L294" i="44"/>
  <c r="M294" i="44" s="1"/>
  <c r="N294" i="44" s="1"/>
  <c r="K294" i="44"/>
  <c r="G294" i="44"/>
  <c r="E294" i="44"/>
  <c r="Q293" i="44"/>
  <c r="P293" i="44"/>
  <c r="L293" i="44"/>
  <c r="M293" i="44" s="1"/>
  <c r="N293" i="44" s="1"/>
  <c r="K293" i="44"/>
  <c r="G293" i="44"/>
  <c r="E293" i="44"/>
  <c r="Q292" i="44"/>
  <c r="P292" i="44"/>
  <c r="L292" i="44"/>
  <c r="M292" i="44" s="1"/>
  <c r="N292" i="44" s="1"/>
  <c r="K292" i="44"/>
  <c r="G292" i="44"/>
  <c r="E292" i="44"/>
  <c r="Q291" i="44"/>
  <c r="P291" i="44"/>
  <c r="L291" i="44"/>
  <c r="M291" i="44" s="1"/>
  <c r="N291" i="44" s="1"/>
  <c r="K291" i="44"/>
  <c r="G291" i="44"/>
  <c r="E291" i="44"/>
  <c r="Q290" i="44"/>
  <c r="P290" i="44"/>
  <c r="L290" i="44"/>
  <c r="M290" i="44" s="1"/>
  <c r="N290" i="44" s="1"/>
  <c r="K290" i="44"/>
  <c r="G290" i="44"/>
  <c r="E290" i="44"/>
  <c r="Q289" i="44"/>
  <c r="P289" i="44"/>
  <c r="L289" i="44"/>
  <c r="M289" i="44"/>
  <c r="N289" i="44" s="1"/>
  <c r="K289" i="44"/>
  <c r="G289" i="44"/>
  <c r="E289" i="44"/>
  <c r="Q288" i="44"/>
  <c r="P288" i="44"/>
  <c r="L288" i="44"/>
  <c r="M288" i="44" s="1"/>
  <c r="N288" i="44" s="1"/>
  <c r="K288" i="44"/>
  <c r="G288" i="44"/>
  <c r="E288" i="44"/>
  <c r="Q287" i="44"/>
  <c r="P287" i="44"/>
  <c r="L287" i="44"/>
  <c r="M287" i="44" s="1"/>
  <c r="N287" i="44" s="1"/>
  <c r="K287" i="44"/>
  <c r="G287" i="44"/>
  <c r="E287" i="44"/>
  <c r="Q286" i="44"/>
  <c r="P286" i="44"/>
  <c r="L286" i="44"/>
  <c r="M286" i="44" s="1"/>
  <c r="N286" i="44" s="1"/>
  <c r="K286" i="44"/>
  <c r="G286" i="44"/>
  <c r="E286" i="44"/>
  <c r="Q285" i="44"/>
  <c r="P285" i="44"/>
  <c r="L285" i="44"/>
  <c r="M285" i="44" s="1"/>
  <c r="N285" i="44" s="1"/>
  <c r="K285" i="44"/>
  <c r="G285" i="44"/>
  <c r="E285" i="44"/>
  <c r="Q284" i="44"/>
  <c r="P284" i="44"/>
  <c r="L284" i="44"/>
  <c r="M284" i="44" s="1"/>
  <c r="N284" i="44" s="1"/>
  <c r="K284" i="44"/>
  <c r="G284" i="44"/>
  <c r="E284" i="44"/>
  <c r="Q283" i="44"/>
  <c r="P283" i="44"/>
  <c r="L283" i="44"/>
  <c r="M283" i="44"/>
  <c r="N283" i="44" s="1"/>
  <c r="K283" i="44"/>
  <c r="G283" i="44"/>
  <c r="E283" i="44"/>
  <c r="Q282" i="44"/>
  <c r="P282" i="44"/>
  <c r="L282" i="44"/>
  <c r="M282" i="44" s="1"/>
  <c r="N282" i="44" s="1"/>
  <c r="K282" i="44"/>
  <c r="G282" i="44"/>
  <c r="E282" i="44"/>
  <c r="Q281" i="44"/>
  <c r="P281" i="44"/>
  <c r="L281" i="44"/>
  <c r="M281" i="44" s="1"/>
  <c r="N281" i="44" s="1"/>
  <c r="K281" i="44"/>
  <c r="G281" i="44"/>
  <c r="E281" i="44"/>
  <c r="Q280" i="44"/>
  <c r="P280" i="44"/>
  <c r="L280" i="44"/>
  <c r="M280" i="44" s="1"/>
  <c r="N280" i="44" s="1"/>
  <c r="K280" i="44"/>
  <c r="G280" i="44"/>
  <c r="E280" i="44"/>
  <c r="Q279" i="44"/>
  <c r="P279" i="44"/>
  <c r="L279" i="44"/>
  <c r="M279" i="44" s="1"/>
  <c r="N279" i="44" s="1"/>
  <c r="K279" i="44"/>
  <c r="G279" i="44"/>
  <c r="E279" i="44"/>
  <c r="Q278" i="44"/>
  <c r="P278" i="44"/>
  <c r="L278" i="44"/>
  <c r="M278" i="44" s="1"/>
  <c r="N278" i="44" s="1"/>
  <c r="Q277" i="44"/>
  <c r="P277" i="44"/>
  <c r="L277" i="44"/>
  <c r="M277" i="44" s="1"/>
  <c r="N277" i="44" s="1"/>
  <c r="K277" i="44"/>
  <c r="G277" i="44"/>
  <c r="E277" i="44"/>
  <c r="Q276" i="44"/>
  <c r="P276" i="44"/>
  <c r="L276" i="44"/>
  <c r="M276" i="44" s="1"/>
  <c r="N276" i="44" s="1"/>
  <c r="Q275" i="44"/>
  <c r="P275" i="44"/>
  <c r="L275" i="44"/>
  <c r="M275" i="44" s="1"/>
  <c r="N275" i="44" s="1"/>
  <c r="K275" i="44"/>
  <c r="G275" i="44"/>
  <c r="E275" i="44"/>
  <c r="Q274" i="44"/>
  <c r="P274" i="44"/>
  <c r="L274" i="44"/>
  <c r="M274" i="44" s="1"/>
  <c r="N274" i="44" s="1"/>
  <c r="K274" i="44"/>
  <c r="G274" i="44"/>
  <c r="E274" i="44"/>
  <c r="Q273" i="44"/>
  <c r="P273" i="44"/>
  <c r="L273" i="44"/>
  <c r="M273" i="44"/>
  <c r="N273" i="44" s="1"/>
  <c r="K273" i="44"/>
  <c r="G273" i="44"/>
  <c r="E273" i="44"/>
  <c r="Q272" i="44"/>
  <c r="P272" i="44"/>
  <c r="L272" i="44"/>
  <c r="M272" i="44" s="1"/>
  <c r="N272" i="44" s="1"/>
  <c r="K272" i="44"/>
  <c r="G272" i="44"/>
  <c r="E272" i="44"/>
  <c r="Q271" i="44"/>
  <c r="P271" i="44"/>
  <c r="L271" i="44"/>
  <c r="M271" i="44" s="1"/>
  <c r="N271" i="44" s="1"/>
  <c r="K271" i="44"/>
  <c r="G271" i="44"/>
  <c r="E271" i="44"/>
  <c r="U270" i="44"/>
  <c r="T270" i="44"/>
  <c r="S270" i="44"/>
  <c r="Q270" i="44"/>
  <c r="P270" i="44"/>
  <c r="L270" i="44"/>
  <c r="M270" i="44"/>
  <c r="N270" i="44" s="1"/>
  <c r="K270" i="44"/>
  <c r="G270" i="44"/>
  <c r="E270" i="44"/>
  <c r="Q269" i="44"/>
  <c r="P269" i="44"/>
  <c r="L269" i="44"/>
  <c r="M269" i="44" s="1"/>
  <c r="N269" i="44" s="1"/>
  <c r="K269" i="44"/>
  <c r="G269" i="44"/>
  <c r="E269" i="44"/>
  <c r="U268" i="44"/>
  <c r="T268" i="44"/>
  <c r="S268" i="44"/>
  <c r="Q268" i="44"/>
  <c r="P268" i="44"/>
  <c r="L268" i="44"/>
  <c r="M268" i="44"/>
  <c r="N268" i="44" s="1"/>
  <c r="K268" i="44"/>
  <c r="G268" i="44"/>
  <c r="E268" i="44"/>
  <c r="Q267" i="44"/>
  <c r="P267" i="44"/>
  <c r="L267" i="44"/>
  <c r="M267" i="44" s="1"/>
  <c r="N267" i="44"/>
  <c r="K267" i="44"/>
  <c r="G267" i="44"/>
  <c r="E267" i="44"/>
  <c r="Q266" i="44"/>
  <c r="P266" i="44"/>
  <c r="L266" i="44"/>
  <c r="M266" i="44" s="1"/>
  <c r="N266" i="44" s="1"/>
  <c r="K266" i="44"/>
  <c r="G266" i="44"/>
  <c r="E266" i="44"/>
  <c r="Q265" i="44"/>
  <c r="P265" i="44"/>
  <c r="L265" i="44"/>
  <c r="M265" i="44"/>
  <c r="N265" i="44" s="1"/>
  <c r="K265" i="44"/>
  <c r="G265" i="44"/>
  <c r="E265" i="44"/>
  <c r="Q264" i="44"/>
  <c r="P264" i="44"/>
  <c r="L264" i="44"/>
  <c r="M264" i="44"/>
  <c r="N264" i="44"/>
  <c r="K264" i="44"/>
  <c r="G264" i="44"/>
  <c r="E264" i="44"/>
  <c r="Q263" i="44"/>
  <c r="P263" i="44"/>
  <c r="L263" i="44"/>
  <c r="M263" i="44" s="1"/>
  <c r="N263" i="44" s="1"/>
  <c r="K263" i="44"/>
  <c r="G263" i="44"/>
  <c r="E263" i="44"/>
  <c r="Q262" i="44"/>
  <c r="P262" i="44"/>
  <c r="L262" i="44"/>
  <c r="M262" i="44" s="1"/>
  <c r="N262" i="44" s="1"/>
  <c r="K262" i="44"/>
  <c r="G262" i="44"/>
  <c r="E262" i="44"/>
  <c r="Q261" i="44"/>
  <c r="P261" i="44"/>
  <c r="L261" i="44"/>
  <c r="M261" i="44"/>
  <c r="N261" i="44"/>
  <c r="K261" i="44"/>
  <c r="G261" i="44"/>
  <c r="E261" i="44"/>
  <c r="Q260" i="44"/>
  <c r="P260" i="44"/>
  <c r="L260" i="44"/>
  <c r="M260" i="44" s="1"/>
  <c r="N260" i="44" s="1"/>
  <c r="K260" i="44"/>
  <c r="G260" i="44"/>
  <c r="E260" i="44"/>
  <c r="Q259" i="44"/>
  <c r="P259" i="44"/>
  <c r="L259" i="44"/>
  <c r="M259" i="44" s="1"/>
  <c r="N259" i="44" s="1"/>
  <c r="K259" i="44"/>
  <c r="G259" i="44"/>
  <c r="E259" i="44"/>
  <c r="Q258" i="44"/>
  <c r="P258" i="44"/>
  <c r="L258" i="44"/>
  <c r="M258" i="44"/>
  <c r="N258" i="44"/>
  <c r="K258" i="44"/>
  <c r="G258" i="44"/>
  <c r="E258" i="44"/>
  <c r="Q257" i="44"/>
  <c r="P257" i="44"/>
  <c r="L257" i="44"/>
  <c r="M257" i="44" s="1"/>
  <c r="N257" i="44" s="1"/>
  <c r="K257" i="44"/>
  <c r="G257" i="44"/>
  <c r="E257" i="44"/>
  <c r="Q256" i="44"/>
  <c r="P256" i="44"/>
  <c r="L256" i="44"/>
  <c r="M256" i="44"/>
  <c r="N256" i="44" s="1"/>
  <c r="K256" i="44"/>
  <c r="G256" i="44"/>
  <c r="E256" i="44"/>
  <c r="U255" i="44"/>
  <c r="T255" i="44"/>
  <c r="S255" i="44"/>
  <c r="Q255" i="44"/>
  <c r="P255" i="44"/>
  <c r="L255" i="44"/>
  <c r="M255" i="44" s="1"/>
  <c r="N255" i="44" s="1"/>
  <c r="K255" i="44"/>
  <c r="G255" i="44"/>
  <c r="E255" i="44"/>
  <c r="U254" i="44"/>
  <c r="T254" i="44"/>
  <c r="S254" i="44"/>
  <c r="Q254" i="44"/>
  <c r="P254" i="44"/>
  <c r="L254" i="44"/>
  <c r="M254" i="44" s="1"/>
  <c r="N254" i="44" s="1"/>
  <c r="K254" i="44"/>
  <c r="G254" i="44"/>
  <c r="E254" i="44"/>
  <c r="Q253" i="44"/>
  <c r="P253" i="44"/>
  <c r="L253" i="44"/>
  <c r="M253" i="44" s="1"/>
  <c r="N253" i="44" s="1"/>
  <c r="K253" i="44"/>
  <c r="G253" i="44"/>
  <c r="E253" i="44"/>
  <c r="Q252" i="44"/>
  <c r="P252" i="44"/>
  <c r="L252" i="44"/>
  <c r="M252" i="44" s="1"/>
  <c r="N252" i="44" s="1"/>
  <c r="K252" i="44"/>
  <c r="G252" i="44"/>
  <c r="E252" i="44"/>
  <c r="Q251" i="44"/>
  <c r="P251" i="44"/>
  <c r="L251" i="44"/>
  <c r="M251" i="44"/>
  <c r="N251" i="44" s="1"/>
  <c r="K251" i="44"/>
  <c r="G251" i="44"/>
  <c r="E251" i="44"/>
  <c r="Q250" i="44"/>
  <c r="P250" i="44"/>
  <c r="L250" i="44"/>
  <c r="M250" i="44" s="1"/>
  <c r="N250" i="44" s="1"/>
  <c r="K250" i="44"/>
  <c r="G250" i="44"/>
  <c r="E250" i="44"/>
  <c r="Q249" i="44"/>
  <c r="P249" i="44"/>
  <c r="L249" i="44"/>
  <c r="M249" i="44" s="1"/>
  <c r="N249" i="44" s="1"/>
  <c r="K249" i="44"/>
  <c r="G249" i="44"/>
  <c r="E249" i="44"/>
  <c r="Q248" i="44"/>
  <c r="P248" i="44"/>
  <c r="L248" i="44"/>
  <c r="M248" i="44" s="1"/>
  <c r="N248" i="44" s="1"/>
  <c r="K248" i="44"/>
  <c r="G248" i="44"/>
  <c r="E248" i="44"/>
  <c r="Q247" i="44"/>
  <c r="P247" i="44"/>
  <c r="L247" i="44"/>
  <c r="M247" i="44" s="1"/>
  <c r="N247" i="44" s="1"/>
  <c r="K247" i="44"/>
  <c r="G247" i="44"/>
  <c r="E247" i="44"/>
  <c r="Q246" i="44"/>
  <c r="P246" i="44"/>
  <c r="L246" i="44"/>
  <c r="M246" i="44" s="1"/>
  <c r="N246" i="44" s="1"/>
  <c r="K246" i="44"/>
  <c r="G246" i="44"/>
  <c r="E246" i="44"/>
  <c r="U245" i="44"/>
  <c r="T245" i="44"/>
  <c r="S245" i="44"/>
  <c r="Q245" i="44"/>
  <c r="P245" i="44"/>
  <c r="L245" i="44"/>
  <c r="M245" i="44" s="1"/>
  <c r="N245" i="44" s="1"/>
  <c r="K245" i="44"/>
  <c r="G245" i="44"/>
  <c r="E245" i="44"/>
  <c r="Q244" i="44"/>
  <c r="P244" i="44"/>
  <c r="L244" i="44"/>
  <c r="M244" i="44"/>
  <c r="N244" i="44" s="1"/>
  <c r="K244" i="44"/>
  <c r="G244" i="44"/>
  <c r="E244" i="44"/>
  <c r="Q243" i="44"/>
  <c r="P243" i="44"/>
  <c r="L243" i="44"/>
  <c r="M243" i="44" s="1"/>
  <c r="N243" i="44" s="1"/>
  <c r="K243" i="44"/>
  <c r="G243" i="44"/>
  <c r="E243" i="44"/>
  <c r="U242" i="44"/>
  <c r="T242" i="44"/>
  <c r="S242" i="44"/>
  <c r="Q242" i="44"/>
  <c r="P242" i="44"/>
  <c r="L242" i="44"/>
  <c r="M242" i="44" s="1"/>
  <c r="N242" i="44" s="1"/>
  <c r="K242" i="44"/>
  <c r="G242" i="44"/>
  <c r="E242" i="44"/>
  <c r="Q241" i="44"/>
  <c r="P241" i="44"/>
  <c r="L241" i="44"/>
  <c r="M241" i="44" s="1"/>
  <c r="N241" i="44" s="1"/>
  <c r="K241" i="44"/>
  <c r="G241" i="44"/>
  <c r="E241" i="44"/>
  <c r="Q240" i="44"/>
  <c r="P240" i="44"/>
  <c r="L240" i="44"/>
  <c r="M240" i="44" s="1"/>
  <c r="N240" i="44" s="1"/>
  <c r="K240" i="44"/>
  <c r="G240" i="44"/>
  <c r="E240" i="44"/>
  <c r="Q239" i="44"/>
  <c r="P239" i="44"/>
  <c r="L239" i="44"/>
  <c r="M239" i="44" s="1"/>
  <c r="N239" i="44" s="1"/>
  <c r="K239" i="44"/>
  <c r="G239" i="44"/>
  <c r="E239" i="44"/>
  <c r="Q238" i="44"/>
  <c r="P238" i="44"/>
  <c r="L238" i="44"/>
  <c r="M238" i="44" s="1"/>
  <c r="N238" i="44" s="1"/>
  <c r="K238" i="44"/>
  <c r="G238" i="44"/>
  <c r="E238" i="44"/>
  <c r="U237" i="44"/>
  <c r="T237" i="44"/>
  <c r="S237" i="44"/>
  <c r="Q237" i="44"/>
  <c r="P237" i="44"/>
  <c r="L237" i="44"/>
  <c r="M237" i="44" s="1"/>
  <c r="N237" i="44" s="1"/>
  <c r="K237" i="44"/>
  <c r="G237" i="44"/>
  <c r="E237" i="44"/>
  <c r="Q236" i="44"/>
  <c r="P236" i="44"/>
  <c r="L236" i="44"/>
  <c r="M236" i="44" s="1"/>
  <c r="N236" i="44" s="1"/>
  <c r="K236" i="44"/>
  <c r="G236" i="44"/>
  <c r="E236" i="44"/>
  <c r="Q235" i="44"/>
  <c r="P235" i="44"/>
  <c r="L235" i="44"/>
  <c r="M235" i="44"/>
  <c r="N235" i="44" s="1"/>
  <c r="K235" i="44"/>
  <c r="G235" i="44"/>
  <c r="E235" i="44"/>
  <c r="Q234" i="44"/>
  <c r="P234" i="44"/>
  <c r="L234" i="44"/>
  <c r="M234" i="44" s="1"/>
  <c r="N234" i="44" s="1"/>
  <c r="K234" i="44"/>
  <c r="G234" i="44"/>
  <c r="E234" i="44"/>
  <c r="Q233" i="44"/>
  <c r="P233" i="44"/>
  <c r="L233" i="44"/>
  <c r="M233" i="44" s="1"/>
  <c r="N233" i="44" s="1"/>
  <c r="K233" i="44"/>
  <c r="G233" i="44"/>
  <c r="E233" i="44"/>
  <c r="Q232" i="44"/>
  <c r="P232" i="44"/>
  <c r="L232" i="44"/>
  <c r="M232" i="44"/>
  <c r="N232" i="44" s="1"/>
  <c r="K232" i="44"/>
  <c r="G232" i="44"/>
  <c r="E232" i="44"/>
  <c r="Q231" i="44"/>
  <c r="P231" i="44"/>
  <c r="L231" i="44"/>
  <c r="M231" i="44" s="1"/>
  <c r="N231" i="44" s="1"/>
  <c r="K231" i="44"/>
  <c r="G231" i="44"/>
  <c r="E231" i="44"/>
  <c r="Q230" i="44"/>
  <c r="P230" i="44"/>
  <c r="L230" i="44"/>
  <c r="M230" i="44" s="1"/>
  <c r="N230" i="44" s="1"/>
  <c r="K230" i="44"/>
  <c r="G230" i="44"/>
  <c r="E230" i="44"/>
  <c r="Q229" i="44"/>
  <c r="P229" i="44"/>
  <c r="L229" i="44"/>
  <c r="M229" i="44" s="1"/>
  <c r="N229" i="44" s="1"/>
  <c r="K229" i="44"/>
  <c r="G229" i="44"/>
  <c r="E229" i="44"/>
  <c r="Q228" i="44"/>
  <c r="P228" i="44"/>
  <c r="L228" i="44"/>
  <c r="M228" i="44" s="1"/>
  <c r="N228" i="44" s="1"/>
  <c r="K228" i="44"/>
  <c r="G228" i="44"/>
  <c r="E228" i="44"/>
  <c r="Q227" i="44"/>
  <c r="P227" i="44"/>
  <c r="L227" i="44"/>
  <c r="M227" i="44" s="1"/>
  <c r="N227" i="44" s="1"/>
  <c r="K227" i="44"/>
  <c r="G227" i="44"/>
  <c r="E227" i="44"/>
  <c r="Q226" i="44"/>
  <c r="P226" i="44"/>
  <c r="L226" i="44"/>
  <c r="M226" i="44"/>
  <c r="N226" i="44" s="1"/>
  <c r="K226" i="44"/>
  <c r="G226" i="44"/>
  <c r="E226" i="44"/>
  <c r="Q225" i="44"/>
  <c r="P225" i="44"/>
  <c r="L225" i="44"/>
  <c r="M225" i="44" s="1"/>
  <c r="N225" i="44" s="1"/>
  <c r="K225" i="44"/>
  <c r="G225" i="44"/>
  <c r="E225" i="44"/>
  <c r="Q224" i="44"/>
  <c r="P224" i="44"/>
  <c r="L224" i="44"/>
  <c r="M224" i="44" s="1"/>
  <c r="N224" i="44" s="1"/>
  <c r="K224" i="44"/>
  <c r="G224" i="44"/>
  <c r="E224" i="44"/>
  <c r="Q223" i="44"/>
  <c r="P223" i="44"/>
  <c r="L223" i="44"/>
  <c r="M223" i="44"/>
  <c r="N223" i="44" s="1"/>
  <c r="K223" i="44"/>
  <c r="G223" i="44"/>
  <c r="E223" i="44"/>
  <c r="Q222" i="44"/>
  <c r="P222" i="44"/>
  <c r="L222" i="44"/>
  <c r="M222" i="44" s="1"/>
  <c r="N222" i="44" s="1"/>
  <c r="K222" i="44"/>
  <c r="G222" i="44"/>
  <c r="E222" i="44"/>
  <c r="Q221" i="44"/>
  <c r="P221" i="44"/>
  <c r="L221" i="44"/>
  <c r="M221" i="44" s="1"/>
  <c r="N221" i="44" s="1"/>
  <c r="K221" i="44"/>
  <c r="G221" i="44"/>
  <c r="E221" i="44"/>
  <c r="Q220" i="44"/>
  <c r="P220" i="44"/>
  <c r="L220" i="44"/>
  <c r="M220" i="44"/>
  <c r="N220" i="44" s="1"/>
  <c r="K220" i="44"/>
  <c r="G220" i="44"/>
  <c r="E220" i="44"/>
  <c r="Q219" i="44"/>
  <c r="P219" i="44"/>
  <c r="L219" i="44"/>
  <c r="M219" i="44" s="1"/>
  <c r="N219" i="44" s="1"/>
  <c r="K219" i="44"/>
  <c r="G219" i="44"/>
  <c r="E219" i="44"/>
  <c r="Q218" i="44"/>
  <c r="P218" i="44"/>
  <c r="L218" i="44"/>
  <c r="M218" i="44" s="1"/>
  <c r="N218" i="44" s="1"/>
  <c r="K218" i="44"/>
  <c r="G218" i="44"/>
  <c r="E218" i="44"/>
  <c r="Q217" i="44"/>
  <c r="P217" i="44"/>
  <c r="L217" i="44"/>
  <c r="M217" i="44" s="1"/>
  <c r="N217" i="44" s="1"/>
  <c r="K217" i="44"/>
  <c r="G217" i="44"/>
  <c r="E217" i="44"/>
  <c r="Q216" i="44"/>
  <c r="P216" i="44"/>
  <c r="L216" i="44"/>
  <c r="M216" i="44" s="1"/>
  <c r="N216" i="44" s="1"/>
  <c r="K216" i="44"/>
  <c r="G216" i="44"/>
  <c r="E216" i="44"/>
  <c r="Q215" i="44"/>
  <c r="P215" i="44"/>
  <c r="L215" i="44"/>
  <c r="M215" i="44" s="1"/>
  <c r="N215" i="44" s="1"/>
  <c r="K215" i="44"/>
  <c r="G215" i="44"/>
  <c r="E215" i="44"/>
  <c r="Q214" i="44"/>
  <c r="P214" i="44"/>
  <c r="L214" i="44"/>
  <c r="M214" i="44"/>
  <c r="N214" i="44" s="1"/>
  <c r="K214" i="44"/>
  <c r="G214" i="44"/>
  <c r="E214" i="44"/>
  <c r="Q213" i="44"/>
  <c r="P213" i="44"/>
  <c r="L213" i="44"/>
  <c r="M213" i="44" s="1"/>
  <c r="N213" i="44" s="1"/>
  <c r="K213" i="44"/>
  <c r="G213" i="44"/>
  <c r="E213" i="44"/>
  <c r="Q212" i="44"/>
  <c r="P212" i="44"/>
  <c r="L212" i="44"/>
  <c r="M212" i="44" s="1"/>
  <c r="N212" i="44" s="1"/>
  <c r="K212" i="44"/>
  <c r="G212" i="44"/>
  <c r="E212" i="44"/>
  <c r="Q211" i="44"/>
  <c r="P211" i="44"/>
  <c r="L211" i="44"/>
  <c r="M211" i="44"/>
  <c r="N211" i="44" s="1"/>
  <c r="K211" i="44"/>
  <c r="G211" i="44"/>
  <c r="E211" i="44"/>
  <c r="Q210" i="44"/>
  <c r="P210" i="44"/>
  <c r="L210" i="44"/>
  <c r="M210" i="44" s="1"/>
  <c r="N210" i="44" s="1"/>
  <c r="K210" i="44"/>
  <c r="G210" i="44"/>
  <c r="E210" i="44"/>
  <c r="Q209" i="44"/>
  <c r="P209" i="44"/>
  <c r="L209" i="44"/>
  <c r="M209" i="44" s="1"/>
  <c r="N209" i="44" s="1"/>
  <c r="K209" i="44"/>
  <c r="G209" i="44"/>
  <c r="E209" i="44"/>
  <c r="Q208" i="44"/>
  <c r="P208" i="44"/>
  <c r="L208" i="44"/>
  <c r="M208" i="44" s="1"/>
  <c r="N208" i="44" s="1"/>
  <c r="K208" i="44"/>
  <c r="G208" i="44"/>
  <c r="E208" i="44"/>
  <c r="Q207" i="44"/>
  <c r="P207" i="44"/>
  <c r="L207" i="44"/>
  <c r="M207" i="44" s="1"/>
  <c r="N207" i="44" s="1"/>
  <c r="K207" i="44"/>
  <c r="G207" i="44"/>
  <c r="E207" i="44"/>
  <c r="Q206" i="44"/>
  <c r="P206" i="44"/>
  <c r="L206" i="44"/>
  <c r="M206" i="44" s="1"/>
  <c r="N206" i="44" s="1"/>
  <c r="K206" i="44"/>
  <c r="G206" i="44"/>
  <c r="E206" i="44"/>
  <c r="Q205" i="44"/>
  <c r="P205" i="44"/>
  <c r="L205" i="44"/>
  <c r="M205" i="44"/>
  <c r="N205" i="44" s="1"/>
  <c r="K205" i="44"/>
  <c r="G205" i="44"/>
  <c r="E205" i="44"/>
  <c r="Q204" i="44"/>
  <c r="P204" i="44"/>
  <c r="L204" i="44"/>
  <c r="M204" i="44" s="1"/>
  <c r="N204" i="44" s="1"/>
  <c r="K204" i="44"/>
  <c r="G204" i="44"/>
  <c r="E204" i="44"/>
  <c r="U203" i="44"/>
  <c r="T203" i="44"/>
  <c r="S203" i="44"/>
  <c r="Q203" i="44"/>
  <c r="P203" i="44"/>
  <c r="L203" i="44"/>
  <c r="M203" i="44" s="1"/>
  <c r="N203" i="44" s="1"/>
  <c r="K203" i="44"/>
  <c r="G203" i="44"/>
  <c r="E203" i="44"/>
  <c r="Q202" i="44"/>
  <c r="P202" i="44"/>
  <c r="L202" i="44"/>
  <c r="M202" i="44" s="1"/>
  <c r="N202" i="44" s="1"/>
  <c r="K202" i="44"/>
  <c r="G202" i="44"/>
  <c r="E202" i="44"/>
  <c r="Q201" i="44"/>
  <c r="P201" i="44"/>
  <c r="L201" i="44"/>
  <c r="M201" i="44" s="1"/>
  <c r="N201" i="44"/>
  <c r="K201" i="44"/>
  <c r="G201" i="44"/>
  <c r="E201" i="44"/>
  <c r="Q200" i="44"/>
  <c r="P200" i="44"/>
  <c r="L200" i="44"/>
  <c r="M200" i="44" s="1"/>
  <c r="N200" i="44" s="1"/>
  <c r="K200" i="44"/>
  <c r="G200" i="44"/>
  <c r="E200" i="44"/>
  <c r="U199" i="44"/>
  <c r="T199" i="44"/>
  <c r="S199" i="44"/>
  <c r="Q199" i="44"/>
  <c r="P199" i="44"/>
  <c r="L199" i="44"/>
  <c r="M199" i="44"/>
  <c r="N199" i="44"/>
  <c r="Q198" i="44"/>
  <c r="P198" i="44"/>
  <c r="L198" i="44"/>
  <c r="M198" i="44" s="1"/>
  <c r="N198" i="44" s="1"/>
  <c r="K198" i="44"/>
  <c r="G198" i="44"/>
  <c r="E198" i="44"/>
  <c r="Q197" i="44"/>
  <c r="P197" i="44"/>
  <c r="L197" i="44"/>
  <c r="M197" i="44"/>
  <c r="N197" i="44" s="1"/>
  <c r="K197" i="44"/>
  <c r="G197" i="44"/>
  <c r="E197" i="44"/>
  <c r="Q196" i="44"/>
  <c r="P196" i="44"/>
  <c r="L196" i="44"/>
  <c r="M196" i="44" s="1"/>
  <c r="N196" i="44" s="1"/>
  <c r="K196" i="44"/>
  <c r="G196" i="44"/>
  <c r="E196" i="44"/>
  <c r="Q195" i="44"/>
  <c r="P195" i="44"/>
  <c r="L195" i="44"/>
  <c r="M195" i="44" s="1"/>
  <c r="N195" i="44" s="1"/>
  <c r="K195" i="44"/>
  <c r="G195" i="44"/>
  <c r="E195" i="44"/>
  <c r="U194" i="44"/>
  <c r="T194" i="44"/>
  <c r="S194" i="44"/>
  <c r="Q194" i="44"/>
  <c r="P194" i="44"/>
  <c r="L194" i="44"/>
  <c r="M194" i="44" s="1"/>
  <c r="N194" i="44" s="1"/>
  <c r="K194" i="44"/>
  <c r="G194" i="44"/>
  <c r="E194" i="44"/>
  <c r="Q193" i="44"/>
  <c r="P193" i="44"/>
  <c r="L193" i="44"/>
  <c r="M193" i="44"/>
  <c r="N193" i="44" s="1"/>
  <c r="K193" i="44"/>
  <c r="G193" i="44"/>
  <c r="E193" i="44"/>
  <c r="Q192" i="44"/>
  <c r="P192" i="44"/>
  <c r="L192" i="44"/>
  <c r="M192" i="44"/>
  <c r="N192" i="44" s="1"/>
  <c r="K192" i="44"/>
  <c r="G192" i="44"/>
  <c r="E192" i="44"/>
  <c r="Q191" i="44"/>
  <c r="P191" i="44"/>
  <c r="L191" i="44"/>
  <c r="M191" i="44" s="1"/>
  <c r="N191" i="44" s="1"/>
  <c r="K191" i="44"/>
  <c r="G191" i="44"/>
  <c r="E191" i="44"/>
  <c r="Q190" i="44"/>
  <c r="P190" i="44"/>
  <c r="L190" i="44"/>
  <c r="M190" i="44" s="1"/>
  <c r="N190" i="44" s="1"/>
  <c r="K190" i="44"/>
  <c r="G190" i="44"/>
  <c r="E190" i="44"/>
  <c r="Q189" i="44"/>
  <c r="P189" i="44"/>
  <c r="L189" i="44"/>
  <c r="M189" i="44"/>
  <c r="N189" i="44" s="1"/>
  <c r="K189" i="44"/>
  <c r="G189" i="44"/>
  <c r="E189" i="44"/>
  <c r="U188" i="44"/>
  <c r="T188" i="44"/>
  <c r="S188" i="44"/>
  <c r="Q188" i="44"/>
  <c r="P188" i="44"/>
  <c r="L188" i="44"/>
  <c r="M188" i="44" s="1"/>
  <c r="N188" i="44" s="1"/>
  <c r="K188" i="44"/>
  <c r="G188" i="44"/>
  <c r="E188" i="44"/>
  <c r="Q187" i="44"/>
  <c r="P187" i="44"/>
  <c r="L187" i="44"/>
  <c r="M187" i="44"/>
  <c r="N187" i="44" s="1"/>
  <c r="K187" i="44"/>
  <c r="G187" i="44"/>
  <c r="E187" i="44"/>
  <c r="Q186" i="44"/>
  <c r="P186" i="44"/>
  <c r="L186" i="44"/>
  <c r="M186" i="44" s="1"/>
  <c r="N186" i="44" s="1"/>
  <c r="K186" i="44"/>
  <c r="G186" i="44"/>
  <c r="E186" i="44"/>
  <c r="U185" i="44"/>
  <c r="T185" i="44"/>
  <c r="S185" i="44"/>
  <c r="Q185" i="44"/>
  <c r="P185" i="44"/>
  <c r="L185" i="44"/>
  <c r="M185" i="44" s="1"/>
  <c r="N185" i="44" s="1"/>
  <c r="K185" i="44"/>
  <c r="G185" i="44"/>
  <c r="E185" i="44"/>
  <c r="U184" i="44"/>
  <c r="T184" i="44"/>
  <c r="S184" i="44"/>
  <c r="Q184" i="44"/>
  <c r="P184" i="44"/>
  <c r="L184" i="44"/>
  <c r="M184" i="44" s="1"/>
  <c r="N184" i="44" s="1"/>
  <c r="K184" i="44"/>
  <c r="G184" i="44"/>
  <c r="E184" i="44"/>
  <c r="Q183" i="44"/>
  <c r="P183" i="44"/>
  <c r="L183" i="44"/>
  <c r="M183" i="44" s="1"/>
  <c r="N183" i="44" s="1"/>
  <c r="K183" i="44"/>
  <c r="G183" i="44"/>
  <c r="E183" i="44"/>
  <c r="Q182" i="44"/>
  <c r="P182" i="44"/>
  <c r="L182" i="44"/>
  <c r="M182" i="44" s="1"/>
  <c r="N182" i="44" s="1"/>
  <c r="K182" i="44"/>
  <c r="G182" i="44"/>
  <c r="E182" i="44"/>
  <c r="Q181" i="44"/>
  <c r="P181" i="44"/>
  <c r="L181" i="44"/>
  <c r="M181" i="44" s="1"/>
  <c r="N181" i="44" s="1"/>
  <c r="K181" i="44"/>
  <c r="G181" i="44"/>
  <c r="E181" i="44"/>
  <c r="Q180" i="44"/>
  <c r="P180" i="44"/>
  <c r="L180" i="44"/>
  <c r="M180" i="44" s="1"/>
  <c r="N180" i="44"/>
  <c r="K180" i="44"/>
  <c r="G180" i="44"/>
  <c r="E180" i="44"/>
  <c r="Q179" i="44"/>
  <c r="P179" i="44"/>
  <c r="L179" i="44"/>
  <c r="M179" i="44" s="1"/>
  <c r="N179" i="44" s="1"/>
  <c r="K179" i="44"/>
  <c r="G179" i="44"/>
  <c r="E179" i="44"/>
  <c r="Q178" i="44"/>
  <c r="P178" i="44"/>
  <c r="L178" i="44"/>
  <c r="M178" i="44" s="1"/>
  <c r="N178" i="44" s="1"/>
  <c r="K178" i="44"/>
  <c r="G178" i="44"/>
  <c r="E178" i="44"/>
  <c r="U177" i="44"/>
  <c r="T177" i="44"/>
  <c r="S177" i="44"/>
  <c r="Q177" i="44"/>
  <c r="P177" i="44"/>
  <c r="L177" i="44"/>
  <c r="M177" i="44"/>
  <c r="N177" i="44" s="1"/>
  <c r="K177" i="44"/>
  <c r="G177" i="44"/>
  <c r="E177" i="44"/>
  <c r="U176" i="44"/>
  <c r="T176" i="44"/>
  <c r="S176" i="44"/>
  <c r="Q176" i="44"/>
  <c r="P176" i="44"/>
  <c r="L176" i="44"/>
  <c r="M176" i="44" s="1"/>
  <c r="N176" i="44" s="1"/>
  <c r="K176" i="44"/>
  <c r="G176" i="44"/>
  <c r="E176" i="44"/>
  <c r="Q175" i="44"/>
  <c r="P175" i="44"/>
  <c r="L175" i="44"/>
  <c r="M175" i="44" s="1"/>
  <c r="N175" i="44" s="1"/>
  <c r="K175" i="44"/>
  <c r="G175" i="44"/>
  <c r="E175" i="44"/>
  <c r="Q174" i="44"/>
  <c r="P174" i="44"/>
  <c r="L174" i="44"/>
  <c r="M174" i="44"/>
  <c r="N174" i="44"/>
  <c r="K174" i="44"/>
  <c r="G174" i="44"/>
  <c r="E174" i="44"/>
  <c r="Q172" i="44"/>
  <c r="P172" i="44"/>
  <c r="L172" i="44"/>
  <c r="M172" i="44" s="1"/>
  <c r="N172" i="44" s="1"/>
  <c r="K172" i="44"/>
  <c r="G172" i="44"/>
  <c r="E172" i="44"/>
  <c r="Q171" i="44"/>
  <c r="P171" i="44"/>
  <c r="L171" i="44"/>
  <c r="M171" i="44"/>
  <c r="N171" i="44" s="1"/>
  <c r="K171" i="44"/>
  <c r="G171" i="44"/>
  <c r="E171" i="44"/>
  <c r="U170" i="44"/>
  <c r="T170" i="44"/>
  <c r="S170" i="44"/>
  <c r="Q170" i="44"/>
  <c r="P170" i="44"/>
  <c r="L170" i="44"/>
  <c r="M170" i="44" s="1"/>
  <c r="N170" i="44" s="1"/>
  <c r="K170" i="44"/>
  <c r="G170" i="44"/>
  <c r="E170" i="44"/>
  <c r="Q169" i="44"/>
  <c r="P169" i="44"/>
  <c r="L169" i="44"/>
  <c r="M169" i="44" s="1"/>
  <c r="N169" i="44" s="1"/>
  <c r="K169" i="44"/>
  <c r="G169" i="44"/>
  <c r="E169" i="44"/>
  <c r="Q168" i="44"/>
  <c r="P168" i="44"/>
  <c r="L168" i="44"/>
  <c r="M168" i="44"/>
  <c r="N168" i="44" s="1"/>
  <c r="K168" i="44"/>
  <c r="G168" i="44"/>
  <c r="E168" i="44"/>
  <c r="Q167" i="44"/>
  <c r="P167" i="44"/>
  <c r="L167" i="44"/>
  <c r="M167" i="44" s="1"/>
  <c r="N167" i="44" s="1"/>
  <c r="K167" i="44"/>
  <c r="G167" i="44"/>
  <c r="E167" i="44"/>
  <c r="Q166" i="44"/>
  <c r="P166" i="44"/>
  <c r="L166" i="44"/>
  <c r="M166" i="44" s="1"/>
  <c r="N166" i="44" s="1"/>
  <c r="K166" i="44"/>
  <c r="G166" i="44"/>
  <c r="E166" i="44"/>
  <c r="Q165" i="44"/>
  <c r="P165" i="44"/>
  <c r="L165" i="44"/>
  <c r="M165" i="44" s="1"/>
  <c r="N165" i="44" s="1"/>
  <c r="K165" i="44"/>
  <c r="G165" i="44"/>
  <c r="E165" i="44"/>
  <c r="Q164" i="44"/>
  <c r="P164" i="44"/>
  <c r="L164" i="44"/>
  <c r="M164" i="44" s="1"/>
  <c r="N164" i="44" s="1"/>
  <c r="K164" i="44"/>
  <c r="G164" i="44"/>
  <c r="E164" i="44"/>
  <c r="Q163" i="44"/>
  <c r="P163" i="44"/>
  <c r="L163" i="44"/>
  <c r="M163" i="44" s="1"/>
  <c r="N163" i="44" s="1"/>
  <c r="K163" i="44"/>
  <c r="G163" i="44"/>
  <c r="E163" i="44"/>
  <c r="Q162" i="44"/>
  <c r="P162" i="44"/>
  <c r="L162" i="44"/>
  <c r="M162" i="44"/>
  <c r="N162" i="44" s="1"/>
  <c r="K162" i="44"/>
  <c r="G162" i="44"/>
  <c r="E162" i="44"/>
  <c r="Q161" i="44"/>
  <c r="P161" i="44"/>
  <c r="L161" i="44"/>
  <c r="M161" i="44" s="1"/>
  <c r="N161" i="44" s="1"/>
  <c r="K161" i="44"/>
  <c r="G161" i="44"/>
  <c r="E161" i="44"/>
  <c r="Q160" i="44"/>
  <c r="P160" i="44"/>
  <c r="L160" i="44"/>
  <c r="M160" i="44" s="1"/>
  <c r="N160" i="44" s="1"/>
  <c r="K160" i="44"/>
  <c r="G160" i="44"/>
  <c r="E160" i="44"/>
  <c r="Q159" i="44"/>
  <c r="P159" i="44"/>
  <c r="L159" i="44"/>
  <c r="M159" i="44" s="1"/>
  <c r="N159" i="44" s="1"/>
  <c r="K159" i="44"/>
  <c r="G159" i="44"/>
  <c r="E159" i="44"/>
  <c r="Q158" i="44"/>
  <c r="P158" i="44"/>
  <c r="L158" i="44"/>
  <c r="M158" i="44" s="1"/>
  <c r="N158" i="44" s="1"/>
  <c r="K158" i="44"/>
  <c r="G158" i="44"/>
  <c r="E158" i="44"/>
  <c r="Q157" i="44"/>
  <c r="P157" i="44"/>
  <c r="L157" i="44"/>
  <c r="M157" i="44" s="1"/>
  <c r="N157" i="44" s="1"/>
  <c r="K157" i="44"/>
  <c r="G157" i="44"/>
  <c r="E157" i="44"/>
  <c r="U156" i="44"/>
  <c r="T156" i="44"/>
  <c r="S156" i="44"/>
  <c r="Q156" i="44"/>
  <c r="P156" i="44"/>
  <c r="L156" i="44"/>
  <c r="M156" i="44" s="1"/>
  <c r="N156" i="44" s="1"/>
  <c r="K156" i="44"/>
  <c r="G156" i="44"/>
  <c r="E156" i="44"/>
  <c r="U155" i="44"/>
  <c r="T155" i="44"/>
  <c r="S155" i="44"/>
  <c r="Q155" i="44"/>
  <c r="P155" i="44"/>
  <c r="L155" i="44"/>
  <c r="M155" i="44" s="1"/>
  <c r="N155" i="44" s="1"/>
  <c r="K155" i="44"/>
  <c r="G155" i="44"/>
  <c r="E155" i="44"/>
  <c r="U154" i="44"/>
  <c r="T154" i="44"/>
  <c r="S154" i="44"/>
  <c r="Q154" i="44"/>
  <c r="P154" i="44"/>
  <c r="L154" i="44"/>
  <c r="M154" i="44" s="1"/>
  <c r="N154" i="44" s="1"/>
  <c r="K154" i="44"/>
  <c r="G154" i="44"/>
  <c r="E154" i="44"/>
  <c r="Q153" i="44"/>
  <c r="P153" i="44"/>
  <c r="L153" i="44"/>
  <c r="M153" i="44"/>
  <c r="N153" i="44" s="1"/>
  <c r="K153" i="44"/>
  <c r="G153" i="44"/>
  <c r="E153" i="44"/>
  <c r="Q152" i="44"/>
  <c r="P152" i="44"/>
  <c r="L152" i="44"/>
  <c r="M152" i="44"/>
  <c r="N152" i="44" s="1"/>
  <c r="K152" i="44"/>
  <c r="G152" i="44"/>
  <c r="E152" i="44"/>
  <c r="Q151" i="44"/>
  <c r="P151" i="44"/>
  <c r="L151" i="44"/>
  <c r="M151" i="44" s="1"/>
  <c r="N151" i="44" s="1"/>
  <c r="K151" i="44"/>
  <c r="G151" i="44"/>
  <c r="E151" i="44"/>
  <c r="Q150" i="44"/>
  <c r="P150" i="44"/>
  <c r="L150" i="44"/>
  <c r="M150" i="44" s="1"/>
  <c r="N150" i="44" s="1"/>
  <c r="K150" i="44"/>
  <c r="G150" i="44"/>
  <c r="E150" i="44"/>
  <c r="Q149" i="44"/>
  <c r="P149" i="44"/>
  <c r="L149" i="44"/>
  <c r="M149" i="44" s="1"/>
  <c r="N149" i="44" s="1"/>
  <c r="Q148" i="44"/>
  <c r="P148" i="44"/>
  <c r="L148" i="44"/>
  <c r="M148" i="44" s="1"/>
  <c r="N148" i="44" s="1"/>
  <c r="K148" i="44"/>
  <c r="G148" i="44"/>
  <c r="E148" i="44"/>
  <c r="Q147" i="44"/>
  <c r="P147" i="44"/>
  <c r="L147" i="44"/>
  <c r="M147" i="44" s="1"/>
  <c r="N147" i="44" s="1"/>
  <c r="K147" i="44"/>
  <c r="G147" i="44"/>
  <c r="E147" i="44"/>
  <c r="Q146" i="44"/>
  <c r="P146" i="44"/>
  <c r="L146" i="44"/>
  <c r="M146" i="44" s="1"/>
  <c r="N146" i="44" s="1"/>
  <c r="K146" i="44"/>
  <c r="G146" i="44"/>
  <c r="E146" i="44"/>
  <c r="Q145" i="44"/>
  <c r="P145" i="44"/>
  <c r="L145" i="44"/>
  <c r="M145" i="44" s="1"/>
  <c r="N145" i="44" s="1"/>
  <c r="Q144" i="44"/>
  <c r="P144" i="44"/>
  <c r="L144" i="44"/>
  <c r="M144" i="44" s="1"/>
  <c r="N144" i="44" s="1"/>
  <c r="K144" i="44"/>
  <c r="G144" i="44"/>
  <c r="E144" i="44"/>
  <c r="U143" i="44"/>
  <c r="T143" i="44"/>
  <c r="S143" i="44"/>
  <c r="Q143" i="44"/>
  <c r="P143" i="44"/>
  <c r="L143" i="44"/>
  <c r="M143" i="44"/>
  <c r="N143" i="44" s="1"/>
  <c r="K143" i="44"/>
  <c r="G143" i="44"/>
  <c r="E143" i="44"/>
  <c r="Q142" i="44"/>
  <c r="P142" i="44"/>
  <c r="L142" i="44"/>
  <c r="M142" i="44" s="1"/>
  <c r="N142" i="44" s="1"/>
  <c r="K142" i="44"/>
  <c r="G142" i="44"/>
  <c r="E142" i="44"/>
  <c r="Q141" i="44"/>
  <c r="P141" i="44"/>
  <c r="L141" i="44"/>
  <c r="M141" i="44" s="1"/>
  <c r="N141" i="44"/>
  <c r="K141" i="44"/>
  <c r="G141" i="44"/>
  <c r="E141" i="44"/>
  <c r="Q140" i="44"/>
  <c r="P140" i="44"/>
  <c r="L140" i="44"/>
  <c r="M140" i="44"/>
  <c r="N140" i="44" s="1"/>
  <c r="K140" i="44"/>
  <c r="G140" i="44"/>
  <c r="E140" i="44"/>
  <c r="Q139" i="44"/>
  <c r="P139" i="44"/>
  <c r="L139" i="44"/>
  <c r="M139" i="44" s="1"/>
  <c r="N139" i="44" s="1"/>
  <c r="K139" i="44"/>
  <c r="G139" i="44"/>
  <c r="E139" i="44"/>
  <c r="U138" i="44"/>
  <c r="T138" i="44"/>
  <c r="S138" i="44"/>
  <c r="Q138" i="44"/>
  <c r="P138" i="44"/>
  <c r="L138" i="44"/>
  <c r="M138" i="44"/>
  <c r="N138" i="44" s="1"/>
  <c r="Q137" i="44"/>
  <c r="P137" i="44"/>
  <c r="L137" i="44"/>
  <c r="M137" i="44"/>
  <c r="N137" i="44" s="1"/>
  <c r="Q136" i="44"/>
  <c r="P136" i="44"/>
  <c r="L136" i="44"/>
  <c r="M136" i="44" s="1"/>
  <c r="N136" i="44" s="1"/>
  <c r="K136" i="44"/>
  <c r="G136" i="44"/>
  <c r="E136" i="44"/>
  <c r="Q135" i="44"/>
  <c r="P135" i="44"/>
  <c r="L135" i="44"/>
  <c r="M135" i="44" s="1"/>
  <c r="N135" i="44" s="1"/>
  <c r="K135" i="44"/>
  <c r="G135" i="44"/>
  <c r="E135" i="44"/>
  <c r="Q134" i="44"/>
  <c r="P134" i="44"/>
  <c r="L134" i="44"/>
  <c r="M134" i="44" s="1"/>
  <c r="N134" i="44"/>
  <c r="U133" i="44"/>
  <c r="T133" i="44"/>
  <c r="S133" i="44"/>
  <c r="Q133" i="44"/>
  <c r="P133" i="44"/>
  <c r="L133" i="44"/>
  <c r="M133" i="44" s="1"/>
  <c r="N133" i="44" s="1"/>
  <c r="K133" i="44"/>
  <c r="G133" i="44"/>
  <c r="E133" i="44"/>
  <c r="Q132" i="44"/>
  <c r="P132" i="44"/>
  <c r="L132" i="44"/>
  <c r="M132" i="44" s="1"/>
  <c r="N132" i="44" s="1"/>
  <c r="K132" i="44"/>
  <c r="G132" i="44"/>
  <c r="E132" i="44"/>
  <c r="Q131" i="44"/>
  <c r="P131" i="44"/>
  <c r="L131" i="44"/>
  <c r="M131" i="44" s="1"/>
  <c r="N131" i="44" s="1"/>
  <c r="K131" i="44"/>
  <c r="G131" i="44"/>
  <c r="E131" i="44"/>
  <c r="U130" i="44"/>
  <c r="T130" i="44"/>
  <c r="S130" i="44"/>
  <c r="Q130" i="44"/>
  <c r="P130" i="44"/>
  <c r="L130" i="44"/>
  <c r="M130" i="44" s="1"/>
  <c r="N130" i="44" s="1"/>
  <c r="K130" i="44"/>
  <c r="G130" i="44"/>
  <c r="E130" i="44"/>
  <c r="Q129" i="44"/>
  <c r="P129" i="44"/>
  <c r="L129" i="44"/>
  <c r="M129" i="44" s="1"/>
  <c r="N129" i="44"/>
  <c r="K129" i="44"/>
  <c r="G129" i="44"/>
  <c r="E129" i="44"/>
  <c r="Q128" i="44"/>
  <c r="P128" i="44"/>
  <c r="L128" i="44"/>
  <c r="M128" i="44" s="1"/>
  <c r="N128" i="44" s="1"/>
  <c r="K128" i="44"/>
  <c r="G128" i="44"/>
  <c r="E128" i="44"/>
  <c r="U127" i="44"/>
  <c r="T127" i="44"/>
  <c r="S127" i="44"/>
  <c r="Q127" i="44"/>
  <c r="P127" i="44"/>
  <c r="L127" i="44"/>
  <c r="M127" i="44" s="1"/>
  <c r="N127" i="44" s="1"/>
  <c r="K127" i="44"/>
  <c r="G127" i="44"/>
  <c r="E127" i="44"/>
  <c r="Q126" i="44"/>
  <c r="P126" i="44"/>
  <c r="L126" i="44"/>
  <c r="M126" i="44"/>
  <c r="N126" i="44" s="1"/>
  <c r="K126" i="44"/>
  <c r="G126" i="44"/>
  <c r="E126" i="44"/>
  <c r="U125" i="44"/>
  <c r="T125" i="44"/>
  <c r="S125" i="44"/>
  <c r="Q125" i="44"/>
  <c r="P125" i="44"/>
  <c r="L125" i="44"/>
  <c r="M125" i="44" s="1"/>
  <c r="N125" i="44" s="1"/>
  <c r="K125" i="44"/>
  <c r="G125" i="44"/>
  <c r="E125" i="44"/>
  <c r="Q124" i="44"/>
  <c r="P124" i="44"/>
  <c r="L124" i="44"/>
  <c r="M124" i="44" s="1"/>
  <c r="N124" i="44" s="1"/>
  <c r="K124" i="44"/>
  <c r="G124" i="44"/>
  <c r="E124" i="44"/>
  <c r="U123" i="44"/>
  <c r="T123" i="44"/>
  <c r="S123" i="44"/>
  <c r="Q123" i="44"/>
  <c r="P123" i="44"/>
  <c r="L123" i="44"/>
  <c r="M123" i="44" s="1"/>
  <c r="N123" i="44" s="1"/>
  <c r="K123" i="44"/>
  <c r="G123" i="44"/>
  <c r="E123" i="44"/>
  <c r="Q122" i="44"/>
  <c r="P122" i="44"/>
  <c r="L122" i="44"/>
  <c r="M122" i="44" s="1"/>
  <c r="N122" i="44" s="1"/>
  <c r="K122" i="44"/>
  <c r="G122" i="44"/>
  <c r="E122" i="44"/>
  <c r="Q121" i="44"/>
  <c r="P121" i="44"/>
  <c r="L121" i="44"/>
  <c r="M121" i="44"/>
  <c r="N121" i="44" s="1"/>
  <c r="K121" i="44"/>
  <c r="G121" i="44"/>
  <c r="E121" i="44"/>
  <c r="U120" i="44"/>
  <c r="T120" i="44"/>
  <c r="S120" i="44"/>
  <c r="Q120" i="44"/>
  <c r="P120" i="44"/>
  <c r="L120" i="44"/>
  <c r="M120" i="44" s="1"/>
  <c r="N120" i="44" s="1"/>
  <c r="K120" i="44"/>
  <c r="G120" i="44"/>
  <c r="E120" i="44"/>
  <c r="Q119" i="44"/>
  <c r="P119" i="44"/>
  <c r="L119" i="44"/>
  <c r="M119" i="44" s="1"/>
  <c r="N119" i="44" s="1"/>
  <c r="K119" i="44"/>
  <c r="G119" i="44"/>
  <c r="E119" i="44"/>
  <c r="Q118" i="44"/>
  <c r="P118" i="44"/>
  <c r="L118" i="44"/>
  <c r="M118" i="44" s="1"/>
  <c r="N118" i="44" s="1"/>
  <c r="K118" i="44"/>
  <c r="G118" i="44"/>
  <c r="E118" i="44"/>
  <c r="U117" i="44"/>
  <c r="T117" i="44"/>
  <c r="S117" i="44"/>
  <c r="Q117" i="44"/>
  <c r="P117" i="44"/>
  <c r="L117" i="44"/>
  <c r="M117" i="44" s="1"/>
  <c r="N117" i="44" s="1"/>
  <c r="K117" i="44"/>
  <c r="G117" i="44"/>
  <c r="E117" i="44"/>
  <c r="Q116" i="44"/>
  <c r="P116" i="44"/>
  <c r="L116" i="44"/>
  <c r="M116" i="44" s="1"/>
  <c r="N116" i="44" s="1"/>
  <c r="K116" i="44"/>
  <c r="G116" i="44"/>
  <c r="E116" i="44"/>
  <c r="U115" i="44"/>
  <c r="T115" i="44"/>
  <c r="S115" i="44"/>
  <c r="Q115" i="44"/>
  <c r="P115" i="44"/>
  <c r="L115" i="44"/>
  <c r="M115" i="44" s="1"/>
  <c r="N115" i="44" s="1"/>
  <c r="K115" i="44"/>
  <c r="G115" i="44"/>
  <c r="E115" i="44"/>
  <c r="U114" i="44"/>
  <c r="T114" i="44"/>
  <c r="S114" i="44"/>
  <c r="Q114" i="44"/>
  <c r="P114" i="44"/>
  <c r="L114" i="44"/>
  <c r="M114" i="44" s="1"/>
  <c r="N114" i="44" s="1"/>
  <c r="K114" i="44"/>
  <c r="G114" i="44"/>
  <c r="E114" i="44"/>
  <c r="Q113" i="44"/>
  <c r="P113" i="44"/>
  <c r="L113" i="44"/>
  <c r="M113" i="44" s="1"/>
  <c r="N113" i="44" s="1"/>
  <c r="K113" i="44"/>
  <c r="G113" i="44"/>
  <c r="E113" i="44"/>
  <c r="Q112" i="44"/>
  <c r="P112" i="44"/>
  <c r="L112" i="44"/>
  <c r="M112" i="44"/>
  <c r="N112" i="44" s="1"/>
  <c r="K112" i="44"/>
  <c r="G112" i="44"/>
  <c r="E112" i="44"/>
  <c r="U111" i="44"/>
  <c r="T111" i="44"/>
  <c r="S111" i="44"/>
  <c r="Q111" i="44"/>
  <c r="P111" i="44"/>
  <c r="L111" i="44"/>
  <c r="M111" i="44"/>
  <c r="N111" i="44" s="1"/>
  <c r="K111" i="44"/>
  <c r="G111" i="44"/>
  <c r="E111" i="44"/>
  <c r="Q110" i="44"/>
  <c r="P110" i="44"/>
  <c r="L110" i="44"/>
  <c r="M110" i="44"/>
  <c r="N110" i="44" s="1"/>
  <c r="K110" i="44"/>
  <c r="G110" i="44"/>
  <c r="E110" i="44"/>
  <c r="Q109" i="44"/>
  <c r="P109" i="44"/>
  <c r="L109" i="44"/>
  <c r="M109" i="44" s="1"/>
  <c r="N109" i="44" s="1"/>
  <c r="K109" i="44"/>
  <c r="G109" i="44"/>
  <c r="E109" i="44"/>
  <c r="Q108" i="44"/>
  <c r="P108" i="44"/>
  <c r="L108" i="44"/>
  <c r="M108" i="44" s="1"/>
  <c r="N108" i="44" s="1"/>
  <c r="K108" i="44"/>
  <c r="G108" i="44"/>
  <c r="E108" i="44"/>
  <c r="Q107" i="44"/>
  <c r="P107" i="44"/>
  <c r="L107" i="44"/>
  <c r="M107" i="44" s="1"/>
  <c r="N107" i="44" s="1"/>
  <c r="K107" i="44"/>
  <c r="G107" i="44"/>
  <c r="E107" i="44"/>
  <c r="Q106" i="44"/>
  <c r="P106" i="44"/>
  <c r="L106" i="44"/>
  <c r="M106" i="44" s="1"/>
  <c r="N106" i="44" s="1"/>
  <c r="K106" i="44"/>
  <c r="G106" i="44"/>
  <c r="E106" i="44"/>
  <c r="U105" i="44"/>
  <c r="T105" i="44"/>
  <c r="S105" i="44"/>
  <c r="Q105" i="44"/>
  <c r="P105" i="44"/>
  <c r="L105" i="44"/>
  <c r="M105" i="44" s="1"/>
  <c r="N105" i="44" s="1"/>
  <c r="K105" i="44"/>
  <c r="G105" i="44"/>
  <c r="E105" i="44"/>
  <c r="Q104" i="44"/>
  <c r="P104" i="44"/>
  <c r="L104" i="44"/>
  <c r="M104" i="44"/>
  <c r="N104" i="44" s="1"/>
  <c r="K104" i="44"/>
  <c r="G104" i="44"/>
  <c r="E104" i="44"/>
  <c r="U103" i="44"/>
  <c r="T103" i="44"/>
  <c r="S103" i="44"/>
  <c r="Q103" i="44"/>
  <c r="P103" i="44"/>
  <c r="L103" i="44"/>
  <c r="M103" i="44" s="1"/>
  <c r="N103" i="44" s="1"/>
  <c r="K103" i="44"/>
  <c r="G103" i="44"/>
  <c r="E103" i="44"/>
  <c r="Q102" i="44"/>
  <c r="P102" i="44"/>
  <c r="L102" i="44"/>
  <c r="M102" i="44" s="1"/>
  <c r="N102" i="44" s="1"/>
  <c r="K102" i="44"/>
  <c r="G102" i="44"/>
  <c r="E102" i="44"/>
  <c r="Q101" i="44"/>
  <c r="P101" i="44"/>
  <c r="L101" i="44"/>
  <c r="M101" i="44" s="1"/>
  <c r="N101" i="44" s="1"/>
  <c r="K101" i="44"/>
  <c r="G101" i="44"/>
  <c r="E101" i="44"/>
  <c r="Q100" i="44"/>
  <c r="P100" i="44"/>
  <c r="L100" i="44"/>
  <c r="M100" i="44" s="1"/>
  <c r="N100" i="44" s="1"/>
  <c r="K100" i="44"/>
  <c r="G100" i="44"/>
  <c r="E100" i="44"/>
  <c r="Q99" i="44"/>
  <c r="P99" i="44"/>
  <c r="L99" i="44"/>
  <c r="M99" i="44"/>
  <c r="N99" i="44" s="1"/>
  <c r="K99" i="44"/>
  <c r="G99" i="44"/>
  <c r="E99" i="44"/>
  <c r="U98" i="44"/>
  <c r="T98" i="44"/>
  <c r="S98" i="44"/>
  <c r="Q98" i="44"/>
  <c r="P98" i="44"/>
  <c r="L98" i="44"/>
  <c r="M98" i="44" s="1"/>
  <c r="N98" i="44"/>
  <c r="K98" i="44"/>
  <c r="G98" i="44"/>
  <c r="E98" i="44"/>
  <c r="Q97" i="44"/>
  <c r="P97" i="44"/>
  <c r="L97" i="44"/>
  <c r="M97" i="44" s="1"/>
  <c r="N97" i="44" s="1"/>
  <c r="K97" i="44"/>
  <c r="G97" i="44"/>
  <c r="E97" i="44"/>
  <c r="U96" i="44"/>
  <c r="T96" i="44"/>
  <c r="S96" i="44"/>
  <c r="Q96" i="44"/>
  <c r="P96" i="44"/>
  <c r="L96" i="44"/>
  <c r="M96" i="44" s="1"/>
  <c r="N96" i="44" s="1"/>
  <c r="K96" i="44"/>
  <c r="G96" i="44"/>
  <c r="E96" i="44"/>
  <c r="Q95" i="44"/>
  <c r="P95" i="44"/>
  <c r="L95" i="44"/>
  <c r="M95" i="44" s="1"/>
  <c r="N95" i="44" s="1"/>
  <c r="K95" i="44"/>
  <c r="G95" i="44"/>
  <c r="E95" i="44"/>
  <c r="Q94" i="44"/>
  <c r="P94" i="44"/>
  <c r="L94" i="44"/>
  <c r="M94" i="44" s="1"/>
  <c r="N94" i="44" s="1"/>
  <c r="Q93" i="44"/>
  <c r="P93" i="44"/>
  <c r="L93" i="44"/>
  <c r="M93" i="44" s="1"/>
  <c r="N93" i="44" s="1"/>
  <c r="K93" i="44"/>
  <c r="G93" i="44"/>
  <c r="E93" i="44"/>
  <c r="Q92" i="44"/>
  <c r="P92" i="44"/>
  <c r="L92" i="44"/>
  <c r="M92" i="44" s="1"/>
  <c r="N92" i="44" s="1"/>
  <c r="K92" i="44"/>
  <c r="G92" i="44"/>
  <c r="E92" i="44"/>
  <c r="U91" i="44"/>
  <c r="T91" i="44"/>
  <c r="S91" i="44"/>
  <c r="Q91" i="44"/>
  <c r="P91" i="44"/>
  <c r="L91" i="44"/>
  <c r="M91" i="44" s="1"/>
  <c r="N91" i="44" s="1"/>
  <c r="K91" i="44"/>
  <c r="G91" i="44"/>
  <c r="E91" i="44"/>
  <c r="Q90" i="44"/>
  <c r="P90" i="44"/>
  <c r="L90" i="44"/>
  <c r="M90" i="44"/>
  <c r="N90" i="44" s="1"/>
  <c r="K90" i="44"/>
  <c r="G90" i="44"/>
  <c r="E90" i="44"/>
  <c r="U89" i="44"/>
  <c r="T89" i="44"/>
  <c r="S89" i="44"/>
  <c r="Q89" i="44"/>
  <c r="P89" i="44"/>
  <c r="L89" i="44"/>
  <c r="M89" i="44" s="1"/>
  <c r="N89" i="44" s="1"/>
  <c r="K89" i="44"/>
  <c r="G89" i="44"/>
  <c r="E89" i="44"/>
  <c r="U88" i="44"/>
  <c r="T88" i="44"/>
  <c r="S88" i="44"/>
  <c r="Q88" i="44"/>
  <c r="P88" i="44"/>
  <c r="L88" i="44"/>
  <c r="M88" i="44" s="1"/>
  <c r="N88" i="44" s="1"/>
  <c r="K88" i="44"/>
  <c r="G88" i="44"/>
  <c r="E88" i="44"/>
  <c r="Q87" i="44"/>
  <c r="P87" i="44"/>
  <c r="L87" i="44"/>
  <c r="M87" i="44"/>
  <c r="N87" i="44" s="1"/>
  <c r="U86" i="44"/>
  <c r="T86" i="44"/>
  <c r="S86" i="44"/>
  <c r="Q86" i="44"/>
  <c r="P86" i="44"/>
  <c r="L86" i="44"/>
  <c r="M86" i="44" s="1"/>
  <c r="N86" i="44" s="1"/>
  <c r="K86" i="44"/>
  <c r="G86" i="44"/>
  <c r="E86" i="44"/>
  <c r="Q85" i="44"/>
  <c r="P85" i="44"/>
  <c r="L85" i="44"/>
  <c r="M85" i="44" s="1"/>
  <c r="N85" i="44" s="1"/>
  <c r="K85" i="44"/>
  <c r="G85" i="44"/>
  <c r="E85" i="44"/>
  <c r="Q84" i="44"/>
  <c r="P84" i="44"/>
  <c r="L84" i="44"/>
  <c r="M84" i="44" s="1"/>
  <c r="N84" i="44" s="1"/>
  <c r="K84" i="44"/>
  <c r="G84" i="44"/>
  <c r="E84" i="44"/>
  <c r="U83" i="44"/>
  <c r="T83" i="44"/>
  <c r="S83" i="44"/>
  <c r="Q83" i="44"/>
  <c r="P83" i="44"/>
  <c r="L83" i="44"/>
  <c r="M83" i="44" s="1"/>
  <c r="N83" i="44" s="1"/>
  <c r="Q82" i="44"/>
  <c r="P82" i="44"/>
  <c r="L82" i="44"/>
  <c r="M82" i="44" s="1"/>
  <c r="N82" i="44" s="1"/>
  <c r="K82" i="44"/>
  <c r="G82" i="44"/>
  <c r="E82" i="44"/>
  <c r="Q81" i="44"/>
  <c r="P81" i="44"/>
  <c r="L81" i="44"/>
  <c r="M81" i="44"/>
  <c r="N81" i="44" s="1"/>
  <c r="K81" i="44"/>
  <c r="G81" i="44"/>
  <c r="E81" i="44"/>
  <c r="Q80" i="44"/>
  <c r="P80" i="44"/>
  <c r="L80" i="44"/>
  <c r="M80" i="44" s="1"/>
  <c r="N80" i="44" s="1"/>
  <c r="K80" i="44"/>
  <c r="G80" i="44"/>
  <c r="E80" i="44"/>
  <c r="U79" i="44"/>
  <c r="T79" i="44"/>
  <c r="S79" i="44"/>
  <c r="Q79" i="44"/>
  <c r="P79" i="44"/>
  <c r="L79" i="44"/>
  <c r="M79" i="44"/>
  <c r="N79" i="44" s="1"/>
  <c r="K79" i="44"/>
  <c r="G79" i="44"/>
  <c r="E79" i="44"/>
  <c r="Q78" i="44"/>
  <c r="P78" i="44"/>
  <c r="L78" i="44"/>
  <c r="M78" i="44" s="1"/>
  <c r="N78" i="44" s="1"/>
  <c r="K78" i="44"/>
  <c r="G78" i="44"/>
  <c r="E78" i="44"/>
  <c r="U77" i="44"/>
  <c r="T77" i="44"/>
  <c r="S77" i="44"/>
  <c r="Q77" i="44"/>
  <c r="P77" i="44"/>
  <c r="L77" i="44"/>
  <c r="M77" i="44" s="1"/>
  <c r="N77" i="44" s="1"/>
  <c r="K77" i="44"/>
  <c r="G77" i="44"/>
  <c r="E77" i="44"/>
  <c r="U76" i="44"/>
  <c r="T76" i="44"/>
  <c r="S76" i="44"/>
  <c r="Q76" i="44"/>
  <c r="P76" i="44"/>
  <c r="L76" i="44"/>
  <c r="M76" i="44" s="1"/>
  <c r="N76" i="44" s="1"/>
  <c r="K76" i="44"/>
  <c r="G76" i="44"/>
  <c r="E76" i="44"/>
  <c r="Q75" i="44"/>
  <c r="P75" i="44"/>
  <c r="L75" i="44"/>
  <c r="M75" i="44" s="1"/>
  <c r="N75" i="44" s="1"/>
  <c r="U74" i="44"/>
  <c r="T74" i="44"/>
  <c r="S74" i="44"/>
  <c r="Q74" i="44"/>
  <c r="P74" i="44"/>
  <c r="L74" i="44"/>
  <c r="M74" i="44"/>
  <c r="N74" i="44" s="1"/>
  <c r="K74" i="44"/>
  <c r="G74" i="44"/>
  <c r="E74" i="44"/>
  <c r="Q73" i="44"/>
  <c r="P73" i="44"/>
  <c r="L73" i="44"/>
  <c r="M73" i="44" s="1"/>
  <c r="N73" i="44" s="1"/>
  <c r="K73" i="44"/>
  <c r="G73" i="44"/>
  <c r="E73" i="44"/>
  <c r="Q72" i="44"/>
  <c r="P72" i="44"/>
  <c r="L72" i="44"/>
  <c r="M72" i="44"/>
  <c r="N72" i="44" s="1"/>
  <c r="K72" i="44"/>
  <c r="G72" i="44"/>
  <c r="E72" i="44"/>
  <c r="Q71" i="44"/>
  <c r="P71" i="44"/>
  <c r="L71" i="44"/>
  <c r="M71" i="44" s="1"/>
  <c r="N71" i="44" s="1"/>
  <c r="K71" i="44"/>
  <c r="G71" i="44"/>
  <c r="E71" i="44"/>
  <c r="Q70" i="44"/>
  <c r="P70" i="44"/>
  <c r="L70" i="44"/>
  <c r="M70" i="44" s="1"/>
  <c r="N70" i="44" s="1"/>
  <c r="K70" i="44"/>
  <c r="G70" i="44"/>
  <c r="E70" i="44"/>
  <c r="Q69" i="44"/>
  <c r="P69" i="44"/>
  <c r="L69" i="44"/>
  <c r="M69" i="44" s="1"/>
  <c r="N69" i="44" s="1"/>
  <c r="K69" i="44"/>
  <c r="G69" i="44"/>
  <c r="E69" i="44"/>
  <c r="Q68" i="44"/>
  <c r="P68" i="44"/>
  <c r="L68" i="44"/>
  <c r="M68" i="44" s="1"/>
  <c r="N68" i="44" s="1"/>
  <c r="K68" i="44"/>
  <c r="G68" i="44"/>
  <c r="E68" i="44"/>
  <c r="Q67" i="44"/>
  <c r="P67" i="44"/>
  <c r="L67" i="44"/>
  <c r="M67" i="44" s="1"/>
  <c r="N67" i="44" s="1"/>
  <c r="K67" i="44"/>
  <c r="G67" i="44"/>
  <c r="E67" i="44"/>
  <c r="Q66" i="44"/>
  <c r="P66" i="44"/>
  <c r="L66" i="44"/>
  <c r="M66" i="44"/>
  <c r="N66" i="44" s="1"/>
  <c r="K66" i="44"/>
  <c r="G66" i="44"/>
  <c r="E66" i="44"/>
  <c r="Q65" i="44"/>
  <c r="P65" i="44"/>
  <c r="L65" i="44"/>
  <c r="M65" i="44"/>
  <c r="N65" i="44"/>
  <c r="K65" i="44"/>
  <c r="G65" i="44"/>
  <c r="E65" i="44"/>
  <c r="Q64" i="44"/>
  <c r="P64" i="44"/>
  <c r="L64" i="44"/>
  <c r="M64" i="44" s="1"/>
  <c r="N64" i="44" s="1"/>
  <c r="K64" i="44"/>
  <c r="G64" i="44"/>
  <c r="E64" i="44"/>
  <c r="Q63" i="44"/>
  <c r="P63" i="44"/>
  <c r="L63" i="44"/>
  <c r="M63" i="44" s="1"/>
  <c r="N63" i="44" s="1"/>
  <c r="K63" i="44"/>
  <c r="G63" i="44"/>
  <c r="E63" i="44"/>
  <c r="Q62" i="44"/>
  <c r="P62" i="44"/>
  <c r="L62" i="44"/>
  <c r="M62" i="44"/>
  <c r="N62" i="44"/>
  <c r="K62" i="44"/>
  <c r="G62" i="44"/>
  <c r="E62" i="44"/>
  <c r="Q61" i="44"/>
  <c r="P61" i="44"/>
  <c r="L61" i="44"/>
  <c r="M61" i="44" s="1"/>
  <c r="N61" i="44" s="1"/>
  <c r="K61" i="44"/>
  <c r="G61" i="44"/>
  <c r="E61" i="44"/>
  <c r="Q60" i="44"/>
  <c r="P60" i="44"/>
  <c r="L60" i="44"/>
  <c r="M60" i="44"/>
  <c r="N60" i="44" s="1"/>
  <c r="K60" i="44"/>
  <c r="G60" i="44"/>
  <c r="E60" i="44"/>
  <c r="Q59" i="44"/>
  <c r="P59" i="44"/>
  <c r="L59" i="44"/>
  <c r="M59" i="44"/>
  <c r="N59" i="44" s="1"/>
  <c r="K59" i="44"/>
  <c r="G59" i="44"/>
  <c r="E59" i="44"/>
  <c r="Q58" i="44"/>
  <c r="P58" i="44"/>
  <c r="L58" i="44"/>
  <c r="M58" i="44" s="1"/>
  <c r="N58" i="44" s="1"/>
  <c r="K58" i="44"/>
  <c r="G58" i="44"/>
  <c r="E58" i="44"/>
  <c r="Q57" i="44"/>
  <c r="P57" i="44"/>
  <c r="L57" i="44"/>
  <c r="M57" i="44" s="1"/>
  <c r="N57" i="44" s="1"/>
  <c r="K57" i="44"/>
  <c r="G57" i="44"/>
  <c r="E57" i="44"/>
  <c r="Q56" i="44"/>
  <c r="P56" i="44"/>
  <c r="L56" i="44"/>
  <c r="M56" i="44"/>
  <c r="N56" i="44" s="1"/>
  <c r="K56" i="44"/>
  <c r="G56" i="44"/>
  <c r="E56" i="44"/>
  <c r="Q55" i="44"/>
  <c r="P55" i="44"/>
  <c r="L55" i="44"/>
  <c r="M55" i="44" s="1"/>
  <c r="N55" i="44" s="1"/>
  <c r="K55" i="44"/>
  <c r="G55" i="44"/>
  <c r="E55" i="44"/>
  <c r="Q54" i="44"/>
  <c r="P54" i="44"/>
  <c r="L54" i="44"/>
  <c r="M54" i="44"/>
  <c r="N54" i="44" s="1"/>
  <c r="K54" i="44"/>
  <c r="G54" i="44"/>
  <c r="E54" i="44"/>
  <c r="Q53" i="44"/>
  <c r="P53" i="44"/>
  <c r="L53" i="44"/>
  <c r="M53" i="44" s="1"/>
  <c r="N53" i="44" s="1"/>
  <c r="K53" i="44"/>
  <c r="G53" i="44"/>
  <c r="E53" i="44"/>
  <c r="Q52" i="44"/>
  <c r="P52" i="44"/>
  <c r="L52" i="44"/>
  <c r="M52" i="44" s="1"/>
  <c r="N52" i="44" s="1"/>
  <c r="K52" i="44"/>
  <c r="G52" i="44"/>
  <c r="E52" i="44"/>
  <c r="Q51" i="44"/>
  <c r="P51" i="44"/>
  <c r="L51" i="44"/>
  <c r="M51" i="44"/>
  <c r="N51" i="44" s="1"/>
  <c r="K51" i="44"/>
  <c r="G51" i="44"/>
  <c r="E51" i="44"/>
  <c r="Q50" i="44"/>
  <c r="P50" i="44"/>
  <c r="L50" i="44"/>
  <c r="M50" i="44" s="1"/>
  <c r="N50" i="44" s="1"/>
  <c r="K50" i="44"/>
  <c r="G50" i="44"/>
  <c r="E50" i="44"/>
  <c r="Q49" i="44"/>
  <c r="P49" i="44"/>
  <c r="L49" i="44"/>
  <c r="M49" i="44" s="1"/>
  <c r="N49" i="44" s="1"/>
  <c r="K49" i="44"/>
  <c r="G49" i="44"/>
  <c r="E49" i="44"/>
  <c r="Q48" i="44"/>
  <c r="P48" i="44"/>
  <c r="L48" i="44"/>
  <c r="M48" i="44" s="1"/>
  <c r="N48" i="44" s="1"/>
  <c r="K48" i="44"/>
  <c r="G48" i="44"/>
  <c r="E48" i="44"/>
  <c r="Q47" i="44"/>
  <c r="P47" i="44"/>
  <c r="L47" i="44"/>
  <c r="M47" i="44"/>
  <c r="N47" i="44"/>
  <c r="K47" i="44"/>
  <c r="G47" i="44"/>
  <c r="E47" i="44"/>
  <c r="Q46" i="44"/>
  <c r="P46" i="44"/>
  <c r="L46" i="44"/>
  <c r="M46" i="44" s="1"/>
  <c r="N46" i="44" s="1"/>
  <c r="K46" i="44"/>
  <c r="G46" i="44"/>
  <c r="E46" i="44"/>
  <c r="Q45" i="44"/>
  <c r="P45" i="44"/>
  <c r="L45" i="44"/>
  <c r="M45" i="44"/>
  <c r="N45" i="44" s="1"/>
  <c r="K45" i="44"/>
  <c r="G45" i="44"/>
  <c r="E45" i="44"/>
  <c r="Q44" i="44"/>
  <c r="P44" i="44"/>
  <c r="L44" i="44"/>
  <c r="K44" i="44"/>
  <c r="G44" i="44"/>
  <c r="E44" i="44"/>
  <c r="U43" i="44"/>
  <c r="T43" i="44"/>
  <c r="S43" i="44"/>
  <c r="Q43" i="44"/>
  <c r="P43" i="44"/>
  <c r="L43" i="44"/>
  <c r="M43" i="44" s="1"/>
  <c r="N43" i="44" s="1"/>
  <c r="K43" i="44"/>
  <c r="G43" i="44"/>
  <c r="E43" i="44"/>
  <c r="Q42" i="44"/>
  <c r="P42" i="44"/>
  <c r="L42" i="44"/>
  <c r="M42" i="44" s="1"/>
  <c r="N42" i="44" s="1"/>
  <c r="K42" i="44"/>
  <c r="G42" i="44"/>
  <c r="E42" i="44"/>
  <c r="Q41" i="44"/>
  <c r="P41" i="44"/>
  <c r="L41" i="44"/>
  <c r="M41" i="44" s="1"/>
  <c r="N41" i="44" s="1"/>
  <c r="K41" i="44"/>
  <c r="G41" i="44"/>
  <c r="E41" i="44"/>
  <c r="Q40" i="44"/>
  <c r="P40" i="44"/>
  <c r="L40" i="44"/>
  <c r="M40" i="44" s="1"/>
  <c r="N40" i="44" s="1"/>
  <c r="K40" i="44"/>
  <c r="G40" i="44"/>
  <c r="E40" i="44"/>
  <c r="Q39" i="44"/>
  <c r="P39" i="44"/>
  <c r="L39" i="44"/>
  <c r="M39" i="44" s="1"/>
  <c r="N39" i="44" s="1"/>
  <c r="Q38" i="44"/>
  <c r="P38" i="44"/>
  <c r="L38" i="44"/>
  <c r="M38" i="44" s="1"/>
  <c r="N38" i="44" s="1"/>
  <c r="K38" i="44"/>
  <c r="G38" i="44"/>
  <c r="E38" i="44"/>
  <c r="Q37" i="44"/>
  <c r="P37" i="44"/>
  <c r="L37" i="44"/>
  <c r="M37" i="44" s="1"/>
  <c r="N37" i="44"/>
  <c r="K37" i="44"/>
  <c r="G37" i="44"/>
  <c r="E37" i="44"/>
  <c r="Q36" i="44"/>
  <c r="P36" i="44"/>
  <c r="L36" i="44"/>
  <c r="M36" i="44" s="1"/>
  <c r="N36" i="44" s="1"/>
  <c r="K36" i="44"/>
  <c r="G36" i="44"/>
  <c r="E36" i="44"/>
  <c r="Q35" i="44"/>
  <c r="P35" i="44"/>
  <c r="L35" i="44"/>
  <c r="M35" i="44" s="1"/>
  <c r="N35" i="44" s="1"/>
  <c r="K35" i="44"/>
  <c r="G35" i="44"/>
  <c r="E35" i="44"/>
  <c r="Q34" i="44"/>
  <c r="P34" i="44"/>
  <c r="L34" i="44"/>
  <c r="M34" i="44" s="1"/>
  <c r="N34" i="44" s="1"/>
  <c r="K34" i="44"/>
  <c r="G34" i="44"/>
  <c r="E34" i="44"/>
  <c r="Q33" i="44"/>
  <c r="P33" i="44"/>
  <c r="L33" i="44"/>
  <c r="M33" i="44"/>
  <c r="N33" i="44" s="1"/>
  <c r="K33" i="44"/>
  <c r="G33" i="44"/>
  <c r="E33" i="44"/>
  <c r="Q32" i="44"/>
  <c r="P32" i="44"/>
  <c r="L32" i="44"/>
  <c r="M32" i="44" s="1"/>
  <c r="N32" i="44" s="1"/>
  <c r="K32" i="44"/>
  <c r="G32" i="44"/>
  <c r="E32" i="44"/>
  <c r="Q31" i="44"/>
  <c r="P31" i="44"/>
  <c r="L31" i="44"/>
  <c r="M31" i="44" s="1"/>
  <c r="N31" i="44" s="1"/>
  <c r="K31" i="44"/>
  <c r="G31" i="44"/>
  <c r="E31" i="44"/>
  <c r="Q30" i="44"/>
  <c r="P30" i="44"/>
  <c r="L30" i="44"/>
  <c r="M30" i="44"/>
  <c r="N30" i="44" s="1"/>
  <c r="K30" i="44"/>
  <c r="G30" i="44"/>
  <c r="E30" i="44"/>
  <c r="Q29" i="44"/>
  <c r="P29" i="44"/>
  <c r="L29" i="44"/>
  <c r="M29" i="44" s="1"/>
  <c r="N29" i="44" s="1"/>
  <c r="K29" i="44"/>
  <c r="G29" i="44"/>
  <c r="E29" i="44"/>
  <c r="Q28" i="44"/>
  <c r="P28" i="44"/>
  <c r="L28" i="44"/>
  <c r="M28" i="44" s="1"/>
  <c r="N28" i="44"/>
  <c r="K28" i="44"/>
  <c r="G28" i="44"/>
  <c r="E28" i="44"/>
  <c r="U27" i="44"/>
  <c r="T27" i="44"/>
  <c r="S27" i="44"/>
  <c r="Q27" i="44"/>
  <c r="P27" i="44"/>
  <c r="L27" i="44"/>
  <c r="M27" i="44" s="1"/>
  <c r="N27" i="44" s="1"/>
  <c r="K27" i="44"/>
  <c r="G27" i="44"/>
  <c r="E27" i="44"/>
  <c r="Q26" i="44"/>
  <c r="P26" i="44"/>
  <c r="P417" i="44" s="1"/>
  <c r="C418" i="44" s="1"/>
  <c r="L26" i="44"/>
  <c r="L417" i="44" s="1"/>
  <c r="M26" i="44"/>
  <c r="N26" i="44" s="1"/>
  <c r="K26" i="44"/>
  <c r="G26" i="44"/>
  <c r="E26" i="44"/>
  <c r="Q25" i="44"/>
  <c r="P25" i="44"/>
  <c r="L25" i="44"/>
  <c r="M25" i="44"/>
  <c r="N25" i="44" s="1"/>
  <c r="K25" i="44"/>
  <c r="G25" i="44"/>
  <c r="E25" i="44"/>
  <c r="Q24" i="44"/>
  <c r="P24" i="44"/>
  <c r="L24" i="44"/>
  <c r="M24" i="44" s="1"/>
  <c r="N24" i="44" s="1"/>
  <c r="K24" i="44"/>
  <c r="G24" i="44"/>
  <c r="E24" i="44"/>
  <c r="U23" i="44"/>
  <c r="T23" i="44"/>
  <c r="S23" i="44"/>
  <c r="Q23" i="44"/>
  <c r="P23" i="44"/>
  <c r="L23" i="44"/>
  <c r="M23" i="44"/>
  <c r="N23" i="44" s="1"/>
  <c r="G23" i="44"/>
  <c r="E23" i="44"/>
  <c r="Q22" i="44"/>
  <c r="P22" i="44"/>
  <c r="L22" i="44"/>
  <c r="M22" i="44" s="1"/>
  <c r="N22" i="44" s="1"/>
  <c r="Q21" i="44"/>
  <c r="P21" i="44"/>
  <c r="L21" i="44"/>
  <c r="M21" i="44" s="1"/>
  <c r="N21" i="44" s="1"/>
  <c r="Q20" i="44"/>
  <c r="P20" i="44"/>
  <c r="L20" i="44"/>
  <c r="M20" i="44"/>
  <c r="N20" i="44" s="1"/>
  <c r="K20" i="44"/>
  <c r="G20" i="44"/>
  <c r="E20" i="44"/>
  <c r="Q19" i="44"/>
  <c r="Q417" i="44" s="1"/>
  <c r="P19" i="44"/>
  <c r="L19" i="44"/>
  <c r="M19" i="44" s="1"/>
  <c r="N19" i="44" s="1"/>
  <c r="K19" i="44"/>
  <c r="G19" i="44"/>
  <c r="E19" i="44"/>
  <c r="Q18" i="44"/>
  <c r="P18" i="44"/>
  <c r="L18" i="44"/>
  <c r="M18" i="44" s="1"/>
  <c r="N18" i="44"/>
  <c r="K18" i="44"/>
  <c r="G18" i="44"/>
  <c r="E18" i="44"/>
  <c r="Q17" i="44"/>
  <c r="P17" i="44"/>
  <c r="L17" i="44"/>
  <c r="M17" i="44"/>
  <c r="N17" i="44" s="1"/>
  <c r="K17" i="44"/>
  <c r="G17" i="44"/>
  <c r="E17" i="44"/>
  <c r="U16" i="44"/>
  <c r="T16" i="44"/>
  <c r="S16" i="44"/>
  <c r="Q16" i="44"/>
  <c r="P16" i="44"/>
  <c r="L16" i="44"/>
  <c r="M16" i="44" s="1"/>
  <c r="N16" i="44" s="1"/>
  <c r="K16" i="44"/>
  <c r="G16" i="44"/>
  <c r="E16" i="44"/>
  <c r="Q15" i="44"/>
  <c r="P15" i="44"/>
  <c r="L15" i="44"/>
  <c r="M15" i="44" s="1"/>
  <c r="U14" i="44"/>
  <c r="T14" i="44"/>
  <c r="S14" i="44"/>
  <c r="Q14" i="44"/>
  <c r="P14" i="44"/>
  <c r="L14" i="44"/>
  <c r="M14" i="44" s="1"/>
  <c r="N14" i="44" s="1"/>
  <c r="K14" i="44"/>
  <c r="G14" i="44"/>
  <c r="E14" i="44"/>
  <c r="Q13" i="44"/>
  <c r="P13" i="44"/>
  <c r="L13" i="44"/>
  <c r="M13" i="44" s="1"/>
  <c r="N13" i="44" s="1"/>
  <c r="K13" i="44"/>
  <c r="G13" i="44"/>
  <c r="E13" i="44"/>
  <c r="Q12" i="44"/>
  <c r="P12" i="44"/>
  <c r="L12" i="44"/>
  <c r="M12" i="44" s="1"/>
  <c r="N12" i="44" s="1"/>
  <c r="K12" i="44"/>
  <c r="G12" i="44"/>
  <c r="E12" i="44"/>
  <c r="Q11" i="44"/>
  <c r="P11" i="44"/>
  <c r="L11" i="44"/>
  <c r="M11" i="44" s="1"/>
  <c r="N11" i="44" s="1"/>
  <c r="K11" i="44"/>
  <c r="G11" i="44"/>
  <c r="E11" i="44"/>
  <c r="Q10" i="44"/>
  <c r="P10" i="44"/>
  <c r="L10" i="44"/>
  <c r="M10" i="44"/>
  <c r="N10" i="44" s="1"/>
  <c r="K10" i="44"/>
  <c r="G10" i="44"/>
  <c r="E10" i="44"/>
  <c r="Q9" i="44"/>
  <c r="P9" i="44"/>
  <c r="L9" i="44"/>
  <c r="M9" i="44" s="1"/>
  <c r="N9" i="44" s="1"/>
  <c r="K9" i="44"/>
  <c r="G9" i="44"/>
  <c r="E9" i="44"/>
  <c r="Q8" i="44"/>
  <c r="P8" i="44"/>
  <c r="L8" i="44"/>
  <c r="M8" i="44" s="1"/>
  <c r="N8" i="44" s="1"/>
  <c r="K8" i="44"/>
  <c r="G8" i="44"/>
  <c r="E8" i="44"/>
  <c r="Q7" i="44"/>
  <c r="P7" i="44"/>
  <c r="L7" i="44"/>
  <c r="M7" i="44" s="1"/>
  <c r="K7" i="44"/>
  <c r="G7" i="44"/>
  <c r="E7" i="44"/>
  <c r="Q6" i="44"/>
  <c r="P6" i="44"/>
  <c r="L6" i="44"/>
  <c r="M6" i="44" s="1"/>
  <c r="N6" i="44" s="1"/>
  <c r="K6" i="44"/>
  <c r="G6" i="44"/>
  <c r="E6" i="44"/>
  <c r="J193" i="42"/>
  <c r="F193" i="42"/>
  <c r="L193" i="42" s="1"/>
  <c r="D193" i="42"/>
  <c r="S193" i="42" s="1"/>
  <c r="G23" i="42"/>
  <c r="E23" i="42"/>
  <c r="K322" i="43"/>
  <c r="G23" i="43"/>
  <c r="E23" i="43"/>
  <c r="C416" i="43"/>
  <c r="U415" i="43"/>
  <c r="T415" i="43"/>
  <c r="S415" i="43"/>
  <c r="Q415" i="43"/>
  <c r="P415" i="43"/>
  <c r="L415" i="43"/>
  <c r="M415" i="43" s="1"/>
  <c r="N415" i="43" s="1"/>
  <c r="Q414" i="43"/>
  <c r="P414" i="43"/>
  <c r="L414" i="43"/>
  <c r="M414" i="43"/>
  <c r="N414" i="43" s="1"/>
  <c r="K414" i="43"/>
  <c r="G414" i="43"/>
  <c r="E414" i="43"/>
  <c r="Q413" i="43"/>
  <c r="P413" i="43"/>
  <c r="L413" i="43"/>
  <c r="M413" i="43" s="1"/>
  <c r="N413" i="43" s="1"/>
  <c r="Q412" i="43"/>
  <c r="P412" i="43"/>
  <c r="L412" i="43"/>
  <c r="M412" i="43" s="1"/>
  <c r="N412" i="43" s="1"/>
  <c r="K412" i="43"/>
  <c r="G412" i="43"/>
  <c r="E412" i="43"/>
  <c r="Q411" i="43"/>
  <c r="P411" i="43"/>
  <c r="L411" i="43"/>
  <c r="M411" i="43" s="1"/>
  <c r="N411" i="43" s="1"/>
  <c r="U410" i="43"/>
  <c r="T410" i="43"/>
  <c r="S410" i="43"/>
  <c r="Q410" i="43"/>
  <c r="P410" i="43"/>
  <c r="L410" i="43"/>
  <c r="M410" i="43" s="1"/>
  <c r="N410" i="43" s="1"/>
  <c r="Q409" i="43"/>
  <c r="P409" i="43"/>
  <c r="L409" i="43"/>
  <c r="M409" i="43"/>
  <c r="N409" i="43" s="1"/>
  <c r="K409" i="43"/>
  <c r="G409" i="43"/>
  <c r="E409" i="43"/>
  <c r="Q408" i="43"/>
  <c r="P408" i="43"/>
  <c r="L408" i="43"/>
  <c r="M408" i="43" s="1"/>
  <c r="N408" i="43" s="1"/>
  <c r="K408" i="43"/>
  <c r="G408" i="43"/>
  <c r="E408" i="43"/>
  <c r="U407" i="43"/>
  <c r="T407" i="43"/>
  <c r="S407" i="43"/>
  <c r="Q407" i="43"/>
  <c r="P407" i="43"/>
  <c r="L407" i="43"/>
  <c r="M407" i="43" s="1"/>
  <c r="N407" i="43" s="1"/>
  <c r="K407" i="43"/>
  <c r="G407" i="43"/>
  <c r="E407" i="43"/>
  <c r="Q406" i="43"/>
  <c r="P406" i="43"/>
  <c r="L406" i="43"/>
  <c r="M406" i="43" s="1"/>
  <c r="N406" i="43" s="1"/>
  <c r="U405" i="43"/>
  <c r="T405" i="43"/>
  <c r="S405" i="43"/>
  <c r="Q405" i="43"/>
  <c r="P405" i="43"/>
  <c r="L405" i="43"/>
  <c r="M405" i="43"/>
  <c r="N405" i="43"/>
  <c r="K405" i="43"/>
  <c r="G405" i="43"/>
  <c r="E405" i="43"/>
  <c r="Q404" i="43"/>
  <c r="P404" i="43"/>
  <c r="L404" i="43"/>
  <c r="M404" i="43" s="1"/>
  <c r="N404" i="43" s="1"/>
  <c r="K404" i="43"/>
  <c r="G404" i="43"/>
  <c r="E404" i="43"/>
  <c r="Q403" i="43"/>
  <c r="P403" i="43"/>
  <c r="L403" i="43"/>
  <c r="M403" i="43" s="1"/>
  <c r="N403" i="43" s="1"/>
  <c r="K403" i="43"/>
  <c r="G403" i="43"/>
  <c r="E403" i="43"/>
  <c r="Q402" i="43"/>
  <c r="P402" i="43"/>
  <c r="L402" i="43"/>
  <c r="M402" i="43"/>
  <c r="N402" i="43" s="1"/>
  <c r="K402" i="43"/>
  <c r="G402" i="43"/>
  <c r="E402" i="43"/>
  <c r="Q401" i="43"/>
  <c r="P401" i="43"/>
  <c r="L401" i="43"/>
  <c r="M401" i="43" s="1"/>
  <c r="N401" i="43" s="1"/>
  <c r="K401" i="43"/>
  <c r="G401" i="43"/>
  <c r="E401" i="43"/>
  <c r="Q400" i="43"/>
  <c r="P400" i="43"/>
  <c r="L400" i="43"/>
  <c r="M400" i="43" s="1"/>
  <c r="N400" i="43" s="1"/>
  <c r="K400" i="43"/>
  <c r="G400" i="43"/>
  <c r="E400" i="43"/>
  <c r="Q399" i="43"/>
  <c r="P399" i="43"/>
  <c r="L399" i="43"/>
  <c r="M399" i="43" s="1"/>
  <c r="N399" i="43" s="1"/>
  <c r="K399" i="43"/>
  <c r="G399" i="43"/>
  <c r="E399" i="43"/>
  <c r="Q398" i="43"/>
  <c r="P398" i="43"/>
  <c r="L398" i="43"/>
  <c r="M398" i="43" s="1"/>
  <c r="N398" i="43" s="1"/>
  <c r="K398" i="43"/>
  <c r="G398" i="43"/>
  <c r="E398" i="43"/>
  <c r="Q397" i="43"/>
  <c r="P397" i="43"/>
  <c r="L397" i="43"/>
  <c r="M397" i="43" s="1"/>
  <c r="N397" i="43" s="1"/>
  <c r="K397" i="43"/>
  <c r="G397" i="43"/>
  <c r="E397" i="43"/>
  <c r="Q396" i="43"/>
  <c r="P396" i="43"/>
  <c r="L396" i="43"/>
  <c r="M396" i="43"/>
  <c r="N396" i="43" s="1"/>
  <c r="K396" i="43"/>
  <c r="G396" i="43"/>
  <c r="E396" i="43"/>
  <c r="Q395" i="43"/>
  <c r="P395" i="43"/>
  <c r="L395" i="43"/>
  <c r="M395" i="43"/>
  <c r="N395" i="43" s="1"/>
  <c r="K395" i="43"/>
  <c r="G395" i="43"/>
  <c r="E395" i="43"/>
  <c r="Q394" i="43"/>
  <c r="P394" i="43"/>
  <c r="L394" i="43"/>
  <c r="M394" i="43" s="1"/>
  <c r="N394" i="43" s="1"/>
  <c r="K394" i="43"/>
  <c r="G394" i="43"/>
  <c r="E394" i="43"/>
  <c r="Q393" i="43"/>
  <c r="P393" i="43"/>
  <c r="L393" i="43"/>
  <c r="M393" i="43" s="1"/>
  <c r="N393" i="43" s="1"/>
  <c r="K393" i="43"/>
  <c r="G393" i="43"/>
  <c r="E393" i="43"/>
  <c r="Q392" i="43"/>
  <c r="P392" i="43"/>
  <c r="L392" i="43"/>
  <c r="M392" i="43" s="1"/>
  <c r="N392" i="43" s="1"/>
  <c r="K392" i="43"/>
  <c r="G392" i="43"/>
  <c r="E392" i="43"/>
  <c r="Q391" i="43"/>
  <c r="P391" i="43"/>
  <c r="L391" i="43"/>
  <c r="M391" i="43" s="1"/>
  <c r="N391" i="43" s="1"/>
  <c r="K391" i="43"/>
  <c r="G391" i="43"/>
  <c r="E391" i="43"/>
  <c r="Q390" i="43"/>
  <c r="P390" i="43"/>
  <c r="L390" i="43"/>
  <c r="M390" i="43" s="1"/>
  <c r="N390" i="43" s="1"/>
  <c r="K390" i="43"/>
  <c r="G390" i="43"/>
  <c r="E390" i="43"/>
  <c r="U389" i="43"/>
  <c r="T389" i="43"/>
  <c r="S389" i="43"/>
  <c r="Q389" i="43"/>
  <c r="P389" i="43"/>
  <c r="L389" i="43"/>
  <c r="M389" i="43"/>
  <c r="N389" i="43" s="1"/>
  <c r="K389" i="43"/>
  <c r="G389" i="43"/>
  <c r="E389" i="43"/>
  <c r="Q388" i="43"/>
  <c r="P388" i="43"/>
  <c r="L388" i="43"/>
  <c r="M388" i="43" s="1"/>
  <c r="N388" i="43" s="1"/>
  <c r="Q387" i="43"/>
  <c r="P387" i="43"/>
  <c r="L387" i="43"/>
  <c r="M387" i="43" s="1"/>
  <c r="N387" i="43" s="1"/>
  <c r="K387" i="43"/>
  <c r="G387" i="43"/>
  <c r="E387" i="43"/>
  <c r="U386" i="43"/>
  <c r="T386" i="43"/>
  <c r="S386" i="43"/>
  <c r="Q386" i="43"/>
  <c r="P386" i="43"/>
  <c r="L386" i="43"/>
  <c r="M386" i="43"/>
  <c r="N386" i="43"/>
  <c r="K386" i="43"/>
  <c r="G386" i="43"/>
  <c r="E386" i="43"/>
  <c r="U385" i="43"/>
  <c r="T385" i="43"/>
  <c r="S385" i="43"/>
  <c r="Q385" i="43"/>
  <c r="P385" i="43"/>
  <c r="L385" i="43"/>
  <c r="M385" i="43" s="1"/>
  <c r="N385" i="43" s="1"/>
  <c r="K385" i="43"/>
  <c r="G385" i="43"/>
  <c r="E385" i="43"/>
  <c r="Q384" i="43"/>
  <c r="P384" i="43"/>
  <c r="L384" i="43"/>
  <c r="M384" i="43" s="1"/>
  <c r="N384" i="43" s="1"/>
  <c r="K384" i="43"/>
  <c r="G384" i="43"/>
  <c r="E384" i="43"/>
  <c r="U383" i="43"/>
  <c r="T383" i="43"/>
  <c r="S383" i="43"/>
  <c r="Q383" i="43"/>
  <c r="P383" i="43"/>
  <c r="L383" i="43"/>
  <c r="M383" i="43" s="1"/>
  <c r="N383" i="43"/>
  <c r="K383" i="43"/>
  <c r="G383" i="43"/>
  <c r="E383" i="43"/>
  <c r="Q382" i="43"/>
  <c r="P382" i="43"/>
  <c r="L382" i="43"/>
  <c r="M382" i="43" s="1"/>
  <c r="N382" i="43" s="1"/>
  <c r="K382" i="43"/>
  <c r="G382" i="43"/>
  <c r="E382" i="43"/>
  <c r="Q381" i="43"/>
  <c r="P381" i="43"/>
  <c r="L381" i="43"/>
  <c r="M381" i="43" s="1"/>
  <c r="N381" i="43" s="1"/>
  <c r="Q380" i="43"/>
  <c r="P380" i="43"/>
  <c r="L380" i="43"/>
  <c r="M380" i="43" s="1"/>
  <c r="N380" i="43"/>
  <c r="K380" i="43"/>
  <c r="G380" i="43"/>
  <c r="E380" i="43"/>
  <c r="Q379" i="43"/>
  <c r="P379" i="43"/>
  <c r="L379" i="43"/>
  <c r="M379" i="43" s="1"/>
  <c r="N379" i="43" s="1"/>
  <c r="K379" i="43"/>
  <c r="G379" i="43"/>
  <c r="E379" i="43"/>
  <c r="U378" i="43"/>
  <c r="T378" i="43"/>
  <c r="S378" i="43"/>
  <c r="Q378" i="43"/>
  <c r="P378" i="43"/>
  <c r="L378" i="43"/>
  <c r="M378" i="43" s="1"/>
  <c r="N378" i="43" s="1"/>
  <c r="K378" i="43"/>
  <c r="G378" i="43"/>
  <c r="E378" i="43"/>
  <c r="Q377" i="43"/>
  <c r="P377" i="43"/>
  <c r="L377" i="43"/>
  <c r="M377" i="43" s="1"/>
  <c r="N377" i="43" s="1"/>
  <c r="K377" i="43"/>
  <c r="G377" i="43"/>
  <c r="E377" i="43"/>
  <c r="Q376" i="43"/>
  <c r="P376" i="43"/>
  <c r="L376" i="43"/>
  <c r="M376" i="43"/>
  <c r="N376" i="43" s="1"/>
  <c r="K376" i="43"/>
  <c r="G376" i="43"/>
  <c r="E376" i="43"/>
  <c r="U375" i="43"/>
  <c r="T375" i="43"/>
  <c r="S375" i="43"/>
  <c r="Q375" i="43"/>
  <c r="P375" i="43"/>
  <c r="L375" i="43"/>
  <c r="M375" i="43" s="1"/>
  <c r="N375" i="43" s="1"/>
  <c r="K375" i="43"/>
  <c r="G375" i="43"/>
  <c r="E375" i="43"/>
  <c r="Q374" i="43"/>
  <c r="P374" i="43"/>
  <c r="L374" i="43"/>
  <c r="M374" i="43" s="1"/>
  <c r="N374" i="43" s="1"/>
  <c r="K374" i="43"/>
  <c r="G374" i="43"/>
  <c r="E374" i="43"/>
  <c r="Q373" i="43"/>
  <c r="P373" i="43"/>
  <c r="L373" i="43"/>
  <c r="M373" i="43" s="1"/>
  <c r="N373" i="43" s="1"/>
  <c r="K373" i="43"/>
  <c r="G373" i="43"/>
  <c r="E373" i="43"/>
  <c r="U372" i="43"/>
  <c r="T372" i="43"/>
  <c r="S372" i="43"/>
  <c r="Q372" i="43"/>
  <c r="P372" i="43"/>
  <c r="L372" i="43"/>
  <c r="M372" i="43"/>
  <c r="N372" i="43" s="1"/>
  <c r="K372" i="43"/>
  <c r="G372" i="43"/>
  <c r="E372" i="43"/>
  <c r="Q371" i="43"/>
  <c r="P371" i="43"/>
  <c r="L371" i="43"/>
  <c r="M371" i="43"/>
  <c r="N371" i="43" s="1"/>
  <c r="K371" i="43"/>
  <c r="G371" i="43"/>
  <c r="E371" i="43"/>
  <c r="Q370" i="43"/>
  <c r="P370" i="43"/>
  <c r="L370" i="43"/>
  <c r="M370" i="43" s="1"/>
  <c r="N370" i="43" s="1"/>
  <c r="K370" i="43"/>
  <c r="G370" i="43"/>
  <c r="E370" i="43"/>
  <c r="Q369" i="43"/>
  <c r="P369" i="43"/>
  <c r="L369" i="43"/>
  <c r="M369" i="43"/>
  <c r="N369" i="43" s="1"/>
  <c r="K369" i="43"/>
  <c r="G369" i="43"/>
  <c r="E369" i="43"/>
  <c r="Q368" i="43"/>
  <c r="P368" i="43"/>
  <c r="L368" i="43"/>
  <c r="M368" i="43" s="1"/>
  <c r="N368" i="43" s="1"/>
  <c r="K368" i="43"/>
  <c r="G368" i="43"/>
  <c r="E368" i="43"/>
  <c r="Q367" i="43"/>
  <c r="P367" i="43"/>
  <c r="L367" i="43"/>
  <c r="M367" i="43" s="1"/>
  <c r="N367" i="43" s="1"/>
  <c r="K367" i="43"/>
  <c r="G367" i="43"/>
  <c r="E367" i="43"/>
  <c r="Q366" i="43"/>
  <c r="P366" i="43"/>
  <c r="L366" i="43"/>
  <c r="M366" i="43" s="1"/>
  <c r="N366" i="43" s="1"/>
  <c r="K366" i="43"/>
  <c r="G366" i="43"/>
  <c r="E366" i="43"/>
  <c r="U365" i="43"/>
  <c r="T365" i="43"/>
  <c r="S365" i="43"/>
  <c r="Q365" i="43"/>
  <c r="P365" i="43"/>
  <c r="L365" i="43"/>
  <c r="M365" i="43" s="1"/>
  <c r="N365" i="43"/>
  <c r="K365" i="43"/>
  <c r="G365" i="43"/>
  <c r="E365" i="43"/>
  <c r="Q364" i="43"/>
  <c r="P364" i="43"/>
  <c r="L364" i="43"/>
  <c r="M364" i="43" s="1"/>
  <c r="N364" i="43" s="1"/>
  <c r="K364" i="43"/>
  <c r="G364" i="43"/>
  <c r="E364" i="43"/>
  <c r="Q363" i="43"/>
  <c r="P363" i="43"/>
  <c r="L363" i="43"/>
  <c r="M363" i="43" s="1"/>
  <c r="N363" i="43" s="1"/>
  <c r="K363" i="43"/>
  <c r="G363" i="43"/>
  <c r="E363" i="43"/>
  <c r="U362" i="43"/>
  <c r="T362" i="43"/>
  <c r="S362" i="43"/>
  <c r="Q362" i="43"/>
  <c r="P362" i="43"/>
  <c r="L362" i="43"/>
  <c r="M362" i="43" s="1"/>
  <c r="N362" i="43"/>
  <c r="K362" i="43"/>
  <c r="G362" i="43"/>
  <c r="E362" i="43"/>
  <c r="Q361" i="43"/>
  <c r="P361" i="43"/>
  <c r="L361" i="43"/>
  <c r="M361" i="43"/>
  <c r="N361" i="43" s="1"/>
  <c r="K361" i="43"/>
  <c r="G361" i="43"/>
  <c r="E361" i="43"/>
  <c r="Q360" i="43"/>
  <c r="P360" i="43"/>
  <c r="L360" i="43"/>
  <c r="M360" i="43" s="1"/>
  <c r="K360" i="43"/>
  <c r="G360" i="43"/>
  <c r="E360" i="43"/>
  <c r="U359" i="43"/>
  <c r="T359" i="43"/>
  <c r="S359" i="43"/>
  <c r="Q359" i="43"/>
  <c r="P359" i="43"/>
  <c r="L359" i="43"/>
  <c r="M359" i="43" s="1"/>
  <c r="N359" i="43" s="1"/>
  <c r="K359" i="43"/>
  <c r="G359" i="43"/>
  <c r="E359" i="43"/>
  <c r="Q358" i="43"/>
  <c r="P358" i="43"/>
  <c r="L358" i="43"/>
  <c r="M358" i="43"/>
  <c r="N358" i="43" s="1"/>
  <c r="K358" i="43"/>
  <c r="G358" i="43"/>
  <c r="E358" i="43"/>
  <c r="Q357" i="43"/>
  <c r="P357" i="43"/>
  <c r="L357" i="43"/>
  <c r="M357" i="43" s="1"/>
  <c r="N357" i="43"/>
  <c r="K357" i="43"/>
  <c r="G357" i="43"/>
  <c r="E357" i="43"/>
  <c r="Q356" i="43"/>
  <c r="P356" i="43"/>
  <c r="L356" i="43"/>
  <c r="M356" i="43" s="1"/>
  <c r="N356" i="43" s="1"/>
  <c r="K356" i="43"/>
  <c r="G356" i="43"/>
  <c r="E356" i="43"/>
  <c r="Q355" i="43"/>
  <c r="P355" i="43"/>
  <c r="L355" i="43"/>
  <c r="M355" i="43"/>
  <c r="N355" i="43" s="1"/>
  <c r="K355" i="43"/>
  <c r="G355" i="43"/>
  <c r="E355" i="43"/>
  <c r="U354" i="43"/>
  <c r="T354" i="43"/>
  <c r="S354" i="43"/>
  <c r="Q354" i="43"/>
  <c r="P354" i="43"/>
  <c r="L354" i="43"/>
  <c r="M354" i="43" s="1"/>
  <c r="N354" i="43" s="1"/>
  <c r="K354" i="43"/>
  <c r="G354" i="43"/>
  <c r="E354" i="43"/>
  <c r="Q353" i="43"/>
  <c r="P353" i="43"/>
  <c r="L353" i="43"/>
  <c r="M353" i="43" s="1"/>
  <c r="N353" i="43" s="1"/>
  <c r="K353" i="43"/>
  <c r="G353" i="43"/>
  <c r="E353" i="43"/>
  <c r="Q352" i="43"/>
  <c r="P352" i="43"/>
  <c r="L352" i="43"/>
  <c r="M352" i="43"/>
  <c r="N352" i="43" s="1"/>
  <c r="K352" i="43"/>
  <c r="G352" i="43"/>
  <c r="E352" i="43"/>
  <c r="Q351" i="43"/>
  <c r="P351" i="43"/>
  <c r="L351" i="43"/>
  <c r="M351" i="43" s="1"/>
  <c r="N351" i="43" s="1"/>
  <c r="K351" i="43"/>
  <c r="G351" i="43"/>
  <c r="E351" i="43"/>
  <c r="Q350" i="43"/>
  <c r="P350" i="43"/>
  <c r="L350" i="43"/>
  <c r="M350" i="43" s="1"/>
  <c r="N350" i="43" s="1"/>
  <c r="K350" i="43"/>
  <c r="G350" i="43"/>
  <c r="E350" i="43"/>
  <c r="Q349" i="43"/>
  <c r="P349" i="43"/>
  <c r="L349" i="43"/>
  <c r="M349" i="43" s="1"/>
  <c r="N349" i="43" s="1"/>
  <c r="K349" i="43"/>
  <c r="G349" i="43"/>
  <c r="E349" i="43"/>
  <c r="Q348" i="43"/>
  <c r="P348" i="43"/>
  <c r="L348" i="43"/>
  <c r="M348" i="43" s="1"/>
  <c r="N348" i="43" s="1"/>
  <c r="K348" i="43"/>
  <c r="G348" i="43"/>
  <c r="E348" i="43"/>
  <c r="Q347" i="43"/>
  <c r="P347" i="43"/>
  <c r="L347" i="43"/>
  <c r="M347" i="43" s="1"/>
  <c r="N347" i="43" s="1"/>
  <c r="K347" i="43"/>
  <c r="G347" i="43"/>
  <c r="E347" i="43"/>
  <c r="Q346" i="43"/>
  <c r="P346" i="43"/>
  <c r="L346" i="43"/>
  <c r="M346" i="43"/>
  <c r="N346" i="43" s="1"/>
  <c r="K346" i="43"/>
  <c r="G346" i="43"/>
  <c r="E346" i="43"/>
  <c r="Q345" i="43"/>
  <c r="P345" i="43"/>
  <c r="L345" i="43"/>
  <c r="M345" i="43" s="1"/>
  <c r="N345" i="43" s="1"/>
  <c r="K345" i="43"/>
  <c r="G345" i="43"/>
  <c r="E345" i="43"/>
  <c r="Q344" i="43"/>
  <c r="P344" i="43"/>
  <c r="L344" i="43"/>
  <c r="M344" i="43" s="1"/>
  <c r="N344" i="43" s="1"/>
  <c r="K344" i="43"/>
  <c r="G344" i="43"/>
  <c r="E344" i="43"/>
  <c r="Q343" i="43"/>
  <c r="P343" i="43"/>
  <c r="L343" i="43"/>
  <c r="M343" i="43" s="1"/>
  <c r="N343" i="43" s="1"/>
  <c r="K343" i="43"/>
  <c r="G343" i="43"/>
  <c r="E343" i="43"/>
  <c r="Q342" i="43"/>
  <c r="P342" i="43"/>
  <c r="L342" i="43"/>
  <c r="M342" i="43" s="1"/>
  <c r="N342" i="43" s="1"/>
  <c r="K342" i="43"/>
  <c r="G342" i="43"/>
  <c r="E342" i="43"/>
  <c r="Q341" i="43"/>
  <c r="P341" i="43"/>
  <c r="L341" i="43"/>
  <c r="M341" i="43" s="1"/>
  <c r="N341" i="43" s="1"/>
  <c r="K341" i="43"/>
  <c r="G341" i="43"/>
  <c r="E341" i="43"/>
  <c r="Q340" i="43"/>
  <c r="P340" i="43"/>
  <c r="L340" i="43"/>
  <c r="M340" i="43"/>
  <c r="N340" i="43" s="1"/>
  <c r="K340" i="43"/>
  <c r="G340" i="43"/>
  <c r="E340" i="43"/>
  <c r="Q339" i="43"/>
  <c r="P339" i="43"/>
  <c r="L339" i="43"/>
  <c r="M339" i="43" s="1"/>
  <c r="N339" i="43" s="1"/>
  <c r="K339" i="43"/>
  <c r="G339" i="43"/>
  <c r="E339" i="43"/>
  <c r="Q338" i="43"/>
  <c r="P338" i="43"/>
  <c r="L338" i="43"/>
  <c r="M338" i="43" s="1"/>
  <c r="N338" i="43" s="1"/>
  <c r="K338" i="43"/>
  <c r="G338" i="43"/>
  <c r="E338" i="43"/>
  <c r="U337" i="43"/>
  <c r="T337" i="43"/>
  <c r="S337" i="43"/>
  <c r="Q337" i="43"/>
  <c r="P337" i="43"/>
  <c r="L337" i="43"/>
  <c r="M337" i="43" s="1"/>
  <c r="N337" i="43" s="1"/>
  <c r="K337" i="43"/>
  <c r="G337" i="43"/>
  <c r="E337" i="43"/>
  <c r="Q336" i="43"/>
  <c r="P336" i="43"/>
  <c r="L336" i="43"/>
  <c r="M336" i="43" s="1"/>
  <c r="N336" i="43" s="1"/>
  <c r="K336" i="43"/>
  <c r="G336" i="43"/>
  <c r="E336" i="43"/>
  <c r="Q335" i="43"/>
  <c r="P335" i="43"/>
  <c r="L335" i="43"/>
  <c r="M335" i="43"/>
  <c r="N335" i="43" s="1"/>
  <c r="K335" i="43"/>
  <c r="G335" i="43"/>
  <c r="E335" i="43"/>
  <c r="Q334" i="43"/>
  <c r="P334" i="43"/>
  <c r="L334" i="43"/>
  <c r="M334" i="43" s="1"/>
  <c r="N334" i="43" s="1"/>
  <c r="K334" i="43"/>
  <c r="G334" i="43"/>
  <c r="E334" i="43"/>
  <c r="Q333" i="43"/>
  <c r="P333" i="43"/>
  <c r="L333" i="43"/>
  <c r="M333" i="43" s="1"/>
  <c r="N333" i="43"/>
  <c r="K333" i="43"/>
  <c r="G333" i="43"/>
  <c r="E333" i="43"/>
  <c r="Q332" i="43"/>
  <c r="P332" i="43"/>
  <c r="L332" i="43"/>
  <c r="M332" i="43" s="1"/>
  <c r="N332" i="43" s="1"/>
  <c r="K332" i="43"/>
  <c r="G332" i="43"/>
  <c r="E332" i="43"/>
  <c r="Q331" i="43"/>
  <c r="P331" i="43"/>
  <c r="L331" i="43"/>
  <c r="M331" i="43" s="1"/>
  <c r="N331" i="43" s="1"/>
  <c r="K331" i="43"/>
  <c r="G331" i="43"/>
  <c r="E331" i="43"/>
  <c r="Q330" i="43"/>
  <c r="P330" i="43"/>
  <c r="L330" i="43"/>
  <c r="M330" i="43" s="1"/>
  <c r="N330" i="43" s="1"/>
  <c r="K330" i="43"/>
  <c r="G330" i="43"/>
  <c r="E330" i="43"/>
  <c r="Q329" i="43"/>
  <c r="P329" i="43"/>
  <c r="L329" i="43"/>
  <c r="M329" i="43" s="1"/>
  <c r="N329" i="43" s="1"/>
  <c r="K329" i="43"/>
  <c r="G329" i="43"/>
  <c r="E329" i="43"/>
  <c r="Q328" i="43"/>
  <c r="P328" i="43"/>
  <c r="L328" i="43"/>
  <c r="M328" i="43" s="1"/>
  <c r="N328" i="43" s="1"/>
  <c r="K328" i="43"/>
  <c r="G328" i="43"/>
  <c r="E328" i="43"/>
  <c r="Q327" i="43"/>
  <c r="P327" i="43"/>
  <c r="L327" i="43"/>
  <c r="M327" i="43" s="1"/>
  <c r="N327" i="43" s="1"/>
  <c r="K327" i="43"/>
  <c r="G327" i="43"/>
  <c r="E327" i="43"/>
  <c r="Q326" i="43"/>
  <c r="P326" i="43"/>
  <c r="L326" i="43"/>
  <c r="M326" i="43"/>
  <c r="N326" i="43" s="1"/>
  <c r="K326" i="43"/>
  <c r="G326" i="43"/>
  <c r="E326" i="43"/>
  <c r="Q325" i="43"/>
  <c r="P325" i="43"/>
  <c r="L325" i="43"/>
  <c r="M325" i="43" s="1"/>
  <c r="N325" i="43" s="1"/>
  <c r="K325" i="43"/>
  <c r="G325" i="43"/>
  <c r="E325" i="43"/>
  <c r="Q324" i="43"/>
  <c r="P324" i="43"/>
  <c r="L324" i="43"/>
  <c r="M324" i="43" s="1"/>
  <c r="N324" i="43" s="1"/>
  <c r="K324" i="43"/>
  <c r="G324" i="43"/>
  <c r="E324" i="43"/>
  <c r="Q323" i="43"/>
  <c r="P323" i="43"/>
  <c r="L323" i="43"/>
  <c r="M323" i="43" s="1"/>
  <c r="N323" i="43" s="1"/>
  <c r="K323" i="43"/>
  <c r="G323" i="43"/>
  <c r="E323" i="43"/>
  <c r="Q322" i="43"/>
  <c r="P322" i="43"/>
  <c r="L322" i="43"/>
  <c r="M322" i="43" s="1"/>
  <c r="N322" i="43" s="1"/>
  <c r="G322" i="43"/>
  <c r="E322" i="43"/>
  <c r="Q321" i="43"/>
  <c r="P321" i="43"/>
  <c r="L321" i="43"/>
  <c r="M321" i="43" s="1"/>
  <c r="N321" i="43" s="1"/>
  <c r="K321" i="43"/>
  <c r="G321" i="43"/>
  <c r="E321" i="43"/>
  <c r="Q320" i="43"/>
  <c r="P320" i="43"/>
  <c r="L320" i="43"/>
  <c r="M320" i="43" s="1"/>
  <c r="N320" i="43" s="1"/>
  <c r="K320" i="43"/>
  <c r="G320" i="43"/>
  <c r="E320" i="43"/>
  <c r="Q319" i="43"/>
  <c r="P319" i="43"/>
  <c r="L319" i="43"/>
  <c r="M319" i="43" s="1"/>
  <c r="K319" i="43"/>
  <c r="G319" i="43"/>
  <c r="E319" i="43"/>
  <c r="Q318" i="43"/>
  <c r="P318" i="43"/>
  <c r="L318" i="43"/>
  <c r="M318" i="43"/>
  <c r="N318" i="43" s="1"/>
  <c r="K318" i="43"/>
  <c r="G318" i="43"/>
  <c r="E318" i="43"/>
  <c r="Q317" i="43"/>
  <c r="P317" i="43"/>
  <c r="L317" i="43"/>
  <c r="M317" i="43"/>
  <c r="N317" i="43" s="1"/>
  <c r="K317" i="43"/>
  <c r="G317" i="43"/>
  <c r="E317" i="43"/>
  <c r="Q316" i="43"/>
  <c r="P316" i="43"/>
  <c r="L316" i="43"/>
  <c r="M316" i="43" s="1"/>
  <c r="N316" i="43" s="1"/>
  <c r="K316" i="43"/>
  <c r="G316" i="43"/>
  <c r="E316" i="43"/>
  <c r="Q315" i="43"/>
  <c r="P315" i="43"/>
  <c r="L315" i="43"/>
  <c r="M315" i="43" s="1"/>
  <c r="N315" i="43" s="1"/>
  <c r="K315" i="43"/>
  <c r="G315" i="43"/>
  <c r="E315" i="43"/>
  <c r="Q314" i="43"/>
  <c r="P314" i="43"/>
  <c r="L314" i="43"/>
  <c r="M314" i="43" s="1"/>
  <c r="N314" i="43" s="1"/>
  <c r="K314" i="43"/>
  <c r="G314" i="43"/>
  <c r="E314" i="43"/>
  <c r="U313" i="43"/>
  <c r="T313" i="43"/>
  <c r="S313" i="43"/>
  <c r="Q313" i="43"/>
  <c r="P313" i="43"/>
  <c r="L313" i="43"/>
  <c r="M313" i="43" s="1"/>
  <c r="N313" i="43" s="1"/>
  <c r="K313" i="43"/>
  <c r="G313" i="43"/>
  <c r="E313" i="43"/>
  <c r="Q312" i="43"/>
  <c r="P312" i="43"/>
  <c r="L312" i="43"/>
  <c r="M312" i="43"/>
  <c r="N312" i="43" s="1"/>
  <c r="K312" i="43"/>
  <c r="G312" i="43"/>
  <c r="E312" i="43"/>
  <c r="Q311" i="43"/>
  <c r="P311" i="43"/>
  <c r="L311" i="43"/>
  <c r="M311" i="43" s="1"/>
  <c r="N311" i="43" s="1"/>
  <c r="K311" i="43"/>
  <c r="G311" i="43"/>
  <c r="E311" i="43"/>
  <c r="Q310" i="43"/>
  <c r="P310" i="43"/>
  <c r="L310" i="43"/>
  <c r="M310" i="43" s="1"/>
  <c r="N310" i="43" s="1"/>
  <c r="K310" i="43"/>
  <c r="G310" i="43"/>
  <c r="E310" i="43"/>
  <c r="Q309" i="43"/>
  <c r="P309" i="43"/>
  <c r="L309" i="43"/>
  <c r="M309" i="43" s="1"/>
  <c r="N309" i="43" s="1"/>
  <c r="K309" i="43"/>
  <c r="G309" i="43"/>
  <c r="E309" i="43"/>
  <c r="Q308" i="43"/>
  <c r="P308" i="43"/>
  <c r="L308" i="43"/>
  <c r="M308" i="43" s="1"/>
  <c r="N308" i="43" s="1"/>
  <c r="K308" i="43"/>
  <c r="G308" i="43"/>
  <c r="E308" i="43"/>
  <c r="U307" i="43"/>
  <c r="T307" i="43"/>
  <c r="S307" i="43"/>
  <c r="Q307" i="43"/>
  <c r="P307" i="43"/>
  <c r="L307" i="43"/>
  <c r="M307" i="43"/>
  <c r="N307" i="43" s="1"/>
  <c r="K307" i="43"/>
  <c r="G307" i="43"/>
  <c r="E307" i="43"/>
  <c r="Q306" i="43"/>
  <c r="P306" i="43"/>
  <c r="L306" i="43"/>
  <c r="M306" i="43" s="1"/>
  <c r="N306" i="43" s="1"/>
  <c r="K306" i="43"/>
  <c r="G306" i="43"/>
  <c r="E306" i="43"/>
  <c r="Q305" i="43"/>
  <c r="P305" i="43"/>
  <c r="L305" i="43"/>
  <c r="M305" i="43" s="1"/>
  <c r="N305" i="43" s="1"/>
  <c r="K305" i="43"/>
  <c r="G305" i="43"/>
  <c r="E305" i="43"/>
  <c r="Q304" i="43"/>
  <c r="P304" i="43"/>
  <c r="L304" i="43"/>
  <c r="M304" i="43"/>
  <c r="N304" i="43" s="1"/>
  <c r="K304" i="43"/>
  <c r="G304" i="43"/>
  <c r="E304" i="43"/>
  <c r="Q303" i="43"/>
  <c r="P303" i="43"/>
  <c r="L303" i="43"/>
  <c r="M303" i="43" s="1"/>
  <c r="N303" i="43" s="1"/>
  <c r="K303" i="43"/>
  <c r="G303" i="43"/>
  <c r="E303" i="43"/>
  <c r="Q302" i="43"/>
  <c r="P302" i="43"/>
  <c r="L302" i="43"/>
  <c r="M302" i="43" s="1"/>
  <c r="N302" i="43" s="1"/>
  <c r="K302" i="43"/>
  <c r="G302" i="43"/>
  <c r="E302" i="43"/>
  <c r="Q301" i="43"/>
  <c r="P301" i="43"/>
  <c r="L301" i="43"/>
  <c r="M301" i="43" s="1"/>
  <c r="N301" i="43" s="1"/>
  <c r="K301" i="43"/>
  <c r="G301" i="43"/>
  <c r="E301" i="43"/>
  <c r="Q300" i="43"/>
  <c r="P300" i="43"/>
  <c r="L300" i="43"/>
  <c r="M300" i="43" s="1"/>
  <c r="N300" i="43" s="1"/>
  <c r="K300" i="43"/>
  <c r="G300" i="43"/>
  <c r="E300" i="43"/>
  <c r="Q299" i="43"/>
  <c r="P299" i="43"/>
  <c r="L299" i="43"/>
  <c r="M299" i="43" s="1"/>
  <c r="N299" i="43" s="1"/>
  <c r="K299" i="43"/>
  <c r="G299" i="43"/>
  <c r="E299" i="43"/>
  <c r="Q298" i="43"/>
  <c r="P298" i="43"/>
  <c r="L298" i="43"/>
  <c r="M298" i="43"/>
  <c r="N298" i="43" s="1"/>
  <c r="K298" i="43"/>
  <c r="G298" i="43"/>
  <c r="E298" i="43"/>
  <c r="Q297" i="43"/>
  <c r="P297" i="43"/>
  <c r="L297" i="43"/>
  <c r="M297" i="43" s="1"/>
  <c r="N297" i="43" s="1"/>
  <c r="K297" i="43"/>
  <c r="G297" i="43"/>
  <c r="E297" i="43"/>
  <c r="Q296" i="43"/>
  <c r="P296" i="43"/>
  <c r="L296" i="43"/>
  <c r="M296" i="43" s="1"/>
  <c r="N296" i="43" s="1"/>
  <c r="K296" i="43"/>
  <c r="G296" i="43"/>
  <c r="E296" i="43"/>
  <c r="Q295" i="43"/>
  <c r="P295" i="43"/>
  <c r="L295" i="43"/>
  <c r="M295" i="43" s="1"/>
  <c r="N295" i="43" s="1"/>
  <c r="K295" i="43"/>
  <c r="G295" i="43"/>
  <c r="E295" i="43"/>
  <c r="Q294" i="43"/>
  <c r="P294" i="43"/>
  <c r="L294" i="43"/>
  <c r="M294" i="43" s="1"/>
  <c r="N294" i="43" s="1"/>
  <c r="K294" i="43"/>
  <c r="G294" i="43"/>
  <c r="E294" i="43"/>
  <c r="Q293" i="43"/>
  <c r="P293" i="43"/>
  <c r="L293" i="43"/>
  <c r="M293" i="43" s="1"/>
  <c r="N293" i="43" s="1"/>
  <c r="K293" i="43"/>
  <c r="G293" i="43"/>
  <c r="E293" i="43"/>
  <c r="Q292" i="43"/>
  <c r="P292" i="43"/>
  <c r="L292" i="43"/>
  <c r="M292" i="43" s="1"/>
  <c r="N292" i="43" s="1"/>
  <c r="K292" i="43"/>
  <c r="G292" i="43"/>
  <c r="E292" i="43"/>
  <c r="Q291" i="43"/>
  <c r="P291" i="43"/>
  <c r="L291" i="43"/>
  <c r="M291" i="43" s="1"/>
  <c r="N291" i="43" s="1"/>
  <c r="K291" i="43"/>
  <c r="G291" i="43"/>
  <c r="E291" i="43"/>
  <c r="Q290" i="43"/>
  <c r="P290" i="43"/>
  <c r="L290" i="43"/>
  <c r="M290" i="43" s="1"/>
  <c r="N290" i="43"/>
  <c r="K290" i="43"/>
  <c r="G290" i="43"/>
  <c r="E290" i="43"/>
  <c r="Q289" i="43"/>
  <c r="P289" i="43"/>
  <c r="L289" i="43"/>
  <c r="M289" i="43" s="1"/>
  <c r="N289" i="43" s="1"/>
  <c r="K289" i="43"/>
  <c r="G289" i="43"/>
  <c r="E289" i="43"/>
  <c r="Q288" i="43"/>
  <c r="P288" i="43"/>
  <c r="L288" i="43"/>
  <c r="M288" i="43" s="1"/>
  <c r="N288" i="43" s="1"/>
  <c r="K288" i="43"/>
  <c r="G288" i="43"/>
  <c r="E288" i="43"/>
  <c r="Q287" i="43"/>
  <c r="P287" i="43"/>
  <c r="L287" i="43"/>
  <c r="M287" i="43" s="1"/>
  <c r="N287" i="43" s="1"/>
  <c r="K287" i="43"/>
  <c r="G287" i="43"/>
  <c r="E287" i="43"/>
  <c r="Q286" i="43"/>
  <c r="P286" i="43"/>
  <c r="L286" i="43"/>
  <c r="M286" i="43"/>
  <c r="N286" i="43" s="1"/>
  <c r="K286" i="43"/>
  <c r="G286" i="43"/>
  <c r="E286" i="43"/>
  <c r="Q285" i="43"/>
  <c r="P285" i="43"/>
  <c r="L285" i="43"/>
  <c r="M285" i="43" s="1"/>
  <c r="N285" i="43" s="1"/>
  <c r="K285" i="43"/>
  <c r="G285" i="43"/>
  <c r="E285" i="43"/>
  <c r="Q284" i="43"/>
  <c r="P284" i="43"/>
  <c r="L284" i="43"/>
  <c r="M284" i="43" s="1"/>
  <c r="N284" i="43" s="1"/>
  <c r="K284" i="43"/>
  <c r="G284" i="43"/>
  <c r="E284" i="43"/>
  <c r="Q283" i="43"/>
  <c r="P283" i="43"/>
  <c r="L283" i="43"/>
  <c r="M283" i="43" s="1"/>
  <c r="N283" i="43" s="1"/>
  <c r="K283" i="43"/>
  <c r="G283" i="43"/>
  <c r="E283" i="43"/>
  <c r="Q282" i="43"/>
  <c r="P282" i="43"/>
  <c r="L282" i="43"/>
  <c r="M282" i="43" s="1"/>
  <c r="N282" i="43" s="1"/>
  <c r="K282" i="43"/>
  <c r="G282" i="43"/>
  <c r="E282" i="43"/>
  <c r="Q281" i="43"/>
  <c r="P281" i="43"/>
  <c r="L281" i="43"/>
  <c r="M281" i="43" s="1"/>
  <c r="N281" i="43"/>
  <c r="K281" i="43"/>
  <c r="G281" i="43"/>
  <c r="E281" i="43"/>
  <c r="Q280" i="43"/>
  <c r="P280" i="43"/>
  <c r="L280" i="43"/>
  <c r="M280" i="43" s="1"/>
  <c r="N280" i="43" s="1"/>
  <c r="K280" i="43"/>
  <c r="G280" i="43"/>
  <c r="E280" i="43"/>
  <c r="Q279" i="43"/>
  <c r="P279" i="43"/>
  <c r="L279" i="43"/>
  <c r="M279" i="43" s="1"/>
  <c r="N279" i="43" s="1"/>
  <c r="K279" i="43"/>
  <c r="G279" i="43"/>
  <c r="E279" i="43"/>
  <c r="Q278" i="43"/>
  <c r="P278" i="43"/>
  <c r="L278" i="43"/>
  <c r="M278" i="43" s="1"/>
  <c r="N278" i="43" s="1"/>
  <c r="K278" i="43"/>
  <c r="G278" i="43"/>
  <c r="E278" i="43"/>
  <c r="Q277" i="43"/>
  <c r="P277" i="43"/>
  <c r="L277" i="43"/>
  <c r="M277" i="43" s="1"/>
  <c r="N277" i="43" s="1"/>
  <c r="Q276" i="43"/>
  <c r="P276" i="43"/>
  <c r="L276" i="43"/>
  <c r="M276" i="43" s="1"/>
  <c r="N276" i="43" s="1"/>
  <c r="K276" i="43"/>
  <c r="G276" i="43"/>
  <c r="E276" i="43"/>
  <c r="Q275" i="43"/>
  <c r="P275" i="43"/>
  <c r="L275" i="43"/>
  <c r="M275" i="43" s="1"/>
  <c r="N275" i="43" s="1"/>
  <c r="Q274" i="43"/>
  <c r="P274" i="43"/>
  <c r="L274" i="43"/>
  <c r="M274" i="43" s="1"/>
  <c r="N274" i="43" s="1"/>
  <c r="K274" i="43"/>
  <c r="G274" i="43"/>
  <c r="E274" i="43"/>
  <c r="Q273" i="43"/>
  <c r="P273" i="43"/>
  <c r="L273" i="43"/>
  <c r="M273" i="43" s="1"/>
  <c r="N273" i="43" s="1"/>
  <c r="K273" i="43"/>
  <c r="G273" i="43"/>
  <c r="E273" i="43"/>
  <c r="Q272" i="43"/>
  <c r="P272" i="43"/>
  <c r="L272" i="43"/>
  <c r="M272" i="43"/>
  <c r="N272" i="43" s="1"/>
  <c r="K272" i="43"/>
  <c r="G272" i="43"/>
  <c r="E272" i="43"/>
  <c r="Q271" i="43"/>
  <c r="P271" i="43"/>
  <c r="L271" i="43"/>
  <c r="M271" i="43" s="1"/>
  <c r="N271" i="43" s="1"/>
  <c r="K271" i="43"/>
  <c r="G271" i="43"/>
  <c r="E271" i="43"/>
  <c r="Q270" i="43"/>
  <c r="P270" i="43"/>
  <c r="L270" i="43"/>
  <c r="M270" i="43" s="1"/>
  <c r="N270" i="43" s="1"/>
  <c r="K270" i="43"/>
  <c r="G270" i="43"/>
  <c r="E270" i="43"/>
  <c r="U269" i="43"/>
  <c r="T269" i="43"/>
  <c r="S269" i="43"/>
  <c r="Q269" i="43"/>
  <c r="P269" i="43"/>
  <c r="L269" i="43"/>
  <c r="M269" i="43" s="1"/>
  <c r="N269" i="43" s="1"/>
  <c r="K269" i="43"/>
  <c r="G269" i="43"/>
  <c r="E269" i="43"/>
  <c r="Q268" i="43"/>
  <c r="P268" i="43"/>
  <c r="L268" i="43"/>
  <c r="M268" i="43" s="1"/>
  <c r="N268" i="43" s="1"/>
  <c r="K268" i="43"/>
  <c r="G268" i="43"/>
  <c r="E268" i="43"/>
  <c r="U267" i="43"/>
  <c r="T267" i="43"/>
  <c r="S267" i="43"/>
  <c r="Q267" i="43"/>
  <c r="P267" i="43"/>
  <c r="L267" i="43"/>
  <c r="M267" i="43" s="1"/>
  <c r="N267" i="43" s="1"/>
  <c r="K267" i="43"/>
  <c r="G267" i="43"/>
  <c r="E267" i="43"/>
  <c r="Q266" i="43"/>
  <c r="P266" i="43"/>
  <c r="L266" i="43"/>
  <c r="M266" i="43" s="1"/>
  <c r="N266" i="43" s="1"/>
  <c r="K266" i="43"/>
  <c r="G266" i="43"/>
  <c r="E266" i="43"/>
  <c r="Q265" i="43"/>
  <c r="P265" i="43"/>
  <c r="L265" i="43"/>
  <c r="M265" i="43" s="1"/>
  <c r="N265" i="43" s="1"/>
  <c r="K265" i="43"/>
  <c r="G265" i="43"/>
  <c r="E265" i="43"/>
  <c r="Q264" i="43"/>
  <c r="P264" i="43"/>
  <c r="L264" i="43"/>
  <c r="M264" i="43" s="1"/>
  <c r="N264" i="43" s="1"/>
  <c r="K264" i="43"/>
  <c r="G264" i="43"/>
  <c r="E264" i="43"/>
  <c r="Q263" i="43"/>
  <c r="P263" i="43"/>
  <c r="L263" i="43"/>
  <c r="M263" i="43" s="1"/>
  <c r="N263" i="43"/>
  <c r="K263" i="43"/>
  <c r="G263" i="43"/>
  <c r="E263" i="43"/>
  <c r="Q262" i="43"/>
  <c r="P262" i="43"/>
  <c r="L262" i="43"/>
  <c r="M262" i="43" s="1"/>
  <c r="N262" i="43" s="1"/>
  <c r="K262" i="43"/>
  <c r="G262" i="43"/>
  <c r="E262" i="43"/>
  <c r="Q261" i="43"/>
  <c r="P261" i="43"/>
  <c r="L261" i="43"/>
  <c r="M261" i="43"/>
  <c r="N261" i="43" s="1"/>
  <c r="K261" i="43"/>
  <c r="G261" i="43"/>
  <c r="E261" i="43"/>
  <c r="Q260" i="43"/>
  <c r="P260" i="43"/>
  <c r="L260" i="43"/>
  <c r="M260" i="43" s="1"/>
  <c r="N260" i="43" s="1"/>
  <c r="K260" i="43"/>
  <c r="G260" i="43"/>
  <c r="E260" i="43"/>
  <c r="Q259" i="43"/>
  <c r="P259" i="43"/>
  <c r="L259" i="43"/>
  <c r="M259" i="43"/>
  <c r="N259" i="43" s="1"/>
  <c r="K259" i="43"/>
  <c r="G259" i="43"/>
  <c r="E259" i="43"/>
  <c r="Q258" i="43"/>
  <c r="P258" i="43"/>
  <c r="L258" i="43"/>
  <c r="M258" i="43" s="1"/>
  <c r="N258" i="43" s="1"/>
  <c r="K258" i="43"/>
  <c r="G258" i="43"/>
  <c r="E258" i="43"/>
  <c r="Q257" i="43"/>
  <c r="P257" i="43"/>
  <c r="L257" i="43"/>
  <c r="M257" i="43" s="1"/>
  <c r="N257" i="43" s="1"/>
  <c r="K257" i="43"/>
  <c r="G257" i="43"/>
  <c r="E257" i="43"/>
  <c r="Q256" i="43"/>
  <c r="P256" i="43"/>
  <c r="L256" i="43"/>
  <c r="M256" i="43" s="1"/>
  <c r="N256" i="43" s="1"/>
  <c r="K256" i="43"/>
  <c r="G256" i="43"/>
  <c r="E256" i="43"/>
  <c r="Q255" i="43"/>
  <c r="P255" i="43"/>
  <c r="L255" i="43"/>
  <c r="M255" i="43" s="1"/>
  <c r="N255" i="43" s="1"/>
  <c r="K255" i="43"/>
  <c r="G255" i="43"/>
  <c r="E255" i="43"/>
  <c r="U254" i="43"/>
  <c r="T254" i="43"/>
  <c r="S254" i="43"/>
  <c r="Q254" i="43"/>
  <c r="P254" i="43"/>
  <c r="L254" i="43"/>
  <c r="M254" i="43"/>
  <c r="N254" i="43" s="1"/>
  <c r="K254" i="43"/>
  <c r="G254" i="43"/>
  <c r="E254" i="43"/>
  <c r="U253" i="43"/>
  <c r="T253" i="43"/>
  <c r="S253" i="43"/>
  <c r="Q253" i="43"/>
  <c r="P253" i="43"/>
  <c r="L253" i="43"/>
  <c r="M253" i="43" s="1"/>
  <c r="N253" i="43" s="1"/>
  <c r="K253" i="43"/>
  <c r="G253" i="43"/>
  <c r="E253" i="43"/>
  <c r="Q252" i="43"/>
  <c r="P252" i="43"/>
  <c r="L252" i="43"/>
  <c r="M252" i="43"/>
  <c r="N252" i="43" s="1"/>
  <c r="K252" i="43"/>
  <c r="G252" i="43"/>
  <c r="E252" i="43"/>
  <c r="Q251" i="43"/>
  <c r="P251" i="43"/>
  <c r="L251" i="43"/>
  <c r="M251" i="43"/>
  <c r="N251" i="43" s="1"/>
  <c r="K251" i="43"/>
  <c r="G251" i="43"/>
  <c r="E251" i="43"/>
  <c r="Q250" i="43"/>
  <c r="P250" i="43"/>
  <c r="L250" i="43"/>
  <c r="M250" i="43" s="1"/>
  <c r="N250" i="43" s="1"/>
  <c r="K250" i="43"/>
  <c r="G250" i="43"/>
  <c r="E250" i="43"/>
  <c r="Q249" i="43"/>
  <c r="P249" i="43"/>
  <c r="L249" i="43"/>
  <c r="M249" i="43" s="1"/>
  <c r="N249" i="43" s="1"/>
  <c r="K249" i="43"/>
  <c r="G249" i="43"/>
  <c r="E249" i="43"/>
  <c r="Q248" i="43"/>
  <c r="P248" i="43"/>
  <c r="L248" i="43"/>
  <c r="M248" i="43"/>
  <c r="N248" i="43" s="1"/>
  <c r="K248" i="43"/>
  <c r="G248" i="43"/>
  <c r="E248" i="43"/>
  <c r="Q247" i="43"/>
  <c r="P247" i="43"/>
  <c r="L247" i="43"/>
  <c r="M247" i="43" s="1"/>
  <c r="N247" i="43" s="1"/>
  <c r="K247" i="43"/>
  <c r="G247" i="43"/>
  <c r="E247" i="43"/>
  <c r="Q246" i="43"/>
  <c r="P246" i="43"/>
  <c r="L246" i="43"/>
  <c r="M246" i="43" s="1"/>
  <c r="N246" i="43" s="1"/>
  <c r="K246" i="43"/>
  <c r="G246" i="43"/>
  <c r="E246" i="43"/>
  <c r="Q245" i="43"/>
  <c r="P245" i="43"/>
  <c r="L245" i="43"/>
  <c r="M245" i="43"/>
  <c r="N245" i="43" s="1"/>
  <c r="K245" i="43"/>
  <c r="G245" i="43"/>
  <c r="E245" i="43"/>
  <c r="U244" i="43"/>
  <c r="T244" i="43"/>
  <c r="S244" i="43"/>
  <c r="Q244" i="43"/>
  <c r="P244" i="43"/>
  <c r="L244" i="43"/>
  <c r="M244" i="43" s="1"/>
  <c r="N244" i="43" s="1"/>
  <c r="K244" i="43"/>
  <c r="G244" i="43"/>
  <c r="E244" i="43"/>
  <c r="Q243" i="43"/>
  <c r="P243" i="43"/>
  <c r="L243" i="43"/>
  <c r="M243" i="43" s="1"/>
  <c r="N243" i="43" s="1"/>
  <c r="K243" i="43"/>
  <c r="G243" i="43"/>
  <c r="E243" i="43"/>
  <c r="Q242" i="43"/>
  <c r="P242" i="43"/>
  <c r="M242" i="43"/>
  <c r="N242" i="43" s="1"/>
  <c r="L242" i="43"/>
  <c r="K242" i="43"/>
  <c r="G242" i="43"/>
  <c r="E242" i="43"/>
  <c r="U241" i="43"/>
  <c r="T241" i="43"/>
  <c r="S241" i="43"/>
  <c r="Q241" i="43"/>
  <c r="P241" i="43"/>
  <c r="L241" i="43"/>
  <c r="M241" i="43" s="1"/>
  <c r="N241" i="43" s="1"/>
  <c r="K241" i="43"/>
  <c r="G241" i="43"/>
  <c r="E241" i="43"/>
  <c r="Q240" i="43"/>
  <c r="P240" i="43"/>
  <c r="L240" i="43"/>
  <c r="M240" i="43"/>
  <c r="N240" i="43" s="1"/>
  <c r="K240" i="43"/>
  <c r="G240" i="43"/>
  <c r="E240" i="43"/>
  <c r="Q239" i="43"/>
  <c r="P239" i="43"/>
  <c r="L239" i="43"/>
  <c r="M239" i="43" s="1"/>
  <c r="N239" i="43" s="1"/>
  <c r="K239" i="43"/>
  <c r="G239" i="43"/>
  <c r="E239" i="43"/>
  <c r="Q238" i="43"/>
  <c r="P238" i="43"/>
  <c r="L238" i="43"/>
  <c r="M238" i="43" s="1"/>
  <c r="N238" i="43" s="1"/>
  <c r="K238" i="43"/>
  <c r="G238" i="43"/>
  <c r="E238" i="43"/>
  <c r="Q237" i="43"/>
  <c r="P237" i="43"/>
  <c r="L237" i="43"/>
  <c r="M237" i="43" s="1"/>
  <c r="N237" i="43" s="1"/>
  <c r="K237" i="43"/>
  <c r="G237" i="43"/>
  <c r="E237" i="43"/>
  <c r="U236" i="43"/>
  <c r="T236" i="43"/>
  <c r="S236" i="43"/>
  <c r="Q236" i="43"/>
  <c r="P236" i="43"/>
  <c r="L236" i="43"/>
  <c r="M236" i="43"/>
  <c r="N236" i="43" s="1"/>
  <c r="K236" i="43"/>
  <c r="G236" i="43"/>
  <c r="E236" i="43"/>
  <c r="Q235" i="43"/>
  <c r="P235" i="43"/>
  <c r="L235" i="43"/>
  <c r="M235" i="43" s="1"/>
  <c r="N235" i="43" s="1"/>
  <c r="K235" i="43"/>
  <c r="G235" i="43"/>
  <c r="E235" i="43"/>
  <c r="Q234" i="43"/>
  <c r="P234" i="43"/>
  <c r="L234" i="43"/>
  <c r="M234" i="43" s="1"/>
  <c r="N234" i="43" s="1"/>
  <c r="K234" i="43"/>
  <c r="G234" i="43"/>
  <c r="E234" i="43"/>
  <c r="Q233" i="43"/>
  <c r="P233" i="43"/>
  <c r="L233" i="43"/>
  <c r="M233" i="43"/>
  <c r="N233" i="43" s="1"/>
  <c r="K233" i="43"/>
  <c r="G233" i="43"/>
  <c r="E233" i="43"/>
  <c r="Q232" i="43"/>
  <c r="P232" i="43"/>
  <c r="L232" i="43"/>
  <c r="M232" i="43" s="1"/>
  <c r="N232" i="43" s="1"/>
  <c r="K232" i="43"/>
  <c r="G232" i="43"/>
  <c r="E232" i="43"/>
  <c r="Q231" i="43"/>
  <c r="P231" i="43"/>
  <c r="L231" i="43"/>
  <c r="M231" i="43" s="1"/>
  <c r="N231" i="43" s="1"/>
  <c r="K231" i="43"/>
  <c r="G231" i="43"/>
  <c r="E231" i="43"/>
  <c r="Q230" i="43"/>
  <c r="P230" i="43"/>
  <c r="L230" i="43"/>
  <c r="M230" i="43"/>
  <c r="N230" i="43"/>
  <c r="K230" i="43"/>
  <c r="G230" i="43"/>
  <c r="E230" i="43"/>
  <c r="Q229" i="43"/>
  <c r="P229" i="43"/>
  <c r="L229" i="43"/>
  <c r="M229" i="43" s="1"/>
  <c r="N229" i="43" s="1"/>
  <c r="K229" i="43"/>
  <c r="G229" i="43"/>
  <c r="E229" i="43"/>
  <c r="Q228" i="43"/>
  <c r="P228" i="43"/>
  <c r="L228" i="43"/>
  <c r="M228" i="43" s="1"/>
  <c r="N228" i="43" s="1"/>
  <c r="K228" i="43"/>
  <c r="G228" i="43"/>
  <c r="E228" i="43"/>
  <c r="Q227" i="43"/>
  <c r="P227" i="43"/>
  <c r="L227" i="43"/>
  <c r="M227" i="43"/>
  <c r="N227" i="43"/>
  <c r="K227" i="43"/>
  <c r="G227" i="43"/>
  <c r="E227" i="43"/>
  <c r="Q226" i="43"/>
  <c r="P226" i="43"/>
  <c r="L226" i="43"/>
  <c r="M226" i="43" s="1"/>
  <c r="N226" i="43" s="1"/>
  <c r="K226" i="43"/>
  <c r="G226" i="43"/>
  <c r="E226" i="43"/>
  <c r="Q225" i="43"/>
  <c r="P225" i="43"/>
  <c r="L225" i="43"/>
  <c r="M225" i="43" s="1"/>
  <c r="N225" i="43" s="1"/>
  <c r="K225" i="43"/>
  <c r="G225" i="43"/>
  <c r="E225" i="43"/>
  <c r="Q224" i="43"/>
  <c r="P224" i="43"/>
  <c r="L224" i="43"/>
  <c r="M224" i="43"/>
  <c r="N224" i="43"/>
  <c r="K224" i="43"/>
  <c r="G224" i="43"/>
  <c r="E224" i="43"/>
  <c r="Q223" i="43"/>
  <c r="P223" i="43"/>
  <c r="L223" i="43"/>
  <c r="M223" i="43" s="1"/>
  <c r="N223" i="43" s="1"/>
  <c r="K223" i="43"/>
  <c r="G223" i="43"/>
  <c r="E223" i="43"/>
  <c r="Q222" i="43"/>
  <c r="P222" i="43"/>
  <c r="L222" i="43"/>
  <c r="M222" i="43" s="1"/>
  <c r="N222" i="43" s="1"/>
  <c r="K222" i="43"/>
  <c r="G222" i="43"/>
  <c r="E222" i="43"/>
  <c r="Q221" i="43"/>
  <c r="P221" i="43"/>
  <c r="L221" i="43"/>
  <c r="M221" i="43"/>
  <c r="N221" i="43" s="1"/>
  <c r="K221" i="43"/>
  <c r="G221" i="43"/>
  <c r="E221" i="43"/>
  <c r="Q220" i="43"/>
  <c r="P220" i="43"/>
  <c r="L220" i="43"/>
  <c r="M220" i="43"/>
  <c r="N220" i="43" s="1"/>
  <c r="K220" i="43"/>
  <c r="G220" i="43"/>
  <c r="E220" i="43"/>
  <c r="Q219" i="43"/>
  <c r="P219" i="43"/>
  <c r="L219" i="43"/>
  <c r="M219" i="43"/>
  <c r="N219" i="43" s="1"/>
  <c r="K219" i="43"/>
  <c r="G219" i="43"/>
  <c r="E219" i="43"/>
  <c r="Q218" i="43"/>
  <c r="P218" i="43"/>
  <c r="L218" i="43"/>
  <c r="M218" i="43"/>
  <c r="N218" i="43" s="1"/>
  <c r="K218" i="43"/>
  <c r="G218" i="43"/>
  <c r="E218" i="43"/>
  <c r="Q217" i="43"/>
  <c r="P217" i="43"/>
  <c r="L217" i="43"/>
  <c r="M217" i="43" s="1"/>
  <c r="N217" i="43" s="1"/>
  <c r="K217" i="43"/>
  <c r="G217" i="43"/>
  <c r="E217" i="43"/>
  <c r="Q216" i="43"/>
  <c r="P216" i="43"/>
  <c r="L216" i="43"/>
  <c r="M216" i="43" s="1"/>
  <c r="N216" i="43" s="1"/>
  <c r="K216" i="43"/>
  <c r="G216" i="43"/>
  <c r="E216" i="43"/>
  <c r="Q215" i="43"/>
  <c r="P215" i="43"/>
  <c r="L215" i="43"/>
  <c r="M215" i="43"/>
  <c r="N215" i="43" s="1"/>
  <c r="K215" i="43"/>
  <c r="G215" i="43"/>
  <c r="E215" i="43"/>
  <c r="Q214" i="43"/>
  <c r="P214" i="43"/>
  <c r="L214" i="43"/>
  <c r="M214" i="43" s="1"/>
  <c r="N214" i="43" s="1"/>
  <c r="K214" i="43"/>
  <c r="G214" i="43"/>
  <c r="E214" i="43"/>
  <c r="Q213" i="43"/>
  <c r="P213" i="43"/>
  <c r="L213" i="43"/>
  <c r="M213" i="43" s="1"/>
  <c r="N213" i="43" s="1"/>
  <c r="K213" i="43"/>
  <c r="G213" i="43"/>
  <c r="E213" i="43"/>
  <c r="Q212" i="43"/>
  <c r="P212" i="43"/>
  <c r="L212" i="43"/>
  <c r="M212" i="43" s="1"/>
  <c r="N212" i="43" s="1"/>
  <c r="K212" i="43"/>
  <c r="G212" i="43"/>
  <c r="E212" i="43"/>
  <c r="Q211" i="43"/>
  <c r="P211" i="43"/>
  <c r="L211" i="43"/>
  <c r="M211" i="43" s="1"/>
  <c r="N211" i="43" s="1"/>
  <c r="K211" i="43"/>
  <c r="G211" i="43"/>
  <c r="E211" i="43"/>
  <c r="Q210" i="43"/>
  <c r="P210" i="43"/>
  <c r="L210" i="43"/>
  <c r="M210" i="43" s="1"/>
  <c r="N210" i="43" s="1"/>
  <c r="K210" i="43"/>
  <c r="G210" i="43"/>
  <c r="E210" i="43"/>
  <c r="Q209" i="43"/>
  <c r="P209" i="43"/>
  <c r="L209" i="43"/>
  <c r="M209" i="43"/>
  <c r="N209" i="43" s="1"/>
  <c r="K209" i="43"/>
  <c r="G209" i="43"/>
  <c r="E209" i="43"/>
  <c r="Q208" i="43"/>
  <c r="P208" i="43"/>
  <c r="L208" i="43"/>
  <c r="M208" i="43"/>
  <c r="N208" i="43" s="1"/>
  <c r="K208" i="43"/>
  <c r="G208" i="43"/>
  <c r="E208" i="43"/>
  <c r="Q207" i="43"/>
  <c r="P207" i="43"/>
  <c r="L207" i="43"/>
  <c r="M207" i="43" s="1"/>
  <c r="N207" i="43" s="1"/>
  <c r="K207" i="43"/>
  <c r="G207" i="43"/>
  <c r="E207" i="43"/>
  <c r="Q206" i="43"/>
  <c r="P206" i="43"/>
  <c r="L206" i="43"/>
  <c r="M206" i="43"/>
  <c r="N206" i="43" s="1"/>
  <c r="K206" i="43"/>
  <c r="G206" i="43"/>
  <c r="E206" i="43"/>
  <c r="Q205" i="43"/>
  <c r="P205" i="43"/>
  <c r="L205" i="43"/>
  <c r="M205" i="43"/>
  <c r="N205" i="43" s="1"/>
  <c r="K205" i="43"/>
  <c r="G205" i="43"/>
  <c r="E205" i="43"/>
  <c r="Q204" i="43"/>
  <c r="P204" i="43"/>
  <c r="L204" i="43"/>
  <c r="M204" i="43"/>
  <c r="N204" i="43" s="1"/>
  <c r="K204" i="43"/>
  <c r="G204" i="43"/>
  <c r="E204" i="43"/>
  <c r="Q203" i="43"/>
  <c r="P203" i="43"/>
  <c r="L203" i="43"/>
  <c r="M203" i="43" s="1"/>
  <c r="N203" i="43" s="1"/>
  <c r="K203" i="43"/>
  <c r="G203" i="43"/>
  <c r="E203" i="43"/>
  <c r="U202" i="43"/>
  <c r="T202" i="43"/>
  <c r="S202" i="43"/>
  <c r="Q202" i="43"/>
  <c r="P202" i="43"/>
  <c r="L202" i="43"/>
  <c r="M202" i="43" s="1"/>
  <c r="N202" i="43" s="1"/>
  <c r="K202" i="43"/>
  <c r="G202" i="43"/>
  <c r="E202" i="43"/>
  <c r="Q201" i="43"/>
  <c r="P201" i="43"/>
  <c r="L201" i="43"/>
  <c r="M201" i="43" s="1"/>
  <c r="N201" i="43" s="1"/>
  <c r="K201" i="43"/>
  <c r="G201" i="43"/>
  <c r="E201" i="43"/>
  <c r="Q200" i="43"/>
  <c r="P200" i="43"/>
  <c r="L200" i="43"/>
  <c r="M200" i="43"/>
  <c r="N200" i="43" s="1"/>
  <c r="K200" i="43"/>
  <c r="G200" i="43"/>
  <c r="E200" i="43"/>
  <c r="Q199" i="43"/>
  <c r="P199" i="43"/>
  <c r="L199" i="43"/>
  <c r="M199" i="43" s="1"/>
  <c r="N199" i="43"/>
  <c r="K199" i="43"/>
  <c r="G199" i="43"/>
  <c r="E199" i="43"/>
  <c r="U198" i="43"/>
  <c r="T198" i="43"/>
  <c r="S198" i="43"/>
  <c r="Q198" i="43"/>
  <c r="P198" i="43"/>
  <c r="M198" i="43"/>
  <c r="N198" i="43" s="1"/>
  <c r="L198" i="43"/>
  <c r="Q197" i="43"/>
  <c r="P197" i="43"/>
  <c r="L197" i="43"/>
  <c r="M197" i="43" s="1"/>
  <c r="N197" i="43" s="1"/>
  <c r="K197" i="43"/>
  <c r="G197" i="43"/>
  <c r="E197" i="43"/>
  <c r="Q196" i="43"/>
  <c r="P196" i="43"/>
  <c r="L196" i="43"/>
  <c r="M196" i="43" s="1"/>
  <c r="N196" i="43"/>
  <c r="K196" i="43"/>
  <c r="G196" i="43"/>
  <c r="E196" i="43"/>
  <c r="Q195" i="43"/>
  <c r="P195" i="43"/>
  <c r="L195" i="43"/>
  <c r="M195" i="43"/>
  <c r="N195" i="43" s="1"/>
  <c r="K195" i="43"/>
  <c r="G195" i="43"/>
  <c r="E195" i="43"/>
  <c r="Q194" i="43"/>
  <c r="P194" i="43"/>
  <c r="L194" i="43"/>
  <c r="M194" i="43" s="1"/>
  <c r="N194" i="43" s="1"/>
  <c r="K194" i="43"/>
  <c r="G194" i="43"/>
  <c r="E194" i="43"/>
  <c r="U193" i="43"/>
  <c r="S193" i="43"/>
  <c r="Q193" i="43"/>
  <c r="P193" i="43"/>
  <c r="K193" i="43"/>
  <c r="G193" i="43"/>
  <c r="L193" i="43"/>
  <c r="M193" i="43" s="1"/>
  <c r="N193" i="43" s="1"/>
  <c r="E193" i="43"/>
  <c r="Q192" i="43"/>
  <c r="P192" i="43"/>
  <c r="L192" i="43"/>
  <c r="M192" i="43" s="1"/>
  <c r="N192" i="43" s="1"/>
  <c r="K192" i="43"/>
  <c r="G192" i="43"/>
  <c r="E192" i="43"/>
  <c r="Q191" i="43"/>
  <c r="P191" i="43"/>
  <c r="L191" i="43"/>
  <c r="M191" i="43"/>
  <c r="N191" i="43" s="1"/>
  <c r="K191" i="43"/>
  <c r="G191" i="43"/>
  <c r="E191" i="43"/>
  <c r="Q190" i="43"/>
  <c r="P190" i="43"/>
  <c r="L190" i="43"/>
  <c r="M190" i="43" s="1"/>
  <c r="N190" i="43" s="1"/>
  <c r="K190" i="43"/>
  <c r="G190" i="43"/>
  <c r="E190" i="43"/>
  <c r="Q189" i="43"/>
  <c r="P189" i="43"/>
  <c r="L189" i="43"/>
  <c r="M189" i="43" s="1"/>
  <c r="K189" i="43"/>
  <c r="G189" i="43"/>
  <c r="E189" i="43"/>
  <c r="Q188" i="43"/>
  <c r="P188" i="43"/>
  <c r="L188" i="43"/>
  <c r="M188" i="43" s="1"/>
  <c r="N188" i="43" s="1"/>
  <c r="K188" i="43"/>
  <c r="G188" i="43"/>
  <c r="E188" i="43"/>
  <c r="U187" i="43"/>
  <c r="T187" i="43"/>
  <c r="S187" i="43"/>
  <c r="Q187" i="43"/>
  <c r="P187" i="43"/>
  <c r="L187" i="43"/>
  <c r="M187" i="43" s="1"/>
  <c r="N187" i="43" s="1"/>
  <c r="K187" i="43"/>
  <c r="G187" i="43"/>
  <c r="E187" i="43"/>
  <c r="Q186" i="43"/>
  <c r="P186" i="43"/>
  <c r="L186" i="43"/>
  <c r="M186" i="43"/>
  <c r="N186" i="43" s="1"/>
  <c r="K186" i="43"/>
  <c r="G186" i="43"/>
  <c r="E186" i="43"/>
  <c r="Q185" i="43"/>
  <c r="P185" i="43"/>
  <c r="L185" i="43"/>
  <c r="M185" i="43"/>
  <c r="N185" i="43" s="1"/>
  <c r="K185" i="43"/>
  <c r="G185" i="43"/>
  <c r="E185" i="43"/>
  <c r="U184" i="43"/>
  <c r="T184" i="43"/>
  <c r="S184" i="43"/>
  <c r="Q184" i="43"/>
  <c r="P184" i="43"/>
  <c r="L184" i="43"/>
  <c r="M184" i="43" s="1"/>
  <c r="N184" i="43" s="1"/>
  <c r="K184" i="43"/>
  <c r="G184" i="43"/>
  <c r="E184" i="43"/>
  <c r="U183" i="43"/>
  <c r="T183" i="43"/>
  <c r="S183" i="43"/>
  <c r="Q183" i="43"/>
  <c r="P183" i="43"/>
  <c r="L183" i="43"/>
  <c r="M183" i="43" s="1"/>
  <c r="N183" i="43" s="1"/>
  <c r="K183" i="43"/>
  <c r="G183" i="43"/>
  <c r="E183" i="43"/>
  <c r="Q182" i="43"/>
  <c r="P182" i="43"/>
  <c r="L182" i="43"/>
  <c r="M182" i="43" s="1"/>
  <c r="N182" i="43" s="1"/>
  <c r="K182" i="43"/>
  <c r="G182" i="43"/>
  <c r="E182" i="43"/>
  <c r="Q181" i="43"/>
  <c r="P181" i="43"/>
  <c r="L181" i="43"/>
  <c r="M181" i="43" s="1"/>
  <c r="N181" i="43" s="1"/>
  <c r="K181" i="43"/>
  <c r="G181" i="43"/>
  <c r="E181" i="43"/>
  <c r="Q180" i="43"/>
  <c r="P180" i="43"/>
  <c r="L180" i="43"/>
  <c r="M180" i="43" s="1"/>
  <c r="N180" i="43" s="1"/>
  <c r="K180" i="43"/>
  <c r="G180" i="43"/>
  <c r="E180" i="43"/>
  <c r="Q179" i="43"/>
  <c r="P179" i="43"/>
  <c r="L179" i="43"/>
  <c r="M179" i="43"/>
  <c r="N179" i="43" s="1"/>
  <c r="K179" i="43"/>
  <c r="G179" i="43"/>
  <c r="E179" i="43"/>
  <c r="Q178" i="43"/>
  <c r="P178" i="43"/>
  <c r="M178" i="43"/>
  <c r="N178" i="43" s="1"/>
  <c r="L178" i="43"/>
  <c r="K178" i="43"/>
  <c r="G178" i="43"/>
  <c r="E178" i="43"/>
  <c r="Q177" i="43"/>
  <c r="P177" i="43"/>
  <c r="L177" i="43"/>
  <c r="M177" i="43" s="1"/>
  <c r="N177" i="43" s="1"/>
  <c r="K177" i="43"/>
  <c r="G177" i="43"/>
  <c r="E177" i="43"/>
  <c r="U176" i="43"/>
  <c r="T176" i="43"/>
  <c r="S176" i="43"/>
  <c r="Q176" i="43"/>
  <c r="P176" i="43"/>
  <c r="L176" i="43"/>
  <c r="M176" i="43" s="1"/>
  <c r="N176" i="43" s="1"/>
  <c r="K176" i="43"/>
  <c r="G176" i="43"/>
  <c r="E176" i="43"/>
  <c r="U175" i="43"/>
  <c r="T175" i="43"/>
  <c r="S175" i="43"/>
  <c r="Q175" i="43"/>
  <c r="P175" i="43"/>
  <c r="L175" i="43"/>
  <c r="M175" i="43" s="1"/>
  <c r="N175" i="43" s="1"/>
  <c r="K175" i="43"/>
  <c r="G175" i="43"/>
  <c r="E175" i="43"/>
  <c r="Q174" i="43"/>
  <c r="P174" i="43"/>
  <c r="L174" i="43"/>
  <c r="M174" i="43"/>
  <c r="N174" i="43"/>
  <c r="K174" i="43"/>
  <c r="G174" i="43"/>
  <c r="E174" i="43"/>
  <c r="Q173" i="43"/>
  <c r="P173" i="43"/>
  <c r="L173" i="43"/>
  <c r="M173" i="43"/>
  <c r="N173" i="43" s="1"/>
  <c r="K173" i="43"/>
  <c r="G173" i="43"/>
  <c r="E173" i="43"/>
  <c r="Q172" i="43"/>
  <c r="P172" i="43"/>
  <c r="L172" i="43"/>
  <c r="M172" i="43" s="1"/>
  <c r="N172" i="43" s="1"/>
  <c r="K172" i="43"/>
  <c r="G172" i="43"/>
  <c r="E172" i="43"/>
  <c r="Q171" i="43"/>
  <c r="P171" i="43"/>
  <c r="L171" i="43"/>
  <c r="M171" i="43"/>
  <c r="N171" i="43" s="1"/>
  <c r="K171" i="43"/>
  <c r="G171" i="43"/>
  <c r="E171" i="43"/>
  <c r="U170" i="43"/>
  <c r="T170" i="43"/>
  <c r="S170" i="43"/>
  <c r="Q170" i="43"/>
  <c r="P170" i="43"/>
  <c r="L170" i="43"/>
  <c r="M170" i="43" s="1"/>
  <c r="N170" i="43" s="1"/>
  <c r="K170" i="43"/>
  <c r="G170" i="43"/>
  <c r="E170" i="43"/>
  <c r="Q169" i="43"/>
  <c r="P169" i="43"/>
  <c r="L169" i="43"/>
  <c r="M169" i="43" s="1"/>
  <c r="N169" i="43" s="1"/>
  <c r="K169" i="43"/>
  <c r="G169" i="43"/>
  <c r="E169" i="43"/>
  <c r="Q168" i="43"/>
  <c r="P168" i="43"/>
  <c r="L168" i="43"/>
  <c r="M168" i="43" s="1"/>
  <c r="N168" i="43" s="1"/>
  <c r="K168" i="43"/>
  <c r="G168" i="43"/>
  <c r="E168" i="43"/>
  <c r="Q167" i="43"/>
  <c r="P167" i="43"/>
  <c r="L167" i="43"/>
  <c r="M167" i="43" s="1"/>
  <c r="N167" i="43" s="1"/>
  <c r="K167" i="43"/>
  <c r="G167" i="43"/>
  <c r="E167" i="43"/>
  <c r="Q166" i="43"/>
  <c r="P166" i="43"/>
  <c r="L166" i="43"/>
  <c r="M166" i="43" s="1"/>
  <c r="N166" i="43" s="1"/>
  <c r="K166" i="43"/>
  <c r="G166" i="43"/>
  <c r="E166" i="43"/>
  <c r="Q165" i="43"/>
  <c r="P165" i="43"/>
  <c r="L165" i="43"/>
  <c r="M165" i="43" s="1"/>
  <c r="N165" i="43" s="1"/>
  <c r="K165" i="43"/>
  <c r="G165" i="43"/>
  <c r="E165" i="43"/>
  <c r="Q164" i="43"/>
  <c r="P164" i="43"/>
  <c r="L164" i="43"/>
  <c r="M164" i="43" s="1"/>
  <c r="N164" i="43" s="1"/>
  <c r="K164" i="43"/>
  <c r="G164" i="43"/>
  <c r="E164" i="43"/>
  <c r="Q163" i="43"/>
  <c r="P163" i="43"/>
  <c r="L163" i="43"/>
  <c r="M163" i="43" s="1"/>
  <c r="N163" i="43" s="1"/>
  <c r="K163" i="43"/>
  <c r="G163" i="43"/>
  <c r="E163" i="43"/>
  <c r="Q162" i="43"/>
  <c r="P162" i="43"/>
  <c r="L162" i="43"/>
  <c r="M162" i="43" s="1"/>
  <c r="N162" i="43" s="1"/>
  <c r="K162" i="43"/>
  <c r="G162" i="43"/>
  <c r="E162" i="43"/>
  <c r="Q161" i="43"/>
  <c r="P161" i="43"/>
  <c r="L161" i="43"/>
  <c r="M161" i="43" s="1"/>
  <c r="N161" i="43" s="1"/>
  <c r="K161" i="43"/>
  <c r="G161" i="43"/>
  <c r="E161" i="43"/>
  <c r="Q160" i="43"/>
  <c r="P160" i="43"/>
  <c r="L160" i="43"/>
  <c r="M160" i="43" s="1"/>
  <c r="N160" i="43" s="1"/>
  <c r="K160" i="43"/>
  <c r="G160" i="43"/>
  <c r="E160" i="43"/>
  <c r="Q159" i="43"/>
  <c r="P159" i="43"/>
  <c r="L159" i="43"/>
  <c r="M159" i="43" s="1"/>
  <c r="N159" i="43" s="1"/>
  <c r="K159" i="43"/>
  <c r="G159" i="43"/>
  <c r="E159" i="43"/>
  <c r="Q158" i="43"/>
  <c r="P158" i="43"/>
  <c r="L158" i="43"/>
  <c r="M158" i="43" s="1"/>
  <c r="N158" i="43" s="1"/>
  <c r="K158" i="43"/>
  <c r="G158" i="43"/>
  <c r="E158" i="43"/>
  <c r="Q157" i="43"/>
  <c r="P157" i="43"/>
  <c r="L157" i="43"/>
  <c r="M157" i="43" s="1"/>
  <c r="N157" i="43" s="1"/>
  <c r="K157" i="43"/>
  <c r="G157" i="43"/>
  <c r="E157" i="43"/>
  <c r="U156" i="43"/>
  <c r="T156" i="43"/>
  <c r="S156" i="43"/>
  <c r="Q156" i="43"/>
  <c r="P156" i="43"/>
  <c r="L156" i="43"/>
  <c r="M156" i="43" s="1"/>
  <c r="N156" i="43" s="1"/>
  <c r="K156" i="43"/>
  <c r="G156" i="43"/>
  <c r="E156" i="43"/>
  <c r="U155" i="43"/>
  <c r="T155" i="43"/>
  <c r="S155" i="43"/>
  <c r="Q155" i="43"/>
  <c r="P155" i="43"/>
  <c r="L155" i="43"/>
  <c r="M155" i="43" s="1"/>
  <c r="N155" i="43" s="1"/>
  <c r="K155" i="43"/>
  <c r="G155" i="43"/>
  <c r="E155" i="43"/>
  <c r="U154" i="43"/>
  <c r="T154" i="43"/>
  <c r="S154" i="43"/>
  <c r="Q154" i="43"/>
  <c r="P154" i="43"/>
  <c r="L154" i="43"/>
  <c r="M154" i="43" s="1"/>
  <c r="N154" i="43" s="1"/>
  <c r="K154" i="43"/>
  <c r="G154" i="43"/>
  <c r="E154" i="43"/>
  <c r="Q153" i="43"/>
  <c r="P153" i="43"/>
  <c r="L153" i="43"/>
  <c r="M153" i="43"/>
  <c r="N153" i="43" s="1"/>
  <c r="K153" i="43"/>
  <c r="G153" i="43"/>
  <c r="E153" i="43"/>
  <c r="Q152" i="43"/>
  <c r="P152" i="43"/>
  <c r="L152" i="43"/>
  <c r="M152" i="43" s="1"/>
  <c r="N152" i="43" s="1"/>
  <c r="K152" i="43"/>
  <c r="G152" i="43"/>
  <c r="E152" i="43"/>
  <c r="Q151" i="43"/>
  <c r="P151" i="43"/>
  <c r="L151" i="43"/>
  <c r="M151" i="43" s="1"/>
  <c r="N151" i="43" s="1"/>
  <c r="K151" i="43"/>
  <c r="G151" i="43"/>
  <c r="E151" i="43"/>
  <c r="Q150" i="43"/>
  <c r="P150" i="43"/>
  <c r="L150" i="43"/>
  <c r="M150" i="43" s="1"/>
  <c r="N150" i="43"/>
  <c r="K150" i="43"/>
  <c r="G150" i="43"/>
  <c r="E150" i="43"/>
  <c r="Q149" i="43"/>
  <c r="P149" i="43"/>
  <c r="L149" i="43"/>
  <c r="M149" i="43" s="1"/>
  <c r="N149" i="43" s="1"/>
  <c r="Q148" i="43"/>
  <c r="P148" i="43"/>
  <c r="L148" i="43"/>
  <c r="M148" i="43"/>
  <c r="N148" i="43" s="1"/>
  <c r="K148" i="43"/>
  <c r="G148" i="43"/>
  <c r="E148" i="43"/>
  <c r="Q147" i="43"/>
  <c r="P147" i="43"/>
  <c r="L147" i="43"/>
  <c r="M147" i="43" s="1"/>
  <c r="N147" i="43" s="1"/>
  <c r="K147" i="43"/>
  <c r="G147" i="43"/>
  <c r="E147" i="43"/>
  <c r="Q146" i="43"/>
  <c r="P146" i="43"/>
  <c r="L146" i="43"/>
  <c r="M146" i="43" s="1"/>
  <c r="N146" i="43" s="1"/>
  <c r="K146" i="43"/>
  <c r="G146" i="43"/>
  <c r="E146" i="43"/>
  <c r="Q145" i="43"/>
  <c r="P145" i="43"/>
  <c r="L145" i="43"/>
  <c r="M145" i="43"/>
  <c r="N145" i="43" s="1"/>
  <c r="Q144" i="43"/>
  <c r="P144" i="43"/>
  <c r="L144" i="43"/>
  <c r="M144" i="43" s="1"/>
  <c r="N144" i="43" s="1"/>
  <c r="K144" i="43"/>
  <c r="G144" i="43"/>
  <c r="E144" i="43"/>
  <c r="U143" i="43"/>
  <c r="T143" i="43"/>
  <c r="S143" i="43"/>
  <c r="Q143" i="43"/>
  <c r="P143" i="43"/>
  <c r="L143" i="43"/>
  <c r="M143" i="43" s="1"/>
  <c r="N143" i="43" s="1"/>
  <c r="K143" i="43"/>
  <c r="G143" i="43"/>
  <c r="E143" i="43"/>
  <c r="Q142" i="43"/>
  <c r="P142" i="43"/>
  <c r="L142" i="43"/>
  <c r="M142" i="43" s="1"/>
  <c r="N142" i="43" s="1"/>
  <c r="K142" i="43"/>
  <c r="G142" i="43"/>
  <c r="E142" i="43"/>
  <c r="Q141" i="43"/>
  <c r="P141" i="43"/>
  <c r="L141" i="43"/>
  <c r="M141" i="43" s="1"/>
  <c r="N141" i="43" s="1"/>
  <c r="K141" i="43"/>
  <c r="G141" i="43"/>
  <c r="E141" i="43"/>
  <c r="Q140" i="43"/>
  <c r="P140" i="43"/>
  <c r="L140" i="43"/>
  <c r="M140" i="43" s="1"/>
  <c r="K140" i="43"/>
  <c r="G140" i="43"/>
  <c r="E140" i="43"/>
  <c r="Q139" i="43"/>
  <c r="P139" i="43"/>
  <c r="L139" i="43"/>
  <c r="M139" i="43"/>
  <c r="N139" i="43" s="1"/>
  <c r="K139" i="43"/>
  <c r="G139" i="43"/>
  <c r="E139" i="43"/>
  <c r="U138" i="43"/>
  <c r="T138" i="43"/>
  <c r="S138" i="43"/>
  <c r="Q138" i="43"/>
  <c r="P138" i="43"/>
  <c r="L138" i="43"/>
  <c r="M138" i="43" s="1"/>
  <c r="N138" i="43" s="1"/>
  <c r="Q137" i="43"/>
  <c r="P137" i="43"/>
  <c r="L137" i="43"/>
  <c r="M137" i="43" s="1"/>
  <c r="N137" i="43" s="1"/>
  <c r="Q136" i="43"/>
  <c r="P136" i="43"/>
  <c r="L136" i="43"/>
  <c r="M136" i="43" s="1"/>
  <c r="N136" i="43" s="1"/>
  <c r="K136" i="43"/>
  <c r="G136" i="43"/>
  <c r="E136" i="43"/>
  <c r="Q135" i="43"/>
  <c r="P135" i="43"/>
  <c r="L135" i="43"/>
  <c r="M135" i="43" s="1"/>
  <c r="N135" i="43" s="1"/>
  <c r="K135" i="43"/>
  <c r="G135" i="43"/>
  <c r="E135" i="43"/>
  <c r="Q134" i="43"/>
  <c r="P134" i="43"/>
  <c r="L134" i="43"/>
  <c r="M134" i="43" s="1"/>
  <c r="N134" i="43" s="1"/>
  <c r="U133" i="43"/>
  <c r="T133" i="43"/>
  <c r="S133" i="43"/>
  <c r="Q133" i="43"/>
  <c r="P133" i="43"/>
  <c r="L133" i="43"/>
  <c r="M133" i="43" s="1"/>
  <c r="N133" i="43" s="1"/>
  <c r="K133" i="43"/>
  <c r="G133" i="43"/>
  <c r="E133" i="43"/>
  <c r="Q132" i="43"/>
  <c r="P132" i="43"/>
  <c r="L132" i="43"/>
  <c r="M132" i="43" s="1"/>
  <c r="N132" i="43" s="1"/>
  <c r="K132" i="43"/>
  <c r="G132" i="43"/>
  <c r="E132" i="43"/>
  <c r="Q131" i="43"/>
  <c r="P131" i="43"/>
  <c r="L131" i="43"/>
  <c r="M131" i="43"/>
  <c r="N131" i="43" s="1"/>
  <c r="K131" i="43"/>
  <c r="G131" i="43"/>
  <c r="E131" i="43"/>
  <c r="U130" i="43"/>
  <c r="T130" i="43"/>
  <c r="S130" i="43"/>
  <c r="Q130" i="43"/>
  <c r="P130" i="43"/>
  <c r="L130" i="43"/>
  <c r="M130" i="43"/>
  <c r="N130" i="43"/>
  <c r="K130" i="43"/>
  <c r="G130" i="43"/>
  <c r="E130" i="43"/>
  <c r="Q129" i="43"/>
  <c r="P129" i="43"/>
  <c r="L129" i="43"/>
  <c r="M129" i="43"/>
  <c r="N129" i="43" s="1"/>
  <c r="K129" i="43"/>
  <c r="G129" i="43"/>
  <c r="E129" i="43"/>
  <c r="Q128" i="43"/>
  <c r="P128" i="43"/>
  <c r="L128" i="43"/>
  <c r="M128" i="43" s="1"/>
  <c r="N128" i="43" s="1"/>
  <c r="K128" i="43"/>
  <c r="G128" i="43"/>
  <c r="E128" i="43"/>
  <c r="U127" i="43"/>
  <c r="T127" i="43"/>
  <c r="S127" i="43"/>
  <c r="Q127" i="43"/>
  <c r="P127" i="43"/>
  <c r="L127" i="43"/>
  <c r="M127" i="43" s="1"/>
  <c r="N127" i="43" s="1"/>
  <c r="K127" i="43"/>
  <c r="G127" i="43"/>
  <c r="E127" i="43"/>
  <c r="Q126" i="43"/>
  <c r="P126" i="43"/>
  <c r="L126" i="43"/>
  <c r="M126" i="43" s="1"/>
  <c r="N126" i="43" s="1"/>
  <c r="K126" i="43"/>
  <c r="G126" i="43"/>
  <c r="E126" i="43"/>
  <c r="U125" i="43"/>
  <c r="T125" i="43"/>
  <c r="S125" i="43"/>
  <c r="Q125" i="43"/>
  <c r="P125" i="43"/>
  <c r="L125" i="43"/>
  <c r="M125" i="43" s="1"/>
  <c r="N125" i="43" s="1"/>
  <c r="K125" i="43"/>
  <c r="G125" i="43"/>
  <c r="E125" i="43"/>
  <c r="Q124" i="43"/>
  <c r="P124" i="43"/>
  <c r="L124" i="43"/>
  <c r="M124" i="43" s="1"/>
  <c r="N124" i="43" s="1"/>
  <c r="K124" i="43"/>
  <c r="G124" i="43"/>
  <c r="E124" i="43"/>
  <c r="U123" i="43"/>
  <c r="T123" i="43"/>
  <c r="S123" i="43"/>
  <c r="Q123" i="43"/>
  <c r="P123" i="43"/>
  <c r="L123" i="43"/>
  <c r="M123" i="43" s="1"/>
  <c r="N123" i="43" s="1"/>
  <c r="K123" i="43"/>
  <c r="G123" i="43"/>
  <c r="E123" i="43"/>
  <c r="Q122" i="43"/>
  <c r="P122" i="43"/>
  <c r="L122" i="43"/>
  <c r="M122" i="43"/>
  <c r="N122" i="43" s="1"/>
  <c r="K122" i="43"/>
  <c r="G122" i="43"/>
  <c r="E122" i="43"/>
  <c r="Q121" i="43"/>
  <c r="P121" i="43"/>
  <c r="L121" i="43"/>
  <c r="M121" i="43" s="1"/>
  <c r="N121" i="43" s="1"/>
  <c r="K121" i="43"/>
  <c r="G121" i="43"/>
  <c r="E121" i="43"/>
  <c r="U120" i="43"/>
  <c r="T120" i="43"/>
  <c r="S120" i="43"/>
  <c r="Q120" i="43"/>
  <c r="P120" i="43"/>
  <c r="L120" i="43"/>
  <c r="M120" i="43" s="1"/>
  <c r="N120" i="43" s="1"/>
  <c r="K120" i="43"/>
  <c r="G120" i="43"/>
  <c r="E120" i="43"/>
  <c r="Q119" i="43"/>
  <c r="P119" i="43"/>
  <c r="L119" i="43"/>
  <c r="M119" i="43" s="1"/>
  <c r="N119" i="43" s="1"/>
  <c r="K119" i="43"/>
  <c r="G119" i="43"/>
  <c r="E119" i="43"/>
  <c r="Q118" i="43"/>
  <c r="P118" i="43"/>
  <c r="L118" i="43"/>
  <c r="M118" i="43" s="1"/>
  <c r="N118" i="43" s="1"/>
  <c r="K118" i="43"/>
  <c r="G118" i="43"/>
  <c r="E118" i="43"/>
  <c r="U117" i="43"/>
  <c r="T117" i="43"/>
  <c r="S117" i="43"/>
  <c r="Q117" i="43"/>
  <c r="P117" i="43"/>
  <c r="L117" i="43"/>
  <c r="M117" i="43" s="1"/>
  <c r="N117" i="43" s="1"/>
  <c r="K117" i="43"/>
  <c r="G117" i="43"/>
  <c r="E117" i="43"/>
  <c r="Q116" i="43"/>
  <c r="P116" i="43"/>
  <c r="L116" i="43"/>
  <c r="M116" i="43" s="1"/>
  <c r="N116" i="43" s="1"/>
  <c r="K116" i="43"/>
  <c r="G116" i="43"/>
  <c r="E116" i="43"/>
  <c r="U115" i="43"/>
  <c r="T115" i="43"/>
  <c r="S115" i="43"/>
  <c r="Q115" i="43"/>
  <c r="P115" i="43"/>
  <c r="L115" i="43"/>
  <c r="M115" i="43" s="1"/>
  <c r="N115" i="43" s="1"/>
  <c r="K115" i="43"/>
  <c r="G115" i="43"/>
  <c r="E115" i="43"/>
  <c r="U114" i="43"/>
  <c r="S114" i="43"/>
  <c r="Q114" i="43"/>
  <c r="P114" i="43"/>
  <c r="K114" i="43"/>
  <c r="G114" i="43"/>
  <c r="L114" i="43"/>
  <c r="M114" i="43" s="1"/>
  <c r="N114" i="43" s="1"/>
  <c r="E114" i="43"/>
  <c r="Q113" i="43"/>
  <c r="P113" i="43"/>
  <c r="L113" i="43"/>
  <c r="M113" i="43" s="1"/>
  <c r="N113" i="43" s="1"/>
  <c r="K113" i="43"/>
  <c r="G113" i="43"/>
  <c r="E113" i="43"/>
  <c r="Q112" i="43"/>
  <c r="P112" i="43"/>
  <c r="L112" i="43"/>
  <c r="M112" i="43"/>
  <c r="N112" i="43" s="1"/>
  <c r="K112" i="43"/>
  <c r="G112" i="43"/>
  <c r="E112" i="43"/>
  <c r="U111" i="43"/>
  <c r="T111" i="43"/>
  <c r="S111" i="43"/>
  <c r="Q111" i="43"/>
  <c r="P111" i="43"/>
  <c r="L111" i="43"/>
  <c r="M111" i="43" s="1"/>
  <c r="N111" i="43" s="1"/>
  <c r="K111" i="43"/>
  <c r="G111" i="43"/>
  <c r="E111" i="43"/>
  <c r="Q110" i="43"/>
  <c r="P110" i="43"/>
  <c r="L110" i="43"/>
  <c r="M110" i="43" s="1"/>
  <c r="N110" i="43" s="1"/>
  <c r="K110" i="43"/>
  <c r="G110" i="43"/>
  <c r="E110" i="43"/>
  <c r="Q109" i="43"/>
  <c r="P109" i="43"/>
  <c r="L109" i="43"/>
  <c r="M109" i="43" s="1"/>
  <c r="N109" i="43" s="1"/>
  <c r="K109" i="43"/>
  <c r="G109" i="43"/>
  <c r="E109" i="43"/>
  <c r="Q108" i="43"/>
  <c r="P108" i="43"/>
  <c r="L108" i="43"/>
  <c r="M108" i="43" s="1"/>
  <c r="N108" i="43" s="1"/>
  <c r="K108" i="43"/>
  <c r="G108" i="43"/>
  <c r="E108" i="43"/>
  <c r="Q107" i="43"/>
  <c r="P107" i="43"/>
  <c r="L107" i="43"/>
  <c r="M107" i="43" s="1"/>
  <c r="N107" i="43" s="1"/>
  <c r="K107" i="43"/>
  <c r="G107" i="43"/>
  <c r="E107" i="43"/>
  <c r="Q106" i="43"/>
  <c r="P106" i="43"/>
  <c r="L106" i="43"/>
  <c r="M106" i="43" s="1"/>
  <c r="N106" i="43" s="1"/>
  <c r="K106" i="43"/>
  <c r="G106" i="43"/>
  <c r="E106" i="43"/>
  <c r="U105" i="43"/>
  <c r="T105" i="43"/>
  <c r="S105" i="43"/>
  <c r="Q105" i="43"/>
  <c r="P105" i="43"/>
  <c r="L105" i="43"/>
  <c r="M105" i="43"/>
  <c r="N105" i="43" s="1"/>
  <c r="K105" i="43"/>
  <c r="G105" i="43"/>
  <c r="E105" i="43"/>
  <c r="Q104" i="43"/>
  <c r="P104" i="43"/>
  <c r="L104" i="43"/>
  <c r="M104" i="43"/>
  <c r="N104" i="43" s="1"/>
  <c r="K104" i="43"/>
  <c r="G104" i="43"/>
  <c r="E104" i="43"/>
  <c r="U103" i="43"/>
  <c r="S103" i="43"/>
  <c r="Q103" i="43"/>
  <c r="P103" i="43"/>
  <c r="K103" i="43"/>
  <c r="J416" i="43"/>
  <c r="Q102" i="43"/>
  <c r="P102" i="43"/>
  <c r="L102" i="43"/>
  <c r="M102" i="43"/>
  <c r="N102" i="43" s="1"/>
  <c r="K102" i="43"/>
  <c r="G102" i="43"/>
  <c r="E102" i="43"/>
  <c r="Q101" i="43"/>
  <c r="P101" i="43"/>
  <c r="L101" i="43"/>
  <c r="M101" i="43"/>
  <c r="N101" i="43" s="1"/>
  <c r="K101" i="43"/>
  <c r="G101" i="43"/>
  <c r="E101" i="43"/>
  <c r="Q100" i="43"/>
  <c r="P100" i="43"/>
  <c r="L100" i="43"/>
  <c r="M100" i="43" s="1"/>
  <c r="N100" i="43" s="1"/>
  <c r="K100" i="43"/>
  <c r="G100" i="43"/>
  <c r="E100" i="43"/>
  <c r="Q99" i="43"/>
  <c r="P99" i="43"/>
  <c r="L99" i="43"/>
  <c r="M99" i="43" s="1"/>
  <c r="N99" i="43" s="1"/>
  <c r="K99" i="43"/>
  <c r="G99" i="43"/>
  <c r="E99" i="43"/>
  <c r="U98" i="43"/>
  <c r="T98" i="43"/>
  <c r="S98" i="43"/>
  <c r="Q98" i="43"/>
  <c r="P98" i="43"/>
  <c r="L98" i="43"/>
  <c r="M98" i="43" s="1"/>
  <c r="N98" i="43" s="1"/>
  <c r="K98" i="43"/>
  <c r="G98" i="43"/>
  <c r="E98" i="43"/>
  <c r="Q97" i="43"/>
  <c r="P97" i="43"/>
  <c r="L97" i="43"/>
  <c r="M97" i="43" s="1"/>
  <c r="N97" i="43" s="1"/>
  <c r="K97" i="43"/>
  <c r="G97" i="43"/>
  <c r="E97" i="43"/>
  <c r="U96" i="43"/>
  <c r="T96" i="43"/>
  <c r="S96" i="43"/>
  <c r="Q96" i="43"/>
  <c r="P96" i="43"/>
  <c r="L96" i="43"/>
  <c r="M96" i="43"/>
  <c r="N96" i="43" s="1"/>
  <c r="K96" i="43"/>
  <c r="G96" i="43"/>
  <c r="E96" i="43"/>
  <c r="Q95" i="43"/>
  <c r="P95" i="43"/>
  <c r="L95" i="43"/>
  <c r="M95" i="43"/>
  <c r="N95" i="43" s="1"/>
  <c r="K95" i="43"/>
  <c r="G95" i="43"/>
  <c r="E95" i="43"/>
  <c r="Q94" i="43"/>
  <c r="P94" i="43"/>
  <c r="L94" i="43"/>
  <c r="M94" i="43"/>
  <c r="N94" i="43" s="1"/>
  <c r="Q93" i="43"/>
  <c r="P93" i="43"/>
  <c r="L93" i="43"/>
  <c r="M93" i="43" s="1"/>
  <c r="N93" i="43" s="1"/>
  <c r="K93" i="43"/>
  <c r="G93" i="43"/>
  <c r="E93" i="43"/>
  <c r="Q92" i="43"/>
  <c r="P92" i="43"/>
  <c r="L92" i="43"/>
  <c r="M92" i="43" s="1"/>
  <c r="N92" i="43" s="1"/>
  <c r="K92" i="43"/>
  <c r="G92" i="43"/>
  <c r="E92" i="43"/>
  <c r="U91" i="43"/>
  <c r="T91" i="43"/>
  <c r="S91" i="43"/>
  <c r="Q91" i="43"/>
  <c r="P91" i="43"/>
  <c r="L91" i="43"/>
  <c r="M91" i="43"/>
  <c r="N91" i="43" s="1"/>
  <c r="K91" i="43"/>
  <c r="G91" i="43"/>
  <c r="E91" i="43"/>
  <c r="Q90" i="43"/>
  <c r="P90" i="43"/>
  <c r="L90" i="43"/>
  <c r="M90" i="43"/>
  <c r="N90" i="43" s="1"/>
  <c r="K90" i="43"/>
  <c r="G90" i="43"/>
  <c r="E90" i="43"/>
  <c r="U89" i="43"/>
  <c r="T89" i="43"/>
  <c r="S89" i="43"/>
  <c r="Q89" i="43"/>
  <c r="P89" i="43"/>
  <c r="L89" i="43"/>
  <c r="M89" i="43" s="1"/>
  <c r="N89" i="43" s="1"/>
  <c r="K89" i="43"/>
  <c r="G89" i="43"/>
  <c r="E89" i="43"/>
  <c r="U88" i="43"/>
  <c r="T88" i="43"/>
  <c r="S88" i="43"/>
  <c r="Q88" i="43"/>
  <c r="P88" i="43"/>
  <c r="L88" i="43"/>
  <c r="M88" i="43" s="1"/>
  <c r="N88" i="43"/>
  <c r="K88" i="43"/>
  <c r="G88" i="43"/>
  <c r="E88" i="43"/>
  <c r="Q87" i="43"/>
  <c r="P87" i="43"/>
  <c r="L87" i="43"/>
  <c r="M87" i="43"/>
  <c r="N87" i="43" s="1"/>
  <c r="U86" i="43"/>
  <c r="T86" i="43"/>
  <c r="S86" i="43"/>
  <c r="Q86" i="43"/>
  <c r="P86" i="43"/>
  <c r="L86" i="43"/>
  <c r="M86" i="43"/>
  <c r="N86" i="43" s="1"/>
  <c r="K86" i="43"/>
  <c r="G86" i="43"/>
  <c r="E86" i="43"/>
  <c r="Q85" i="43"/>
  <c r="P85" i="43"/>
  <c r="L85" i="43"/>
  <c r="M85" i="43" s="1"/>
  <c r="N85" i="43" s="1"/>
  <c r="K85" i="43"/>
  <c r="G85" i="43"/>
  <c r="E85" i="43"/>
  <c r="Q84" i="43"/>
  <c r="P84" i="43"/>
  <c r="L84" i="43"/>
  <c r="M84" i="43"/>
  <c r="N84" i="43" s="1"/>
  <c r="K84" i="43"/>
  <c r="G84" i="43"/>
  <c r="E84" i="43"/>
  <c r="U83" i="43"/>
  <c r="T83" i="43"/>
  <c r="S83" i="43"/>
  <c r="Q83" i="43"/>
  <c r="P83" i="43"/>
  <c r="L83" i="43"/>
  <c r="M83" i="43" s="1"/>
  <c r="N83" i="43" s="1"/>
  <c r="Q82" i="43"/>
  <c r="P82" i="43"/>
  <c r="L82" i="43"/>
  <c r="M82" i="43"/>
  <c r="N82" i="43" s="1"/>
  <c r="K82" i="43"/>
  <c r="G82" i="43"/>
  <c r="E82" i="43"/>
  <c r="Q81" i="43"/>
  <c r="P81" i="43"/>
  <c r="L81" i="43"/>
  <c r="M81" i="43" s="1"/>
  <c r="N81" i="43" s="1"/>
  <c r="K81" i="43"/>
  <c r="G81" i="43"/>
  <c r="E81" i="43"/>
  <c r="Q80" i="43"/>
  <c r="P80" i="43"/>
  <c r="L80" i="43"/>
  <c r="K80" i="43"/>
  <c r="G80" i="43"/>
  <c r="E80" i="43"/>
  <c r="U79" i="43"/>
  <c r="T79" i="43"/>
  <c r="S79" i="43"/>
  <c r="Q79" i="43"/>
  <c r="P79" i="43"/>
  <c r="L79" i="43"/>
  <c r="M79" i="43" s="1"/>
  <c r="N79" i="43" s="1"/>
  <c r="K79" i="43"/>
  <c r="G79" i="43"/>
  <c r="E79" i="43"/>
  <c r="Q78" i="43"/>
  <c r="P78" i="43"/>
  <c r="L78" i="43"/>
  <c r="M78" i="43" s="1"/>
  <c r="N78" i="43" s="1"/>
  <c r="K78" i="43"/>
  <c r="G78" i="43"/>
  <c r="E78" i="43"/>
  <c r="U77" i="43"/>
  <c r="T77" i="43"/>
  <c r="S77" i="43"/>
  <c r="Q77" i="43"/>
  <c r="P77" i="43"/>
  <c r="L77" i="43"/>
  <c r="M77" i="43"/>
  <c r="K77" i="43"/>
  <c r="G77" i="43"/>
  <c r="E77" i="43"/>
  <c r="U76" i="43"/>
  <c r="T76" i="43"/>
  <c r="S76" i="43"/>
  <c r="Q76" i="43"/>
  <c r="P76" i="43"/>
  <c r="L76" i="43"/>
  <c r="M76" i="43" s="1"/>
  <c r="N76" i="43" s="1"/>
  <c r="K76" i="43"/>
  <c r="G76" i="43"/>
  <c r="E76" i="43"/>
  <c r="Q75" i="43"/>
  <c r="P75" i="43"/>
  <c r="L75" i="43"/>
  <c r="M75" i="43"/>
  <c r="N75" i="43" s="1"/>
  <c r="U74" i="43"/>
  <c r="T74" i="43"/>
  <c r="S74" i="43"/>
  <c r="Q74" i="43"/>
  <c r="P74" i="43"/>
  <c r="L74" i="43"/>
  <c r="M74" i="43"/>
  <c r="N74" i="43" s="1"/>
  <c r="K74" i="43"/>
  <c r="G74" i="43"/>
  <c r="E74" i="43"/>
  <c r="Q73" i="43"/>
  <c r="P73" i="43"/>
  <c r="L73" i="43"/>
  <c r="M73" i="43" s="1"/>
  <c r="N73" i="43" s="1"/>
  <c r="K73" i="43"/>
  <c r="G73" i="43"/>
  <c r="E73" i="43"/>
  <c r="Q72" i="43"/>
  <c r="P72" i="43"/>
  <c r="L72" i="43"/>
  <c r="M72" i="43"/>
  <c r="N72" i="43" s="1"/>
  <c r="K72" i="43"/>
  <c r="G72" i="43"/>
  <c r="E72" i="43"/>
  <c r="Q71" i="43"/>
  <c r="P71" i="43"/>
  <c r="L71" i="43"/>
  <c r="M71" i="43" s="1"/>
  <c r="N71" i="43" s="1"/>
  <c r="K71" i="43"/>
  <c r="G71" i="43"/>
  <c r="E71" i="43"/>
  <c r="Q70" i="43"/>
  <c r="P70" i="43"/>
  <c r="L70" i="43"/>
  <c r="M70" i="43"/>
  <c r="N70" i="43" s="1"/>
  <c r="K70" i="43"/>
  <c r="G70" i="43"/>
  <c r="E70" i="43"/>
  <c r="Q69" i="43"/>
  <c r="P69" i="43"/>
  <c r="L69" i="43"/>
  <c r="M69" i="43"/>
  <c r="N69" i="43" s="1"/>
  <c r="K69" i="43"/>
  <c r="G69" i="43"/>
  <c r="E69" i="43"/>
  <c r="Q68" i="43"/>
  <c r="P68" i="43"/>
  <c r="L68" i="43"/>
  <c r="M68" i="43" s="1"/>
  <c r="N68" i="43" s="1"/>
  <c r="K68" i="43"/>
  <c r="G68" i="43"/>
  <c r="E68" i="43"/>
  <c r="Q67" i="43"/>
  <c r="P67" i="43"/>
  <c r="L67" i="43"/>
  <c r="M67" i="43" s="1"/>
  <c r="N67" i="43" s="1"/>
  <c r="K67" i="43"/>
  <c r="G67" i="43"/>
  <c r="E67" i="43"/>
  <c r="Q66" i="43"/>
  <c r="P66" i="43"/>
  <c r="L66" i="43"/>
  <c r="M66" i="43"/>
  <c r="N66" i="43" s="1"/>
  <c r="K66" i="43"/>
  <c r="G66" i="43"/>
  <c r="E66" i="43"/>
  <c r="Q65" i="43"/>
  <c r="P65" i="43"/>
  <c r="L65" i="43"/>
  <c r="M65" i="43"/>
  <c r="N65" i="43" s="1"/>
  <c r="K65" i="43"/>
  <c r="G65" i="43"/>
  <c r="E65" i="43"/>
  <c r="Q64" i="43"/>
  <c r="P64" i="43"/>
  <c r="L64" i="43"/>
  <c r="M64" i="43"/>
  <c r="N64" i="43" s="1"/>
  <c r="K64" i="43"/>
  <c r="G64" i="43"/>
  <c r="E64" i="43"/>
  <c r="Q63" i="43"/>
  <c r="P63" i="43"/>
  <c r="L63" i="43"/>
  <c r="M63" i="43"/>
  <c r="N63" i="43" s="1"/>
  <c r="K63" i="43"/>
  <c r="G63" i="43"/>
  <c r="E63" i="43"/>
  <c r="Q62" i="43"/>
  <c r="P62" i="43"/>
  <c r="L62" i="43"/>
  <c r="M62" i="43" s="1"/>
  <c r="N62" i="43" s="1"/>
  <c r="K62" i="43"/>
  <c r="G62" i="43"/>
  <c r="E62" i="43"/>
  <c r="Q61" i="43"/>
  <c r="P61" i="43"/>
  <c r="L61" i="43"/>
  <c r="M61" i="43"/>
  <c r="N61" i="43" s="1"/>
  <c r="K61" i="43"/>
  <c r="G61" i="43"/>
  <c r="E61" i="43"/>
  <c r="Q60" i="43"/>
  <c r="P60" i="43"/>
  <c r="L60" i="43"/>
  <c r="M60" i="43"/>
  <c r="N60" i="43" s="1"/>
  <c r="K60" i="43"/>
  <c r="G60" i="43"/>
  <c r="E60" i="43"/>
  <c r="Q59" i="43"/>
  <c r="P59" i="43"/>
  <c r="L59" i="43"/>
  <c r="M59" i="43"/>
  <c r="N59" i="43" s="1"/>
  <c r="K59" i="43"/>
  <c r="G59" i="43"/>
  <c r="E59" i="43"/>
  <c r="Q58" i="43"/>
  <c r="P58" i="43"/>
  <c r="L58" i="43"/>
  <c r="M58" i="43"/>
  <c r="N58" i="43" s="1"/>
  <c r="K58" i="43"/>
  <c r="G58" i="43"/>
  <c r="E58" i="43"/>
  <c r="Q57" i="43"/>
  <c r="P57" i="43"/>
  <c r="L57" i="43"/>
  <c r="M57" i="43" s="1"/>
  <c r="N57" i="43" s="1"/>
  <c r="K57" i="43"/>
  <c r="G57" i="43"/>
  <c r="E57" i="43"/>
  <c r="Q56" i="43"/>
  <c r="P56" i="43"/>
  <c r="L56" i="43"/>
  <c r="M56" i="43"/>
  <c r="N56" i="43" s="1"/>
  <c r="K56" i="43"/>
  <c r="G56" i="43"/>
  <c r="E56" i="43"/>
  <c r="Q55" i="43"/>
  <c r="P55" i="43"/>
  <c r="L55" i="43"/>
  <c r="M55" i="43"/>
  <c r="N55" i="43" s="1"/>
  <c r="K55" i="43"/>
  <c r="G55" i="43"/>
  <c r="E55" i="43"/>
  <c r="Q54" i="43"/>
  <c r="P54" i="43"/>
  <c r="L54" i="43"/>
  <c r="M54" i="43"/>
  <c r="N54" i="43" s="1"/>
  <c r="K54" i="43"/>
  <c r="G54" i="43"/>
  <c r="E54" i="43"/>
  <c r="Q53" i="43"/>
  <c r="P53" i="43"/>
  <c r="L53" i="43"/>
  <c r="M53" i="43"/>
  <c r="N53" i="43" s="1"/>
  <c r="K53" i="43"/>
  <c r="G53" i="43"/>
  <c r="E53" i="43"/>
  <c r="Q52" i="43"/>
  <c r="P52" i="43"/>
  <c r="L52" i="43"/>
  <c r="M52" i="43" s="1"/>
  <c r="N52" i="43" s="1"/>
  <c r="K52" i="43"/>
  <c r="G52" i="43"/>
  <c r="E52" i="43"/>
  <c r="Q51" i="43"/>
  <c r="P51" i="43"/>
  <c r="L51" i="43"/>
  <c r="M51" i="43"/>
  <c r="N51" i="43" s="1"/>
  <c r="K51" i="43"/>
  <c r="G51" i="43"/>
  <c r="E51" i="43"/>
  <c r="Q50" i="43"/>
  <c r="P50" i="43"/>
  <c r="L50" i="43"/>
  <c r="M50" i="43" s="1"/>
  <c r="N50" i="43" s="1"/>
  <c r="K50" i="43"/>
  <c r="G50" i="43"/>
  <c r="E50" i="43"/>
  <c r="Q49" i="43"/>
  <c r="P49" i="43"/>
  <c r="L49" i="43"/>
  <c r="M49" i="43" s="1"/>
  <c r="N49" i="43" s="1"/>
  <c r="K49" i="43"/>
  <c r="G49" i="43"/>
  <c r="E49" i="43"/>
  <c r="Q48" i="43"/>
  <c r="P48" i="43"/>
  <c r="L48" i="43"/>
  <c r="M48" i="43"/>
  <c r="N48" i="43" s="1"/>
  <c r="K48" i="43"/>
  <c r="G48" i="43"/>
  <c r="E48" i="43"/>
  <c r="Q47" i="43"/>
  <c r="P47" i="43"/>
  <c r="L47" i="43"/>
  <c r="M47" i="43"/>
  <c r="N47" i="43" s="1"/>
  <c r="K47" i="43"/>
  <c r="G47" i="43"/>
  <c r="E47" i="43"/>
  <c r="Q46" i="43"/>
  <c r="P46" i="43"/>
  <c r="L46" i="43"/>
  <c r="M46" i="43"/>
  <c r="N46" i="43" s="1"/>
  <c r="K46" i="43"/>
  <c r="G46" i="43"/>
  <c r="E46" i="43"/>
  <c r="Q45" i="43"/>
  <c r="P45" i="43"/>
  <c r="L45" i="43"/>
  <c r="M45" i="43" s="1"/>
  <c r="N45" i="43" s="1"/>
  <c r="K45" i="43"/>
  <c r="G45" i="43"/>
  <c r="E45" i="43"/>
  <c r="Q44" i="43"/>
  <c r="P44" i="43"/>
  <c r="L44" i="43"/>
  <c r="M44" i="43" s="1"/>
  <c r="N44" i="43" s="1"/>
  <c r="K44" i="43"/>
  <c r="G44" i="43"/>
  <c r="E44" i="43"/>
  <c r="U43" i="43"/>
  <c r="T43" i="43"/>
  <c r="S43" i="43"/>
  <c r="Q43" i="43"/>
  <c r="P43" i="43"/>
  <c r="L43" i="43"/>
  <c r="M43" i="43" s="1"/>
  <c r="N43" i="43"/>
  <c r="K43" i="43"/>
  <c r="G43" i="43"/>
  <c r="E43" i="43"/>
  <c r="Q42" i="43"/>
  <c r="P42" i="43"/>
  <c r="L42" i="43"/>
  <c r="M42" i="43" s="1"/>
  <c r="N42" i="43" s="1"/>
  <c r="K42" i="43"/>
  <c r="G42" i="43"/>
  <c r="E42" i="43"/>
  <c r="Q41" i="43"/>
  <c r="P41" i="43"/>
  <c r="L41" i="43"/>
  <c r="M41" i="43" s="1"/>
  <c r="N41" i="43" s="1"/>
  <c r="K41" i="43"/>
  <c r="G41" i="43"/>
  <c r="E41" i="43"/>
  <c r="Q40" i="43"/>
  <c r="P40" i="43"/>
  <c r="L40" i="43"/>
  <c r="M40" i="43" s="1"/>
  <c r="N40" i="43"/>
  <c r="K40" i="43"/>
  <c r="G40" i="43"/>
  <c r="E40" i="43"/>
  <c r="Q39" i="43"/>
  <c r="P39" i="43"/>
  <c r="L39" i="43"/>
  <c r="M39" i="43" s="1"/>
  <c r="N39" i="43" s="1"/>
  <c r="Q38" i="43"/>
  <c r="P38" i="43"/>
  <c r="L38" i="43"/>
  <c r="M38" i="43"/>
  <c r="N38" i="43" s="1"/>
  <c r="K38" i="43"/>
  <c r="G38" i="43"/>
  <c r="E38" i="43"/>
  <c r="Q37" i="43"/>
  <c r="P37" i="43"/>
  <c r="L37" i="43"/>
  <c r="M37" i="43"/>
  <c r="N37" i="43" s="1"/>
  <c r="K37" i="43"/>
  <c r="G37" i="43"/>
  <c r="E37" i="43"/>
  <c r="Q36" i="43"/>
  <c r="P36" i="43"/>
  <c r="L36" i="43"/>
  <c r="M36" i="43" s="1"/>
  <c r="N36" i="43" s="1"/>
  <c r="K36" i="43"/>
  <c r="G36" i="43"/>
  <c r="E36" i="43"/>
  <c r="Q35" i="43"/>
  <c r="P35" i="43"/>
  <c r="L35" i="43"/>
  <c r="M35" i="43"/>
  <c r="N35" i="43" s="1"/>
  <c r="K35" i="43"/>
  <c r="G35" i="43"/>
  <c r="E35" i="43"/>
  <c r="Q34" i="43"/>
  <c r="P34" i="43"/>
  <c r="L34" i="43"/>
  <c r="M34" i="43" s="1"/>
  <c r="N34" i="43" s="1"/>
  <c r="K34" i="43"/>
  <c r="G34" i="43"/>
  <c r="E34" i="43"/>
  <c r="Q33" i="43"/>
  <c r="P33" i="43"/>
  <c r="L33" i="43"/>
  <c r="M33" i="43" s="1"/>
  <c r="N33" i="43" s="1"/>
  <c r="K33" i="43"/>
  <c r="G33" i="43"/>
  <c r="E33" i="43"/>
  <c r="Q32" i="43"/>
  <c r="P32" i="43"/>
  <c r="L32" i="43"/>
  <c r="M32" i="43" s="1"/>
  <c r="N32" i="43" s="1"/>
  <c r="K32" i="43"/>
  <c r="G32" i="43"/>
  <c r="E32" i="43"/>
  <c r="Q31" i="43"/>
  <c r="P31" i="43"/>
  <c r="L31" i="43"/>
  <c r="M31" i="43"/>
  <c r="N31" i="43" s="1"/>
  <c r="K31" i="43"/>
  <c r="G31" i="43"/>
  <c r="E31" i="43"/>
  <c r="Q30" i="43"/>
  <c r="P30" i="43"/>
  <c r="L30" i="43"/>
  <c r="M30" i="43"/>
  <c r="N30" i="43" s="1"/>
  <c r="K30" i="43"/>
  <c r="G30" i="43"/>
  <c r="E30" i="43"/>
  <c r="Q29" i="43"/>
  <c r="P29" i="43"/>
  <c r="L29" i="43"/>
  <c r="M29" i="43"/>
  <c r="N29" i="43" s="1"/>
  <c r="K29" i="43"/>
  <c r="G29" i="43"/>
  <c r="E29" i="43"/>
  <c r="Q28" i="43"/>
  <c r="P28" i="43"/>
  <c r="L28" i="43"/>
  <c r="M28" i="43" s="1"/>
  <c r="N28" i="43" s="1"/>
  <c r="K28" i="43"/>
  <c r="G28" i="43"/>
  <c r="E28" i="43"/>
  <c r="U27" i="43"/>
  <c r="T27" i="43"/>
  <c r="S27" i="43"/>
  <c r="Q27" i="43"/>
  <c r="P27" i="43"/>
  <c r="L27" i="43"/>
  <c r="M27" i="43" s="1"/>
  <c r="N27" i="43" s="1"/>
  <c r="K27" i="43"/>
  <c r="G27" i="43"/>
  <c r="E27" i="43"/>
  <c r="Q26" i="43"/>
  <c r="P26" i="43"/>
  <c r="L26" i="43"/>
  <c r="M26" i="43" s="1"/>
  <c r="N26" i="43" s="1"/>
  <c r="K26" i="43"/>
  <c r="G26" i="43"/>
  <c r="E26" i="43"/>
  <c r="Q25" i="43"/>
  <c r="P25" i="43"/>
  <c r="L25" i="43"/>
  <c r="M25" i="43" s="1"/>
  <c r="N25" i="43"/>
  <c r="K25" i="43"/>
  <c r="G25" i="43"/>
  <c r="E25" i="43"/>
  <c r="Q24" i="43"/>
  <c r="P24" i="43"/>
  <c r="L24" i="43"/>
  <c r="M24" i="43" s="1"/>
  <c r="N24" i="43" s="1"/>
  <c r="K24" i="43"/>
  <c r="G24" i="43"/>
  <c r="E24" i="43"/>
  <c r="U23" i="43"/>
  <c r="T23" i="43"/>
  <c r="S23" i="43"/>
  <c r="Q23" i="43"/>
  <c r="P23" i="43"/>
  <c r="L23" i="43"/>
  <c r="M23" i="43" s="1"/>
  <c r="N23" i="43" s="1"/>
  <c r="Q22" i="43"/>
  <c r="P22" i="43"/>
  <c r="L22" i="43"/>
  <c r="M22" i="43" s="1"/>
  <c r="N22" i="43"/>
  <c r="Q21" i="43"/>
  <c r="P21" i="43"/>
  <c r="L21" i="43"/>
  <c r="M21" i="43" s="1"/>
  <c r="N21" i="43" s="1"/>
  <c r="Q20" i="43"/>
  <c r="P20" i="43"/>
  <c r="L20" i="43"/>
  <c r="M20" i="43" s="1"/>
  <c r="N20" i="43" s="1"/>
  <c r="K20" i="43"/>
  <c r="G20" i="43"/>
  <c r="E20" i="43"/>
  <c r="Q19" i="43"/>
  <c r="P19" i="43"/>
  <c r="L19" i="43"/>
  <c r="M19" i="43" s="1"/>
  <c r="N19" i="43" s="1"/>
  <c r="K19" i="43"/>
  <c r="G19" i="43"/>
  <c r="E19" i="43"/>
  <c r="Q18" i="43"/>
  <c r="P18" i="43"/>
  <c r="L18" i="43"/>
  <c r="M18" i="43" s="1"/>
  <c r="N18" i="43" s="1"/>
  <c r="K18" i="43"/>
  <c r="G18" i="43"/>
  <c r="E18" i="43"/>
  <c r="Q17" i="43"/>
  <c r="P17" i="43"/>
  <c r="L17" i="43"/>
  <c r="M17" i="43" s="1"/>
  <c r="N17" i="43" s="1"/>
  <c r="K17" i="43"/>
  <c r="G17" i="43"/>
  <c r="E17" i="43"/>
  <c r="U16" i="43"/>
  <c r="T16" i="43"/>
  <c r="S16" i="43"/>
  <c r="Q16" i="43"/>
  <c r="P16" i="43"/>
  <c r="L16" i="43"/>
  <c r="M16" i="43"/>
  <c r="N16" i="43" s="1"/>
  <c r="K16" i="43"/>
  <c r="G16" i="43"/>
  <c r="E16" i="43"/>
  <c r="Q15" i="43"/>
  <c r="P15" i="43"/>
  <c r="L15" i="43"/>
  <c r="M15" i="43"/>
  <c r="N15" i="43" s="1"/>
  <c r="U14" i="43"/>
  <c r="T14" i="43"/>
  <c r="S14" i="43"/>
  <c r="Q14" i="43"/>
  <c r="P14" i="43"/>
  <c r="L14" i="43"/>
  <c r="M14" i="43" s="1"/>
  <c r="N14" i="43" s="1"/>
  <c r="K14" i="43"/>
  <c r="G14" i="43"/>
  <c r="E14" i="43"/>
  <c r="Q13" i="43"/>
  <c r="P13" i="43"/>
  <c r="L13" i="43"/>
  <c r="M13" i="43"/>
  <c r="N13" i="43" s="1"/>
  <c r="K13" i="43"/>
  <c r="G13" i="43"/>
  <c r="E13" i="43"/>
  <c r="Q12" i="43"/>
  <c r="P12" i="43"/>
  <c r="L12" i="43"/>
  <c r="M12" i="43" s="1"/>
  <c r="N12" i="43" s="1"/>
  <c r="K12" i="43"/>
  <c r="G12" i="43"/>
  <c r="E12" i="43"/>
  <c r="Q11" i="43"/>
  <c r="P11" i="43"/>
  <c r="L11" i="43"/>
  <c r="M11" i="43"/>
  <c r="N11" i="43" s="1"/>
  <c r="K11" i="43"/>
  <c r="G11" i="43"/>
  <c r="E11" i="43"/>
  <c r="Q10" i="43"/>
  <c r="P10" i="43"/>
  <c r="L10" i="43"/>
  <c r="M10" i="43"/>
  <c r="N10" i="43" s="1"/>
  <c r="K10" i="43"/>
  <c r="G10" i="43"/>
  <c r="E10" i="43"/>
  <c r="Q9" i="43"/>
  <c r="P9" i="43"/>
  <c r="L9" i="43"/>
  <c r="M9" i="43" s="1"/>
  <c r="N9" i="43" s="1"/>
  <c r="K9" i="43"/>
  <c r="G9" i="43"/>
  <c r="E9" i="43"/>
  <c r="Q8" i="43"/>
  <c r="P8" i="43"/>
  <c r="L8" i="43"/>
  <c r="M8" i="43"/>
  <c r="N8" i="43" s="1"/>
  <c r="K8" i="43"/>
  <c r="G8" i="43"/>
  <c r="E8" i="43"/>
  <c r="Q7" i="43"/>
  <c r="P7" i="43"/>
  <c r="L7" i="43"/>
  <c r="M7" i="43"/>
  <c r="N7" i="43" s="1"/>
  <c r="K7" i="43"/>
  <c r="G7" i="43"/>
  <c r="E7" i="43"/>
  <c r="Q6" i="43"/>
  <c r="P6" i="43"/>
  <c r="L6" i="43"/>
  <c r="M6" i="43"/>
  <c r="K6" i="43"/>
  <c r="G6" i="43"/>
  <c r="E6" i="43"/>
  <c r="U415" i="42"/>
  <c r="T415" i="42"/>
  <c r="S415" i="42"/>
  <c r="U410" i="42"/>
  <c r="T410" i="42"/>
  <c r="S410" i="42"/>
  <c r="U407" i="42"/>
  <c r="T407" i="42"/>
  <c r="S407" i="42"/>
  <c r="U405" i="42"/>
  <c r="T405" i="42"/>
  <c r="S405" i="42"/>
  <c r="U415" i="41"/>
  <c r="T415" i="41"/>
  <c r="S415" i="41"/>
  <c r="S410" i="41"/>
  <c r="U407" i="41"/>
  <c r="T407" i="41"/>
  <c r="S407" i="41"/>
  <c r="U405" i="41"/>
  <c r="T405" i="41"/>
  <c r="S405" i="41"/>
  <c r="U410" i="41"/>
  <c r="T410" i="41"/>
  <c r="U389" i="42"/>
  <c r="T389" i="42"/>
  <c r="S389" i="42"/>
  <c r="U389" i="41"/>
  <c r="T389" i="41"/>
  <c r="S389" i="41"/>
  <c r="U386" i="41"/>
  <c r="T386" i="41"/>
  <c r="S386" i="41"/>
  <c r="S385" i="41"/>
  <c r="S386" i="42"/>
  <c r="T386" i="42"/>
  <c r="U386" i="42"/>
  <c r="U385" i="42"/>
  <c r="T385" i="42"/>
  <c r="S385" i="42"/>
  <c r="U385" i="41"/>
  <c r="T385" i="41"/>
  <c r="U383" i="42"/>
  <c r="T383" i="42"/>
  <c r="S383" i="42"/>
  <c r="S383" i="41"/>
  <c r="U383" i="41"/>
  <c r="T383" i="41"/>
  <c r="U378" i="42"/>
  <c r="T378" i="42"/>
  <c r="S378" i="42"/>
  <c r="U378" i="41"/>
  <c r="T378" i="41"/>
  <c r="S378" i="41"/>
  <c r="U375" i="41"/>
  <c r="T375" i="41"/>
  <c r="S375" i="41"/>
  <c r="U375" i="42"/>
  <c r="T375" i="42"/>
  <c r="S375" i="42"/>
  <c r="U372" i="42"/>
  <c r="T372" i="42"/>
  <c r="S372" i="42"/>
  <c r="U372" i="41"/>
  <c r="T372" i="41"/>
  <c r="S372" i="41"/>
  <c r="S362" i="41"/>
  <c r="S365" i="41"/>
  <c r="T193" i="42"/>
  <c r="J193" i="41"/>
  <c r="U193" i="41" s="1"/>
  <c r="F193" i="41"/>
  <c r="T193" i="41" s="1"/>
  <c r="D193" i="41"/>
  <c r="S193" i="41"/>
  <c r="U365" i="41"/>
  <c r="T365" i="41"/>
  <c r="S365" i="42"/>
  <c r="U365" i="42"/>
  <c r="T365" i="42"/>
  <c r="U362" i="42"/>
  <c r="T362" i="42"/>
  <c r="S362" i="42"/>
  <c r="U362" i="41"/>
  <c r="T362" i="41"/>
  <c r="S359" i="41"/>
  <c r="U359" i="42"/>
  <c r="T359" i="42"/>
  <c r="S359" i="42"/>
  <c r="U359" i="41"/>
  <c r="T359" i="41"/>
  <c r="U354" i="42"/>
  <c r="T354" i="42"/>
  <c r="S354" i="42"/>
  <c r="U354" i="41"/>
  <c r="T354" i="41"/>
  <c r="S354" i="41"/>
  <c r="U337" i="42"/>
  <c r="T337" i="42"/>
  <c r="S337" i="42"/>
  <c r="U337" i="41"/>
  <c r="T337" i="41"/>
  <c r="S337" i="41"/>
  <c r="U313" i="41"/>
  <c r="T313" i="41"/>
  <c r="S313" i="41"/>
  <c r="U313" i="42"/>
  <c r="T313" i="42"/>
  <c r="S313" i="42"/>
  <c r="U307" i="42"/>
  <c r="T307" i="42"/>
  <c r="S307" i="42"/>
  <c r="U307" i="41"/>
  <c r="T307" i="41"/>
  <c r="S307" i="41"/>
  <c r="U269" i="41"/>
  <c r="T269" i="41"/>
  <c r="S269" i="41"/>
  <c r="U269" i="42"/>
  <c r="T269" i="42"/>
  <c r="S269" i="42"/>
  <c r="U267" i="41"/>
  <c r="T267" i="41"/>
  <c r="S267" i="41"/>
  <c r="U267" i="42"/>
  <c r="T267" i="42"/>
  <c r="S267" i="42"/>
  <c r="U254" i="42"/>
  <c r="T254" i="42"/>
  <c r="S254" i="42"/>
  <c r="U254" i="41"/>
  <c r="T254" i="41"/>
  <c r="S254" i="41"/>
  <c r="U253" i="41"/>
  <c r="T253" i="41"/>
  <c r="S253" i="41"/>
  <c r="U253" i="42"/>
  <c r="T253" i="42"/>
  <c r="S253" i="42"/>
  <c r="U244" i="41"/>
  <c r="T244" i="41"/>
  <c r="S244" i="41"/>
  <c r="U244" i="42"/>
  <c r="T244" i="42"/>
  <c r="S244" i="42"/>
  <c r="U241" i="41"/>
  <c r="T241" i="41"/>
  <c r="S241" i="41"/>
  <c r="U241" i="42"/>
  <c r="T241" i="42"/>
  <c r="S241" i="42"/>
  <c r="U236" i="41"/>
  <c r="T236" i="41"/>
  <c r="S236" i="41"/>
  <c r="U236" i="42"/>
  <c r="T236" i="42"/>
  <c r="S236" i="42"/>
  <c r="U202" i="42"/>
  <c r="T202" i="42"/>
  <c r="S202" i="42"/>
  <c r="U202" i="41"/>
  <c r="T202" i="41"/>
  <c r="S202" i="41"/>
  <c r="U198" i="41"/>
  <c r="T198" i="41"/>
  <c r="S198" i="41"/>
  <c r="U198" i="42"/>
  <c r="T198" i="42"/>
  <c r="S198" i="42"/>
  <c r="U187" i="41"/>
  <c r="T187" i="41"/>
  <c r="S187" i="41"/>
  <c r="U187" i="42"/>
  <c r="T187" i="42"/>
  <c r="S187" i="42"/>
  <c r="U184" i="42"/>
  <c r="T184" i="42"/>
  <c r="S184" i="42"/>
  <c r="U183" i="42"/>
  <c r="T183" i="42"/>
  <c r="S183" i="42"/>
  <c r="U183" i="41"/>
  <c r="T183" i="41"/>
  <c r="S183" i="41"/>
  <c r="U184" i="41"/>
  <c r="T184" i="41"/>
  <c r="S184" i="41"/>
  <c r="U176" i="42"/>
  <c r="T176" i="42"/>
  <c r="S176" i="42"/>
  <c r="U176" i="41"/>
  <c r="T176" i="41"/>
  <c r="S176" i="41"/>
  <c r="U175" i="41"/>
  <c r="T175" i="41"/>
  <c r="S175" i="41"/>
  <c r="U175" i="42"/>
  <c r="T175" i="42"/>
  <c r="S175" i="42"/>
  <c r="U170" i="42"/>
  <c r="T170" i="42"/>
  <c r="S170" i="42"/>
  <c r="U170" i="41"/>
  <c r="T170" i="41"/>
  <c r="S170" i="41"/>
  <c r="U156" i="42"/>
  <c r="T156" i="42"/>
  <c r="S156" i="42"/>
  <c r="U155" i="42"/>
  <c r="T155" i="42"/>
  <c r="S155" i="42"/>
  <c r="S156" i="41"/>
  <c r="T156" i="41"/>
  <c r="U156" i="41"/>
  <c r="U155" i="41"/>
  <c r="T155" i="41"/>
  <c r="S155" i="41"/>
  <c r="U154" i="41"/>
  <c r="T154" i="41"/>
  <c r="S154" i="41"/>
  <c r="U154" i="42"/>
  <c r="T154" i="42"/>
  <c r="S154" i="42"/>
  <c r="U143" i="42"/>
  <c r="T143" i="42"/>
  <c r="S143" i="42"/>
  <c r="S143" i="41"/>
  <c r="U143" i="41"/>
  <c r="T143" i="41"/>
  <c r="U138" i="41"/>
  <c r="T138" i="41"/>
  <c r="S138" i="41"/>
  <c r="U138" i="42"/>
  <c r="T138" i="42"/>
  <c r="S138" i="42"/>
  <c r="U133" i="42"/>
  <c r="T133" i="42"/>
  <c r="S133" i="42"/>
  <c r="S133" i="41"/>
  <c r="U133" i="41"/>
  <c r="T133" i="41"/>
  <c r="U130" i="41"/>
  <c r="T130" i="41"/>
  <c r="S130" i="41"/>
  <c r="U130" i="42"/>
  <c r="T130" i="42"/>
  <c r="S130" i="42"/>
  <c r="U127" i="41"/>
  <c r="T127" i="41"/>
  <c r="S127" i="41"/>
  <c r="S127" i="42"/>
  <c r="U127" i="42"/>
  <c r="T127" i="42"/>
  <c r="U125" i="41"/>
  <c r="T125" i="41"/>
  <c r="S125" i="41"/>
  <c r="U125" i="42"/>
  <c r="T125" i="42"/>
  <c r="S125" i="42"/>
  <c r="U123" i="42"/>
  <c r="T123" i="42"/>
  <c r="S123" i="42"/>
  <c r="S123" i="41"/>
  <c r="U123" i="41"/>
  <c r="T123" i="41"/>
  <c r="U120" i="41"/>
  <c r="T120" i="41"/>
  <c r="S120" i="41"/>
  <c r="U120" i="42"/>
  <c r="T120" i="42"/>
  <c r="S120" i="42"/>
  <c r="U117" i="42"/>
  <c r="T117" i="42"/>
  <c r="S117" i="42"/>
  <c r="U117" i="41"/>
  <c r="T117" i="41"/>
  <c r="S117" i="41"/>
  <c r="U115" i="41"/>
  <c r="T115" i="41"/>
  <c r="S115" i="41"/>
  <c r="U115" i="42"/>
  <c r="T115" i="42"/>
  <c r="S115" i="42"/>
  <c r="U111" i="41"/>
  <c r="T111" i="41"/>
  <c r="S111" i="41"/>
  <c r="U111" i="42"/>
  <c r="T111" i="42"/>
  <c r="S111" i="42"/>
  <c r="U105" i="41"/>
  <c r="T105" i="41"/>
  <c r="S105" i="41"/>
  <c r="U105" i="42"/>
  <c r="T105" i="42"/>
  <c r="S105" i="42"/>
  <c r="J103" i="42"/>
  <c r="U103" i="42" s="1"/>
  <c r="F103" i="42"/>
  <c r="G103" i="42" s="1"/>
  <c r="T103" i="42"/>
  <c r="D103" i="42"/>
  <c r="E103" i="42" s="1"/>
  <c r="U98" i="42"/>
  <c r="T98" i="42"/>
  <c r="S98" i="42"/>
  <c r="U98" i="41"/>
  <c r="T98" i="41"/>
  <c r="S98" i="41"/>
  <c r="U96" i="41"/>
  <c r="T96" i="41"/>
  <c r="S96" i="41"/>
  <c r="U96" i="42"/>
  <c r="T96" i="42"/>
  <c r="S96" i="42"/>
  <c r="U91" i="42"/>
  <c r="T91" i="42"/>
  <c r="S91" i="42"/>
  <c r="U91" i="41"/>
  <c r="T91" i="41"/>
  <c r="S91" i="41"/>
  <c r="U89" i="41"/>
  <c r="T89" i="41"/>
  <c r="S89" i="41"/>
  <c r="U89" i="42"/>
  <c r="T89" i="42"/>
  <c r="S89" i="42"/>
  <c r="U88" i="42"/>
  <c r="T88" i="42"/>
  <c r="S88" i="42"/>
  <c r="U88" i="41"/>
  <c r="T88" i="41"/>
  <c r="S88" i="41"/>
  <c r="U86" i="41"/>
  <c r="T86" i="41"/>
  <c r="S86" i="41"/>
  <c r="U86" i="42"/>
  <c r="T86" i="42"/>
  <c r="S86" i="42"/>
  <c r="U83" i="42"/>
  <c r="T83" i="42"/>
  <c r="S83" i="42"/>
  <c r="U83" i="41"/>
  <c r="T83" i="41"/>
  <c r="S83" i="41"/>
  <c r="U79" i="42"/>
  <c r="T79" i="42"/>
  <c r="S79" i="42"/>
  <c r="S79" i="41"/>
  <c r="U79" i="41"/>
  <c r="T79" i="41"/>
  <c r="U77" i="41"/>
  <c r="T77" i="41"/>
  <c r="S77" i="41"/>
  <c r="U77" i="42"/>
  <c r="T77" i="42"/>
  <c r="S77" i="42"/>
  <c r="U76" i="42"/>
  <c r="T76" i="42"/>
  <c r="S76" i="42"/>
  <c r="U76" i="41"/>
  <c r="T76" i="41"/>
  <c r="S76" i="41"/>
  <c r="U16" i="42"/>
  <c r="T16" i="42"/>
  <c r="S16" i="42"/>
  <c r="U16" i="41"/>
  <c r="T16" i="41"/>
  <c r="S16" i="41"/>
  <c r="U74" i="41"/>
  <c r="T74" i="41"/>
  <c r="S74" i="41"/>
  <c r="U74" i="42"/>
  <c r="T74" i="42"/>
  <c r="S74" i="42"/>
  <c r="U43" i="42"/>
  <c r="T43" i="42"/>
  <c r="S43" i="42"/>
  <c r="U43" i="41"/>
  <c r="T43" i="41"/>
  <c r="S43" i="41"/>
  <c r="S27" i="42"/>
  <c r="U27" i="42"/>
  <c r="T27" i="42"/>
  <c r="U27" i="41"/>
  <c r="T27" i="41"/>
  <c r="S27" i="41"/>
  <c r="U23" i="42"/>
  <c r="T23" i="42"/>
  <c r="S23" i="42"/>
  <c r="U23" i="41"/>
  <c r="T23" i="41"/>
  <c r="S23" i="41"/>
  <c r="U14" i="42"/>
  <c r="T14" i="42"/>
  <c r="S14" i="42"/>
  <c r="U14" i="41"/>
  <c r="T14" i="41"/>
  <c r="S14" i="41"/>
  <c r="J114" i="42"/>
  <c r="U114" i="42" s="1"/>
  <c r="F114" i="42"/>
  <c r="D114" i="42"/>
  <c r="S114" i="42"/>
  <c r="K152" i="42"/>
  <c r="G152" i="42"/>
  <c r="E152" i="42"/>
  <c r="K152" i="41"/>
  <c r="G152" i="41"/>
  <c r="E152" i="41"/>
  <c r="C416" i="42"/>
  <c r="Q415" i="42"/>
  <c r="P415" i="42"/>
  <c r="L415" i="42"/>
  <c r="M415" i="42" s="1"/>
  <c r="N415" i="42" s="1"/>
  <c r="Q414" i="42"/>
  <c r="P414" i="42"/>
  <c r="L414" i="42"/>
  <c r="M414" i="42" s="1"/>
  <c r="N414" i="42" s="1"/>
  <c r="K414" i="42"/>
  <c r="G414" i="42"/>
  <c r="E414" i="42"/>
  <c r="Q413" i="42"/>
  <c r="P413" i="42"/>
  <c r="L413" i="42"/>
  <c r="M413" i="42"/>
  <c r="N413" i="42" s="1"/>
  <c r="Q412" i="42"/>
  <c r="P412" i="42"/>
  <c r="L412" i="42"/>
  <c r="M412" i="42" s="1"/>
  <c r="N412" i="42" s="1"/>
  <c r="K412" i="42"/>
  <c r="G412" i="42"/>
  <c r="E412" i="42"/>
  <c r="Q411" i="42"/>
  <c r="P411" i="42"/>
  <c r="L411" i="42"/>
  <c r="M411" i="42"/>
  <c r="N411" i="42" s="1"/>
  <c r="Q410" i="42"/>
  <c r="P410" i="42"/>
  <c r="L410" i="42"/>
  <c r="M410" i="42" s="1"/>
  <c r="N410" i="42" s="1"/>
  <c r="Q409" i="42"/>
  <c r="P409" i="42"/>
  <c r="L409" i="42"/>
  <c r="M409" i="42" s="1"/>
  <c r="N409" i="42" s="1"/>
  <c r="K409" i="42"/>
  <c r="G409" i="42"/>
  <c r="E409" i="42"/>
  <c r="Q408" i="42"/>
  <c r="P408" i="42"/>
  <c r="L408" i="42"/>
  <c r="M408" i="42"/>
  <c r="N408" i="42" s="1"/>
  <c r="K408" i="42"/>
  <c r="G408" i="42"/>
  <c r="E408" i="42"/>
  <c r="Q407" i="42"/>
  <c r="P407" i="42"/>
  <c r="L407" i="42"/>
  <c r="M407" i="42" s="1"/>
  <c r="N407" i="42" s="1"/>
  <c r="K407" i="42"/>
  <c r="G407" i="42"/>
  <c r="E407" i="42"/>
  <c r="Q406" i="42"/>
  <c r="P406" i="42"/>
  <c r="L406" i="42"/>
  <c r="M406" i="42" s="1"/>
  <c r="N406" i="42" s="1"/>
  <c r="Q405" i="42"/>
  <c r="P405" i="42"/>
  <c r="L405" i="42"/>
  <c r="M405" i="42" s="1"/>
  <c r="N405" i="42" s="1"/>
  <c r="K405" i="42"/>
  <c r="G405" i="42"/>
  <c r="E405" i="42"/>
  <c r="Q404" i="42"/>
  <c r="P404" i="42"/>
  <c r="L404" i="42"/>
  <c r="M404" i="42"/>
  <c r="N404" i="42" s="1"/>
  <c r="K404" i="42"/>
  <c r="G404" i="42"/>
  <c r="E404" i="42"/>
  <c r="Q403" i="42"/>
  <c r="P403" i="42"/>
  <c r="L403" i="42"/>
  <c r="M403" i="42" s="1"/>
  <c r="N403" i="42" s="1"/>
  <c r="K403" i="42"/>
  <c r="G403" i="42"/>
  <c r="E403" i="42"/>
  <c r="Q402" i="42"/>
  <c r="P402" i="42"/>
  <c r="L402" i="42"/>
  <c r="M402" i="42"/>
  <c r="N402" i="42" s="1"/>
  <c r="K402" i="42"/>
  <c r="G402" i="42"/>
  <c r="E402" i="42"/>
  <c r="Q401" i="42"/>
  <c r="P401" i="42"/>
  <c r="L401" i="42"/>
  <c r="M401" i="42" s="1"/>
  <c r="N401" i="42" s="1"/>
  <c r="K401" i="42"/>
  <c r="G401" i="42"/>
  <c r="E401" i="42"/>
  <c r="Q400" i="42"/>
  <c r="P400" i="42"/>
  <c r="L400" i="42"/>
  <c r="M400" i="42" s="1"/>
  <c r="N400" i="42" s="1"/>
  <c r="K400" i="42"/>
  <c r="G400" i="42"/>
  <c r="E400" i="42"/>
  <c r="Q399" i="42"/>
  <c r="P399" i="42"/>
  <c r="L399" i="42"/>
  <c r="M399" i="42"/>
  <c r="N399" i="42" s="1"/>
  <c r="K399" i="42"/>
  <c r="G399" i="42"/>
  <c r="E399" i="42"/>
  <c r="Q398" i="42"/>
  <c r="P398" i="42"/>
  <c r="L398" i="42"/>
  <c r="M398" i="42"/>
  <c r="N398" i="42"/>
  <c r="K398" i="42"/>
  <c r="G398" i="42"/>
  <c r="E398" i="42"/>
  <c r="Q397" i="42"/>
  <c r="P397" i="42"/>
  <c r="L397" i="42"/>
  <c r="M397" i="42" s="1"/>
  <c r="N397" i="42" s="1"/>
  <c r="K397" i="42"/>
  <c r="G397" i="42"/>
  <c r="E397" i="42"/>
  <c r="Q396" i="42"/>
  <c r="P396" i="42"/>
  <c r="L396" i="42"/>
  <c r="M396" i="42" s="1"/>
  <c r="N396" i="42" s="1"/>
  <c r="K396" i="42"/>
  <c r="G396" i="42"/>
  <c r="E396" i="42"/>
  <c r="Q395" i="42"/>
  <c r="P395" i="42"/>
  <c r="L395" i="42"/>
  <c r="M395" i="42"/>
  <c r="N395" i="42" s="1"/>
  <c r="K395" i="42"/>
  <c r="G395" i="42"/>
  <c r="E395" i="42"/>
  <c r="Q394" i="42"/>
  <c r="P394" i="42"/>
  <c r="L394" i="42"/>
  <c r="M394" i="42" s="1"/>
  <c r="N394" i="42" s="1"/>
  <c r="K394" i="42"/>
  <c r="G394" i="42"/>
  <c r="E394" i="42"/>
  <c r="Q393" i="42"/>
  <c r="P393" i="42"/>
  <c r="L393" i="42"/>
  <c r="M393" i="42" s="1"/>
  <c r="N393" i="42" s="1"/>
  <c r="K393" i="42"/>
  <c r="G393" i="42"/>
  <c r="E393" i="42"/>
  <c r="Q392" i="42"/>
  <c r="P392" i="42"/>
  <c r="L392" i="42"/>
  <c r="M392" i="42" s="1"/>
  <c r="N392" i="42"/>
  <c r="K392" i="42"/>
  <c r="G392" i="42"/>
  <c r="E392" i="42"/>
  <c r="Q391" i="42"/>
  <c r="P391" i="42"/>
  <c r="L391" i="42"/>
  <c r="M391" i="42" s="1"/>
  <c r="N391" i="42" s="1"/>
  <c r="K391" i="42"/>
  <c r="G391" i="42"/>
  <c r="E391" i="42"/>
  <c r="Q390" i="42"/>
  <c r="P390" i="42"/>
  <c r="L390" i="42"/>
  <c r="M390" i="42" s="1"/>
  <c r="N390" i="42" s="1"/>
  <c r="K390" i="42"/>
  <c r="G390" i="42"/>
  <c r="E390" i="42"/>
  <c r="Q389" i="42"/>
  <c r="P389" i="42"/>
  <c r="L389" i="42"/>
  <c r="M389" i="42"/>
  <c r="N389" i="42" s="1"/>
  <c r="K389" i="42"/>
  <c r="G389" i="42"/>
  <c r="E389" i="42"/>
  <c r="Q388" i="42"/>
  <c r="P388" i="42"/>
  <c r="L388" i="42"/>
  <c r="M388" i="42" s="1"/>
  <c r="N388" i="42" s="1"/>
  <c r="Q387" i="42"/>
  <c r="P387" i="42"/>
  <c r="L387" i="42"/>
  <c r="M387" i="42" s="1"/>
  <c r="N387" i="42" s="1"/>
  <c r="K387" i="42"/>
  <c r="G387" i="42"/>
  <c r="E387" i="42"/>
  <c r="Q386" i="42"/>
  <c r="P386" i="42"/>
  <c r="L386" i="42"/>
  <c r="M386" i="42" s="1"/>
  <c r="N386" i="42"/>
  <c r="K386" i="42"/>
  <c r="G386" i="42"/>
  <c r="E386" i="42"/>
  <c r="Q385" i="42"/>
  <c r="P385" i="42"/>
  <c r="L385" i="42"/>
  <c r="M385" i="42" s="1"/>
  <c r="N385" i="42" s="1"/>
  <c r="K385" i="42"/>
  <c r="G385" i="42"/>
  <c r="E385" i="42"/>
  <c r="Q384" i="42"/>
  <c r="P384" i="42"/>
  <c r="L384" i="42"/>
  <c r="M384" i="42"/>
  <c r="N384" i="42" s="1"/>
  <c r="K384" i="42"/>
  <c r="G384" i="42"/>
  <c r="E384" i="42"/>
  <c r="Q383" i="42"/>
  <c r="P383" i="42"/>
  <c r="L383" i="42"/>
  <c r="M383" i="42"/>
  <c r="N383" i="42"/>
  <c r="K383" i="42"/>
  <c r="G383" i="42"/>
  <c r="E383" i="42"/>
  <c r="Q382" i="42"/>
  <c r="P382" i="42"/>
  <c r="L382" i="42"/>
  <c r="M382" i="42" s="1"/>
  <c r="N382" i="42" s="1"/>
  <c r="K382" i="42"/>
  <c r="G382" i="42"/>
  <c r="E382" i="42"/>
  <c r="Q381" i="42"/>
  <c r="P381" i="42"/>
  <c r="L381" i="42"/>
  <c r="M381" i="42"/>
  <c r="N381" i="42" s="1"/>
  <c r="Q380" i="42"/>
  <c r="P380" i="42"/>
  <c r="L380" i="42"/>
  <c r="M380" i="42"/>
  <c r="N380" i="42" s="1"/>
  <c r="K380" i="42"/>
  <c r="G380" i="42"/>
  <c r="E380" i="42"/>
  <c r="Q379" i="42"/>
  <c r="P379" i="42"/>
  <c r="L379" i="42"/>
  <c r="M379" i="42" s="1"/>
  <c r="N379" i="42" s="1"/>
  <c r="K379" i="42"/>
  <c r="G379" i="42"/>
  <c r="E379" i="42"/>
  <c r="Q378" i="42"/>
  <c r="P378" i="42"/>
  <c r="L378" i="42"/>
  <c r="M378" i="42" s="1"/>
  <c r="N378" i="42" s="1"/>
  <c r="K378" i="42"/>
  <c r="G378" i="42"/>
  <c r="E378" i="42"/>
  <c r="Q377" i="42"/>
  <c r="P377" i="42"/>
  <c r="L377" i="42"/>
  <c r="M377" i="42"/>
  <c r="N377" i="42" s="1"/>
  <c r="K377" i="42"/>
  <c r="G377" i="42"/>
  <c r="E377" i="42"/>
  <c r="Q376" i="42"/>
  <c r="P376" i="42"/>
  <c r="L376" i="42"/>
  <c r="M376" i="42" s="1"/>
  <c r="N376" i="42" s="1"/>
  <c r="K376" i="42"/>
  <c r="G376" i="42"/>
  <c r="E376" i="42"/>
  <c r="Q375" i="42"/>
  <c r="P375" i="42"/>
  <c r="L375" i="42"/>
  <c r="M375" i="42" s="1"/>
  <c r="N375" i="42" s="1"/>
  <c r="K375" i="42"/>
  <c r="G375" i="42"/>
  <c r="E375" i="42"/>
  <c r="Q374" i="42"/>
  <c r="P374" i="42"/>
  <c r="L374" i="42"/>
  <c r="M374" i="42"/>
  <c r="N374" i="42" s="1"/>
  <c r="K374" i="42"/>
  <c r="G374" i="42"/>
  <c r="E374" i="42"/>
  <c r="Q373" i="42"/>
  <c r="P373" i="42"/>
  <c r="L373" i="42"/>
  <c r="M373" i="42" s="1"/>
  <c r="N373" i="42" s="1"/>
  <c r="K373" i="42"/>
  <c r="G373" i="42"/>
  <c r="E373" i="42"/>
  <c r="Q372" i="42"/>
  <c r="P372" i="42"/>
  <c r="L372" i="42"/>
  <c r="M372" i="42" s="1"/>
  <c r="N372" i="42" s="1"/>
  <c r="K372" i="42"/>
  <c r="G372" i="42"/>
  <c r="E372" i="42"/>
  <c r="Q371" i="42"/>
  <c r="P371" i="42"/>
  <c r="L371" i="42"/>
  <c r="M371" i="42"/>
  <c r="N371" i="42" s="1"/>
  <c r="K371" i="42"/>
  <c r="G371" i="42"/>
  <c r="E371" i="42"/>
  <c r="Q370" i="42"/>
  <c r="P370" i="42"/>
  <c r="L370" i="42"/>
  <c r="M370" i="42"/>
  <c r="N370" i="42" s="1"/>
  <c r="K370" i="42"/>
  <c r="G370" i="42"/>
  <c r="E370" i="42"/>
  <c r="Q369" i="42"/>
  <c r="P369" i="42"/>
  <c r="L369" i="42"/>
  <c r="M369" i="42"/>
  <c r="N369" i="42" s="1"/>
  <c r="K369" i="42"/>
  <c r="G369" i="42"/>
  <c r="E369" i="42"/>
  <c r="Q368" i="42"/>
  <c r="P368" i="42"/>
  <c r="L368" i="42"/>
  <c r="M368" i="42" s="1"/>
  <c r="N368" i="42"/>
  <c r="K368" i="42"/>
  <c r="G368" i="42"/>
  <c r="E368" i="42"/>
  <c r="Q367" i="42"/>
  <c r="P367" i="42"/>
  <c r="L367" i="42"/>
  <c r="M367" i="42" s="1"/>
  <c r="N367" i="42" s="1"/>
  <c r="K367" i="42"/>
  <c r="G367" i="42"/>
  <c r="E367" i="42"/>
  <c r="Q366" i="42"/>
  <c r="P366" i="42"/>
  <c r="L366" i="42"/>
  <c r="M366" i="42" s="1"/>
  <c r="N366" i="42" s="1"/>
  <c r="K366" i="42"/>
  <c r="G366" i="42"/>
  <c r="E366" i="42"/>
  <c r="Q365" i="42"/>
  <c r="P365" i="42"/>
  <c r="L365" i="42"/>
  <c r="M365" i="42"/>
  <c r="N365" i="42" s="1"/>
  <c r="K365" i="42"/>
  <c r="G365" i="42"/>
  <c r="E365" i="42"/>
  <c r="Q364" i="42"/>
  <c r="P364" i="42"/>
  <c r="L364" i="42"/>
  <c r="M364" i="42" s="1"/>
  <c r="N364" i="42" s="1"/>
  <c r="K364" i="42"/>
  <c r="G364" i="42"/>
  <c r="E364" i="42"/>
  <c r="Q363" i="42"/>
  <c r="P363" i="42"/>
  <c r="L363" i="42"/>
  <c r="M363" i="42" s="1"/>
  <c r="N363" i="42" s="1"/>
  <c r="K363" i="42"/>
  <c r="G363" i="42"/>
  <c r="E363" i="42"/>
  <c r="Q362" i="42"/>
  <c r="P362" i="42"/>
  <c r="L362" i="42"/>
  <c r="M362" i="42" s="1"/>
  <c r="N362" i="42" s="1"/>
  <c r="K362" i="42"/>
  <c r="G362" i="42"/>
  <c r="E362" i="42"/>
  <c r="Q361" i="42"/>
  <c r="P361" i="42"/>
  <c r="L361" i="42"/>
  <c r="M361" i="42" s="1"/>
  <c r="N361" i="42" s="1"/>
  <c r="K361" i="42"/>
  <c r="G361" i="42"/>
  <c r="E361" i="42"/>
  <c r="Q360" i="42"/>
  <c r="P360" i="42"/>
  <c r="L360" i="42"/>
  <c r="M360" i="42"/>
  <c r="N360" i="42" s="1"/>
  <c r="K360" i="42"/>
  <c r="G360" i="42"/>
  <c r="E360" i="42"/>
  <c r="Q359" i="42"/>
  <c r="P359" i="42"/>
  <c r="L359" i="42"/>
  <c r="M359" i="42" s="1"/>
  <c r="N359" i="42" s="1"/>
  <c r="K359" i="42"/>
  <c r="G359" i="42"/>
  <c r="E359" i="42"/>
  <c r="Q358" i="42"/>
  <c r="P358" i="42"/>
  <c r="L358" i="42"/>
  <c r="M358" i="42"/>
  <c r="N358" i="42" s="1"/>
  <c r="K358" i="42"/>
  <c r="G358" i="42"/>
  <c r="E358" i="42"/>
  <c r="Q357" i="42"/>
  <c r="P357" i="42"/>
  <c r="L357" i="42"/>
  <c r="M357" i="42"/>
  <c r="N357" i="42" s="1"/>
  <c r="K357" i="42"/>
  <c r="G357" i="42"/>
  <c r="E357" i="42"/>
  <c r="Q356" i="42"/>
  <c r="P356" i="42"/>
  <c r="L356" i="42"/>
  <c r="M356" i="42" s="1"/>
  <c r="N356" i="42" s="1"/>
  <c r="K356" i="42"/>
  <c r="G356" i="42"/>
  <c r="E356" i="42"/>
  <c r="Q355" i="42"/>
  <c r="P355" i="42"/>
  <c r="L355" i="42"/>
  <c r="M355" i="42" s="1"/>
  <c r="N355" i="42" s="1"/>
  <c r="K355" i="42"/>
  <c r="G355" i="42"/>
  <c r="E355" i="42"/>
  <c r="Q354" i="42"/>
  <c r="P354" i="42"/>
  <c r="L354" i="42"/>
  <c r="M354" i="42"/>
  <c r="N354" i="42" s="1"/>
  <c r="K354" i="42"/>
  <c r="G354" i="42"/>
  <c r="E354" i="42"/>
  <c r="Q353" i="42"/>
  <c r="P353" i="42"/>
  <c r="L353" i="42"/>
  <c r="M353" i="42" s="1"/>
  <c r="N353" i="42" s="1"/>
  <c r="K353" i="42"/>
  <c r="G353" i="42"/>
  <c r="E353" i="42"/>
  <c r="Q352" i="42"/>
  <c r="P352" i="42"/>
  <c r="L352" i="42"/>
  <c r="M352" i="42" s="1"/>
  <c r="N352" i="42" s="1"/>
  <c r="K352" i="42"/>
  <c r="G352" i="42"/>
  <c r="E352" i="42"/>
  <c r="Q351" i="42"/>
  <c r="P351" i="42"/>
  <c r="L351" i="42"/>
  <c r="M351" i="42" s="1"/>
  <c r="N351" i="42" s="1"/>
  <c r="K351" i="42"/>
  <c r="G351" i="42"/>
  <c r="E351" i="42"/>
  <c r="Q350" i="42"/>
  <c r="P350" i="42"/>
  <c r="L350" i="42"/>
  <c r="M350" i="42"/>
  <c r="N350" i="42" s="1"/>
  <c r="K350" i="42"/>
  <c r="G350" i="42"/>
  <c r="E350" i="42"/>
  <c r="Q349" i="42"/>
  <c r="P349" i="42"/>
  <c r="L349" i="42"/>
  <c r="M349" i="42" s="1"/>
  <c r="N349" i="42" s="1"/>
  <c r="K349" i="42"/>
  <c r="G349" i="42"/>
  <c r="E349" i="42"/>
  <c r="Q348" i="42"/>
  <c r="P348" i="42"/>
  <c r="L348" i="42"/>
  <c r="M348" i="42" s="1"/>
  <c r="N348" i="42" s="1"/>
  <c r="K348" i="42"/>
  <c r="G348" i="42"/>
  <c r="E348" i="42"/>
  <c r="Q347" i="42"/>
  <c r="P347" i="42"/>
  <c r="L347" i="42"/>
  <c r="M347" i="42" s="1"/>
  <c r="N347" i="42"/>
  <c r="K347" i="42"/>
  <c r="G347" i="42"/>
  <c r="E347" i="42"/>
  <c r="Q346" i="42"/>
  <c r="P346" i="42"/>
  <c r="L346" i="42"/>
  <c r="M346" i="42" s="1"/>
  <c r="N346" i="42" s="1"/>
  <c r="K346" i="42"/>
  <c r="G346" i="42"/>
  <c r="E346" i="42"/>
  <c r="Q345" i="42"/>
  <c r="P345" i="42"/>
  <c r="L345" i="42"/>
  <c r="M345" i="42" s="1"/>
  <c r="N345" i="42" s="1"/>
  <c r="K345" i="42"/>
  <c r="G345" i="42"/>
  <c r="E345" i="42"/>
  <c r="Q344" i="42"/>
  <c r="P344" i="42"/>
  <c r="L344" i="42"/>
  <c r="M344" i="42"/>
  <c r="N344" i="42"/>
  <c r="K344" i="42"/>
  <c r="G344" i="42"/>
  <c r="E344" i="42"/>
  <c r="Q343" i="42"/>
  <c r="P343" i="42"/>
  <c r="L343" i="42"/>
  <c r="M343" i="42" s="1"/>
  <c r="N343" i="42" s="1"/>
  <c r="K343" i="42"/>
  <c r="G343" i="42"/>
  <c r="E343" i="42"/>
  <c r="Q342" i="42"/>
  <c r="P342" i="42"/>
  <c r="L342" i="42"/>
  <c r="M342" i="42" s="1"/>
  <c r="N342" i="42" s="1"/>
  <c r="K342" i="42"/>
  <c r="G342" i="42"/>
  <c r="E342" i="42"/>
  <c r="Q341" i="42"/>
  <c r="P341" i="42"/>
  <c r="L341" i="42"/>
  <c r="M341" i="42"/>
  <c r="N341" i="42" s="1"/>
  <c r="K341" i="42"/>
  <c r="G341" i="42"/>
  <c r="E341" i="42"/>
  <c r="Q340" i="42"/>
  <c r="P340" i="42"/>
  <c r="L340" i="42"/>
  <c r="M340" i="42"/>
  <c r="N340" i="42" s="1"/>
  <c r="K340" i="42"/>
  <c r="G340" i="42"/>
  <c r="E340" i="42"/>
  <c r="Q339" i="42"/>
  <c r="P339" i="42"/>
  <c r="L339" i="42"/>
  <c r="M339" i="42" s="1"/>
  <c r="N339" i="42" s="1"/>
  <c r="K339" i="42"/>
  <c r="G339" i="42"/>
  <c r="E339" i="42"/>
  <c r="Q338" i="42"/>
  <c r="P338" i="42"/>
  <c r="L338" i="42"/>
  <c r="M338" i="42" s="1"/>
  <c r="N338" i="42"/>
  <c r="K338" i="42"/>
  <c r="G338" i="42"/>
  <c r="E338" i="42"/>
  <c r="Q337" i="42"/>
  <c r="P337" i="42"/>
  <c r="L337" i="42"/>
  <c r="M337" i="42"/>
  <c r="N337" i="42" s="1"/>
  <c r="K337" i="42"/>
  <c r="G337" i="42"/>
  <c r="E337" i="42"/>
  <c r="Q336" i="42"/>
  <c r="P336" i="42"/>
  <c r="L336" i="42"/>
  <c r="M336" i="42"/>
  <c r="N336" i="42" s="1"/>
  <c r="K336" i="42"/>
  <c r="G336" i="42"/>
  <c r="E336" i="42"/>
  <c r="Q335" i="42"/>
  <c r="P335" i="42"/>
  <c r="L335" i="42"/>
  <c r="M335" i="42" s="1"/>
  <c r="N335" i="42"/>
  <c r="K335" i="42"/>
  <c r="G335" i="42"/>
  <c r="E335" i="42"/>
  <c r="Q334" i="42"/>
  <c r="P334" i="42"/>
  <c r="L334" i="42"/>
  <c r="M334" i="42"/>
  <c r="N334" i="42" s="1"/>
  <c r="K334" i="42"/>
  <c r="G334" i="42"/>
  <c r="E334" i="42"/>
  <c r="Q333" i="42"/>
  <c r="P333" i="42"/>
  <c r="L333" i="42"/>
  <c r="M333" i="42"/>
  <c r="N333" i="42" s="1"/>
  <c r="K333" i="42"/>
  <c r="G333" i="42"/>
  <c r="E333" i="42"/>
  <c r="Q332" i="42"/>
  <c r="P332" i="42"/>
  <c r="L332" i="42"/>
  <c r="M332" i="42" s="1"/>
  <c r="N332" i="42" s="1"/>
  <c r="K332" i="42"/>
  <c r="G332" i="42"/>
  <c r="E332" i="42"/>
  <c r="Q331" i="42"/>
  <c r="P331" i="42"/>
  <c r="L331" i="42"/>
  <c r="M331" i="42"/>
  <c r="N331" i="42" s="1"/>
  <c r="K331" i="42"/>
  <c r="G331" i="42"/>
  <c r="E331" i="42"/>
  <c r="Q330" i="42"/>
  <c r="P330" i="42"/>
  <c r="L330" i="42"/>
  <c r="M330" i="42" s="1"/>
  <c r="N330" i="42" s="1"/>
  <c r="K330" i="42"/>
  <c r="G330" i="42"/>
  <c r="E330" i="42"/>
  <c r="Q329" i="42"/>
  <c r="P329" i="42"/>
  <c r="L329" i="42"/>
  <c r="M329" i="42" s="1"/>
  <c r="N329" i="42" s="1"/>
  <c r="K329" i="42"/>
  <c r="G329" i="42"/>
  <c r="E329" i="42"/>
  <c r="Q328" i="42"/>
  <c r="P328" i="42"/>
  <c r="L328" i="42"/>
  <c r="M328" i="42" s="1"/>
  <c r="N328" i="42" s="1"/>
  <c r="K328" i="42"/>
  <c r="G328" i="42"/>
  <c r="E328" i="42"/>
  <c r="Q327" i="42"/>
  <c r="P327" i="42"/>
  <c r="L327" i="42"/>
  <c r="M327" i="42" s="1"/>
  <c r="N327" i="42" s="1"/>
  <c r="K327" i="42"/>
  <c r="G327" i="42"/>
  <c r="E327" i="42"/>
  <c r="Q326" i="42"/>
  <c r="P326" i="42"/>
  <c r="L326" i="42"/>
  <c r="M326" i="42" s="1"/>
  <c r="N326" i="42" s="1"/>
  <c r="K326" i="42"/>
  <c r="G326" i="42"/>
  <c r="E326" i="42"/>
  <c r="Q325" i="42"/>
  <c r="P325" i="42"/>
  <c r="L325" i="42"/>
  <c r="M325" i="42" s="1"/>
  <c r="N325" i="42" s="1"/>
  <c r="K325" i="42"/>
  <c r="G325" i="42"/>
  <c r="E325" i="42"/>
  <c r="Q324" i="42"/>
  <c r="P324" i="42"/>
  <c r="L324" i="42"/>
  <c r="M324" i="42"/>
  <c r="N324" i="42" s="1"/>
  <c r="K324" i="42"/>
  <c r="G324" i="42"/>
  <c r="E324" i="42"/>
  <c r="Q323" i="42"/>
  <c r="P323" i="42"/>
  <c r="L323" i="42"/>
  <c r="M323" i="42"/>
  <c r="N323" i="42"/>
  <c r="K323" i="42"/>
  <c r="G323" i="42"/>
  <c r="E323" i="42"/>
  <c r="Q322" i="42"/>
  <c r="P322" i="42"/>
  <c r="L322" i="42"/>
  <c r="M322" i="42" s="1"/>
  <c r="N322" i="42" s="1"/>
  <c r="G322" i="42"/>
  <c r="E322" i="42"/>
  <c r="Q321" i="42"/>
  <c r="P321" i="42"/>
  <c r="L321" i="42"/>
  <c r="M321" i="42" s="1"/>
  <c r="N321" i="42" s="1"/>
  <c r="K321" i="42"/>
  <c r="G321" i="42"/>
  <c r="E321" i="42"/>
  <c r="Q320" i="42"/>
  <c r="P320" i="42"/>
  <c r="L320" i="42"/>
  <c r="M320" i="42" s="1"/>
  <c r="N320" i="42" s="1"/>
  <c r="K320" i="42"/>
  <c r="G320" i="42"/>
  <c r="E320" i="42"/>
  <c r="Q319" i="42"/>
  <c r="P319" i="42"/>
  <c r="L319" i="42"/>
  <c r="M319" i="42"/>
  <c r="N319" i="42" s="1"/>
  <c r="K319" i="42"/>
  <c r="G319" i="42"/>
  <c r="E319" i="42"/>
  <c r="Q318" i="42"/>
  <c r="P318" i="42"/>
  <c r="L318" i="42"/>
  <c r="M318" i="42" s="1"/>
  <c r="N318" i="42" s="1"/>
  <c r="K318" i="42"/>
  <c r="G318" i="42"/>
  <c r="E318" i="42"/>
  <c r="Q317" i="42"/>
  <c r="P317" i="42"/>
  <c r="L317" i="42"/>
  <c r="M317" i="42" s="1"/>
  <c r="N317" i="42" s="1"/>
  <c r="K317" i="42"/>
  <c r="G317" i="42"/>
  <c r="E317" i="42"/>
  <c r="Q316" i="42"/>
  <c r="P316" i="42"/>
  <c r="L316" i="42"/>
  <c r="M316" i="42" s="1"/>
  <c r="N316" i="42" s="1"/>
  <c r="K316" i="42"/>
  <c r="G316" i="42"/>
  <c r="E316" i="42"/>
  <c r="Q315" i="42"/>
  <c r="P315" i="42"/>
  <c r="L315" i="42"/>
  <c r="M315" i="42" s="1"/>
  <c r="N315" i="42"/>
  <c r="K315" i="42"/>
  <c r="G315" i="42"/>
  <c r="E315" i="42"/>
  <c r="Q314" i="42"/>
  <c r="P314" i="42"/>
  <c r="L314" i="42"/>
  <c r="M314" i="42" s="1"/>
  <c r="N314" i="42" s="1"/>
  <c r="K314" i="42"/>
  <c r="G314" i="42"/>
  <c r="E314" i="42"/>
  <c r="Q313" i="42"/>
  <c r="P313" i="42"/>
  <c r="L313" i="42"/>
  <c r="M313" i="42" s="1"/>
  <c r="N313" i="42" s="1"/>
  <c r="K313" i="42"/>
  <c r="G313" i="42"/>
  <c r="E313" i="42"/>
  <c r="Q312" i="42"/>
  <c r="P312" i="42"/>
  <c r="L312" i="42"/>
  <c r="M312" i="42" s="1"/>
  <c r="N312" i="42" s="1"/>
  <c r="K312" i="42"/>
  <c r="G312" i="42"/>
  <c r="E312" i="42"/>
  <c r="Q311" i="42"/>
  <c r="P311" i="42"/>
  <c r="L311" i="42"/>
  <c r="M311" i="42" s="1"/>
  <c r="N311" i="42" s="1"/>
  <c r="K311" i="42"/>
  <c r="G311" i="42"/>
  <c r="E311" i="42"/>
  <c r="Q310" i="42"/>
  <c r="P310" i="42"/>
  <c r="L310" i="42"/>
  <c r="M310" i="42" s="1"/>
  <c r="N310" i="42" s="1"/>
  <c r="K310" i="42"/>
  <c r="G310" i="42"/>
  <c r="E310" i="42"/>
  <c r="Q309" i="42"/>
  <c r="P309" i="42"/>
  <c r="L309" i="42"/>
  <c r="M309" i="42" s="1"/>
  <c r="N309" i="42" s="1"/>
  <c r="K309" i="42"/>
  <c r="G309" i="42"/>
  <c r="E309" i="42"/>
  <c r="Q308" i="42"/>
  <c r="P308" i="42"/>
  <c r="L308" i="42"/>
  <c r="M308" i="42" s="1"/>
  <c r="N308" i="42" s="1"/>
  <c r="K308" i="42"/>
  <c r="G308" i="42"/>
  <c r="E308" i="42"/>
  <c r="Q307" i="42"/>
  <c r="P307" i="42"/>
  <c r="L307" i="42"/>
  <c r="M307" i="42" s="1"/>
  <c r="N307" i="42" s="1"/>
  <c r="K307" i="42"/>
  <c r="G307" i="42"/>
  <c r="E307" i="42"/>
  <c r="Q306" i="42"/>
  <c r="P306" i="42"/>
  <c r="L306" i="42"/>
  <c r="M306" i="42" s="1"/>
  <c r="N306" i="42"/>
  <c r="K306" i="42"/>
  <c r="G306" i="42"/>
  <c r="E306" i="42"/>
  <c r="Q305" i="42"/>
  <c r="P305" i="42"/>
  <c r="L305" i="42"/>
  <c r="M305" i="42" s="1"/>
  <c r="N305" i="42" s="1"/>
  <c r="K305" i="42"/>
  <c r="G305" i="42"/>
  <c r="E305" i="42"/>
  <c r="Q304" i="42"/>
  <c r="P304" i="42"/>
  <c r="L304" i="42"/>
  <c r="M304" i="42"/>
  <c r="N304" i="42"/>
  <c r="K304" i="42"/>
  <c r="G304" i="42"/>
  <c r="E304" i="42"/>
  <c r="Q303" i="42"/>
  <c r="P303" i="42"/>
  <c r="L303" i="42"/>
  <c r="M303" i="42" s="1"/>
  <c r="N303" i="42" s="1"/>
  <c r="K303" i="42"/>
  <c r="G303" i="42"/>
  <c r="E303" i="42"/>
  <c r="Q302" i="42"/>
  <c r="P302" i="42"/>
  <c r="L302" i="42"/>
  <c r="M302" i="42" s="1"/>
  <c r="N302" i="42" s="1"/>
  <c r="K302" i="42"/>
  <c r="G302" i="42"/>
  <c r="E302" i="42"/>
  <c r="Q301" i="42"/>
  <c r="P301" i="42"/>
  <c r="L301" i="42"/>
  <c r="M301" i="42"/>
  <c r="N301" i="42"/>
  <c r="K301" i="42"/>
  <c r="G301" i="42"/>
  <c r="E301" i="42"/>
  <c r="Q300" i="42"/>
  <c r="P300" i="42"/>
  <c r="L300" i="42"/>
  <c r="M300" i="42" s="1"/>
  <c r="N300" i="42" s="1"/>
  <c r="K300" i="42"/>
  <c r="G300" i="42"/>
  <c r="E300" i="42"/>
  <c r="Q299" i="42"/>
  <c r="P299" i="42"/>
  <c r="L299" i="42"/>
  <c r="M299" i="42" s="1"/>
  <c r="N299" i="42" s="1"/>
  <c r="K299" i="42"/>
  <c r="G299" i="42"/>
  <c r="E299" i="42"/>
  <c r="Q298" i="42"/>
  <c r="P298" i="42"/>
  <c r="L298" i="42"/>
  <c r="M298" i="42"/>
  <c r="N298" i="42"/>
  <c r="K298" i="42"/>
  <c r="G298" i="42"/>
  <c r="E298" i="42"/>
  <c r="Q297" i="42"/>
  <c r="P297" i="42"/>
  <c r="L297" i="42"/>
  <c r="M297" i="42" s="1"/>
  <c r="N297" i="42" s="1"/>
  <c r="K297" i="42"/>
  <c r="G297" i="42"/>
  <c r="E297" i="42"/>
  <c r="Q296" i="42"/>
  <c r="P296" i="42"/>
  <c r="L296" i="42"/>
  <c r="M296" i="42" s="1"/>
  <c r="N296" i="42" s="1"/>
  <c r="K296" i="42"/>
  <c r="G296" i="42"/>
  <c r="E296" i="42"/>
  <c r="Q295" i="42"/>
  <c r="P295" i="42"/>
  <c r="L295" i="42"/>
  <c r="M295" i="42"/>
  <c r="N295" i="42"/>
  <c r="K295" i="42"/>
  <c r="G295" i="42"/>
  <c r="E295" i="42"/>
  <c r="Q294" i="42"/>
  <c r="P294" i="42"/>
  <c r="L294" i="42"/>
  <c r="M294" i="42" s="1"/>
  <c r="N294" i="42" s="1"/>
  <c r="K294" i="42"/>
  <c r="G294" i="42"/>
  <c r="E294" i="42"/>
  <c r="Q293" i="42"/>
  <c r="P293" i="42"/>
  <c r="L293" i="42"/>
  <c r="M293" i="42" s="1"/>
  <c r="N293" i="42" s="1"/>
  <c r="K293" i="42"/>
  <c r="G293" i="42"/>
  <c r="E293" i="42"/>
  <c r="Q292" i="42"/>
  <c r="P292" i="42"/>
  <c r="L292" i="42"/>
  <c r="M292" i="42"/>
  <c r="N292" i="42" s="1"/>
  <c r="K292" i="42"/>
  <c r="G292" i="42"/>
  <c r="E292" i="42"/>
  <c r="Q291" i="42"/>
  <c r="P291" i="42"/>
  <c r="L291" i="42"/>
  <c r="M291" i="42" s="1"/>
  <c r="N291" i="42" s="1"/>
  <c r="K291" i="42"/>
  <c r="G291" i="42"/>
  <c r="E291" i="42"/>
  <c r="Q290" i="42"/>
  <c r="P290" i="42"/>
  <c r="L290" i="42"/>
  <c r="M290" i="42" s="1"/>
  <c r="N290" i="42" s="1"/>
  <c r="K290" i="42"/>
  <c r="G290" i="42"/>
  <c r="E290" i="42"/>
  <c r="Q289" i="42"/>
  <c r="P289" i="42"/>
  <c r="L289" i="42"/>
  <c r="M289" i="42"/>
  <c r="N289" i="42" s="1"/>
  <c r="K289" i="42"/>
  <c r="G289" i="42"/>
  <c r="E289" i="42"/>
  <c r="Q288" i="42"/>
  <c r="P288" i="42"/>
  <c r="L288" i="42"/>
  <c r="M288" i="42" s="1"/>
  <c r="N288" i="42" s="1"/>
  <c r="K288" i="42"/>
  <c r="G288" i="42"/>
  <c r="E288" i="42"/>
  <c r="Q287" i="42"/>
  <c r="P287" i="42"/>
  <c r="L287" i="42"/>
  <c r="M287" i="42" s="1"/>
  <c r="N287" i="42" s="1"/>
  <c r="K287" i="42"/>
  <c r="G287" i="42"/>
  <c r="E287" i="42"/>
  <c r="Q286" i="42"/>
  <c r="P286" i="42"/>
  <c r="L286" i="42"/>
  <c r="M286" i="42" s="1"/>
  <c r="N286" i="42" s="1"/>
  <c r="K286" i="42"/>
  <c r="G286" i="42"/>
  <c r="E286" i="42"/>
  <c r="Q285" i="42"/>
  <c r="P285" i="42"/>
  <c r="L285" i="42"/>
  <c r="M285" i="42" s="1"/>
  <c r="N285" i="42" s="1"/>
  <c r="K285" i="42"/>
  <c r="G285" i="42"/>
  <c r="E285" i="42"/>
  <c r="Q284" i="42"/>
  <c r="P284" i="42"/>
  <c r="L284" i="42"/>
  <c r="M284" i="42" s="1"/>
  <c r="N284" i="42" s="1"/>
  <c r="K284" i="42"/>
  <c r="G284" i="42"/>
  <c r="E284" i="42"/>
  <c r="Q283" i="42"/>
  <c r="P283" i="42"/>
  <c r="L283" i="42"/>
  <c r="M283" i="42"/>
  <c r="N283" i="42" s="1"/>
  <c r="K283" i="42"/>
  <c r="G283" i="42"/>
  <c r="E283" i="42"/>
  <c r="Q282" i="42"/>
  <c r="P282" i="42"/>
  <c r="L282" i="42"/>
  <c r="M282" i="42" s="1"/>
  <c r="N282" i="42"/>
  <c r="K282" i="42"/>
  <c r="G282" i="42"/>
  <c r="E282" i="42"/>
  <c r="Q281" i="42"/>
  <c r="P281" i="42"/>
  <c r="L281" i="42"/>
  <c r="M281" i="42" s="1"/>
  <c r="N281" i="42" s="1"/>
  <c r="K281" i="42"/>
  <c r="G281" i="42"/>
  <c r="E281" i="42"/>
  <c r="Q280" i="42"/>
  <c r="P280" i="42"/>
  <c r="L280" i="42"/>
  <c r="M280" i="42" s="1"/>
  <c r="N280" i="42"/>
  <c r="K280" i="42"/>
  <c r="G280" i="42"/>
  <c r="E280" i="42"/>
  <c r="Q279" i="42"/>
  <c r="P279" i="42"/>
  <c r="L279" i="42"/>
  <c r="M279" i="42" s="1"/>
  <c r="N279" i="42"/>
  <c r="K279" i="42"/>
  <c r="G279" i="42"/>
  <c r="E279" i="42"/>
  <c r="Q278" i="42"/>
  <c r="P278" i="42"/>
  <c r="L278" i="42"/>
  <c r="M278" i="42" s="1"/>
  <c r="N278" i="42" s="1"/>
  <c r="K278" i="42"/>
  <c r="G278" i="42"/>
  <c r="E278" i="42"/>
  <c r="Q277" i="42"/>
  <c r="P277" i="42"/>
  <c r="L277" i="42"/>
  <c r="M277" i="42"/>
  <c r="N277" i="42" s="1"/>
  <c r="Q276" i="42"/>
  <c r="P276" i="42"/>
  <c r="L276" i="42"/>
  <c r="M276" i="42" s="1"/>
  <c r="N276" i="42" s="1"/>
  <c r="K276" i="42"/>
  <c r="G276" i="42"/>
  <c r="E276" i="42"/>
  <c r="Q275" i="42"/>
  <c r="P275" i="42"/>
  <c r="L275" i="42"/>
  <c r="M275" i="42" s="1"/>
  <c r="N275" i="42" s="1"/>
  <c r="Q274" i="42"/>
  <c r="P274" i="42"/>
  <c r="L274" i="42"/>
  <c r="M274" i="42" s="1"/>
  <c r="N274" i="42" s="1"/>
  <c r="K274" i="42"/>
  <c r="G274" i="42"/>
  <c r="E274" i="42"/>
  <c r="Q273" i="42"/>
  <c r="P273" i="42"/>
  <c r="L273" i="42"/>
  <c r="M273" i="42" s="1"/>
  <c r="N273" i="42" s="1"/>
  <c r="K273" i="42"/>
  <c r="G273" i="42"/>
  <c r="E273" i="42"/>
  <c r="Q272" i="42"/>
  <c r="P272" i="42"/>
  <c r="L272" i="42"/>
  <c r="M272" i="42" s="1"/>
  <c r="N272" i="42" s="1"/>
  <c r="K272" i="42"/>
  <c r="G272" i="42"/>
  <c r="E272" i="42"/>
  <c r="Q271" i="42"/>
  <c r="P271" i="42"/>
  <c r="L271" i="42"/>
  <c r="M271" i="42" s="1"/>
  <c r="N271" i="42" s="1"/>
  <c r="K271" i="42"/>
  <c r="G271" i="42"/>
  <c r="E271" i="42"/>
  <c r="Q270" i="42"/>
  <c r="P270" i="42"/>
  <c r="L270" i="42"/>
  <c r="M270" i="42" s="1"/>
  <c r="N270" i="42" s="1"/>
  <c r="K270" i="42"/>
  <c r="G270" i="42"/>
  <c r="E270" i="42"/>
  <c r="Q269" i="42"/>
  <c r="P269" i="42"/>
  <c r="L269" i="42"/>
  <c r="M269" i="42" s="1"/>
  <c r="N269" i="42" s="1"/>
  <c r="K269" i="42"/>
  <c r="G269" i="42"/>
  <c r="E269" i="42"/>
  <c r="Q268" i="42"/>
  <c r="P268" i="42"/>
  <c r="L268" i="42"/>
  <c r="M268" i="42" s="1"/>
  <c r="N268" i="42" s="1"/>
  <c r="K268" i="42"/>
  <c r="G268" i="42"/>
  <c r="E268" i="42"/>
  <c r="Q267" i="42"/>
  <c r="P267" i="42"/>
  <c r="L267" i="42"/>
  <c r="M267" i="42" s="1"/>
  <c r="N267" i="42" s="1"/>
  <c r="K267" i="42"/>
  <c r="G267" i="42"/>
  <c r="E267" i="42"/>
  <c r="Q266" i="42"/>
  <c r="P266" i="42"/>
  <c r="L266" i="42"/>
  <c r="M266" i="42" s="1"/>
  <c r="N266" i="42" s="1"/>
  <c r="K266" i="42"/>
  <c r="G266" i="42"/>
  <c r="E266" i="42"/>
  <c r="Q265" i="42"/>
  <c r="P265" i="42"/>
  <c r="L265" i="42"/>
  <c r="M265" i="42" s="1"/>
  <c r="N265" i="42" s="1"/>
  <c r="K265" i="42"/>
  <c r="G265" i="42"/>
  <c r="E265" i="42"/>
  <c r="Q264" i="42"/>
  <c r="P264" i="42"/>
  <c r="L264" i="42"/>
  <c r="M264" i="42" s="1"/>
  <c r="N264" i="42" s="1"/>
  <c r="K264" i="42"/>
  <c r="G264" i="42"/>
  <c r="E264" i="42"/>
  <c r="Q263" i="42"/>
  <c r="P263" i="42"/>
  <c r="L263" i="42"/>
  <c r="M263" i="42" s="1"/>
  <c r="N263" i="42" s="1"/>
  <c r="K263" i="42"/>
  <c r="G263" i="42"/>
  <c r="E263" i="42"/>
  <c r="Q262" i="42"/>
  <c r="P262" i="42"/>
  <c r="L262" i="42"/>
  <c r="M262" i="42"/>
  <c r="N262" i="42" s="1"/>
  <c r="K262" i="42"/>
  <c r="G262" i="42"/>
  <c r="E262" i="42"/>
  <c r="Q261" i="42"/>
  <c r="P261" i="42"/>
  <c r="L261" i="42"/>
  <c r="M261" i="42" s="1"/>
  <c r="N261" i="42" s="1"/>
  <c r="K261" i="42"/>
  <c r="G261" i="42"/>
  <c r="E261" i="42"/>
  <c r="Q260" i="42"/>
  <c r="P260" i="42"/>
  <c r="L260" i="42"/>
  <c r="M260" i="42" s="1"/>
  <c r="N260" i="42" s="1"/>
  <c r="K260" i="42"/>
  <c r="G260" i="42"/>
  <c r="E260" i="42"/>
  <c r="Q259" i="42"/>
  <c r="P259" i="42"/>
  <c r="L259" i="42"/>
  <c r="M259" i="42" s="1"/>
  <c r="N259" i="42" s="1"/>
  <c r="K259" i="42"/>
  <c r="G259" i="42"/>
  <c r="E259" i="42"/>
  <c r="Q258" i="42"/>
  <c r="P258" i="42"/>
  <c r="L258" i="42"/>
  <c r="M258" i="42" s="1"/>
  <c r="N258" i="42" s="1"/>
  <c r="K258" i="42"/>
  <c r="G258" i="42"/>
  <c r="E258" i="42"/>
  <c r="Q257" i="42"/>
  <c r="P257" i="42"/>
  <c r="L257" i="42"/>
  <c r="M257" i="42" s="1"/>
  <c r="N257" i="42" s="1"/>
  <c r="K257" i="42"/>
  <c r="G257" i="42"/>
  <c r="E257" i="42"/>
  <c r="Q256" i="42"/>
  <c r="P256" i="42"/>
  <c r="L256" i="42"/>
  <c r="M256" i="42"/>
  <c r="N256" i="42" s="1"/>
  <c r="K256" i="42"/>
  <c r="G256" i="42"/>
  <c r="E256" i="42"/>
  <c r="Q255" i="42"/>
  <c r="P255" i="42"/>
  <c r="L255" i="42"/>
  <c r="M255" i="42" s="1"/>
  <c r="N255" i="42" s="1"/>
  <c r="K255" i="42"/>
  <c r="G255" i="42"/>
  <c r="E255" i="42"/>
  <c r="Q254" i="42"/>
  <c r="P254" i="42"/>
  <c r="L254" i="42"/>
  <c r="M254" i="42" s="1"/>
  <c r="N254" i="42" s="1"/>
  <c r="K254" i="42"/>
  <c r="G254" i="42"/>
  <c r="E254" i="42"/>
  <c r="Q253" i="42"/>
  <c r="P253" i="42"/>
  <c r="L253" i="42"/>
  <c r="M253" i="42" s="1"/>
  <c r="N253" i="42" s="1"/>
  <c r="K253" i="42"/>
  <c r="G253" i="42"/>
  <c r="E253" i="42"/>
  <c r="Q252" i="42"/>
  <c r="P252" i="42"/>
  <c r="L252" i="42"/>
  <c r="M252" i="42" s="1"/>
  <c r="N252" i="42" s="1"/>
  <c r="K252" i="42"/>
  <c r="G252" i="42"/>
  <c r="E252" i="42"/>
  <c r="Q251" i="42"/>
  <c r="P251" i="42"/>
  <c r="L251" i="42"/>
  <c r="M251" i="42" s="1"/>
  <c r="N251" i="42" s="1"/>
  <c r="K251" i="42"/>
  <c r="G251" i="42"/>
  <c r="E251" i="42"/>
  <c r="Q250" i="42"/>
  <c r="P250" i="42"/>
  <c r="L250" i="42"/>
  <c r="M250" i="42" s="1"/>
  <c r="N250" i="42" s="1"/>
  <c r="K250" i="42"/>
  <c r="G250" i="42"/>
  <c r="E250" i="42"/>
  <c r="Q249" i="42"/>
  <c r="P249" i="42"/>
  <c r="L249" i="42"/>
  <c r="M249" i="42" s="1"/>
  <c r="N249" i="42" s="1"/>
  <c r="K249" i="42"/>
  <c r="G249" i="42"/>
  <c r="E249" i="42"/>
  <c r="Q248" i="42"/>
  <c r="P248" i="42"/>
  <c r="L248" i="42"/>
  <c r="M248" i="42" s="1"/>
  <c r="N248" i="42" s="1"/>
  <c r="K248" i="42"/>
  <c r="G248" i="42"/>
  <c r="E248" i="42"/>
  <c r="Q247" i="42"/>
  <c r="P247" i="42"/>
  <c r="L247" i="42"/>
  <c r="M247" i="42"/>
  <c r="N247" i="42" s="1"/>
  <c r="K247" i="42"/>
  <c r="G247" i="42"/>
  <c r="E247" i="42"/>
  <c r="Q246" i="42"/>
  <c r="P246" i="42"/>
  <c r="L246" i="42"/>
  <c r="M246" i="42" s="1"/>
  <c r="N246" i="42" s="1"/>
  <c r="K246" i="42"/>
  <c r="G246" i="42"/>
  <c r="E246" i="42"/>
  <c r="Q245" i="42"/>
  <c r="P245" i="42"/>
  <c r="L245" i="42"/>
  <c r="M245" i="42" s="1"/>
  <c r="N245" i="42" s="1"/>
  <c r="K245" i="42"/>
  <c r="G245" i="42"/>
  <c r="E245" i="42"/>
  <c r="Q244" i="42"/>
  <c r="P244" i="42"/>
  <c r="L244" i="42"/>
  <c r="M244" i="42"/>
  <c r="N244" i="42" s="1"/>
  <c r="K244" i="42"/>
  <c r="G244" i="42"/>
  <c r="E244" i="42"/>
  <c r="Q243" i="42"/>
  <c r="P243" i="42"/>
  <c r="L243" i="42"/>
  <c r="M243" i="42" s="1"/>
  <c r="N243" i="42" s="1"/>
  <c r="K243" i="42"/>
  <c r="G243" i="42"/>
  <c r="E243" i="42"/>
  <c r="Q242" i="42"/>
  <c r="P242" i="42"/>
  <c r="L242" i="42"/>
  <c r="M242" i="42" s="1"/>
  <c r="N242" i="42" s="1"/>
  <c r="K242" i="42"/>
  <c r="G242" i="42"/>
  <c r="E242" i="42"/>
  <c r="Q241" i="42"/>
  <c r="P241" i="42"/>
  <c r="L241" i="42"/>
  <c r="M241" i="42"/>
  <c r="N241" i="42" s="1"/>
  <c r="K241" i="42"/>
  <c r="G241" i="42"/>
  <c r="E241" i="42"/>
  <c r="Q240" i="42"/>
  <c r="P240" i="42"/>
  <c r="L240" i="42"/>
  <c r="M240" i="42" s="1"/>
  <c r="N240" i="42" s="1"/>
  <c r="K240" i="42"/>
  <c r="G240" i="42"/>
  <c r="E240" i="42"/>
  <c r="Q239" i="42"/>
  <c r="P239" i="42"/>
  <c r="L239" i="42"/>
  <c r="M239" i="42" s="1"/>
  <c r="N239" i="42" s="1"/>
  <c r="K239" i="42"/>
  <c r="G239" i="42"/>
  <c r="E239" i="42"/>
  <c r="Q238" i="42"/>
  <c r="P238" i="42"/>
  <c r="L238" i="42"/>
  <c r="M238" i="42" s="1"/>
  <c r="N238" i="42" s="1"/>
  <c r="K238" i="42"/>
  <c r="G238" i="42"/>
  <c r="E238" i="42"/>
  <c r="Q237" i="42"/>
  <c r="P237" i="42"/>
  <c r="L237" i="42"/>
  <c r="M237" i="42" s="1"/>
  <c r="N237" i="42" s="1"/>
  <c r="K237" i="42"/>
  <c r="G237" i="42"/>
  <c r="E237" i="42"/>
  <c r="Q236" i="42"/>
  <c r="P236" i="42"/>
  <c r="L236" i="42"/>
  <c r="M236" i="42" s="1"/>
  <c r="N236" i="42" s="1"/>
  <c r="K236" i="42"/>
  <c r="G236" i="42"/>
  <c r="E236" i="42"/>
  <c r="Q235" i="42"/>
  <c r="P235" i="42"/>
  <c r="L235" i="42"/>
  <c r="M235" i="42"/>
  <c r="N235" i="42" s="1"/>
  <c r="K235" i="42"/>
  <c r="G235" i="42"/>
  <c r="E235" i="42"/>
  <c r="Q234" i="42"/>
  <c r="P234" i="42"/>
  <c r="L234" i="42"/>
  <c r="M234" i="42" s="1"/>
  <c r="N234" i="42" s="1"/>
  <c r="K234" i="42"/>
  <c r="G234" i="42"/>
  <c r="E234" i="42"/>
  <c r="Q233" i="42"/>
  <c r="P233" i="42"/>
  <c r="L233" i="42"/>
  <c r="M233" i="42" s="1"/>
  <c r="N233" i="42" s="1"/>
  <c r="K233" i="42"/>
  <c r="G233" i="42"/>
  <c r="E233" i="42"/>
  <c r="Q232" i="42"/>
  <c r="P232" i="42"/>
  <c r="L232" i="42"/>
  <c r="M232" i="42" s="1"/>
  <c r="N232" i="42" s="1"/>
  <c r="K232" i="42"/>
  <c r="G232" i="42"/>
  <c r="E232" i="42"/>
  <c r="Q231" i="42"/>
  <c r="P231" i="42"/>
  <c r="L231" i="42"/>
  <c r="M231" i="42" s="1"/>
  <c r="N231" i="42" s="1"/>
  <c r="K231" i="42"/>
  <c r="G231" i="42"/>
  <c r="E231" i="42"/>
  <c r="Q230" i="42"/>
  <c r="P230" i="42"/>
  <c r="L230" i="42"/>
  <c r="M230" i="42" s="1"/>
  <c r="N230" i="42" s="1"/>
  <c r="K230" i="42"/>
  <c r="G230" i="42"/>
  <c r="E230" i="42"/>
  <c r="Q229" i="42"/>
  <c r="P229" i="42"/>
  <c r="L229" i="42"/>
  <c r="M229" i="42" s="1"/>
  <c r="N229" i="42" s="1"/>
  <c r="K229" i="42"/>
  <c r="G229" i="42"/>
  <c r="E229" i="42"/>
  <c r="Q228" i="42"/>
  <c r="P228" i="42"/>
  <c r="L228" i="42"/>
  <c r="M228" i="42" s="1"/>
  <c r="N228" i="42" s="1"/>
  <c r="K228" i="42"/>
  <c r="G228" i="42"/>
  <c r="E228" i="42"/>
  <c r="Q227" i="42"/>
  <c r="P227" i="42"/>
  <c r="L227" i="42"/>
  <c r="M227" i="42" s="1"/>
  <c r="N227" i="42" s="1"/>
  <c r="K227" i="42"/>
  <c r="G227" i="42"/>
  <c r="E227" i="42"/>
  <c r="Q226" i="42"/>
  <c r="P226" i="42"/>
  <c r="L226" i="42"/>
  <c r="M226" i="42"/>
  <c r="N226" i="42" s="1"/>
  <c r="K226" i="42"/>
  <c r="G226" i="42"/>
  <c r="E226" i="42"/>
  <c r="Q225" i="42"/>
  <c r="P225" i="42"/>
  <c r="L225" i="42"/>
  <c r="M225" i="42" s="1"/>
  <c r="N225" i="42" s="1"/>
  <c r="K225" i="42"/>
  <c r="G225" i="42"/>
  <c r="E225" i="42"/>
  <c r="Q224" i="42"/>
  <c r="P224" i="42"/>
  <c r="L224" i="42"/>
  <c r="M224" i="42" s="1"/>
  <c r="N224" i="42" s="1"/>
  <c r="K224" i="42"/>
  <c r="G224" i="42"/>
  <c r="E224" i="42"/>
  <c r="Q223" i="42"/>
  <c r="P223" i="42"/>
  <c r="L223" i="42"/>
  <c r="M223" i="42"/>
  <c r="N223" i="42" s="1"/>
  <c r="K223" i="42"/>
  <c r="G223" i="42"/>
  <c r="E223" i="42"/>
  <c r="Q222" i="42"/>
  <c r="P222" i="42"/>
  <c r="L222" i="42"/>
  <c r="M222" i="42" s="1"/>
  <c r="N222" i="42" s="1"/>
  <c r="K222" i="42"/>
  <c r="G222" i="42"/>
  <c r="E222" i="42"/>
  <c r="Q221" i="42"/>
  <c r="P221" i="42"/>
  <c r="L221" i="42"/>
  <c r="M221" i="42" s="1"/>
  <c r="N221" i="42" s="1"/>
  <c r="K221" i="42"/>
  <c r="G221" i="42"/>
  <c r="E221" i="42"/>
  <c r="Q220" i="42"/>
  <c r="P220" i="42"/>
  <c r="L220" i="42"/>
  <c r="M220" i="42" s="1"/>
  <c r="N220" i="42" s="1"/>
  <c r="K220" i="42"/>
  <c r="G220" i="42"/>
  <c r="E220" i="42"/>
  <c r="Q219" i="42"/>
  <c r="P219" i="42"/>
  <c r="L219" i="42"/>
  <c r="M219" i="42" s="1"/>
  <c r="N219" i="42" s="1"/>
  <c r="K219" i="42"/>
  <c r="G219" i="42"/>
  <c r="E219" i="42"/>
  <c r="Q218" i="42"/>
  <c r="P218" i="42"/>
  <c r="L218" i="42"/>
  <c r="M218" i="42" s="1"/>
  <c r="N218" i="42" s="1"/>
  <c r="K218" i="42"/>
  <c r="G218" i="42"/>
  <c r="E218" i="42"/>
  <c r="Q217" i="42"/>
  <c r="P217" i="42"/>
  <c r="L217" i="42"/>
  <c r="M217" i="42" s="1"/>
  <c r="N217" i="42" s="1"/>
  <c r="K217" i="42"/>
  <c r="G217" i="42"/>
  <c r="E217" i="42"/>
  <c r="Q216" i="42"/>
  <c r="P216" i="42"/>
  <c r="L216" i="42"/>
  <c r="M216" i="42" s="1"/>
  <c r="N216" i="42" s="1"/>
  <c r="K216" i="42"/>
  <c r="G216" i="42"/>
  <c r="E216" i="42"/>
  <c r="Q215" i="42"/>
  <c r="P215" i="42"/>
  <c r="L215" i="42"/>
  <c r="M215" i="42" s="1"/>
  <c r="N215" i="42" s="1"/>
  <c r="K215" i="42"/>
  <c r="G215" i="42"/>
  <c r="E215" i="42"/>
  <c r="Q214" i="42"/>
  <c r="P214" i="42"/>
  <c r="L214" i="42"/>
  <c r="M214" i="42"/>
  <c r="N214" i="42" s="1"/>
  <c r="K214" i="42"/>
  <c r="G214" i="42"/>
  <c r="E214" i="42"/>
  <c r="Q213" i="42"/>
  <c r="P213" i="42"/>
  <c r="L213" i="42"/>
  <c r="M213" i="42" s="1"/>
  <c r="N213" i="42" s="1"/>
  <c r="K213" i="42"/>
  <c r="G213" i="42"/>
  <c r="E213" i="42"/>
  <c r="Q212" i="42"/>
  <c r="P212" i="42"/>
  <c r="L212" i="42"/>
  <c r="M212" i="42" s="1"/>
  <c r="N212" i="42" s="1"/>
  <c r="K212" i="42"/>
  <c r="G212" i="42"/>
  <c r="E212" i="42"/>
  <c r="Q211" i="42"/>
  <c r="P211" i="42"/>
  <c r="L211" i="42"/>
  <c r="M211" i="42"/>
  <c r="N211" i="42" s="1"/>
  <c r="K211" i="42"/>
  <c r="G211" i="42"/>
  <c r="E211" i="42"/>
  <c r="Q210" i="42"/>
  <c r="P210" i="42"/>
  <c r="L210" i="42"/>
  <c r="M210" i="42" s="1"/>
  <c r="N210" i="42" s="1"/>
  <c r="K210" i="42"/>
  <c r="G210" i="42"/>
  <c r="E210" i="42"/>
  <c r="Q209" i="42"/>
  <c r="P209" i="42"/>
  <c r="L209" i="42"/>
  <c r="M209" i="42" s="1"/>
  <c r="N209" i="42" s="1"/>
  <c r="K209" i="42"/>
  <c r="G209" i="42"/>
  <c r="E209" i="42"/>
  <c r="Q208" i="42"/>
  <c r="P208" i="42"/>
  <c r="L208" i="42"/>
  <c r="M208" i="42"/>
  <c r="N208" i="42" s="1"/>
  <c r="K208" i="42"/>
  <c r="G208" i="42"/>
  <c r="E208" i="42"/>
  <c r="Q207" i="42"/>
  <c r="P207" i="42"/>
  <c r="L207" i="42"/>
  <c r="M207" i="42" s="1"/>
  <c r="N207" i="42" s="1"/>
  <c r="K207" i="42"/>
  <c r="G207" i="42"/>
  <c r="E207" i="42"/>
  <c r="Q206" i="42"/>
  <c r="P206" i="42"/>
  <c r="L206" i="42"/>
  <c r="M206" i="42" s="1"/>
  <c r="N206" i="42" s="1"/>
  <c r="K206" i="42"/>
  <c r="G206" i="42"/>
  <c r="E206" i="42"/>
  <c r="Q205" i="42"/>
  <c r="P205" i="42"/>
  <c r="L205" i="42"/>
  <c r="M205" i="42" s="1"/>
  <c r="N205" i="42" s="1"/>
  <c r="K205" i="42"/>
  <c r="G205" i="42"/>
  <c r="E205" i="42"/>
  <c r="Q204" i="42"/>
  <c r="P204" i="42"/>
  <c r="L204" i="42"/>
  <c r="M204" i="42" s="1"/>
  <c r="N204" i="42" s="1"/>
  <c r="K204" i="42"/>
  <c r="G204" i="42"/>
  <c r="E204" i="42"/>
  <c r="Q203" i="42"/>
  <c r="P203" i="42"/>
  <c r="L203" i="42"/>
  <c r="M203" i="42" s="1"/>
  <c r="N203" i="42" s="1"/>
  <c r="K203" i="42"/>
  <c r="G203" i="42"/>
  <c r="E203" i="42"/>
  <c r="Q202" i="42"/>
  <c r="P202" i="42"/>
  <c r="L202" i="42"/>
  <c r="M202" i="42"/>
  <c r="N202" i="42" s="1"/>
  <c r="K202" i="42"/>
  <c r="G202" i="42"/>
  <c r="E202" i="42"/>
  <c r="Q201" i="42"/>
  <c r="P201" i="42"/>
  <c r="L201" i="42"/>
  <c r="M201" i="42" s="1"/>
  <c r="N201" i="42" s="1"/>
  <c r="K201" i="42"/>
  <c r="G201" i="42"/>
  <c r="E201" i="42"/>
  <c r="Q200" i="42"/>
  <c r="P200" i="42"/>
  <c r="L200" i="42"/>
  <c r="M200" i="42" s="1"/>
  <c r="N200" i="42" s="1"/>
  <c r="K200" i="42"/>
  <c r="G200" i="42"/>
  <c r="E200" i="42"/>
  <c r="Q199" i="42"/>
  <c r="P199" i="42"/>
  <c r="L199" i="42"/>
  <c r="M199" i="42" s="1"/>
  <c r="N199" i="42" s="1"/>
  <c r="K199" i="42"/>
  <c r="G199" i="42"/>
  <c r="E199" i="42"/>
  <c r="Q198" i="42"/>
  <c r="P198" i="42"/>
  <c r="L198" i="42"/>
  <c r="M198" i="42" s="1"/>
  <c r="N198" i="42" s="1"/>
  <c r="Q197" i="42"/>
  <c r="P197" i="42"/>
  <c r="L197" i="42"/>
  <c r="M197" i="42" s="1"/>
  <c r="N197" i="42" s="1"/>
  <c r="K197" i="42"/>
  <c r="G197" i="42"/>
  <c r="E197" i="42"/>
  <c r="Q196" i="42"/>
  <c r="P196" i="42"/>
  <c r="L196" i="42"/>
  <c r="M196" i="42"/>
  <c r="N196" i="42" s="1"/>
  <c r="K196" i="42"/>
  <c r="G196" i="42"/>
  <c r="E196" i="42"/>
  <c r="Q195" i="42"/>
  <c r="P195" i="42"/>
  <c r="L195" i="42"/>
  <c r="M195" i="42"/>
  <c r="N195" i="42"/>
  <c r="K195" i="42"/>
  <c r="G195" i="42"/>
  <c r="E195" i="42"/>
  <c r="Q194" i="42"/>
  <c r="P194" i="42"/>
  <c r="L194" i="42"/>
  <c r="M194" i="42" s="1"/>
  <c r="N194" i="42" s="1"/>
  <c r="K194" i="42"/>
  <c r="G194" i="42"/>
  <c r="E194" i="42"/>
  <c r="Q193" i="42"/>
  <c r="P193" i="42"/>
  <c r="K193" i="42"/>
  <c r="G193" i="42"/>
  <c r="E193" i="42"/>
  <c r="Q192" i="42"/>
  <c r="P192" i="42"/>
  <c r="L192" i="42"/>
  <c r="M192" i="42"/>
  <c r="N192" i="42"/>
  <c r="K192" i="42"/>
  <c r="G192" i="42"/>
  <c r="E192" i="42"/>
  <c r="Q191" i="42"/>
  <c r="P191" i="42"/>
  <c r="L191" i="42"/>
  <c r="M191" i="42" s="1"/>
  <c r="N191" i="42" s="1"/>
  <c r="K191" i="42"/>
  <c r="G191" i="42"/>
  <c r="E191" i="42"/>
  <c r="Q190" i="42"/>
  <c r="P190" i="42"/>
  <c r="L190" i="42"/>
  <c r="M190" i="42"/>
  <c r="N190" i="42" s="1"/>
  <c r="K190" i="42"/>
  <c r="G190" i="42"/>
  <c r="E190" i="42"/>
  <c r="Q189" i="42"/>
  <c r="P189" i="42"/>
  <c r="L189" i="42"/>
  <c r="M189" i="42"/>
  <c r="N189" i="42" s="1"/>
  <c r="K189" i="42"/>
  <c r="G189" i="42"/>
  <c r="E189" i="42"/>
  <c r="Q188" i="42"/>
  <c r="P188" i="42"/>
  <c r="L188" i="42"/>
  <c r="M188" i="42" s="1"/>
  <c r="N188" i="42" s="1"/>
  <c r="K188" i="42"/>
  <c r="G188" i="42"/>
  <c r="E188" i="42"/>
  <c r="Q187" i="42"/>
  <c r="P187" i="42"/>
  <c r="L187" i="42"/>
  <c r="M187" i="42" s="1"/>
  <c r="N187" i="42" s="1"/>
  <c r="K187" i="42"/>
  <c r="G187" i="42"/>
  <c r="E187" i="42"/>
  <c r="Q186" i="42"/>
  <c r="P186" i="42"/>
  <c r="L186" i="42"/>
  <c r="M186" i="42" s="1"/>
  <c r="N186" i="42" s="1"/>
  <c r="K186" i="42"/>
  <c r="G186" i="42"/>
  <c r="E186" i="42"/>
  <c r="Q185" i="42"/>
  <c r="P185" i="42"/>
  <c r="L185" i="42"/>
  <c r="M185" i="42" s="1"/>
  <c r="N185" i="42" s="1"/>
  <c r="K185" i="42"/>
  <c r="G185" i="42"/>
  <c r="E185" i="42"/>
  <c r="Q184" i="42"/>
  <c r="P184" i="42"/>
  <c r="L184" i="42"/>
  <c r="M184" i="42" s="1"/>
  <c r="N184" i="42" s="1"/>
  <c r="K184" i="42"/>
  <c r="G184" i="42"/>
  <c r="E184" i="42"/>
  <c r="Q183" i="42"/>
  <c r="P183" i="42"/>
  <c r="L183" i="42"/>
  <c r="M183" i="42" s="1"/>
  <c r="N183" i="42" s="1"/>
  <c r="K183" i="42"/>
  <c r="G183" i="42"/>
  <c r="E183" i="42"/>
  <c r="Q182" i="42"/>
  <c r="P182" i="42"/>
  <c r="L182" i="42"/>
  <c r="M182" i="42" s="1"/>
  <c r="N182" i="42" s="1"/>
  <c r="K182" i="42"/>
  <c r="G182" i="42"/>
  <c r="E182" i="42"/>
  <c r="Q181" i="42"/>
  <c r="P181" i="42"/>
  <c r="L181" i="42"/>
  <c r="M181" i="42" s="1"/>
  <c r="N181" i="42" s="1"/>
  <c r="K181" i="42"/>
  <c r="G181" i="42"/>
  <c r="E181" i="42"/>
  <c r="Q180" i="42"/>
  <c r="P180" i="42"/>
  <c r="L180" i="42"/>
  <c r="M180" i="42"/>
  <c r="N180" i="42"/>
  <c r="K180" i="42"/>
  <c r="G180" i="42"/>
  <c r="E180" i="42"/>
  <c r="Q179" i="42"/>
  <c r="P179" i="42"/>
  <c r="L179" i="42"/>
  <c r="M179" i="42" s="1"/>
  <c r="N179" i="42" s="1"/>
  <c r="K179" i="42"/>
  <c r="G179" i="42"/>
  <c r="E179" i="42"/>
  <c r="Q178" i="42"/>
  <c r="P178" i="42"/>
  <c r="L178" i="42"/>
  <c r="M178" i="42" s="1"/>
  <c r="N178" i="42" s="1"/>
  <c r="K178" i="42"/>
  <c r="G178" i="42"/>
  <c r="E178" i="42"/>
  <c r="Q177" i="42"/>
  <c r="P177" i="42"/>
  <c r="L177" i="42"/>
  <c r="M177" i="42"/>
  <c r="N177" i="42"/>
  <c r="K177" i="42"/>
  <c r="G177" i="42"/>
  <c r="E177" i="42"/>
  <c r="Q176" i="42"/>
  <c r="P176" i="42"/>
  <c r="L176" i="42"/>
  <c r="M176" i="42" s="1"/>
  <c r="N176" i="42" s="1"/>
  <c r="K176" i="42"/>
  <c r="G176" i="42"/>
  <c r="E176" i="42"/>
  <c r="Q175" i="42"/>
  <c r="P175" i="42"/>
  <c r="L175" i="42"/>
  <c r="M175" i="42" s="1"/>
  <c r="N175" i="42" s="1"/>
  <c r="K175" i="42"/>
  <c r="G175" i="42"/>
  <c r="E175" i="42"/>
  <c r="Q174" i="42"/>
  <c r="P174" i="42"/>
  <c r="L174" i="42"/>
  <c r="M174" i="42" s="1"/>
  <c r="N174" i="42" s="1"/>
  <c r="K174" i="42"/>
  <c r="G174" i="42"/>
  <c r="E174" i="42"/>
  <c r="Q173" i="42"/>
  <c r="P173" i="42"/>
  <c r="L173" i="42"/>
  <c r="M173" i="42" s="1"/>
  <c r="N173" i="42" s="1"/>
  <c r="K173" i="42"/>
  <c r="G173" i="42"/>
  <c r="E173" i="42"/>
  <c r="Q172" i="42"/>
  <c r="P172" i="42"/>
  <c r="L172" i="42"/>
  <c r="M172" i="42" s="1"/>
  <c r="N172" i="42" s="1"/>
  <c r="K172" i="42"/>
  <c r="G172" i="42"/>
  <c r="E172" i="42"/>
  <c r="Q171" i="42"/>
  <c r="P171" i="42"/>
  <c r="L171" i="42"/>
  <c r="M171" i="42" s="1"/>
  <c r="K171" i="42"/>
  <c r="G171" i="42"/>
  <c r="E171" i="42"/>
  <c r="Q170" i="42"/>
  <c r="P170" i="42"/>
  <c r="L170" i="42"/>
  <c r="M170" i="42"/>
  <c r="N170" i="42" s="1"/>
  <c r="K170" i="42"/>
  <c r="G170" i="42"/>
  <c r="E170" i="42"/>
  <c r="Q169" i="42"/>
  <c r="P169" i="42"/>
  <c r="L169" i="42"/>
  <c r="M169" i="42" s="1"/>
  <c r="N169" i="42" s="1"/>
  <c r="K169" i="42"/>
  <c r="G169" i="42"/>
  <c r="E169" i="42"/>
  <c r="Q168" i="42"/>
  <c r="P168" i="42"/>
  <c r="L168" i="42"/>
  <c r="M168" i="42" s="1"/>
  <c r="N168" i="42" s="1"/>
  <c r="K168" i="42"/>
  <c r="G168" i="42"/>
  <c r="E168" i="42"/>
  <c r="Q167" i="42"/>
  <c r="P167" i="42"/>
  <c r="L167" i="42"/>
  <c r="M167" i="42" s="1"/>
  <c r="N167" i="42" s="1"/>
  <c r="K167" i="42"/>
  <c r="G167" i="42"/>
  <c r="E167" i="42"/>
  <c r="Q166" i="42"/>
  <c r="P166" i="42"/>
  <c r="L166" i="42"/>
  <c r="M166" i="42" s="1"/>
  <c r="N166" i="42" s="1"/>
  <c r="K166" i="42"/>
  <c r="G166" i="42"/>
  <c r="E166" i="42"/>
  <c r="Q165" i="42"/>
  <c r="P165" i="42"/>
  <c r="L165" i="42"/>
  <c r="M165" i="42" s="1"/>
  <c r="N165" i="42" s="1"/>
  <c r="K165" i="42"/>
  <c r="G165" i="42"/>
  <c r="E165" i="42"/>
  <c r="Q164" i="42"/>
  <c r="P164" i="42"/>
  <c r="L164" i="42"/>
  <c r="M164" i="42" s="1"/>
  <c r="N164" i="42" s="1"/>
  <c r="K164" i="42"/>
  <c r="G164" i="42"/>
  <c r="E164" i="42"/>
  <c r="Q163" i="42"/>
  <c r="P163" i="42"/>
  <c r="L163" i="42"/>
  <c r="M163" i="42" s="1"/>
  <c r="N163" i="42" s="1"/>
  <c r="K163" i="42"/>
  <c r="G163" i="42"/>
  <c r="E163" i="42"/>
  <c r="Q162" i="42"/>
  <c r="P162" i="42"/>
  <c r="L162" i="42"/>
  <c r="M162" i="42" s="1"/>
  <c r="N162" i="42" s="1"/>
  <c r="K162" i="42"/>
  <c r="G162" i="42"/>
  <c r="E162" i="42"/>
  <c r="Q161" i="42"/>
  <c r="P161" i="42"/>
  <c r="L161" i="42"/>
  <c r="M161" i="42"/>
  <c r="N161" i="42" s="1"/>
  <c r="K161" i="42"/>
  <c r="G161" i="42"/>
  <c r="E161" i="42"/>
  <c r="Q160" i="42"/>
  <c r="P160" i="42"/>
  <c r="L160" i="42"/>
  <c r="M160" i="42" s="1"/>
  <c r="N160" i="42" s="1"/>
  <c r="K160" i="42"/>
  <c r="G160" i="42"/>
  <c r="E160" i="42"/>
  <c r="Q159" i="42"/>
  <c r="P159" i="42"/>
  <c r="L159" i="42"/>
  <c r="M159" i="42" s="1"/>
  <c r="N159" i="42" s="1"/>
  <c r="K159" i="42"/>
  <c r="G159" i="42"/>
  <c r="E159" i="42"/>
  <c r="Q158" i="42"/>
  <c r="P158" i="42"/>
  <c r="L158" i="42"/>
  <c r="M158" i="42" s="1"/>
  <c r="N158" i="42" s="1"/>
  <c r="K158" i="42"/>
  <c r="G158" i="42"/>
  <c r="E158" i="42"/>
  <c r="Q157" i="42"/>
  <c r="P157" i="42"/>
  <c r="L157" i="42"/>
  <c r="M157" i="42" s="1"/>
  <c r="N157" i="42" s="1"/>
  <c r="K157" i="42"/>
  <c r="G157" i="42"/>
  <c r="E157" i="42"/>
  <c r="Q156" i="42"/>
  <c r="P156" i="42"/>
  <c r="L156" i="42"/>
  <c r="M156" i="42" s="1"/>
  <c r="N156" i="42" s="1"/>
  <c r="K156" i="42"/>
  <c r="G156" i="42"/>
  <c r="E156" i="42"/>
  <c r="Q155" i="42"/>
  <c r="P155" i="42"/>
  <c r="L155" i="42"/>
  <c r="M155" i="42"/>
  <c r="N155" i="42" s="1"/>
  <c r="K155" i="42"/>
  <c r="G155" i="42"/>
  <c r="E155" i="42"/>
  <c r="Q154" i="42"/>
  <c r="P154" i="42"/>
  <c r="L154" i="42"/>
  <c r="M154" i="42" s="1"/>
  <c r="N154" i="42" s="1"/>
  <c r="K154" i="42"/>
  <c r="G154" i="42"/>
  <c r="E154" i="42"/>
  <c r="Q153" i="42"/>
  <c r="P153" i="42"/>
  <c r="L153" i="42"/>
  <c r="M153" i="42" s="1"/>
  <c r="N153" i="42" s="1"/>
  <c r="K153" i="42"/>
  <c r="G153" i="42"/>
  <c r="E153" i="42"/>
  <c r="Q152" i="42"/>
  <c r="P152" i="42"/>
  <c r="L152" i="42"/>
  <c r="M152" i="42" s="1"/>
  <c r="N152" i="42" s="1"/>
  <c r="Q151" i="42"/>
  <c r="P151" i="42"/>
  <c r="L151" i="42"/>
  <c r="M151" i="42"/>
  <c r="N151" i="42" s="1"/>
  <c r="K151" i="42"/>
  <c r="G151" i="42"/>
  <c r="E151" i="42"/>
  <c r="Q150" i="42"/>
  <c r="P150" i="42"/>
  <c r="L150" i="42"/>
  <c r="M150" i="42" s="1"/>
  <c r="N150" i="42" s="1"/>
  <c r="K150" i="42"/>
  <c r="G150" i="42"/>
  <c r="E150" i="42"/>
  <c r="Q149" i="42"/>
  <c r="P149" i="42"/>
  <c r="M149" i="42"/>
  <c r="N149" i="42" s="1"/>
  <c r="L149" i="42"/>
  <c r="Q148" i="42"/>
  <c r="P148" i="42"/>
  <c r="L148" i="42"/>
  <c r="M148" i="42"/>
  <c r="N148" i="42"/>
  <c r="K148" i="42"/>
  <c r="G148" i="42"/>
  <c r="E148" i="42"/>
  <c r="Q147" i="42"/>
  <c r="P147" i="42"/>
  <c r="L147" i="42"/>
  <c r="M147" i="42" s="1"/>
  <c r="N147" i="42" s="1"/>
  <c r="K147" i="42"/>
  <c r="G147" i="42"/>
  <c r="E147" i="42"/>
  <c r="Q146" i="42"/>
  <c r="P146" i="42"/>
  <c r="L146" i="42"/>
  <c r="M146" i="42"/>
  <c r="N146" i="42" s="1"/>
  <c r="K146" i="42"/>
  <c r="G146" i="42"/>
  <c r="E146" i="42"/>
  <c r="Q145" i="42"/>
  <c r="P145" i="42"/>
  <c r="L145" i="42"/>
  <c r="M145" i="42" s="1"/>
  <c r="N145" i="42"/>
  <c r="Q144" i="42"/>
  <c r="P144" i="42"/>
  <c r="L144" i="42"/>
  <c r="M144" i="42" s="1"/>
  <c r="N144" i="42" s="1"/>
  <c r="K144" i="42"/>
  <c r="G144" i="42"/>
  <c r="E144" i="42"/>
  <c r="Q143" i="42"/>
  <c r="P143" i="42"/>
  <c r="L143" i="42"/>
  <c r="M143" i="42"/>
  <c r="N143" i="42" s="1"/>
  <c r="K143" i="42"/>
  <c r="G143" i="42"/>
  <c r="E143" i="42"/>
  <c r="Q142" i="42"/>
  <c r="P142" i="42"/>
  <c r="L142" i="42"/>
  <c r="M142" i="42" s="1"/>
  <c r="N142" i="42" s="1"/>
  <c r="K142" i="42"/>
  <c r="G142" i="42"/>
  <c r="E142" i="42"/>
  <c r="Q141" i="42"/>
  <c r="P141" i="42"/>
  <c r="L141" i="42"/>
  <c r="M141" i="42" s="1"/>
  <c r="N141" i="42" s="1"/>
  <c r="K141" i="42"/>
  <c r="G141" i="42"/>
  <c r="E141" i="42"/>
  <c r="Q140" i="42"/>
  <c r="P140" i="42"/>
  <c r="L140" i="42"/>
  <c r="M140" i="42"/>
  <c r="N140" i="42" s="1"/>
  <c r="K140" i="42"/>
  <c r="G140" i="42"/>
  <c r="E140" i="42"/>
  <c r="Q139" i="42"/>
  <c r="P139" i="42"/>
  <c r="L139" i="42"/>
  <c r="M139" i="42"/>
  <c r="N139" i="42" s="1"/>
  <c r="K139" i="42"/>
  <c r="G139" i="42"/>
  <c r="E139" i="42"/>
  <c r="Q138" i="42"/>
  <c r="P138" i="42"/>
  <c r="L138" i="42"/>
  <c r="M138" i="42"/>
  <c r="N138" i="42" s="1"/>
  <c r="Q137" i="42"/>
  <c r="P137" i="42"/>
  <c r="L137" i="42"/>
  <c r="M137" i="42" s="1"/>
  <c r="N137" i="42" s="1"/>
  <c r="Q136" i="42"/>
  <c r="P136" i="42"/>
  <c r="L136" i="42"/>
  <c r="M136" i="42" s="1"/>
  <c r="N136" i="42"/>
  <c r="K136" i="42"/>
  <c r="G136" i="42"/>
  <c r="E136" i="42"/>
  <c r="Q135" i="42"/>
  <c r="P135" i="42"/>
  <c r="L135" i="42"/>
  <c r="M135" i="42" s="1"/>
  <c r="N135" i="42" s="1"/>
  <c r="K135" i="42"/>
  <c r="G135" i="42"/>
  <c r="E135" i="42"/>
  <c r="Q134" i="42"/>
  <c r="P134" i="42"/>
  <c r="L134" i="42"/>
  <c r="M134" i="42" s="1"/>
  <c r="N134" i="42" s="1"/>
  <c r="Q133" i="42"/>
  <c r="P133" i="42"/>
  <c r="L133" i="42"/>
  <c r="M133" i="42" s="1"/>
  <c r="N133" i="42" s="1"/>
  <c r="K133" i="42"/>
  <c r="G133" i="42"/>
  <c r="E133" i="42"/>
  <c r="Q132" i="42"/>
  <c r="P132" i="42"/>
  <c r="L132" i="42"/>
  <c r="M132" i="42" s="1"/>
  <c r="N132" i="42" s="1"/>
  <c r="K132" i="42"/>
  <c r="G132" i="42"/>
  <c r="E132" i="42"/>
  <c r="Q131" i="42"/>
  <c r="P131" i="42"/>
  <c r="L131" i="42"/>
  <c r="M131" i="42"/>
  <c r="N131" i="42" s="1"/>
  <c r="K131" i="42"/>
  <c r="G131" i="42"/>
  <c r="E131" i="42"/>
  <c r="Q130" i="42"/>
  <c r="P130" i="42"/>
  <c r="L130" i="42"/>
  <c r="M130" i="42" s="1"/>
  <c r="N130" i="42"/>
  <c r="K130" i="42"/>
  <c r="G130" i="42"/>
  <c r="E130" i="42"/>
  <c r="Q129" i="42"/>
  <c r="P129" i="42"/>
  <c r="L129" i="42"/>
  <c r="M129" i="42" s="1"/>
  <c r="N129" i="42" s="1"/>
  <c r="K129" i="42"/>
  <c r="G129" i="42"/>
  <c r="E129" i="42"/>
  <c r="Q128" i="42"/>
  <c r="P128" i="42"/>
  <c r="L128" i="42"/>
  <c r="M128" i="42" s="1"/>
  <c r="N128" i="42" s="1"/>
  <c r="K128" i="42"/>
  <c r="G128" i="42"/>
  <c r="E128" i="42"/>
  <c r="Q127" i="42"/>
  <c r="P127" i="42"/>
  <c r="L127" i="42"/>
  <c r="M127" i="42" s="1"/>
  <c r="N127" i="42" s="1"/>
  <c r="K127" i="42"/>
  <c r="G127" i="42"/>
  <c r="E127" i="42"/>
  <c r="Q126" i="42"/>
  <c r="P126" i="42"/>
  <c r="L126" i="42"/>
  <c r="M126" i="42" s="1"/>
  <c r="N126" i="42" s="1"/>
  <c r="K126" i="42"/>
  <c r="G126" i="42"/>
  <c r="E126" i="42"/>
  <c r="Q125" i="42"/>
  <c r="P125" i="42"/>
  <c r="L125" i="42"/>
  <c r="M125" i="42" s="1"/>
  <c r="N125" i="42" s="1"/>
  <c r="K125" i="42"/>
  <c r="G125" i="42"/>
  <c r="E125" i="42"/>
  <c r="Q124" i="42"/>
  <c r="P124" i="42"/>
  <c r="L124" i="42"/>
  <c r="M124" i="42"/>
  <c r="N124" i="42"/>
  <c r="K124" i="42"/>
  <c r="G124" i="42"/>
  <c r="E124" i="42"/>
  <c r="Q123" i="42"/>
  <c r="P123" i="42"/>
  <c r="L123" i="42"/>
  <c r="M123" i="42" s="1"/>
  <c r="N123" i="42" s="1"/>
  <c r="K123" i="42"/>
  <c r="G123" i="42"/>
  <c r="E123" i="42"/>
  <c r="Q122" i="42"/>
  <c r="P122" i="42"/>
  <c r="L122" i="42"/>
  <c r="M122" i="42" s="1"/>
  <c r="N122" i="42" s="1"/>
  <c r="K122" i="42"/>
  <c r="G122" i="42"/>
  <c r="E122" i="42"/>
  <c r="Q121" i="42"/>
  <c r="P121" i="42"/>
  <c r="L121" i="42"/>
  <c r="M121" i="42" s="1"/>
  <c r="N121" i="42" s="1"/>
  <c r="K121" i="42"/>
  <c r="G121" i="42"/>
  <c r="E121" i="42"/>
  <c r="Q120" i="42"/>
  <c r="P120" i="42"/>
  <c r="L120" i="42"/>
  <c r="M120" i="42" s="1"/>
  <c r="N120" i="42" s="1"/>
  <c r="K120" i="42"/>
  <c r="G120" i="42"/>
  <c r="E120" i="42"/>
  <c r="Q119" i="42"/>
  <c r="P119" i="42"/>
  <c r="L119" i="42"/>
  <c r="M119" i="42" s="1"/>
  <c r="N119" i="42" s="1"/>
  <c r="K119" i="42"/>
  <c r="G119" i="42"/>
  <c r="E119" i="42"/>
  <c r="Q118" i="42"/>
  <c r="P118" i="42"/>
  <c r="L118" i="42"/>
  <c r="M118" i="42"/>
  <c r="K118" i="42"/>
  <c r="G118" i="42"/>
  <c r="E118" i="42"/>
  <c r="Q117" i="42"/>
  <c r="P117" i="42"/>
  <c r="L117" i="42"/>
  <c r="M117" i="42"/>
  <c r="N117" i="42" s="1"/>
  <c r="K117" i="42"/>
  <c r="G117" i="42"/>
  <c r="E117" i="42"/>
  <c r="Q116" i="42"/>
  <c r="P116" i="42"/>
  <c r="L116" i="42"/>
  <c r="M116" i="42" s="1"/>
  <c r="N116" i="42" s="1"/>
  <c r="K116" i="42"/>
  <c r="G116" i="42"/>
  <c r="E116" i="42"/>
  <c r="Q115" i="42"/>
  <c r="P115" i="42"/>
  <c r="L115" i="42"/>
  <c r="M115" i="42" s="1"/>
  <c r="N115" i="42" s="1"/>
  <c r="K115" i="42"/>
  <c r="G115" i="42"/>
  <c r="E115" i="42"/>
  <c r="Q114" i="42"/>
  <c r="P114" i="42"/>
  <c r="K114" i="42"/>
  <c r="Q113" i="42"/>
  <c r="P113" i="42"/>
  <c r="L113" i="42"/>
  <c r="M113" i="42"/>
  <c r="N113" i="42" s="1"/>
  <c r="K113" i="42"/>
  <c r="G113" i="42"/>
  <c r="E113" i="42"/>
  <c r="Q112" i="42"/>
  <c r="P112" i="42"/>
  <c r="L112" i="42"/>
  <c r="M112" i="42" s="1"/>
  <c r="N112" i="42" s="1"/>
  <c r="K112" i="42"/>
  <c r="G112" i="42"/>
  <c r="E112" i="42"/>
  <c r="Q111" i="42"/>
  <c r="P111" i="42"/>
  <c r="L111" i="42"/>
  <c r="M111" i="42" s="1"/>
  <c r="N111" i="42" s="1"/>
  <c r="K111" i="42"/>
  <c r="G111" i="42"/>
  <c r="E111" i="42"/>
  <c r="Q110" i="42"/>
  <c r="P110" i="42"/>
  <c r="L110" i="42"/>
  <c r="M110" i="42" s="1"/>
  <c r="N110" i="42" s="1"/>
  <c r="K110" i="42"/>
  <c r="G110" i="42"/>
  <c r="E110" i="42"/>
  <c r="Q109" i="42"/>
  <c r="P109" i="42"/>
  <c r="L109" i="42"/>
  <c r="M109" i="42" s="1"/>
  <c r="N109" i="42" s="1"/>
  <c r="K109" i="42"/>
  <c r="G109" i="42"/>
  <c r="E109" i="42"/>
  <c r="Q108" i="42"/>
  <c r="P108" i="42"/>
  <c r="L108" i="42"/>
  <c r="M108" i="42" s="1"/>
  <c r="N108" i="42" s="1"/>
  <c r="K108" i="42"/>
  <c r="G108" i="42"/>
  <c r="E108" i="42"/>
  <c r="Q107" i="42"/>
  <c r="P107" i="42"/>
  <c r="L107" i="42"/>
  <c r="M107" i="42" s="1"/>
  <c r="N107" i="42" s="1"/>
  <c r="K107" i="42"/>
  <c r="G107" i="42"/>
  <c r="E107" i="42"/>
  <c r="Q106" i="42"/>
  <c r="P106" i="42"/>
  <c r="L106" i="42"/>
  <c r="M106" i="42" s="1"/>
  <c r="N106" i="42" s="1"/>
  <c r="K106" i="42"/>
  <c r="G106" i="42"/>
  <c r="E106" i="42"/>
  <c r="Q105" i="42"/>
  <c r="P105" i="42"/>
  <c r="L105" i="42"/>
  <c r="M105" i="42" s="1"/>
  <c r="N105" i="42" s="1"/>
  <c r="K105" i="42"/>
  <c r="G105" i="42"/>
  <c r="E105" i="42"/>
  <c r="Q104" i="42"/>
  <c r="P104" i="42"/>
  <c r="L104" i="42"/>
  <c r="M104" i="42"/>
  <c r="N104" i="42" s="1"/>
  <c r="K104" i="42"/>
  <c r="G104" i="42"/>
  <c r="E104" i="42"/>
  <c r="Q103" i="42"/>
  <c r="P103" i="42"/>
  <c r="K103" i="42"/>
  <c r="Q102" i="42"/>
  <c r="P102" i="42"/>
  <c r="L102" i="42"/>
  <c r="M102" i="42" s="1"/>
  <c r="N102" i="42" s="1"/>
  <c r="K102" i="42"/>
  <c r="G102" i="42"/>
  <c r="E102" i="42"/>
  <c r="Q101" i="42"/>
  <c r="P101" i="42"/>
  <c r="L101" i="42"/>
  <c r="M101" i="42" s="1"/>
  <c r="N101" i="42" s="1"/>
  <c r="K101" i="42"/>
  <c r="G101" i="42"/>
  <c r="E101" i="42"/>
  <c r="Q100" i="42"/>
  <c r="P100" i="42"/>
  <c r="L100" i="42"/>
  <c r="M100" i="42"/>
  <c r="N100" i="42"/>
  <c r="K100" i="42"/>
  <c r="G100" i="42"/>
  <c r="E100" i="42"/>
  <c r="Q99" i="42"/>
  <c r="P99" i="42"/>
  <c r="L99" i="42"/>
  <c r="M99" i="42" s="1"/>
  <c r="N99" i="42" s="1"/>
  <c r="K99" i="42"/>
  <c r="G99" i="42"/>
  <c r="E99" i="42"/>
  <c r="Q98" i="42"/>
  <c r="P98" i="42"/>
  <c r="L98" i="42"/>
  <c r="M98" i="42"/>
  <c r="N98" i="42" s="1"/>
  <c r="K98" i="42"/>
  <c r="G98" i="42"/>
  <c r="E98" i="42"/>
  <c r="Q97" i="42"/>
  <c r="P97" i="42"/>
  <c r="L97" i="42"/>
  <c r="M97" i="42"/>
  <c r="N97" i="42" s="1"/>
  <c r="K97" i="42"/>
  <c r="G97" i="42"/>
  <c r="E97" i="42"/>
  <c r="Q96" i="42"/>
  <c r="P96" i="42"/>
  <c r="L96" i="42"/>
  <c r="M96" i="42" s="1"/>
  <c r="N96" i="42" s="1"/>
  <c r="K96" i="42"/>
  <c r="G96" i="42"/>
  <c r="E96" i="42"/>
  <c r="Q95" i="42"/>
  <c r="P95" i="42"/>
  <c r="L95" i="42"/>
  <c r="M95" i="42"/>
  <c r="N95" i="42" s="1"/>
  <c r="K95" i="42"/>
  <c r="G95" i="42"/>
  <c r="E95" i="42"/>
  <c r="Q94" i="42"/>
  <c r="P94" i="42"/>
  <c r="L94" i="42"/>
  <c r="M94" i="42" s="1"/>
  <c r="N94" i="42"/>
  <c r="Q93" i="42"/>
  <c r="P93" i="42"/>
  <c r="L93" i="42"/>
  <c r="M93" i="42" s="1"/>
  <c r="N93" i="42" s="1"/>
  <c r="K93" i="42"/>
  <c r="G93" i="42"/>
  <c r="E93" i="42"/>
  <c r="Q92" i="42"/>
  <c r="P92" i="42"/>
  <c r="L92" i="42"/>
  <c r="M92" i="42"/>
  <c r="N92" i="42"/>
  <c r="K92" i="42"/>
  <c r="G92" i="42"/>
  <c r="E92" i="42"/>
  <c r="Q91" i="42"/>
  <c r="P91" i="42"/>
  <c r="L91" i="42"/>
  <c r="M91" i="42" s="1"/>
  <c r="N91" i="42" s="1"/>
  <c r="K91" i="42"/>
  <c r="G91" i="42"/>
  <c r="E91" i="42"/>
  <c r="Q90" i="42"/>
  <c r="P90" i="42"/>
  <c r="L90" i="42"/>
  <c r="M90" i="42" s="1"/>
  <c r="N90" i="42" s="1"/>
  <c r="K90" i="42"/>
  <c r="G90" i="42"/>
  <c r="E90" i="42"/>
  <c r="Q89" i="42"/>
  <c r="P89" i="42"/>
  <c r="L89" i="42"/>
  <c r="M89" i="42" s="1"/>
  <c r="N89" i="42" s="1"/>
  <c r="K89" i="42"/>
  <c r="G89" i="42"/>
  <c r="E89" i="42"/>
  <c r="Q88" i="42"/>
  <c r="P88" i="42"/>
  <c r="L88" i="42"/>
  <c r="M88" i="42"/>
  <c r="N88" i="42"/>
  <c r="K88" i="42"/>
  <c r="G88" i="42"/>
  <c r="E88" i="42"/>
  <c r="Q87" i="42"/>
  <c r="P87" i="42"/>
  <c r="M87" i="42"/>
  <c r="N87" i="42" s="1"/>
  <c r="L87" i="42"/>
  <c r="Q86" i="42"/>
  <c r="P86" i="42"/>
  <c r="L86" i="42"/>
  <c r="M86" i="42"/>
  <c r="N86" i="42" s="1"/>
  <c r="K86" i="42"/>
  <c r="G86" i="42"/>
  <c r="E86" i="42"/>
  <c r="Q85" i="42"/>
  <c r="P85" i="42"/>
  <c r="L85" i="42"/>
  <c r="M85" i="42" s="1"/>
  <c r="N85" i="42"/>
  <c r="K85" i="42"/>
  <c r="G85" i="42"/>
  <c r="E85" i="42"/>
  <c r="Q84" i="42"/>
  <c r="P84" i="42"/>
  <c r="L84" i="42"/>
  <c r="M84" i="42" s="1"/>
  <c r="N84" i="42" s="1"/>
  <c r="K84" i="42"/>
  <c r="G84" i="42"/>
  <c r="E84" i="42"/>
  <c r="Q83" i="42"/>
  <c r="P83" i="42"/>
  <c r="L83" i="42"/>
  <c r="M83" i="42" s="1"/>
  <c r="N83" i="42" s="1"/>
  <c r="Q82" i="42"/>
  <c r="P82" i="42"/>
  <c r="L82" i="42"/>
  <c r="M82" i="42" s="1"/>
  <c r="N82" i="42" s="1"/>
  <c r="K82" i="42"/>
  <c r="G82" i="42"/>
  <c r="E82" i="42"/>
  <c r="Q81" i="42"/>
  <c r="P81" i="42"/>
  <c r="L81" i="42"/>
  <c r="M81" i="42" s="1"/>
  <c r="N81" i="42" s="1"/>
  <c r="K81" i="42"/>
  <c r="G81" i="42"/>
  <c r="E81" i="42"/>
  <c r="Q80" i="42"/>
  <c r="P80" i="42"/>
  <c r="L80" i="42"/>
  <c r="M80" i="42" s="1"/>
  <c r="N80" i="42" s="1"/>
  <c r="K80" i="42"/>
  <c r="G80" i="42"/>
  <c r="E80" i="42"/>
  <c r="Q79" i="42"/>
  <c r="P79" i="42"/>
  <c r="L79" i="42"/>
  <c r="M79" i="42" s="1"/>
  <c r="N79" i="42" s="1"/>
  <c r="K79" i="42"/>
  <c r="G79" i="42"/>
  <c r="E79" i="42"/>
  <c r="Q78" i="42"/>
  <c r="P78" i="42"/>
  <c r="L78" i="42"/>
  <c r="M78" i="42" s="1"/>
  <c r="N78" i="42" s="1"/>
  <c r="K78" i="42"/>
  <c r="G78" i="42"/>
  <c r="E78" i="42"/>
  <c r="Q77" i="42"/>
  <c r="P77" i="42"/>
  <c r="L77" i="42"/>
  <c r="M77" i="42" s="1"/>
  <c r="N77" i="42" s="1"/>
  <c r="K77" i="42"/>
  <c r="G77" i="42"/>
  <c r="E77" i="42"/>
  <c r="Q76" i="42"/>
  <c r="P76" i="42"/>
  <c r="L76" i="42"/>
  <c r="M76" i="42" s="1"/>
  <c r="N76" i="42" s="1"/>
  <c r="K76" i="42"/>
  <c r="G76" i="42"/>
  <c r="E76" i="42"/>
  <c r="Q75" i="42"/>
  <c r="P75" i="42"/>
  <c r="L75" i="42"/>
  <c r="M75" i="42" s="1"/>
  <c r="N75" i="42" s="1"/>
  <c r="Q74" i="42"/>
  <c r="P74" i="42"/>
  <c r="L74" i="42"/>
  <c r="M74" i="42" s="1"/>
  <c r="N74" i="42" s="1"/>
  <c r="K74" i="42"/>
  <c r="G74" i="42"/>
  <c r="E74" i="42"/>
  <c r="Q73" i="42"/>
  <c r="P73" i="42"/>
  <c r="L73" i="42"/>
  <c r="M73" i="42"/>
  <c r="N73" i="42"/>
  <c r="K73" i="42"/>
  <c r="G73" i="42"/>
  <c r="E73" i="42"/>
  <c r="Q72" i="42"/>
  <c r="P72" i="42"/>
  <c r="L72" i="42"/>
  <c r="M72" i="42" s="1"/>
  <c r="N72" i="42" s="1"/>
  <c r="K72" i="42"/>
  <c r="G72" i="42"/>
  <c r="E72" i="42"/>
  <c r="Q71" i="42"/>
  <c r="P71" i="42"/>
  <c r="L71" i="42"/>
  <c r="M71" i="42"/>
  <c r="N71" i="42" s="1"/>
  <c r="K71" i="42"/>
  <c r="G71" i="42"/>
  <c r="E71" i="42"/>
  <c r="Q70" i="42"/>
  <c r="P70" i="42"/>
  <c r="L70" i="42"/>
  <c r="M70" i="42"/>
  <c r="N70" i="42" s="1"/>
  <c r="K70" i="42"/>
  <c r="G70" i="42"/>
  <c r="E70" i="42"/>
  <c r="Q69" i="42"/>
  <c r="P69" i="42"/>
  <c r="L69" i="42"/>
  <c r="M69" i="42" s="1"/>
  <c r="N69" i="42" s="1"/>
  <c r="K69" i="42"/>
  <c r="G69" i="42"/>
  <c r="E69" i="42"/>
  <c r="Q68" i="42"/>
  <c r="P68" i="42"/>
  <c r="L68" i="42"/>
  <c r="M68" i="42"/>
  <c r="N68" i="42" s="1"/>
  <c r="K68" i="42"/>
  <c r="G68" i="42"/>
  <c r="E68" i="42"/>
  <c r="Q67" i="42"/>
  <c r="P67" i="42"/>
  <c r="L67" i="42"/>
  <c r="M67" i="42" s="1"/>
  <c r="N67" i="42" s="1"/>
  <c r="K67" i="42"/>
  <c r="G67" i="42"/>
  <c r="E67" i="42"/>
  <c r="Q66" i="42"/>
  <c r="P66" i="42"/>
  <c r="L66" i="42"/>
  <c r="M66" i="42" s="1"/>
  <c r="N66" i="42" s="1"/>
  <c r="K66" i="42"/>
  <c r="G66" i="42"/>
  <c r="E66" i="42"/>
  <c r="Q65" i="42"/>
  <c r="P65" i="42"/>
  <c r="L65" i="42"/>
  <c r="M65" i="42" s="1"/>
  <c r="N65" i="42" s="1"/>
  <c r="K65" i="42"/>
  <c r="G65" i="42"/>
  <c r="E65" i="42"/>
  <c r="Q64" i="42"/>
  <c r="P64" i="42"/>
  <c r="L64" i="42"/>
  <c r="M64" i="42"/>
  <c r="N64" i="42" s="1"/>
  <c r="K64" i="42"/>
  <c r="G64" i="42"/>
  <c r="E64" i="42"/>
  <c r="Q63" i="42"/>
  <c r="P63" i="42"/>
  <c r="L63" i="42"/>
  <c r="M63" i="42" s="1"/>
  <c r="N63" i="42" s="1"/>
  <c r="K63" i="42"/>
  <c r="G63" i="42"/>
  <c r="E63" i="42"/>
  <c r="Q62" i="42"/>
  <c r="P62" i="42"/>
  <c r="L62" i="42"/>
  <c r="M62" i="42" s="1"/>
  <c r="N62" i="42" s="1"/>
  <c r="K62" i="42"/>
  <c r="G62" i="42"/>
  <c r="E62" i="42"/>
  <c r="Q61" i="42"/>
  <c r="P61" i="42"/>
  <c r="L61" i="42"/>
  <c r="M61" i="42" s="1"/>
  <c r="N61" i="42"/>
  <c r="K61" i="42"/>
  <c r="G61" i="42"/>
  <c r="E61" i="42"/>
  <c r="Q60" i="42"/>
  <c r="P60" i="42"/>
  <c r="L60" i="42"/>
  <c r="M60" i="42" s="1"/>
  <c r="N60" i="42" s="1"/>
  <c r="K60" i="42"/>
  <c r="G60" i="42"/>
  <c r="E60" i="42"/>
  <c r="Q59" i="42"/>
  <c r="P59" i="42"/>
  <c r="L59" i="42"/>
  <c r="M59" i="42" s="1"/>
  <c r="N59" i="42" s="1"/>
  <c r="K59" i="42"/>
  <c r="G59" i="42"/>
  <c r="E59" i="42"/>
  <c r="Q58" i="42"/>
  <c r="P58" i="42"/>
  <c r="L58" i="42"/>
  <c r="M58" i="42"/>
  <c r="N58" i="42"/>
  <c r="K58" i="42"/>
  <c r="G58" i="42"/>
  <c r="E58" i="42"/>
  <c r="Q57" i="42"/>
  <c r="P57" i="42"/>
  <c r="L57" i="42"/>
  <c r="M57" i="42" s="1"/>
  <c r="N57" i="42" s="1"/>
  <c r="K57" i="42"/>
  <c r="G57" i="42"/>
  <c r="E57" i="42"/>
  <c r="Q56" i="42"/>
  <c r="P56" i="42"/>
  <c r="L56" i="42"/>
  <c r="M56" i="42"/>
  <c r="N56" i="42" s="1"/>
  <c r="K56" i="42"/>
  <c r="G56" i="42"/>
  <c r="E56" i="42"/>
  <c r="Q55" i="42"/>
  <c r="P55" i="42"/>
  <c r="L55" i="42"/>
  <c r="M55" i="42"/>
  <c r="N55" i="42" s="1"/>
  <c r="K55" i="42"/>
  <c r="G55" i="42"/>
  <c r="E55" i="42"/>
  <c r="Q54" i="42"/>
  <c r="P54" i="42"/>
  <c r="L54" i="42"/>
  <c r="M54" i="42" s="1"/>
  <c r="N54" i="42" s="1"/>
  <c r="K54" i="42"/>
  <c r="G54" i="42"/>
  <c r="E54" i="42"/>
  <c r="Q53" i="42"/>
  <c r="P53" i="42"/>
  <c r="L53" i="42"/>
  <c r="M53" i="42"/>
  <c r="N53" i="42" s="1"/>
  <c r="K53" i="42"/>
  <c r="G53" i="42"/>
  <c r="E53" i="42"/>
  <c r="Q52" i="42"/>
  <c r="P52" i="42"/>
  <c r="L52" i="42"/>
  <c r="M52" i="42" s="1"/>
  <c r="N52" i="42"/>
  <c r="K52" i="42"/>
  <c r="G52" i="42"/>
  <c r="E52" i="42"/>
  <c r="Q51" i="42"/>
  <c r="P51" i="42"/>
  <c r="L51" i="42"/>
  <c r="M51" i="42" s="1"/>
  <c r="N51" i="42" s="1"/>
  <c r="K51" i="42"/>
  <c r="G51" i="42"/>
  <c r="E51" i="42"/>
  <c r="Q50" i="42"/>
  <c r="P50" i="42"/>
  <c r="L50" i="42"/>
  <c r="M50" i="42"/>
  <c r="N50" i="42" s="1"/>
  <c r="K50" i="42"/>
  <c r="G50" i="42"/>
  <c r="E50" i="42"/>
  <c r="Q49" i="42"/>
  <c r="P49" i="42"/>
  <c r="L49" i="42"/>
  <c r="M49" i="42"/>
  <c r="N49" i="42" s="1"/>
  <c r="K49" i="42"/>
  <c r="G49" i="42"/>
  <c r="E49" i="42"/>
  <c r="Q48" i="42"/>
  <c r="P48" i="42"/>
  <c r="L48" i="42"/>
  <c r="M48" i="42" s="1"/>
  <c r="N48" i="42" s="1"/>
  <c r="K48" i="42"/>
  <c r="G48" i="42"/>
  <c r="E48" i="42"/>
  <c r="Q47" i="42"/>
  <c r="P47" i="42"/>
  <c r="L47" i="42"/>
  <c r="M47" i="42" s="1"/>
  <c r="N47" i="42" s="1"/>
  <c r="K47" i="42"/>
  <c r="G47" i="42"/>
  <c r="E47" i="42"/>
  <c r="Q46" i="42"/>
  <c r="P46" i="42"/>
  <c r="L46" i="42"/>
  <c r="M46" i="42"/>
  <c r="N46" i="42" s="1"/>
  <c r="K46" i="42"/>
  <c r="G46" i="42"/>
  <c r="E46" i="42"/>
  <c r="Q45" i="42"/>
  <c r="P45" i="42"/>
  <c r="L45" i="42"/>
  <c r="M45" i="42" s="1"/>
  <c r="N45" i="42" s="1"/>
  <c r="K45" i="42"/>
  <c r="G45" i="42"/>
  <c r="E45" i="42"/>
  <c r="Q44" i="42"/>
  <c r="P44" i="42"/>
  <c r="L44" i="42"/>
  <c r="M44" i="42"/>
  <c r="N44" i="42" s="1"/>
  <c r="K44" i="42"/>
  <c r="G44" i="42"/>
  <c r="E44" i="42"/>
  <c r="Q43" i="42"/>
  <c r="P43" i="42"/>
  <c r="L43" i="42"/>
  <c r="M43" i="42" s="1"/>
  <c r="N43" i="42" s="1"/>
  <c r="K43" i="42"/>
  <c r="G43" i="42"/>
  <c r="E43" i="42"/>
  <c r="Q42" i="42"/>
  <c r="P42" i="42"/>
  <c r="L42" i="42"/>
  <c r="M42" i="42" s="1"/>
  <c r="N42" i="42" s="1"/>
  <c r="K42" i="42"/>
  <c r="G42" i="42"/>
  <c r="E42" i="42"/>
  <c r="Q41" i="42"/>
  <c r="P41" i="42"/>
  <c r="L41" i="42"/>
  <c r="M41" i="42" s="1"/>
  <c r="N41" i="42" s="1"/>
  <c r="K41" i="42"/>
  <c r="G41" i="42"/>
  <c r="E41" i="42"/>
  <c r="Q40" i="42"/>
  <c r="P40" i="42"/>
  <c r="L40" i="42"/>
  <c r="M40" i="42"/>
  <c r="N40" i="42" s="1"/>
  <c r="K40" i="42"/>
  <c r="G40" i="42"/>
  <c r="E40" i="42"/>
  <c r="Q39" i="42"/>
  <c r="P39" i="42"/>
  <c r="L39" i="42"/>
  <c r="M39" i="42" s="1"/>
  <c r="N39" i="42" s="1"/>
  <c r="Q38" i="42"/>
  <c r="P38" i="42"/>
  <c r="L38" i="42"/>
  <c r="M38" i="42" s="1"/>
  <c r="N38" i="42" s="1"/>
  <c r="K38" i="42"/>
  <c r="G38" i="42"/>
  <c r="E38" i="42"/>
  <c r="Q37" i="42"/>
  <c r="P37" i="42"/>
  <c r="L37" i="42"/>
  <c r="M37" i="42" s="1"/>
  <c r="N37" i="42" s="1"/>
  <c r="K37" i="42"/>
  <c r="G37" i="42"/>
  <c r="E37" i="42"/>
  <c r="Q36" i="42"/>
  <c r="P36" i="42"/>
  <c r="L36" i="42"/>
  <c r="M36" i="42" s="1"/>
  <c r="N36" i="42" s="1"/>
  <c r="K36" i="42"/>
  <c r="G36" i="42"/>
  <c r="E36" i="42"/>
  <c r="Q35" i="42"/>
  <c r="P35" i="42"/>
  <c r="L35" i="42"/>
  <c r="M35" i="42" s="1"/>
  <c r="N35" i="42" s="1"/>
  <c r="K35" i="42"/>
  <c r="G35" i="42"/>
  <c r="E35" i="42"/>
  <c r="Q34" i="42"/>
  <c r="P34" i="42"/>
  <c r="L34" i="42"/>
  <c r="M34" i="42"/>
  <c r="N34" i="42"/>
  <c r="K34" i="42"/>
  <c r="G34" i="42"/>
  <c r="E34" i="42"/>
  <c r="Q33" i="42"/>
  <c r="P33" i="42"/>
  <c r="L33" i="42"/>
  <c r="M33" i="42" s="1"/>
  <c r="N33" i="42" s="1"/>
  <c r="K33" i="42"/>
  <c r="G33" i="42"/>
  <c r="E33" i="42"/>
  <c r="Q32" i="42"/>
  <c r="P32" i="42"/>
  <c r="L32" i="42"/>
  <c r="M32" i="42" s="1"/>
  <c r="N32" i="42" s="1"/>
  <c r="K32" i="42"/>
  <c r="G32" i="42"/>
  <c r="E32" i="42"/>
  <c r="Q31" i="42"/>
  <c r="P31" i="42"/>
  <c r="L31" i="42"/>
  <c r="M31" i="42"/>
  <c r="N31" i="42" s="1"/>
  <c r="K31" i="42"/>
  <c r="G31" i="42"/>
  <c r="E31" i="42"/>
  <c r="Q30" i="42"/>
  <c r="P30" i="42"/>
  <c r="L30" i="42"/>
  <c r="M30" i="42" s="1"/>
  <c r="N30" i="42" s="1"/>
  <c r="K30" i="42"/>
  <c r="G30" i="42"/>
  <c r="E30" i="42"/>
  <c r="Q29" i="42"/>
  <c r="P29" i="42"/>
  <c r="L29" i="42"/>
  <c r="M29" i="42"/>
  <c r="N29" i="42"/>
  <c r="K29" i="42"/>
  <c r="G29" i="42"/>
  <c r="E29" i="42"/>
  <c r="Q28" i="42"/>
  <c r="P28" i="42"/>
  <c r="L28" i="42"/>
  <c r="M28" i="42" s="1"/>
  <c r="N28" i="42" s="1"/>
  <c r="K28" i="42"/>
  <c r="G28" i="42"/>
  <c r="E28" i="42"/>
  <c r="Q27" i="42"/>
  <c r="P27" i="42"/>
  <c r="L27" i="42"/>
  <c r="K27" i="42"/>
  <c r="G27" i="42"/>
  <c r="E27" i="42"/>
  <c r="Q26" i="42"/>
  <c r="P26" i="42"/>
  <c r="L26" i="42"/>
  <c r="K26" i="42"/>
  <c r="G26" i="42"/>
  <c r="E26" i="42"/>
  <c r="Q25" i="42"/>
  <c r="P25" i="42"/>
  <c r="L25" i="42"/>
  <c r="M25" i="42" s="1"/>
  <c r="N25" i="42" s="1"/>
  <c r="K25" i="42"/>
  <c r="G25" i="42"/>
  <c r="E25" i="42"/>
  <c r="Q24" i="42"/>
  <c r="P24" i="42"/>
  <c r="L24" i="42"/>
  <c r="M24" i="42" s="1"/>
  <c r="N24" i="42" s="1"/>
  <c r="K24" i="42"/>
  <c r="G24" i="42"/>
  <c r="E24" i="42"/>
  <c r="Q23" i="42"/>
  <c r="P23" i="42"/>
  <c r="L23" i="42"/>
  <c r="M23" i="42" s="1"/>
  <c r="N23" i="42" s="1"/>
  <c r="Q22" i="42"/>
  <c r="Q416" i="42" s="1"/>
  <c r="P22" i="42"/>
  <c r="L22" i="42"/>
  <c r="M22" i="42" s="1"/>
  <c r="N22" i="42" s="1"/>
  <c r="Q21" i="42"/>
  <c r="P21" i="42"/>
  <c r="L21" i="42"/>
  <c r="M21" i="42" s="1"/>
  <c r="N21" i="42" s="1"/>
  <c r="Q20" i="42"/>
  <c r="P20" i="42"/>
  <c r="L20" i="42"/>
  <c r="M20" i="42"/>
  <c r="N20" i="42" s="1"/>
  <c r="K20" i="42"/>
  <c r="G20" i="42"/>
  <c r="E20" i="42"/>
  <c r="Q19" i="42"/>
  <c r="P19" i="42"/>
  <c r="L19" i="42"/>
  <c r="M19" i="42"/>
  <c r="N19" i="42" s="1"/>
  <c r="K19" i="42"/>
  <c r="G19" i="42"/>
  <c r="E19" i="42"/>
  <c r="Q18" i="42"/>
  <c r="P18" i="42"/>
  <c r="L18" i="42"/>
  <c r="M18" i="42"/>
  <c r="N18" i="42" s="1"/>
  <c r="K18" i="42"/>
  <c r="G18" i="42"/>
  <c r="E18" i="42"/>
  <c r="Q17" i="42"/>
  <c r="P17" i="42"/>
  <c r="L17" i="42"/>
  <c r="M17" i="42" s="1"/>
  <c r="N17" i="42" s="1"/>
  <c r="K17" i="42"/>
  <c r="G17" i="42"/>
  <c r="E17" i="42"/>
  <c r="Q16" i="42"/>
  <c r="P16" i="42"/>
  <c r="L16" i="42"/>
  <c r="M16" i="42"/>
  <c r="N16" i="42" s="1"/>
  <c r="K16" i="42"/>
  <c r="G16" i="42"/>
  <c r="E16" i="42"/>
  <c r="Q15" i="42"/>
  <c r="P15" i="42"/>
  <c r="L15" i="42"/>
  <c r="M15" i="42"/>
  <c r="N15" i="42" s="1"/>
  <c r="Q14" i="42"/>
  <c r="P14" i="42"/>
  <c r="L14" i="42"/>
  <c r="M14" i="42" s="1"/>
  <c r="N14" i="42" s="1"/>
  <c r="K14" i="42"/>
  <c r="G14" i="42"/>
  <c r="E14" i="42"/>
  <c r="Q13" i="42"/>
  <c r="P13" i="42"/>
  <c r="L13" i="42"/>
  <c r="M13" i="42" s="1"/>
  <c r="N13" i="42" s="1"/>
  <c r="K13" i="42"/>
  <c r="G13" i="42"/>
  <c r="E13" i="42"/>
  <c r="Q12" i="42"/>
  <c r="P12" i="42"/>
  <c r="L12" i="42"/>
  <c r="M12" i="42" s="1"/>
  <c r="N12" i="42" s="1"/>
  <c r="K12" i="42"/>
  <c r="G12" i="42"/>
  <c r="E12" i="42"/>
  <c r="Q11" i="42"/>
  <c r="P11" i="42"/>
  <c r="L11" i="42"/>
  <c r="M11" i="42" s="1"/>
  <c r="N11" i="42" s="1"/>
  <c r="K11" i="42"/>
  <c r="G11" i="42"/>
  <c r="E11" i="42"/>
  <c r="Q10" i="42"/>
  <c r="P10" i="42"/>
  <c r="L10" i="42"/>
  <c r="M10" i="42" s="1"/>
  <c r="N10" i="42" s="1"/>
  <c r="K10" i="42"/>
  <c r="G10" i="42"/>
  <c r="E10" i="42"/>
  <c r="Q9" i="42"/>
  <c r="P9" i="42"/>
  <c r="L9" i="42"/>
  <c r="M9" i="42" s="1"/>
  <c r="N9" i="42" s="1"/>
  <c r="K9" i="42"/>
  <c r="G9" i="42"/>
  <c r="E9" i="42"/>
  <c r="Q8" i="42"/>
  <c r="P8" i="42"/>
  <c r="P416" i="42" s="1"/>
  <c r="C417" i="42" s="1"/>
  <c r="L8" i="42"/>
  <c r="M8" i="42" s="1"/>
  <c r="N8" i="42" s="1"/>
  <c r="K8" i="42"/>
  <c r="G8" i="42"/>
  <c r="E8" i="42"/>
  <c r="Q7" i="42"/>
  <c r="P7" i="42"/>
  <c r="L7" i="42"/>
  <c r="M7" i="42"/>
  <c r="K7" i="42"/>
  <c r="G7" i="42"/>
  <c r="E7" i="42"/>
  <c r="Q6" i="42"/>
  <c r="P6" i="42"/>
  <c r="L6" i="42"/>
  <c r="M6" i="42" s="1"/>
  <c r="N6" i="42" s="1"/>
  <c r="K6" i="42"/>
  <c r="G6" i="42"/>
  <c r="E6" i="42"/>
  <c r="U416" i="40"/>
  <c r="T416" i="40"/>
  <c r="S416" i="40"/>
  <c r="U411" i="40"/>
  <c r="T411" i="40"/>
  <c r="S411" i="40"/>
  <c r="U408" i="40"/>
  <c r="T408" i="40"/>
  <c r="S408" i="40"/>
  <c r="U406" i="40"/>
  <c r="T406" i="40"/>
  <c r="S406" i="40"/>
  <c r="U390" i="40"/>
  <c r="T390" i="40"/>
  <c r="S390" i="40"/>
  <c r="U387" i="40"/>
  <c r="T387" i="40"/>
  <c r="S387" i="40"/>
  <c r="U386" i="40"/>
  <c r="T386" i="40"/>
  <c r="S386" i="40"/>
  <c r="U384" i="40"/>
  <c r="T384" i="40"/>
  <c r="S384" i="40"/>
  <c r="U379" i="40"/>
  <c r="T379" i="40"/>
  <c r="S379" i="40"/>
  <c r="U376" i="40"/>
  <c r="T376" i="40"/>
  <c r="S376" i="40"/>
  <c r="U373" i="40"/>
  <c r="T373" i="40"/>
  <c r="S373" i="40"/>
  <c r="U366" i="40"/>
  <c r="T366" i="40"/>
  <c r="S366" i="40"/>
  <c r="U363" i="40"/>
  <c r="T363" i="40"/>
  <c r="S363" i="40"/>
  <c r="U360" i="40"/>
  <c r="T360" i="40"/>
  <c r="S360" i="40"/>
  <c r="U355" i="40"/>
  <c r="T355" i="40"/>
  <c r="S355" i="40"/>
  <c r="U338" i="40"/>
  <c r="T338" i="40"/>
  <c r="S338" i="40"/>
  <c r="U314" i="40"/>
  <c r="T314" i="40"/>
  <c r="S314" i="40"/>
  <c r="U308" i="40"/>
  <c r="T308" i="40"/>
  <c r="S308" i="40"/>
  <c r="U270" i="40"/>
  <c r="T270" i="40"/>
  <c r="S270" i="40"/>
  <c r="U268" i="40"/>
  <c r="T268" i="40"/>
  <c r="S268" i="40"/>
  <c r="U255" i="40"/>
  <c r="T255" i="40"/>
  <c r="S255" i="40"/>
  <c r="U254" i="40"/>
  <c r="T254" i="40"/>
  <c r="S254" i="40"/>
  <c r="U245" i="40"/>
  <c r="T245" i="40"/>
  <c r="S245" i="40"/>
  <c r="U242" i="40"/>
  <c r="T242" i="40"/>
  <c r="S242" i="40"/>
  <c r="U237" i="40"/>
  <c r="T237" i="40"/>
  <c r="S237" i="40"/>
  <c r="U202" i="40"/>
  <c r="T202" i="40"/>
  <c r="S202" i="40"/>
  <c r="U198" i="40"/>
  <c r="T198" i="40"/>
  <c r="S198" i="40"/>
  <c r="U187" i="40"/>
  <c r="T187" i="40"/>
  <c r="S187" i="40"/>
  <c r="U184" i="40"/>
  <c r="T184" i="40"/>
  <c r="S184" i="40"/>
  <c r="U183" i="40"/>
  <c r="T183" i="40"/>
  <c r="S183" i="40"/>
  <c r="U176" i="40"/>
  <c r="T176" i="40"/>
  <c r="S176" i="40"/>
  <c r="U175" i="40"/>
  <c r="T175" i="40"/>
  <c r="S175" i="40"/>
  <c r="U170" i="40"/>
  <c r="T170" i="40"/>
  <c r="S170" i="40"/>
  <c r="U156" i="40"/>
  <c r="T156" i="40"/>
  <c r="S156" i="40"/>
  <c r="U155" i="40"/>
  <c r="T155" i="40"/>
  <c r="S155" i="40"/>
  <c r="U154" i="40"/>
  <c r="T154" i="40"/>
  <c r="S154" i="40"/>
  <c r="U143" i="40"/>
  <c r="T143" i="40"/>
  <c r="S143" i="40"/>
  <c r="U138" i="40"/>
  <c r="T138" i="40"/>
  <c r="S138" i="40"/>
  <c r="U133" i="40"/>
  <c r="T133" i="40"/>
  <c r="S133" i="40"/>
  <c r="U130" i="40"/>
  <c r="T130" i="40"/>
  <c r="S130" i="40"/>
  <c r="U127" i="40"/>
  <c r="T127" i="40"/>
  <c r="S127" i="40"/>
  <c r="U125" i="40"/>
  <c r="T125" i="40"/>
  <c r="S125" i="40"/>
  <c r="U123" i="40"/>
  <c r="T123" i="40"/>
  <c r="S123" i="40"/>
  <c r="U120" i="40"/>
  <c r="T120" i="40"/>
  <c r="S120" i="40"/>
  <c r="U117" i="40"/>
  <c r="T117" i="40"/>
  <c r="S117" i="40"/>
  <c r="U115" i="40"/>
  <c r="T115" i="40"/>
  <c r="S115" i="40"/>
  <c r="U111" i="40"/>
  <c r="T111" i="40"/>
  <c r="S111" i="40"/>
  <c r="U105" i="40"/>
  <c r="T105" i="40"/>
  <c r="S105" i="40"/>
  <c r="U98" i="40"/>
  <c r="T98" i="40"/>
  <c r="S98" i="40"/>
  <c r="U96" i="40"/>
  <c r="T96" i="40"/>
  <c r="S96" i="40"/>
  <c r="U91" i="40"/>
  <c r="T91" i="40"/>
  <c r="S91" i="40"/>
  <c r="U89" i="40"/>
  <c r="T89" i="40"/>
  <c r="S89" i="40"/>
  <c r="U88" i="40"/>
  <c r="T88" i="40"/>
  <c r="S88" i="40"/>
  <c r="U86" i="40"/>
  <c r="T86" i="40"/>
  <c r="S86" i="40"/>
  <c r="U83" i="40"/>
  <c r="T83" i="40"/>
  <c r="S83" i="40"/>
  <c r="U79" i="40"/>
  <c r="T79" i="40"/>
  <c r="S79" i="40"/>
  <c r="U77" i="40"/>
  <c r="T77" i="40"/>
  <c r="S77" i="40"/>
  <c r="U76" i="40"/>
  <c r="T76" i="40"/>
  <c r="S76" i="40"/>
  <c r="U74" i="40"/>
  <c r="T74" i="40"/>
  <c r="S74" i="40"/>
  <c r="U43" i="40"/>
  <c r="T43" i="40"/>
  <c r="S43" i="40"/>
  <c r="U27" i="40"/>
  <c r="T27" i="40"/>
  <c r="S27" i="40"/>
  <c r="U23" i="40"/>
  <c r="T23" i="40"/>
  <c r="S23" i="40"/>
  <c r="U16" i="40"/>
  <c r="T16" i="40"/>
  <c r="S16" i="40"/>
  <c r="U14" i="40"/>
  <c r="T14" i="40"/>
  <c r="S14" i="40"/>
  <c r="J103" i="41"/>
  <c r="K103" i="41" s="1"/>
  <c r="U103" i="41"/>
  <c r="F103" i="41"/>
  <c r="T103" i="41" s="1"/>
  <c r="D103" i="41"/>
  <c r="E103" i="41" s="1"/>
  <c r="S103" i="41"/>
  <c r="J193" i="40"/>
  <c r="F193" i="40"/>
  <c r="D193" i="40"/>
  <c r="S193" i="40" s="1"/>
  <c r="C416" i="41"/>
  <c r="K202" i="41"/>
  <c r="K201" i="41"/>
  <c r="K200" i="41"/>
  <c r="K199" i="41"/>
  <c r="K199" i="40"/>
  <c r="K200" i="40"/>
  <c r="K201" i="40"/>
  <c r="K202" i="40"/>
  <c r="J114" i="41"/>
  <c r="U114" i="41" s="1"/>
  <c r="F114" i="41"/>
  <c r="D114" i="41"/>
  <c r="E114" i="41" s="1"/>
  <c r="S114" i="41"/>
  <c r="K158" i="41"/>
  <c r="G158" i="41"/>
  <c r="E158" i="41"/>
  <c r="K157" i="41"/>
  <c r="G157" i="41"/>
  <c r="E157" i="41"/>
  <c r="K158" i="40"/>
  <c r="G158" i="40"/>
  <c r="E158" i="40"/>
  <c r="K157" i="40"/>
  <c r="G157" i="40"/>
  <c r="E157" i="40"/>
  <c r="K115" i="41"/>
  <c r="E91" i="41"/>
  <c r="Q415" i="41"/>
  <c r="P415" i="41"/>
  <c r="L415" i="41"/>
  <c r="M415" i="41" s="1"/>
  <c r="N415" i="41" s="1"/>
  <c r="Q414" i="41"/>
  <c r="P414" i="41"/>
  <c r="L414" i="41"/>
  <c r="M414" i="41" s="1"/>
  <c r="N414" i="41" s="1"/>
  <c r="K414" i="41"/>
  <c r="G414" i="41"/>
  <c r="E414" i="41"/>
  <c r="Q413" i="41"/>
  <c r="P413" i="41"/>
  <c r="L413" i="41"/>
  <c r="M413" i="41" s="1"/>
  <c r="N413" i="41" s="1"/>
  <c r="Q412" i="41"/>
  <c r="P412" i="41"/>
  <c r="L412" i="41"/>
  <c r="M412" i="41" s="1"/>
  <c r="N412" i="41" s="1"/>
  <c r="K412" i="41"/>
  <c r="G412" i="41"/>
  <c r="E412" i="41"/>
  <c r="Q411" i="41"/>
  <c r="P411" i="41"/>
  <c r="L411" i="41"/>
  <c r="M411" i="41" s="1"/>
  <c r="N411" i="41" s="1"/>
  <c r="Q410" i="41"/>
  <c r="P410" i="41"/>
  <c r="L410" i="41"/>
  <c r="M410" i="41" s="1"/>
  <c r="N410" i="41" s="1"/>
  <c r="Q409" i="41"/>
  <c r="P409" i="41"/>
  <c r="L409" i="41"/>
  <c r="M409" i="41" s="1"/>
  <c r="N409" i="41" s="1"/>
  <c r="K409" i="41"/>
  <c r="G409" i="41"/>
  <c r="E409" i="41"/>
  <c r="Q408" i="41"/>
  <c r="P408" i="41"/>
  <c r="L408" i="41"/>
  <c r="M408" i="41" s="1"/>
  <c r="N408" i="41" s="1"/>
  <c r="K408" i="41"/>
  <c r="G408" i="41"/>
  <c r="E408" i="41"/>
  <c r="Q407" i="41"/>
  <c r="P407" i="41"/>
  <c r="L407" i="41"/>
  <c r="M407" i="41" s="1"/>
  <c r="N407" i="41" s="1"/>
  <c r="K407" i="41"/>
  <c r="G407" i="41"/>
  <c r="E407" i="41"/>
  <c r="Q406" i="41"/>
  <c r="P406" i="41"/>
  <c r="L406" i="41"/>
  <c r="M406" i="41" s="1"/>
  <c r="N406" i="41" s="1"/>
  <c r="Q405" i="41"/>
  <c r="P405" i="41"/>
  <c r="L405" i="41"/>
  <c r="M405" i="41" s="1"/>
  <c r="N405" i="41" s="1"/>
  <c r="K405" i="41"/>
  <c r="G405" i="41"/>
  <c r="E405" i="41"/>
  <c r="Q404" i="41"/>
  <c r="P404" i="41"/>
  <c r="L404" i="41"/>
  <c r="M404" i="41" s="1"/>
  <c r="N404" i="41" s="1"/>
  <c r="K404" i="41"/>
  <c r="G404" i="41"/>
  <c r="E404" i="41"/>
  <c r="Q403" i="41"/>
  <c r="P403" i="41"/>
  <c r="L403" i="41"/>
  <c r="M403" i="41" s="1"/>
  <c r="N403" i="41" s="1"/>
  <c r="K403" i="41"/>
  <c r="G403" i="41"/>
  <c r="E403" i="41"/>
  <c r="Q402" i="41"/>
  <c r="P402" i="41"/>
  <c r="L402" i="41"/>
  <c r="M402" i="41" s="1"/>
  <c r="N402" i="41" s="1"/>
  <c r="K402" i="41"/>
  <c r="G402" i="41"/>
  <c r="E402" i="41"/>
  <c r="Q401" i="41"/>
  <c r="P401" i="41"/>
  <c r="L401" i="41"/>
  <c r="M401" i="41" s="1"/>
  <c r="N401" i="41" s="1"/>
  <c r="K401" i="41"/>
  <c r="G401" i="41"/>
  <c r="E401" i="41"/>
  <c r="Q400" i="41"/>
  <c r="P400" i="41"/>
  <c r="L400" i="41"/>
  <c r="M400" i="41"/>
  <c r="N400" i="41" s="1"/>
  <c r="K400" i="41"/>
  <c r="G400" i="41"/>
  <c r="E400" i="41"/>
  <c r="Q399" i="41"/>
  <c r="P399" i="41"/>
  <c r="L399" i="41"/>
  <c r="M399" i="41" s="1"/>
  <c r="N399" i="41" s="1"/>
  <c r="K399" i="41"/>
  <c r="G399" i="41"/>
  <c r="E399" i="41"/>
  <c r="Q398" i="41"/>
  <c r="P398" i="41"/>
  <c r="L398" i="41"/>
  <c r="M398" i="41" s="1"/>
  <c r="N398" i="41" s="1"/>
  <c r="K398" i="41"/>
  <c r="G398" i="41"/>
  <c r="E398" i="41"/>
  <c r="Q397" i="41"/>
  <c r="P397" i="41"/>
  <c r="L397" i="41"/>
  <c r="M397" i="41" s="1"/>
  <c r="N397" i="41" s="1"/>
  <c r="K397" i="41"/>
  <c r="G397" i="41"/>
  <c r="E397" i="41"/>
  <c r="Q396" i="41"/>
  <c r="P396" i="41"/>
  <c r="L396" i="41"/>
  <c r="M396" i="41"/>
  <c r="N396" i="41"/>
  <c r="K396" i="41"/>
  <c r="G396" i="41"/>
  <c r="E396" i="41"/>
  <c r="Q395" i="41"/>
  <c r="P395" i="41"/>
  <c r="L395" i="41"/>
  <c r="M395" i="41"/>
  <c r="N395" i="41" s="1"/>
  <c r="K395" i="41"/>
  <c r="G395" i="41"/>
  <c r="E395" i="41"/>
  <c r="Q394" i="41"/>
  <c r="P394" i="41"/>
  <c r="L394" i="41"/>
  <c r="M394" i="41"/>
  <c r="N394" i="41" s="1"/>
  <c r="K394" i="41"/>
  <c r="G394" i="41"/>
  <c r="E394" i="41"/>
  <c r="Q393" i="41"/>
  <c r="P393" i="41"/>
  <c r="L393" i="41"/>
  <c r="M393" i="41" s="1"/>
  <c r="N393" i="41" s="1"/>
  <c r="K393" i="41"/>
  <c r="G393" i="41"/>
  <c r="E393" i="41"/>
  <c r="Q392" i="41"/>
  <c r="P392" i="41"/>
  <c r="L392" i="41"/>
  <c r="M392" i="41" s="1"/>
  <c r="N392" i="41" s="1"/>
  <c r="K392" i="41"/>
  <c r="G392" i="41"/>
  <c r="E392" i="41"/>
  <c r="Q391" i="41"/>
  <c r="P391" i="41"/>
  <c r="L391" i="41"/>
  <c r="M391" i="41"/>
  <c r="N391" i="41" s="1"/>
  <c r="K391" i="41"/>
  <c r="G391" i="41"/>
  <c r="E391" i="41"/>
  <c r="Q390" i="41"/>
  <c r="P390" i="41"/>
  <c r="L390" i="41"/>
  <c r="M390" i="41" s="1"/>
  <c r="N390" i="41" s="1"/>
  <c r="K390" i="41"/>
  <c r="G390" i="41"/>
  <c r="E390" i="41"/>
  <c r="Q389" i="41"/>
  <c r="P389" i="41"/>
  <c r="L389" i="41"/>
  <c r="M389" i="41" s="1"/>
  <c r="N389" i="41" s="1"/>
  <c r="K389" i="41"/>
  <c r="G389" i="41"/>
  <c r="E389" i="41"/>
  <c r="Q388" i="41"/>
  <c r="P388" i="41"/>
  <c r="L388" i="41"/>
  <c r="M388" i="41" s="1"/>
  <c r="N388" i="41" s="1"/>
  <c r="Q387" i="41"/>
  <c r="P387" i="41"/>
  <c r="L387" i="41"/>
  <c r="M387" i="41" s="1"/>
  <c r="N387" i="41" s="1"/>
  <c r="K387" i="41"/>
  <c r="G387" i="41"/>
  <c r="E387" i="41"/>
  <c r="Q386" i="41"/>
  <c r="P386" i="41"/>
  <c r="L386" i="41"/>
  <c r="M386" i="41" s="1"/>
  <c r="N386" i="41" s="1"/>
  <c r="K386" i="41"/>
  <c r="G386" i="41"/>
  <c r="E386" i="41"/>
  <c r="Q385" i="41"/>
  <c r="P385" i="41"/>
  <c r="L385" i="41"/>
  <c r="M385" i="41"/>
  <c r="N385" i="41" s="1"/>
  <c r="K385" i="41"/>
  <c r="G385" i="41"/>
  <c r="E385" i="41"/>
  <c r="Q384" i="41"/>
  <c r="P384" i="41"/>
  <c r="L384" i="41"/>
  <c r="M384" i="41" s="1"/>
  <c r="N384" i="41" s="1"/>
  <c r="K384" i="41"/>
  <c r="G384" i="41"/>
  <c r="E384" i="41"/>
  <c r="Q383" i="41"/>
  <c r="P383" i="41"/>
  <c r="L383" i="41"/>
  <c r="M383" i="41"/>
  <c r="N383" i="41"/>
  <c r="K383" i="41"/>
  <c r="G383" i="41"/>
  <c r="E383" i="41"/>
  <c r="Q382" i="41"/>
  <c r="P382" i="41"/>
  <c r="L382" i="41"/>
  <c r="M382" i="41" s="1"/>
  <c r="N382" i="41" s="1"/>
  <c r="K382" i="41"/>
  <c r="G382" i="41"/>
  <c r="E382" i="41"/>
  <c r="Q381" i="41"/>
  <c r="P381" i="41"/>
  <c r="L381" i="41"/>
  <c r="M381" i="41" s="1"/>
  <c r="N381" i="41" s="1"/>
  <c r="Q380" i="41"/>
  <c r="P380" i="41"/>
  <c r="L380" i="41"/>
  <c r="M380" i="41" s="1"/>
  <c r="N380" i="41" s="1"/>
  <c r="K380" i="41"/>
  <c r="G380" i="41"/>
  <c r="E380" i="41"/>
  <c r="Q379" i="41"/>
  <c r="P379" i="41"/>
  <c r="L379" i="41"/>
  <c r="M379" i="41"/>
  <c r="N379" i="41" s="1"/>
  <c r="K379" i="41"/>
  <c r="G379" i="41"/>
  <c r="E379" i="41"/>
  <c r="Q378" i="41"/>
  <c r="P378" i="41"/>
  <c r="L378" i="41"/>
  <c r="M378" i="41" s="1"/>
  <c r="N378" i="41" s="1"/>
  <c r="K378" i="41"/>
  <c r="G378" i="41"/>
  <c r="E378" i="41"/>
  <c r="Q377" i="41"/>
  <c r="P377" i="41"/>
  <c r="L377" i="41"/>
  <c r="M377" i="41" s="1"/>
  <c r="N377" i="41" s="1"/>
  <c r="K377" i="41"/>
  <c r="G377" i="41"/>
  <c r="E377" i="41"/>
  <c r="Q376" i="41"/>
  <c r="P376" i="41"/>
  <c r="L376" i="41"/>
  <c r="M376" i="41" s="1"/>
  <c r="N376" i="41" s="1"/>
  <c r="K376" i="41"/>
  <c r="G376" i="41"/>
  <c r="E376" i="41"/>
  <c r="Q375" i="41"/>
  <c r="P375" i="41"/>
  <c r="L375" i="41"/>
  <c r="M375" i="41" s="1"/>
  <c r="N375" i="41" s="1"/>
  <c r="K375" i="41"/>
  <c r="G375" i="41"/>
  <c r="E375" i="41"/>
  <c r="Q374" i="41"/>
  <c r="P374" i="41"/>
  <c r="L374" i="41"/>
  <c r="M374" i="41" s="1"/>
  <c r="N374" i="41" s="1"/>
  <c r="K374" i="41"/>
  <c r="G374" i="41"/>
  <c r="E374" i="41"/>
  <c r="Q373" i="41"/>
  <c r="P373" i="41"/>
  <c r="L373" i="41"/>
  <c r="M373" i="41" s="1"/>
  <c r="K373" i="41"/>
  <c r="G373" i="41"/>
  <c r="E373" i="41"/>
  <c r="Q372" i="41"/>
  <c r="P372" i="41"/>
  <c r="L372" i="41"/>
  <c r="M372" i="41"/>
  <c r="N372" i="41"/>
  <c r="K372" i="41"/>
  <c r="G372" i="41"/>
  <c r="E372" i="41"/>
  <c r="Q371" i="41"/>
  <c r="P371" i="41"/>
  <c r="L371" i="41"/>
  <c r="M371" i="41" s="1"/>
  <c r="N371" i="41" s="1"/>
  <c r="K371" i="41"/>
  <c r="G371" i="41"/>
  <c r="E371" i="41"/>
  <c r="Q370" i="41"/>
  <c r="P370" i="41"/>
  <c r="L370" i="41"/>
  <c r="M370" i="41" s="1"/>
  <c r="N370" i="41" s="1"/>
  <c r="K370" i="41"/>
  <c r="G370" i="41"/>
  <c r="E370" i="41"/>
  <c r="Q369" i="41"/>
  <c r="P369" i="41"/>
  <c r="L369" i="41"/>
  <c r="M369" i="41" s="1"/>
  <c r="N369" i="41" s="1"/>
  <c r="K369" i="41"/>
  <c r="G369" i="41"/>
  <c r="E369" i="41"/>
  <c r="Q368" i="41"/>
  <c r="P368" i="41"/>
  <c r="L368" i="41"/>
  <c r="M368" i="41" s="1"/>
  <c r="N368" i="41" s="1"/>
  <c r="K368" i="41"/>
  <c r="G368" i="41"/>
  <c r="E368" i="41"/>
  <c r="Q367" i="41"/>
  <c r="P367" i="41"/>
  <c r="L367" i="41"/>
  <c r="M367" i="41" s="1"/>
  <c r="N367" i="41" s="1"/>
  <c r="K367" i="41"/>
  <c r="G367" i="41"/>
  <c r="E367" i="41"/>
  <c r="Q366" i="41"/>
  <c r="P366" i="41"/>
  <c r="L366" i="41"/>
  <c r="M366" i="41" s="1"/>
  <c r="K366" i="41"/>
  <c r="G366" i="41"/>
  <c r="E366" i="41"/>
  <c r="Q365" i="41"/>
  <c r="P365" i="41"/>
  <c r="L365" i="41"/>
  <c r="M365" i="41" s="1"/>
  <c r="N365" i="41" s="1"/>
  <c r="K365" i="41"/>
  <c r="G365" i="41"/>
  <c r="E365" i="41"/>
  <c r="Q364" i="41"/>
  <c r="P364" i="41"/>
  <c r="L364" i="41"/>
  <c r="M364" i="41" s="1"/>
  <c r="N364" i="41" s="1"/>
  <c r="K364" i="41"/>
  <c r="G364" i="41"/>
  <c r="E364" i="41"/>
  <c r="Q363" i="41"/>
  <c r="P363" i="41"/>
  <c r="L363" i="41"/>
  <c r="M363" i="41"/>
  <c r="N363" i="41"/>
  <c r="K363" i="41"/>
  <c r="G363" i="41"/>
  <c r="E363" i="41"/>
  <c r="Q362" i="41"/>
  <c r="P362" i="41"/>
  <c r="L362" i="41"/>
  <c r="M362" i="41"/>
  <c r="N362" i="41" s="1"/>
  <c r="K362" i="41"/>
  <c r="G362" i="41"/>
  <c r="E362" i="41"/>
  <c r="Q361" i="41"/>
  <c r="P361" i="41"/>
  <c r="L361" i="41"/>
  <c r="M361" i="41"/>
  <c r="N361" i="41" s="1"/>
  <c r="K361" i="41"/>
  <c r="G361" i="41"/>
  <c r="E361" i="41"/>
  <c r="Q360" i="41"/>
  <c r="P360" i="41"/>
  <c r="L360" i="41"/>
  <c r="M360" i="41" s="1"/>
  <c r="N360" i="41" s="1"/>
  <c r="K360" i="41"/>
  <c r="G360" i="41"/>
  <c r="E360" i="41"/>
  <c r="Q359" i="41"/>
  <c r="P359" i="41"/>
  <c r="L359" i="41"/>
  <c r="M359" i="41" s="1"/>
  <c r="N359" i="41" s="1"/>
  <c r="K359" i="41"/>
  <c r="G359" i="41"/>
  <c r="E359" i="41"/>
  <c r="Q358" i="41"/>
  <c r="P358" i="41"/>
  <c r="L358" i="41"/>
  <c r="M358" i="41" s="1"/>
  <c r="N358" i="41" s="1"/>
  <c r="K358" i="41"/>
  <c r="G358" i="41"/>
  <c r="E358" i="41"/>
  <c r="Q357" i="41"/>
  <c r="P357" i="41"/>
  <c r="L357" i="41"/>
  <c r="M357" i="41"/>
  <c r="N357" i="41" s="1"/>
  <c r="K357" i="41"/>
  <c r="G357" i="41"/>
  <c r="E357" i="41"/>
  <c r="Q356" i="41"/>
  <c r="P356" i="41"/>
  <c r="L356" i="41"/>
  <c r="M356" i="41" s="1"/>
  <c r="N356" i="41" s="1"/>
  <c r="K356" i="41"/>
  <c r="G356" i="41"/>
  <c r="E356" i="41"/>
  <c r="Q355" i="41"/>
  <c r="P355" i="41"/>
  <c r="L355" i="41"/>
  <c r="M355" i="41" s="1"/>
  <c r="N355" i="41" s="1"/>
  <c r="K355" i="41"/>
  <c r="G355" i="41"/>
  <c r="E355" i="41"/>
  <c r="Q354" i="41"/>
  <c r="P354" i="41"/>
  <c r="L354" i="41"/>
  <c r="M354" i="41"/>
  <c r="N354" i="41" s="1"/>
  <c r="K354" i="41"/>
  <c r="G354" i="41"/>
  <c r="E354" i="41"/>
  <c r="Q353" i="41"/>
  <c r="P353" i="41"/>
  <c r="L353" i="41"/>
  <c r="M353" i="41"/>
  <c r="N353" i="41" s="1"/>
  <c r="K353" i="41"/>
  <c r="G353" i="41"/>
  <c r="E353" i="41"/>
  <c r="Q352" i="41"/>
  <c r="P352" i="41"/>
  <c r="L352" i="41"/>
  <c r="M352" i="41" s="1"/>
  <c r="N352" i="41" s="1"/>
  <c r="K352" i="41"/>
  <c r="G352" i="41"/>
  <c r="E352" i="41"/>
  <c r="Q351" i="41"/>
  <c r="P351" i="41"/>
  <c r="L351" i="41"/>
  <c r="M351" i="41"/>
  <c r="N351" i="41" s="1"/>
  <c r="K351" i="41"/>
  <c r="G351" i="41"/>
  <c r="E351" i="41"/>
  <c r="Q350" i="41"/>
  <c r="P350" i="41"/>
  <c r="L350" i="41"/>
  <c r="M350" i="41" s="1"/>
  <c r="N350" i="41"/>
  <c r="K350" i="41"/>
  <c r="G350" i="41"/>
  <c r="E350" i="41"/>
  <c r="Q349" i="41"/>
  <c r="P349" i="41"/>
  <c r="L349" i="41"/>
  <c r="M349" i="41" s="1"/>
  <c r="N349" i="41" s="1"/>
  <c r="K349" i="41"/>
  <c r="G349" i="41"/>
  <c r="E349" i="41"/>
  <c r="Q348" i="41"/>
  <c r="P348" i="41"/>
  <c r="L348" i="41"/>
  <c r="M348" i="41" s="1"/>
  <c r="N348" i="41" s="1"/>
  <c r="K348" i="41"/>
  <c r="G348" i="41"/>
  <c r="E348" i="41"/>
  <c r="Q347" i="41"/>
  <c r="P347" i="41"/>
  <c r="L347" i="41"/>
  <c r="M347" i="41" s="1"/>
  <c r="N347" i="41" s="1"/>
  <c r="K347" i="41"/>
  <c r="G347" i="41"/>
  <c r="E347" i="41"/>
  <c r="Q346" i="41"/>
  <c r="P346" i="41"/>
  <c r="L346" i="41"/>
  <c r="M346" i="41" s="1"/>
  <c r="N346" i="41" s="1"/>
  <c r="K346" i="41"/>
  <c r="G346" i="41"/>
  <c r="E346" i="41"/>
  <c r="Q345" i="41"/>
  <c r="P345" i="41"/>
  <c r="L345" i="41"/>
  <c r="M345" i="41" s="1"/>
  <c r="N345" i="41" s="1"/>
  <c r="K345" i="41"/>
  <c r="G345" i="41"/>
  <c r="E345" i="41"/>
  <c r="Q344" i="41"/>
  <c r="P344" i="41"/>
  <c r="L344" i="41"/>
  <c r="M344" i="41" s="1"/>
  <c r="N344" i="41" s="1"/>
  <c r="K344" i="41"/>
  <c r="G344" i="41"/>
  <c r="E344" i="41"/>
  <c r="Q343" i="41"/>
  <c r="P343" i="41"/>
  <c r="L343" i="41"/>
  <c r="M343" i="41" s="1"/>
  <c r="N343" i="41" s="1"/>
  <c r="K343" i="41"/>
  <c r="G343" i="41"/>
  <c r="E343" i="41"/>
  <c r="Q342" i="41"/>
  <c r="P342" i="41"/>
  <c r="L342" i="41"/>
  <c r="M342" i="41"/>
  <c r="N342" i="41" s="1"/>
  <c r="K342" i="41"/>
  <c r="G342" i="41"/>
  <c r="E342" i="41"/>
  <c r="Q341" i="41"/>
  <c r="P341" i="41"/>
  <c r="L341" i="41"/>
  <c r="M341" i="41" s="1"/>
  <c r="N341" i="41" s="1"/>
  <c r="K341" i="41"/>
  <c r="G341" i="41"/>
  <c r="E341" i="41"/>
  <c r="Q340" i="41"/>
  <c r="P340" i="41"/>
  <c r="L340" i="41"/>
  <c r="M340" i="41" s="1"/>
  <c r="N340" i="41" s="1"/>
  <c r="K340" i="41"/>
  <c r="G340" i="41"/>
  <c r="E340" i="41"/>
  <c r="Q339" i="41"/>
  <c r="P339" i="41"/>
  <c r="L339" i="41"/>
  <c r="M339" i="41" s="1"/>
  <c r="N339" i="41"/>
  <c r="K339" i="41"/>
  <c r="G339" i="41"/>
  <c r="E339" i="41"/>
  <c r="Q338" i="41"/>
  <c r="P338" i="41"/>
  <c r="L338" i="41"/>
  <c r="M338" i="41" s="1"/>
  <c r="N338" i="41" s="1"/>
  <c r="K338" i="41"/>
  <c r="G338" i="41"/>
  <c r="E338" i="41"/>
  <c r="Q337" i="41"/>
  <c r="P337" i="41"/>
  <c r="L337" i="41"/>
  <c r="M337" i="41" s="1"/>
  <c r="N337" i="41" s="1"/>
  <c r="K337" i="41"/>
  <c r="G337" i="41"/>
  <c r="E337" i="41"/>
  <c r="Q336" i="41"/>
  <c r="P336" i="41"/>
  <c r="L336" i="41"/>
  <c r="M336" i="41"/>
  <c r="N336" i="41"/>
  <c r="K336" i="41"/>
  <c r="G336" i="41"/>
  <c r="E336" i="41"/>
  <c r="Q335" i="41"/>
  <c r="P335" i="41"/>
  <c r="L335" i="41"/>
  <c r="M335" i="41" s="1"/>
  <c r="N335" i="41" s="1"/>
  <c r="K335" i="41"/>
  <c r="G335" i="41"/>
  <c r="E335" i="41"/>
  <c r="Q334" i="41"/>
  <c r="P334" i="41"/>
  <c r="L334" i="41"/>
  <c r="M334" i="41" s="1"/>
  <c r="N334" i="41" s="1"/>
  <c r="K334" i="41"/>
  <c r="G334" i="41"/>
  <c r="E334" i="41"/>
  <c r="Q333" i="41"/>
  <c r="P333" i="41"/>
  <c r="L333" i="41"/>
  <c r="M333" i="41"/>
  <c r="N333" i="41" s="1"/>
  <c r="K333" i="41"/>
  <c r="G333" i="41"/>
  <c r="E333" i="41"/>
  <c r="Q332" i="41"/>
  <c r="P332" i="41"/>
  <c r="L332" i="41"/>
  <c r="M332" i="41" s="1"/>
  <c r="N332" i="41" s="1"/>
  <c r="K332" i="41"/>
  <c r="G332" i="41"/>
  <c r="E332" i="41"/>
  <c r="Q331" i="41"/>
  <c r="P331" i="41"/>
  <c r="L331" i="41"/>
  <c r="M331" i="41" s="1"/>
  <c r="N331" i="41" s="1"/>
  <c r="K331" i="41"/>
  <c r="G331" i="41"/>
  <c r="E331" i="41"/>
  <c r="Q330" i="41"/>
  <c r="P330" i="41"/>
  <c r="L330" i="41"/>
  <c r="M330" i="41" s="1"/>
  <c r="N330" i="41" s="1"/>
  <c r="K330" i="41"/>
  <c r="G330" i="41"/>
  <c r="E330" i="41"/>
  <c r="Q329" i="41"/>
  <c r="P329" i="41"/>
  <c r="L329" i="41"/>
  <c r="M329" i="41" s="1"/>
  <c r="N329" i="41" s="1"/>
  <c r="K329" i="41"/>
  <c r="G329" i="41"/>
  <c r="E329" i="41"/>
  <c r="Q328" i="41"/>
  <c r="P328" i="41"/>
  <c r="L328" i="41"/>
  <c r="M328" i="41" s="1"/>
  <c r="N328" i="41" s="1"/>
  <c r="K328" i="41"/>
  <c r="G328" i="41"/>
  <c r="E328" i="41"/>
  <c r="Q327" i="41"/>
  <c r="P327" i="41"/>
  <c r="L327" i="41"/>
  <c r="M327" i="41"/>
  <c r="N327" i="41"/>
  <c r="K327" i="41"/>
  <c r="G327" i="41"/>
  <c r="E327" i="41"/>
  <c r="Q326" i="41"/>
  <c r="P326" i="41"/>
  <c r="L326" i="41"/>
  <c r="M326" i="41"/>
  <c r="N326" i="41" s="1"/>
  <c r="K326" i="41"/>
  <c r="G326" i="41"/>
  <c r="E326" i="41"/>
  <c r="Q325" i="41"/>
  <c r="P325" i="41"/>
  <c r="L325" i="41"/>
  <c r="M325" i="41"/>
  <c r="N325" i="41" s="1"/>
  <c r="K325" i="41"/>
  <c r="G325" i="41"/>
  <c r="E325" i="41"/>
  <c r="Q324" i="41"/>
  <c r="P324" i="41"/>
  <c r="L324" i="41"/>
  <c r="M324" i="41"/>
  <c r="N324" i="41" s="1"/>
  <c r="K324" i="41"/>
  <c r="G324" i="41"/>
  <c r="E324" i="41"/>
  <c r="Q323" i="41"/>
  <c r="P323" i="41"/>
  <c r="L323" i="41"/>
  <c r="M323" i="41" s="1"/>
  <c r="N323" i="41" s="1"/>
  <c r="K323" i="41"/>
  <c r="G323" i="41"/>
  <c r="E323" i="41"/>
  <c r="Q322" i="41"/>
  <c r="P322" i="41"/>
  <c r="L322" i="41"/>
  <c r="M322" i="41" s="1"/>
  <c r="N322" i="41" s="1"/>
  <c r="K322" i="41"/>
  <c r="G322" i="41"/>
  <c r="E322" i="41"/>
  <c r="Q321" i="41"/>
  <c r="P321" i="41"/>
  <c r="L321" i="41"/>
  <c r="M321" i="41"/>
  <c r="N321" i="41" s="1"/>
  <c r="K321" i="41"/>
  <c r="G321" i="41"/>
  <c r="E321" i="41"/>
  <c r="Q320" i="41"/>
  <c r="P320" i="41"/>
  <c r="L320" i="41"/>
  <c r="M320" i="41" s="1"/>
  <c r="N320" i="41" s="1"/>
  <c r="K320" i="41"/>
  <c r="G320" i="41"/>
  <c r="E320" i="41"/>
  <c r="Q319" i="41"/>
  <c r="P319" i="41"/>
  <c r="L319" i="41"/>
  <c r="M319" i="41" s="1"/>
  <c r="N319" i="41" s="1"/>
  <c r="K319" i="41"/>
  <c r="G319" i="41"/>
  <c r="E319" i="41"/>
  <c r="Q318" i="41"/>
  <c r="P318" i="41"/>
  <c r="L318" i="41"/>
  <c r="M318" i="41"/>
  <c r="N318" i="41" s="1"/>
  <c r="K318" i="41"/>
  <c r="G318" i="41"/>
  <c r="E318" i="41"/>
  <c r="Q317" i="41"/>
  <c r="P317" i="41"/>
  <c r="L317" i="41"/>
  <c r="M317" i="41"/>
  <c r="N317" i="41" s="1"/>
  <c r="K317" i="41"/>
  <c r="G317" i="41"/>
  <c r="E317" i="41"/>
  <c r="Q316" i="41"/>
  <c r="P316" i="41"/>
  <c r="L316" i="41"/>
  <c r="M316" i="41"/>
  <c r="N316" i="41" s="1"/>
  <c r="K316" i="41"/>
  <c r="G316" i="41"/>
  <c r="E316" i="41"/>
  <c r="Q315" i="41"/>
  <c r="P315" i="41"/>
  <c r="L315" i="41"/>
  <c r="M315" i="41"/>
  <c r="N315" i="41"/>
  <c r="K315" i="41"/>
  <c r="G315" i="41"/>
  <c r="E315" i="41"/>
  <c r="Q314" i="41"/>
  <c r="P314" i="41"/>
  <c r="L314" i="41"/>
  <c r="M314" i="41" s="1"/>
  <c r="N314" i="41" s="1"/>
  <c r="K314" i="41"/>
  <c r="G314" i="41"/>
  <c r="E314" i="41"/>
  <c r="Q313" i="41"/>
  <c r="P313" i="41"/>
  <c r="L313" i="41"/>
  <c r="M313" i="41" s="1"/>
  <c r="N313" i="41" s="1"/>
  <c r="K313" i="41"/>
  <c r="G313" i="41"/>
  <c r="E313" i="41"/>
  <c r="Q312" i="41"/>
  <c r="P312" i="41"/>
  <c r="L312" i="41"/>
  <c r="M312" i="41"/>
  <c r="N312" i="41"/>
  <c r="K312" i="41"/>
  <c r="G312" i="41"/>
  <c r="E312" i="41"/>
  <c r="Q311" i="41"/>
  <c r="P311" i="41"/>
  <c r="L311" i="41"/>
  <c r="M311" i="41" s="1"/>
  <c r="N311" i="41" s="1"/>
  <c r="K311" i="41"/>
  <c r="G311" i="41"/>
  <c r="E311" i="41"/>
  <c r="Q310" i="41"/>
  <c r="P310" i="41"/>
  <c r="L310" i="41"/>
  <c r="M310" i="41" s="1"/>
  <c r="N310" i="41" s="1"/>
  <c r="K310" i="41"/>
  <c r="G310" i="41"/>
  <c r="E310" i="41"/>
  <c r="Q309" i="41"/>
  <c r="P309" i="41"/>
  <c r="L309" i="41"/>
  <c r="M309" i="41"/>
  <c r="N309" i="41" s="1"/>
  <c r="K309" i="41"/>
  <c r="G309" i="41"/>
  <c r="E309" i="41"/>
  <c r="Q308" i="41"/>
  <c r="P308" i="41"/>
  <c r="L308" i="41"/>
  <c r="M308" i="41" s="1"/>
  <c r="N308" i="41" s="1"/>
  <c r="K308" i="41"/>
  <c r="G308" i="41"/>
  <c r="E308" i="41"/>
  <c r="Q307" i="41"/>
  <c r="P307" i="41"/>
  <c r="L307" i="41"/>
  <c r="M307" i="41" s="1"/>
  <c r="N307" i="41" s="1"/>
  <c r="K307" i="41"/>
  <c r="G307" i="41"/>
  <c r="E307" i="41"/>
  <c r="Q306" i="41"/>
  <c r="P306" i="41"/>
  <c r="L306" i="41"/>
  <c r="M306" i="41"/>
  <c r="N306" i="41" s="1"/>
  <c r="K306" i="41"/>
  <c r="G306" i="41"/>
  <c r="E306" i="41"/>
  <c r="Q305" i="41"/>
  <c r="P305" i="41"/>
  <c r="L305" i="41"/>
  <c r="M305" i="41" s="1"/>
  <c r="N305" i="41" s="1"/>
  <c r="K305" i="41"/>
  <c r="G305" i="41"/>
  <c r="E305" i="41"/>
  <c r="Q304" i="41"/>
  <c r="P304" i="41"/>
  <c r="L304" i="41"/>
  <c r="M304" i="41"/>
  <c r="N304" i="41" s="1"/>
  <c r="K304" i="41"/>
  <c r="G304" i="41"/>
  <c r="E304" i="41"/>
  <c r="Q303" i="41"/>
  <c r="P303" i="41"/>
  <c r="L303" i="41"/>
  <c r="M303" i="41"/>
  <c r="N303" i="41"/>
  <c r="K303" i="41"/>
  <c r="G303" i="41"/>
  <c r="E303" i="41"/>
  <c r="Q302" i="41"/>
  <c r="P302" i="41"/>
  <c r="L302" i="41"/>
  <c r="M302" i="41" s="1"/>
  <c r="N302" i="41" s="1"/>
  <c r="K302" i="41"/>
  <c r="G302" i="41"/>
  <c r="E302" i="41"/>
  <c r="Q301" i="41"/>
  <c r="P301" i="41"/>
  <c r="L301" i="41"/>
  <c r="M301" i="41" s="1"/>
  <c r="N301" i="41" s="1"/>
  <c r="K301" i="41"/>
  <c r="G301" i="41"/>
  <c r="E301" i="41"/>
  <c r="Q300" i="41"/>
  <c r="P300" i="41"/>
  <c r="L300" i="41"/>
  <c r="M300" i="41"/>
  <c r="N300" i="41" s="1"/>
  <c r="K300" i="41"/>
  <c r="G300" i="41"/>
  <c r="E300" i="41"/>
  <c r="Q299" i="41"/>
  <c r="P299" i="41"/>
  <c r="L299" i="41"/>
  <c r="M299" i="41" s="1"/>
  <c r="N299" i="41" s="1"/>
  <c r="K299" i="41"/>
  <c r="G299" i="41"/>
  <c r="E299" i="41"/>
  <c r="Q298" i="41"/>
  <c r="P298" i="41"/>
  <c r="L298" i="41"/>
  <c r="M298" i="41" s="1"/>
  <c r="N298" i="41" s="1"/>
  <c r="K298" i="41"/>
  <c r="G298" i="41"/>
  <c r="E298" i="41"/>
  <c r="Q297" i="41"/>
  <c r="P297" i="41"/>
  <c r="L297" i="41"/>
  <c r="M297" i="41" s="1"/>
  <c r="N297" i="41" s="1"/>
  <c r="K297" i="41"/>
  <c r="G297" i="41"/>
  <c r="E297" i="41"/>
  <c r="Q296" i="41"/>
  <c r="P296" i="41"/>
  <c r="L296" i="41"/>
  <c r="M296" i="41" s="1"/>
  <c r="N296" i="41" s="1"/>
  <c r="K296" i="41"/>
  <c r="G296" i="41"/>
  <c r="E296" i="41"/>
  <c r="Q295" i="41"/>
  <c r="P295" i="41"/>
  <c r="L295" i="41"/>
  <c r="M295" i="41" s="1"/>
  <c r="N295" i="41" s="1"/>
  <c r="K295" i="41"/>
  <c r="G295" i="41"/>
  <c r="E295" i="41"/>
  <c r="Q294" i="41"/>
  <c r="P294" i="41"/>
  <c r="L294" i="41"/>
  <c r="M294" i="41"/>
  <c r="N294" i="41" s="1"/>
  <c r="K294" i="41"/>
  <c r="G294" i="41"/>
  <c r="E294" i="41"/>
  <c r="Q293" i="41"/>
  <c r="P293" i="41"/>
  <c r="L293" i="41"/>
  <c r="M293" i="41"/>
  <c r="N293" i="41" s="1"/>
  <c r="K293" i="41"/>
  <c r="G293" i="41"/>
  <c r="E293" i="41"/>
  <c r="Q292" i="41"/>
  <c r="P292" i="41"/>
  <c r="L292" i="41"/>
  <c r="M292" i="41" s="1"/>
  <c r="N292" i="41" s="1"/>
  <c r="K292" i="41"/>
  <c r="G292" i="41"/>
  <c r="E292" i="41"/>
  <c r="Q291" i="41"/>
  <c r="P291" i="41"/>
  <c r="L291" i="41"/>
  <c r="M291" i="41"/>
  <c r="N291" i="41" s="1"/>
  <c r="K291" i="41"/>
  <c r="G291" i="41"/>
  <c r="E291" i="41"/>
  <c r="Q290" i="41"/>
  <c r="P290" i="41"/>
  <c r="L290" i="41"/>
  <c r="M290" i="41" s="1"/>
  <c r="N290" i="41" s="1"/>
  <c r="K290" i="41"/>
  <c r="G290" i="41"/>
  <c r="E290" i="41"/>
  <c r="Q289" i="41"/>
  <c r="P289" i="41"/>
  <c r="L289" i="41"/>
  <c r="M289" i="41" s="1"/>
  <c r="N289" i="41" s="1"/>
  <c r="K289" i="41"/>
  <c r="G289" i="41"/>
  <c r="E289" i="41"/>
  <c r="Q288" i="41"/>
  <c r="P288" i="41"/>
  <c r="L288" i="41"/>
  <c r="M288" i="41" s="1"/>
  <c r="N288" i="41" s="1"/>
  <c r="K288" i="41"/>
  <c r="G288" i="41"/>
  <c r="E288" i="41"/>
  <c r="Q287" i="41"/>
  <c r="P287" i="41"/>
  <c r="L287" i="41"/>
  <c r="M287" i="41" s="1"/>
  <c r="N287" i="41" s="1"/>
  <c r="K287" i="41"/>
  <c r="G287" i="41"/>
  <c r="E287" i="41"/>
  <c r="Q286" i="41"/>
  <c r="P286" i="41"/>
  <c r="L286" i="41"/>
  <c r="M286" i="41" s="1"/>
  <c r="N286" i="41" s="1"/>
  <c r="K286" i="41"/>
  <c r="G286" i="41"/>
  <c r="E286" i="41"/>
  <c r="Q285" i="41"/>
  <c r="P285" i="41"/>
  <c r="L285" i="41"/>
  <c r="M285" i="41"/>
  <c r="N285" i="41" s="1"/>
  <c r="K285" i="41"/>
  <c r="G285" i="41"/>
  <c r="E285" i="41"/>
  <c r="Q284" i="41"/>
  <c r="P284" i="41"/>
  <c r="L284" i="41"/>
  <c r="M284" i="41" s="1"/>
  <c r="N284" i="41" s="1"/>
  <c r="K284" i="41"/>
  <c r="G284" i="41"/>
  <c r="E284" i="41"/>
  <c r="Q283" i="41"/>
  <c r="P283" i="41"/>
  <c r="L283" i="41"/>
  <c r="M283" i="41" s="1"/>
  <c r="N283" i="41" s="1"/>
  <c r="K283" i="41"/>
  <c r="G283" i="41"/>
  <c r="E283" i="41"/>
  <c r="Q282" i="41"/>
  <c r="P282" i="41"/>
  <c r="L282" i="41"/>
  <c r="M282" i="41" s="1"/>
  <c r="N282" i="41" s="1"/>
  <c r="K282" i="41"/>
  <c r="G282" i="41"/>
  <c r="E282" i="41"/>
  <c r="Q281" i="41"/>
  <c r="P281" i="41"/>
  <c r="L281" i="41"/>
  <c r="M281" i="41" s="1"/>
  <c r="N281" i="41" s="1"/>
  <c r="K281" i="41"/>
  <c r="G281" i="41"/>
  <c r="E281" i="41"/>
  <c r="Q280" i="41"/>
  <c r="P280" i="41"/>
  <c r="L280" i="41"/>
  <c r="M280" i="41" s="1"/>
  <c r="N280" i="41" s="1"/>
  <c r="K280" i="41"/>
  <c r="G280" i="41"/>
  <c r="E280" i="41"/>
  <c r="Q279" i="41"/>
  <c r="P279" i="41"/>
  <c r="L279" i="41"/>
  <c r="M279" i="41"/>
  <c r="N279" i="41" s="1"/>
  <c r="K279" i="41"/>
  <c r="G279" i="41"/>
  <c r="E279" i="41"/>
  <c r="Q278" i="41"/>
  <c r="P278" i="41"/>
  <c r="L278" i="41"/>
  <c r="M278" i="41" s="1"/>
  <c r="N278" i="41"/>
  <c r="K278" i="41"/>
  <c r="G278" i="41"/>
  <c r="E278" i="41"/>
  <c r="Q277" i="41"/>
  <c r="P277" i="41"/>
  <c r="L277" i="41"/>
  <c r="M277" i="41" s="1"/>
  <c r="N277" i="41" s="1"/>
  <c r="Q276" i="41"/>
  <c r="P276" i="41"/>
  <c r="L276" i="41"/>
  <c r="M276" i="41"/>
  <c r="N276" i="41" s="1"/>
  <c r="K276" i="41"/>
  <c r="G276" i="41"/>
  <c r="E276" i="41"/>
  <c r="Q275" i="41"/>
  <c r="P275" i="41"/>
  <c r="L275" i="41"/>
  <c r="M275" i="41" s="1"/>
  <c r="N275" i="41" s="1"/>
  <c r="Q274" i="41"/>
  <c r="P274" i="41"/>
  <c r="L274" i="41"/>
  <c r="M274" i="41" s="1"/>
  <c r="N274" i="41" s="1"/>
  <c r="K274" i="41"/>
  <c r="G274" i="41"/>
  <c r="E274" i="41"/>
  <c r="Q273" i="41"/>
  <c r="P273" i="41"/>
  <c r="L273" i="41"/>
  <c r="M273" i="41"/>
  <c r="N273" i="41" s="1"/>
  <c r="K273" i="41"/>
  <c r="G273" i="41"/>
  <c r="E273" i="41"/>
  <c r="Q272" i="41"/>
  <c r="P272" i="41"/>
  <c r="L272" i="41"/>
  <c r="M272" i="41" s="1"/>
  <c r="N272" i="41" s="1"/>
  <c r="K272" i="41"/>
  <c r="G272" i="41"/>
  <c r="E272" i="41"/>
  <c r="Q271" i="41"/>
  <c r="P271" i="41"/>
  <c r="L271" i="41"/>
  <c r="M271" i="41" s="1"/>
  <c r="N271" i="41" s="1"/>
  <c r="K271" i="41"/>
  <c r="G271" i="41"/>
  <c r="E271" i="41"/>
  <c r="Q270" i="41"/>
  <c r="P270" i="41"/>
  <c r="L270" i="41"/>
  <c r="M270" i="41"/>
  <c r="K270" i="41"/>
  <c r="G270" i="41"/>
  <c r="E270" i="41"/>
  <c r="Q269" i="41"/>
  <c r="P269" i="41"/>
  <c r="L269" i="41"/>
  <c r="M269" i="41" s="1"/>
  <c r="N269" i="41" s="1"/>
  <c r="K269" i="41"/>
  <c r="G269" i="41"/>
  <c r="E269" i="41"/>
  <c r="Q268" i="41"/>
  <c r="P268" i="41"/>
  <c r="L268" i="41"/>
  <c r="M268" i="41" s="1"/>
  <c r="N268" i="41" s="1"/>
  <c r="K268" i="41"/>
  <c r="G268" i="41"/>
  <c r="E268" i="41"/>
  <c r="Q267" i="41"/>
  <c r="P267" i="41"/>
  <c r="L267" i="41"/>
  <c r="M267" i="41" s="1"/>
  <c r="N267" i="41"/>
  <c r="K267" i="41"/>
  <c r="G267" i="41"/>
  <c r="E267" i="41"/>
  <c r="Q266" i="41"/>
  <c r="P266" i="41"/>
  <c r="L266" i="41"/>
  <c r="M266" i="41" s="1"/>
  <c r="N266" i="41" s="1"/>
  <c r="K266" i="41"/>
  <c r="G266" i="41"/>
  <c r="E266" i="41"/>
  <c r="Q265" i="41"/>
  <c r="P265" i="41"/>
  <c r="L265" i="41"/>
  <c r="M265" i="41" s="1"/>
  <c r="N265" i="41" s="1"/>
  <c r="K265" i="41"/>
  <c r="G265" i="41"/>
  <c r="E265" i="41"/>
  <c r="Q264" i="41"/>
  <c r="P264" i="41"/>
  <c r="L264" i="41"/>
  <c r="M264" i="41" s="1"/>
  <c r="N264" i="41"/>
  <c r="K264" i="41"/>
  <c r="G264" i="41"/>
  <c r="E264" i="41"/>
  <c r="Q263" i="41"/>
  <c r="P263" i="41"/>
  <c r="L263" i="41"/>
  <c r="M263" i="41" s="1"/>
  <c r="N263" i="41" s="1"/>
  <c r="K263" i="41"/>
  <c r="G263" i="41"/>
  <c r="E263" i="41"/>
  <c r="Q262" i="41"/>
  <c r="P262" i="41"/>
  <c r="L262" i="41"/>
  <c r="M262" i="41" s="1"/>
  <c r="N262" i="41" s="1"/>
  <c r="K262" i="41"/>
  <c r="G262" i="41"/>
  <c r="E262" i="41"/>
  <c r="Q261" i="41"/>
  <c r="P261" i="41"/>
  <c r="L261" i="41"/>
  <c r="M261" i="41" s="1"/>
  <c r="N261" i="41" s="1"/>
  <c r="K261" i="41"/>
  <c r="G261" i="41"/>
  <c r="E261" i="41"/>
  <c r="Q260" i="41"/>
  <c r="P260" i="41"/>
  <c r="L260" i="41"/>
  <c r="M260" i="41" s="1"/>
  <c r="N260" i="41" s="1"/>
  <c r="K260" i="41"/>
  <c r="G260" i="41"/>
  <c r="E260" i="41"/>
  <c r="Q259" i="41"/>
  <c r="P259" i="41"/>
  <c r="L259" i="41"/>
  <c r="M259" i="41" s="1"/>
  <c r="N259" i="41" s="1"/>
  <c r="K259" i="41"/>
  <c r="G259" i="41"/>
  <c r="E259" i="41"/>
  <c r="Q258" i="41"/>
  <c r="P258" i="41"/>
  <c r="L258" i="41"/>
  <c r="M258" i="41" s="1"/>
  <c r="N258" i="41" s="1"/>
  <c r="K258" i="41"/>
  <c r="G258" i="41"/>
  <c r="E258" i="41"/>
  <c r="Q257" i="41"/>
  <c r="P257" i="41"/>
  <c r="L257" i="41"/>
  <c r="M257" i="41"/>
  <c r="N257" i="41" s="1"/>
  <c r="K257" i="41"/>
  <c r="G257" i="41"/>
  <c r="E257" i="41"/>
  <c r="Q256" i="41"/>
  <c r="P256" i="41"/>
  <c r="L256" i="41"/>
  <c r="M256" i="41"/>
  <c r="N256" i="41" s="1"/>
  <c r="K256" i="41"/>
  <c r="G256" i="41"/>
  <c r="E256" i="41"/>
  <c r="Q255" i="41"/>
  <c r="P255" i="41"/>
  <c r="L255" i="41"/>
  <c r="M255" i="41" s="1"/>
  <c r="N255" i="41"/>
  <c r="K255" i="41"/>
  <c r="G255" i="41"/>
  <c r="E255" i="41"/>
  <c r="Q254" i="41"/>
  <c r="P254" i="41"/>
  <c r="L254" i="41"/>
  <c r="M254" i="41" s="1"/>
  <c r="N254" i="41"/>
  <c r="K254" i="41"/>
  <c r="G254" i="41"/>
  <c r="E254" i="41"/>
  <c r="Q253" i="41"/>
  <c r="P253" i="41"/>
  <c r="L253" i="41"/>
  <c r="M253" i="41"/>
  <c r="N253" i="41" s="1"/>
  <c r="K253" i="41"/>
  <c r="G253" i="41"/>
  <c r="E253" i="41"/>
  <c r="Q252" i="41"/>
  <c r="P252" i="41"/>
  <c r="L252" i="41"/>
  <c r="M252" i="41" s="1"/>
  <c r="N252" i="41" s="1"/>
  <c r="K252" i="41"/>
  <c r="G252" i="41"/>
  <c r="E252" i="41"/>
  <c r="Q251" i="41"/>
  <c r="P251" i="41"/>
  <c r="L251" i="41"/>
  <c r="M251" i="41" s="1"/>
  <c r="N251" i="41" s="1"/>
  <c r="K251" i="41"/>
  <c r="G251" i="41"/>
  <c r="E251" i="41"/>
  <c r="Q250" i="41"/>
  <c r="P250" i="41"/>
  <c r="L250" i="41"/>
  <c r="M250" i="41" s="1"/>
  <c r="N250" i="41" s="1"/>
  <c r="K250" i="41"/>
  <c r="G250" i="41"/>
  <c r="E250" i="41"/>
  <c r="Q249" i="41"/>
  <c r="P249" i="41"/>
  <c r="L249" i="41"/>
  <c r="M249" i="41" s="1"/>
  <c r="N249" i="41" s="1"/>
  <c r="K249" i="41"/>
  <c r="G249" i="41"/>
  <c r="E249" i="41"/>
  <c r="Q248" i="41"/>
  <c r="P248" i="41"/>
  <c r="L248" i="41"/>
  <c r="M248" i="41" s="1"/>
  <c r="N248" i="41" s="1"/>
  <c r="K248" i="41"/>
  <c r="G248" i="41"/>
  <c r="E248" i="41"/>
  <c r="Q247" i="41"/>
  <c r="P247" i="41"/>
  <c r="L247" i="41"/>
  <c r="M247" i="41" s="1"/>
  <c r="N247" i="41" s="1"/>
  <c r="K247" i="41"/>
  <c r="G247" i="41"/>
  <c r="E247" i="41"/>
  <c r="Q246" i="41"/>
  <c r="P246" i="41"/>
  <c r="L246" i="41"/>
  <c r="M246" i="41" s="1"/>
  <c r="N246" i="41" s="1"/>
  <c r="K246" i="41"/>
  <c r="G246" i="41"/>
  <c r="E246" i="41"/>
  <c r="Q245" i="41"/>
  <c r="P245" i="41"/>
  <c r="L245" i="41"/>
  <c r="M245" i="41"/>
  <c r="N245" i="41" s="1"/>
  <c r="K245" i="41"/>
  <c r="G245" i="41"/>
  <c r="E245" i="41"/>
  <c r="Q244" i="41"/>
  <c r="P244" i="41"/>
  <c r="L244" i="41"/>
  <c r="M244" i="41"/>
  <c r="N244" i="41" s="1"/>
  <c r="K244" i="41"/>
  <c r="G244" i="41"/>
  <c r="E244" i="41"/>
  <c r="Q243" i="41"/>
  <c r="P243" i="41"/>
  <c r="L243" i="41"/>
  <c r="M243" i="41" s="1"/>
  <c r="N243" i="41" s="1"/>
  <c r="K243" i="41"/>
  <c r="G243" i="41"/>
  <c r="E243" i="41"/>
  <c r="Q242" i="41"/>
  <c r="P242" i="41"/>
  <c r="L242" i="41"/>
  <c r="M242" i="41"/>
  <c r="N242" i="41"/>
  <c r="K242" i="41"/>
  <c r="G242" i="41"/>
  <c r="E242" i="41"/>
  <c r="Q241" i="41"/>
  <c r="P241" i="41"/>
  <c r="L241" i="41"/>
  <c r="M241" i="41"/>
  <c r="N241" i="41" s="1"/>
  <c r="K241" i="41"/>
  <c r="G241" i="41"/>
  <c r="E241" i="41"/>
  <c r="Q240" i="41"/>
  <c r="P240" i="41"/>
  <c r="L240" i="41"/>
  <c r="M240" i="41" s="1"/>
  <c r="N240" i="41" s="1"/>
  <c r="K240" i="41"/>
  <c r="G240" i="41"/>
  <c r="E240" i="41"/>
  <c r="Q239" i="41"/>
  <c r="P239" i="41"/>
  <c r="L239" i="41"/>
  <c r="M239" i="41" s="1"/>
  <c r="N239" i="41" s="1"/>
  <c r="K239" i="41"/>
  <c r="G239" i="41"/>
  <c r="E239" i="41"/>
  <c r="Q238" i="41"/>
  <c r="P238" i="41"/>
  <c r="L238" i="41"/>
  <c r="M238" i="41" s="1"/>
  <c r="N238" i="41" s="1"/>
  <c r="K238" i="41"/>
  <c r="G238" i="41"/>
  <c r="E238" i="41"/>
  <c r="Q237" i="41"/>
  <c r="P237" i="41"/>
  <c r="L237" i="41"/>
  <c r="M237" i="41" s="1"/>
  <c r="N237" i="41" s="1"/>
  <c r="K237" i="41"/>
  <c r="G237" i="41"/>
  <c r="E237" i="41"/>
  <c r="Q236" i="41"/>
  <c r="P236" i="41"/>
  <c r="L236" i="41"/>
  <c r="M236" i="41" s="1"/>
  <c r="N236" i="41" s="1"/>
  <c r="K236" i="41"/>
  <c r="G236" i="41"/>
  <c r="E236" i="41"/>
  <c r="Q235" i="41"/>
  <c r="P235" i="41"/>
  <c r="L235" i="41"/>
  <c r="M235" i="41" s="1"/>
  <c r="N235" i="41" s="1"/>
  <c r="K235" i="41"/>
  <c r="G235" i="41"/>
  <c r="E235" i="41"/>
  <c r="Q234" i="41"/>
  <c r="P234" i="41"/>
  <c r="L234" i="41"/>
  <c r="M234" i="41" s="1"/>
  <c r="N234" i="41" s="1"/>
  <c r="K234" i="41"/>
  <c r="G234" i="41"/>
  <c r="E234" i="41"/>
  <c r="Q233" i="41"/>
  <c r="P233" i="41"/>
  <c r="L233" i="41"/>
  <c r="M233" i="41" s="1"/>
  <c r="N233" i="41" s="1"/>
  <c r="K233" i="41"/>
  <c r="G233" i="41"/>
  <c r="E233" i="41"/>
  <c r="Q232" i="41"/>
  <c r="P232" i="41"/>
  <c r="L232" i="41"/>
  <c r="M232" i="41" s="1"/>
  <c r="N232" i="41" s="1"/>
  <c r="K232" i="41"/>
  <c r="G232" i="41"/>
  <c r="E232" i="41"/>
  <c r="Q231" i="41"/>
  <c r="P231" i="41"/>
  <c r="L231" i="41"/>
  <c r="M231" i="41" s="1"/>
  <c r="N231" i="41" s="1"/>
  <c r="K231" i="41"/>
  <c r="G231" i="41"/>
  <c r="E231" i="41"/>
  <c r="Q230" i="41"/>
  <c r="P230" i="41"/>
  <c r="L230" i="41"/>
  <c r="M230" i="41" s="1"/>
  <c r="N230" i="41" s="1"/>
  <c r="K230" i="41"/>
  <c r="G230" i="41"/>
  <c r="E230" i="41"/>
  <c r="Q229" i="41"/>
  <c r="P229" i="41"/>
  <c r="L229" i="41"/>
  <c r="M229" i="41" s="1"/>
  <c r="N229" i="41"/>
  <c r="K229" i="41"/>
  <c r="G229" i="41"/>
  <c r="E229" i="41"/>
  <c r="Q228" i="41"/>
  <c r="P228" i="41"/>
  <c r="L228" i="41"/>
  <c r="M228" i="41" s="1"/>
  <c r="N228" i="41"/>
  <c r="K228" i="41"/>
  <c r="G228" i="41"/>
  <c r="E228" i="41"/>
  <c r="Q227" i="41"/>
  <c r="P227" i="41"/>
  <c r="L227" i="41"/>
  <c r="M227" i="41" s="1"/>
  <c r="N227" i="41" s="1"/>
  <c r="K227" i="41"/>
  <c r="G227" i="41"/>
  <c r="E227" i="41"/>
  <c r="Q226" i="41"/>
  <c r="P226" i="41"/>
  <c r="L226" i="41"/>
  <c r="M226" i="41" s="1"/>
  <c r="N226" i="41" s="1"/>
  <c r="K226" i="41"/>
  <c r="G226" i="41"/>
  <c r="E226" i="41"/>
  <c r="Q225" i="41"/>
  <c r="P225" i="41"/>
  <c r="L225" i="41"/>
  <c r="M225" i="41" s="1"/>
  <c r="N225" i="41" s="1"/>
  <c r="K225" i="41"/>
  <c r="G225" i="41"/>
  <c r="E225" i="41"/>
  <c r="Q224" i="41"/>
  <c r="P224" i="41"/>
  <c r="L224" i="41"/>
  <c r="M224" i="41" s="1"/>
  <c r="N224" i="41" s="1"/>
  <c r="K224" i="41"/>
  <c r="G224" i="41"/>
  <c r="E224" i="41"/>
  <c r="Q223" i="41"/>
  <c r="P223" i="41"/>
  <c r="L223" i="41"/>
  <c r="M223" i="41" s="1"/>
  <c r="N223" i="41" s="1"/>
  <c r="K223" i="41"/>
  <c r="G223" i="41"/>
  <c r="E223" i="41"/>
  <c r="Q222" i="41"/>
  <c r="P222" i="41"/>
  <c r="L222" i="41"/>
  <c r="M222" i="41" s="1"/>
  <c r="N222" i="41" s="1"/>
  <c r="K222" i="41"/>
  <c r="G222" i="41"/>
  <c r="E222" i="41"/>
  <c r="Q221" i="41"/>
  <c r="P221" i="41"/>
  <c r="L221" i="41"/>
  <c r="M221" i="41"/>
  <c r="N221" i="41" s="1"/>
  <c r="K221" i="41"/>
  <c r="G221" i="41"/>
  <c r="E221" i="41"/>
  <c r="Q220" i="41"/>
  <c r="P220" i="41"/>
  <c r="L220" i="41"/>
  <c r="M220" i="41"/>
  <c r="N220" i="41" s="1"/>
  <c r="K220" i="41"/>
  <c r="G220" i="41"/>
  <c r="E220" i="41"/>
  <c r="Q219" i="41"/>
  <c r="P219" i="41"/>
  <c r="L219" i="41"/>
  <c r="M219" i="41" s="1"/>
  <c r="N219" i="41"/>
  <c r="K219" i="41"/>
  <c r="G219" i="41"/>
  <c r="E219" i="41"/>
  <c r="Q218" i="41"/>
  <c r="P218" i="41"/>
  <c r="L218" i="41"/>
  <c r="M218" i="41" s="1"/>
  <c r="N218" i="41" s="1"/>
  <c r="K218" i="41"/>
  <c r="G218" i="41"/>
  <c r="E218" i="41"/>
  <c r="Q217" i="41"/>
  <c r="P217" i="41"/>
  <c r="L217" i="41"/>
  <c r="M217" i="41"/>
  <c r="N217" i="41" s="1"/>
  <c r="K217" i="41"/>
  <c r="G217" i="41"/>
  <c r="E217" i="41"/>
  <c r="Q216" i="41"/>
  <c r="P216" i="41"/>
  <c r="L216" i="41"/>
  <c r="M216" i="41" s="1"/>
  <c r="N216" i="41" s="1"/>
  <c r="K216" i="41"/>
  <c r="G216" i="41"/>
  <c r="E216" i="41"/>
  <c r="Q215" i="41"/>
  <c r="P215" i="41"/>
  <c r="L215" i="41"/>
  <c r="M215" i="41" s="1"/>
  <c r="N215" i="41" s="1"/>
  <c r="K215" i="41"/>
  <c r="G215" i="41"/>
  <c r="E215" i="41"/>
  <c r="Q214" i="41"/>
  <c r="P214" i="41"/>
  <c r="L214" i="41"/>
  <c r="M214" i="41" s="1"/>
  <c r="N214" i="41" s="1"/>
  <c r="K214" i="41"/>
  <c r="G214" i="41"/>
  <c r="E214" i="41"/>
  <c r="Q213" i="41"/>
  <c r="P213" i="41"/>
  <c r="L213" i="41"/>
  <c r="M213" i="41" s="1"/>
  <c r="N213" i="41" s="1"/>
  <c r="K213" i="41"/>
  <c r="G213" i="41"/>
  <c r="E213" i="41"/>
  <c r="Q212" i="41"/>
  <c r="P212" i="41"/>
  <c r="L212" i="41"/>
  <c r="M212" i="41" s="1"/>
  <c r="N212" i="41" s="1"/>
  <c r="K212" i="41"/>
  <c r="G212" i="41"/>
  <c r="E212" i="41"/>
  <c r="Q211" i="41"/>
  <c r="P211" i="41"/>
  <c r="L211" i="41"/>
  <c r="M211" i="41" s="1"/>
  <c r="N211" i="41" s="1"/>
  <c r="K211" i="41"/>
  <c r="G211" i="41"/>
  <c r="E211" i="41"/>
  <c r="Q210" i="41"/>
  <c r="P210" i="41"/>
  <c r="L210" i="41"/>
  <c r="M210" i="41" s="1"/>
  <c r="N210" i="41" s="1"/>
  <c r="K210" i="41"/>
  <c r="G210" i="41"/>
  <c r="E210" i="41"/>
  <c r="Q209" i="41"/>
  <c r="P209" i="41"/>
  <c r="L209" i="41"/>
  <c r="M209" i="41"/>
  <c r="N209" i="41" s="1"/>
  <c r="K209" i="41"/>
  <c r="G209" i="41"/>
  <c r="E209" i="41"/>
  <c r="Q208" i="41"/>
  <c r="P208" i="41"/>
  <c r="L208" i="41"/>
  <c r="M208" i="41" s="1"/>
  <c r="N208" i="41" s="1"/>
  <c r="K208" i="41"/>
  <c r="G208" i="41"/>
  <c r="E208" i="41"/>
  <c r="Q207" i="41"/>
  <c r="P207" i="41"/>
  <c r="L207" i="41"/>
  <c r="M207" i="41" s="1"/>
  <c r="N207" i="41" s="1"/>
  <c r="K207" i="41"/>
  <c r="G207" i="41"/>
  <c r="E207" i="41"/>
  <c r="Q206" i="41"/>
  <c r="P206" i="41"/>
  <c r="L206" i="41"/>
  <c r="M206" i="41" s="1"/>
  <c r="N206" i="41" s="1"/>
  <c r="K206" i="41"/>
  <c r="G206" i="41"/>
  <c r="E206" i="41"/>
  <c r="Q205" i="41"/>
  <c r="P205" i="41"/>
  <c r="L205" i="41"/>
  <c r="M205" i="41" s="1"/>
  <c r="N205" i="41" s="1"/>
  <c r="K205" i="41"/>
  <c r="G205" i="41"/>
  <c r="E205" i="41"/>
  <c r="Q204" i="41"/>
  <c r="P204" i="41"/>
  <c r="L204" i="41"/>
  <c r="M204" i="41" s="1"/>
  <c r="N204" i="41" s="1"/>
  <c r="K204" i="41"/>
  <c r="G204" i="41"/>
  <c r="E204" i="41"/>
  <c r="Q203" i="41"/>
  <c r="P203" i="41"/>
  <c r="L203" i="41"/>
  <c r="M203" i="41" s="1"/>
  <c r="K203" i="41"/>
  <c r="G203" i="41"/>
  <c r="E203" i="41"/>
  <c r="Q202" i="41"/>
  <c r="P202" i="41"/>
  <c r="L202" i="41"/>
  <c r="M202" i="41"/>
  <c r="N202" i="41" s="1"/>
  <c r="G202" i="41"/>
  <c r="E202" i="41"/>
  <c r="Q201" i="41"/>
  <c r="P201" i="41"/>
  <c r="L201" i="41"/>
  <c r="M201" i="41" s="1"/>
  <c r="N201" i="41" s="1"/>
  <c r="G201" i="41"/>
  <c r="E201" i="41"/>
  <c r="Q200" i="41"/>
  <c r="P200" i="41"/>
  <c r="L200" i="41"/>
  <c r="M200" i="41" s="1"/>
  <c r="N200" i="41" s="1"/>
  <c r="G200" i="41"/>
  <c r="E200" i="41"/>
  <c r="Q199" i="41"/>
  <c r="P199" i="41"/>
  <c r="L199" i="41"/>
  <c r="M199" i="41"/>
  <c r="N199" i="41" s="1"/>
  <c r="G199" i="41"/>
  <c r="E199" i="41"/>
  <c r="Q198" i="41"/>
  <c r="P198" i="41"/>
  <c r="L198" i="41"/>
  <c r="M198" i="41"/>
  <c r="N198" i="41"/>
  <c r="Q197" i="41"/>
  <c r="P197" i="41"/>
  <c r="L197" i="41"/>
  <c r="M197" i="41" s="1"/>
  <c r="N197" i="41" s="1"/>
  <c r="K197" i="41"/>
  <c r="G197" i="41"/>
  <c r="E197" i="41"/>
  <c r="Q196" i="41"/>
  <c r="P196" i="41"/>
  <c r="L196" i="41"/>
  <c r="M196" i="41"/>
  <c r="N196" i="41" s="1"/>
  <c r="K196" i="41"/>
  <c r="G196" i="41"/>
  <c r="E196" i="41"/>
  <c r="Q195" i="41"/>
  <c r="P195" i="41"/>
  <c r="L195" i="41"/>
  <c r="M195" i="41"/>
  <c r="N195" i="41" s="1"/>
  <c r="K195" i="41"/>
  <c r="G195" i="41"/>
  <c r="E195" i="41"/>
  <c r="Q194" i="41"/>
  <c r="P194" i="41"/>
  <c r="L194" i="41"/>
  <c r="M194" i="41"/>
  <c r="N194" i="41" s="1"/>
  <c r="K194" i="41"/>
  <c r="G194" i="41"/>
  <c r="E194" i="41"/>
  <c r="Q193" i="41"/>
  <c r="P193" i="41"/>
  <c r="K193" i="41"/>
  <c r="G193" i="41"/>
  <c r="E193" i="41"/>
  <c r="Q192" i="41"/>
  <c r="P192" i="41"/>
  <c r="L192" i="41"/>
  <c r="M192" i="41" s="1"/>
  <c r="N192" i="41" s="1"/>
  <c r="K192" i="41"/>
  <c r="G192" i="41"/>
  <c r="E192" i="41"/>
  <c r="Q191" i="41"/>
  <c r="P191" i="41"/>
  <c r="L191" i="41"/>
  <c r="M191" i="41" s="1"/>
  <c r="N191" i="41" s="1"/>
  <c r="K191" i="41"/>
  <c r="G191" i="41"/>
  <c r="E191" i="41"/>
  <c r="Q190" i="41"/>
  <c r="P190" i="41"/>
  <c r="L190" i="41"/>
  <c r="M190" i="41" s="1"/>
  <c r="N190" i="41" s="1"/>
  <c r="K190" i="41"/>
  <c r="G190" i="41"/>
  <c r="E190" i="41"/>
  <c r="Q189" i="41"/>
  <c r="P189" i="41"/>
  <c r="L189" i="41"/>
  <c r="M189" i="41" s="1"/>
  <c r="N189" i="41" s="1"/>
  <c r="K189" i="41"/>
  <c r="G189" i="41"/>
  <c r="E189" i="41"/>
  <c r="Q188" i="41"/>
  <c r="P188" i="41"/>
  <c r="L188" i="41"/>
  <c r="M188" i="41" s="1"/>
  <c r="N188" i="41" s="1"/>
  <c r="K188" i="41"/>
  <c r="G188" i="41"/>
  <c r="E188" i="41"/>
  <c r="Q187" i="41"/>
  <c r="P187" i="41"/>
  <c r="L187" i="41"/>
  <c r="M187" i="41" s="1"/>
  <c r="N187" i="41" s="1"/>
  <c r="K187" i="41"/>
  <c r="G187" i="41"/>
  <c r="E187" i="41"/>
  <c r="Q186" i="41"/>
  <c r="P186" i="41"/>
  <c r="L186" i="41"/>
  <c r="M186" i="41" s="1"/>
  <c r="N186" i="41" s="1"/>
  <c r="K186" i="41"/>
  <c r="G186" i="41"/>
  <c r="E186" i="41"/>
  <c r="Q185" i="41"/>
  <c r="P185" i="41"/>
  <c r="L185" i="41"/>
  <c r="M185" i="41" s="1"/>
  <c r="N185" i="41" s="1"/>
  <c r="K185" i="41"/>
  <c r="G185" i="41"/>
  <c r="E185" i="41"/>
  <c r="Q184" i="41"/>
  <c r="P184" i="41"/>
  <c r="L184" i="41"/>
  <c r="M184" i="41" s="1"/>
  <c r="N184" i="41" s="1"/>
  <c r="K184" i="41"/>
  <c r="G184" i="41"/>
  <c r="E184" i="41"/>
  <c r="Q183" i="41"/>
  <c r="P183" i="41"/>
  <c r="L183" i="41"/>
  <c r="M183" i="41" s="1"/>
  <c r="N183" i="41" s="1"/>
  <c r="K183" i="41"/>
  <c r="G183" i="41"/>
  <c r="E183" i="41"/>
  <c r="Q182" i="41"/>
  <c r="P182" i="41"/>
  <c r="L182" i="41"/>
  <c r="M182" i="41" s="1"/>
  <c r="N182" i="41" s="1"/>
  <c r="K182" i="41"/>
  <c r="G182" i="41"/>
  <c r="E182" i="41"/>
  <c r="Q181" i="41"/>
  <c r="P181" i="41"/>
  <c r="L181" i="41"/>
  <c r="M181" i="41" s="1"/>
  <c r="N181" i="41" s="1"/>
  <c r="K181" i="41"/>
  <c r="G181" i="41"/>
  <c r="E181" i="41"/>
  <c r="Q180" i="41"/>
  <c r="P180" i="41"/>
  <c r="L180" i="41"/>
  <c r="M180" i="41" s="1"/>
  <c r="N180" i="41" s="1"/>
  <c r="K180" i="41"/>
  <c r="G180" i="41"/>
  <c r="E180" i="41"/>
  <c r="Q179" i="41"/>
  <c r="P179" i="41"/>
  <c r="L179" i="41"/>
  <c r="M179" i="41" s="1"/>
  <c r="N179" i="41" s="1"/>
  <c r="K179" i="41"/>
  <c r="G179" i="41"/>
  <c r="E179" i="41"/>
  <c r="Q178" i="41"/>
  <c r="P178" i="41"/>
  <c r="L178" i="41"/>
  <c r="M178" i="41" s="1"/>
  <c r="N178" i="41" s="1"/>
  <c r="K178" i="41"/>
  <c r="G178" i="41"/>
  <c r="E178" i="41"/>
  <c r="Q177" i="41"/>
  <c r="P177" i="41"/>
  <c r="L177" i="41"/>
  <c r="M177" i="41" s="1"/>
  <c r="N177" i="41" s="1"/>
  <c r="K177" i="41"/>
  <c r="G177" i="41"/>
  <c r="E177" i="41"/>
  <c r="Q176" i="41"/>
  <c r="P176" i="41"/>
  <c r="L176" i="41"/>
  <c r="M176" i="41" s="1"/>
  <c r="N176" i="41" s="1"/>
  <c r="K176" i="41"/>
  <c r="G176" i="41"/>
  <c r="E176" i="41"/>
  <c r="Q175" i="41"/>
  <c r="P175" i="41"/>
  <c r="L175" i="41"/>
  <c r="M175" i="41" s="1"/>
  <c r="N175" i="41" s="1"/>
  <c r="K175" i="41"/>
  <c r="G175" i="41"/>
  <c r="E175" i="41"/>
  <c r="Q174" i="41"/>
  <c r="P174" i="41"/>
  <c r="L174" i="41"/>
  <c r="M174" i="41" s="1"/>
  <c r="N174" i="41" s="1"/>
  <c r="K174" i="41"/>
  <c r="G174" i="41"/>
  <c r="E174" i="41"/>
  <c r="Q173" i="41"/>
  <c r="P173" i="41"/>
  <c r="L173" i="41"/>
  <c r="M173" i="41" s="1"/>
  <c r="N173" i="41" s="1"/>
  <c r="K173" i="41"/>
  <c r="G173" i="41"/>
  <c r="E173" i="41"/>
  <c r="Q172" i="41"/>
  <c r="P172" i="41"/>
  <c r="L172" i="41"/>
  <c r="M172" i="41" s="1"/>
  <c r="N172" i="41" s="1"/>
  <c r="K172" i="41"/>
  <c r="G172" i="41"/>
  <c r="E172" i="41"/>
  <c r="Q171" i="41"/>
  <c r="P171" i="41"/>
  <c r="L171" i="41"/>
  <c r="M171" i="41" s="1"/>
  <c r="N171" i="41" s="1"/>
  <c r="K171" i="41"/>
  <c r="G171" i="41"/>
  <c r="E171" i="41"/>
  <c r="Q170" i="41"/>
  <c r="P170" i="41"/>
  <c r="L170" i="41"/>
  <c r="M170" i="41" s="1"/>
  <c r="N170" i="41" s="1"/>
  <c r="K170" i="41"/>
  <c r="G170" i="41"/>
  <c r="E170" i="41"/>
  <c r="Q169" i="41"/>
  <c r="P169" i="41"/>
  <c r="L169" i="41"/>
  <c r="M169" i="41" s="1"/>
  <c r="N169" i="41" s="1"/>
  <c r="K169" i="41"/>
  <c r="G169" i="41"/>
  <c r="E169" i="41"/>
  <c r="Q168" i="41"/>
  <c r="P168" i="41"/>
  <c r="L168" i="41"/>
  <c r="M168" i="41" s="1"/>
  <c r="N168" i="41" s="1"/>
  <c r="K168" i="41"/>
  <c r="G168" i="41"/>
  <c r="E168" i="41"/>
  <c r="Q167" i="41"/>
  <c r="P167" i="41"/>
  <c r="L167" i="41"/>
  <c r="M167" i="41" s="1"/>
  <c r="N167" i="41" s="1"/>
  <c r="K167" i="41"/>
  <c r="G167" i="41"/>
  <c r="E167" i="41"/>
  <c r="Q166" i="41"/>
  <c r="P166" i="41"/>
  <c r="L166" i="41"/>
  <c r="M166" i="41" s="1"/>
  <c r="N166" i="41" s="1"/>
  <c r="K166" i="41"/>
  <c r="G166" i="41"/>
  <c r="E166" i="41"/>
  <c r="Q165" i="41"/>
  <c r="P165" i="41"/>
  <c r="L165" i="41"/>
  <c r="M165" i="41" s="1"/>
  <c r="N165" i="41" s="1"/>
  <c r="K165" i="41"/>
  <c r="G165" i="41"/>
  <c r="E165" i="41"/>
  <c r="Q164" i="41"/>
  <c r="P164" i="41"/>
  <c r="L164" i="41"/>
  <c r="M164" i="41" s="1"/>
  <c r="N164" i="41" s="1"/>
  <c r="K164" i="41"/>
  <c r="G164" i="41"/>
  <c r="E164" i="41"/>
  <c r="Q163" i="41"/>
  <c r="P163" i="41"/>
  <c r="L163" i="41"/>
  <c r="M163" i="41" s="1"/>
  <c r="N163" i="41" s="1"/>
  <c r="K163" i="41"/>
  <c r="G163" i="41"/>
  <c r="E163" i="41"/>
  <c r="Q162" i="41"/>
  <c r="P162" i="41"/>
  <c r="L162" i="41"/>
  <c r="M162" i="41" s="1"/>
  <c r="N162" i="41" s="1"/>
  <c r="K162" i="41"/>
  <c r="G162" i="41"/>
  <c r="E162" i="41"/>
  <c r="Q161" i="41"/>
  <c r="P161" i="41"/>
  <c r="L161" i="41"/>
  <c r="M161" i="41" s="1"/>
  <c r="N161" i="41" s="1"/>
  <c r="K161" i="41"/>
  <c r="G161" i="41"/>
  <c r="E161" i="41"/>
  <c r="Q160" i="41"/>
  <c r="P160" i="41"/>
  <c r="L160" i="41"/>
  <c r="M160" i="41" s="1"/>
  <c r="N160" i="41" s="1"/>
  <c r="K160" i="41"/>
  <c r="G160" i="41"/>
  <c r="E160" i="41"/>
  <c r="Q159" i="41"/>
  <c r="P159" i="41"/>
  <c r="L159" i="41"/>
  <c r="M159" i="41" s="1"/>
  <c r="N159" i="41" s="1"/>
  <c r="K159" i="41"/>
  <c r="G159" i="41"/>
  <c r="E159" i="41"/>
  <c r="Q158" i="41"/>
  <c r="P158" i="41"/>
  <c r="L158" i="41"/>
  <c r="M158" i="41" s="1"/>
  <c r="N158" i="41" s="1"/>
  <c r="Q157" i="41"/>
  <c r="P157" i="41"/>
  <c r="L157" i="41"/>
  <c r="M157" i="41" s="1"/>
  <c r="N157" i="41" s="1"/>
  <c r="Q156" i="41"/>
  <c r="P156" i="41"/>
  <c r="L156" i="41"/>
  <c r="M156" i="41" s="1"/>
  <c r="N156" i="41"/>
  <c r="K156" i="41"/>
  <c r="G156" i="41"/>
  <c r="E156" i="41"/>
  <c r="Q155" i="41"/>
  <c r="P155" i="41"/>
  <c r="L155" i="41"/>
  <c r="M155" i="41"/>
  <c r="N155" i="41" s="1"/>
  <c r="K155" i="41"/>
  <c r="G155" i="41"/>
  <c r="E155" i="41"/>
  <c r="Q154" i="41"/>
  <c r="P154" i="41"/>
  <c r="L154" i="41"/>
  <c r="M154" i="41" s="1"/>
  <c r="N154" i="41"/>
  <c r="K154" i="41"/>
  <c r="G154" i="41"/>
  <c r="E154" i="41"/>
  <c r="Q153" i="41"/>
  <c r="P153" i="41"/>
  <c r="L153" i="41"/>
  <c r="M153" i="41"/>
  <c r="N153" i="41" s="1"/>
  <c r="K153" i="41"/>
  <c r="G153" i="41"/>
  <c r="E153" i="41"/>
  <c r="Q152" i="41"/>
  <c r="P152" i="41"/>
  <c r="L152" i="41"/>
  <c r="M152" i="41" s="1"/>
  <c r="N152" i="41" s="1"/>
  <c r="Q151" i="41"/>
  <c r="P151" i="41"/>
  <c r="L151" i="41"/>
  <c r="M151" i="41" s="1"/>
  <c r="N151" i="41" s="1"/>
  <c r="K151" i="41"/>
  <c r="G151" i="41"/>
  <c r="E151" i="41"/>
  <c r="Q150" i="41"/>
  <c r="P150" i="41"/>
  <c r="L150" i="41"/>
  <c r="M150" i="41"/>
  <c r="N150" i="41" s="1"/>
  <c r="K150" i="41"/>
  <c r="G150" i="41"/>
  <c r="E150" i="41"/>
  <c r="Q149" i="41"/>
  <c r="P149" i="41"/>
  <c r="L149" i="41"/>
  <c r="M149" i="41" s="1"/>
  <c r="N149" i="41" s="1"/>
  <c r="Q148" i="41"/>
  <c r="P148" i="41"/>
  <c r="L148" i="41"/>
  <c r="M148" i="41" s="1"/>
  <c r="N148" i="41" s="1"/>
  <c r="K148" i="41"/>
  <c r="G148" i="41"/>
  <c r="E148" i="41"/>
  <c r="Q147" i="41"/>
  <c r="P147" i="41"/>
  <c r="L147" i="41"/>
  <c r="M147" i="41" s="1"/>
  <c r="N147" i="41" s="1"/>
  <c r="K147" i="41"/>
  <c r="G147" i="41"/>
  <c r="E147" i="41"/>
  <c r="Q146" i="41"/>
  <c r="P146" i="41"/>
  <c r="L146" i="41"/>
  <c r="M146" i="41" s="1"/>
  <c r="N146" i="41" s="1"/>
  <c r="K146" i="41"/>
  <c r="G146" i="41"/>
  <c r="E146" i="41"/>
  <c r="Q145" i="41"/>
  <c r="P145" i="41"/>
  <c r="L145" i="41"/>
  <c r="M145" i="41" s="1"/>
  <c r="N145" i="41" s="1"/>
  <c r="Q144" i="41"/>
  <c r="P144" i="41"/>
  <c r="L144" i="41"/>
  <c r="M144" i="41" s="1"/>
  <c r="N144" i="41" s="1"/>
  <c r="K144" i="41"/>
  <c r="G144" i="41"/>
  <c r="E144" i="41"/>
  <c r="Q143" i="41"/>
  <c r="P143" i="41"/>
  <c r="L143" i="41"/>
  <c r="M143" i="41" s="1"/>
  <c r="N143" i="41" s="1"/>
  <c r="K143" i="41"/>
  <c r="G143" i="41"/>
  <c r="E143" i="41"/>
  <c r="Q142" i="41"/>
  <c r="P142" i="41"/>
  <c r="L142" i="41"/>
  <c r="M142" i="41" s="1"/>
  <c r="N142" i="41" s="1"/>
  <c r="K142" i="41"/>
  <c r="G142" i="41"/>
  <c r="E142" i="41"/>
  <c r="Q141" i="41"/>
  <c r="P141" i="41"/>
  <c r="L141" i="41"/>
  <c r="M141" i="41" s="1"/>
  <c r="N141" i="41" s="1"/>
  <c r="K141" i="41"/>
  <c r="G141" i="41"/>
  <c r="E141" i="41"/>
  <c r="Q140" i="41"/>
  <c r="P140" i="41"/>
  <c r="L140" i="41"/>
  <c r="M140" i="41" s="1"/>
  <c r="N140" i="41" s="1"/>
  <c r="K140" i="41"/>
  <c r="G140" i="41"/>
  <c r="E140" i="41"/>
  <c r="Q139" i="41"/>
  <c r="P139" i="41"/>
  <c r="L139" i="41"/>
  <c r="M139" i="41" s="1"/>
  <c r="N139" i="41" s="1"/>
  <c r="K139" i="41"/>
  <c r="G139" i="41"/>
  <c r="E139" i="41"/>
  <c r="Q138" i="41"/>
  <c r="P138" i="41"/>
  <c r="L138" i="41"/>
  <c r="M138" i="41" s="1"/>
  <c r="N138" i="41" s="1"/>
  <c r="Q137" i="41"/>
  <c r="P137" i="41"/>
  <c r="L137" i="41"/>
  <c r="M137" i="41"/>
  <c r="N137" i="41"/>
  <c r="Q136" i="41"/>
  <c r="P136" i="41"/>
  <c r="L136" i="41"/>
  <c r="M136" i="41"/>
  <c r="N136" i="41" s="1"/>
  <c r="K136" i="41"/>
  <c r="G136" i="41"/>
  <c r="E136" i="41"/>
  <c r="Q135" i="41"/>
  <c r="P135" i="41"/>
  <c r="L135" i="41"/>
  <c r="M135" i="41" s="1"/>
  <c r="N135" i="41" s="1"/>
  <c r="K135" i="41"/>
  <c r="G135" i="41"/>
  <c r="E135" i="41"/>
  <c r="Q134" i="41"/>
  <c r="P134" i="41"/>
  <c r="L134" i="41"/>
  <c r="M134" i="41" s="1"/>
  <c r="N134" i="41" s="1"/>
  <c r="Q133" i="41"/>
  <c r="P133" i="41"/>
  <c r="L133" i="41"/>
  <c r="M133" i="41" s="1"/>
  <c r="N133" i="41" s="1"/>
  <c r="K133" i="41"/>
  <c r="G133" i="41"/>
  <c r="E133" i="41"/>
  <c r="Q132" i="41"/>
  <c r="P132" i="41"/>
  <c r="L132" i="41"/>
  <c r="M132" i="41" s="1"/>
  <c r="N132" i="41" s="1"/>
  <c r="K132" i="41"/>
  <c r="G132" i="41"/>
  <c r="E132" i="41"/>
  <c r="Q131" i="41"/>
  <c r="P131" i="41"/>
  <c r="L131" i="41"/>
  <c r="M131" i="41" s="1"/>
  <c r="N131" i="41" s="1"/>
  <c r="K131" i="41"/>
  <c r="G131" i="41"/>
  <c r="E131" i="41"/>
  <c r="Q130" i="41"/>
  <c r="P130" i="41"/>
  <c r="L130" i="41"/>
  <c r="M130" i="41" s="1"/>
  <c r="N130" i="41" s="1"/>
  <c r="K130" i="41"/>
  <c r="G130" i="41"/>
  <c r="E130" i="41"/>
  <c r="Q129" i="41"/>
  <c r="P129" i="41"/>
  <c r="L129" i="41"/>
  <c r="K129" i="41"/>
  <c r="G129" i="41"/>
  <c r="E129" i="41"/>
  <c r="Q128" i="41"/>
  <c r="P128" i="41"/>
  <c r="L128" i="41"/>
  <c r="M128" i="41"/>
  <c r="N128" i="41" s="1"/>
  <c r="K128" i="41"/>
  <c r="G128" i="41"/>
  <c r="E128" i="41"/>
  <c r="Q127" i="41"/>
  <c r="P127" i="41"/>
  <c r="L127" i="41"/>
  <c r="M127" i="41" s="1"/>
  <c r="N127" i="41" s="1"/>
  <c r="K127" i="41"/>
  <c r="G127" i="41"/>
  <c r="E127" i="41"/>
  <c r="Q126" i="41"/>
  <c r="P126" i="41"/>
  <c r="L126" i="41"/>
  <c r="M126" i="41" s="1"/>
  <c r="N126" i="41"/>
  <c r="K126" i="41"/>
  <c r="G126" i="41"/>
  <c r="E126" i="41"/>
  <c r="Q125" i="41"/>
  <c r="P125" i="41"/>
  <c r="L125" i="41"/>
  <c r="M125" i="41" s="1"/>
  <c r="K125" i="41"/>
  <c r="G125" i="41"/>
  <c r="E125" i="41"/>
  <c r="Q124" i="41"/>
  <c r="P124" i="41"/>
  <c r="L124" i="41"/>
  <c r="M124" i="41" s="1"/>
  <c r="N124" i="41" s="1"/>
  <c r="K124" i="41"/>
  <c r="G124" i="41"/>
  <c r="E124" i="41"/>
  <c r="Q123" i="41"/>
  <c r="P123" i="41"/>
  <c r="L123" i="41"/>
  <c r="M123" i="41" s="1"/>
  <c r="N123" i="41" s="1"/>
  <c r="K123" i="41"/>
  <c r="G123" i="41"/>
  <c r="E123" i="41"/>
  <c r="Q122" i="41"/>
  <c r="P122" i="41"/>
  <c r="L122" i="41"/>
  <c r="M122" i="41" s="1"/>
  <c r="N122" i="41" s="1"/>
  <c r="K122" i="41"/>
  <c r="G122" i="41"/>
  <c r="E122" i="41"/>
  <c r="Q121" i="41"/>
  <c r="P121" i="41"/>
  <c r="L121" i="41"/>
  <c r="M121" i="41" s="1"/>
  <c r="N121" i="41" s="1"/>
  <c r="K121" i="41"/>
  <c r="G121" i="41"/>
  <c r="E121" i="41"/>
  <c r="Q120" i="41"/>
  <c r="P120" i="41"/>
  <c r="L120" i="41"/>
  <c r="M120" i="41" s="1"/>
  <c r="N120" i="41" s="1"/>
  <c r="K120" i="41"/>
  <c r="G120" i="41"/>
  <c r="E120" i="41"/>
  <c r="Q119" i="41"/>
  <c r="P119" i="41"/>
  <c r="L119" i="41"/>
  <c r="M119" i="41" s="1"/>
  <c r="N119" i="41" s="1"/>
  <c r="K119" i="41"/>
  <c r="G119" i="41"/>
  <c r="E119" i="41"/>
  <c r="Q118" i="41"/>
  <c r="P118" i="41"/>
  <c r="L118" i="41"/>
  <c r="M118" i="41" s="1"/>
  <c r="N118" i="41" s="1"/>
  <c r="K118" i="41"/>
  <c r="G118" i="41"/>
  <c r="E118" i="41"/>
  <c r="Q117" i="41"/>
  <c r="P117" i="41"/>
  <c r="L117" i="41"/>
  <c r="M117" i="41" s="1"/>
  <c r="N117" i="41" s="1"/>
  <c r="K117" i="41"/>
  <c r="G117" i="41"/>
  <c r="E117" i="41"/>
  <c r="Q116" i="41"/>
  <c r="P116" i="41"/>
  <c r="L116" i="41"/>
  <c r="M116" i="41" s="1"/>
  <c r="N116" i="41" s="1"/>
  <c r="K116" i="41"/>
  <c r="G116" i="41"/>
  <c r="E116" i="41"/>
  <c r="Q115" i="41"/>
  <c r="P115" i="41"/>
  <c r="L115" i="41"/>
  <c r="M115" i="41" s="1"/>
  <c r="N115" i="41" s="1"/>
  <c r="G115" i="41"/>
  <c r="E115" i="41"/>
  <c r="Q114" i="41"/>
  <c r="P114" i="41"/>
  <c r="K114" i="41"/>
  <c r="Q113" i="41"/>
  <c r="P113" i="41"/>
  <c r="L113" i="41"/>
  <c r="M113" i="41" s="1"/>
  <c r="N113" i="41" s="1"/>
  <c r="K113" i="41"/>
  <c r="G113" i="41"/>
  <c r="E113" i="41"/>
  <c r="Q112" i="41"/>
  <c r="P112" i="41"/>
  <c r="L112" i="41"/>
  <c r="M112" i="41" s="1"/>
  <c r="N112" i="41" s="1"/>
  <c r="K112" i="41"/>
  <c r="G112" i="41"/>
  <c r="E112" i="41"/>
  <c r="Q111" i="41"/>
  <c r="P111" i="41"/>
  <c r="L111" i="41"/>
  <c r="M111" i="41" s="1"/>
  <c r="N111" i="41" s="1"/>
  <c r="K111" i="41"/>
  <c r="G111" i="41"/>
  <c r="E111" i="41"/>
  <c r="Q110" i="41"/>
  <c r="P110" i="41"/>
  <c r="L110" i="41"/>
  <c r="M110" i="41" s="1"/>
  <c r="N110" i="41" s="1"/>
  <c r="K110" i="41"/>
  <c r="G110" i="41"/>
  <c r="E110" i="41"/>
  <c r="Q109" i="41"/>
  <c r="P109" i="41"/>
  <c r="L109" i="41"/>
  <c r="M109" i="41" s="1"/>
  <c r="N109" i="41" s="1"/>
  <c r="K109" i="41"/>
  <c r="G109" i="41"/>
  <c r="E109" i="41"/>
  <c r="Q108" i="41"/>
  <c r="P108" i="41"/>
  <c r="L108" i="41"/>
  <c r="M108" i="41" s="1"/>
  <c r="N108" i="41" s="1"/>
  <c r="K108" i="41"/>
  <c r="G108" i="41"/>
  <c r="E108" i="41"/>
  <c r="Q107" i="41"/>
  <c r="P107" i="41"/>
  <c r="L107" i="41"/>
  <c r="M107" i="41" s="1"/>
  <c r="N107" i="41" s="1"/>
  <c r="K107" i="41"/>
  <c r="G107" i="41"/>
  <c r="E107" i="41"/>
  <c r="Q106" i="41"/>
  <c r="P106" i="41"/>
  <c r="L106" i="41"/>
  <c r="M106" i="41" s="1"/>
  <c r="N106" i="41" s="1"/>
  <c r="K106" i="41"/>
  <c r="G106" i="41"/>
  <c r="E106" i="41"/>
  <c r="Q105" i="41"/>
  <c r="P105" i="41"/>
  <c r="L105" i="41"/>
  <c r="M105" i="41" s="1"/>
  <c r="N105" i="41" s="1"/>
  <c r="K105" i="41"/>
  <c r="G105" i="41"/>
  <c r="E105" i="41"/>
  <c r="Q104" i="41"/>
  <c r="P104" i="41"/>
  <c r="L104" i="41"/>
  <c r="M104" i="41" s="1"/>
  <c r="N104" i="41" s="1"/>
  <c r="K104" i="41"/>
  <c r="G104" i="41"/>
  <c r="E104" i="41"/>
  <c r="Q103" i="41"/>
  <c r="P103" i="41"/>
  <c r="G103" i="41"/>
  <c r="Q102" i="41"/>
  <c r="P102" i="41"/>
  <c r="L102" i="41"/>
  <c r="M102" i="41"/>
  <c r="N102" i="41" s="1"/>
  <c r="K102" i="41"/>
  <c r="G102" i="41"/>
  <c r="E102" i="41"/>
  <c r="Q101" i="41"/>
  <c r="P101" i="41"/>
  <c r="L101" i="41"/>
  <c r="M101" i="41"/>
  <c r="N101" i="41" s="1"/>
  <c r="K101" i="41"/>
  <c r="G101" i="41"/>
  <c r="E101" i="41"/>
  <c r="Q100" i="41"/>
  <c r="P100" i="41"/>
  <c r="L100" i="41"/>
  <c r="M100" i="41" s="1"/>
  <c r="N100" i="41" s="1"/>
  <c r="K100" i="41"/>
  <c r="G100" i="41"/>
  <c r="E100" i="41"/>
  <c r="Q99" i="41"/>
  <c r="P99" i="41"/>
  <c r="L99" i="41"/>
  <c r="M99" i="41" s="1"/>
  <c r="N99" i="41" s="1"/>
  <c r="K99" i="41"/>
  <c r="G99" i="41"/>
  <c r="E99" i="41"/>
  <c r="Q98" i="41"/>
  <c r="P98" i="41"/>
  <c r="L98" i="41"/>
  <c r="M98" i="41" s="1"/>
  <c r="N98" i="41" s="1"/>
  <c r="K98" i="41"/>
  <c r="G98" i="41"/>
  <c r="E98" i="41"/>
  <c r="Q97" i="41"/>
  <c r="P97" i="41"/>
  <c r="L97" i="41"/>
  <c r="M97" i="41" s="1"/>
  <c r="N97" i="41"/>
  <c r="K97" i="41"/>
  <c r="G97" i="41"/>
  <c r="E97" i="41"/>
  <c r="Q96" i="41"/>
  <c r="P96" i="41"/>
  <c r="L96" i="41"/>
  <c r="M96" i="41"/>
  <c r="N96" i="41" s="1"/>
  <c r="K96" i="41"/>
  <c r="G96" i="41"/>
  <c r="E96" i="41"/>
  <c r="Q95" i="41"/>
  <c r="P95" i="41"/>
  <c r="L95" i="41"/>
  <c r="M95" i="41" s="1"/>
  <c r="N95" i="41" s="1"/>
  <c r="K95" i="41"/>
  <c r="G95" i="41"/>
  <c r="E95" i="41"/>
  <c r="Q94" i="41"/>
  <c r="P94" i="41"/>
  <c r="L94" i="41"/>
  <c r="M94" i="41" s="1"/>
  <c r="N94" i="41"/>
  <c r="Q93" i="41"/>
  <c r="P93" i="41"/>
  <c r="L93" i="41"/>
  <c r="M93" i="41" s="1"/>
  <c r="N93" i="41" s="1"/>
  <c r="K93" i="41"/>
  <c r="G93" i="41"/>
  <c r="E93" i="41"/>
  <c r="Q92" i="41"/>
  <c r="P92" i="41"/>
  <c r="L92" i="41"/>
  <c r="M92" i="41"/>
  <c r="N92" i="41" s="1"/>
  <c r="K92" i="41"/>
  <c r="G92" i="41"/>
  <c r="E92" i="41"/>
  <c r="Q91" i="41"/>
  <c r="P91" i="41"/>
  <c r="L91" i="41"/>
  <c r="M91" i="41" s="1"/>
  <c r="N91" i="41" s="1"/>
  <c r="K91" i="41"/>
  <c r="G91" i="41"/>
  <c r="Q90" i="41"/>
  <c r="P90" i="41"/>
  <c r="L90" i="41"/>
  <c r="M90" i="41" s="1"/>
  <c r="N90" i="41" s="1"/>
  <c r="K90" i="41"/>
  <c r="G90" i="41"/>
  <c r="E90" i="41"/>
  <c r="Q89" i="41"/>
  <c r="P89" i="41"/>
  <c r="L89" i="41"/>
  <c r="M89" i="41" s="1"/>
  <c r="N89" i="41" s="1"/>
  <c r="K89" i="41"/>
  <c r="G89" i="41"/>
  <c r="E89" i="41"/>
  <c r="Q88" i="41"/>
  <c r="P88" i="41"/>
  <c r="L88" i="41"/>
  <c r="M88" i="41"/>
  <c r="N88" i="41" s="1"/>
  <c r="K88" i="41"/>
  <c r="G88" i="41"/>
  <c r="E88" i="41"/>
  <c r="Q87" i="41"/>
  <c r="P87" i="41"/>
  <c r="L87" i="41"/>
  <c r="M87" i="41" s="1"/>
  <c r="N87" i="41" s="1"/>
  <c r="Q86" i="41"/>
  <c r="P86" i="41"/>
  <c r="L86" i="41"/>
  <c r="M86" i="41" s="1"/>
  <c r="N86" i="41" s="1"/>
  <c r="K86" i="41"/>
  <c r="G86" i="41"/>
  <c r="E86" i="41"/>
  <c r="Q85" i="41"/>
  <c r="P85" i="41"/>
  <c r="L85" i="41"/>
  <c r="M85" i="41" s="1"/>
  <c r="N85" i="41" s="1"/>
  <c r="K85" i="41"/>
  <c r="G85" i="41"/>
  <c r="E85" i="41"/>
  <c r="Q84" i="41"/>
  <c r="P84" i="41"/>
  <c r="L84" i="41"/>
  <c r="M84" i="41"/>
  <c r="N84" i="41" s="1"/>
  <c r="K84" i="41"/>
  <c r="G84" i="41"/>
  <c r="E84" i="41"/>
  <c r="Q83" i="41"/>
  <c r="P83" i="41"/>
  <c r="L83" i="41"/>
  <c r="M83" i="41" s="1"/>
  <c r="N83" i="41" s="1"/>
  <c r="Q82" i="41"/>
  <c r="P82" i="41"/>
  <c r="L82" i="41"/>
  <c r="M82" i="41" s="1"/>
  <c r="N82" i="41" s="1"/>
  <c r="K82" i="41"/>
  <c r="G82" i="41"/>
  <c r="E82" i="41"/>
  <c r="Q81" i="41"/>
  <c r="P81" i="41"/>
  <c r="L81" i="41"/>
  <c r="M81" i="41" s="1"/>
  <c r="N81" i="41" s="1"/>
  <c r="K81" i="41"/>
  <c r="G81" i="41"/>
  <c r="E81" i="41"/>
  <c r="Q80" i="41"/>
  <c r="P80" i="41"/>
  <c r="L80" i="41"/>
  <c r="M80" i="41" s="1"/>
  <c r="N80" i="41" s="1"/>
  <c r="K80" i="41"/>
  <c r="G80" i="41"/>
  <c r="E80" i="41"/>
  <c r="Q79" i="41"/>
  <c r="P79" i="41"/>
  <c r="L79" i="41"/>
  <c r="M79" i="41" s="1"/>
  <c r="N79" i="41" s="1"/>
  <c r="K79" i="41"/>
  <c r="G79" i="41"/>
  <c r="E79" i="41"/>
  <c r="Q78" i="41"/>
  <c r="P78" i="41"/>
  <c r="L78" i="41"/>
  <c r="M78" i="41" s="1"/>
  <c r="N78" i="41" s="1"/>
  <c r="K78" i="41"/>
  <c r="G78" i="41"/>
  <c r="E78" i="41"/>
  <c r="Q77" i="41"/>
  <c r="P77" i="41"/>
  <c r="L77" i="41"/>
  <c r="M77" i="41" s="1"/>
  <c r="N77" i="41" s="1"/>
  <c r="K77" i="41"/>
  <c r="G77" i="41"/>
  <c r="E77" i="41"/>
  <c r="Q76" i="41"/>
  <c r="P76" i="41"/>
  <c r="L76" i="41"/>
  <c r="M76" i="41" s="1"/>
  <c r="N76" i="41" s="1"/>
  <c r="K76" i="41"/>
  <c r="G76" i="41"/>
  <c r="E76" i="41"/>
  <c r="Q75" i="41"/>
  <c r="P75" i="41"/>
  <c r="L75" i="41"/>
  <c r="M75" i="41" s="1"/>
  <c r="N75" i="41" s="1"/>
  <c r="Q74" i="41"/>
  <c r="P74" i="41"/>
  <c r="L74" i="41"/>
  <c r="M74" i="41" s="1"/>
  <c r="N74" i="41" s="1"/>
  <c r="K74" i="41"/>
  <c r="G74" i="41"/>
  <c r="E74" i="41"/>
  <c r="Q73" i="41"/>
  <c r="P73" i="41"/>
  <c r="L73" i="41"/>
  <c r="M73" i="41" s="1"/>
  <c r="N73" i="41" s="1"/>
  <c r="K73" i="41"/>
  <c r="G73" i="41"/>
  <c r="E73" i="41"/>
  <c r="Q72" i="41"/>
  <c r="P72" i="41"/>
  <c r="L72" i="41"/>
  <c r="M72" i="41" s="1"/>
  <c r="N72" i="41" s="1"/>
  <c r="K72" i="41"/>
  <c r="G72" i="41"/>
  <c r="E72" i="41"/>
  <c r="Q71" i="41"/>
  <c r="P71" i="41"/>
  <c r="L71" i="41"/>
  <c r="M71" i="41" s="1"/>
  <c r="N71" i="41" s="1"/>
  <c r="K71" i="41"/>
  <c r="G71" i="41"/>
  <c r="E71" i="41"/>
  <c r="Q70" i="41"/>
  <c r="P70" i="41"/>
  <c r="L70" i="41"/>
  <c r="M70" i="41" s="1"/>
  <c r="N70" i="41" s="1"/>
  <c r="K70" i="41"/>
  <c r="G70" i="41"/>
  <c r="E70" i="41"/>
  <c r="Q69" i="41"/>
  <c r="P69" i="41"/>
  <c r="L69" i="41"/>
  <c r="M69" i="41" s="1"/>
  <c r="N69" i="41" s="1"/>
  <c r="K69" i="41"/>
  <c r="G69" i="41"/>
  <c r="E69" i="41"/>
  <c r="Q68" i="41"/>
  <c r="P68" i="41"/>
  <c r="L68" i="41"/>
  <c r="M68" i="41" s="1"/>
  <c r="N68" i="41" s="1"/>
  <c r="K68" i="41"/>
  <c r="G68" i="41"/>
  <c r="E68" i="41"/>
  <c r="Q67" i="41"/>
  <c r="P67" i="41"/>
  <c r="L67" i="41"/>
  <c r="M67" i="41" s="1"/>
  <c r="N67" i="41" s="1"/>
  <c r="K67" i="41"/>
  <c r="G67" i="41"/>
  <c r="E67" i="41"/>
  <c r="Q66" i="41"/>
  <c r="P66" i="41"/>
  <c r="L66" i="41"/>
  <c r="M66" i="41" s="1"/>
  <c r="N66" i="41" s="1"/>
  <c r="K66" i="41"/>
  <c r="G66" i="41"/>
  <c r="E66" i="41"/>
  <c r="Q65" i="41"/>
  <c r="P65" i="41"/>
  <c r="L65" i="41"/>
  <c r="M65" i="41" s="1"/>
  <c r="N65" i="41" s="1"/>
  <c r="K65" i="41"/>
  <c r="G65" i="41"/>
  <c r="E65" i="41"/>
  <c r="Q64" i="41"/>
  <c r="P64" i="41"/>
  <c r="L64" i="41"/>
  <c r="M64" i="41" s="1"/>
  <c r="N64" i="41" s="1"/>
  <c r="K64" i="41"/>
  <c r="G64" i="41"/>
  <c r="E64" i="41"/>
  <c r="Q63" i="41"/>
  <c r="P63" i="41"/>
  <c r="L63" i="41"/>
  <c r="M63" i="41" s="1"/>
  <c r="N63" i="41" s="1"/>
  <c r="K63" i="41"/>
  <c r="G63" i="41"/>
  <c r="E63" i="41"/>
  <c r="Q62" i="41"/>
  <c r="P62" i="41"/>
  <c r="L62" i="41"/>
  <c r="M62" i="41" s="1"/>
  <c r="N62" i="41" s="1"/>
  <c r="K62" i="41"/>
  <c r="G62" i="41"/>
  <c r="E62" i="41"/>
  <c r="Q61" i="41"/>
  <c r="P61" i="41"/>
  <c r="L61" i="41"/>
  <c r="M61" i="41" s="1"/>
  <c r="N61" i="41" s="1"/>
  <c r="K61" i="41"/>
  <c r="G61" i="41"/>
  <c r="E61" i="41"/>
  <c r="Q60" i="41"/>
  <c r="P60" i="41"/>
  <c r="L60" i="41"/>
  <c r="M60" i="41" s="1"/>
  <c r="N60" i="41" s="1"/>
  <c r="K60" i="41"/>
  <c r="G60" i="41"/>
  <c r="E60" i="41"/>
  <c r="Q59" i="41"/>
  <c r="P59" i="41"/>
  <c r="L59" i="41"/>
  <c r="M59" i="41" s="1"/>
  <c r="N59" i="41"/>
  <c r="K59" i="41"/>
  <c r="G59" i="41"/>
  <c r="E59" i="41"/>
  <c r="Q58" i="41"/>
  <c r="P58" i="41"/>
  <c r="L58" i="41"/>
  <c r="M58" i="41" s="1"/>
  <c r="N58" i="41" s="1"/>
  <c r="K58" i="41"/>
  <c r="G58" i="41"/>
  <c r="E58" i="41"/>
  <c r="Q57" i="41"/>
  <c r="P57" i="41"/>
  <c r="L57" i="41"/>
  <c r="M57" i="41" s="1"/>
  <c r="N57" i="41" s="1"/>
  <c r="K57" i="41"/>
  <c r="G57" i="41"/>
  <c r="E57" i="41"/>
  <c r="Q56" i="41"/>
  <c r="P56" i="41"/>
  <c r="L56" i="41"/>
  <c r="M56" i="41" s="1"/>
  <c r="N56" i="41" s="1"/>
  <c r="K56" i="41"/>
  <c r="G56" i="41"/>
  <c r="E56" i="41"/>
  <c r="Q55" i="41"/>
  <c r="P55" i="41"/>
  <c r="L55" i="41"/>
  <c r="M55" i="41" s="1"/>
  <c r="N55" i="41" s="1"/>
  <c r="K55" i="41"/>
  <c r="G55" i="41"/>
  <c r="E55" i="41"/>
  <c r="Q54" i="41"/>
  <c r="P54" i="41"/>
  <c r="L54" i="41"/>
  <c r="M54" i="41" s="1"/>
  <c r="N54" i="41" s="1"/>
  <c r="K54" i="41"/>
  <c r="G54" i="41"/>
  <c r="E54" i="41"/>
  <c r="Q53" i="41"/>
  <c r="P53" i="41"/>
  <c r="L53" i="41"/>
  <c r="M53" i="41" s="1"/>
  <c r="N53" i="41"/>
  <c r="K53" i="41"/>
  <c r="G53" i="41"/>
  <c r="E53" i="41"/>
  <c r="Q52" i="41"/>
  <c r="P52" i="41"/>
  <c r="L52" i="41"/>
  <c r="M52" i="41" s="1"/>
  <c r="N52" i="41" s="1"/>
  <c r="K52" i="41"/>
  <c r="G52" i="41"/>
  <c r="E52" i="41"/>
  <c r="Q51" i="41"/>
  <c r="P51" i="41"/>
  <c r="L51" i="41"/>
  <c r="M51" i="41" s="1"/>
  <c r="N51" i="41" s="1"/>
  <c r="K51" i="41"/>
  <c r="G51" i="41"/>
  <c r="E51" i="41"/>
  <c r="Q50" i="41"/>
  <c r="P50" i="41"/>
  <c r="L50" i="41"/>
  <c r="M50" i="41" s="1"/>
  <c r="N50" i="41"/>
  <c r="K50" i="41"/>
  <c r="G50" i="41"/>
  <c r="E50" i="41"/>
  <c r="Q49" i="41"/>
  <c r="P49" i="41"/>
  <c r="L49" i="41"/>
  <c r="M49" i="41" s="1"/>
  <c r="N49" i="41" s="1"/>
  <c r="K49" i="41"/>
  <c r="G49" i="41"/>
  <c r="E49" i="41"/>
  <c r="Q48" i="41"/>
  <c r="P48" i="41"/>
  <c r="L48" i="41"/>
  <c r="M48" i="41" s="1"/>
  <c r="N48" i="41" s="1"/>
  <c r="K48" i="41"/>
  <c r="G48" i="41"/>
  <c r="E48" i="41"/>
  <c r="Q47" i="41"/>
  <c r="P47" i="41"/>
  <c r="L47" i="41"/>
  <c r="M47" i="41" s="1"/>
  <c r="N47" i="41"/>
  <c r="K47" i="41"/>
  <c r="G47" i="41"/>
  <c r="E47" i="41"/>
  <c r="Q46" i="41"/>
  <c r="P46" i="41"/>
  <c r="L46" i="41"/>
  <c r="M46" i="41" s="1"/>
  <c r="N46" i="41" s="1"/>
  <c r="K46" i="41"/>
  <c r="G46" i="41"/>
  <c r="E46" i="41"/>
  <c r="Q45" i="41"/>
  <c r="P45" i="41"/>
  <c r="L45" i="41"/>
  <c r="M45" i="41" s="1"/>
  <c r="N45" i="41" s="1"/>
  <c r="K45" i="41"/>
  <c r="G45" i="41"/>
  <c r="E45" i="41"/>
  <c r="Q44" i="41"/>
  <c r="P44" i="41"/>
  <c r="L44" i="41"/>
  <c r="M44" i="41" s="1"/>
  <c r="N44" i="41"/>
  <c r="K44" i="41"/>
  <c r="G44" i="41"/>
  <c r="E44" i="41"/>
  <c r="Q43" i="41"/>
  <c r="P43" i="41"/>
  <c r="L43" i="41"/>
  <c r="M43" i="41" s="1"/>
  <c r="N43" i="41" s="1"/>
  <c r="K43" i="41"/>
  <c r="G43" i="41"/>
  <c r="E43" i="41"/>
  <c r="Q42" i="41"/>
  <c r="P42" i="41"/>
  <c r="L42" i="41"/>
  <c r="M42" i="41" s="1"/>
  <c r="N42" i="41" s="1"/>
  <c r="K42" i="41"/>
  <c r="G42" i="41"/>
  <c r="E42" i="41"/>
  <c r="Q41" i="41"/>
  <c r="P41" i="41"/>
  <c r="L41" i="41"/>
  <c r="M41" i="41" s="1"/>
  <c r="N41" i="41"/>
  <c r="K41" i="41"/>
  <c r="G41" i="41"/>
  <c r="E41" i="41"/>
  <c r="Q40" i="41"/>
  <c r="P40" i="41"/>
  <c r="L40" i="41"/>
  <c r="M40" i="41" s="1"/>
  <c r="N40" i="41" s="1"/>
  <c r="K40" i="41"/>
  <c r="G40" i="41"/>
  <c r="E40" i="41"/>
  <c r="Q39" i="41"/>
  <c r="P39" i="41"/>
  <c r="L39" i="41"/>
  <c r="M39" i="41" s="1"/>
  <c r="N39" i="41" s="1"/>
  <c r="Q38" i="41"/>
  <c r="P38" i="41"/>
  <c r="L38" i="41"/>
  <c r="M38" i="41" s="1"/>
  <c r="N38" i="41" s="1"/>
  <c r="K38" i="41"/>
  <c r="G38" i="41"/>
  <c r="E38" i="41"/>
  <c r="Q37" i="41"/>
  <c r="P37" i="41"/>
  <c r="L37" i="41"/>
  <c r="M37" i="41"/>
  <c r="N37" i="41"/>
  <c r="K37" i="41"/>
  <c r="G37" i="41"/>
  <c r="E37" i="41"/>
  <c r="Q36" i="41"/>
  <c r="P36" i="41"/>
  <c r="L36" i="41"/>
  <c r="M36" i="41" s="1"/>
  <c r="N36" i="41"/>
  <c r="K36" i="41"/>
  <c r="G36" i="41"/>
  <c r="E36" i="41"/>
  <c r="Q35" i="41"/>
  <c r="P35" i="41"/>
  <c r="L35" i="41"/>
  <c r="M35" i="41" s="1"/>
  <c r="N35" i="41" s="1"/>
  <c r="K35" i="41"/>
  <c r="G35" i="41"/>
  <c r="E35" i="41"/>
  <c r="Q34" i="41"/>
  <c r="P34" i="41"/>
  <c r="L34" i="41"/>
  <c r="M34" i="41"/>
  <c r="N34" i="41"/>
  <c r="K34" i="41"/>
  <c r="G34" i="41"/>
  <c r="E34" i="41"/>
  <c r="Q33" i="41"/>
  <c r="P33" i="41"/>
  <c r="L33" i="41"/>
  <c r="M33" i="41" s="1"/>
  <c r="N33" i="41" s="1"/>
  <c r="K33" i="41"/>
  <c r="G33" i="41"/>
  <c r="E33" i="41"/>
  <c r="Q32" i="41"/>
  <c r="P32" i="41"/>
  <c r="L32" i="41"/>
  <c r="M32" i="41" s="1"/>
  <c r="N32" i="41" s="1"/>
  <c r="K32" i="41"/>
  <c r="G32" i="41"/>
  <c r="E32" i="41"/>
  <c r="Q31" i="41"/>
  <c r="P31" i="41"/>
  <c r="L31" i="41"/>
  <c r="M31" i="41"/>
  <c r="N31" i="41"/>
  <c r="K31" i="41"/>
  <c r="G31" i="41"/>
  <c r="E31" i="41"/>
  <c r="Q30" i="41"/>
  <c r="P30" i="41"/>
  <c r="L30" i="41"/>
  <c r="M30" i="41"/>
  <c r="N30" i="41"/>
  <c r="K30" i="41"/>
  <c r="G30" i="41"/>
  <c r="E30" i="41"/>
  <c r="Q29" i="41"/>
  <c r="P29" i="41"/>
  <c r="L29" i="41"/>
  <c r="M29" i="41" s="1"/>
  <c r="N29" i="41" s="1"/>
  <c r="K29" i="41"/>
  <c r="G29" i="41"/>
  <c r="E29" i="41"/>
  <c r="Q28" i="41"/>
  <c r="P28" i="41"/>
  <c r="L28" i="41"/>
  <c r="M28" i="41" s="1"/>
  <c r="N28" i="41" s="1"/>
  <c r="K28" i="41"/>
  <c r="G28" i="41"/>
  <c r="E28" i="41"/>
  <c r="Q27" i="41"/>
  <c r="P27" i="41"/>
  <c r="L27" i="41"/>
  <c r="M27" i="41"/>
  <c r="N27" i="41"/>
  <c r="K27" i="41"/>
  <c r="G27" i="41"/>
  <c r="E27" i="41"/>
  <c r="Q26" i="41"/>
  <c r="P26" i="41"/>
  <c r="L26" i="41"/>
  <c r="M26" i="41" s="1"/>
  <c r="N26" i="41" s="1"/>
  <c r="K26" i="41"/>
  <c r="G26" i="41"/>
  <c r="E26" i="41"/>
  <c r="Q25" i="41"/>
  <c r="P25" i="41"/>
  <c r="L25" i="41"/>
  <c r="M25" i="41" s="1"/>
  <c r="N25" i="41" s="1"/>
  <c r="K25" i="41"/>
  <c r="G25" i="41"/>
  <c r="E25" i="41"/>
  <c r="Q24" i="41"/>
  <c r="P24" i="41"/>
  <c r="L24" i="41"/>
  <c r="M24" i="41"/>
  <c r="N24" i="41" s="1"/>
  <c r="K24" i="41"/>
  <c r="G24" i="41"/>
  <c r="E24" i="41"/>
  <c r="Q23" i="41"/>
  <c r="P23" i="41"/>
  <c r="L23" i="41"/>
  <c r="M23" i="41" s="1"/>
  <c r="N23" i="41" s="1"/>
  <c r="Q22" i="41"/>
  <c r="P22" i="41"/>
  <c r="L22" i="41"/>
  <c r="M22" i="41" s="1"/>
  <c r="N22" i="41" s="1"/>
  <c r="Q21" i="41"/>
  <c r="P21" i="41"/>
  <c r="L21" i="41"/>
  <c r="M21" i="41" s="1"/>
  <c r="Q20" i="41"/>
  <c r="P20" i="41"/>
  <c r="L20" i="41"/>
  <c r="M20" i="41" s="1"/>
  <c r="N20" i="41" s="1"/>
  <c r="K20" i="41"/>
  <c r="G20" i="41"/>
  <c r="E20" i="41"/>
  <c r="Q19" i="41"/>
  <c r="P19" i="41"/>
  <c r="L19" i="41"/>
  <c r="M19" i="41" s="1"/>
  <c r="N19" i="41" s="1"/>
  <c r="K19" i="41"/>
  <c r="G19" i="41"/>
  <c r="E19" i="41"/>
  <c r="Q18" i="41"/>
  <c r="P18" i="41"/>
  <c r="L18" i="41"/>
  <c r="M18" i="41" s="1"/>
  <c r="N18" i="41" s="1"/>
  <c r="K18" i="41"/>
  <c r="G18" i="41"/>
  <c r="E18" i="41"/>
  <c r="Q17" i="41"/>
  <c r="P17" i="41"/>
  <c r="L17" i="41"/>
  <c r="M17" i="41" s="1"/>
  <c r="K17" i="41"/>
  <c r="G17" i="41"/>
  <c r="E17" i="41"/>
  <c r="Q16" i="41"/>
  <c r="P16" i="41"/>
  <c r="L16" i="41"/>
  <c r="M16" i="41"/>
  <c r="N16" i="41" s="1"/>
  <c r="K16" i="41"/>
  <c r="G16" i="41"/>
  <c r="E16" i="41"/>
  <c r="Q15" i="41"/>
  <c r="P15" i="41"/>
  <c r="L15" i="41"/>
  <c r="M15" i="41" s="1"/>
  <c r="N15" i="41" s="1"/>
  <c r="Q14" i="41"/>
  <c r="P14" i="41"/>
  <c r="L14" i="41"/>
  <c r="M14" i="41" s="1"/>
  <c r="N14" i="41" s="1"/>
  <c r="K14" i="41"/>
  <c r="G14" i="41"/>
  <c r="E14" i="41"/>
  <c r="Q13" i="41"/>
  <c r="P13" i="41"/>
  <c r="L13" i="41"/>
  <c r="M13" i="41" s="1"/>
  <c r="N13" i="41" s="1"/>
  <c r="K13" i="41"/>
  <c r="G13" i="41"/>
  <c r="E13" i="41"/>
  <c r="Q12" i="41"/>
  <c r="P12" i="41"/>
  <c r="L12" i="41"/>
  <c r="M12" i="41" s="1"/>
  <c r="N12" i="41" s="1"/>
  <c r="K12" i="41"/>
  <c r="G12" i="41"/>
  <c r="E12" i="41"/>
  <c r="Q11" i="41"/>
  <c r="P11" i="41"/>
  <c r="L11" i="41"/>
  <c r="M11" i="41" s="1"/>
  <c r="N11" i="41" s="1"/>
  <c r="K11" i="41"/>
  <c r="G11" i="41"/>
  <c r="E11" i="41"/>
  <c r="Q10" i="41"/>
  <c r="P10" i="41"/>
  <c r="L10" i="41"/>
  <c r="M10" i="41" s="1"/>
  <c r="N10" i="41" s="1"/>
  <c r="K10" i="41"/>
  <c r="G10" i="41"/>
  <c r="E10" i="41"/>
  <c r="Q9" i="41"/>
  <c r="P9" i="41"/>
  <c r="L9" i="41"/>
  <c r="M9" i="41" s="1"/>
  <c r="N9" i="41" s="1"/>
  <c r="K9" i="41"/>
  <c r="G9" i="41"/>
  <c r="E9" i="41"/>
  <c r="Q8" i="41"/>
  <c r="P8" i="41"/>
  <c r="L8" i="41"/>
  <c r="M8" i="41" s="1"/>
  <c r="K8" i="41"/>
  <c r="G8" i="41"/>
  <c r="E8" i="41"/>
  <c r="Q7" i="41"/>
  <c r="P7" i="41"/>
  <c r="L7" i="41"/>
  <c r="M7" i="41" s="1"/>
  <c r="N7" i="41" s="1"/>
  <c r="K7" i="41"/>
  <c r="G7" i="41"/>
  <c r="E7" i="41"/>
  <c r="Q6" i="41"/>
  <c r="P6" i="41"/>
  <c r="L6" i="41"/>
  <c r="K6" i="41"/>
  <c r="G6" i="41"/>
  <c r="E6" i="41"/>
  <c r="J103" i="40"/>
  <c r="U103" i="40" s="1"/>
  <c r="F103" i="40"/>
  <c r="D103" i="40"/>
  <c r="J103" i="39"/>
  <c r="F103" i="39"/>
  <c r="L103" i="39" s="1"/>
  <c r="D103" i="39"/>
  <c r="J193" i="39"/>
  <c r="F193" i="39"/>
  <c r="D193" i="39"/>
  <c r="J114" i="39"/>
  <c r="F114" i="39"/>
  <c r="D114" i="39"/>
  <c r="J114" i="40"/>
  <c r="U114" i="40" s="1"/>
  <c r="F114" i="40"/>
  <c r="T114" i="40"/>
  <c r="D114" i="40"/>
  <c r="S114" i="40"/>
  <c r="G99" i="39"/>
  <c r="G57" i="39"/>
  <c r="E57" i="39"/>
  <c r="K57" i="39"/>
  <c r="E57" i="40"/>
  <c r="G57" i="40"/>
  <c r="K57" i="40"/>
  <c r="G39" i="39"/>
  <c r="C417" i="40"/>
  <c r="Q416" i="40"/>
  <c r="P416" i="40"/>
  <c r="L416" i="40"/>
  <c r="M416" i="40" s="1"/>
  <c r="N416" i="40" s="1"/>
  <c r="Q415" i="40"/>
  <c r="P415" i="40"/>
  <c r="L415" i="40"/>
  <c r="M415" i="40" s="1"/>
  <c r="N415" i="40" s="1"/>
  <c r="K415" i="40"/>
  <c r="G415" i="40"/>
  <c r="E415" i="40"/>
  <c r="Q414" i="40"/>
  <c r="P414" i="40"/>
  <c r="L414" i="40"/>
  <c r="M414" i="40" s="1"/>
  <c r="N414" i="40" s="1"/>
  <c r="Q413" i="40"/>
  <c r="P413" i="40"/>
  <c r="L413" i="40"/>
  <c r="M413" i="40" s="1"/>
  <c r="N413" i="40" s="1"/>
  <c r="K413" i="40"/>
  <c r="G413" i="40"/>
  <c r="E413" i="40"/>
  <c r="Q412" i="40"/>
  <c r="P412" i="40"/>
  <c r="L412" i="40"/>
  <c r="M412" i="40" s="1"/>
  <c r="N412" i="40"/>
  <c r="Q411" i="40"/>
  <c r="P411" i="40"/>
  <c r="L411" i="40"/>
  <c r="M411" i="40" s="1"/>
  <c r="N411" i="40" s="1"/>
  <c r="Q410" i="40"/>
  <c r="P410" i="40"/>
  <c r="L410" i="40"/>
  <c r="M410" i="40" s="1"/>
  <c r="N410" i="40" s="1"/>
  <c r="K410" i="40"/>
  <c r="G410" i="40"/>
  <c r="E410" i="40"/>
  <c r="Q409" i="40"/>
  <c r="P409" i="40"/>
  <c r="L409" i="40"/>
  <c r="M409" i="40" s="1"/>
  <c r="N409" i="40" s="1"/>
  <c r="K409" i="40"/>
  <c r="G409" i="40"/>
  <c r="E409" i="40"/>
  <c r="Q408" i="40"/>
  <c r="P408" i="40"/>
  <c r="L408" i="40"/>
  <c r="M408" i="40" s="1"/>
  <c r="N408" i="40" s="1"/>
  <c r="K408" i="40"/>
  <c r="G408" i="40"/>
  <c r="E408" i="40"/>
  <c r="Q407" i="40"/>
  <c r="P407" i="40"/>
  <c r="L407" i="40"/>
  <c r="M407" i="40" s="1"/>
  <c r="N407" i="40" s="1"/>
  <c r="Q406" i="40"/>
  <c r="P406" i="40"/>
  <c r="L406" i="40"/>
  <c r="M406" i="40" s="1"/>
  <c r="N406" i="40"/>
  <c r="K406" i="40"/>
  <c r="G406" i="40"/>
  <c r="E406" i="40"/>
  <c r="Q405" i="40"/>
  <c r="P405" i="40"/>
  <c r="L405" i="40"/>
  <c r="M405" i="40" s="1"/>
  <c r="N405" i="40" s="1"/>
  <c r="K405" i="40"/>
  <c r="G405" i="40"/>
  <c r="E405" i="40"/>
  <c r="Q404" i="40"/>
  <c r="P404" i="40"/>
  <c r="L404" i="40"/>
  <c r="M404" i="40" s="1"/>
  <c r="N404" i="40"/>
  <c r="K404" i="40"/>
  <c r="G404" i="40"/>
  <c r="E404" i="40"/>
  <c r="Q403" i="40"/>
  <c r="P403" i="40"/>
  <c r="L403" i="40"/>
  <c r="M403" i="40" s="1"/>
  <c r="N403" i="40" s="1"/>
  <c r="K403" i="40"/>
  <c r="G403" i="40"/>
  <c r="E403" i="40"/>
  <c r="Q402" i="40"/>
  <c r="P402" i="40"/>
  <c r="L402" i="40"/>
  <c r="M402" i="40" s="1"/>
  <c r="N402" i="40" s="1"/>
  <c r="K402" i="40"/>
  <c r="G402" i="40"/>
  <c r="E402" i="40"/>
  <c r="Q401" i="40"/>
  <c r="P401" i="40"/>
  <c r="L401" i="40"/>
  <c r="M401" i="40"/>
  <c r="N401" i="40" s="1"/>
  <c r="K401" i="40"/>
  <c r="G401" i="40"/>
  <c r="E401" i="40"/>
  <c r="Q400" i="40"/>
  <c r="P400" i="40"/>
  <c r="L400" i="40"/>
  <c r="M400" i="40" s="1"/>
  <c r="N400" i="40" s="1"/>
  <c r="K400" i="40"/>
  <c r="G400" i="40"/>
  <c r="E400" i="40"/>
  <c r="Q399" i="40"/>
  <c r="P399" i="40"/>
  <c r="L399" i="40"/>
  <c r="M399" i="40" s="1"/>
  <c r="N399" i="40" s="1"/>
  <c r="K399" i="40"/>
  <c r="G399" i="40"/>
  <c r="E399" i="40"/>
  <c r="Q398" i="40"/>
  <c r="P398" i="40"/>
  <c r="L398" i="40"/>
  <c r="M398" i="40"/>
  <c r="N398" i="40" s="1"/>
  <c r="K398" i="40"/>
  <c r="G398" i="40"/>
  <c r="E398" i="40"/>
  <c r="Q397" i="40"/>
  <c r="P397" i="40"/>
  <c r="L397" i="40"/>
  <c r="M397" i="40" s="1"/>
  <c r="N397" i="40" s="1"/>
  <c r="K397" i="40"/>
  <c r="G397" i="40"/>
  <c r="E397" i="40"/>
  <c r="Q396" i="40"/>
  <c r="P396" i="40"/>
  <c r="L396" i="40"/>
  <c r="M396" i="40" s="1"/>
  <c r="N396" i="40" s="1"/>
  <c r="K396" i="40"/>
  <c r="G396" i="40"/>
  <c r="E396" i="40"/>
  <c r="Q395" i="40"/>
  <c r="P395" i="40"/>
  <c r="L395" i="40"/>
  <c r="M395" i="40" s="1"/>
  <c r="N395" i="40" s="1"/>
  <c r="K395" i="40"/>
  <c r="G395" i="40"/>
  <c r="E395" i="40"/>
  <c r="Q394" i="40"/>
  <c r="P394" i="40"/>
  <c r="L394" i="40"/>
  <c r="M394" i="40" s="1"/>
  <c r="N394" i="40" s="1"/>
  <c r="K394" i="40"/>
  <c r="G394" i="40"/>
  <c r="E394" i="40"/>
  <c r="Q393" i="40"/>
  <c r="P393" i="40"/>
  <c r="L393" i="40"/>
  <c r="M393" i="40" s="1"/>
  <c r="N393" i="40" s="1"/>
  <c r="K393" i="40"/>
  <c r="G393" i="40"/>
  <c r="E393" i="40"/>
  <c r="Q392" i="40"/>
  <c r="P392" i="40"/>
  <c r="L392" i="40"/>
  <c r="M392" i="40" s="1"/>
  <c r="N392" i="40"/>
  <c r="K392" i="40"/>
  <c r="G392" i="40"/>
  <c r="E392" i="40"/>
  <c r="Q391" i="40"/>
  <c r="P391" i="40"/>
  <c r="L391" i="40"/>
  <c r="M391" i="40" s="1"/>
  <c r="N391" i="40"/>
  <c r="K391" i="40"/>
  <c r="G391" i="40"/>
  <c r="E391" i="40"/>
  <c r="Q390" i="40"/>
  <c r="P390" i="40"/>
  <c r="L390" i="40"/>
  <c r="M390" i="40" s="1"/>
  <c r="N390" i="40" s="1"/>
  <c r="K390" i="40"/>
  <c r="G390" i="40"/>
  <c r="E390" i="40"/>
  <c r="Q389" i="40"/>
  <c r="P389" i="40"/>
  <c r="L389" i="40"/>
  <c r="M389" i="40"/>
  <c r="N389" i="40" s="1"/>
  <c r="Q388" i="40"/>
  <c r="P388" i="40"/>
  <c r="L388" i="40"/>
  <c r="M388" i="40" s="1"/>
  <c r="N388" i="40" s="1"/>
  <c r="K388" i="40"/>
  <c r="G388" i="40"/>
  <c r="E388" i="40"/>
  <c r="Q387" i="40"/>
  <c r="P387" i="40"/>
  <c r="L387" i="40"/>
  <c r="M387" i="40" s="1"/>
  <c r="N387" i="40" s="1"/>
  <c r="K387" i="40"/>
  <c r="G387" i="40"/>
  <c r="E387" i="40"/>
  <c r="Q386" i="40"/>
  <c r="P386" i="40"/>
  <c r="L386" i="40"/>
  <c r="M386" i="40"/>
  <c r="N386" i="40" s="1"/>
  <c r="K386" i="40"/>
  <c r="G386" i="40"/>
  <c r="E386" i="40"/>
  <c r="Q385" i="40"/>
  <c r="P385" i="40"/>
  <c r="L385" i="40"/>
  <c r="M385" i="40"/>
  <c r="N385" i="40"/>
  <c r="K385" i="40"/>
  <c r="G385" i="40"/>
  <c r="E385" i="40"/>
  <c r="Q384" i="40"/>
  <c r="P384" i="40"/>
  <c r="L384" i="40"/>
  <c r="M384" i="40" s="1"/>
  <c r="N384" i="40" s="1"/>
  <c r="K384" i="40"/>
  <c r="G384" i="40"/>
  <c r="E384" i="40"/>
  <c r="Q383" i="40"/>
  <c r="P383" i="40"/>
  <c r="L383" i="40"/>
  <c r="M383" i="40"/>
  <c r="N383" i="40" s="1"/>
  <c r="K383" i="40"/>
  <c r="G383" i="40"/>
  <c r="E383" i="40"/>
  <c r="Q382" i="40"/>
  <c r="P382" i="40"/>
  <c r="L382" i="40"/>
  <c r="M382" i="40"/>
  <c r="N382" i="40" s="1"/>
  <c r="Q381" i="40"/>
  <c r="P381" i="40"/>
  <c r="L381" i="40"/>
  <c r="M381" i="40" s="1"/>
  <c r="N381" i="40" s="1"/>
  <c r="K381" i="40"/>
  <c r="G381" i="40"/>
  <c r="E381" i="40"/>
  <c r="Q380" i="40"/>
  <c r="P380" i="40"/>
  <c r="L380" i="40"/>
  <c r="M380" i="40" s="1"/>
  <c r="N380" i="40" s="1"/>
  <c r="K380" i="40"/>
  <c r="G380" i="40"/>
  <c r="E380" i="40"/>
  <c r="Q379" i="40"/>
  <c r="P379" i="40"/>
  <c r="L379" i="40"/>
  <c r="M379" i="40" s="1"/>
  <c r="N379" i="40" s="1"/>
  <c r="K379" i="40"/>
  <c r="G379" i="40"/>
  <c r="E379" i="40"/>
  <c r="Q378" i="40"/>
  <c r="P378" i="40"/>
  <c r="L378" i="40"/>
  <c r="M378" i="40" s="1"/>
  <c r="N378" i="40" s="1"/>
  <c r="K378" i="40"/>
  <c r="G378" i="40"/>
  <c r="E378" i="40"/>
  <c r="Q377" i="40"/>
  <c r="P377" i="40"/>
  <c r="L377" i="40"/>
  <c r="M377" i="40" s="1"/>
  <c r="N377" i="40" s="1"/>
  <c r="K377" i="40"/>
  <c r="G377" i="40"/>
  <c r="E377" i="40"/>
  <c r="Q376" i="40"/>
  <c r="P376" i="40"/>
  <c r="L376" i="40"/>
  <c r="M376" i="40" s="1"/>
  <c r="N376" i="40" s="1"/>
  <c r="K376" i="40"/>
  <c r="G376" i="40"/>
  <c r="E376" i="40"/>
  <c r="Q375" i="40"/>
  <c r="P375" i="40"/>
  <c r="L375" i="40"/>
  <c r="M375" i="40" s="1"/>
  <c r="N375" i="40" s="1"/>
  <c r="K375" i="40"/>
  <c r="G375" i="40"/>
  <c r="E375" i="40"/>
  <c r="Q374" i="40"/>
  <c r="P374" i="40"/>
  <c r="L374" i="40"/>
  <c r="M374" i="40" s="1"/>
  <c r="N374" i="40" s="1"/>
  <c r="K374" i="40"/>
  <c r="G374" i="40"/>
  <c r="E374" i="40"/>
  <c r="Q373" i="40"/>
  <c r="P373" i="40"/>
  <c r="L373" i="40"/>
  <c r="M373" i="40"/>
  <c r="N373" i="40" s="1"/>
  <c r="K373" i="40"/>
  <c r="G373" i="40"/>
  <c r="E373" i="40"/>
  <c r="Q372" i="40"/>
  <c r="P372" i="40"/>
  <c r="L372" i="40"/>
  <c r="M372" i="40" s="1"/>
  <c r="N372" i="40" s="1"/>
  <c r="K372" i="40"/>
  <c r="G372" i="40"/>
  <c r="E372" i="40"/>
  <c r="Q371" i="40"/>
  <c r="P371" i="40"/>
  <c r="L371" i="40"/>
  <c r="M371" i="40" s="1"/>
  <c r="N371" i="40" s="1"/>
  <c r="K371" i="40"/>
  <c r="G371" i="40"/>
  <c r="E371" i="40"/>
  <c r="Q370" i="40"/>
  <c r="P370" i="40"/>
  <c r="L370" i="40"/>
  <c r="M370" i="40" s="1"/>
  <c r="N370" i="40" s="1"/>
  <c r="K370" i="40"/>
  <c r="G370" i="40"/>
  <c r="E370" i="40"/>
  <c r="Q369" i="40"/>
  <c r="P369" i="40"/>
  <c r="L369" i="40"/>
  <c r="M369" i="40" s="1"/>
  <c r="N369" i="40" s="1"/>
  <c r="K369" i="40"/>
  <c r="G369" i="40"/>
  <c r="E369" i="40"/>
  <c r="Q368" i="40"/>
  <c r="P368" i="40"/>
  <c r="L368" i="40"/>
  <c r="M368" i="40"/>
  <c r="N368" i="40" s="1"/>
  <c r="K368" i="40"/>
  <c r="G368" i="40"/>
  <c r="E368" i="40"/>
  <c r="Q367" i="40"/>
  <c r="P367" i="40"/>
  <c r="L367" i="40"/>
  <c r="M367" i="40"/>
  <c r="N367" i="40" s="1"/>
  <c r="K367" i="40"/>
  <c r="G367" i="40"/>
  <c r="E367" i="40"/>
  <c r="Q366" i="40"/>
  <c r="P366" i="40"/>
  <c r="L366" i="40"/>
  <c r="M366" i="40" s="1"/>
  <c r="N366" i="40" s="1"/>
  <c r="K366" i="40"/>
  <c r="G366" i="40"/>
  <c r="E366" i="40"/>
  <c r="Q365" i="40"/>
  <c r="P365" i="40"/>
  <c r="L365" i="40"/>
  <c r="M365" i="40" s="1"/>
  <c r="N365" i="40" s="1"/>
  <c r="K365" i="40"/>
  <c r="G365" i="40"/>
  <c r="E365" i="40"/>
  <c r="Q364" i="40"/>
  <c r="P364" i="40"/>
  <c r="L364" i="40"/>
  <c r="M364" i="40" s="1"/>
  <c r="N364" i="40" s="1"/>
  <c r="K364" i="40"/>
  <c r="G364" i="40"/>
  <c r="E364" i="40"/>
  <c r="Q363" i="40"/>
  <c r="P363" i="40"/>
  <c r="L363" i="40"/>
  <c r="M363" i="40" s="1"/>
  <c r="N363" i="40" s="1"/>
  <c r="K363" i="40"/>
  <c r="G363" i="40"/>
  <c r="E363" i="40"/>
  <c r="Q362" i="40"/>
  <c r="P362" i="40"/>
  <c r="L362" i="40"/>
  <c r="M362" i="40" s="1"/>
  <c r="N362" i="40" s="1"/>
  <c r="K362" i="40"/>
  <c r="G362" i="40"/>
  <c r="E362" i="40"/>
  <c r="Q361" i="40"/>
  <c r="P361" i="40"/>
  <c r="L361" i="40"/>
  <c r="M361" i="40" s="1"/>
  <c r="N361" i="40" s="1"/>
  <c r="K361" i="40"/>
  <c r="G361" i="40"/>
  <c r="E361" i="40"/>
  <c r="Q360" i="40"/>
  <c r="P360" i="40"/>
  <c r="L360" i="40"/>
  <c r="M360" i="40" s="1"/>
  <c r="N360" i="40" s="1"/>
  <c r="K360" i="40"/>
  <c r="G360" i="40"/>
  <c r="E360" i="40"/>
  <c r="Q359" i="40"/>
  <c r="P359" i="40"/>
  <c r="L359" i="40"/>
  <c r="M359" i="40" s="1"/>
  <c r="N359" i="40" s="1"/>
  <c r="K359" i="40"/>
  <c r="G359" i="40"/>
  <c r="E359" i="40"/>
  <c r="Q358" i="40"/>
  <c r="P358" i="40"/>
  <c r="L358" i="40"/>
  <c r="M358" i="40"/>
  <c r="N358" i="40" s="1"/>
  <c r="K358" i="40"/>
  <c r="G358" i="40"/>
  <c r="E358" i="40"/>
  <c r="Q357" i="40"/>
  <c r="P357" i="40"/>
  <c r="L357" i="40"/>
  <c r="M357" i="40" s="1"/>
  <c r="K357" i="40"/>
  <c r="G357" i="40"/>
  <c r="E357" i="40"/>
  <c r="Q356" i="40"/>
  <c r="P356" i="40"/>
  <c r="L356" i="40"/>
  <c r="M356" i="40" s="1"/>
  <c r="N356" i="40" s="1"/>
  <c r="K356" i="40"/>
  <c r="G356" i="40"/>
  <c r="E356" i="40"/>
  <c r="Q355" i="40"/>
  <c r="P355" i="40"/>
  <c r="L355" i="40"/>
  <c r="M355" i="40" s="1"/>
  <c r="N355" i="40" s="1"/>
  <c r="K355" i="40"/>
  <c r="G355" i="40"/>
  <c r="E355" i="40"/>
  <c r="Q354" i="40"/>
  <c r="P354" i="40"/>
  <c r="L354" i="40"/>
  <c r="M354" i="40"/>
  <c r="N354" i="40" s="1"/>
  <c r="K354" i="40"/>
  <c r="G354" i="40"/>
  <c r="E354" i="40"/>
  <c r="Q353" i="40"/>
  <c r="P353" i="40"/>
  <c r="L353" i="40"/>
  <c r="M353" i="40" s="1"/>
  <c r="N353" i="40" s="1"/>
  <c r="K353" i="40"/>
  <c r="G353" i="40"/>
  <c r="E353" i="40"/>
  <c r="Q352" i="40"/>
  <c r="P352" i="40"/>
  <c r="L352" i="40"/>
  <c r="M352" i="40"/>
  <c r="N352" i="40" s="1"/>
  <c r="K352" i="40"/>
  <c r="G352" i="40"/>
  <c r="E352" i="40"/>
  <c r="Q351" i="40"/>
  <c r="P351" i="40"/>
  <c r="L351" i="40"/>
  <c r="M351" i="40" s="1"/>
  <c r="N351" i="40" s="1"/>
  <c r="K351" i="40"/>
  <c r="G351" i="40"/>
  <c r="E351" i="40"/>
  <c r="Q350" i="40"/>
  <c r="P350" i="40"/>
  <c r="L350" i="40"/>
  <c r="M350" i="40" s="1"/>
  <c r="N350" i="40" s="1"/>
  <c r="K350" i="40"/>
  <c r="G350" i="40"/>
  <c r="E350" i="40"/>
  <c r="Q349" i="40"/>
  <c r="P349" i="40"/>
  <c r="L349" i="40"/>
  <c r="M349" i="40" s="1"/>
  <c r="N349" i="40" s="1"/>
  <c r="K349" i="40"/>
  <c r="G349" i="40"/>
  <c r="E349" i="40"/>
  <c r="Q348" i="40"/>
  <c r="P348" i="40"/>
  <c r="L348" i="40"/>
  <c r="M348" i="40"/>
  <c r="N348" i="40" s="1"/>
  <c r="K348" i="40"/>
  <c r="G348" i="40"/>
  <c r="E348" i="40"/>
  <c r="Q347" i="40"/>
  <c r="P347" i="40"/>
  <c r="L347" i="40"/>
  <c r="M347" i="40"/>
  <c r="N347" i="40" s="1"/>
  <c r="K347" i="40"/>
  <c r="G347" i="40"/>
  <c r="E347" i="40"/>
  <c r="Q346" i="40"/>
  <c r="P346" i="40"/>
  <c r="L346" i="40"/>
  <c r="M346" i="40" s="1"/>
  <c r="N346" i="40" s="1"/>
  <c r="K346" i="40"/>
  <c r="G346" i="40"/>
  <c r="E346" i="40"/>
  <c r="Q345" i="40"/>
  <c r="P345" i="40"/>
  <c r="L345" i="40"/>
  <c r="M345" i="40"/>
  <c r="N345" i="40" s="1"/>
  <c r="K345" i="40"/>
  <c r="G345" i="40"/>
  <c r="E345" i="40"/>
  <c r="Q344" i="40"/>
  <c r="P344" i="40"/>
  <c r="L344" i="40"/>
  <c r="M344" i="40" s="1"/>
  <c r="N344" i="40" s="1"/>
  <c r="K344" i="40"/>
  <c r="G344" i="40"/>
  <c r="E344" i="40"/>
  <c r="Q343" i="40"/>
  <c r="P343" i="40"/>
  <c r="L343" i="40"/>
  <c r="M343" i="40" s="1"/>
  <c r="N343" i="40" s="1"/>
  <c r="K343" i="40"/>
  <c r="G343" i="40"/>
  <c r="E343" i="40"/>
  <c r="Q342" i="40"/>
  <c r="P342" i="40"/>
  <c r="L342" i="40"/>
  <c r="M342" i="40"/>
  <c r="N342" i="40" s="1"/>
  <c r="K342" i="40"/>
  <c r="G342" i="40"/>
  <c r="E342" i="40"/>
  <c r="Q341" i="40"/>
  <c r="P341" i="40"/>
  <c r="L341" i="40"/>
  <c r="M341" i="40" s="1"/>
  <c r="N341" i="40" s="1"/>
  <c r="K341" i="40"/>
  <c r="G341" i="40"/>
  <c r="E341" i="40"/>
  <c r="Q340" i="40"/>
  <c r="P340" i="40"/>
  <c r="L340" i="40"/>
  <c r="M340" i="40" s="1"/>
  <c r="N340" i="40" s="1"/>
  <c r="K340" i="40"/>
  <c r="G340" i="40"/>
  <c r="E340" i="40"/>
  <c r="Q339" i="40"/>
  <c r="P339" i="40"/>
  <c r="L339" i="40"/>
  <c r="M339" i="40"/>
  <c r="N339" i="40" s="1"/>
  <c r="K339" i="40"/>
  <c r="G339" i="40"/>
  <c r="E339" i="40"/>
  <c r="Q338" i="40"/>
  <c r="P338" i="40"/>
  <c r="L338" i="40"/>
  <c r="M338" i="40"/>
  <c r="N338" i="40" s="1"/>
  <c r="K338" i="40"/>
  <c r="G338" i="40"/>
  <c r="E338" i="40"/>
  <c r="Q337" i="40"/>
  <c r="P337" i="40"/>
  <c r="L337" i="40"/>
  <c r="M337" i="40" s="1"/>
  <c r="N337" i="40" s="1"/>
  <c r="K337" i="40"/>
  <c r="G337" i="40"/>
  <c r="E337" i="40"/>
  <c r="Q336" i="40"/>
  <c r="P336" i="40"/>
  <c r="L336" i="40"/>
  <c r="M336" i="40"/>
  <c r="N336" i="40" s="1"/>
  <c r="K336" i="40"/>
  <c r="G336" i="40"/>
  <c r="E336" i="40"/>
  <c r="Q335" i="40"/>
  <c r="P335" i="40"/>
  <c r="L335" i="40"/>
  <c r="M335" i="40" s="1"/>
  <c r="N335" i="40"/>
  <c r="K335" i="40"/>
  <c r="G335" i="40"/>
  <c r="E335" i="40"/>
  <c r="Q334" i="40"/>
  <c r="P334" i="40"/>
  <c r="L334" i="40"/>
  <c r="M334" i="40" s="1"/>
  <c r="N334" i="40" s="1"/>
  <c r="K334" i="40"/>
  <c r="G334" i="40"/>
  <c r="E334" i="40"/>
  <c r="Q333" i="40"/>
  <c r="P333" i="40"/>
  <c r="L333" i="40"/>
  <c r="M333" i="40"/>
  <c r="N333" i="40" s="1"/>
  <c r="K333" i="40"/>
  <c r="G333" i="40"/>
  <c r="E333" i="40"/>
  <c r="Q332" i="40"/>
  <c r="P332" i="40"/>
  <c r="L332" i="40"/>
  <c r="M332" i="40"/>
  <c r="N332" i="40" s="1"/>
  <c r="K332" i="40"/>
  <c r="G332" i="40"/>
  <c r="E332" i="40"/>
  <c r="Q331" i="40"/>
  <c r="P331" i="40"/>
  <c r="L331" i="40"/>
  <c r="M331" i="40" s="1"/>
  <c r="N331" i="40" s="1"/>
  <c r="K331" i="40"/>
  <c r="G331" i="40"/>
  <c r="E331" i="40"/>
  <c r="Q330" i="40"/>
  <c r="P330" i="40"/>
  <c r="L330" i="40"/>
  <c r="M330" i="40"/>
  <c r="N330" i="40" s="1"/>
  <c r="K330" i="40"/>
  <c r="G330" i="40"/>
  <c r="E330" i="40"/>
  <c r="Q329" i="40"/>
  <c r="P329" i="40"/>
  <c r="L329" i="40"/>
  <c r="M329" i="40" s="1"/>
  <c r="N329" i="40" s="1"/>
  <c r="K329" i="40"/>
  <c r="G329" i="40"/>
  <c r="E329" i="40"/>
  <c r="Q328" i="40"/>
  <c r="P328" i="40"/>
  <c r="L328" i="40"/>
  <c r="M328" i="40" s="1"/>
  <c r="N328" i="40" s="1"/>
  <c r="K328" i="40"/>
  <c r="G328" i="40"/>
  <c r="E328" i="40"/>
  <c r="Q327" i="40"/>
  <c r="P327" i="40"/>
  <c r="L327" i="40"/>
  <c r="M327" i="40"/>
  <c r="N327" i="40" s="1"/>
  <c r="K327" i="40"/>
  <c r="G327" i="40"/>
  <c r="E327" i="40"/>
  <c r="Q326" i="40"/>
  <c r="P326" i="40"/>
  <c r="L326" i="40"/>
  <c r="M326" i="40" s="1"/>
  <c r="N326" i="40" s="1"/>
  <c r="K326" i="40"/>
  <c r="G326" i="40"/>
  <c r="E326" i="40"/>
  <c r="Q325" i="40"/>
  <c r="P325" i="40"/>
  <c r="L325" i="40"/>
  <c r="M325" i="40" s="1"/>
  <c r="N325" i="40" s="1"/>
  <c r="K325" i="40"/>
  <c r="G325" i="40"/>
  <c r="E325" i="40"/>
  <c r="Q324" i="40"/>
  <c r="P324" i="40"/>
  <c r="L324" i="40"/>
  <c r="M324" i="40"/>
  <c r="N324" i="40" s="1"/>
  <c r="K324" i="40"/>
  <c r="G324" i="40"/>
  <c r="E324" i="40"/>
  <c r="Q323" i="40"/>
  <c r="P323" i="40"/>
  <c r="L323" i="40"/>
  <c r="M323" i="40"/>
  <c r="N323" i="40"/>
  <c r="K323" i="40"/>
  <c r="G323" i="40"/>
  <c r="E323" i="40"/>
  <c r="Q322" i="40"/>
  <c r="P322" i="40"/>
  <c r="L322" i="40"/>
  <c r="M322" i="40" s="1"/>
  <c r="N322" i="40" s="1"/>
  <c r="K322" i="40"/>
  <c r="G322" i="40"/>
  <c r="E322" i="40"/>
  <c r="Q321" i="40"/>
  <c r="P321" i="40"/>
  <c r="L321" i="40"/>
  <c r="M321" i="40" s="1"/>
  <c r="N321" i="40" s="1"/>
  <c r="K321" i="40"/>
  <c r="G321" i="40"/>
  <c r="E321" i="40"/>
  <c r="Q320" i="40"/>
  <c r="P320" i="40"/>
  <c r="L320" i="40"/>
  <c r="M320" i="40" s="1"/>
  <c r="N320" i="40" s="1"/>
  <c r="K320" i="40"/>
  <c r="G320" i="40"/>
  <c r="E320" i="40"/>
  <c r="Q319" i="40"/>
  <c r="P319" i="40"/>
  <c r="L319" i="40"/>
  <c r="M319" i="40" s="1"/>
  <c r="N319" i="40" s="1"/>
  <c r="K319" i="40"/>
  <c r="G319" i="40"/>
  <c r="E319" i="40"/>
  <c r="Q318" i="40"/>
  <c r="P318" i="40"/>
  <c r="L318" i="40"/>
  <c r="M318" i="40"/>
  <c r="N318" i="40" s="1"/>
  <c r="K318" i="40"/>
  <c r="G318" i="40"/>
  <c r="E318" i="40"/>
  <c r="Q317" i="40"/>
  <c r="P317" i="40"/>
  <c r="L317" i="40"/>
  <c r="M317" i="40"/>
  <c r="N317" i="40"/>
  <c r="K317" i="40"/>
  <c r="G317" i="40"/>
  <c r="E317" i="40"/>
  <c r="Q316" i="40"/>
  <c r="P316" i="40"/>
  <c r="L316" i="40"/>
  <c r="M316" i="40" s="1"/>
  <c r="N316" i="40" s="1"/>
  <c r="K316" i="40"/>
  <c r="G316" i="40"/>
  <c r="E316" i="40"/>
  <c r="Q315" i="40"/>
  <c r="P315" i="40"/>
  <c r="L315" i="40"/>
  <c r="M315" i="40" s="1"/>
  <c r="N315" i="40" s="1"/>
  <c r="K315" i="40"/>
  <c r="G315" i="40"/>
  <c r="E315" i="40"/>
  <c r="Q314" i="40"/>
  <c r="P314" i="40"/>
  <c r="L314" i="40"/>
  <c r="M314" i="40"/>
  <c r="N314" i="40"/>
  <c r="K314" i="40"/>
  <c r="G314" i="40"/>
  <c r="E314" i="40"/>
  <c r="Q313" i="40"/>
  <c r="P313" i="40"/>
  <c r="L313" i="40"/>
  <c r="M313" i="40" s="1"/>
  <c r="N313" i="40" s="1"/>
  <c r="K313" i="40"/>
  <c r="G313" i="40"/>
  <c r="E313" i="40"/>
  <c r="Q312" i="40"/>
  <c r="P312" i="40"/>
  <c r="L312" i="40"/>
  <c r="M312" i="40"/>
  <c r="N312" i="40" s="1"/>
  <c r="K312" i="40"/>
  <c r="G312" i="40"/>
  <c r="E312" i="40"/>
  <c r="Q311" i="40"/>
  <c r="P311" i="40"/>
  <c r="L311" i="40"/>
  <c r="M311" i="40"/>
  <c r="N311" i="40" s="1"/>
  <c r="K311" i="40"/>
  <c r="G311" i="40"/>
  <c r="E311" i="40"/>
  <c r="Q310" i="40"/>
  <c r="P310" i="40"/>
  <c r="L310" i="40"/>
  <c r="M310" i="40" s="1"/>
  <c r="N310" i="40" s="1"/>
  <c r="K310" i="40"/>
  <c r="G310" i="40"/>
  <c r="E310" i="40"/>
  <c r="Q309" i="40"/>
  <c r="P309" i="40"/>
  <c r="L309" i="40"/>
  <c r="M309" i="40"/>
  <c r="N309" i="40" s="1"/>
  <c r="K309" i="40"/>
  <c r="G309" i="40"/>
  <c r="E309" i="40"/>
  <c r="Q308" i="40"/>
  <c r="P308" i="40"/>
  <c r="L308" i="40"/>
  <c r="M308" i="40" s="1"/>
  <c r="N308" i="40" s="1"/>
  <c r="K308" i="40"/>
  <c r="G308" i="40"/>
  <c r="E308" i="40"/>
  <c r="Q307" i="40"/>
  <c r="P307" i="40"/>
  <c r="L307" i="40"/>
  <c r="M307" i="40" s="1"/>
  <c r="N307" i="40" s="1"/>
  <c r="K307" i="40"/>
  <c r="G307" i="40"/>
  <c r="E307" i="40"/>
  <c r="Q306" i="40"/>
  <c r="P306" i="40"/>
  <c r="L306" i="40"/>
  <c r="M306" i="40" s="1"/>
  <c r="N306" i="40" s="1"/>
  <c r="K306" i="40"/>
  <c r="G306" i="40"/>
  <c r="E306" i="40"/>
  <c r="Q305" i="40"/>
  <c r="P305" i="40"/>
  <c r="L305" i="40"/>
  <c r="M305" i="40" s="1"/>
  <c r="N305" i="40" s="1"/>
  <c r="K305" i="40"/>
  <c r="G305" i="40"/>
  <c r="E305" i="40"/>
  <c r="Q304" i="40"/>
  <c r="P304" i="40"/>
  <c r="L304" i="40"/>
  <c r="K304" i="40"/>
  <c r="G304" i="40"/>
  <c r="E304" i="40"/>
  <c r="Q303" i="40"/>
  <c r="P303" i="40"/>
  <c r="L303" i="40"/>
  <c r="M303" i="40" s="1"/>
  <c r="N303" i="40" s="1"/>
  <c r="K303" i="40"/>
  <c r="G303" i="40"/>
  <c r="E303" i="40"/>
  <c r="Q302" i="40"/>
  <c r="P302" i="40"/>
  <c r="L302" i="40"/>
  <c r="M302" i="40" s="1"/>
  <c r="N302" i="40" s="1"/>
  <c r="K302" i="40"/>
  <c r="G302" i="40"/>
  <c r="E302" i="40"/>
  <c r="Q301" i="40"/>
  <c r="P301" i="40"/>
  <c r="L301" i="40"/>
  <c r="M301" i="40" s="1"/>
  <c r="K301" i="40"/>
  <c r="G301" i="40"/>
  <c r="E301" i="40"/>
  <c r="Q300" i="40"/>
  <c r="P300" i="40"/>
  <c r="L300" i="40"/>
  <c r="M300" i="40" s="1"/>
  <c r="N300" i="40" s="1"/>
  <c r="K300" i="40"/>
  <c r="G300" i="40"/>
  <c r="E300" i="40"/>
  <c r="Q299" i="40"/>
  <c r="P299" i="40"/>
  <c r="L299" i="40"/>
  <c r="M299" i="40"/>
  <c r="N299" i="40" s="1"/>
  <c r="K299" i="40"/>
  <c r="G299" i="40"/>
  <c r="E299" i="40"/>
  <c r="Q298" i="40"/>
  <c r="P298" i="40"/>
  <c r="L298" i="40"/>
  <c r="M298" i="40" s="1"/>
  <c r="N298" i="40" s="1"/>
  <c r="K298" i="40"/>
  <c r="G298" i="40"/>
  <c r="E298" i="40"/>
  <c r="Q297" i="40"/>
  <c r="P297" i="40"/>
  <c r="L297" i="40"/>
  <c r="M297" i="40"/>
  <c r="N297" i="40" s="1"/>
  <c r="K297" i="40"/>
  <c r="G297" i="40"/>
  <c r="E297" i="40"/>
  <c r="Q296" i="40"/>
  <c r="P296" i="40"/>
  <c r="L296" i="40"/>
  <c r="M296" i="40" s="1"/>
  <c r="N296" i="40" s="1"/>
  <c r="K296" i="40"/>
  <c r="G296" i="40"/>
  <c r="E296" i="40"/>
  <c r="Q295" i="40"/>
  <c r="P295" i="40"/>
  <c r="L295" i="40"/>
  <c r="M295" i="40" s="1"/>
  <c r="N295" i="40" s="1"/>
  <c r="K295" i="40"/>
  <c r="G295" i="40"/>
  <c r="E295" i="40"/>
  <c r="Q294" i="40"/>
  <c r="P294" i="40"/>
  <c r="L294" i="40"/>
  <c r="M294" i="40" s="1"/>
  <c r="N294" i="40" s="1"/>
  <c r="K294" i="40"/>
  <c r="G294" i="40"/>
  <c r="E294" i="40"/>
  <c r="Q293" i="40"/>
  <c r="P293" i="40"/>
  <c r="L293" i="40"/>
  <c r="M293" i="40"/>
  <c r="N293" i="40" s="1"/>
  <c r="K293" i="40"/>
  <c r="G293" i="40"/>
  <c r="E293" i="40"/>
  <c r="Q292" i="40"/>
  <c r="P292" i="40"/>
  <c r="L292" i="40"/>
  <c r="M292" i="40" s="1"/>
  <c r="N292" i="40" s="1"/>
  <c r="K292" i="40"/>
  <c r="G292" i="40"/>
  <c r="E292" i="40"/>
  <c r="Q291" i="40"/>
  <c r="P291" i="40"/>
  <c r="L291" i="40"/>
  <c r="M291" i="40"/>
  <c r="N291" i="40" s="1"/>
  <c r="K291" i="40"/>
  <c r="G291" i="40"/>
  <c r="E291" i="40"/>
  <c r="Q290" i="40"/>
  <c r="P290" i="40"/>
  <c r="L290" i="40"/>
  <c r="M290" i="40" s="1"/>
  <c r="N290" i="40" s="1"/>
  <c r="K290" i="40"/>
  <c r="G290" i="40"/>
  <c r="E290" i="40"/>
  <c r="Q289" i="40"/>
  <c r="P289" i="40"/>
  <c r="L289" i="40"/>
  <c r="M289" i="40" s="1"/>
  <c r="N289" i="40" s="1"/>
  <c r="K289" i="40"/>
  <c r="G289" i="40"/>
  <c r="E289" i="40"/>
  <c r="Q288" i="40"/>
  <c r="P288" i="40"/>
  <c r="L288" i="40"/>
  <c r="M288" i="40" s="1"/>
  <c r="N288" i="40"/>
  <c r="K288" i="40"/>
  <c r="G288" i="40"/>
  <c r="E288" i="40"/>
  <c r="Q287" i="40"/>
  <c r="P287" i="40"/>
  <c r="L287" i="40"/>
  <c r="M287" i="40" s="1"/>
  <c r="N287" i="40" s="1"/>
  <c r="K287" i="40"/>
  <c r="G287" i="40"/>
  <c r="E287" i="40"/>
  <c r="Q286" i="40"/>
  <c r="P286" i="40"/>
  <c r="L286" i="40"/>
  <c r="M286" i="40" s="1"/>
  <c r="N286" i="40" s="1"/>
  <c r="K286" i="40"/>
  <c r="G286" i="40"/>
  <c r="E286" i="40"/>
  <c r="Q285" i="40"/>
  <c r="P285" i="40"/>
  <c r="L285" i="40"/>
  <c r="M285" i="40" s="1"/>
  <c r="N285" i="40" s="1"/>
  <c r="K285" i="40"/>
  <c r="G285" i="40"/>
  <c r="E285" i="40"/>
  <c r="Q284" i="40"/>
  <c r="P284" i="40"/>
  <c r="L284" i="40"/>
  <c r="M284" i="40"/>
  <c r="N284" i="40" s="1"/>
  <c r="K284" i="40"/>
  <c r="G284" i="40"/>
  <c r="E284" i="40"/>
  <c r="Q283" i="40"/>
  <c r="P283" i="40"/>
  <c r="L283" i="40"/>
  <c r="M283" i="40" s="1"/>
  <c r="N283" i="40" s="1"/>
  <c r="K283" i="40"/>
  <c r="G283" i="40"/>
  <c r="E283" i="40"/>
  <c r="Q282" i="40"/>
  <c r="P282" i="40"/>
  <c r="L282" i="40"/>
  <c r="M282" i="40" s="1"/>
  <c r="N282" i="40" s="1"/>
  <c r="K282" i="40"/>
  <c r="G282" i="40"/>
  <c r="E282" i="40"/>
  <c r="Q281" i="40"/>
  <c r="P281" i="40"/>
  <c r="L281" i="40"/>
  <c r="M281" i="40" s="1"/>
  <c r="N281" i="40" s="1"/>
  <c r="K281" i="40"/>
  <c r="G281" i="40"/>
  <c r="E281" i="40"/>
  <c r="Q280" i="40"/>
  <c r="P280" i="40"/>
  <c r="L280" i="40"/>
  <c r="M280" i="40"/>
  <c r="N280" i="40" s="1"/>
  <c r="K280" i="40"/>
  <c r="G280" i="40"/>
  <c r="E280" i="40"/>
  <c r="Q279" i="40"/>
  <c r="P279" i="40"/>
  <c r="L279" i="40"/>
  <c r="M279" i="40" s="1"/>
  <c r="N279" i="40" s="1"/>
  <c r="K279" i="40"/>
  <c r="G279" i="40"/>
  <c r="E279" i="40"/>
  <c r="Q278" i="40"/>
  <c r="P278" i="40"/>
  <c r="L278" i="40"/>
  <c r="M278" i="40"/>
  <c r="N278" i="40" s="1"/>
  <c r="Q277" i="40"/>
  <c r="P277" i="40"/>
  <c r="L277" i="40"/>
  <c r="M277" i="40" s="1"/>
  <c r="N277" i="40" s="1"/>
  <c r="K277" i="40"/>
  <c r="G277" i="40"/>
  <c r="E277" i="40"/>
  <c r="Q276" i="40"/>
  <c r="P276" i="40"/>
  <c r="L276" i="40"/>
  <c r="M276" i="40" s="1"/>
  <c r="N276" i="40" s="1"/>
  <c r="Q275" i="40"/>
  <c r="P275" i="40"/>
  <c r="L275" i="40"/>
  <c r="M275" i="40" s="1"/>
  <c r="N275" i="40"/>
  <c r="K275" i="40"/>
  <c r="G275" i="40"/>
  <c r="E275" i="40"/>
  <c r="Q274" i="40"/>
  <c r="P274" i="40"/>
  <c r="L274" i="40"/>
  <c r="M274" i="40" s="1"/>
  <c r="N274" i="40" s="1"/>
  <c r="K274" i="40"/>
  <c r="G274" i="40"/>
  <c r="E274" i="40"/>
  <c r="Q273" i="40"/>
  <c r="P273" i="40"/>
  <c r="L273" i="40"/>
  <c r="M273" i="40" s="1"/>
  <c r="N273" i="40" s="1"/>
  <c r="K273" i="40"/>
  <c r="G273" i="40"/>
  <c r="E273" i="40"/>
  <c r="Q272" i="40"/>
  <c r="P272" i="40"/>
  <c r="L272" i="40"/>
  <c r="M272" i="40" s="1"/>
  <c r="N272" i="40" s="1"/>
  <c r="K272" i="40"/>
  <c r="G272" i="40"/>
  <c r="E272" i="40"/>
  <c r="Q271" i="40"/>
  <c r="P271" i="40"/>
  <c r="L271" i="40"/>
  <c r="M271" i="40" s="1"/>
  <c r="N271" i="40" s="1"/>
  <c r="K271" i="40"/>
  <c r="G271" i="40"/>
  <c r="E271" i="40"/>
  <c r="Q270" i="40"/>
  <c r="P270" i="40"/>
  <c r="L270" i="40"/>
  <c r="M270" i="40"/>
  <c r="N270" i="40" s="1"/>
  <c r="K270" i="40"/>
  <c r="G270" i="40"/>
  <c r="E270" i="40"/>
  <c r="Q269" i="40"/>
  <c r="P269" i="40"/>
  <c r="L269" i="40"/>
  <c r="M269" i="40" s="1"/>
  <c r="N269" i="40"/>
  <c r="K269" i="40"/>
  <c r="G269" i="40"/>
  <c r="E269" i="40"/>
  <c r="Q268" i="40"/>
  <c r="P268" i="40"/>
  <c r="L268" i="40"/>
  <c r="M268" i="40" s="1"/>
  <c r="N268" i="40" s="1"/>
  <c r="K268" i="40"/>
  <c r="G268" i="40"/>
  <c r="E268" i="40"/>
  <c r="Q267" i="40"/>
  <c r="P267" i="40"/>
  <c r="L267" i="40"/>
  <c r="M267" i="40"/>
  <c r="N267" i="40" s="1"/>
  <c r="K267" i="40"/>
  <c r="G267" i="40"/>
  <c r="E267" i="40"/>
  <c r="Q266" i="40"/>
  <c r="P266" i="40"/>
  <c r="L266" i="40"/>
  <c r="M266" i="40" s="1"/>
  <c r="N266" i="40" s="1"/>
  <c r="K266" i="40"/>
  <c r="G266" i="40"/>
  <c r="E266" i="40"/>
  <c r="Q265" i="40"/>
  <c r="P265" i="40"/>
  <c r="L265" i="40"/>
  <c r="M265" i="40" s="1"/>
  <c r="N265" i="40" s="1"/>
  <c r="K265" i="40"/>
  <c r="G265" i="40"/>
  <c r="E265" i="40"/>
  <c r="Q264" i="40"/>
  <c r="P264" i="40"/>
  <c r="L264" i="40"/>
  <c r="M264" i="40" s="1"/>
  <c r="N264" i="40" s="1"/>
  <c r="K264" i="40"/>
  <c r="G264" i="40"/>
  <c r="E264" i="40"/>
  <c r="Q263" i="40"/>
  <c r="P263" i="40"/>
  <c r="L263" i="40"/>
  <c r="M263" i="40" s="1"/>
  <c r="N263" i="40" s="1"/>
  <c r="K263" i="40"/>
  <c r="G263" i="40"/>
  <c r="E263" i="40"/>
  <c r="Q262" i="40"/>
  <c r="P262" i="40"/>
  <c r="L262" i="40"/>
  <c r="M262" i="40" s="1"/>
  <c r="N262" i="40" s="1"/>
  <c r="K262" i="40"/>
  <c r="G262" i="40"/>
  <c r="E262" i="40"/>
  <c r="Q261" i="40"/>
  <c r="P261" i="40"/>
  <c r="L261" i="40"/>
  <c r="M261" i="40"/>
  <c r="N261" i="40" s="1"/>
  <c r="K261" i="40"/>
  <c r="G261" i="40"/>
  <c r="E261" i="40"/>
  <c r="Q260" i="40"/>
  <c r="P260" i="40"/>
  <c r="L260" i="40"/>
  <c r="M260" i="40" s="1"/>
  <c r="N260" i="40" s="1"/>
  <c r="K260" i="40"/>
  <c r="G260" i="40"/>
  <c r="E260" i="40"/>
  <c r="Q259" i="40"/>
  <c r="P259" i="40"/>
  <c r="L259" i="40"/>
  <c r="M259" i="40" s="1"/>
  <c r="N259" i="40" s="1"/>
  <c r="K259" i="40"/>
  <c r="G259" i="40"/>
  <c r="E259" i="40"/>
  <c r="Q258" i="40"/>
  <c r="P258" i="40"/>
  <c r="L258" i="40"/>
  <c r="M258" i="40" s="1"/>
  <c r="N258" i="40" s="1"/>
  <c r="K258" i="40"/>
  <c r="G258" i="40"/>
  <c r="E258" i="40"/>
  <c r="Q257" i="40"/>
  <c r="P257" i="40"/>
  <c r="L257" i="40"/>
  <c r="M257" i="40" s="1"/>
  <c r="N257" i="40" s="1"/>
  <c r="K257" i="40"/>
  <c r="G257" i="40"/>
  <c r="E257" i="40"/>
  <c r="Q256" i="40"/>
  <c r="P256" i="40"/>
  <c r="L256" i="40"/>
  <c r="M256" i="40" s="1"/>
  <c r="N256" i="40" s="1"/>
  <c r="K256" i="40"/>
  <c r="G256" i="40"/>
  <c r="E256" i="40"/>
  <c r="Q255" i="40"/>
  <c r="P255" i="40"/>
  <c r="L255" i="40"/>
  <c r="M255" i="40" s="1"/>
  <c r="N255" i="40" s="1"/>
  <c r="K255" i="40"/>
  <c r="G255" i="40"/>
  <c r="E255" i="40"/>
  <c r="Q254" i="40"/>
  <c r="P254" i="40"/>
  <c r="L254" i="40"/>
  <c r="M254" i="40" s="1"/>
  <c r="N254" i="40" s="1"/>
  <c r="K254" i="40"/>
  <c r="G254" i="40"/>
  <c r="E254" i="40"/>
  <c r="Q253" i="40"/>
  <c r="P253" i="40"/>
  <c r="L253" i="40"/>
  <c r="M253" i="40" s="1"/>
  <c r="N253" i="40"/>
  <c r="K253" i="40"/>
  <c r="G253" i="40"/>
  <c r="E253" i="40"/>
  <c r="Q252" i="40"/>
  <c r="P252" i="40"/>
  <c r="L252" i="40"/>
  <c r="M252" i="40"/>
  <c r="N252" i="40" s="1"/>
  <c r="K252" i="40"/>
  <c r="G252" i="40"/>
  <c r="E252" i="40"/>
  <c r="Q251" i="40"/>
  <c r="P251" i="40"/>
  <c r="L251" i="40"/>
  <c r="M251" i="40" s="1"/>
  <c r="N251" i="40" s="1"/>
  <c r="K251" i="40"/>
  <c r="G251" i="40"/>
  <c r="E251" i="40"/>
  <c r="Q250" i="40"/>
  <c r="P250" i="40"/>
  <c r="L250" i="40"/>
  <c r="M250" i="40" s="1"/>
  <c r="N250" i="40" s="1"/>
  <c r="K250" i="40"/>
  <c r="G250" i="40"/>
  <c r="E250" i="40"/>
  <c r="Q249" i="40"/>
  <c r="P249" i="40"/>
  <c r="L249" i="40"/>
  <c r="M249" i="40" s="1"/>
  <c r="N249" i="40" s="1"/>
  <c r="K249" i="40"/>
  <c r="G249" i="40"/>
  <c r="E249" i="40"/>
  <c r="Q248" i="40"/>
  <c r="P248" i="40"/>
  <c r="L248" i="40"/>
  <c r="M248" i="40"/>
  <c r="N248" i="40" s="1"/>
  <c r="K248" i="40"/>
  <c r="G248" i="40"/>
  <c r="E248" i="40"/>
  <c r="Q247" i="40"/>
  <c r="P247" i="40"/>
  <c r="L247" i="40"/>
  <c r="M247" i="40" s="1"/>
  <c r="N247" i="40"/>
  <c r="K247" i="40"/>
  <c r="G247" i="40"/>
  <c r="E247" i="40"/>
  <c r="Q246" i="40"/>
  <c r="P246" i="40"/>
  <c r="L246" i="40"/>
  <c r="M246" i="40" s="1"/>
  <c r="N246" i="40" s="1"/>
  <c r="K246" i="40"/>
  <c r="G246" i="40"/>
  <c r="E246" i="40"/>
  <c r="Q245" i="40"/>
  <c r="P245" i="40"/>
  <c r="L245" i="40"/>
  <c r="M245" i="40" s="1"/>
  <c r="N245" i="40" s="1"/>
  <c r="K245" i="40"/>
  <c r="G245" i="40"/>
  <c r="E245" i="40"/>
  <c r="Q244" i="40"/>
  <c r="P244" i="40"/>
  <c r="L244" i="40"/>
  <c r="M244" i="40" s="1"/>
  <c r="N244" i="40" s="1"/>
  <c r="K244" i="40"/>
  <c r="G244" i="40"/>
  <c r="E244" i="40"/>
  <c r="Q243" i="40"/>
  <c r="P243" i="40"/>
  <c r="L243" i="40"/>
  <c r="M243" i="40"/>
  <c r="N243" i="40" s="1"/>
  <c r="K243" i="40"/>
  <c r="G243" i="40"/>
  <c r="E243" i="40"/>
  <c r="Q242" i="40"/>
  <c r="P242" i="40"/>
  <c r="L242" i="40"/>
  <c r="M242" i="40" s="1"/>
  <c r="N242" i="40" s="1"/>
  <c r="K242" i="40"/>
  <c r="G242" i="40"/>
  <c r="E242" i="40"/>
  <c r="Q241" i="40"/>
  <c r="P241" i="40"/>
  <c r="L241" i="40"/>
  <c r="M241" i="40" s="1"/>
  <c r="N241" i="40" s="1"/>
  <c r="K241" i="40"/>
  <c r="G241" i="40"/>
  <c r="E241" i="40"/>
  <c r="Q240" i="40"/>
  <c r="P240" i="40"/>
  <c r="L240" i="40"/>
  <c r="M240" i="40" s="1"/>
  <c r="N240" i="40" s="1"/>
  <c r="K240" i="40"/>
  <c r="G240" i="40"/>
  <c r="E240" i="40"/>
  <c r="Q239" i="40"/>
  <c r="P239" i="40"/>
  <c r="L239" i="40"/>
  <c r="M239" i="40" s="1"/>
  <c r="N239" i="40" s="1"/>
  <c r="K239" i="40"/>
  <c r="G239" i="40"/>
  <c r="E239" i="40"/>
  <c r="Q238" i="40"/>
  <c r="P238" i="40"/>
  <c r="L238" i="40"/>
  <c r="M238" i="40"/>
  <c r="K238" i="40"/>
  <c r="G238" i="40"/>
  <c r="E238" i="40"/>
  <c r="Q237" i="40"/>
  <c r="P237" i="40"/>
  <c r="L237" i="40"/>
  <c r="M237" i="40" s="1"/>
  <c r="N237" i="40" s="1"/>
  <c r="K237" i="40"/>
  <c r="G237" i="40"/>
  <c r="E237" i="40"/>
  <c r="Q236" i="40"/>
  <c r="P236" i="40"/>
  <c r="L236" i="40"/>
  <c r="M236" i="40" s="1"/>
  <c r="N236" i="40" s="1"/>
  <c r="K236" i="40"/>
  <c r="G236" i="40"/>
  <c r="E236" i="40"/>
  <c r="Q235" i="40"/>
  <c r="P235" i="40"/>
  <c r="L235" i="40"/>
  <c r="M235" i="40" s="1"/>
  <c r="N235" i="40" s="1"/>
  <c r="K235" i="40"/>
  <c r="G235" i="40"/>
  <c r="E235" i="40"/>
  <c r="Q234" i="40"/>
  <c r="P234" i="40"/>
  <c r="L234" i="40"/>
  <c r="M234" i="40" s="1"/>
  <c r="N234" i="40" s="1"/>
  <c r="K234" i="40"/>
  <c r="G234" i="40"/>
  <c r="E234" i="40"/>
  <c r="Q233" i="40"/>
  <c r="P233" i="40"/>
  <c r="L233" i="40"/>
  <c r="M233" i="40"/>
  <c r="N233" i="40" s="1"/>
  <c r="K233" i="40"/>
  <c r="G233" i="40"/>
  <c r="E233" i="40"/>
  <c r="Q232" i="40"/>
  <c r="P232" i="40"/>
  <c r="L232" i="40"/>
  <c r="M232" i="40" s="1"/>
  <c r="N232" i="40" s="1"/>
  <c r="K232" i="40"/>
  <c r="G232" i="40"/>
  <c r="E232" i="40"/>
  <c r="Q231" i="40"/>
  <c r="P231" i="40"/>
  <c r="L231" i="40"/>
  <c r="M231" i="40" s="1"/>
  <c r="N231" i="40" s="1"/>
  <c r="K231" i="40"/>
  <c r="G231" i="40"/>
  <c r="E231" i="40"/>
  <c r="Q230" i="40"/>
  <c r="P230" i="40"/>
  <c r="L230" i="40"/>
  <c r="M230" i="40"/>
  <c r="N230" i="40" s="1"/>
  <c r="K230" i="40"/>
  <c r="G230" i="40"/>
  <c r="E230" i="40"/>
  <c r="Q229" i="40"/>
  <c r="P229" i="40"/>
  <c r="L229" i="40"/>
  <c r="M229" i="40" s="1"/>
  <c r="N229" i="40" s="1"/>
  <c r="K229" i="40"/>
  <c r="G229" i="40"/>
  <c r="E229" i="40"/>
  <c r="Q228" i="40"/>
  <c r="P228" i="40"/>
  <c r="L228" i="40"/>
  <c r="M228" i="40" s="1"/>
  <c r="N228" i="40" s="1"/>
  <c r="K228" i="40"/>
  <c r="G228" i="40"/>
  <c r="E228" i="40"/>
  <c r="Q227" i="40"/>
  <c r="P227" i="40"/>
  <c r="L227" i="40"/>
  <c r="M227" i="40"/>
  <c r="N227" i="40" s="1"/>
  <c r="K227" i="40"/>
  <c r="G227" i="40"/>
  <c r="E227" i="40"/>
  <c r="Q226" i="40"/>
  <c r="P226" i="40"/>
  <c r="L226" i="40"/>
  <c r="M226" i="40" s="1"/>
  <c r="N226" i="40" s="1"/>
  <c r="K226" i="40"/>
  <c r="G226" i="40"/>
  <c r="E226" i="40"/>
  <c r="Q225" i="40"/>
  <c r="P225" i="40"/>
  <c r="L225" i="40"/>
  <c r="M225" i="40" s="1"/>
  <c r="N225" i="40" s="1"/>
  <c r="K225" i="40"/>
  <c r="G225" i="40"/>
  <c r="E225" i="40"/>
  <c r="Q224" i="40"/>
  <c r="P224" i="40"/>
  <c r="L224" i="40"/>
  <c r="M224" i="40" s="1"/>
  <c r="N224" i="40" s="1"/>
  <c r="K224" i="40"/>
  <c r="G224" i="40"/>
  <c r="E224" i="40"/>
  <c r="Q223" i="40"/>
  <c r="P223" i="40"/>
  <c r="L223" i="40"/>
  <c r="M223" i="40" s="1"/>
  <c r="N223" i="40" s="1"/>
  <c r="K223" i="40"/>
  <c r="G223" i="40"/>
  <c r="E223" i="40"/>
  <c r="Q222" i="40"/>
  <c r="P222" i="40"/>
  <c r="L222" i="40"/>
  <c r="M222" i="40" s="1"/>
  <c r="N222" i="40" s="1"/>
  <c r="K222" i="40"/>
  <c r="G222" i="40"/>
  <c r="E222" i="40"/>
  <c r="Q221" i="40"/>
  <c r="P221" i="40"/>
  <c r="L221" i="40"/>
  <c r="M221" i="40" s="1"/>
  <c r="N221" i="40" s="1"/>
  <c r="K221" i="40"/>
  <c r="G221" i="40"/>
  <c r="E221" i="40"/>
  <c r="Q220" i="40"/>
  <c r="P220" i="40"/>
  <c r="L220" i="40"/>
  <c r="M220" i="40" s="1"/>
  <c r="N220" i="40" s="1"/>
  <c r="K220" i="40"/>
  <c r="G220" i="40"/>
  <c r="E220" i="40"/>
  <c r="Q219" i="40"/>
  <c r="P219" i="40"/>
  <c r="L219" i="40"/>
  <c r="M219" i="40" s="1"/>
  <c r="N219" i="40" s="1"/>
  <c r="K219" i="40"/>
  <c r="G219" i="40"/>
  <c r="E219" i="40"/>
  <c r="Q218" i="40"/>
  <c r="P218" i="40"/>
  <c r="L218" i="40"/>
  <c r="M218" i="40" s="1"/>
  <c r="N218" i="40" s="1"/>
  <c r="K218" i="40"/>
  <c r="G218" i="40"/>
  <c r="E218" i="40"/>
  <c r="Q217" i="40"/>
  <c r="P217" i="40"/>
  <c r="L217" i="40"/>
  <c r="M217" i="40" s="1"/>
  <c r="N217" i="40" s="1"/>
  <c r="Q216" i="40"/>
  <c r="P216" i="40"/>
  <c r="L216" i="40"/>
  <c r="M216" i="40" s="1"/>
  <c r="N216" i="40" s="1"/>
  <c r="K216" i="40"/>
  <c r="G216" i="40"/>
  <c r="E216" i="40"/>
  <c r="Q215" i="40"/>
  <c r="P215" i="40"/>
  <c r="L215" i="40"/>
  <c r="M215" i="40"/>
  <c r="N215" i="40" s="1"/>
  <c r="K215" i="40"/>
  <c r="G215" i="40"/>
  <c r="E215" i="40"/>
  <c r="Q214" i="40"/>
  <c r="P214" i="40"/>
  <c r="L214" i="40"/>
  <c r="M214" i="40" s="1"/>
  <c r="N214" i="40" s="1"/>
  <c r="K214" i="40"/>
  <c r="G214" i="40"/>
  <c r="E214" i="40"/>
  <c r="Q213" i="40"/>
  <c r="P213" i="40"/>
  <c r="L213" i="40"/>
  <c r="M213" i="40" s="1"/>
  <c r="N213" i="40" s="1"/>
  <c r="K213" i="40"/>
  <c r="G213" i="40"/>
  <c r="E213" i="40"/>
  <c r="Q212" i="40"/>
  <c r="P212" i="40"/>
  <c r="L212" i="40"/>
  <c r="M212" i="40"/>
  <c r="N212" i="40" s="1"/>
  <c r="K212" i="40"/>
  <c r="G212" i="40"/>
  <c r="E212" i="40"/>
  <c r="Q211" i="40"/>
  <c r="P211" i="40"/>
  <c r="L211" i="40"/>
  <c r="M211" i="40" s="1"/>
  <c r="N211" i="40" s="1"/>
  <c r="K211" i="40"/>
  <c r="G211" i="40"/>
  <c r="E211" i="40"/>
  <c r="Q210" i="40"/>
  <c r="P210" i="40"/>
  <c r="L210" i="40"/>
  <c r="M210" i="40" s="1"/>
  <c r="N210" i="40" s="1"/>
  <c r="K210" i="40"/>
  <c r="G210" i="40"/>
  <c r="E210" i="40"/>
  <c r="Q209" i="40"/>
  <c r="P209" i="40"/>
  <c r="L209" i="40"/>
  <c r="M209" i="40"/>
  <c r="N209" i="40" s="1"/>
  <c r="K209" i="40"/>
  <c r="G209" i="40"/>
  <c r="E209" i="40"/>
  <c r="Q208" i="40"/>
  <c r="P208" i="40"/>
  <c r="L208" i="40"/>
  <c r="M208" i="40" s="1"/>
  <c r="N208" i="40" s="1"/>
  <c r="K208" i="40"/>
  <c r="G208" i="40"/>
  <c r="E208" i="40"/>
  <c r="Q207" i="40"/>
  <c r="P207" i="40"/>
  <c r="L207" i="40"/>
  <c r="M207" i="40" s="1"/>
  <c r="N207" i="40" s="1"/>
  <c r="K207" i="40"/>
  <c r="G207" i="40"/>
  <c r="E207" i="40"/>
  <c r="Q206" i="40"/>
  <c r="P206" i="40"/>
  <c r="L206" i="40"/>
  <c r="M206" i="40" s="1"/>
  <c r="N206" i="40" s="1"/>
  <c r="K206" i="40"/>
  <c r="G206" i="40"/>
  <c r="E206" i="40"/>
  <c r="Q205" i="40"/>
  <c r="P205" i="40"/>
  <c r="L205" i="40"/>
  <c r="M205" i="40" s="1"/>
  <c r="N205" i="40" s="1"/>
  <c r="K205" i="40"/>
  <c r="G205" i="40"/>
  <c r="E205" i="40"/>
  <c r="Q204" i="40"/>
  <c r="P204" i="40"/>
  <c r="L204" i="40"/>
  <c r="M204" i="40" s="1"/>
  <c r="N204" i="40" s="1"/>
  <c r="K204" i="40"/>
  <c r="G204" i="40"/>
  <c r="E204" i="40"/>
  <c r="Q203" i="40"/>
  <c r="P203" i="40"/>
  <c r="L203" i="40"/>
  <c r="M203" i="40"/>
  <c r="N203" i="40" s="1"/>
  <c r="K203" i="40"/>
  <c r="G203" i="40"/>
  <c r="E203" i="40"/>
  <c r="Q202" i="40"/>
  <c r="P202" i="40"/>
  <c r="L202" i="40"/>
  <c r="M202" i="40" s="1"/>
  <c r="N202" i="40" s="1"/>
  <c r="G202" i="40"/>
  <c r="E202" i="40"/>
  <c r="Q201" i="40"/>
  <c r="P201" i="40"/>
  <c r="L201" i="40"/>
  <c r="M201" i="40" s="1"/>
  <c r="N201" i="40" s="1"/>
  <c r="G201" i="40"/>
  <c r="E201" i="40"/>
  <c r="Q200" i="40"/>
  <c r="P200" i="40"/>
  <c r="L200" i="40"/>
  <c r="M200" i="40" s="1"/>
  <c r="N200" i="40" s="1"/>
  <c r="G200" i="40"/>
  <c r="E200" i="40"/>
  <c r="Q199" i="40"/>
  <c r="P199" i="40"/>
  <c r="L199" i="40"/>
  <c r="M199" i="40"/>
  <c r="N199" i="40" s="1"/>
  <c r="G199" i="40"/>
  <c r="E199" i="40"/>
  <c r="Q198" i="40"/>
  <c r="P198" i="40"/>
  <c r="L198" i="40"/>
  <c r="M198" i="40"/>
  <c r="N198" i="40" s="1"/>
  <c r="Q197" i="40"/>
  <c r="P197" i="40"/>
  <c r="L197" i="40"/>
  <c r="M197" i="40"/>
  <c r="N197" i="40" s="1"/>
  <c r="K197" i="40"/>
  <c r="G197" i="40"/>
  <c r="E197" i="40"/>
  <c r="Q196" i="40"/>
  <c r="P196" i="40"/>
  <c r="L196" i="40"/>
  <c r="M196" i="40" s="1"/>
  <c r="N196" i="40" s="1"/>
  <c r="K196" i="40"/>
  <c r="G196" i="40"/>
  <c r="E196" i="40"/>
  <c r="Q195" i="40"/>
  <c r="P195" i="40"/>
  <c r="L195" i="40"/>
  <c r="M195" i="40"/>
  <c r="N195" i="40" s="1"/>
  <c r="K195" i="40"/>
  <c r="G195" i="40"/>
  <c r="E195" i="40"/>
  <c r="Q194" i="40"/>
  <c r="P194" i="40"/>
  <c r="L194" i="40"/>
  <c r="M194" i="40"/>
  <c r="N194" i="40" s="1"/>
  <c r="K194" i="40"/>
  <c r="G194" i="40"/>
  <c r="E194" i="40"/>
  <c r="Q193" i="40"/>
  <c r="P193" i="40"/>
  <c r="E193" i="40"/>
  <c r="Q192" i="40"/>
  <c r="P192" i="40"/>
  <c r="L192" i="40"/>
  <c r="M192" i="40"/>
  <c r="N192" i="40" s="1"/>
  <c r="K192" i="40"/>
  <c r="G192" i="40"/>
  <c r="E192" i="40"/>
  <c r="Q191" i="40"/>
  <c r="P191" i="40"/>
  <c r="L191" i="40"/>
  <c r="M191" i="40" s="1"/>
  <c r="N191" i="40" s="1"/>
  <c r="K191" i="40"/>
  <c r="G191" i="40"/>
  <c r="E191" i="40"/>
  <c r="Q190" i="40"/>
  <c r="P190" i="40"/>
  <c r="L190" i="40"/>
  <c r="M190" i="40"/>
  <c r="N190" i="40" s="1"/>
  <c r="K190" i="40"/>
  <c r="G190" i="40"/>
  <c r="E190" i="40"/>
  <c r="Q189" i="40"/>
  <c r="P189" i="40"/>
  <c r="L189" i="40"/>
  <c r="M189" i="40"/>
  <c r="N189" i="40" s="1"/>
  <c r="K189" i="40"/>
  <c r="G189" i="40"/>
  <c r="E189" i="40"/>
  <c r="Q188" i="40"/>
  <c r="P188" i="40"/>
  <c r="L188" i="40"/>
  <c r="M188" i="40" s="1"/>
  <c r="N188" i="40" s="1"/>
  <c r="K188" i="40"/>
  <c r="G188" i="40"/>
  <c r="E188" i="40"/>
  <c r="Q187" i="40"/>
  <c r="P187" i="40"/>
  <c r="L187" i="40"/>
  <c r="M187" i="40"/>
  <c r="N187" i="40" s="1"/>
  <c r="K187" i="40"/>
  <c r="G187" i="40"/>
  <c r="E187" i="40"/>
  <c r="Q186" i="40"/>
  <c r="P186" i="40"/>
  <c r="L186" i="40"/>
  <c r="M186" i="40"/>
  <c r="N186" i="40" s="1"/>
  <c r="K186" i="40"/>
  <c r="G186" i="40"/>
  <c r="E186" i="40"/>
  <c r="Q185" i="40"/>
  <c r="P185" i="40"/>
  <c r="L185" i="40"/>
  <c r="M185" i="40" s="1"/>
  <c r="N185" i="40" s="1"/>
  <c r="K185" i="40"/>
  <c r="G185" i="40"/>
  <c r="E185" i="40"/>
  <c r="Q184" i="40"/>
  <c r="P184" i="40"/>
  <c r="L184" i="40"/>
  <c r="M184" i="40"/>
  <c r="N184" i="40" s="1"/>
  <c r="K184" i="40"/>
  <c r="G184" i="40"/>
  <c r="E184" i="40"/>
  <c r="Q183" i="40"/>
  <c r="P183" i="40"/>
  <c r="L183" i="40"/>
  <c r="M183" i="40"/>
  <c r="N183" i="40" s="1"/>
  <c r="K183" i="40"/>
  <c r="G183" i="40"/>
  <c r="E183" i="40"/>
  <c r="Q182" i="40"/>
  <c r="P182" i="40"/>
  <c r="L182" i="40"/>
  <c r="M182" i="40" s="1"/>
  <c r="N182" i="40" s="1"/>
  <c r="K182" i="40"/>
  <c r="G182" i="40"/>
  <c r="E182" i="40"/>
  <c r="Q181" i="40"/>
  <c r="P181" i="40"/>
  <c r="L181" i="40"/>
  <c r="M181" i="40"/>
  <c r="N181" i="40" s="1"/>
  <c r="K181" i="40"/>
  <c r="G181" i="40"/>
  <c r="E181" i="40"/>
  <c r="Q180" i="40"/>
  <c r="P180" i="40"/>
  <c r="L180" i="40"/>
  <c r="M180" i="40"/>
  <c r="N180" i="40" s="1"/>
  <c r="K180" i="40"/>
  <c r="G180" i="40"/>
  <c r="E180" i="40"/>
  <c r="Q179" i="40"/>
  <c r="P179" i="40"/>
  <c r="L179" i="40"/>
  <c r="M179" i="40" s="1"/>
  <c r="N179" i="40" s="1"/>
  <c r="K179" i="40"/>
  <c r="G179" i="40"/>
  <c r="E179" i="40"/>
  <c r="Q178" i="40"/>
  <c r="P178" i="40"/>
  <c r="L178" i="40"/>
  <c r="M178" i="40"/>
  <c r="N178" i="40" s="1"/>
  <c r="K178" i="40"/>
  <c r="G178" i="40"/>
  <c r="E178" i="40"/>
  <c r="Q177" i="40"/>
  <c r="P177" i="40"/>
  <c r="L177" i="40"/>
  <c r="M177" i="40"/>
  <c r="N177" i="40" s="1"/>
  <c r="K177" i="40"/>
  <c r="G177" i="40"/>
  <c r="E177" i="40"/>
  <c r="Q176" i="40"/>
  <c r="P176" i="40"/>
  <c r="L176" i="40"/>
  <c r="M176" i="40" s="1"/>
  <c r="N176" i="40" s="1"/>
  <c r="K176" i="40"/>
  <c r="G176" i="40"/>
  <c r="E176" i="40"/>
  <c r="Q175" i="40"/>
  <c r="P175" i="40"/>
  <c r="L175" i="40"/>
  <c r="M175" i="40"/>
  <c r="N175" i="40" s="1"/>
  <c r="K175" i="40"/>
  <c r="G175" i="40"/>
  <c r="E175" i="40"/>
  <c r="Q174" i="40"/>
  <c r="P174" i="40"/>
  <c r="L174" i="40"/>
  <c r="M174" i="40"/>
  <c r="N174" i="40" s="1"/>
  <c r="K174" i="40"/>
  <c r="G174" i="40"/>
  <c r="E174" i="40"/>
  <c r="Q173" i="40"/>
  <c r="P173" i="40"/>
  <c r="L173" i="40"/>
  <c r="M173" i="40" s="1"/>
  <c r="N173" i="40" s="1"/>
  <c r="K173" i="40"/>
  <c r="G173" i="40"/>
  <c r="E173" i="40"/>
  <c r="Q172" i="40"/>
  <c r="P172" i="40"/>
  <c r="L172" i="40"/>
  <c r="M172" i="40"/>
  <c r="N172" i="40" s="1"/>
  <c r="K172" i="40"/>
  <c r="G172" i="40"/>
  <c r="E172" i="40"/>
  <c r="Q171" i="40"/>
  <c r="P171" i="40"/>
  <c r="L171" i="40"/>
  <c r="M171" i="40"/>
  <c r="N171" i="40" s="1"/>
  <c r="K171" i="40"/>
  <c r="G171" i="40"/>
  <c r="E171" i="40"/>
  <c r="Q170" i="40"/>
  <c r="P170" i="40"/>
  <c r="L170" i="40"/>
  <c r="M170" i="40" s="1"/>
  <c r="N170" i="40" s="1"/>
  <c r="K170" i="40"/>
  <c r="G170" i="40"/>
  <c r="E170" i="40"/>
  <c r="Q169" i="40"/>
  <c r="P169" i="40"/>
  <c r="L169" i="40"/>
  <c r="M169" i="40"/>
  <c r="N169" i="40" s="1"/>
  <c r="K169" i="40"/>
  <c r="G169" i="40"/>
  <c r="E169" i="40"/>
  <c r="Q168" i="40"/>
  <c r="P168" i="40"/>
  <c r="L168" i="40"/>
  <c r="M168" i="40"/>
  <c r="N168" i="40" s="1"/>
  <c r="K168" i="40"/>
  <c r="G168" i="40"/>
  <c r="E168" i="40"/>
  <c r="Q167" i="40"/>
  <c r="P167" i="40"/>
  <c r="L167" i="40"/>
  <c r="M167" i="40" s="1"/>
  <c r="N167" i="40" s="1"/>
  <c r="K167" i="40"/>
  <c r="G167" i="40"/>
  <c r="E167" i="40"/>
  <c r="Q166" i="40"/>
  <c r="P166" i="40"/>
  <c r="L166" i="40"/>
  <c r="M166" i="40"/>
  <c r="N166" i="40" s="1"/>
  <c r="K166" i="40"/>
  <c r="G166" i="40"/>
  <c r="E166" i="40"/>
  <c r="Q165" i="40"/>
  <c r="P165" i="40"/>
  <c r="L165" i="40"/>
  <c r="M165" i="40"/>
  <c r="N165" i="40" s="1"/>
  <c r="K165" i="40"/>
  <c r="G165" i="40"/>
  <c r="E165" i="40"/>
  <c r="Q164" i="40"/>
  <c r="P164" i="40"/>
  <c r="L164" i="40"/>
  <c r="M164" i="40" s="1"/>
  <c r="N164" i="40" s="1"/>
  <c r="K164" i="40"/>
  <c r="G164" i="40"/>
  <c r="E164" i="40"/>
  <c r="Q163" i="40"/>
  <c r="P163" i="40"/>
  <c r="L163" i="40"/>
  <c r="M163" i="40"/>
  <c r="N163" i="40" s="1"/>
  <c r="K163" i="40"/>
  <c r="G163" i="40"/>
  <c r="E163" i="40"/>
  <c r="Q162" i="40"/>
  <c r="P162" i="40"/>
  <c r="L162" i="40"/>
  <c r="M162" i="40"/>
  <c r="N162" i="40" s="1"/>
  <c r="K162" i="40"/>
  <c r="G162" i="40"/>
  <c r="E162" i="40"/>
  <c r="Q161" i="40"/>
  <c r="P161" i="40"/>
  <c r="L161" i="40"/>
  <c r="M161" i="40" s="1"/>
  <c r="N161" i="40" s="1"/>
  <c r="K161" i="40"/>
  <c r="G161" i="40"/>
  <c r="E161" i="40"/>
  <c r="Q160" i="40"/>
  <c r="P160" i="40"/>
  <c r="L160" i="40"/>
  <c r="M160" i="40"/>
  <c r="N160" i="40" s="1"/>
  <c r="K160" i="40"/>
  <c r="G160" i="40"/>
  <c r="E160" i="40"/>
  <c r="Q159" i="40"/>
  <c r="P159" i="40"/>
  <c r="L159" i="40"/>
  <c r="M159" i="40"/>
  <c r="N159" i="40" s="1"/>
  <c r="K159" i="40"/>
  <c r="G159" i="40"/>
  <c r="E159" i="40"/>
  <c r="Q158" i="40"/>
  <c r="P158" i="40"/>
  <c r="L158" i="40"/>
  <c r="M158" i="40" s="1"/>
  <c r="N158" i="40" s="1"/>
  <c r="Q157" i="40"/>
  <c r="P157" i="40"/>
  <c r="L157" i="40"/>
  <c r="M157" i="40" s="1"/>
  <c r="N157" i="40" s="1"/>
  <c r="Q156" i="40"/>
  <c r="P156" i="40"/>
  <c r="L156" i="40"/>
  <c r="M156" i="40" s="1"/>
  <c r="N156" i="40" s="1"/>
  <c r="K156" i="40"/>
  <c r="G156" i="40"/>
  <c r="E156" i="40"/>
  <c r="Q155" i="40"/>
  <c r="P155" i="40"/>
  <c r="L155" i="40"/>
  <c r="M155" i="40"/>
  <c r="N155" i="40" s="1"/>
  <c r="K155" i="40"/>
  <c r="G155" i="40"/>
  <c r="E155" i="40"/>
  <c r="Q154" i="40"/>
  <c r="P154" i="40"/>
  <c r="L154" i="40"/>
  <c r="M154" i="40" s="1"/>
  <c r="N154" i="40" s="1"/>
  <c r="K154" i="40"/>
  <c r="G154" i="40"/>
  <c r="E154" i="40"/>
  <c r="Q153" i="40"/>
  <c r="P153" i="40"/>
  <c r="L153" i="40"/>
  <c r="M153" i="40" s="1"/>
  <c r="N153" i="40" s="1"/>
  <c r="K153" i="40"/>
  <c r="G153" i="40"/>
  <c r="E153" i="40"/>
  <c r="Q152" i="40"/>
  <c r="P152" i="40"/>
  <c r="L152" i="40"/>
  <c r="M152" i="40" s="1"/>
  <c r="N152" i="40" s="1"/>
  <c r="Q151" i="40"/>
  <c r="P151" i="40"/>
  <c r="L151" i="40"/>
  <c r="M151" i="40" s="1"/>
  <c r="N151" i="40" s="1"/>
  <c r="K151" i="40"/>
  <c r="G151" i="40"/>
  <c r="E151" i="40"/>
  <c r="Q150" i="40"/>
  <c r="P150" i="40"/>
  <c r="L150" i="40"/>
  <c r="M150" i="40" s="1"/>
  <c r="N150" i="40" s="1"/>
  <c r="K150" i="40"/>
  <c r="G150" i="40"/>
  <c r="E150" i="40"/>
  <c r="Q149" i="40"/>
  <c r="P149" i="40"/>
  <c r="L149" i="40"/>
  <c r="M149" i="40" s="1"/>
  <c r="N149" i="40" s="1"/>
  <c r="Q148" i="40"/>
  <c r="P148" i="40"/>
  <c r="L148" i="40"/>
  <c r="M148" i="40" s="1"/>
  <c r="N148" i="40" s="1"/>
  <c r="K148" i="40"/>
  <c r="G148" i="40"/>
  <c r="E148" i="40"/>
  <c r="Q147" i="40"/>
  <c r="P147" i="40"/>
  <c r="L147" i="40"/>
  <c r="M147" i="40" s="1"/>
  <c r="N147" i="40" s="1"/>
  <c r="K147" i="40"/>
  <c r="G147" i="40"/>
  <c r="E147" i="40"/>
  <c r="Q146" i="40"/>
  <c r="P146" i="40"/>
  <c r="L146" i="40"/>
  <c r="M146" i="40" s="1"/>
  <c r="N146" i="40" s="1"/>
  <c r="K146" i="40"/>
  <c r="G146" i="40"/>
  <c r="E146" i="40"/>
  <c r="Q145" i="40"/>
  <c r="P145" i="40"/>
  <c r="L145" i="40"/>
  <c r="M145" i="40"/>
  <c r="N145" i="40" s="1"/>
  <c r="Q144" i="40"/>
  <c r="P144" i="40"/>
  <c r="L144" i="40"/>
  <c r="M144" i="40"/>
  <c r="N144" i="40" s="1"/>
  <c r="K144" i="40"/>
  <c r="G144" i="40"/>
  <c r="E144" i="40"/>
  <c r="Q143" i="40"/>
  <c r="P143" i="40"/>
  <c r="L143" i="40"/>
  <c r="M143" i="40" s="1"/>
  <c r="N143" i="40" s="1"/>
  <c r="K143" i="40"/>
  <c r="G143" i="40"/>
  <c r="E143" i="40"/>
  <c r="Q142" i="40"/>
  <c r="P142" i="40"/>
  <c r="L142" i="40"/>
  <c r="M142" i="40" s="1"/>
  <c r="N142" i="40" s="1"/>
  <c r="K142" i="40"/>
  <c r="G142" i="40"/>
  <c r="E142" i="40"/>
  <c r="Q141" i="40"/>
  <c r="P141" i="40"/>
  <c r="L141" i="40"/>
  <c r="M141" i="40"/>
  <c r="N141" i="40" s="1"/>
  <c r="K141" i="40"/>
  <c r="G141" i="40"/>
  <c r="E141" i="40"/>
  <c r="Q140" i="40"/>
  <c r="P140" i="40"/>
  <c r="L140" i="40"/>
  <c r="M140" i="40" s="1"/>
  <c r="N140" i="40" s="1"/>
  <c r="K140" i="40"/>
  <c r="G140" i="40"/>
  <c r="E140" i="40"/>
  <c r="Q139" i="40"/>
  <c r="P139" i="40"/>
  <c r="L139" i="40"/>
  <c r="M139" i="40" s="1"/>
  <c r="N139" i="40" s="1"/>
  <c r="K139" i="40"/>
  <c r="G139" i="40"/>
  <c r="E139" i="40"/>
  <c r="Q138" i="40"/>
  <c r="P138" i="40"/>
  <c r="L138" i="40"/>
  <c r="M138" i="40"/>
  <c r="N138" i="40" s="1"/>
  <c r="Q137" i="40"/>
  <c r="P137" i="40"/>
  <c r="L137" i="40"/>
  <c r="M137" i="40" s="1"/>
  <c r="N137" i="40" s="1"/>
  <c r="Q136" i="40"/>
  <c r="P136" i="40"/>
  <c r="L136" i="40"/>
  <c r="M136" i="40"/>
  <c r="N136" i="40" s="1"/>
  <c r="K136" i="40"/>
  <c r="G136" i="40"/>
  <c r="E136" i="40"/>
  <c r="Q135" i="40"/>
  <c r="P135" i="40"/>
  <c r="L135" i="40"/>
  <c r="M135" i="40" s="1"/>
  <c r="N135" i="40" s="1"/>
  <c r="K135" i="40"/>
  <c r="G135" i="40"/>
  <c r="E135" i="40"/>
  <c r="Q134" i="40"/>
  <c r="P134" i="40"/>
  <c r="L134" i="40"/>
  <c r="M134" i="40" s="1"/>
  <c r="N134" i="40" s="1"/>
  <c r="Q133" i="40"/>
  <c r="P133" i="40"/>
  <c r="L133" i="40"/>
  <c r="M133" i="40" s="1"/>
  <c r="N133" i="40" s="1"/>
  <c r="K133" i="40"/>
  <c r="G133" i="40"/>
  <c r="E133" i="40"/>
  <c r="Q132" i="40"/>
  <c r="P132" i="40"/>
  <c r="L132" i="40"/>
  <c r="M132" i="40"/>
  <c r="N132" i="40" s="1"/>
  <c r="K132" i="40"/>
  <c r="G132" i="40"/>
  <c r="E132" i="40"/>
  <c r="Q131" i="40"/>
  <c r="P131" i="40"/>
  <c r="L131" i="40"/>
  <c r="M131" i="40" s="1"/>
  <c r="N131" i="40" s="1"/>
  <c r="K131" i="40"/>
  <c r="G131" i="40"/>
  <c r="E131" i="40"/>
  <c r="Q130" i="40"/>
  <c r="P130" i="40"/>
  <c r="L130" i="40"/>
  <c r="M130" i="40" s="1"/>
  <c r="N130" i="40" s="1"/>
  <c r="K130" i="40"/>
  <c r="G130" i="40"/>
  <c r="E130" i="40"/>
  <c r="Q129" i="40"/>
  <c r="P129" i="40"/>
  <c r="L129" i="40"/>
  <c r="M129" i="40" s="1"/>
  <c r="N129" i="40" s="1"/>
  <c r="K129" i="40"/>
  <c r="G129" i="40"/>
  <c r="E129" i="40"/>
  <c r="Q128" i="40"/>
  <c r="P128" i="40"/>
  <c r="L128" i="40"/>
  <c r="M128" i="40" s="1"/>
  <c r="N128" i="40" s="1"/>
  <c r="K128" i="40"/>
  <c r="G128" i="40"/>
  <c r="E128" i="40"/>
  <c r="Q127" i="40"/>
  <c r="P127" i="40"/>
  <c r="L127" i="40"/>
  <c r="M127" i="40" s="1"/>
  <c r="N127" i="40" s="1"/>
  <c r="K127" i="40"/>
  <c r="G127" i="40"/>
  <c r="E127" i="40"/>
  <c r="Q126" i="40"/>
  <c r="P126" i="40"/>
  <c r="L126" i="40"/>
  <c r="M126" i="40" s="1"/>
  <c r="N126" i="40" s="1"/>
  <c r="K126" i="40"/>
  <c r="G126" i="40"/>
  <c r="E126" i="40"/>
  <c r="Q125" i="40"/>
  <c r="P125" i="40"/>
  <c r="L125" i="40"/>
  <c r="M125" i="40" s="1"/>
  <c r="N125" i="40" s="1"/>
  <c r="K125" i="40"/>
  <c r="G125" i="40"/>
  <c r="E125" i="40"/>
  <c r="Q124" i="40"/>
  <c r="P124" i="40"/>
  <c r="L124" i="40"/>
  <c r="M124" i="40" s="1"/>
  <c r="N124" i="40" s="1"/>
  <c r="K124" i="40"/>
  <c r="G124" i="40"/>
  <c r="E124" i="40"/>
  <c r="Q123" i="40"/>
  <c r="P123" i="40"/>
  <c r="L123" i="40"/>
  <c r="M123" i="40"/>
  <c r="N123" i="40" s="1"/>
  <c r="K123" i="40"/>
  <c r="G123" i="40"/>
  <c r="E123" i="40"/>
  <c r="Q122" i="40"/>
  <c r="P122" i="40"/>
  <c r="L122" i="40"/>
  <c r="M122" i="40" s="1"/>
  <c r="N122" i="40" s="1"/>
  <c r="K122" i="40"/>
  <c r="G122" i="40"/>
  <c r="E122" i="40"/>
  <c r="Q121" i="40"/>
  <c r="P121" i="40"/>
  <c r="L121" i="40"/>
  <c r="M121" i="40" s="1"/>
  <c r="N121" i="40" s="1"/>
  <c r="K121" i="40"/>
  <c r="G121" i="40"/>
  <c r="E121" i="40"/>
  <c r="Q120" i="40"/>
  <c r="P120" i="40"/>
  <c r="L120" i="40"/>
  <c r="M120" i="40"/>
  <c r="N120" i="40" s="1"/>
  <c r="K120" i="40"/>
  <c r="G120" i="40"/>
  <c r="E120" i="40"/>
  <c r="Q119" i="40"/>
  <c r="P119" i="40"/>
  <c r="L119" i="40"/>
  <c r="M119" i="40" s="1"/>
  <c r="N119" i="40" s="1"/>
  <c r="K119" i="40"/>
  <c r="G119" i="40"/>
  <c r="E119" i="40"/>
  <c r="Q118" i="40"/>
  <c r="P118" i="40"/>
  <c r="L118" i="40"/>
  <c r="M118" i="40"/>
  <c r="N118" i="40" s="1"/>
  <c r="K118" i="40"/>
  <c r="G118" i="40"/>
  <c r="E118" i="40"/>
  <c r="Q117" i="40"/>
  <c r="P117" i="40"/>
  <c r="L117" i="40"/>
  <c r="M117" i="40"/>
  <c r="N117" i="40" s="1"/>
  <c r="K117" i="40"/>
  <c r="G117" i="40"/>
  <c r="E117" i="40"/>
  <c r="Q116" i="40"/>
  <c r="P116" i="40"/>
  <c r="L116" i="40"/>
  <c r="M116" i="40" s="1"/>
  <c r="N116" i="40" s="1"/>
  <c r="K116" i="40"/>
  <c r="G116" i="40"/>
  <c r="E116" i="40"/>
  <c r="Q115" i="40"/>
  <c r="P115" i="40"/>
  <c r="L115" i="40"/>
  <c r="M115" i="40"/>
  <c r="N115" i="40" s="1"/>
  <c r="G115" i="40"/>
  <c r="E115" i="40"/>
  <c r="Q114" i="40"/>
  <c r="P114" i="40"/>
  <c r="K114" i="40"/>
  <c r="L114" i="40"/>
  <c r="M114" i="40"/>
  <c r="N114" i="40" s="1"/>
  <c r="E114" i="40"/>
  <c r="Q113" i="40"/>
  <c r="P113" i="40"/>
  <c r="L113" i="40"/>
  <c r="M113" i="40" s="1"/>
  <c r="N113" i="40" s="1"/>
  <c r="K113" i="40"/>
  <c r="G113" i="40"/>
  <c r="E113" i="40"/>
  <c r="Q112" i="40"/>
  <c r="P112" i="40"/>
  <c r="L112" i="40"/>
  <c r="M112" i="40" s="1"/>
  <c r="N112" i="40" s="1"/>
  <c r="K112" i="40"/>
  <c r="G112" i="40"/>
  <c r="E112" i="40"/>
  <c r="Q111" i="40"/>
  <c r="P111" i="40"/>
  <c r="L111" i="40"/>
  <c r="M111" i="40" s="1"/>
  <c r="N111" i="40" s="1"/>
  <c r="K111" i="40"/>
  <c r="G111" i="40"/>
  <c r="E111" i="40"/>
  <c r="Q110" i="40"/>
  <c r="P110" i="40"/>
  <c r="L110" i="40"/>
  <c r="M110" i="40" s="1"/>
  <c r="N110" i="40" s="1"/>
  <c r="K110" i="40"/>
  <c r="G110" i="40"/>
  <c r="E110" i="40"/>
  <c r="Q109" i="40"/>
  <c r="P109" i="40"/>
  <c r="L109" i="40"/>
  <c r="M109" i="40" s="1"/>
  <c r="N109" i="40" s="1"/>
  <c r="K109" i="40"/>
  <c r="G109" i="40"/>
  <c r="E109" i="40"/>
  <c r="Q108" i="40"/>
  <c r="P108" i="40"/>
  <c r="L108" i="40"/>
  <c r="M108" i="40"/>
  <c r="N108" i="40" s="1"/>
  <c r="K108" i="40"/>
  <c r="G108" i="40"/>
  <c r="E108" i="40"/>
  <c r="Q107" i="40"/>
  <c r="P107" i="40"/>
  <c r="L107" i="40"/>
  <c r="M107" i="40" s="1"/>
  <c r="N107" i="40" s="1"/>
  <c r="K107" i="40"/>
  <c r="G107" i="40"/>
  <c r="E107" i="40"/>
  <c r="Q106" i="40"/>
  <c r="P106" i="40"/>
  <c r="L106" i="40"/>
  <c r="M106" i="40" s="1"/>
  <c r="N106" i="40" s="1"/>
  <c r="K106" i="40"/>
  <c r="G106" i="40"/>
  <c r="E106" i="40"/>
  <c r="Q105" i="40"/>
  <c r="P105" i="40"/>
  <c r="L105" i="40"/>
  <c r="M105" i="40" s="1"/>
  <c r="N105" i="40" s="1"/>
  <c r="K105" i="40"/>
  <c r="G105" i="40"/>
  <c r="E105" i="40"/>
  <c r="Q104" i="40"/>
  <c r="P104" i="40"/>
  <c r="L104" i="40"/>
  <c r="M104" i="40" s="1"/>
  <c r="N104" i="40" s="1"/>
  <c r="K104" i="40"/>
  <c r="G104" i="40"/>
  <c r="E104" i="40"/>
  <c r="Q103" i="40"/>
  <c r="P103" i="40"/>
  <c r="Q102" i="40"/>
  <c r="P102" i="40"/>
  <c r="L102" i="40"/>
  <c r="M102" i="40" s="1"/>
  <c r="N102" i="40" s="1"/>
  <c r="K102" i="40"/>
  <c r="G102" i="40"/>
  <c r="E102" i="40"/>
  <c r="Q101" i="40"/>
  <c r="P101" i="40"/>
  <c r="L101" i="40"/>
  <c r="M101" i="40"/>
  <c r="N101" i="40" s="1"/>
  <c r="K101" i="40"/>
  <c r="G101" i="40"/>
  <c r="E101" i="40"/>
  <c r="Q100" i="40"/>
  <c r="P100" i="40"/>
  <c r="L100" i="40"/>
  <c r="M100" i="40"/>
  <c r="N100" i="40" s="1"/>
  <c r="K100" i="40"/>
  <c r="G100" i="40"/>
  <c r="E100" i="40"/>
  <c r="Q99" i="40"/>
  <c r="P99" i="40"/>
  <c r="L99" i="40"/>
  <c r="M99" i="40" s="1"/>
  <c r="N99" i="40" s="1"/>
  <c r="K99" i="40"/>
  <c r="G99" i="40"/>
  <c r="E99" i="40"/>
  <c r="Q98" i="40"/>
  <c r="P98" i="40"/>
  <c r="L98" i="40"/>
  <c r="M98" i="40"/>
  <c r="N98" i="40" s="1"/>
  <c r="K98" i="40"/>
  <c r="G98" i="40"/>
  <c r="E98" i="40"/>
  <c r="Q97" i="40"/>
  <c r="P97" i="40"/>
  <c r="L97" i="40"/>
  <c r="M97" i="40"/>
  <c r="N97" i="40" s="1"/>
  <c r="K97" i="40"/>
  <c r="G97" i="40"/>
  <c r="E97" i="40"/>
  <c r="Q96" i="40"/>
  <c r="P96" i="40"/>
  <c r="L96" i="40"/>
  <c r="M96" i="40" s="1"/>
  <c r="N96" i="40" s="1"/>
  <c r="K96" i="40"/>
  <c r="G96" i="40"/>
  <c r="E96" i="40"/>
  <c r="Q95" i="40"/>
  <c r="P95" i="40"/>
  <c r="L95" i="40"/>
  <c r="M95" i="40"/>
  <c r="N95" i="40" s="1"/>
  <c r="K95" i="40"/>
  <c r="G95" i="40"/>
  <c r="E95" i="40"/>
  <c r="Q94" i="40"/>
  <c r="P94" i="40"/>
  <c r="L94" i="40"/>
  <c r="M94" i="40"/>
  <c r="N94" i="40" s="1"/>
  <c r="Q93" i="40"/>
  <c r="P93" i="40"/>
  <c r="L93" i="40"/>
  <c r="M93" i="40" s="1"/>
  <c r="N93" i="40" s="1"/>
  <c r="K93" i="40"/>
  <c r="G93" i="40"/>
  <c r="E93" i="40"/>
  <c r="Q92" i="40"/>
  <c r="P92" i="40"/>
  <c r="L92" i="40"/>
  <c r="M92" i="40" s="1"/>
  <c r="N92" i="40" s="1"/>
  <c r="K92" i="40"/>
  <c r="G92" i="40"/>
  <c r="E92" i="40"/>
  <c r="Q91" i="40"/>
  <c r="P91" i="40"/>
  <c r="L91" i="40"/>
  <c r="M91" i="40" s="1"/>
  <c r="N91" i="40" s="1"/>
  <c r="K91" i="40"/>
  <c r="G91" i="40"/>
  <c r="E91" i="40"/>
  <c r="Q90" i="40"/>
  <c r="P90" i="40"/>
  <c r="L90" i="40"/>
  <c r="M90" i="40" s="1"/>
  <c r="N90" i="40" s="1"/>
  <c r="K90" i="40"/>
  <c r="G90" i="40"/>
  <c r="E90" i="40"/>
  <c r="Q89" i="40"/>
  <c r="P89" i="40"/>
  <c r="L89" i="40"/>
  <c r="M89" i="40" s="1"/>
  <c r="N89" i="40" s="1"/>
  <c r="K89" i="40"/>
  <c r="G89" i="40"/>
  <c r="E89" i="40"/>
  <c r="Q88" i="40"/>
  <c r="P88" i="40"/>
  <c r="L88" i="40"/>
  <c r="M88" i="40"/>
  <c r="N88" i="40" s="1"/>
  <c r="K88" i="40"/>
  <c r="G88" i="40"/>
  <c r="E88" i="40"/>
  <c r="Q87" i="40"/>
  <c r="P87" i="40"/>
  <c r="L87" i="40"/>
  <c r="M87" i="40" s="1"/>
  <c r="N87" i="40" s="1"/>
  <c r="Q86" i="40"/>
  <c r="P86" i="40"/>
  <c r="L86" i="40"/>
  <c r="M86" i="40" s="1"/>
  <c r="N86" i="40" s="1"/>
  <c r="K86" i="40"/>
  <c r="G86" i="40"/>
  <c r="E86" i="40"/>
  <c r="Q85" i="40"/>
  <c r="P85" i="40"/>
  <c r="L85" i="40"/>
  <c r="M85" i="40"/>
  <c r="N85" i="40" s="1"/>
  <c r="K85" i="40"/>
  <c r="G85" i="40"/>
  <c r="E85" i="40"/>
  <c r="Q84" i="40"/>
  <c r="P84" i="40"/>
  <c r="L84" i="40"/>
  <c r="M84" i="40" s="1"/>
  <c r="N84" i="40" s="1"/>
  <c r="K84" i="40"/>
  <c r="G84" i="40"/>
  <c r="E84" i="40"/>
  <c r="Q83" i="40"/>
  <c r="P83" i="40"/>
  <c r="L83" i="40"/>
  <c r="M83" i="40" s="1"/>
  <c r="N83" i="40" s="1"/>
  <c r="Q82" i="40"/>
  <c r="P82" i="40"/>
  <c r="L82" i="40"/>
  <c r="M82" i="40" s="1"/>
  <c r="N82" i="40" s="1"/>
  <c r="K82" i="40"/>
  <c r="G82" i="40"/>
  <c r="E82" i="40"/>
  <c r="Q81" i="40"/>
  <c r="P81" i="40"/>
  <c r="L81" i="40"/>
  <c r="M81" i="40"/>
  <c r="N81" i="40"/>
  <c r="K81" i="40"/>
  <c r="G81" i="40"/>
  <c r="E81" i="40"/>
  <c r="Q80" i="40"/>
  <c r="P80" i="40"/>
  <c r="L80" i="40"/>
  <c r="M80" i="40" s="1"/>
  <c r="N80" i="40" s="1"/>
  <c r="K80" i="40"/>
  <c r="G80" i="40"/>
  <c r="E80" i="40"/>
  <c r="Q79" i="40"/>
  <c r="P79" i="40"/>
  <c r="L79" i="40"/>
  <c r="M79" i="40" s="1"/>
  <c r="N79" i="40" s="1"/>
  <c r="K79" i="40"/>
  <c r="G79" i="40"/>
  <c r="E79" i="40"/>
  <c r="Q78" i="40"/>
  <c r="P78" i="40"/>
  <c r="L78" i="40"/>
  <c r="M78" i="40"/>
  <c r="N78" i="40"/>
  <c r="K78" i="40"/>
  <c r="G78" i="40"/>
  <c r="E78" i="40"/>
  <c r="Q77" i="40"/>
  <c r="P77" i="40"/>
  <c r="L77" i="40"/>
  <c r="M77" i="40" s="1"/>
  <c r="N77" i="40" s="1"/>
  <c r="K77" i="40"/>
  <c r="G77" i="40"/>
  <c r="E77" i="40"/>
  <c r="Q76" i="40"/>
  <c r="P76" i="40"/>
  <c r="L76" i="40"/>
  <c r="M76" i="40" s="1"/>
  <c r="N76" i="40" s="1"/>
  <c r="K76" i="40"/>
  <c r="G76" i="40"/>
  <c r="E76" i="40"/>
  <c r="Q75" i="40"/>
  <c r="P75" i="40"/>
  <c r="L75" i="40"/>
  <c r="M75" i="40"/>
  <c r="N75" i="40"/>
  <c r="Q74" i="40"/>
  <c r="P74" i="40"/>
  <c r="L74" i="40"/>
  <c r="M74" i="40" s="1"/>
  <c r="N74" i="40" s="1"/>
  <c r="K74" i="40"/>
  <c r="G74" i="40"/>
  <c r="E74" i="40"/>
  <c r="Q73" i="40"/>
  <c r="P73" i="40"/>
  <c r="L73" i="40"/>
  <c r="M73" i="40"/>
  <c r="N73" i="40" s="1"/>
  <c r="K73" i="40"/>
  <c r="G73" i="40"/>
  <c r="E73" i="40"/>
  <c r="Q72" i="40"/>
  <c r="P72" i="40"/>
  <c r="L72" i="40"/>
  <c r="M72" i="40" s="1"/>
  <c r="N72" i="40" s="1"/>
  <c r="K72" i="40"/>
  <c r="G72" i="40"/>
  <c r="E72" i="40"/>
  <c r="Q71" i="40"/>
  <c r="P71" i="40"/>
  <c r="L71" i="40"/>
  <c r="M71" i="40" s="1"/>
  <c r="N71" i="40" s="1"/>
  <c r="K71" i="40"/>
  <c r="G71" i="40"/>
  <c r="E71" i="40"/>
  <c r="Q70" i="40"/>
  <c r="P70" i="40"/>
  <c r="L70" i="40"/>
  <c r="M70" i="40" s="1"/>
  <c r="N70" i="40" s="1"/>
  <c r="K70" i="40"/>
  <c r="G70" i="40"/>
  <c r="E70" i="40"/>
  <c r="Q69" i="40"/>
  <c r="P69" i="40"/>
  <c r="L69" i="40"/>
  <c r="M69" i="40" s="1"/>
  <c r="N69" i="40" s="1"/>
  <c r="K69" i="40"/>
  <c r="G69" i="40"/>
  <c r="E69" i="40"/>
  <c r="Q68" i="40"/>
  <c r="P68" i="40"/>
  <c r="L68" i="40"/>
  <c r="M68" i="40" s="1"/>
  <c r="N68" i="40" s="1"/>
  <c r="K68" i="40"/>
  <c r="G68" i="40"/>
  <c r="E68" i="40"/>
  <c r="Q67" i="40"/>
  <c r="P67" i="40"/>
  <c r="L67" i="40"/>
  <c r="M67" i="40"/>
  <c r="N67" i="40" s="1"/>
  <c r="K67" i="40"/>
  <c r="G67" i="40"/>
  <c r="E67" i="40"/>
  <c r="Q66" i="40"/>
  <c r="P66" i="40"/>
  <c r="L66" i="40"/>
  <c r="M66" i="40" s="1"/>
  <c r="N66" i="40" s="1"/>
  <c r="K66" i="40"/>
  <c r="G66" i="40"/>
  <c r="E66" i="40"/>
  <c r="Q65" i="40"/>
  <c r="P65" i="40"/>
  <c r="L65" i="40"/>
  <c r="M65" i="40" s="1"/>
  <c r="N65" i="40" s="1"/>
  <c r="K65" i="40"/>
  <c r="G65" i="40"/>
  <c r="E65" i="40"/>
  <c r="Q64" i="40"/>
  <c r="P64" i="40"/>
  <c r="L64" i="40"/>
  <c r="M64" i="40" s="1"/>
  <c r="N64" i="40" s="1"/>
  <c r="K64" i="40"/>
  <c r="G64" i="40"/>
  <c r="E64" i="40"/>
  <c r="Q63" i="40"/>
  <c r="P63" i="40"/>
  <c r="L63" i="40"/>
  <c r="M63" i="40" s="1"/>
  <c r="N63" i="40" s="1"/>
  <c r="K63" i="40"/>
  <c r="G63" i="40"/>
  <c r="E63" i="40"/>
  <c r="Q62" i="40"/>
  <c r="P62" i="40"/>
  <c r="L62" i="40"/>
  <c r="M62" i="40" s="1"/>
  <c r="N62" i="40" s="1"/>
  <c r="K62" i="40"/>
  <c r="G62" i="40"/>
  <c r="E62" i="40"/>
  <c r="Q61" i="40"/>
  <c r="P61" i="40"/>
  <c r="L61" i="40"/>
  <c r="M61" i="40" s="1"/>
  <c r="N61" i="40" s="1"/>
  <c r="K61" i="40"/>
  <c r="G61" i="40"/>
  <c r="E61" i="40"/>
  <c r="Q60" i="40"/>
  <c r="P60" i="40"/>
  <c r="L60" i="40"/>
  <c r="M60" i="40" s="1"/>
  <c r="N60" i="40" s="1"/>
  <c r="K60" i="40"/>
  <c r="G60" i="40"/>
  <c r="E60" i="40"/>
  <c r="Q59" i="40"/>
  <c r="P59" i="40"/>
  <c r="L59" i="40"/>
  <c r="M59" i="40" s="1"/>
  <c r="N59" i="40" s="1"/>
  <c r="K59" i="40"/>
  <c r="G59" i="40"/>
  <c r="E59" i="40"/>
  <c r="Q58" i="40"/>
  <c r="P58" i="40"/>
  <c r="L58" i="40"/>
  <c r="M58" i="40"/>
  <c r="N58" i="40" s="1"/>
  <c r="K58" i="40"/>
  <c r="G58" i="40"/>
  <c r="E58" i="40"/>
  <c r="Q57" i="40"/>
  <c r="P57" i="40"/>
  <c r="L57" i="40"/>
  <c r="M57" i="40" s="1"/>
  <c r="N57" i="40" s="1"/>
  <c r="Q56" i="40"/>
  <c r="P56" i="40"/>
  <c r="L56" i="40"/>
  <c r="M56" i="40" s="1"/>
  <c r="N56" i="40" s="1"/>
  <c r="K56" i="40"/>
  <c r="G56" i="40"/>
  <c r="E56" i="40"/>
  <c r="Q55" i="40"/>
  <c r="P55" i="40"/>
  <c r="L55" i="40"/>
  <c r="M55" i="40" s="1"/>
  <c r="N55" i="40" s="1"/>
  <c r="K55" i="40"/>
  <c r="G55" i="40"/>
  <c r="E55" i="40"/>
  <c r="Q54" i="40"/>
  <c r="P54" i="40"/>
  <c r="L54" i="40"/>
  <c r="M54" i="40" s="1"/>
  <c r="N54" i="40" s="1"/>
  <c r="K54" i="40"/>
  <c r="G54" i="40"/>
  <c r="E54" i="40"/>
  <c r="Q53" i="40"/>
  <c r="P53" i="40"/>
  <c r="L53" i="40"/>
  <c r="M53" i="40" s="1"/>
  <c r="N53" i="40" s="1"/>
  <c r="K53" i="40"/>
  <c r="G53" i="40"/>
  <c r="E53" i="40"/>
  <c r="Q52" i="40"/>
  <c r="P52" i="40"/>
  <c r="L52" i="40"/>
  <c r="M52" i="40"/>
  <c r="N52" i="40" s="1"/>
  <c r="K52" i="40"/>
  <c r="G52" i="40"/>
  <c r="E52" i="40"/>
  <c r="Q51" i="40"/>
  <c r="P51" i="40"/>
  <c r="L51" i="40"/>
  <c r="M51" i="40" s="1"/>
  <c r="N51" i="40" s="1"/>
  <c r="K51" i="40"/>
  <c r="G51" i="40"/>
  <c r="E51" i="40"/>
  <c r="Q50" i="40"/>
  <c r="P50" i="40"/>
  <c r="L50" i="40"/>
  <c r="M50" i="40" s="1"/>
  <c r="N50" i="40" s="1"/>
  <c r="K50" i="40"/>
  <c r="G50" i="40"/>
  <c r="E50" i="40"/>
  <c r="Q49" i="40"/>
  <c r="P49" i="40"/>
  <c r="L49" i="40"/>
  <c r="M49" i="40"/>
  <c r="N49" i="40" s="1"/>
  <c r="K49" i="40"/>
  <c r="G49" i="40"/>
  <c r="E49" i="40"/>
  <c r="Q48" i="40"/>
  <c r="P48" i="40"/>
  <c r="L48" i="40"/>
  <c r="M48" i="40" s="1"/>
  <c r="N48" i="40" s="1"/>
  <c r="K48" i="40"/>
  <c r="G48" i="40"/>
  <c r="E48" i="40"/>
  <c r="Q47" i="40"/>
  <c r="P47" i="40"/>
  <c r="L47" i="40"/>
  <c r="M47" i="40" s="1"/>
  <c r="N47" i="40" s="1"/>
  <c r="K47" i="40"/>
  <c r="G47" i="40"/>
  <c r="E47" i="40"/>
  <c r="Q46" i="40"/>
  <c r="P46" i="40"/>
  <c r="L46" i="40"/>
  <c r="M46" i="40" s="1"/>
  <c r="N46" i="40" s="1"/>
  <c r="K46" i="40"/>
  <c r="G46" i="40"/>
  <c r="E46" i="40"/>
  <c r="Q45" i="40"/>
  <c r="P45" i="40"/>
  <c r="L45" i="40"/>
  <c r="M45" i="40" s="1"/>
  <c r="N45" i="40" s="1"/>
  <c r="K45" i="40"/>
  <c r="G45" i="40"/>
  <c r="E45" i="40"/>
  <c r="Q44" i="40"/>
  <c r="P44" i="40"/>
  <c r="L44" i="40"/>
  <c r="M44" i="40" s="1"/>
  <c r="N44" i="40" s="1"/>
  <c r="K44" i="40"/>
  <c r="G44" i="40"/>
  <c r="E44" i="40"/>
  <c r="Q43" i="40"/>
  <c r="P43" i="40"/>
  <c r="L43" i="40"/>
  <c r="M43" i="40"/>
  <c r="N43" i="40" s="1"/>
  <c r="K43" i="40"/>
  <c r="G43" i="40"/>
  <c r="E43" i="40"/>
  <c r="Q42" i="40"/>
  <c r="P42" i="40"/>
  <c r="L42" i="40"/>
  <c r="M42" i="40" s="1"/>
  <c r="N42" i="40" s="1"/>
  <c r="K42" i="40"/>
  <c r="G42" i="40"/>
  <c r="E42" i="40"/>
  <c r="Q41" i="40"/>
  <c r="P41" i="40"/>
  <c r="L41" i="40"/>
  <c r="M41" i="40" s="1"/>
  <c r="N41" i="40" s="1"/>
  <c r="K41" i="40"/>
  <c r="G41" i="40"/>
  <c r="E41" i="40"/>
  <c r="Q40" i="40"/>
  <c r="P40" i="40"/>
  <c r="L40" i="40"/>
  <c r="M40" i="40" s="1"/>
  <c r="N40" i="40" s="1"/>
  <c r="K40" i="40"/>
  <c r="G40" i="40"/>
  <c r="E40" i="40"/>
  <c r="Q39" i="40"/>
  <c r="P39" i="40"/>
  <c r="L39" i="40"/>
  <c r="M39" i="40" s="1"/>
  <c r="N39" i="40" s="1"/>
  <c r="Q38" i="40"/>
  <c r="P38" i="40"/>
  <c r="L38" i="40"/>
  <c r="M38" i="40" s="1"/>
  <c r="N38" i="40" s="1"/>
  <c r="K38" i="40"/>
  <c r="G38" i="40"/>
  <c r="E38" i="40"/>
  <c r="Q37" i="40"/>
  <c r="P37" i="40"/>
  <c r="L37" i="40"/>
  <c r="M37" i="40"/>
  <c r="N37" i="40" s="1"/>
  <c r="K37" i="40"/>
  <c r="G37" i="40"/>
  <c r="E37" i="40"/>
  <c r="Q36" i="40"/>
  <c r="P36" i="40"/>
  <c r="L36" i="40"/>
  <c r="M36" i="40"/>
  <c r="N36" i="40" s="1"/>
  <c r="K36" i="40"/>
  <c r="G36" i="40"/>
  <c r="E36" i="40"/>
  <c r="Q35" i="40"/>
  <c r="P35" i="40"/>
  <c r="L35" i="40"/>
  <c r="K35" i="40"/>
  <c r="G35" i="40"/>
  <c r="E35" i="40"/>
  <c r="Q34" i="40"/>
  <c r="P34" i="40"/>
  <c r="L34" i="40"/>
  <c r="M34" i="40"/>
  <c r="N34" i="40" s="1"/>
  <c r="K34" i="40"/>
  <c r="G34" i="40"/>
  <c r="E34" i="40"/>
  <c r="Q33" i="40"/>
  <c r="P33" i="40"/>
  <c r="L33" i="40"/>
  <c r="M33" i="40"/>
  <c r="N33" i="40" s="1"/>
  <c r="K33" i="40"/>
  <c r="G33" i="40"/>
  <c r="E33" i="40"/>
  <c r="Q32" i="40"/>
  <c r="P32" i="40"/>
  <c r="L32" i="40"/>
  <c r="M32" i="40" s="1"/>
  <c r="N32" i="40" s="1"/>
  <c r="K32" i="40"/>
  <c r="G32" i="40"/>
  <c r="E32" i="40"/>
  <c r="Q31" i="40"/>
  <c r="P31" i="40"/>
  <c r="L31" i="40"/>
  <c r="M31" i="40"/>
  <c r="N31" i="40" s="1"/>
  <c r="K31" i="40"/>
  <c r="G31" i="40"/>
  <c r="E31" i="40"/>
  <c r="Q30" i="40"/>
  <c r="P30" i="40"/>
  <c r="L30" i="40"/>
  <c r="M30" i="40"/>
  <c r="N30" i="40" s="1"/>
  <c r="K30" i="40"/>
  <c r="G30" i="40"/>
  <c r="E30" i="40"/>
  <c r="Q29" i="40"/>
  <c r="P29" i="40"/>
  <c r="L29" i="40"/>
  <c r="M29" i="40" s="1"/>
  <c r="N29" i="40" s="1"/>
  <c r="K29" i="40"/>
  <c r="G29" i="40"/>
  <c r="E29" i="40"/>
  <c r="Q28" i="40"/>
  <c r="P28" i="40"/>
  <c r="L28" i="40"/>
  <c r="M28" i="40"/>
  <c r="N28" i="40" s="1"/>
  <c r="K28" i="40"/>
  <c r="G28" i="40"/>
  <c r="E28" i="40"/>
  <c r="Q27" i="40"/>
  <c r="P27" i="40"/>
  <c r="L27" i="40"/>
  <c r="M27" i="40"/>
  <c r="N27" i="40" s="1"/>
  <c r="K27" i="40"/>
  <c r="G27" i="40"/>
  <c r="E27" i="40"/>
  <c r="Q26" i="40"/>
  <c r="P26" i="40"/>
  <c r="L26" i="40"/>
  <c r="M26" i="40" s="1"/>
  <c r="N26" i="40" s="1"/>
  <c r="K26" i="40"/>
  <c r="G26" i="40"/>
  <c r="E26" i="40"/>
  <c r="Q25" i="40"/>
  <c r="P25" i="40"/>
  <c r="L25" i="40"/>
  <c r="M25" i="40"/>
  <c r="N25" i="40" s="1"/>
  <c r="K25" i="40"/>
  <c r="G25" i="40"/>
  <c r="E25" i="40"/>
  <c r="Q24" i="40"/>
  <c r="P24" i="40"/>
  <c r="L24" i="40"/>
  <c r="M24" i="40"/>
  <c r="N24" i="40" s="1"/>
  <c r="K24" i="40"/>
  <c r="G24" i="40"/>
  <c r="E24" i="40"/>
  <c r="Q23" i="40"/>
  <c r="P23" i="40"/>
  <c r="L23" i="40"/>
  <c r="M23" i="40" s="1"/>
  <c r="N23" i="40" s="1"/>
  <c r="Q22" i="40"/>
  <c r="P22" i="40"/>
  <c r="L22" i="40"/>
  <c r="M22" i="40" s="1"/>
  <c r="N22" i="40" s="1"/>
  <c r="Q21" i="40"/>
  <c r="P21" i="40"/>
  <c r="L21" i="40"/>
  <c r="M21" i="40"/>
  <c r="N21" i="40" s="1"/>
  <c r="Q20" i="40"/>
  <c r="P20" i="40"/>
  <c r="L20" i="40"/>
  <c r="M20" i="40" s="1"/>
  <c r="N20" i="40" s="1"/>
  <c r="K20" i="40"/>
  <c r="G20" i="40"/>
  <c r="E20" i="40"/>
  <c r="Q19" i="40"/>
  <c r="P19" i="40"/>
  <c r="L19" i="40"/>
  <c r="M19" i="40" s="1"/>
  <c r="N19" i="40" s="1"/>
  <c r="K19" i="40"/>
  <c r="G19" i="40"/>
  <c r="E19" i="40"/>
  <c r="Q18" i="40"/>
  <c r="P18" i="40"/>
  <c r="L18" i="40"/>
  <c r="M18" i="40" s="1"/>
  <c r="N18" i="40" s="1"/>
  <c r="K18" i="40"/>
  <c r="G18" i="40"/>
  <c r="E18" i="40"/>
  <c r="Q17" i="40"/>
  <c r="P17" i="40"/>
  <c r="L17" i="40"/>
  <c r="M17" i="40" s="1"/>
  <c r="K17" i="40"/>
  <c r="G17" i="40"/>
  <c r="E17" i="40"/>
  <c r="Q16" i="40"/>
  <c r="P16" i="40"/>
  <c r="L16" i="40"/>
  <c r="M16" i="40" s="1"/>
  <c r="N16" i="40" s="1"/>
  <c r="K16" i="40"/>
  <c r="G16" i="40"/>
  <c r="E16" i="40"/>
  <c r="Q15" i="40"/>
  <c r="P15" i="40"/>
  <c r="L15" i="40"/>
  <c r="M15" i="40" s="1"/>
  <c r="N15" i="40" s="1"/>
  <c r="Q14" i="40"/>
  <c r="P14" i="40"/>
  <c r="L14" i="40"/>
  <c r="M14" i="40" s="1"/>
  <c r="N14" i="40" s="1"/>
  <c r="K14" i="40"/>
  <c r="G14" i="40"/>
  <c r="E14" i="40"/>
  <c r="Q13" i="40"/>
  <c r="P13" i="40"/>
  <c r="L13" i="40"/>
  <c r="M13" i="40"/>
  <c r="N13" i="40" s="1"/>
  <c r="K13" i="40"/>
  <c r="G13" i="40"/>
  <c r="E13" i="40"/>
  <c r="Q12" i="40"/>
  <c r="P12" i="40"/>
  <c r="L12" i="40"/>
  <c r="M12" i="40"/>
  <c r="N12" i="40" s="1"/>
  <c r="K12" i="40"/>
  <c r="G12" i="40"/>
  <c r="E12" i="40"/>
  <c r="Q11" i="40"/>
  <c r="P11" i="40"/>
  <c r="L11" i="40"/>
  <c r="M11" i="40" s="1"/>
  <c r="N11" i="40" s="1"/>
  <c r="K11" i="40"/>
  <c r="G11" i="40"/>
  <c r="E11" i="40"/>
  <c r="Q10" i="40"/>
  <c r="P10" i="40"/>
  <c r="L10" i="40"/>
  <c r="M10" i="40"/>
  <c r="N10" i="40" s="1"/>
  <c r="K10" i="40"/>
  <c r="G10" i="40"/>
  <c r="E10" i="40"/>
  <c r="Q9" i="40"/>
  <c r="P9" i="40"/>
  <c r="L9" i="40"/>
  <c r="M9" i="40"/>
  <c r="N9" i="40" s="1"/>
  <c r="K9" i="40"/>
  <c r="G9" i="40"/>
  <c r="E9" i="40"/>
  <c r="Q8" i="40"/>
  <c r="P8" i="40"/>
  <c r="L8" i="40"/>
  <c r="M8" i="40" s="1"/>
  <c r="N8" i="40" s="1"/>
  <c r="K8" i="40"/>
  <c r="G8" i="40"/>
  <c r="E8" i="40"/>
  <c r="Q7" i="40"/>
  <c r="P7" i="40"/>
  <c r="L7" i="40"/>
  <c r="M7" i="40"/>
  <c r="N7" i="40" s="1"/>
  <c r="K7" i="40"/>
  <c r="G7" i="40"/>
  <c r="E7" i="40"/>
  <c r="Q6" i="40"/>
  <c r="P6" i="40"/>
  <c r="L6" i="40"/>
  <c r="K6" i="40"/>
  <c r="G6" i="40"/>
  <c r="E6" i="40"/>
  <c r="F397" i="34"/>
  <c r="F396" i="34"/>
  <c r="F395" i="34"/>
  <c r="F394" i="34"/>
  <c r="F393" i="34"/>
  <c r="F392" i="34"/>
  <c r="F391" i="34"/>
  <c r="F390" i="34"/>
  <c r="F389" i="34"/>
  <c r="F388" i="34"/>
  <c r="F387" i="34"/>
  <c r="F386" i="34"/>
  <c r="F385" i="34"/>
  <c r="F384" i="34"/>
  <c r="F383" i="34"/>
  <c r="F382" i="34"/>
  <c r="F381" i="34"/>
  <c r="F380" i="34"/>
  <c r="F379" i="34"/>
  <c r="F378" i="34"/>
  <c r="F377" i="34"/>
  <c r="F376" i="34"/>
  <c r="F374" i="34"/>
  <c r="F373" i="34"/>
  <c r="F372" i="34"/>
  <c r="F371" i="34"/>
  <c r="F370" i="34"/>
  <c r="F369" i="34"/>
  <c r="F368" i="34"/>
  <c r="F367" i="34"/>
  <c r="F366" i="34"/>
  <c r="F365" i="34"/>
  <c r="F364" i="34"/>
  <c r="F363" i="34"/>
  <c r="F362" i="34"/>
  <c r="F361" i="34"/>
  <c r="F360" i="34"/>
  <c r="F359" i="34"/>
  <c r="F358" i="34"/>
  <c r="F357" i="34"/>
  <c r="F356" i="34"/>
  <c r="F355" i="34"/>
  <c r="F354" i="34"/>
  <c r="F353" i="34"/>
  <c r="F352" i="34"/>
  <c r="F351" i="34"/>
  <c r="F350" i="34"/>
  <c r="F349" i="34"/>
  <c r="F348" i="34"/>
  <c r="F347" i="34"/>
  <c r="F346" i="34"/>
  <c r="F345" i="34"/>
  <c r="F344" i="34"/>
  <c r="F343" i="34"/>
  <c r="F342" i="34"/>
  <c r="F341" i="34"/>
  <c r="F340" i="34"/>
  <c r="F339" i="34"/>
  <c r="F338" i="34"/>
  <c r="F337" i="34"/>
  <c r="F336" i="34"/>
  <c r="F335" i="34"/>
  <c r="F334" i="34"/>
  <c r="F333" i="34"/>
  <c r="F332" i="34"/>
  <c r="F331" i="34"/>
  <c r="F330" i="34"/>
  <c r="F329" i="34"/>
  <c r="F328" i="34"/>
  <c r="F327" i="34"/>
  <c r="F326" i="34"/>
  <c r="F325" i="34"/>
  <c r="F324" i="34"/>
  <c r="F323" i="34"/>
  <c r="F322" i="34"/>
  <c r="F321" i="34"/>
  <c r="F320" i="34"/>
  <c r="F319" i="34"/>
  <c r="F318" i="34"/>
  <c r="F317" i="34"/>
  <c r="F316" i="34"/>
  <c r="F315" i="34"/>
  <c r="F314" i="34"/>
  <c r="F313" i="34"/>
  <c r="F312" i="34"/>
  <c r="F311" i="34"/>
  <c r="F310" i="34"/>
  <c r="F309" i="34"/>
  <c r="F308" i="34"/>
  <c r="F307" i="34"/>
  <c r="F306" i="34"/>
  <c r="F305" i="34"/>
  <c r="F304" i="34"/>
  <c r="F303" i="34"/>
  <c r="F302" i="34"/>
  <c r="F301" i="34"/>
  <c r="F300" i="34"/>
  <c r="F299" i="34"/>
  <c r="F298" i="34"/>
  <c r="F297" i="34"/>
  <c r="F296" i="34"/>
  <c r="F295" i="34"/>
  <c r="F294" i="34"/>
  <c r="F293" i="34"/>
  <c r="F292" i="34"/>
  <c r="F291" i="34"/>
  <c r="F290" i="34"/>
  <c r="F289" i="34"/>
  <c r="F288" i="34"/>
  <c r="F287" i="34"/>
  <c r="F286" i="34"/>
  <c r="F285" i="34"/>
  <c r="F284" i="34"/>
  <c r="F283" i="34"/>
  <c r="F282" i="34"/>
  <c r="F281" i="34"/>
  <c r="F280" i="34"/>
  <c r="F279" i="34"/>
  <c r="F278" i="34"/>
  <c r="F277" i="34"/>
  <c r="F276" i="34"/>
  <c r="F275" i="34"/>
  <c r="F274" i="34"/>
  <c r="F273" i="34"/>
  <c r="F272" i="34"/>
  <c r="F271" i="34"/>
  <c r="F270" i="34"/>
  <c r="F269" i="34"/>
  <c r="F268" i="34"/>
  <c r="F267" i="34"/>
  <c r="F266" i="34"/>
  <c r="F265" i="34"/>
  <c r="F264" i="34"/>
  <c r="F263" i="34"/>
  <c r="F262" i="34"/>
  <c r="F261" i="34"/>
  <c r="F260" i="34"/>
  <c r="F259" i="34"/>
  <c r="F258" i="34"/>
  <c r="F257" i="34"/>
  <c r="F256" i="34"/>
  <c r="F255" i="34"/>
  <c r="F254" i="34"/>
  <c r="F253" i="34"/>
  <c r="F252" i="34"/>
  <c r="F251" i="34"/>
  <c r="F250" i="34"/>
  <c r="F249" i="34"/>
  <c r="F248" i="34"/>
  <c r="F247" i="34"/>
  <c r="F246" i="34"/>
  <c r="F245" i="34"/>
  <c r="F244" i="34"/>
  <c r="F243" i="34"/>
  <c r="F242" i="34"/>
  <c r="F241" i="34"/>
  <c r="F240" i="34"/>
  <c r="F239" i="34"/>
  <c r="F238" i="34"/>
  <c r="F237" i="34"/>
  <c r="F236" i="34"/>
  <c r="F235" i="34"/>
  <c r="F234" i="34"/>
  <c r="F233" i="34"/>
  <c r="F232" i="34"/>
  <c r="F231" i="34"/>
  <c r="F230" i="34"/>
  <c r="F229" i="34"/>
  <c r="F228" i="34"/>
  <c r="F227" i="34"/>
  <c r="F226" i="34"/>
  <c r="F225" i="34"/>
  <c r="F224" i="34"/>
  <c r="F223" i="34"/>
  <c r="F222" i="34"/>
  <c r="F221" i="34"/>
  <c r="F220" i="34"/>
  <c r="F219" i="34"/>
  <c r="F218" i="34"/>
  <c r="F217" i="34"/>
  <c r="F216" i="34"/>
  <c r="F215" i="34"/>
  <c r="F214" i="34"/>
  <c r="F213" i="34"/>
  <c r="F212" i="34"/>
  <c r="F211" i="34"/>
  <c r="F210" i="34"/>
  <c r="F209" i="34"/>
  <c r="F208" i="34"/>
  <c r="F207" i="34"/>
  <c r="F206" i="34"/>
  <c r="F205" i="34"/>
  <c r="F204" i="34"/>
  <c r="F203" i="34"/>
  <c r="F202" i="34"/>
  <c r="F201" i="34"/>
  <c r="F200" i="34"/>
  <c r="F199" i="34"/>
  <c r="F198" i="34"/>
  <c r="F197" i="34"/>
  <c r="F196" i="34"/>
  <c r="F195" i="34"/>
  <c r="F194" i="34"/>
  <c r="F193" i="34"/>
  <c r="F192" i="34"/>
  <c r="F191" i="34"/>
  <c r="F190" i="34"/>
  <c r="F189" i="34"/>
  <c r="F188" i="34"/>
  <c r="F187" i="34"/>
  <c r="F186" i="34"/>
  <c r="F185" i="34"/>
  <c r="F184" i="34"/>
  <c r="F183" i="34"/>
  <c r="F182" i="34"/>
  <c r="F181" i="34"/>
  <c r="F180" i="34"/>
  <c r="F179" i="34"/>
  <c r="F178" i="34"/>
  <c r="F177" i="34"/>
  <c r="F176" i="34"/>
  <c r="F175" i="34"/>
  <c r="F174" i="34"/>
  <c r="F173" i="34"/>
  <c r="F172" i="34"/>
  <c r="F171" i="34"/>
  <c r="F170" i="34"/>
  <c r="F169" i="34"/>
  <c r="F168" i="34"/>
  <c r="F167" i="34"/>
  <c r="F166" i="34"/>
  <c r="F165" i="34"/>
  <c r="F164" i="34"/>
  <c r="F163" i="34"/>
  <c r="F162" i="34"/>
  <c r="F161" i="34"/>
  <c r="F160" i="34"/>
  <c r="F159" i="34"/>
  <c r="F158" i="34"/>
  <c r="F157" i="34"/>
  <c r="F156" i="34"/>
  <c r="F155" i="34"/>
  <c r="F154" i="34"/>
  <c r="F153" i="34"/>
  <c r="F152" i="34"/>
  <c r="F151" i="34"/>
  <c r="F150" i="34"/>
  <c r="F149" i="34"/>
  <c r="F148" i="34"/>
  <c r="F147" i="34"/>
  <c r="F146" i="34"/>
  <c r="F145" i="34"/>
  <c r="F144" i="34"/>
  <c r="F143" i="34"/>
  <c r="F142" i="34"/>
  <c r="F141" i="34"/>
  <c r="F140" i="34"/>
  <c r="F139" i="34"/>
  <c r="F138" i="34"/>
  <c r="F137" i="34"/>
  <c r="F136" i="34"/>
  <c r="F135" i="34"/>
  <c r="F134" i="34"/>
  <c r="F133" i="34"/>
  <c r="F132" i="34"/>
  <c r="F131" i="34"/>
  <c r="F130" i="34"/>
  <c r="F129" i="34"/>
  <c r="F128" i="34"/>
  <c r="F127" i="34"/>
  <c r="F126" i="34"/>
  <c r="F125" i="34"/>
  <c r="F124" i="34"/>
  <c r="F123" i="34"/>
  <c r="F122" i="34"/>
  <c r="F121" i="34"/>
  <c r="F120" i="34"/>
  <c r="F119" i="34"/>
  <c r="F118" i="34"/>
  <c r="F117" i="34"/>
  <c r="F116" i="34"/>
  <c r="F115" i="34"/>
  <c r="F114" i="34"/>
  <c r="F113" i="34"/>
  <c r="F112" i="34"/>
  <c r="F111" i="34"/>
  <c r="F110" i="34"/>
  <c r="F109" i="34"/>
  <c r="F108" i="34"/>
  <c r="F107" i="34"/>
  <c r="F106" i="34"/>
  <c r="F105" i="34"/>
  <c r="F104" i="34"/>
  <c r="F103" i="34"/>
  <c r="F102" i="34"/>
  <c r="F101" i="34"/>
  <c r="F100" i="34"/>
  <c r="F99" i="34"/>
  <c r="F98" i="34"/>
  <c r="F97" i="34"/>
  <c r="F96" i="34"/>
  <c r="F95" i="34"/>
  <c r="F94" i="34"/>
  <c r="F93" i="34"/>
  <c r="F92" i="34"/>
  <c r="F91" i="34"/>
  <c r="F8" i="34"/>
  <c r="F9" i="34"/>
  <c r="F10" i="34"/>
  <c r="F11" i="34"/>
  <c r="F12" i="34"/>
  <c r="F13" i="34"/>
  <c r="F14" i="34"/>
  <c r="F15" i="34"/>
  <c r="F16" i="34"/>
  <c r="F17" i="34"/>
  <c r="F18" i="34"/>
  <c r="F19" i="34"/>
  <c r="F20" i="34"/>
  <c r="F21" i="34"/>
  <c r="F22" i="34"/>
  <c r="F23" i="34"/>
  <c r="F24" i="34"/>
  <c r="F25" i="34"/>
  <c r="F26" i="34"/>
  <c r="F27" i="34"/>
  <c r="F28" i="34"/>
  <c r="F29" i="34"/>
  <c r="F30" i="34"/>
  <c r="F31" i="34"/>
  <c r="F32" i="34"/>
  <c r="F33" i="34"/>
  <c r="F34" i="34"/>
  <c r="F35"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F66" i="34"/>
  <c r="F67" i="34"/>
  <c r="F68" i="34"/>
  <c r="F69" i="34"/>
  <c r="F70" i="34"/>
  <c r="F71" i="34"/>
  <c r="F72" i="34"/>
  <c r="F73" i="34"/>
  <c r="F74" i="34"/>
  <c r="F75" i="34"/>
  <c r="F76" i="34"/>
  <c r="F77" i="34"/>
  <c r="F78" i="34"/>
  <c r="F79" i="34"/>
  <c r="F80" i="34"/>
  <c r="F81" i="34"/>
  <c r="F82" i="34"/>
  <c r="F83" i="34"/>
  <c r="F84" i="34"/>
  <c r="F85" i="34"/>
  <c r="F86" i="34"/>
  <c r="F87" i="34"/>
  <c r="F88" i="34"/>
  <c r="F89" i="34"/>
  <c r="F7" i="34"/>
  <c r="F6" i="34"/>
  <c r="Q7" i="34"/>
  <c r="R7" i="34"/>
  <c r="S7" i="34"/>
  <c r="T7" i="34"/>
  <c r="Q8" i="34"/>
  <c r="R8" i="34"/>
  <c r="S8" i="34"/>
  <c r="T8" i="34"/>
  <c r="Q9" i="34"/>
  <c r="R9" i="34"/>
  <c r="S9" i="34"/>
  <c r="T9" i="34"/>
  <c r="Q10" i="34"/>
  <c r="R10" i="34"/>
  <c r="S10" i="34"/>
  <c r="T10" i="34"/>
  <c r="Q11" i="34"/>
  <c r="R11" i="34"/>
  <c r="S11" i="34"/>
  <c r="T11" i="34"/>
  <c r="Q12" i="34"/>
  <c r="R12" i="34"/>
  <c r="S12" i="34"/>
  <c r="T12" i="34"/>
  <c r="Q13" i="34"/>
  <c r="R13" i="34"/>
  <c r="S13" i="34"/>
  <c r="T13" i="34"/>
  <c r="Q14" i="34"/>
  <c r="R14" i="34"/>
  <c r="S14" i="34"/>
  <c r="T14" i="34"/>
  <c r="Q15" i="34"/>
  <c r="R15" i="34"/>
  <c r="S15" i="34"/>
  <c r="T15" i="34"/>
  <c r="Q16" i="34"/>
  <c r="R16" i="34"/>
  <c r="S16" i="34"/>
  <c r="T16" i="34"/>
  <c r="Q17" i="34"/>
  <c r="R17" i="34"/>
  <c r="S17" i="34"/>
  <c r="T17" i="34"/>
  <c r="Q18" i="34"/>
  <c r="R18" i="34"/>
  <c r="S18" i="34"/>
  <c r="T18" i="34"/>
  <c r="Q19" i="34"/>
  <c r="R19" i="34"/>
  <c r="S19" i="34"/>
  <c r="T19" i="34"/>
  <c r="Q20" i="34"/>
  <c r="R20" i="34"/>
  <c r="S20" i="34"/>
  <c r="T20" i="34"/>
  <c r="Q21" i="34"/>
  <c r="R21" i="34"/>
  <c r="S21" i="34"/>
  <c r="T21" i="34"/>
  <c r="Q22" i="34"/>
  <c r="R22" i="34"/>
  <c r="S22" i="34"/>
  <c r="T22" i="34"/>
  <c r="Q23" i="34"/>
  <c r="R23" i="34"/>
  <c r="S23" i="34"/>
  <c r="T23" i="34"/>
  <c r="Q24" i="34"/>
  <c r="R24" i="34"/>
  <c r="S24" i="34"/>
  <c r="T24" i="34"/>
  <c r="Q25" i="34"/>
  <c r="R25" i="34"/>
  <c r="S25" i="34"/>
  <c r="T25" i="34"/>
  <c r="Q26" i="34"/>
  <c r="R26" i="34"/>
  <c r="S26" i="34"/>
  <c r="T26" i="34"/>
  <c r="Q27" i="34"/>
  <c r="R27" i="34"/>
  <c r="S27" i="34"/>
  <c r="T27" i="34"/>
  <c r="Q28" i="34"/>
  <c r="R28" i="34"/>
  <c r="S28" i="34"/>
  <c r="T28" i="34"/>
  <c r="Q29" i="34"/>
  <c r="R29" i="34"/>
  <c r="S29" i="34"/>
  <c r="T29" i="34"/>
  <c r="Q30" i="34"/>
  <c r="R30" i="34"/>
  <c r="S30" i="34"/>
  <c r="T30" i="34"/>
  <c r="Q31" i="34"/>
  <c r="R31" i="34"/>
  <c r="S31" i="34"/>
  <c r="T31" i="34"/>
  <c r="Q32" i="34"/>
  <c r="R32" i="34"/>
  <c r="S32" i="34"/>
  <c r="T32" i="34"/>
  <c r="Q33" i="34"/>
  <c r="R33" i="34"/>
  <c r="S33" i="34"/>
  <c r="T33" i="34"/>
  <c r="Q34" i="34"/>
  <c r="R34" i="34"/>
  <c r="S34" i="34"/>
  <c r="T34" i="34"/>
  <c r="Q35" i="34"/>
  <c r="R35" i="34"/>
  <c r="S35" i="34"/>
  <c r="T35" i="34"/>
  <c r="Q36" i="34"/>
  <c r="R36" i="34"/>
  <c r="S36" i="34"/>
  <c r="T36" i="34"/>
  <c r="Q37" i="34"/>
  <c r="R37" i="34"/>
  <c r="S37" i="34"/>
  <c r="T37" i="34"/>
  <c r="Q38" i="34"/>
  <c r="R38" i="34"/>
  <c r="S38" i="34"/>
  <c r="T38" i="34"/>
  <c r="Q39" i="34"/>
  <c r="R39" i="34"/>
  <c r="S39" i="34"/>
  <c r="T39" i="34"/>
  <c r="Q40" i="34"/>
  <c r="R40" i="34"/>
  <c r="S40" i="34"/>
  <c r="T40" i="34"/>
  <c r="Q41" i="34"/>
  <c r="R41" i="34"/>
  <c r="S41" i="34"/>
  <c r="T41" i="34"/>
  <c r="Q42" i="34"/>
  <c r="R42" i="34"/>
  <c r="S42" i="34"/>
  <c r="T42" i="34"/>
  <c r="Q43" i="34"/>
  <c r="R43" i="34"/>
  <c r="S43" i="34"/>
  <c r="T43" i="34"/>
  <c r="Q44" i="34"/>
  <c r="R44" i="34"/>
  <c r="S44" i="34"/>
  <c r="T44" i="34"/>
  <c r="Q45" i="34"/>
  <c r="R45" i="34"/>
  <c r="S45" i="34"/>
  <c r="T45" i="34"/>
  <c r="Q46" i="34"/>
  <c r="R46" i="34"/>
  <c r="S46" i="34"/>
  <c r="T46" i="34"/>
  <c r="Q47" i="34"/>
  <c r="R47" i="34"/>
  <c r="S47" i="34"/>
  <c r="T47" i="34"/>
  <c r="Q48" i="34"/>
  <c r="R48" i="34"/>
  <c r="S48" i="34"/>
  <c r="T48" i="34"/>
  <c r="Q49" i="34"/>
  <c r="R49" i="34"/>
  <c r="S49" i="34"/>
  <c r="T49" i="34"/>
  <c r="Q50" i="34"/>
  <c r="R50" i="34"/>
  <c r="S50" i="34"/>
  <c r="T50" i="34"/>
  <c r="Q51" i="34"/>
  <c r="R51" i="34"/>
  <c r="S51" i="34"/>
  <c r="T51" i="34"/>
  <c r="Q52" i="34"/>
  <c r="R52" i="34"/>
  <c r="S52" i="34"/>
  <c r="T52" i="34"/>
  <c r="Q53" i="34"/>
  <c r="R53" i="34"/>
  <c r="S53" i="34"/>
  <c r="T53" i="34"/>
  <c r="Q54" i="34"/>
  <c r="R54" i="34"/>
  <c r="S54" i="34"/>
  <c r="T54" i="34"/>
  <c r="Q55" i="34"/>
  <c r="R55" i="34"/>
  <c r="S55" i="34"/>
  <c r="T55" i="34"/>
  <c r="Q56" i="34"/>
  <c r="R56" i="34"/>
  <c r="S56" i="34"/>
  <c r="T56" i="34"/>
  <c r="Q57" i="34"/>
  <c r="R57" i="34"/>
  <c r="S57" i="34"/>
  <c r="T57" i="34"/>
  <c r="Q58" i="34"/>
  <c r="R58" i="34"/>
  <c r="S58" i="34"/>
  <c r="T58" i="34"/>
  <c r="Q59" i="34"/>
  <c r="R59" i="34"/>
  <c r="S59" i="34"/>
  <c r="T59" i="34"/>
  <c r="Q60" i="34"/>
  <c r="R60" i="34"/>
  <c r="S60" i="34"/>
  <c r="T60" i="34"/>
  <c r="Q61" i="34"/>
  <c r="R61" i="34"/>
  <c r="S61" i="34"/>
  <c r="T61" i="34"/>
  <c r="Q62" i="34"/>
  <c r="R62" i="34"/>
  <c r="S62" i="34"/>
  <c r="T62" i="34"/>
  <c r="Q63" i="34"/>
  <c r="R63" i="34"/>
  <c r="S63" i="34"/>
  <c r="T63" i="34"/>
  <c r="Q64" i="34"/>
  <c r="R64" i="34"/>
  <c r="S64" i="34"/>
  <c r="T64" i="34"/>
  <c r="Q65" i="34"/>
  <c r="R65" i="34"/>
  <c r="S65" i="34"/>
  <c r="T65" i="34"/>
  <c r="Q66" i="34"/>
  <c r="R66" i="34"/>
  <c r="S66" i="34"/>
  <c r="T66" i="34"/>
  <c r="Q67" i="34"/>
  <c r="R67" i="34"/>
  <c r="S67" i="34"/>
  <c r="T67" i="34"/>
  <c r="Q68" i="34"/>
  <c r="R68" i="34"/>
  <c r="S68" i="34"/>
  <c r="T68" i="34"/>
  <c r="Q69" i="34"/>
  <c r="R69" i="34"/>
  <c r="S69" i="34"/>
  <c r="T69" i="34"/>
  <c r="Q70" i="34"/>
  <c r="R70" i="34"/>
  <c r="S70" i="34"/>
  <c r="T70" i="34"/>
  <c r="Q71" i="34"/>
  <c r="R71" i="34"/>
  <c r="S71" i="34"/>
  <c r="T71" i="34"/>
  <c r="Q72" i="34"/>
  <c r="R72" i="34"/>
  <c r="S72" i="34"/>
  <c r="T72" i="34"/>
  <c r="Q73" i="34"/>
  <c r="R73" i="34"/>
  <c r="S73" i="34"/>
  <c r="T73" i="34"/>
  <c r="Q74" i="34"/>
  <c r="R74" i="34"/>
  <c r="S74" i="34"/>
  <c r="T74" i="34"/>
  <c r="Q75" i="34"/>
  <c r="R75" i="34"/>
  <c r="S75" i="34"/>
  <c r="T75" i="34"/>
  <c r="Q76" i="34"/>
  <c r="R76" i="34"/>
  <c r="S76" i="34"/>
  <c r="T76" i="34"/>
  <c r="Q77" i="34"/>
  <c r="R77" i="34"/>
  <c r="S77" i="34"/>
  <c r="T77" i="34"/>
  <c r="Q78" i="34"/>
  <c r="R78" i="34"/>
  <c r="S78" i="34"/>
  <c r="T78" i="34"/>
  <c r="Q79" i="34"/>
  <c r="R79" i="34"/>
  <c r="S79" i="34"/>
  <c r="T79" i="34"/>
  <c r="Q80" i="34"/>
  <c r="R80" i="34"/>
  <c r="S80" i="34"/>
  <c r="T80" i="34"/>
  <c r="Q81" i="34"/>
  <c r="R81" i="34"/>
  <c r="S81" i="34"/>
  <c r="T81" i="34"/>
  <c r="Q82" i="34"/>
  <c r="R82" i="34"/>
  <c r="S82" i="34"/>
  <c r="T82" i="34"/>
  <c r="Q83" i="34"/>
  <c r="R83" i="34"/>
  <c r="S83" i="34"/>
  <c r="T83" i="34"/>
  <c r="Q84" i="34"/>
  <c r="R84" i="34"/>
  <c r="S84" i="34"/>
  <c r="T84" i="34"/>
  <c r="Q85" i="34"/>
  <c r="R85" i="34"/>
  <c r="S85" i="34"/>
  <c r="T85" i="34"/>
  <c r="Q86" i="34"/>
  <c r="R86" i="34"/>
  <c r="S86" i="34"/>
  <c r="T86" i="34"/>
  <c r="Q87" i="34"/>
  <c r="R87" i="34"/>
  <c r="S87" i="34"/>
  <c r="T87" i="34"/>
  <c r="Q88" i="34"/>
  <c r="R88" i="34"/>
  <c r="S88" i="34"/>
  <c r="T88" i="34"/>
  <c r="Q89" i="34"/>
  <c r="R89" i="34"/>
  <c r="S89" i="34"/>
  <c r="T89" i="34"/>
  <c r="Q90" i="34"/>
  <c r="R90" i="34"/>
  <c r="S90" i="34"/>
  <c r="T90" i="34"/>
  <c r="Q91" i="34"/>
  <c r="R91" i="34"/>
  <c r="S91" i="34"/>
  <c r="T91" i="34"/>
  <c r="Q92" i="34"/>
  <c r="R92" i="34"/>
  <c r="S92" i="34"/>
  <c r="T92" i="34"/>
  <c r="Q93" i="34"/>
  <c r="R93" i="34"/>
  <c r="S93" i="34"/>
  <c r="T93" i="34"/>
  <c r="Q94" i="34"/>
  <c r="R94" i="34"/>
  <c r="S94" i="34"/>
  <c r="T94" i="34"/>
  <c r="Q95" i="34"/>
  <c r="R95" i="34"/>
  <c r="S95" i="34"/>
  <c r="T95" i="34"/>
  <c r="Q96" i="34"/>
  <c r="R96" i="34"/>
  <c r="S96" i="34"/>
  <c r="T96" i="34"/>
  <c r="Q97" i="34"/>
  <c r="R97" i="34"/>
  <c r="S97" i="34"/>
  <c r="T97" i="34"/>
  <c r="Q98" i="34"/>
  <c r="R98" i="34"/>
  <c r="S98" i="34"/>
  <c r="T98" i="34"/>
  <c r="Q99" i="34"/>
  <c r="R99" i="34"/>
  <c r="S99" i="34"/>
  <c r="T99" i="34"/>
  <c r="Q100" i="34"/>
  <c r="R100" i="34"/>
  <c r="S100" i="34"/>
  <c r="T100" i="34"/>
  <c r="Q101" i="34"/>
  <c r="R101" i="34"/>
  <c r="S101" i="34"/>
  <c r="T101" i="34"/>
  <c r="Q102" i="34"/>
  <c r="R102" i="34"/>
  <c r="S102" i="34"/>
  <c r="T102" i="34"/>
  <c r="Q103" i="34"/>
  <c r="R103" i="34"/>
  <c r="S103" i="34"/>
  <c r="T103" i="34"/>
  <c r="Q104" i="34"/>
  <c r="R104" i="34"/>
  <c r="S104" i="34"/>
  <c r="T104" i="34"/>
  <c r="Q105" i="34"/>
  <c r="R105" i="34"/>
  <c r="S105" i="34"/>
  <c r="T105" i="34"/>
  <c r="Q106" i="34"/>
  <c r="R106" i="34"/>
  <c r="S106" i="34"/>
  <c r="T106" i="34"/>
  <c r="Q107" i="34"/>
  <c r="R107" i="34"/>
  <c r="S107" i="34"/>
  <c r="T107" i="34"/>
  <c r="Q108" i="34"/>
  <c r="R108" i="34"/>
  <c r="S108" i="34"/>
  <c r="T108" i="34"/>
  <c r="Q109" i="34"/>
  <c r="R109" i="34"/>
  <c r="S109" i="34"/>
  <c r="T109" i="34"/>
  <c r="Q110" i="34"/>
  <c r="R110" i="34"/>
  <c r="S110" i="34"/>
  <c r="T110" i="34"/>
  <c r="Q111" i="34"/>
  <c r="R111" i="34"/>
  <c r="S111" i="34"/>
  <c r="T111" i="34"/>
  <c r="Q112" i="34"/>
  <c r="R112" i="34"/>
  <c r="S112" i="34"/>
  <c r="T112" i="34"/>
  <c r="Q113" i="34"/>
  <c r="R113" i="34"/>
  <c r="S113" i="34"/>
  <c r="T113" i="34"/>
  <c r="Q114" i="34"/>
  <c r="R114" i="34"/>
  <c r="S114" i="34"/>
  <c r="T114" i="34"/>
  <c r="Q115" i="34"/>
  <c r="R115" i="34"/>
  <c r="S115" i="34"/>
  <c r="T115" i="34"/>
  <c r="Q116" i="34"/>
  <c r="R116" i="34"/>
  <c r="S116" i="34"/>
  <c r="T116" i="34"/>
  <c r="Q117" i="34"/>
  <c r="R117" i="34"/>
  <c r="S117" i="34"/>
  <c r="T117" i="34"/>
  <c r="Q118" i="34"/>
  <c r="R118" i="34"/>
  <c r="S118" i="34"/>
  <c r="T118" i="34"/>
  <c r="Q119" i="34"/>
  <c r="R119" i="34"/>
  <c r="S119" i="34"/>
  <c r="T119" i="34"/>
  <c r="Q120" i="34"/>
  <c r="R120" i="34"/>
  <c r="S120" i="34"/>
  <c r="T120" i="34"/>
  <c r="Q121" i="34"/>
  <c r="R121" i="34"/>
  <c r="S121" i="34"/>
  <c r="T121" i="34"/>
  <c r="Q122" i="34"/>
  <c r="R122" i="34"/>
  <c r="S122" i="34"/>
  <c r="T122" i="34"/>
  <c r="Q123" i="34"/>
  <c r="R123" i="34"/>
  <c r="S123" i="34"/>
  <c r="T123" i="34"/>
  <c r="Q124" i="34"/>
  <c r="R124" i="34"/>
  <c r="S124" i="34"/>
  <c r="T124" i="34"/>
  <c r="Q125" i="34"/>
  <c r="R125" i="34"/>
  <c r="S125" i="34"/>
  <c r="T125" i="34"/>
  <c r="Q126" i="34"/>
  <c r="R126" i="34"/>
  <c r="S126" i="34"/>
  <c r="T126" i="34"/>
  <c r="Q127" i="34"/>
  <c r="R127" i="34"/>
  <c r="S127" i="34"/>
  <c r="T127" i="34"/>
  <c r="Q128" i="34"/>
  <c r="R128" i="34"/>
  <c r="S128" i="34"/>
  <c r="T128" i="34"/>
  <c r="Q129" i="34"/>
  <c r="R129" i="34"/>
  <c r="S129" i="34"/>
  <c r="T129" i="34"/>
  <c r="Q130" i="34"/>
  <c r="R130" i="34"/>
  <c r="S130" i="34"/>
  <c r="T130" i="34"/>
  <c r="Q131" i="34"/>
  <c r="R131" i="34"/>
  <c r="S131" i="34"/>
  <c r="T131" i="34"/>
  <c r="Q132" i="34"/>
  <c r="R132" i="34"/>
  <c r="S132" i="34"/>
  <c r="T132" i="34"/>
  <c r="Q133" i="34"/>
  <c r="R133" i="34"/>
  <c r="S133" i="34"/>
  <c r="T133" i="34"/>
  <c r="Q134" i="34"/>
  <c r="R134" i="34"/>
  <c r="S134" i="34"/>
  <c r="T134" i="34"/>
  <c r="Q135" i="34"/>
  <c r="R135" i="34"/>
  <c r="S135" i="34"/>
  <c r="T135" i="34"/>
  <c r="Q136" i="34"/>
  <c r="R136" i="34"/>
  <c r="S136" i="34"/>
  <c r="T136" i="34"/>
  <c r="Q137" i="34"/>
  <c r="R137" i="34"/>
  <c r="S137" i="34"/>
  <c r="T137" i="34"/>
  <c r="Q138" i="34"/>
  <c r="R138" i="34"/>
  <c r="S138" i="34"/>
  <c r="T138" i="34"/>
  <c r="Q139" i="34"/>
  <c r="R139" i="34"/>
  <c r="S139" i="34"/>
  <c r="T139" i="34"/>
  <c r="Q140" i="34"/>
  <c r="R140" i="34"/>
  <c r="S140" i="34"/>
  <c r="T140" i="34"/>
  <c r="Q141" i="34"/>
  <c r="R141" i="34"/>
  <c r="S141" i="34"/>
  <c r="T141" i="34"/>
  <c r="Q142" i="34"/>
  <c r="R142" i="34"/>
  <c r="S142" i="34"/>
  <c r="T142" i="34"/>
  <c r="Q143" i="34"/>
  <c r="R143" i="34"/>
  <c r="S143" i="34"/>
  <c r="T143" i="34"/>
  <c r="Q144" i="34"/>
  <c r="R144" i="34"/>
  <c r="S144" i="34"/>
  <c r="T144" i="34"/>
  <c r="Q145" i="34"/>
  <c r="R145" i="34"/>
  <c r="S145" i="34"/>
  <c r="T145" i="34"/>
  <c r="Q146" i="34"/>
  <c r="R146" i="34"/>
  <c r="S146" i="34"/>
  <c r="T146" i="34"/>
  <c r="Q147" i="34"/>
  <c r="R147" i="34"/>
  <c r="S147" i="34"/>
  <c r="T147" i="34"/>
  <c r="Q148" i="34"/>
  <c r="R148" i="34"/>
  <c r="S148" i="34"/>
  <c r="T148" i="34"/>
  <c r="Q149" i="34"/>
  <c r="R149" i="34"/>
  <c r="S149" i="34"/>
  <c r="T149" i="34"/>
  <c r="Q150" i="34"/>
  <c r="R150" i="34"/>
  <c r="S150" i="34"/>
  <c r="T150" i="34"/>
  <c r="Q151" i="34"/>
  <c r="R151" i="34"/>
  <c r="S151" i="34"/>
  <c r="T151" i="34"/>
  <c r="Q152" i="34"/>
  <c r="R152" i="34"/>
  <c r="S152" i="34"/>
  <c r="T152" i="34"/>
  <c r="Q153" i="34"/>
  <c r="R153" i="34"/>
  <c r="S153" i="34"/>
  <c r="T153" i="34"/>
  <c r="Q154" i="34"/>
  <c r="R154" i="34"/>
  <c r="S154" i="34"/>
  <c r="T154" i="34"/>
  <c r="Q155" i="34"/>
  <c r="R155" i="34"/>
  <c r="S155" i="34"/>
  <c r="T155" i="34"/>
  <c r="Q156" i="34"/>
  <c r="R156" i="34"/>
  <c r="S156" i="34"/>
  <c r="T156" i="34"/>
  <c r="Q157" i="34"/>
  <c r="R157" i="34"/>
  <c r="S157" i="34"/>
  <c r="T157" i="34"/>
  <c r="Q158" i="34"/>
  <c r="R158" i="34"/>
  <c r="S158" i="34"/>
  <c r="T158" i="34"/>
  <c r="Q159" i="34"/>
  <c r="R159" i="34"/>
  <c r="S159" i="34"/>
  <c r="T159" i="34"/>
  <c r="Q160" i="34"/>
  <c r="R160" i="34"/>
  <c r="S160" i="34"/>
  <c r="T160" i="34"/>
  <c r="Q161" i="34"/>
  <c r="R161" i="34"/>
  <c r="S161" i="34"/>
  <c r="T161" i="34"/>
  <c r="Q162" i="34"/>
  <c r="R162" i="34"/>
  <c r="S162" i="34"/>
  <c r="T162" i="34"/>
  <c r="Q163" i="34"/>
  <c r="R163" i="34"/>
  <c r="S163" i="34"/>
  <c r="T163" i="34"/>
  <c r="Q164" i="34"/>
  <c r="R164" i="34"/>
  <c r="S164" i="34"/>
  <c r="T164" i="34"/>
  <c r="Q165" i="34"/>
  <c r="R165" i="34"/>
  <c r="S165" i="34"/>
  <c r="T165" i="34"/>
  <c r="Q166" i="34"/>
  <c r="R166" i="34"/>
  <c r="S166" i="34"/>
  <c r="T166" i="34"/>
  <c r="Q167" i="34"/>
  <c r="R167" i="34"/>
  <c r="S167" i="34"/>
  <c r="T167" i="34"/>
  <c r="Q168" i="34"/>
  <c r="R168" i="34"/>
  <c r="S168" i="34"/>
  <c r="T168" i="34"/>
  <c r="Q169" i="34"/>
  <c r="R169" i="34"/>
  <c r="S169" i="34"/>
  <c r="T169" i="34"/>
  <c r="Q170" i="34"/>
  <c r="R170" i="34"/>
  <c r="S170" i="34"/>
  <c r="T170" i="34"/>
  <c r="Q171" i="34"/>
  <c r="R171" i="34"/>
  <c r="S171" i="34"/>
  <c r="T171" i="34"/>
  <c r="Q172" i="34"/>
  <c r="R172" i="34"/>
  <c r="S172" i="34"/>
  <c r="T172" i="34"/>
  <c r="Q173" i="34"/>
  <c r="R173" i="34"/>
  <c r="S173" i="34"/>
  <c r="T173" i="34"/>
  <c r="Q174" i="34"/>
  <c r="R174" i="34"/>
  <c r="S174" i="34"/>
  <c r="T174" i="34"/>
  <c r="Q175" i="34"/>
  <c r="R175" i="34"/>
  <c r="S175" i="34"/>
  <c r="T175" i="34"/>
  <c r="Q176" i="34"/>
  <c r="R176" i="34"/>
  <c r="S176" i="34"/>
  <c r="T176" i="34"/>
  <c r="Q177" i="34"/>
  <c r="R177" i="34"/>
  <c r="S177" i="34"/>
  <c r="T177" i="34"/>
  <c r="Q178" i="34"/>
  <c r="R178" i="34"/>
  <c r="S178" i="34"/>
  <c r="T178" i="34"/>
  <c r="Q179" i="34"/>
  <c r="R179" i="34"/>
  <c r="S179" i="34"/>
  <c r="T179" i="34"/>
  <c r="Q180" i="34"/>
  <c r="R180" i="34"/>
  <c r="S180" i="34"/>
  <c r="T180" i="34"/>
  <c r="Q181" i="34"/>
  <c r="R181" i="34"/>
  <c r="S181" i="34"/>
  <c r="T181" i="34"/>
  <c r="Q182" i="34"/>
  <c r="R182" i="34"/>
  <c r="S182" i="34"/>
  <c r="T182" i="34"/>
  <c r="Q183" i="34"/>
  <c r="R183" i="34"/>
  <c r="S183" i="34"/>
  <c r="T183" i="34"/>
  <c r="Q184" i="34"/>
  <c r="R184" i="34"/>
  <c r="S184" i="34"/>
  <c r="T184" i="34"/>
  <c r="Q185" i="34"/>
  <c r="R185" i="34"/>
  <c r="S185" i="34"/>
  <c r="T185" i="34"/>
  <c r="Q186" i="34"/>
  <c r="R186" i="34"/>
  <c r="S186" i="34"/>
  <c r="T186" i="34"/>
  <c r="Q187" i="34"/>
  <c r="R187" i="34"/>
  <c r="S187" i="34"/>
  <c r="T187" i="34"/>
  <c r="Q188" i="34"/>
  <c r="R188" i="34"/>
  <c r="S188" i="34"/>
  <c r="T188" i="34"/>
  <c r="Q189" i="34"/>
  <c r="R189" i="34"/>
  <c r="S189" i="34"/>
  <c r="T189" i="34"/>
  <c r="Q190" i="34"/>
  <c r="R190" i="34"/>
  <c r="S190" i="34"/>
  <c r="T190" i="34"/>
  <c r="Q191" i="34"/>
  <c r="R191" i="34"/>
  <c r="S191" i="34"/>
  <c r="T191" i="34"/>
  <c r="Q192" i="34"/>
  <c r="R192" i="34"/>
  <c r="S192" i="34"/>
  <c r="T192" i="34"/>
  <c r="Q193" i="34"/>
  <c r="R193" i="34"/>
  <c r="S193" i="34"/>
  <c r="T193" i="34"/>
  <c r="Q194" i="34"/>
  <c r="R194" i="34"/>
  <c r="S194" i="34"/>
  <c r="T194" i="34"/>
  <c r="Q195" i="34"/>
  <c r="R195" i="34"/>
  <c r="S195" i="34"/>
  <c r="T195" i="34"/>
  <c r="Q196" i="34"/>
  <c r="R196" i="34"/>
  <c r="S196" i="34"/>
  <c r="T196" i="34"/>
  <c r="Q197" i="34"/>
  <c r="R197" i="34"/>
  <c r="S197" i="34"/>
  <c r="T197" i="34"/>
  <c r="Q198" i="34"/>
  <c r="R198" i="34"/>
  <c r="S198" i="34"/>
  <c r="T198" i="34"/>
  <c r="Q199" i="34"/>
  <c r="R199" i="34"/>
  <c r="S199" i="34"/>
  <c r="T199" i="34"/>
  <c r="Q200" i="34"/>
  <c r="R200" i="34"/>
  <c r="S200" i="34"/>
  <c r="T200" i="34"/>
  <c r="Q201" i="34"/>
  <c r="R201" i="34"/>
  <c r="S201" i="34"/>
  <c r="T201" i="34"/>
  <c r="Q202" i="34"/>
  <c r="R202" i="34"/>
  <c r="S202" i="34"/>
  <c r="T202" i="34"/>
  <c r="Q203" i="34"/>
  <c r="R203" i="34"/>
  <c r="S203" i="34"/>
  <c r="T203" i="34"/>
  <c r="Q204" i="34"/>
  <c r="R204" i="34"/>
  <c r="S204" i="34"/>
  <c r="T204" i="34"/>
  <c r="Q205" i="34"/>
  <c r="R205" i="34"/>
  <c r="S205" i="34"/>
  <c r="T205" i="34"/>
  <c r="Q206" i="34"/>
  <c r="R206" i="34"/>
  <c r="S206" i="34"/>
  <c r="T206" i="34"/>
  <c r="Q207" i="34"/>
  <c r="R207" i="34"/>
  <c r="S207" i="34"/>
  <c r="T207" i="34"/>
  <c r="Q208" i="34"/>
  <c r="R208" i="34"/>
  <c r="S208" i="34"/>
  <c r="T208" i="34"/>
  <c r="Q209" i="34"/>
  <c r="R209" i="34"/>
  <c r="S209" i="34"/>
  <c r="T209" i="34"/>
  <c r="Q210" i="34"/>
  <c r="R210" i="34"/>
  <c r="S210" i="34"/>
  <c r="T210" i="34"/>
  <c r="Q211" i="34"/>
  <c r="R211" i="34"/>
  <c r="S211" i="34"/>
  <c r="T211" i="34"/>
  <c r="Q212" i="34"/>
  <c r="R212" i="34"/>
  <c r="S212" i="34"/>
  <c r="T212" i="34"/>
  <c r="Q213" i="34"/>
  <c r="R213" i="34"/>
  <c r="S213" i="34"/>
  <c r="T213" i="34"/>
  <c r="Q214" i="34"/>
  <c r="R214" i="34"/>
  <c r="S214" i="34"/>
  <c r="T214" i="34"/>
  <c r="Q215" i="34"/>
  <c r="R215" i="34"/>
  <c r="S215" i="34"/>
  <c r="T215" i="34"/>
  <c r="Q216" i="34"/>
  <c r="R216" i="34"/>
  <c r="S216" i="34"/>
  <c r="T216" i="34"/>
  <c r="Q217" i="34"/>
  <c r="R217" i="34"/>
  <c r="S217" i="34"/>
  <c r="T217" i="34"/>
  <c r="Q218" i="34"/>
  <c r="R218" i="34"/>
  <c r="S218" i="34"/>
  <c r="T218" i="34"/>
  <c r="Q219" i="34"/>
  <c r="R219" i="34"/>
  <c r="S219" i="34"/>
  <c r="T219" i="34"/>
  <c r="Q220" i="34"/>
  <c r="R220" i="34"/>
  <c r="S220" i="34"/>
  <c r="T220" i="34"/>
  <c r="Q221" i="34"/>
  <c r="R221" i="34"/>
  <c r="S221" i="34"/>
  <c r="T221" i="34"/>
  <c r="Q222" i="34"/>
  <c r="R222" i="34"/>
  <c r="S222" i="34"/>
  <c r="T222" i="34"/>
  <c r="Q223" i="34"/>
  <c r="R223" i="34"/>
  <c r="S223" i="34"/>
  <c r="T223" i="34"/>
  <c r="Q224" i="34"/>
  <c r="R224" i="34"/>
  <c r="S224" i="34"/>
  <c r="T224" i="34"/>
  <c r="Q225" i="34"/>
  <c r="R225" i="34"/>
  <c r="S225" i="34"/>
  <c r="T225" i="34"/>
  <c r="Q226" i="34"/>
  <c r="R226" i="34"/>
  <c r="S226" i="34"/>
  <c r="T226" i="34"/>
  <c r="Q227" i="34"/>
  <c r="R227" i="34"/>
  <c r="S227" i="34"/>
  <c r="T227" i="34"/>
  <c r="Q228" i="34"/>
  <c r="R228" i="34"/>
  <c r="S228" i="34"/>
  <c r="T228" i="34"/>
  <c r="Q229" i="34"/>
  <c r="R229" i="34"/>
  <c r="S229" i="34"/>
  <c r="T229" i="34"/>
  <c r="Q230" i="34"/>
  <c r="R230" i="34"/>
  <c r="S230" i="34"/>
  <c r="T230" i="34"/>
  <c r="Q231" i="34"/>
  <c r="R231" i="34"/>
  <c r="S231" i="34"/>
  <c r="T231" i="34"/>
  <c r="Q232" i="34"/>
  <c r="R232" i="34"/>
  <c r="S232" i="34"/>
  <c r="T232" i="34"/>
  <c r="Q233" i="34"/>
  <c r="R233" i="34"/>
  <c r="S233" i="34"/>
  <c r="T233" i="34"/>
  <c r="Q234" i="34"/>
  <c r="R234" i="34"/>
  <c r="S234" i="34"/>
  <c r="T234" i="34"/>
  <c r="Q235" i="34"/>
  <c r="R235" i="34"/>
  <c r="S235" i="34"/>
  <c r="T235" i="34"/>
  <c r="Q236" i="34"/>
  <c r="R236" i="34"/>
  <c r="S236" i="34"/>
  <c r="T236" i="34"/>
  <c r="Q237" i="34"/>
  <c r="R237" i="34"/>
  <c r="S237" i="34"/>
  <c r="T237" i="34"/>
  <c r="Q238" i="34"/>
  <c r="R238" i="34"/>
  <c r="S238" i="34"/>
  <c r="T238" i="34"/>
  <c r="Q239" i="34"/>
  <c r="R239" i="34"/>
  <c r="S239" i="34"/>
  <c r="T239" i="34"/>
  <c r="Q240" i="34"/>
  <c r="R240" i="34"/>
  <c r="S240" i="34"/>
  <c r="T240" i="34"/>
  <c r="Q241" i="34"/>
  <c r="R241" i="34"/>
  <c r="S241" i="34"/>
  <c r="T241" i="34"/>
  <c r="Q242" i="34"/>
  <c r="R242" i="34"/>
  <c r="S242" i="34"/>
  <c r="T242" i="34"/>
  <c r="Q243" i="34"/>
  <c r="R243" i="34"/>
  <c r="S243" i="34"/>
  <c r="T243" i="34"/>
  <c r="Q244" i="34"/>
  <c r="R244" i="34"/>
  <c r="S244" i="34"/>
  <c r="T244" i="34"/>
  <c r="Q245" i="34"/>
  <c r="R245" i="34"/>
  <c r="S245" i="34"/>
  <c r="T245" i="34"/>
  <c r="Q246" i="34"/>
  <c r="R246" i="34"/>
  <c r="S246" i="34"/>
  <c r="T246" i="34"/>
  <c r="Q247" i="34"/>
  <c r="R247" i="34"/>
  <c r="S247" i="34"/>
  <c r="T247" i="34"/>
  <c r="Q248" i="34"/>
  <c r="R248" i="34"/>
  <c r="S248" i="34"/>
  <c r="T248" i="34"/>
  <c r="Q249" i="34"/>
  <c r="R249" i="34"/>
  <c r="S249" i="34"/>
  <c r="T249" i="34"/>
  <c r="Q250" i="34"/>
  <c r="R250" i="34"/>
  <c r="S250" i="34"/>
  <c r="T250" i="34"/>
  <c r="Q251" i="34"/>
  <c r="R251" i="34"/>
  <c r="S251" i="34"/>
  <c r="T251" i="34"/>
  <c r="Q252" i="34"/>
  <c r="R252" i="34"/>
  <c r="S252" i="34"/>
  <c r="T252" i="34"/>
  <c r="Q253" i="34"/>
  <c r="R253" i="34"/>
  <c r="S253" i="34"/>
  <c r="T253" i="34"/>
  <c r="Q254" i="34"/>
  <c r="R254" i="34"/>
  <c r="S254" i="34"/>
  <c r="T254" i="34"/>
  <c r="Q255" i="34"/>
  <c r="R255" i="34"/>
  <c r="S255" i="34"/>
  <c r="T255" i="34"/>
  <c r="Q256" i="34"/>
  <c r="R256" i="34"/>
  <c r="S256" i="34"/>
  <c r="T256" i="34"/>
  <c r="Q257" i="34"/>
  <c r="R257" i="34"/>
  <c r="S257" i="34"/>
  <c r="T257" i="34"/>
  <c r="Q258" i="34"/>
  <c r="R258" i="34"/>
  <c r="S258" i="34"/>
  <c r="T258" i="34"/>
  <c r="Q259" i="34"/>
  <c r="R259" i="34"/>
  <c r="S259" i="34"/>
  <c r="T259" i="34"/>
  <c r="Q260" i="34"/>
  <c r="R260" i="34"/>
  <c r="S260" i="34"/>
  <c r="T260" i="34"/>
  <c r="Q261" i="34"/>
  <c r="R261" i="34"/>
  <c r="S261" i="34"/>
  <c r="T261" i="34"/>
  <c r="Q262" i="34"/>
  <c r="R262" i="34"/>
  <c r="S262" i="34"/>
  <c r="T262" i="34"/>
  <c r="Q263" i="34"/>
  <c r="R263" i="34"/>
  <c r="S263" i="34"/>
  <c r="T263" i="34"/>
  <c r="Q264" i="34"/>
  <c r="R264" i="34"/>
  <c r="S264" i="34"/>
  <c r="T264" i="34"/>
  <c r="Q265" i="34"/>
  <c r="R265" i="34"/>
  <c r="S265" i="34"/>
  <c r="T265" i="34"/>
  <c r="Q266" i="34"/>
  <c r="R266" i="34"/>
  <c r="S266" i="34"/>
  <c r="T266" i="34"/>
  <c r="Q267" i="34"/>
  <c r="R267" i="34"/>
  <c r="S267" i="34"/>
  <c r="T267" i="34"/>
  <c r="Q268" i="34"/>
  <c r="R268" i="34"/>
  <c r="S268" i="34"/>
  <c r="T268" i="34"/>
  <c r="Q269" i="34"/>
  <c r="R269" i="34"/>
  <c r="S269" i="34"/>
  <c r="T269" i="34"/>
  <c r="Q270" i="34"/>
  <c r="R270" i="34"/>
  <c r="S270" i="34"/>
  <c r="T270" i="34"/>
  <c r="Q271" i="34"/>
  <c r="R271" i="34"/>
  <c r="S271" i="34"/>
  <c r="T271" i="34"/>
  <c r="Q272" i="34"/>
  <c r="R272" i="34"/>
  <c r="S272" i="34"/>
  <c r="T272" i="34"/>
  <c r="Q273" i="34"/>
  <c r="R273" i="34"/>
  <c r="S273" i="34"/>
  <c r="T273" i="34"/>
  <c r="Q274" i="34"/>
  <c r="R274" i="34"/>
  <c r="S274" i="34"/>
  <c r="T274" i="34"/>
  <c r="Q275" i="34"/>
  <c r="R275" i="34"/>
  <c r="S275" i="34"/>
  <c r="T275" i="34"/>
  <c r="Q276" i="34"/>
  <c r="R276" i="34"/>
  <c r="S276" i="34"/>
  <c r="T276" i="34"/>
  <c r="Q277" i="34"/>
  <c r="R277" i="34"/>
  <c r="S277" i="34"/>
  <c r="T277" i="34"/>
  <c r="Q278" i="34"/>
  <c r="R278" i="34"/>
  <c r="S278" i="34"/>
  <c r="T278" i="34"/>
  <c r="Q279" i="34"/>
  <c r="R279" i="34"/>
  <c r="S279" i="34"/>
  <c r="T279" i="34"/>
  <c r="Q280" i="34"/>
  <c r="R280" i="34"/>
  <c r="S280" i="34"/>
  <c r="T280" i="34"/>
  <c r="Q281" i="34"/>
  <c r="R281" i="34"/>
  <c r="S281" i="34"/>
  <c r="T281" i="34"/>
  <c r="Q282" i="34"/>
  <c r="R282" i="34"/>
  <c r="S282" i="34"/>
  <c r="T282" i="34"/>
  <c r="Q283" i="34"/>
  <c r="R283" i="34"/>
  <c r="S283" i="34"/>
  <c r="T283" i="34"/>
  <c r="Q284" i="34"/>
  <c r="R284" i="34"/>
  <c r="S284" i="34"/>
  <c r="T284" i="34"/>
  <c r="Q285" i="34"/>
  <c r="R285" i="34"/>
  <c r="S285" i="34"/>
  <c r="T285" i="34"/>
  <c r="Q286" i="34"/>
  <c r="R286" i="34"/>
  <c r="S286" i="34"/>
  <c r="T286" i="34"/>
  <c r="Q287" i="34"/>
  <c r="R287" i="34"/>
  <c r="S287" i="34"/>
  <c r="T287" i="34"/>
  <c r="Q288" i="34"/>
  <c r="R288" i="34"/>
  <c r="S288" i="34"/>
  <c r="T288" i="34"/>
  <c r="Q289" i="34"/>
  <c r="R289" i="34"/>
  <c r="S289" i="34"/>
  <c r="T289" i="34"/>
  <c r="Q290" i="34"/>
  <c r="R290" i="34"/>
  <c r="S290" i="34"/>
  <c r="T290" i="34"/>
  <c r="Q291" i="34"/>
  <c r="R291" i="34"/>
  <c r="S291" i="34"/>
  <c r="T291" i="34"/>
  <c r="Q292" i="34"/>
  <c r="R292" i="34"/>
  <c r="S292" i="34"/>
  <c r="T292" i="34"/>
  <c r="Q293" i="34"/>
  <c r="R293" i="34"/>
  <c r="S293" i="34"/>
  <c r="T293" i="34"/>
  <c r="Q294" i="34"/>
  <c r="R294" i="34"/>
  <c r="S294" i="34"/>
  <c r="T294" i="34"/>
  <c r="Q295" i="34"/>
  <c r="R295" i="34"/>
  <c r="S295" i="34"/>
  <c r="T295" i="34"/>
  <c r="Q296" i="34"/>
  <c r="R296" i="34"/>
  <c r="S296" i="34"/>
  <c r="T296" i="34"/>
  <c r="Q297" i="34"/>
  <c r="R297" i="34"/>
  <c r="S297" i="34"/>
  <c r="T297" i="34"/>
  <c r="Q298" i="34"/>
  <c r="R298" i="34"/>
  <c r="S298" i="34"/>
  <c r="T298" i="34"/>
  <c r="Q299" i="34"/>
  <c r="R299" i="34"/>
  <c r="S299" i="34"/>
  <c r="T299" i="34"/>
  <c r="Q300" i="34"/>
  <c r="R300" i="34"/>
  <c r="S300" i="34"/>
  <c r="T300" i="34"/>
  <c r="Q301" i="34"/>
  <c r="R301" i="34"/>
  <c r="S301" i="34"/>
  <c r="T301" i="34"/>
  <c r="Q302" i="34"/>
  <c r="R302" i="34"/>
  <c r="S302" i="34"/>
  <c r="T302" i="34"/>
  <c r="Q303" i="34"/>
  <c r="R303" i="34"/>
  <c r="S303" i="34"/>
  <c r="T303" i="34"/>
  <c r="Q304" i="34"/>
  <c r="R304" i="34"/>
  <c r="S304" i="34"/>
  <c r="T304" i="34"/>
  <c r="Q305" i="34"/>
  <c r="R305" i="34"/>
  <c r="S305" i="34"/>
  <c r="T305" i="34"/>
  <c r="Q306" i="34"/>
  <c r="R306" i="34"/>
  <c r="S306" i="34"/>
  <c r="T306" i="34"/>
  <c r="Q307" i="34"/>
  <c r="R307" i="34"/>
  <c r="S307" i="34"/>
  <c r="T307" i="34"/>
  <c r="Q308" i="34"/>
  <c r="R308" i="34"/>
  <c r="S308" i="34"/>
  <c r="T308" i="34"/>
  <c r="Q309" i="34"/>
  <c r="R309" i="34"/>
  <c r="S309" i="34"/>
  <c r="T309" i="34"/>
  <c r="Q310" i="34"/>
  <c r="R310" i="34"/>
  <c r="S310" i="34"/>
  <c r="T310" i="34"/>
  <c r="Q311" i="34"/>
  <c r="R311" i="34"/>
  <c r="S311" i="34"/>
  <c r="T311" i="34"/>
  <c r="Q312" i="34"/>
  <c r="R312" i="34"/>
  <c r="S312" i="34"/>
  <c r="T312" i="34"/>
  <c r="Q313" i="34"/>
  <c r="R313" i="34"/>
  <c r="S313" i="34"/>
  <c r="T313" i="34"/>
  <c r="Q314" i="34"/>
  <c r="R314" i="34"/>
  <c r="S314" i="34"/>
  <c r="T314" i="34"/>
  <c r="Q315" i="34"/>
  <c r="R315" i="34"/>
  <c r="S315" i="34"/>
  <c r="T315" i="34"/>
  <c r="Q316" i="34"/>
  <c r="R316" i="34"/>
  <c r="S316" i="34"/>
  <c r="T316" i="34"/>
  <c r="Q317" i="34"/>
  <c r="R317" i="34"/>
  <c r="S317" i="34"/>
  <c r="T317" i="34"/>
  <c r="Q318" i="34"/>
  <c r="R318" i="34"/>
  <c r="S318" i="34"/>
  <c r="T318" i="34"/>
  <c r="Q319" i="34"/>
  <c r="R319" i="34"/>
  <c r="S319" i="34"/>
  <c r="T319" i="34"/>
  <c r="Q320" i="34"/>
  <c r="R320" i="34"/>
  <c r="S320" i="34"/>
  <c r="T320" i="34"/>
  <c r="Q321" i="34"/>
  <c r="R321" i="34"/>
  <c r="S321" i="34"/>
  <c r="T321" i="34"/>
  <c r="Q322" i="34"/>
  <c r="R322" i="34"/>
  <c r="S322" i="34"/>
  <c r="T322" i="34"/>
  <c r="Q323" i="34"/>
  <c r="R323" i="34"/>
  <c r="S323" i="34"/>
  <c r="T323" i="34"/>
  <c r="Q324" i="34"/>
  <c r="R324" i="34"/>
  <c r="S324" i="34"/>
  <c r="T324" i="34"/>
  <c r="Q325" i="34"/>
  <c r="R325" i="34"/>
  <c r="S325" i="34"/>
  <c r="T325" i="34"/>
  <c r="Q326" i="34"/>
  <c r="R326" i="34"/>
  <c r="S326" i="34"/>
  <c r="T326" i="34"/>
  <c r="Q327" i="34"/>
  <c r="R327" i="34"/>
  <c r="S327" i="34"/>
  <c r="T327" i="34"/>
  <c r="Q328" i="34"/>
  <c r="R328" i="34"/>
  <c r="S328" i="34"/>
  <c r="T328" i="34"/>
  <c r="Q329" i="34"/>
  <c r="R329" i="34"/>
  <c r="S329" i="34"/>
  <c r="T329" i="34"/>
  <c r="Q330" i="34"/>
  <c r="R330" i="34"/>
  <c r="S330" i="34"/>
  <c r="T330" i="34"/>
  <c r="Q331" i="34"/>
  <c r="R331" i="34"/>
  <c r="S331" i="34"/>
  <c r="T331" i="34"/>
  <c r="Q332" i="34"/>
  <c r="R332" i="34"/>
  <c r="S332" i="34"/>
  <c r="T332" i="34"/>
  <c r="Q333" i="34"/>
  <c r="R333" i="34"/>
  <c r="S333" i="34"/>
  <c r="T333" i="34"/>
  <c r="Q334" i="34"/>
  <c r="R334" i="34"/>
  <c r="S334" i="34"/>
  <c r="T334" i="34"/>
  <c r="Q335" i="34"/>
  <c r="R335" i="34"/>
  <c r="S335" i="34"/>
  <c r="T335" i="34"/>
  <c r="Q336" i="34"/>
  <c r="R336" i="34"/>
  <c r="S336" i="34"/>
  <c r="T336" i="34"/>
  <c r="Q337" i="34"/>
  <c r="R337" i="34"/>
  <c r="S337" i="34"/>
  <c r="T337" i="34"/>
  <c r="Q338" i="34"/>
  <c r="R338" i="34"/>
  <c r="S338" i="34"/>
  <c r="T338" i="34"/>
  <c r="Q339" i="34"/>
  <c r="R339" i="34"/>
  <c r="S339" i="34"/>
  <c r="T339" i="34"/>
  <c r="Q340" i="34"/>
  <c r="R340" i="34"/>
  <c r="S340" i="34"/>
  <c r="T340" i="34"/>
  <c r="Q341" i="34"/>
  <c r="R341" i="34"/>
  <c r="S341" i="34"/>
  <c r="T341" i="34"/>
  <c r="Q342" i="34"/>
  <c r="R342" i="34"/>
  <c r="S342" i="34"/>
  <c r="T342" i="34"/>
  <c r="Q343" i="34"/>
  <c r="R343" i="34"/>
  <c r="S343" i="34"/>
  <c r="T343" i="34"/>
  <c r="Q344" i="34"/>
  <c r="R344" i="34"/>
  <c r="S344" i="34"/>
  <c r="T344" i="34"/>
  <c r="Q345" i="34"/>
  <c r="R345" i="34"/>
  <c r="S345" i="34"/>
  <c r="T345" i="34"/>
  <c r="Q346" i="34"/>
  <c r="R346" i="34"/>
  <c r="S346" i="34"/>
  <c r="T346" i="34"/>
  <c r="Q347" i="34"/>
  <c r="R347" i="34"/>
  <c r="S347" i="34"/>
  <c r="T347" i="34"/>
  <c r="Q348" i="34"/>
  <c r="R348" i="34"/>
  <c r="S348" i="34"/>
  <c r="T348" i="34"/>
  <c r="Q349" i="34"/>
  <c r="R349" i="34"/>
  <c r="S349" i="34"/>
  <c r="T349" i="34"/>
  <c r="Q350" i="34"/>
  <c r="R350" i="34"/>
  <c r="S350" i="34"/>
  <c r="T350" i="34"/>
  <c r="Q351" i="34"/>
  <c r="R351" i="34"/>
  <c r="S351" i="34"/>
  <c r="T351" i="34"/>
  <c r="Q352" i="34"/>
  <c r="R352" i="34"/>
  <c r="S352" i="34"/>
  <c r="T352" i="34"/>
  <c r="Q353" i="34"/>
  <c r="R353" i="34"/>
  <c r="S353" i="34"/>
  <c r="T353" i="34"/>
  <c r="Q354" i="34"/>
  <c r="R354" i="34"/>
  <c r="S354" i="34"/>
  <c r="T354" i="34"/>
  <c r="Q355" i="34"/>
  <c r="R355" i="34"/>
  <c r="S355" i="34"/>
  <c r="T355" i="34"/>
  <c r="Q356" i="34"/>
  <c r="R356" i="34"/>
  <c r="S356" i="34"/>
  <c r="T356" i="34"/>
  <c r="Q357" i="34"/>
  <c r="R357" i="34"/>
  <c r="S357" i="34"/>
  <c r="T357" i="34"/>
  <c r="Q358" i="34"/>
  <c r="R358" i="34"/>
  <c r="S358" i="34"/>
  <c r="T358" i="34"/>
  <c r="Q359" i="34"/>
  <c r="R359" i="34"/>
  <c r="S359" i="34"/>
  <c r="T359" i="34"/>
  <c r="Q360" i="34"/>
  <c r="R360" i="34"/>
  <c r="S360" i="34"/>
  <c r="T360" i="34"/>
  <c r="Q361" i="34"/>
  <c r="R361" i="34"/>
  <c r="S361" i="34"/>
  <c r="T361" i="34"/>
  <c r="Q362" i="34"/>
  <c r="R362" i="34"/>
  <c r="S362" i="34"/>
  <c r="T362" i="34"/>
  <c r="Q363" i="34"/>
  <c r="R363" i="34"/>
  <c r="S363" i="34"/>
  <c r="T363" i="34"/>
  <c r="Q364" i="34"/>
  <c r="R364" i="34"/>
  <c r="S364" i="34"/>
  <c r="T364" i="34"/>
  <c r="Q365" i="34"/>
  <c r="R365" i="34"/>
  <c r="S365" i="34"/>
  <c r="T365" i="34"/>
  <c r="Q366" i="34"/>
  <c r="R366" i="34"/>
  <c r="S366" i="34"/>
  <c r="T366" i="34"/>
  <c r="Q367" i="34"/>
  <c r="R367" i="34"/>
  <c r="S367" i="34"/>
  <c r="T367" i="34"/>
  <c r="Q368" i="34"/>
  <c r="R368" i="34"/>
  <c r="S368" i="34"/>
  <c r="T368" i="34"/>
  <c r="Q369" i="34"/>
  <c r="R369" i="34"/>
  <c r="S369" i="34"/>
  <c r="T369" i="34"/>
  <c r="Q370" i="34"/>
  <c r="R370" i="34"/>
  <c r="S370" i="34"/>
  <c r="T370" i="34"/>
  <c r="Q371" i="34"/>
  <c r="R371" i="34"/>
  <c r="S371" i="34"/>
  <c r="T371" i="34"/>
  <c r="Q372" i="34"/>
  <c r="R372" i="34"/>
  <c r="S372" i="34"/>
  <c r="T372" i="34"/>
  <c r="Q373" i="34"/>
  <c r="R373" i="34"/>
  <c r="S373" i="34"/>
  <c r="T373" i="34"/>
  <c r="Q374" i="34"/>
  <c r="R374" i="34"/>
  <c r="S374" i="34"/>
  <c r="T374" i="34"/>
  <c r="Q375" i="34"/>
  <c r="R375" i="34"/>
  <c r="S375" i="34"/>
  <c r="T375" i="34"/>
  <c r="Q376" i="34"/>
  <c r="R376" i="34"/>
  <c r="S376" i="34"/>
  <c r="T376" i="34"/>
  <c r="Q377" i="34"/>
  <c r="R377" i="34"/>
  <c r="S377" i="34"/>
  <c r="T377" i="34"/>
  <c r="Q378" i="34"/>
  <c r="R378" i="34"/>
  <c r="S378" i="34"/>
  <c r="T378" i="34"/>
  <c r="Q379" i="34"/>
  <c r="R379" i="34"/>
  <c r="S379" i="34"/>
  <c r="T379" i="34"/>
  <c r="Q380" i="34"/>
  <c r="R380" i="34"/>
  <c r="S380" i="34"/>
  <c r="T380" i="34"/>
  <c r="Q381" i="34"/>
  <c r="R381" i="34"/>
  <c r="S381" i="34"/>
  <c r="T381" i="34"/>
  <c r="Q382" i="34"/>
  <c r="R382" i="34"/>
  <c r="S382" i="34"/>
  <c r="T382" i="34"/>
  <c r="Q383" i="34"/>
  <c r="R383" i="34"/>
  <c r="S383" i="34"/>
  <c r="T383" i="34"/>
  <c r="Q384" i="34"/>
  <c r="R384" i="34"/>
  <c r="S384" i="34"/>
  <c r="T384" i="34"/>
  <c r="Q385" i="34"/>
  <c r="R385" i="34"/>
  <c r="S385" i="34"/>
  <c r="T385" i="34"/>
  <c r="Q386" i="34"/>
  <c r="R386" i="34"/>
  <c r="S386" i="34"/>
  <c r="T386" i="34"/>
  <c r="Q387" i="34"/>
  <c r="R387" i="34"/>
  <c r="S387" i="34"/>
  <c r="T387" i="34"/>
  <c r="Q388" i="34"/>
  <c r="R388" i="34"/>
  <c r="S388" i="34"/>
  <c r="T388" i="34"/>
  <c r="Q389" i="34"/>
  <c r="R389" i="34"/>
  <c r="S389" i="34"/>
  <c r="T389" i="34"/>
  <c r="Q390" i="34"/>
  <c r="R390" i="34"/>
  <c r="S390" i="34"/>
  <c r="T390" i="34"/>
  <c r="Q391" i="34"/>
  <c r="R391" i="34"/>
  <c r="S391" i="34"/>
  <c r="T391" i="34"/>
  <c r="Q392" i="34"/>
  <c r="R392" i="34"/>
  <c r="S392" i="34"/>
  <c r="T392" i="34"/>
  <c r="Q393" i="34"/>
  <c r="R393" i="34"/>
  <c r="S393" i="34"/>
  <c r="T393" i="34"/>
  <c r="Q394" i="34"/>
  <c r="R394" i="34"/>
  <c r="S394" i="34"/>
  <c r="T394" i="34"/>
  <c r="Q395" i="34"/>
  <c r="R395" i="34"/>
  <c r="S395" i="34"/>
  <c r="T395" i="34"/>
  <c r="Q396" i="34"/>
  <c r="R396" i="34"/>
  <c r="S396" i="34"/>
  <c r="T396" i="34"/>
  <c r="Q397" i="34"/>
  <c r="R397" i="34"/>
  <c r="S397" i="34"/>
  <c r="T397" i="34"/>
  <c r="R6" i="34"/>
  <c r="Q6" i="34"/>
  <c r="M8" i="34"/>
  <c r="N8" i="34" s="1"/>
  <c r="O8" i="34" s="1"/>
  <c r="M9" i="34"/>
  <c r="N9" i="34" s="1"/>
  <c r="O9" i="34" s="1"/>
  <c r="M10" i="34"/>
  <c r="N10" i="34" s="1"/>
  <c r="O10" i="34" s="1"/>
  <c r="M11" i="34"/>
  <c r="N11" i="34"/>
  <c r="O11" i="34" s="1"/>
  <c r="M12" i="34"/>
  <c r="N12" i="34" s="1"/>
  <c r="O12" i="34" s="1"/>
  <c r="M13" i="34"/>
  <c r="N13" i="34" s="1"/>
  <c r="O13" i="34" s="1"/>
  <c r="M14" i="34"/>
  <c r="N14" i="34" s="1"/>
  <c r="O14" i="34" s="1"/>
  <c r="M15" i="34"/>
  <c r="N15" i="34"/>
  <c r="O15" i="34" s="1"/>
  <c r="M16" i="34"/>
  <c r="N16" i="34" s="1"/>
  <c r="O16" i="34" s="1"/>
  <c r="M17" i="34"/>
  <c r="N17" i="34" s="1"/>
  <c r="O17" i="34" s="1"/>
  <c r="M18" i="34"/>
  <c r="N18" i="34" s="1"/>
  <c r="O18" i="34" s="1"/>
  <c r="M19" i="34"/>
  <c r="N19" i="34"/>
  <c r="O19" i="34" s="1"/>
  <c r="M20" i="34"/>
  <c r="N20" i="34" s="1"/>
  <c r="O20" i="34" s="1"/>
  <c r="M21" i="34"/>
  <c r="N21" i="34" s="1"/>
  <c r="O21" i="34" s="1"/>
  <c r="M22" i="34"/>
  <c r="N22" i="34" s="1"/>
  <c r="O22" i="34" s="1"/>
  <c r="M23" i="34"/>
  <c r="N23" i="34"/>
  <c r="O23" i="34" s="1"/>
  <c r="M24" i="34"/>
  <c r="N24" i="34" s="1"/>
  <c r="O24" i="34" s="1"/>
  <c r="M25" i="34"/>
  <c r="N25" i="34" s="1"/>
  <c r="O25" i="34" s="1"/>
  <c r="M26" i="34"/>
  <c r="N26" i="34" s="1"/>
  <c r="O26" i="34" s="1"/>
  <c r="M27" i="34"/>
  <c r="N27" i="34"/>
  <c r="O27" i="34" s="1"/>
  <c r="M28" i="34"/>
  <c r="N28" i="34" s="1"/>
  <c r="O28" i="34" s="1"/>
  <c r="M29" i="34"/>
  <c r="N29" i="34" s="1"/>
  <c r="O29" i="34" s="1"/>
  <c r="M30" i="34"/>
  <c r="N30" i="34" s="1"/>
  <c r="O30" i="34" s="1"/>
  <c r="M31" i="34"/>
  <c r="N31" i="34"/>
  <c r="O31" i="34" s="1"/>
  <c r="M32" i="34"/>
  <c r="N32" i="34" s="1"/>
  <c r="O32" i="34" s="1"/>
  <c r="M33" i="34"/>
  <c r="N33" i="34" s="1"/>
  <c r="O33" i="34" s="1"/>
  <c r="M34" i="34"/>
  <c r="N34" i="34" s="1"/>
  <c r="O34" i="34" s="1"/>
  <c r="M35" i="34"/>
  <c r="N35" i="34"/>
  <c r="O35" i="34" s="1"/>
  <c r="M36" i="34"/>
  <c r="N36" i="34" s="1"/>
  <c r="O36" i="34" s="1"/>
  <c r="M37" i="34"/>
  <c r="N37" i="34" s="1"/>
  <c r="O37" i="34" s="1"/>
  <c r="M38" i="34"/>
  <c r="N38" i="34" s="1"/>
  <c r="O38" i="34" s="1"/>
  <c r="M39" i="34"/>
  <c r="N39" i="34"/>
  <c r="O39" i="34" s="1"/>
  <c r="M40" i="34"/>
  <c r="N40" i="34" s="1"/>
  <c r="O40" i="34" s="1"/>
  <c r="M41" i="34"/>
  <c r="N41" i="34" s="1"/>
  <c r="O41" i="34" s="1"/>
  <c r="M42" i="34"/>
  <c r="N42" i="34" s="1"/>
  <c r="O42" i="34" s="1"/>
  <c r="M43" i="34"/>
  <c r="N43" i="34"/>
  <c r="O43" i="34" s="1"/>
  <c r="M44" i="34"/>
  <c r="N44" i="34" s="1"/>
  <c r="O44" i="34" s="1"/>
  <c r="M45" i="34"/>
  <c r="N45" i="34" s="1"/>
  <c r="O45" i="34" s="1"/>
  <c r="M46" i="34"/>
  <c r="N46" i="34" s="1"/>
  <c r="O46" i="34" s="1"/>
  <c r="M47" i="34"/>
  <c r="N47" i="34"/>
  <c r="O47" i="34" s="1"/>
  <c r="M48" i="34"/>
  <c r="N48" i="34" s="1"/>
  <c r="O48" i="34" s="1"/>
  <c r="M49" i="34"/>
  <c r="N49" i="34" s="1"/>
  <c r="O49" i="34" s="1"/>
  <c r="M50" i="34"/>
  <c r="N50" i="34" s="1"/>
  <c r="O50" i="34" s="1"/>
  <c r="M51" i="34"/>
  <c r="N51" i="34"/>
  <c r="O51" i="34" s="1"/>
  <c r="M52" i="34"/>
  <c r="N52" i="34" s="1"/>
  <c r="O52" i="34" s="1"/>
  <c r="M53" i="34"/>
  <c r="N53" i="34" s="1"/>
  <c r="O53" i="34" s="1"/>
  <c r="M54" i="34"/>
  <c r="N54" i="34" s="1"/>
  <c r="O54" i="34" s="1"/>
  <c r="M55" i="34"/>
  <c r="N55" i="34"/>
  <c r="O55" i="34" s="1"/>
  <c r="M56" i="34"/>
  <c r="N56" i="34" s="1"/>
  <c r="O56" i="34" s="1"/>
  <c r="M57" i="34"/>
  <c r="N57" i="34" s="1"/>
  <c r="O57" i="34" s="1"/>
  <c r="M58" i="34"/>
  <c r="N58" i="34" s="1"/>
  <c r="O58" i="34" s="1"/>
  <c r="M59" i="34"/>
  <c r="N59" i="34"/>
  <c r="O59" i="34" s="1"/>
  <c r="M60" i="34"/>
  <c r="N60" i="34" s="1"/>
  <c r="O60" i="34" s="1"/>
  <c r="M61" i="34"/>
  <c r="N61" i="34" s="1"/>
  <c r="O61" i="34" s="1"/>
  <c r="M62" i="34"/>
  <c r="N62" i="34" s="1"/>
  <c r="O62" i="34" s="1"/>
  <c r="M63" i="34"/>
  <c r="N63" i="34"/>
  <c r="O63" i="34" s="1"/>
  <c r="M64" i="34"/>
  <c r="N64" i="34" s="1"/>
  <c r="O64" i="34" s="1"/>
  <c r="M65" i="34"/>
  <c r="N65" i="34" s="1"/>
  <c r="O65" i="34" s="1"/>
  <c r="M66" i="34"/>
  <c r="N66" i="34" s="1"/>
  <c r="O66" i="34" s="1"/>
  <c r="M67" i="34"/>
  <c r="N67" i="34"/>
  <c r="O67" i="34" s="1"/>
  <c r="M68" i="34"/>
  <c r="N68" i="34" s="1"/>
  <c r="O68" i="34" s="1"/>
  <c r="M69" i="34"/>
  <c r="N69" i="34" s="1"/>
  <c r="O69" i="34" s="1"/>
  <c r="M70" i="34"/>
  <c r="N70" i="34" s="1"/>
  <c r="O70" i="34" s="1"/>
  <c r="M71" i="34"/>
  <c r="N71" i="34"/>
  <c r="O71" i="34" s="1"/>
  <c r="M72" i="34"/>
  <c r="N72" i="34" s="1"/>
  <c r="O72" i="34" s="1"/>
  <c r="M73" i="34"/>
  <c r="N73" i="34" s="1"/>
  <c r="O73" i="34" s="1"/>
  <c r="M74" i="34"/>
  <c r="N74" i="34" s="1"/>
  <c r="O74" i="34" s="1"/>
  <c r="M75" i="34"/>
  <c r="N75" i="34"/>
  <c r="O75" i="34" s="1"/>
  <c r="M76" i="34"/>
  <c r="N76" i="34" s="1"/>
  <c r="O76" i="34" s="1"/>
  <c r="M77" i="34"/>
  <c r="N77" i="34" s="1"/>
  <c r="O77" i="34" s="1"/>
  <c r="M78" i="34"/>
  <c r="N78" i="34" s="1"/>
  <c r="O78" i="34" s="1"/>
  <c r="M79" i="34"/>
  <c r="N79" i="34"/>
  <c r="O79" i="34" s="1"/>
  <c r="M80" i="34"/>
  <c r="N80" i="34" s="1"/>
  <c r="O80" i="34" s="1"/>
  <c r="M81" i="34"/>
  <c r="N81" i="34" s="1"/>
  <c r="O81" i="34" s="1"/>
  <c r="M82" i="34"/>
  <c r="N82" i="34" s="1"/>
  <c r="O82" i="34" s="1"/>
  <c r="M83" i="34"/>
  <c r="N83" i="34"/>
  <c r="O83" i="34" s="1"/>
  <c r="M84" i="34"/>
  <c r="N84" i="34" s="1"/>
  <c r="O84" i="34" s="1"/>
  <c r="M85" i="34"/>
  <c r="N85" i="34" s="1"/>
  <c r="O85" i="34" s="1"/>
  <c r="M86" i="34"/>
  <c r="N86" i="34" s="1"/>
  <c r="O86" i="34" s="1"/>
  <c r="M87" i="34"/>
  <c r="N87" i="34"/>
  <c r="O87" i="34" s="1"/>
  <c r="M88" i="34"/>
  <c r="N88" i="34" s="1"/>
  <c r="O88" i="34" s="1"/>
  <c r="M89" i="34"/>
  <c r="N89" i="34" s="1"/>
  <c r="O89" i="34" s="1"/>
  <c r="M90" i="34"/>
  <c r="N90" i="34" s="1"/>
  <c r="O90" i="34" s="1"/>
  <c r="M91" i="34"/>
  <c r="N91" i="34"/>
  <c r="O91" i="34" s="1"/>
  <c r="M92" i="34"/>
  <c r="N92" i="34" s="1"/>
  <c r="O92" i="34" s="1"/>
  <c r="M93" i="34"/>
  <c r="N93" i="34" s="1"/>
  <c r="O93" i="34" s="1"/>
  <c r="M94" i="34"/>
  <c r="N94" i="34" s="1"/>
  <c r="O94" i="34" s="1"/>
  <c r="M95" i="34"/>
  <c r="N95" i="34"/>
  <c r="O95" i="34" s="1"/>
  <c r="M96" i="34"/>
  <c r="N96" i="34" s="1"/>
  <c r="O96" i="34" s="1"/>
  <c r="M97" i="34"/>
  <c r="N97" i="34" s="1"/>
  <c r="O97" i="34" s="1"/>
  <c r="M98" i="34"/>
  <c r="N98" i="34" s="1"/>
  <c r="O98" i="34" s="1"/>
  <c r="M99" i="34"/>
  <c r="N99" i="34"/>
  <c r="O99" i="34" s="1"/>
  <c r="M100" i="34"/>
  <c r="N100" i="34" s="1"/>
  <c r="O100" i="34" s="1"/>
  <c r="M101" i="34"/>
  <c r="N101" i="34" s="1"/>
  <c r="O101" i="34" s="1"/>
  <c r="M102" i="34"/>
  <c r="N102" i="34" s="1"/>
  <c r="O102" i="34" s="1"/>
  <c r="M103" i="34"/>
  <c r="N103" i="34"/>
  <c r="O103" i="34" s="1"/>
  <c r="M104" i="34"/>
  <c r="N104" i="34" s="1"/>
  <c r="O104" i="34" s="1"/>
  <c r="M105" i="34"/>
  <c r="N105" i="34" s="1"/>
  <c r="O105" i="34" s="1"/>
  <c r="M106" i="34"/>
  <c r="N106" i="34" s="1"/>
  <c r="O106" i="34" s="1"/>
  <c r="M107" i="34"/>
  <c r="N107" i="34"/>
  <c r="O107" i="34" s="1"/>
  <c r="M108" i="34"/>
  <c r="N108" i="34" s="1"/>
  <c r="O108" i="34" s="1"/>
  <c r="M109" i="34"/>
  <c r="N109" i="34" s="1"/>
  <c r="O109" i="34" s="1"/>
  <c r="M110" i="34"/>
  <c r="N110" i="34" s="1"/>
  <c r="O110" i="34" s="1"/>
  <c r="M111" i="34"/>
  <c r="N111" i="34"/>
  <c r="O111" i="34" s="1"/>
  <c r="M112" i="34"/>
  <c r="N112" i="34" s="1"/>
  <c r="O112" i="34" s="1"/>
  <c r="M113" i="34"/>
  <c r="N113" i="34" s="1"/>
  <c r="O113" i="34" s="1"/>
  <c r="M114" i="34"/>
  <c r="N114" i="34" s="1"/>
  <c r="O114" i="34" s="1"/>
  <c r="M115" i="34"/>
  <c r="N115" i="34"/>
  <c r="O115" i="34" s="1"/>
  <c r="M116" i="34"/>
  <c r="N116" i="34" s="1"/>
  <c r="O116" i="34" s="1"/>
  <c r="M117" i="34"/>
  <c r="N117" i="34" s="1"/>
  <c r="O117" i="34" s="1"/>
  <c r="M118" i="34"/>
  <c r="N118" i="34" s="1"/>
  <c r="O118" i="34" s="1"/>
  <c r="M119" i="34"/>
  <c r="N119" i="34"/>
  <c r="O119" i="34" s="1"/>
  <c r="M120" i="34"/>
  <c r="N120" i="34" s="1"/>
  <c r="O120" i="34" s="1"/>
  <c r="M121" i="34"/>
  <c r="N121" i="34" s="1"/>
  <c r="O121" i="34" s="1"/>
  <c r="M122" i="34"/>
  <c r="N122" i="34" s="1"/>
  <c r="O122" i="34" s="1"/>
  <c r="M123" i="34"/>
  <c r="N123" i="34"/>
  <c r="O123" i="34" s="1"/>
  <c r="M124" i="34"/>
  <c r="N124" i="34" s="1"/>
  <c r="O124" i="34" s="1"/>
  <c r="M125" i="34"/>
  <c r="N125" i="34" s="1"/>
  <c r="O125" i="34" s="1"/>
  <c r="M126" i="34"/>
  <c r="N126" i="34" s="1"/>
  <c r="O126" i="34" s="1"/>
  <c r="M127" i="34"/>
  <c r="N127" i="34"/>
  <c r="O127" i="34" s="1"/>
  <c r="M128" i="34"/>
  <c r="N128" i="34" s="1"/>
  <c r="O128" i="34" s="1"/>
  <c r="M129" i="34"/>
  <c r="N129" i="34" s="1"/>
  <c r="O129" i="34" s="1"/>
  <c r="M130" i="34"/>
  <c r="N130" i="34" s="1"/>
  <c r="O130" i="34" s="1"/>
  <c r="M131" i="34"/>
  <c r="N131" i="34"/>
  <c r="O131" i="34" s="1"/>
  <c r="M132" i="34"/>
  <c r="N132" i="34" s="1"/>
  <c r="O132" i="34" s="1"/>
  <c r="M133" i="34"/>
  <c r="N133" i="34" s="1"/>
  <c r="O133" i="34" s="1"/>
  <c r="M134" i="34"/>
  <c r="N134" i="34" s="1"/>
  <c r="O134" i="34" s="1"/>
  <c r="M135" i="34"/>
  <c r="N135" i="34"/>
  <c r="O135" i="34" s="1"/>
  <c r="M136" i="34"/>
  <c r="N136" i="34" s="1"/>
  <c r="O136" i="34" s="1"/>
  <c r="M137" i="34"/>
  <c r="N137" i="34" s="1"/>
  <c r="O137" i="34" s="1"/>
  <c r="M138" i="34"/>
  <c r="N138" i="34" s="1"/>
  <c r="O138" i="34" s="1"/>
  <c r="M139" i="34"/>
  <c r="N139" i="34"/>
  <c r="O139" i="34" s="1"/>
  <c r="M140" i="34"/>
  <c r="N140" i="34" s="1"/>
  <c r="O140" i="34" s="1"/>
  <c r="M141" i="34"/>
  <c r="N141" i="34" s="1"/>
  <c r="O141" i="34" s="1"/>
  <c r="M142" i="34"/>
  <c r="N142" i="34" s="1"/>
  <c r="O142" i="34" s="1"/>
  <c r="M143" i="34"/>
  <c r="N143" i="34"/>
  <c r="O143" i="34" s="1"/>
  <c r="M144" i="34"/>
  <c r="N144" i="34" s="1"/>
  <c r="O144" i="34" s="1"/>
  <c r="M145" i="34"/>
  <c r="N145" i="34" s="1"/>
  <c r="O145" i="34" s="1"/>
  <c r="M146" i="34"/>
  <c r="N146" i="34" s="1"/>
  <c r="O146" i="34" s="1"/>
  <c r="M147" i="34"/>
  <c r="N147" i="34"/>
  <c r="O147" i="34" s="1"/>
  <c r="M148" i="34"/>
  <c r="N148" i="34" s="1"/>
  <c r="O148" i="34" s="1"/>
  <c r="M149" i="34"/>
  <c r="N149" i="34" s="1"/>
  <c r="O149" i="34" s="1"/>
  <c r="M150" i="34"/>
  <c r="N150" i="34" s="1"/>
  <c r="O150" i="34" s="1"/>
  <c r="M151" i="34"/>
  <c r="N151" i="34"/>
  <c r="O151" i="34" s="1"/>
  <c r="M152" i="34"/>
  <c r="N152" i="34" s="1"/>
  <c r="O152" i="34" s="1"/>
  <c r="M153" i="34"/>
  <c r="N153" i="34" s="1"/>
  <c r="O153" i="34" s="1"/>
  <c r="M154" i="34"/>
  <c r="N154" i="34" s="1"/>
  <c r="O154" i="34" s="1"/>
  <c r="M155" i="34"/>
  <c r="N155" i="34"/>
  <c r="O155" i="34" s="1"/>
  <c r="M156" i="34"/>
  <c r="N156" i="34" s="1"/>
  <c r="O156" i="34" s="1"/>
  <c r="M157" i="34"/>
  <c r="N157" i="34" s="1"/>
  <c r="O157" i="34" s="1"/>
  <c r="M158" i="34"/>
  <c r="N158" i="34" s="1"/>
  <c r="O158" i="34" s="1"/>
  <c r="M159" i="34"/>
  <c r="N159" i="34"/>
  <c r="O159" i="34" s="1"/>
  <c r="M160" i="34"/>
  <c r="N160" i="34" s="1"/>
  <c r="O160" i="34" s="1"/>
  <c r="M161" i="34"/>
  <c r="N161" i="34" s="1"/>
  <c r="O161" i="34" s="1"/>
  <c r="M162" i="34"/>
  <c r="N162" i="34" s="1"/>
  <c r="O162" i="34" s="1"/>
  <c r="M163" i="34"/>
  <c r="N163" i="34"/>
  <c r="O163" i="34" s="1"/>
  <c r="M164" i="34"/>
  <c r="N164" i="34" s="1"/>
  <c r="O164" i="34" s="1"/>
  <c r="M165" i="34"/>
  <c r="N165" i="34" s="1"/>
  <c r="O165" i="34" s="1"/>
  <c r="M166" i="34"/>
  <c r="N166" i="34" s="1"/>
  <c r="O166" i="34" s="1"/>
  <c r="M167" i="34"/>
  <c r="N167" i="34"/>
  <c r="O167" i="34" s="1"/>
  <c r="M168" i="34"/>
  <c r="N168" i="34" s="1"/>
  <c r="O168" i="34" s="1"/>
  <c r="M169" i="34"/>
  <c r="N169" i="34" s="1"/>
  <c r="O169" i="34" s="1"/>
  <c r="M170" i="34"/>
  <c r="N170" i="34" s="1"/>
  <c r="O170" i="34" s="1"/>
  <c r="M171" i="34"/>
  <c r="N171" i="34"/>
  <c r="O171" i="34" s="1"/>
  <c r="M172" i="34"/>
  <c r="N172" i="34" s="1"/>
  <c r="O172" i="34" s="1"/>
  <c r="M173" i="34"/>
  <c r="N173" i="34" s="1"/>
  <c r="O173" i="34" s="1"/>
  <c r="M174" i="34"/>
  <c r="N174" i="34" s="1"/>
  <c r="O174" i="34" s="1"/>
  <c r="M175" i="34"/>
  <c r="N175" i="34"/>
  <c r="O175" i="34" s="1"/>
  <c r="M176" i="34"/>
  <c r="N176" i="34" s="1"/>
  <c r="O176" i="34" s="1"/>
  <c r="M177" i="34"/>
  <c r="N177" i="34" s="1"/>
  <c r="O177" i="34" s="1"/>
  <c r="M178" i="34"/>
  <c r="N178" i="34" s="1"/>
  <c r="O178" i="34" s="1"/>
  <c r="M179" i="34"/>
  <c r="N179" i="34"/>
  <c r="O179" i="34" s="1"/>
  <c r="M180" i="34"/>
  <c r="N180" i="34" s="1"/>
  <c r="O180" i="34" s="1"/>
  <c r="M181" i="34"/>
  <c r="N181" i="34" s="1"/>
  <c r="O181" i="34" s="1"/>
  <c r="M182" i="34"/>
  <c r="N182" i="34" s="1"/>
  <c r="O182" i="34" s="1"/>
  <c r="M183" i="34"/>
  <c r="N183" i="34"/>
  <c r="O183" i="34" s="1"/>
  <c r="M184" i="34"/>
  <c r="N184" i="34" s="1"/>
  <c r="O184" i="34" s="1"/>
  <c r="M185" i="34"/>
  <c r="N185" i="34" s="1"/>
  <c r="O185" i="34" s="1"/>
  <c r="M186" i="34"/>
  <c r="N186" i="34" s="1"/>
  <c r="O186" i="34" s="1"/>
  <c r="M187" i="34"/>
  <c r="N187" i="34"/>
  <c r="O187" i="34" s="1"/>
  <c r="M188" i="34"/>
  <c r="N188" i="34" s="1"/>
  <c r="O188" i="34" s="1"/>
  <c r="M189" i="34"/>
  <c r="N189" i="34" s="1"/>
  <c r="O189" i="34" s="1"/>
  <c r="M190" i="34"/>
  <c r="N190" i="34" s="1"/>
  <c r="O190" i="34" s="1"/>
  <c r="M191" i="34"/>
  <c r="N191" i="34"/>
  <c r="O191" i="34" s="1"/>
  <c r="M192" i="34"/>
  <c r="N192" i="34" s="1"/>
  <c r="O192" i="34" s="1"/>
  <c r="M193" i="34"/>
  <c r="N193" i="34" s="1"/>
  <c r="O193" i="34" s="1"/>
  <c r="M194" i="34"/>
  <c r="N194" i="34" s="1"/>
  <c r="O194" i="34" s="1"/>
  <c r="M195" i="34"/>
  <c r="N195" i="34"/>
  <c r="O195" i="34" s="1"/>
  <c r="M196" i="34"/>
  <c r="N196" i="34" s="1"/>
  <c r="O196" i="34" s="1"/>
  <c r="M197" i="34"/>
  <c r="N197" i="34" s="1"/>
  <c r="O197" i="34" s="1"/>
  <c r="M198" i="34"/>
  <c r="N198" i="34" s="1"/>
  <c r="O198" i="34" s="1"/>
  <c r="M199" i="34"/>
  <c r="N199" i="34"/>
  <c r="O199" i="34" s="1"/>
  <c r="M200" i="34"/>
  <c r="N200" i="34" s="1"/>
  <c r="O200" i="34" s="1"/>
  <c r="M201" i="34"/>
  <c r="N201" i="34" s="1"/>
  <c r="O201" i="34" s="1"/>
  <c r="M202" i="34"/>
  <c r="N202" i="34" s="1"/>
  <c r="O202" i="34" s="1"/>
  <c r="M203" i="34"/>
  <c r="N203" i="34"/>
  <c r="O203" i="34" s="1"/>
  <c r="M204" i="34"/>
  <c r="N204" i="34" s="1"/>
  <c r="O204" i="34" s="1"/>
  <c r="M205" i="34"/>
  <c r="N205" i="34" s="1"/>
  <c r="O205" i="34" s="1"/>
  <c r="M206" i="34"/>
  <c r="N206" i="34" s="1"/>
  <c r="O206" i="34" s="1"/>
  <c r="M207" i="34"/>
  <c r="N207" i="34"/>
  <c r="O207" i="34" s="1"/>
  <c r="M208" i="34"/>
  <c r="N208" i="34" s="1"/>
  <c r="O208" i="34" s="1"/>
  <c r="M209" i="34"/>
  <c r="N209" i="34" s="1"/>
  <c r="O209" i="34" s="1"/>
  <c r="M210" i="34"/>
  <c r="N210" i="34" s="1"/>
  <c r="O210" i="34" s="1"/>
  <c r="M211" i="34"/>
  <c r="N211" i="34"/>
  <c r="O211" i="34" s="1"/>
  <c r="M212" i="34"/>
  <c r="N212" i="34" s="1"/>
  <c r="O212" i="34" s="1"/>
  <c r="M213" i="34"/>
  <c r="N213" i="34" s="1"/>
  <c r="O213" i="34" s="1"/>
  <c r="M214" i="34"/>
  <c r="N214" i="34" s="1"/>
  <c r="O214" i="34" s="1"/>
  <c r="M215" i="34"/>
  <c r="N215" i="34"/>
  <c r="O215" i="34" s="1"/>
  <c r="M216" i="34"/>
  <c r="N216" i="34" s="1"/>
  <c r="O216" i="34" s="1"/>
  <c r="M217" i="34"/>
  <c r="N217" i="34" s="1"/>
  <c r="O217" i="34" s="1"/>
  <c r="M218" i="34"/>
  <c r="N218" i="34" s="1"/>
  <c r="O218" i="34" s="1"/>
  <c r="M219" i="34"/>
  <c r="N219" i="34"/>
  <c r="O219" i="34" s="1"/>
  <c r="M220" i="34"/>
  <c r="N220" i="34" s="1"/>
  <c r="O220" i="34" s="1"/>
  <c r="M221" i="34"/>
  <c r="N221" i="34" s="1"/>
  <c r="O221" i="34" s="1"/>
  <c r="M222" i="34"/>
  <c r="N222" i="34" s="1"/>
  <c r="O222" i="34" s="1"/>
  <c r="M223" i="34"/>
  <c r="N223" i="34"/>
  <c r="O223" i="34" s="1"/>
  <c r="M224" i="34"/>
  <c r="N224" i="34" s="1"/>
  <c r="O224" i="34" s="1"/>
  <c r="M225" i="34"/>
  <c r="N225" i="34" s="1"/>
  <c r="O225" i="34" s="1"/>
  <c r="M226" i="34"/>
  <c r="N226" i="34" s="1"/>
  <c r="O226" i="34" s="1"/>
  <c r="M227" i="34"/>
  <c r="N227" i="34"/>
  <c r="O227" i="34" s="1"/>
  <c r="M228" i="34"/>
  <c r="N228" i="34" s="1"/>
  <c r="O228" i="34" s="1"/>
  <c r="M229" i="34"/>
  <c r="N229" i="34" s="1"/>
  <c r="O229" i="34" s="1"/>
  <c r="M230" i="34"/>
  <c r="N230" i="34" s="1"/>
  <c r="O230" i="34" s="1"/>
  <c r="M231" i="34"/>
  <c r="N231" i="34"/>
  <c r="O231" i="34" s="1"/>
  <c r="M232" i="34"/>
  <c r="N232" i="34" s="1"/>
  <c r="O232" i="34" s="1"/>
  <c r="M233" i="34"/>
  <c r="N233" i="34" s="1"/>
  <c r="O233" i="34" s="1"/>
  <c r="M234" i="34"/>
  <c r="N234" i="34" s="1"/>
  <c r="O234" i="34" s="1"/>
  <c r="M235" i="34"/>
  <c r="N235" i="34"/>
  <c r="O235" i="34" s="1"/>
  <c r="M236" i="34"/>
  <c r="N236" i="34" s="1"/>
  <c r="O236" i="34" s="1"/>
  <c r="M237" i="34"/>
  <c r="N237" i="34" s="1"/>
  <c r="O237" i="34" s="1"/>
  <c r="M238" i="34"/>
  <c r="N238" i="34" s="1"/>
  <c r="O238" i="34" s="1"/>
  <c r="M239" i="34"/>
  <c r="N239" i="34"/>
  <c r="O239" i="34" s="1"/>
  <c r="M240" i="34"/>
  <c r="N240" i="34" s="1"/>
  <c r="O240" i="34" s="1"/>
  <c r="M241" i="34"/>
  <c r="N241" i="34" s="1"/>
  <c r="O241" i="34" s="1"/>
  <c r="M242" i="34"/>
  <c r="N242" i="34" s="1"/>
  <c r="O242" i="34" s="1"/>
  <c r="M243" i="34"/>
  <c r="N243" i="34"/>
  <c r="O243" i="34" s="1"/>
  <c r="M244" i="34"/>
  <c r="N244" i="34"/>
  <c r="O244" i="34" s="1"/>
  <c r="M245" i="34"/>
  <c r="N245" i="34" s="1"/>
  <c r="O245" i="34" s="1"/>
  <c r="M246" i="34"/>
  <c r="N246" i="34" s="1"/>
  <c r="O246" i="34"/>
  <c r="M247" i="34"/>
  <c r="N247" i="34"/>
  <c r="O247" i="34" s="1"/>
  <c r="M248" i="34"/>
  <c r="N248" i="34" s="1"/>
  <c r="O248" i="34" s="1"/>
  <c r="M249" i="34"/>
  <c r="N249" i="34" s="1"/>
  <c r="O249" i="34" s="1"/>
  <c r="M250" i="34"/>
  <c r="N250" i="34" s="1"/>
  <c r="O250" i="34" s="1"/>
  <c r="M251" i="34"/>
  <c r="N251" i="34"/>
  <c r="O251" i="34" s="1"/>
  <c r="M252" i="34"/>
  <c r="N252" i="34"/>
  <c r="O252" i="34" s="1"/>
  <c r="M253" i="34"/>
  <c r="N253" i="34" s="1"/>
  <c r="O253" i="34" s="1"/>
  <c r="M254" i="34"/>
  <c r="N254" i="34" s="1"/>
  <c r="O254" i="34" s="1"/>
  <c r="M255" i="34"/>
  <c r="N255" i="34"/>
  <c r="O255" i="34" s="1"/>
  <c r="M256" i="34"/>
  <c r="N256" i="34"/>
  <c r="O256" i="34" s="1"/>
  <c r="M257" i="34"/>
  <c r="N257" i="34" s="1"/>
  <c r="O257" i="34" s="1"/>
  <c r="M258" i="34"/>
  <c r="N258" i="34" s="1"/>
  <c r="O258" i="34"/>
  <c r="M259" i="34"/>
  <c r="N259" i="34"/>
  <c r="O259" i="34" s="1"/>
  <c r="M260" i="34"/>
  <c r="N260" i="34" s="1"/>
  <c r="O260" i="34" s="1"/>
  <c r="M261" i="34"/>
  <c r="N261" i="34" s="1"/>
  <c r="O261" i="34" s="1"/>
  <c r="M262" i="34"/>
  <c r="N262" i="34" s="1"/>
  <c r="O262" i="34" s="1"/>
  <c r="M263" i="34"/>
  <c r="N263" i="34"/>
  <c r="O263" i="34" s="1"/>
  <c r="M264" i="34"/>
  <c r="N264" i="34"/>
  <c r="O264" i="34" s="1"/>
  <c r="M265" i="34"/>
  <c r="N265" i="34" s="1"/>
  <c r="O265" i="34" s="1"/>
  <c r="M266" i="34"/>
  <c r="N266" i="34" s="1"/>
  <c r="O266" i="34"/>
  <c r="M267" i="34"/>
  <c r="N267" i="34" s="1"/>
  <c r="O267" i="34" s="1"/>
  <c r="M268" i="34"/>
  <c r="N268" i="34" s="1"/>
  <c r="O268" i="34" s="1"/>
  <c r="M269" i="34"/>
  <c r="N269" i="34" s="1"/>
  <c r="O269" i="34" s="1"/>
  <c r="M270" i="34"/>
  <c r="N270" i="34" s="1"/>
  <c r="O270" i="34"/>
  <c r="M271" i="34"/>
  <c r="N271" i="34" s="1"/>
  <c r="O271" i="34" s="1"/>
  <c r="M272" i="34"/>
  <c r="N272" i="34" s="1"/>
  <c r="O272" i="34" s="1"/>
  <c r="M273" i="34"/>
  <c r="N273" i="34" s="1"/>
  <c r="O273" i="34" s="1"/>
  <c r="M274" i="34"/>
  <c r="N274" i="34" s="1"/>
  <c r="O274" i="34" s="1"/>
  <c r="M275" i="34"/>
  <c r="N275" i="34" s="1"/>
  <c r="O275" i="34" s="1"/>
  <c r="M276" i="34"/>
  <c r="N276" i="34" s="1"/>
  <c r="O276" i="34" s="1"/>
  <c r="M277" i="34"/>
  <c r="N277" i="34" s="1"/>
  <c r="O277" i="34" s="1"/>
  <c r="M278" i="34"/>
  <c r="N278" i="34" s="1"/>
  <c r="O278" i="34" s="1"/>
  <c r="M279" i="34"/>
  <c r="N279" i="34" s="1"/>
  <c r="O279" i="34" s="1"/>
  <c r="M280" i="34"/>
  <c r="N280" i="34" s="1"/>
  <c r="O280" i="34" s="1"/>
  <c r="M281" i="34"/>
  <c r="N281" i="34" s="1"/>
  <c r="O281" i="34" s="1"/>
  <c r="M282" i="34"/>
  <c r="N282" i="34" s="1"/>
  <c r="O282" i="34" s="1"/>
  <c r="M283" i="34"/>
  <c r="N283" i="34"/>
  <c r="O283" i="34" s="1"/>
  <c r="M284" i="34"/>
  <c r="N284" i="34"/>
  <c r="O284" i="34" s="1"/>
  <c r="M285" i="34"/>
  <c r="N285" i="34" s="1"/>
  <c r="O285" i="34" s="1"/>
  <c r="M286" i="34"/>
  <c r="N286" i="34" s="1"/>
  <c r="O286" i="34" s="1"/>
  <c r="M287" i="34"/>
  <c r="N287" i="34"/>
  <c r="O287" i="34" s="1"/>
  <c r="M288" i="34"/>
  <c r="N288" i="34" s="1"/>
  <c r="O288" i="34" s="1"/>
  <c r="M289" i="34"/>
  <c r="N289" i="34" s="1"/>
  <c r="O289" i="34" s="1"/>
  <c r="M290" i="34"/>
  <c r="N290" i="34" s="1"/>
  <c r="O290" i="34"/>
  <c r="M291" i="34"/>
  <c r="N291" i="34" s="1"/>
  <c r="O291" i="34" s="1"/>
  <c r="M292" i="34"/>
  <c r="N292" i="34" s="1"/>
  <c r="O292" i="34" s="1"/>
  <c r="M293" i="34"/>
  <c r="N293" i="34" s="1"/>
  <c r="O293" i="34" s="1"/>
  <c r="M294" i="34"/>
  <c r="N294" i="34" s="1"/>
  <c r="O294" i="34"/>
  <c r="M295" i="34"/>
  <c r="N295" i="34" s="1"/>
  <c r="O295" i="34" s="1"/>
  <c r="M296" i="34"/>
  <c r="N296" i="34"/>
  <c r="O296" i="34" s="1"/>
  <c r="M297" i="34"/>
  <c r="N297" i="34" s="1"/>
  <c r="O297" i="34" s="1"/>
  <c r="M298" i="34"/>
  <c r="N298" i="34" s="1"/>
  <c r="O298" i="34" s="1"/>
  <c r="M299" i="34"/>
  <c r="N299" i="34"/>
  <c r="O299" i="34" s="1"/>
  <c r="M300" i="34"/>
  <c r="N300" i="34" s="1"/>
  <c r="O300" i="34" s="1"/>
  <c r="M301" i="34"/>
  <c r="N301" i="34" s="1"/>
  <c r="O301" i="34" s="1"/>
  <c r="M302" i="34"/>
  <c r="N302" i="34" s="1"/>
  <c r="O302" i="34"/>
  <c r="M303" i="34"/>
  <c r="N303" i="34"/>
  <c r="O303" i="34" s="1"/>
  <c r="M304" i="34"/>
  <c r="N304" i="34" s="1"/>
  <c r="O304" i="34" s="1"/>
  <c r="M305" i="34"/>
  <c r="N305" i="34" s="1"/>
  <c r="O305" i="34" s="1"/>
  <c r="M306" i="34"/>
  <c r="N306" i="34" s="1"/>
  <c r="O306" i="34"/>
  <c r="M307" i="34"/>
  <c r="N307" i="34"/>
  <c r="O307" i="34" s="1"/>
  <c r="M308" i="34"/>
  <c r="N308" i="34" s="1"/>
  <c r="O308" i="34" s="1"/>
  <c r="M309" i="34"/>
  <c r="N309" i="34" s="1"/>
  <c r="O309" i="34" s="1"/>
  <c r="M310" i="34"/>
  <c r="N310" i="34" s="1"/>
  <c r="O310" i="34" s="1"/>
  <c r="M311" i="34"/>
  <c r="N311" i="34"/>
  <c r="O311" i="34" s="1"/>
  <c r="M312" i="34"/>
  <c r="N312" i="34" s="1"/>
  <c r="O312" i="34" s="1"/>
  <c r="M313" i="34"/>
  <c r="N313" i="34" s="1"/>
  <c r="O313" i="34" s="1"/>
  <c r="M314" i="34"/>
  <c r="N314" i="34" s="1"/>
  <c r="O314" i="34"/>
  <c r="M315" i="34"/>
  <c r="N315" i="34" s="1"/>
  <c r="O315" i="34" s="1"/>
  <c r="M316" i="34"/>
  <c r="N316" i="34" s="1"/>
  <c r="O316" i="34" s="1"/>
  <c r="M317" i="34"/>
  <c r="N317" i="34" s="1"/>
  <c r="O317" i="34" s="1"/>
  <c r="M318" i="34"/>
  <c r="N318" i="34" s="1"/>
  <c r="O318" i="34"/>
  <c r="M319" i="34"/>
  <c r="N319" i="34" s="1"/>
  <c r="O319" i="34" s="1"/>
  <c r="M320" i="34"/>
  <c r="N320" i="34"/>
  <c r="O320" i="34" s="1"/>
  <c r="M321" i="34"/>
  <c r="N321" i="34" s="1"/>
  <c r="O321" i="34" s="1"/>
  <c r="M322" i="34"/>
  <c r="N322" i="34" s="1"/>
  <c r="O322" i="34" s="1"/>
  <c r="M323" i="34"/>
  <c r="N323" i="34"/>
  <c r="O323" i="34" s="1"/>
  <c r="M324" i="34"/>
  <c r="N324" i="34" s="1"/>
  <c r="O324" i="34" s="1"/>
  <c r="M325" i="34"/>
  <c r="N325" i="34" s="1"/>
  <c r="O325" i="34" s="1"/>
  <c r="M326" i="34"/>
  <c r="N326" i="34" s="1"/>
  <c r="O326" i="34"/>
  <c r="M327" i="34"/>
  <c r="N327" i="34" s="1"/>
  <c r="O327" i="34" s="1"/>
  <c r="M328" i="34"/>
  <c r="N328" i="34" s="1"/>
  <c r="O328" i="34" s="1"/>
  <c r="M329" i="34"/>
  <c r="N329" i="34" s="1"/>
  <c r="O329" i="34" s="1"/>
  <c r="M330" i="34"/>
  <c r="N330" i="34" s="1"/>
  <c r="O330" i="34"/>
  <c r="M331" i="34"/>
  <c r="N331" i="34" s="1"/>
  <c r="O331" i="34" s="1"/>
  <c r="M332" i="34"/>
  <c r="N332" i="34" s="1"/>
  <c r="O332" i="34"/>
  <c r="M333" i="34"/>
  <c r="N333" i="34" s="1"/>
  <c r="O333" i="34" s="1"/>
  <c r="M334" i="34"/>
  <c r="N334" i="34" s="1"/>
  <c r="O334" i="34" s="1"/>
  <c r="M335" i="34"/>
  <c r="N335" i="34"/>
  <c r="O335" i="34" s="1"/>
  <c r="M336" i="34"/>
  <c r="N336" i="34" s="1"/>
  <c r="O336" i="34" s="1"/>
  <c r="M337" i="34"/>
  <c r="N337" i="34" s="1"/>
  <c r="O337" i="34" s="1"/>
  <c r="M338" i="34"/>
  <c r="N338" i="34" s="1"/>
  <c r="O338" i="34"/>
  <c r="M339" i="34"/>
  <c r="N339" i="34" s="1"/>
  <c r="O339" i="34" s="1"/>
  <c r="M340" i="34"/>
  <c r="N340" i="34" s="1"/>
  <c r="O340" i="34" s="1"/>
  <c r="M341" i="34"/>
  <c r="N341" i="34" s="1"/>
  <c r="O341" i="34" s="1"/>
  <c r="M342" i="34"/>
  <c r="N342" i="34" s="1"/>
  <c r="O342" i="34"/>
  <c r="M343" i="34"/>
  <c r="N343" i="34"/>
  <c r="O343" i="34" s="1"/>
  <c r="M344" i="34"/>
  <c r="N344" i="34"/>
  <c r="O344" i="34" s="1"/>
  <c r="M345" i="34"/>
  <c r="N345" i="34" s="1"/>
  <c r="O345" i="34" s="1"/>
  <c r="M346" i="34"/>
  <c r="N346" i="34" s="1"/>
  <c r="O346" i="34" s="1"/>
  <c r="M347" i="34"/>
  <c r="N347" i="34"/>
  <c r="O347" i="34" s="1"/>
  <c r="M348" i="34"/>
  <c r="N348" i="34" s="1"/>
  <c r="O348" i="34" s="1"/>
  <c r="M349" i="34"/>
  <c r="N349" i="34" s="1"/>
  <c r="O349" i="34" s="1"/>
  <c r="M350" i="34"/>
  <c r="N350" i="34" s="1"/>
  <c r="O350" i="34"/>
  <c r="M351" i="34"/>
  <c r="N351" i="34" s="1"/>
  <c r="O351" i="34" s="1"/>
  <c r="M352" i="34"/>
  <c r="N352" i="34" s="1"/>
  <c r="O352" i="34" s="1"/>
  <c r="M353" i="34"/>
  <c r="N353" i="34" s="1"/>
  <c r="O353" i="34" s="1"/>
  <c r="M354" i="34"/>
  <c r="N354" i="34" s="1"/>
  <c r="O354" i="34"/>
  <c r="M355" i="34"/>
  <c r="N355" i="34"/>
  <c r="O355" i="34" s="1"/>
  <c r="M356" i="34"/>
  <c r="N356" i="34"/>
  <c r="O356" i="34"/>
  <c r="M357" i="34"/>
  <c r="N357" i="34" s="1"/>
  <c r="O357" i="34" s="1"/>
  <c r="M358" i="34"/>
  <c r="N358" i="34" s="1"/>
  <c r="O358" i="34" s="1"/>
  <c r="M359" i="34"/>
  <c r="N359" i="34"/>
  <c r="O359" i="34" s="1"/>
  <c r="M360" i="34"/>
  <c r="N360" i="34" s="1"/>
  <c r="O360" i="34" s="1"/>
  <c r="M361" i="34"/>
  <c r="N361" i="34" s="1"/>
  <c r="O361" i="34" s="1"/>
  <c r="M362" i="34"/>
  <c r="N362" i="34" s="1"/>
  <c r="O362" i="34"/>
  <c r="M363" i="34"/>
  <c r="N363" i="34"/>
  <c r="O363" i="34" s="1"/>
  <c r="M364" i="34"/>
  <c r="N364" i="34" s="1"/>
  <c r="O364" i="34" s="1"/>
  <c r="M365" i="34"/>
  <c r="N365" i="34" s="1"/>
  <c r="O365" i="34" s="1"/>
  <c r="M366" i="34"/>
  <c r="N366" i="34" s="1"/>
  <c r="O366" i="34"/>
  <c r="M367" i="34"/>
  <c r="N367" i="34"/>
  <c r="O367" i="34" s="1"/>
  <c r="M368" i="34"/>
  <c r="N368" i="34"/>
  <c r="O368" i="34"/>
  <c r="M369" i="34"/>
  <c r="N369" i="34" s="1"/>
  <c r="O369" i="34" s="1"/>
  <c r="M370" i="34"/>
  <c r="N370" i="34" s="1"/>
  <c r="O370" i="34" s="1"/>
  <c r="M371" i="34"/>
  <c r="N371" i="34"/>
  <c r="O371" i="34" s="1"/>
  <c r="M372" i="34"/>
  <c r="N372" i="34" s="1"/>
  <c r="O372" i="34" s="1"/>
  <c r="M373" i="34"/>
  <c r="N373" i="34" s="1"/>
  <c r="O373" i="34" s="1"/>
  <c r="M374" i="34"/>
  <c r="N374" i="34" s="1"/>
  <c r="O374" i="34"/>
  <c r="M375" i="34"/>
  <c r="N375" i="34" s="1"/>
  <c r="O375" i="34" s="1"/>
  <c r="M376" i="34"/>
  <c r="N376" i="34" s="1"/>
  <c r="O376" i="34" s="1"/>
  <c r="M377" i="34"/>
  <c r="N377" i="34" s="1"/>
  <c r="O377" i="34" s="1"/>
  <c r="M378" i="34"/>
  <c r="N378" i="34" s="1"/>
  <c r="O378" i="34"/>
  <c r="M379" i="34"/>
  <c r="N379" i="34"/>
  <c r="O379" i="34" s="1"/>
  <c r="M380" i="34"/>
  <c r="N380" i="34"/>
  <c r="O380" i="34"/>
  <c r="M381" i="34"/>
  <c r="N381" i="34" s="1"/>
  <c r="O381" i="34" s="1"/>
  <c r="M382" i="34"/>
  <c r="N382" i="34" s="1"/>
  <c r="O382" i="34" s="1"/>
  <c r="M383" i="34"/>
  <c r="N383" i="34"/>
  <c r="O383" i="34" s="1"/>
  <c r="M384" i="34"/>
  <c r="N384" i="34" s="1"/>
  <c r="O384" i="34" s="1"/>
  <c r="M385" i="34"/>
  <c r="N385" i="34" s="1"/>
  <c r="O385" i="34" s="1"/>
  <c r="M386" i="34"/>
  <c r="N386" i="34" s="1"/>
  <c r="O386" i="34"/>
  <c r="M387" i="34"/>
  <c r="N387" i="34"/>
  <c r="O387" i="34" s="1"/>
  <c r="M388" i="34"/>
  <c r="N388" i="34" s="1"/>
  <c r="O388" i="34"/>
  <c r="M389" i="34"/>
  <c r="N389" i="34" s="1"/>
  <c r="O389" i="34" s="1"/>
  <c r="M390" i="34"/>
  <c r="N390" i="34" s="1"/>
  <c r="O390" i="34" s="1"/>
  <c r="M391" i="34"/>
  <c r="N391" i="34"/>
  <c r="O391" i="34" s="1"/>
  <c r="M392" i="34"/>
  <c r="N392" i="34"/>
  <c r="O392" i="34" s="1"/>
  <c r="M393" i="34"/>
  <c r="N393" i="34"/>
  <c r="O393" i="34" s="1"/>
  <c r="M394" i="34"/>
  <c r="N394" i="34" s="1"/>
  <c r="O394" i="34" s="1"/>
  <c r="M395" i="34"/>
  <c r="N395" i="34" s="1"/>
  <c r="O395" i="34" s="1"/>
  <c r="M396" i="34"/>
  <c r="N396" i="34"/>
  <c r="O396" i="34" s="1"/>
  <c r="M397" i="34"/>
  <c r="N397" i="34" s="1"/>
  <c r="O397" i="34" s="1"/>
  <c r="E398" i="34"/>
  <c r="M8" i="33"/>
  <c r="N8" i="33"/>
  <c r="O8" i="33" s="1"/>
  <c r="M9" i="33"/>
  <c r="N9" i="33" s="1"/>
  <c r="O9" i="33" s="1"/>
  <c r="M10" i="33"/>
  <c r="N10" i="33" s="1"/>
  <c r="O10" i="33" s="1"/>
  <c r="M11" i="33"/>
  <c r="N11" i="33" s="1"/>
  <c r="O11" i="33" s="1"/>
  <c r="M12" i="33"/>
  <c r="N12" i="33" s="1"/>
  <c r="O12" i="33" s="1"/>
  <c r="M13" i="33"/>
  <c r="N13" i="33" s="1"/>
  <c r="O13" i="33" s="1"/>
  <c r="M14" i="33"/>
  <c r="N14" i="33" s="1"/>
  <c r="O14" i="33" s="1"/>
  <c r="M15" i="33"/>
  <c r="N15" i="33" s="1"/>
  <c r="O15" i="33"/>
  <c r="M16" i="33"/>
  <c r="N16" i="33" s="1"/>
  <c r="O16" i="33" s="1"/>
  <c r="M17" i="33"/>
  <c r="N17" i="33" s="1"/>
  <c r="O17" i="33" s="1"/>
  <c r="M18" i="33"/>
  <c r="N18" i="33" s="1"/>
  <c r="O18" i="33" s="1"/>
  <c r="M19" i="33"/>
  <c r="N19" i="33" s="1"/>
  <c r="O19" i="33" s="1"/>
  <c r="M20" i="33"/>
  <c r="N20" i="33"/>
  <c r="O20" i="33"/>
  <c r="M21" i="33"/>
  <c r="N21" i="33" s="1"/>
  <c r="O21" i="33" s="1"/>
  <c r="M22" i="33"/>
  <c r="N22" i="33" s="1"/>
  <c r="O22" i="33" s="1"/>
  <c r="M23" i="33"/>
  <c r="N23" i="33" s="1"/>
  <c r="O23" i="33" s="1"/>
  <c r="M24" i="33"/>
  <c r="N24" i="33" s="1"/>
  <c r="O24" i="33" s="1"/>
  <c r="M25" i="33"/>
  <c r="N25" i="33" s="1"/>
  <c r="O25" i="33" s="1"/>
  <c r="M26" i="33"/>
  <c r="N26" i="33" s="1"/>
  <c r="O26" i="33" s="1"/>
  <c r="M27" i="33"/>
  <c r="N27" i="33" s="1"/>
  <c r="O27" i="33" s="1"/>
  <c r="M28" i="33"/>
  <c r="N28" i="33"/>
  <c r="O28" i="33" s="1"/>
  <c r="M29" i="33"/>
  <c r="N29" i="33" s="1"/>
  <c r="O29" i="33" s="1"/>
  <c r="M30" i="33"/>
  <c r="N30" i="33"/>
  <c r="O30" i="33" s="1"/>
  <c r="M31" i="33"/>
  <c r="N31" i="33" s="1"/>
  <c r="O31" i="33" s="1"/>
  <c r="M32" i="33"/>
  <c r="N32" i="33" s="1"/>
  <c r="O32" i="33" s="1"/>
  <c r="M33" i="33"/>
  <c r="N33" i="33" s="1"/>
  <c r="O33" i="33" s="1"/>
  <c r="M34" i="33"/>
  <c r="N34" i="33" s="1"/>
  <c r="O34" i="33" s="1"/>
  <c r="M35" i="33"/>
  <c r="N35" i="33" s="1"/>
  <c r="O35" i="33"/>
  <c r="M36" i="33"/>
  <c r="N36" i="33"/>
  <c r="O36" i="33" s="1"/>
  <c r="M37" i="33"/>
  <c r="N37" i="33" s="1"/>
  <c r="O37" i="33"/>
  <c r="M38" i="33"/>
  <c r="N38" i="33" s="1"/>
  <c r="O38" i="33" s="1"/>
  <c r="M39" i="33"/>
  <c r="N39" i="33" s="1"/>
  <c r="O39" i="33" s="1"/>
  <c r="M40" i="33"/>
  <c r="N40" i="33" s="1"/>
  <c r="O40" i="33" s="1"/>
  <c r="M41" i="33"/>
  <c r="N41" i="33" s="1"/>
  <c r="O41" i="33" s="1"/>
  <c r="M42" i="33"/>
  <c r="N42" i="33"/>
  <c r="O42" i="33" s="1"/>
  <c r="M43" i="33"/>
  <c r="N43" i="33" s="1"/>
  <c r="O43" i="33" s="1"/>
  <c r="M44" i="33"/>
  <c r="N44" i="33" s="1"/>
  <c r="O44" i="33"/>
  <c r="M45" i="33"/>
  <c r="N45" i="33" s="1"/>
  <c r="O45" i="33"/>
  <c r="M46" i="33"/>
  <c r="N46" i="33" s="1"/>
  <c r="O46" i="33" s="1"/>
  <c r="M47" i="33"/>
  <c r="N47" i="33" s="1"/>
  <c r="O47" i="33" s="1"/>
  <c r="M48" i="33"/>
  <c r="N48" i="33"/>
  <c r="O48" i="33" s="1"/>
  <c r="M49" i="33"/>
  <c r="N49" i="33" s="1"/>
  <c r="O49" i="33"/>
  <c r="M50" i="33"/>
  <c r="N50" i="33" s="1"/>
  <c r="O50" i="33" s="1"/>
  <c r="M51" i="33"/>
  <c r="N51" i="33" s="1"/>
  <c r="O51" i="33" s="1"/>
  <c r="M52" i="33"/>
  <c r="N52" i="33" s="1"/>
  <c r="O52" i="33"/>
  <c r="M53" i="33"/>
  <c r="N53" i="33" s="1"/>
  <c r="O53" i="33" s="1"/>
  <c r="M54" i="33"/>
  <c r="N54" i="33" s="1"/>
  <c r="O54" i="33" s="1"/>
  <c r="M55" i="33"/>
  <c r="N55" i="33" s="1"/>
  <c r="O55" i="33"/>
  <c r="M56" i="33"/>
  <c r="N56" i="33" s="1"/>
  <c r="O56" i="33" s="1"/>
  <c r="M57" i="33"/>
  <c r="N57" i="33" s="1"/>
  <c r="O57" i="33"/>
  <c r="M58" i="33"/>
  <c r="N58" i="33" s="1"/>
  <c r="O58" i="33" s="1"/>
  <c r="M59" i="33"/>
  <c r="N59" i="33" s="1"/>
  <c r="O59" i="33" s="1"/>
  <c r="M60" i="33"/>
  <c r="N60" i="33" s="1"/>
  <c r="O60" i="33" s="1"/>
  <c r="M61" i="33"/>
  <c r="N61" i="33"/>
  <c r="O61" i="33" s="1"/>
  <c r="M62" i="33"/>
  <c r="N62" i="33" s="1"/>
  <c r="O62" i="33" s="1"/>
  <c r="M63" i="33"/>
  <c r="N63" i="33"/>
  <c r="O63" i="33"/>
  <c r="M64" i="33"/>
  <c r="N64" i="33" s="1"/>
  <c r="O64" i="33" s="1"/>
  <c r="M65" i="33"/>
  <c r="N65" i="33" s="1"/>
  <c r="O65" i="33" s="1"/>
  <c r="M66" i="33"/>
  <c r="N66" i="33" s="1"/>
  <c r="O66" i="33" s="1"/>
  <c r="M67" i="33"/>
  <c r="N67" i="33" s="1"/>
  <c r="O67" i="33" s="1"/>
  <c r="M68" i="33"/>
  <c r="N68" i="33" s="1"/>
  <c r="O68" i="33" s="1"/>
  <c r="M69" i="33"/>
  <c r="N69" i="33" s="1"/>
  <c r="O69" i="33" s="1"/>
  <c r="M70" i="33"/>
  <c r="N70" i="33" s="1"/>
  <c r="O70" i="33" s="1"/>
  <c r="M71" i="33"/>
  <c r="N71" i="33"/>
  <c r="O71" i="33" s="1"/>
  <c r="M72" i="33"/>
  <c r="N72" i="33"/>
  <c r="O72" i="33" s="1"/>
  <c r="M73" i="33"/>
  <c r="N73" i="33" s="1"/>
  <c r="O73" i="33" s="1"/>
  <c r="M74" i="33"/>
  <c r="N74" i="33" s="1"/>
  <c r="O74" i="33" s="1"/>
  <c r="M75" i="33"/>
  <c r="N75" i="33" s="1"/>
  <c r="O75" i="33"/>
  <c r="M76" i="33"/>
  <c r="N76" i="33" s="1"/>
  <c r="O76" i="33" s="1"/>
  <c r="M77" i="33"/>
  <c r="N77" i="33"/>
  <c r="O77" i="33" s="1"/>
  <c r="M78" i="33"/>
  <c r="N78" i="33" s="1"/>
  <c r="O78" i="33" s="1"/>
  <c r="M79" i="33"/>
  <c r="N79" i="33" s="1"/>
  <c r="O79" i="33" s="1"/>
  <c r="M80" i="33"/>
  <c r="N80" i="33" s="1"/>
  <c r="O80" i="33" s="1"/>
  <c r="M81" i="33"/>
  <c r="N81" i="33" s="1"/>
  <c r="O81" i="33" s="1"/>
  <c r="M82" i="33"/>
  <c r="N82" i="33" s="1"/>
  <c r="O82" i="33" s="1"/>
  <c r="M83" i="33"/>
  <c r="N83" i="33" s="1"/>
  <c r="O83" i="33" s="1"/>
  <c r="M84" i="33"/>
  <c r="N84" i="33" s="1"/>
  <c r="O84" i="33" s="1"/>
  <c r="M85" i="33"/>
  <c r="N85" i="33" s="1"/>
  <c r="O85" i="33" s="1"/>
  <c r="M86" i="33"/>
  <c r="N86" i="33" s="1"/>
  <c r="O86" i="33" s="1"/>
  <c r="M87" i="33"/>
  <c r="N87" i="33" s="1"/>
  <c r="O87" i="33" s="1"/>
  <c r="M88" i="33"/>
  <c r="N88" i="33"/>
  <c r="O88" i="33" s="1"/>
  <c r="M89" i="33"/>
  <c r="N89" i="33" s="1"/>
  <c r="O89" i="33" s="1"/>
  <c r="M90" i="33"/>
  <c r="N90" i="33" s="1"/>
  <c r="O90" i="33" s="1"/>
  <c r="M91" i="33"/>
  <c r="N91" i="33" s="1"/>
  <c r="O91" i="33" s="1"/>
  <c r="M92" i="33"/>
  <c r="N92" i="33" s="1"/>
  <c r="O92" i="33" s="1"/>
  <c r="M93" i="33"/>
  <c r="N93" i="33" s="1"/>
  <c r="O93" i="33" s="1"/>
  <c r="M94" i="33"/>
  <c r="N94" i="33" s="1"/>
  <c r="O94" i="33" s="1"/>
  <c r="M95" i="33"/>
  <c r="N95" i="33" s="1"/>
  <c r="O95" i="33" s="1"/>
  <c r="M96" i="33"/>
  <c r="N96" i="33"/>
  <c r="O96" i="33" s="1"/>
  <c r="M97" i="33"/>
  <c r="N97" i="33" s="1"/>
  <c r="O97" i="33" s="1"/>
  <c r="M98" i="33"/>
  <c r="N98" i="33" s="1"/>
  <c r="O98" i="33" s="1"/>
  <c r="M99" i="33"/>
  <c r="N99" i="33" s="1"/>
  <c r="O99" i="33" s="1"/>
  <c r="M100" i="33"/>
  <c r="N100" i="33"/>
  <c r="O100" i="33" s="1"/>
  <c r="M101" i="33"/>
  <c r="N101" i="33"/>
  <c r="O101" i="33" s="1"/>
  <c r="M102" i="33"/>
  <c r="N102" i="33" s="1"/>
  <c r="O102" i="33" s="1"/>
  <c r="M103" i="33"/>
  <c r="N103" i="33" s="1"/>
  <c r="O103" i="33" s="1"/>
  <c r="M104" i="33"/>
  <c r="N104" i="33" s="1"/>
  <c r="O104" i="33" s="1"/>
  <c r="M105" i="33"/>
  <c r="N105" i="33" s="1"/>
  <c r="O105" i="33" s="1"/>
  <c r="M106" i="33"/>
  <c r="N106" i="33" s="1"/>
  <c r="O106" i="33" s="1"/>
  <c r="M107" i="33"/>
  <c r="N107" i="33"/>
  <c r="O107" i="33"/>
  <c r="M108" i="33"/>
  <c r="N108" i="33" s="1"/>
  <c r="O108" i="33" s="1"/>
  <c r="M109" i="33"/>
  <c r="N109" i="33"/>
  <c r="O109" i="33" s="1"/>
  <c r="M110" i="33"/>
  <c r="N110" i="33" s="1"/>
  <c r="O110" i="33" s="1"/>
  <c r="M111" i="33"/>
  <c r="N111" i="33" s="1"/>
  <c r="O111" i="33" s="1"/>
  <c r="M112" i="33"/>
  <c r="N112" i="33" s="1"/>
  <c r="O112" i="33" s="1"/>
  <c r="M113" i="33"/>
  <c r="N113" i="33"/>
  <c r="O113" i="33" s="1"/>
  <c r="M114" i="33"/>
  <c r="N114" i="33" s="1"/>
  <c r="O114" i="33" s="1"/>
  <c r="M115" i="33"/>
  <c r="N115" i="33"/>
  <c r="O115" i="33" s="1"/>
  <c r="M116" i="33"/>
  <c r="N116" i="33" s="1"/>
  <c r="O116" i="33" s="1"/>
  <c r="M117" i="33"/>
  <c r="N117" i="33"/>
  <c r="O117" i="33" s="1"/>
  <c r="M118" i="33"/>
  <c r="N118" i="33" s="1"/>
  <c r="O118" i="33" s="1"/>
  <c r="M119" i="33"/>
  <c r="N119" i="33" s="1"/>
  <c r="O119" i="33" s="1"/>
  <c r="M120" i="33"/>
  <c r="N120" i="33"/>
  <c r="O120" i="33" s="1"/>
  <c r="M121" i="33"/>
  <c r="N121" i="33"/>
  <c r="O121" i="33" s="1"/>
  <c r="M122" i="33"/>
  <c r="N122" i="33" s="1"/>
  <c r="O122" i="33" s="1"/>
  <c r="M123" i="33"/>
  <c r="N123" i="33"/>
  <c r="O123" i="33" s="1"/>
  <c r="M124" i="33"/>
  <c r="N124" i="33" s="1"/>
  <c r="O124" i="33" s="1"/>
  <c r="M125" i="33"/>
  <c r="N125" i="33"/>
  <c r="O125" i="33" s="1"/>
  <c r="M126" i="33"/>
  <c r="N126" i="33" s="1"/>
  <c r="O126" i="33" s="1"/>
  <c r="M127" i="33"/>
  <c r="N127" i="33" s="1"/>
  <c r="O127" i="33"/>
  <c r="M128" i="33"/>
  <c r="N128" i="33" s="1"/>
  <c r="O128" i="33" s="1"/>
  <c r="M129" i="33"/>
  <c r="N129" i="33"/>
  <c r="O129" i="33" s="1"/>
  <c r="M130" i="33"/>
  <c r="N130" i="33" s="1"/>
  <c r="O130" i="33" s="1"/>
  <c r="M131" i="33"/>
  <c r="N131" i="33"/>
  <c r="O131" i="33"/>
  <c r="M132" i="33"/>
  <c r="N132" i="33"/>
  <c r="O132" i="33" s="1"/>
  <c r="M133" i="33"/>
  <c r="N133" i="33" s="1"/>
  <c r="O133" i="33" s="1"/>
  <c r="M134" i="33"/>
  <c r="N134" i="33" s="1"/>
  <c r="O134" i="33" s="1"/>
  <c r="M135" i="33"/>
  <c r="N135" i="33" s="1"/>
  <c r="O135" i="33"/>
  <c r="M136" i="33"/>
  <c r="N136" i="33"/>
  <c r="O136" i="33" s="1"/>
  <c r="M137" i="33"/>
  <c r="N137" i="33" s="1"/>
  <c r="O137" i="33" s="1"/>
  <c r="M138" i="33"/>
  <c r="N138" i="33" s="1"/>
  <c r="O138" i="33" s="1"/>
  <c r="M139" i="33"/>
  <c r="N139" i="33" s="1"/>
  <c r="O139" i="33" s="1"/>
  <c r="M140" i="33"/>
  <c r="N140" i="33" s="1"/>
  <c r="O140" i="33" s="1"/>
  <c r="M141" i="33"/>
  <c r="N141" i="33" s="1"/>
  <c r="O141" i="33" s="1"/>
  <c r="M142" i="33"/>
  <c r="N142" i="33" s="1"/>
  <c r="O142" i="33" s="1"/>
  <c r="M143" i="33"/>
  <c r="N143" i="33"/>
  <c r="O143" i="33"/>
  <c r="M144" i="33"/>
  <c r="N144" i="33" s="1"/>
  <c r="O144" i="33" s="1"/>
  <c r="M145" i="33"/>
  <c r="N145" i="33" s="1"/>
  <c r="O145" i="33" s="1"/>
  <c r="M146" i="33"/>
  <c r="N146" i="33" s="1"/>
  <c r="O146" i="33" s="1"/>
  <c r="M147" i="33"/>
  <c r="N147" i="33" s="1"/>
  <c r="O147" i="33" s="1"/>
  <c r="M148" i="33"/>
  <c r="N148" i="33"/>
  <c r="O148" i="33" s="1"/>
  <c r="M149" i="33"/>
  <c r="N149" i="33" s="1"/>
  <c r="O149" i="33" s="1"/>
  <c r="M150" i="33"/>
  <c r="N150" i="33" s="1"/>
  <c r="O150" i="33" s="1"/>
  <c r="M151" i="33"/>
  <c r="N151" i="33"/>
  <c r="O151" i="33" s="1"/>
  <c r="M152" i="33"/>
  <c r="N152" i="33" s="1"/>
  <c r="O152" i="33" s="1"/>
  <c r="M153" i="33"/>
  <c r="N153" i="33" s="1"/>
  <c r="O153" i="33" s="1"/>
  <c r="M154" i="33"/>
  <c r="N154" i="33" s="1"/>
  <c r="O154" i="33" s="1"/>
  <c r="M155" i="33"/>
  <c r="N155" i="33" s="1"/>
  <c r="O155" i="33" s="1"/>
  <c r="M156" i="33"/>
  <c r="N156" i="33"/>
  <c r="O156" i="33" s="1"/>
  <c r="M157" i="33"/>
  <c r="N157" i="33" s="1"/>
  <c r="O157" i="33" s="1"/>
  <c r="M158" i="33"/>
  <c r="N158" i="33" s="1"/>
  <c r="O158" i="33" s="1"/>
  <c r="M159" i="33"/>
  <c r="N159" i="33"/>
  <c r="O159" i="33"/>
  <c r="M160" i="33"/>
  <c r="N160" i="33"/>
  <c r="O160" i="33" s="1"/>
  <c r="M161" i="33"/>
  <c r="N161" i="33" s="1"/>
  <c r="O161" i="33" s="1"/>
  <c r="M162" i="33"/>
  <c r="N162" i="33" s="1"/>
  <c r="O162" i="33" s="1"/>
  <c r="M163" i="33"/>
  <c r="N163" i="33"/>
  <c r="O163" i="33"/>
  <c r="M164" i="33"/>
  <c r="N164" i="33" s="1"/>
  <c r="O164" i="33" s="1"/>
  <c r="M165" i="33"/>
  <c r="N165" i="33"/>
  <c r="O165" i="33" s="1"/>
  <c r="M166" i="33"/>
  <c r="N166" i="33" s="1"/>
  <c r="O166" i="33" s="1"/>
  <c r="M167" i="33"/>
  <c r="N167" i="33"/>
  <c r="O167" i="33"/>
  <c r="M168" i="33"/>
  <c r="N168" i="33"/>
  <c r="O168" i="33" s="1"/>
  <c r="M169" i="33"/>
  <c r="N169" i="33"/>
  <c r="O169" i="33" s="1"/>
  <c r="M170" i="33"/>
  <c r="N170" i="33" s="1"/>
  <c r="O170" i="33" s="1"/>
  <c r="M171" i="33"/>
  <c r="N171" i="33"/>
  <c r="O171" i="33"/>
  <c r="M172" i="33"/>
  <c r="N172" i="33"/>
  <c r="O172" i="33" s="1"/>
  <c r="M173" i="33"/>
  <c r="N173" i="33"/>
  <c r="O173" i="33" s="1"/>
  <c r="M174" i="33"/>
  <c r="N174" i="33" s="1"/>
  <c r="O174" i="33" s="1"/>
  <c r="M175" i="33"/>
  <c r="N175" i="33" s="1"/>
  <c r="O175" i="33" s="1"/>
  <c r="M176" i="33"/>
  <c r="N176" i="33" s="1"/>
  <c r="O176" i="33" s="1"/>
  <c r="M177" i="33"/>
  <c r="N177" i="33" s="1"/>
  <c r="O177" i="33" s="1"/>
  <c r="M178" i="33"/>
  <c r="N178" i="33" s="1"/>
  <c r="O178" i="33" s="1"/>
  <c r="M179" i="33"/>
  <c r="N179" i="33"/>
  <c r="O179" i="33" s="1"/>
  <c r="M180" i="33"/>
  <c r="N180" i="33" s="1"/>
  <c r="O180" i="33" s="1"/>
  <c r="M181" i="33"/>
  <c r="N181" i="33"/>
  <c r="O181" i="33" s="1"/>
  <c r="M182" i="33"/>
  <c r="N182" i="33" s="1"/>
  <c r="O182" i="33" s="1"/>
  <c r="M183" i="33"/>
  <c r="N183" i="33"/>
  <c r="O183" i="33" s="1"/>
  <c r="M184" i="33"/>
  <c r="N184" i="33" s="1"/>
  <c r="O184" i="33" s="1"/>
  <c r="M185" i="33"/>
  <c r="N185" i="33"/>
  <c r="O185" i="33" s="1"/>
  <c r="M186" i="33"/>
  <c r="N186" i="33" s="1"/>
  <c r="O186" i="33" s="1"/>
  <c r="M187" i="33"/>
  <c r="N187" i="33"/>
  <c r="O187" i="33" s="1"/>
  <c r="M188" i="33"/>
  <c r="N188" i="33" s="1"/>
  <c r="O188" i="33" s="1"/>
  <c r="M189" i="33"/>
  <c r="N189" i="33"/>
  <c r="O189" i="33" s="1"/>
  <c r="M190" i="33"/>
  <c r="N190" i="33" s="1"/>
  <c r="O190" i="33" s="1"/>
  <c r="M191" i="33"/>
  <c r="N191" i="33" s="1"/>
  <c r="O191" i="33" s="1"/>
  <c r="M192" i="33"/>
  <c r="N192" i="33"/>
  <c r="O192" i="33" s="1"/>
  <c r="M193" i="33"/>
  <c r="N193" i="33"/>
  <c r="O193" i="33" s="1"/>
  <c r="M194" i="33"/>
  <c r="N194" i="33" s="1"/>
  <c r="O194" i="33" s="1"/>
  <c r="M195" i="33"/>
  <c r="N195" i="33" s="1"/>
  <c r="O195" i="33" s="1"/>
  <c r="M196" i="33"/>
  <c r="N196" i="33"/>
  <c r="O196" i="33" s="1"/>
  <c r="M197" i="33"/>
  <c r="N197" i="33" s="1"/>
  <c r="O197" i="33" s="1"/>
  <c r="M198" i="33"/>
  <c r="N198" i="33" s="1"/>
  <c r="O198" i="33" s="1"/>
  <c r="M199" i="33"/>
  <c r="N199" i="33" s="1"/>
  <c r="O199" i="33" s="1"/>
  <c r="M200" i="33"/>
  <c r="N200" i="33" s="1"/>
  <c r="O200" i="33" s="1"/>
  <c r="M201" i="33"/>
  <c r="N201" i="33" s="1"/>
  <c r="O201" i="33" s="1"/>
  <c r="M202" i="33"/>
  <c r="N202" i="33" s="1"/>
  <c r="O202" i="33" s="1"/>
  <c r="M203" i="33"/>
  <c r="N203" i="33" s="1"/>
  <c r="O203" i="33" s="1"/>
  <c r="M204" i="33"/>
  <c r="N204" i="33"/>
  <c r="O204" i="33" s="1"/>
  <c r="M205" i="33"/>
  <c r="N205" i="33"/>
  <c r="O205" i="33" s="1"/>
  <c r="M206" i="33"/>
  <c r="N206" i="33" s="1"/>
  <c r="O206" i="33" s="1"/>
  <c r="M207" i="33"/>
  <c r="N207" i="33" s="1"/>
  <c r="O207" i="33" s="1"/>
  <c r="M208" i="33"/>
  <c r="N208" i="33"/>
  <c r="O208" i="33" s="1"/>
  <c r="M209" i="33"/>
  <c r="N209" i="33"/>
  <c r="O209" i="33" s="1"/>
  <c r="M210" i="33"/>
  <c r="N210" i="33" s="1"/>
  <c r="O210" i="33" s="1"/>
  <c r="M211" i="33"/>
  <c r="N211" i="33"/>
  <c r="O211" i="33" s="1"/>
  <c r="M212" i="33"/>
  <c r="N212" i="33" s="1"/>
  <c r="O212" i="33" s="1"/>
  <c r="M213" i="33"/>
  <c r="N213" i="33" s="1"/>
  <c r="O213" i="33" s="1"/>
  <c r="M214" i="33"/>
  <c r="N214" i="33" s="1"/>
  <c r="O214" i="33" s="1"/>
  <c r="M215" i="33"/>
  <c r="N215" i="33" s="1"/>
  <c r="O215" i="33" s="1"/>
  <c r="M216" i="33"/>
  <c r="N216" i="33"/>
  <c r="O216" i="33" s="1"/>
  <c r="M217" i="33"/>
  <c r="N217" i="33"/>
  <c r="O217" i="33" s="1"/>
  <c r="M218" i="33"/>
  <c r="N218" i="33" s="1"/>
  <c r="O218" i="33" s="1"/>
  <c r="M219" i="33"/>
  <c r="N219" i="33" s="1"/>
  <c r="O219" i="33" s="1"/>
  <c r="M220" i="33"/>
  <c r="N220" i="33"/>
  <c r="O220" i="33" s="1"/>
  <c r="M221" i="33"/>
  <c r="N221" i="33"/>
  <c r="O221" i="33" s="1"/>
  <c r="M222" i="33"/>
  <c r="N222" i="33" s="1"/>
  <c r="O222" i="33" s="1"/>
  <c r="M223" i="33"/>
  <c r="N223" i="33"/>
  <c r="O223" i="33" s="1"/>
  <c r="M224" i="33"/>
  <c r="N224" i="33" s="1"/>
  <c r="O224" i="33" s="1"/>
  <c r="M225" i="33"/>
  <c r="N225" i="33" s="1"/>
  <c r="O225" i="33" s="1"/>
  <c r="M226" i="33"/>
  <c r="N226" i="33" s="1"/>
  <c r="O226" i="33" s="1"/>
  <c r="M227" i="33"/>
  <c r="N227" i="33"/>
  <c r="O227" i="33" s="1"/>
  <c r="M228" i="33"/>
  <c r="N228" i="33" s="1"/>
  <c r="O228" i="33" s="1"/>
  <c r="M229" i="33"/>
  <c r="N229" i="33" s="1"/>
  <c r="O229" i="33" s="1"/>
  <c r="M230" i="33"/>
  <c r="N230" i="33" s="1"/>
  <c r="O230" i="33" s="1"/>
  <c r="M231" i="33"/>
  <c r="N231" i="33"/>
  <c r="O231" i="33" s="1"/>
  <c r="M232" i="33"/>
  <c r="N232" i="33"/>
  <c r="O232" i="33" s="1"/>
  <c r="M233" i="33"/>
  <c r="N233" i="33"/>
  <c r="O233" i="33" s="1"/>
  <c r="M234" i="33"/>
  <c r="N234" i="33" s="1"/>
  <c r="O234" i="33" s="1"/>
  <c r="M235" i="33"/>
  <c r="N235" i="33" s="1"/>
  <c r="O235" i="33" s="1"/>
  <c r="M236" i="33"/>
  <c r="N236" i="33" s="1"/>
  <c r="O236" i="33" s="1"/>
  <c r="M237" i="33"/>
  <c r="N237" i="33"/>
  <c r="O237" i="33" s="1"/>
  <c r="M238" i="33"/>
  <c r="N238" i="33" s="1"/>
  <c r="O238" i="33" s="1"/>
  <c r="M239" i="33"/>
  <c r="N239" i="33" s="1"/>
  <c r="O239" i="33" s="1"/>
  <c r="M240" i="33"/>
  <c r="N240" i="33" s="1"/>
  <c r="O240" i="33" s="1"/>
  <c r="M241" i="33"/>
  <c r="N241" i="33" s="1"/>
  <c r="O241" i="33" s="1"/>
  <c r="M242" i="33"/>
  <c r="N242" i="33" s="1"/>
  <c r="O242" i="33" s="1"/>
  <c r="M243" i="33"/>
  <c r="N243" i="33"/>
  <c r="O243" i="33" s="1"/>
  <c r="M244" i="33"/>
  <c r="N244" i="33" s="1"/>
  <c r="O244" i="33" s="1"/>
  <c r="M245" i="33"/>
  <c r="N245" i="33" s="1"/>
  <c r="O245" i="33" s="1"/>
  <c r="M246" i="33"/>
  <c r="N246" i="33" s="1"/>
  <c r="O246" i="33" s="1"/>
  <c r="M247" i="33"/>
  <c r="N247" i="33" s="1"/>
  <c r="O247" i="33" s="1"/>
  <c r="M248" i="33"/>
  <c r="N248" i="33" s="1"/>
  <c r="O248" i="33" s="1"/>
  <c r="M249" i="33"/>
  <c r="N249" i="33"/>
  <c r="O249" i="33" s="1"/>
  <c r="M250" i="33"/>
  <c r="N250" i="33" s="1"/>
  <c r="O250" i="33" s="1"/>
  <c r="M251" i="33"/>
  <c r="N251" i="33" s="1"/>
  <c r="O251" i="33" s="1"/>
  <c r="M252" i="33"/>
  <c r="N252" i="33" s="1"/>
  <c r="O252" i="33" s="1"/>
  <c r="M253" i="33"/>
  <c r="N253" i="33" s="1"/>
  <c r="O253" i="33" s="1"/>
  <c r="M254" i="33"/>
  <c r="N254" i="33" s="1"/>
  <c r="O254" i="33" s="1"/>
  <c r="M255" i="33"/>
  <c r="N255" i="33"/>
  <c r="O255" i="33" s="1"/>
  <c r="M256" i="33"/>
  <c r="N256" i="33" s="1"/>
  <c r="O256" i="33" s="1"/>
  <c r="M257" i="33"/>
  <c r="N257" i="33"/>
  <c r="O257" i="33" s="1"/>
  <c r="M258" i="33"/>
  <c r="N258" i="33" s="1"/>
  <c r="O258" i="33" s="1"/>
  <c r="M259" i="33"/>
  <c r="N259" i="33" s="1"/>
  <c r="O259" i="33" s="1"/>
  <c r="M260" i="33"/>
  <c r="N260" i="33" s="1"/>
  <c r="O260" i="33" s="1"/>
  <c r="M261" i="33"/>
  <c r="N261" i="33" s="1"/>
  <c r="O261" i="33" s="1"/>
  <c r="M262" i="33"/>
  <c r="N262" i="33" s="1"/>
  <c r="O262" i="33" s="1"/>
  <c r="M263" i="33"/>
  <c r="N263" i="33" s="1"/>
  <c r="O263" i="33" s="1"/>
  <c r="M264" i="33"/>
  <c r="N264" i="33" s="1"/>
  <c r="O264" i="33" s="1"/>
  <c r="M265" i="33"/>
  <c r="N265" i="33" s="1"/>
  <c r="O265" i="33" s="1"/>
  <c r="M266" i="33"/>
  <c r="N266" i="33" s="1"/>
  <c r="O266" i="33" s="1"/>
  <c r="M267" i="33"/>
  <c r="N267" i="33" s="1"/>
  <c r="O267" i="33" s="1"/>
  <c r="M268" i="33"/>
  <c r="N268" i="33" s="1"/>
  <c r="O268" i="33" s="1"/>
  <c r="M269" i="33"/>
  <c r="N269" i="33" s="1"/>
  <c r="O269" i="33" s="1"/>
  <c r="M270" i="33"/>
  <c r="N270" i="33" s="1"/>
  <c r="O270" i="33" s="1"/>
  <c r="M271" i="33"/>
  <c r="N271" i="33" s="1"/>
  <c r="O271" i="33" s="1"/>
  <c r="M272" i="33"/>
  <c r="N272" i="33" s="1"/>
  <c r="O272" i="33" s="1"/>
  <c r="M273" i="33"/>
  <c r="N273" i="33" s="1"/>
  <c r="O273" i="33" s="1"/>
  <c r="M274" i="33"/>
  <c r="N274" i="33" s="1"/>
  <c r="O274" i="33" s="1"/>
  <c r="M275" i="33"/>
  <c r="N275" i="33" s="1"/>
  <c r="O275" i="33" s="1"/>
  <c r="M276" i="33"/>
  <c r="N276" i="33" s="1"/>
  <c r="O276" i="33" s="1"/>
  <c r="M277" i="33"/>
  <c r="N277" i="33" s="1"/>
  <c r="O277" i="33" s="1"/>
  <c r="M278" i="33"/>
  <c r="N278" i="33" s="1"/>
  <c r="O278" i="33" s="1"/>
  <c r="M279" i="33"/>
  <c r="N279" i="33"/>
  <c r="O279" i="33" s="1"/>
  <c r="M280" i="33"/>
  <c r="N280" i="33"/>
  <c r="O280" i="33" s="1"/>
  <c r="M281" i="33"/>
  <c r="N281" i="33"/>
  <c r="O281" i="33" s="1"/>
  <c r="M282" i="33"/>
  <c r="N282" i="33" s="1"/>
  <c r="O282" i="33" s="1"/>
  <c r="M283" i="33"/>
  <c r="N283" i="33" s="1"/>
  <c r="O283" i="33" s="1"/>
  <c r="M284" i="33"/>
  <c r="N284" i="33" s="1"/>
  <c r="O284" i="33" s="1"/>
  <c r="M285" i="33"/>
  <c r="N285" i="33" s="1"/>
  <c r="O285" i="33" s="1"/>
  <c r="M286" i="33"/>
  <c r="N286" i="33" s="1"/>
  <c r="O286" i="33" s="1"/>
  <c r="M287" i="33"/>
  <c r="N287" i="33" s="1"/>
  <c r="O287" i="33"/>
  <c r="M288" i="33"/>
  <c r="N288" i="33" s="1"/>
  <c r="O288" i="33" s="1"/>
  <c r="M289" i="33"/>
  <c r="N289" i="33" s="1"/>
  <c r="O289" i="33" s="1"/>
  <c r="M290" i="33"/>
  <c r="N290" i="33" s="1"/>
  <c r="O290" i="33" s="1"/>
  <c r="M291" i="33"/>
  <c r="N291" i="33" s="1"/>
  <c r="O291" i="33" s="1"/>
  <c r="M292" i="33"/>
  <c r="N292" i="33"/>
  <c r="O292" i="33" s="1"/>
  <c r="M293" i="33"/>
  <c r="N293" i="33"/>
  <c r="O293" i="33" s="1"/>
  <c r="M294" i="33"/>
  <c r="N294" i="33" s="1"/>
  <c r="O294" i="33" s="1"/>
  <c r="M295" i="33"/>
  <c r="N295" i="33"/>
  <c r="O295" i="33" s="1"/>
  <c r="M296" i="33"/>
  <c r="N296" i="33" s="1"/>
  <c r="O296" i="33" s="1"/>
  <c r="M297" i="33"/>
  <c r="N297" i="33" s="1"/>
  <c r="O297" i="33" s="1"/>
  <c r="M298" i="33"/>
  <c r="N298" i="33" s="1"/>
  <c r="O298" i="33" s="1"/>
  <c r="M299" i="33"/>
  <c r="N299" i="33"/>
  <c r="O299" i="33"/>
  <c r="M300" i="33"/>
  <c r="N300" i="33" s="1"/>
  <c r="O300" i="33" s="1"/>
  <c r="M301" i="33"/>
  <c r="N301" i="33" s="1"/>
  <c r="O301" i="33" s="1"/>
  <c r="M302" i="33"/>
  <c r="N302" i="33" s="1"/>
  <c r="O302" i="33" s="1"/>
  <c r="M303" i="33"/>
  <c r="N303" i="33" s="1"/>
  <c r="O303" i="33"/>
  <c r="M304" i="33"/>
  <c r="N304" i="33"/>
  <c r="O304" i="33" s="1"/>
  <c r="M305" i="33"/>
  <c r="N305" i="33" s="1"/>
  <c r="O305" i="33" s="1"/>
  <c r="M306" i="33"/>
  <c r="N306" i="33" s="1"/>
  <c r="O306" i="33" s="1"/>
  <c r="M307" i="33"/>
  <c r="N307" i="33" s="1"/>
  <c r="O307" i="33" s="1"/>
  <c r="M308" i="33"/>
  <c r="N308" i="33" s="1"/>
  <c r="O308" i="33" s="1"/>
  <c r="M309" i="33"/>
  <c r="N309" i="33"/>
  <c r="O309" i="33" s="1"/>
  <c r="M310" i="33"/>
  <c r="N310" i="33" s="1"/>
  <c r="O310" i="33" s="1"/>
  <c r="M311" i="33"/>
  <c r="N311" i="33" s="1"/>
  <c r="O311" i="33" s="1"/>
  <c r="M312" i="33"/>
  <c r="N312" i="33" s="1"/>
  <c r="O312" i="33" s="1"/>
  <c r="M313" i="33"/>
  <c r="N313" i="33"/>
  <c r="O313" i="33" s="1"/>
  <c r="M314" i="33"/>
  <c r="N314" i="33" s="1"/>
  <c r="O314" i="33" s="1"/>
  <c r="M315" i="33"/>
  <c r="N315" i="33"/>
  <c r="O315" i="33" s="1"/>
  <c r="M316" i="33"/>
  <c r="N316" i="33"/>
  <c r="O316" i="33" s="1"/>
  <c r="M317" i="33"/>
  <c r="N317" i="33"/>
  <c r="O317" i="33" s="1"/>
  <c r="M318" i="33"/>
  <c r="N318" i="33" s="1"/>
  <c r="O318" i="33" s="1"/>
  <c r="M319" i="33"/>
  <c r="N319" i="33" s="1"/>
  <c r="O319" i="33" s="1"/>
  <c r="M320" i="33"/>
  <c r="N320" i="33" s="1"/>
  <c r="O320" i="33" s="1"/>
  <c r="M321" i="33"/>
  <c r="N321" i="33"/>
  <c r="O321" i="33" s="1"/>
  <c r="M322" i="33"/>
  <c r="N322" i="33" s="1"/>
  <c r="O322" i="33" s="1"/>
  <c r="M323" i="33"/>
  <c r="N323" i="33" s="1"/>
  <c r="O323" i="33" s="1"/>
  <c r="M324" i="33"/>
  <c r="N324" i="33" s="1"/>
  <c r="O324" i="33" s="1"/>
  <c r="M325" i="33"/>
  <c r="N325" i="33"/>
  <c r="O325" i="33" s="1"/>
  <c r="M326" i="33"/>
  <c r="N326" i="33" s="1"/>
  <c r="O326" i="33" s="1"/>
  <c r="M327" i="33"/>
  <c r="N327" i="33"/>
  <c r="O327" i="33"/>
  <c r="M328" i="33"/>
  <c r="N328" i="33" s="1"/>
  <c r="O328" i="33" s="1"/>
  <c r="M329" i="33"/>
  <c r="N329" i="33" s="1"/>
  <c r="O329" i="33" s="1"/>
  <c r="M330" i="33"/>
  <c r="N330" i="33" s="1"/>
  <c r="O330" i="33" s="1"/>
  <c r="M331" i="33"/>
  <c r="N331" i="33" s="1"/>
  <c r="O331" i="33" s="1"/>
  <c r="M332" i="33"/>
  <c r="N332" i="33" s="1"/>
  <c r="O332" i="33" s="1"/>
  <c r="M333" i="33"/>
  <c r="N333" i="33"/>
  <c r="O333" i="33" s="1"/>
  <c r="M334" i="33"/>
  <c r="N334" i="33" s="1"/>
  <c r="O334" i="33" s="1"/>
  <c r="M335" i="33"/>
  <c r="N335" i="33"/>
  <c r="O335" i="33" s="1"/>
  <c r="M336" i="33"/>
  <c r="N336" i="33" s="1"/>
  <c r="O336" i="33" s="1"/>
  <c r="M337" i="33"/>
  <c r="N337" i="33"/>
  <c r="O337" i="33" s="1"/>
  <c r="M338" i="33"/>
  <c r="N338" i="33" s="1"/>
  <c r="O338" i="33" s="1"/>
  <c r="M339" i="33"/>
  <c r="N339" i="33"/>
  <c r="O339" i="33"/>
  <c r="M340" i="33"/>
  <c r="N340" i="33"/>
  <c r="O340" i="33" s="1"/>
  <c r="M341" i="33"/>
  <c r="N341" i="33"/>
  <c r="O341" i="33" s="1"/>
  <c r="M342" i="33"/>
  <c r="N342" i="33" s="1"/>
  <c r="O342" i="33" s="1"/>
  <c r="M343" i="33"/>
  <c r="N343" i="33" s="1"/>
  <c r="O343" i="33" s="1"/>
  <c r="M344" i="33"/>
  <c r="N344" i="33" s="1"/>
  <c r="O344" i="33" s="1"/>
  <c r="M345" i="33"/>
  <c r="N345" i="33"/>
  <c r="O345" i="33" s="1"/>
  <c r="M346" i="33"/>
  <c r="N346" i="33" s="1"/>
  <c r="O346" i="33" s="1"/>
  <c r="M347" i="33"/>
  <c r="N347" i="33" s="1"/>
  <c r="O347" i="33"/>
  <c r="M348" i="33"/>
  <c r="N348" i="33" s="1"/>
  <c r="O348" i="33" s="1"/>
  <c r="M349" i="33"/>
  <c r="N349" i="33"/>
  <c r="O349" i="33" s="1"/>
  <c r="M350" i="33"/>
  <c r="N350" i="33" s="1"/>
  <c r="O350" i="33" s="1"/>
  <c r="M351" i="33"/>
  <c r="N351" i="33"/>
  <c r="O351" i="33"/>
  <c r="M352" i="33"/>
  <c r="N352" i="33" s="1"/>
  <c r="O352" i="33" s="1"/>
  <c r="M353" i="33"/>
  <c r="N353" i="33" s="1"/>
  <c r="O353" i="33" s="1"/>
  <c r="M354" i="33"/>
  <c r="N354" i="33" s="1"/>
  <c r="O354" i="33" s="1"/>
  <c r="M355" i="33"/>
  <c r="N355" i="33" s="1"/>
  <c r="O355" i="33" s="1"/>
  <c r="M356" i="33"/>
  <c r="N356" i="33" s="1"/>
  <c r="O356" i="33" s="1"/>
  <c r="M357" i="33"/>
  <c r="N357" i="33"/>
  <c r="O357" i="33" s="1"/>
  <c r="M358" i="33"/>
  <c r="N358" i="33" s="1"/>
  <c r="O358" i="33" s="1"/>
  <c r="M359" i="33"/>
  <c r="N359" i="33" s="1"/>
  <c r="O359" i="33" s="1"/>
  <c r="M360" i="33"/>
  <c r="N360" i="33" s="1"/>
  <c r="O360" i="33" s="1"/>
  <c r="M361" i="33"/>
  <c r="N361" i="33" s="1"/>
  <c r="O361" i="33" s="1"/>
  <c r="M362" i="33"/>
  <c r="N362" i="33" s="1"/>
  <c r="O362" i="33" s="1"/>
  <c r="M363" i="33"/>
  <c r="N363" i="33"/>
  <c r="O363" i="33"/>
  <c r="M364" i="33"/>
  <c r="N364" i="33"/>
  <c r="O364" i="33" s="1"/>
  <c r="M365" i="33"/>
  <c r="N365" i="33" s="1"/>
  <c r="O365" i="33" s="1"/>
  <c r="M366" i="33"/>
  <c r="N366" i="33" s="1"/>
  <c r="O366" i="33" s="1"/>
  <c r="M367" i="33"/>
  <c r="N367" i="33"/>
  <c r="O367" i="33" s="1"/>
  <c r="M368" i="33"/>
  <c r="N368" i="33" s="1"/>
  <c r="O368" i="33" s="1"/>
  <c r="M369" i="33"/>
  <c r="N369" i="33"/>
  <c r="O369" i="33" s="1"/>
  <c r="M370" i="33"/>
  <c r="N370" i="33" s="1"/>
  <c r="O370" i="33" s="1"/>
  <c r="M371" i="33"/>
  <c r="N371" i="33"/>
  <c r="O371" i="33"/>
  <c r="M372" i="33"/>
  <c r="N372" i="33" s="1"/>
  <c r="O372" i="33" s="1"/>
  <c r="M373" i="33"/>
  <c r="N373" i="33"/>
  <c r="O373" i="33" s="1"/>
  <c r="M374" i="33"/>
  <c r="N374" i="33" s="1"/>
  <c r="O374" i="33" s="1"/>
  <c r="M375" i="33"/>
  <c r="N375" i="33"/>
  <c r="O375" i="33" s="1"/>
  <c r="M376" i="33"/>
  <c r="N376" i="33"/>
  <c r="O376" i="33" s="1"/>
  <c r="M377" i="33"/>
  <c r="N377" i="33"/>
  <c r="O377" i="33" s="1"/>
  <c r="M378" i="33"/>
  <c r="N378" i="33" s="1"/>
  <c r="O378" i="33" s="1"/>
  <c r="M379" i="33"/>
  <c r="N379" i="33"/>
  <c r="O379" i="33"/>
  <c r="M380" i="33"/>
  <c r="N380" i="33" s="1"/>
  <c r="O380" i="33" s="1"/>
  <c r="M381" i="33"/>
  <c r="N381" i="33"/>
  <c r="O381" i="33" s="1"/>
  <c r="M382" i="33"/>
  <c r="N382" i="33" s="1"/>
  <c r="O382" i="33" s="1"/>
  <c r="M383" i="33"/>
  <c r="N383" i="33" s="1"/>
  <c r="O383" i="33" s="1"/>
  <c r="M384" i="33"/>
  <c r="N384" i="33"/>
  <c r="O384" i="33" s="1"/>
  <c r="M385" i="33"/>
  <c r="N385" i="33"/>
  <c r="O385" i="33" s="1"/>
  <c r="M386" i="33"/>
  <c r="N386" i="33" s="1"/>
  <c r="O386" i="33" s="1"/>
  <c r="M387" i="33"/>
  <c r="N387" i="33"/>
  <c r="O387" i="33" s="1"/>
  <c r="M388" i="33"/>
  <c r="N388" i="33" s="1"/>
  <c r="O388" i="33" s="1"/>
  <c r="M389" i="33"/>
  <c r="N389" i="33" s="1"/>
  <c r="O389" i="33" s="1"/>
  <c r="M390" i="33"/>
  <c r="N390" i="33" s="1"/>
  <c r="O390" i="33" s="1"/>
  <c r="M391" i="33"/>
  <c r="N391" i="33" s="1"/>
  <c r="O391" i="33" s="1"/>
  <c r="M392" i="33"/>
  <c r="N392" i="33" s="1"/>
  <c r="O392" i="33" s="1"/>
  <c r="M393" i="33"/>
  <c r="N393" i="33"/>
  <c r="O393" i="33" s="1"/>
  <c r="M394" i="33"/>
  <c r="N394" i="33" s="1"/>
  <c r="O394" i="33" s="1"/>
  <c r="M395" i="33"/>
  <c r="N395" i="33"/>
  <c r="O395" i="33" s="1"/>
  <c r="M396" i="33"/>
  <c r="N396" i="33" s="1"/>
  <c r="O396" i="33" s="1"/>
  <c r="M397" i="33"/>
  <c r="N397" i="33"/>
  <c r="O397" i="33" s="1"/>
  <c r="M398" i="33"/>
  <c r="N398" i="33" s="1"/>
  <c r="O398" i="33" s="1"/>
  <c r="M399" i="33"/>
  <c r="N399" i="33"/>
  <c r="O399" i="33"/>
  <c r="M400" i="33"/>
  <c r="N400" i="33"/>
  <c r="O400" i="33" s="1"/>
  <c r="M401" i="33"/>
  <c r="N401" i="33"/>
  <c r="O401" i="33" s="1"/>
  <c r="M402" i="33"/>
  <c r="N402" i="33" s="1"/>
  <c r="O402" i="33" s="1"/>
  <c r="F402" i="33"/>
  <c r="F401" i="33"/>
  <c r="F400" i="33"/>
  <c r="F399" i="33"/>
  <c r="F398" i="33"/>
  <c r="F397" i="33"/>
  <c r="F396" i="33"/>
  <c r="F395" i="33"/>
  <c r="F394" i="33"/>
  <c r="F393" i="33"/>
  <c r="F392" i="33"/>
  <c r="F391" i="33"/>
  <c r="F390" i="33"/>
  <c r="F389" i="33"/>
  <c r="F388" i="33"/>
  <c r="F387" i="33"/>
  <c r="F386" i="33"/>
  <c r="F385" i="33"/>
  <c r="F384" i="33"/>
  <c r="F383" i="33"/>
  <c r="F382" i="33"/>
  <c r="F381" i="33"/>
  <c r="F380" i="33"/>
  <c r="F379" i="33"/>
  <c r="F378" i="33"/>
  <c r="F377" i="33"/>
  <c r="F376" i="33"/>
  <c r="F375" i="33"/>
  <c r="F374" i="33"/>
  <c r="F373" i="33"/>
  <c r="F372" i="33"/>
  <c r="F371" i="33"/>
  <c r="F370" i="33"/>
  <c r="F369" i="33"/>
  <c r="F368" i="33"/>
  <c r="F367" i="33"/>
  <c r="F366" i="33"/>
  <c r="F365" i="33"/>
  <c r="F364" i="33"/>
  <c r="F363" i="33"/>
  <c r="F362" i="33"/>
  <c r="F361" i="33"/>
  <c r="F360" i="33"/>
  <c r="F359" i="33"/>
  <c r="F358" i="33"/>
  <c r="F357" i="33"/>
  <c r="F356" i="33"/>
  <c r="F355" i="33"/>
  <c r="F354" i="33"/>
  <c r="F353" i="33"/>
  <c r="F352" i="33"/>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8" i="33"/>
  <c r="F9" i="33"/>
  <c r="F10" i="33"/>
  <c r="F11" i="33"/>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7" i="33"/>
  <c r="F6" i="33"/>
  <c r="Q7" i="33"/>
  <c r="R7" i="33"/>
  <c r="S7" i="33"/>
  <c r="T7" i="33"/>
  <c r="Q8" i="33"/>
  <c r="R8" i="33"/>
  <c r="S8" i="33"/>
  <c r="T8" i="33"/>
  <c r="Q9" i="33"/>
  <c r="R9" i="33"/>
  <c r="S9" i="33"/>
  <c r="T9" i="33"/>
  <c r="Q10" i="33"/>
  <c r="R10" i="33"/>
  <c r="S10" i="33"/>
  <c r="T10" i="33"/>
  <c r="Q11" i="33"/>
  <c r="R11" i="33"/>
  <c r="S11" i="33"/>
  <c r="T11" i="33"/>
  <c r="Q12" i="33"/>
  <c r="R12" i="33"/>
  <c r="S12" i="33"/>
  <c r="T12" i="33"/>
  <c r="Q13" i="33"/>
  <c r="R13" i="33"/>
  <c r="S13" i="33"/>
  <c r="T13" i="33"/>
  <c r="Q14" i="33"/>
  <c r="R14" i="33"/>
  <c r="S14" i="33"/>
  <c r="T14" i="33"/>
  <c r="Q15" i="33"/>
  <c r="R15" i="33"/>
  <c r="S15" i="33"/>
  <c r="T15" i="33"/>
  <c r="Q16" i="33"/>
  <c r="R16" i="33"/>
  <c r="S16" i="33"/>
  <c r="T16" i="33"/>
  <c r="Q17" i="33"/>
  <c r="R17" i="33"/>
  <c r="S17" i="33"/>
  <c r="T17" i="33"/>
  <c r="Q18" i="33"/>
  <c r="R18" i="33"/>
  <c r="S18" i="33"/>
  <c r="T18" i="33"/>
  <c r="Q19" i="33"/>
  <c r="R19" i="33"/>
  <c r="S19" i="33"/>
  <c r="T19" i="33"/>
  <c r="Q20" i="33"/>
  <c r="R20" i="33"/>
  <c r="S20" i="33"/>
  <c r="T20" i="33"/>
  <c r="Q21" i="33"/>
  <c r="R21" i="33"/>
  <c r="S21" i="33"/>
  <c r="T21" i="33"/>
  <c r="Q22" i="33"/>
  <c r="R22" i="33"/>
  <c r="S22" i="33"/>
  <c r="T22" i="33"/>
  <c r="Q23" i="33"/>
  <c r="R23" i="33"/>
  <c r="S23" i="33"/>
  <c r="T23" i="33"/>
  <c r="Q24" i="33"/>
  <c r="R24" i="33"/>
  <c r="S24" i="33"/>
  <c r="T24" i="33"/>
  <c r="Q25" i="33"/>
  <c r="R25" i="33"/>
  <c r="S25" i="33"/>
  <c r="T25" i="33"/>
  <c r="Q26" i="33"/>
  <c r="R26" i="33"/>
  <c r="S26" i="33"/>
  <c r="T26" i="33"/>
  <c r="Q27" i="33"/>
  <c r="R27" i="33"/>
  <c r="S27" i="33"/>
  <c r="T27" i="33"/>
  <c r="Q28" i="33"/>
  <c r="R28" i="33"/>
  <c r="S28" i="33"/>
  <c r="T28" i="33"/>
  <c r="Q29" i="33"/>
  <c r="R29" i="33"/>
  <c r="S29" i="33"/>
  <c r="T29" i="33"/>
  <c r="Q30" i="33"/>
  <c r="R30" i="33"/>
  <c r="S30" i="33"/>
  <c r="T30" i="33"/>
  <c r="Q31" i="33"/>
  <c r="R31" i="33"/>
  <c r="S31" i="33"/>
  <c r="T31" i="33"/>
  <c r="Q32" i="33"/>
  <c r="R32" i="33"/>
  <c r="S32" i="33"/>
  <c r="T32" i="33"/>
  <c r="Q33" i="33"/>
  <c r="R33" i="33"/>
  <c r="S33" i="33"/>
  <c r="T33" i="33"/>
  <c r="Q34" i="33"/>
  <c r="R34" i="33"/>
  <c r="S34" i="33"/>
  <c r="T34" i="33"/>
  <c r="Q35" i="33"/>
  <c r="R35" i="33"/>
  <c r="S35" i="33"/>
  <c r="T35" i="33"/>
  <c r="Q36" i="33"/>
  <c r="R36" i="33"/>
  <c r="S36" i="33"/>
  <c r="T36" i="33"/>
  <c r="Q37" i="33"/>
  <c r="R37" i="33"/>
  <c r="S37" i="33"/>
  <c r="T37" i="33"/>
  <c r="Q38" i="33"/>
  <c r="R38" i="33"/>
  <c r="S38" i="33"/>
  <c r="T38" i="33"/>
  <c r="Q39" i="33"/>
  <c r="R39" i="33"/>
  <c r="S39" i="33"/>
  <c r="T39" i="33"/>
  <c r="Q40" i="33"/>
  <c r="R40" i="33"/>
  <c r="S40" i="33"/>
  <c r="T40" i="33"/>
  <c r="Q41" i="33"/>
  <c r="R41" i="33"/>
  <c r="S41" i="33"/>
  <c r="T41" i="33"/>
  <c r="Q42" i="33"/>
  <c r="R42" i="33"/>
  <c r="S42" i="33"/>
  <c r="T42" i="33"/>
  <c r="Q43" i="33"/>
  <c r="R43" i="33"/>
  <c r="S43" i="33"/>
  <c r="T43" i="33"/>
  <c r="Q44" i="33"/>
  <c r="R44" i="33"/>
  <c r="S44" i="33"/>
  <c r="T44" i="33"/>
  <c r="Q45" i="33"/>
  <c r="R45" i="33"/>
  <c r="S45" i="33"/>
  <c r="T45" i="33"/>
  <c r="Q46" i="33"/>
  <c r="R46" i="33"/>
  <c r="S46" i="33"/>
  <c r="T46" i="33"/>
  <c r="Q47" i="33"/>
  <c r="R47" i="33"/>
  <c r="S47" i="33"/>
  <c r="T47" i="33"/>
  <c r="Q48" i="33"/>
  <c r="R48" i="33"/>
  <c r="S48" i="33"/>
  <c r="T48" i="33"/>
  <c r="Q49" i="33"/>
  <c r="R49" i="33"/>
  <c r="S49" i="33"/>
  <c r="T49" i="33"/>
  <c r="Q50" i="33"/>
  <c r="R50" i="33"/>
  <c r="S50" i="33"/>
  <c r="T50" i="33"/>
  <c r="Q51" i="33"/>
  <c r="R51" i="33"/>
  <c r="S51" i="33"/>
  <c r="T51" i="33"/>
  <c r="Q52" i="33"/>
  <c r="R52" i="33"/>
  <c r="S52" i="33"/>
  <c r="T52" i="33"/>
  <c r="Q53" i="33"/>
  <c r="R53" i="33"/>
  <c r="S53" i="33"/>
  <c r="T53" i="33"/>
  <c r="Q54" i="33"/>
  <c r="R54" i="33"/>
  <c r="S54" i="33"/>
  <c r="T54" i="33"/>
  <c r="Q55" i="33"/>
  <c r="R55" i="33"/>
  <c r="S55" i="33"/>
  <c r="T55" i="33"/>
  <c r="Q56" i="33"/>
  <c r="R56" i="33"/>
  <c r="S56" i="33"/>
  <c r="T56" i="33"/>
  <c r="Q57" i="33"/>
  <c r="R57" i="33"/>
  <c r="S57" i="33"/>
  <c r="T57" i="33"/>
  <c r="Q58" i="33"/>
  <c r="R58" i="33"/>
  <c r="S58" i="33"/>
  <c r="T58" i="33"/>
  <c r="Q59" i="33"/>
  <c r="R59" i="33"/>
  <c r="S59" i="33"/>
  <c r="T59" i="33"/>
  <c r="Q60" i="33"/>
  <c r="R60" i="33"/>
  <c r="S60" i="33"/>
  <c r="T60" i="33"/>
  <c r="Q61" i="33"/>
  <c r="R61" i="33"/>
  <c r="S61" i="33"/>
  <c r="T61" i="33"/>
  <c r="Q62" i="33"/>
  <c r="R62" i="33"/>
  <c r="S62" i="33"/>
  <c r="T62" i="33"/>
  <c r="Q63" i="33"/>
  <c r="R63" i="33"/>
  <c r="S63" i="33"/>
  <c r="T63" i="33"/>
  <c r="Q64" i="33"/>
  <c r="R64" i="33"/>
  <c r="S64" i="33"/>
  <c r="T64" i="33"/>
  <c r="Q65" i="33"/>
  <c r="R65" i="33"/>
  <c r="S65" i="33"/>
  <c r="T65" i="33"/>
  <c r="Q66" i="33"/>
  <c r="R66" i="33"/>
  <c r="S66" i="33"/>
  <c r="T66" i="33"/>
  <c r="Q67" i="33"/>
  <c r="R67" i="33"/>
  <c r="S67" i="33"/>
  <c r="T67" i="33"/>
  <c r="Q68" i="33"/>
  <c r="R68" i="33"/>
  <c r="S68" i="33"/>
  <c r="T68" i="33"/>
  <c r="Q69" i="33"/>
  <c r="R69" i="33"/>
  <c r="S69" i="33"/>
  <c r="T69" i="33"/>
  <c r="Q70" i="33"/>
  <c r="R70" i="33"/>
  <c r="S70" i="33"/>
  <c r="T70" i="33"/>
  <c r="Q71" i="33"/>
  <c r="R71" i="33"/>
  <c r="S71" i="33"/>
  <c r="T71" i="33"/>
  <c r="Q72" i="33"/>
  <c r="R72" i="33"/>
  <c r="S72" i="33"/>
  <c r="T72" i="33"/>
  <c r="Q73" i="33"/>
  <c r="R73" i="33"/>
  <c r="S73" i="33"/>
  <c r="T73" i="33"/>
  <c r="Q74" i="33"/>
  <c r="R74" i="33"/>
  <c r="S74" i="33"/>
  <c r="T74" i="33"/>
  <c r="Q75" i="33"/>
  <c r="R75" i="33"/>
  <c r="S75" i="33"/>
  <c r="T75" i="33"/>
  <c r="Q76" i="33"/>
  <c r="R76" i="33"/>
  <c r="S76" i="33"/>
  <c r="T76" i="33"/>
  <c r="Q77" i="33"/>
  <c r="R77" i="33"/>
  <c r="S77" i="33"/>
  <c r="T77" i="33"/>
  <c r="Q78" i="33"/>
  <c r="R78" i="33"/>
  <c r="S78" i="33"/>
  <c r="T78" i="33"/>
  <c r="Q79" i="33"/>
  <c r="R79" i="33"/>
  <c r="S79" i="33"/>
  <c r="T79" i="33"/>
  <c r="Q80" i="33"/>
  <c r="R80" i="33"/>
  <c r="S80" i="33"/>
  <c r="T80" i="33"/>
  <c r="Q81" i="33"/>
  <c r="R81" i="33"/>
  <c r="S81" i="33"/>
  <c r="T81" i="33"/>
  <c r="Q82" i="33"/>
  <c r="R82" i="33"/>
  <c r="S82" i="33"/>
  <c r="T82" i="33"/>
  <c r="Q83" i="33"/>
  <c r="R83" i="33"/>
  <c r="S83" i="33"/>
  <c r="T83" i="33"/>
  <c r="Q84" i="33"/>
  <c r="R84" i="33"/>
  <c r="S84" i="33"/>
  <c r="T84" i="33"/>
  <c r="Q85" i="33"/>
  <c r="R85" i="33"/>
  <c r="S85" i="33"/>
  <c r="T85" i="33"/>
  <c r="Q86" i="33"/>
  <c r="R86" i="33"/>
  <c r="S86" i="33"/>
  <c r="T86" i="33"/>
  <c r="Q87" i="33"/>
  <c r="R87" i="33"/>
  <c r="S87" i="33"/>
  <c r="T87" i="33"/>
  <c r="Q88" i="33"/>
  <c r="R88" i="33"/>
  <c r="S88" i="33"/>
  <c r="T88" i="33"/>
  <c r="Q89" i="33"/>
  <c r="R89" i="33"/>
  <c r="S89" i="33"/>
  <c r="T89" i="33"/>
  <c r="Q90" i="33"/>
  <c r="R90" i="33"/>
  <c r="S90" i="33"/>
  <c r="T90" i="33"/>
  <c r="Q91" i="33"/>
  <c r="R91" i="33"/>
  <c r="S91" i="33"/>
  <c r="T91" i="33"/>
  <c r="Q92" i="33"/>
  <c r="R92" i="33"/>
  <c r="S92" i="33"/>
  <c r="T92" i="33"/>
  <c r="Q93" i="33"/>
  <c r="R93" i="33"/>
  <c r="S93" i="33"/>
  <c r="T93" i="33"/>
  <c r="Q94" i="33"/>
  <c r="R94" i="33"/>
  <c r="S94" i="33"/>
  <c r="T94" i="33"/>
  <c r="Q95" i="33"/>
  <c r="R95" i="33"/>
  <c r="S95" i="33"/>
  <c r="T95" i="33"/>
  <c r="Q96" i="33"/>
  <c r="R96" i="33"/>
  <c r="S96" i="33"/>
  <c r="T96" i="33"/>
  <c r="Q97" i="33"/>
  <c r="R97" i="33"/>
  <c r="S97" i="33"/>
  <c r="T97" i="33"/>
  <c r="Q98" i="33"/>
  <c r="R98" i="33"/>
  <c r="S98" i="33"/>
  <c r="T98" i="33"/>
  <c r="Q99" i="33"/>
  <c r="R99" i="33"/>
  <c r="S99" i="33"/>
  <c r="T99" i="33"/>
  <c r="Q100" i="33"/>
  <c r="R100" i="33"/>
  <c r="S100" i="33"/>
  <c r="T100" i="33"/>
  <c r="Q101" i="33"/>
  <c r="R101" i="33"/>
  <c r="S101" i="33"/>
  <c r="T101" i="33"/>
  <c r="Q102" i="33"/>
  <c r="R102" i="33"/>
  <c r="S102" i="33"/>
  <c r="T102" i="33"/>
  <c r="Q103" i="33"/>
  <c r="R103" i="33"/>
  <c r="S103" i="33"/>
  <c r="T103" i="33"/>
  <c r="Q104" i="33"/>
  <c r="R104" i="33"/>
  <c r="S104" i="33"/>
  <c r="T104" i="33"/>
  <c r="Q105" i="33"/>
  <c r="R105" i="33"/>
  <c r="S105" i="33"/>
  <c r="T105" i="33"/>
  <c r="Q106" i="33"/>
  <c r="R106" i="33"/>
  <c r="S106" i="33"/>
  <c r="T106" i="33"/>
  <c r="Q107" i="33"/>
  <c r="R107" i="33"/>
  <c r="S107" i="33"/>
  <c r="T107" i="33"/>
  <c r="Q108" i="33"/>
  <c r="R108" i="33"/>
  <c r="S108" i="33"/>
  <c r="T108" i="33"/>
  <c r="Q109" i="33"/>
  <c r="R109" i="33"/>
  <c r="S109" i="33"/>
  <c r="T109" i="33"/>
  <c r="Q110" i="33"/>
  <c r="R110" i="33"/>
  <c r="S110" i="33"/>
  <c r="T110" i="33"/>
  <c r="Q111" i="33"/>
  <c r="R111" i="33"/>
  <c r="S111" i="33"/>
  <c r="T111" i="33"/>
  <c r="Q112" i="33"/>
  <c r="R112" i="33"/>
  <c r="S112" i="33"/>
  <c r="T112" i="33"/>
  <c r="Q113" i="33"/>
  <c r="R113" i="33"/>
  <c r="S113" i="33"/>
  <c r="T113" i="33"/>
  <c r="Q114" i="33"/>
  <c r="R114" i="33"/>
  <c r="S114" i="33"/>
  <c r="T114" i="33"/>
  <c r="Q115" i="33"/>
  <c r="R115" i="33"/>
  <c r="S115" i="33"/>
  <c r="T115" i="33"/>
  <c r="Q116" i="33"/>
  <c r="R116" i="33"/>
  <c r="S116" i="33"/>
  <c r="T116" i="33"/>
  <c r="Q117" i="33"/>
  <c r="R117" i="33"/>
  <c r="S117" i="33"/>
  <c r="T117" i="33"/>
  <c r="Q118" i="33"/>
  <c r="R118" i="33"/>
  <c r="S118" i="33"/>
  <c r="T118" i="33"/>
  <c r="Q119" i="33"/>
  <c r="R119" i="33"/>
  <c r="S119" i="33"/>
  <c r="T119" i="33"/>
  <c r="Q120" i="33"/>
  <c r="R120" i="33"/>
  <c r="S120" i="33"/>
  <c r="T120" i="33"/>
  <c r="Q121" i="33"/>
  <c r="R121" i="33"/>
  <c r="S121" i="33"/>
  <c r="T121" i="33"/>
  <c r="Q122" i="33"/>
  <c r="R122" i="33"/>
  <c r="S122" i="33"/>
  <c r="T122" i="33"/>
  <c r="Q123" i="33"/>
  <c r="R123" i="33"/>
  <c r="S123" i="33"/>
  <c r="T123" i="33"/>
  <c r="Q124" i="33"/>
  <c r="R124" i="33"/>
  <c r="S124" i="33"/>
  <c r="T124" i="33"/>
  <c r="Q125" i="33"/>
  <c r="R125" i="33"/>
  <c r="S125" i="33"/>
  <c r="T125" i="33"/>
  <c r="Q126" i="33"/>
  <c r="R126" i="33"/>
  <c r="S126" i="33"/>
  <c r="T126" i="33"/>
  <c r="Q127" i="33"/>
  <c r="R127" i="33"/>
  <c r="S127" i="33"/>
  <c r="T127" i="33"/>
  <c r="Q128" i="33"/>
  <c r="R128" i="33"/>
  <c r="S128" i="33"/>
  <c r="T128" i="33"/>
  <c r="Q129" i="33"/>
  <c r="R129" i="33"/>
  <c r="S129" i="33"/>
  <c r="T129" i="33"/>
  <c r="Q130" i="33"/>
  <c r="R130" i="33"/>
  <c r="S130" i="33"/>
  <c r="T130" i="33"/>
  <c r="Q131" i="33"/>
  <c r="R131" i="33"/>
  <c r="S131" i="33"/>
  <c r="T131" i="33"/>
  <c r="Q132" i="33"/>
  <c r="R132" i="33"/>
  <c r="S132" i="33"/>
  <c r="T132" i="33"/>
  <c r="Q133" i="33"/>
  <c r="R133" i="33"/>
  <c r="S133" i="33"/>
  <c r="T133" i="33"/>
  <c r="Q134" i="33"/>
  <c r="R134" i="33"/>
  <c r="S134" i="33"/>
  <c r="T134" i="33"/>
  <c r="Q135" i="33"/>
  <c r="R135" i="33"/>
  <c r="S135" i="33"/>
  <c r="T135" i="33"/>
  <c r="Q136" i="33"/>
  <c r="R136" i="33"/>
  <c r="S136" i="33"/>
  <c r="T136" i="33"/>
  <c r="Q137" i="33"/>
  <c r="R137" i="33"/>
  <c r="S137" i="33"/>
  <c r="T137" i="33"/>
  <c r="Q138" i="33"/>
  <c r="R138" i="33"/>
  <c r="S138" i="33"/>
  <c r="T138" i="33"/>
  <c r="Q139" i="33"/>
  <c r="R139" i="33"/>
  <c r="S139" i="33"/>
  <c r="T139" i="33"/>
  <c r="Q140" i="33"/>
  <c r="R140" i="33"/>
  <c r="S140" i="33"/>
  <c r="T140" i="33"/>
  <c r="Q141" i="33"/>
  <c r="R141" i="33"/>
  <c r="S141" i="33"/>
  <c r="T141" i="33"/>
  <c r="Q142" i="33"/>
  <c r="R142" i="33"/>
  <c r="S142" i="33"/>
  <c r="T142" i="33"/>
  <c r="Q143" i="33"/>
  <c r="R143" i="33"/>
  <c r="S143" i="33"/>
  <c r="T143" i="33"/>
  <c r="Q144" i="33"/>
  <c r="R144" i="33"/>
  <c r="S144" i="33"/>
  <c r="T144" i="33"/>
  <c r="Q145" i="33"/>
  <c r="R145" i="33"/>
  <c r="S145" i="33"/>
  <c r="T145" i="33"/>
  <c r="Q146" i="33"/>
  <c r="R146" i="33"/>
  <c r="S146" i="33"/>
  <c r="T146" i="33"/>
  <c r="Q147" i="33"/>
  <c r="R147" i="33"/>
  <c r="S147" i="33"/>
  <c r="T147" i="33"/>
  <c r="Q148" i="33"/>
  <c r="R148" i="33"/>
  <c r="S148" i="33"/>
  <c r="T148" i="33"/>
  <c r="Q149" i="33"/>
  <c r="R149" i="33"/>
  <c r="S149" i="33"/>
  <c r="T149" i="33"/>
  <c r="Q150" i="33"/>
  <c r="R150" i="33"/>
  <c r="S150" i="33"/>
  <c r="T150" i="33"/>
  <c r="Q151" i="33"/>
  <c r="R151" i="33"/>
  <c r="S151" i="33"/>
  <c r="T151" i="33"/>
  <c r="Q152" i="33"/>
  <c r="R152" i="33"/>
  <c r="S152" i="33"/>
  <c r="T152" i="33"/>
  <c r="Q153" i="33"/>
  <c r="R153" i="33"/>
  <c r="S153" i="33"/>
  <c r="T153" i="33"/>
  <c r="Q154" i="33"/>
  <c r="R154" i="33"/>
  <c r="S154" i="33"/>
  <c r="T154" i="33"/>
  <c r="Q155" i="33"/>
  <c r="R155" i="33"/>
  <c r="S155" i="33"/>
  <c r="T155" i="33"/>
  <c r="Q156" i="33"/>
  <c r="R156" i="33"/>
  <c r="S156" i="33"/>
  <c r="T156" i="33"/>
  <c r="Q157" i="33"/>
  <c r="R157" i="33"/>
  <c r="S157" i="33"/>
  <c r="T157" i="33"/>
  <c r="Q158" i="33"/>
  <c r="R158" i="33"/>
  <c r="S158" i="33"/>
  <c r="T158" i="33"/>
  <c r="Q159" i="33"/>
  <c r="R159" i="33"/>
  <c r="S159" i="33"/>
  <c r="T159" i="33"/>
  <c r="Q160" i="33"/>
  <c r="R160" i="33"/>
  <c r="S160" i="33"/>
  <c r="T160" i="33"/>
  <c r="Q161" i="33"/>
  <c r="R161" i="33"/>
  <c r="S161" i="33"/>
  <c r="T161" i="33"/>
  <c r="Q162" i="33"/>
  <c r="R162" i="33"/>
  <c r="S162" i="33"/>
  <c r="T162" i="33"/>
  <c r="Q163" i="33"/>
  <c r="R163" i="33"/>
  <c r="S163" i="33"/>
  <c r="T163" i="33"/>
  <c r="Q164" i="33"/>
  <c r="R164" i="33"/>
  <c r="S164" i="33"/>
  <c r="T164" i="33"/>
  <c r="Q165" i="33"/>
  <c r="R165" i="33"/>
  <c r="S165" i="33"/>
  <c r="T165" i="33"/>
  <c r="Q166" i="33"/>
  <c r="R166" i="33"/>
  <c r="S166" i="33"/>
  <c r="T166" i="33"/>
  <c r="Q167" i="33"/>
  <c r="R167" i="33"/>
  <c r="S167" i="33"/>
  <c r="T167" i="33"/>
  <c r="Q168" i="33"/>
  <c r="R168" i="33"/>
  <c r="S168" i="33"/>
  <c r="T168" i="33"/>
  <c r="Q169" i="33"/>
  <c r="R169" i="33"/>
  <c r="S169" i="33"/>
  <c r="T169" i="33"/>
  <c r="Q170" i="33"/>
  <c r="R170" i="33"/>
  <c r="S170" i="33"/>
  <c r="T170" i="33"/>
  <c r="Q171" i="33"/>
  <c r="R171" i="33"/>
  <c r="S171" i="33"/>
  <c r="T171" i="33"/>
  <c r="Q172" i="33"/>
  <c r="R172" i="33"/>
  <c r="S172" i="33"/>
  <c r="T172" i="33"/>
  <c r="Q173" i="33"/>
  <c r="R173" i="33"/>
  <c r="S173" i="33"/>
  <c r="T173" i="33"/>
  <c r="Q174" i="33"/>
  <c r="R174" i="33"/>
  <c r="S174" i="33"/>
  <c r="T174" i="33"/>
  <c r="Q175" i="33"/>
  <c r="R175" i="33"/>
  <c r="S175" i="33"/>
  <c r="T175" i="33"/>
  <c r="Q176" i="33"/>
  <c r="R176" i="33"/>
  <c r="S176" i="33"/>
  <c r="T176" i="33"/>
  <c r="Q177" i="33"/>
  <c r="R177" i="33"/>
  <c r="S177" i="33"/>
  <c r="T177" i="33"/>
  <c r="Q178" i="33"/>
  <c r="R178" i="33"/>
  <c r="S178" i="33"/>
  <c r="T178" i="33"/>
  <c r="Q179" i="33"/>
  <c r="R179" i="33"/>
  <c r="S179" i="33"/>
  <c r="T179" i="33"/>
  <c r="Q180" i="33"/>
  <c r="R180" i="33"/>
  <c r="S180" i="33"/>
  <c r="T180" i="33"/>
  <c r="Q181" i="33"/>
  <c r="R181" i="33"/>
  <c r="S181" i="33"/>
  <c r="T181" i="33"/>
  <c r="Q182" i="33"/>
  <c r="R182" i="33"/>
  <c r="S182" i="33"/>
  <c r="T182" i="33"/>
  <c r="Q183" i="33"/>
  <c r="R183" i="33"/>
  <c r="S183" i="33"/>
  <c r="T183" i="33"/>
  <c r="Q184" i="33"/>
  <c r="R184" i="33"/>
  <c r="S184" i="33"/>
  <c r="T184" i="33"/>
  <c r="Q185" i="33"/>
  <c r="R185" i="33"/>
  <c r="S185" i="33"/>
  <c r="T185" i="33"/>
  <c r="Q186" i="33"/>
  <c r="R186" i="33"/>
  <c r="S186" i="33"/>
  <c r="T186" i="33"/>
  <c r="Q187" i="33"/>
  <c r="R187" i="33"/>
  <c r="S187" i="33"/>
  <c r="T187" i="33"/>
  <c r="Q188" i="33"/>
  <c r="R188" i="33"/>
  <c r="S188" i="33"/>
  <c r="T188" i="33"/>
  <c r="Q189" i="33"/>
  <c r="R189" i="33"/>
  <c r="S189" i="33"/>
  <c r="T189" i="33"/>
  <c r="Q190" i="33"/>
  <c r="R190" i="33"/>
  <c r="S190" i="33"/>
  <c r="T190" i="33"/>
  <c r="Q191" i="33"/>
  <c r="R191" i="33"/>
  <c r="S191" i="33"/>
  <c r="T191" i="33"/>
  <c r="Q192" i="33"/>
  <c r="R192" i="33"/>
  <c r="S192" i="33"/>
  <c r="T192" i="33"/>
  <c r="Q193" i="33"/>
  <c r="R193" i="33"/>
  <c r="S193" i="33"/>
  <c r="T193" i="33"/>
  <c r="Q194" i="33"/>
  <c r="R194" i="33"/>
  <c r="S194" i="33"/>
  <c r="T194" i="33"/>
  <c r="Q195" i="33"/>
  <c r="R195" i="33"/>
  <c r="S195" i="33"/>
  <c r="T195" i="33"/>
  <c r="Q196" i="33"/>
  <c r="R196" i="33"/>
  <c r="S196" i="33"/>
  <c r="T196" i="33"/>
  <c r="Q197" i="33"/>
  <c r="R197" i="33"/>
  <c r="S197" i="33"/>
  <c r="T197" i="33"/>
  <c r="Q198" i="33"/>
  <c r="R198" i="33"/>
  <c r="S198" i="33"/>
  <c r="T198" i="33"/>
  <c r="Q199" i="33"/>
  <c r="R199" i="33"/>
  <c r="S199" i="33"/>
  <c r="T199" i="33"/>
  <c r="Q200" i="33"/>
  <c r="R200" i="33"/>
  <c r="S200" i="33"/>
  <c r="T200" i="33"/>
  <c r="Q201" i="33"/>
  <c r="R201" i="33"/>
  <c r="S201" i="33"/>
  <c r="T201" i="33"/>
  <c r="Q202" i="33"/>
  <c r="R202" i="33"/>
  <c r="S202" i="33"/>
  <c r="T202" i="33"/>
  <c r="Q203" i="33"/>
  <c r="R203" i="33"/>
  <c r="S203" i="33"/>
  <c r="T203" i="33"/>
  <c r="Q204" i="33"/>
  <c r="R204" i="33"/>
  <c r="S204" i="33"/>
  <c r="T204" i="33"/>
  <c r="Q205" i="33"/>
  <c r="R205" i="33"/>
  <c r="S205" i="33"/>
  <c r="T205" i="33"/>
  <c r="Q206" i="33"/>
  <c r="R206" i="33"/>
  <c r="S206" i="33"/>
  <c r="T206" i="33"/>
  <c r="Q207" i="33"/>
  <c r="R207" i="33"/>
  <c r="S207" i="33"/>
  <c r="T207" i="33"/>
  <c r="Q208" i="33"/>
  <c r="R208" i="33"/>
  <c r="S208" i="33"/>
  <c r="T208" i="33"/>
  <c r="Q209" i="33"/>
  <c r="R209" i="33"/>
  <c r="S209" i="33"/>
  <c r="T209" i="33"/>
  <c r="Q210" i="33"/>
  <c r="R210" i="33"/>
  <c r="S210" i="33"/>
  <c r="T210" i="33"/>
  <c r="Q211" i="33"/>
  <c r="R211" i="33"/>
  <c r="S211" i="33"/>
  <c r="T211" i="33"/>
  <c r="Q212" i="33"/>
  <c r="R212" i="33"/>
  <c r="S212" i="33"/>
  <c r="T212" i="33"/>
  <c r="Q213" i="33"/>
  <c r="R213" i="33"/>
  <c r="S213" i="33"/>
  <c r="T213" i="33"/>
  <c r="Q214" i="33"/>
  <c r="R214" i="33"/>
  <c r="S214" i="33"/>
  <c r="T214" i="33"/>
  <c r="Q215" i="33"/>
  <c r="R215" i="33"/>
  <c r="S215" i="33"/>
  <c r="T215" i="33"/>
  <c r="Q216" i="33"/>
  <c r="R216" i="33"/>
  <c r="S216" i="33"/>
  <c r="T216" i="33"/>
  <c r="Q217" i="33"/>
  <c r="R217" i="33"/>
  <c r="S217" i="33"/>
  <c r="T217" i="33"/>
  <c r="Q218" i="33"/>
  <c r="R218" i="33"/>
  <c r="S218" i="33"/>
  <c r="T218" i="33"/>
  <c r="Q219" i="33"/>
  <c r="R219" i="33"/>
  <c r="S219" i="33"/>
  <c r="T219" i="33"/>
  <c r="Q220" i="33"/>
  <c r="R220" i="33"/>
  <c r="S220" i="33"/>
  <c r="T220" i="33"/>
  <c r="Q221" i="33"/>
  <c r="R221" i="33"/>
  <c r="S221" i="33"/>
  <c r="T221" i="33"/>
  <c r="Q222" i="33"/>
  <c r="R222" i="33"/>
  <c r="S222" i="33"/>
  <c r="T222" i="33"/>
  <c r="Q223" i="33"/>
  <c r="R223" i="33"/>
  <c r="S223" i="33"/>
  <c r="T223" i="33"/>
  <c r="Q224" i="33"/>
  <c r="R224" i="33"/>
  <c r="S224" i="33"/>
  <c r="T224" i="33"/>
  <c r="Q225" i="33"/>
  <c r="R225" i="33"/>
  <c r="S225" i="33"/>
  <c r="T225" i="33"/>
  <c r="Q226" i="33"/>
  <c r="R226" i="33"/>
  <c r="S226" i="33"/>
  <c r="T226" i="33"/>
  <c r="Q227" i="33"/>
  <c r="R227" i="33"/>
  <c r="S227" i="33"/>
  <c r="T227" i="33"/>
  <c r="Q228" i="33"/>
  <c r="R228" i="33"/>
  <c r="S228" i="33"/>
  <c r="T228" i="33"/>
  <c r="Q229" i="33"/>
  <c r="R229" i="33"/>
  <c r="S229" i="33"/>
  <c r="T229" i="33"/>
  <c r="Q230" i="33"/>
  <c r="R230" i="33"/>
  <c r="S230" i="33"/>
  <c r="T230" i="33"/>
  <c r="Q231" i="33"/>
  <c r="R231" i="33"/>
  <c r="S231" i="33"/>
  <c r="T231" i="33"/>
  <c r="Q232" i="33"/>
  <c r="R232" i="33"/>
  <c r="S232" i="33"/>
  <c r="T232" i="33"/>
  <c r="Q233" i="33"/>
  <c r="R233" i="33"/>
  <c r="S233" i="33"/>
  <c r="T233" i="33"/>
  <c r="Q234" i="33"/>
  <c r="R234" i="33"/>
  <c r="S234" i="33"/>
  <c r="T234" i="33"/>
  <c r="Q235" i="33"/>
  <c r="R235" i="33"/>
  <c r="S235" i="33"/>
  <c r="T235" i="33"/>
  <c r="Q236" i="33"/>
  <c r="R236" i="33"/>
  <c r="S236" i="33"/>
  <c r="T236" i="33"/>
  <c r="Q237" i="33"/>
  <c r="R237" i="33"/>
  <c r="S237" i="33"/>
  <c r="T237" i="33"/>
  <c r="Q238" i="33"/>
  <c r="R238" i="33"/>
  <c r="S238" i="33"/>
  <c r="T238" i="33"/>
  <c r="Q239" i="33"/>
  <c r="R239" i="33"/>
  <c r="S239" i="33"/>
  <c r="T239" i="33"/>
  <c r="Q240" i="33"/>
  <c r="R240" i="33"/>
  <c r="S240" i="33"/>
  <c r="T240" i="33"/>
  <c r="Q241" i="33"/>
  <c r="R241" i="33"/>
  <c r="S241" i="33"/>
  <c r="T241" i="33"/>
  <c r="Q242" i="33"/>
  <c r="R242" i="33"/>
  <c r="S242" i="33"/>
  <c r="T242" i="33"/>
  <c r="Q243" i="33"/>
  <c r="R243" i="33"/>
  <c r="S243" i="33"/>
  <c r="T243" i="33"/>
  <c r="Q244" i="33"/>
  <c r="R244" i="33"/>
  <c r="S244" i="33"/>
  <c r="T244" i="33"/>
  <c r="Q245" i="33"/>
  <c r="R245" i="33"/>
  <c r="S245" i="33"/>
  <c r="T245" i="33"/>
  <c r="Q246" i="33"/>
  <c r="R246" i="33"/>
  <c r="S246" i="33"/>
  <c r="T246" i="33"/>
  <c r="Q247" i="33"/>
  <c r="R247" i="33"/>
  <c r="S247" i="33"/>
  <c r="T247" i="33"/>
  <c r="Q248" i="33"/>
  <c r="R248" i="33"/>
  <c r="S248" i="33"/>
  <c r="T248" i="33"/>
  <c r="Q249" i="33"/>
  <c r="R249" i="33"/>
  <c r="S249" i="33"/>
  <c r="T249" i="33"/>
  <c r="Q250" i="33"/>
  <c r="R250" i="33"/>
  <c r="S250" i="33"/>
  <c r="T250" i="33"/>
  <c r="Q251" i="33"/>
  <c r="R251" i="33"/>
  <c r="S251" i="33"/>
  <c r="T251" i="33"/>
  <c r="Q252" i="33"/>
  <c r="R252" i="33"/>
  <c r="S252" i="33"/>
  <c r="T252" i="33"/>
  <c r="Q253" i="33"/>
  <c r="R253" i="33"/>
  <c r="S253" i="33"/>
  <c r="T253" i="33"/>
  <c r="Q254" i="33"/>
  <c r="R254" i="33"/>
  <c r="S254" i="33"/>
  <c r="T254" i="33"/>
  <c r="Q255" i="33"/>
  <c r="R255" i="33"/>
  <c r="S255" i="33"/>
  <c r="T255" i="33"/>
  <c r="Q256" i="33"/>
  <c r="R256" i="33"/>
  <c r="S256" i="33"/>
  <c r="T256" i="33"/>
  <c r="Q257" i="33"/>
  <c r="R257" i="33"/>
  <c r="S257" i="33"/>
  <c r="T257" i="33"/>
  <c r="Q258" i="33"/>
  <c r="R258" i="33"/>
  <c r="S258" i="33"/>
  <c r="T258" i="33"/>
  <c r="Q259" i="33"/>
  <c r="R259" i="33"/>
  <c r="S259" i="33"/>
  <c r="T259" i="33"/>
  <c r="Q260" i="33"/>
  <c r="R260" i="33"/>
  <c r="S260" i="33"/>
  <c r="T260" i="33"/>
  <c r="Q261" i="33"/>
  <c r="R261" i="33"/>
  <c r="S261" i="33"/>
  <c r="T261" i="33"/>
  <c r="Q262" i="33"/>
  <c r="R262" i="33"/>
  <c r="S262" i="33"/>
  <c r="T262" i="33"/>
  <c r="Q263" i="33"/>
  <c r="R263" i="33"/>
  <c r="S263" i="33"/>
  <c r="T263" i="33"/>
  <c r="Q264" i="33"/>
  <c r="R264" i="33"/>
  <c r="S264" i="33"/>
  <c r="T264" i="33"/>
  <c r="Q265" i="33"/>
  <c r="R265" i="33"/>
  <c r="S265" i="33"/>
  <c r="T265" i="33"/>
  <c r="Q266" i="33"/>
  <c r="R266" i="33"/>
  <c r="S266" i="33"/>
  <c r="T266" i="33"/>
  <c r="Q267" i="33"/>
  <c r="R267" i="33"/>
  <c r="S267" i="33"/>
  <c r="T267" i="33"/>
  <c r="Q268" i="33"/>
  <c r="R268" i="33"/>
  <c r="S268" i="33"/>
  <c r="T268" i="33"/>
  <c r="Q269" i="33"/>
  <c r="R269" i="33"/>
  <c r="S269" i="33"/>
  <c r="T269" i="33"/>
  <c r="Q270" i="33"/>
  <c r="R270" i="33"/>
  <c r="S270" i="33"/>
  <c r="T270" i="33"/>
  <c r="Q271" i="33"/>
  <c r="R271" i="33"/>
  <c r="S271" i="33"/>
  <c r="T271" i="33"/>
  <c r="Q272" i="33"/>
  <c r="R272" i="33"/>
  <c r="S272" i="33"/>
  <c r="T272" i="33"/>
  <c r="Q273" i="33"/>
  <c r="R273" i="33"/>
  <c r="S273" i="33"/>
  <c r="T273" i="33"/>
  <c r="Q274" i="33"/>
  <c r="R274" i="33"/>
  <c r="S274" i="33"/>
  <c r="T274" i="33"/>
  <c r="Q275" i="33"/>
  <c r="R275" i="33"/>
  <c r="S275" i="33"/>
  <c r="T275" i="33"/>
  <c r="Q276" i="33"/>
  <c r="R276" i="33"/>
  <c r="S276" i="33"/>
  <c r="T276" i="33"/>
  <c r="Q277" i="33"/>
  <c r="R277" i="33"/>
  <c r="S277" i="33"/>
  <c r="T277" i="33"/>
  <c r="Q278" i="33"/>
  <c r="R278" i="33"/>
  <c r="S278" i="33"/>
  <c r="T278" i="33"/>
  <c r="Q279" i="33"/>
  <c r="R279" i="33"/>
  <c r="S279" i="33"/>
  <c r="T279" i="33"/>
  <c r="Q280" i="33"/>
  <c r="R280" i="33"/>
  <c r="S280" i="33"/>
  <c r="T280" i="33"/>
  <c r="Q281" i="33"/>
  <c r="R281" i="33"/>
  <c r="S281" i="33"/>
  <c r="T281" i="33"/>
  <c r="Q282" i="33"/>
  <c r="R282" i="33"/>
  <c r="S282" i="33"/>
  <c r="T282" i="33"/>
  <c r="Q283" i="33"/>
  <c r="R283" i="33"/>
  <c r="S283" i="33"/>
  <c r="T283" i="33"/>
  <c r="Q284" i="33"/>
  <c r="R284" i="33"/>
  <c r="S284" i="33"/>
  <c r="T284" i="33"/>
  <c r="Q285" i="33"/>
  <c r="R285" i="33"/>
  <c r="S285" i="33"/>
  <c r="T285" i="33"/>
  <c r="Q286" i="33"/>
  <c r="R286" i="33"/>
  <c r="S286" i="33"/>
  <c r="T286" i="33"/>
  <c r="Q287" i="33"/>
  <c r="R287" i="33"/>
  <c r="S287" i="33"/>
  <c r="T287" i="33"/>
  <c r="Q288" i="33"/>
  <c r="R288" i="33"/>
  <c r="S288" i="33"/>
  <c r="T288" i="33"/>
  <c r="Q289" i="33"/>
  <c r="R289" i="33"/>
  <c r="S289" i="33"/>
  <c r="T289" i="33"/>
  <c r="Q290" i="33"/>
  <c r="R290" i="33"/>
  <c r="S290" i="33"/>
  <c r="T290" i="33"/>
  <c r="Q291" i="33"/>
  <c r="R291" i="33"/>
  <c r="S291" i="33"/>
  <c r="T291" i="33"/>
  <c r="Q292" i="33"/>
  <c r="R292" i="33"/>
  <c r="S292" i="33"/>
  <c r="T292" i="33"/>
  <c r="Q293" i="33"/>
  <c r="R293" i="33"/>
  <c r="S293" i="33"/>
  <c r="T293" i="33"/>
  <c r="Q294" i="33"/>
  <c r="R294" i="33"/>
  <c r="S294" i="33"/>
  <c r="T294" i="33"/>
  <c r="Q295" i="33"/>
  <c r="R295" i="33"/>
  <c r="S295" i="33"/>
  <c r="T295" i="33"/>
  <c r="Q296" i="33"/>
  <c r="R296" i="33"/>
  <c r="S296" i="33"/>
  <c r="T296" i="33"/>
  <c r="Q297" i="33"/>
  <c r="R297" i="33"/>
  <c r="S297" i="33"/>
  <c r="T297" i="33"/>
  <c r="Q298" i="33"/>
  <c r="R298" i="33"/>
  <c r="S298" i="33"/>
  <c r="T298" i="33"/>
  <c r="Q299" i="33"/>
  <c r="R299" i="33"/>
  <c r="S299" i="33"/>
  <c r="T299" i="33"/>
  <c r="Q300" i="33"/>
  <c r="R300" i="33"/>
  <c r="S300" i="33"/>
  <c r="T300" i="33"/>
  <c r="Q301" i="33"/>
  <c r="R301" i="33"/>
  <c r="S301" i="33"/>
  <c r="T301" i="33"/>
  <c r="Q302" i="33"/>
  <c r="R302" i="33"/>
  <c r="S302" i="33"/>
  <c r="T302" i="33"/>
  <c r="Q303" i="33"/>
  <c r="R303" i="33"/>
  <c r="S303" i="33"/>
  <c r="T303" i="33"/>
  <c r="Q304" i="33"/>
  <c r="R304" i="33"/>
  <c r="S304" i="33"/>
  <c r="T304" i="33"/>
  <c r="Q305" i="33"/>
  <c r="R305" i="33"/>
  <c r="S305" i="33"/>
  <c r="T305" i="33"/>
  <c r="Q306" i="33"/>
  <c r="R306" i="33"/>
  <c r="S306" i="33"/>
  <c r="T306" i="33"/>
  <c r="Q307" i="33"/>
  <c r="R307" i="33"/>
  <c r="S307" i="33"/>
  <c r="T307" i="33"/>
  <c r="Q308" i="33"/>
  <c r="R308" i="33"/>
  <c r="S308" i="33"/>
  <c r="T308" i="33"/>
  <c r="Q309" i="33"/>
  <c r="R309" i="33"/>
  <c r="S309" i="33"/>
  <c r="T309" i="33"/>
  <c r="Q310" i="33"/>
  <c r="R310" i="33"/>
  <c r="S310" i="33"/>
  <c r="T310" i="33"/>
  <c r="Q311" i="33"/>
  <c r="R311" i="33"/>
  <c r="S311" i="33"/>
  <c r="T311" i="33"/>
  <c r="Q312" i="33"/>
  <c r="R312" i="33"/>
  <c r="S312" i="33"/>
  <c r="T312" i="33"/>
  <c r="Q313" i="33"/>
  <c r="R313" i="33"/>
  <c r="S313" i="33"/>
  <c r="T313" i="33"/>
  <c r="Q314" i="33"/>
  <c r="R314" i="33"/>
  <c r="S314" i="33"/>
  <c r="T314" i="33"/>
  <c r="Q315" i="33"/>
  <c r="R315" i="33"/>
  <c r="S315" i="33"/>
  <c r="T315" i="33"/>
  <c r="Q316" i="33"/>
  <c r="R316" i="33"/>
  <c r="S316" i="33"/>
  <c r="T316" i="33"/>
  <c r="Q317" i="33"/>
  <c r="R317" i="33"/>
  <c r="S317" i="33"/>
  <c r="T317" i="33"/>
  <c r="Q318" i="33"/>
  <c r="R318" i="33"/>
  <c r="S318" i="33"/>
  <c r="T318" i="33"/>
  <c r="Q319" i="33"/>
  <c r="R319" i="33"/>
  <c r="S319" i="33"/>
  <c r="T319" i="33"/>
  <c r="Q320" i="33"/>
  <c r="R320" i="33"/>
  <c r="S320" i="33"/>
  <c r="T320" i="33"/>
  <c r="Q321" i="33"/>
  <c r="R321" i="33"/>
  <c r="S321" i="33"/>
  <c r="T321" i="33"/>
  <c r="Q322" i="33"/>
  <c r="R322" i="33"/>
  <c r="S322" i="33"/>
  <c r="T322" i="33"/>
  <c r="Q323" i="33"/>
  <c r="R323" i="33"/>
  <c r="S323" i="33"/>
  <c r="T323" i="33"/>
  <c r="Q324" i="33"/>
  <c r="R324" i="33"/>
  <c r="S324" i="33"/>
  <c r="T324" i="33"/>
  <c r="Q325" i="33"/>
  <c r="R325" i="33"/>
  <c r="S325" i="33"/>
  <c r="T325" i="33"/>
  <c r="Q326" i="33"/>
  <c r="R326" i="33"/>
  <c r="S326" i="33"/>
  <c r="T326" i="33"/>
  <c r="Q327" i="33"/>
  <c r="R327" i="33"/>
  <c r="S327" i="33"/>
  <c r="T327" i="33"/>
  <c r="Q328" i="33"/>
  <c r="R328" i="33"/>
  <c r="S328" i="33"/>
  <c r="T328" i="33"/>
  <c r="Q329" i="33"/>
  <c r="R329" i="33"/>
  <c r="S329" i="33"/>
  <c r="T329" i="33"/>
  <c r="Q330" i="33"/>
  <c r="R330" i="33"/>
  <c r="S330" i="33"/>
  <c r="T330" i="33"/>
  <c r="Q331" i="33"/>
  <c r="R331" i="33"/>
  <c r="S331" i="33"/>
  <c r="T331" i="33"/>
  <c r="Q332" i="33"/>
  <c r="R332" i="33"/>
  <c r="S332" i="33"/>
  <c r="T332" i="33"/>
  <c r="Q333" i="33"/>
  <c r="R333" i="33"/>
  <c r="S333" i="33"/>
  <c r="T333" i="33"/>
  <c r="Q334" i="33"/>
  <c r="R334" i="33"/>
  <c r="S334" i="33"/>
  <c r="T334" i="33"/>
  <c r="Q335" i="33"/>
  <c r="R335" i="33"/>
  <c r="S335" i="33"/>
  <c r="T335" i="33"/>
  <c r="Q336" i="33"/>
  <c r="R336" i="33"/>
  <c r="S336" i="33"/>
  <c r="T336" i="33"/>
  <c r="Q337" i="33"/>
  <c r="R337" i="33"/>
  <c r="S337" i="33"/>
  <c r="T337" i="33"/>
  <c r="Q338" i="33"/>
  <c r="R338" i="33"/>
  <c r="S338" i="33"/>
  <c r="T338" i="33"/>
  <c r="Q339" i="33"/>
  <c r="R339" i="33"/>
  <c r="S339" i="33"/>
  <c r="T339" i="33"/>
  <c r="Q340" i="33"/>
  <c r="R340" i="33"/>
  <c r="S340" i="33"/>
  <c r="T340" i="33"/>
  <c r="Q341" i="33"/>
  <c r="R341" i="33"/>
  <c r="S341" i="33"/>
  <c r="T341" i="33"/>
  <c r="Q342" i="33"/>
  <c r="R342" i="33"/>
  <c r="S342" i="33"/>
  <c r="T342" i="33"/>
  <c r="Q343" i="33"/>
  <c r="R343" i="33"/>
  <c r="S343" i="33"/>
  <c r="T343" i="33"/>
  <c r="Q344" i="33"/>
  <c r="R344" i="33"/>
  <c r="S344" i="33"/>
  <c r="T344" i="33"/>
  <c r="Q345" i="33"/>
  <c r="R345" i="33"/>
  <c r="S345" i="33"/>
  <c r="T345" i="33"/>
  <c r="Q346" i="33"/>
  <c r="R346" i="33"/>
  <c r="S346" i="33"/>
  <c r="T346" i="33"/>
  <c r="Q347" i="33"/>
  <c r="R347" i="33"/>
  <c r="S347" i="33"/>
  <c r="T347" i="33"/>
  <c r="Q348" i="33"/>
  <c r="R348" i="33"/>
  <c r="S348" i="33"/>
  <c r="T348" i="33"/>
  <c r="Q349" i="33"/>
  <c r="R349" i="33"/>
  <c r="S349" i="33"/>
  <c r="T349" i="33"/>
  <c r="Q350" i="33"/>
  <c r="R350" i="33"/>
  <c r="S350" i="33"/>
  <c r="T350" i="33"/>
  <c r="Q351" i="33"/>
  <c r="R351" i="33"/>
  <c r="S351" i="33"/>
  <c r="T351" i="33"/>
  <c r="Q352" i="33"/>
  <c r="R352" i="33"/>
  <c r="S352" i="33"/>
  <c r="T352" i="33"/>
  <c r="Q353" i="33"/>
  <c r="R353" i="33"/>
  <c r="S353" i="33"/>
  <c r="T353" i="33"/>
  <c r="Q354" i="33"/>
  <c r="R354" i="33"/>
  <c r="S354" i="33"/>
  <c r="T354" i="33"/>
  <c r="Q355" i="33"/>
  <c r="R355" i="33"/>
  <c r="S355" i="33"/>
  <c r="T355" i="33"/>
  <c r="Q356" i="33"/>
  <c r="R356" i="33"/>
  <c r="S356" i="33"/>
  <c r="T356" i="33"/>
  <c r="Q357" i="33"/>
  <c r="R357" i="33"/>
  <c r="S357" i="33"/>
  <c r="T357" i="33"/>
  <c r="Q358" i="33"/>
  <c r="R358" i="33"/>
  <c r="S358" i="33"/>
  <c r="T358" i="33"/>
  <c r="Q359" i="33"/>
  <c r="R359" i="33"/>
  <c r="S359" i="33"/>
  <c r="T359" i="33"/>
  <c r="Q360" i="33"/>
  <c r="R360" i="33"/>
  <c r="S360" i="33"/>
  <c r="T360" i="33"/>
  <c r="Q361" i="33"/>
  <c r="R361" i="33"/>
  <c r="S361" i="33"/>
  <c r="T361" i="33"/>
  <c r="Q362" i="33"/>
  <c r="R362" i="33"/>
  <c r="S362" i="33"/>
  <c r="T362" i="33"/>
  <c r="Q363" i="33"/>
  <c r="R363" i="33"/>
  <c r="S363" i="33"/>
  <c r="T363" i="33"/>
  <c r="Q364" i="33"/>
  <c r="R364" i="33"/>
  <c r="S364" i="33"/>
  <c r="T364" i="33"/>
  <c r="Q365" i="33"/>
  <c r="R365" i="33"/>
  <c r="S365" i="33"/>
  <c r="T365" i="33"/>
  <c r="Q366" i="33"/>
  <c r="R366" i="33"/>
  <c r="S366" i="33"/>
  <c r="T366" i="33"/>
  <c r="Q367" i="33"/>
  <c r="R367" i="33"/>
  <c r="S367" i="33"/>
  <c r="T367" i="33"/>
  <c r="Q368" i="33"/>
  <c r="R368" i="33"/>
  <c r="S368" i="33"/>
  <c r="T368" i="33"/>
  <c r="Q369" i="33"/>
  <c r="R369" i="33"/>
  <c r="S369" i="33"/>
  <c r="T369" i="33"/>
  <c r="Q370" i="33"/>
  <c r="R370" i="33"/>
  <c r="S370" i="33"/>
  <c r="T370" i="33"/>
  <c r="Q371" i="33"/>
  <c r="R371" i="33"/>
  <c r="S371" i="33"/>
  <c r="T371" i="33"/>
  <c r="Q372" i="33"/>
  <c r="R372" i="33"/>
  <c r="S372" i="33"/>
  <c r="T372" i="33"/>
  <c r="Q373" i="33"/>
  <c r="R373" i="33"/>
  <c r="S373" i="33"/>
  <c r="T373" i="33"/>
  <c r="Q374" i="33"/>
  <c r="R374" i="33"/>
  <c r="S374" i="33"/>
  <c r="T374" i="33"/>
  <c r="Q375" i="33"/>
  <c r="R375" i="33"/>
  <c r="S375" i="33"/>
  <c r="T375" i="33"/>
  <c r="Q376" i="33"/>
  <c r="R376" i="33"/>
  <c r="S376" i="33"/>
  <c r="T376" i="33"/>
  <c r="Q377" i="33"/>
  <c r="R377" i="33"/>
  <c r="S377" i="33"/>
  <c r="T377" i="33"/>
  <c r="Q378" i="33"/>
  <c r="R378" i="33"/>
  <c r="S378" i="33"/>
  <c r="T378" i="33"/>
  <c r="Q379" i="33"/>
  <c r="R379" i="33"/>
  <c r="S379" i="33"/>
  <c r="T379" i="33"/>
  <c r="Q380" i="33"/>
  <c r="R380" i="33"/>
  <c r="S380" i="33"/>
  <c r="T380" i="33"/>
  <c r="Q381" i="33"/>
  <c r="R381" i="33"/>
  <c r="S381" i="33"/>
  <c r="T381" i="33"/>
  <c r="Q382" i="33"/>
  <c r="R382" i="33"/>
  <c r="S382" i="33"/>
  <c r="T382" i="33"/>
  <c r="Q383" i="33"/>
  <c r="R383" i="33"/>
  <c r="S383" i="33"/>
  <c r="T383" i="33"/>
  <c r="Q384" i="33"/>
  <c r="R384" i="33"/>
  <c r="S384" i="33"/>
  <c r="T384" i="33"/>
  <c r="Q385" i="33"/>
  <c r="R385" i="33"/>
  <c r="S385" i="33"/>
  <c r="T385" i="33"/>
  <c r="Q386" i="33"/>
  <c r="R386" i="33"/>
  <c r="S386" i="33"/>
  <c r="T386" i="33"/>
  <c r="Q387" i="33"/>
  <c r="R387" i="33"/>
  <c r="S387" i="33"/>
  <c r="T387" i="33"/>
  <c r="Q388" i="33"/>
  <c r="R388" i="33"/>
  <c r="S388" i="33"/>
  <c r="T388" i="33"/>
  <c r="Q389" i="33"/>
  <c r="R389" i="33"/>
  <c r="S389" i="33"/>
  <c r="T389" i="33"/>
  <c r="Q390" i="33"/>
  <c r="R390" i="33"/>
  <c r="S390" i="33"/>
  <c r="T390" i="33"/>
  <c r="Q391" i="33"/>
  <c r="R391" i="33"/>
  <c r="S391" i="33"/>
  <c r="T391" i="33"/>
  <c r="Q392" i="33"/>
  <c r="R392" i="33"/>
  <c r="S392" i="33"/>
  <c r="T392" i="33"/>
  <c r="Q393" i="33"/>
  <c r="R393" i="33"/>
  <c r="S393" i="33"/>
  <c r="T393" i="33"/>
  <c r="Q394" i="33"/>
  <c r="R394" i="33"/>
  <c r="S394" i="33"/>
  <c r="T394" i="33"/>
  <c r="Q395" i="33"/>
  <c r="R395" i="33"/>
  <c r="S395" i="33"/>
  <c r="T395" i="33"/>
  <c r="Q396" i="33"/>
  <c r="R396" i="33"/>
  <c r="S396" i="33"/>
  <c r="T396" i="33"/>
  <c r="Q397" i="33"/>
  <c r="R397" i="33"/>
  <c r="S397" i="33"/>
  <c r="T397" i="33"/>
  <c r="Q398" i="33"/>
  <c r="R398" i="33"/>
  <c r="S398" i="33"/>
  <c r="T398" i="33"/>
  <c r="Q399" i="33"/>
  <c r="R399" i="33"/>
  <c r="S399" i="33"/>
  <c r="T399" i="33"/>
  <c r="Q400" i="33"/>
  <c r="R400" i="33"/>
  <c r="S400" i="33"/>
  <c r="T400" i="33"/>
  <c r="Q401" i="33"/>
  <c r="R401" i="33"/>
  <c r="S401" i="33"/>
  <c r="T401" i="33"/>
  <c r="Q402" i="33"/>
  <c r="R402" i="33"/>
  <c r="S402" i="33"/>
  <c r="T402" i="33"/>
  <c r="R6" i="33"/>
  <c r="R403" i="33" s="1"/>
  <c r="Q6" i="33"/>
  <c r="Q403" i="33" s="1"/>
  <c r="E403" i="33"/>
  <c r="M8" i="32"/>
  <c r="N8" i="32" s="1"/>
  <c r="O8" i="32" s="1"/>
  <c r="M9" i="32"/>
  <c r="N9" i="32"/>
  <c r="O9" i="32" s="1"/>
  <c r="M10" i="32"/>
  <c r="N10" i="32" s="1"/>
  <c r="O10" i="32" s="1"/>
  <c r="M11" i="32"/>
  <c r="N11" i="32"/>
  <c r="O11" i="32" s="1"/>
  <c r="M12" i="32"/>
  <c r="N12" i="32" s="1"/>
  <c r="O12" i="32" s="1"/>
  <c r="M13" i="32"/>
  <c r="N13" i="32"/>
  <c r="O13" i="32" s="1"/>
  <c r="M14" i="32"/>
  <c r="N14" i="32" s="1"/>
  <c r="O14" i="32" s="1"/>
  <c r="M15" i="32"/>
  <c r="N15" i="32" s="1"/>
  <c r="O15" i="32" s="1"/>
  <c r="M16" i="32"/>
  <c r="N16" i="32" s="1"/>
  <c r="O16" i="32" s="1"/>
  <c r="M17" i="32"/>
  <c r="N17" i="32" s="1"/>
  <c r="O17" i="32" s="1"/>
  <c r="M18" i="32"/>
  <c r="N18" i="32" s="1"/>
  <c r="O18" i="32" s="1"/>
  <c r="M19" i="32"/>
  <c r="N19" i="32" s="1"/>
  <c r="O19" i="32" s="1"/>
  <c r="M20" i="32"/>
  <c r="N20" i="32" s="1"/>
  <c r="O20" i="32" s="1"/>
  <c r="M21" i="32"/>
  <c r="N21" i="32"/>
  <c r="O21" i="32" s="1"/>
  <c r="M22" i="32"/>
  <c r="N22" i="32" s="1"/>
  <c r="O22" i="32" s="1"/>
  <c r="M23" i="32"/>
  <c r="N23" i="32" s="1"/>
  <c r="O23" i="32" s="1"/>
  <c r="M24" i="32"/>
  <c r="N24" i="32" s="1"/>
  <c r="O24" i="32" s="1"/>
  <c r="M25" i="32"/>
  <c r="N25" i="32"/>
  <c r="O25" i="32" s="1"/>
  <c r="M26" i="32"/>
  <c r="N26" i="32" s="1"/>
  <c r="O26" i="32" s="1"/>
  <c r="M27" i="32"/>
  <c r="N27" i="32"/>
  <c r="O27" i="32" s="1"/>
  <c r="M28" i="32"/>
  <c r="N28" i="32" s="1"/>
  <c r="O28" i="32" s="1"/>
  <c r="M29" i="32"/>
  <c r="N29" i="32"/>
  <c r="O29" i="32" s="1"/>
  <c r="M30" i="32"/>
  <c r="N30" i="32" s="1"/>
  <c r="O30" i="32" s="1"/>
  <c r="M31" i="32"/>
  <c r="N31" i="32" s="1"/>
  <c r="O31" i="32" s="1"/>
  <c r="M32" i="32"/>
  <c r="N32" i="32" s="1"/>
  <c r="O32" i="32" s="1"/>
  <c r="M33" i="32"/>
  <c r="N33" i="32"/>
  <c r="O33" i="32" s="1"/>
  <c r="M34" i="32"/>
  <c r="N34" i="32" s="1"/>
  <c r="O34" i="32" s="1"/>
  <c r="M35" i="32"/>
  <c r="N35" i="32" s="1"/>
  <c r="O35" i="32" s="1"/>
  <c r="M36" i="32"/>
  <c r="N36" i="32" s="1"/>
  <c r="O36" i="32" s="1"/>
  <c r="M37" i="32"/>
  <c r="N37" i="32"/>
  <c r="O37" i="32" s="1"/>
  <c r="M38" i="32"/>
  <c r="N38" i="32" s="1"/>
  <c r="O38" i="32" s="1"/>
  <c r="M39" i="32"/>
  <c r="N39" i="32" s="1"/>
  <c r="O39" i="32"/>
  <c r="M40" i="32"/>
  <c r="N40" i="32" s="1"/>
  <c r="O40" i="32" s="1"/>
  <c r="M41" i="32"/>
  <c r="N41" i="32"/>
  <c r="O41" i="32" s="1"/>
  <c r="M42" i="32"/>
  <c r="N42" i="32" s="1"/>
  <c r="O42" i="32" s="1"/>
  <c r="M43" i="32"/>
  <c r="N43" i="32"/>
  <c r="O43" i="32" s="1"/>
  <c r="M44" i="32"/>
  <c r="N44" i="32" s="1"/>
  <c r="O44" i="32" s="1"/>
  <c r="M45" i="32"/>
  <c r="N45" i="32"/>
  <c r="O45" i="32" s="1"/>
  <c r="M46" i="32"/>
  <c r="N46" i="32" s="1"/>
  <c r="O46" i="32" s="1"/>
  <c r="M47" i="32"/>
  <c r="N47" i="32" s="1"/>
  <c r="O47" i="32" s="1"/>
  <c r="M48" i="32"/>
  <c r="N48" i="32" s="1"/>
  <c r="O48" i="32" s="1"/>
  <c r="M49" i="32"/>
  <c r="N49" i="32" s="1"/>
  <c r="O49" i="32" s="1"/>
  <c r="M50" i="32"/>
  <c r="N50" i="32" s="1"/>
  <c r="O50" i="32" s="1"/>
  <c r="M51" i="32"/>
  <c r="N51" i="32" s="1"/>
  <c r="O51" i="32" s="1"/>
  <c r="M52" i="32"/>
  <c r="N52" i="32" s="1"/>
  <c r="O52" i="32" s="1"/>
  <c r="M53" i="32"/>
  <c r="N53" i="32" s="1"/>
  <c r="O53" i="32" s="1"/>
  <c r="M54" i="32"/>
  <c r="N54" i="32" s="1"/>
  <c r="O54" i="32" s="1"/>
  <c r="M55" i="32"/>
  <c r="N55" i="32" s="1"/>
  <c r="O55" i="32"/>
  <c r="M56" i="32"/>
  <c r="N56" i="32" s="1"/>
  <c r="O56" i="32" s="1"/>
  <c r="M57" i="32"/>
  <c r="N57" i="32" s="1"/>
  <c r="O57" i="32" s="1"/>
  <c r="M58" i="32"/>
  <c r="N58" i="32" s="1"/>
  <c r="O58" i="32" s="1"/>
  <c r="M59" i="32"/>
  <c r="N59" i="32"/>
  <c r="O59" i="32" s="1"/>
  <c r="M60" i="32"/>
  <c r="N60" i="32" s="1"/>
  <c r="O60" i="32" s="1"/>
  <c r="M61" i="32"/>
  <c r="N61" i="32"/>
  <c r="O61" i="32" s="1"/>
  <c r="M62" i="32"/>
  <c r="N62" i="32" s="1"/>
  <c r="O62" i="32" s="1"/>
  <c r="M63" i="32"/>
  <c r="N63" i="32" s="1"/>
  <c r="O63" i="32" s="1"/>
  <c r="M64" i="32"/>
  <c r="N64" i="32" s="1"/>
  <c r="O64" i="32" s="1"/>
  <c r="M65" i="32"/>
  <c r="N65" i="32"/>
  <c r="O65" i="32" s="1"/>
  <c r="M66" i="32"/>
  <c r="N66" i="32" s="1"/>
  <c r="O66" i="32" s="1"/>
  <c r="M67" i="32"/>
  <c r="N67" i="32" s="1"/>
  <c r="O67" i="32" s="1"/>
  <c r="M68" i="32"/>
  <c r="N68" i="32" s="1"/>
  <c r="O68" i="32" s="1"/>
  <c r="M69" i="32"/>
  <c r="N69" i="32" s="1"/>
  <c r="O69" i="32"/>
  <c r="M70" i="32"/>
  <c r="N70" i="32" s="1"/>
  <c r="O70" i="32" s="1"/>
  <c r="M71" i="32"/>
  <c r="N71" i="32" s="1"/>
  <c r="O71" i="32"/>
  <c r="M72" i="32"/>
  <c r="N72" i="32" s="1"/>
  <c r="O72" i="32" s="1"/>
  <c r="M73" i="32"/>
  <c r="N73" i="32" s="1"/>
  <c r="O73" i="32" s="1"/>
  <c r="M74" i="32"/>
  <c r="N74" i="32" s="1"/>
  <c r="O74" i="32" s="1"/>
  <c r="M75" i="32"/>
  <c r="N75" i="32"/>
  <c r="O75" i="32" s="1"/>
  <c r="M76" i="32"/>
  <c r="N76" i="32" s="1"/>
  <c r="O76" i="32" s="1"/>
  <c r="M77" i="32"/>
  <c r="N77" i="32"/>
  <c r="O77" i="32" s="1"/>
  <c r="M78" i="32"/>
  <c r="N78" i="32" s="1"/>
  <c r="O78" i="32" s="1"/>
  <c r="M79" i="32"/>
  <c r="N79" i="32" s="1"/>
  <c r="O79" i="32" s="1"/>
  <c r="M80" i="32"/>
  <c r="N80" i="32" s="1"/>
  <c r="O80" i="32" s="1"/>
  <c r="M81" i="32"/>
  <c r="N81" i="32"/>
  <c r="O81" i="32" s="1"/>
  <c r="M82" i="32"/>
  <c r="N82" i="32" s="1"/>
  <c r="O82" i="32" s="1"/>
  <c r="M83" i="32"/>
  <c r="N83" i="32" s="1"/>
  <c r="O83" i="32" s="1"/>
  <c r="M84" i="32"/>
  <c r="N84" i="32" s="1"/>
  <c r="O84" i="32" s="1"/>
  <c r="M85" i="32"/>
  <c r="N85" i="32"/>
  <c r="O85" i="32" s="1"/>
  <c r="M86" i="32"/>
  <c r="N86" i="32" s="1"/>
  <c r="O86" i="32" s="1"/>
  <c r="M87" i="32"/>
  <c r="N87" i="32" s="1"/>
  <c r="O87" i="32" s="1"/>
  <c r="M88" i="32"/>
  <c r="N88" i="32" s="1"/>
  <c r="O88" i="32" s="1"/>
  <c r="M89" i="32"/>
  <c r="N89" i="32"/>
  <c r="O89" i="32" s="1"/>
  <c r="M90" i="32"/>
  <c r="N90" i="32" s="1"/>
  <c r="O90" i="32" s="1"/>
  <c r="M91" i="32"/>
  <c r="N91" i="32"/>
  <c r="O91" i="32" s="1"/>
  <c r="M92" i="32"/>
  <c r="N92" i="32" s="1"/>
  <c r="O92" i="32" s="1"/>
  <c r="M93" i="32"/>
  <c r="N93" i="32"/>
  <c r="O93" i="32" s="1"/>
  <c r="M94" i="32"/>
  <c r="N94" i="32" s="1"/>
  <c r="O94" i="32" s="1"/>
  <c r="M95" i="32"/>
  <c r="N95" i="32" s="1"/>
  <c r="O95" i="32" s="1"/>
  <c r="M96" i="32"/>
  <c r="N96" i="32" s="1"/>
  <c r="O96" i="32" s="1"/>
  <c r="M97" i="32"/>
  <c r="N97" i="32"/>
  <c r="O97" i="32" s="1"/>
  <c r="M98" i="32"/>
  <c r="N98" i="32" s="1"/>
  <c r="O98" i="32" s="1"/>
  <c r="M99" i="32"/>
  <c r="N99" i="32" s="1"/>
  <c r="O99" i="32" s="1"/>
  <c r="M100" i="32"/>
  <c r="N100" i="32" s="1"/>
  <c r="O100" i="32" s="1"/>
  <c r="M101" i="32"/>
  <c r="N101" i="32" s="1"/>
  <c r="O101" i="32" s="1"/>
  <c r="M102" i="32"/>
  <c r="N102" i="32" s="1"/>
  <c r="O102" i="32" s="1"/>
  <c r="M103" i="32"/>
  <c r="N103" i="32" s="1"/>
  <c r="O103" i="32"/>
  <c r="M104" i="32"/>
  <c r="N104" i="32" s="1"/>
  <c r="O104" i="32" s="1"/>
  <c r="M105" i="32"/>
  <c r="N105" i="32" s="1"/>
  <c r="O105" i="32" s="1"/>
  <c r="M106" i="32"/>
  <c r="N106" i="32" s="1"/>
  <c r="O106" i="32" s="1"/>
  <c r="M107" i="32"/>
  <c r="N107" i="32"/>
  <c r="O107" i="32" s="1"/>
  <c r="M108" i="32"/>
  <c r="N108" i="32" s="1"/>
  <c r="O108" i="32" s="1"/>
  <c r="M109" i="32"/>
  <c r="N109" i="32" s="1"/>
  <c r="O109" i="32" s="1"/>
  <c r="M110" i="32"/>
  <c r="N110" i="32" s="1"/>
  <c r="O110" i="32" s="1"/>
  <c r="M111" i="32"/>
  <c r="N111" i="32" s="1"/>
  <c r="O111" i="32" s="1"/>
  <c r="M112" i="32"/>
  <c r="N112" i="32" s="1"/>
  <c r="O112" i="32" s="1"/>
  <c r="M113" i="32"/>
  <c r="N113" i="32"/>
  <c r="O113" i="32" s="1"/>
  <c r="M114" i="32"/>
  <c r="N114" i="32" s="1"/>
  <c r="O114" i="32" s="1"/>
  <c r="M115" i="32"/>
  <c r="N115" i="32" s="1"/>
  <c r="O115" i="32" s="1"/>
  <c r="M116" i="32"/>
  <c r="N116" i="32" s="1"/>
  <c r="O116" i="32" s="1"/>
  <c r="M117" i="32"/>
  <c r="N117" i="32"/>
  <c r="O117" i="32" s="1"/>
  <c r="M118" i="32"/>
  <c r="N118" i="32" s="1"/>
  <c r="O118" i="32" s="1"/>
  <c r="M119" i="32"/>
  <c r="N119" i="32" s="1"/>
  <c r="O119" i="32"/>
  <c r="M120" i="32"/>
  <c r="N120" i="32" s="1"/>
  <c r="O120" i="32" s="1"/>
  <c r="M121" i="32"/>
  <c r="N121" i="32" s="1"/>
  <c r="O121" i="32" s="1"/>
  <c r="M122" i="32"/>
  <c r="N122" i="32" s="1"/>
  <c r="O122" i="32" s="1"/>
  <c r="M123" i="32"/>
  <c r="N123" i="32" s="1"/>
  <c r="O123" i="32" s="1"/>
  <c r="M124" i="32"/>
  <c r="N124" i="32" s="1"/>
  <c r="O124" i="32" s="1"/>
  <c r="M125" i="32"/>
  <c r="N125" i="32" s="1"/>
  <c r="O125" i="32" s="1"/>
  <c r="M126" i="32"/>
  <c r="N126" i="32"/>
  <c r="O126" i="32" s="1"/>
  <c r="M127" i="32"/>
  <c r="N127" i="32"/>
  <c r="O127" i="32"/>
  <c r="M128" i="32"/>
  <c r="N128" i="32" s="1"/>
  <c r="O128" i="32" s="1"/>
  <c r="M129" i="32"/>
  <c r="N129" i="32" s="1"/>
  <c r="O129" i="32" s="1"/>
  <c r="M130" i="32"/>
  <c r="N130" i="32" s="1"/>
  <c r="O130" i="32" s="1"/>
  <c r="M131" i="32"/>
  <c r="N131" i="32"/>
  <c r="O131" i="32" s="1"/>
  <c r="M132" i="32"/>
  <c r="N132" i="32"/>
  <c r="O132" i="32" s="1"/>
  <c r="M133" i="32"/>
  <c r="N133" i="32"/>
  <c r="O133" i="32" s="1"/>
  <c r="M134" i="32"/>
  <c r="N134" i="32"/>
  <c r="O134" i="32" s="1"/>
  <c r="M135" i="32"/>
  <c r="N135" i="32" s="1"/>
  <c r="O135" i="32" s="1"/>
  <c r="M136" i="32"/>
  <c r="N136" i="32" s="1"/>
  <c r="O136" i="32" s="1"/>
  <c r="M137" i="32"/>
  <c r="N137" i="32" s="1"/>
  <c r="O137" i="32" s="1"/>
  <c r="M138" i="32"/>
  <c r="N138" i="32" s="1"/>
  <c r="O138" i="32" s="1"/>
  <c r="M139" i="32"/>
  <c r="N139" i="32" s="1"/>
  <c r="O139" i="32" s="1"/>
  <c r="M140" i="32"/>
  <c r="N140" i="32" s="1"/>
  <c r="O140" i="32" s="1"/>
  <c r="M141" i="32"/>
  <c r="N141" i="32"/>
  <c r="O141" i="32" s="1"/>
  <c r="M142" i="32"/>
  <c r="N142" i="32" s="1"/>
  <c r="O142" i="32" s="1"/>
  <c r="M143" i="32"/>
  <c r="N143" i="32" s="1"/>
  <c r="O143" i="32" s="1"/>
  <c r="M144" i="32"/>
  <c r="N144" i="32" s="1"/>
  <c r="O144" i="32" s="1"/>
  <c r="M145" i="32"/>
  <c r="N145" i="32" s="1"/>
  <c r="O145" i="32" s="1"/>
  <c r="M146" i="32"/>
  <c r="N146" i="32"/>
  <c r="O146" i="32" s="1"/>
  <c r="M147" i="32"/>
  <c r="N147" i="32"/>
  <c r="O147" i="32" s="1"/>
  <c r="M148" i="32"/>
  <c r="N148" i="32" s="1"/>
  <c r="O148" i="32" s="1"/>
  <c r="M149" i="32"/>
  <c r="N149" i="32"/>
  <c r="O149" i="32" s="1"/>
  <c r="M150" i="32"/>
  <c r="N150" i="32" s="1"/>
  <c r="O150" i="32" s="1"/>
  <c r="M151" i="32"/>
  <c r="N151" i="32"/>
  <c r="O151" i="32" s="1"/>
  <c r="M152" i="32"/>
  <c r="N152" i="32" s="1"/>
  <c r="O152" i="32" s="1"/>
  <c r="M153" i="32"/>
  <c r="N153" i="32"/>
  <c r="O153" i="32" s="1"/>
  <c r="M154" i="32"/>
  <c r="N154" i="32" s="1"/>
  <c r="O154" i="32" s="1"/>
  <c r="M155" i="32"/>
  <c r="N155" i="32" s="1"/>
  <c r="O155" i="32" s="1"/>
  <c r="M156" i="32"/>
  <c r="N156" i="32" s="1"/>
  <c r="O156" i="32" s="1"/>
  <c r="M157" i="32"/>
  <c r="N157" i="32" s="1"/>
  <c r="O157" i="32" s="1"/>
  <c r="M158" i="32"/>
  <c r="N158" i="32" s="1"/>
  <c r="O158" i="32" s="1"/>
  <c r="M159" i="32"/>
  <c r="N159" i="32" s="1"/>
  <c r="O159" i="32" s="1"/>
  <c r="M160" i="32"/>
  <c r="N160" i="32" s="1"/>
  <c r="O160" i="32" s="1"/>
  <c r="M161" i="32"/>
  <c r="N161" i="32" s="1"/>
  <c r="O161" i="32" s="1"/>
  <c r="M162" i="32"/>
  <c r="N162" i="32"/>
  <c r="O162" i="32" s="1"/>
  <c r="M163" i="32"/>
  <c r="N163" i="32"/>
  <c r="O163" i="32" s="1"/>
  <c r="M164" i="32"/>
  <c r="N164" i="32" s="1"/>
  <c r="O164" i="32" s="1"/>
  <c r="M165" i="32"/>
  <c r="N165" i="32"/>
  <c r="O165" i="32" s="1"/>
  <c r="M166" i="32"/>
  <c r="N166" i="32"/>
  <c r="O166" i="32" s="1"/>
  <c r="M167" i="32"/>
  <c r="N167" i="32"/>
  <c r="O167" i="32" s="1"/>
  <c r="M168" i="32"/>
  <c r="N168" i="32" s="1"/>
  <c r="O168" i="32" s="1"/>
  <c r="M169" i="32"/>
  <c r="N169" i="32"/>
  <c r="O169" i="32" s="1"/>
  <c r="M170" i="32"/>
  <c r="N170" i="32"/>
  <c r="O170" i="32" s="1"/>
  <c r="M171" i="32"/>
  <c r="N171" i="32"/>
  <c r="O171" i="32" s="1"/>
  <c r="M172" i="32"/>
  <c r="N172" i="32" s="1"/>
  <c r="O172" i="32" s="1"/>
  <c r="M173" i="32"/>
  <c r="N173" i="32" s="1"/>
  <c r="O173" i="32" s="1"/>
  <c r="M174" i="32"/>
  <c r="N174" i="32" s="1"/>
  <c r="O174" i="32" s="1"/>
  <c r="M175" i="32"/>
  <c r="N175" i="32" s="1"/>
  <c r="O175" i="32" s="1"/>
  <c r="M176" i="32"/>
  <c r="N176" i="32" s="1"/>
  <c r="O176" i="32" s="1"/>
  <c r="M177" i="32"/>
  <c r="N177" i="32" s="1"/>
  <c r="O177" i="32"/>
  <c r="M178" i="32"/>
  <c r="N178" i="32" s="1"/>
  <c r="O178" i="32" s="1"/>
  <c r="M179" i="32"/>
  <c r="N179" i="32" s="1"/>
  <c r="O179" i="32" s="1"/>
  <c r="M180" i="32"/>
  <c r="N180" i="32"/>
  <c r="O180" i="32" s="1"/>
  <c r="M181" i="32"/>
  <c r="N181" i="32" s="1"/>
  <c r="O181" i="32"/>
  <c r="M182" i="32"/>
  <c r="N182" i="32" s="1"/>
  <c r="O182" i="32" s="1"/>
  <c r="M183" i="32"/>
  <c r="N183" i="32" s="1"/>
  <c r="O183" i="32" s="1"/>
  <c r="M184" i="32"/>
  <c r="N184" i="32" s="1"/>
  <c r="O184" i="32" s="1"/>
  <c r="M185" i="32"/>
  <c r="N185" i="32" s="1"/>
  <c r="O185" i="32"/>
  <c r="M186" i="32"/>
  <c r="N186" i="32" s="1"/>
  <c r="O186" i="32" s="1"/>
  <c r="M187" i="32"/>
  <c r="N187" i="32" s="1"/>
  <c r="O187" i="32" s="1"/>
  <c r="M188" i="32"/>
  <c r="N188" i="32" s="1"/>
  <c r="O188" i="32" s="1"/>
  <c r="M189" i="32"/>
  <c r="N189" i="32" s="1"/>
  <c r="O189" i="32" s="1"/>
  <c r="M190" i="32"/>
  <c r="N190" i="32"/>
  <c r="O190" i="32" s="1"/>
  <c r="M191" i="32"/>
  <c r="N191" i="32"/>
  <c r="O191" i="32" s="1"/>
  <c r="M192" i="32"/>
  <c r="N192" i="32" s="1"/>
  <c r="O192" i="32" s="1"/>
  <c r="M193" i="32"/>
  <c r="N193" i="32" s="1"/>
  <c r="O193" i="32" s="1"/>
  <c r="M194" i="32"/>
  <c r="N194" i="32" s="1"/>
  <c r="O194" i="32" s="1"/>
  <c r="M195" i="32"/>
  <c r="N195" i="32" s="1"/>
  <c r="O195" i="32" s="1"/>
  <c r="M196" i="32"/>
  <c r="N196" i="32" s="1"/>
  <c r="O196" i="32" s="1"/>
  <c r="M197" i="32"/>
  <c r="N197" i="32" s="1"/>
  <c r="O197" i="32" s="1"/>
  <c r="M198" i="32"/>
  <c r="N198" i="32"/>
  <c r="O198" i="32" s="1"/>
  <c r="M199" i="32"/>
  <c r="N199" i="32" s="1"/>
  <c r="O199" i="32" s="1"/>
  <c r="M200" i="32"/>
  <c r="N200" i="32" s="1"/>
  <c r="O200" i="32" s="1"/>
  <c r="M201" i="32"/>
  <c r="N201" i="32" s="1"/>
  <c r="O201" i="32" s="1"/>
  <c r="M202" i="32"/>
  <c r="N202" i="32" s="1"/>
  <c r="O202" i="32" s="1"/>
  <c r="M203" i="32"/>
  <c r="N203" i="32"/>
  <c r="O203" i="32" s="1"/>
  <c r="M204" i="32"/>
  <c r="N204" i="32" s="1"/>
  <c r="O204" i="32" s="1"/>
  <c r="M205" i="32"/>
  <c r="N205" i="32" s="1"/>
  <c r="O205" i="32" s="1"/>
  <c r="M206" i="32"/>
  <c r="N206" i="32"/>
  <c r="O206" i="32" s="1"/>
  <c r="M207" i="32"/>
  <c r="N207" i="32" s="1"/>
  <c r="O207" i="32" s="1"/>
  <c r="M208" i="32"/>
  <c r="N208" i="32" s="1"/>
  <c r="O208" i="32" s="1"/>
  <c r="M209" i="32"/>
  <c r="N209" i="32"/>
  <c r="O209" i="32" s="1"/>
  <c r="M210" i="32"/>
  <c r="N210" i="32" s="1"/>
  <c r="O210" i="32" s="1"/>
  <c r="M211" i="32"/>
  <c r="N211" i="32"/>
  <c r="O211" i="32" s="1"/>
  <c r="M212" i="32"/>
  <c r="N212" i="32" s="1"/>
  <c r="O212" i="32" s="1"/>
  <c r="M213" i="32"/>
  <c r="N213" i="32" s="1"/>
  <c r="O213" i="32" s="1"/>
  <c r="M214" i="32"/>
  <c r="N214" i="32" s="1"/>
  <c r="O214" i="32" s="1"/>
  <c r="M215" i="32"/>
  <c r="N215" i="32" s="1"/>
  <c r="O215" i="32" s="1"/>
  <c r="M216" i="32"/>
  <c r="N216" i="32" s="1"/>
  <c r="O216" i="32" s="1"/>
  <c r="M217" i="32"/>
  <c r="N217" i="32" s="1"/>
  <c r="O217" i="32" s="1"/>
  <c r="M218" i="32"/>
  <c r="N218" i="32"/>
  <c r="O218" i="32" s="1"/>
  <c r="M219" i="32"/>
  <c r="N219" i="32" s="1"/>
  <c r="O219" i="32" s="1"/>
  <c r="M220" i="32"/>
  <c r="N220" i="32" s="1"/>
  <c r="O220" i="32" s="1"/>
  <c r="M221" i="32"/>
  <c r="N221" i="32" s="1"/>
  <c r="O221" i="32" s="1"/>
  <c r="M222" i="32"/>
  <c r="N222" i="32"/>
  <c r="O222" i="32" s="1"/>
  <c r="M223" i="32"/>
  <c r="N223" i="32"/>
  <c r="O223" i="32" s="1"/>
  <c r="M224" i="32"/>
  <c r="N224" i="32" s="1"/>
  <c r="O224" i="32" s="1"/>
  <c r="M225" i="32"/>
  <c r="N225" i="32" s="1"/>
  <c r="O225" i="32"/>
  <c r="M226" i="32"/>
  <c r="N226" i="32" s="1"/>
  <c r="O226" i="32" s="1"/>
  <c r="M227" i="32"/>
  <c r="N227" i="32"/>
  <c r="O227" i="32" s="1"/>
  <c r="M228" i="32"/>
  <c r="N228" i="32"/>
  <c r="O228" i="32" s="1"/>
  <c r="M229" i="32"/>
  <c r="N229" i="32" s="1"/>
  <c r="O229" i="32"/>
  <c r="M230" i="32"/>
  <c r="N230" i="32" s="1"/>
  <c r="O230" i="32" s="1"/>
  <c r="M231" i="32"/>
  <c r="N231" i="32" s="1"/>
  <c r="O231" i="32" s="1"/>
  <c r="M232" i="32"/>
  <c r="N232" i="32" s="1"/>
  <c r="O232" i="32" s="1"/>
  <c r="M233" i="32"/>
  <c r="N233" i="32" s="1"/>
  <c r="O233" i="32" s="1"/>
  <c r="M234" i="32"/>
  <c r="N234" i="32"/>
  <c r="O234" i="32" s="1"/>
  <c r="M235" i="32"/>
  <c r="N235" i="32"/>
  <c r="O235" i="32" s="1"/>
  <c r="M236" i="32"/>
  <c r="N236" i="32" s="1"/>
  <c r="O236" i="32" s="1"/>
  <c r="M237" i="32"/>
  <c r="N237" i="32" s="1"/>
  <c r="O237" i="32" s="1"/>
  <c r="M238" i="32"/>
  <c r="N238" i="32" s="1"/>
  <c r="O238" i="32" s="1"/>
  <c r="M239" i="32"/>
  <c r="N239" i="32"/>
  <c r="O239" i="32" s="1"/>
  <c r="M240" i="32"/>
  <c r="N240" i="32" s="1"/>
  <c r="O240" i="32" s="1"/>
  <c r="M241" i="32"/>
  <c r="N241" i="32" s="1"/>
  <c r="O241" i="32" s="1"/>
  <c r="M242" i="32"/>
  <c r="N242" i="32" s="1"/>
  <c r="O242" i="32" s="1"/>
  <c r="M243" i="32"/>
  <c r="N243" i="32" s="1"/>
  <c r="O243" i="32" s="1"/>
  <c r="M244" i="32"/>
  <c r="N244" i="32" s="1"/>
  <c r="O244" i="32" s="1"/>
  <c r="M245" i="32"/>
  <c r="N245" i="32" s="1"/>
  <c r="O245" i="32" s="1"/>
  <c r="M246" i="32"/>
  <c r="N246" i="32" s="1"/>
  <c r="O246" i="32" s="1"/>
  <c r="M247" i="32"/>
  <c r="N247" i="32" s="1"/>
  <c r="O247" i="32"/>
  <c r="M248" i="32"/>
  <c r="N248" i="32" s="1"/>
  <c r="O248" i="32" s="1"/>
  <c r="M249" i="32"/>
  <c r="N249" i="32" s="1"/>
  <c r="O249" i="32" s="1"/>
  <c r="M250" i="32"/>
  <c r="N250" i="32" s="1"/>
  <c r="O250" i="32" s="1"/>
  <c r="M251" i="32"/>
  <c r="N251" i="32" s="1"/>
  <c r="O251" i="32"/>
  <c r="M252" i="32"/>
  <c r="N252" i="32" s="1"/>
  <c r="O252" i="32"/>
  <c r="M253" i="32"/>
  <c r="N253" i="32" s="1"/>
  <c r="O253" i="32" s="1"/>
  <c r="M254" i="32"/>
  <c r="N254" i="32" s="1"/>
  <c r="O254" i="32" s="1"/>
  <c r="M255" i="32"/>
  <c r="N255" i="32" s="1"/>
  <c r="O255" i="32" s="1"/>
  <c r="M256" i="32"/>
  <c r="N256" i="32" s="1"/>
  <c r="O256" i="32" s="1"/>
  <c r="M257" i="32"/>
  <c r="N257" i="32"/>
  <c r="O257" i="32" s="1"/>
  <c r="M258" i="32"/>
  <c r="N258" i="32" s="1"/>
  <c r="O258" i="32" s="1"/>
  <c r="M259" i="32"/>
  <c r="N259" i="32"/>
  <c r="O259" i="32" s="1"/>
  <c r="M260" i="32"/>
  <c r="N260" i="32" s="1"/>
  <c r="O260" i="32" s="1"/>
  <c r="M261" i="32"/>
  <c r="N261" i="32" s="1"/>
  <c r="O261" i="32" s="1"/>
  <c r="M262" i="32"/>
  <c r="N262" i="32" s="1"/>
  <c r="O262" i="32" s="1"/>
  <c r="M263" i="32"/>
  <c r="N263" i="32"/>
  <c r="O263" i="32" s="1"/>
  <c r="M264" i="32"/>
  <c r="N264" i="32" s="1"/>
  <c r="O264" i="32" s="1"/>
  <c r="M265" i="32"/>
  <c r="N265" i="32" s="1"/>
  <c r="O265" i="32" s="1"/>
  <c r="M266" i="32"/>
  <c r="N266" i="32" s="1"/>
  <c r="O266" i="32" s="1"/>
  <c r="M267" i="32"/>
  <c r="N267" i="32" s="1"/>
  <c r="O267" i="32" s="1"/>
  <c r="M268" i="32"/>
  <c r="N268" i="32" s="1"/>
  <c r="O268" i="32" s="1"/>
  <c r="M269" i="32"/>
  <c r="N269" i="32" s="1"/>
  <c r="O269" i="32" s="1"/>
  <c r="M270" i="32"/>
  <c r="N270" i="32" s="1"/>
  <c r="O270" i="32" s="1"/>
  <c r="M271" i="32"/>
  <c r="N271" i="32" s="1"/>
  <c r="O271" i="32" s="1"/>
  <c r="M272" i="32"/>
  <c r="N272" i="32" s="1"/>
  <c r="O272" i="32" s="1"/>
  <c r="M273" i="32"/>
  <c r="N273" i="32"/>
  <c r="O273" i="32" s="1"/>
  <c r="M274" i="32"/>
  <c r="N274" i="32" s="1"/>
  <c r="O274" i="32" s="1"/>
  <c r="M275" i="32"/>
  <c r="N275" i="32" s="1"/>
  <c r="O275" i="32" s="1"/>
  <c r="M276" i="32"/>
  <c r="N276" i="32" s="1"/>
  <c r="O276" i="32"/>
  <c r="M277" i="32"/>
  <c r="N277" i="32" s="1"/>
  <c r="O277" i="32" s="1"/>
  <c r="M278" i="32"/>
  <c r="N278" i="32" s="1"/>
  <c r="O278" i="32" s="1"/>
  <c r="M279" i="32"/>
  <c r="N279" i="32" s="1"/>
  <c r="O279" i="32" s="1"/>
  <c r="M280" i="32"/>
  <c r="N280" i="32" s="1"/>
  <c r="O280" i="32" s="1"/>
  <c r="M281" i="32"/>
  <c r="N281" i="32" s="1"/>
  <c r="O281" i="32" s="1"/>
  <c r="M282" i="32"/>
  <c r="N282" i="32" s="1"/>
  <c r="O282" i="32" s="1"/>
  <c r="M283" i="32"/>
  <c r="N283" i="32" s="1"/>
  <c r="O283" i="32"/>
  <c r="M284" i="32"/>
  <c r="N284" i="32" s="1"/>
  <c r="O284" i="32" s="1"/>
  <c r="M285" i="32"/>
  <c r="N285" i="32"/>
  <c r="O285" i="32" s="1"/>
  <c r="M286" i="32"/>
  <c r="N286" i="32" s="1"/>
  <c r="O286" i="32" s="1"/>
  <c r="M287" i="32"/>
  <c r="N287" i="32"/>
  <c r="O287" i="32" s="1"/>
  <c r="M288" i="32"/>
  <c r="N288" i="32" s="1"/>
  <c r="O288" i="32" s="1"/>
  <c r="M289" i="32"/>
  <c r="N289" i="32"/>
  <c r="O289" i="32" s="1"/>
  <c r="M290" i="32"/>
  <c r="N290" i="32" s="1"/>
  <c r="O290" i="32" s="1"/>
  <c r="M291" i="32"/>
  <c r="N291" i="32" s="1"/>
  <c r="O291" i="32" s="1"/>
  <c r="M292" i="32"/>
  <c r="N292" i="32" s="1"/>
  <c r="O292" i="32" s="1"/>
  <c r="M293" i="32"/>
  <c r="N293" i="32"/>
  <c r="O293" i="32" s="1"/>
  <c r="M294" i="32"/>
  <c r="N294" i="32" s="1"/>
  <c r="O294" i="32" s="1"/>
  <c r="M295" i="32"/>
  <c r="N295" i="32" s="1"/>
  <c r="O295" i="32"/>
  <c r="M296" i="32"/>
  <c r="N296" i="32" s="1"/>
  <c r="O296" i="32" s="1"/>
  <c r="M297" i="32"/>
  <c r="N297" i="32"/>
  <c r="O297" i="32" s="1"/>
  <c r="M298" i="32"/>
  <c r="N298" i="32" s="1"/>
  <c r="O298" i="32" s="1"/>
  <c r="M299" i="32"/>
  <c r="N299" i="32"/>
  <c r="O299" i="32"/>
  <c r="M300" i="32"/>
  <c r="N300" i="32" s="1"/>
  <c r="O300" i="32" s="1"/>
  <c r="M301" i="32"/>
  <c r="N301" i="32"/>
  <c r="O301" i="32" s="1"/>
  <c r="M302" i="32"/>
  <c r="N302" i="32" s="1"/>
  <c r="O302" i="32" s="1"/>
  <c r="M303" i="32"/>
  <c r="N303" i="32"/>
  <c r="O303" i="32" s="1"/>
  <c r="M304" i="32"/>
  <c r="N304" i="32" s="1"/>
  <c r="O304" i="32"/>
  <c r="M305" i="32"/>
  <c r="N305" i="32"/>
  <c r="O305" i="32" s="1"/>
  <c r="M306" i="32"/>
  <c r="N306" i="32" s="1"/>
  <c r="O306" i="32" s="1"/>
  <c r="M307" i="32"/>
  <c r="N307" i="32"/>
  <c r="O307" i="32"/>
  <c r="M308" i="32"/>
  <c r="N308" i="32" s="1"/>
  <c r="O308" i="32" s="1"/>
  <c r="M309" i="32"/>
  <c r="N309" i="32"/>
  <c r="O309" i="32" s="1"/>
  <c r="M310" i="32"/>
  <c r="N310" i="32" s="1"/>
  <c r="O310" i="32" s="1"/>
  <c r="M311" i="32"/>
  <c r="N311" i="32"/>
  <c r="O311" i="32"/>
  <c r="M312" i="32"/>
  <c r="N312" i="32" s="1"/>
  <c r="O312" i="32" s="1"/>
  <c r="M313" i="32"/>
  <c r="N313" i="32" s="1"/>
  <c r="O313" i="32" s="1"/>
  <c r="M314" i="32"/>
  <c r="N314" i="32" s="1"/>
  <c r="O314" i="32" s="1"/>
  <c r="M315" i="32"/>
  <c r="N315" i="32" s="1"/>
  <c r="O315" i="32"/>
  <c r="M316" i="32"/>
  <c r="N316" i="32" s="1"/>
  <c r="O316" i="32"/>
  <c r="M317" i="32"/>
  <c r="N317" i="32" s="1"/>
  <c r="O317" i="32" s="1"/>
  <c r="M318" i="32"/>
  <c r="N318" i="32" s="1"/>
  <c r="O318" i="32" s="1"/>
  <c r="M319" i="32"/>
  <c r="N319" i="32"/>
  <c r="O319" i="32"/>
  <c r="M320" i="32"/>
  <c r="N320" i="32" s="1"/>
  <c r="O320" i="32" s="1"/>
  <c r="M321" i="32"/>
  <c r="N321" i="32"/>
  <c r="O321" i="32" s="1"/>
  <c r="M322" i="32"/>
  <c r="N322" i="32" s="1"/>
  <c r="O322" i="32" s="1"/>
  <c r="M323" i="32"/>
  <c r="N323" i="32"/>
  <c r="O323" i="32"/>
  <c r="M324" i="32"/>
  <c r="N324" i="32" s="1"/>
  <c r="O324" i="32" s="1"/>
  <c r="M325" i="32"/>
  <c r="N325" i="32" s="1"/>
  <c r="O325" i="32" s="1"/>
  <c r="M326" i="32"/>
  <c r="N326" i="32" s="1"/>
  <c r="O326" i="32" s="1"/>
  <c r="M327" i="32"/>
  <c r="N327" i="32" s="1"/>
  <c r="O327" i="32" s="1"/>
  <c r="M328" i="32"/>
  <c r="N328" i="32" s="1"/>
  <c r="O328" i="32" s="1"/>
  <c r="M329" i="32"/>
  <c r="N329" i="32" s="1"/>
  <c r="O329" i="32" s="1"/>
  <c r="M330" i="32"/>
  <c r="N330" i="32" s="1"/>
  <c r="O330" i="32" s="1"/>
  <c r="M331" i="32"/>
  <c r="N331" i="32"/>
  <c r="O331" i="32"/>
  <c r="M332" i="32"/>
  <c r="N332" i="32" s="1"/>
  <c r="O332" i="32" s="1"/>
  <c r="M333" i="32"/>
  <c r="N333" i="32"/>
  <c r="O333" i="32" s="1"/>
  <c r="M334" i="32"/>
  <c r="N334" i="32" s="1"/>
  <c r="O334" i="32" s="1"/>
  <c r="M335" i="32"/>
  <c r="N335" i="32" s="1"/>
  <c r="O335" i="32" s="1"/>
  <c r="M336" i="32"/>
  <c r="N336" i="32" s="1"/>
  <c r="O336" i="32" s="1"/>
  <c r="M337" i="32"/>
  <c r="N337" i="32"/>
  <c r="O337" i="32" s="1"/>
  <c r="M338" i="32"/>
  <c r="N338" i="32" s="1"/>
  <c r="O338" i="32" s="1"/>
  <c r="M339" i="32"/>
  <c r="N339" i="32" s="1"/>
  <c r="O339" i="32" s="1"/>
  <c r="M340" i="32"/>
  <c r="N340" i="32" s="1"/>
  <c r="O340" i="32" s="1"/>
  <c r="M341" i="32"/>
  <c r="N341" i="32" s="1"/>
  <c r="O341" i="32" s="1"/>
  <c r="M342" i="32"/>
  <c r="N342" i="32" s="1"/>
  <c r="O342" i="32" s="1"/>
  <c r="M343" i="32"/>
  <c r="N343" i="32"/>
  <c r="O343" i="32"/>
  <c r="M344" i="32"/>
  <c r="N344" i="32" s="1"/>
  <c r="O344" i="32" s="1"/>
  <c r="M345" i="32"/>
  <c r="N345" i="32"/>
  <c r="O345" i="32" s="1"/>
  <c r="M346" i="32"/>
  <c r="N346" i="32" s="1"/>
  <c r="O346" i="32" s="1"/>
  <c r="M347" i="32"/>
  <c r="N347" i="32" s="1"/>
  <c r="O347" i="32" s="1"/>
  <c r="M348" i="32"/>
  <c r="N348" i="32" s="1"/>
  <c r="O348" i="32" s="1"/>
  <c r="M349" i="32"/>
  <c r="N349" i="32"/>
  <c r="O349" i="32" s="1"/>
  <c r="M350" i="32"/>
  <c r="N350" i="32" s="1"/>
  <c r="O350" i="32" s="1"/>
  <c r="M351" i="32"/>
  <c r="N351" i="32"/>
  <c r="O351" i="32"/>
  <c r="M352" i="32"/>
  <c r="N352" i="32" s="1"/>
  <c r="O352" i="32" s="1"/>
  <c r="M353" i="32"/>
  <c r="N353" i="32" s="1"/>
  <c r="O353" i="32" s="1"/>
  <c r="M354" i="32"/>
  <c r="N354" i="32" s="1"/>
  <c r="O354" i="32" s="1"/>
  <c r="M355" i="32"/>
  <c r="N355" i="32"/>
  <c r="O355" i="32"/>
  <c r="M356" i="32"/>
  <c r="N356" i="32" s="1"/>
  <c r="O356" i="32" s="1"/>
  <c r="M357" i="32"/>
  <c r="N357" i="32"/>
  <c r="O357" i="32" s="1"/>
  <c r="M358" i="32"/>
  <c r="N358" i="32" s="1"/>
  <c r="O358" i="32" s="1"/>
  <c r="M359" i="32"/>
  <c r="N359" i="32"/>
  <c r="O359" i="32" s="1"/>
  <c r="M360" i="32"/>
  <c r="N360" i="32" s="1"/>
  <c r="O360" i="32" s="1"/>
  <c r="M361" i="32"/>
  <c r="N361" i="32"/>
  <c r="O361" i="32" s="1"/>
  <c r="M362" i="32"/>
  <c r="N362" i="32" s="1"/>
  <c r="O362" i="32" s="1"/>
  <c r="M363" i="32"/>
  <c r="N363" i="32"/>
  <c r="O363" i="32"/>
  <c r="M364" i="32"/>
  <c r="N364" i="32" s="1"/>
  <c r="O364" i="32" s="1"/>
  <c r="M365" i="32"/>
  <c r="N365" i="32"/>
  <c r="O365" i="32" s="1"/>
  <c r="M366" i="32"/>
  <c r="N366" i="32" s="1"/>
  <c r="O366" i="32" s="1"/>
  <c r="M367" i="32"/>
  <c r="N367" i="32"/>
  <c r="O367" i="32" s="1"/>
  <c r="M368" i="32"/>
  <c r="N368" i="32" s="1"/>
  <c r="O368" i="32" s="1"/>
  <c r="M369" i="32"/>
  <c r="N369" i="32" s="1"/>
  <c r="O369" i="32" s="1"/>
  <c r="M370" i="32"/>
  <c r="N370" i="32" s="1"/>
  <c r="O370" i="32" s="1"/>
  <c r="M371" i="32"/>
  <c r="N371" i="32"/>
  <c r="O371" i="32"/>
  <c r="M372" i="32"/>
  <c r="N372" i="32" s="1"/>
  <c r="O372" i="32" s="1"/>
  <c r="M373" i="32"/>
  <c r="N373" i="32" s="1"/>
  <c r="O373" i="32" s="1"/>
  <c r="M374" i="32"/>
  <c r="N374" i="32" s="1"/>
  <c r="O374" i="32" s="1"/>
  <c r="M375" i="32"/>
  <c r="N375" i="32" s="1"/>
  <c r="O375" i="32"/>
  <c r="M376" i="32"/>
  <c r="N376" i="32" s="1"/>
  <c r="O376" i="32" s="1"/>
  <c r="M377" i="32"/>
  <c r="N377" i="32"/>
  <c r="O377" i="32" s="1"/>
  <c r="M378" i="32"/>
  <c r="N378" i="32" s="1"/>
  <c r="O378" i="32" s="1"/>
  <c r="M379" i="32"/>
  <c r="N379" i="32"/>
  <c r="O379" i="32" s="1"/>
  <c r="M380" i="32"/>
  <c r="N380" i="32" s="1"/>
  <c r="O380" i="32" s="1"/>
  <c r="M381" i="32"/>
  <c r="N381" i="32" s="1"/>
  <c r="O381" i="32" s="1"/>
  <c r="M382" i="32"/>
  <c r="N382" i="32" s="1"/>
  <c r="O382" i="32" s="1"/>
  <c r="M383" i="32"/>
  <c r="N383" i="32"/>
  <c r="O383" i="32"/>
  <c r="M384" i="32"/>
  <c r="N384" i="32" s="1"/>
  <c r="O384" i="32" s="1"/>
  <c r="M385" i="32"/>
  <c r="N385" i="32" s="1"/>
  <c r="O385" i="32" s="1"/>
  <c r="M386" i="32"/>
  <c r="N386" i="32" s="1"/>
  <c r="O386" i="32" s="1"/>
  <c r="M387" i="32"/>
  <c r="N387" i="32"/>
  <c r="O387" i="32" s="1"/>
  <c r="M388" i="32"/>
  <c r="N388" i="32" s="1"/>
  <c r="O388" i="32" s="1"/>
  <c r="M389" i="32"/>
  <c r="N389" i="32" s="1"/>
  <c r="O389" i="32" s="1"/>
  <c r="M390" i="32"/>
  <c r="N390" i="32" s="1"/>
  <c r="O390" i="32" s="1"/>
  <c r="M391" i="32"/>
  <c r="N391" i="32" s="1"/>
  <c r="O391" i="32"/>
  <c r="M392" i="32"/>
  <c r="N392" i="32" s="1"/>
  <c r="O392" i="32" s="1"/>
  <c r="M393" i="32"/>
  <c r="N393" i="32" s="1"/>
  <c r="O393" i="32" s="1"/>
  <c r="M394" i="32"/>
  <c r="N394" i="32" s="1"/>
  <c r="O394" i="32" s="1"/>
  <c r="M395" i="32"/>
  <c r="N395" i="32"/>
  <c r="O395" i="32"/>
  <c r="M396" i="32"/>
  <c r="N396" i="32" s="1"/>
  <c r="O396" i="32" s="1"/>
  <c r="M397" i="32"/>
  <c r="N397" i="32"/>
  <c r="O397" i="32" s="1"/>
  <c r="M398" i="32"/>
  <c r="N398" i="32" s="1"/>
  <c r="O398" i="32" s="1"/>
  <c r="M399" i="32"/>
  <c r="N399" i="32"/>
  <c r="O399" i="32" s="1"/>
  <c r="M400" i="32"/>
  <c r="N400" i="32" s="1"/>
  <c r="O400" i="32" s="1"/>
  <c r="M401" i="32"/>
  <c r="N401" i="32" s="1"/>
  <c r="O401" i="32" s="1"/>
  <c r="M402" i="32"/>
  <c r="N402" i="32" s="1"/>
  <c r="O402" i="32" s="1"/>
  <c r="M403" i="32"/>
  <c r="N403" i="32" s="1"/>
  <c r="O403" i="32" s="1"/>
  <c r="Q7" i="32"/>
  <c r="R7" i="32"/>
  <c r="S7" i="32"/>
  <c r="T7" i="32"/>
  <c r="Q8" i="32"/>
  <c r="R8" i="32"/>
  <c r="S8" i="32"/>
  <c r="T8" i="32"/>
  <c r="Q9" i="32"/>
  <c r="R9" i="32"/>
  <c r="S9" i="32"/>
  <c r="T9" i="32"/>
  <c r="Q10" i="32"/>
  <c r="R10" i="32"/>
  <c r="S10" i="32"/>
  <c r="T10" i="32"/>
  <c r="Q11" i="32"/>
  <c r="R11" i="32"/>
  <c r="S11" i="32"/>
  <c r="T11" i="32"/>
  <c r="Q12" i="32"/>
  <c r="R12" i="32"/>
  <c r="S12" i="32"/>
  <c r="T12" i="32"/>
  <c r="Q13" i="32"/>
  <c r="R13" i="32"/>
  <c r="S13" i="32"/>
  <c r="T13" i="32"/>
  <c r="Q14" i="32"/>
  <c r="R14" i="32"/>
  <c r="S14" i="32"/>
  <c r="T14" i="32"/>
  <c r="Q15" i="32"/>
  <c r="R15" i="32"/>
  <c r="S15" i="32"/>
  <c r="T15" i="32"/>
  <c r="Q16" i="32"/>
  <c r="R16" i="32"/>
  <c r="S16" i="32"/>
  <c r="T16" i="32"/>
  <c r="Q17" i="32"/>
  <c r="R17" i="32"/>
  <c r="S17" i="32"/>
  <c r="T17" i="32"/>
  <c r="Q18" i="32"/>
  <c r="R18" i="32"/>
  <c r="S18" i="32"/>
  <c r="T18" i="32"/>
  <c r="Q19" i="32"/>
  <c r="R19" i="32"/>
  <c r="S19" i="32"/>
  <c r="T19" i="32"/>
  <c r="Q20" i="32"/>
  <c r="R20" i="32"/>
  <c r="S20" i="32"/>
  <c r="T20" i="32"/>
  <c r="Q21" i="32"/>
  <c r="R21" i="32"/>
  <c r="S21" i="32"/>
  <c r="T21" i="32"/>
  <c r="Q22" i="32"/>
  <c r="R22" i="32"/>
  <c r="S22" i="32"/>
  <c r="T22" i="32"/>
  <c r="Q23" i="32"/>
  <c r="R23" i="32"/>
  <c r="S23" i="32"/>
  <c r="T23" i="32"/>
  <c r="Q24" i="32"/>
  <c r="R24" i="32"/>
  <c r="S24" i="32"/>
  <c r="T24" i="32"/>
  <c r="Q25" i="32"/>
  <c r="R25" i="32"/>
  <c r="S25" i="32"/>
  <c r="T25" i="32"/>
  <c r="Q26" i="32"/>
  <c r="R26" i="32"/>
  <c r="S26" i="32"/>
  <c r="T26" i="32"/>
  <c r="Q27" i="32"/>
  <c r="R27" i="32"/>
  <c r="S27" i="32"/>
  <c r="T27" i="32"/>
  <c r="Q28" i="32"/>
  <c r="R28" i="32"/>
  <c r="S28" i="32"/>
  <c r="T28" i="32"/>
  <c r="Q29" i="32"/>
  <c r="R29" i="32"/>
  <c r="S29" i="32"/>
  <c r="T29" i="32"/>
  <c r="Q30" i="32"/>
  <c r="R30" i="32"/>
  <c r="S30" i="32"/>
  <c r="T30" i="32"/>
  <c r="Q31" i="32"/>
  <c r="R31" i="32"/>
  <c r="S31" i="32"/>
  <c r="T31" i="32"/>
  <c r="Q32" i="32"/>
  <c r="R32" i="32"/>
  <c r="S32" i="32"/>
  <c r="T32" i="32"/>
  <c r="Q33" i="32"/>
  <c r="R33" i="32"/>
  <c r="S33" i="32"/>
  <c r="T33" i="32"/>
  <c r="Q34" i="32"/>
  <c r="R34" i="32"/>
  <c r="S34" i="32"/>
  <c r="T34" i="32"/>
  <c r="Q35" i="32"/>
  <c r="R35" i="32"/>
  <c r="S35" i="32"/>
  <c r="T35" i="32"/>
  <c r="Q36" i="32"/>
  <c r="R36" i="32"/>
  <c r="S36" i="32"/>
  <c r="T36" i="32"/>
  <c r="Q37" i="32"/>
  <c r="R37" i="32"/>
  <c r="S37" i="32"/>
  <c r="T37" i="32"/>
  <c r="Q38" i="32"/>
  <c r="R38" i="32"/>
  <c r="S38" i="32"/>
  <c r="T38" i="32"/>
  <c r="Q39" i="32"/>
  <c r="R39" i="32"/>
  <c r="S39" i="32"/>
  <c r="T39" i="32"/>
  <c r="Q40" i="32"/>
  <c r="R40" i="32"/>
  <c r="S40" i="32"/>
  <c r="T40" i="32"/>
  <c r="Q41" i="32"/>
  <c r="R41" i="32"/>
  <c r="S41" i="32"/>
  <c r="T41" i="32"/>
  <c r="Q42" i="32"/>
  <c r="R42" i="32"/>
  <c r="S42" i="32"/>
  <c r="T42" i="32"/>
  <c r="Q43" i="32"/>
  <c r="R43" i="32"/>
  <c r="S43" i="32"/>
  <c r="T43" i="32"/>
  <c r="Q44" i="32"/>
  <c r="R44" i="32"/>
  <c r="S44" i="32"/>
  <c r="T44" i="32"/>
  <c r="Q45" i="32"/>
  <c r="R45" i="32"/>
  <c r="S45" i="32"/>
  <c r="T45" i="32"/>
  <c r="Q46" i="32"/>
  <c r="R46" i="32"/>
  <c r="S46" i="32"/>
  <c r="T46" i="32"/>
  <c r="Q47" i="32"/>
  <c r="R47" i="32"/>
  <c r="S47" i="32"/>
  <c r="T47" i="32"/>
  <c r="Q48" i="32"/>
  <c r="R48" i="32"/>
  <c r="S48" i="32"/>
  <c r="T48" i="32"/>
  <c r="Q49" i="32"/>
  <c r="R49" i="32"/>
  <c r="S49" i="32"/>
  <c r="T49" i="32"/>
  <c r="Q50" i="32"/>
  <c r="R50" i="32"/>
  <c r="S50" i="32"/>
  <c r="T50" i="32"/>
  <c r="Q51" i="32"/>
  <c r="R51" i="32"/>
  <c r="S51" i="32"/>
  <c r="T51" i="32"/>
  <c r="Q52" i="32"/>
  <c r="R52" i="32"/>
  <c r="S52" i="32"/>
  <c r="T52" i="32"/>
  <c r="Q53" i="32"/>
  <c r="R53" i="32"/>
  <c r="S53" i="32"/>
  <c r="T53" i="32"/>
  <c r="Q54" i="32"/>
  <c r="R54" i="32"/>
  <c r="S54" i="32"/>
  <c r="T54" i="32"/>
  <c r="Q55" i="32"/>
  <c r="R55" i="32"/>
  <c r="S55" i="32"/>
  <c r="T55" i="32"/>
  <c r="Q56" i="32"/>
  <c r="R56" i="32"/>
  <c r="S56" i="32"/>
  <c r="T56" i="32"/>
  <c r="Q57" i="32"/>
  <c r="R57" i="32"/>
  <c r="S57" i="32"/>
  <c r="T57" i="32"/>
  <c r="Q58" i="32"/>
  <c r="R58" i="32"/>
  <c r="S58" i="32"/>
  <c r="T58" i="32"/>
  <c r="Q59" i="32"/>
  <c r="R59" i="32"/>
  <c r="S59" i="32"/>
  <c r="T59" i="32"/>
  <c r="Q60" i="32"/>
  <c r="R60" i="32"/>
  <c r="S60" i="32"/>
  <c r="T60" i="32"/>
  <c r="Q61" i="32"/>
  <c r="R61" i="32"/>
  <c r="S61" i="32"/>
  <c r="T61" i="32"/>
  <c r="Q62" i="32"/>
  <c r="R62" i="32"/>
  <c r="S62" i="32"/>
  <c r="T62" i="32"/>
  <c r="Q63" i="32"/>
  <c r="R63" i="32"/>
  <c r="S63" i="32"/>
  <c r="T63" i="32"/>
  <c r="Q64" i="32"/>
  <c r="R64" i="32"/>
  <c r="S64" i="32"/>
  <c r="T64" i="32"/>
  <c r="Q65" i="32"/>
  <c r="R65" i="32"/>
  <c r="S65" i="32"/>
  <c r="T65" i="32"/>
  <c r="Q66" i="32"/>
  <c r="R66" i="32"/>
  <c r="S66" i="32"/>
  <c r="T66" i="32"/>
  <c r="Q67" i="32"/>
  <c r="R67" i="32"/>
  <c r="S67" i="32"/>
  <c r="T67" i="32"/>
  <c r="Q68" i="32"/>
  <c r="R68" i="32"/>
  <c r="S68" i="32"/>
  <c r="T68" i="32"/>
  <c r="Q69" i="32"/>
  <c r="R69" i="32"/>
  <c r="S69" i="32"/>
  <c r="T69" i="32"/>
  <c r="Q70" i="32"/>
  <c r="R70" i="32"/>
  <c r="S70" i="32"/>
  <c r="T70" i="32"/>
  <c r="Q71" i="32"/>
  <c r="R71" i="32"/>
  <c r="S71" i="32"/>
  <c r="T71" i="32"/>
  <c r="Q72" i="32"/>
  <c r="R72" i="32"/>
  <c r="S72" i="32"/>
  <c r="T72" i="32"/>
  <c r="Q73" i="32"/>
  <c r="R73" i="32"/>
  <c r="S73" i="32"/>
  <c r="T73" i="32"/>
  <c r="Q74" i="32"/>
  <c r="R74" i="32"/>
  <c r="S74" i="32"/>
  <c r="T74" i="32"/>
  <c r="Q75" i="32"/>
  <c r="R75" i="32"/>
  <c r="S75" i="32"/>
  <c r="T75" i="32"/>
  <c r="Q76" i="32"/>
  <c r="R76" i="32"/>
  <c r="S76" i="32"/>
  <c r="T76" i="32"/>
  <c r="Q77" i="32"/>
  <c r="R77" i="32"/>
  <c r="S77" i="32"/>
  <c r="T77" i="32"/>
  <c r="Q78" i="32"/>
  <c r="R78" i="32"/>
  <c r="S78" i="32"/>
  <c r="T78" i="32"/>
  <c r="Q79" i="32"/>
  <c r="R79" i="32"/>
  <c r="S79" i="32"/>
  <c r="T79" i="32"/>
  <c r="Q80" i="32"/>
  <c r="R80" i="32"/>
  <c r="S80" i="32"/>
  <c r="T80" i="32"/>
  <c r="Q81" i="32"/>
  <c r="R81" i="32"/>
  <c r="S81" i="32"/>
  <c r="T81" i="32"/>
  <c r="Q82" i="32"/>
  <c r="R82" i="32"/>
  <c r="S82" i="32"/>
  <c r="T82" i="32"/>
  <c r="Q83" i="32"/>
  <c r="R83" i="32"/>
  <c r="S83" i="32"/>
  <c r="T83" i="32"/>
  <c r="Q84" i="32"/>
  <c r="R84" i="32"/>
  <c r="S84" i="32"/>
  <c r="T84" i="32"/>
  <c r="Q85" i="32"/>
  <c r="R85" i="32"/>
  <c r="S85" i="32"/>
  <c r="T85" i="32"/>
  <c r="Q86" i="32"/>
  <c r="R86" i="32"/>
  <c r="S86" i="32"/>
  <c r="T86" i="32"/>
  <c r="Q87" i="32"/>
  <c r="R87" i="32"/>
  <c r="S87" i="32"/>
  <c r="T87" i="32"/>
  <c r="Q88" i="32"/>
  <c r="R88" i="32"/>
  <c r="S88" i="32"/>
  <c r="T88" i="32"/>
  <c r="Q89" i="32"/>
  <c r="R89" i="32"/>
  <c r="S89" i="32"/>
  <c r="T89" i="32"/>
  <c r="Q90" i="32"/>
  <c r="R90" i="32"/>
  <c r="S90" i="32"/>
  <c r="T90" i="32"/>
  <c r="Q91" i="32"/>
  <c r="R91" i="32"/>
  <c r="S91" i="32"/>
  <c r="T91" i="32"/>
  <c r="Q92" i="32"/>
  <c r="R92" i="32"/>
  <c r="S92" i="32"/>
  <c r="T92" i="32"/>
  <c r="Q93" i="32"/>
  <c r="R93" i="32"/>
  <c r="S93" i="32"/>
  <c r="T93" i="32"/>
  <c r="Q94" i="32"/>
  <c r="R94" i="32"/>
  <c r="S94" i="32"/>
  <c r="T94" i="32"/>
  <c r="Q95" i="32"/>
  <c r="R95" i="32"/>
  <c r="S95" i="32"/>
  <c r="T95" i="32"/>
  <c r="Q96" i="32"/>
  <c r="R96" i="32"/>
  <c r="S96" i="32"/>
  <c r="T96" i="32"/>
  <c r="Q97" i="32"/>
  <c r="R97" i="32"/>
  <c r="S97" i="32"/>
  <c r="T97" i="32"/>
  <c r="Q98" i="32"/>
  <c r="R98" i="32"/>
  <c r="S98" i="32"/>
  <c r="T98" i="32"/>
  <c r="Q99" i="32"/>
  <c r="R99" i="32"/>
  <c r="S99" i="32"/>
  <c r="T99" i="32"/>
  <c r="Q100" i="32"/>
  <c r="R100" i="32"/>
  <c r="S100" i="32"/>
  <c r="T100" i="32"/>
  <c r="Q101" i="32"/>
  <c r="R101" i="32"/>
  <c r="S101" i="32"/>
  <c r="T101" i="32"/>
  <c r="Q102" i="32"/>
  <c r="R102" i="32"/>
  <c r="S102" i="32"/>
  <c r="T102" i="32"/>
  <c r="Q103" i="32"/>
  <c r="R103" i="32"/>
  <c r="S103" i="32"/>
  <c r="T103" i="32"/>
  <c r="Q104" i="32"/>
  <c r="R104" i="32"/>
  <c r="S104" i="32"/>
  <c r="T104" i="32"/>
  <c r="Q105" i="32"/>
  <c r="R105" i="32"/>
  <c r="S105" i="32"/>
  <c r="T105" i="32"/>
  <c r="Q106" i="32"/>
  <c r="R106" i="32"/>
  <c r="S106" i="32"/>
  <c r="T106" i="32"/>
  <c r="Q107" i="32"/>
  <c r="R107" i="32"/>
  <c r="S107" i="32"/>
  <c r="T107" i="32"/>
  <c r="Q108" i="32"/>
  <c r="R108" i="32"/>
  <c r="S108" i="32"/>
  <c r="T108" i="32"/>
  <c r="Q109" i="32"/>
  <c r="R109" i="32"/>
  <c r="S109" i="32"/>
  <c r="T109" i="32"/>
  <c r="Q110" i="32"/>
  <c r="R110" i="32"/>
  <c r="S110" i="32"/>
  <c r="T110" i="32"/>
  <c r="Q111" i="32"/>
  <c r="R111" i="32"/>
  <c r="S111" i="32"/>
  <c r="T111" i="32"/>
  <c r="Q112" i="32"/>
  <c r="R112" i="32"/>
  <c r="S112" i="32"/>
  <c r="T112" i="32"/>
  <c r="Q113" i="32"/>
  <c r="R113" i="32"/>
  <c r="S113" i="32"/>
  <c r="T113" i="32"/>
  <c r="Q114" i="32"/>
  <c r="R114" i="32"/>
  <c r="S114" i="32"/>
  <c r="T114" i="32"/>
  <c r="Q115" i="32"/>
  <c r="R115" i="32"/>
  <c r="S115" i="32"/>
  <c r="T115" i="32"/>
  <c r="Q116" i="32"/>
  <c r="R116" i="32"/>
  <c r="S116" i="32"/>
  <c r="T116" i="32"/>
  <c r="Q117" i="32"/>
  <c r="R117" i="32"/>
  <c r="S117" i="32"/>
  <c r="T117" i="32"/>
  <c r="Q118" i="32"/>
  <c r="R118" i="32"/>
  <c r="S118" i="32"/>
  <c r="T118" i="32"/>
  <c r="Q119" i="32"/>
  <c r="R119" i="32"/>
  <c r="S119" i="32"/>
  <c r="T119" i="32"/>
  <c r="Q120" i="32"/>
  <c r="R120" i="32"/>
  <c r="S120" i="32"/>
  <c r="T120" i="32"/>
  <c r="Q121" i="32"/>
  <c r="R121" i="32"/>
  <c r="S121" i="32"/>
  <c r="T121" i="32"/>
  <c r="Q122" i="32"/>
  <c r="R122" i="32"/>
  <c r="S122" i="32"/>
  <c r="T122" i="32"/>
  <c r="Q123" i="32"/>
  <c r="R123" i="32"/>
  <c r="S123" i="32"/>
  <c r="T123" i="32"/>
  <c r="Q124" i="32"/>
  <c r="R124" i="32"/>
  <c r="S124" i="32"/>
  <c r="T124" i="32"/>
  <c r="Q125" i="32"/>
  <c r="R125" i="32"/>
  <c r="S125" i="32"/>
  <c r="T125" i="32"/>
  <c r="Q126" i="32"/>
  <c r="R126" i="32"/>
  <c r="S126" i="32"/>
  <c r="T126" i="32"/>
  <c r="Q127" i="32"/>
  <c r="R127" i="32"/>
  <c r="S127" i="32"/>
  <c r="T127" i="32"/>
  <c r="Q128" i="32"/>
  <c r="R128" i="32"/>
  <c r="S128" i="32"/>
  <c r="T128" i="32"/>
  <c r="Q129" i="32"/>
  <c r="R129" i="32"/>
  <c r="S129" i="32"/>
  <c r="T129" i="32"/>
  <c r="Q130" i="32"/>
  <c r="R130" i="32"/>
  <c r="S130" i="32"/>
  <c r="T130" i="32"/>
  <c r="Q131" i="32"/>
  <c r="R131" i="32"/>
  <c r="S131" i="32"/>
  <c r="T131" i="32"/>
  <c r="Q132" i="32"/>
  <c r="R132" i="32"/>
  <c r="S132" i="32"/>
  <c r="T132" i="32"/>
  <c r="Q133" i="32"/>
  <c r="R133" i="32"/>
  <c r="S133" i="32"/>
  <c r="T133" i="32"/>
  <c r="Q134" i="32"/>
  <c r="R134" i="32"/>
  <c r="S134" i="32"/>
  <c r="T134" i="32"/>
  <c r="Q135" i="32"/>
  <c r="R135" i="32"/>
  <c r="S135" i="32"/>
  <c r="T135" i="32"/>
  <c r="Q136" i="32"/>
  <c r="R136" i="32"/>
  <c r="S136" i="32"/>
  <c r="T136" i="32"/>
  <c r="Q137" i="32"/>
  <c r="R137" i="32"/>
  <c r="S137" i="32"/>
  <c r="T137" i="32"/>
  <c r="Q138" i="32"/>
  <c r="R138" i="32"/>
  <c r="S138" i="32"/>
  <c r="T138" i="32"/>
  <c r="Q139" i="32"/>
  <c r="R139" i="32"/>
  <c r="S139" i="32"/>
  <c r="T139" i="32"/>
  <c r="Q140" i="32"/>
  <c r="R140" i="32"/>
  <c r="S140" i="32"/>
  <c r="T140" i="32"/>
  <c r="Q141" i="32"/>
  <c r="R141" i="32"/>
  <c r="S141" i="32"/>
  <c r="T141" i="32"/>
  <c r="Q142" i="32"/>
  <c r="R142" i="32"/>
  <c r="S142" i="32"/>
  <c r="T142" i="32"/>
  <c r="Q143" i="32"/>
  <c r="R143" i="32"/>
  <c r="S143" i="32"/>
  <c r="T143" i="32"/>
  <c r="Q144" i="32"/>
  <c r="R144" i="32"/>
  <c r="S144" i="32"/>
  <c r="T144" i="32"/>
  <c r="Q145" i="32"/>
  <c r="R145" i="32"/>
  <c r="S145" i="32"/>
  <c r="T145" i="32"/>
  <c r="Q146" i="32"/>
  <c r="R146" i="32"/>
  <c r="S146" i="32"/>
  <c r="T146" i="32"/>
  <c r="Q147" i="32"/>
  <c r="R147" i="32"/>
  <c r="S147" i="32"/>
  <c r="T147" i="32"/>
  <c r="Q148" i="32"/>
  <c r="R148" i="32"/>
  <c r="S148" i="32"/>
  <c r="T148" i="32"/>
  <c r="Q149" i="32"/>
  <c r="R149" i="32"/>
  <c r="S149" i="32"/>
  <c r="T149" i="32"/>
  <c r="Q150" i="32"/>
  <c r="R150" i="32"/>
  <c r="S150" i="32"/>
  <c r="T150" i="32"/>
  <c r="Q151" i="32"/>
  <c r="R151" i="32"/>
  <c r="S151" i="32"/>
  <c r="T151" i="32"/>
  <c r="Q152" i="32"/>
  <c r="R152" i="32"/>
  <c r="S152" i="32"/>
  <c r="T152" i="32"/>
  <c r="Q153" i="32"/>
  <c r="R153" i="32"/>
  <c r="S153" i="32"/>
  <c r="T153" i="32"/>
  <c r="Q154" i="32"/>
  <c r="R154" i="32"/>
  <c r="S154" i="32"/>
  <c r="T154" i="32"/>
  <c r="Q155" i="32"/>
  <c r="R155" i="32"/>
  <c r="S155" i="32"/>
  <c r="T155" i="32"/>
  <c r="Q156" i="32"/>
  <c r="R156" i="32"/>
  <c r="S156" i="32"/>
  <c r="T156" i="32"/>
  <c r="Q157" i="32"/>
  <c r="R157" i="32"/>
  <c r="S157" i="32"/>
  <c r="T157" i="32"/>
  <c r="Q158" i="32"/>
  <c r="R158" i="32"/>
  <c r="S158" i="32"/>
  <c r="T158" i="32"/>
  <c r="Q159" i="32"/>
  <c r="R159" i="32"/>
  <c r="S159" i="32"/>
  <c r="T159" i="32"/>
  <c r="Q160" i="32"/>
  <c r="R160" i="32"/>
  <c r="S160" i="32"/>
  <c r="T160" i="32"/>
  <c r="Q161" i="32"/>
  <c r="R161" i="32"/>
  <c r="S161" i="32"/>
  <c r="T161" i="32"/>
  <c r="Q162" i="32"/>
  <c r="R162" i="32"/>
  <c r="S162" i="32"/>
  <c r="T162" i="32"/>
  <c r="Q163" i="32"/>
  <c r="R163" i="32"/>
  <c r="S163" i="32"/>
  <c r="T163" i="32"/>
  <c r="Q164" i="32"/>
  <c r="R164" i="32"/>
  <c r="S164" i="32"/>
  <c r="T164" i="32"/>
  <c r="Q165" i="32"/>
  <c r="R165" i="32"/>
  <c r="S165" i="32"/>
  <c r="T165" i="32"/>
  <c r="Q166" i="32"/>
  <c r="R166" i="32"/>
  <c r="S166" i="32"/>
  <c r="T166" i="32"/>
  <c r="Q167" i="32"/>
  <c r="R167" i="32"/>
  <c r="S167" i="32"/>
  <c r="T167" i="32"/>
  <c r="Q168" i="32"/>
  <c r="R168" i="32"/>
  <c r="S168" i="32"/>
  <c r="T168" i="32"/>
  <c r="Q169" i="32"/>
  <c r="R169" i="32"/>
  <c r="S169" i="32"/>
  <c r="T169" i="32"/>
  <c r="Q170" i="32"/>
  <c r="R170" i="32"/>
  <c r="S170" i="32"/>
  <c r="T170" i="32"/>
  <c r="Q171" i="32"/>
  <c r="R171" i="32"/>
  <c r="S171" i="32"/>
  <c r="T171" i="32"/>
  <c r="Q172" i="32"/>
  <c r="R172" i="32"/>
  <c r="S172" i="32"/>
  <c r="T172" i="32"/>
  <c r="Q173" i="32"/>
  <c r="R173" i="32"/>
  <c r="S173" i="32"/>
  <c r="T173" i="32"/>
  <c r="Q174" i="32"/>
  <c r="R174" i="32"/>
  <c r="S174" i="32"/>
  <c r="T174" i="32"/>
  <c r="Q175" i="32"/>
  <c r="R175" i="32"/>
  <c r="S175" i="32"/>
  <c r="T175" i="32"/>
  <c r="Q176" i="32"/>
  <c r="R176" i="32"/>
  <c r="S176" i="32"/>
  <c r="T176" i="32"/>
  <c r="Q177" i="32"/>
  <c r="R177" i="32"/>
  <c r="S177" i="32"/>
  <c r="T177" i="32"/>
  <c r="Q178" i="32"/>
  <c r="R178" i="32"/>
  <c r="S178" i="32"/>
  <c r="T178" i="32"/>
  <c r="Q179" i="32"/>
  <c r="R179" i="32"/>
  <c r="S179" i="32"/>
  <c r="T179" i="32"/>
  <c r="Q180" i="32"/>
  <c r="R180" i="32"/>
  <c r="S180" i="32"/>
  <c r="T180" i="32"/>
  <c r="Q181" i="32"/>
  <c r="R181" i="32"/>
  <c r="S181" i="32"/>
  <c r="T181" i="32"/>
  <c r="Q182" i="32"/>
  <c r="R182" i="32"/>
  <c r="S182" i="32"/>
  <c r="T182" i="32"/>
  <c r="Q183" i="32"/>
  <c r="R183" i="32"/>
  <c r="S183" i="32"/>
  <c r="T183" i="32"/>
  <c r="Q184" i="32"/>
  <c r="R184" i="32"/>
  <c r="S184" i="32"/>
  <c r="T184" i="32"/>
  <c r="Q185" i="32"/>
  <c r="R185" i="32"/>
  <c r="S185" i="32"/>
  <c r="T185" i="32"/>
  <c r="Q186" i="32"/>
  <c r="R186" i="32"/>
  <c r="S186" i="32"/>
  <c r="T186" i="32"/>
  <c r="Q187" i="32"/>
  <c r="R187" i="32"/>
  <c r="S187" i="32"/>
  <c r="T187" i="32"/>
  <c r="Q188" i="32"/>
  <c r="R188" i="32"/>
  <c r="S188" i="32"/>
  <c r="T188" i="32"/>
  <c r="Q189" i="32"/>
  <c r="R189" i="32"/>
  <c r="S189" i="32"/>
  <c r="T189" i="32"/>
  <c r="Q190" i="32"/>
  <c r="R190" i="32"/>
  <c r="S190" i="32"/>
  <c r="T190" i="32"/>
  <c r="Q191" i="32"/>
  <c r="R191" i="32"/>
  <c r="S191" i="32"/>
  <c r="T191" i="32"/>
  <c r="Q192" i="32"/>
  <c r="R192" i="32"/>
  <c r="S192" i="32"/>
  <c r="T192" i="32"/>
  <c r="Q193" i="32"/>
  <c r="R193" i="32"/>
  <c r="S193" i="32"/>
  <c r="T193" i="32"/>
  <c r="Q194" i="32"/>
  <c r="R194" i="32"/>
  <c r="S194" i="32"/>
  <c r="T194" i="32"/>
  <c r="Q195" i="32"/>
  <c r="R195" i="32"/>
  <c r="S195" i="32"/>
  <c r="T195" i="32"/>
  <c r="Q196" i="32"/>
  <c r="R196" i="32"/>
  <c r="S196" i="32"/>
  <c r="T196" i="32"/>
  <c r="Q197" i="32"/>
  <c r="R197" i="32"/>
  <c r="S197" i="32"/>
  <c r="T197" i="32"/>
  <c r="Q198" i="32"/>
  <c r="R198" i="32"/>
  <c r="S198" i="32"/>
  <c r="T198" i="32"/>
  <c r="Q199" i="32"/>
  <c r="R199" i="32"/>
  <c r="S199" i="32"/>
  <c r="T199" i="32"/>
  <c r="Q200" i="32"/>
  <c r="R200" i="32"/>
  <c r="S200" i="32"/>
  <c r="T200" i="32"/>
  <c r="Q201" i="32"/>
  <c r="R201" i="32"/>
  <c r="S201" i="32"/>
  <c r="T201" i="32"/>
  <c r="Q202" i="32"/>
  <c r="R202" i="32"/>
  <c r="S202" i="32"/>
  <c r="T202" i="32"/>
  <c r="Q203" i="32"/>
  <c r="R203" i="32"/>
  <c r="S203" i="32"/>
  <c r="T203" i="32"/>
  <c r="Q204" i="32"/>
  <c r="R204" i="32"/>
  <c r="S204" i="32"/>
  <c r="T204" i="32"/>
  <c r="Q205" i="32"/>
  <c r="R205" i="32"/>
  <c r="S205" i="32"/>
  <c r="T205" i="32"/>
  <c r="Q206" i="32"/>
  <c r="R206" i="32"/>
  <c r="S206" i="32"/>
  <c r="T206" i="32"/>
  <c r="Q207" i="32"/>
  <c r="R207" i="32"/>
  <c r="S207" i="32"/>
  <c r="T207" i="32"/>
  <c r="Q208" i="32"/>
  <c r="R208" i="32"/>
  <c r="S208" i="32"/>
  <c r="T208" i="32"/>
  <c r="Q209" i="32"/>
  <c r="R209" i="32"/>
  <c r="S209" i="32"/>
  <c r="T209" i="32"/>
  <c r="Q210" i="32"/>
  <c r="R210" i="32"/>
  <c r="S210" i="32"/>
  <c r="T210" i="32"/>
  <c r="Q211" i="32"/>
  <c r="R211" i="32"/>
  <c r="S211" i="32"/>
  <c r="T211" i="32"/>
  <c r="Q212" i="32"/>
  <c r="R212" i="32"/>
  <c r="S212" i="32"/>
  <c r="T212" i="32"/>
  <c r="Q213" i="32"/>
  <c r="R213" i="32"/>
  <c r="S213" i="32"/>
  <c r="T213" i="32"/>
  <c r="Q214" i="32"/>
  <c r="R214" i="32"/>
  <c r="S214" i="32"/>
  <c r="T214" i="32"/>
  <c r="Q215" i="32"/>
  <c r="R215" i="32"/>
  <c r="S215" i="32"/>
  <c r="T215" i="32"/>
  <c r="Q216" i="32"/>
  <c r="R216" i="32"/>
  <c r="S216" i="32"/>
  <c r="T216" i="32"/>
  <c r="Q217" i="32"/>
  <c r="R217" i="32"/>
  <c r="S217" i="32"/>
  <c r="T217" i="32"/>
  <c r="Q218" i="32"/>
  <c r="R218" i="32"/>
  <c r="S218" i="32"/>
  <c r="T218" i="32"/>
  <c r="Q219" i="32"/>
  <c r="R219" i="32"/>
  <c r="S219" i="32"/>
  <c r="T219" i="32"/>
  <c r="Q220" i="32"/>
  <c r="R220" i="32"/>
  <c r="S220" i="32"/>
  <c r="T220" i="32"/>
  <c r="Q221" i="32"/>
  <c r="R221" i="32"/>
  <c r="S221" i="32"/>
  <c r="T221" i="32"/>
  <c r="Q222" i="32"/>
  <c r="R222" i="32"/>
  <c r="S222" i="32"/>
  <c r="T222" i="32"/>
  <c r="Q223" i="32"/>
  <c r="R223" i="32"/>
  <c r="S223" i="32"/>
  <c r="T223" i="32"/>
  <c r="Q224" i="32"/>
  <c r="R224" i="32"/>
  <c r="S224" i="32"/>
  <c r="T224" i="32"/>
  <c r="Q225" i="32"/>
  <c r="R225" i="32"/>
  <c r="S225" i="32"/>
  <c r="T225" i="32"/>
  <c r="Q226" i="32"/>
  <c r="R226" i="32"/>
  <c r="S226" i="32"/>
  <c r="T226" i="32"/>
  <c r="Q227" i="32"/>
  <c r="R227" i="32"/>
  <c r="S227" i="32"/>
  <c r="T227" i="32"/>
  <c r="Q228" i="32"/>
  <c r="R228" i="32"/>
  <c r="S228" i="32"/>
  <c r="T228" i="32"/>
  <c r="Q229" i="32"/>
  <c r="R229" i="32"/>
  <c r="S229" i="32"/>
  <c r="T229" i="32"/>
  <c r="Q230" i="32"/>
  <c r="R230" i="32"/>
  <c r="S230" i="32"/>
  <c r="T230" i="32"/>
  <c r="Q231" i="32"/>
  <c r="R231" i="32"/>
  <c r="S231" i="32"/>
  <c r="T231" i="32"/>
  <c r="Q232" i="32"/>
  <c r="R232" i="32"/>
  <c r="S232" i="32"/>
  <c r="T232" i="32"/>
  <c r="Q233" i="32"/>
  <c r="R233" i="32"/>
  <c r="S233" i="32"/>
  <c r="T233" i="32"/>
  <c r="Q234" i="32"/>
  <c r="R234" i="32"/>
  <c r="S234" i="32"/>
  <c r="T234" i="32"/>
  <c r="Q235" i="32"/>
  <c r="R235" i="32"/>
  <c r="S235" i="32"/>
  <c r="T235" i="32"/>
  <c r="Q236" i="32"/>
  <c r="R236" i="32"/>
  <c r="S236" i="32"/>
  <c r="T236" i="32"/>
  <c r="Q237" i="32"/>
  <c r="R237" i="32"/>
  <c r="S237" i="32"/>
  <c r="T237" i="32"/>
  <c r="Q238" i="32"/>
  <c r="R238" i="32"/>
  <c r="S238" i="32"/>
  <c r="T238" i="32"/>
  <c r="Q239" i="32"/>
  <c r="R239" i="32"/>
  <c r="S239" i="32"/>
  <c r="T239" i="32"/>
  <c r="Q240" i="32"/>
  <c r="R240" i="32"/>
  <c r="S240" i="32"/>
  <c r="T240" i="32"/>
  <c r="Q241" i="32"/>
  <c r="R241" i="32"/>
  <c r="S241" i="32"/>
  <c r="T241" i="32"/>
  <c r="Q242" i="32"/>
  <c r="R242" i="32"/>
  <c r="S242" i="32"/>
  <c r="T242" i="32"/>
  <c r="Q243" i="32"/>
  <c r="R243" i="32"/>
  <c r="S243" i="32"/>
  <c r="T243" i="32"/>
  <c r="Q244" i="32"/>
  <c r="R244" i="32"/>
  <c r="S244" i="32"/>
  <c r="T244" i="32"/>
  <c r="Q245" i="32"/>
  <c r="R245" i="32"/>
  <c r="S245" i="32"/>
  <c r="T245" i="32"/>
  <c r="Q246" i="32"/>
  <c r="R246" i="32"/>
  <c r="S246" i="32"/>
  <c r="T246" i="32"/>
  <c r="Q247" i="32"/>
  <c r="R247" i="32"/>
  <c r="S247" i="32"/>
  <c r="T247" i="32"/>
  <c r="Q248" i="32"/>
  <c r="R248" i="32"/>
  <c r="S248" i="32"/>
  <c r="T248" i="32"/>
  <c r="Q249" i="32"/>
  <c r="R249" i="32"/>
  <c r="S249" i="32"/>
  <c r="T249" i="32"/>
  <c r="Q250" i="32"/>
  <c r="R250" i="32"/>
  <c r="S250" i="32"/>
  <c r="T250" i="32"/>
  <c r="Q251" i="32"/>
  <c r="R251" i="32"/>
  <c r="S251" i="32"/>
  <c r="T251" i="32"/>
  <c r="Q252" i="32"/>
  <c r="R252" i="32"/>
  <c r="S252" i="32"/>
  <c r="T252" i="32"/>
  <c r="Q253" i="32"/>
  <c r="R253" i="32"/>
  <c r="S253" i="32"/>
  <c r="T253" i="32"/>
  <c r="Q254" i="32"/>
  <c r="R254" i="32"/>
  <c r="S254" i="32"/>
  <c r="T254" i="32"/>
  <c r="Q255" i="32"/>
  <c r="R255" i="32"/>
  <c r="S255" i="32"/>
  <c r="T255" i="32"/>
  <c r="Q256" i="32"/>
  <c r="R256" i="32"/>
  <c r="S256" i="32"/>
  <c r="T256" i="32"/>
  <c r="Q257" i="32"/>
  <c r="R257" i="32"/>
  <c r="S257" i="32"/>
  <c r="T257" i="32"/>
  <c r="Q258" i="32"/>
  <c r="R258" i="32"/>
  <c r="S258" i="32"/>
  <c r="T258" i="32"/>
  <c r="Q259" i="32"/>
  <c r="R259" i="32"/>
  <c r="S259" i="32"/>
  <c r="T259" i="32"/>
  <c r="Q260" i="32"/>
  <c r="R260" i="32"/>
  <c r="S260" i="32"/>
  <c r="T260" i="32"/>
  <c r="Q261" i="32"/>
  <c r="R261" i="32"/>
  <c r="S261" i="32"/>
  <c r="T261" i="32"/>
  <c r="Q262" i="32"/>
  <c r="R262" i="32"/>
  <c r="S262" i="32"/>
  <c r="T262" i="32"/>
  <c r="Q263" i="32"/>
  <c r="R263" i="32"/>
  <c r="S263" i="32"/>
  <c r="T263" i="32"/>
  <c r="Q264" i="32"/>
  <c r="R264" i="32"/>
  <c r="S264" i="32"/>
  <c r="T264" i="32"/>
  <c r="Q265" i="32"/>
  <c r="R265" i="32"/>
  <c r="S265" i="32"/>
  <c r="T265" i="32"/>
  <c r="Q266" i="32"/>
  <c r="R266" i="32"/>
  <c r="S266" i="32"/>
  <c r="T266" i="32"/>
  <c r="Q267" i="32"/>
  <c r="R267" i="32"/>
  <c r="S267" i="32"/>
  <c r="T267" i="32"/>
  <c r="Q268" i="32"/>
  <c r="R268" i="32"/>
  <c r="S268" i="32"/>
  <c r="T268" i="32"/>
  <c r="Q269" i="32"/>
  <c r="R269" i="32"/>
  <c r="S269" i="32"/>
  <c r="T269" i="32"/>
  <c r="Q270" i="32"/>
  <c r="R270" i="32"/>
  <c r="S270" i="32"/>
  <c r="T270" i="32"/>
  <c r="Q271" i="32"/>
  <c r="R271" i="32"/>
  <c r="S271" i="32"/>
  <c r="T271" i="32"/>
  <c r="Q272" i="32"/>
  <c r="R272" i="32"/>
  <c r="S272" i="32"/>
  <c r="T272" i="32"/>
  <c r="Q273" i="32"/>
  <c r="R273" i="32"/>
  <c r="S273" i="32"/>
  <c r="T273" i="32"/>
  <c r="Q274" i="32"/>
  <c r="R274" i="32"/>
  <c r="S274" i="32"/>
  <c r="T274" i="32"/>
  <c r="Q275" i="32"/>
  <c r="R275" i="32"/>
  <c r="S275" i="32"/>
  <c r="T275" i="32"/>
  <c r="Q276" i="32"/>
  <c r="R276" i="32"/>
  <c r="S276" i="32"/>
  <c r="T276" i="32"/>
  <c r="Q277" i="32"/>
  <c r="R277" i="32"/>
  <c r="S277" i="32"/>
  <c r="T277" i="32"/>
  <c r="Q278" i="32"/>
  <c r="R278" i="32"/>
  <c r="S278" i="32"/>
  <c r="T278" i="32"/>
  <c r="Q279" i="32"/>
  <c r="R279" i="32"/>
  <c r="S279" i="32"/>
  <c r="T279" i="32"/>
  <c r="Q280" i="32"/>
  <c r="R280" i="32"/>
  <c r="S280" i="32"/>
  <c r="T280" i="32"/>
  <c r="Q281" i="32"/>
  <c r="R281" i="32"/>
  <c r="S281" i="32"/>
  <c r="T281" i="32"/>
  <c r="Q282" i="32"/>
  <c r="R282" i="32"/>
  <c r="S282" i="32"/>
  <c r="T282" i="32"/>
  <c r="Q283" i="32"/>
  <c r="R283" i="32"/>
  <c r="S283" i="32"/>
  <c r="T283" i="32"/>
  <c r="Q284" i="32"/>
  <c r="R284" i="32"/>
  <c r="S284" i="32"/>
  <c r="T284" i="32"/>
  <c r="Q285" i="32"/>
  <c r="R285" i="32"/>
  <c r="S285" i="32"/>
  <c r="T285" i="32"/>
  <c r="Q286" i="32"/>
  <c r="R286" i="32"/>
  <c r="S286" i="32"/>
  <c r="T286" i="32"/>
  <c r="Q287" i="32"/>
  <c r="R287" i="32"/>
  <c r="S287" i="32"/>
  <c r="T287" i="32"/>
  <c r="Q288" i="32"/>
  <c r="R288" i="32"/>
  <c r="S288" i="32"/>
  <c r="T288" i="32"/>
  <c r="Q289" i="32"/>
  <c r="R289" i="32"/>
  <c r="S289" i="32"/>
  <c r="T289" i="32"/>
  <c r="Q290" i="32"/>
  <c r="R290" i="32"/>
  <c r="S290" i="32"/>
  <c r="T290" i="32"/>
  <c r="Q291" i="32"/>
  <c r="R291" i="32"/>
  <c r="S291" i="32"/>
  <c r="T291" i="32"/>
  <c r="Q292" i="32"/>
  <c r="R292" i="32"/>
  <c r="S292" i="32"/>
  <c r="T292" i="32"/>
  <c r="Q293" i="32"/>
  <c r="R293" i="32"/>
  <c r="S293" i="32"/>
  <c r="T293" i="32"/>
  <c r="Q294" i="32"/>
  <c r="R294" i="32"/>
  <c r="S294" i="32"/>
  <c r="T294" i="32"/>
  <c r="Q295" i="32"/>
  <c r="R295" i="32"/>
  <c r="S295" i="32"/>
  <c r="T295" i="32"/>
  <c r="Q296" i="32"/>
  <c r="R296" i="32"/>
  <c r="S296" i="32"/>
  <c r="T296" i="32"/>
  <c r="Q297" i="32"/>
  <c r="R297" i="32"/>
  <c r="S297" i="32"/>
  <c r="T297" i="32"/>
  <c r="Q298" i="32"/>
  <c r="R298" i="32"/>
  <c r="S298" i="32"/>
  <c r="T298" i="32"/>
  <c r="Q299" i="32"/>
  <c r="R299" i="32"/>
  <c r="S299" i="32"/>
  <c r="T299" i="32"/>
  <c r="Q300" i="32"/>
  <c r="R300" i="32"/>
  <c r="S300" i="32"/>
  <c r="T300" i="32"/>
  <c r="Q301" i="32"/>
  <c r="R301" i="32"/>
  <c r="S301" i="32"/>
  <c r="T301" i="32"/>
  <c r="Q302" i="32"/>
  <c r="R302" i="32"/>
  <c r="S302" i="32"/>
  <c r="T302" i="32"/>
  <c r="Q303" i="32"/>
  <c r="R303" i="32"/>
  <c r="S303" i="32"/>
  <c r="T303" i="32"/>
  <c r="Q304" i="32"/>
  <c r="R304" i="32"/>
  <c r="S304" i="32"/>
  <c r="T304" i="32"/>
  <c r="Q305" i="32"/>
  <c r="R305" i="32"/>
  <c r="S305" i="32"/>
  <c r="T305" i="32"/>
  <c r="Q306" i="32"/>
  <c r="R306" i="32"/>
  <c r="S306" i="32"/>
  <c r="T306" i="32"/>
  <c r="Q307" i="32"/>
  <c r="R307" i="32"/>
  <c r="S307" i="32"/>
  <c r="T307" i="32"/>
  <c r="Q308" i="32"/>
  <c r="R308" i="32"/>
  <c r="S308" i="32"/>
  <c r="T308" i="32"/>
  <c r="Q309" i="32"/>
  <c r="R309" i="32"/>
  <c r="S309" i="32"/>
  <c r="T309" i="32"/>
  <c r="Q310" i="32"/>
  <c r="R310" i="32"/>
  <c r="S310" i="32"/>
  <c r="T310" i="32"/>
  <c r="Q311" i="32"/>
  <c r="R311" i="32"/>
  <c r="S311" i="32"/>
  <c r="T311" i="32"/>
  <c r="Q312" i="32"/>
  <c r="R312" i="32"/>
  <c r="S312" i="32"/>
  <c r="T312" i="32"/>
  <c r="Q313" i="32"/>
  <c r="R313" i="32"/>
  <c r="S313" i="32"/>
  <c r="T313" i="32"/>
  <c r="Q314" i="32"/>
  <c r="R314" i="32"/>
  <c r="S314" i="32"/>
  <c r="T314" i="32"/>
  <c r="Q315" i="32"/>
  <c r="R315" i="32"/>
  <c r="S315" i="32"/>
  <c r="T315" i="32"/>
  <c r="Q316" i="32"/>
  <c r="R316" i="32"/>
  <c r="S316" i="32"/>
  <c r="T316" i="32"/>
  <c r="Q317" i="32"/>
  <c r="R317" i="32"/>
  <c r="S317" i="32"/>
  <c r="T317" i="32"/>
  <c r="Q318" i="32"/>
  <c r="R318" i="32"/>
  <c r="S318" i="32"/>
  <c r="T318" i="32"/>
  <c r="Q319" i="32"/>
  <c r="R319" i="32"/>
  <c r="S319" i="32"/>
  <c r="T319" i="32"/>
  <c r="Q320" i="32"/>
  <c r="R320" i="32"/>
  <c r="S320" i="32"/>
  <c r="T320" i="32"/>
  <c r="Q321" i="32"/>
  <c r="R321" i="32"/>
  <c r="S321" i="32"/>
  <c r="T321" i="32"/>
  <c r="Q322" i="32"/>
  <c r="R322" i="32"/>
  <c r="S322" i="32"/>
  <c r="T322" i="32"/>
  <c r="Q323" i="32"/>
  <c r="R323" i="32"/>
  <c r="S323" i="32"/>
  <c r="T323" i="32"/>
  <c r="Q324" i="32"/>
  <c r="R324" i="32"/>
  <c r="S324" i="32"/>
  <c r="T324" i="32"/>
  <c r="Q325" i="32"/>
  <c r="R325" i="32"/>
  <c r="S325" i="32"/>
  <c r="T325" i="32"/>
  <c r="Q326" i="32"/>
  <c r="R326" i="32"/>
  <c r="S326" i="32"/>
  <c r="T326" i="32"/>
  <c r="Q327" i="32"/>
  <c r="R327" i="32"/>
  <c r="S327" i="32"/>
  <c r="T327" i="32"/>
  <c r="Q328" i="32"/>
  <c r="R328" i="32"/>
  <c r="S328" i="32"/>
  <c r="T328" i="32"/>
  <c r="Q329" i="32"/>
  <c r="R329" i="32"/>
  <c r="S329" i="32"/>
  <c r="T329" i="32"/>
  <c r="Q330" i="32"/>
  <c r="R330" i="32"/>
  <c r="S330" i="32"/>
  <c r="T330" i="32"/>
  <c r="Q331" i="32"/>
  <c r="R331" i="32"/>
  <c r="S331" i="32"/>
  <c r="T331" i="32"/>
  <c r="Q332" i="32"/>
  <c r="R332" i="32"/>
  <c r="S332" i="32"/>
  <c r="T332" i="32"/>
  <c r="Q333" i="32"/>
  <c r="R333" i="32"/>
  <c r="S333" i="32"/>
  <c r="T333" i="32"/>
  <c r="Q334" i="32"/>
  <c r="R334" i="32"/>
  <c r="S334" i="32"/>
  <c r="T334" i="32"/>
  <c r="Q335" i="32"/>
  <c r="R335" i="32"/>
  <c r="S335" i="32"/>
  <c r="T335" i="32"/>
  <c r="Q336" i="32"/>
  <c r="R336" i="32"/>
  <c r="S336" i="32"/>
  <c r="T336" i="32"/>
  <c r="Q337" i="32"/>
  <c r="R337" i="32"/>
  <c r="S337" i="32"/>
  <c r="T337" i="32"/>
  <c r="Q338" i="32"/>
  <c r="R338" i="32"/>
  <c r="S338" i="32"/>
  <c r="T338" i="32"/>
  <c r="Q339" i="32"/>
  <c r="R339" i="32"/>
  <c r="S339" i="32"/>
  <c r="T339" i="32"/>
  <c r="Q340" i="32"/>
  <c r="R340" i="32"/>
  <c r="S340" i="32"/>
  <c r="T340" i="32"/>
  <c r="Q341" i="32"/>
  <c r="R341" i="32"/>
  <c r="S341" i="32"/>
  <c r="T341" i="32"/>
  <c r="Q342" i="32"/>
  <c r="R342" i="32"/>
  <c r="S342" i="32"/>
  <c r="T342" i="32"/>
  <c r="Q343" i="32"/>
  <c r="R343" i="32"/>
  <c r="S343" i="32"/>
  <c r="T343" i="32"/>
  <c r="Q344" i="32"/>
  <c r="R344" i="32"/>
  <c r="S344" i="32"/>
  <c r="T344" i="32"/>
  <c r="Q345" i="32"/>
  <c r="R345" i="32"/>
  <c r="S345" i="32"/>
  <c r="T345" i="32"/>
  <c r="Q346" i="32"/>
  <c r="R346" i="32"/>
  <c r="S346" i="32"/>
  <c r="T346" i="32"/>
  <c r="Q347" i="32"/>
  <c r="R347" i="32"/>
  <c r="S347" i="32"/>
  <c r="T347" i="32"/>
  <c r="Q348" i="32"/>
  <c r="R348" i="32"/>
  <c r="S348" i="32"/>
  <c r="T348" i="32"/>
  <c r="Q349" i="32"/>
  <c r="R349" i="32"/>
  <c r="S349" i="32"/>
  <c r="T349" i="32"/>
  <c r="Q350" i="32"/>
  <c r="R350" i="32"/>
  <c r="S350" i="32"/>
  <c r="T350" i="32"/>
  <c r="Q351" i="32"/>
  <c r="R351" i="32"/>
  <c r="S351" i="32"/>
  <c r="T351" i="32"/>
  <c r="Q352" i="32"/>
  <c r="R352" i="32"/>
  <c r="S352" i="32"/>
  <c r="T352" i="32"/>
  <c r="Q353" i="32"/>
  <c r="R353" i="32"/>
  <c r="S353" i="32"/>
  <c r="T353" i="32"/>
  <c r="Q354" i="32"/>
  <c r="R354" i="32"/>
  <c r="S354" i="32"/>
  <c r="T354" i="32"/>
  <c r="Q355" i="32"/>
  <c r="R355" i="32"/>
  <c r="S355" i="32"/>
  <c r="T355" i="32"/>
  <c r="Q356" i="32"/>
  <c r="R356" i="32"/>
  <c r="S356" i="32"/>
  <c r="T356" i="32"/>
  <c r="Q357" i="32"/>
  <c r="R357" i="32"/>
  <c r="S357" i="32"/>
  <c r="T357" i="32"/>
  <c r="Q358" i="32"/>
  <c r="R358" i="32"/>
  <c r="S358" i="32"/>
  <c r="T358" i="32"/>
  <c r="Q359" i="32"/>
  <c r="R359" i="32"/>
  <c r="S359" i="32"/>
  <c r="T359" i="32"/>
  <c r="Q360" i="32"/>
  <c r="R360" i="32"/>
  <c r="S360" i="32"/>
  <c r="T360" i="32"/>
  <c r="Q361" i="32"/>
  <c r="R361" i="32"/>
  <c r="S361" i="32"/>
  <c r="T361" i="32"/>
  <c r="Q362" i="32"/>
  <c r="R362" i="32"/>
  <c r="S362" i="32"/>
  <c r="T362" i="32"/>
  <c r="Q363" i="32"/>
  <c r="R363" i="32"/>
  <c r="S363" i="32"/>
  <c r="T363" i="32"/>
  <c r="Q364" i="32"/>
  <c r="R364" i="32"/>
  <c r="S364" i="32"/>
  <c r="T364" i="32"/>
  <c r="Q365" i="32"/>
  <c r="R365" i="32"/>
  <c r="S365" i="32"/>
  <c r="T365" i="32"/>
  <c r="Q366" i="32"/>
  <c r="R366" i="32"/>
  <c r="S366" i="32"/>
  <c r="T366" i="32"/>
  <c r="Q367" i="32"/>
  <c r="R367" i="32"/>
  <c r="S367" i="32"/>
  <c r="T367" i="32"/>
  <c r="Q368" i="32"/>
  <c r="R368" i="32"/>
  <c r="S368" i="32"/>
  <c r="T368" i="32"/>
  <c r="Q369" i="32"/>
  <c r="R369" i="32"/>
  <c r="S369" i="32"/>
  <c r="T369" i="32"/>
  <c r="Q370" i="32"/>
  <c r="R370" i="32"/>
  <c r="S370" i="32"/>
  <c r="T370" i="32"/>
  <c r="Q371" i="32"/>
  <c r="R371" i="32"/>
  <c r="S371" i="32"/>
  <c r="T371" i="32"/>
  <c r="Q372" i="32"/>
  <c r="R372" i="32"/>
  <c r="S372" i="32"/>
  <c r="T372" i="32"/>
  <c r="Q373" i="32"/>
  <c r="R373" i="32"/>
  <c r="S373" i="32"/>
  <c r="T373" i="32"/>
  <c r="Q374" i="32"/>
  <c r="R374" i="32"/>
  <c r="S374" i="32"/>
  <c r="T374" i="32"/>
  <c r="Q375" i="32"/>
  <c r="R375" i="32"/>
  <c r="S375" i="32"/>
  <c r="T375" i="32"/>
  <c r="Q376" i="32"/>
  <c r="R376" i="32"/>
  <c r="S376" i="32"/>
  <c r="T376" i="32"/>
  <c r="Q377" i="32"/>
  <c r="R377" i="32"/>
  <c r="S377" i="32"/>
  <c r="T377" i="32"/>
  <c r="Q378" i="32"/>
  <c r="R378" i="32"/>
  <c r="S378" i="32"/>
  <c r="T378" i="32"/>
  <c r="Q379" i="32"/>
  <c r="R379" i="32"/>
  <c r="S379" i="32"/>
  <c r="T379" i="32"/>
  <c r="Q380" i="32"/>
  <c r="R380" i="32"/>
  <c r="S380" i="32"/>
  <c r="T380" i="32"/>
  <c r="Q381" i="32"/>
  <c r="R381" i="32"/>
  <c r="S381" i="32"/>
  <c r="T381" i="32"/>
  <c r="Q382" i="32"/>
  <c r="R382" i="32"/>
  <c r="S382" i="32"/>
  <c r="T382" i="32"/>
  <c r="Q383" i="32"/>
  <c r="R383" i="32"/>
  <c r="S383" i="32"/>
  <c r="T383" i="32"/>
  <c r="Q384" i="32"/>
  <c r="R384" i="32"/>
  <c r="S384" i="32"/>
  <c r="T384" i="32"/>
  <c r="Q385" i="32"/>
  <c r="R385" i="32"/>
  <c r="S385" i="32"/>
  <c r="T385" i="32"/>
  <c r="Q386" i="32"/>
  <c r="R386" i="32"/>
  <c r="S386" i="32"/>
  <c r="T386" i="32"/>
  <c r="Q387" i="32"/>
  <c r="R387" i="32"/>
  <c r="S387" i="32"/>
  <c r="T387" i="32"/>
  <c r="Q388" i="32"/>
  <c r="R388" i="32"/>
  <c r="S388" i="32"/>
  <c r="T388" i="32"/>
  <c r="Q389" i="32"/>
  <c r="R389" i="32"/>
  <c r="S389" i="32"/>
  <c r="T389" i="32"/>
  <c r="Q390" i="32"/>
  <c r="R390" i="32"/>
  <c r="S390" i="32"/>
  <c r="T390" i="32"/>
  <c r="Q391" i="32"/>
  <c r="R391" i="32"/>
  <c r="S391" i="32"/>
  <c r="T391" i="32"/>
  <c r="Q392" i="32"/>
  <c r="R392" i="32"/>
  <c r="S392" i="32"/>
  <c r="T392" i="32"/>
  <c r="Q393" i="32"/>
  <c r="R393" i="32"/>
  <c r="S393" i="32"/>
  <c r="T393" i="32"/>
  <c r="Q394" i="32"/>
  <c r="R394" i="32"/>
  <c r="S394" i="32"/>
  <c r="T394" i="32"/>
  <c r="Q395" i="32"/>
  <c r="R395" i="32"/>
  <c r="S395" i="32"/>
  <c r="T395" i="32"/>
  <c r="Q396" i="32"/>
  <c r="R396" i="32"/>
  <c r="S396" i="32"/>
  <c r="T396" i="32"/>
  <c r="Q397" i="32"/>
  <c r="R397" i="32"/>
  <c r="S397" i="32"/>
  <c r="T397" i="32"/>
  <c r="Q398" i="32"/>
  <c r="R398" i="32"/>
  <c r="S398" i="32"/>
  <c r="T398" i="32"/>
  <c r="Q399" i="32"/>
  <c r="R399" i="32"/>
  <c r="S399" i="32"/>
  <c r="T399" i="32"/>
  <c r="Q400" i="32"/>
  <c r="R400" i="32"/>
  <c r="S400" i="32"/>
  <c r="T400" i="32"/>
  <c r="Q401" i="32"/>
  <c r="R401" i="32"/>
  <c r="S401" i="32"/>
  <c r="T401" i="32"/>
  <c r="Q402" i="32"/>
  <c r="R402" i="32"/>
  <c r="S402" i="32"/>
  <c r="T402" i="32"/>
  <c r="Q403" i="32"/>
  <c r="R403" i="32"/>
  <c r="S403" i="32"/>
  <c r="T403" i="32"/>
  <c r="R6" i="32"/>
  <c r="Q6"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8" i="32"/>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7" i="32"/>
  <c r="F6" i="32"/>
  <c r="E404" i="32"/>
  <c r="M8" i="31"/>
  <c r="N8" i="31"/>
  <c r="O8" i="31" s="1"/>
  <c r="M9" i="31"/>
  <c r="N9" i="31"/>
  <c r="O9" i="31" s="1"/>
  <c r="M10" i="31"/>
  <c r="N10" i="31" s="1"/>
  <c r="O10" i="31" s="1"/>
  <c r="M11" i="31"/>
  <c r="N11" i="31"/>
  <c r="O11" i="31" s="1"/>
  <c r="M12" i="31"/>
  <c r="N12" i="31" s="1"/>
  <c r="O12" i="31" s="1"/>
  <c r="M13" i="31"/>
  <c r="N13" i="31" s="1"/>
  <c r="O13" i="31" s="1"/>
  <c r="M14" i="31"/>
  <c r="N14" i="31"/>
  <c r="O14" i="31" s="1"/>
  <c r="M15" i="31"/>
  <c r="N15" i="31"/>
  <c r="O15" i="31" s="1"/>
  <c r="M16" i="31"/>
  <c r="N16" i="31"/>
  <c r="O16" i="31"/>
  <c r="M17" i="31"/>
  <c r="N17" i="31" s="1"/>
  <c r="O17" i="31" s="1"/>
  <c r="M18" i="31"/>
  <c r="N18" i="31" s="1"/>
  <c r="O18" i="31" s="1"/>
  <c r="M19" i="31"/>
  <c r="N19" i="31"/>
  <c r="O19" i="31" s="1"/>
  <c r="M20" i="31"/>
  <c r="N20" i="31" s="1"/>
  <c r="O20" i="31" s="1"/>
  <c r="M21" i="31"/>
  <c r="N21" i="31"/>
  <c r="O21" i="31" s="1"/>
  <c r="M22" i="31"/>
  <c r="N22" i="31" s="1"/>
  <c r="O22" i="31" s="1"/>
  <c r="M23" i="31"/>
  <c r="N23" i="31"/>
  <c r="O23" i="31" s="1"/>
  <c r="M24" i="31"/>
  <c r="N24" i="31" s="1"/>
  <c r="O24" i="31" s="1"/>
  <c r="M25" i="31"/>
  <c r="N25" i="31" s="1"/>
  <c r="O25" i="31" s="1"/>
  <c r="M26" i="31"/>
  <c r="N26" i="31"/>
  <c r="O26" i="31" s="1"/>
  <c r="M27" i="31"/>
  <c r="N27" i="31"/>
  <c r="O27" i="31" s="1"/>
  <c r="M28" i="31"/>
  <c r="N28" i="31"/>
  <c r="O28" i="31" s="1"/>
  <c r="M29" i="31"/>
  <c r="N29" i="31"/>
  <c r="O29" i="31" s="1"/>
  <c r="M30" i="31"/>
  <c r="N30" i="31" s="1"/>
  <c r="O30" i="31" s="1"/>
  <c r="M31" i="31"/>
  <c r="N31" i="31"/>
  <c r="O31" i="31" s="1"/>
  <c r="M32" i="31"/>
  <c r="N32" i="31" s="1"/>
  <c r="O32" i="31" s="1"/>
  <c r="M33" i="31"/>
  <c r="N33" i="31"/>
  <c r="O33" i="31" s="1"/>
  <c r="M34" i="31"/>
  <c r="N34" i="31" s="1"/>
  <c r="O34" i="31" s="1"/>
  <c r="M35" i="31"/>
  <c r="N35" i="31" s="1"/>
  <c r="O35" i="31" s="1"/>
  <c r="M36" i="31"/>
  <c r="N36" i="31"/>
  <c r="O36" i="31" s="1"/>
  <c r="M37" i="31"/>
  <c r="N37" i="31"/>
  <c r="O37" i="31" s="1"/>
  <c r="M38" i="31"/>
  <c r="N38" i="31" s="1"/>
  <c r="O38" i="31" s="1"/>
  <c r="M39" i="31"/>
  <c r="N39" i="31"/>
  <c r="O39" i="31" s="1"/>
  <c r="M40" i="31"/>
  <c r="N40" i="31" s="1"/>
  <c r="O40" i="31" s="1"/>
  <c r="M41" i="31"/>
  <c r="N41" i="31"/>
  <c r="O41" i="31" s="1"/>
  <c r="M42" i="31"/>
  <c r="N42" i="31" s="1"/>
  <c r="O42" i="31" s="1"/>
  <c r="M43" i="31"/>
  <c r="N43" i="31" s="1"/>
  <c r="O43" i="31" s="1"/>
  <c r="M44" i="31"/>
  <c r="N44" i="31"/>
  <c r="O44" i="31" s="1"/>
  <c r="M45" i="31"/>
  <c r="N45" i="31"/>
  <c r="O45" i="31" s="1"/>
  <c r="M46" i="31"/>
  <c r="N46" i="31" s="1"/>
  <c r="O46" i="31" s="1"/>
  <c r="M47" i="31"/>
  <c r="N47" i="31"/>
  <c r="O47" i="31" s="1"/>
  <c r="M48" i="31"/>
  <c r="N48" i="31" s="1"/>
  <c r="O48" i="31" s="1"/>
  <c r="M49" i="31"/>
  <c r="N49" i="31" s="1"/>
  <c r="O49" i="31" s="1"/>
  <c r="M50" i="31"/>
  <c r="N50" i="31" s="1"/>
  <c r="O50" i="31" s="1"/>
  <c r="M51" i="31"/>
  <c r="N51" i="31"/>
  <c r="O51" i="31" s="1"/>
  <c r="M52" i="31"/>
  <c r="N52" i="31" s="1"/>
  <c r="O52" i="31" s="1"/>
  <c r="M53" i="31"/>
  <c r="N53" i="31"/>
  <c r="O53" i="31" s="1"/>
  <c r="M54" i="31"/>
  <c r="N54" i="31" s="1"/>
  <c r="O54" i="31" s="1"/>
  <c r="M55" i="31"/>
  <c r="N55" i="31"/>
  <c r="O55" i="31" s="1"/>
  <c r="M56" i="31"/>
  <c r="N56" i="31" s="1"/>
  <c r="O56" i="31" s="1"/>
  <c r="M57" i="31"/>
  <c r="N57" i="31" s="1"/>
  <c r="O57" i="31" s="1"/>
  <c r="M58" i="31"/>
  <c r="N58" i="31"/>
  <c r="O58" i="31" s="1"/>
  <c r="M59" i="31"/>
  <c r="N59" i="31" s="1"/>
  <c r="O59" i="31" s="1"/>
  <c r="M60" i="31"/>
  <c r="N60" i="31"/>
  <c r="O60" i="31" s="1"/>
  <c r="M61" i="31"/>
  <c r="N61" i="31"/>
  <c r="O61" i="31" s="1"/>
  <c r="M62" i="31"/>
  <c r="N62" i="31" s="1"/>
  <c r="O62" i="31" s="1"/>
  <c r="M63" i="31"/>
  <c r="N63" i="31" s="1"/>
  <c r="O63" i="31" s="1"/>
  <c r="M64" i="31"/>
  <c r="N64" i="31"/>
  <c r="O64" i="31"/>
  <c r="M65" i="31"/>
  <c r="N65" i="31"/>
  <c r="O65" i="31" s="1"/>
  <c r="M66" i="31"/>
  <c r="N66" i="31" s="1"/>
  <c r="O66" i="31" s="1"/>
  <c r="M67" i="31"/>
  <c r="N67" i="31" s="1"/>
  <c r="O67" i="31" s="1"/>
  <c r="M68" i="31"/>
  <c r="N68" i="31" s="1"/>
  <c r="O68" i="31" s="1"/>
  <c r="M69" i="31"/>
  <c r="N69" i="31" s="1"/>
  <c r="O69" i="31" s="1"/>
  <c r="M70" i="31"/>
  <c r="N70" i="31" s="1"/>
  <c r="O70" i="31" s="1"/>
  <c r="M71" i="31"/>
  <c r="N71" i="31"/>
  <c r="O71" i="31" s="1"/>
  <c r="M72" i="31"/>
  <c r="N72" i="31"/>
  <c r="O72" i="31" s="1"/>
  <c r="M73" i="31"/>
  <c r="N73" i="31" s="1"/>
  <c r="O73" i="31" s="1"/>
  <c r="M74" i="31"/>
  <c r="N74" i="31" s="1"/>
  <c r="O74" i="31" s="1"/>
  <c r="M75" i="31"/>
  <c r="N75" i="31"/>
  <c r="O75" i="31" s="1"/>
  <c r="M76" i="31"/>
  <c r="N76" i="31" s="1"/>
  <c r="O76" i="31" s="1"/>
  <c r="M77" i="31"/>
  <c r="N77" i="31"/>
  <c r="O77" i="31" s="1"/>
  <c r="M78" i="31"/>
  <c r="N78" i="31"/>
  <c r="O78" i="31" s="1"/>
  <c r="M79" i="31"/>
  <c r="N79" i="31"/>
  <c r="O79" i="31" s="1"/>
  <c r="M80" i="31"/>
  <c r="N80" i="31" s="1"/>
  <c r="O80" i="31" s="1"/>
  <c r="M81" i="31"/>
  <c r="N81" i="31"/>
  <c r="O81" i="31" s="1"/>
  <c r="M82" i="31"/>
  <c r="N82" i="31" s="1"/>
  <c r="O82" i="31" s="1"/>
  <c r="M83" i="31"/>
  <c r="N83" i="31"/>
  <c r="O83" i="31" s="1"/>
  <c r="M84" i="31"/>
  <c r="N84" i="31" s="1"/>
  <c r="O84" i="31" s="1"/>
  <c r="M85" i="31"/>
  <c r="N85" i="31"/>
  <c r="O85" i="31" s="1"/>
  <c r="M86" i="31"/>
  <c r="N86" i="31" s="1"/>
  <c r="O86" i="31" s="1"/>
  <c r="M87" i="31"/>
  <c r="N87" i="31"/>
  <c r="O87" i="31" s="1"/>
  <c r="M88" i="31"/>
  <c r="N88" i="31" s="1"/>
  <c r="O88" i="31" s="1"/>
  <c r="M89" i="31"/>
  <c r="N89" i="31" s="1"/>
  <c r="O89" i="31" s="1"/>
  <c r="M90" i="31"/>
  <c r="N90" i="31" s="1"/>
  <c r="O90" i="31" s="1"/>
  <c r="M91" i="31"/>
  <c r="N91" i="31"/>
  <c r="O91" i="31" s="1"/>
  <c r="M92" i="31"/>
  <c r="N92" i="31" s="1"/>
  <c r="O92" i="31" s="1"/>
  <c r="M93" i="31"/>
  <c r="N93" i="31"/>
  <c r="O93" i="31" s="1"/>
  <c r="M94" i="31"/>
  <c r="N94" i="31"/>
  <c r="O94" i="31" s="1"/>
  <c r="M95" i="31"/>
  <c r="N95" i="31" s="1"/>
  <c r="O95" i="31" s="1"/>
  <c r="M96" i="31"/>
  <c r="N96" i="31" s="1"/>
  <c r="O96" i="31" s="1"/>
  <c r="M97" i="31"/>
  <c r="N97" i="31" s="1"/>
  <c r="O97" i="31" s="1"/>
  <c r="M98" i="31"/>
  <c r="N98" i="31" s="1"/>
  <c r="O98" i="31" s="1"/>
  <c r="M99" i="31"/>
  <c r="N99" i="31" s="1"/>
  <c r="O99" i="31" s="1"/>
  <c r="M100" i="31"/>
  <c r="N100" i="31"/>
  <c r="O100" i="31" s="1"/>
  <c r="M101" i="31"/>
  <c r="N101" i="31"/>
  <c r="O101" i="31" s="1"/>
  <c r="M102" i="31"/>
  <c r="N102" i="31" s="1"/>
  <c r="O102" i="31" s="1"/>
  <c r="M103" i="31"/>
  <c r="N103" i="31"/>
  <c r="O103" i="31" s="1"/>
  <c r="M104" i="31"/>
  <c r="N104" i="31"/>
  <c r="O104" i="31"/>
  <c r="M105" i="31"/>
  <c r="N105" i="31" s="1"/>
  <c r="O105" i="31" s="1"/>
  <c r="M106" i="31"/>
  <c r="N106" i="31" s="1"/>
  <c r="O106" i="31" s="1"/>
  <c r="M107" i="31"/>
  <c r="N107" i="31"/>
  <c r="O107" i="31" s="1"/>
  <c r="M108" i="31"/>
  <c r="N108" i="31" s="1"/>
  <c r="O108" i="31" s="1"/>
  <c r="M109" i="31"/>
  <c r="N109" i="31" s="1"/>
  <c r="O109" i="31" s="1"/>
  <c r="M110" i="31"/>
  <c r="N110" i="31"/>
  <c r="O110" i="31" s="1"/>
  <c r="M111" i="31"/>
  <c r="N111" i="31"/>
  <c r="O111" i="31" s="1"/>
  <c r="M112" i="31"/>
  <c r="N112" i="31" s="1"/>
  <c r="O112" i="31"/>
  <c r="M113" i="31"/>
  <c r="N113" i="31"/>
  <c r="O113" i="31" s="1"/>
  <c r="M114" i="31"/>
  <c r="N114" i="31" s="1"/>
  <c r="O114" i="31" s="1"/>
  <c r="M115" i="31"/>
  <c r="N115" i="31"/>
  <c r="O115" i="31" s="1"/>
  <c r="M116" i="31"/>
  <c r="N116" i="31"/>
  <c r="O116" i="31" s="1"/>
  <c r="M117" i="31"/>
  <c r="N117" i="31" s="1"/>
  <c r="O117" i="31" s="1"/>
  <c r="M118" i="31"/>
  <c r="N118" i="31" s="1"/>
  <c r="O118" i="31" s="1"/>
  <c r="M119" i="31"/>
  <c r="N119" i="31" s="1"/>
  <c r="O119" i="31" s="1"/>
  <c r="M120" i="31"/>
  <c r="N120" i="31" s="1"/>
  <c r="O120" i="31" s="1"/>
  <c r="M121" i="31"/>
  <c r="N121" i="31"/>
  <c r="O121" i="31" s="1"/>
  <c r="M122" i="31"/>
  <c r="N122" i="31" s="1"/>
  <c r="O122" i="31" s="1"/>
  <c r="M123" i="31"/>
  <c r="N123" i="31"/>
  <c r="O123" i="31" s="1"/>
  <c r="M124" i="31"/>
  <c r="N124" i="31"/>
  <c r="O124" i="31" s="1"/>
  <c r="M125" i="31"/>
  <c r="N125" i="31"/>
  <c r="O125" i="31" s="1"/>
  <c r="M126" i="31"/>
  <c r="N126" i="31"/>
  <c r="O126" i="31" s="1"/>
  <c r="M127" i="31"/>
  <c r="N127" i="31" s="1"/>
  <c r="O127" i="31" s="1"/>
  <c r="M128" i="31"/>
  <c r="N128" i="31"/>
  <c r="O128" i="31"/>
  <c r="M129" i="31"/>
  <c r="N129" i="31" s="1"/>
  <c r="O129" i="31" s="1"/>
  <c r="M130" i="31"/>
  <c r="N130" i="31" s="1"/>
  <c r="O130" i="31" s="1"/>
  <c r="M131" i="31"/>
  <c r="N131" i="31"/>
  <c r="O131" i="31" s="1"/>
  <c r="M132" i="31"/>
  <c r="N132" i="31" s="1"/>
  <c r="O132" i="31" s="1"/>
  <c r="M133" i="31"/>
  <c r="N133" i="31" s="1"/>
  <c r="O133" i="31" s="1"/>
  <c r="M134" i="31"/>
  <c r="N134" i="31" s="1"/>
  <c r="O134" i="31" s="1"/>
  <c r="M135" i="31"/>
  <c r="N135" i="31" s="1"/>
  <c r="O135" i="31" s="1"/>
  <c r="M136" i="31"/>
  <c r="N136" i="31" s="1"/>
  <c r="O136" i="31" s="1"/>
  <c r="M137" i="31"/>
  <c r="N137" i="31"/>
  <c r="O137" i="31" s="1"/>
  <c r="M138" i="31"/>
  <c r="N138" i="31" s="1"/>
  <c r="O138" i="31" s="1"/>
  <c r="M139" i="31"/>
  <c r="N139" i="31" s="1"/>
  <c r="O139" i="31" s="1"/>
  <c r="M140" i="31"/>
  <c r="N140" i="31"/>
  <c r="O140" i="31" s="1"/>
  <c r="M141" i="31"/>
  <c r="N141" i="31"/>
  <c r="O141" i="31" s="1"/>
  <c r="M142" i="31"/>
  <c r="N142" i="31" s="1"/>
  <c r="O142" i="31" s="1"/>
  <c r="M143" i="31"/>
  <c r="N143" i="31"/>
  <c r="O143" i="31" s="1"/>
  <c r="M144" i="31"/>
  <c r="N144" i="31" s="1"/>
  <c r="O144" i="31" s="1"/>
  <c r="M145" i="31"/>
  <c r="N145" i="31" s="1"/>
  <c r="O145" i="31" s="1"/>
  <c r="M146" i="31"/>
  <c r="N146" i="31" s="1"/>
  <c r="O146" i="31" s="1"/>
  <c r="M147" i="31"/>
  <c r="N147" i="31"/>
  <c r="O147" i="31" s="1"/>
  <c r="M148" i="31"/>
  <c r="N148" i="31"/>
  <c r="O148" i="31" s="1"/>
  <c r="M149" i="31"/>
  <c r="N149" i="31"/>
  <c r="O149" i="31" s="1"/>
  <c r="M150" i="31"/>
  <c r="N150" i="31" s="1"/>
  <c r="O150" i="31" s="1"/>
  <c r="M151" i="31"/>
  <c r="N151" i="31" s="1"/>
  <c r="O151" i="31" s="1"/>
  <c r="M152" i="31"/>
  <c r="N152" i="31"/>
  <c r="O152" i="31" s="1"/>
  <c r="M153" i="31"/>
  <c r="N153" i="31"/>
  <c r="O153" i="31" s="1"/>
  <c r="M154" i="31"/>
  <c r="N154" i="31"/>
  <c r="O154" i="31" s="1"/>
  <c r="M155" i="31"/>
  <c r="N155" i="31" s="1"/>
  <c r="O155" i="31" s="1"/>
  <c r="M156" i="31"/>
  <c r="N156" i="31" s="1"/>
  <c r="O156" i="31" s="1"/>
  <c r="M157" i="31"/>
  <c r="N157" i="31" s="1"/>
  <c r="O157" i="31" s="1"/>
  <c r="M158" i="31"/>
  <c r="N158" i="31" s="1"/>
  <c r="O158" i="31" s="1"/>
  <c r="M159" i="31"/>
  <c r="N159" i="31"/>
  <c r="O159" i="31" s="1"/>
  <c r="M160" i="31"/>
  <c r="N160" i="31" s="1"/>
  <c r="O160" i="31" s="1"/>
  <c r="M161" i="31"/>
  <c r="N161" i="31"/>
  <c r="O161" i="31" s="1"/>
  <c r="M162" i="31"/>
  <c r="N162" i="31" s="1"/>
  <c r="O162" i="31" s="1"/>
  <c r="M163" i="31"/>
  <c r="N163" i="31"/>
  <c r="O163" i="31" s="1"/>
  <c r="M164" i="31"/>
  <c r="N164" i="31" s="1"/>
  <c r="O164" i="31" s="1"/>
  <c r="M165" i="31"/>
  <c r="N165" i="31"/>
  <c r="O165" i="31" s="1"/>
  <c r="M166" i="31"/>
  <c r="N166" i="31" s="1"/>
  <c r="O166" i="31" s="1"/>
  <c r="M167" i="31"/>
  <c r="N167" i="31"/>
  <c r="O167" i="31" s="1"/>
  <c r="M168" i="31"/>
  <c r="N168" i="31" s="1"/>
  <c r="O168" i="31" s="1"/>
  <c r="M169" i="31"/>
  <c r="N169" i="31" s="1"/>
  <c r="O169" i="31" s="1"/>
  <c r="M170" i="31"/>
  <c r="N170" i="31"/>
  <c r="O170" i="31" s="1"/>
  <c r="M171" i="31"/>
  <c r="N171" i="31" s="1"/>
  <c r="O171" i="31" s="1"/>
  <c r="M172" i="31"/>
  <c r="N172" i="31" s="1"/>
  <c r="O172" i="31" s="1"/>
  <c r="M173" i="31"/>
  <c r="N173" i="31"/>
  <c r="O173" i="31" s="1"/>
  <c r="M174" i="31"/>
  <c r="N174" i="31"/>
  <c r="O174" i="31" s="1"/>
  <c r="M175" i="31"/>
  <c r="N175" i="31" s="1"/>
  <c r="O175" i="31" s="1"/>
  <c r="M176" i="31"/>
  <c r="N176" i="31" s="1"/>
  <c r="O176" i="31" s="1"/>
  <c r="M177" i="31"/>
  <c r="N177" i="31"/>
  <c r="O177" i="31" s="1"/>
  <c r="M178" i="31"/>
  <c r="N178" i="31" s="1"/>
  <c r="O178" i="31" s="1"/>
  <c r="M179" i="31"/>
  <c r="N179" i="31" s="1"/>
  <c r="O179" i="31" s="1"/>
  <c r="M180" i="31"/>
  <c r="N180" i="31"/>
  <c r="O180" i="31" s="1"/>
  <c r="M181" i="31"/>
  <c r="N181" i="31" s="1"/>
  <c r="O181" i="31" s="1"/>
  <c r="M182" i="31"/>
  <c r="N182" i="31" s="1"/>
  <c r="O182" i="31" s="1"/>
  <c r="M183" i="31"/>
  <c r="N183" i="31"/>
  <c r="O183" i="31" s="1"/>
  <c r="M184" i="31"/>
  <c r="N184" i="31" s="1"/>
  <c r="O184" i="31" s="1"/>
  <c r="M185" i="31"/>
  <c r="N185" i="31"/>
  <c r="O185" i="31" s="1"/>
  <c r="M186" i="31"/>
  <c r="N186" i="31" s="1"/>
  <c r="O186" i="31" s="1"/>
  <c r="M187" i="31"/>
  <c r="N187" i="31" s="1"/>
  <c r="O187" i="31" s="1"/>
  <c r="M188" i="31"/>
  <c r="N188" i="31"/>
  <c r="O188" i="31" s="1"/>
  <c r="M189" i="31"/>
  <c r="N189" i="31" s="1"/>
  <c r="O189" i="31" s="1"/>
  <c r="M190" i="31"/>
  <c r="N190" i="31"/>
  <c r="O190" i="31" s="1"/>
  <c r="M191" i="31"/>
  <c r="N191" i="31" s="1"/>
  <c r="O191" i="31" s="1"/>
  <c r="M192" i="31"/>
  <c r="N192" i="31" s="1"/>
  <c r="O192" i="31"/>
  <c r="M193" i="31"/>
  <c r="N193" i="31" s="1"/>
  <c r="O193" i="31" s="1"/>
  <c r="M194" i="31"/>
  <c r="N194" i="31" s="1"/>
  <c r="O194" i="31" s="1"/>
  <c r="M195" i="31"/>
  <c r="N195" i="31"/>
  <c r="O195" i="31" s="1"/>
  <c r="M196" i="31"/>
  <c r="N196" i="31" s="1"/>
  <c r="O196" i="31" s="1"/>
  <c r="M197" i="31"/>
  <c r="N197" i="31"/>
  <c r="O197" i="31" s="1"/>
  <c r="M198" i="31"/>
  <c r="N198" i="31" s="1"/>
  <c r="O198" i="31" s="1"/>
  <c r="M199" i="31"/>
  <c r="N199" i="31" s="1"/>
  <c r="O199" i="31" s="1"/>
  <c r="M200" i="31"/>
  <c r="N200" i="31" s="1"/>
  <c r="O200" i="31" s="1"/>
  <c r="M201" i="31"/>
  <c r="N201" i="31" s="1"/>
  <c r="O201" i="31" s="1"/>
  <c r="M202" i="31"/>
  <c r="N202" i="31" s="1"/>
  <c r="O202" i="31" s="1"/>
  <c r="M203" i="31"/>
  <c r="N203" i="31" s="1"/>
  <c r="O203" i="31" s="1"/>
  <c r="M204" i="31"/>
  <c r="N204" i="31"/>
  <c r="O204" i="31" s="1"/>
  <c r="M205" i="31"/>
  <c r="N205" i="31"/>
  <c r="O205" i="31" s="1"/>
  <c r="M206" i="31"/>
  <c r="N206" i="31"/>
  <c r="O206" i="31" s="1"/>
  <c r="M207" i="31"/>
  <c r="N207" i="31" s="1"/>
  <c r="O207" i="31" s="1"/>
  <c r="M208" i="31"/>
  <c r="N208" i="31"/>
  <c r="O208" i="31"/>
  <c r="M209" i="31"/>
  <c r="N209" i="31" s="1"/>
  <c r="O209" i="31" s="1"/>
  <c r="M210" i="31"/>
  <c r="N210" i="31" s="1"/>
  <c r="O210" i="31" s="1"/>
  <c r="M211" i="31"/>
  <c r="N211" i="31"/>
  <c r="O211" i="31" s="1"/>
  <c r="M212" i="31"/>
  <c r="N212" i="31" s="1"/>
  <c r="O212" i="31" s="1"/>
  <c r="M213" i="31"/>
  <c r="N213" i="31" s="1"/>
  <c r="O213" i="31" s="1"/>
  <c r="M214" i="31"/>
  <c r="N214" i="31" s="1"/>
  <c r="O214" i="31" s="1"/>
  <c r="M215" i="31"/>
  <c r="N215" i="31"/>
  <c r="O215" i="31" s="1"/>
  <c r="M216" i="31"/>
  <c r="N216" i="31"/>
  <c r="O216" i="31"/>
  <c r="M217" i="31"/>
  <c r="N217" i="31"/>
  <c r="O217" i="31" s="1"/>
  <c r="M218" i="31"/>
  <c r="N218" i="31"/>
  <c r="O218" i="31" s="1"/>
  <c r="M219" i="31"/>
  <c r="N219" i="31"/>
  <c r="O219" i="31" s="1"/>
  <c r="M220" i="31"/>
  <c r="N220" i="31"/>
  <c r="O220" i="31" s="1"/>
  <c r="M221" i="31"/>
  <c r="N221" i="31"/>
  <c r="O221" i="31" s="1"/>
  <c r="M222" i="31"/>
  <c r="N222" i="31" s="1"/>
  <c r="O222" i="31" s="1"/>
  <c r="M223" i="31"/>
  <c r="N223" i="31"/>
  <c r="O223" i="31" s="1"/>
  <c r="M224" i="31"/>
  <c r="N224" i="31" s="1"/>
  <c r="O224" i="31" s="1"/>
  <c r="M225" i="31"/>
  <c r="N225" i="31" s="1"/>
  <c r="O225" i="31" s="1"/>
  <c r="M226" i="31"/>
  <c r="N226" i="31" s="1"/>
  <c r="O226" i="31" s="1"/>
  <c r="M227" i="31"/>
  <c r="N227" i="31"/>
  <c r="O227" i="31" s="1"/>
  <c r="M228" i="31"/>
  <c r="N228" i="31"/>
  <c r="O228" i="31" s="1"/>
  <c r="M229" i="31"/>
  <c r="N229" i="31"/>
  <c r="O229" i="31" s="1"/>
  <c r="M230" i="31"/>
  <c r="N230" i="31" s="1"/>
  <c r="O230" i="31" s="1"/>
  <c r="M231" i="31"/>
  <c r="N231" i="31" s="1"/>
  <c r="O231" i="31" s="1"/>
  <c r="M232" i="31"/>
  <c r="N232" i="31"/>
  <c r="O232" i="31" s="1"/>
  <c r="M233" i="31"/>
  <c r="N233" i="31" s="1"/>
  <c r="O233" i="31" s="1"/>
  <c r="M234" i="31"/>
  <c r="N234" i="31" s="1"/>
  <c r="O234" i="31" s="1"/>
  <c r="M235" i="31"/>
  <c r="N235" i="31" s="1"/>
  <c r="O235" i="31" s="1"/>
  <c r="M236" i="31"/>
  <c r="N236" i="31" s="1"/>
  <c r="O236" i="31" s="1"/>
  <c r="M237" i="31"/>
  <c r="N237" i="31" s="1"/>
  <c r="O237" i="31" s="1"/>
  <c r="M238" i="31"/>
  <c r="N238" i="31"/>
  <c r="O238" i="31" s="1"/>
  <c r="M239" i="31"/>
  <c r="N239" i="31"/>
  <c r="O239" i="31" s="1"/>
  <c r="M240" i="31"/>
  <c r="N240" i="31"/>
  <c r="O240" i="31" s="1"/>
  <c r="M241" i="31"/>
  <c r="N241" i="31"/>
  <c r="O241" i="31" s="1"/>
  <c r="M242" i="31"/>
  <c r="N242" i="31" s="1"/>
  <c r="O242" i="31" s="1"/>
  <c r="M243" i="31"/>
  <c r="N243" i="31"/>
  <c r="O243" i="31" s="1"/>
  <c r="M244" i="31"/>
  <c r="N244" i="31"/>
  <c r="O244" i="31" s="1"/>
  <c r="M245" i="31"/>
  <c r="N245" i="31"/>
  <c r="O245" i="31" s="1"/>
  <c r="M246" i="31"/>
  <c r="N246" i="31" s="1"/>
  <c r="O246" i="31" s="1"/>
  <c r="M247" i="31"/>
  <c r="N247" i="31" s="1"/>
  <c r="O247" i="31" s="1"/>
  <c r="M248" i="31"/>
  <c r="N248" i="31" s="1"/>
  <c r="O248" i="31" s="1"/>
  <c r="M249" i="31"/>
  <c r="N249" i="31"/>
  <c r="O249" i="31" s="1"/>
  <c r="M250" i="31"/>
  <c r="N250" i="31"/>
  <c r="O250" i="31" s="1"/>
  <c r="M251" i="31"/>
  <c r="N251" i="31" s="1"/>
  <c r="O251" i="31" s="1"/>
  <c r="M252" i="31"/>
  <c r="N252" i="31" s="1"/>
  <c r="O252" i="31" s="1"/>
  <c r="M253" i="31"/>
  <c r="N253" i="31" s="1"/>
  <c r="O253" i="31" s="1"/>
  <c r="M254" i="31"/>
  <c r="N254" i="31"/>
  <c r="O254" i="31" s="1"/>
  <c r="M255" i="31"/>
  <c r="N255" i="31"/>
  <c r="O255" i="31" s="1"/>
  <c r="M256" i="31"/>
  <c r="N256" i="31"/>
  <c r="O256" i="31" s="1"/>
  <c r="M257" i="31"/>
  <c r="N257" i="31" s="1"/>
  <c r="O257" i="31" s="1"/>
  <c r="M258" i="31"/>
  <c r="N258" i="31" s="1"/>
  <c r="O258" i="31" s="1"/>
  <c r="M259" i="31"/>
  <c r="N259" i="31"/>
  <c r="O259" i="31" s="1"/>
  <c r="M260" i="31"/>
  <c r="N260" i="31" s="1"/>
  <c r="O260" i="31" s="1"/>
  <c r="M261" i="31"/>
  <c r="N261" i="31" s="1"/>
  <c r="O261" i="31" s="1"/>
  <c r="M262" i="31"/>
  <c r="N262" i="31" s="1"/>
  <c r="O262" i="31" s="1"/>
  <c r="M263" i="31"/>
  <c r="N263" i="31"/>
  <c r="O263" i="31" s="1"/>
  <c r="M264" i="31"/>
  <c r="N264" i="31" s="1"/>
  <c r="O264" i="31" s="1"/>
  <c r="M265" i="31"/>
  <c r="N265" i="31" s="1"/>
  <c r="O265" i="31" s="1"/>
  <c r="M266" i="31"/>
  <c r="N266" i="31"/>
  <c r="O266" i="31" s="1"/>
  <c r="M267" i="31"/>
  <c r="N267" i="31"/>
  <c r="O267" i="31" s="1"/>
  <c r="M268" i="31"/>
  <c r="N268" i="31" s="1"/>
  <c r="O268" i="31" s="1"/>
  <c r="M269" i="31"/>
  <c r="N269" i="31"/>
  <c r="O269" i="31" s="1"/>
  <c r="M270" i="31"/>
  <c r="N270" i="31"/>
  <c r="O270" i="31" s="1"/>
  <c r="M271" i="31"/>
  <c r="N271" i="31"/>
  <c r="O271" i="31" s="1"/>
  <c r="M272" i="31"/>
  <c r="N272" i="31" s="1"/>
  <c r="O272" i="31" s="1"/>
  <c r="M273" i="31"/>
  <c r="N273" i="31"/>
  <c r="O273" i="31" s="1"/>
  <c r="M274" i="31"/>
  <c r="N274" i="31" s="1"/>
  <c r="O274" i="31" s="1"/>
  <c r="M275" i="31"/>
  <c r="N275" i="31"/>
  <c r="O275" i="31" s="1"/>
  <c r="M276" i="31"/>
  <c r="N276" i="31" s="1"/>
  <c r="O276" i="31" s="1"/>
  <c r="M277" i="31"/>
  <c r="N277" i="31"/>
  <c r="O277" i="31" s="1"/>
  <c r="M278" i="31"/>
  <c r="N278" i="31" s="1"/>
  <c r="O278" i="31" s="1"/>
  <c r="M279" i="31"/>
  <c r="N279" i="31" s="1"/>
  <c r="O279" i="31" s="1"/>
  <c r="M280" i="31"/>
  <c r="N280" i="31" s="1"/>
  <c r="O280" i="31" s="1"/>
  <c r="M281" i="31"/>
  <c r="N281" i="31"/>
  <c r="O281" i="31" s="1"/>
  <c r="M282" i="31"/>
  <c r="N282" i="31" s="1"/>
  <c r="O282" i="31" s="1"/>
  <c r="M283" i="31"/>
  <c r="N283" i="31"/>
  <c r="O283" i="31" s="1"/>
  <c r="M284" i="31"/>
  <c r="N284" i="31" s="1"/>
  <c r="O284" i="31" s="1"/>
  <c r="M285" i="31"/>
  <c r="N285" i="31" s="1"/>
  <c r="O285" i="31" s="1"/>
  <c r="M286" i="31"/>
  <c r="N286" i="31"/>
  <c r="O286" i="31" s="1"/>
  <c r="M287" i="31"/>
  <c r="N287" i="31" s="1"/>
  <c r="O287" i="31" s="1"/>
  <c r="M288" i="31"/>
  <c r="N288" i="31"/>
  <c r="O288" i="31" s="1"/>
  <c r="M289" i="31"/>
  <c r="N289" i="31" s="1"/>
  <c r="O289" i="31" s="1"/>
  <c r="M290" i="31"/>
  <c r="N290" i="31" s="1"/>
  <c r="O290" i="31" s="1"/>
  <c r="M291" i="31"/>
  <c r="N291" i="31" s="1"/>
  <c r="O291" i="31" s="1"/>
  <c r="M292" i="31"/>
  <c r="N292" i="31" s="1"/>
  <c r="O292" i="31" s="1"/>
  <c r="M293" i="31"/>
  <c r="N293" i="31"/>
  <c r="O293" i="31" s="1"/>
  <c r="M294" i="31"/>
  <c r="N294" i="31" s="1"/>
  <c r="O294" i="31" s="1"/>
  <c r="M295" i="31"/>
  <c r="N295" i="31"/>
  <c r="O295" i="31" s="1"/>
  <c r="M296" i="31"/>
  <c r="N296" i="31" s="1"/>
  <c r="O296" i="31" s="1"/>
  <c r="M297" i="31"/>
  <c r="N297" i="31" s="1"/>
  <c r="O297" i="31" s="1"/>
  <c r="M298" i="31"/>
  <c r="N298" i="31" s="1"/>
  <c r="O298" i="31" s="1"/>
  <c r="M299" i="31"/>
  <c r="N299" i="31" s="1"/>
  <c r="O299" i="31" s="1"/>
  <c r="M300" i="31"/>
  <c r="N300" i="31"/>
  <c r="O300" i="31" s="1"/>
  <c r="M301" i="31"/>
  <c r="N301" i="31" s="1"/>
  <c r="O301" i="31" s="1"/>
  <c r="M302" i="31"/>
  <c r="N302" i="31" s="1"/>
  <c r="O302" i="31" s="1"/>
  <c r="M303" i="31"/>
  <c r="N303" i="31" s="1"/>
  <c r="O303" i="31" s="1"/>
  <c r="M304" i="31"/>
  <c r="N304" i="31" s="1"/>
  <c r="O304" i="31" s="1"/>
  <c r="M305" i="31"/>
  <c r="N305" i="31"/>
  <c r="O305" i="31" s="1"/>
  <c r="M306" i="31"/>
  <c r="N306" i="31" s="1"/>
  <c r="O306" i="31" s="1"/>
  <c r="M307" i="31"/>
  <c r="N307" i="31" s="1"/>
  <c r="O307" i="31" s="1"/>
  <c r="M308" i="31"/>
  <c r="N308" i="31" s="1"/>
  <c r="O308" i="31" s="1"/>
  <c r="M309" i="31"/>
  <c r="N309" i="31"/>
  <c r="O309" i="31" s="1"/>
  <c r="M310" i="31"/>
  <c r="N310" i="31" s="1"/>
  <c r="O310" i="31" s="1"/>
  <c r="M311" i="31"/>
  <c r="N311" i="31" s="1"/>
  <c r="O311" i="31" s="1"/>
  <c r="M312" i="31"/>
  <c r="N312" i="31"/>
  <c r="O312" i="31" s="1"/>
  <c r="M313" i="31"/>
  <c r="N313" i="31"/>
  <c r="O313" i="31" s="1"/>
  <c r="M314" i="31"/>
  <c r="N314" i="31" s="1"/>
  <c r="O314" i="31" s="1"/>
  <c r="M315" i="31"/>
  <c r="N315" i="31" s="1"/>
  <c r="O315" i="31" s="1"/>
  <c r="M316" i="31"/>
  <c r="N316" i="31" s="1"/>
  <c r="O316" i="31" s="1"/>
  <c r="M317" i="31"/>
  <c r="N317" i="31"/>
  <c r="O317" i="31" s="1"/>
  <c r="M318" i="31"/>
  <c r="N318" i="31" s="1"/>
  <c r="O318" i="31" s="1"/>
  <c r="M319" i="31"/>
  <c r="N319" i="31" s="1"/>
  <c r="O319" i="31" s="1"/>
  <c r="M320" i="31"/>
  <c r="N320" i="31" s="1"/>
  <c r="O320" i="31" s="1"/>
  <c r="M321" i="31"/>
  <c r="N321" i="31"/>
  <c r="O321" i="31" s="1"/>
  <c r="M322" i="31"/>
  <c r="N322" i="31" s="1"/>
  <c r="O322" i="31" s="1"/>
  <c r="M323" i="31"/>
  <c r="N323" i="31" s="1"/>
  <c r="O323" i="31" s="1"/>
  <c r="M324" i="31"/>
  <c r="N324" i="31"/>
  <c r="O324" i="31" s="1"/>
  <c r="M325" i="31"/>
  <c r="N325" i="31" s="1"/>
  <c r="O325" i="31" s="1"/>
  <c r="M326" i="31"/>
  <c r="N326" i="31" s="1"/>
  <c r="O326" i="31" s="1"/>
  <c r="M327" i="31"/>
  <c r="N327" i="31"/>
  <c r="O327" i="31" s="1"/>
  <c r="M328" i="31"/>
  <c r="N328" i="31"/>
  <c r="O328" i="31"/>
  <c r="M329" i="31"/>
  <c r="N329" i="31" s="1"/>
  <c r="O329" i="31" s="1"/>
  <c r="M330" i="31"/>
  <c r="N330" i="31" s="1"/>
  <c r="O330" i="31" s="1"/>
  <c r="M331" i="31"/>
  <c r="N331" i="31" s="1"/>
  <c r="O331" i="31" s="1"/>
  <c r="M332" i="31"/>
  <c r="N332" i="31" s="1"/>
  <c r="O332" i="31" s="1"/>
  <c r="M333" i="31"/>
  <c r="N333" i="31" s="1"/>
  <c r="O333" i="31" s="1"/>
  <c r="M334" i="31"/>
  <c r="N334" i="31"/>
  <c r="O334" i="31" s="1"/>
  <c r="M335" i="31"/>
  <c r="N335" i="31" s="1"/>
  <c r="O335" i="31" s="1"/>
  <c r="M336" i="31"/>
  <c r="N336" i="31"/>
  <c r="O336" i="31" s="1"/>
  <c r="M337" i="31"/>
  <c r="N337" i="31" s="1"/>
  <c r="O337" i="31" s="1"/>
  <c r="M338" i="31"/>
  <c r="N338" i="31" s="1"/>
  <c r="O338" i="31" s="1"/>
  <c r="M339" i="31"/>
  <c r="N339" i="31"/>
  <c r="O339" i="31" s="1"/>
  <c r="M340" i="31"/>
  <c r="N340" i="31" s="1"/>
  <c r="O340" i="31" s="1"/>
  <c r="M341" i="31"/>
  <c r="N341" i="31" s="1"/>
  <c r="O341" i="31" s="1"/>
  <c r="M342" i="31"/>
  <c r="N342" i="31" s="1"/>
  <c r="O342" i="31" s="1"/>
  <c r="M343" i="31"/>
  <c r="N343" i="31"/>
  <c r="O343" i="31" s="1"/>
  <c r="M344" i="31"/>
  <c r="N344" i="31" s="1"/>
  <c r="O344" i="31" s="1"/>
  <c r="M345" i="31"/>
  <c r="N345" i="31"/>
  <c r="O345" i="31" s="1"/>
  <c r="M346" i="31"/>
  <c r="N346" i="31" s="1"/>
  <c r="O346" i="31" s="1"/>
  <c r="M347" i="31"/>
  <c r="N347" i="31" s="1"/>
  <c r="O347" i="31" s="1"/>
  <c r="M348" i="31"/>
  <c r="N348" i="31" s="1"/>
  <c r="O348" i="31" s="1"/>
  <c r="M349" i="31"/>
  <c r="N349" i="31"/>
  <c r="O349" i="31" s="1"/>
  <c r="M350" i="31"/>
  <c r="N350" i="31" s="1"/>
  <c r="O350" i="31" s="1"/>
  <c r="M351" i="31"/>
  <c r="N351" i="31" s="1"/>
  <c r="O351" i="31" s="1"/>
  <c r="M352" i="31"/>
  <c r="N352" i="31" s="1"/>
  <c r="O352" i="31"/>
  <c r="M353" i="31"/>
  <c r="N353" i="31"/>
  <c r="O353" i="31" s="1"/>
  <c r="M354" i="31"/>
  <c r="N354" i="31" s="1"/>
  <c r="O354" i="31" s="1"/>
  <c r="M355" i="31"/>
  <c r="N355" i="31"/>
  <c r="O355" i="31" s="1"/>
  <c r="M356" i="31"/>
  <c r="N356" i="31" s="1"/>
  <c r="O356" i="31" s="1"/>
  <c r="M357" i="31"/>
  <c r="N357" i="31"/>
  <c r="O357" i="31" s="1"/>
  <c r="M358" i="31"/>
  <c r="N358" i="31" s="1"/>
  <c r="O358" i="31" s="1"/>
  <c r="M359" i="31"/>
  <c r="N359" i="31" s="1"/>
  <c r="O359" i="31" s="1"/>
  <c r="M360" i="31"/>
  <c r="N360" i="31" s="1"/>
  <c r="O360" i="31" s="1"/>
  <c r="M361" i="31"/>
  <c r="N361" i="31" s="1"/>
  <c r="O361" i="31" s="1"/>
  <c r="M362" i="31"/>
  <c r="N362" i="31" s="1"/>
  <c r="O362" i="31" s="1"/>
  <c r="M363" i="31"/>
  <c r="N363" i="31"/>
  <c r="O363" i="31" s="1"/>
  <c r="M364" i="31"/>
  <c r="N364" i="31"/>
  <c r="O364" i="31" s="1"/>
  <c r="M365" i="31"/>
  <c r="N365" i="31"/>
  <c r="O365" i="31" s="1"/>
  <c r="M366" i="31"/>
  <c r="N366" i="31"/>
  <c r="O366" i="31" s="1"/>
  <c r="M367" i="31"/>
  <c r="N367" i="31" s="1"/>
  <c r="O367" i="31" s="1"/>
  <c r="M368" i="31"/>
  <c r="N368" i="31" s="1"/>
  <c r="O368" i="31"/>
  <c r="M369" i="31"/>
  <c r="N369" i="31" s="1"/>
  <c r="O369" i="31" s="1"/>
  <c r="M370" i="31"/>
  <c r="N370" i="31" s="1"/>
  <c r="O370" i="31" s="1"/>
  <c r="M371" i="31"/>
  <c r="N371" i="31" s="1"/>
  <c r="O371" i="31" s="1"/>
  <c r="M372" i="31"/>
  <c r="N372" i="31" s="1"/>
  <c r="O372" i="31" s="1"/>
  <c r="M373" i="31"/>
  <c r="N373" i="31"/>
  <c r="O373" i="31" s="1"/>
  <c r="M374" i="31"/>
  <c r="N374" i="31" s="1"/>
  <c r="O374" i="31" s="1"/>
  <c r="M375" i="31"/>
  <c r="N375" i="31" s="1"/>
  <c r="O375" i="31" s="1"/>
  <c r="M376" i="31"/>
  <c r="N376" i="31" s="1"/>
  <c r="O376" i="31" s="1"/>
  <c r="M377" i="31"/>
  <c r="N377" i="31"/>
  <c r="O377" i="31" s="1"/>
  <c r="M378" i="31"/>
  <c r="N378" i="31" s="1"/>
  <c r="O378" i="31" s="1"/>
  <c r="M379" i="31"/>
  <c r="N379" i="31"/>
  <c r="O379" i="31" s="1"/>
  <c r="M380" i="31"/>
  <c r="N380" i="31"/>
  <c r="O380" i="31" s="1"/>
  <c r="M381" i="31"/>
  <c r="N381" i="31" s="1"/>
  <c r="O381" i="31" s="1"/>
  <c r="M382" i="31"/>
  <c r="N382" i="31" s="1"/>
  <c r="O382" i="31" s="1"/>
  <c r="M383" i="31"/>
  <c r="N383" i="31"/>
  <c r="O383" i="31" s="1"/>
  <c r="M384" i="31"/>
  <c r="N384" i="31"/>
  <c r="O384" i="31" s="1"/>
  <c r="M385" i="31"/>
  <c r="N385" i="31" s="1"/>
  <c r="O385" i="31" s="1"/>
  <c r="M386" i="31"/>
  <c r="N386" i="31" s="1"/>
  <c r="O386" i="31" s="1"/>
  <c r="M387" i="31"/>
  <c r="N387" i="31"/>
  <c r="O387" i="31" s="1"/>
  <c r="M388" i="31"/>
  <c r="N388" i="31"/>
  <c r="O388" i="31" s="1"/>
  <c r="M389" i="31"/>
  <c r="N389" i="31" s="1"/>
  <c r="O389" i="31" s="1"/>
  <c r="M390" i="31"/>
  <c r="N390" i="31" s="1"/>
  <c r="O390" i="31" s="1"/>
  <c r="M391" i="31"/>
  <c r="N391" i="31" s="1"/>
  <c r="O391" i="31" s="1"/>
  <c r="M392" i="31"/>
  <c r="N392" i="31"/>
  <c r="O392" i="31" s="1"/>
  <c r="M393" i="31"/>
  <c r="N393" i="31"/>
  <c r="O393" i="31" s="1"/>
  <c r="M394" i="31"/>
  <c r="N394" i="31" s="1"/>
  <c r="O394" i="31" s="1"/>
  <c r="M395" i="31"/>
  <c r="N395" i="31"/>
  <c r="O395" i="31" s="1"/>
  <c r="M396" i="31"/>
  <c r="N396" i="31" s="1"/>
  <c r="O396" i="31" s="1"/>
  <c r="M397" i="31"/>
  <c r="N397" i="31"/>
  <c r="O397" i="31" s="1"/>
  <c r="M398" i="31"/>
  <c r="N398" i="31"/>
  <c r="O398" i="31" s="1"/>
  <c r="M399" i="31"/>
  <c r="N399" i="31"/>
  <c r="O399" i="31" s="1"/>
  <c r="M400" i="31"/>
  <c r="N400" i="31" s="1"/>
  <c r="O400" i="31" s="1"/>
  <c r="M401" i="31"/>
  <c r="N401" i="31" s="1"/>
  <c r="O401" i="31" s="1"/>
  <c r="M402" i="31"/>
  <c r="N402" i="31" s="1"/>
  <c r="O402" i="31" s="1"/>
  <c r="M403" i="31"/>
  <c r="N403" i="31"/>
  <c r="O403" i="31" s="1"/>
  <c r="M404" i="31"/>
  <c r="N404" i="31"/>
  <c r="O404" i="31" s="1"/>
  <c r="M405" i="31"/>
  <c r="N405" i="31"/>
  <c r="O405" i="31" s="1"/>
  <c r="Q7" i="31"/>
  <c r="R7" i="31"/>
  <c r="S7" i="31"/>
  <c r="T7" i="31"/>
  <c r="Q8" i="31"/>
  <c r="R8" i="31"/>
  <c r="S8" i="31"/>
  <c r="T8" i="31"/>
  <c r="Q9" i="31"/>
  <c r="R9" i="31"/>
  <c r="S9" i="31"/>
  <c r="T9" i="31"/>
  <c r="Q10" i="31"/>
  <c r="R10" i="31"/>
  <c r="S10" i="31"/>
  <c r="T10" i="31"/>
  <c r="Q11" i="31"/>
  <c r="R11" i="31"/>
  <c r="S11" i="31"/>
  <c r="T11" i="31"/>
  <c r="Q12" i="31"/>
  <c r="R12" i="31"/>
  <c r="S12" i="31"/>
  <c r="T12" i="31"/>
  <c r="Q13" i="31"/>
  <c r="R13" i="31"/>
  <c r="S13" i="31"/>
  <c r="T13" i="31"/>
  <c r="Q14" i="31"/>
  <c r="R14" i="31"/>
  <c r="S14" i="31"/>
  <c r="T14" i="31"/>
  <c r="Q15" i="31"/>
  <c r="R15" i="31"/>
  <c r="S15" i="31"/>
  <c r="T15" i="31"/>
  <c r="Q16" i="31"/>
  <c r="R16" i="31"/>
  <c r="S16" i="31"/>
  <c r="T16" i="31"/>
  <c r="Q17" i="31"/>
  <c r="R17" i="31"/>
  <c r="S17" i="31"/>
  <c r="T17" i="31"/>
  <c r="Q18" i="31"/>
  <c r="R18" i="31"/>
  <c r="S18" i="31"/>
  <c r="T18" i="31"/>
  <c r="Q19" i="31"/>
  <c r="R19" i="31"/>
  <c r="S19" i="31"/>
  <c r="T19" i="31"/>
  <c r="Q20" i="31"/>
  <c r="R20" i="31"/>
  <c r="S20" i="31"/>
  <c r="T20" i="31"/>
  <c r="Q21" i="31"/>
  <c r="R21" i="31"/>
  <c r="S21" i="31"/>
  <c r="T21" i="31"/>
  <c r="Q22" i="31"/>
  <c r="R22" i="31"/>
  <c r="S22" i="31"/>
  <c r="T22" i="31"/>
  <c r="Q23" i="31"/>
  <c r="R23" i="31"/>
  <c r="S23" i="31"/>
  <c r="T23" i="31"/>
  <c r="Q24" i="31"/>
  <c r="R24" i="31"/>
  <c r="S24" i="31"/>
  <c r="T24" i="31"/>
  <c r="Q25" i="31"/>
  <c r="R25" i="31"/>
  <c r="S25" i="31"/>
  <c r="T25" i="31"/>
  <c r="Q26" i="31"/>
  <c r="R26" i="31"/>
  <c r="S26" i="31"/>
  <c r="T26" i="31"/>
  <c r="Q27" i="31"/>
  <c r="R27" i="31"/>
  <c r="S27" i="31"/>
  <c r="T27" i="31"/>
  <c r="Q28" i="31"/>
  <c r="R28" i="31"/>
  <c r="S28" i="31"/>
  <c r="T28" i="31"/>
  <c r="Q29" i="31"/>
  <c r="R29" i="31"/>
  <c r="S29" i="31"/>
  <c r="T29" i="31"/>
  <c r="Q30" i="31"/>
  <c r="R30" i="31"/>
  <c r="S30" i="31"/>
  <c r="T30" i="31"/>
  <c r="Q31" i="31"/>
  <c r="R31" i="31"/>
  <c r="S31" i="31"/>
  <c r="T31" i="31"/>
  <c r="Q32" i="31"/>
  <c r="R32" i="31"/>
  <c r="S32" i="31"/>
  <c r="T32" i="31"/>
  <c r="Q33" i="31"/>
  <c r="R33" i="31"/>
  <c r="S33" i="31"/>
  <c r="T33" i="31"/>
  <c r="Q34" i="31"/>
  <c r="R34" i="31"/>
  <c r="S34" i="31"/>
  <c r="T34" i="31"/>
  <c r="Q35" i="31"/>
  <c r="R35" i="31"/>
  <c r="S35" i="31"/>
  <c r="T35" i="31"/>
  <c r="Q36" i="31"/>
  <c r="R36" i="31"/>
  <c r="S36" i="31"/>
  <c r="T36" i="31"/>
  <c r="Q37" i="31"/>
  <c r="R37" i="31"/>
  <c r="S37" i="31"/>
  <c r="T37" i="31"/>
  <c r="Q38" i="31"/>
  <c r="R38" i="31"/>
  <c r="S38" i="31"/>
  <c r="T38" i="31"/>
  <c r="Q39" i="31"/>
  <c r="R39" i="31"/>
  <c r="S39" i="31"/>
  <c r="T39" i="31"/>
  <c r="Q40" i="31"/>
  <c r="R40" i="31"/>
  <c r="S40" i="31"/>
  <c r="T40" i="31"/>
  <c r="Q41" i="31"/>
  <c r="R41" i="31"/>
  <c r="S41" i="31"/>
  <c r="T41" i="31"/>
  <c r="Q42" i="31"/>
  <c r="R42" i="31"/>
  <c r="S42" i="31"/>
  <c r="T42" i="31"/>
  <c r="Q43" i="31"/>
  <c r="R43" i="31"/>
  <c r="S43" i="31"/>
  <c r="T43" i="31"/>
  <c r="Q44" i="31"/>
  <c r="R44" i="31"/>
  <c r="S44" i="31"/>
  <c r="T44" i="31"/>
  <c r="Q45" i="31"/>
  <c r="R45" i="31"/>
  <c r="S45" i="31"/>
  <c r="T45" i="31"/>
  <c r="Q46" i="31"/>
  <c r="R46" i="31"/>
  <c r="S46" i="31"/>
  <c r="T46" i="31"/>
  <c r="Q47" i="31"/>
  <c r="R47" i="31"/>
  <c r="S47" i="31"/>
  <c r="T47" i="31"/>
  <c r="Q48" i="31"/>
  <c r="R48" i="31"/>
  <c r="S48" i="31"/>
  <c r="T48" i="31"/>
  <c r="Q49" i="31"/>
  <c r="R49" i="31"/>
  <c r="S49" i="31"/>
  <c r="T49" i="31"/>
  <c r="Q50" i="31"/>
  <c r="R50" i="31"/>
  <c r="S50" i="31"/>
  <c r="T50" i="31"/>
  <c r="Q51" i="31"/>
  <c r="R51" i="31"/>
  <c r="S51" i="31"/>
  <c r="T51" i="31"/>
  <c r="Q52" i="31"/>
  <c r="R52" i="31"/>
  <c r="S52" i="31"/>
  <c r="T52" i="31"/>
  <c r="Q53" i="31"/>
  <c r="R53" i="31"/>
  <c r="S53" i="31"/>
  <c r="T53" i="31"/>
  <c r="Q54" i="31"/>
  <c r="R54" i="31"/>
  <c r="S54" i="31"/>
  <c r="T54" i="31"/>
  <c r="Q55" i="31"/>
  <c r="R55" i="31"/>
  <c r="S55" i="31"/>
  <c r="T55" i="31"/>
  <c r="Q56" i="31"/>
  <c r="R56" i="31"/>
  <c r="S56" i="31"/>
  <c r="T56" i="31"/>
  <c r="Q57" i="31"/>
  <c r="R57" i="31"/>
  <c r="S57" i="31"/>
  <c r="T57" i="31"/>
  <c r="Q58" i="31"/>
  <c r="R58" i="31"/>
  <c r="S58" i="31"/>
  <c r="T58" i="31"/>
  <c r="Q59" i="31"/>
  <c r="R59" i="31"/>
  <c r="S59" i="31"/>
  <c r="T59" i="31"/>
  <c r="Q60" i="31"/>
  <c r="R60" i="31"/>
  <c r="S60" i="31"/>
  <c r="T60" i="31"/>
  <c r="Q61" i="31"/>
  <c r="R61" i="31"/>
  <c r="S61" i="31"/>
  <c r="T61" i="31"/>
  <c r="Q62" i="31"/>
  <c r="R62" i="31"/>
  <c r="S62" i="31"/>
  <c r="T62" i="31"/>
  <c r="Q63" i="31"/>
  <c r="R63" i="31"/>
  <c r="S63" i="31"/>
  <c r="T63" i="31"/>
  <c r="Q64" i="31"/>
  <c r="R64" i="31"/>
  <c r="S64" i="31"/>
  <c r="T64" i="31"/>
  <c r="Q65" i="31"/>
  <c r="R65" i="31"/>
  <c r="S65" i="31"/>
  <c r="T65" i="31"/>
  <c r="Q66" i="31"/>
  <c r="R66" i="31"/>
  <c r="S66" i="31"/>
  <c r="T66" i="31"/>
  <c r="Q67" i="31"/>
  <c r="R67" i="31"/>
  <c r="S67" i="31"/>
  <c r="T67" i="31"/>
  <c r="Q68" i="31"/>
  <c r="R68" i="31"/>
  <c r="S68" i="31"/>
  <c r="T68" i="31"/>
  <c r="Q69" i="31"/>
  <c r="R69" i="31"/>
  <c r="S69" i="31"/>
  <c r="T69" i="31"/>
  <c r="Q70" i="31"/>
  <c r="R70" i="31"/>
  <c r="S70" i="31"/>
  <c r="T70" i="31"/>
  <c r="Q71" i="31"/>
  <c r="R71" i="31"/>
  <c r="S71" i="31"/>
  <c r="T71" i="31"/>
  <c r="Q72" i="31"/>
  <c r="R72" i="31"/>
  <c r="S72" i="31"/>
  <c r="T72" i="31"/>
  <c r="Q73" i="31"/>
  <c r="R73" i="31"/>
  <c r="S73" i="31"/>
  <c r="T73" i="31"/>
  <c r="Q74" i="31"/>
  <c r="R74" i="31"/>
  <c r="S74" i="31"/>
  <c r="T74" i="31"/>
  <c r="Q75" i="31"/>
  <c r="R75" i="31"/>
  <c r="S75" i="31"/>
  <c r="T75" i="31"/>
  <c r="Q76" i="31"/>
  <c r="R76" i="31"/>
  <c r="S76" i="31"/>
  <c r="T76" i="31"/>
  <c r="Q77" i="31"/>
  <c r="R77" i="31"/>
  <c r="S77" i="31"/>
  <c r="T77" i="31"/>
  <c r="Q78" i="31"/>
  <c r="R78" i="31"/>
  <c r="S78" i="31"/>
  <c r="T78" i="31"/>
  <c r="Q79" i="31"/>
  <c r="R79" i="31"/>
  <c r="S79" i="31"/>
  <c r="T79" i="31"/>
  <c r="Q80" i="31"/>
  <c r="R80" i="31"/>
  <c r="S80" i="31"/>
  <c r="T80" i="31"/>
  <c r="Q81" i="31"/>
  <c r="R81" i="31"/>
  <c r="S81" i="31"/>
  <c r="T81" i="31"/>
  <c r="Q82" i="31"/>
  <c r="R82" i="31"/>
  <c r="S82" i="31"/>
  <c r="T82" i="31"/>
  <c r="Q83" i="31"/>
  <c r="R83" i="31"/>
  <c r="S83" i="31"/>
  <c r="T83" i="31"/>
  <c r="Q84" i="31"/>
  <c r="R84" i="31"/>
  <c r="S84" i="31"/>
  <c r="T84" i="31"/>
  <c r="Q85" i="31"/>
  <c r="R85" i="31"/>
  <c r="S85" i="31"/>
  <c r="T85" i="31"/>
  <c r="Q86" i="31"/>
  <c r="R86" i="31"/>
  <c r="S86" i="31"/>
  <c r="T86" i="31"/>
  <c r="Q87" i="31"/>
  <c r="R87" i="31"/>
  <c r="S87" i="31"/>
  <c r="T87" i="31"/>
  <c r="Q88" i="31"/>
  <c r="R88" i="31"/>
  <c r="S88" i="31"/>
  <c r="T88" i="31"/>
  <c r="Q89" i="31"/>
  <c r="R89" i="31"/>
  <c r="S89" i="31"/>
  <c r="T89" i="31"/>
  <c r="Q90" i="31"/>
  <c r="R90" i="31"/>
  <c r="S90" i="31"/>
  <c r="T90" i="31"/>
  <c r="Q91" i="31"/>
  <c r="R91" i="31"/>
  <c r="S91" i="31"/>
  <c r="T91" i="31"/>
  <c r="Q92" i="31"/>
  <c r="R92" i="31"/>
  <c r="S92" i="31"/>
  <c r="T92" i="31"/>
  <c r="Q93" i="31"/>
  <c r="R93" i="31"/>
  <c r="S93" i="31"/>
  <c r="T93" i="31"/>
  <c r="Q94" i="31"/>
  <c r="R94" i="31"/>
  <c r="S94" i="31"/>
  <c r="T94" i="31"/>
  <c r="Q95" i="31"/>
  <c r="R95" i="31"/>
  <c r="S95" i="31"/>
  <c r="T95" i="31"/>
  <c r="Q96" i="31"/>
  <c r="R96" i="31"/>
  <c r="S96" i="31"/>
  <c r="T96" i="31"/>
  <c r="Q97" i="31"/>
  <c r="R97" i="31"/>
  <c r="S97" i="31"/>
  <c r="T97" i="31"/>
  <c r="Q98" i="31"/>
  <c r="R98" i="31"/>
  <c r="S98" i="31"/>
  <c r="T98" i="31"/>
  <c r="Q99" i="31"/>
  <c r="R99" i="31"/>
  <c r="S99" i="31"/>
  <c r="T99" i="31"/>
  <c r="Q100" i="31"/>
  <c r="R100" i="31"/>
  <c r="S100" i="31"/>
  <c r="T100" i="31"/>
  <c r="Q101" i="31"/>
  <c r="R101" i="31"/>
  <c r="S101" i="31"/>
  <c r="T101" i="31"/>
  <c r="Q102" i="31"/>
  <c r="R102" i="31"/>
  <c r="S102" i="31"/>
  <c r="T102" i="31"/>
  <c r="Q103" i="31"/>
  <c r="R103" i="31"/>
  <c r="S103" i="31"/>
  <c r="T103" i="31"/>
  <c r="Q104" i="31"/>
  <c r="R104" i="31"/>
  <c r="S104" i="31"/>
  <c r="T104" i="31"/>
  <c r="Q105" i="31"/>
  <c r="R105" i="31"/>
  <c r="S105" i="31"/>
  <c r="T105" i="31"/>
  <c r="Q106" i="31"/>
  <c r="R106" i="31"/>
  <c r="S106" i="31"/>
  <c r="T106" i="31"/>
  <c r="Q107" i="31"/>
  <c r="R107" i="31"/>
  <c r="S107" i="31"/>
  <c r="T107" i="31"/>
  <c r="Q108" i="31"/>
  <c r="R108" i="31"/>
  <c r="S108" i="31"/>
  <c r="T108" i="31"/>
  <c r="Q109" i="31"/>
  <c r="R109" i="31"/>
  <c r="S109" i="31"/>
  <c r="T109" i="31"/>
  <c r="Q110" i="31"/>
  <c r="R110" i="31"/>
  <c r="S110" i="31"/>
  <c r="T110" i="31"/>
  <c r="Q111" i="31"/>
  <c r="R111" i="31"/>
  <c r="S111" i="31"/>
  <c r="T111" i="31"/>
  <c r="Q112" i="31"/>
  <c r="R112" i="31"/>
  <c r="S112" i="31"/>
  <c r="T112" i="31"/>
  <c r="Q113" i="31"/>
  <c r="R113" i="31"/>
  <c r="S113" i="31"/>
  <c r="T113" i="31"/>
  <c r="Q114" i="31"/>
  <c r="R114" i="31"/>
  <c r="S114" i="31"/>
  <c r="T114" i="31"/>
  <c r="Q115" i="31"/>
  <c r="R115" i="31"/>
  <c r="S115" i="31"/>
  <c r="T115" i="31"/>
  <c r="Q116" i="31"/>
  <c r="R116" i="31"/>
  <c r="S116" i="31"/>
  <c r="T116" i="31"/>
  <c r="Q117" i="31"/>
  <c r="R117" i="31"/>
  <c r="S117" i="31"/>
  <c r="T117" i="31"/>
  <c r="Q118" i="31"/>
  <c r="R118" i="31"/>
  <c r="S118" i="31"/>
  <c r="T118" i="31"/>
  <c r="Q119" i="31"/>
  <c r="R119" i="31"/>
  <c r="S119" i="31"/>
  <c r="T119" i="31"/>
  <c r="Q120" i="31"/>
  <c r="R120" i="31"/>
  <c r="S120" i="31"/>
  <c r="T120" i="31"/>
  <c r="Q121" i="31"/>
  <c r="R121" i="31"/>
  <c r="S121" i="31"/>
  <c r="T121" i="31"/>
  <c r="Q122" i="31"/>
  <c r="R122" i="31"/>
  <c r="S122" i="31"/>
  <c r="T122" i="31"/>
  <c r="Q123" i="31"/>
  <c r="R123" i="31"/>
  <c r="S123" i="31"/>
  <c r="T123" i="31"/>
  <c r="Q124" i="31"/>
  <c r="R124" i="31"/>
  <c r="S124" i="31"/>
  <c r="T124" i="31"/>
  <c r="Q125" i="31"/>
  <c r="R125" i="31"/>
  <c r="S125" i="31"/>
  <c r="T125" i="31"/>
  <c r="Q126" i="31"/>
  <c r="R126" i="31"/>
  <c r="S126" i="31"/>
  <c r="T126" i="31"/>
  <c r="Q127" i="31"/>
  <c r="R127" i="31"/>
  <c r="S127" i="31"/>
  <c r="T127" i="31"/>
  <c r="Q128" i="31"/>
  <c r="R128" i="31"/>
  <c r="S128" i="31"/>
  <c r="T128" i="31"/>
  <c r="Q129" i="31"/>
  <c r="R129" i="31"/>
  <c r="S129" i="31"/>
  <c r="T129" i="31"/>
  <c r="Q130" i="31"/>
  <c r="R130" i="31"/>
  <c r="S130" i="31"/>
  <c r="T130" i="31"/>
  <c r="Q131" i="31"/>
  <c r="R131" i="31"/>
  <c r="S131" i="31"/>
  <c r="T131" i="31"/>
  <c r="Q132" i="31"/>
  <c r="R132" i="31"/>
  <c r="S132" i="31"/>
  <c r="T132" i="31"/>
  <c r="Q133" i="31"/>
  <c r="R133" i="31"/>
  <c r="S133" i="31"/>
  <c r="T133" i="31"/>
  <c r="Q134" i="31"/>
  <c r="R134" i="31"/>
  <c r="S134" i="31"/>
  <c r="T134" i="31"/>
  <c r="Q135" i="31"/>
  <c r="R135" i="31"/>
  <c r="S135" i="31"/>
  <c r="T135" i="31"/>
  <c r="Q136" i="31"/>
  <c r="R136" i="31"/>
  <c r="S136" i="31"/>
  <c r="T136" i="31"/>
  <c r="Q137" i="31"/>
  <c r="R137" i="31"/>
  <c r="S137" i="31"/>
  <c r="T137" i="31"/>
  <c r="Q138" i="31"/>
  <c r="R138" i="31"/>
  <c r="S138" i="31"/>
  <c r="T138" i="31"/>
  <c r="Q139" i="31"/>
  <c r="R139" i="31"/>
  <c r="S139" i="31"/>
  <c r="T139" i="31"/>
  <c r="Q140" i="31"/>
  <c r="R140" i="31"/>
  <c r="S140" i="31"/>
  <c r="T140" i="31"/>
  <c r="Q141" i="31"/>
  <c r="R141" i="31"/>
  <c r="S141" i="31"/>
  <c r="T141" i="31"/>
  <c r="Q142" i="31"/>
  <c r="R142" i="31"/>
  <c r="S142" i="31"/>
  <c r="T142" i="31"/>
  <c r="Q143" i="31"/>
  <c r="R143" i="31"/>
  <c r="S143" i="31"/>
  <c r="T143" i="31"/>
  <c r="Q144" i="31"/>
  <c r="R144" i="31"/>
  <c r="S144" i="31"/>
  <c r="T144" i="31"/>
  <c r="Q145" i="31"/>
  <c r="R145" i="31"/>
  <c r="S145" i="31"/>
  <c r="T145" i="31"/>
  <c r="Q146" i="31"/>
  <c r="R146" i="31"/>
  <c r="S146" i="31"/>
  <c r="T146" i="31"/>
  <c r="Q147" i="31"/>
  <c r="R147" i="31"/>
  <c r="S147" i="31"/>
  <c r="T147" i="31"/>
  <c r="Q148" i="31"/>
  <c r="R148" i="31"/>
  <c r="S148" i="31"/>
  <c r="T148" i="31"/>
  <c r="Q149" i="31"/>
  <c r="R149" i="31"/>
  <c r="S149" i="31"/>
  <c r="T149" i="31"/>
  <c r="Q150" i="31"/>
  <c r="R150" i="31"/>
  <c r="S150" i="31"/>
  <c r="T150" i="31"/>
  <c r="Q151" i="31"/>
  <c r="R151" i="31"/>
  <c r="S151" i="31"/>
  <c r="T151" i="31"/>
  <c r="Q152" i="31"/>
  <c r="R152" i="31"/>
  <c r="S152" i="31"/>
  <c r="T152" i="31"/>
  <c r="Q153" i="31"/>
  <c r="R153" i="31"/>
  <c r="S153" i="31"/>
  <c r="T153" i="31"/>
  <c r="Q154" i="31"/>
  <c r="R154" i="31"/>
  <c r="S154" i="31"/>
  <c r="T154" i="31"/>
  <c r="Q155" i="31"/>
  <c r="R155" i="31"/>
  <c r="S155" i="31"/>
  <c r="T155" i="31"/>
  <c r="Q156" i="31"/>
  <c r="R156" i="31"/>
  <c r="S156" i="31"/>
  <c r="T156" i="31"/>
  <c r="Q157" i="31"/>
  <c r="R157" i="31"/>
  <c r="S157" i="31"/>
  <c r="T157" i="31"/>
  <c r="Q158" i="31"/>
  <c r="R158" i="31"/>
  <c r="S158" i="31"/>
  <c r="T158" i="31"/>
  <c r="Q159" i="31"/>
  <c r="R159" i="31"/>
  <c r="S159" i="31"/>
  <c r="T159" i="31"/>
  <c r="Q160" i="31"/>
  <c r="R160" i="31"/>
  <c r="S160" i="31"/>
  <c r="T160" i="31"/>
  <c r="Q161" i="31"/>
  <c r="R161" i="31"/>
  <c r="S161" i="31"/>
  <c r="T161" i="31"/>
  <c r="Q162" i="31"/>
  <c r="R162" i="31"/>
  <c r="S162" i="31"/>
  <c r="T162" i="31"/>
  <c r="Q163" i="31"/>
  <c r="R163" i="31"/>
  <c r="S163" i="31"/>
  <c r="T163" i="31"/>
  <c r="Q164" i="31"/>
  <c r="R164" i="31"/>
  <c r="S164" i="31"/>
  <c r="T164" i="31"/>
  <c r="Q165" i="31"/>
  <c r="R165" i="31"/>
  <c r="S165" i="31"/>
  <c r="T165" i="31"/>
  <c r="Q166" i="31"/>
  <c r="R166" i="31"/>
  <c r="S166" i="31"/>
  <c r="T166" i="31"/>
  <c r="Q167" i="31"/>
  <c r="R167" i="31"/>
  <c r="S167" i="31"/>
  <c r="T167" i="31"/>
  <c r="Q168" i="31"/>
  <c r="R168" i="31"/>
  <c r="S168" i="31"/>
  <c r="T168" i="31"/>
  <c r="Q169" i="31"/>
  <c r="R169" i="31"/>
  <c r="S169" i="31"/>
  <c r="T169" i="31"/>
  <c r="Q170" i="31"/>
  <c r="R170" i="31"/>
  <c r="S170" i="31"/>
  <c r="T170" i="31"/>
  <c r="Q171" i="31"/>
  <c r="R171" i="31"/>
  <c r="S171" i="31"/>
  <c r="T171" i="31"/>
  <c r="Q172" i="31"/>
  <c r="R172" i="31"/>
  <c r="S172" i="31"/>
  <c r="T172" i="31"/>
  <c r="Q173" i="31"/>
  <c r="R173" i="31"/>
  <c r="S173" i="31"/>
  <c r="T173" i="31"/>
  <c r="Q174" i="31"/>
  <c r="R174" i="31"/>
  <c r="S174" i="31"/>
  <c r="T174" i="31"/>
  <c r="Q175" i="31"/>
  <c r="R175" i="31"/>
  <c r="S175" i="31"/>
  <c r="T175" i="31"/>
  <c r="Q176" i="31"/>
  <c r="R176" i="31"/>
  <c r="S176" i="31"/>
  <c r="T176" i="31"/>
  <c r="Q177" i="31"/>
  <c r="R177" i="31"/>
  <c r="S177" i="31"/>
  <c r="T177" i="31"/>
  <c r="Q178" i="31"/>
  <c r="R178" i="31"/>
  <c r="S178" i="31"/>
  <c r="T178" i="31"/>
  <c r="Q179" i="31"/>
  <c r="R179" i="31"/>
  <c r="S179" i="31"/>
  <c r="T179" i="31"/>
  <c r="Q180" i="31"/>
  <c r="R180" i="31"/>
  <c r="S180" i="31"/>
  <c r="T180" i="31"/>
  <c r="Q181" i="31"/>
  <c r="R181" i="31"/>
  <c r="S181" i="31"/>
  <c r="T181" i="31"/>
  <c r="Q182" i="31"/>
  <c r="R182" i="31"/>
  <c r="S182" i="31"/>
  <c r="T182" i="31"/>
  <c r="Q183" i="31"/>
  <c r="R183" i="31"/>
  <c r="S183" i="31"/>
  <c r="T183" i="31"/>
  <c r="Q184" i="31"/>
  <c r="R184" i="31"/>
  <c r="S184" i="31"/>
  <c r="T184" i="31"/>
  <c r="Q185" i="31"/>
  <c r="R185" i="31"/>
  <c r="S185" i="31"/>
  <c r="T185" i="31"/>
  <c r="Q186" i="31"/>
  <c r="R186" i="31"/>
  <c r="S186" i="31"/>
  <c r="T186" i="31"/>
  <c r="Q187" i="31"/>
  <c r="R187" i="31"/>
  <c r="S187" i="31"/>
  <c r="T187" i="31"/>
  <c r="Q188" i="31"/>
  <c r="R188" i="31"/>
  <c r="S188" i="31"/>
  <c r="T188" i="31"/>
  <c r="Q189" i="31"/>
  <c r="R189" i="31"/>
  <c r="S189" i="31"/>
  <c r="T189" i="31"/>
  <c r="Q190" i="31"/>
  <c r="R190" i="31"/>
  <c r="S190" i="31"/>
  <c r="T190" i="31"/>
  <c r="Q191" i="31"/>
  <c r="R191" i="31"/>
  <c r="S191" i="31"/>
  <c r="T191" i="31"/>
  <c r="Q192" i="31"/>
  <c r="R192" i="31"/>
  <c r="S192" i="31"/>
  <c r="T192" i="31"/>
  <c r="Q193" i="31"/>
  <c r="R193" i="31"/>
  <c r="S193" i="31"/>
  <c r="T193" i="31"/>
  <c r="Q194" i="31"/>
  <c r="R194" i="31"/>
  <c r="S194" i="31"/>
  <c r="T194" i="31"/>
  <c r="Q195" i="31"/>
  <c r="R195" i="31"/>
  <c r="S195" i="31"/>
  <c r="T195" i="31"/>
  <c r="Q196" i="31"/>
  <c r="R196" i="31"/>
  <c r="S196" i="31"/>
  <c r="T196" i="31"/>
  <c r="Q197" i="31"/>
  <c r="R197" i="31"/>
  <c r="S197" i="31"/>
  <c r="T197" i="31"/>
  <c r="Q198" i="31"/>
  <c r="R198" i="31"/>
  <c r="S198" i="31"/>
  <c r="T198" i="31"/>
  <c r="Q199" i="31"/>
  <c r="R199" i="31"/>
  <c r="S199" i="31"/>
  <c r="T199" i="31"/>
  <c r="Q200" i="31"/>
  <c r="R200" i="31"/>
  <c r="S200" i="31"/>
  <c r="T200" i="31"/>
  <c r="Q201" i="31"/>
  <c r="R201" i="31"/>
  <c r="S201" i="31"/>
  <c r="T201" i="31"/>
  <c r="Q202" i="31"/>
  <c r="R202" i="31"/>
  <c r="S202" i="31"/>
  <c r="T202" i="31"/>
  <c r="Q203" i="31"/>
  <c r="R203" i="31"/>
  <c r="S203" i="31"/>
  <c r="T203" i="31"/>
  <c r="Q204" i="31"/>
  <c r="R204" i="31"/>
  <c r="S204" i="31"/>
  <c r="T204" i="31"/>
  <c r="Q205" i="31"/>
  <c r="R205" i="31"/>
  <c r="S205" i="31"/>
  <c r="T205" i="31"/>
  <c r="Q206" i="31"/>
  <c r="R206" i="31"/>
  <c r="S206" i="31"/>
  <c r="T206" i="31"/>
  <c r="Q207" i="31"/>
  <c r="R207" i="31"/>
  <c r="S207" i="31"/>
  <c r="T207" i="31"/>
  <c r="Q208" i="31"/>
  <c r="R208" i="31"/>
  <c r="S208" i="31"/>
  <c r="T208" i="31"/>
  <c r="Q209" i="31"/>
  <c r="R209" i="31"/>
  <c r="S209" i="31"/>
  <c r="T209" i="31"/>
  <c r="Q210" i="31"/>
  <c r="R210" i="31"/>
  <c r="S210" i="31"/>
  <c r="T210" i="31"/>
  <c r="Q211" i="31"/>
  <c r="R211" i="31"/>
  <c r="S211" i="31"/>
  <c r="T211" i="31"/>
  <c r="Q212" i="31"/>
  <c r="R212" i="31"/>
  <c r="S212" i="31"/>
  <c r="T212" i="31"/>
  <c r="Q213" i="31"/>
  <c r="R213" i="31"/>
  <c r="S213" i="31"/>
  <c r="T213" i="31"/>
  <c r="Q214" i="31"/>
  <c r="R214" i="31"/>
  <c r="S214" i="31"/>
  <c r="T214" i="31"/>
  <c r="Q215" i="31"/>
  <c r="R215" i="31"/>
  <c r="S215" i="31"/>
  <c r="T215" i="31"/>
  <c r="Q216" i="31"/>
  <c r="R216" i="31"/>
  <c r="S216" i="31"/>
  <c r="T216" i="31"/>
  <c r="Q217" i="31"/>
  <c r="R217" i="31"/>
  <c r="S217" i="31"/>
  <c r="T217" i="31"/>
  <c r="Q218" i="31"/>
  <c r="R218" i="31"/>
  <c r="S218" i="31"/>
  <c r="T218" i="31"/>
  <c r="Q219" i="31"/>
  <c r="R219" i="31"/>
  <c r="S219" i="31"/>
  <c r="T219" i="31"/>
  <c r="Q220" i="31"/>
  <c r="R220" i="31"/>
  <c r="S220" i="31"/>
  <c r="T220" i="31"/>
  <c r="Q221" i="31"/>
  <c r="R221" i="31"/>
  <c r="S221" i="31"/>
  <c r="T221" i="31"/>
  <c r="Q222" i="31"/>
  <c r="R222" i="31"/>
  <c r="S222" i="31"/>
  <c r="T222" i="31"/>
  <c r="Q223" i="31"/>
  <c r="R223" i="31"/>
  <c r="S223" i="31"/>
  <c r="T223" i="31"/>
  <c r="Q224" i="31"/>
  <c r="R224" i="31"/>
  <c r="S224" i="31"/>
  <c r="T224" i="31"/>
  <c r="Q225" i="31"/>
  <c r="R225" i="31"/>
  <c r="S225" i="31"/>
  <c r="T225" i="31"/>
  <c r="Q226" i="31"/>
  <c r="R226" i="31"/>
  <c r="S226" i="31"/>
  <c r="T226" i="31"/>
  <c r="Q227" i="31"/>
  <c r="R227" i="31"/>
  <c r="S227" i="31"/>
  <c r="T227" i="31"/>
  <c r="Q228" i="31"/>
  <c r="R228" i="31"/>
  <c r="S228" i="31"/>
  <c r="T228" i="31"/>
  <c r="Q229" i="31"/>
  <c r="R229" i="31"/>
  <c r="S229" i="31"/>
  <c r="T229" i="31"/>
  <c r="Q230" i="31"/>
  <c r="R230" i="31"/>
  <c r="S230" i="31"/>
  <c r="T230" i="31"/>
  <c r="Q231" i="31"/>
  <c r="R231" i="31"/>
  <c r="S231" i="31"/>
  <c r="T231" i="31"/>
  <c r="Q232" i="31"/>
  <c r="R232" i="31"/>
  <c r="S232" i="31"/>
  <c r="T232" i="31"/>
  <c r="Q233" i="31"/>
  <c r="R233" i="31"/>
  <c r="S233" i="31"/>
  <c r="T233" i="31"/>
  <c r="Q234" i="31"/>
  <c r="R234" i="31"/>
  <c r="S234" i="31"/>
  <c r="T234" i="31"/>
  <c r="Q235" i="31"/>
  <c r="R235" i="31"/>
  <c r="S235" i="31"/>
  <c r="T235" i="31"/>
  <c r="Q236" i="31"/>
  <c r="R236" i="31"/>
  <c r="S236" i="31"/>
  <c r="T236" i="31"/>
  <c r="Q237" i="31"/>
  <c r="R237" i="31"/>
  <c r="S237" i="31"/>
  <c r="T237" i="31"/>
  <c r="Q238" i="31"/>
  <c r="R238" i="31"/>
  <c r="S238" i="31"/>
  <c r="T238" i="31"/>
  <c r="Q239" i="31"/>
  <c r="R239" i="31"/>
  <c r="S239" i="31"/>
  <c r="T239" i="31"/>
  <c r="Q240" i="31"/>
  <c r="R240" i="31"/>
  <c r="S240" i="31"/>
  <c r="T240" i="31"/>
  <c r="Q241" i="31"/>
  <c r="R241" i="31"/>
  <c r="S241" i="31"/>
  <c r="T241" i="31"/>
  <c r="Q242" i="31"/>
  <c r="R242" i="31"/>
  <c r="S242" i="31"/>
  <c r="T242" i="31"/>
  <c r="Q243" i="31"/>
  <c r="R243" i="31"/>
  <c r="S243" i="31"/>
  <c r="T243" i="31"/>
  <c r="Q244" i="31"/>
  <c r="R244" i="31"/>
  <c r="S244" i="31"/>
  <c r="T244" i="31"/>
  <c r="Q245" i="31"/>
  <c r="R245" i="31"/>
  <c r="S245" i="31"/>
  <c r="T245" i="31"/>
  <c r="Q246" i="31"/>
  <c r="R246" i="31"/>
  <c r="S246" i="31"/>
  <c r="T246" i="31"/>
  <c r="Q247" i="31"/>
  <c r="R247" i="31"/>
  <c r="S247" i="31"/>
  <c r="T247" i="31"/>
  <c r="Q248" i="31"/>
  <c r="R248" i="31"/>
  <c r="S248" i="31"/>
  <c r="T248" i="31"/>
  <c r="Q249" i="31"/>
  <c r="R249" i="31"/>
  <c r="S249" i="31"/>
  <c r="T249" i="31"/>
  <c r="Q250" i="31"/>
  <c r="R250" i="31"/>
  <c r="S250" i="31"/>
  <c r="T250" i="31"/>
  <c r="Q251" i="31"/>
  <c r="R251" i="31"/>
  <c r="S251" i="31"/>
  <c r="T251" i="31"/>
  <c r="Q252" i="31"/>
  <c r="R252" i="31"/>
  <c r="S252" i="31"/>
  <c r="T252" i="31"/>
  <c r="Q253" i="31"/>
  <c r="R253" i="31"/>
  <c r="S253" i="31"/>
  <c r="T253" i="31"/>
  <c r="Q254" i="31"/>
  <c r="R254" i="31"/>
  <c r="S254" i="31"/>
  <c r="T254" i="31"/>
  <c r="Q255" i="31"/>
  <c r="R255" i="31"/>
  <c r="S255" i="31"/>
  <c r="T255" i="31"/>
  <c r="Q256" i="31"/>
  <c r="R256" i="31"/>
  <c r="S256" i="31"/>
  <c r="T256" i="31"/>
  <c r="Q257" i="31"/>
  <c r="R257" i="31"/>
  <c r="S257" i="31"/>
  <c r="T257" i="31"/>
  <c r="Q258" i="31"/>
  <c r="R258" i="31"/>
  <c r="S258" i="31"/>
  <c r="T258" i="31"/>
  <c r="Q259" i="31"/>
  <c r="R259" i="31"/>
  <c r="S259" i="31"/>
  <c r="T259" i="31"/>
  <c r="Q260" i="31"/>
  <c r="R260" i="31"/>
  <c r="S260" i="31"/>
  <c r="T260" i="31"/>
  <c r="Q261" i="31"/>
  <c r="R261" i="31"/>
  <c r="S261" i="31"/>
  <c r="T261" i="31"/>
  <c r="Q262" i="31"/>
  <c r="R262" i="31"/>
  <c r="S262" i="31"/>
  <c r="T262" i="31"/>
  <c r="Q263" i="31"/>
  <c r="R263" i="31"/>
  <c r="S263" i="31"/>
  <c r="T263" i="31"/>
  <c r="Q264" i="31"/>
  <c r="R264" i="31"/>
  <c r="S264" i="31"/>
  <c r="T264" i="31"/>
  <c r="Q265" i="31"/>
  <c r="R265" i="31"/>
  <c r="S265" i="31"/>
  <c r="T265" i="31"/>
  <c r="Q266" i="31"/>
  <c r="R266" i="31"/>
  <c r="S266" i="31"/>
  <c r="T266" i="31"/>
  <c r="Q267" i="31"/>
  <c r="R267" i="31"/>
  <c r="S267" i="31"/>
  <c r="T267" i="31"/>
  <c r="Q268" i="31"/>
  <c r="R268" i="31"/>
  <c r="S268" i="31"/>
  <c r="T268" i="31"/>
  <c r="Q269" i="31"/>
  <c r="R269" i="31"/>
  <c r="S269" i="31"/>
  <c r="T269" i="31"/>
  <c r="Q270" i="31"/>
  <c r="R270" i="31"/>
  <c r="S270" i="31"/>
  <c r="T270" i="31"/>
  <c r="Q271" i="31"/>
  <c r="R271" i="31"/>
  <c r="S271" i="31"/>
  <c r="T271" i="31"/>
  <c r="Q272" i="31"/>
  <c r="R272" i="31"/>
  <c r="S272" i="31"/>
  <c r="T272" i="31"/>
  <c r="Q273" i="31"/>
  <c r="R273" i="31"/>
  <c r="S273" i="31"/>
  <c r="T273" i="31"/>
  <c r="Q274" i="31"/>
  <c r="R274" i="31"/>
  <c r="S274" i="31"/>
  <c r="T274" i="31"/>
  <c r="Q275" i="31"/>
  <c r="R275" i="31"/>
  <c r="S275" i="31"/>
  <c r="T275" i="31"/>
  <c r="Q276" i="31"/>
  <c r="R276" i="31"/>
  <c r="S276" i="31"/>
  <c r="T276" i="31"/>
  <c r="Q277" i="31"/>
  <c r="R277" i="31"/>
  <c r="S277" i="31"/>
  <c r="T277" i="31"/>
  <c r="Q278" i="31"/>
  <c r="R278" i="31"/>
  <c r="S278" i="31"/>
  <c r="T278" i="31"/>
  <c r="Q279" i="31"/>
  <c r="R279" i="31"/>
  <c r="S279" i="31"/>
  <c r="T279" i="31"/>
  <c r="Q280" i="31"/>
  <c r="R280" i="31"/>
  <c r="S280" i="31"/>
  <c r="T280" i="31"/>
  <c r="Q281" i="31"/>
  <c r="R281" i="31"/>
  <c r="S281" i="31"/>
  <c r="T281" i="31"/>
  <c r="Q282" i="31"/>
  <c r="R282" i="31"/>
  <c r="S282" i="31"/>
  <c r="T282" i="31"/>
  <c r="Q283" i="31"/>
  <c r="R283" i="31"/>
  <c r="S283" i="31"/>
  <c r="T283" i="31"/>
  <c r="Q284" i="31"/>
  <c r="R284" i="31"/>
  <c r="S284" i="31"/>
  <c r="T284" i="31"/>
  <c r="Q285" i="31"/>
  <c r="R285" i="31"/>
  <c r="S285" i="31"/>
  <c r="T285" i="31"/>
  <c r="Q286" i="31"/>
  <c r="R286" i="31"/>
  <c r="S286" i="31"/>
  <c r="T286" i="31"/>
  <c r="Q287" i="31"/>
  <c r="R287" i="31"/>
  <c r="S287" i="31"/>
  <c r="T287" i="31"/>
  <c r="Q288" i="31"/>
  <c r="R288" i="31"/>
  <c r="S288" i="31"/>
  <c r="T288" i="31"/>
  <c r="Q289" i="31"/>
  <c r="R289" i="31"/>
  <c r="S289" i="31"/>
  <c r="T289" i="31"/>
  <c r="Q290" i="31"/>
  <c r="R290" i="31"/>
  <c r="S290" i="31"/>
  <c r="T290" i="31"/>
  <c r="Q291" i="31"/>
  <c r="R291" i="31"/>
  <c r="S291" i="31"/>
  <c r="T291" i="31"/>
  <c r="Q292" i="31"/>
  <c r="R292" i="31"/>
  <c r="S292" i="31"/>
  <c r="T292" i="31"/>
  <c r="Q293" i="31"/>
  <c r="R293" i="31"/>
  <c r="S293" i="31"/>
  <c r="T293" i="31"/>
  <c r="Q294" i="31"/>
  <c r="R294" i="31"/>
  <c r="S294" i="31"/>
  <c r="T294" i="31"/>
  <c r="Q295" i="31"/>
  <c r="R295" i="31"/>
  <c r="S295" i="31"/>
  <c r="T295" i="31"/>
  <c r="Q296" i="31"/>
  <c r="R296" i="31"/>
  <c r="S296" i="31"/>
  <c r="T296" i="31"/>
  <c r="Q297" i="31"/>
  <c r="R297" i="31"/>
  <c r="S297" i="31"/>
  <c r="T297" i="31"/>
  <c r="Q298" i="31"/>
  <c r="R298" i="31"/>
  <c r="S298" i="31"/>
  <c r="T298" i="31"/>
  <c r="Q299" i="31"/>
  <c r="R299" i="31"/>
  <c r="S299" i="31"/>
  <c r="T299" i="31"/>
  <c r="Q300" i="31"/>
  <c r="R300" i="31"/>
  <c r="S300" i="31"/>
  <c r="T300" i="31"/>
  <c r="Q301" i="31"/>
  <c r="R301" i="31"/>
  <c r="S301" i="31"/>
  <c r="T301" i="31"/>
  <c r="Q302" i="31"/>
  <c r="R302" i="31"/>
  <c r="S302" i="31"/>
  <c r="T302" i="31"/>
  <c r="Q303" i="31"/>
  <c r="R303" i="31"/>
  <c r="S303" i="31"/>
  <c r="T303" i="31"/>
  <c r="Q304" i="31"/>
  <c r="R304" i="31"/>
  <c r="S304" i="31"/>
  <c r="T304" i="31"/>
  <c r="Q305" i="31"/>
  <c r="R305" i="31"/>
  <c r="S305" i="31"/>
  <c r="T305" i="31"/>
  <c r="Q306" i="31"/>
  <c r="R306" i="31"/>
  <c r="S306" i="31"/>
  <c r="T306" i="31"/>
  <c r="Q307" i="31"/>
  <c r="R307" i="31"/>
  <c r="S307" i="31"/>
  <c r="T307" i="31"/>
  <c r="Q308" i="31"/>
  <c r="R308" i="31"/>
  <c r="S308" i="31"/>
  <c r="T308" i="31"/>
  <c r="Q309" i="31"/>
  <c r="R309" i="31"/>
  <c r="S309" i="31"/>
  <c r="T309" i="31"/>
  <c r="Q310" i="31"/>
  <c r="R310" i="31"/>
  <c r="S310" i="31"/>
  <c r="T310" i="31"/>
  <c r="Q311" i="31"/>
  <c r="R311" i="31"/>
  <c r="S311" i="31"/>
  <c r="T311" i="31"/>
  <c r="Q312" i="31"/>
  <c r="R312" i="31"/>
  <c r="S312" i="31"/>
  <c r="T312" i="31"/>
  <c r="Q313" i="31"/>
  <c r="R313" i="31"/>
  <c r="S313" i="31"/>
  <c r="T313" i="31"/>
  <c r="Q314" i="31"/>
  <c r="R314" i="31"/>
  <c r="S314" i="31"/>
  <c r="T314" i="31"/>
  <c r="Q315" i="31"/>
  <c r="R315" i="31"/>
  <c r="S315" i="31"/>
  <c r="T315" i="31"/>
  <c r="Q316" i="31"/>
  <c r="R316" i="31"/>
  <c r="S316" i="31"/>
  <c r="T316" i="31"/>
  <c r="Q317" i="31"/>
  <c r="R317" i="31"/>
  <c r="S317" i="31"/>
  <c r="T317" i="31"/>
  <c r="Q318" i="31"/>
  <c r="R318" i="31"/>
  <c r="S318" i="31"/>
  <c r="T318" i="31"/>
  <c r="Q319" i="31"/>
  <c r="R319" i="31"/>
  <c r="S319" i="31"/>
  <c r="T319" i="31"/>
  <c r="Q320" i="31"/>
  <c r="R320" i="31"/>
  <c r="S320" i="31"/>
  <c r="T320" i="31"/>
  <c r="Q321" i="31"/>
  <c r="R321" i="31"/>
  <c r="S321" i="31"/>
  <c r="T321" i="31"/>
  <c r="Q322" i="31"/>
  <c r="R322" i="31"/>
  <c r="S322" i="31"/>
  <c r="T322" i="31"/>
  <c r="Q323" i="31"/>
  <c r="R323" i="31"/>
  <c r="S323" i="31"/>
  <c r="T323" i="31"/>
  <c r="Q324" i="31"/>
  <c r="R324" i="31"/>
  <c r="S324" i="31"/>
  <c r="T324" i="31"/>
  <c r="Q325" i="31"/>
  <c r="R325" i="31"/>
  <c r="S325" i="31"/>
  <c r="T325" i="31"/>
  <c r="Q326" i="31"/>
  <c r="R326" i="31"/>
  <c r="S326" i="31"/>
  <c r="T326" i="31"/>
  <c r="Q327" i="31"/>
  <c r="R327" i="31"/>
  <c r="S327" i="31"/>
  <c r="T327" i="31"/>
  <c r="Q328" i="31"/>
  <c r="R328" i="31"/>
  <c r="S328" i="31"/>
  <c r="T328" i="31"/>
  <c r="Q329" i="31"/>
  <c r="R329" i="31"/>
  <c r="S329" i="31"/>
  <c r="T329" i="31"/>
  <c r="Q330" i="31"/>
  <c r="R330" i="31"/>
  <c r="S330" i="31"/>
  <c r="T330" i="31"/>
  <c r="Q331" i="31"/>
  <c r="R331" i="31"/>
  <c r="S331" i="31"/>
  <c r="T331" i="31"/>
  <c r="Q332" i="31"/>
  <c r="R332" i="31"/>
  <c r="S332" i="31"/>
  <c r="T332" i="31"/>
  <c r="Q333" i="31"/>
  <c r="R333" i="31"/>
  <c r="S333" i="31"/>
  <c r="T333" i="31"/>
  <c r="Q334" i="31"/>
  <c r="R334" i="31"/>
  <c r="S334" i="31"/>
  <c r="T334" i="31"/>
  <c r="Q335" i="31"/>
  <c r="R335" i="31"/>
  <c r="S335" i="31"/>
  <c r="T335" i="31"/>
  <c r="Q336" i="31"/>
  <c r="R336" i="31"/>
  <c r="S336" i="31"/>
  <c r="T336" i="31"/>
  <c r="Q337" i="31"/>
  <c r="R337" i="31"/>
  <c r="S337" i="31"/>
  <c r="T337" i="31"/>
  <c r="Q338" i="31"/>
  <c r="R338" i="31"/>
  <c r="S338" i="31"/>
  <c r="T338" i="31"/>
  <c r="Q339" i="31"/>
  <c r="R339" i="31"/>
  <c r="S339" i="31"/>
  <c r="T339" i="31"/>
  <c r="Q340" i="31"/>
  <c r="R340" i="31"/>
  <c r="S340" i="31"/>
  <c r="T340" i="31"/>
  <c r="Q341" i="31"/>
  <c r="R341" i="31"/>
  <c r="S341" i="31"/>
  <c r="T341" i="31"/>
  <c r="Q342" i="31"/>
  <c r="R342" i="31"/>
  <c r="S342" i="31"/>
  <c r="T342" i="31"/>
  <c r="Q343" i="31"/>
  <c r="R343" i="31"/>
  <c r="S343" i="31"/>
  <c r="T343" i="31"/>
  <c r="Q344" i="31"/>
  <c r="R344" i="31"/>
  <c r="S344" i="31"/>
  <c r="T344" i="31"/>
  <c r="Q345" i="31"/>
  <c r="R345" i="31"/>
  <c r="S345" i="31"/>
  <c r="T345" i="31"/>
  <c r="Q346" i="31"/>
  <c r="R346" i="31"/>
  <c r="S346" i="31"/>
  <c r="T346" i="31"/>
  <c r="Q347" i="31"/>
  <c r="R347" i="31"/>
  <c r="S347" i="31"/>
  <c r="T347" i="31"/>
  <c r="Q348" i="31"/>
  <c r="R348" i="31"/>
  <c r="S348" i="31"/>
  <c r="T348" i="31"/>
  <c r="Q349" i="31"/>
  <c r="R349" i="31"/>
  <c r="S349" i="31"/>
  <c r="T349" i="31"/>
  <c r="Q350" i="31"/>
  <c r="R350" i="31"/>
  <c r="S350" i="31"/>
  <c r="T350" i="31"/>
  <c r="Q351" i="31"/>
  <c r="R351" i="31"/>
  <c r="S351" i="31"/>
  <c r="T351" i="31"/>
  <c r="Q352" i="31"/>
  <c r="R352" i="31"/>
  <c r="S352" i="31"/>
  <c r="T352" i="31"/>
  <c r="Q353" i="31"/>
  <c r="R353" i="31"/>
  <c r="S353" i="31"/>
  <c r="T353" i="31"/>
  <c r="Q354" i="31"/>
  <c r="R354" i="31"/>
  <c r="S354" i="31"/>
  <c r="T354" i="31"/>
  <c r="Q355" i="31"/>
  <c r="R355" i="31"/>
  <c r="S355" i="31"/>
  <c r="T355" i="31"/>
  <c r="Q356" i="31"/>
  <c r="R356" i="31"/>
  <c r="S356" i="31"/>
  <c r="T356" i="31"/>
  <c r="Q357" i="31"/>
  <c r="R357" i="31"/>
  <c r="S357" i="31"/>
  <c r="T357" i="31"/>
  <c r="Q358" i="31"/>
  <c r="R358" i="31"/>
  <c r="S358" i="31"/>
  <c r="T358" i="31"/>
  <c r="Q359" i="31"/>
  <c r="R359" i="31"/>
  <c r="S359" i="31"/>
  <c r="T359" i="31"/>
  <c r="Q360" i="31"/>
  <c r="R360" i="31"/>
  <c r="S360" i="31"/>
  <c r="T360" i="31"/>
  <c r="Q361" i="31"/>
  <c r="R361" i="31"/>
  <c r="S361" i="31"/>
  <c r="T361" i="31"/>
  <c r="Q362" i="31"/>
  <c r="R362" i="31"/>
  <c r="S362" i="31"/>
  <c r="T362" i="31"/>
  <c r="Q363" i="31"/>
  <c r="R363" i="31"/>
  <c r="S363" i="31"/>
  <c r="T363" i="31"/>
  <c r="Q364" i="31"/>
  <c r="R364" i="31"/>
  <c r="S364" i="31"/>
  <c r="T364" i="31"/>
  <c r="Q365" i="31"/>
  <c r="R365" i="31"/>
  <c r="S365" i="31"/>
  <c r="T365" i="31"/>
  <c r="Q366" i="31"/>
  <c r="R366" i="31"/>
  <c r="S366" i="31"/>
  <c r="T366" i="31"/>
  <c r="Q367" i="31"/>
  <c r="R367" i="31"/>
  <c r="S367" i="31"/>
  <c r="T367" i="31"/>
  <c r="Q368" i="31"/>
  <c r="R368" i="31"/>
  <c r="S368" i="31"/>
  <c r="T368" i="31"/>
  <c r="Q369" i="31"/>
  <c r="R369" i="31"/>
  <c r="S369" i="31"/>
  <c r="T369" i="31"/>
  <c r="Q370" i="31"/>
  <c r="R370" i="31"/>
  <c r="S370" i="31"/>
  <c r="T370" i="31"/>
  <c r="Q371" i="31"/>
  <c r="R371" i="31"/>
  <c r="S371" i="31"/>
  <c r="T371" i="31"/>
  <c r="Q372" i="31"/>
  <c r="R372" i="31"/>
  <c r="S372" i="31"/>
  <c r="T372" i="31"/>
  <c r="Q373" i="31"/>
  <c r="R373" i="31"/>
  <c r="S373" i="31"/>
  <c r="T373" i="31"/>
  <c r="Q374" i="31"/>
  <c r="R374" i="31"/>
  <c r="S374" i="31"/>
  <c r="T374" i="31"/>
  <c r="Q375" i="31"/>
  <c r="R375" i="31"/>
  <c r="S375" i="31"/>
  <c r="T375" i="31"/>
  <c r="Q376" i="31"/>
  <c r="R376" i="31"/>
  <c r="S376" i="31"/>
  <c r="T376" i="31"/>
  <c r="Q377" i="31"/>
  <c r="R377" i="31"/>
  <c r="S377" i="31"/>
  <c r="T377" i="31"/>
  <c r="Q378" i="31"/>
  <c r="R378" i="31"/>
  <c r="S378" i="31"/>
  <c r="T378" i="31"/>
  <c r="Q379" i="31"/>
  <c r="R379" i="31"/>
  <c r="S379" i="31"/>
  <c r="T379" i="31"/>
  <c r="Q380" i="31"/>
  <c r="R380" i="31"/>
  <c r="S380" i="31"/>
  <c r="T380" i="31"/>
  <c r="Q381" i="31"/>
  <c r="R381" i="31"/>
  <c r="S381" i="31"/>
  <c r="T381" i="31"/>
  <c r="Q382" i="31"/>
  <c r="R382" i="31"/>
  <c r="S382" i="31"/>
  <c r="T382" i="31"/>
  <c r="Q383" i="31"/>
  <c r="R383" i="31"/>
  <c r="S383" i="31"/>
  <c r="T383" i="31"/>
  <c r="Q384" i="31"/>
  <c r="R384" i="31"/>
  <c r="S384" i="31"/>
  <c r="T384" i="31"/>
  <c r="Q385" i="31"/>
  <c r="R385" i="31"/>
  <c r="S385" i="31"/>
  <c r="T385" i="31"/>
  <c r="Q386" i="31"/>
  <c r="R386" i="31"/>
  <c r="S386" i="31"/>
  <c r="T386" i="31"/>
  <c r="Q387" i="31"/>
  <c r="R387" i="31"/>
  <c r="S387" i="31"/>
  <c r="T387" i="31"/>
  <c r="Q388" i="31"/>
  <c r="R388" i="31"/>
  <c r="S388" i="31"/>
  <c r="T388" i="31"/>
  <c r="Q389" i="31"/>
  <c r="R389" i="31"/>
  <c r="S389" i="31"/>
  <c r="T389" i="31"/>
  <c r="Q390" i="31"/>
  <c r="R390" i="31"/>
  <c r="S390" i="31"/>
  <c r="T390" i="31"/>
  <c r="Q391" i="31"/>
  <c r="R391" i="31"/>
  <c r="S391" i="31"/>
  <c r="T391" i="31"/>
  <c r="Q392" i="31"/>
  <c r="R392" i="31"/>
  <c r="S392" i="31"/>
  <c r="T392" i="31"/>
  <c r="Q393" i="31"/>
  <c r="R393" i="31"/>
  <c r="S393" i="31"/>
  <c r="T393" i="31"/>
  <c r="Q394" i="31"/>
  <c r="R394" i="31"/>
  <c r="S394" i="31"/>
  <c r="T394" i="31"/>
  <c r="Q395" i="31"/>
  <c r="R395" i="31"/>
  <c r="S395" i="31"/>
  <c r="T395" i="31"/>
  <c r="Q396" i="31"/>
  <c r="R396" i="31"/>
  <c r="S396" i="31"/>
  <c r="T396" i="31"/>
  <c r="Q397" i="31"/>
  <c r="R397" i="31"/>
  <c r="S397" i="31"/>
  <c r="T397" i="31"/>
  <c r="Q398" i="31"/>
  <c r="R398" i="31"/>
  <c r="S398" i="31"/>
  <c r="T398" i="31"/>
  <c r="Q399" i="31"/>
  <c r="R399" i="31"/>
  <c r="S399" i="31"/>
  <c r="T399" i="31"/>
  <c r="Q400" i="31"/>
  <c r="R400" i="31"/>
  <c r="S400" i="31"/>
  <c r="T400" i="31"/>
  <c r="Q401" i="31"/>
  <c r="R401" i="31"/>
  <c r="S401" i="31"/>
  <c r="T401" i="31"/>
  <c r="Q402" i="31"/>
  <c r="R402" i="31"/>
  <c r="S402" i="31"/>
  <c r="T402" i="31"/>
  <c r="Q403" i="31"/>
  <c r="R403" i="31"/>
  <c r="S403" i="31"/>
  <c r="T403" i="31"/>
  <c r="Q404" i="31"/>
  <c r="R404" i="31"/>
  <c r="S404" i="31"/>
  <c r="T404" i="31"/>
  <c r="Q405" i="31"/>
  <c r="R405" i="31"/>
  <c r="S405" i="31"/>
  <c r="T405" i="31"/>
  <c r="R6" i="31"/>
  <c r="Q6" i="31"/>
  <c r="F405" i="31"/>
  <c r="F404" i="31"/>
  <c r="F403" i="31"/>
  <c r="F402" i="31"/>
  <c r="F401" i="31"/>
  <c r="F400" i="31"/>
  <c r="F399" i="31"/>
  <c r="F398" i="31"/>
  <c r="F397" i="31"/>
  <c r="F396" i="31"/>
  <c r="F395" i="31"/>
  <c r="F394" i="31"/>
  <c r="F393" i="31"/>
  <c r="F392" i="31"/>
  <c r="F391" i="31"/>
  <c r="F390" i="31"/>
  <c r="F389" i="31"/>
  <c r="F388" i="31"/>
  <c r="F387" i="31"/>
  <c r="F386" i="31"/>
  <c r="F385" i="31"/>
  <c r="F384" i="31"/>
  <c r="F383" i="31"/>
  <c r="F382" i="31"/>
  <c r="F381" i="31"/>
  <c r="F380" i="31"/>
  <c r="F379" i="31"/>
  <c r="F378" i="31"/>
  <c r="F377" i="31"/>
  <c r="F376" i="31"/>
  <c r="F375" i="31"/>
  <c r="F374" i="31"/>
  <c r="F373" i="31"/>
  <c r="F372" i="31"/>
  <c r="F371" i="31"/>
  <c r="F370" i="31"/>
  <c r="F369" i="31"/>
  <c r="F368" i="31"/>
  <c r="F367" i="31"/>
  <c r="F366" i="31"/>
  <c r="F365" i="31"/>
  <c r="F364" i="31"/>
  <c r="F363" i="31"/>
  <c r="F362" i="31"/>
  <c r="F361" i="31"/>
  <c r="F360" i="31"/>
  <c r="F359" i="31"/>
  <c r="F358" i="31"/>
  <c r="F357" i="31"/>
  <c r="F356" i="31"/>
  <c r="F355" i="31"/>
  <c r="F354" i="31"/>
  <c r="F353" i="31"/>
  <c r="F352" i="31"/>
  <c r="F351" i="31"/>
  <c r="F350" i="31"/>
  <c r="F349" i="31"/>
  <c r="F348" i="31"/>
  <c r="F347" i="31"/>
  <c r="F346" i="31"/>
  <c r="F345" i="31"/>
  <c r="F344" i="31"/>
  <c r="F343" i="31"/>
  <c r="F342" i="31"/>
  <c r="F341" i="31"/>
  <c r="F340" i="31"/>
  <c r="F339" i="31"/>
  <c r="F338" i="31"/>
  <c r="F337" i="31"/>
  <c r="F336" i="31"/>
  <c r="F335" i="31"/>
  <c r="F334" i="31"/>
  <c r="F333" i="31"/>
  <c r="F332" i="31"/>
  <c r="F331" i="31"/>
  <c r="F330" i="31"/>
  <c r="F329" i="31"/>
  <c r="F328" i="31"/>
  <c r="F327" i="31"/>
  <c r="F326" i="31"/>
  <c r="F325" i="31"/>
  <c r="F324" i="31"/>
  <c r="F323" i="31"/>
  <c r="F322" i="31"/>
  <c r="F321" i="31"/>
  <c r="F320" i="31"/>
  <c r="F319" i="31"/>
  <c r="F318" i="31"/>
  <c r="F317" i="31"/>
  <c r="F316" i="31"/>
  <c r="F315" i="31"/>
  <c r="F314" i="31"/>
  <c r="F313" i="31"/>
  <c r="F312" i="31"/>
  <c r="F311" i="31"/>
  <c r="F310" i="31"/>
  <c r="F309" i="31"/>
  <c r="F308" i="31"/>
  <c r="F307" i="31"/>
  <c r="F306" i="31"/>
  <c r="F305" i="31"/>
  <c r="F304" i="31"/>
  <c r="F303" i="31"/>
  <c r="F302" i="31"/>
  <c r="F301" i="31"/>
  <c r="F300" i="31"/>
  <c r="F299" i="31"/>
  <c r="F298" i="31"/>
  <c r="F297" i="31"/>
  <c r="F296" i="31"/>
  <c r="F295" i="31"/>
  <c r="F294" i="31"/>
  <c r="F293" i="31"/>
  <c r="F292" i="31"/>
  <c r="F291" i="31"/>
  <c r="F290" i="31"/>
  <c r="F289" i="31"/>
  <c r="F288" i="31"/>
  <c r="F287" i="31"/>
  <c r="F286" i="31"/>
  <c r="F285" i="31"/>
  <c r="F284" i="31"/>
  <c r="F283" i="31"/>
  <c r="F282" i="31"/>
  <c r="F281" i="31"/>
  <c r="F280" i="31"/>
  <c r="F279" i="31"/>
  <c r="F278" i="31"/>
  <c r="F277" i="31"/>
  <c r="F276" i="31"/>
  <c r="F275" i="31"/>
  <c r="F274" i="31"/>
  <c r="F273" i="31"/>
  <c r="F272" i="31"/>
  <c r="F271" i="31"/>
  <c r="F270" i="31"/>
  <c r="F269" i="31"/>
  <c r="F268" i="31"/>
  <c r="F267" i="31"/>
  <c r="F266" i="31"/>
  <c r="F265" i="31"/>
  <c r="F264" i="31"/>
  <c r="F263" i="31"/>
  <c r="F262" i="31"/>
  <c r="F261" i="31"/>
  <c r="F260" i="31"/>
  <c r="F259" i="31"/>
  <c r="F258" i="31"/>
  <c r="F257" i="31"/>
  <c r="F256" i="31"/>
  <c r="F255" i="31"/>
  <c r="F254" i="31"/>
  <c r="F253" i="31"/>
  <c r="F252" i="31"/>
  <c r="F251" i="31"/>
  <c r="F250" i="31"/>
  <c r="F249" i="31"/>
  <c r="F248" i="31"/>
  <c r="F247" i="31"/>
  <c r="F246" i="31"/>
  <c r="F245" i="31"/>
  <c r="F244" i="31"/>
  <c r="F243" i="31"/>
  <c r="F242" i="31"/>
  <c r="F241" i="31"/>
  <c r="F240" i="31"/>
  <c r="F239" i="31"/>
  <c r="F238" i="31"/>
  <c r="F237" i="31"/>
  <c r="F236" i="31"/>
  <c r="F235" i="31"/>
  <c r="F234" i="31"/>
  <c r="F233" i="31"/>
  <c r="F232" i="31"/>
  <c r="F231" i="31"/>
  <c r="F230" i="31"/>
  <c r="F229" i="31"/>
  <c r="F228" i="31"/>
  <c r="F227" i="31"/>
  <c r="F226" i="31"/>
  <c r="F225" i="31"/>
  <c r="F224" i="31"/>
  <c r="F223" i="31"/>
  <c r="F222" i="31"/>
  <c r="F221" i="31"/>
  <c r="F220" i="31"/>
  <c r="F219" i="31"/>
  <c r="F218" i="31"/>
  <c r="F217" i="31"/>
  <c r="F216" i="31"/>
  <c r="F215" i="31"/>
  <c r="F214" i="31"/>
  <c r="F213" i="31"/>
  <c r="F212" i="31"/>
  <c r="F211" i="31"/>
  <c r="F210" i="31"/>
  <c r="F209" i="31"/>
  <c r="F208" i="31"/>
  <c r="F207" i="31"/>
  <c r="F206" i="31"/>
  <c r="F205" i="31"/>
  <c r="F204" i="31"/>
  <c r="F203" i="31"/>
  <c r="F202" i="31"/>
  <c r="F201" i="31"/>
  <c r="F200" i="31"/>
  <c r="F199" i="31"/>
  <c r="F198" i="31"/>
  <c r="F197" i="31"/>
  <c r="F196" i="31"/>
  <c r="F195" i="31"/>
  <c r="F194" i="31"/>
  <c r="F193" i="31"/>
  <c r="F192" i="31"/>
  <c r="F191" i="31"/>
  <c r="F190" i="31"/>
  <c r="F189" i="31"/>
  <c r="F188" i="31"/>
  <c r="F187" i="31"/>
  <c r="F186" i="31"/>
  <c r="F185" i="31"/>
  <c r="F184" i="31"/>
  <c r="F183" i="31"/>
  <c r="F182" i="31"/>
  <c r="F181" i="31"/>
  <c r="F180" i="31"/>
  <c r="F179" i="31"/>
  <c r="F178" i="31"/>
  <c r="F177" i="31"/>
  <c r="F176" i="31"/>
  <c r="F175" i="31"/>
  <c r="F174" i="31"/>
  <c r="F173" i="31"/>
  <c r="F172" i="31"/>
  <c r="F171" i="31"/>
  <c r="F170" i="31"/>
  <c r="F169" i="31"/>
  <c r="F168" i="31"/>
  <c r="F167" i="31"/>
  <c r="F166" i="31"/>
  <c r="F165" i="31"/>
  <c r="F164" i="31"/>
  <c r="F163" i="31"/>
  <c r="F162" i="31"/>
  <c r="F161" i="31"/>
  <c r="F160" i="31"/>
  <c r="F159" i="31"/>
  <c r="F158" i="31"/>
  <c r="F157" i="31"/>
  <c r="F156" i="31"/>
  <c r="F155" i="31"/>
  <c r="F154" i="31"/>
  <c r="F153" i="31"/>
  <c r="F152" i="31"/>
  <c r="F151" i="31"/>
  <c r="F150" i="31"/>
  <c r="F149" i="31"/>
  <c r="F148" i="31"/>
  <c r="F147" i="31"/>
  <c r="F146" i="31"/>
  <c r="F145" i="31"/>
  <c r="F144" i="31"/>
  <c r="F143" i="31"/>
  <c r="F142" i="31"/>
  <c r="F141" i="31"/>
  <c r="F140" i="31"/>
  <c r="F139" i="31"/>
  <c r="F138" i="31"/>
  <c r="F137" i="31"/>
  <c r="F136" i="31"/>
  <c r="F135" i="31"/>
  <c r="F134" i="31"/>
  <c r="F133" i="31"/>
  <c r="F132" i="31"/>
  <c r="F131" i="31"/>
  <c r="F130" i="31"/>
  <c r="F129" i="31"/>
  <c r="F128" i="31"/>
  <c r="F127" i="31"/>
  <c r="F126" i="31"/>
  <c r="F125" i="31"/>
  <c r="F124" i="31"/>
  <c r="F123" i="31"/>
  <c r="F122" i="31"/>
  <c r="F121" i="31"/>
  <c r="F120" i="31"/>
  <c r="F119" i="31"/>
  <c r="F118" i="31"/>
  <c r="F117" i="31"/>
  <c r="F116" i="31"/>
  <c r="F115" i="31"/>
  <c r="F114" i="31"/>
  <c r="F113" i="31"/>
  <c r="F112" i="31"/>
  <c r="F111" i="31"/>
  <c r="F110" i="31"/>
  <c r="F109" i="31"/>
  <c r="F108" i="31"/>
  <c r="F107" i="31"/>
  <c r="F106" i="31"/>
  <c r="F105" i="31"/>
  <c r="F104" i="31"/>
  <c r="F103" i="31"/>
  <c r="F102" i="31"/>
  <c r="F101" i="31"/>
  <c r="F100" i="31"/>
  <c r="F99" i="31"/>
  <c r="F98" i="31"/>
  <c r="F97" i="31"/>
  <c r="F96" i="31"/>
  <c r="F95" i="31"/>
  <c r="F94" i="31"/>
  <c r="F93"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7" i="31"/>
  <c r="F6" i="31"/>
  <c r="E406" i="31"/>
  <c r="M8" i="30"/>
  <c r="N8" i="30" s="1"/>
  <c r="O8" i="30" s="1"/>
  <c r="M9" i="30"/>
  <c r="N9" i="30"/>
  <c r="O9" i="30" s="1"/>
  <c r="M10" i="30"/>
  <c r="N10" i="30" s="1"/>
  <c r="O10" i="30" s="1"/>
  <c r="M11" i="30"/>
  <c r="N11" i="30" s="1"/>
  <c r="O11" i="30" s="1"/>
  <c r="M12" i="30"/>
  <c r="N12" i="30" s="1"/>
  <c r="O12" i="30" s="1"/>
  <c r="M13" i="30"/>
  <c r="N13" i="30"/>
  <c r="O13" i="30" s="1"/>
  <c r="M14" i="30"/>
  <c r="N14" i="30" s="1"/>
  <c r="O14" i="30" s="1"/>
  <c r="M15" i="30"/>
  <c r="N15" i="30"/>
  <c r="O15" i="30" s="1"/>
  <c r="M16" i="30"/>
  <c r="N16" i="30" s="1"/>
  <c r="O16" i="30" s="1"/>
  <c r="M17" i="30"/>
  <c r="N17" i="30"/>
  <c r="O17" i="30" s="1"/>
  <c r="M18" i="30"/>
  <c r="N18" i="30" s="1"/>
  <c r="O18" i="30" s="1"/>
  <c r="M19" i="30"/>
  <c r="N19" i="30"/>
  <c r="O19" i="30" s="1"/>
  <c r="M20" i="30"/>
  <c r="N20" i="30" s="1"/>
  <c r="O20" i="30"/>
  <c r="M21" i="30"/>
  <c r="N21" i="30"/>
  <c r="O21" i="30" s="1"/>
  <c r="M22" i="30"/>
  <c r="N22" i="30" s="1"/>
  <c r="O22" i="30" s="1"/>
  <c r="M23" i="30"/>
  <c r="N23" i="30" s="1"/>
  <c r="O23" i="30" s="1"/>
  <c r="M24" i="30"/>
  <c r="N24" i="30" s="1"/>
  <c r="O24" i="30" s="1"/>
  <c r="M25" i="30"/>
  <c r="N25" i="30" s="1"/>
  <c r="O25" i="30" s="1"/>
  <c r="M26" i="30"/>
  <c r="N26" i="30" s="1"/>
  <c r="O26" i="30" s="1"/>
  <c r="M27" i="30"/>
  <c r="N27" i="30" s="1"/>
  <c r="O27" i="30" s="1"/>
  <c r="M28" i="30"/>
  <c r="N28" i="30" s="1"/>
  <c r="O28" i="30" s="1"/>
  <c r="M29" i="30"/>
  <c r="N29" i="30"/>
  <c r="O29" i="30" s="1"/>
  <c r="M30" i="30"/>
  <c r="N30" i="30" s="1"/>
  <c r="O30" i="30" s="1"/>
  <c r="M31" i="30"/>
  <c r="N31" i="30" s="1"/>
  <c r="O31" i="30"/>
  <c r="M32" i="30"/>
  <c r="N32" i="30" s="1"/>
  <c r="O32" i="30" s="1"/>
  <c r="M33" i="30"/>
  <c r="N33" i="30"/>
  <c r="O33" i="30" s="1"/>
  <c r="M34" i="30"/>
  <c r="N34" i="30" s="1"/>
  <c r="O34" i="30" s="1"/>
  <c r="M35" i="30"/>
  <c r="N35" i="30" s="1"/>
  <c r="O35" i="30" s="1"/>
  <c r="M36" i="30"/>
  <c r="N36" i="30" s="1"/>
  <c r="O36" i="30"/>
  <c r="M37" i="30"/>
  <c r="N37" i="30"/>
  <c r="O37" i="30" s="1"/>
  <c r="M38" i="30"/>
  <c r="N38" i="30" s="1"/>
  <c r="O38" i="30" s="1"/>
  <c r="M39" i="30"/>
  <c r="N39" i="30"/>
  <c r="O39" i="30" s="1"/>
  <c r="M40" i="30"/>
  <c r="N40" i="30" s="1"/>
  <c r="O40" i="30" s="1"/>
  <c r="M41" i="30"/>
  <c r="N41" i="30" s="1"/>
  <c r="O41" i="30"/>
  <c r="M42" i="30"/>
  <c r="N42" i="30" s="1"/>
  <c r="O42" i="30" s="1"/>
  <c r="M43" i="30"/>
  <c r="N43" i="30" s="1"/>
  <c r="O43" i="30" s="1"/>
  <c r="M44" i="30"/>
  <c r="N44" i="30" s="1"/>
  <c r="O44" i="30" s="1"/>
  <c r="M45" i="30"/>
  <c r="N45" i="30"/>
  <c r="O45" i="30" s="1"/>
  <c r="M46" i="30"/>
  <c r="N46" i="30" s="1"/>
  <c r="O46" i="30" s="1"/>
  <c r="M47" i="30"/>
  <c r="N47" i="30"/>
  <c r="O47" i="30" s="1"/>
  <c r="M48" i="30"/>
  <c r="N48" i="30" s="1"/>
  <c r="O48" i="30" s="1"/>
  <c r="M49" i="30"/>
  <c r="N49" i="30"/>
  <c r="O49" i="30" s="1"/>
  <c r="M50" i="30"/>
  <c r="N50" i="30" s="1"/>
  <c r="O50" i="30" s="1"/>
  <c r="M51" i="30"/>
  <c r="N51" i="30" s="1"/>
  <c r="O51" i="30" s="1"/>
  <c r="M52" i="30"/>
  <c r="N52" i="30" s="1"/>
  <c r="O52" i="30" s="1"/>
  <c r="M53" i="30"/>
  <c r="N53" i="30"/>
  <c r="O53" i="30" s="1"/>
  <c r="M54" i="30"/>
  <c r="N54" i="30" s="1"/>
  <c r="O54" i="30" s="1"/>
  <c r="M55" i="30"/>
  <c r="N55" i="30" s="1"/>
  <c r="O55" i="30" s="1"/>
  <c r="M56" i="30"/>
  <c r="N56" i="30" s="1"/>
  <c r="O56" i="30" s="1"/>
  <c r="M57" i="30"/>
  <c r="N57" i="30" s="1"/>
  <c r="O57" i="30" s="1"/>
  <c r="M58" i="30"/>
  <c r="N58" i="30" s="1"/>
  <c r="O58" i="30" s="1"/>
  <c r="M59" i="30"/>
  <c r="N59" i="30" s="1"/>
  <c r="O59" i="30" s="1"/>
  <c r="M60" i="30"/>
  <c r="N60" i="30" s="1"/>
  <c r="O60" i="30" s="1"/>
  <c r="M61" i="30"/>
  <c r="N61" i="30" s="1"/>
  <c r="O61" i="30" s="1"/>
  <c r="M62" i="30"/>
  <c r="N62" i="30" s="1"/>
  <c r="O62" i="30" s="1"/>
  <c r="M63" i="30"/>
  <c r="N63" i="30" s="1"/>
  <c r="O63" i="30" s="1"/>
  <c r="M64" i="30"/>
  <c r="N64" i="30" s="1"/>
  <c r="O64" i="30" s="1"/>
  <c r="M65" i="30"/>
  <c r="N65" i="30"/>
  <c r="O65" i="30" s="1"/>
  <c r="M66" i="30"/>
  <c r="N66" i="30" s="1"/>
  <c r="O66" i="30" s="1"/>
  <c r="M67" i="30"/>
  <c r="N67" i="30"/>
  <c r="O67" i="30" s="1"/>
  <c r="M68" i="30"/>
  <c r="N68" i="30" s="1"/>
  <c r="O68" i="30"/>
  <c r="M69" i="30"/>
  <c r="N69" i="30"/>
  <c r="O69" i="30" s="1"/>
  <c r="M70" i="30"/>
  <c r="N70" i="30" s="1"/>
  <c r="O70" i="30" s="1"/>
  <c r="M71" i="30"/>
  <c r="N71" i="30" s="1"/>
  <c r="O71" i="30" s="1"/>
  <c r="M72" i="30"/>
  <c r="N72" i="30" s="1"/>
  <c r="O72" i="30" s="1"/>
  <c r="M73" i="30"/>
  <c r="N73" i="30"/>
  <c r="O73" i="30" s="1"/>
  <c r="M74" i="30"/>
  <c r="N74" i="30" s="1"/>
  <c r="O74" i="30" s="1"/>
  <c r="M75" i="30"/>
  <c r="N75" i="30" s="1"/>
  <c r="O75" i="30" s="1"/>
  <c r="M76" i="30"/>
  <c r="N76" i="30" s="1"/>
  <c r="O76" i="30" s="1"/>
  <c r="M77" i="30"/>
  <c r="N77" i="30"/>
  <c r="O77" i="30" s="1"/>
  <c r="M78" i="30"/>
  <c r="N78" i="30" s="1"/>
  <c r="O78" i="30" s="1"/>
  <c r="M79" i="30"/>
  <c r="N79" i="30"/>
  <c r="O79" i="30" s="1"/>
  <c r="M80" i="30"/>
  <c r="N80" i="30" s="1"/>
  <c r="O80" i="30" s="1"/>
  <c r="M81" i="30"/>
  <c r="N81" i="30"/>
  <c r="O81" i="30" s="1"/>
  <c r="M82" i="30"/>
  <c r="N82" i="30" s="1"/>
  <c r="O82" i="30" s="1"/>
  <c r="M83" i="30"/>
  <c r="N83" i="30" s="1"/>
  <c r="O83" i="30" s="1"/>
  <c r="M84" i="30"/>
  <c r="N84" i="30" s="1"/>
  <c r="O84" i="30" s="1"/>
  <c r="M85" i="30"/>
  <c r="N85" i="30"/>
  <c r="O85" i="30" s="1"/>
  <c r="M86" i="30"/>
  <c r="N86" i="30" s="1"/>
  <c r="O86" i="30" s="1"/>
  <c r="M87" i="30"/>
  <c r="N87" i="30" s="1"/>
  <c r="O87" i="30" s="1"/>
  <c r="M88" i="30"/>
  <c r="N88" i="30" s="1"/>
  <c r="O88" i="30" s="1"/>
  <c r="M89" i="30"/>
  <c r="N89" i="30" s="1"/>
  <c r="O89" i="30" s="1"/>
  <c r="M90" i="30"/>
  <c r="N90" i="30" s="1"/>
  <c r="O90" i="30" s="1"/>
  <c r="M91" i="30"/>
  <c r="N91" i="30" s="1"/>
  <c r="O91" i="30"/>
  <c r="M92" i="30"/>
  <c r="N92" i="30" s="1"/>
  <c r="O92" i="30" s="1"/>
  <c r="M93" i="30"/>
  <c r="N93" i="30"/>
  <c r="O93" i="30" s="1"/>
  <c r="M94" i="30"/>
  <c r="N94" i="30" s="1"/>
  <c r="O94" i="30" s="1"/>
  <c r="M95" i="30"/>
  <c r="N95" i="30"/>
  <c r="O95" i="30" s="1"/>
  <c r="M96" i="30"/>
  <c r="N96" i="30" s="1"/>
  <c r="O96" i="30" s="1"/>
  <c r="M97" i="30"/>
  <c r="N97" i="30" s="1"/>
  <c r="O97" i="30" s="1"/>
  <c r="M98" i="30"/>
  <c r="N98" i="30" s="1"/>
  <c r="O98" i="30" s="1"/>
  <c r="M99" i="30"/>
  <c r="N99" i="30" s="1"/>
  <c r="O99" i="30" s="1"/>
  <c r="M100" i="30"/>
  <c r="N100" i="30" s="1"/>
  <c r="O100" i="30"/>
  <c r="M101" i="30"/>
  <c r="N101" i="30"/>
  <c r="O101" i="30" s="1"/>
  <c r="M102" i="30"/>
  <c r="N102" i="30" s="1"/>
  <c r="O102" i="30" s="1"/>
  <c r="M103" i="30"/>
  <c r="N103" i="30"/>
  <c r="O103" i="30" s="1"/>
  <c r="M104" i="30"/>
  <c r="N104" i="30" s="1"/>
  <c r="O104" i="30" s="1"/>
  <c r="M105" i="30"/>
  <c r="N105" i="30" s="1"/>
  <c r="O105" i="30" s="1"/>
  <c r="M106" i="30"/>
  <c r="N106" i="30" s="1"/>
  <c r="O106" i="30" s="1"/>
  <c r="M107" i="30"/>
  <c r="N107" i="30" s="1"/>
  <c r="O107" i="30" s="1"/>
  <c r="M108" i="30"/>
  <c r="N108" i="30" s="1"/>
  <c r="O108" i="30" s="1"/>
  <c r="M109" i="30"/>
  <c r="N109" i="30" s="1"/>
  <c r="O109" i="30" s="1"/>
  <c r="M110" i="30"/>
  <c r="N110" i="30" s="1"/>
  <c r="O110" i="30" s="1"/>
  <c r="M111" i="30"/>
  <c r="N111" i="30"/>
  <c r="O111" i="30" s="1"/>
  <c r="M112" i="30"/>
  <c r="N112" i="30" s="1"/>
  <c r="O112" i="30" s="1"/>
  <c r="M113" i="30"/>
  <c r="N113" i="30"/>
  <c r="O113" i="30" s="1"/>
  <c r="M114" i="30"/>
  <c r="N114" i="30" s="1"/>
  <c r="O114" i="30" s="1"/>
  <c r="M115" i="30"/>
  <c r="N115" i="30"/>
  <c r="O115" i="30"/>
  <c r="M116" i="30"/>
  <c r="N116" i="30" s="1"/>
  <c r="O116" i="30"/>
  <c r="M117" i="30"/>
  <c r="N117" i="30" s="1"/>
  <c r="O117" i="30" s="1"/>
  <c r="M118" i="30"/>
  <c r="N118" i="30" s="1"/>
  <c r="O118" i="30" s="1"/>
  <c r="M119" i="30"/>
  <c r="N119" i="30"/>
  <c r="O119" i="30" s="1"/>
  <c r="M120" i="30"/>
  <c r="N120" i="30" s="1"/>
  <c r="O120" i="30" s="1"/>
  <c r="M121" i="30"/>
  <c r="N121" i="30" s="1"/>
  <c r="O121" i="30" s="1"/>
  <c r="M122" i="30"/>
  <c r="N122" i="30" s="1"/>
  <c r="O122" i="30" s="1"/>
  <c r="M123" i="30"/>
  <c r="N123" i="30" s="1"/>
  <c r="O123" i="30"/>
  <c r="M124" i="30"/>
  <c r="N124" i="30" s="1"/>
  <c r="O124" i="30" s="1"/>
  <c r="M125" i="30"/>
  <c r="N125" i="30"/>
  <c r="O125" i="30" s="1"/>
  <c r="M126" i="30"/>
  <c r="N126" i="30" s="1"/>
  <c r="O126" i="30" s="1"/>
  <c r="M127" i="30"/>
  <c r="N127" i="30" s="1"/>
  <c r="O127" i="30" s="1"/>
  <c r="M128" i="30"/>
  <c r="N128" i="30" s="1"/>
  <c r="O128" i="30" s="1"/>
  <c r="M129" i="30"/>
  <c r="N129" i="30" s="1"/>
  <c r="O129" i="30" s="1"/>
  <c r="M130" i="30"/>
  <c r="N130" i="30" s="1"/>
  <c r="O130" i="30" s="1"/>
  <c r="M131" i="30"/>
  <c r="N131" i="30" s="1"/>
  <c r="O131" i="30" s="1"/>
  <c r="M132" i="30"/>
  <c r="N132" i="30" s="1"/>
  <c r="O132" i="30" s="1"/>
  <c r="M133" i="30"/>
  <c r="N133" i="30"/>
  <c r="O133" i="30" s="1"/>
  <c r="M134" i="30"/>
  <c r="N134" i="30" s="1"/>
  <c r="O134" i="30" s="1"/>
  <c r="M135" i="30"/>
  <c r="N135" i="30" s="1"/>
  <c r="O135" i="30" s="1"/>
  <c r="M136" i="30"/>
  <c r="N136" i="30" s="1"/>
  <c r="O136" i="30"/>
  <c r="M137" i="30"/>
  <c r="N137" i="30" s="1"/>
  <c r="O137" i="30" s="1"/>
  <c r="M138" i="30"/>
  <c r="N138" i="30" s="1"/>
  <c r="O138" i="30" s="1"/>
  <c r="M139" i="30"/>
  <c r="N139" i="30" s="1"/>
  <c r="O139" i="30"/>
  <c r="M140" i="30"/>
  <c r="N140" i="30" s="1"/>
  <c r="O140" i="30" s="1"/>
  <c r="M141" i="30"/>
  <c r="N141" i="30" s="1"/>
  <c r="O141" i="30" s="1"/>
  <c r="M142" i="30"/>
  <c r="N142" i="30" s="1"/>
  <c r="O142" i="30" s="1"/>
  <c r="M143" i="30"/>
  <c r="N143" i="30" s="1"/>
  <c r="O143" i="30" s="1"/>
  <c r="M144" i="30"/>
  <c r="N144" i="30" s="1"/>
  <c r="O144" i="30" s="1"/>
  <c r="M145" i="30"/>
  <c r="N145" i="30"/>
  <c r="O145" i="30" s="1"/>
  <c r="M146" i="30"/>
  <c r="N146" i="30" s="1"/>
  <c r="O146" i="30" s="1"/>
  <c r="M147" i="30"/>
  <c r="N147" i="30" s="1"/>
  <c r="O147" i="30" s="1"/>
  <c r="M148" i="30"/>
  <c r="N148" i="30" s="1"/>
  <c r="O148" i="30"/>
  <c r="M149" i="30"/>
  <c r="N149" i="30"/>
  <c r="O149" i="30" s="1"/>
  <c r="M150" i="30"/>
  <c r="N150" i="30" s="1"/>
  <c r="O150" i="30" s="1"/>
  <c r="M151" i="30"/>
  <c r="N151" i="30" s="1"/>
  <c r="O151" i="30"/>
  <c r="M152" i="30"/>
  <c r="N152" i="30" s="1"/>
  <c r="O152" i="30" s="1"/>
  <c r="M153" i="30"/>
  <c r="N153" i="30" s="1"/>
  <c r="O153" i="30" s="1"/>
  <c r="M154" i="30"/>
  <c r="N154" i="30" s="1"/>
  <c r="O154" i="30" s="1"/>
  <c r="M155" i="30"/>
  <c r="N155" i="30" s="1"/>
  <c r="O155" i="30" s="1"/>
  <c r="M156" i="30"/>
  <c r="N156" i="30" s="1"/>
  <c r="O156" i="30" s="1"/>
  <c r="M157" i="30"/>
  <c r="N157" i="30"/>
  <c r="O157" i="30" s="1"/>
  <c r="M158" i="30"/>
  <c r="N158" i="30" s="1"/>
  <c r="O158" i="30" s="1"/>
  <c r="M159" i="30"/>
  <c r="N159" i="30" s="1"/>
  <c r="O159" i="30" s="1"/>
  <c r="M160" i="30"/>
  <c r="N160" i="30" s="1"/>
  <c r="O160" i="30" s="1"/>
  <c r="M161" i="30"/>
  <c r="N161" i="30" s="1"/>
  <c r="O161" i="30" s="1"/>
  <c r="M162" i="30"/>
  <c r="N162" i="30" s="1"/>
  <c r="O162" i="30" s="1"/>
  <c r="M163" i="30"/>
  <c r="N163" i="30" s="1"/>
  <c r="O163" i="30" s="1"/>
  <c r="M164" i="30"/>
  <c r="N164" i="30" s="1"/>
  <c r="O164" i="30" s="1"/>
  <c r="M165" i="30"/>
  <c r="N165" i="30"/>
  <c r="O165" i="30" s="1"/>
  <c r="M166" i="30"/>
  <c r="N166" i="30" s="1"/>
  <c r="O166" i="30" s="1"/>
  <c r="M167" i="30"/>
  <c r="N167" i="30" s="1"/>
  <c r="O167" i="30" s="1"/>
  <c r="M168" i="30"/>
  <c r="N168" i="30" s="1"/>
  <c r="O168" i="30" s="1"/>
  <c r="M169" i="30"/>
  <c r="N169" i="30"/>
  <c r="O169" i="30" s="1"/>
  <c r="M170" i="30"/>
  <c r="N170" i="30" s="1"/>
  <c r="O170" i="30" s="1"/>
  <c r="M171" i="30"/>
  <c r="N171" i="30" s="1"/>
  <c r="O171" i="30"/>
  <c r="M172" i="30"/>
  <c r="N172" i="30" s="1"/>
  <c r="O172" i="30" s="1"/>
  <c r="M173" i="30"/>
  <c r="N173" i="30"/>
  <c r="O173" i="30" s="1"/>
  <c r="M174" i="30"/>
  <c r="N174" i="30" s="1"/>
  <c r="O174" i="30" s="1"/>
  <c r="M175" i="30"/>
  <c r="N175" i="30" s="1"/>
  <c r="O175" i="30" s="1"/>
  <c r="M176" i="30"/>
  <c r="N176" i="30" s="1"/>
  <c r="O176" i="30"/>
  <c r="M177" i="30"/>
  <c r="N177" i="30" s="1"/>
  <c r="O177" i="30"/>
  <c r="M178" i="30"/>
  <c r="N178" i="30" s="1"/>
  <c r="O178" i="30" s="1"/>
  <c r="M179" i="30"/>
  <c r="N179" i="30" s="1"/>
  <c r="O179" i="30" s="1"/>
  <c r="M180" i="30"/>
  <c r="N180" i="30" s="1"/>
  <c r="O180" i="30" s="1"/>
  <c r="M181" i="30"/>
  <c r="N181" i="30" s="1"/>
  <c r="O181" i="30" s="1"/>
  <c r="M182" i="30"/>
  <c r="N182" i="30" s="1"/>
  <c r="O182" i="30" s="1"/>
  <c r="M183" i="30"/>
  <c r="N183" i="30" s="1"/>
  <c r="O183" i="30"/>
  <c r="M184" i="30"/>
  <c r="N184" i="30" s="1"/>
  <c r="O184" i="30" s="1"/>
  <c r="M185" i="30"/>
  <c r="N185" i="30" s="1"/>
  <c r="O185" i="30" s="1"/>
  <c r="M186" i="30"/>
  <c r="N186" i="30" s="1"/>
  <c r="O186" i="30" s="1"/>
  <c r="M187" i="30"/>
  <c r="N187" i="30" s="1"/>
  <c r="O187" i="30"/>
  <c r="M188" i="30"/>
  <c r="N188" i="30" s="1"/>
  <c r="O188" i="30"/>
  <c r="M189" i="30"/>
  <c r="N189" i="30" s="1"/>
  <c r="O189" i="30" s="1"/>
  <c r="M190" i="30"/>
  <c r="N190" i="30" s="1"/>
  <c r="O190" i="30" s="1"/>
  <c r="M191" i="30"/>
  <c r="N191" i="30" s="1"/>
  <c r="O191" i="30" s="1"/>
  <c r="M192" i="30"/>
  <c r="N192" i="30" s="1"/>
  <c r="O192" i="30" s="1"/>
  <c r="M193" i="30"/>
  <c r="N193" i="30" s="1"/>
  <c r="O193" i="30" s="1"/>
  <c r="M194" i="30"/>
  <c r="N194" i="30" s="1"/>
  <c r="O194" i="30" s="1"/>
  <c r="M195" i="30"/>
  <c r="N195" i="30" s="1"/>
  <c r="O195" i="30" s="1"/>
  <c r="M196" i="30"/>
  <c r="N196" i="30" s="1"/>
  <c r="O196" i="30" s="1"/>
  <c r="M197" i="30"/>
  <c r="N197" i="30" s="1"/>
  <c r="O197" i="30" s="1"/>
  <c r="M198" i="30"/>
  <c r="N198" i="30" s="1"/>
  <c r="O198" i="30" s="1"/>
  <c r="M199" i="30"/>
  <c r="N199" i="30"/>
  <c r="O199" i="30" s="1"/>
  <c r="M200" i="30"/>
  <c r="N200" i="30" s="1"/>
  <c r="O200" i="30" s="1"/>
  <c r="M201" i="30"/>
  <c r="N201" i="30" s="1"/>
  <c r="O201" i="30" s="1"/>
  <c r="M202" i="30"/>
  <c r="N202" i="30" s="1"/>
  <c r="O202" i="30" s="1"/>
  <c r="M203" i="30"/>
  <c r="N203" i="30" s="1"/>
  <c r="O203" i="30" s="1"/>
  <c r="M204" i="30"/>
  <c r="N204" i="30" s="1"/>
  <c r="O204" i="30" s="1"/>
  <c r="M205" i="30"/>
  <c r="N205" i="30"/>
  <c r="O205" i="30" s="1"/>
  <c r="M206" i="30"/>
  <c r="N206" i="30" s="1"/>
  <c r="O206" i="30"/>
  <c r="M207" i="30"/>
  <c r="N207" i="30" s="1"/>
  <c r="O207" i="30" s="1"/>
  <c r="M208" i="30"/>
  <c r="N208" i="30" s="1"/>
  <c r="O208" i="30" s="1"/>
  <c r="M209" i="30"/>
  <c r="N209" i="30" s="1"/>
  <c r="O209" i="30" s="1"/>
  <c r="M210" i="30"/>
  <c r="N210" i="30" s="1"/>
  <c r="O210" i="30" s="1"/>
  <c r="M211" i="30"/>
  <c r="N211" i="30" s="1"/>
  <c r="O211" i="30" s="1"/>
  <c r="M212" i="30"/>
  <c r="N212" i="30" s="1"/>
  <c r="O212" i="30" s="1"/>
  <c r="M213" i="30"/>
  <c r="N213" i="30"/>
  <c r="O213" i="30" s="1"/>
  <c r="M214" i="30"/>
  <c r="N214" i="30" s="1"/>
  <c r="O214" i="30" s="1"/>
  <c r="M215" i="30"/>
  <c r="N215" i="30" s="1"/>
  <c r="O215" i="30" s="1"/>
  <c r="M216" i="30"/>
  <c r="N216" i="30" s="1"/>
  <c r="O216" i="30"/>
  <c r="M217" i="30"/>
  <c r="N217" i="30"/>
  <c r="O217" i="30" s="1"/>
  <c r="M218" i="30"/>
  <c r="N218" i="30" s="1"/>
  <c r="O218" i="30"/>
  <c r="M219" i="30"/>
  <c r="N219" i="30" s="1"/>
  <c r="O219" i="30" s="1"/>
  <c r="M220" i="30"/>
  <c r="N220" i="30" s="1"/>
  <c r="O220" i="30" s="1"/>
  <c r="M221" i="30"/>
  <c r="N221" i="30"/>
  <c r="O221" i="30"/>
  <c r="M222" i="30"/>
  <c r="N222" i="30" s="1"/>
  <c r="O222" i="30" s="1"/>
  <c r="M223" i="30"/>
  <c r="N223" i="30" s="1"/>
  <c r="O223" i="30" s="1"/>
  <c r="M224" i="30"/>
  <c r="N224" i="30" s="1"/>
  <c r="O224" i="30" s="1"/>
  <c r="M225" i="30"/>
  <c r="N225" i="30"/>
  <c r="O225" i="30"/>
  <c r="M226" i="30"/>
  <c r="N226" i="30" s="1"/>
  <c r="O226" i="30"/>
  <c r="M227" i="30"/>
  <c r="N227" i="30" s="1"/>
  <c r="O227" i="30"/>
  <c r="M228" i="30"/>
  <c r="N228" i="30" s="1"/>
  <c r="O228" i="30" s="1"/>
  <c r="M229" i="30"/>
  <c r="N229" i="30" s="1"/>
  <c r="O229" i="30"/>
  <c r="M230" i="30"/>
  <c r="N230" i="30" s="1"/>
  <c r="O230" i="30" s="1"/>
  <c r="M231" i="30"/>
  <c r="N231" i="30" s="1"/>
  <c r="O231" i="30" s="1"/>
  <c r="M232" i="30"/>
  <c r="N232" i="30" s="1"/>
  <c r="O232" i="30" s="1"/>
  <c r="M233" i="30"/>
  <c r="N233" i="30" s="1"/>
  <c r="O233" i="30" s="1"/>
  <c r="M234" i="30"/>
  <c r="N234" i="30" s="1"/>
  <c r="O234" i="30" s="1"/>
  <c r="M235" i="30"/>
  <c r="N235" i="30" s="1"/>
  <c r="O235" i="30" s="1"/>
  <c r="M236" i="30"/>
  <c r="N236" i="30" s="1"/>
  <c r="O236" i="30" s="1"/>
  <c r="M237" i="30"/>
  <c r="N237" i="30"/>
  <c r="O237" i="30" s="1"/>
  <c r="M238" i="30"/>
  <c r="N238" i="30" s="1"/>
  <c r="O238" i="30" s="1"/>
  <c r="M239" i="30"/>
  <c r="N239" i="30"/>
  <c r="O239" i="30" s="1"/>
  <c r="M240" i="30"/>
  <c r="N240" i="30" s="1"/>
  <c r="O240" i="30" s="1"/>
  <c r="M241" i="30"/>
  <c r="N241" i="30"/>
  <c r="O241" i="30" s="1"/>
  <c r="M242" i="30"/>
  <c r="N242" i="30" s="1"/>
  <c r="O242" i="30" s="1"/>
  <c r="M243" i="30"/>
  <c r="N243" i="30"/>
  <c r="O243" i="30"/>
  <c r="M244" i="30"/>
  <c r="N244" i="30" s="1"/>
  <c r="O244" i="30" s="1"/>
  <c r="M245" i="30"/>
  <c r="N245" i="30" s="1"/>
  <c r="O245" i="30" s="1"/>
  <c r="M246" i="30"/>
  <c r="N246" i="30" s="1"/>
  <c r="O246" i="30" s="1"/>
  <c r="M247" i="30"/>
  <c r="N247" i="30" s="1"/>
  <c r="O247" i="30" s="1"/>
  <c r="M248" i="30"/>
  <c r="N248" i="30" s="1"/>
  <c r="O248" i="30" s="1"/>
  <c r="M249" i="30"/>
  <c r="N249" i="30"/>
  <c r="O249" i="30"/>
  <c r="M250" i="30"/>
  <c r="N250" i="30" s="1"/>
  <c r="O250" i="30" s="1"/>
  <c r="M251" i="30"/>
  <c r="N251" i="30" s="1"/>
  <c r="O251" i="30" s="1"/>
  <c r="M252" i="30"/>
  <c r="N252" i="30" s="1"/>
  <c r="O252" i="30" s="1"/>
  <c r="M253" i="30"/>
  <c r="N253" i="30"/>
  <c r="O253" i="30" s="1"/>
  <c r="M254" i="30"/>
  <c r="N254" i="30" s="1"/>
  <c r="O254" i="30"/>
  <c r="M255" i="30"/>
  <c r="N255" i="30" s="1"/>
  <c r="O255" i="30" s="1"/>
  <c r="M256" i="30"/>
  <c r="N256" i="30" s="1"/>
  <c r="O256" i="30" s="1"/>
  <c r="M257" i="30"/>
  <c r="N257" i="30"/>
  <c r="O257" i="30" s="1"/>
  <c r="M258" i="30"/>
  <c r="N258" i="30" s="1"/>
  <c r="O258" i="30" s="1"/>
  <c r="M259" i="30"/>
  <c r="N259" i="30"/>
  <c r="O259" i="30"/>
  <c r="M260" i="30"/>
  <c r="N260" i="30" s="1"/>
  <c r="O260" i="30" s="1"/>
  <c r="M261" i="30"/>
  <c r="N261" i="30"/>
  <c r="O261" i="30"/>
  <c r="M262" i="30"/>
  <c r="N262" i="30" s="1"/>
  <c r="O262" i="30"/>
  <c r="M263" i="30"/>
  <c r="N263" i="30"/>
  <c r="O263" i="30"/>
  <c r="M264" i="30"/>
  <c r="N264" i="30" s="1"/>
  <c r="O264" i="30" s="1"/>
  <c r="M265" i="30"/>
  <c r="N265" i="30" s="1"/>
  <c r="O265" i="30" s="1"/>
  <c r="M266" i="30"/>
  <c r="N266" i="30" s="1"/>
  <c r="O266" i="30" s="1"/>
  <c r="M267" i="30"/>
  <c r="N267" i="30" s="1"/>
  <c r="O267" i="30" s="1"/>
  <c r="M268" i="30"/>
  <c r="N268" i="30" s="1"/>
  <c r="O268" i="30" s="1"/>
  <c r="M269" i="30"/>
  <c r="N269" i="30"/>
  <c r="O269" i="30" s="1"/>
  <c r="M270" i="30"/>
  <c r="N270" i="30" s="1"/>
  <c r="O270" i="30" s="1"/>
  <c r="M271" i="30"/>
  <c r="N271" i="30" s="1"/>
  <c r="O271" i="30" s="1"/>
  <c r="M272" i="30"/>
  <c r="N272" i="30" s="1"/>
  <c r="O272" i="30" s="1"/>
  <c r="M273" i="30"/>
  <c r="N273" i="30"/>
  <c r="O273" i="30" s="1"/>
  <c r="M274" i="30"/>
  <c r="N274" i="30" s="1"/>
  <c r="O274" i="30" s="1"/>
  <c r="M275" i="30"/>
  <c r="N275" i="30" s="1"/>
  <c r="O275" i="30" s="1"/>
  <c r="M276" i="30"/>
  <c r="N276" i="30" s="1"/>
  <c r="O276" i="30" s="1"/>
  <c r="M277" i="30"/>
  <c r="N277" i="30" s="1"/>
  <c r="O277" i="30" s="1"/>
  <c r="M278" i="30"/>
  <c r="N278" i="30" s="1"/>
  <c r="O278" i="30" s="1"/>
  <c r="M279" i="30"/>
  <c r="N279" i="30" s="1"/>
  <c r="O279" i="30" s="1"/>
  <c r="M280" i="30"/>
  <c r="N280" i="30" s="1"/>
  <c r="O280" i="30"/>
  <c r="M281" i="30"/>
  <c r="N281" i="30" s="1"/>
  <c r="O281" i="30" s="1"/>
  <c r="M282" i="30"/>
  <c r="N282" i="30" s="1"/>
  <c r="O282" i="30" s="1"/>
  <c r="M283" i="30"/>
  <c r="N283" i="30" s="1"/>
  <c r="O283" i="30" s="1"/>
  <c r="M284" i="30"/>
  <c r="N284" i="30" s="1"/>
  <c r="O284" i="30"/>
  <c r="M285" i="30"/>
  <c r="N285" i="30"/>
  <c r="O285" i="30"/>
  <c r="M286" i="30"/>
  <c r="N286" i="30" s="1"/>
  <c r="O286" i="30" s="1"/>
  <c r="M287" i="30"/>
  <c r="N287" i="30" s="1"/>
  <c r="O287" i="30" s="1"/>
  <c r="M288" i="30"/>
  <c r="N288" i="30" s="1"/>
  <c r="O288" i="30" s="1"/>
  <c r="M289" i="30"/>
  <c r="N289" i="30"/>
  <c r="O289" i="30" s="1"/>
  <c r="M290" i="30"/>
  <c r="N290" i="30" s="1"/>
  <c r="O290" i="30" s="1"/>
  <c r="M291" i="30"/>
  <c r="N291" i="30" s="1"/>
  <c r="O291" i="30" s="1"/>
  <c r="M292" i="30"/>
  <c r="N292" i="30" s="1"/>
  <c r="O292" i="30" s="1"/>
  <c r="M293" i="30"/>
  <c r="N293" i="30" s="1"/>
  <c r="O293" i="30" s="1"/>
  <c r="M294" i="30"/>
  <c r="N294" i="30" s="1"/>
  <c r="O294" i="30" s="1"/>
  <c r="M295" i="30"/>
  <c r="N295" i="30" s="1"/>
  <c r="O295" i="30" s="1"/>
  <c r="M296" i="30"/>
  <c r="N296" i="30" s="1"/>
  <c r="O296" i="30" s="1"/>
  <c r="M297" i="30"/>
  <c r="N297" i="30" s="1"/>
  <c r="O297" i="30" s="1"/>
  <c r="M298" i="30"/>
  <c r="N298" i="30" s="1"/>
  <c r="O298" i="30" s="1"/>
  <c r="M299" i="30"/>
  <c r="N299" i="30" s="1"/>
  <c r="O299" i="30" s="1"/>
  <c r="M300" i="30"/>
  <c r="N300" i="30" s="1"/>
  <c r="O300" i="30"/>
  <c r="M302" i="30"/>
  <c r="N302" i="30"/>
  <c r="O302" i="30" s="1"/>
  <c r="M301" i="30"/>
  <c r="N301" i="30" s="1"/>
  <c r="O301" i="30"/>
  <c r="M303" i="30"/>
  <c r="N303" i="30" s="1"/>
  <c r="O303" i="30" s="1"/>
  <c r="M304" i="30"/>
  <c r="N304" i="30" s="1"/>
  <c r="O304" i="30"/>
  <c r="M305" i="30"/>
  <c r="N305" i="30" s="1"/>
  <c r="O305" i="30" s="1"/>
  <c r="M306" i="30"/>
  <c r="N306" i="30" s="1"/>
  <c r="O306" i="30" s="1"/>
  <c r="M307" i="30"/>
  <c r="N307" i="30" s="1"/>
  <c r="O307" i="30" s="1"/>
  <c r="M308" i="30"/>
  <c r="N308" i="30" s="1"/>
  <c r="O308" i="30"/>
  <c r="M309" i="30"/>
  <c r="N309" i="30" s="1"/>
  <c r="O309" i="30" s="1"/>
  <c r="M310" i="30"/>
  <c r="N310" i="30" s="1"/>
  <c r="O310" i="30" s="1"/>
  <c r="M311" i="30"/>
  <c r="N311" i="30" s="1"/>
  <c r="O311" i="30" s="1"/>
  <c r="M312" i="30"/>
  <c r="N312" i="30" s="1"/>
  <c r="O312" i="30" s="1"/>
  <c r="M313" i="30"/>
  <c r="N313" i="30" s="1"/>
  <c r="O313" i="30" s="1"/>
  <c r="M314" i="30"/>
  <c r="N314" i="30" s="1"/>
  <c r="O314" i="30" s="1"/>
  <c r="M315" i="30"/>
  <c r="N315" i="30" s="1"/>
  <c r="O315" i="30" s="1"/>
  <c r="M316" i="30"/>
  <c r="N316" i="30" s="1"/>
  <c r="O316" i="30" s="1"/>
  <c r="M317" i="30"/>
  <c r="N317" i="30" s="1"/>
  <c r="O317" i="30" s="1"/>
  <c r="M318" i="30"/>
  <c r="N318" i="30" s="1"/>
  <c r="O318" i="30" s="1"/>
  <c r="M319" i="30"/>
  <c r="N319" i="30" s="1"/>
  <c r="O319" i="30" s="1"/>
  <c r="M320" i="30"/>
  <c r="N320" i="30" s="1"/>
  <c r="O320" i="30" s="1"/>
  <c r="M321" i="30"/>
  <c r="N321" i="30" s="1"/>
  <c r="O321" i="30" s="1"/>
  <c r="M325" i="30"/>
  <c r="N325" i="30" s="1"/>
  <c r="O325" i="30"/>
  <c r="M324" i="30"/>
  <c r="N324" i="30" s="1"/>
  <c r="O324" i="30"/>
  <c r="M322" i="30"/>
  <c r="N322" i="30" s="1"/>
  <c r="O322" i="30" s="1"/>
  <c r="M323" i="30"/>
  <c r="N323" i="30"/>
  <c r="O323" i="30" s="1"/>
  <c r="M326" i="30"/>
  <c r="N326" i="30" s="1"/>
  <c r="O326" i="30"/>
  <c r="M327" i="30"/>
  <c r="N327" i="30" s="1"/>
  <c r="O327" i="30" s="1"/>
  <c r="M328" i="30"/>
  <c r="N328" i="30" s="1"/>
  <c r="O328" i="30" s="1"/>
  <c r="M329" i="30"/>
  <c r="N329" i="30"/>
  <c r="O329" i="30" s="1"/>
  <c r="M330" i="30"/>
  <c r="N330" i="30" s="1"/>
  <c r="O330" i="30" s="1"/>
  <c r="M331" i="30"/>
  <c r="N331" i="30" s="1"/>
  <c r="O331" i="30" s="1"/>
  <c r="M332" i="30"/>
  <c r="N332" i="30" s="1"/>
  <c r="O332" i="30" s="1"/>
  <c r="M333" i="30"/>
  <c r="N333" i="30"/>
  <c r="O333" i="30" s="1"/>
  <c r="M334" i="30"/>
  <c r="N334" i="30" s="1"/>
  <c r="O334" i="30" s="1"/>
  <c r="M335" i="30"/>
  <c r="N335" i="30" s="1"/>
  <c r="O335" i="30" s="1"/>
  <c r="M336" i="30"/>
  <c r="N336" i="30" s="1"/>
  <c r="O336" i="30" s="1"/>
  <c r="M337" i="30"/>
  <c r="N337" i="30" s="1"/>
  <c r="O337" i="30" s="1"/>
  <c r="M338" i="30"/>
  <c r="N338" i="30" s="1"/>
  <c r="O338" i="30" s="1"/>
  <c r="M339" i="30"/>
  <c r="N339" i="30" s="1"/>
  <c r="O339" i="30" s="1"/>
  <c r="M340" i="30"/>
  <c r="N340" i="30" s="1"/>
  <c r="O340" i="30"/>
  <c r="M341" i="30"/>
  <c r="N341" i="30"/>
  <c r="O341" i="30" s="1"/>
  <c r="M342" i="30"/>
  <c r="N342" i="30" s="1"/>
  <c r="O342" i="30"/>
  <c r="M343" i="30"/>
  <c r="N343" i="30" s="1"/>
  <c r="O343" i="30"/>
  <c r="M344" i="30"/>
  <c r="N344" i="30" s="1"/>
  <c r="O344" i="30" s="1"/>
  <c r="M345" i="30"/>
  <c r="N345" i="30"/>
  <c r="O345" i="30" s="1"/>
  <c r="M346" i="30"/>
  <c r="N346" i="30" s="1"/>
  <c r="O346" i="30"/>
  <c r="M347" i="30"/>
  <c r="N347" i="30" s="1"/>
  <c r="O347" i="30" s="1"/>
  <c r="M348" i="30"/>
  <c r="N348" i="30" s="1"/>
  <c r="O348" i="30" s="1"/>
  <c r="M349" i="30"/>
  <c r="N349" i="30"/>
  <c r="O349" i="30" s="1"/>
  <c r="M363" i="30"/>
  <c r="N363" i="30" s="1"/>
  <c r="O363" i="30" s="1"/>
  <c r="M364" i="30"/>
  <c r="N364" i="30" s="1"/>
  <c r="O364" i="30" s="1"/>
  <c r="M365" i="30"/>
  <c r="N365" i="30" s="1"/>
  <c r="O365" i="30" s="1"/>
  <c r="M366" i="30"/>
  <c r="N366" i="30"/>
  <c r="O366" i="30" s="1"/>
  <c r="M367" i="30"/>
  <c r="N367" i="30" s="1"/>
  <c r="O367" i="30"/>
  <c r="M368" i="30"/>
  <c r="N368" i="30" s="1"/>
  <c r="O368" i="30"/>
  <c r="M350" i="30"/>
  <c r="N350" i="30" s="1"/>
  <c r="O350" i="30"/>
  <c r="M351" i="30"/>
  <c r="N351" i="30"/>
  <c r="O351" i="30" s="1"/>
  <c r="M352" i="30"/>
  <c r="N352" i="30" s="1"/>
  <c r="O352" i="30"/>
  <c r="M353" i="30"/>
  <c r="N353" i="30" s="1"/>
  <c r="O353" i="30" s="1"/>
  <c r="M354" i="30"/>
  <c r="N354" i="30" s="1"/>
  <c r="O354" i="30"/>
  <c r="M355" i="30"/>
  <c r="N355" i="30"/>
  <c r="O355" i="30" s="1"/>
  <c r="M356" i="30"/>
  <c r="N356" i="30" s="1"/>
  <c r="O356" i="30" s="1"/>
  <c r="M357" i="30"/>
  <c r="N357" i="30"/>
  <c r="O357" i="30" s="1"/>
  <c r="M358" i="30"/>
  <c r="N358" i="30" s="1"/>
  <c r="O358" i="30" s="1"/>
  <c r="M359" i="30"/>
  <c r="N359" i="30"/>
  <c r="O359" i="30" s="1"/>
  <c r="M360" i="30"/>
  <c r="N360" i="30" s="1"/>
  <c r="O360" i="30" s="1"/>
  <c r="M361" i="30"/>
  <c r="N361" i="30" s="1"/>
  <c r="O361" i="30" s="1"/>
  <c r="M362" i="30"/>
  <c r="N362" i="30" s="1"/>
  <c r="O362" i="30" s="1"/>
  <c r="M369" i="30"/>
  <c r="N369" i="30"/>
  <c r="O369" i="30"/>
  <c r="M370" i="30"/>
  <c r="N370" i="30" s="1"/>
  <c r="O370" i="30"/>
  <c r="M371" i="30"/>
  <c r="N371" i="30" s="1"/>
  <c r="O371" i="30" s="1"/>
  <c r="M372" i="30"/>
  <c r="N372" i="30" s="1"/>
  <c r="O372" i="30"/>
  <c r="M373" i="30"/>
  <c r="N373" i="30" s="1"/>
  <c r="O373" i="30"/>
  <c r="M374" i="30"/>
  <c r="N374" i="30" s="1"/>
  <c r="O374" i="30" s="1"/>
  <c r="M375" i="30"/>
  <c r="N375" i="30" s="1"/>
  <c r="O375" i="30" s="1"/>
  <c r="M376" i="30"/>
  <c r="N376" i="30" s="1"/>
  <c r="O376" i="30" s="1"/>
  <c r="M377" i="30"/>
  <c r="N377" i="30" s="1"/>
  <c r="O377" i="30"/>
  <c r="M378" i="30"/>
  <c r="N378" i="30" s="1"/>
  <c r="O378" i="30" s="1"/>
  <c r="M379" i="30"/>
  <c r="N379" i="30" s="1"/>
  <c r="O379" i="30" s="1"/>
  <c r="M380" i="30"/>
  <c r="N380" i="30" s="1"/>
  <c r="O380" i="30"/>
  <c r="M381" i="30"/>
  <c r="N381" i="30"/>
  <c r="O381" i="30" s="1"/>
  <c r="M382" i="30"/>
  <c r="N382" i="30" s="1"/>
  <c r="O382" i="30" s="1"/>
  <c r="M383" i="30"/>
  <c r="N383" i="30" s="1"/>
  <c r="O383" i="30" s="1"/>
  <c r="M384" i="30"/>
  <c r="N384" i="30" s="1"/>
  <c r="O384" i="30" s="1"/>
  <c r="M385" i="30"/>
  <c r="N385" i="30" s="1"/>
  <c r="O385" i="30" s="1"/>
  <c r="M386" i="30"/>
  <c r="N386" i="30" s="1"/>
  <c r="O386" i="30" s="1"/>
  <c r="M387" i="30"/>
  <c r="N387" i="30" s="1"/>
  <c r="O387" i="30"/>
  <c r="M388" i="30"/>
  <c r="N388" i="30" s="1"/>
  <c r="O388" i="30"/>
  <c r="M389" i="30"/>
  <c r="N389" i="30" s="1"/>
  <c r="O389" i="30" s="1"/>
  <c r="M390" i="30"/>
  <c r="N390" i="30" s="1"/>
  <c r="O390" i="30"/>
  <c r="M391" i="30"/>
  <c r="N391" i="30" s="1"/>
  <c r="O391" i="30" s="1"/>
  <c r="M392" i="30"/>
  <c r="N392" i="30" s="1"/>
  <c r="O392" i="30" s="1"/>
  <c r="M393" i="30"/>
  <c r="N393" i="30"/>
  <c r="O393" i="30" s="1"/>
  <c r="M394" i="30"/>
  <c r="N394" i="30" s="1"/>
  <c r="O394" i="30" s="1"/>
  <c r="M395" i="30"/>
  <c r="N395" i="30"/>
  <c r="O395" i="30" s="1"/>
  <c r="M397" i="30"/>
  <c r="N397" i="30" s="1"/>
  <c r="O397" i="30" s="1"/>
  <c r="M396" i="30"/>
  <c r="N396" i="30" s="1"/>
  <c r="O396" i="30" s="1"/>
  <c r="M398" i="30"/>
  <c r="N398" i="30" s="1"/>
  <c r="O398" i="30"/>
  <c r="M399" i="30"/>
  <c r="N399" i="30" s="1"/>
  <c r="O399" i="30"/>
  <c r="M400" i="30"/>
  <c r="N400" i="30" s="1"/>
  <c r="O400" i="30" s="1"/>
  <c r="M401" i="30"/>
  <c r="N401" i="30"/>
  <c r="O401" i="30"/>
  <c r="M402" i="30"/>
  <c r="N402" i="30" s="1"/>
  <c r="O402" i="30"/>
  <c r="M403" i="30"/>
  <c r="N403" i="30"/>
  <c r="O403" i="30"/>
  <c r="M404" i="30"/>
  <c r="N404" i="30" s="1"/>
  <c r="O404" i="30" s="1"/>
  <c r="M405" i="30"/>
  <c r="N405" i="30"/>
  <c r="O405" i="30"/>
  <c r="F405" i="30"/>
  <c r="F404" i="30"/>
  <c r="F403" i="30"/>
  <c r="F402" i="30"/>
  <c r="F401" i="30"/>
  <c r="F400" i="30"/>
  <c r="F399" i="30"/>
  <c r="F398" i="30"/>
  <c r="F396" i="30"/>
  <c r="F397" i="30"/>
  <c r="F395" i="30"/>
  <c r="F394" i="30"/>
  <c r="F393" i="30"/>
  <c r="F392" i="30"/>
  <c r="F391" i="30"/>
  <c r="F390" i="30"/>
  <c r="F389" i="30"/>
  <c r="F388" i="30"/>
  <c r="F387" i="30"/>
  <c r="F386" i="30"/>
  <c r="F385" i="30"/>
  <c r="F384" i="30"/>
  <c r="F383" i="30"/>
  <c r="F382" i="30"/>
  <c r="F381" i="30"/>
  <c r="F380" i="30"/>
  <c r="F379" i="30"/>
  <c r="F378" i="30"/>
  <c r="F377" i="30"/>
  <c r="F376" i="30"/>
  <c r="F375" i="30"/>
  <c r="F374" i="30"/>
  <c r="F373" i="30"/>
  <c r="F372" i="30"/>
  <c r="F371" i="30"/>
  <c r="F370" i="30"/>
  <c r="F369" i="30"/>
  <c r="F362" i="30"/>
  <c r="F361" i="30"/>
  <c r="F360" i="30"/>
  <c r="F359" i="30"/>
  <c r="F358" i="30"/>
  <c r="F357" i="30"/>
  <c r="F356" i="30"/>
  <c r="F355" i="30"/>
  <c r="F354" i="30"/>
  <c r="F353" i="30"/>
  <c r="F352" i="30"/>
  <c r="F351" i="30"/>
  <c r="F350" i="30"/>
  <c r="F368" i="30"/>
  <c r="F367" i="30"/>
  <c r="F366" i="30"/>
  <c r="F365" i="30"/>
  <c r="F364" i="30"/>
  <c r="F363" i="30"/>
  <c r="F349" i="30"/>
  <c r="F348" i="30"/>
  <c r="F347" i="30"/>
  <c r="F346" i="30"/>
  <c r="F345" i="30"/>
  <c r="F344" i="30"/>
  <c r="F343" i="30"/>
  <c r="F342" i="30"/>
  <c r="F341" i="30"/>
  <c r="F340" i="30"/>
  <c r="F339" i="30"/>
  <c r="F338" i="30"/>
  <c r="F337" i="30"/>
  <c r="F336" i="30"/>
  <c r="F335" i="30"/>
  <c r="F334" i="30"/>
  <c r="F333" i="30"/>
  <c r="F332" i="30"/>
  <c r="F331" i="30"/>
  <c r="F330" i="30"/>
  <c r="F329" i="30"/>
  <c r="F328" i="30"/>
  <c r="F327" i="30"/>
  <c r="F326" i="30"/>
  <c r="F323" i="30"/>
  <c r="F322" i="30"/>
  <c r="F324" i="30"/>
  <c r="F325" i="30"/>
  <c r="F321" i="30"/>
  <c r="F320" i="30"/>
  <c r="F319" i="30"/>
  <c r="F318" i="30"/>
  <c r="F317" i="30"/>
  <c r="F316" i="30"/>
  <c r="F315" i="30"/>
  <c r="F314" i="30"/>
  <c r="F313" i="30"/>
  <c r="F312" i="30"/>
  <c r="F311" i="30"/>
  <c r="F310" i="30"/>
  <c r="F309" i="30"/>
  <c r="F308" i="30"/>
  <c r="F307" i="30"/>
  <c r="F306" i="30"/>
  <c r="F305" i="30"/>
  <c r="F304" i="30"/>
  <c r="F303" i="30"/>
  <c r="F301" i="30"/>
  <c r="F302" i="30"/>
  <c r="F300" i="30"/>
  <c r="F299" i="30"/>
  <c r="F298" i="30"/>
  <c r="F297" i="30"/>
  <c r="F296" i="30"/>
  <c r="F295" i="30"/>
  <c r="F294" i="30"/>
  <c r="F293" i="30"/>
  <c r="F292" i="30"/>
  <c r="F291" i="30"/>
  <c r="F290" i="30"/>
  <c r="F289" i="30"/>
  <c r="F288" i="30"/>
  <c r="F287" i="30"/>
  <c r="F286" i="30"/>
  <c r="F285" i="30"/>
  <c r="F284" i="30"/>
  <c r="F283" i="30"/>
  <c r="F282" i="30"/>
  <c r="F281" i="30"/>
  <c r="F280" i="30"/>
  <c r="F279" i="30"/>
  <c r="F278" i="30"/>
  <c r="F277" i="30"/>
  <c r="F276" i="30"/>
  <c r="F275" i="30"/>
  <c r="F274" i="30"/>
  <c r="F273" i="30"/>
  <c r="F272" i="30"/>
  <c r="F271" i="30"/>
  <c r="F270" i="30"/>
  <c r="F269" i="30"/>
  <c r="F268" i="30"/>
  <c r="F267" i="30"/>
  <c r="F266" i="30"/>
  <c r="F265" i="30"/>
  <c r="F264" i="30"/>
  <c r="F263" i="30"/>
  <c r="F262" i="30"/>
  <c r="F261" i="30"/>
  <c r="F260" i="30"/>
  <c r="F259" i="30"/>
  <c r="F258" i="30"/>
  <c r="F257" i="30"/>
  <c r="F256" i="30"/>
  <c r="F255" i="30"/>
  <c r="F254" i="30"/>
  <c r="F253" i="30"/>
  <c r="F252" i="30"/>
  <c r="F251" i="30"/>
  <c r="F250" i="30"/>
  <c r="F249" i="30"/>
  <c r="F248" i="30"/>
  <c r="F247" i="30"/>
  <c r="F246" i="30"/>
  <c r="F245" i="30"/>
  <c r="F244" i="30"/>
  <c r="F243" i="30"/>
  <c r="F242" i="30"/>
  <c r="F241" i="30"/>
  <c r="F240" i="30"/>
  <c r="F239" i="30"/>
  <c r="F238" i="30"/>
  <c r="F237" i="30"/>
  <c r="F236" i="30"/>
  <c r="F235" i="30"/>
  <c r="F234" i="30"/>
  <c r="F233" i="30"/>
  <c r="F232" i="30"/>
  <c r="F231" i="30"/>
  <c r="F230" i="30"/>
  <c r="F229" i="30"/>
  <c r="F228" i="30"/>
  <c r="F227" i="30"/>
  <c r="F226" i="30"/>
  <c r="F225" i="30"/>
  <c r="F224" i="30"/>
  <c r="F223" i="30"/>
  <c r="F222" i="30"/>
  <c r="F221" i="30"/>
  <c r="F220" i="30"/>
  <c r="F219" i="30"/>
  <c r="F218" i="30"/>
  <c r="F217" i="30"/>
  <c r="F216" i="30"/>
  <c r="F215" i="30"/>
  <c r="F214" i="30"/>
  <c r="F213" i="30"/>
  <c r="F212" i="30"/>
  <c r="F211" i="30"/>
  <c r="F210" i="30"/>
  <c r="F209" i="30"/>
  <c r="F208" i="30"/>
  <c r="F207" i="30"/>
  <c r="F206" i="30"/>
  <c r="F205" i="30"/>
  <c r="F204" i="30"/>
  <c r="F203" i="30"/>
  <c r="F202" i="30"/>
  <c r="F201" i="30"/>
  <c r="F200" i="30"/>
  <c r="F199" i="30"/>
  <c r="F198" i="30"/>
  <c r="F197" i="30"/>
  <c r="F196" i="30"/>
  <c r="F195" i="30"/>
  <c r="F194" i="30"/>
  <c r="F193" i="30"/>
  <c r="F192" i="30"/>
  <c r="F191" i="30"/>
  <c r="F190" i="30"/>
  <c r="F189" i="30"/>
  <c r="F188" i="30"/>
  <c r="F187" i="30"/>
  <c r="F186" i="30"/>
  <c r="F185" i="30"/>
  <c r="F184" i="30"/>
  <c r="F183" i="30"/>
  <c r="F182" i="30"/>
  <c r="F181" i="30"/>
  <c r="F180" i="30"/>
  <c r="F179" i="30"/>
  <c r="F178" i="30"/>
  <c r="F177" i="30"/>
  <c r="F176" i="30"/>
  <c r="F175" i="30"/>
  <c r="F174" i="30"/>
  <c r="F173" i="30"/>
  <c r="F172" i="30"/>
  <c r="F171" i="30"/>
  <c r="F170" i="30"/>
  <c r="F169" i="30"/>
  <c r="F168" i="30"/>
  <c r="F167" i="30"/>
  <c r="F166" i="30"/>
  <c r="F165" i="30"/>
  <c r="F164" i="30"/>
  <c r="F163" i="30"/>
  <c r="F162" i="30"/>
  <c r="F161" i="30"/>
  <c r="F160" i="30"/>
  <c r="F159" i="30"/>
  <c r="F158" i="30"/>
  <c r="F157" i="30"/>
  <c r="F156" i="30"/>
  <c r="F155" i="30"/>
  <c r="F154" i="30"/>
  <c r="F153" i="30"/>
  <c r="F152" i="30"/>
  <c r="F151" i="30"/>
  <c r="F150" i="30"/>
  <c r="F149" i="30"/>
  <c r="F148" i="30"/>
  <c r="F147" i="30"/>
  <c r="F146" i="30"/>
  <c r="F145" i="30"/>
  <c r="F144" i="30"/>
  <c r="F143" i="30"/>
  <c r="F142" i="30"/>
  <c r="F141" i="30"/>
  <c r="F140" i="30"/>
  <c r="F139" i="30"/>
  <c r="F138" i="30"/>
  <c r="F137" i="30"/>
  <c r="F136" i="30"/>
  <c r="F135" i="30"/>
  <c r="F134" i="30"/>
  <c r="F133" i="30"/>
  <c r="F132" i="30"/>
  <c r="F131" i="30"/>
  <c r="F130" i="30"/>
  <c r="F129" i="30"/>
  <c r="F128" i="30"/>
  <c r="F127" i="30"/>
  <c r="F126" i="30"/>
  <c r="F125" i="30"/>
  <c r="F124" i="30"/>
  <c r="F123" i="30"/>
  <c r="F122" i="30"/>
  <c r="F121" i="30"/>
  <c r="F120" i="30"/>
  <c r="F119" i="30"/>
  <c r="F118" i="30"/>
  <c r="F117" i="30"/>
  <c r="F116" i="30"/>
  <c r="F115" i="30"/>
  <c r="F114" i="30"/>
  <c r="F113" i="30"/>
  <c r="F112" i="30"/>
  <c r="F111" i="30"/>
  <c r="F110" i="30"/>
  <c r="F109" i="30"/>
  <c r="F108" i="30"/>
  <c r="F107" i="30"/>
  <c r="F106" i="30"/>
  <c r="F105" i="30"/>
  <c r="F104" i="30"/>
  <c r="F103" i="30"/>
  <c r="F102" i="30"/>
  <c r="F101" i="30"/>
  <c r="F100" i="30"/>
  <c r="F99" i="30"/>
  <c r="F98" i="30"/>
  <c r="F97" i="30"/>
  <c r="F96" i="30"/>
  <c r="F95" i="30"/>
  <c r="F94" i="30"/>
  <c r="F93" i="30"/>
  <c r="F8" i="30"/>
  <c r="F9" i="30"/>
  <c r="F10" i="30"/>
  <c r="F11" i="30"/>
  <c r="F12" i="30"/>
  <c r="F13" i="30"/>
  <c r="F14" i="30"/>
  <c r="F15" i="30"/>
  <c r="F16" i="30"/>
  <c r="F17" i="30"/>
  <c r="F18" i="30"/>
  <c r="F19" i="30"/>
  <c r="F20" i="30"/>
  <c r="F21" i="30"/>
  <c r="F22" i="30"/>
  <c r="F23" i="30"/>
  <c r="F24" i="30"/>
  <c r="F25" i="30"/>
  <c r="F26" i="30"/>
  <c r="F27" i="30"/>
  <c r="F28" i="30"/>
  <c r="F29" i="30"/>
  <c r="F30" i="30"/>
  <c r="F31" i="30"/>
  <c r="F32" i="30"/>
  <c r="F33" i="30"/>
  <c r="F34" i="30"/>
  <c r="F35" i="30"/>
  <c r="F36" i="30"/>
  <c r="F37" i="30"/>
  <c r="F38" i="30"/>
  <c r="F39" i="30"/>
  <c r="F40" i="30"/>
  <c r="F41" i="30"/>
  <c r="F42" i="30"/>
  <c r="F43" i="30"/>
  <c r="F44" i="30"/>
  <c r="F45" i="30"/>
  <c r="F46" i="30"/>
  <c r="F47" i="30"/>
  <c r="F48" i="30"/>
  <c r="F49" i="30"/>
  <c r="F50" i="30"/>
  <c r="F51" i="30"/>
  <c r="F52" i="30"/>
  <c r="F53" i="30"/>
  <c r="F54" i="30"/>
  <c r="F55" i="30"/>
  <c r="F56" i="30"/>
  <c r="F57" i="30"/>
  <c r="F58" i="30"/>
  <c r="F59" i="30"/>
  <c r="F60" i="30"/>
  <c r="F61" i="30"/>
  <c r="F62" i="30"/>
  <c r="F63" i="30"/>
  <c r="F64" i="30"/>
  <c r="F65" i="30"/>
  <c r="F66" i="30"/>
  <c r="F67" i="30"/>
  <c r="F68" i="30"/>
  <c r="F69" i="30"/>
  <c r="F70" i="30"/>
  <c r="F71" i="30"/>
  <c r="F72" i="30"/>
  <c r="F73" i="30"/>
  <c r="F74" i="30"/>
  <c r="F75" i="30"/>
  <c r="F76" i="30"/>
  <c r="F77" i="30"/>
  <c r="F78" i="30"/>
  <c r="F79" i="30"/>
  <c r="F80" i="30"/>
  <c r="F81" i="30"/>
  <c r="F82" i="30"/>
  <c r="F83" i="30"/>
  <c r="F84" i="30"/>
  <c r="F85" i="30"/>
  <c r="F86" i="30"/>
  <c r="F87" i="30"/>
  <c r="F88" i="30"/>
  <c r="F89" i="30"/>
  <c r="F90" i="30"/>
  <c r="F91" i="30"/>
  <c r="F7" i="30"/>
  <c r="F6" i="30"/>
  <c r="Q7" i="30"/>
  <c r="R7" i="30"/>
  <c r="S7" i="30"/>
  <c r="T7" i="30"/>
  <c r="Q8" i="30"/>
  <c r="R8" i="30"/>
  <c r="S8" i="30"/>
  <c r="T8" i="30"/>
  <c r="Q9" i="30"/>
  <c r="R9" i="30"/>
  <c r="S9" i="30"/>
  <c r="T9" i="30"/>
  <c r="Q10" i="30"/>
  <c r="R10" i="30"/>
  <c r="S10" i="30"/>
  <c r="T10" i="30"/>
  <c r="Q11" i="30"/>
  <c r="R11" i="30"/>
  <c r="S11" i="30"/>
  <c r="T11" i="30"/>
  <c r="Q12" i="30"/>
  <c r="R12" i="30"/>
  <c r="S12" i="30"/>
  <c r="T12" i="30"/>
  <c r="Q13" i="30"/>
  <c r="R13" i="30"/>
  <c r="S13" i="30"/>
  <c r="T13" i="30"/>
  <c r="Q14" i="30"/>
  <c r="R14" i="30"/>
  <c r="S14" i="30"/>
  <c r="T14" i="30"/>
  <c r="Q15" i="30"/>
  <c r="R15" i="30"/>
  <c r="S15" i="30"/>
  <c r="T15" i="30"/>
  <c r="Q16" i="30"/>
  <c r="R16" i="30"/>
  <c r="S16" i="30"/>
  <c r="T16" i="30"/>
  <c r="Q17" i="30"/>
  <c r="R17" i="30"/>
  <c r="S17" i="30"/>
  <c r="T17" i="30"/>
  <c r="Q18" i="30"/>
  <c r="R18" i="30"/>
  <c r="S18" i="30"/>
  <c r="T18" i="30"/>
  <c r="Q19" i="30"/>
  <c r="R19" i="30"/>
  <c r="S19" i="30"/>
  <c r="T19" i="30"/>
  <c r="Q20" i="30"/>
  <c r="R20" i="30"/>
  <c r="S20" i="30"/>
  <c r="T20" i="30"/>
  <c r="Q21" i="30"/>
  <c r="R21" i="30"/>
  <c r="S21" i="30"/>
  <c r="T21" i="30"/>
  <c r="Q22" i="30"/>
  <c r="R22" i="30"/>
  <c r="S22" i="30"/>
  <c r="T22" i="30"/>
  <c r="Q23" i="30"/>
  <c r="R23" i="30"/>
  <c r="S23" i="30"/>
  <c r="T23" i="30"/>
  <c r="Q24" i="30"/>
  <c r="R24" i="30"/>
  <c r="S24" i="30"/>
  <c r="T24" i="30"/>
  <c r="Q25" i="30"/>
  <c r="R25" i="30"/>
  <c r="S25" i="30"/>
  <c r="T25" i="30"/>
  <c r="Q26" i="30"/>
  <c r="R26" i="30"/>
  <c r="S26" i="30"/>
  <c r="T26" i="30"/>
  <c r="Q27" i="30"/>
  <c r="R27" i="30"/>
  <c r="S27" i="30"/>
  <c r="T27" i="30"/>
  <c r="Q28" i="30"/>
  <c r="R28" i="30"/>
  <c r="S28" i="30"/>
  <c r="T28" i="30"/>
  <c r="Q29" i="30"/>
  <c r="R29" i="30"/>
  <c r="S29" i="30"/>
  <c r="T29" i="30"/>
  <c r="Q30" i="30"/>
  <c r="R30" i="30"/>
  <c r="S30" i="30"/>
  <c r="T30" i="30"/>
  <c r="Q31" i="30"/>
  <c r="R31" i="30"/>
  <c r="S31" i="30"/>
  <c r="T31" i="30"/>
  <c r="Q32" i="30"/>
  <c r="R32" i="30"/>
  <c r="S32" i="30"/>
  <c r="T32" i="30"/>
  <c r="Q33" i="30"/>
  <c r="R33" i="30"/>
  <c r="S33" i="30"/>
  <c r="T33" i="30"/>
  <c r="Q34" i="30"/>
  <c r="R34" i="30"/>
  <c r="S34" i="30"/>
  <c r="T34" i="30"/>
  <c r="Q35" i="30"/>
  <c r="R35" i="30"/>
  <c r="S35" i="30"/>
  <c r="T35" i="30"/>
  <c r="Q36" i="30"/>
  <c r="R36" i="30"/>
  <c r="S36" i="30"/>
  <c r="T36" i="30"/>
  <c r="Q37" i="30"/>
  <c r="R37" i="30"/>
  <c r="S37" i="30"/>
  <c r="T37" i="30"/>
  <c r="Q38" i="30"/>
  <c r="R38" i="30"/>
  <c r="S38" i="30"/>
  <c r="T38" i="30"/>
  <c r="Q39" i="30"/>
  <c r="R39" i="30"/>
  <c r="S39" i="30"/>
  <c r="T39" i="30"/>
  <c r="Q40" i="30"/>
  <c r="R40" i="30"/>
  <c r="S40" i="30"/>
  <c r="T40" i="30"/>
  <c r="Q41" i="30"/>
  <c r="R41" i="30"/>
  <c r="S41" i="30"/>
  <c r="T41" i="30"/>
  <c r="Q42" i="30"/>
  <c r="R42" i="30"/>
  <c r="S42" i="30"/>
  <c r="T42" i="30"/>
  <c r="Q43" i="30"/>
  <c r="R43" i="30"/>
  <c r="S43" i="30"/>
  <c r="T43" i="30"/>
  <c r="Q44" i="30"/>
  <c r="R44" i="30"/>
  <c r="S44" i="30"/>
  <c r="T44" i="30"/>
  <c r="Q45" i="30"/>
  <c r="R45" i="30"/>
  <c r="S45" i="30"/>
  <c r="T45" i="30"/>
  <c r="Q46" i="30"/>
  <c r="R46" i="30"/>
  <c r="S46" i="30"/>
  <c r="T46" i="30"/>
  <c r="Q47" i="30"/>
  <c r="R47" i="30"/>
  <c r="S47" i="30"/>
  <c r="T47" i="30"/>
  <c r="Q48" i="30"/>
  <c r="R48" i="30"/>
  <c r="S48" i="30"/>
  <c r="T48" i="30"/>
  <c r="Q49" i="30"/>
  <c r="R49" i="30"/>
  <c r="S49" i="30"/>
  <c r="T49" i="30"/>
  <c r="Q50" i="30"/>
  <c r="R50" i="30"/>
  <c r="S50" i="30"/>
  <c r="T50" i="30"/>
  <c r="Q51" i="30"/>
  <c r="R51" i="30"/>
  <c r="S51" i="30"/>
  <c r="T51" i="30"/>
  <c r="Q52" i="30"/>
  <c r="R52" i="30"/>
  <c r="S52" i="30"/>
  <c r="T52" i="30"/>
  <c r="Q53" i="30"/>
  <c r="R53" i="30"/>
  <c r="S53" i="30"/>
  <c r="T53" i="30"/>
  <c r="Q54" i="30"/>
  <c r="R54" i="30"/>
  <c r="S54" i="30"/>
  <c r="T54" i="30"/>
  <c r="Q55" i="30"/>
  <c r="R55" i="30"/>
  <c r="S55" i="30"/>
  <c r="T55" i="30"/>
  <c r="Q56" i="30"/>
  <c r="R56" i="30"/>
  <c r="S56" i="30"/>
  <c r="T56" i="30"/>
  <c r="Q57" i="30"/>
  <c r="R57" i="30"/>
  <c r="S57" i="30"/>
  <c r="T57" i="30"/>
  <c r="Q58" i="30"/>
  <c r="R58" i="30"/>
  <c r="S58" i="30"/>
  <c r="T58" i="30"/>
  <c r="Q59" i="30"/>
  <c r="R59" i="30"/>
  <c r="S59" i="30"/>
  <c r="T59" i="30"/>
  <c r="Q60" i="30"/>
  <c r="R60" i="30"/>
  <c r="S60" i="30"/>
  <c r="T60" i="30"/>
  <c r="Q61" i="30"/>
  <c r="R61" i="30"/>
  <c r="S61" i="30"/>
  <c r="T61" i="30"/>
  <c r="Q62" i="30"/>
  <c r="R62" i="30"/>
  <c r="S62" i="30"/>
  <c r="T62" i="30"/>
  <c r="Q63" i="30"/>
  <c r="R63" i="30"/>
  <c r="S63" i="30"/>
  <c r="T63" i="30"/>
  <c r="Q64" i="30"/>
  <c r="R64" i="30"/>
  <c r="S64" i="30"/>
  <c r="T64" i="30"/>
  <c r="Q65" i="30"/>
  <c r="R65" i="30"/>
  <c r="S65" i="30"/>
  <c r="T65" i="30"/>
  <c r="Q66" i="30"/>
  <c r="R66" i="30"/>
  <c r="S66" i="30"/>
  <c r="T66" i="30"/>
  <c r="Q67" i="30"/>
  <c r="R67" i="30"/>
  <c r="S67" i="30"/>
  <c r="T67" i="30"/>
  <c r="Q68" i="30"/>
  <c r="R68" i="30"/>
  <c r="S68" i="30"/>
  <c r="T68" i="30"/>
  <c r="Q69" i="30"/>
  <c r="R69" i="30"/>
  <c r="S69" i="30"/>
  <c r="T69" i="30"/>
  <c r="Q70" i="30"/>
  <c r="R70" i="30"/>
  <c r="S70" i="30"/>
  <c r="T70" i="30"/>
  <c r="Q71" i="30"/>
  <c r="R71" i="30"/>
  <c r="S71" i="30"/>
  <c r="T71" i="30"/>
  <c r="Q72" i="30"/>
  <c r="R72" i="30"/>
  <c r="S72" i="30"/>
  <c r="T72" i="30"/>
  <c r="Q73" i="30"/>
  <c r="R73" i="30"/>
  <c r="S73" i="30"/>
  <c r="T73" i="30"/>
  <c r="Q74" i="30"/>
  <c r="R74" i="30"/>
  <c r="S74" i="30"/>
  <c r="T74" i="30"/>
  <c r="Q75" i="30"/>
  <c r="R75" i="30"/>
  <c r="S75" i="30"/>
  <c r="T75" i="30"/>
  <c r="Q76" i="30"/>
  <c r="R76" i="30"/>
  <c r="S76" i="30"/>
  <c r="T76" i="30"/>
  <c r="Q77" i="30"/>
  <c r="R77" i="30"/>
  <c r="S77" i="30"/>
  <c r="T77" i="30"/>
  <c r="Q78" i="30"/>
  <c r="R78" i="30"/>
  <c r="S78" i="30"/>
  <c r="T78" i="30"/>
  <c r="Q79" i="30"/>
  <c r="R79" i="30"/>
  <c r="S79" i="30"/>
  <c r="T79" i="30"/>
  <c r="Q80" i="30"/>
  <c r="R80" i="30"/>
  <c r="S80" i="30"/>
  <c r="T80" i="30"/>
  <c r="Q81" i="30"/>
  <c r="R81" i="30"/>
  <c r="S81" i="30"/>
  <c r="T81" i="30"/>
  <c r="Q82" i="30"/>
  <c r="R82" i="30"/>
  <c r="S82" i="30"/>
  <c r="T82" i="30"/>
  <c r="Q83" i="30"/>
  <c r="R83" i="30"/>
  <c r="S83" i="30"/>
  <c r="T83" i="30"/>
  <c r="Q84" i="30"/>
  <c r="R84" i="30"/>
  <c r="S84" i="30"/>
  <c r="T84" i="30"/>
  <c r="Q85" i="30"/>
  <c r="R85" i="30"/>
  <c r="S85" i="30"/>
  <c r="T85" i="30"/>
  <c r="Q86" i="30"/>
  <c r="R86" i="30"/>
  <c r="S86" i="30"/>
  <c r="T86" i="30"/>
  <c r="Q87" i="30"/>
  <c r="R87" i="30"/>
  <c r="S87" i="30"/>
  <c r="T87" i="30"/>
  <c r="Q88" i="30"/>
  <c r="R88" i="30"/>
  <c r="S88" i="30"/>
  <c r="T88" i="30"/>
  <c r="Q89" i="30"/>
  <c r="R89" i="30"/>
  <c r="S89" i="30"/>
  <c r="T89" i="30"/>
  <c r="Q90" i="30"/>
  <c r="R90" i="30"/>
  <c r="S90" i="30"/>
  <c r="T90" i="30"/>
  <c r="Q91" i="30"/>
  <c r="R91" i="30"/>
  <c r="S91" i="30"/>
  <c r="T91" i="30"/>
  <c r="Q92" i="30"/>
  <c r="R92" i="30"/>
  <c r="S92" i="30"/>
  <c r="T92" i="30"/>
  <c r="Q93" i="30"/>
  <c r="R93" i="30"/>
  <c r="S93" i="30"/>
  <c r="T93" i="30"/>
  <c r="Q94" i="30"/>
  <c r="R94" i="30"/>
  <c r="S94" i="30"/>
  <c r="T94" i="30"/>
  <c r="Q95" i="30"/>
  <c r="R95" i="30"/>
  <c r="S95" i="30"/>
  <c r="T95" i="30"/>
  <c r="Q96" i="30"/>
  <c r="R96" i="30"/>
  <c r="S96" i="30"/>
  <c r="T96" i="30"/>
  <c r="Q97" i="30"/>
  <c r="R97" i="30"/>
  <c r="S97" i="30"/>
  <c r="T97" i="30"/>
  <c r="Q98" i="30"/>
  <c r="R98" i="30"/>
  <c r="S98" i="30"/>
  <c r="T98" i="30"/>
  <c r="Q99" i="30"/>
  <c r="R99" i="30"/>
  <c r="S99" i="30"/>
  <c r="T99" i="30"/>
  <c r="Q100" i="30"/>
  <c r="R100" i="30"/>
  <c r="S100" i="30"/>
  <c r="T100" i="30"/>
  <c r="Q101" i="30"/>
  <c r="R101" i="30"/>
  <c r="S101" i="30"/>
  <c r="T101" i="30"/>
  <c r="Q102" i="30"/>
  <c r="R102" i="30"/>
  <c r="S102" i="30"/>
  <c r="T102" i="30"/>
  <c r="Q103" i="30"/>
  <c r="R103" i="30"/>
  <c r="S103" i="30"/>
  <c r="T103" i="30"/>
  <c r="Q104" i="30"/>
  <c r="R104" i="30"/>
  <c r="S104" i="30"/>
  <c r="T104" i="30"/>
  <c r="Q105" i="30"/>
  <c r="R105" i="30"/>
  <c r="S105" i="30"/>
  <c r="T105" i="30"/>
  <c r="Q106" i="30"/>
  <c r="R106" i="30"/>
  <c r="S106" i="30"/>
  <c r="T106" i="30"/>
  <c r="Q107" i="30"/>
  <c r="R107" i="30"/>
  <c r="S107" i="30"/>
  <c r="T107" i="30"/>
  <c r="Q108" i="30"/>
  <c r="R108" i="30"/>
  <c r="S108" i="30"/>
  <c r="T108" i="30"/>
  <c r="Q109" i="30"/>
  <c r="R109" i="30"/>
  <c r="S109" i="30"/>
  <c r="T109" i="30"/>
  <c r="Q110" i="30"/>
  <c r="R110" i="30"/>
  <c r="S110" i="30"/>
  <c r="T110" i="30"/>
  <c r="Q111" i="30"/>
  <c r="R111" i="30"/>
  <c r="S111" i="30"/>
  <c r="T111" i="30"/>
  <c r="Q112" i="30"/>
  <c r="R112" i="30"/>
  <c r="S112" i="30"/>
  <c r="T112" i="30"/>
  <c r="Q113" i="30"/>
  <c r="R113" i="30"/>
  <c r="S113" i="30"/>
  <c r="T113" i="30"/>
  <c r="Q114" i="30"/>
  <c r="R114" i="30"/>
  <c r="S114" i="30"/>
  <c r="T114" i="30"/>
  <c r="Q115" i="30"/>
  <c r="R115" i="30"/>
  <c r="S115" i="30"/>
  <c r="T115" i="30"/>
  <c r="Q116" i="30"/>
  <c r="R116" i="30"/>
  <c r="S116" i="30"/>
  <c r="T116" i="30"/>
  <c r="Q117" i="30"/>
  <c r="R117" i="30"/>
  <c r="S117" i="30"/>
  <c r="T117" i="30"/>
  <c r="Q118" i="30"/>
  <c r="R118" i="30"/>
  <c r="S118" i="30"/>
  <c r="T118" i="30"/>
  <c r="Q119" i="30"/>
  <c r="R119" i="30"/>
  <c r="S119" i="30"/>
  <c r="T119" i="30"/>
  <c r="Q120" i="30"/>
  <c r="R120" i="30"/>
  <c r="S120" i="30"/>
  <c r="T120" i="30"/>
  <c r="Q121" i="30"/>
  <c r="R121" i="30"/>
  <c r="S121" i="30"/>
  <c r="T121" i="30"/>
  <c r="Q122" i="30"/>
  <c r="R122" i="30"/>
  <c r="S122" i="30"/>
  <c r="T122" i="30"/>
  <c r="Q123" i="30"/>
  <c r="R123" i="30"/>
  <c r="S123" i="30"/>
  <c r="T123" i="30"/>
  <c r="Q124" i="30"/>
  <c r="R124" i="30"/>
  <c r="S124" i="30"/>
  <c r="T124" i="30"/>
  <c r="Q125" i="30"/>
  <c r="R125" i="30"/>
  <c r="S125" i="30"/>
  <c r="T125" i="30"/>
  <c r="Q126" i="30"/>
  <c r="R126" i="30"/>
  <c r="S126" i="30"/>
  <c r="T126" i="30"/>
  <c r="Q127" i="30"/>
  <c r="R127" i="30"/>
  <c r="S127" i="30"/>
  <c r="T127" i="30"/>
  <c r="Q128" i="30"/>
  <c r="R128" i="30"/>
  <c r="S128" i="30"/>
  <c r="T128" i="30"/>
  <c r="Q129" i="30"/>
  <c r="R129" i="30"/>
  <c r="S129" i="30"/>
  <c r="T129" i="30"/>
  <c r="Q130" i="30"/>
  <c r="R130" i="30"/>
  <c r="S130" i="30"/>
  <c r="T130" i="30"/>
  <c r="Q131" i="30"/>
  <c r="R131" i="30"/>
  <c r="S131" i="30"/>
  <c r="T131" i="30"/>
  <c r="Q132" i="30"/>
  <c r="R132" i="30"/>
  <c r="S132" i="30"/>
  <c r="T132" i="30"/>
  <c r="Q133" i="30"/>
  <c r="R133" i="30"/>
  <c r="S133" i="30"/>
  <c r="T133" i="30"/>
  <c r="Q134" i="30"/>
  <c r="R134" i="30"/>
  <c r="S134" i="30"/>
  <c r="T134" i="30"/>
  <c r="Q135" i="30"/>
  <c r="R135" i="30"/>
  <c r="S135" i="30"/>
  <c r="T135" i="30"/>
  <c r="Q136" i="30"/>
  <c r="R136" i="30"/>
  <c r="S136" i="30"/>
  <c r="T136" i="30"/>
  <c r="Q137" i="30"/>
  <c r="R137" i="30"/>
  <c r="S137" i="30"/>
  <c r="T137" i="30"/>
  <c r="Q138" i="30"/>
  <c r="R138" i="30"/>
  <c r="S138" i="30"/>
  <c r="T138" i="30"/>
  <c r="Q139" i="30"/>
  <c r="R139" i="30"/>
  <c r="S139" i="30"/>
  <c r="T139" i="30"/>
  <c r="Q140" i="30"/>
  <c r="R140" i="30"/>
  <c r="S140" i="30"/>
  <c r="T140" i="30"/>
  <c r="Q141" i="30"/>
  <c r="R141" i="30"/>
  <c r="S141" i="30"/>
  <c r="T141" i="30"/>
  <c r="Q142" i="30"/>
  <c r="R142" i="30"/>
  <c r="S142" i="30"/>
  <c r="T142" i="30"/>
  <c r="Q143" i="30"/>
  <c r="R143" i="30"/>
  <c r="S143" i="30"/>
  <c r="T143" i="30"/>
  <c r="Q144" i="30"/>
  <c r="R144" i="30"/>
  <c r="S144" i="30"/>
  <c r="T144" i="30"/>
  <c r="Q145" i="30"/>
  <c r="R145" i="30"/>
  <c r="S145" i="30"/>
  <c r="T145" i="30"/>
  <c r="Q146" i="30"/>
  <c r="R146" i="30"/>
  <c r="S146" i="30"/>
  <c r="T146" i="30"/>
  <c r="Q147" i="30"/>
  <c r="R147" i="30"/>
  <c r="S147" i="30"/>
  <c r="T147" i="30"/>
  <c r="Q148" i="30"/>
  <c r="R148" i="30"/>
  <c r="S148" i="30"/>
  <c r="T148" i="30"/>
  <c r="Q149" i="30"/>
  <c r="R149" i="30"/>
  <c r="S149" i="30"/>
  <c r="T149" i="30"/>
  <c r="Q150" i="30"/>
  <c r="R150" i="30"/>
  <c r="S150" i="30"/>
  <c r="T150" i="30"/>
  <c r="Q151" i="30"/>
  <c r="R151" i="30"/>
  <c r="S151" i="30"/>
  <c r="T151" i="30"/>
  <c r="Q152" i="30"/>
  <c r="R152" i="30"/>
  <c r="S152" i="30"/>
  <c r="T152" i="30"/>
  <c r="Q153" i="30"/>
  <c r="R153" i="30"/>
  <c r="S153" i="30"/>
  <c r="T153" i="30"/>
  <c r="Q154" i="30"/>
  <c r="R154" i="30"/>
  <c r="S154" i="30"/>
  <c r="T154" i="30"/>
  <c r="Q155" i="30"/>
  <c r="R155" i="30"/>
  <c r="S155" i="30"/>
  <c r="T155" i="30"/>
  <c r="Q156" i="30"/>
  <c r="R156" i="30"/>
  <c r="S156" i="30"/>
  <c r="T156" i="30"/>
  <c r="Q157" i="30"/>
  <c r="R157" i="30"/>
  <c r="S157" i="30"/>
  <c r="T157" i="30"/>
  <c r="Q158" i="30"/>
  <c r="R158" i="30"/>
  <c r="S158" i="30"/>
  <c r="T158" i="30"/>
  <c r="Q159" i="30"/>
  <c r="R159" i="30"/>
  <c r="S159" i="30"/>
  <c r="T159" i="30"/>
  <c r="Q160" i="30"/>
  <c r="R160" i="30"/>
  <c r="S160" i="30"/>
  <c r="T160" i="30"/>
  <c r="Q161" i="30"/>
  <c r="R161" i="30"/>
  <c r="S161" i="30"/>
  <c r="T161" i="30"/>
  <c r="Q162" i="30"/>
  <c r="R162" i="30"/>
  <c r="S162" i="30"/>
  <c r="T162" i="30"/>
  <c r="Q163" i="30"/>
  <c r="R163" i="30"/>
  <c r="S163" i="30"/>
  <c r="T163" i="30"/>
  <c r="Q164" i="30"/>
  <c r="R164" i="30"/>
  <c r="S164" i="30"/>
  <c r="T164" i="30"/>
  <c r="Q165" i="30"/>
  <c r="R165" i="30"/>
  <c r="S165" i="30"/>
  <c r="T165" i="30"/>
  <c r="Q166" i="30"/>
  <c r="R166" i="30"/>
  <c r="S166" i="30"/>
  <c r="T166" i="30"/>
  <c r="Q167" i="30"/>
  <c r="R167" i="30"/>
  <c r="S167" i="30"/>
  <c r="T167" i="30"/>
  <c r="Q168" i="30"/>
  <c r="R168" i="30"/>
  <c r="S168" i="30"/>
  <c r="T168" i="30"/>
  <c r="Q169" i="30"/>
  <c r="R169" i="30"/>
  <c r="S169" i="30"/>
  <c r="T169" i="30"/>
  <c r="Q170" i="30"/>
  <c r="R170" i="30"/>
  <c r="S170" i="30"/>
  <c r="T170" i="30"/>
  <c r="Q171" i="30"/>
  <c r="R171" i="30"/>
  <c r="S171" i="30"/>
  <c r="T171" i="30"/>
  <c r="Q172" i="30"/>
  <c r="R172" i="30"/>
  <c r="S172" i="30"/>
  <c r="T172" i="30"/>
  <c r="Q173" i="30"/>
  <c r="R173" i="30"/>
  <c r="S173" i="30"/>
  <c r="T173" i="30"/>
  <c r="Q174" i="30"/>
  <c r="R174" i="30"/>
  <c r="S174" i="30"/>
  <c r="T174" i="30"/>
  <c r="Q175" i="30"/>
  <c r="R175" i="30"/>
  <c r="S175" i="30"/>
  <c r="T175" i="30"/>
  <c r="Q176" i="30"/>
  <c r="R176" i="30"/>
  <c r="S176" i="30"/>
  <c r="T176" i="30"/>
  <c r="Q177" i="30"/>
  <c r="R177" i="30"/>
  <c r="S177" i="30"/>
  <c r="T177" i="30"/>
  <c r="Q178" i="30"/>
  <c r="R178" i="30"/>
  <c r="S178" i="30"/>
  <c r="T178" i="30"/>
  <c r="Q179" i="30"/>
  <c r="R179" i="30"/>
  <c r="S179" i="30"/>
  <c r="T179" i="30"/>
  <c r="Q180" i="30"/>
  <c r="R180" i="30"/>
  <c r="S180" i="30"/>
  <c r="T180" i="30"/>
  <c r="Q181" i="30"/>
  <c r="R181" i="30"/>
  <c r="S181" i="30"/>
  <c r="T181" i="30"/>
  <c r="Q182" i="30"/>
  <c r="R182" i="30"/>
  <c r="S182" i="30"/>
  <c r="T182" i="30"/>
  <c r="Q183" i="30"/>
  <c r="R183" i="30"/>
  <c r="S183" i="30"/>
  <c r="T183" i="30"/>
  <c r="Q184" i="30"/>
  <c r="R184" i="30"/>
  <c r="S184" i="30"/>
  <c r="T184" i="30"/>
  <c r="Q185" i="30"/>
  <c r="R185" i="30"/>
  <c r="S185" i="30"/>
  <c r="T185" i="30"/>
  <c r="Q186" i="30"/>
  <c r="R186" i="30"/>
  <c r="S186" i="30"/>
  <c r="T186" i="30"/>
  <c r="Q187" i="30"/>
  <c r="R187" i="30"/>
  <c r="S187" i="30"/>
  <c r="T187" i="30"/>
  <c r="Q188" i="30"/>
  <c r="R188" i="30"/>
  <c r="S188" i="30"/>
  <c r="T188" i="30"/>
  <c r="Q189" i="30"/>
  <c r="R189" i="30"/>
  <c r="S189" i="30"/>
  <c r="T189" i="30"/>
  <c r="Q190" i="30"/>
  <c r="R190" i="30"/>
  <c r="S190" i="30"/>
  <c r="T190" i="30"/>
  <c r="Q191" i="30"/>
  <c r="R191" i="30"/>
  <c r="S191" i="30"/>
  <c r="T191" i="30"/>
  <c r="Q192" i="30"/>
  <c r="R192" i="30"/>
  <c r="S192" i="30"/>
  <c r="T192" i="30"/>
  <c r="Q193" i="30"/>
  <c r="R193" i="30"/>
  <c r="S193" i="30"/>
  <c r="T193" i="30"/>
  <c r="Q194" i="30"/>
  <c r="R194" i="30"/>
  <c r="S194" i="30"/>
  <c r="T194" i="30"/>
  <c r="Q195" i="30"/>
  <c r="R195" i="30"/>
  <c r="S195" i="30"/>
  <c r="T195" i="30"/>
  <c r="Q196" i="30"/>
  <c r="R196" i="30"/>
  <c r="S196" i="30"/>
  <c r="T196" i="30"/>
  <c r="Q197" i="30"/>
  <c r="R197" i="30"/>
  <c r="S197" i="30"/>
  <c r="T197" i="30"/>
  <c r="Q198" i="30"/>
  <c r="R198" i="30"/>
  <c r="S198" i="30"/>
  <c r="T198" i="30"/>
  <c r="Q199" i="30"/>
  <c r="R199" i="30"/>
  <c r="S199" i="30"/>
  <c r="T199" i="30"/>
  <c r="Q200" i="30"/>
  <c r="R200" i="30"/>
  <c r="S200" i="30"/>
  <c r="T200" i="30"/>
  <c r="Q201" i="30"/>
  <c r="R201" i="30"/>
  <c r="S201" i="30"/>
  <c r="T201" i="30"/>
  <c r="Q202" i="30"/>
  <c r="R202" i="30"/>
  <c r="S202" i="30"/>
  <c r="T202" i="30"/>
  <c r="Q203" i="30"/>
  <c r="R203" i="30"/>
  <c r="S203" i="30"/>
  <c r="T203" i="30"/>
  <c r="Q204" i="30"/>
  <c r="R204" i="30"/>
  <c r="S204" i="30"/>
  <c r="T204" i="30"/>
  <c r="Q205" i="30"/>
  <c r="R205" i="30"/>
  <c r="S205" i="30"/>
  <c r="T205" i="30"/>
  <c r="Q206" i="30"/>
  <c r="R206" i="30"/>
  <c r="S206" i="30"/>
  <c r="T206" i="30"/>
  <c r="Q207" i="30"/>
  <c r="R207" i="30"/>
  <c r="S207" i="30"/>
  <c r="T207" i="30"/>
  <c r="Q208" i="30"/>
  <c r="R208" i="30"/>
  <c r="S208" i="30"/>
  <c r="T208" i="30"/>
  <c r="Q209" i="30"/>
  <c r="R209" i="30"/>
  <c r="S209" i="30"/>
  <c r="T209" i="30"/>
  <c r="Q210" i="30"/>
  <c r="R210" i="30"/>
  <c r="S210" i="30"/>
  <c r="T210" i="30"/>
  <c r="Q211" i="30"/>
  <c r="R211" i="30"/>
  <c r="S211" i="30"/>
  <c r="T211" i="30"/>
  <c r="Q212" i="30"/>
  <c r="R212" i="30"/>
  <c r="S212" i="30"/>
  <c r="T212" i="30"/>
  <c r="Q213" i="30"/>
  <c r="R213" i="30"/>
  <c r="S213" i="30"/>
  <c r="T213" i="30"/>
  <c r="Q214" i="30"/>
  <c r="R214" i="30"/>
  <c r="S214" i="30"/>
  <c r="T214" i="30"/>
  <c r="Q215" i="30"/>
  <c r="R215" i="30"/>
  <c r="S215" i="30"/>
  <c r="T215" i="30"/>
  <c r="Q216" i="30"/>
  <c r="R216" i="30"/>
  <c r="S216" i="30"/>
  <c r="T216" i="30"/>
  <c r="Q217" i="30"/>
  <c r="R217" i="30"/>
  <c r="S217" i="30"/>
  <c r="T217" i="30"/>
  <c r="Q218" i="30"/>
  <c r="R218" i="30"/>
  <c r="S218" i="30"/>
  <c r="T218" i="30"/>
  <c r="Q219" i="30"/>
  <c r="R219" i="30"/>
  <c r="S219" i="30"/>
  <c r="T219" i="30"/>
  <c r="Q220" i="30"/>
  <c r="R220" i="30"/>
  <c r="S220" i="30"/>
  <c r="T220" i="30"/>
  <c r="Q221" i="30"/>
  <c r="R221" i="30"/>
  <c r="S221" i="30"/>
  <c r="T221" i="30"/>
  <c r="Q222" i="30"/>
  <c r="R222" i="30"/>
  <c r="S222" i="30"/>
  <c r="T222" i="30"/>
  <c r="Q223" i="30"/>
  <c r="R223" i="30"/>
  <c r="S223" i="30"/>
  <c r="T223" i="30"/>
  <c r="Q224" i="30"/>
  <c r="R224" i="30"/>
  <c r="S224" i="30"/>
  <c r="T224" i="30"/>
  <c r="Q225" i="30"/>
  <c r="R225" i="30"/>
  <c r="S225" i="30"/>
  <c r="T225" i="30"/>
  <c r="Q226" i="30"/>
  <c r="R226" i="30"/>
  <c r="S226" i="30"/>
  <c r="T226" i="30"/>
  <c r="Q227" i="30"/>
  <c r="R227" i="30"/>
  <c r="S227" i="30"/>
  <c r="T227" i="30"/>
  <c r="Q228" i="30"/>
  <c r="R228" i="30"/>
  <c r="S228" i="30"/>
  <c r="T228" i="30"/>
  <c r="Q229" i="30"/>
  <c r="R229" i="30"/>
  <c r="S229" i="30"/>
  <c r="T229" i="30"/>
  <c r="Q230" i="30"/>
  <c r="R230" i="30"/>
  <c r="S230" i="30"/>
  <c r="T230" i="30"/>
  <c r="Q231" i="30"/>
  <c r="R231" i="30"/>
  <c r="S231" i="30"/>
  <c r="T231" i="30"/>
  <c r="Q232" i="30"/>
  <c r="R232" i="30"/>
  <c r="S232" i="30"/>
  <c r="T232" i="30"/>
  <c r="Q233" i="30"/>
  <c r="R233" i="30"/>
  <c r="S233" i="30"/>
  <c r="T233" i="30"/>
  <c r="Q234" i="30"/>
  <c r="R234" i="30"/>
  <c r="S234" i="30"/>
  <c r="T234" i="30"/>
  <c r="Q235" i="30"/>
  <c r="R235" i="30"/>
  <c r="S235" i="30"/>
  <c r="T235" i="30"/>
  <c r="Q236" i="30"/>
  <c r="R236" i="30"/>
  <c r="S236" i="30"/>
  <c r="T236" i="30"/>
  <c r="Q237" i="30"/>
  <c r="R237" i="30"/>
  <c r="S237" i="30"/>
  <c r="T237" i="30"/>
  <c r="Q238" i="30"/>
  <c r="R238" i="30"/>
  <c r="S238" i="30"/>
  <c r="T238" i="30"/>
  <c r="Q239" i="30"/>
  <c r="R239" i="30"/>
  <c r="S239" i="30"/>
  <c r="T239" i="30"/>
  <c r="Q240" i="30"/>
  <c r="R240" i="30"/>
  <c r="S240" i="30"/>
  <c r="T240" i="30"/>
  <c r="Q241" i="30"/>
  <c r="R241" i="30"/>
  <c r="S241" i="30"/>
  <c r="T241" i="30"/>
  <c r="Q242" i="30"/>
  <c r="R242" i="30"/>
  <c r="S242" i="30"/>
  <c r="T242" i="30"/>
  <c r="Q243" i="30"/>
  <c r="R243" i="30"/>
  <c r="S243" i="30"/>
  <c r="T243" i="30"/>
  <c r="Q244" i="30"/>
  <c r="R244" i="30"/>
  <c r="S244" i="30"/>
  <c r="T244" i="30"/>
  <c r="Q245" i="30"/>
  <c r="R245" i="30"/>
  <c r="S245" i="30"/>
  <c r="T245" i="30"/>
  <c r="Q246" i="30"/>
  <c r="R246" i="30"/>
  <c r="S246" i="30"/>
  <c r="T246" i="30"/>
  <c r="Q247" i="30"/>
  <c r="R247" i="30"/>
  <c r="S247" i="30"/>
  <c r="T247" i="30"/>
  <c r="Q248" i="30"/>
  <c r="R248" i="30"/>
  <c r="S248" i="30"/>
  <c r="T248" i="30"/>
  <c r="Q249" i="30"/>
  <c r="R249" i="30"/>
  <c r="S249" i="30"/>
  <c r="T249" i="30"/>
  <c r="Q250" i="30"/>
  <c r="R250" i="30"/>
  <c r="S250" i="30"/>
  <c r="T250" i="30"/>
  <c r="Q251" i="30"/>
  <c r="R251" i="30"/>
  <c r="S251" i="30"/>
  <c r="T251" i="30"/>
  <c r="Q252" i="30"/>
  <c r="R252" i="30"/>
  <c r="S252" i="30"/>
  <c r="T252" i="30"/>
  <c r="Q253" i="30"/>
  <c r="R253" i="30"/>
  <c r="S253" i="30"/>
  <c r="T253" i="30"/>
  <c r="Q254" i="30"/>
  <c r="R254" i="30"/>
  <c r="S254" i="30"/>
  <c r="T254" i="30"/>
  <c r="Q255" i="30"/>
  <c r="R255" i="30"/>
  <c r="S255" i="30"/>
  <c r="T255" i="30"/>
  <c r="Q256" i="30"/>
  <c r="R256" i="30"/>
  <c r="S256" i="30"/>
  <c r="T256" i="30"/>
  <c r="Q257" i="30"/>
  <c r="R257" i="30"/>
  <c r="S257" i="30"/>
  <c r="T257" i="30"/>
  <c r="Q258" i="30"/>
  <c r="R258" i="30"/>
  <c r="S258" i="30"/>
  <c r="T258" i="30"/>
  <c r="Q259" i="30"/>
  <c r="R259" i="30"/>
  <c r="S259" i="30"/>
  <c r="T259" i="30"/>
  <c r="Q260" i="30"/>
  <c r="R260" i="30"/>
  <c r="S260" i="30"/>
  <c r="T260" i="30"/>
  <c r="Q261" i="30"/>
  <c r="R261" i="30"/>
  <c r="S261" i="30"/>
  <c r="T261" i="30"/>
  <c r="Q262" i="30"/>
  <c r="R262" i="30"/>
  <c r="S262" i="30"/>
  <c r="T262" i="30"/>
  <c r="Q263" i="30"/>
  <c r="R263" i="30"/>
  <c r="S263" i="30"/>
  <c r="T263" i="30"/>
  <c r="Q264" i="30"/>
  <c r="R264" i="30"/>
  <c r="S264" i="30"/>
  <c r="T264" i="30"/>
  <c r="Q265" i="30"/>
  <c r="R265" i="30"/>
  <c r="S265" i="30"/>
  <c r="T265" i="30"/>
  <c r="Q266" i="30"/>
  <c r="R266" i="30"/>
  <c r="S266" i="30"/>
  <c r="T266" i="30"/>
  <c r="Q267" i="30"/>
  <c r="R267" i="30"/>
  <c r="S267" i="30"/>
  <c r="T267" i="30"/>
  <c r="Q268" i="30"/>
  <c r="R268" i="30"/>
  <c r="S268" i="30"/>
  <c r="T268" i="30"/>
  <c r="Q269" i="30"/>
  <c r="R269" i="30"/>
  <c r="S269" i="30"/>
  <c r="T269" i="30"/>
  <c r="Q270" i="30"/>
  <c r="R270" i="30"/>
  <c r="S270" i="30"/>
  <c r="T270" i="30"/>
  <c r="Q271" i="30"/>
  <c r="R271" i="30"/>
  <c r="S271" i="30"/>
  <c r="T271" i="30"/>
  <c r="Q272" i="30"/>
  <c r="R272" i="30"/>
  <c r="S272" i="30"/>
  <c r="T272" i="30"/>
  <c r="Q273" i="30"/>
  <c r="R273" i="30"/>
  <c r="S273" i="30"/>
  <c r="T273" i="30"/>
  <c r="Q274" i="30"/>
  <c r="R274" i="30"/>
  <c r="S274" i="30"/>
  <c r="T274" i="30"/>
  <c r="Q275" i="30"/>
  <c r="R275" i="30"/>
  <c r="S275" i="30"/>
  <c r="T275" i="30"/>
  <c r="Q276" i="30"/>
  <c r="R276" i="30"/>
  <c r="S276" i="30"/>
  <c r="T276" i="30"/>
  <c r="Q277" i="30"/>
  <c r="R277" i="30"/>
  <c r="S277" i="30"/>
  <c r="T277" i="30"/>
  <c r="Q278" i="30"/>
  <c r="R278" i="30"/>
  <c r="S278" i="30"/>
  <c r="T278" i="30"/>
  <c r="Q279" i="30"/>
  <c r="R279" i="30"/>
  <c r="S279" i="30"/>
  <c r="T279" i="30"/>
  <c r="Q280" i="30"/>
  <c r="R280" i="30"/>
  <c r="S280" i="30"/>
  <c r="T280" i="30"/>
  <c r="Q281" i="30"/>
  <c r="R281" i="30"/>
  <c r="S281" i="30"/>
  <c r="T281" i="30"/>
  <c r="Q282" i="30"/>
  <c r="R282" i="30"/>
  <c r="S282" i="30"/>
  <c r="T282" i="30"/>
  <c r="Q283" i="30"/>
  <c r="R283" i="30"/>
  <c r="S283" i="30"/>
  <c r="T283" i="30"/>
  <c r="Q284" i="30"/>
  <c r="R284" i="30"/>
  <c r="S284" i="30"/>
  <c r="T284" i="30"/>
  <c r="Q285" i="30"/>
  <c r="R285" i="30"/>
  <c r="S285" i="30"/>
  <c r="T285" i="30"/>
  <c r="Q286" i="30"/>
  <c r="R286" i="30"/>
  <c r="S286" i="30"/>
  <c r="T286" i="30"/>
  <c r="Q287" i="30"/>
  <c r="R287" i="30"/>
  <c r="S287" i="30"/>
  <c r="T287" i="30"/>
  <c r="Q288" i="30"/>
  <c r="R288" i="30"/>
  <c r="S288" i="30"/>
  <c r="T288" i="30"/>
  <c r="Q289" i="30"/>
  <c r="R289" i="30"/>
  <c r="S289" i="30"/>
  <c r="T289" i="30"/>
  <c r="Q290" i="30"/>
  <c r="R290" i="30"/>
  <c r="S290" i="30"/>
  <c r="T290" i="30"/>
  <c r="Q291" i="30"/>
  <c r="R291" i="30"/>
  <c r="S291" i="30"/>
  <c r="T291" i="30"/>
  <c r="Q292" i="30"/>
  <c r="R292" i="30"/>
  <c r="S292" i="30"/>
  <c r="T292" i="30"/>
  <c r="Q293" i="30"/>
  <c r="R293" i="30"/>
  <c r="S293" i="30"/>
  <c r="T293" i="30"/>
  <c r="Q294" i="30"/>
  <c r="R294" i="30"/>
  <c r="S294" i="30"/>
  <c r="T294" i="30"/>
  <c r="Q295" i="30"/>
  <c r="R295" i="30"/>
  <c r="S295" i="30"/>
  <c r="T295" i="30"/>
  <c r="Q296" i="30"/>
  <c r="R296" i="30"/>
  <c r="S296" i="30"/>
  <c r="T296" i="30"/>
  <c r="Q297" i="30"/>
  <c r="R297" i="30"/>
  <c r="S297" i="30"/>
  <c r="T297" i="30"/>
  <c r="Q298" i="30"/>
  <c r="R298" i="30"/>
  <c r="S298" i="30"/>
  <c r="T298" i="30"/>
  <c r="Q299" i="30"/>
  <c r="R299" i="30"/>
  <c r="S299" i="30"/>
  <c r="T299" i="30"/>
  <c r="Q300" i="30"/>
  <c r="R300" i="30"/>
  <c r="S300" i="30"/>
  <c r="T300" i="30"/>
  <c r="Q301" i="30"/>
  <c r="R301" i="30"/>
  <c r="S301" i="30"/>
  <c r="T301" i="30"/>
  <c r="Q302" i="30"/>
  <c r="R302" i="30"/>
  <c r="S302" i="30"/>
  <c r="T302" i="30"/>
  <c r="Q303" i="30"/>
  <c r="R303" i="30"/>
  <c r="S303" i="30"/>
  <c r="T303" i="30"/>
  <c r="Q304" i="30"/>
  <c r="R304" i="30"/>
  <c r="S304" i="30"/>
  <c r="T304" i="30"/>
  <c r="Q305" i="30"/>
  <c r="R305" i="30"/>
  <c r="S305" i="30"/>
  <c r="T305" i="30"/>
  <c r="Q306" i="30"/>
  <c r="R306" i="30"/>
  <c r="S306" i="30"/>
  <c r="T306" i="30"/>
  <c r="Q307" i="30"/>
  <c r="R307" i="30"/>
  <c r="S307" i="30"/>
  <c r="T307" i="30"/>
  <c r="Q308" i="30"/>
  <c r="R308" i="30"/>
  <c r="S308" i="30"/>
  <c r="T308" i="30"/>
  <c r="Q309" i="30"/>
  <c r="R309" i="30"/>
  <c r="S309" i="30"/>
  <c r="T309" i="30"/>
  <c r="Q310" i="30"/>
  <c r="R310" i="30"/>
  <c r="S310" i="30"/>
  <c r="T310" i="30"/>
  <c r="Q311" i="30"/>
  <c r="R311" i="30"/>
  <c r="S311" i="30"/>
  <c r="T311" i="30"/>
  <c r="Q312" i="30"/>
  <c r="R312" i="30"/>
  <c r="S312" i="30"/>
  <c r="T312" i="30"/>
  <c r="Q313" i="30"/>
  <c r="R313" i="30"/>
  <c r="S313" i="30"/>
  <c r="T313" i="30"/>
  <c r="Q314" i="30"/>
  <c r="R314" i="30"/>
  <c r="S314" i="30"/>
  <c r="T314" i="30"/>
  <c r="Q315" i="30"/>
  <c r="R315" i="30"/>
  <c r="S315" i="30"/>
  <c r="T315" i="30"/>
  <c r="Q316" i="30"/>
  <c r="R316" i="30"/>
  <c r="S316" i="30"/>
  <c r="T316" i="30"/>
  <c r="Q317" i="30"/>
  <c r="R317" i="30"/>
  <c r="S317" i="30"/>
  <c r="T317" i="30"/>
  <c r="Q318" i="30"/>
  <c r="R318" i="30"/>
  <c r="S318" i="30"/>
  <c r="T318" i="30"/>
  <c r="Q319" i="30"/>
  <c r="R319" i="30"/>
  <c r="S319" i="30"/>
  <c r="T319" i="30"/>
  <c r="Q320" i="30"/>
  <c r="R320" i="30"/>
  <c r="S320" i="30"/>
  <c r="T320" i="30"/>
  <c r="Q321" i="30"/>
  <c r="R321" i="30"/>
  <c r="S321" i="30"/>
  <c r="T321" i="30"/>
  <c r="Q322" i="30"/>
  <c r="R322" i="30"/>
  <c r="S322" i="30"/>
  <c r="T322" i="30"/>
  <c r="Q323" i="30"/>
  <c r="R323" i="30"/>
  <c r="S323" i="30"/>
  <c r="T323" i="30"/>
  <c r="Q324" i="30"/>
  <c r="R324" i="30"/>
  <c r="S324" i="30"/>
  <c r="T324" i="30"/>
  <c r="Q325" i="30"/>
  <c r="R325" i="30"/>
  <c r="S325" i="30"/>
  <c r="T325" i="30"/>
  <c r="Q326" i="30"/>
  <c r="R326" i="30"/>
  <c r="S326" i="30"/>
  <c r="T326" i="30"/>
  <c r="Q327" i="30"/>
  <c r="R327" i="30"/>
  <c r="S327" i="30"/>
  <c r="T327" i="30"/>
  <c r="Q328" i="30"/>
  <c r="R328" i="30"/>
  <c r="S328" i="30"/>
  <c r="T328" i="30"/>
  <c r="Q329" i="30"/>
  <c r="R329" i="30"/>
  <c r="S329" i="30"/>
  <c r="T329" i="30"/>
  <c r="Q330" i="30"/>
  <c r="R330" i="30"/>
  <c r="S330" i="30"/>
  <c r="T330" i="30"/>
  <c r="Q331" i="30"/>
  <c r="R331" i="30"/>
  <c r="S331" i="30"/>
  <c r="T331" i="30"/>
  <c r="Q332" i="30"/>
  <c r="R332" i="30"/>
  <c r="S332" i="30"/>
  <c r="T332" i="30"/>
  <c r="Q333" i="30"/>
  <c r="R333" i="30"/>
  <c r="S333" i="30"/>
  <c r="T333" i="30"/>
  <c r="Q334" i="30"/>
  <c r="R334" i="30"/>
  <c r="S334" i="30"/>
  <c r="T334" i="30"/>
  <c r="Q335" i="30"/>
  <c r="R335" i="30"/>
  <c r="S335" i="30"/>
  <c r="T335" i="30"/>
  <c r="Q336" i="30"/>
  <c r="R336" i="30"/>
  <c r="S336" i="30"/>
  <c r="T336" i="30"/>
  <c r="Q337" i="30"/>
  <c r="R337" i="30"/>
  <c r="S337" i="30"/>
  <c r="T337" i="30"/>
  <c r="Q338" i="30"/>
  <c r="R338" i="30"/>
  <c r="S338" i="30"/>
  <c r="T338" i="30"/>
  <c r="Q339" i="30"/>
  <c r="R339" i="30"/>
  <c r="S339" i="30"/>
  <c r="T339" i="30"/>
  <c r="Q340" i="30"/>
  <c r="R340" i="30"/>
  <c r="S340" i="30"/>
  <c r="T340" i="30"/>
  <c r="Q341" i="30"/>
  <c r="R341" i="30"/>
  <c r="S341" i="30"/>
  <c r="T341" i="30"/>
  <c r="Q342" i="30"/>
  <c r="R342" i="30"/>
  <c r="S342" i="30"/>
  <c r="T342" i="30"/>
  <c r="Q343" i="30"/>
  <c r="R343" i="30"/>
  <c r="S343" i="30"/>
  <c r="T343" i="30"/>
  <c r="Q344" i="30"/>
  <c r="R344" i="30"/>
  <c r="S344" i="30"/>
  <c r="T344" i="30"/>
  <c r="Q345" i="30"/>
  <c r="R345" i="30"/>
  <c r="S345" i="30"/>
  <c r="T345" i="30"/>
  <c r="Q346" i="30"/>
  <c r="R346" i="30"/>
  <c r="S346" i="30"/>
  <c r="T346" i="30"/>
  <c r="Q347" i="30"/>
  <c r="R347" i="30"/>
  <c r="S347" i="30"/>
  <c r="T347" i="30"/>
  <c r="Q348" i="30"/>
  <c r="R348" i="30"/>
  <c r="S348" i="30"/>
  <c r="T348" i="30"/>
  <c r="Q349" i="30"/>
  <c r="R349" i="30"/>
  <c r="S349" i="30"/>
  <c r="T349" i="30"/>
  <c r="Q350" i="30"/>
  <c r="R350" i="30"/>
  <c r="S350" i="30"/>
  <c r="T350" i="30"/>
  <c r="Q351" i="30"/>
  <c r="R351" i="30"/>
  <c r="S351" i="30"/>
  <c r="T351" i="30"/>
  <c r="Q352" i="30"/>
  <c r="R352" i="30"/>
  <c r="S352" i="30"/>
  <c r="T352" i="30"/>
  <c r="Q353" i="30"/>
  <c r="R353" i="30"/>
  <c r="S353" i="30"/>
  <c r="T353" i="30"/>
  <c r="Q354" i="30"/>
  <c r="R354" i="30"/>
  <c r="S354" i="30"/>
  <c r="T354" i="30"/>
  <c r="Q355" i="30"/>
  <c r="R355" i="30"/>
  <c r="S355" i="30"/>
  <c r="T355" i="30"/>
  <c r="Q356" i="30"/>
  <c r="R356" i="30"/>
  <c r="S356" i="30"/>
  <c r="T356" i="30"/>
  <c r="Q357" i="30"/>
  <c r="R357" i="30"/>
  <c r="S357" i="30"/>
  <c r="T357" i="30"/>
  <c r="Q358" i="30"/>
  <c r="R358" i="30"/>
  <c r="S358" i="30"/>
  <c r="T358" i="30"/>
  <c r="Q359" i="30"/>
  <c r="R359" i="30"/>
  <c r="S359" i="30"/>
  <c r="T359" i="30"/>
  <c r="Q360" i="30"/>
  <c r="R360" i="30"/>
  <c r="S360" i="30"/>
  <c r="T360" i="30"/>
  <c r="Q361" i="30"/>
  <c r="R361" i="30"/>
  <c r="S361" i="30"/>
  <c r="T361" i="30"/>
  <c r="Q362" i="30"/>
  <c r="R362" i="30"/>
  <c r="S362" i="30"/>
  <c r="T362" i="30"/>
  <c r="Q363" i="30"/>
  <c r="R363" i="30"/>
  <c r="S363" i="30"/>
  <c r="T363" i="30"/>
  <c r="Q364" i="30"/>
  <c r="R364" i="30"/>
  <c r="S364" i="30"/>
  <c r="T364" i="30"/>
  <c r="Q365" i="30"/>
  <c r="R365" i="30"/>
  <c r="S365" i="30"/>
  <c r="T365" i="30"/>
  <c r="Q366" i="30"/>
  <c r="R366" i="30"/>
  <c r="S366" i="30"/>
  <c r="T366" i="30"/>
  <c r="Q367" i="30"/>
  <c r="R367" i="30"/>
  <c r="S367" i="30"/>
  <c r="T367" i="30"/>
  <c r="Q368" i="30"/>
  <c r="R368" i="30"/>
  <c r="S368" i="30"/>
  <c r="T368" i="30"/>
  <c r="Q369" i="30"/>
  <c r="R369" i="30"/>
  <c r="S369" i="30"/>
  <c r="T369" i="30"/>
  <c r="Q370" i="30"/>
  <c r="R370" i="30"/>
  <c r="S370" i="30"/>
  <c r="T370" i="30"/>
  <c r="Q371" i="30"/>
  <c r="R371" i="30"/>
  <c r="S371" i="30"/>
  <c r="T371" i="30"/>
  <c r="Q372" i="30"/>
  <c r="R372" i="30"/>
  <c r="S372" i="30"/>
  <c r="T372" i="30"/>
  <c r="Q373" i="30"/>
  <c r="R373" i="30"/>
  <c r="S373" i="30"/>
  <c r="T373" i="30"/>
  <c r="Q374" i="30"/>
  <c r="R374" i="30"/>
  <c r="S374" i="30"/>
  <c r="T374" i="30"/>
  <c r="Q375" i="30"/>
  <c r="R375" i="30"/>
  <c r="S375" i="30"/>
  <c r="T375" i="30"/>
  <c r="Q376" i="30"/>
  <c r="R376" i="30"/>
  <c r="S376" i="30"/>
  <c r="T376" i="30"/>
  <c r="Q377" i="30"/>
  <c r="R377" i="30"/>
  <c r="S377" i="30"/>
  <c r="T377" i="30"/>
  <c r="Q378" i="30"/>
  <c r="R378" i="30"/>
  <c r="S378" i="30"/>
  <c r="T378" i="30"/>
  <c r="Q379" i="30"/>
  <c r="R379" i="30"/>
  <c r="S379" i="30"/>
  <c r="T379" i="30"/>
  <c r="Q380" i="30"/>
  <c r="R380" i="30"/>
  <c r="S380" i="30"/>
  <c r="T380" i="30"/>
  <c r="Q381" i="30"/>
  <c r="R381" i="30"/>
  <c r="S381" i="30"/>
  <c r="T381" i="30"/>
  <c r="Q382" i="30"/>
  <c r="R382" i="30"/>
  <c r="S382" i="30"/>
  <c r="T382" i="30"/>
  <c r="Q383" i="30"/>
  <c r="R383" i="30"/>
  <c r="S383" i="30"/>
  <c r="T383" i="30"/>
  <c r="Q384" i="30"/>
  <c r="R384" i="30"/>
  <c r="S384" i="30"/>
  <c r="T384" i="30"/>
  <c r="Q385" i="30"/>
  <c r="R385" i="30"/>
  <c r="S385" i="30"/>
  <c r="T385" i="30"/>
  <c r="Q386" i="30"/>
  <c r="R386" i="30"/>
  <c r="S386" i="30"/>
  <c r="T386" i="30"/>
  <c r="Q387" i="30"/>
  <c r="R387" i="30"/>
  <c r="S387" i="30"/>
  <c r="T387" i="30"/>
  <c r="Q388" i="30"/>
  <c r="R388" i="30"/>
  <c r="S388" i="30"/>
  <c r="T388" i="30"/>
  <c r="Q389" i="30"/>
  <c r="R389" i="30"/>
  <c r="S389" i="30"/>
  <c r="T389" i="30"/>
  <c r="Q390" i="30"/>
  <c r="R390" i="30"/>
  <c r="S390" i="30"/>
  <c r="T390" i="30"/>
  <c r="Q391" i="30"/>
  <c r="R391" i="30"/>
  <c r="S391" i="30"/>
  <c r="T391" i="30"/>
  <c r="Q392" i="30"/>
  <c r="R392" i="30"/>
  <c r="S392" i="30"/>
  <c r="T392" i="30"/>
  <c r="Q393" i="30"/>
  <c r="R393" i="30"/>
  <c r="S393" i="30"/>
  <c r="T393" i="30"/>
  <c r="Q394" i="30"/>
  <c r="R394" i="30"/>
  <c r="S394" i="30"/>
  <c r="T394" i="30"/>
  <c r="Q395" i="30"/>
  <c r="R395" i="30"/>
  <c r="S395" i="30"/>
  <c r="T395" i="30"/>
  <c r="Q396" i="30"/>
  <c r="R396" i="30"/>
  <c r="S396" i="30"/>
  <c r="T396" i="30"/>
  <c r="Q397" i="30"/>
  <c r="R397" i="30"/>
  <c r="S397" i="30"/>
  <c r="T397" i="30"/>
  <c r="Q398" i="30"/>
  <c r="R398" i="30"/>
  <c r="S398" i="30"/>
  <c r="T398" i="30"/>
  <c r="Q399" i="30"/>
  <c r="R399" i="30"/>
  <c r="S399" i="30"/>
  <c r="T399" i="30"/>
  <c r="Q400" i="30"/>
  <c r="R400" i="30"/>
  <c r="S400" i="30"/>
  <c r="T400" i="30"/>
  <c r="Q401" i="30"/>
  <c r="R401" i="30"/>
  <c r="S401" i="30"/>
  <c r="T401" i="30"/>
  <c r="Q402" i="30"/>
  <c r="R402" i="30"/>
  <c r="S402" i="30"/>
  <c r="T402" i="30"/>
  <c r="Q403" i="30"/>
  <c r="R403" i="30"/>
  <c r="S403" i="30"/>
  <c r="T403" i="30"/>
  <c r="Q404" i="30"/>
  <c r="R404" i="30"/>
  <c r="S404" i="30"/>
  <c r="T404" i="30"/>
  <c r="Q405" i="30"/>
  <c r="R405" i="30"/>
  <c r="S405" i="30"/>
  <c r="T405" i="30"/>
  <c r="R6" i="30"/>
  <c r="Q6" i="30"/>
  <c r="E406" i="30"/>
  <c r="M8" i="29"/>
  <c r="N8" i="29"/>
  <c r="O8" i="29" s="1"/>
  <c r="M9" i="29"/>
  <c r="N9" i="29" s="1"/>
  <c r="O9" i="29" s="1"/>
  <c r="M10" i="29"/>
  <c r="N10" i="29"/>
  <c r="O10" i="29"/>
  <c r="M11" i="29"/>
  <c r="N11" i="29" s="1"/>
  <c r="O11" i="29" s="1"/>
  <c r="M12" i="29"/>
  <c r="N12" i="29"/>
  <c r="O12" i="29" s="1"/>
  <c r="M13" i="29"/>
  <c r="N13" i="29" s="1"/>
  <c r="O13" i="29" s="1"/>
  <c r="M14" i="29"/>
  <c r="N14" i="29"/>
  <c r="O14" i="29" s="1"/>
  <c r="M15" i="29"/>
  <c r="N15" i="29" s="1"/>
  <c r="O15" i="29" s="1"/>
  <c r="M16" i="29"/>
  <c r="N16" i="29" s="1"/>
  <c r="O16" i="29" s="1"/>
  <c r="M17" i="29"/>
  <c r="N17" i="29" s="1"/>
  <c r="O17" i="29" s="1"/>
  <c r="M18" i="29"/>
  <c r="N18" i="29"/>
  <c r="O18" i="29" s="1"/>
  <c r="M19" i="29"/>
  <c r="N19" i="29" s="1"/>
  <c r="O19" i="29" s="1"/>
  <c r="M20" i="29"/>
  <c r="N20" i="29"/>
  <c r="O20" i="29" s="1"/>
  <c r="M21" i="29"/>
  <c r="N21" i="29"/>
  <c r="O21" i="29" s="1"/>
  <c r="M22" i="29"/>
  <c r="N22" i="29"/>
  <c r="O22" i="29"/>
  <c r="M23" i="29"/>
  <c r="N23" i="29" s="1"/>
  <c r="O23" i="29" s="1"/>
  <c r="M24" i="29"/>
  <c r="N24" i="29"/>
  <c r="O24" i="29" s="1"/>
  <c r="M25" i="29"/>
  <c r="N25" i="29" s="1"/>
  <c r="O25" i="29" s="1"/>
  <c r="M26" i="29"/>
  <c r="N26" i="29" s="1"/>
  <c r="O26" i="29"/>
  <c r="M27" i="29"/>
  <c r="N27" i="29" s="1"/>
  <c r="O27" i="29" s="1"/>
  <c r="M28" i="29"/>
  <c r="N28" i="29" s="1"/>
  <c r="O28" i="29" s="1"/>
  <c r="M29" i="29"/>
  <c r="N29" i="29"/>
  <c r="O29" i="29" s="1"/>
  <c r="M30" i="29"/>
  <c r="N30" i="29"/>
  <c r="O30" i="29" s="1"/>
  <c r="M31" i="29"/>
  <c r="N31" i="29" s="1"/>
  <c r="O31" i="29" s="1"/>
  <c r="M32" i="29"/>
  <c r="N32" i="29"/>
  <c r="O32" i="29" s="1"/>
  <c r="M33" i="29"/>
  <c r="N33" i="29"/>
  <c r="O33" i="29" s="1"/>
  <c r="M34" i="29"/>
  <c r="N34" i="29" s="1"/>
  <c r="O34" i="29" s="1"/>
  <c r="M35" i="29"/>
  <c r="N35" i="29" s="1"/>
  <c r="O35" i="29" s="1"/>
  <c r="M36" i="29"/>
  <c r="N36" i="29" s="1"/>
  <c r="O36" i="29" s="1"/>
  <c r="M37" i="29"/>
  <c r="N37" i="29"/>
  <c r="O37" i="29" s="1"/>
  <c r="M38" i="29"/>
  <c r="N38" i="29"/>
  <c r="O38" i="29"/>
  <c r="M39" i="29"/>
  <c r="N39" i="29" s="1"/>
  <c r="O39" i="29" s="1"/>
  <c r="M40" i="29"/>
  <c r="N40" i="29"/>
  <c r="O40" i="29" s="1"/>
  <c r="M41" i="29"/>
  <c r="N41" i="29" s="1"/>
  <c r="O41" i="29" s="1"/>
  <c r="M42" i="29"/>
  <c r="N42" i="29"/>
  <c r="O42" i="29"/>
  <c r="M43" i="29"/>
  <c r="N43" i="29" s="1"/>
  <c r="O43" i="29" s="1"/>
  <c r="M44" i="29"/>
  <c r="N44" i="29"/>
  <c r="O44" i="29" s="1"/>
  <c r="M45" i="29"/>
  <c r="N45" i="29" s="1"/>
  <c r="O45" i="29" s="1"/>
  <c r="M46" i="29"/>
  <c r="N46" i="29" s="1"/>
  <c r="O46" i="29"/>
  <c r="M47" i="29"/>
  <c r="N47" i="29" s="1"/>
  <c r="O47" i="29" s="1"/>
  <c r="M48" i="29"/>
  <c r="N48" i="29"/>
  <c r="O48" i="29" s="1"/>
  <c r="M49" i="29"/>
  <c r="N49" i="29"/>
  <c r="O49" i="29" s="1"/>
  <c r="M50" i="29"/>
  <c r="N50" i="29"/>
  <c r="O50" i="29"/>
  <c r="M51" i="29"/>
  <c r="N51" i="29" s="1"/>
  <c r="O51" i="29" s="1"/>
  <c r="M52" i="29"/>
  <c r="N52" i="29"/>
  <c r="O52" i="29" s="1"/>
  <c r="M53" i="29"/>
  <c r="N53" i="29"/>
  <c r="O53" i="29" s="1"/>
  <c r="M54" i="29"/>
  <c r="N54" i="29" s="1"/>
  <c r="O54" i="29" s="1"/>
  <c r="M55" i="29"/>
  <c r="N55" i="29" s="1"/>
  <c r="O55" i="29" s="1"/>
  <c r="M56" i="29"/>
  <c r="N56" i="29" s="1"/>
  <c r="O56" i="29" s="1"/>
  <c r="M57" i="29"/>
  <c r="N57" i="29"/>
  <c r="O57" i="29" s="1"/>
  <c r="M58" i="29"/>
  <c r="N58" i="29" s="1"/>
  <c r="O58" i="29"/>
  <c r="M59" i="29"/>
  <c r="N59" i="29" s="1"/>
  <c r="O59" i="29" s="1"/>
  <c r="M60" i="29"/>
  <c r="N60" i="29"/>
  <c r="O60" i="29" s="1"/>
  <c r="M61" i="29"/>
  <c r="N61" i="29"/>
  <c r="O61" i="29" s="1"/>
  <c r="M62" i="29"/>
  <c r="N62" i="29" s="1"/>
  <c r="O62" i="29" s="1"/>
  <c r="M63" i="29"/>
  <c r="N63" i="29" s="1"/>
  <c r="O63" i="29" s="1"/>
  <c r="M64" i="29"/>
  <c r="N64" i="29"/>
  <c r="O64" i="29" s="1"/>
  <c r="M65" i="29"/>
  <c r="N65" i="29"/>
  <c r="O65" i="29" s="1"/>
  <c r="M66" i="29"/>
  <c r="N66" i="29"/>
  <c r="O66" i="29"/>
  <c r="M67" i="29"/>
  <c r="N67" i="29" s="1"/>
  <c r="O67" i="29" s="1"/>
  <c r="M68" i="29"/>
  <c r="N68" i="29"/>
  <c r="O68" i="29" s="1"/>
  <c r="M69" i="29"/>
  <c r="N69" i="29" s="1"/>
  <c r="O69" i="29" s="1"/>
  <c r="M70" i="29"/>
  <c r="N70" i="29"/>
  <c r="O70" i="29"/>
  <c r="M71" i="29"/>
  <c r="N71" i="29" s="1"/>
  <c r="O71" i="29" s="1"/>
  <c r="M72" i="29"/>
  <c r="N72" i="29" s="1"/>
  <c r="O72" i="29" s="1"/>
  <c r="M73" i="29"/>
  <c r="N73" i="29"/>
  <c r="O73" i="29" s="1"/>
  <c r="M74" i="29"/>
  <c r="N74" i="29"/>
  <c r="O74" i="29"/>
  <c r="M75" i="29"/>
  <c r="N75" i="29" s="1"/>
  <c r="O75" i="29" s="1"/>
  <c r="M76" i="29"/>
  <c r="N76" i="29" s="1"/>
  <c r="O76" i="29" s="1"/>
  <c r="M77" i="29"/>
  <c r="N77" i="29"/>
  <c r="O77" i="29" s="1"/>
  <c r="M78" i="29"/>
  <c r="N78" i="29" s="1"/>
  <c r="O78" i="29"/>
  <c r="M79" i="29"/>
  <c r="N79" i="29" s="1"/>
  <c r="O79" i="29" s="1"/>
  <c r="M80" i="29"/>
  <c r="N80" i="29"/>
  <c r="O80" i="29" s="1"/>
  <c r="M81" i="29"/>
  <c r="N81" i="29"/>
  <c r="O81" i="29" s="1"/>
  <c r="M82" i="29"/>
  <c r="N82" i="29" s="1"/>
  <c r="O82" i="29" s="1"/>
  <c r="M83" i="29"/>
  <c r="N83" i="29" s="1"/>
  <c r="O83" i="29" s="1"/>
  <c r="M84" i="29"/>
  <c r="N84" i="29" s="1"/>
  <c r="O84" i="29" s="1"/>
  <c r="M85" i="29"/>
  <c r="N85" i="29"/>
  <c r="O85" i="29" s="1"/>
  <c r="M86" i="29"/>
  <c r="N86" i="29" s="1"/>
  <c r="O86" i="29" s="1"/>
  <c r="M87" i="29"/>
  <c r="N87" i="29" s="1"/>
  <c r="O87" i="29" s="1"/>
  <c r="M88" i="29"/>
  <c r="N88" i="29"/>
  <c r="O88" i="29" s="1"/>
  <c r="M89" i="29"/>
  <c r="N89" i="29" s="1"/>
  <c r="O89" i="29" s="1"/>
  <c r="M90" i="29"/>
  <c r="N90" i="29"/>
  <c r="O90" i="29" s="1"/>
  <c r="M91" i="29"/>
  <c r="N91" i="29" s="1"/>
  <c r="O91" i="29" s="1"/>
  <c r="M92" i="29"/>
  <c r="N92" i="29" s="1"/>
  <c r="O92" i="29" s="1"/>
  <c r="M93" i="29"/>
  <c r="N93" i="29"/>
  <c r="O93" i="29" s="1"/>
  <c r="M94" i="29"/>
  <c r="N94" i="29"/>
  <c r="O94" i="29"/>
  <c r="M95" i="29"/>
  <c r="N95" i="29" s="1"/>
  <c r="O95" i="29" s="1"/>
  <c r="M96" i="29"/>
  <c r="N96" i="29" s="1"/>
  <c r="O96" i="29" s="1"/>
  <c r="M97" i="29"/>
  <c r="N97" i="29"/>
  <c r="O97" i="29" s="1"/>
  <c r="M98" i="29"/>
  <c r="N98" i="29"/>
  <c r="O98" i="29"/>
  <c r="M99" i="29"/>
  <c r="N99" i="29" s="1"/>
  <c r="O99" i="29" s="1"/>
  <c r="M100" i="29"/>
  <c r="N100" i="29"/>
  <c r="O100" i="29" s="1"/>
  <c r="M101" i="29"/>
  <c r="N101" i="29" s="1"/>
  <c r="O101" i="29" s="1"/>
  <c r="M102" i="29"/>
  <c r="N102" i="29" s="1"/>
  <c r="O102" i="29" s="1"/>
  <c r="M103" i="29"/>
  <c r="N103" i="29" s="1"/>
  <c r="O103" i="29" s="1"/>
  <c r="M104" i="29"/>
  <c r="N104" i="29"/>
  <c r="O104" i="29" s="1"/>
  <c r="M105" i="29"/>
  <c r="N105" i="29"/>
  <c r="O105" i="29" s="1"/>
  <c r="M106" i="29"/>
  <c r="N106" i="29"/>
  <c r="O106" i="29"/>
  <c r="M107" i="29"/>
  <c r="N107" i="29" s="1"/>
  <c r="O107" i="29" s="1"/>
  <c r="M108" i="29"/>
  <c r="N108" i="29"/>
  <c r="O108" i="29" s="1"/>
  <c r="M109" i="29"/>
  <c r="N109" i="29"/>
  <c r="O109" i="29" s="1"/>
  <c r="M110" i="29"/>
  <c r="N110" i="29"/>
  <c r="O110" i="29" s="1"/>
  <c r="M111" i="29"/>
  <c r="N111" i="29" s="1"/>
  <c r="O111" i="29" s="1"/>
  <c r="M112" i="29"/>
  <c r="N112" i="29" s="1"/>
  <c r="O112" i="29" s="1"/>
  <c r="M113" i="29"/>
  <c r="N113" i="29"/>
  <c r="O113" i="29" s="1"/>
  <c r="M114" i="29"/>
  <c r="N114" i="29" s="1"/>
  <c r="O114" i="29" s="1"/>
  <c r="M115" i="29"/>
  <c r="N115" i="29" s="1"/>
  <c r="O115" i="29" s="1"/>
  <c r="M116" i="29"/>
  <c r="N116" i="29"/>
  <c r="O116" i="29" s="1"/>
  <c r="M117" i="29"/>
  <c r="N117" i="29"/>
  <c r="O117" i="29" s="1"/>
  <c r="M118" i="29"/>
  <c r="N118" i="29" s="1"/>
  <c r="O118" i="29" s="1"/>
  <c r="M119" i="29"/>
  <c r="N119" i="29" s="1"/>
  <c r="O119" i="29" s="1"/>
  <c r="M120" i="29"/>
  <c r="N120" i="29"/>
  <c r="O120" i="29" s="1"/>
  <c r="M121" i="29"/>
  <c r="N121" i="29" s="1"/>
  <c r="O121" i="29" s="1"/>
  <c r="M122" i="29"/>
  <c r="N122" i="29" s="1"/>
  <c r="O122" i="29" s="1"/>
  <c r="M123" i="29"/>
  <c r="N123" i="29" s="1"/>
  <c r="O123" i="29" s="1"/>
  <c r="M124" i="29"/>
  <c r="N124" i="29"/>
  <c r="O124" i="29" s="1"/>
  <c r="M125" i="29"/>
  <c r="N125" i="29" s="1"/>
  <c r="O125" i="29" s="1"/>
  <c r="M126" i="29"/>
  <c r="N126" i="29"/>
  <c r="O126" i="29" s="1"/>
  <c r="M127" i="29"/>
  <c r="N127" i="29" s="1"/>
  <c r="O127" i="29" s="1"/>
  <c r="M128" i="29"/>
  <c r="N128" i="29"/>
  <c r="O128" i="29" s="1"/>
  <c r="M129" i="29"/>
  <c r="N129" i="29" s="1"/>
  <c r="O129" i="29" s="1"/>
  <c r="M130" i="29"/>
  <c r="N130" i="29"/>
  <c r="O130" i="29"/>
  <c r="M131" i="29"/>
  <c r="N131" i="29" s="1"/>
  <c r="O131" i="29" s="1"/>
  <c r="M132" i="29"/>
  <c r="N132" i="29" s="1"/>
  <c r="O132" i="29" s="1"/>
  <c r="M133" i="29"/>
  <c r="N133" i="29"/>
  <c r="O133" i="29" s="1"/>
  <c r="M134" i="29"/>
  <c r="N134" i="29" s="1"/>
  <c r="O134" i="29"/>
  <c r="M135" i="29"/>
  <c r="N135" i="29" s="1"/>
  <c r="O135" i="29" s="1"/>
  <c r="M136" i="29"/>
  <c r="N136" i="29"/>
  <c r="O136" i="29" s="1"/>
  <c r="M137" i="29"/>
  <c r="N137" i="29"/>
  <c r="O137" i="29" s="1"/>
  <c r="M138" i="29"/>
  <c r="N138" i="29" s="1"/>
  <c r="O138" i="29" s="1"/>
  <c r="M139" i="29"/>
  <c r="N139" i="29" s="1"/>
  <c r="O139" i="29" s="1"/>
  <c r="M140" i="29"/>
  <c r="N140" i="29"/>
  <c r="O140" i="29" s="1"/>
  <c r="M141" i="29"/>
  <c r="N141" i="29"/>
  <c r="O141" i="29" s="1"/>
  <c r="M142" i="29"/>
  <c r="N142" i="29" s="1"/>
  <c r="O142" i="29" s="1"/>
  <c r="M143" i="29"/>
  <c r="N143" i="29" s="1"/>
  <c r="O143" i="29" s="1"/>
  <c r="M144" i="29"/>
  <c r="N144" i="29"/>
  <c r="O144" i="29" s="1"/>
  <c r="M145" i="29"/>
  <c r="N145" i="29" s="1"/>
  <c r="O145" i="29" s="1"/>
  <c r="M146" i="29"/>
  <c r="N146" i="29"/>
  <c r="O146" i="29"/>
  <c r="M147" i="29"/>
  <c r="N147" i="29" s="1"/>
  <c r="O147" i="29" s="1"/>
  <c r="M148" i="29"/>
  <c r="N148" i="29" s="1"/>
  <c r="O148" i="29" s="1"/>
  <c r="M149" i="29"/>
  <c r="N149" i="29"/>
  <c r="O149" i="29" s="1"/>
  <c r="M150" i="29"/>
  <c r="N150" i="29"/>
  <c r="O150" i="29" s="1"/>
  <c r="M151" i="29"/>
  <c r="N151" i="29" s="1"/>
  <c r="O151" i="29" s="1"/>
  <c r="M152" i="29"/>
  <c r="N152" i="29" s="1"/>
  <c r="O152" i="29" s="1"/>
  <c r="M153" i="29"/>
  <c r="N153" i="29"/>
  <c r="O153" i="29" s="1"/>
  <c r="M154" i="29"/>
  <c r="N154" i="29" s="1"/>
  <c r="O154" i="29" s="1"/>
  <c r="M155" i="29"/>
  <c r="N155" i="29" s="1"/>
  <c r="O155" i="29" s="1"/>
  <c r="M156" i="29"/>
  <c r="N156" i="29"/>
  <c r="O156" i="29" s="1"/>
  <c r="M157" i="29"/>
  <c r="N157" i="29"/>
  <c r="O157" i="29" s="1"/>
  <c r="M158" i="29"/>
  <c r="N158" i="29"/>
  <c r="O158" i="29"/>
  <c r="M159" i="29"/>
  <c r="N159" i="29" s="1"/>
  <c r="O159" i="29" s="1"/>
  <c r="M160" i="29"/>
  <c r="N160" i="29"/>
  <c r="O160" i="29" s="1"/>
  <c r="M161" i="29"/>
  <c r="N161" i="29" s="1"/>
  <c r="O161" i="29" s="1"/>
  <c r="M162" i="29"/>
  <c r="N162" i="29" s="1"/>
  <c r="O162" i="29" s="1"/>
  <c r="M163" i="29"/>
  <c r="N163" i="29" s="1"/>
  <c r="O163" i="29" s="1"/>
  <c r="M164" i="29"/>
  <c r="N164" i="29"/>
  <c r="O164" i="29" s="1"/>
  <c r="M165" i="29"/>
  <c r="N165" i="29" s="1"/>
  <c r="O165" i="29" s="1"/>
  <c r="M166" i="29"/>
  <c r="N166" i="29" s="1"/>
  <c r="O166" i="29" s="1"/>
  <c r="M167" i="29"/>
  <c r="N167" i="29" s="1"/>
  <c r="O167" i="29" s="1"/>
  <c r="M168" i="29"/>
  <c r="N168" i="29"/>
  <c r="O168" i="29" s="1"/>
  <c r="M169" i="29"/>
  <c r="N169" i="29" s="1"/>
  <c r="O169" i="29" s="1"/>
  <c r="M170" i="29"/>
  <c r="N170" i="29"/>
  <c r="O170" i="29"/>
  <c r="M171" i="29"/>
  <c r="N171" i="29" s="1"/>
  <c r="O171" i="29" s="1"/>
  <c r="M172" i="29"/>
  <c r="N172" i="29" s="1"/>
  <c r="O172" i="29" s="1"/>
  <c r="M173" i="29"/>
  <c r="N173" i="29"/>
  <c r="O173" i="29" s="1"/>
  <c r="M174" i="29"/>
  <c r="N174" i="29"/>
  <c r="O174" i="29"/>
  <c r="M175" i="29"/>
  <c r="N175" i="29" s="1"/>
  <c r="O175" i="29" s="1"/>
  <c r="M176" i="29"/>
  <c r="N176" i="29"/>
  <c r="O176" i="29" s="1"/>
  <c r="M177" i="29"/>
  <c r="N177" i="29" s="1"/>
  <c r="O177" i="29" s="1"/>
  <c r="M178" i="29"/>
  <c r="N178" i="29" s="1"/>
  <c r="O178" i="29" s="1"/>
  <c r="M179" i="29"/>
  <c r="N179" i="29" s="1"/>
  <c r="O179" i="29" s="1"/>
  <c r="M180" i="29"/>
  <c r="N180" i="29"/>
  <c r="O180" i="29" s="1"/>
  <c r="M181" i="29"/>
  <c r="N181" i="29"/>
  <c r="O181" i="29" s="1"/>
  <c r="M182" i="29"/>
  <c r="N182" i="29" s="1"/>
  <c r="O182" i="29" s="1"/>
  <c r="M183" i="29"/>
  <c r="N183" i="29" s="1"/>
  <c r="O183" i="29" s="1"/>
  <c r="M184" i="29"/>
  <c r="N184" i="29"/>
  <c r="O184" i="29" s="1"/>
  <c r="M185" i="29"/>
  <c r="N185" i="29"/>
  <c r="O185" i="29" s="1"/>
  <c r="M186" i="29"/>
  <c r="N186" i="29" s="1"/>
  <c r="O186" i="29" s="1"/>
  <c r="M187" i="29"/>
  <c r="N187" i="29" s="1"/>
  <c r="O187" i="29" s="1"/>
  <c r="M188" i="29"/>
  <c r="N188" i="29" s="1"/>
  <c r="O188" i="29" s="1"/>
  <c r="M189" i="29"/>
  <c r="N189" i="29"/>
  <c r="O189" i="29" s="1"/>
  <c r="M190" i="29"/>
  <c r="N190" i="29"/>
  <c r="O190" i="29" s="1"/>
  <c r="M191" i="29"/>
  <c r="N191" i="29" s="1"/>
  <c r="O191" i="29" s="1"/>
  <c r="M192" i="29"/>
  <c r="N192" i="29" s="1"/>
  <c r="O192" i="29" s="1"/>
  <c r="M193" i="29"/>
  <c r="N193" i="29"/>
  <c r="O193" i="29" s="1"/>
  <c r="M194" i="29"/>
  <c r="N194" i="29" s="1"/>
  <c r="O194" i="29" s="1"/>
  <c r="M195" i="29"/>
  <c r="N195" i="29" s="1"/>
  <c r="O195" i="29" s="1"/>
  <c r="M196" i="29"/>
  <c r="N196" i="29"/>
  <c r="O196" i="29" s="1"/>
  <c r="M197" i="29"/>
  <c r="N197" i="29" s="1"/>
  <c r="O197" i="29" s="1"/>
  <c r="M198" i="29"/>
  <c r="N198" i="29"/>
  <c r="O198" i="29" s="1"/>
  <c r="M199" i="29"/>
  <c r="N199" i="29" s="1"/>
  <c r="O199" i="29" s="1"/>
  <c r="M200" i="29"/>
  <c r="N200" i="29"/>
  <c r="O200" i="29" s="1"/>
  <c r="M201" i="29"/>
  <c r="N201" i="29"/>
  <c r="O201" i="29" s="1"/>
  <c r="M202" i="29"/>
  <c r="N202" i="29" s="1"/>
  <c r="O202" i="29" s="1"/>
  <c r="M203" i="29"/>
  <c r="N203" i="29" s="1"/>
  <c r="O203" i="29" s="1"/>
  <c r="M204" i="29"/>
  <c r="N204" i="29" s="1"/>
  <c r="O204" i="29" s="1"/>
  <c r="M205" i="29"/>
  <c r="N205" i="29" s="1"/>
  <c r="O205" i="29" s="1"/>
  <c r="M206" i="29"/>
  <c r="N206" i="29" s="1"/>
  <c r="O206" i="29" s="1"/>
  <c r="M207" i="29"/>
  <c r="N207" i="29" s="1"/>
  <c r="O207" i="29" s="1"/>
  <c r="M208" i="29"/>
  <c r="N208" i="29" s="1"/>
  <c r="O208" i="29" s="1"/>
  <c r="M209" i="29"/>
  <c r="N209" i="29"/>
  <c r="O209" i="29" s="1"/>
  <c r="M210" i="29"/>
  <c r="N210" i="29"/>
  <c r="O210" i="29"/>
  <c r="M211" i="29"/>
  <c r="N211" i="29" s="1"/>
  <c r="O211" i="29" s="1"/>
  <c r="M212" i="29"/>
  <c r="N212" i="29" s="1"/>
  <c r="O212" i="29" s="1"/>
  <c r="M213" i="29"/>
  <c r="N213" i="29"/>
  <c r="O213" i="29" s="1"/>
  <c r="M214" i="29"/>
  <c r="N214" i="29"/>
  <c r="O214" i="29"/>
  <c r="M215" i="29"/>
  <c r="N215" i="29" s="1"/>
  <c r="O215" i="29" s="1"/>
  <c r="M216" i="29"/>
  <c r="N216" i="29"/>
  <c r="O216" i="29" s="1"/>
  <c r="M217" i="29"/>
  <c r="N217" i="29"/>
  <c r="O217" i="29" s="1"/>
  <c r="M218" i="29"/>
  <c r="N218" i="29" s="1"/>
  <c r="O218" i="29" s="1"/>
  <c r="M219" i="29"/>
  <c r="N219" i="29" s="1"/>
  <c r="O219" i="29" s="1"/>
  <c r="M220" i="29"/>
  <c r="N220" i="29"/>
  <c r="O220" i="29" s="1"/>
  <c r="M221" i="29"/>
  <c r="N221" i="29"/>
  <c r="O221" i="29" s="1"/>
  <c r="M222" i="29"/>
  <c r="N222" i="29" s="1"/>
  <c r="O222" i="29" s="1"/>
  <c r="M223" i="29"/>
  <c r="N223" i="29" s="1"/>
  <c r="O223" i="29" s="1"/>
  <c r="M224" i="29"/>
  <c r="N224" i="29"/>
  <c r="O224" i="29" s="1"/>
  <c r="M225" i="29"/>
  <c r="N225" i="29" s="1"/>
  <c r="O225" i="29" s="1"/>
  <c r="M226" i="29"/>
  <c r="N226" i="29"/>
  <c r="O226" i="29" s="1"/>
  <c r="M227" i="29"/>
  <c r="N227" i="29" s="1"/>
  <c r="O227" i="29" s="1"/>
  <c r="M228" i="29"/>
  <c r="N228" i="29"/>
  <c r="O228" i="29" s="1"/>
  <c r="M229" i="29"/>
  <c r="N229" i="29" s="1"/>
  <c r="O229" i="29" s="1"/>
  <c r="M230" i="29"/>
  <c r="N230" i="29"/>
  <c r="O230" i="29"/>
  <c r="M231" i="29"/>
  <c r="N231" i="29" s="1"/>
  <c r="O231" i="29" s="1"/>
  <c r="M232" i="29"/>
  <c r="N232" i="29" s="1"/>
  <c r="O232" i="29" s="1"/>
  <c r="M233" i="29"/>
  <c r="N233" i="29"/>
  <c r="O233" i="29" s="1"/>
  <c r="M234" i="29"/>
  <c r="N234" i="29"/>
  <c r="O234" i="29"/>
  <c r="M235" i="29"/>
  <c r="N235" i="29" s="1"/>
  <c r="O235" i="29" s="1"/>
  <c r="M236" i="29"/>
  <c r="N236" i="29"/>
  <c r="O236" i="29" s="1"/>
  <c r="M237" i="29"/>
  <c r="N237" i="29" s="1"/>
  <c r="O237" i="29" s="1"/>
  <c r="M238" i="29"/>
  <c r="N238" i="29" s="1"/>
  <c r="O238" i="29" s="1"/>
  <c r="M239" i="29"/>
  <c r="N239" i="29" s="1"/>
  <c r="O239" i="29" s="1"/>
  <c r="M240" i="29"/>
  <c r="N240" i="29"/>
  <c r="O240" i="29" s="1"/>
  <c r="M241" i="29"/>
  <c r="N241" i="29" s="1"/>
  <c r="O241" i="29" s="1"/>
  <c r="M242" i="29"/>
  <c r="N242" i="29" s="1"/>
  <c r="O242" i="29" s="1"/>
  <c r="M243" i="29"/>
  <c r="N243" i="29" s="1"/>
  <c r="O243" i="29" s="1"/>
  <c r="M244" i="29"/>
  <c r="N244" i="29"/>
  <c r="O244" i="29" s="1"/>
  <c r="M245" i="29"/>
  <c r="N245" i="29"/>
  <c r="O245" i="29" s="1"/>
  <c r="M246" i="29"/>
  <c r="N246" i="29"/>
  <c r="O246" i="29"/>
  <c r="M247" i="29"/>
  <c r="N247" i="29" s="1"/>
  <c r="O247" i="29" s="1"/>
  <c r="M248" i="29"/>
  <c r="N248" i="29" s="1"/>
  <c r="O248" i="29" s="1"/>
  <c r="M249" i="29"/>
  <c r="N249" i="29" s="1"/>
  <c r="O249" i="29" s="1"/>
  <c r="M250" i="29"/>
  <c r="N250" i="29"/>
  <c r="O250" i="29" s="1"/>
  <c r="M251" i="29"/>
  <c r="N251" i="29" s="1"/>
  <c r="O251" i="29" s="1"/>
  <c r="M252" i="29"/>
  <c r="N252" i="29" s="1"/>
  <c r="O252" i="29" s="1"/>
  <c r="M253" i="29"/>
  <c r="N253" i="29"/>
  <c r="O253" i="29" s="1"/>
  <c r="M254" i="29"/>
  <c r="N254" i="29" s="1"/>
  <c r="O254" i="29" s="1"/>
  <c r="M255" i="29"/>
  <c r="N255" i="29" s="1"/>
  <c r="O255" i="29" s="1"/>
  <c r="M256" i="29"/>
  <c r="N256" i="29"/>
  <c r="O256" i="29" s="1"/>
  <c r="M257" i="29"/>
  <c r="N257" i="29"/>
  <c r="O257" i="29" s="1"/>
  <c r="M258" i="29"/>
  <c r="N258" i="29"/>
  <c r="O258" i="29" s="1"/>
  <c r="M259" i="29"/>
  <c r="N259" i="29" s="1"/>
  <c r="O259" i="29" s="1"/>
  <c r="M260" i="29"/>
  <c r="N260" i="29"/>
  <c r="O260" i="29" s="1"/>
  <c r="M261" i="29"/>
  <c r="N261" i="29" s="1"/>
  <c r="O261" i="29" s="1"/>
  <c r="M262" i="29"/>
  <c r="N262" i="29" s="1"/>
  <c r="O262" i="29" s="1"/>
  <c r="M263" i="29"/>
  <c r="N263" i="29" s="1"/>
  <c r="O263" i="29" s="1"/>
  <c r="M264" i="29"/>
  <c r="N264" i="29" s="1"/>
  <c r="O264" i="29" s="1"/>
  <c r="M265" i="29"/>
  <c r="N265" i="29"/>
  <c r="O265" i="29" s="1"/>
  <c r="M266" i="29"/>
  <c r="N266" i="29"/>
  <c r="O266" i="29" s="1"/>
  <c r="M267" i="29"/>
  <c r="N267" i="29" s="1"/>
  <c r="O267" i="29" s="1"/>
  <c r="M268" i="29"/>
  <c r="N268" i="29" s="1"/>
  <c r="O268" i="29" s="1"/>
  <c r="M269" i="29"/>
  <c r="N269" i="29" s="1"/>
  <c r="O269" i="29" s="1"/>
  <c r="M270" i="29"/>
  <c r="N270" i="29"/>
  <c r="O270" i="29" s="1"/>
  <c r="M271" i="29"/>
  <c r="N271" i="29" s="1"/>
  <c r="O271" i="29" s="1"/>
  <c r="M272" i="29"/>
  <c r="N272" i="29" s="1"/>
  <c r="O272" i="29" s="1"/>
  <c r="M273" i="29"/>
  <c r="N273" i="29"/>
  <c r="O273" i="29" s="1"/>
  <c r="M274" i="29"/>
  <c r="N274" i="29"/>
  <c r="O274" i="29" s="1"/>
  <c r="M275" i="29"/>
  <c r="N275" i="29" s="1"/>
  <c r="O275" i="29" s="1"/>
  <c r="M276" i="29"/>
  <c r="N276" i="29"/>
  <c r="O276" i="29" s="1"/>
  <c r="M277" i="29"/>
  <c r="N277" i="29"/>
  <c r="O277" i="29" s="1"/>
  <c r="M278" i="29"/>
  <c r="N278" i="29"/>
  <c r="O278" i="29" s="1"/>
  <c r="M279" i="29"/>
  <c r="N279" i="29" s="1"/>
  <c r="O279" i="29" s="1"/>
  <c r="M280" i="29"/>
  <c r="N280" i="29"/>
  <c r="O280" i="29" s="1"/>
  <c r="M281" i="29"/>
  <c r="N281" i="29" s="1"/>
  <c r="O281" i="29" s="1"/>
  <c r="M282" i="29"/>
  <c r="N282" i="29" s="1"/>
  <c r="O282" i="29" s="1"/>
  <c r="M283" i="29"/>
  <c r="N283" i="29" s="1"/>
  <c r="O283" i="29" s="1"/>
  <c r="M284" i="29"/>
  <c r="N284" i="29" s="1"/>
  <c r="O284" i="29" s="1"/>
  <c r="M285" i="29"/>
  <c r="N285" i="29"/>
  <c r="O285" i="29" s="1"/>
  <c r="M286" i="29"/>
  <c r="N286" i="29"/>
  <c r="O286" i="29"/>
  <c r="M287" i="29"/>
  <c r="N287" i="29" s="1"/>
  <c r="O287" i="29" s="1"/>
  <c r="M288" i="29"/>
  <c r="N288" i="29"/>
  <c r="O288" i="29" s="1"/>
  <c r="M289" i="29"/>
  <c r="N289" i="29"/>
  <c r="O289" i="29" s="1"/>
  <c r="M290" i="29"/>
  <c r="N290" i="29"/>
  <c r="O290" i="29" s="1"/>
  <c r="M291" i="29"/>
  <c r="N291" i="29" s="1"/>
  <c r="O291" i="29" s="1"/>
  <c r="M292" i="29"/>
  <c r="N292" i="29" s="1"/>
  <c r="O292" i="29" s="1"/>
  <c r="M293" i="29"/>
  <c r="N293" i="29"/>
  <c r="O293" i="29" s="1"/>
  <c r="M294" i="29"/>
  <c r="N294" i="29" s="1"/>
  <c r="O294" i="29" s="1"/>
  <c r="M295" i="29"/>
  <c r="N295" i="29" s="1"/>
  <c r="O295" i="29" s="1"/>
  <c r="M296" i="29"/>
  <c r="N296" i="29" s="1"/>
  <c r="O296" i="29" s="1"/>
  <c r="M297" i="29"/>
  <c r="N297" i="29"/>
  <c r="O297" i="29" s="1"/>
  <c r="M298" i="29"/>
  <c r="N298" i="29"/>
  <c r="O298" i="29"/>
  <c r="M299" i="29"/>
  <c r="N299" i="29" s="1"/>
  <c r="O299" i="29" s="1"/>
  <c r="M300" i="29"/>
  <c r="N300" i="29"/>
  <c r="O300" i="29" s="1"/>
  <c r="M301" i="29"/>
  <c r="N301" i="29"/>
  <c r="O301" i="29" s="1"/>
  <c r="M302" i="29"/>
  <c r="N302" i="29" s="1"/>
  <c r="O302" i="29" s="1"/>
  <c r="M303" i="29"/>
  <c r="N303" i="29" s="1"/>
  <c r="O303" i="29" s="1"/>
  <c r="M304" i="29"/>
  <c r="N304" i="29"/>
  <c r="O304" i="29" s="1"/>
  <c r="M305" i="29"/>
  <c r="N305" i="29"/>
  <c r="O305" i="29" s="1"/>
  <c r="M306" i="29"/>
  <c r="N306" i="29"/>
  <c r="O306" i="29"/>
  <c r="M307" i="29"/>
  <c r="N307" i="29" s="1"/>
  <c r="O307" i="29" s="1"/>
  <c r="M308" i="29"/>
  <c r="N308" i="29"/>
  <c r="O308" i="29" s="1"/>
  <c r="M309" i="29"/>
  <c r="N309" i="29"/>
  <c r="O309" i="29" s="1"/>
  <c r="M310" i="29"/>
  <c r="N310" i="29"/>
  <c r="O310" i="29"/>
  <c r="M311" i="29"/>
  <c r="N311" i="29" s="1"/>
  <c r="O311" i="29" s="1"/>
  <c r="M312" i="29"/>
  <c r="N312" i="29" s="1"/>
  <c r="O312" i="29" s="1"/>
  <c r="M313" i="29"/>
  <c r="N313" i="29"/>
  <c r="O313" i="29" s="1"/>
  <c r="M314" i="29"/>
  <c r="N314" i="29" s="1"/>
  <c r="O314" i="29" s="1"/>
  <c r="M315" i="29"/>
  <c r="N315" i="29" s="1"/>
  <c r="O315" i="29" s="1"/>
  <c r="M316" i="29"/>
  <c r="N316" i="29" s="1"/>
  <c r="O316" i="29" s="1"/>
  <c r="M317" i="29"/>
  <c r="N317" i="29"/>
  <c r="O317" i="29" s="1"/>
  <c r="M318" i="29"/>
  <c r="N318" i="29"/>
  <c r="O318" i="29"/>
  <c r="M319" i="29"/>
  <c r="N319" i="29" s="1"/>
  <c r="O319" i="29" s="1"/>
  <c r="M320" i="29"/>
  <c r="N320" i="29"/>
  <c r="O320" i="29" s="1"/>
  <c r="M321" i="29"/>
  <c r="N321" i="29"/>
  <c r="O321" i="29" s="1"/>
  <c r="M322" i="29"/>
  <c r="N322" i="29" s="1"/>
  <c r="O322" i="29" s="1"/>
  <c r="M323" i="29"/>
  <c r="N323" i="29" s="1"/>
  <c r="O323" i="29" s="1"/>
  <c r="M324" i="29"/>
  <c r="N324" i="29" s="1"/>
  <c r="O324" i="29" s="1"/>
  <c r="M325" i="29"/>
  <c r="N325" i="29" s="1"/>
  <c r="O325" i="29" s="1"/>
  <c r="M326" i="29"/>
  <c r="N326" i="29"/>
  <c r="O326" i="29" s="1"/>
  <c r="M327" i="29"/>
  <c r="N327" i="29" s="1"/>
  <c r="O327" i="29" s="1"/>
  <c r="M328" i="29"/>
  <c r="N328" i="29" s="1"/>
  <c r="O328" i="29" s="1"/>
  <c r="M329" i="29"/>
  <c r="N329" i="29"/>
  <c r="O329" i="29" s="1"/>
  <c r="M330" i="29"/>
  <c r="N330" i="29"/>
  <c r="O330" i="29"/>
  <c r="M331" i="29"/>
  <c r="N331" i="29" s="1"/>
  <c r="O331" i="29" s="1"/>
  <c r="M332" i="29"/>
  <c r="N332" i="29" s="1"/>
  <c r="O332" i="29" s="1"/>
  <c r="M333" i="29"/>
  <c r="N333" i="29"/>
  <c r="O333" i="29" s="1"/>
  <c r="M334" i="29"/>
  <c r="N334" i="29"/>
  <c r="O334" i="29" s="1"/>
  <c r="M335" i="29"/>
  <c r="N335" i="29" s="1"/>
  <c r="O335" i="29" s="1"/>
  <c r="M336" i="29"/>
  <c r="N336" i="29"/>
  <c r="O336" i="29" s="1"/>
  <c r="M337" i="29"/>
  <c r="N337" i="29" s="1"/>
  <c r="O337" i="29" s="1"/>
  <c r="M338" i="29"/>
  <c r="N338" i="29"/>
  <c r="O338" i="29"/>
  <c r="M339" i="29"/>
  <c r="N339" i="29" s="1"/>
  <c r="O339" i="29" s="1"/>
  <c r="M340" i="29"/>
  <c r="N340" i="29"/>
  <c r="O340" i="29" s="1"/>
  <c r="M341" i="29"/>
  <c r="N341" i="29" s="1"/>
  <c r="O341" i="29" s="1"/>
  <c r="M342" i="29"/>
  <c r="N342" i="29" s="1"/>
  <c r="O342" i="29" s="1"/>
  <c r="M343" i="29"/>
  <c r="N343" i="29" s="1"/>
  <c r="O343" i="29" s="1"/>
  <c r="M344" i="29"/>
  <c r="N344" i="29"/>
  <c r="O344" i="29" s="1"/>
  <c r="M345" i="29"/>
  <c r="N345" i="29"/>
  <c r="O345" i="29" s="1"/>
  <c r="M346" i="29"/>
  <c r="N346" i="29"/>
  <c r="O346" i="29" s="1"/>
  <c r="M347" i="29"/>
  <c r="N347" i="29" s="1"/>
  <c r="O347" i="29" s="1"/>
  <c r="M348" i="29"/>
  <c r="N348" i="29" s="1"/>
  <c r="O348" i="29" s="1"/>
  <c r="M349" i="29"/>
  <c r="N349" i="29"/>
  <c r="O349" i="29" s="1"/>
  <c r="M350" i="29"/>
  <c r="N350" i="29"/>
  <c r="O350" i="29"/>
  <c r="M351" i="29"/>
  <c r="N351" i="29" s="1"/>
  <c r="O351" i="29" s="1"/>
  <c r="M352" i="29"/>
  <c r="N352" i="29" s="1"/>
  <c r="O352" i="29" s="1"/>
  <c r="M353" i="29"/>
  <c r="N353" i="29"/>
  <c r="O353" i="29" s="1"/>
  <c r="M354" i="29"/>
  <c r="N354" i="29" s="1"/>
  <c r="O354" i="29" s="1"/>
  <c r="M355" i="29"/>
  <c r="N355" i="29" s="1"/>
  <c r="O355" i="29" s="1"/>
  <c r="M356" i="29"/>
  <c r="N356" i="29" s="1"/>
  <c r="O356" i="29" s="1"/>
  <c r="M357" i="29"/>
  <c r="N357" i="29" s="1"/>
  <c r="O357" i="29" s="1"/>
  <c r="M358" i="29"/>
  <c r="N358" i="29"/>
  <c r="O358" i="29" s="1"/>
  <c r="M359" i="29"/>
  <c r="N359" i="29" s="1"/>
  <c r="O359" i="29" s="1"/>
  <c r="M360" i="29"/>
  <c r="N360" i="29"/>
  <c r="O360" i="29" s="1"/>
  <c r="M361" i="29"/>
  <c r="N361" i="29"/>
  <c r="O361" i="29" s="1"/>
  <c r="M362" i="29"/>
  <c r="N362" i="29" s="1"/>
  <c r="O362" i="29" s="1"/>
  <c r="M363" i="29"/>
  <c r="N363" i="29" s="1"/>
  <c r="O363" i="29" s="1"/>
  <c r="M364" i="29"/>
  <c r="N364" i="29" s="1"/>
  <c r="O364" i="29" s="1"/>
  <c r="M365" i="29"/>
  <c r="N365" i="29"/>
  <c r="O365" i="29" s="1"/>
  <c r="M366" i="29"/>
  <c r="N366" i="29"/>
  <c r="O366" i="29" s="1"/>
  <c r="M367" i="29"/>
  <c r="N367" i="29" s="1"/>
  <c r="O367" i="29" s="1"/>
  <c r="M368" i="29"/>
  <c r="N368" i="29" s="1"/>
  <c r="O368" i="29" s="1"/>
  <c r="M369" i="29"/>
  <c r="N369" i="29"/>
  <c r="O369" i="29" s="1"/>
  <c r="M370" i="29"/>
  <c r="N370" i="29"/>
  <c r="O370" i="29"/>
  <c r="M371" i="29"/>
  <c r="N371" i="29" s="1"/>
  <c r="O371" i="29" s="1"/>
  <c r="M372" i="29"/>
  <c r="N372" i="29" s="1"/>
  <c r="O372" i="29" s="1"/>
  <c r="M373" i="29"/>
  <c r="N373" i="29"/>
  <c r="O373" i="29" s="1"/>
  <c r="M374" i="29"/>
  <c r="N374" i="29"/>
  <c r="O374" i="29"/>
  <c r="M375" i="29"/>
  <c r="N375" i="29" s="1"/>
  <c r="O375" i="29" s="1"/>
  <c r="M376" i="29"/>
  <c r="N376" i="29"/>
  <c r="O376" i="29" s="1"/>
  <c r="M377" i="29"/>
  <c r="N377" i="29" s="1"/>
  <c r="O377" i="29" s="1"/>
  <c r="M378" i="29"/>
  <c r="N378" i="29"/>
  <c r="O378" i="29" s="1"/>
  <c r="M379" i="29"/>
  <c r="N379" i="29" s="1"/>
  <c r="O379" i="29" s="1"/>
  <c r="M380" i="29"/>
  <c r="N380" i="29"/>
  <c r="O380" i="29" s="1"/>
  <c r="M381" i="29"/>
  <c r="N381" i="29"/>
  <c r="O381" i="29" s="1"/>
  <c r="M382" i="29"/>
  <c r="N382" i="29" s="1"/>
  <c r="O382" i="29" s="1"/>
  <c r="M383" i="29"/>
  <c r="N383" i="29" s="1"/>
  <c r="O383" i="29" s="1"/>
  <c r="M384" i="29"/>
  <c r="N384" i="29"/>
  <c r="O384" i="29" s="1"/>
  <c r="M385" i="29"/>
  <c r="N385" i="29"/>
  <c r="O385" i="29" s="1"/>
  <c r="M386" i="29"/>
  <c r="N386" i="29"/>
  <c r="O386" i="29" s="1"/>
  <c r="M387" i="29"/>
  <c r="N387" i="29" s="1"/>
  <c r="O387" i="29" s="1"/>
  <c r="M388" i="29"/>
  <c r="N388" i="29"/>
  <c r="O388" i="29" s="1"/>
  <c r="M389" i="29"/>
  <c r="N389" i="29"/>
  <c r="O389" i="29" s="1"/>
  <c r="M390" i="29"/>
  <c r="N390" i="29"/>
  <c r="O390" i="29"/>
  <c r="M391" i="29"/>
  <c r="N391" i="29" s="1"/>
  <c r="O391" i="29" s="1"/>
  <c r="M392" i="29"/>
  <c r="N392" i="29" s="1"/>
  <c r="O392" i="29" s="1"/>
  <c r="M393" i="29"/>
  <c r="N393" i="29"/>
  <c r="O393" i="29" s="1"/>
  <c r="M394" i="29"/>
  <c r="N394" i="29"/>
  <c r="O394" i="29"/>
  <c r="M395" i="29"/>
  <c r="N395" i="29" s="1"/>
  <c r="O395" i="29" s="1"/>
  <c r="M396" i="29"/>
  <c r="N396" i="29"/>
  <c r="O396" i="29" s="1"/>
  <c r="M397" i="29"/>
  <c r="N397" i="29" s="1"/>
  <c r="O397" i="29" s="1"/>
  <c r="M398" i="29"/>
  <c r="N398" i="29"/>
  <c r="O398" i="29"/>
  <c r="M399" i="29"/>
  <c r="N399" i="29" s="1"/>
  <c r="O399" i="29" s="1"/>
  <c r="M400" i="29"/>
  <c r="N400" i="29"/>
  <c r="O400" i="29" s="1"/>
  <c r="M401" i="29"/>
  <c r="N401" i="29"/>
  <c r="O401" i="29" s="1"/>
  <c r="M402" i="29"/>
  <c r="N402" i="29" s="1"/>
  <c r="O402" i="29" s="1"/>
  <c r="M403" i="29"/>
  <c r="N403" i="29" s="1"/>
  <c r="O403" i="29" s="1"/>
  <c r="M404" i="29"/>
  <c r="N404" i="29"/>
  <c r="O404" i="29" s="1"/>
  <c r="M405" i="29"/>
  <c r="N405" i="29"/>
  <c r="O405" i="29" s="1"/>
  <c r="M406" i="29"/>
  <c r="N406" i="29"/>
  <c r="O406" i="29"/>
  <c r="M407" i="29"/>
  <c r="N407" i="29" s="1"/>
  <c r="O407" i="29" s="1"/>
  <c r="M408" i="29"/>
  <c r="N408" i="29" s="1"/>
  <c r="O408" i="29" s="1"/>
  <c r="M409" i="29"/>
  <c r="N409" i="29"/>
  <c r="O409" i="29" s="1"/>
  <c r="Q7" i="29"/>
  <c r="R7" i="29"/>
  <c r="S7" i="29"/>
  <c r="T7" i="29"/>
  <c r="Q8" i="29"/>
  <c r="R8" i="29"/>
  <c r="S8" i="29"/>
  <c r="T8" i="29"/>
  <c r="Q9" i="29"/>
  <c r="R9" i="29"/>
  <c r="S9" i="29"/>
  <c r="T9" i="29"/>
  <c r="Q10" i="29"/>
  <c r="R10" i="29"/>
  <c r="S10" i="29"/>
  <c r="S410" i="29" s="1"/>
  <c r="C411" i="29" s="1"/>
  <c r="T10" i="29"/>
  <c r="Q11" i="29"/>
  <c r="R11" i="29"/>
  <c r="S11" i="29"/>
  <c r="T11" i="29"/>
  <c r="Q12" i="29"/>
  <c r="R12" i="29"/>
  <c r="S12" i="29"/>
  <c r="T12" i="29"/>
  <c r="Q13" i="29"/>
  <c r="R13" i="29"/>
  <c r="S13" i="29"/>
  <c r="T13" i="29"/>
  <c r="Q14" i="29"/>
  <c r="R14" i="29"/>
  <c r="S14" i="29"/>
  <c r="T14" i="29"/>
  <c r="Q15" i="29"/>
  <c r="R15" i="29"/>
  <c r="S15" i="29"/>
  <c r="T15" i="29"/>
  <c r="Q16" i="29"/>
  <c r="R16" i="29"/>
  <c r="S16" i="29"/>
  <c r="T16" i="29"/>
  <c r="Q17" i="29"/>
  <c r="R17" i="29"/>
  <c r="S17" i="29"/>
  <c r="T17" i="29"/>
  <c r="Q18" i="29"/>
  <c r="R18" i="29"/>
  <c r="S18" i="29"/>
  <c r="T18" i="29"/>
  <c r="Q19" i="29"/>
  <c r="R19" i="29"/>
  <c r="S19" i="29"/>
  <c r="T19" i="29"/>
  <c r="Q20" i="29"/>
  <c r="R20" i="29"/>
  <c r="S20" i="29"/>
  <c r="T20" i="29"/>
  <c r="Q21" i="29"/>
  <c r="R21" i="29"/>
  <c r="S21" i="29"/>
  <c r="T21" i="29"/>
  <c r="Q22" i="29"/>
  <c r="R22" i="29"/>
  <c r="S22" i="29"/>
  <c r="T22" i="29"/>
  <c r="Q23" i="29"/>
  <c r="R23" i="29"/>
  <c r="S23" i="29"/>
  <c r="T23" i="29"/>
  <c r="Q24" i="29"/>
  <c r="R24" i="29"/>
  <c r="S24" i="29"/>
  <c r="T24" i="29"/>
  <c r="Q25" i="29"/>
  <c r="R25" i="29"/>
  <c r="S25" i="29"/>
  <c r="T25" i="29"/>
  <c r="Q26" i="29"/>
  <c r="R26" i="29"/>
  <c r="S26" i="29"/>
  <c r="T26" i="29"/>
  <c r="Q27" i="29"/>
  <c r="R27" i="29"/>
  <c r="S27" i="29"/>
  <c r="T27" i="29"/>
  <c r="Q28" i="29"/>
  <c r="R28" i="29"/>
  <c r="S28" i="29"/>
  <c r="T28" i="29"/>
  <c r="Q29" i="29"/>
  <c r="R29" i="29"/>
  <c r="S29" i="29"/>
  <c r="T29" i="29"/>
  <c r="Q30" i="29"/>
  <c r="R30" i="29"/>
  <c r="S30" i="29"/>
  <c r="T30" i="29"/>
  <c r="Q31" i="29"/>
  <c r="R31" i="29"/>
  <c r="S31" i="29"/>
  <c r="T31" i="29"/>
  <c r="Q32" i="29"/>
  <c r="R32" i="29"/>
  <c r="S32" i="29"/>
  <c r="T32" i="29"/>
  <c r="Q33" i="29"/>
  <c r="R33" i="29"/>
  <c r="S33" i="29"/>
  <c r="T33" i="29"/>
  <c r="Q34" i="29"/>
  <c r="R34" i="29"/>
  <c r="S34" i="29"/>
  <c r="T34" i="29"/>
  <c r="Q35" i="29"/>
  <c r="R35" i="29"/>
  <c r="S35" i="29"/>
  <c r="T35" i="29"/>
  <c r="Q36" i="29"/>
  <c r="R36" i="29"/>
  <c r="S36" i="29"/>
  <c r="T36" i="29"/>
  <c r="Q37" i="29"/>
  <c r="R37" i="29"/>
  <c r="S37" i="29"/>
  <c r="T37" i="29"/>
  <c r="Q38" i="29"/>
  <c r="R38" i="29"/>
  <c r="S38" i="29"/>
  <c r="T38" i="29"/>
  <c r="Q39" i="29"/>
  <c r="R39" i="29"/>
  <c r="S39" i="29"/>
  <c r="T39" i="29"/>
  <c r="Q40" i="29"/>
  <c r="R40" i="29"/>
  <c r="S40" i="29"/>
  <c r="T40" i="29"/>
  <c r="Q41" i="29"/>
  <c r="R41" i="29"/>
  <c r="S41" i="29"/>
  <c r="T41" i="29"/>
  <c r="Q42" i="29"/>
  <c r="R42" i="29"/>
  <c r="S42" i="29"/>
  <c r="T42" i="29"/>
  <c r="Q43" i="29"/>
  <c r="R43" i="29"/>
  <c r="S43" i="29"/>
  <c r="T43" i="29"/>
  <c r="Q44" i="29"/>
  <c r="R44" i="29"/>
  <c r="S44" i="29"/>
  <c r="T44" i="29"/>
  <c r="Q45" i="29"/>
  <c r="R45" i="29"/>
  <c r="S45" i="29"/>
  <c r="T45" i="29"/>
  <c r="Q46" i="29"/>
  <c r="R46" i="29"/>
  <c r="S46" i="29"/>
  <c r="T46" i="29"/>
  <c r="Q47" i="29"/>
  <c r="R47" i="29"/>
  <c r="S47" i="29"/>
  <c r="T47" i="29"/>
  <c r="Q48" i="29"/>
  <c r="R48" i="29"/>
  <c r="S48" i="29"/>
  <c r="T48" i="29"/>
  <c r="Q49" i="29"/>
  <c r="R49" i="29"/>
  <c r="S49" i="29"/>
  <c r="T49" i="29"/>
  <c r="Q50" i="29"/>
  <c r="R50" i="29"/>
  <c r="S50" i="29"/>
  <c r="T50" i="29"/>
  <c r="Q51" i="29"/>
  <c r="R51" i="29"/>
  <c r="S51" i="29"/>
  <c r="T51" i="29"/>
  <c r="Q52" i="29"/>
  <c r="R52" i="29"/>
  <c r="S52" i="29"/>
  <c r="T52" i="29"/>
  <c r="Q53" i="29"/>
  <c r="R53" i="29"/>
  <c r="S53" i="29"/>
  <c r="T53" i="29"/>
  <c r="Q54" i="29"/>
  <c r="R54" i="29"/>
  <c r="S54" i="29"/>
  <c r="T54" i="29"/>
  <c r="Q55" i="29"/>
  <c r="R55" i="29"/>
  <c r="S55" i="29"/>
  <c r="T55" i="29"/>
  <c r="Q56" i="29"/>
  <c r="R56" i="29"/>
  <c r="S56" i="29"/>
  <c r="T56" i="29"/>
  <c r="Q57" i="29"/>
  <c r="R57" i="29"/>
  <c r="S57" i="29"/>
  <c r="T57" i="29"/>
  <c r="Q58" i="29"/>
  <c r="R58" i="29"/>
  <c r="S58" i="29"/>
  <c r="T58" i="29"/>
  <c r="Q59" i="29"/>
  <c r="R59" i="29"/>
  <c r="S59" i="29"/>
  <c r="T59" i="29"/>
  <c r="Q60" i="29"/>
  <c r="R60" i="29"/>
  <c r="S60" i="29"/>
  <c r="T60" i="29"/>
  <c r="Q61" i="29"/>
  <c r="R61" i="29"/>
  <c r="S61" i="29"/>
  <c r="T61" i="29"/>
  <c r="Q62" i="29"/>
  <c r="R62" i="29"/>
  <c r="S62" i="29"/>
  <c r="T62" i="29"/>
  <c r="Q63" i="29"/>
  <c r="R63" i="29"/>
  <c r="S63" i="29"/>
  <c r="T63" i="29"/>
  <c r="Q64" i="29"/>
  <c r="R64" i="29"/>
  <c r="S64" i="29"/>
  <c r="T64" i="29"/>
  <c r="Q65" i="29"/>
  <c r="R65" i="29"/>
  <c r="S65" i="29"/>
  <c r="T65" i="29"/>
  <c r="Q66" i="29"/>
  <c r="R66" i="29"/>
  <c r="S66" i="29"/>
  <c r="T66" i="29"/>
  <c r="Q67" i="29"/>
  <c r="R67" i="29"/>
  <c r="S67" i="29"/>
  <c r="T67" i="29"/>
  <c r="Q68" i="29"/>
  <c r="R68" i="29"/>
  <c r="S68" i="29"/>
  <c r="T68" i="29"/>
  <c r="Q69" i="29"/>
  <c r="R69" i="29"/>
  <c r="S69" i="29"/>
  <c r="T69" i="29"/>
  <c r="Q70" i="29"/>
  <c r="R70" i="29"/>
  <c r="S70" i="29"/>
  <c r="T70" i="29"/>
  <c r="Q71" i="29"/>
  <c r="R71" i="29"/>
  <c r="S71" i="29"/>
  <c r="T71" i="29"/>
  <c r="Q72" i="29"/>
  <c r="R72" i="29"/>
  <c r="S72" i="29"/>
  <c r="T72" i="29"/>
  <c r="Q73" i="29"/>
  <c r="R73" i="29"/>
  <c r="S73" i="29"/>
  <c r="T73" i="29"/>
  <c r="Q74" i="29"/>
  <c r="R74" i="29"/>
  <c r="S74" i="29"/>
  <c r="T74" i="29"/>
  <c r="Q75" i="29"/>
  <c r="R75" i="29"/>
  <c r="S75" i="29"/>
  <c r="T75" i="29"/>
  <c r="Q76" i="29"/>
  <c r="R76" i="29"/>
  <c r="S76" i="29"/>
  <c r="T76" i="29"/>
  <c r="Q77" i="29"/>
  <c r="R77" i="29"/>
  <c r="S77" i="29"/>
  <c r="T77" i="29"/>
  <c r="Q78" i="29"/>
  <c r="R78" i="29"/>
  <c r="S78" i="29"/>
  <c r="T78" i="29"/>
  <c r="Q79" i="29"/>
  <c r="R79" i="29"/>
  <c r="S79" i="29"/>
  <c r="T79" i="29"/>
  <c r="Q80" i="29"/>
  <c r="R80" i="29"/>
  <c r="S80" i="29"/>
  <c r="T80" i="29"/>
  <c r="Q81" i="29"/>
  <c r="R81" i="29"/>
  <c r="S81" i="29"/>
  <c r="T81" i="29"/>
  <c r="Q82" i="29"/>
  <c r="R82" i="29"/>
  <c r="S82" i="29"/>
  <c r="T82" i="29"/>
  <c r="Q83" i="29"/>
  <c r="R83" i="29"/>
  <c r="S83" i="29"/>
  <c r="T83" i="29"/>
  <c r="Q84" i="29"/>
  <c r="R84" i="29"/>
  <c r="S84" i="29"/>
  <c r="T84" i="29"/>
  <c r="Q85" i="29"/>
  <c r="R85" i="29"/>
  <c r="S85" i="29"/>
  <c r="T85" i="29"/>
  <c r="Q86" i="29"/>
  <c r="R86" i="29"/>
  <c r="S86" i="29"/>
  <c r="T86" i="29"/>
  <c r="Q87" i="29"/>
  <c r="R87" i="29"/>
  <c r="S87" i="29"/>
  <c r="T87" i="29"/>
  <c r="Q88" i="29"/>
  <c r="R88" i="29"/>
  <c r="S88" i="29"/>
  <c r="T88" i="29"/>
  <c r="Q89" i="29"/>
  <c r="R89" i="29"/>
  <c r="S89" i="29"/>
  <c r="T89" i="29"/>
  <c r="Q90" i="29"/>
  <c r="R90" i="29"/>
  <c r="S90" i="29"/>
  <c r="T90" i="29"/>
  <c r="Q91" i="29"/>
  <c r="R91" i="29"/>
  <c r="S91" i="29"/>
  <c r="T91" i="29"/>
  <c r="Q92" i="29"/>
  <c r="R92" i="29"/>
  <c r="S92" i="29"/>
  <c r="T92" i="29"/>
  <c r="Q93" i="29"/>
  <c r="R93" i="29"/>
  <c r="S93" i="29"/>
  <c r="T93" i="29"/>
  <c r="Q94" i="29"/>
  <c r="R94" i="29"/>
  <c r="S94" i="29"/>
  <c r="T94" i="29"/>
  <c r="Q95" i="29"/>
  <c r="R95" i="29"/>
  <c r="S95" i="29"/>
  <c r="T95" i="29"/>
  <c r="Q96" i="29"/>
  <c r="R96" i="29"/>
  <c r="S96" i="29"/>
  <c r="T96" i="29"/>
  <c r="Q97" i="29"/>
  <c r="R97" i="29"/>
  <c r="S97" i="29"/>
  <c r="T97" i="29"/>
  <c r="Q98" i="29"/>
  <c r="R98" i="29"/>
  <c r="S98" i="29"/>
  <c r="T98" i="29"/>
  <c r="Q99" i="29"/>
  <c r="R99" i="29"/>
  <c r="S99" i="29"/>
  <c r="T99" i="29"/>
  <c r="Q100" i="29"/>
  <c r="R100" i="29"/>
  <c r="S100" i="29"/>
  <c r="T100" i="29"/>
  <c r="Q101" i="29"/>
  <c r="R101" i="29"/>
  <c r="S101" i="29"/>
  <c r="T101" i="29"/>
  <c r="Q102" i="29"/>
  <c r="R102" i="29"/>
  <c r="S102" i="29"/>
  <c r="T102" i="29"/>
  <c r="Q103" i="29"/>
  <c r="R103" i="29"/>
  <c r="S103" i="29"/>
  <c r="T103" i="29"/>
  <c r="Q104" i="29"/>
  <c r="R104" i="29"/>
  <c r="S104" i="29"/>
  <c r="T104" i="29"/>
  <c r="Q105" i="29"/>
  <c r="R105" i="29"/>
  <c r="S105" i="29"/>
  <c r="T105" i="29"/>
  <c r="Q106" i="29"/>
  <c r="R106" i="29"/>
  <c r="S106" i="29"/>
  <c r="T106" i="29"/>
  <c r="Q107" i="29"/>
  <c r="R107" i="29"/>
  <c r="S107" i="29"/>
  <c r="T107" i="29"/>
  <c r="Q108" i="29"/>
  <c r="R108" i="29"/>
  <c r="S108" i="29"/>
  <c r="T108" i="29"/>
  <c r="Q109" i="29"/>
  <c r="R109" i="29"/>
  <c r="S109" i="29"/>
  <c r="T109" i="29"/>
  <c r="Q110" i="29"/>
  <c r="R110" i="29"/>
  <c r="S110" i="29"/>
  <c r="T110" i="29"/>
  <c r="Q111" i="29"/>
  <c r="R111" i="29"/>
  <c r="S111" i="29"/>
  <c r="T111" i="29"/>
  <c r="Q112" i="29"/>
  <c r="R112" i="29"/>
  <c r="S112" i="29"/>
  <c r="T112" i="29"/>
  <c r="Q113" i="29"/>
  <c r="R113" i="29"/>
  <c r="S113" i="29"/>
  <c r="T113" i="29"/>
  <c r="Q114" i="29"/>
  <c r="R114" i="29"/>
  <c r="S114" i="29"/>
  <c r="T114" i="29"/>
  <c r="Q115" i="29"/>
  <c r="R115" i="29"/>
  <c r="S115" i="29"/>
  <c r="T115" i="29"/>
  <c r="Q116" i="29"/>
  <c r="R116" i="29"/>
  <c r="S116" i="29"/>
  <c r="T116" i="29"/>
  <c r="Q117" i="29"/>
  <c r="R117" i="29"/>
  <c r="S117" i="29"/>
  <c r="T117" i="29"/>
  <c r="Q118" i="29"/>
  <c r="R118" i="29"/>
  <c r="S118" i="29"/>
  <c r="T118" i="29"/>
  <c r="Q119" i="29"/>
  <c r="R119" i="29"/>
  <c r="S119" i="29"/>
  <c r="T119" i="29"/>
  <c r="Q120" i="29"/>
  <c r="R120" i="29"/>
  <c r="S120" i="29"/>
  <c r="T120" i="29"/>
  <c r="Q121" i="29"/>
  <c r="R121" i="29"/>
  <c r="S121" i="29"/>
  <c r="T121" i="29"/>
  <c r="Q122" i="29"/>
  <c r="R122" i="29"/>
  <c r="S122" i="29"/>
  <c r="T122" i="29"/>
  <c r="Q123" i="29"/>
  <c r="R123" i="29"/>
  <c r="S123" i="29"/>
  <c r="T123" i="29"/>
  <c r="Q124" i="29"/>
  <c r="R124" i="29"/>
  <c r="S124" i="29"/>
  <c r="T124" i="29"/>
  <c r="Q125" i="29"/>
  <c r="R125" i="29"/>
  <c r="S125" i="29"/>
  <c r="T125" i="29"/>
  <c r="Q126" i="29"/>
  <c r="R126" i="29"/>
  <c r="S126" i="29"/>
  <c r="T126" i="29"/>
  <c r="Q127" i="29"/>
  <c r="R127" i="29"/>
  <c r="S127" i="29"/>
  <c r="T127" i="29"/>
  <c r="Q128" i="29"/>
  <c r="R128" i="29"/>
  <c r="S128" i="29"/>
  <c r="T128" i="29"/>
  <c r="Q129" i="29"/>
  <c r="R129" i="29"/>
  <c r="S129" i="29"/>
  <c r="T129" i="29"/>
  <c r="Q130" i="29"/>
  <c r="R130" i="29"/>
  <c r="S130" i="29"/>
  <c r="T130" i="29"/>
  <c r="Q131" i="29"/>
  <c r="R131" i="29"/>
  <c r="S131" i="29"/>
  <c r="T131" i="29"/>
  <c r="Q132" i="29"/>
  <c r="R132" i="29"/>
  <c r="S132" i="29"/>
  <c r="T132" i="29"/>
  <c r="Q133" i="29"/>
  <c r="R133" i="29"/>
  <c r="S133" i="29"/>
  <c r="T133" i="29"/>
  <c r="Q134" i="29"/>
  <c r="R134" i="29"/>
  <c r="S134" i="29"/>
  <c r="T134" i="29"/>
  <c r="Q135" i="29"/>
  <c r="R135" i="29"/>
  <c r="S135" i="29"/>
  <c r="T135" i="29"/>
  <c r="Q136" i="29"/>
  <c r="R136" i="29"/>
  <c r="S136" i="29"/>
  <c r="T136" i="29"/>
  <c r="Q137" i="29"/>
  <c r="R137" i="29"/>
  <c r="S137" i="29"/>
  <c r="T137" i="29"/>
  <c r="Q138" i="29"/>
  <c r="R138" i="29"/>
  <c r="S138" i="29"/>
  <c r="T138" i="29"/>
  <c r="Q139" i="29"/>
  <c r="R139" i="29"/>
  <c r="S139" i="29"/>
  <c r="T139" i="29"/>
  <c r="Q140" i="29"/>
  <c r="R140" i="29"/>
  <c r="S140" i="29"/>
  <c r="T140" i="29"/>
  <c r="Q141" i="29"/>
  <c r="R141" i="29"/>
  <c r="S141" i="29"/>
  <c r="T141" i="29"/>
  <c r="Q142" i="29"/>
  <c r="R142" i="29"/>
  <c r="S142" i="29"/>
  <c r="T142" i="29"/>
  <c r="Q143" i="29"/>
  <c r="R143" i="29"/>
  <c r="S143" i="29"/>
  <c r="T143" i="29"/>
  <c r="Q144" i="29"/>
  <c r="R144" i="29"/>
  <c r="S144" i="29"/>
  <c r="T144" i="29"/>
  <c r="Q145" i="29"/>
  <c r="R145" i="29"/>
  <c r="S145" i="29"/>
  <c r="T145" i="29"/>
  <c r="Q146" i="29"/>
  <c r="R146" i="29"/>
  <c r="S146" i="29"/>
  <c r="T146" i="29"/>
  <c r="Q147" i="29"/>
  <c r="R147" i="29"/>
  <c r="S147" i="29"/>
  <c r="T147" i="29"/>
  <c r="Q148" i="29"/>
  <c r="R148" i="29"/>
  <c r="S148" i="29"/>
  <c r="T148" i="29"/>
  <c r="Q149" i="29"/>
  <c r="R149" i="29"/>
  <c r="S149" i="29"/>
  <c r="T149" i="29"/>
  <c r="Q150" i="29"/>
  <c r="R150" i="29"/>
  <c r="S150" i="29"/>
  <c r="T150" i="29"/>
  <c r="Q151" i="29"/>
  <c r="R151" i="29"/>
  <c r="S151" i="29"/>
  <c r="T151" i="29"/>
  <c r="Q152" i="29"/>
  <c r="R152" i="29"/>
  <c r="S152" i="29"/>
  <c r="T152" i="29"/>
  <c r="Q153" i="29"/>
  <c r="R153" i="29"/>
  <c r="S153" i="29"/>
  <c r="T153" i="29"/>
  <c r="Q154" i="29"/>
  <c r="R154" i="29"/>
  <c r="S154" i="29"/>
  <c r="T154" i="29"/>
  <c r="Q155" i="29"/>
  <c r="R155" i="29"/>
  <c r="S155" i="29"/>
  <c r="T155" i="29"/>
  <c r="Q156" i="29"/>
  <c r="R156" i="29"/>
  <c r="S156" i="29"/>
  <c r="T156" i="29"/>
  <c r="Q157" i="29"/>
  <c r="R157" i="29"/>
  <c r="S157" i="29"/>
  <c r="T157" i="29"/>
  <c r="Q158" i="29"/>
  <c r="R158" i="29"/>
  <c r="S158" i="29"/>
  <c r="T158" i="29"/>
  <c r="Q159" i="29"/>
  <c r="R159" i="29"/>
  <c r="S159" i="29"/>
  <c r="T159" i="29"/>
  <c r="Q160" i="29"/>
  <c r="R160" i="29"/>
  <c r="S160" i="29"/>
  <c r="T160" i="29"/>
  <c r="Q161" i="29"/>
  <c r="R161" i="29"/>
  <c r="S161" i="29"/>
  <c r="T161" i="29"/>
  <c r="Q162" i="29"/>
  <c r="R162" i="29"/>
  <c r="S162" i="29"/>
  <c r="T162" i="29"/>
  <c r="Q163" i="29"/>
  <c r="R163" i="29"/>
  <c r="S163" i="29"/>
  <c r="T163" i="29"/>
  <c r="Q164" i="29"/>
  <c r="R164" i="29"/>
  <c r="S164" i="29"/>
  <c r="T164" i="29"/>
  <c r="Q165" i="29"/>
  <c r="R165" i="29"/>
  <c r="S165" i="29"/>
  <c r="T165" i="29"/>
  <c r="Q166" i="29"/>
  <c r="R166" i="29"/>
  <c r="S166" i="29"/>
  <c r="T166" i="29"/>
  <c r="Q167" i="29"/>
  <c r="R167" i="29"/>
  <c r="S167" i="29"/>
  <c r="T167" i="29"/>
  <c r="Q168" i="29"/>
  <c r="R168" i="29"/>
  <c r="S168" i="29"/>
  <c r="T168" i="29"/>
  <c r="Q169" i="29"/>
  <c r="R169" i="29"/>
  <c r="S169" i="29"/>
  <c r="T169" i="29"/>
  <c r="Q170" i="29"/>
  <c r="R170" i="29"/>
  <c r="S170" i="29"/>
  <c r="T170" i="29"/>
  <c r="Q171" i="29"/>
  <c r="R171" i="29"/>
  <c r="S171" i="29"/>
  <c r="T171" i="29"/>
  <c r="Q172" i="29"/>
  <c r="R172" i="29"/>
  <c r="S172" i="29"/>
  <c r="T172" i="29"/>
  <c r="Q173" i="29"/>
  <c r="R173" i="29"/>
  <c r="S173" i="29"/>
  <c r="T173" i="29"/>
  <c r="Q174" i="29"/>
  <c r="R174" i="29"/>
  <c r="S174" i="29"/>
  <c r="T174" i="29"/>
  <c r="Q175" i="29"/>
  <c r="R175" i="29"/>
  <c r="S175" i="29"/>
  <c r="T175" i="29"/>
  <c r="Q176" i="29"/>
  <c r="R176" i="29"/>
  <c r="S176" i="29"/>
  <c r="T176" i="29"/>
  <c r="Q177" i="29"/>
  <c r="R177" i="29"/>
  <c r="S177" i="29"/>
  <c r="T177" i="29"/>
  <c r="Q178" i="29"/>
  <c r="R178" i="29"/>
  <c r="S178" i="29"/>
  <c r="T178" i="29"/>
  <c r="Q179" i="29"/>
  <c r="R179" i="29"/>
  <c r="S179" i="29"/>
  <c r="T179" i="29"/>
  <c r="Q180" i="29"/>
  <c r="R180" i="29"/>
  <c r="S180" i="29"/>
  <c r="T180" i="29"/>
  <c r="Q181" i="29"/>
  <c r="R181" i="29"/>
  <c r="S181" i="29"/>
  <c r="T181" i="29"/>
  <c r="Q182" i="29"/>
  <c r="R182" i="29"/>
  <c r="S182" i="29"/>
  <c r="T182" i="29"/>
  <c r="Q183" i="29"/>
  <c r="R183" i="29"/>
  <c r="S183" i="29"/>
  <c r="T183" i="29"/>
  <c r="Q184" i="29"/>
  <c r="R184" i="29"/>
  <c r="S184" i="29"/>
  <c r="T184" i="29"/>
  <c r="Q185" i="29"/>
  <c r="R185" i="29"/>
  <c r="S185" i="29"/>
  <c r="T185" i="29"/>
  <c r="Q186" i="29"/>
  <c r="R186" i="29"/>
  <c r="S186" i="29"/>
  <c r="T186" i="29"/>
  <c r="Q187" i="29"/>
  <c r="R187" i="29"/>
  <c r="S187" i="29"/>
  <c r="T187" i="29"/>
  <c r="Q188" i="29"/>
  <c r="R188" i="29"/>
  <c r="S188" i="29"/>
  <c r="T188" i="29"/>
  <c r="Q189" i="29"/>
  <c r="R189" i="29"/>
  <c r="S189" i="29"/>
  <c r="T189" i="29"/>
  <c r="Q190" i="29"/>
  <c r="R190" i="29"/>
  <c r="S190" i="29"/>
  <c r="T190" i="29"/>
  <c r="Q191" i="29"/>
  <c r="R191" i="29"/>
  <c r="S191" i="29"/>
  <c r="T191" i="29"/>
  <c r="Q192" i="29"/>
  <c r="R192" i="29"/>
  <c r="S192" i="29"/>
  <c r="T192" i="29"/>
  <c r="Q193" i="29"/>
  <c r="R193" i="29"/>
  <c r="S193" i="29"/>
  <c r="T193" i="29"/>
  <c r="Q194" i="29"/>
  <c r="R194" i="29"/>
  <c r="S194" i="29"/>
  <c r="T194" i="29"/>
  <c r="Q195" i="29"/>
  <c r="R195" i="29"/>
  <c r="S195" i="29"/>
  <c r="T195" i="29"/>
  <c r="Q196" i="29"/>
  <c r="R196" i="29"/>
  <c r="S196" i="29"/>
  <c r="T196" i="29"/>
  <c r="Q197" i="29"/>
  <c r="R197" i="29"/>
  <c r="S197" i="29"/>
  <c r="T197" i="29"/>
  <c r="Q198" i="29"/>
  <c r="R198" i="29"/>
  <c r="S198" i="29"/>
  <c r="T198" i="29"/>
  <c r="Q199" i="29"/>
  <c r="R199" i="29"/>
  <c r="S199" i="29"/>
  <c r="T199" i="29"/>
  <c r="Q200" i="29"/>
  <c r="R200" i="29"/>
  <c r="S200" i="29"/>
  <c r="T200" i="29"/>
  <c r="Q201" i="29"/>
  <c r="R201" i="29"/>
  <c r="S201" i="29"/>
  <c r="T201" i="29"/>
  <c r="Q202" i="29"/>
  <c r="R202" i="29"/>
  <c r="S202" i="29"/>
  <c r="T202" i="29"/>
  <c r="Q203" i="29"/>
  <c r="R203" i="29"/>
  <c r="S203" i="29"/>
  <c r="T203" i="29"/>
  <c r="Q204" i="29"/>
  <c r="R204" i="29"/>
  <c r="S204" i="29"/>
  <c r="T204" i="29"/>
  <c r="Q205" i="29"/>
  <c r="R205" i="29"/>
  <c r="S205" i="29"/>
  <c r="T205" i="29"/>
  <c r="Q206" i="29"/>
  <c r="R206" i="29"/>
  <c r="S206" i="29"/>
  <c r="T206" i="29"/>
  <c r="Q207" i="29"/>
  <c r="R207" i="29"/>
  <c r="S207" i="29"/>
  <c r="T207" i="29"/>
  <c r="Q208" i="29"/>
  <c r="R208" i="29"/>
  <c r="S208" i="29"/>
  <c r="T208" i="29"/>
  <c r="Q209" i="29"/>
  <c r="R209" i="29"/>
  <c r="S209" i="29"/>
  <c r="T209" i="29"/>
  <c r="Q210" i="29"/>
  <c r="R210" i="29"/>
  <c r="S210" i="29"/>
  <c r="T210" i="29"/>
  <c r="Q211" i="29"/>
  <c r="R211" i="29"/>
  <c r="S211" i="29"/>
  <c r="T211" i="29"/>
  <c r="Q212" i="29"/>
  <c r="R212" i="29"/>
  <c r="S212" i="29"/>
  <c r="T212" i="29"/>
  <c r="Q213" i="29"/>
  <c r="R213" i="29"/>
  <c r="S213" i="29"/>
  <c r="T213" i="29"/>
  <c r="Q214" i="29"/>
  <c r="R214" i="29"/>
  <c r="S214" i="29"/>
  <c r="T214" i="29"/>
  <c r="Q215" i="29"/>
  <c r="R215" i="29"/>
  <c r="S215" i="29"/>
  <c r="T215" i="29"/>
  <c r="Q216" i="29"/>
  <c r="R216" i="29"/>
  <c r="S216" i="29"/>
  <c r="T216" i="29"/>
  <c r="Q217" i="29"/>
  <c r="R217" i="29"/>
  <c r="S217" i="29"/>
  <c r="T217" i="29"/>
  <c r="Q218" i="29"/>
  <c r="R218" i="29"/>
  <c r="S218" i="29"/>
  <c r="T218" i="29"/>
  <c r="Q219" i="29"/>
  <c r="R219" i="29"/>
  <c r="S219" i="29"/>
  <c r="T219" i="29"/>
  <c r="Q220" i="29"/>
  <c r="R220" i="29"/>
  <c r="S220" i="29"/>
  <c r="T220" i="29"/>
  <c r="Q221" i="29"/>
  <c r="R221" i="29"/>
  <c r="S221" i="29"/>
  <c r="T221" i="29"/>
  <c r="Q222" i="29"/>
  <c r="R222" i="29"/>
  <c r="S222" i="29"/>
  <c r="T222" i="29"/>
  <c r="Q223" i="29"/>
  <c r="R223" i="29"/>
  <c r="S223" i="29"/>
  <c r="T223" i="29"/>
  <c r="Q224" i="29"/>
  <c r="R224" i="29"/>
  <c r="S224" i="29"/>
  <c r="T224" i="29"/>
  <c r="Q225" i="29"/>
  <c r="R225" i="29"/>
  <c r="S225" i="29"/>
  <c r="T225" i="29"/>
  <c r="Q226" i="29"/>
  <c r="R226" i="29"/>
  <c r="S226" i="29"/>
  <c r="T226" i="29"/>
  <c r="Q227" i="29"/>
  <c r="R227" i="29"/>
  <c r="S227" i="29"/>
  <c r="T227" i="29"/>
  <c r="Q228" i="29"/>
  <c r="R228" i="29"/>
  <c r="S228" i="29"/>
  <c r="T228" i="29"/>
  <c r="Q229" i="29"/>
  <c r="R229" i="29"/>
  <c r="S229" i="29"/>
  <c r="T229" i="29"/>
  <c r="Q230" i="29"/>
  <c r="R230" i="29"/>
  <c r="S230" i="29"/>
  <c r="T230" i="29"/>
  <c r="Q231" i="29"/>
  <c r="R231" i="29"/>
  <c r="S231" i="29"/>
  <c r="T231" i="29"/>
  <c r="Q232" i="29"/>
  <c r="R232" i="29"/>
  <c r="S232" i="29"/>
  <c r="T232" i="29"/>
  <c r="Q233" i="29"/>
  <c r="R233" i="29"/>
  <c r="S233" i="29"/>
  <c r="T233" i="29"/>
  <c r="Q234" i="29"/>
  <c r="R234" i="29"/>
  <c r="S234" i="29"/>
  <c r="T234" i="29"/>
  <c r="Q235" i="29"/>
  <c r="R235" i="29"/>
  <c r="S235" i="29"/>
  <c r="T235" i="29"/>
  <c r="Q236" i="29"/>
  <c r="R236" i="29"/>
  <c r="S236" i="29"/>
  <c r="T236" i="29"/>
  <c r="Q237" i="29"/>
  <c r="R237" i="29"/>
  <c r="S237" i="29"/>
  <c r="T237" i="29"/>
  <c r="Q238" i="29"/>
  <c r="R238" i="29"/>
  <c r="S238" i="29"/>
  <c r="T238" i="29"/>
  <c r="Q239" i="29"/>
  <c r="R239" i="29"/>
  <c r="S239" i="29"/>
  <c r="T239" i="29"/>
  <c r="Q240" i="29"/>
  <c r="R240" i="29"/>
  <c r="S240" i="29"/>
  <c r="T240" i="29"/>
  <c r="Q241" i="29"/>
  <c r="R241" i="29"/>
  <c r="S241" i="29"/>
  <c r="T241" i="29"/>
  <c r="Q242" i="29"/>
  <c r="R242" i="29"/>
  <c r="S242" i="29"/>
  <c r="T242" i="29"/>
  <c r="Q243" i="29"/>
  <c r="R243" i="29"/>
  <c r="S243" i="29"/>
  <c r="T243" i="29"/>
  <c r="Q244" i="29"/>
  <c r="R244" i="29"/>
  <c r="S244" i="29"/>
  <c r="T244" i="29"/>
  <c r="Q245" i="29"/>
  <c r="R245" i="29"/>
  <c r="S245" i="29"/>
  <c r="T245" i="29"/>
  <c r="Q246" i="29"/>
  <c r="R246" i="29"/>
  <c r="S246" i="29"/>
  <c r="T246" i="29"/>
  <c r="Q247" i="29"/>
  <c r="R247" i="29"/>
  <c r="S247" i="29"/>
  <c r="T247" i="29"/>
  <c r="Q248" i="29"/>
  <c r="R248" i="29"/>
  <c r="S248" i="29"/>
  <c r="T248" i="29"/>
  <c r="Q249" i="29"/>
  <c r="R249" i="29"/>
  <c r="S249" i="29"/>
  <c r="T249" i="29"/>
  <c r="Q250" i="29"/>
  <c r="R250" i="29"/>
  <c r="S250" i="29"/>
  <c r="T250" i="29"/>
  <c r="Q251" i="29"/>
  <c r="R251" i="29"/>
  <c r="S251" i="29"/>
  <c r="T251" i="29"/>
  <c r="Q252" i="29"/>
  <c r="R252" i="29"/>
  <c r="S252" i="29"/>
  <c r="T252" i="29"/>
  <c r="Q253" i="29"/>
  <c r="R253" i="29"/>
  <c r="S253" i="29"/>
  <c r="T253" i="29"/>
  <c r="Q254" i="29"/>
  <c r="R254" i="29"/>
  <c r="S254" i="29"/>
  <c r="T254" i="29"/>
  <c r="Q255" i="29"/>
  <c r="R255" i="29"/>
  <c r="S255" i="29"/>
  <c r="T255" i="29"/>
  <c r="Q256" i="29"/>
  <c r="R256" i="29"/>
  <c r="S256" i="29"/>
  <c r="T256" i="29"/>
  <c r="Q257" i="29"/>
  <c r="R257" i="29"/>
  <c r="S257" i="29"/>
  <c r="T257" i="29"/>
  <c r="Q258" i="29"/>
  <c r="R258" i="29"/>
  <c r="S258" i="29"/>
  <c r="T258" i="29"/>
  <c r="Q259" i="29"/>
  <c r="R259" i="29"/>
  <c r="S259" i="29"/>
  <c r="T259" i="29"/>
  <c r="Q260" i="29"/>
  <c r="R260" i="29"/>
  <c r="S260" i="29"/>
  <c r="T260" i="29"/>
  <c r="Q261" i="29"/>
  <c r="R261" i="29"/>
  <c r="S261" i="29"/>
  <c r="T261" i="29"/>
  <c r="Q262" i="29"/>
  <c r="R262" i="29"/>
  <c r="S262" i="29"/>
  <c r="T262" i="29"/>
  <c r="Q263" i="29"/>
  <c r="R263" i="29"/>
  <c r="S263" i="29"/>
  <c r="T263" i="29"/>
  <c r="Q264" i="29"/>
  <c r="R264" i="29"/>
  <c r="S264" i="29"/>
  <c r="T264" i="29"/>
  <c r="Q265" i="29"/>
  <c r="R265" i="29"/>
  <c r="S265" i="29"/>
  <c r="T265" i="29"/>
  <c r="Q266" i="29"/>
  <c r="R266" i="29"/>
  <c r="S266" i="29"/>
  <c r="T266" i="29"/>
  <c r="Q267" i="29"/>
  <c r="R267" i="29"/>
  <c r="S267" i="29"/>
  <c r="T267" i="29"/>
  <c r="Q268" i="29"/>
  <c r="R268" i="29"/>
  <c r="S268" i="29"/>
  <c r="T268" i="29"/>
  <c r="Q269" i="29"/>
  <c r="R269" i="29"/>
  <c r="S269" i="29"/>
  <c r="T269" i="29"/>
  <c r="Q270" i="29"/>
  <c r="R270" i="29"/>
  <c r="S270" i="29"/>
  <c r="T270" i="29"/>
  <c r="Q271" i="29"/>
  <c r="R271" i="29"/>
  <c r="S271" i="29"/>
  <c r="T271" i="29"/>
  <c r="Q272" i="29"/>
  <c r="R272" i="29"/>
  <c r="S272" i="29"/>
  <c r="T272" i="29"/>
  <c r="Q273" i="29"/>
  <c r="R273" i="29"/>
  <c r="S273" i="29"/>
  <c r="T273" i="29"/>
  <c r="Q274" i="29"/>
  <c r="R274" i="29"/>
  <c r="S274" i="29"/>
  <c r="T274" i="29"/>
  <c r="Q275" i="29"/>
  <c r="R275" i="29"/>
  <c r="S275" i="29"/>
  <c r="T275" i="29"/>
  <c r="Q276" i="29"/>
  <c r="R276" i="29"/>
  <c r="S276" i="29"/>
  <c r="T276" i="29"/>
  <c r="Q277" i="29"/>
  <c r="R277" i="29"/>
  <c r="S277" i="29"/>
  <c r="T277" i="29"/>
  <c r="Q278" i="29"/>
  <c r="R278" i="29"/>
  <c r="S278" i="29"/>
  <c r="T278" i="29"/>
  <c r="Q279" i="29"/>
  <c r="R279" i="29"/>
  <c r="S279" i="29"/>
  <c r="T279" i="29"/>
  <c r="Q280" i="29"/>
  <c r="R280" i="29"/>
  <c r="S280" i="29"/>
  <c r="T280" i="29"/>
  <c r="Q281" i="29"/>
  <c r="R281" i="29"/>
  <c r="S281" i="29"/>
  <c r="T281" i="29"/>
  <c r="Q282" i="29"/>
  <c r="R282" i="29"/>
  <c r="S282" i="29"/>
  <c r="T282" i="29"/>
  <c r="Q283" i="29"/>
  <c r="R283" i="29"/>
  <c r="S283" i="29"/>
  <c r="T283" i="29"/>
  <c r="Q284" i="29"/>
  <c r="R284" i="29"/>
  <c r="S284" i="29"/>
  <c r="T284" i="29"/>
  <c r="Q285" i="29"/>
  <c r="R285" i="29"/>
  <c r="S285" i="29"/>
  <c r="T285" i="29"/>
  <c r="Q286" i="29"/>
  <c r="R286" i="29"/>
  <c r="S286" i="29"/>
  <c r="T286" i="29"/>
  <c r="Q287" i="29"/>
  <c r="R287" i="29"/>
  <c r="S287" i="29"/>
  <c r="T287" i="29"/>
  <c r="Q288" i="29"/>
  <c r="R288" i="29"/>
  <c r="S288" i="29"/>
  <c r="T288" i="29"/>
  <c r="Q289" i="29"/>
  <c r="R289" i="29"/>
  <c r="S289" i="29"/>
  <c r="T289" i="29"/>
  <c r="Q290" i="29"/>
  <c r="R290" i="29"/>
  <c r="S290" i="29"/>
  <c r="T290" i="29"/>
  <c r="Q291" i="29"/>
  <c r="R291" i="29"/>
  <c r="S291" i="29"/>
  <c r="T291" i="29"/>
  <c r="Q292" i="29"/>
  <c r="R292" i="29"/>
  <c r="S292" i="29"/>
  <c r="T292" i="29"/>
  <c r="Q293" i="29"/>
  <c r="R293" i="29"/>
  <c r="S293" i="29"/>
  <c r="T293" i="29"/>
  <c r="Q294" i="29"/>
  <c r="R294" i="29"/>
  <c r="S294" i="29"/>
  <c r="T294" i="29"/>
  <c r="Q295" i="29"/>
  <c r="R295" i="29"/>
  <c r="S295" i="29"/>
  <c r="T295" i="29"/>
  <c r="Q296" i="29"/>
  <c r="R296" i="29"/>
  <c r="S296" i="29"/>
  <c r="T296" i="29"/>
  <c r="Q297" i="29"/>
  <c r="R297" i="29"/>
  <c r="S297" i="29"/>
  <c r="T297" i="29"/>
  <c r="Q298" i="29"/>
  <c r="R298" i="29"/>
  <c r="S298" i="29"/>
  <c r="T298" i="29"/>
  <c r="Q299" i="29"/>
  <c r="R299" i="29"/>
  <c r="S299" i="29"/>
  <c r="T299" i="29"/>
  <c r="Q300" i="29"/>
  <c r="R300" i="29"/>
  <c r="S300" i="29"/>
  <c r="T300" i="29"/>
  <c r="Q301" i="29"/>
  <c r="R301" i="29"/>
  <c r="S301" i="29"/>
  <c r="T301" i="29"/>
  <c r="Q302" i="29"/>
  <c r="R302" i="29"/>
  <c r="S302" i="29"/>
  <c r="T302" i="29"/>
  <c r="Q303" i="29"/>
  <c r="R303" i="29"/>
  <c r="S303" i="29"/>
  <c r="T303" i="29"/>
  <c r="Q304" i="29"/>
  <c r="R304" i="29"/>
  <c r="S304" i="29"/>
  <c r="T304" i="29"/>
  <c r="Q305" i="29"/>
  <c r="R305" i="29"/>
  <c r="S305" i="29"/>
  <c r="T305" i="29"/>
  <c r="Q306" i="29"/>
  <c r="R306" i="29"/>
  <c r="S306" i="29"/>
  <c r="T306" i="29"/>
  <c r="Q307" i="29"/>
  <c r="R307" i="29"/>
  <c r="S307" i="29"/>
  <c r="T307" i="29"/>
  <c r="Q308" i="29"/>
  <c r="R308" i="29"/>
  <c r="S308" i="29"/>
  <c r="T308" i="29"/>
  <c r="Q309" i="29"/>
  <c r="R309" i="29"/>
  <c r="S309" i="29"/>
  <c r="T309" i="29"/>
  <c r="Q310" i="29"/>
  <c r="R310" i="29"/>
  <c r="S310" i="29"/>
  <c r="T310" i="29"/>
  <c r="Q311" i="29"/>
  <c r="R311" i="29"/>
  <c r="S311" i="29"/>
  <c r="T311" i="29"/>
  <c r="Q312" i="29"/>
  <c r="R312" i="29"/>
  <c r="S312" i="29"/>
  <c r="T312" i="29"/>
  <c r="Q313" i="29"/>
  <c r="R313" i="29"/>
  <c r="S313" i="29"/>
  <c r="T313" i="29"/>
  <c r="Q314" i="29"/>
  <c r="R314" i="29"/>
  <c r="S314" i="29"/>
  <c r="T314" i="29"/>
  <c r="Q315" i="29"/>
  <c r="R315" i="29"/>
  <c r="S315" i="29"/>
  <c r="T315" i="29"/>
  <c r="Q316" i="29"/>
  <c r="R316" i="29"/>
  <c r="S316" i="29"/>
  <c r="T316" i="29"/>
  <c r="Q317" i="29"/>
  <c r="R317" i="29"/>
  <c r="S317" i="29"/>
  <c r="T317" i="29"/>
  <c r="Q318" i="29"/>
  <c r="R318" i="29"/>
  <c r="S318" i="29"/>
  <c r="T318" i="29"/>
  <c r="Q319" i="29"/>
  <c r="R319" i="29"/>
  <c r="S319" i="29"/>
  <c r="T319" i="29"/>
  <c r="Q320" i="29"/>
  <c r="R320" i="29"/>
  <c r="S320" i="29"/>
  <c r="T320" i="29"/>
  <c r="Q321" i="29"/>
  <c r="R321" i="29"/>
  <c r="S321" i="29"/>
  <c r="T321" i="29"/>
  <c r="Q322" i="29"/>
  <c r="R322" i="29"/>
  <c r="S322" i="29"/>
  <c r="T322" i="29"/>
  <c r="Q323" i="29"/>
  <c r="R323" i="29"/>
  <c r="S323" i="29"/>
  <c r="T323" i="29"/>
  <c r="Q324" i="29"/>
  <c r="R324" i="29"/>
  <c r="S324" i="29"/>
  <c r="T324" i="29"/>
  <c r="Q325" i="29"/>
  <c r="R325" i="29"/>
  <c r="S325" i="29"/>
  <c r="T325" i="29"/>
  <c r="Q326" i="29"/>
  <c r="R326" i="29"/>
  <c r="S326" i="29"/>
  <c r="T326" i="29"/>
  <c r="Q327" i="29"/>
  <c r="R327" i="29"/>
  <c r="S327" i="29"/>
  <c r="T327" i="29"/>
  <c r="Q328" i="29"/>
  <c r="R328" i="29"/>
  <c r="S328" i="29"/>
  <c r="T328" i="29"/>
  <c r="Q329" i="29"/>
  <c r="R329" i="29"/>
  <c r="S329" i="29"/>
  <c r="T329" i="29"/>
  <c r="Q330" i="29"/>
  <c r="R330" i="29"/>
  <c r="S330" i="29"/>
  <c r="T330" i="29"/>
  <c r="Q331" i="29"/>
  <c r="R331" i="29"/>
  <c r="S331" i="29"/>
  <c r="T331" i="29"/>
  <c r="Q332" i="29"/>
  <c r="R332" i="29"/>
  <c r="S332" i="29"/>
  <c r="T332" i="29"/>
  <c r="Q333" i="29"/>
  <c r="R333" i="29"/>
  <c r="S333" i="29"/>
  <c r="T333" i="29"/>
  <c r="Q334" i="29"/>
  <c r="R334" i="29"/>
  <c r="S334" i="29"/>
  <c r="T334" i="29"/>
  <c r="Q335" i="29"/>
  <c r="R335" i="29"/>
  <c r="S335" i="29"/>
  <c r="T335" i="29"/>
  <c r="Q336" i="29"/>
  <c r="R336" i="29"/>
  <c r="S336" i="29"/>
  <c r="T336" i="29"/>
  <c r="Q337" i="29"/>
  <c r="R337" i="29"/>
  <c r="S337" i="29"/>
  <c r="T337" i="29"/>
  <c r="Q338" i="29"/>
  <c r="R338" i="29"/>
  <c r="S338" i="29"/>
  <c r="T338" i="29"/>
  <c r="Q339" i="29"/>
  <c r="R339" i="29"/>
  <c r="S339" i="29"/>
  <c r="T339" i="29"/>
  <c r="Q340" i="29"/>
  <c r="R340" i="29"/>
  <c r="S340" i="29"/>
  <c r="T340" i="29"/>
  <c r="Q341" i="29"/>
  <c r="R341" i="29"/>
  <c r="S341" i="29"/>
  <c r="T341" i="29"/>
  <c r="Q342" i="29"/>
  <c r="R342" i="29"/>
  <c r="S342" i="29"/>
  <c r="T342" i="29"/>
  <c r="Q343" i="29"/>
  <c r="R343" i="29"/>
  <c r="S343" i="29"/>
  <c r="T343" i="29"/>
  <c r="Q344" i="29"/>
  <c r="R344" i="29"/>
  <c r="S344" i="29"/>
  <c r="T344" i="29"/>
  <c r="Q345" i="29"/>
  <c r="R345" i="29"/>
  <c r="S345" i="29"/>
  <c r="T345" i="29"/>
  <c r="Q346" i="29"/>
  <c r="R346" i="29"/>
  <c r="S346" i="29"/>
  <c r="T346" i="29"/>
  <c r="Q347" i="29"/>
  <c r="R347" i="29"/>
  <c r="S347" i="29"/>
  <c r="T347" i="29"/>
  <c r="Q348" i="29"/>
  <c r="R348" i="29"/>
  <c r="S348" i="29"/>
  <c r="T348" i="29"/>
  <c r="Q349" i="29"/>
  <c r="R349" i="29"/>
  <c r="S349" i="29"/>
  <c r="T349" i="29"/>
  <c r="Q350" i="29"/>
  <c r="R350" i="29"/>
  <c r="S350" i="29"/>
  <c r="T350" i="29"/>
  <c r="Q351" i="29"/>
  <c r="R351" i="29"/>
  <c r="S351" i="29"/>
  <c r="T351" i="29"/>
  <c r="Q352" i="29"/>
  <c r="R352" i="29"/>
  <c r="S352" i="29"/>
  <c r="T352" i="29"/>
  <c r="Q353" i="29"/>
  <c r="R353" i="29"/>
  <c r="S353" i="29"/>
  <c r="T353" i="29"/>
  <c r="Q354" i="29"/>
  <c r="R354" i="29"/>
  <c r="S354" i="29"/>
  <c r="T354" i="29"/>
  <c r="Q355" i="29"/>
  <c r="R355" i="29"/>
  <c r="S355" i="29"/>
  <c r="T355" i="29"/>
  <c r="Q356" i="29"/>
  <c r="R356" i="29"/>
  <c r="S356" i="29"/>
  <c r="T356" i="29"/>
  <c r="Q357" i="29"/>
  <c r="R357" i="29"/>
  <c r="S357" i="29"/>
  <c r="T357" i="29"/>
  <c r="Q358" i="29"/>
  <c r="R358" i="29"/>
  <c r="S358" i="29"/>
  <c r="T358" i="29"/>
  <c r="Q359" i="29"/>
  <c r="R359" i="29"/>
  <c r="S359" i="29"/>
  <c r="T359" i="29"/>
  <c r="Q360" i="29"/>
  <c r="R360" i="29"/>
  <c r="S360" i="29"/>
  <c r="T360" i="29"/>
  <c r="Q361" i="29"/>
  <c r="R361" i="29"/>
  <c r="S361" i="29"/>
  <c r="T361" i="29"/>
  <c r="Q362" i="29"/>
  <c r="R362" i="29"/>
  <c r="S362" i="29"/>
  <c r="T362" i="29"/>
  <c r="Q363" i="29"/>
  <c r="R363" i="29"/>
  <c r="S363" i="29"/>
  <c r="T363" i="29"/>
  <c r="Q364" i="29"/>
  <c r="R364" i="29"/>
  <c r="S364" i="29"/>
  <c r="T364" i="29"/>
  <c r="Q365" i="29"/>
  <c r="R365" i="29"/>
  <c r="S365" i="29"/>
  <c r="T365" i="29"/>
  <c r="Q366" i="29"/>
  <c r="R366" i="29"/>
  <c r="S366" i="29"/>
  <c r="T366" i="29"/>
  <c r="Q367" i="29"/>
  <c r="R367" i="29"/>
  <c r="S367" i="29"/>
  <c r="T367" i="29"/>
  <c r="Q368" i="29"/>
  <c r="R368" i="29"/>
  <c r="S368" i="29"/>
  <c r="T368" i="29"/>
  <c r="Q369" i="29"/>
  <c r="R369" i="29"/>
  <c r="S369" i="29"/>
  <c r="T369" i="29"/>
  <c r="Q370" i="29"/>
  <c r="R370" i="29"/>
  <c r="S370" i="29"/>
  <c r="T370" i="29"/>
  <c r="Q371" i="29"/>
  <c r="R371" i="29"/>
  <c r="S371" i="29"/>
  <c r="T371" i="29"/>
  <c r="Q372" i="29"/>
  <c r="R372" i="29"/>
  <c r="S372" i="29"/>
  <c r="T372" i="29"/>
  <c r="Q373" i="29"/>
  <c r="R373" i="29"/>
  <c r="S373" i="29"/>
  <c r="T373" i="29"/>
  <c r="Q374" i="29"/>
  <c r="R374" i="29"/>
  <c r="S374" i="29"/>
  <c r="T374" i="29"/>
  <c r="Q375" i="29"/>
  <c r="R375" i="29"/>
  <c r="S375" i="29"/>
  <c r="T375" i="29"/>
  <c r="Q376" i="29"/>
  <c r="R376" i="29"/>
  <c r="S376" i="29"/>
  <c r="T376" i="29"/>
  <c r="Q377" i="29"/>
  <c r="R377" i="29"/>
  <c r="S377" i="29"/>
  <c r="T377" i="29"/>
  <c r="Q378" i="29"/>
  <c r="R378" i="29"/>
  <c r="S378" i="29"/>
  <c r="T378" i="29"/>
  <c r="Q379" i="29"/>
  <c r="R379" i="29"/>
  <c r="S379" i="29"/>
  <c r="T379" i="29"/>
  <c r="Q380" i="29"/>
  <c r="R380" i="29"/>
  <c r="S380" i="29"/>
  <c r="T380" i="29"/>
  <c r="Q381" i="29"/>
  <c r="R381" i="29"/>
  <c r="S381" i="29"/>
  <c r="T381" i="29"/>
  <c r="Q382" i="29"/>
  <c r="R382" i="29"/>
  <c r="S382" i="29"/>
  <c r="T382" i="29"/>
  <c r="Q383" i="29"/>
  <c r="R383" i="29"/>
  <c r="S383" i="29"/>
  <c r="T383" i="29"/>
  <c r="Q384" i="29"/>
  <c r="R384" i="29"/>
  <c r="S384" i="29"/>
  <c r="T384" i="29"/>
  <c r="Q385" i="29"/>
  <c r="R385" i="29"/>
  <c r="S385" i="29"/>
  <c r="T385" i="29"/>
  <c r="Q386" i="29"/>
  <c r="R386" i="29"/>
  <c r="S386" i="29"/>
  <c r="T386" i="29"/>
  <c r="Q387" i="29"/>
  <c r="R387" i="29"/>
  <c r="S387" i="29"/>
  <c r="T387" i="29"/>
  <c r="Q388" i="29"/>
  <c r="R388" i="29"/>
  <c r="S388" i="29"/>
  <c r="T388" i="29"/>
  <c r="Q389" i="29"/>
  <c r="R389" i="29"/>
  <c r="S389" i="29"/>
  <c r="T389" i="29"/>
  <c r="Q390" i="29"/>
  <c r="R390" i="29"/>
  <c r="S390" i="29"/>
  <c r="T390" i="29"/>
  <c r="Q391" i="29"/>
  <c r="R391" i="29"/>
  <c r="S391" i="29"/>
  <c r="T391" i="29"/>
  <c r="Q392" i="29"/>
  <c r="R392" i="29"/>
  <c r="S392" i="29"/>
  <c r="T392" i="29"/>
  <c r="Q393" i="29"/>
  <c r="R393" i="29"/>
  <c r="S393" i="29"/>
  <c r="T393" i="29"/>
  <c r="Q394" i="29"/>
  <c r="R394" i="29"/>
  <c r="S394" i="29"/>
  <c r="T394" i="29"/>
  <c r="Q395" i="29"/>
  <c r="R395" i="29"/>
  <c r="S395" i="29"/>
  <c r="T395" i="29"/>
  <c r="Q396" i="29"/>
  <c r="R396" i="29"/>
  <c r="S396" i="29"/>
  <c r="T396" i="29"/>
  <c r="Q397" i="29"/>
  <c r="R397" i="29"/>
  <c r="S397" i="29"/>
  <c r="T397" i="29"/>
  <c r="Q398" i="29"/>
  <c r="R398" i="29"/>
  <c r="S398" i="29"/>
  <c r="T398" i="29"/>
  <c r="Q399" i="29"/>
  <c r="R399" i="29"/>
  <c r="S399" i="29"/>
  <c r="T399" i="29"/>
  <c r="Q400" i="29"/>
  <c r="R400" i="29"/>
  <c r="S400" i="29"/>
  <c r="T400" i="29"/>
  <c r="Q401" i="29"/>
  <c r="R401" i="29"/>
  <c r="S401" i="29"/>
  <c r="T401" i="29"/>
  <c r="Q402" i="29"/>
  <c r="R402" i="29"/>
  <c r="S402" i="29"/>
  <c r="T402" i="29"/>
  <c r="Q403" i="29"/>
  <c r="R403" i="29"/>
  <c r="S403" i="29"/>
  <c r="T403" i="29"/>
  <c r="Q404" i="29"/>
  <c r="R404" i="29"/>
  <c r="S404" i="29"/>
  <c r="T404" i="29"/>
  <c r="Q405" i="29"/>
  <c r="R405" i="29"/>
  <c r="S405" i="29"/>
  <c r="T405" i="29"/>
  <c r="Q406" i="29"/>
  <c r="R406" i="29"/>
  <c r="S406" i="29"/>
  <c r="T406" i="29"/>
  <c r="Q407" i="29"/>
  <c r="R407" i="29"/>
  <c r="S407" i="29"/>
  <c r="T407" i="29"/>
  <c r="Q408" i="29"/>
  <c r="R408" i="29"/>
  <c r="S408" i="29"/>
  <c r="T408" i="29"/>
  <c r="Q409" i="29"/>
  <c r="R409" i="29"/>
  <c r="S409" i="29"/>
  <c r="T409" i="29"/>
  <c r="R6" i="29"/>
  <c r="Q6" i="29"/>
  <c r="F409" i="29"/>
  <c r="F408" i="29"/>
  <c r="F407" i="29"/>
  <c r="F406" i="29"/>
  <c r="F405" i="29"/>
  <c r="F404" i="29"/>
  <c r="F403" i="29"/>
  <c r="F402" i="29"/>
  <c r="F400" i="29"/>
  <c r="F401" i="29"/>
  <c r="F399" i="29"/>
  <c r="F398" i="29"/>
  <c r="F397" i="29"/>
  <c r="F396" i="29"/>
  <c r="F395" i="29"/>
  <c r="F394" i="29"/>
  <c r="F393" i="29"/>
  <c r="F392" i="29"/>
  <c r="F391" i="29"/>
  <c r="F390" i="29"/>
  <c r="F389" i="29"/>
  <c r="F388" i="29"/>
  <c r="F387" i="29"/>
  <c r="F386" i="29"/>
  <c r="F385" i="29"/>
  <c r="F384" i="29"/>
  <c r="F383" i="29"/>
  <c r="F382" i="29"/>
  <c r="F381" i="29"/>
  <c r="F380" i="29"/>
  <c r="F379" i="29"/>
  <c r="F378" i="29"/>
  <c r="F377" i="29"/>
  <c r="F376" i="29"/>
  <c r="F375" i="29"/>
  <c r="F374" i="29"/>
  <c r="F373" i="29"/>
  <c r="F366" i="29"/>
  <c r="F365" i="29"/>
  <c r="F364" i="29"/>
  <c r="F363" i="29"/>
  <c r="F362" i="29"/>
  <c r="F361" i="29"/>
  <c r="F360" i="29"/>
  <c r="F356" i="29"/>
  <c r="F359" i="29"/>
  <c r="F358" i="29"/>
  <c r="F357" i="29"/>
  <c r="F355" i="29"/>
  <c r="F354" i="29"/>
  <c r="F353" i="29"/>
  <c r="F372" i="29"/>
  <c r="F371" i="29"/>
  <c r="F370" i="29"/>
  <c r="F369" i="29"/>
  <c r="F368" i="29"/>
  <c r="F367" i="29"/>
  <c r="F352" i="29"/>
  <c r="F351" i="29"/>
  <c r="F350" i="29"/>
  <c r="F349" i="29"/>
  <c r="F348" i="29"/>
  <c r="F347" i="29"/>
  <c r="F346" i="29"/>
  <c r="F345" i="29"/>
  <c r="F344" i="29"/>
  <c r="F343" i="29"/>
  <c r="F342" i="29"/>
  <c r="F341" i="29"/>
  <c r="F340" i="29"/>
  <c r="F339" i="29"/>
  <c r="F338" i="29"/>
  <c r="F337" i="29"/>
  <c r="F336" i="29"/>
  <c r="F335" i="29"/>
  <c r="F334" i="29"/>
  <c r="F333" i="29"/>
  <c r="F332" i="29"/>
  <c r="F331" i="29"/>
  <c r="F330" i="29"/>
  <c r="F329" i="29"/>
  <c r="F326" i="29"/>
  <c r="F325" i="29"/>
  <c r="F327" i="29"/>
  <c r="F328" i="29"/>
  <c r="F324" i="29"/>
  <c r="F323" i="29"/>
  <c r="F322" i="29"/>
  <c r="F321" i="29"/>
  <c r="F320" i="29"/>
  <c r="F319" i="29"/>
  <c r="F318" i="29"/>
  <c r="F317" i="29"/>
  <c r="F316" i="29"/>
  <c r="F315" i="29"/>
  <c r="F314" i="29"/>
  <c r="F313" i="29"/>
  <c r="F312" i="29"/>
  <c r="F311" i="29"/>
  <c r="F310" i="29"/>
  <c r="F309" i="29"/>
  <c r="F308" i="29"/>
  <c r="F307" i="29"/>
  <c r="F306" i="29"/>
  <c r="F304" i="29"/>
  <c r="F305" i="29"/>
  <c r="F303" i="29"/>
  <c r="F302" i="29"/>
  <c r="F301" i="29"/>
  <c r="F300" i="29"/>
  <c r="F299" i="29"/>
  <c r="F298" i="29"/>
  <c r="F297" i="29"/>
  <c r="F296" i="29"/>
  <c r="F295" i="29"/>
  <c r="F294" i="29"/>
  <c r="F293" i="29"/>
  <c r="F292" i="29"/>
  <c r="F291" i="29"/>
  <c r="F290" i="29"/>
  <c r="F289" i="29"/>
  <c r="F288" i="29"/>
  <c r="F287" i="29"/>
  <c r="F286" i="29"/>
  <c r="F285" i="29"/>
  <c r="F284" i="29"/>
  <c r="F283" i="29"/>
  <c r="F282" i="29"/>
  <c r="F281" i="29"/>
  <c r="F280" i="29"/>
  <c r="F279" i="29"/>
  <c r="F278" i="29"/>
  <c r="F277" i="29"/>
  <c r="F276" i="29"/>
  <c r="F275" i="29"/>
  <c r="F274" i="29"/>
  <c r="F273" i="29"/>
  <c r="F272" i="29"/>
  <c r="F271" i="29"/>
  <c r="F270" i="29"/>
  <c r="F269" i="29"/>
  <c r="F268" i="29"/>
  <c r="F267" i="29"/>
  <c r="F266" i="29"/>
  <c r="F265" i="29"/>
  <c r="F264" i="29"/>
  <c r="F263" i="29"/>
  <c r="F262" i="29"/>
  <c r="F261" i="29"/>
  <c r="F260" i="29"/>
  <c r="F259" i="29"/>
  <c r="F258" i="29"/>
  <c r="F257" i="29"/>
  <c r="F256" i="29"/>
  <c r="F255" i="29"/>
  <c r="F254" i="29"/>
  <c r="F253" i="29"/>
  <c r="F252" i="29"/>
  <c r="F251" i="29"/>
  <c r="F250" i="29"/>
  <c r="F249" i="29"/>
  <c r="F248" i="29"/>
  <c r="F247" i="29"/>
  <c r="F246" i="29"/>
  <c r="F245" i="29"/>
  <c r="F244" i="29"/>
  <c r="F243" i="29"/>
  <c r="F242" i="29"/>
  <c r="F241" i="29"/>
  <c r="F240" i="29"/>
  <c r="F239" i="29"/>
  <c r="F238" i="29"/>
  <c r="F237" i="29"/>
  <c r="F236" i="29"/>
  <c r="F235" i="29"/>
  <c r="F234" i="29"/>
  <c r="F233" i="29"/>
  <c r="F232" i="29"/>
  <c r="F231" i="29"/>
  <c r="F230" i="29"/>
  <c r="F229" i="29"/>
  <c r="F228" i="29"/>
  <c r="F227" i="29"/>
  <c r="F226" i="29"/>
  <c r="F225" i="29"/>
  <c r="F224" i="29"/>
  <c r="F223" i="29"/>
  <c r="F222" i="29"/>
  <c r="F221" i="29"/>
  <c r="F220" i="29"/>
  <c r="F219" i="29"/>
  <c r="F218" i="29"/>
  <c r="F217" i="29"/>
  <c r="F216" i="29"/>
  <c r="F215" i="29"/>
  <c r="F214" i="29"/>
  <c r="F213" i="29"/>
  <c r="F212" i="29"/>
  <c r="F211" i="29"/>
  <c r="F210" i="29"/>
  <c r="F209" i="29"/>
  <c r="F208" i="29"/>
  <c r="F207" i="29"/>
  <c r="F206" i="29"/>
  <c r="F205" i="29"/>
  <c r="F204" i="29"/>
  <c r="F203" i="29"/>
  <c r="F202" i="29"/>
  <c r="F201" i="29"/>
  <c r="F200" i="29"/>
  <c r="F199" i="29"/>
  <c r="F198" i="29"/>
  <c r="F197" i="29"/>
  <c r="F196" i="29"/>
  <c r="F195" i="29"/>
  <c r="F194" i="29"/>
  <c r="F193" i="29"/>
  <c r="F192" i="29"/>
  <c r="F190" i="29"/>
  <c r="F191" i="29"/>
  <c r="F189" i="29"/>
  <c r="F188" i="29"/>
  <c r="F187" i="29"/>
  <c r="F186" i="29"/>
  <c r="F185" i="29"/>
  <c r="F184" i="29"/>
  <c r="F183" i="29"/>
  <c r="F182" i="29"/>
  <c r="F181" i="29"/>
  <c r="F180" i="29"/>
  <c r="F179" i="29"/>
  <c r="F178" i="29"/>
  <c r="F177" i="29"/>
  <c r="F176" i="29"/>
  <c r="F175" i="29"/>
  <c r="F174" i="29"/>
  <c r="F173" i="29"/>
  <c r="F172" i="29"/>
  <c r="F171" i="29"/>
  <c r="F170" i="29"/>
  <c r="F169" i="29"/>
  <c r="F168" i="29"/>
  <c r="F167" i="29"/>
  <c r="F166" i="29"/>
  <c r="F165" i="29"/>
  <c r="F164" i="29"/>
  <c r="F163" i="29"/>
  <c r="F162" i="29"/>
  <c r="F161" i="29"/>
  <c r="F160" i="29"/>
  <c r="F159" i="29"/>
  <c r="F158" i="29"/>
  <c r="F157" i="29"/>
  <c r="F156" i="29"/>
  <c r="F155" i="29"/>
  <c r="F154" i="29"/>
  <c r="F153" i="29"/>
  <c r="F152" i="29"/>
  <c r="F151" i="29"/>
  <c r="F150" i="29"/>
  <c r="F149" i="29"/>
  <c r="F148" i="29"/>
  <c r="F147" i="29"/>
  <c r="F146" i="29"/>
  <c r="F145" i="29"/>
  <c r="F144" i="29"/>
  <c r="F143" i="29"/>
  <c r="F142" i="29"/>
  <c r="F141" i="29"/>
  <c r="F140" i="29"/>
  <c r="F139" i="29"/>
  <c r="F138" i="29"/>
  <c r="F137" i="29"/>
  <c r="F136" i="29"/>
  <c r="F135" i="29"/>
  <c r="F134" i="29"/>
  <c r="F133" i="29"/>
  <c r="F132" i="29"/>
  <c r="F131" i="29"/>
  <c r="F130" i="29"/>
  <c r="F129" i="29"/>
  <c r="F128" i="29"/>
  <c r="F127" i="29"/>
  <c r="F126" i="29"/>
  <c r="F125" i="29"/>
  <c r="F124" i="29"/>
  <c r="F123" i="29"/>
  <c r="F122" i="29"/>
  <c r="F121" i="29"/>
  <c r="F120" i="29"/>
  <c r="F119" i="29"/>
  <c r="F118" i="29"/>
  <c r="F117" i="29"/>
  <c r="F116" i="29"/>
  <c r="F115" i="29"/>
  <c r="F114" i="29"/>
  <c r="F113" i="29"/>
  <c r="F112" i="29"/>
  <c r="F111" i="29"/>
  <c r="F110" i="29"/>
  <c r="F109" i="29"/>
  <c r="F108" i="29"/>
  <c r="F107" i="29"/>
  <c r="F106" i="29"/>
  <c r="F105" i="29"/>
  <c r="F104" i="29"/>
  <c r="F103" i="29"/>
  <c r="F102" i="29"/>
  <c r="F101" i="29"/>
  <c r="F100" i="29"/>
  <c r="F99" i="29"/>
  <c r="F98" i="29"/>
  <c r="F97" i="29"/>
  <c r="F96" i="29"/>
  <c r="F95" i="29"/>
  <c r="F94" i="29"/>
  <c r="F93"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7" i="29"/>
  <c r="F6" i="29"/>
  <c r="E410" i="29"/>
  <c r="F410" i="28"/>
  <c r="F409" i="28"/>
  <c r="F408" i="28"/>
  <c r="F407" i="28"/>
  <c r="F406" i="28"/>
  <c r="F405" i="28"/>
  <c r="F404" i="28"/>
  <c r="F403" i="28"/>
  <c r="F401" i="28"/>
  <c r="F402" i="28"/>
  <c r="F400" i="28"/>
  <c r="F399" i="28"/>
  <c r="F398" i="28"/>
  <c r="F397" i="28"/>
  <c r="F396" i="28"/>
  <c r="F395" i="28"/>
  <c r="F394" i="28"/>
  <c r="F393" i="28"/>
  <c r="F392" i="28"/>
  <c r="F391" i="28"/>
  <c r="F390" i="28"/>
  <c r="F389" i="28"/>
  <c r="F388" i="28"/>
  <c r="F387" i="28"/>
  <c r="F386" i="28"/>
  <c r="F385" i="28"/>
  <c r="F384" i="28"/>
  <c r="F383" i="28"/>
  <c r="F382" i="28"/>
  <c r="F381" i="28"/>
  <c r="F380" i="28"/>
  <c r="F379" i="28"/>
  <c r="F378" i="28"/>
  <c r="F377" i="28"/>
  <c r="F376" i="28"/>
  <c r="F375" i="28"/>
  <c r="F374" i="28"/>
  <c r="F367" i="28"/>
  <c r="F366" i="28"/>
  <c r="F365" i="28"/>
  <c r="F364" i="28"/>
  <c r="F363" i="28"/>
  <c r="F362" i="28"/>
  <c r="F361" i="28"/>
  <c r="F360" i="28"/>
  <c r="F359" i="28"/>
  <c r="F358" i="28"/>
  <c r="F357" i="28"/>
  <c r="F356" i="28"/>
  <c r="F355" i="28"/>
  <c r="F373" i="28"/>
  <c r="F372" i="28"/>
  <c r="F371" i="28"/>
  <c r="F370" i="28"/>
  <c r="F369" i="28"/>
  <c r="F368" i="28"/>
  <c r="F354" i="28"/>
  <c r="F353" i="28"/>
  <c r="F352" i="28"/>
  <c r="F351" i="28"/>
  <c r="F350" i="28"/>
  <c r="F349" i="28"/>
  <c r="F348" i="28"/>
  <c r="F347" i="28"/>
  <c r="F346" i="28"/>
  <c r="F345" i="28"/>
  <c r="F344" i="28"/>
  <c r="F343" i="28"/>
  <c r="F342" i="28"/>
  <c r="F341" i="28"/>
  <c r="F340" i="28"/>
  <c r="F339" i="28"/>
  <c r="F338" i="28"/>
  <c r="F337" i="28"/>
  <c r="F336" i="28"/>
  <c r="F335" i="28"/>
  <c r="F334" i="28"/>
  <c r="F333" i="28"/>
  <c r="F332" i="28"/>
  <c r="F331" i="28"/>
  <c r="F328" i="28"/>
  <c r="F327" i="28"/>
  <c r="F329" i="28"/>
  <c r="F330" i="28"/>
  <c r="F326" i="28"/>
  <c r="F325" i="28"/>
  <c r="F324" i="28"/>
  <c r="F323" i="28"/>
  <c r="F322" i="28"/>
  <c r="F321" i="28"/>
  <c r="F320" i="28"/>
  <c r="F319" i="28"/>
  <c r="F318" i="28"/>
  <c r="F317" i="28"/>
  <c r="F316" i="28"/>
  <c r="F315" i="28"/>
  <c r="F314" i="28"/>
  <c r="F313" i="28"/>
  <c r="F312" i="28"/>
  <c r="F311" i="28"/>
  <c r="F310" i="28"/>
  <c r="F309" i="28"/>
  <c r="F308" i="28"/>
  <c r="F306" i="28"/>
  <c r="F307" i="28"/>
  <c r="F305" i="28"/>
  <c r="F304" i="28"/>
  <c r="F303" i="28"/>
  <c r="F302" i="28"/>
  <c r="F301" i="28"/>
  <c r="F300" i="28"/>
  <c r="F299" i="28"/>
  <c r="F298" i="28"/>
  <c r="F297" i="28"/>
  <c r="F296" i="28"/>
  <c r="F295" i="28"/>
  <c r="F294" i="28"/>
  <c r="F293" i="28"/>
  <c r="F292" i="28"/>
  <c r="F291" i="28"/>
  <c r="F290" i="28"/>
  <c r="F289" i="28"/>
  <c r="F288" i="28"/>
  <c r="F287" i="28"/>
  <c r="F286" i="28"/>
  <c r="F285" i="28"/>
  <c r="F284" i="28"/>
  <c r="F283" i="28"/>
  <c r="F282" i="28"/>
  <c r="F281" i="28"/>
  <c r="F280" i="28"/>
  <c r="F279" i="28"/>
  <c r="F278" i="28"/>
  <c r="F277" i="28"/>
  <c r="F276" i="28"/>
  <c r="F275" i="28"/>
  <c r="F274" i="28"/>
  <c r="F273" i="28"/>
  <c r="F272" i="28"/>
  <c r="F271" i="28"/>
  <c r="F270" i="28"/>
  <c r="F269" i="28"/>
  <c r="F268" i="28"/>
  <c r="F267" i="28"/>
  <c r="F266" i="28"/>
  <c r="F265" i="28"/>
  <c r="F264" i="28"/>
  <c r="F263" i="28"/>
  <c r="F262" i="28"/>
  <c r="F261" i="28"/>
  <c r="F260" i="28"/>
  <c r="F259" i="28"/>
  <c r="F258" i="28"/>
  <c r="F257" i="28"/>
  <c r="F256" i="28"/>
  <c r="F255" i="28"/>
  <c r="F254" i="28"/>
  <c r="F253" i="28"/>
  <c r="F252" i="28"/>
  <c r="F251" i="28"/>
  <c r="F250" i="28"/>
  <c r="F249" i="28"/>
  <c r="F248" i="28"/>
  <c r="F247" i="28"/>
  <c r="F246" i="28"/>
  <c r="F245" i="28"/>
  <c r="F244" i="28"/>
  <c r="F243" i="28"/>
  <c r="F242" i="28"/>
  <c r="F241" i="28"/>
  <c r="F240" i="28"/>
  <c r="F239" i="28"/>
  <c r="F238" i="28"/>
  <c r="F237" i="28"/>
  <c r="F236" i="28"/>
  <c r="F235" i="28"/>
  <c r="F234" i="28"/>
  <c r="F233" i="28"/>
  <c r="F232" i="28"/>
  <c r="F231" i="28"/>
  <c r="F230" i="28"/>
  <c r="F229" i="28"/>
  <c r="F228" i="28"/>
  <c r="F227" i="28"/>
  <c r="F226" i="28"/>
  <c r="F225" i="28"/>
  <c r="F224" i="28"/>
  <c r="F223" i="28"/>
  <c r="F222" i="28"/>
  <c r="F221" i="28"/>
  <c r="F220" i="28"/>
  <c r="F219" i="28"/>
  <c r="F218" i="28"/>
  <c r="F217" i="28"/>
  <c r="F216" i="28"/>
  <c r="F215" i="28"/>
  <c r="F214" i="28"/>
  <c r="F213" i="28"/>
  <c r="F212" i="28"/>
  <c r="F211" i="28"/>
  <c r="F210" i="28"/>
  <c r="F209" i="28"/>
  <c r="F208" i="28"/>
  <c r="F207" i="28"/>
  <c r="F206" i="28"/>
  <c r="F205" i="28"/>
  <c r="F204" i="28"/>
  <c r="F203" i="28"/>
  <c r="F202" i="28"/>
  <c r="F201" i="28"/>
  <c r="F200" i="28"/>
  <c r="F199" i="28"/>
  <c r="F198" i="28"/>
  <c r="F197" i="28"/>
  <c r="F196" i="28"/>
  <c r="F195" i="28"/>
  <c r="F194" i="28"/>
  <c r="F193" i="28"/>
  <c r="F192" i="28"/>
  <c r="F191" i="28"/>
  <c r="F190" i="28"/>
  <c r="F189" i="28"/>
  <c r="F188" i="28"/>
  <c r="F187" i="28"/>
  <c r="F186" i="28"/>
  <c r="F185" i="28"/>
  <c r="F184" i="28"/>
  <c r="F183" i="28"/>
  <c r="F182" i="28"/>
  <c r="F181" i="28"/>
  <c r="F180" i="28"/>
  <c r="F179" i="28"/>
  <c r="F178" i="28"/>
  <c r="F177" i="28"/>
  <c r="F176" i="28"/>
  <c r="F175" i="28"/>
  <c r="F174" i="28"/>
  <c r="F173" i="28"/>
  <c r="F172" i="28"/>
  <c r="F171" i="28"/>
  <c r="F170" i="28"/>
  <c r="F169" i="28"/>
  <c r="F168" i="28"/>
  <c r="F167" i="28"/>
  <c r="F166" i="28"/>
  <c r="F165" i="28"/>
  <c r="F164" i="28"/>
  <c r="F163" i="28"/>
  <c r="F162" i="28"/>
  <c r="F161" i="28"/>
  <c r="F160" i="28"/>
  <c r="F159" i="28"/>
  <c r="F158" i="28"/>
  <c r="F157" i="28"/>
  <c r="F156" i="28"/>
  <c r="F155" i="28"/>
  <c r="F154" i="28"/>
  <c r="F153" i="28"/>
  <c r="F152" i="28"/>
  <c r="F151" i="28"/>
  <c r="F150" i="28"/>
  <c r="F149" i="28"/>
  <c r="F148" i="28"/>
  <c r="F147" i="28"/>
  <c r="F146" i="28"/>
  <c r="F145" i="28"/>
  <c r="F144" i="28"/>
  <c r="F143" i="28"/>
  <c r="F142" i="28"/>
  <c r="F141" i="28"/>
  <c r="F140" i="28"/>
  <c r="F139" i="28"/>
  <c r="F138" i="28"/>
  <c r="F137" i="28"/>
  <c r="F136" i="28"/>
  <c r="F135" i="28"/>
  <c r="F134" i="28"/>
  <c r="F133" i="28"/>
  <c r="F132" i="28"/>
  <c r="F131" i="28"/>
  <c r="F130" i="28"/>
  <c r="F129" i="28"/>
  <c r="F128" i="28"/>
  <c r="F127" i="28"/>
  <c r="F126" i="28"/>
  <c r="F125" i="28"/>
  <c r="F124" i="28"/>
  <c r="F123" i="28"/>
  <c r="F122" i="28"/>
  <c r="F121" i="28"/>
  <c r="F120" i="28"/>
  <c r="F119" i="28"/>
  <c r="F118" i="28"/>
  <c r="F117" i="28"/>
  <c r="F116" i="28"/>
  <c r="F115" i="28"/>
  <c r="F114" i="28"/>
  <c r="F113" i="28"/>
  <c r="F112" i="28"/>
  <c r="F111" i="28"/>
  <c r="F110" i="28"/>
  <c r="F109" i="28"/>
  <c r="F108" i="28"/>
  <c r="F107" i="28"/>
  <c r="F106" i="28"/>
  <c r="F105" i="28"/>
  <c r="F104" i="28"/>
  <c r="F103" i="28"/>
  <c r="F102" i="28"/>
  <c r="F101" i="28"/>
  <c r="F100" i="28"/>
  <c r="F99" i="28"/>
  <c r="F98" i="28"/>
  <c r="F97" i="28"/>
  <c r="F96" i="28"/>
  <c r="F95" i="28"/>
  <c r="F94" i="28"/>
  <c r="F92" i="28"/>
  <c r="F91" i="28"/>
  <c r="F90" i="28"/>
  <c r="F89" i="28"/>
  <c r="F88" i="28"/>
  <c r="F87" i="28"/>
  <c r="F86" i="28"/>
  <c r="F85" i="28"/>
  <c r="F84" i="28"/>
  <c r="F83" i="28"/>
  <c r="F82" i="28"/>
  <c r="F81" i="28"/>
  <c r="F80" i="28"/>
  <c r="F79" i="28"/>
  <c r="F78" i="28"/>
  <c r="F77" i="28"/>
  <c r="F76" i="28"/>
  <c r="F75" i="28"/>
  <c r="F74" i="28"/>
  <c r="F73" i="28"/>
  <c r="F72" i="28"/>
  <c r="F71" i="28"/>
  <c r="F70" i="28"/>
  <c r="F69" i="28"/>
  <c r="F68" i="28"/>
  <c r="F67" i="28"/>
  <c r="F66" i="28"/>
  <c r="F65" i="28"/>
  <c r="F64" i="28"/>
  <c r="F63" i="28"/>
  <c r="F62" i="28"/>
  <c r="F61" i="28"/>
  <c r="F60" i="28"/>
  <c r="F59" i="28"/>
  <c r="F58" i="28"/>
  <c r="F57" i="28"/>
  <c r="F56" i="28"/>
  <c r="F55" i="28"/>
  <c r="F54" i="28"/>
  <c r="F53" i="28"/>
  <c r="F52" i="28"/>
  <c r="F51" i="28"/>
  <c r="F50" i="28"/>
  <c r="F49" i="28"/>
  <c r="F48" i="28"/>
  <c r="F47" i="28"/>
  <c r="F46" i="28"/>
  <c r="F45" i="28"/>
  <c r="F44" i="28"/>
  <c r="F43" i="28"/>
  <c r="F42" i="28"/>
  <c r="F41" i="28"/>
  <c r="F40" i="28"/>
  <c r="F39" i="28"/>
  <c r="F38" i="28"/>
  <c r="F37" i="28"/>
  <c r="F36" i="28"/>
  <c r="F35" i="28"/>
  <c r="F34" i="28"/>
  <c r="F33" i="28"/>
  <c r="F32" i="28"/>
  <c r="F31" i="28"/>
  <c r="F30" i="28"/>
  <c r="F29" i="28"/>
  <c r="F28" i="28"/>
  <c r="F27" i="28"/>
  <c r="F26" i="28"/>
  <c r="F25" i="28"/>
  <c r="F24" i="28"/>
  <c r="F23" i="28"/>
  <c r="F22" i="28"/>
  <c r="F21" i="28"/>
  <c r="F20" i="28"/>
  <c r="F19" i="28"/>
  <c r="F18" i="28"/>
  <c r="F17" i="28"/>
  <c r="F16" i="28"/>
  <c r="F8" i="28"/>
  <c r="F9" i="28"/>
  <c r="F10" i="28"/>
  <c r="F11" i="28"/>
  <c r="F12" i="28"/>
  <c r="F13" i="28"/>
  <c r="F14" i="28"/>
  <c r="F7" i="28"/>
  <c r="F6" i="28"/>
  <c r="Q7" i="28"/>
  <c r="R7" i="28"/>
  <c r="S7" i="28"/>
  <c r="T7" i="28"/>
  <c r="Q8" i="28"/>
  <c r="R8" i="28"/>
  <c r="S8" i="28"/>
  <c r="T8" i="28"/>
  <c r="Q9" i="28"/>
  <c r="R9" i="28"/>
  <c r="S9" i="28"/>
  <c r="T9" i="28"/>
  <c r="Q10" i="28"/>
  <c r="R10" i="28"/>
  <c r="S10" i="28"/>
  <c r="T10" i="28"/>
  <c r="Q11" i="28"/>
  <c r="R11" i="28"/>
  <c r="S11" i="28"/>
  <c r="T11" i="28"/>
  <c r="Q12" i="28"/>
  <c r="R12" i="28"/>
  <c r="S12" i="28"/>
  <c r="T12" i="28"/>
  <c r="Q13" i="28"/>
  <c r="R13" i="28"/>
  <c r="S13" i="28"/>
  <c r="T13" i="28"/>
  <c r="Q14" i="28"/>
  <c r="R14" i="28"/>
  <c r="S14" i="28"/>
  <c r="T14" i="28"/>
  <c r="Q15" i="28"/>
  <c r="R15" i="28"/>
  <c r="S15" i="28"/>
  <c r="T15" i="28"/>
  <c r="Q16" i="28"/>
  <c r="R16" i="28"/>
  <c r="S16" i="28"/>
  <c r="T16" i="28"/>
  <c r="Q17" i="28"/>
  <c r="R17" i="28"/>
  <c r="S17" i="28"/>
  <c r="T17" i="28"/>
  <c r="Q18" i="28"/>
  <c r="R18" i="28"/>
  <c r="S18" i="28"/>
  <c r="T18" i="28"/>
  <c r="Q19" i="28"/>
  <c r="R19" i="28"/>
  <c r="S19" i="28"/>
  <c r="T19" i="28"/>
  <c r="Q20" i="28"/>
  <c r="R20" i="28"/>
  <c r="S20" i="28"/>
  <c r="T20" i="28"/>
  <c r="Q21" i="28"/>
  <c r="R21" i="28"/>
  <c r="S21" i="28"/>
  <c r="T21" i="28"/>
  <c r="Q22" i="28"/>
  <c r="R22" i="28"/>
  <c r="S22" i="28"/>
  <c r="T22" i="28"/>
  <c r="Q23" i="28"/>
  <c r="R23" i="28"/>
  <c r="S23" i="28"/>
  <c r="T23" i="28"/>
  <c r="Q24" i="28"/>
  <c r="R24" i="28"/>
  <c r="S24" i="28"/>
  <c r="T24" i="28"/>
  <c r="Q25" i="28"/>
  <c r="R25" i="28"/>
  <c r="S25" i="28"/>
  <c r="T25" i="28"/>
  <c r="Q26" i="28"/>
  <c r="R26" i="28"/>
  <c r="S26" i="28"/>
  <c r="T26" i="28"/>
  <c r="Q27" i="28"/>
  <c r="R27" i="28"/>
  <c r="S27" i="28"/>
  <c r="T27" i="28"/>
  <c r="Q28" i="28"/>
  <c r="R28" i="28"/>
  <c r="S28" i="28"/>
  <c r="T28" i="28"/>
  <c r="Q29" i="28"/>
  <c r="R29" i="28"/>
  <c r="S29" i="28"/>
  <c r="T29" i="28"/>
  <c r="Q30" i="28"/>
  <c r="R30" i="28"/>
  <c r="S30" i="28"/>
  <c r="T30" i="28"/>
  <c r="Q31" i="28"/>
  <c r="R31" i="28"/>
  <c r="S31" i="28"/>
  <c r="T31" i="28"/>
  <c r="Q32" i="28"/>
  <c r="R32" i="28"/>
  <c r="S32" i="28"/>
  <c r="T32" i="28"/>
  <c r="Q33" i="28"/>
  <c r="R33" i="28"/>
  <c r="S33" i="28"/>
  <c r="T33" i="28"/>
  <c r="Q34" i="28"/>
  <c r="R34" i="28"/>
  <c r="S34" i="28"/>
  <c r="T34" i="28"/>
  <c r="Q35" i="28"/>
  <c r="R35" i="28"/>
  <c r="S35" i="28"/>
  <c r="T35" i="28"/>
  <c r="Q36" i="28"/>
  <c r="R36" i="28"/>
  <c r="S36" i="28"/>
  <c r="T36" i="28"/>
  <c r="Q37" i="28"/>
  <c r="R37" i="28"/>
  <c r="S37" i="28"/>
  <c r="T37" i="28"/>
  <c r="Q38" i="28"/>
  <c r="R38" i="28"/>
  <c r="S38" i="28"/>
  <c r="T38" i="28"/>
  <c r="Q39" i="28"/>
  <c r="R39" i="28"/>
  <c r="S39" i="28"/>
  <c r="T39" i="28"/>
  <c r="Q40" i="28"/>
  <c r="R40" i="28"/>
  <c r="S40" i="28"/>
  <c r="T40" i="28"/>
  <c r="Q41" i="28"/>
  <c r="R41" i="28"/>
  <c r="S41" i="28"/>
  <c r="T41" i="28"/>
  <c r="Q42" i="28"/>
  <c r="R42" i="28"/>
  <c r="S42" i="28"/>
  <c r="T42" i="28"/>
  <c r="Q43" i="28"/>
  <c r="R43" i="28"/>
  <c r="S43" i="28"/>
  <c r="T43" i="28"/>
  <c r="Q44" i="28"/>
  <c r="R44" i="28"/>
  <c r="S44" i="28"/>
  <c r="T44" i="28"/>
  <c r="Q45" i="28"/>
  <c r="R45" i="28"/>
  <c r="S45" i="28"/>
  <c r="T45" i="28"/>
  <c r="Q46" i="28"/>
  <c r="R46" i="28"/>
  <c r="S46" i="28"/>
  <c r="T46" i="28"/>
  <c r="Q47" i="28"/>
  <c r="R47" i="28"/>
  <c r="S47" i="28"/>
  <c r="T47" i="28"/>
  <c r="Q48" i="28"/>
  <c r="R48" i="28"/>
  <c r="S48" i="28"/>
  <c r="T48" i="28"/>
  <c r="Q49" i="28"/>
  <c r="R49" i="28"/>
  <c r="S49" i="28"/>
  <c r="T49" i="28"/>
  <c r="Q50" i="28"/>
  <c r="R50" i="28"/>
  <c r="S50" i="28"/>
  <c r="T50" i="28"/>
  <c r="Q51" i="28"/>
  <c r="R51" i="28"/>
  <c r="S51" i="28"/>
  <c r="T51" i="28"/>
  <c r="Q52" i="28"/>
  <c r="R52" i="28"/>
  <c r="S52" i="28"/>
  <c r="T52" i="28"/>
  <c r="Q53" i="28"/>
  <c r="R53" i="28"/>
  <c r="S53" i="28"/>
  <c r="T53" i="28"/>
  <c r="Q54" i="28"/>
  <c r="R54" i="28"/>
  <c r="S54" i="28"/>
  <c r="T54" i="28"/>
  <c r="Q55" i="28"/>
  <c r="R55" i="28"/>
  <c r="S55" i="28"/>
  <c r="T55" i="28"/>
  <c r="Q56" i="28"/>
  <c r="R56" i="28"/>
  <c r="S56" i="28"/>
  <c r="T56" i="28"/>
  <c r="Q57" i="28"/>
  <c r="R57" i="28"/>
  <c r="S57" i="28"/>
  <c r="T57" i="28"/>
  <c r="Q58" i="28"/>
  <c r="R58" i="28"/>
  <c r="S58" i="28"/>
  <c r="T58" i="28"/>
  <c r="Q59" i="28"/>
  <c r="R59" i="28"/>
  <c r="S59" i="28"/>
  <c r="T59" i="28"/>
  <c r="Q60" i="28"/>
  <c r="R60" i="28"/>
  <c r="S60" i="28"/>
  <c r="T60" i="28"/>
  <c r="Q61" i="28"/>
  <c r="R61" i="28"/>
  <c r="S61" i="28"/>
  <c r="T61" i="28"/>
  <c r="Q62" i="28"/>
  <c r="R62" i="28"/>
  <c r="S62" i="28"/>
  <c r="T62" i="28"/>
  <c r="Q63" i="28"/>
  <c r="R63" i="28"/>
  <c r="S63" i="28"/>
  <c r="T63" i="28"/>
  <c r="Q64" i="28"/>
  <c r="R64" i="28"/>
  <c r="S64" i="28"/>
  <c r="T64" i="28"/>
  <c r="Q65" i="28"/>
  <c r="R65" i="28"/>
  <c r="S65" i="28"/>
  <c r="T65" i="28"/>
  <c r="Q66" i="28"/>
  <c r="R66" i="28"/>
  <c r="S66" i="28"/>
  <c r="T66" i="28"/>
  <c r="Q67" i="28"/>
  <c r="R67" i="28"/>
  <c r="S67" i="28"/>
  <c r="T67" i="28"/>
  <c r="Q68" i="28"/>
  <c r="R68" i="28"/>
  <c r="S68" i="28"/>
  <c r="T68" i="28"/>
  <c r="Q69" i="28"/>
  <c r="R69" i="28"/>
  <c r="S69" i="28"/>
  <c r="T69" i="28"/>
  <c r="Q70" i="28"/>
  <c r="R70" i="28"/>
  <c r="S70" i="28"/>
  <c r="T70" i="28"/>
  <c r="Q71" i="28"/>
  <c r="R71" i="28"/>
  <c r="S71" i="28"/>
  <c r="T71" i="28"/>
  <c r="Q72" i="28"/>
  <c r="R72" i="28"/>
  <c r="S72" i="28"/>
  <c r="T72" i="28"/>
  <c r="Q73" i="28"/>
  <c r="R73" i="28"/>
  <c r="S73" i="28"/>
  <c r="T73" i="28"/>
  <c r="Q74" i="28"/>
  <c r="R74" i="28"/>
  <c r="S74" i="28"/>
  <c r="T74" i="28"/>
  <c r="Q75" i="28"/>
  <c r="R75" i="28"/>
  <c r="S75" i="28"/>
  <c r="T75" i="28"/>
  <c r="Q76" i="28"/>
  <c r="R76" i="28"/>
  <c r="S76" i="28"/>
  <c r="T76" i="28"/>
  <c r="Q77" i="28"/>
  <c r="R77" i="28"/>
  <c r="S77" i="28"/>
  <c r="T77" i="28"/>
  <c r="Q78" i="28"/>
  <c r="R78" i="28"/>
  <c r="S78" i="28"/>
  <c r="T78" i="28"/>
  <c r="Q79" i="28"/>
  <c r="R79" i="28"/>
  <c r="S79" i="28"/>
  <c r="T79" i="28"/>
  <c r="Q80" i="28"/>
  <c r="R80" i="28"/>
  <c r="S80" i="28"/>
  <c r="T80" i="28"/>
  <c r="Q81" i="28"/>
  <c r="R81" i="28"/>
  <c r="S81" i="28"/>
  <c r="T81" i="28"/>
  <c r="Q82" i="28"/>
  <c r="R82" i="28"/>
  <c r="S82" i="28"/>
  <c r="T82" i="28"/>
  <c r="Q83" i="28"/>
  <c r="R83" i="28"/>
  <c r="S83" i="28"/>
  <c r="T83" i="28"/>
  <c r="Q84" i="28"/>
  <c r="R84" i="28"/>
  <c r="S84" i="28"/>
  <c r="T84" i="28"/>
  <c r="Q85" i="28"/>
  <c r="R85" i="28"/>
  <c r="S85" i="28"/>
  <c r="T85" i="28"/>
  <c r="Q86" i="28"/>
  <c r="R86" i="28"/>
  <c r="S86" i="28"/>
  <c r="T86" i="28"/>
  <c r="Q87" i="28"/>
  <c r="R87" i="28"/>
  <c r="S87" i="28"/>
  <c r="T87" i="28"/>
  <c r="Q88" i="28"/>
  <c r="R88" i="28"/>
  <c r="S88" i="28"/>
  <c r="T88" i="28"/>
  <c r="Q89" i="28"/>
  <c r="R89" i="28"/>
  <c r="S89" i="28"/>
  <c r="T89" i="28"/>
  <c r="Q90" i="28"/>
  <c r="R90" i="28"/>
  <c r="S90" i="28"/>
  <c r="T90" i="28"/>
  <c r="Q91" i="28"/>
  <c r="R91" i="28"/>
  <c r="S91" i="28"/>
  <c r="T91" i="28"/>
  <c r="Q92" i="28"/>
  <c r="R92" i="28"/>
  <c r="S92" i="28"/>
  <c r="T92" i="28"/>
  <c r="Q93" i="28"/>
  <c r="R93" i="28"/>
  <c r="S93" i="28"/>
  <c r="T93" i="28"/>
  <c r="Q94" i="28"/>
  <c r="R94" i="28"/>
  <c r="S94" i="28"/>
  <c r="T94" i="28"/>
  <c r="Q95" i="28"/>
  <c r="R95" i="28"/>
  <c r="S95" i="28"/>
  <c r="T95" i="28"/>
  <c r="Q96" i="28"/>
  <c r="R96" i="28"/>
  <c r="S96" i="28"/>
  <c r="T96" i="28"/>
  <c r="Q97" i="28"/>
  <c r="R97" i="28"/>
  <c r="S97" i="28"/>
  <c r="T97" i="28"/>
  <c r="Q98" i="28"/>
  <c r="R98" i="28"/>
  <c r="S98" i="28"/>
  <c r="T98" i="28"/>
  <c r="Q99" i="28"/>
  <c r="R99" i="28"/>
  <c r="S99" i="28"/>
  <c r="T99" i="28"/>
  <c r="Q100" i="28"/>
  <c r="R100" i="28"/>
  <c r="S100" i="28"/>
  <c r="T100" i="28"/>
  <c r="Q101" i="28"/>
  <c r="R101" i="28"/>
  <c r="S101" i="28"/>
  <c r="T101" i="28"/>
  <c r="Q102" i="28"/>
  <c r="R102" i="28"/>
  <c r="S102" i="28"/>
  <c r="T102" i="28"/>
  <c r="Q103" i="28"/>
  <c r="R103" i="28"/>
  <c r="S103" i="28"/>
  <c r="T103" i="28"/>
  <c r="Q104" i="28"/>
  <c r="R104" i="28"/>
  <c r="S104" i="28"/>
  <c r="T104" i="28"/>
  <c r="Q105" i="28"/>
  <c r="R105" i="28"/>
  <c r="S105" i="28"/>
  <c r="T105" i="28"/>
  <c r="Q106" i="28"/>
  <c r="R106" i="28"/>
  <c r="S106" i="28"/>
  <c r="T106" i="28"/>
  <c r="Q107" i="28"/>
  <c r="R107" i="28"/>
  <c r="S107" i="28"/>
  <c r="T107" i="28"/>
  <c r="Q108" i="28"/>
  <c r="R108" i="28"/>
  <c r="S108" i="28"/>
  <c r="T108" i="28"/>
  <c r="Q109" i="28"/>
  <c r="R109" i="28"/>
  <c r="S109" i="28"/>
  <c r="T109" i="28"/>
  <c r="Q110" i="28"/>
  <c r="R110" i="28"/>
  <c r="S110" i="28"/>
  <c r="T110" i="28"/>
  <c r="Q111" i="28"/>
  <c r="R111" i="28"/>
  <c r="S111" i="28"/>
  <c r="T111" i="28"/>
  <c r="Q112" i="28"/>
  <c r="R112" i="28"/>
  <c r="S112" i="28"/>
  <c r="T112" i="28"/>
  <c r="Q113" i="28"/>
  <c r="R113" i="28"/>
  <c r="S113" i="28"/>
  <c r="T113" i="28"/>
  <c r="Q114" i="28"/>
  <c r="R114" i="28"/>
  <c r="S114" i="28"/>
  <c r="T114" i="28"/>
  <c r="Q115" i="28"/>
  <c r="R115" i="28"/>
  <c r="S115" i="28"/>
  <c r="T115" i="28"/>
  <c r="Q116" i="28"/>
  <c r="R116" i="28"/>
  <c r="S116" i="28"/>
  <c r="T116" i="28"/>
  <c r="Q117" i="28"/>
  <c r="R117" i="28"/>
  <c r="S117" i="28"/>
  <c r="T117" i="28"/>
  <c r="Q118" i="28"/>
  <c r="R118" i="28"/>
  <c r="S118" i="28"/>
  <c r="T118" i="28"/>
  <c r="Q119" i="28"/>
  <c r="R119" i="28"/>
  <c r="S119" i="28"/>
  <c r="T119" i="28"/>
  <c r="Q120" i="28"/>
  <c r="R120" i="28"/>
  <c r="S120" i="28"/>
  <c r="T120" i="28"/>
  <c r="Q121" i="28"/>
  <c r="R121" i="28"/>
  <c r="S121" i="28"/>
  <c r="T121" i="28"/>
  <c r="Q122" i="28"/>
  <c r="R122" i="28"/>
  <c r="S122" i="28"/>
  <c r="T122" i="28"/>
  <c r="Q123" i="28"/>
  <c r="R123" i="28"/>
  <c r="S123" i="28"/>
  <c r="T123" i="28"/>
  <c r="Q124" i="28"/>
  <c r="R124" i="28"/>
  <c r="S124" i="28"/>
  <c r="T124" i="28"/>
  <c r="Q125" i="28"/>
  <c r="R125" i="28"/>
  <c r="S125" i="28"/>
  <c r="T125" i="28"/>
  <c r="Q126" i="28"/>
  <c r="R126" i="28"/>
  <c r="S126" i="28"/>
  <c r="T126" i="28"/>
  <c r="Q127" i="28"/>
  <c r="R127" i="28"/>
  <c r="S127" i="28"/>
  <c r="T127" i="28"/>
  <c r="Q128" i="28"/>
  <c r="R128" i="28"/>
  <c r="S128" i="28"/>
  <c r="T128" i="28"/>
  <c r="Q129" i="28"/>
  <c r="R129" i="28"/>
  <c r="S129" i="28"/>
  <c r="T129" i="28"/>
  <c r="Q130" i="28"/>
  <c r="R130" i="28"/>
  <c r="S130" i="28"/>
  <c r="T130" i="28"/>
  <c r="Q131" i="28"/>
  <c r="R131" i="28"/>
  <c r="S131" i="28"/>
  <c r="T131" i="28"/>
  <c r="Q132" i="28"/>
  <c r="R132" i="28"/>
  <c r="S132" i="28"/>
  <c r="T132" i="28"/>
  <c r="Q133" i="28"/>
  <c r="R133" i="28"/>
  <c r="S133" i="28"/>
  <c r="T133" i="28"/>
  <c r="Q134" i="28"/>
  <c r="R134" i="28"/>
  <c r="S134" i="28"/>
  <c r="T134" i="28"/>
  <c r="Q135" i="28"/>
  <c r="R135" i="28"/>
  <c r="S135" i="28"/>
  <c r="T135" i="28"/>
  <c r="Q136" i="28"/>
  <c r="R136" i="28"/>
  <c r="S136" i="28"/>
  <c r="T136" i="28"/>
  <c r="Q137" i="28"/>
  <c r="R137" i="28"/>
  <c r="S137" i="28"/>
  <c r="T137" i="28"/>
  <c r="Q138" i="28"/>
  <c r="R138" i="28"/>
  <c r="S138" i="28"/>
  <c r="T138" i="28"/>
  <c r="Q139" i="28"/>
  <c r="R139" i="28"/>
  <c r="S139" i="28"/>
  <c r="T139" i="28"/>
  <c r="Q140" i="28"/>
  <c r="R140" i="28"/>
  <c r="S140" i="28"/>
  <c r="T140" i="28"/>
  <c r="Q141" i="28"/>
  <c r="R141" i="28"/>
  <c r="S141" i="28"/>
  <c r="T141" i="28"/>
  <c r="Q142" i="28"/>
  <c r="R142" i="28"/>
  <c r="S142" i="28"/>
  <c r="T142" i="28"/>
  <c r="Q143" i="28"/>
  <c r="R143" i="28"/>
  <c r="S143" i="28"/>
  <c r="T143" i="28"/>
  <c r="Q144" i="28"/>
  <c r="R144" i="28"/>
  <c r="S144" i="28"/>
  <c r="T144" i="28"/>
  <c r="Q145" i="28"/>
  <c r="R145" i="28"/>
  <c r="S145" i="28"/>
  <c r="T145" i="28"/>
  <c r="Q146" i="28"/>
  <c r="R146" i="28"/>
  <c r="S146" i="28"/>
  <c r="T146" i="28"/>
  <c r="Q147" i="28"/>
  <c r="R147" i="28"/>
  <c r="S147" i="28"/>
  <c r="T147" i="28"/>
  <c r="Q148" i="28"/>
  <c r="R148" i="28"/>
  <c r="S148" i="28"/>
  <c r="T148" i="28"/>
  <c r="Q149" i="28"/>
  <c r="R149" i="28"/>
  <c r="S149" i="28"/>
  <c r="T149" i="28"/>
  <c r="Q150" i="28"/>
  <c r="R150" i="28"/>
  <c r="S150" i="28"/>
  <c r="T150" i="28"/>
  <c r="Q151" i="28"/>
  <c r="R151" i="28"/>
  <c r="S151" i="28"/>
  <c r="T151" i="28"/>
  <c r="Q152" i="28"/>
  <c r="R152" i="28"/>
  <c r="S152" i="28"/>
  <c r="T152" i="28"/>
  <c r="Q153" i="28"/>
  <c r="R153" i="28"/>
  <c r="S153" i="28"/>
  <c r="T153" i="28"/>
  <c r="Q154" i="28"/>
  <c r="R154" i="28"/>
  <c r="S154" i="28"/>
  <c r="T154" i="28"/>
  <c r="Q155" i="28"/>
  <c r="R155" i="28"/>
  <c r="S155" i="28"/>
  <c r="T155" i="28"/>
  <c r="Q156" i="28"/>
  <c r="R156" i="28"/>
  <c r="S156" i="28"/>
  <c r="T156" i="28"/>
  <c r="Q157" i="28"/>
  <c r="R157" i="28"/>
  <c r="S157" i="28"/>
  <c r="T157" i="28"/>
  <c r="Q158" i="28"/>
  <c r="R158" i="28"/>
  <c r="S158" i="28"/>
  <c r="T158" i="28"/>
  <c r="Q159" i="28"/>
  <c r="R159" i="28"/>
  <c r="S159" i="28"/>
  <c r="T159" i="28"/>
  <c r="Q160" i="28"/>
  <c r="R160" i="28"/>
  <c r="S160" i="28"/>
  <c r="T160" i="28"/>
  <c r="Q161" i="28"/>
  <c r="R161" i="28"/>
  <c r="S161" i="28"/>
  <c r="T161" i="28"/>
  <c r="Q162" i="28"/>
  <c r="R162" i="28"/>
  <c r="S162" i="28"/>
  <c r="T162" i="28"/>
  <c r="Q163" i="28"/>
  <c r="R163" i="28"/>
  <c r="S163" i="28"/>
  <c r="T163" i="28"/>
  <c r="Q164" i="28"/>
  <c r="R164" i="28"/>
  <c r="S164" i="28"/>
  <c r="T164" i="28"/>
  <c r="Q165" i="28"/>
  <c r="R165" i="28"/>
  <c r="S165" i="28"/>
  <c r="T165" i="28"/>
  <c r="Q166" i="28"/>
  <c r="R166" i="28"/>
  <c r="S166" i="28"/>
  <c r="T166" i="28"/>
  <c r="Q167" i="28"/>
  <c r="R167" i="28"/>
  <c r="S167" i="28"/>
  <c r="T167" i="28"/>
  <c r="Q168" i="28"/>
  <c r="R168" i="28"/>
  <c r="S168" i="28"/>
  <c r="T168" i="28"/>
  <c r="Q169" i="28"/>
  <c r="R169" i="28"/>
  <c r="S169" i="28"/>
  <c r="T169" i="28"/>
  <c r="Q170" i="28"/>
  <c r="R170" i="28"/>
  <c r="S170" i="28"/>
  <c r="T170" i="28"/>
  <c r="Q171" i="28"/>
  <c r="R171" i="28"/>
  <c r="S171" i="28"/>
  <c r="T171" i="28"/>
  <c r="Q172" i="28"/>
  <c r="R172" i="28"/>
  <c r="S172" i="28"/>
  <c r="T172" i="28"/>
  <c r="Q173" i="28"/>
  <c r="R173" i="28"/>
  <c r="S173" i="28"/>
  <c r="T173" i="28"/>
  <c r="Q174" i="28"/>
  <c r="R174" i="28"/>
  <c r="S174" i="28"/>
  <c r="T174" i="28"/>
  <c r="Q175" i="28"/>
  <c r="R175" i="28"/>
  <c r="S175" i="28"/>
  <c r="T175" i="28"/>
  <c r="Q176" i="28"/>
  <c r="R176" i="28"/>
  <c r="S176" i="28"/>
  <c r="T176" i="28"/>
  <c r="Q177" i="28"/>
  <c r="R177" i="28"/>
  <c r="S177" i="28"/>
  <c r="T177" i="28"/>
  <c r="Q178" i="28"/>
  <c r="R178" i="28"/>
  <c r="S178" i="28"/>
  <c r="T178" i="28"/>
  <c r="Q179" i="28"/>
  <c r="R179" i="28"/>
  <c r="S179" i="28"/>
  <c r="T179" i="28"/>
  <c r="Q180" i="28"/>
  <c r="R180" i="28"/>
  <c r="S180" i="28"/>
  <c r="T180" i="28"/>
  <c r="Q181" i="28"/>
  <c r="R181" i="28"/>
  <c r="S181" i="28"/>
  <c r="T181" i="28"/>
  <c r="Q182" i="28"/>
  <c r="R182" i="28"/>
  <c r="S182" i="28"/>
  <c r="T182" i="28"/>
  <c r="Q183" i="28"/>
  <c r="R183" i="28"/>
  <c r="S183" i="28"/>
  <c r="T183" i="28"/>
  <c r="Q184" i="28"/>
  <c r="R184" i="28"/>
  <c r="S184" i="28"/>
  <c r="T184" i="28"/>
  <c r="Q185" i="28"/>
  <c r="R185" i="28"/>
  <c r="S185" i="28"/>
  <c r="T185" i="28"/>
  <c r="Q186" i="28"/>
  <c r="R186" i="28"/>
  <c r="S186" i="28"/>
  <c r="T186" i="28"/>
  <c r="Q187" i="28"/>
  <c r="R187" i="28"/>
  <c r="S187" i="28"/>
  <c r="T187" i="28"/>
  <c r="Q188" i="28"/>
  <c r="R188" i="28"/>
  <c r="S188" i="28"/>
  <c r="T188" i="28"/>
  <c r="Q189" i="28"/>
  <c r="R189" i="28"/>
  <c r="S189" i="28"/>
  <c r="T189" i="28"/>
  <c r="Q190" i="28"/>
  <c r="R190" i="28"/>
  <c r="S190" i="28"/>
  <c r="T190" i="28"/>
  <c r="Q191" i="28"/>
  <c r="R191" i="28"/>
  <c r="S191" i="28"/>
  <c r="T191" i="28"/>
  <c r="Q192" i="28"/>
  <c r="R192" i="28"/>
  <c r="S192" i="28"/>
  <c r="T192" i="28"/>
  <c r="Q193" i="28"/>
  <c r="R193" i="28"/>
  <c r="S193" i="28"/>
  <c r="T193" i="28"/>
  <c r="Q194" i="28"/>
  <c r="R194" i="28"/>
  <c r="S194" i="28"/>
  <c r="T194" i="28"/>
  <c r="Q195" i="28"/>
  <c r="R195" i="28"/>
  <c r="S195" i="28"/>
  <c r="T195" i="28"/>
  <c r="Q196" i="28"/>
  <c r="R196" i="28"/>
  <c r="S196" i="28"/>
  <c r="T196" i="28"/>
  <c r="Q197" i="28"/>
  <c r="R197" i="28"/>
  <c r="S197" i="28"/>
  <c r="T197" i="28"/>
  <c r="Q198" i="28"/>
  <c r="R198" i="28"/>
  <c r="S198" i="28"/>
  <c r="T198" i="28"/>
  <c r="Q199" i="28"/>
  <c r="R199" i="28"/>
  <c r="S199" i="28"/>
  <c r="T199" i="28"/>
  <c r="Q200" i="28"/>
  <c r="R200" i="28"/>
  <c r="S200" i="28"/>
  <c r="T200" i="28"/>
  <c r="Q201" i="28"/>
  <c r="R201" i="28"/>
  <c r="S201" i="28"/>
  <c r="T201" i="28"/>
  <c r="Q202" i="28"/>
  <c r="R202" i="28"/>
  <c r="S202" i="28"/>
  <c r="T202" i="28"/>
  <c r="Q203" i="28"/>
  <c r="R203" i="28"/>
  <c r="S203" i="28"/>
  <c r="T203" i="28"/>
  <c r="Q204" i="28"/>
  <c r="R204" i="28"/>
  <c r="S204" i="28"/>
  <c r="T204" i="28"/>
  <c r="Q205" i="28"/>
  <c r="R205" i="28"/>
  <c r="S205" i="28"/>
  <c r="T205" i="28"/>
  <c r="Q206" i="28"/>
  <c r="R206" i="28"/>
  <c r="S206" i="28"/>
  <c r="T206" i="28"/>
  <c r="Q207" i="28"/>
  <c r="R207" i="28"/>
  <c r="S207" i="28"/>
  <c r="T207" i="28"/>
  <c r="Q208" i="28"/>
  <c r="R208" i="28"/>
  <c r="S208" i="28"/>
  <c r="T208" i="28"/>
  <c r="Q209" i="28"/>
  <c r="R209" i="28"/>
  <c r="S209" i="28"/>
  <c r="T209" i="28"/>
  <c r="Q210" i="28"/>
  <c r="R210" i="28"/>
  <c r="S210" i="28"/>
  <c r="T210" i="28"/>
  <c r="Q211" i="28"/>
  <c r="R211" i="28"/>
  <c r="S211" i="28"/>
  <c r="T211" i="28"/>
  <c r="Q212" i="28"/>
  <c r="R212" i="28"/>
  <c r="S212" i="28"/>
  <c r="T212" i="28"/>
  <c r="Q213" i="28"/>
  <c r="R213" i="28"/>
  <c r="S213" i="28"/>
  <c r="T213" i="28"/>
  <c r="Q214" i="28"/>
  <c r="R214" i="28"/>
  <c r="S214" i="28"/>
  <c r="T214" i="28"/>
  <c r="Q215" i="28"/>
  <c r="R215" i="28"/>
  <c r="S215" i="28"/>
  <c r="T215" i="28"/>
  <c r="Q216" i="28"/>
  <c r="R216" i="28"/>
  <c r="S216" i="28"/>
  <c r="T216" i="28"/>
  <c r="Q217" i="28"/>
  <c r="R217" i="28"/>
  <c r="S217" i="28"/>
  <c r="T217" i="28"/>
  <c r="Q218" i="28"/>
  <c r="R218" i="28"/>
  <c r="S218" i="28"/>
  <c r="T218" i="28"/>
  <c r="Q219" i="28"/>
  <c r="R219" i="28"/>
  <c r="S219" i="28"/>
  <c r="T219" i="28"/>
  <c r="Q220" i="28"/>
  <c r="R220" i="28"/>
  <c r="S220" i="28"/>
  <c r="T220" i="28"/>
  <c r="Q221" i="28"/>
  <c r="R221" i="28"/>
  <c r="S221" i="28"/>
  <c r="T221" i="28"/>
  <c r="Q222" i="28"/>
  <c r="R222" i="28"/>
  <c r="S222" i="28"/>
  <c r="T222" i="28"/>
  <c r="Q223" i="28"/>
  <c r="R223" i="28"/>
  <c r="S223" i="28"/>
  <c r="T223" i="28"/>
  <c r="Q224" i="28"/>
  <c r="R224" i="28"/>
  <c r="S224" i="28"/>
  <c r="T224" i="28"/>
  <c r="Q225" i="28"/>
  <c r="R225" i="28"/>
  <c r="S225" i="28"/>
  <c r="T225" i="28"/>
  <c r="Q226" i="28"/>
  <c r="R226" i="28"/>
  <c r="S226" i="28"/>
  <c r="T226" i="28"/>
  <c r="Q227" i="28"/>
  <c r="R227" i="28"/>
  <c r="S227" i="28"/>
  <c r="T227" i="28"/>
  <c r="Q228" i="28"/>
  <c r="R228" i="28"/>
  <c r="S228" i="28"/>
  <c r="T228" i="28"/>
  <c r="Q229" i="28"/>
  <c r="R229" i="28"/>
  <c r="S229" i="28"/>
  <c r="T229" i="28"/>
  <c r="Q230" i="28"/>
  <c r="R230" i="28"/>
  <c r="S230" i="28"/>
  <c r="T230" i="28"/>
  <c r="Q231" i="28"/>
  <c r="R231" i="28"/>
  <c r="S231" i="28"/>
  <c r="T231" i="28"/>
  <c r="Q232" i="28"/>
  <c r="R232" i="28"/>
  <c r="S232" i="28"/>
  <c r="T232" i="28"/>
  <c r="Q233" i="28"/>
  <c r="R233" i="28"/>
  <c r="S233" i="28"/>
  <c r="T233" i="28"/>
  <c r="Q234" i="28"/>
  <c r="R234" i="28"/>
  <c r="S234" i="28"/>
  <c r="T234" i="28"/>
  <c r="Q235" i="28"/>
  <c r="R235" i="28"/>
  <c r="S235" i="28"/>
  <c r="T235" i="28"/>
  <c r="Q236" i="28"/>
  <c r="R236" i="28"/>
  <c r="S236" i="28"/>
  <c r="T236" i="28"/>
  <c r="Q237" i="28"/>
  <c r="R237" i="28"/>
  <c r="S237" i="28"/>
  <c r="T237" i="28"/>
  <c r="Q238" i="28"/>
  <c r="R238" i="28"/>
  <c r="S238" i="28"/>
  <c r="T238" i="28"/>
  <c r="Q239" i="28"/>
  <c r="R239" i="28"/>
  <c r="S239" i="28"/>
  <c r="T239" i="28"/>
  <c r="Q240" i="28"/>
  <c r="R240" i="28"/>
  <c r="S240" i="28"/>
  <c r="T240" i="28"/>
  <c r="Q241" i="28"/>
  <c r="R241" i="28"/>
  <c r="S241" i="28"/>
  <c r="T241" i="28"/>
  <c r="Q242" i="28"/>
  <c r="R242" i="28"/>
  <c r="S242" i="28"/>
  <c r="T242" i="28"/>
  <c r="Q243" i="28"/>
  <c r="R243" i="28"/>
  <c r="S243" i="28"/>
  <c r="T243" i="28"/>
  <c r="Q244" i="28"/>
  <c r="R244" i="28"/>
  <c r="S244" i="28"/>
  <c r="T244" i="28"/>
  <c r="Q245" i="28"/>
  <c r="R245" i="28"/>
  <c r="S245" i="28"/>
  <c r="T245" i="28"/>
  <c r="Q246" i="28"/>
  <c r="R246" i="28"/>
  <c r="S246" i="28"/>
  <c r="T246" i="28"/>
  <c r="Q247" i="28"/>
  <c r="R247" i="28"/>
  <c r="S247" i="28"/>
  <c r="T247" i="28"/>
  <c r="Q248" i="28"/>
  <c r="R248" i="28"/>
  <c r="S248" i="28"/>
  <c r="T248" i="28"/>
  <c r="Q249" i="28"/>
  <c r="R249" i="28"/>
  <c r="S249" i="28"/>
  <c r="T249" i="28"/>
  <c r="Q250" i="28"/>
  <c r="R250" i="28"/>
  <c r="S250" i="28"/>
  <c r="T250" i="28"/>
  <c r="Q251" i="28"/>
  <c r="R251" i="28"/>
  <c r="S251" i="28"/>
  <c r="T251" i="28"/>
  <c r="Q252" i="28"/>
  <c r="R252" i="28"/>
  <c r="S252" i="28"/>
  <c r="T252" i="28"/>
  <c r="Q253" i="28"/>
  <c r="R253" i="28"/>
  <c r="S253" i="28"/>
  <c r="T253" i="28"/>
  <c r="Q254" i="28"/>
  <c r="R254" i="28"/>
  <c r="S254" i="28"/>
  <c r="T254" i="28"/>
  <c r="Q255" i="28"/>
  <c r="R255" i="28"/>
  <c r="S255" i="28"/>
  <c r="T255" i="28"/>
  <c r="Q256" i="28"/>
  <c r="R256" i="28"/>
  <c r="S256" i="28"/>
  <c r="T256" i="28"/>
  <c r="Q257" i="28"/>
  <c r="R257" i="28"/>
  <c r="S257" i="28"/>
  <c r="T257" i="28"/>
  <c r="Q258" i="28"/>
  <c r="R258" i="28"/>
  <c r="S258" i="28"/>
  <c r="T258" i="28"/>
  <c r="Q259" i="28"/>
  <c r="R259" i="28"/>
  <c r="S259" i="28"/>
  <c r="T259" i="28"/>
  <c r="Q260" i="28"/>
  <c r="R260" i="28"/>
  <c r="S260" i="28"/>
  <c r="T260" i="28"/>
  <c r="Q261" i="28"/>
  <c r="R261" i="28"/>
  <c r="S261" i="28"/>
  <c r="T261" i="28"/>
  <c r="Q262" i="28"/>
  <c r="R262" i="28"/>
  <c r="S262" i="28"/>
  <c r="T262" i="28"/>
  <c r="Q263" i="28"/>
  <c r="R263" i="28"/>
  <c r="S263" i="28"/>
  <c r="T263" i="28"/>
  <c r="Q264" i="28"/>
  <c r="R264" i="28"/>
  <c r="S264" i="28"/>
  <c r="T264" i="28"/>
  <c r="Q265" i="28"/>
  <c r="R265" i="28"/>
  <c r="S265" i="28"/>
  <c r="T265" i="28"/>
  <c r="Q266" i="28"/>
  <c r="R266" i="28"/>
  <c r="S266" i="28"/>
  <c r="T266" i="28"/>
  <c r="Q267" i="28"/>
  <c r="R267" i="28"/>
  <c r="S267" i="28"/>
  <c r="T267" i="28"/>
  <c r="Q268" i="28"/>
  <c r="R268" i="28"/>
  <c r="S268" i="28"/>
  <c r="T268" i="28"/>
  <c r="Q269" i="28"/>
  <c r="R269" i="28"/>
  <c r="S269" i="28"/>
  <c r="T269" i="28"/>
  <c r="Q270" i="28"/>
  <c r="R270" i="28"/>
  <c r="S270" i="28"/>
  <c r="T270" i="28"/>
  <c r="Q271" i="28"/>
  <c r="R271" i="28"/>
  <c r="S271" i="28"/>
  <c r="T271" i="28"/>
  <c r="Q272" i="28"/>
  <c r="R272" i="28"/>
  <c r="S272" i="28"/>
  <c r="T272" i="28"/>
  <c r="Q273" i="28"/>
  <c r="R273" i="28"/>
  <c r="S273" i="28"/>
  <c r="T273" i="28"/>
  <c r="Q274" i="28"/>
  <c r="R274" i="28"/>
  <c r="S274" i="28"/>
  <c r="T274" i="28"/>
  <c r="Q275" i="28"/>
  <c r="R275" i="28"/>
  <c r="S275" i="28"/>
  <c r="T275" i="28"/>
  <c r="Q276" i="28"/>
  <c r="R276" i="28"/>
  <c r="S276" i="28"/>
  <c r="T276" i="28"/>
  <c r="Q277" i="28"/>
  <c r="R277" i="28"/>
  <c r="S277" i="28"/>
  <c r="T277" i="28"/>
  <c r="Q278" i="28"/>
  <c r="R278" i="28"/>
  <c r="S278" i="28"/>
  <c r="T278" i="28"/>
  <c r="Q279" i="28"/>
  <c r="R279" i="28"/>
  <c r="S279" i="28"/>
  <c r="T279" i="28"/>
  <c r="Q280" i="28"/>
  <c r="R280" i="28"/>
  <c r="S280" i="28"/>
  <c r="T280" i="28"/>
  <c r="Q281" i="28"/>
  <c r="R281" i="28"/>
  <c r="S281" i="28"/>
  <c r="T281" i="28"/>
  <c r="Q282" i="28"/>
  <c r="R282" i="28"/>
  <c r="S282" i="28"/>
  <c r="T282" i="28"/>
  <c r="Q283" i="28"/>
  <c r="R283" i="28"/>
  <c r="S283" i="28"/>
  <c r="T283" i="28"/>
  <c r="Q284" i="28"/>
  <c r="R284" i="28"/>
  <c r="S284" i="28"/>
  <c r="T284" i="28"/>
  <c r="Q285" i="28"/>
  <c r="R285" i="28"/>
  <c r="S285" i="28"/>
  <c r="T285" i="28"/>
  <c r="Q286" i="28"/>
  <c r="R286" i="28"/>
  <c r="S286" i="28"/>
  <c r="T286" i="28"/>
  <c r="Q287" i="28"/>
  <c r="R287" i="28"/>
  <c r="S287" i="28"/>
  <c r="T287" i="28"/>
  <c r="Q288" i="28"/>
  <c r="R288" i="28"/>
  <c r="S288" i="28"/>
  <c r="T288" i="28"/>
  <c r="Q289" i="28"/>
  <c r="R289" i="28"/>
  <c r="S289" i="28"/>
  <c r="T289" i="28"/>
  <c r="Q290" i="28"/>
  <c r="R290" i="28"/>
  <c r="S290" i="28"/>
  <c r="T290" i="28"/>
  <c r="Q291" i="28"/>
  <c r="R291" i="28"/>
  <c r="S291" i="28"/>
  <c r="T291" i="28"/>
  <c r="Q292" i="28"/>
  <c r="R292" i="28"/>
  <c r="S292" i="28"/>
  <c r="T292" i="28"/>
  <c r="Q293" i="28"/>
  <c r="R293" i="28"/>
  <c r="S293" i="28"/>
  <c r="T293" i="28"/>
  <c r="Q294" i="28"/>
  <c r="R294" i="28"/>
  <c r="S294" i="28"/>
  <c r="T294" i="28"/>
  <c r="Q295" i="28"/>
  <c r="R295" i="28"/>
  <c r="S295" i="28"/>
  <c r="T295" i="28"/>
  <c r="Q296" i="28"/>
  <c r="R296" i="28"/>
  <c r="S296" i="28"/>
  <c r="T296" i="28"/>
  <c r="Q297" i="28"/>
  <c r="R297" i="28"/>
  <c r="S297" i="28"/>
  <c r="T297" i="28"/>
  <c r="Q298" i="28"/>
  <c r="R298" i="28"/>
  <c r="S298" i="28"/>
  <c r="T298" i="28"/>
  <c r="Q299" i="28"/>
  <c r="R299" i="28"/>
  <c r="S299" i="28"/>
  <c r="T299" i="28"/>
  <c r="Q300" i="28"/>
  <c r="R300" i="28"/>
  <c r="S300" i="28"/>
  <c r="T300" i="28"/>
  <c r="Q301" i="28"/>
  <c r="R301" i="28"/>
  <c r="S301" i="28"/>
  <c r="T301" i="28"/>
  <c r="Q302" i="28"/>
  <c r="R302" i="28"/>
  <c r="S302" i="28"/>
  <c r="T302" i="28"/>
  <c r="Q303" i="28"/>
  <c r="R303" i="28"/>
  <c r="S303" i="28"/>
  <c r="T303" i="28"/>
  <c r="Q304" i="28"/>
  <c r="R304" i="28"/>
  <c r="S304" i="28"/>
  <c r="T304" i="28"/>
  <c r="Q305" i="28"/>
  <c r="R305" i="28"/>
  <c r="S305" i="28"/>
  <c r="T305" i="28"/>
  <c r="Q306" i="28"/>
  <c r="R306" i="28"/>
  <c r="S306" i="28"/>
  <c r="T306" i="28"/>
  <c r="Q307" i="28"/>
  <c r="R307" i="28"/>
  <c r="S307" i="28"/>
  <c r="T307" i="28"/>
  <c r="Q308" i="28"/>
  <c r="R308" i="28"/>
  <c r="S308" i="28"/>
  <c r="T308" i="28"/>
  <c r="Q309" i="28"/>
  <c r="R309" i="28"/>
  <c r="S309" i="28"/>
  <c r="T309" i="28"/>
  <c r="Q310" i="28"/>
  <c r="R310" i="28"/>
  <c r="S310" i="28"/>
  <c r="T310" i="28"/>
  <c r="Q311" i="28"/>
  <c r="R311" i="28"/>
  <c r="S311" i="28"/>
  <c r="T311" i="28"/>
  <c r="Q312" i="28"/>
  <c r="R312" i="28"/>
  <c r="S312" i="28"/>
  <c r="T312" i="28"/>
  <c r="Q313" i="28"/>
  <c r="R313" i="28"/>
  <c r="S313" i="28"/>
  <c r="T313" i="28"/>
  <c r="Q314" i="28"/>
  <c r="R314" i="28"/>
  <c r="S314" i="28"/>
  <c r="T314" i="28"/>
  <c r="Q315" i="28"/>
  <c r="R315" i="28"/>
  <c r="S315" i="28"/>
  <c r="T315" i="28"/>
  <c r="Q316" i="28"/>
  <c r="R316" i="28"/>
  <c r="S316" i="28"/>
  <c r="T316" i="28"/>
  <c r="Q317" i="28"/>
  <c r="R317" i="28"/>
  <c r="S317" i="28"/>
  <c r="T317" i="28"/>
  <c r="Q318" i="28"/>
  <c r="R318" i="28"/>
  <c r="S318" i="28"/>
  <c r="T318" i="28"/>
  <c r="Q319" i="28"/>
  <c r="R319" i="28"/>
  <c r="S319" i="28"/>
  <c r="T319" i="28"/>
  <c r="Q320" i="28"/>
  <c r="R320" i="28"/>
  <c r="S320" i="28"/>
  <c r="T320" i="28"/>
  <c r="Q321" i="28"/>
  <c r="R321" i="28"/>
  <c r="S321" i="28"/>
  <c r="T321" i="28"/>
  <c r="Q322" i="28"/>
  <c r="R322" i="28"/>
  <c r="S322" i="28"/>
  <c r="T322" i="28"/>
  <c r="Q323" i="28"/>
  <c r="R323" i="28"/>
  <c r="S323" i="28"/>
  <c r="T323" i="28"/>
  <c r="Q324" i="28"/>
  <c r="R324" i="28"/>
  <c r="S324" i="28"/>
  <c r="T324" i="28"/>
  <c r="Q325" i="28"/>
  <c r="R325" i="28"/>
  <c r="S325" i="28"/>
  <c r="T325" i="28"/>
  <c r="Q326" i="28"/>
  <c r="R326" i="28"/>
  <c r="S326" i="28"/>
  <c r="T326" i="28"/>
  <c r="Q327" i="28"/>
  <c r="R327" i="28"/>
  <c r="S327" i="28"/>
  <c r="T327" i="28"/>
  <c r="Q328" i="28"/>
  <c r="R328" i="28"/>
  <c r="S328" i="28"/>
  <c r="T328" i="28"/>
  <c r="Q329" i="28"/>
  <c r="R329" i="28"/>
  <c r="S329" i="28"/>
  <c r="T329" i="28"/>
  <c r="Q330" i="28"/>
  <c r="R330" i="28"/>
  <c r="S330" i="28"/>
  <c r="T330" i="28"/>
  <c r="Q331" i="28"/>
  <c r="R331" i="28"/>
  <c r="S331" i="28"/>
  <c r="T331" i="28"/>
  <c r="Q332" i="28"/>
  <c r="R332" i="28"/>
  <c r="S332" i="28"/>
  <c r="T332" i="28"/>
  <c r="Q333" i="28"/>
  <c r="R333" i="28"/>
  <c r="S333" i="28"/>
  <c r="T333" i="28"/>
  <c r="Q334" i="28"/>
  <c r="R334" i="28"/>
  <c r="S334" i="28"/>
  <c r="T334" i="28"/>
  <c r="Q335" i="28"/>
  <c r="R335" i="28"/>
  <c r="S335" i="28"/>
  <c r="T335" i="28"/>
  <c r="Q336" i="28"/>
  <c r="R336" i="28"/>
  <c r="S336" i="28"/>
  <c r="T336" i="28"/>
  <c r="Q337" i="28"/>
  <c r="R337" i="28"/>
  <c r="S337" i="28"/>
  <c r="T337" i="28"/>
  <c r="Q338" i="28"/>
  <c r="R338" i="28"/>
  <c r="S338" i="28"/>
  <c r="T338" i="28"/>
  <c r="Q339" i="28"/>
  <c r="R339" i="28"/>
  <c r="S339" i="28"/>
  <c r="T339" i="28"/>
  <c r="Q340" i="28"/>
  <c r="R340" i="28"/>
  <c r="S340" i="28"/>
  <c r="T340" i="28"/>
  <c r="Q341" i="28"/>
  <c r="R341" i="28"/>
  <c r="S341" i="28"/>
  <c r="T341" i="28"/>
  <c r="Q342" i="28"/>
  <c r="R342" i="28"/>
  <c r="S342" i="28"/>
  <c r="T342" i="28"/>
  <c r="Q343" i="28"/>
  <c r="R343" i="28"/>
  <c r="S343" i="28"/>
  <c r="T343" i="28"/>
  <c r="Q344" i="28"/>
  <c r="R344" i="28"/>
  <c r="S344" i="28"/>
  <c r="T344" i="28"/>
  <c r="Q345" i="28"/>
  <c r="R345" i="28"/>
  <c r="S345" i="28"/>
  <c r="T345" i="28"/>
  <c r="Q346" i="28"/>
  <c r="R346" i="28"/>
  <c r="S346" i="28"/>
  <c r="T346" i="28"/>
  <c r="Q347" i="28"/>
  <c r="R347" i="28"/>
  <c r="S347" i="28"/>
  <c r="T347" i="28"/>
  <c r="Q348" i="28"/>
  <c r="R348" i="28"/>
  <c r="S348" i="28"/>
  <c r="T348" i="28"/>
  <c r="Q349" i="28"/>
  <c r="R349" i="28"/>
  <c r="S349" i="28"/>
  <c r="T349" i="28"/>
  <c r="Q350" i="28"/>
  <c r="R350" i="28"/>
  <c r="S350" i="28"/>
  <c r="T350" i="28"/>
  <c r="Q351" i="28"/>
  <c r="R351" i="28"/>
  <c r="S351" i="28"/>
  <c r="T351" i="28"/>
  <c r="Q352" i="28"/>
  <c r="R352" i="28"/>
  <c r="S352" i="28"/>
  <c r="T352" i="28"/>
  <c r="Q353" i="28"/>
  <c r="R353" i="28"/>
  <c r="S353" i="28"/>
  <c r="T353" i="28"/>
  <c r="Q354" i="28"/>
  <c r="R354" i="28"/>
  <c r="S354" i="28"/>
  <c r="T354" i="28"/>
  <c r="Q355" i="28"/>
  <c r="R355" i="28"/>
  <c r="S355" i="28"/>
  <c r="T355" i="28"/>
  <c r="Q356" i="28"/>
  <c r="R356" i="28"/>
  <c r="S356" i="28"/>
  <c r="T356" i="28"/>
  <c r="Q357" i="28"/>
  <c r="R357" i="28"/>
  <c r="S357" i="28"/>
  <c r="T357" i="28"/>
  <c r="Q358" i="28"/>
  <c r="R358" i="28"/>
  <c r="S358" i="28"/>
  <c r="T358" i="28"/>
  <c r="Q359" i="28"/>
  <c r="R359" i="28"/>
  <c r="S359" i="28"/>
  <c r="T359" i="28"/>
  <c r="Q360" i="28"/>
  <c r="R360" i="28"/>
  <c r="S360" i="28"/>
  <c r="T360" i="28"/>
  <c r="Q361" i="28"/>
  <c r="R361" i="28"/>
  <c r="S361" i="28"/>
  <c r="T361" i="28"/>
  <c r="Q362" i="28"/>
  <c r="R362" i="28"/>
  <c r="S362" i="28"/>
  <c r="T362" i="28"/>
  <c r="Q363" i="28"/>
  <c r="R363" i="28"/>
  <c r="S363" i="28"/>
  <c r="T363" i="28"/>
  <c r="Q364" i="28"/>
  <c r="R364" i="28"/>
  <c r="S364" i="28"/>
  <c r="T364" i="28"/>
  <c r="Q365" i="28"/>
  <c r="R365" i="28"/>
  <c r="S365" i="28"/>
  <c r="T365" i="28"/>
  <c r="Q366" i="28"/>
  <c r="R366" i="28"/>
  <c r="S366" i="28"/>
  <c r="T366" i="28"/>
  <c r="Q367" i="28"/>
  <c r="R367" i="28"/>
  <c r="S367" i="28"/>
  <c r="T367" i="28"/>
  <c r="Q368" i="28"/>
  <c r="R368" i="28"/>
  <c r="S368" i="28"/>
  <c r="T368" i="28"/>
  <c r="Q369" i="28"/>
  <c r="R369" i="28"/>
  <c r="S369" i="28"/>
  <c r="T369" i="28"/>
  <c r="Q370" i="28"/>
  <c r="R370" i="28"/>
  <c r="S370" i="28"/>
  <c r="T370" i="28"/>
  <c r="Q371" i="28"/>
  <c r="R371" i="28"/>
  <c r="S371" i="28"/>
  <c r="T371" i="28"/>
  <c r="Q372" i="28"/>
  <c r="R372" i="28"/>
  <c r="S372" i="28"/>
  <c r="T372" i="28"/>
  <c r="Q373" i="28"/>
  <c r="R373" i="28"/>
  <c r="S373" i="28"/>
  <c r="T373" i="28"/>
  <c r="Q374" i="28"/>
  <c r="R374" i="28"/>
  <c r="S374" i="28"/>
  <c r="T374" i="28"/>
  <c r="Q375" i="28"/>
  <c r="R375" i="28"/>
  <c r="S375" i="28"/>
  <c r="T375" i="28"/>
  <c r="Q376" i="28"/>
  <c r="R376" i="28"/>
  <c r="S376" i="28"/>
  <c r="T376" i="28"/>
  <c r="Q377" i="28"/>
  <c r="R377" i="28"/>
  <c r="S377" i="28"/>
  <c r="T377" i="28"/>
  <c r="Q378" i="28"/>
  <c r="R378" i="28"/>
  <c r="S378" i="28"/>
  <c r="T378" i="28"/>
  <c r="Q379" i="28"/>
  <c r="R379" i="28"/>
  <c r="S379" i="28"/>
  <c r="T379" i="28"/>
  <c r="Q380" i="28"/>
  <c r="R380" i="28"/>
  <c r="S380" i="28"/>
  <c r="T380" i="28"/>
  <c r="Q381" i="28"/>
  <c r="R381" i="28"/>
  <c r="S381" i="28"/>
  <c r="T381" i="28"/>
  <c r="Q382" i="28"/>
  <c r="R382" i="28"/>
  <c r="S382" i="28"/>
  <c r="T382" i="28"/>
  <c r="Q383" i="28"/>
  <c r="R383" i="28"/>
  <c r="S383" i="28"/>
  <c r="T383" i="28"/>
  <c r="Q384" i="28"/>
  <c r="R384" i="28"/>
  <c r="S384" i="28"/>
  <c r="T384" i="28"/>
  <c r="Q385" i="28"/>
  <c r="R385" i="28"/>
  <c r="S385" i="28"/>
  <c r="T385" i="28"/>
  <c r="Q386" i="28"/>
  <c r="R386" i="28"/>
  <c r="S386" i="28"/>
  <c r="T386" i="28"/>
  <c r="Q387" i="28"/>
  <c r="R387" i="28"/>
  <c r="S387" i="28"/>
  <c r="T387" i="28"/>
  <c r="Q388" i="28"/>
  <c r="R388" i="28"/>
  <c r="S388" i="28"/>
  <c r="T388" i="28"/>
  <c r="Q389" i="28"/>
  <c r="R389" i="28"/>
  <c r="S389" i="28"/>
  <c r="T389" i="28"/>
  <c r="Q390" i="28"/>
  <c r="R390" i="28"/>
  <c r="S390" i="28"/>
  <c r="T390" i="28"/>
  <c r="Q391" i="28"/>
  <c r="R391" i="28"/>
  <c r="S391" i="28"/>
  <c r="T391" i="28"/>
  <c r="Q392" i="28"/>
  <c r="R392" i="28"/>
  <c r="S392" i="28"/>
  <c r="T392" i="28"/>
  <c r="Q393" i="28"/>
  <c r="R393" i="28"/>
  <c r="S393" i="28"/>
  <c r="T393" i="28"/>
  <c r="Q394" i="28"/>
  <c r="R394" i="28"/>
  <c r="S394" i="28"/>
  <c r="T394" i="28"/>
  <c r="Q395" i="28"/>
  <c r="R395" i="28"/>
  <c r="S395" i="28"/>
  <c r="T395" i="28"/>
  <c r="Q396" i="28"/>
  <c r="R396" i="28"/>
  <c r="S396" i="28"/>
  <c r="T396" i="28"/>
  <c r="Q397" i="28"/>
  <c r="R397" i="28"/>
  <c r="S397" i="28"/>
  <c r="T397" i="28"/>
  <c r="Q398" i="28"/>
  <c r="R398" i="28"/>
  <c r="S398" i="28"/>
  <c r="T398" i="28"/>
  <c r="Q399" i="28"/>
  <c r="R399" i="28"/>
  <c r="S399" i="28"/>
  <c r="T399" i="28"/>
  <c r="Q400" i="28"/>
  <c r="R400" i="28"/>
  <c r="S400" i="28"/>
  <c r="T400" i="28"/>
  <c r="Q401" i="28"/>
  <c r="R401" i="28"/>
  <c r="S401" i="28"/>
  <c r="T401" i="28"/>
  <c r="Q402" i="28"/>
  <c r="R402" i="28"/>
  <c r="S402" i="28"/>
  <c r="T402" i="28"/>
  <c r="Q403" i="28"/>
  <c r="R403" i="28"/>
  <c r="S403" i="28"/>
  <c r="T403" i="28"/>
  <c r="Q404" i="28"/>
  <c r="R404" i="28"/>
  <c r="S404" i="28"/>
  <c r="T404" i="28"/>
  <c r="Q405" i="28"/>
  <c r="R405" i="28"/>
  <c r="S405" i="28"/>
  <c r="T405" i="28"/>
  <c r="Q406" i="28"/>
  <c r="R406" i="28"/>
  <c r="S406" i="28"/>
  <c r="T406" i="28"/>
  <c r="Q407" i="28"/>
  <c r="R407" i="28"/>
  <c r="S407" i="28"/>
  <c r="T407" i="28"/>
  <c r="Q408" i="28"/>
  <c r="R408" i="28"/>
  <c r="S408" i="28"/>
  <c r="T408" i="28"/>
  <c r="Q409" i="28"/>
  <c r="R409" i="28"/>
  <c r="S409" i="28"/>
  <c r="T409" i="28"/>
  <c r="Q410" i="28"/>
  <c r="R410" i="28"/>
  <c r="S410" i="28"/>
  <c r="T410" i="28"/>
  <c r="R6" i="28"/>
  <c r="R411" i="28" s="1"/>
  <c r="Q6" i="28"/>
  <c r="E411" i="28"/>
  <c r="M8" i="27"/>
  <c r="N8" i="27" s="1"/>
  <c r="O8" i="27" s="1"/>
  <c r="M9" i="27"/>
  <c r="N9" i="27" s="1"/>
  <c r="O9" i="27" s="1"/>
  <c r="M10" i="27"/>
  <c r="N10" i="27" s="1"/>
  <c r="O10" i="27" s="1"/>
  <c r="M11" i="27"/>
  <c r="N11" i="27" s="1"/>
  <c r="O11" i="27" s="1"/>
  <c r="M12" i="27"/>
  <c r="N12" i="27" s="1"/>
  <c r="O12" i="27" s="1"/>
  <c r="M13" i="27"/>
  <c r="N13" i="27"/>
  <c r="O13" i="27" s="1"/>
  <c r="M14" i="27"/>
  <c r="N14" i="27" s="1"/>
  <c r="O14" i="27" s="1"/>
  <c r="M15" i="27"/>
  <c r="N15" i="27" s="1"/>
  <c r="O15" i="27" s="1"/>
  <c r="M16" i="27"/>
  <c r="N16" i="27"/>
  <c r="O16" i="27" s="1"/>
  <c r="M17" i="27"/>
  <c r="N17" i="27"/>
  <c r="O17" i="27"/>
  <c r="M18" i="27"/>
  <c r="N18" i="27"/>
  <c r="O18" i="27" s="1"/>
  <c r="M19" i="27"/>
  <c r="N19" i="27" s="1"/>
  <c r="O19" i="27" s="1"/>
  <c r="M20" i="27"/>
  <c r="N20" i="27" s="1"/>
  <c r="O20" i="27" s="1"/>
  <c r="M21" i="27"/>
  <c r="N21" i="27" s="1"/>
  <c r="O21" i="27" s="1"/>
  <c r="M22" i="27"/>
  <c r="N22" i="27"/>
  <c r="O22" i="27" s="1"/>
  <c r="M23" i="27"/>
  <c r="N23" i="27"/>
  <c r="O23" i="27" s="1"/>
  <c r="M24" i="27"/>
  <c r="N24" i="27"/>
  <c r="O24" i="27" s="1"/>
  <c r="M25" i="27"/>
  <c r="N25" i="27" s="1"/>
  <c r="O25" i="27" s="1"/>
  <c r="M26" i="27"/>
  <c r="N26" i="27"/>
  <c r="O26" i="27" s="1"/>
  <c r="M27" i="27"/>
  <c r="N27" i="27" s="1"/>
  <c r="O27" i="27" s="1"/>
  <c r="M28" i="27"/>
  <c r="N28" i="27" s="1"/>
  <c r="O28" i="27" s="1"/>
  <c r="M29" i="27"/>
  <c r="N29" i="27"/>
  <c r="O29" i="27" s="1"/>
  <c r="M30" i="27"/>
  <c r="N30" i="27" s="1"/>
  <c r="O30" i="27" s="1"/>
  <c r="M31" i="27"/>
  <c r="N31" i="27" s="1"/>
  <c r="O31" i="27" s="1"/>
  <c r="M32" i="27"/>
  <c r="N32" i="27" s="1"/>
  <c r="O32" i="27" s="1"/>
  <c r="M33" i="27"/>
  <c r="N33" i="27"/>
  <c r="O33" i="27" s="1"/>
  <c r="M34" i="27"/>
  <c r="N34" i="27" s="1"/>
  <c r="O34" i="27" s="1"/>
  <c r="M35" i="27"/>
  <c r="N35" i="27" s="1"/>
  <c r="O35" i="27" s="1"/>
  <c r="M36" i="27"/>
  <c r="N36" i="27" s="1"/>
  <c r="O36" i="27" s="1"/>
  <c r="M37" i="27"/>
  <c r="N37" i="27"/>
  <c r="O37" i="27"/>
  <c r="M38" i="27"/>
  <c r="N38" i="27" s="1"/>
  <c r="O38" i="27" s="1"/>
  <c r="M39" i="27"/>
  <c r="N39" i="27" s="1"/>
  <c r="O39" i="27" s="1"/>
  <c r="M40" i="27"/>
  <c r="N40" i="27"/>
  <c r="O40" i="27" s="1"/>
  <c r="M41" i="27"/>
  <c r="N41" i="27"/>
  <c r="O41" i="27"/>
  <c r="M42" i="27"/>
  <c r="N42" i="27"/>
  <c r="O42" i="27" s="1"/>
  <c r="M43" i="27"/>
  <c r="N43" i="27" s="1"/>
  <c r="O43" i="27" s="1"/>
  <c r="M44" i="27"/>
  <c r="N44" i="27" s="1"/>
  <c r="O44" i="27" s="1"/>
  <c r="M45" i="27"/>
  <c r="N45" i="27"/>
  <c r="O45" i="27"/>
  <c r="M46" i="27"/>
  <c r="N46" i="27"/>
  <c r="O46" i="27" s="1"/>
  <c r="M47" i="27"/>
  <c r="N47" i="27" s="1"/>
  <c r="O47" i="27" s="1"/>
  <c r="M48" i="27"/>
  <c r="N48" i="27"/>
  <c r="O48" i="27" s="1"/>
  <c r="M49" i="27"/>
  <c r="N49" i="27"/>
  <c r="O49" i="27" s="1"/>
  <c r="M50" i="27"/>
  <c r="N50" i="27"/>
  <c r="O50" i="27" s="1"/>
  <c r="M51" i="27"/>
  <c r="N51" i="27" s="1"/>
  <c r="O51" i="27" s="1"/>
  <c r="M52" i="27"/>
  <c r="N52" i="27" s="1"/>
  <c r="O52" i="27" s="1"/>
  <c r="M53" i="27"/>
  <c r="N53" i="27"/>
  <c r="O53" i="27" s="1"/>
  <c r="M54" i="27"/>
  <c r="N54" i="27" s="1"/>
  <c r="O54" i="27" s="1"/>
  <c r="M55" i="27"/>
  <c r="N55" i="27" s="1"/>
  <c r="O55" i="27" s="1"/>
  <c r="M56" i="27"/>
  <c r="N56" i="27" s="1"/>
  <c r="O56" i="27" s="1"/>
  <c r="M57" i="27"/>
  <c r="N57" i="27"/>
  <c r="O57" i="27" s="1"/>
  <c r="M58" i="27"/>
  <c r="N58" i="27" s="1"/>
  <c r="O58" i="27" s="1"/>
  <c r="M59" i="27"/>
  <c r="N59" i="27" s="1"/>
  <c r="O59" i="27" s="1"/>
  <c r="M60" i="27"/>
  <c r="N60" i="27" s="1"/>
  <c r="O60" i="27" s="1"/>
  <c r="M61" i="27"/>
  <c r="N61" i="27"/>
  <c r="O61" i="27"/>
  <c r="M62" i="27"/>
  <c r="N62" i="27" s="1"/>
  <c r="O62" i="27" s="1"/>
  <c r="M63" i="27"/>
  <c r="N63" i="27" s="1"/>
  <c r="O63" i="27" s="1"/>
  <c r="M64" i="27"/>
  <c r="N64" i="27"/>
  <c r="O64" i="27" s="1"/>
  <c r="M65" i="27"/>
  <c r="N65" i="27" s="1"/>
  <c r="O65" i="27" s="1"/>
  <c r="M66" i="27"/>
  <c r="N66" i="27"/>
  <c r="O66" i="27" s="1"/>
  <c r="M67" i="27"/>
  <c r="N67" i="27" s="1"/>
  <c r="O67" i="27" s="1"/>
  <c r="M68" i="27"/>
  <c r="N68" i="27"/>
  <c r="O68" i="27" s="1"/>
  <c r="M69" i="27"/>
  <c r="N69" i="27"/>
  <c r="O69" i="27" s="1"/>
  <c r="M70" i="27"/>
  <c r="N70" i="27"/>
  <c r="O70" i="27" s="1"/>
  <c r="M71" i="27"/>
  <c r="N71" i="27"/>
  <c r="O71" i="27" s="1"/>
  <c r="M72" i="27"/>
  <c r="N72" i="27" s="1"/>
  <c r="O72" i="27" s="1"/>
  <c r="M73" i="27"/>
  <c r="N73" i="27"/>
  <c r="O73" i="27" s="1"/>
  <c r="M74" i="27"/>
  <c r="N74" i="27" s="1"/>
  <c r="O74" i="27" s="1"/>
  <c r="M75" i="27"/>
  <c r="N75" i="27"/>
  <c r="O75" i="27" s="1"/>
  <c r="M76" i="27"/>
  <c r="N76" i="27" s="1"/>
  <c r="O76" i="27" s="1"/>
  <c r="M77" i="27"/>
  <c r="N77" i="27" s="1"/>
  <c r="O77" i="27" s="1"/>
  <c r="M78" i="27"/>
  <c r="N78" i="27" s="1"/>
  <c r="O78" i="27" s="1"/>
  <c r="M79" i="27"/>
  <c r="N79" i="27"/>
  <c r="O79" i="27" s="1"/>
  <c r="M80" i="27"/>
  <c r="N80" i="27" s="1"/>
  <c r="O80" i="27" s="1"/>
  <c r="M81" i="27"/>
  <c r="N81" i="27" s="1"/>
  <c r="O81" i="27" s="1"/>
  <c r="M82" i="27"/>
  <c r="N82" i="27" s="1"/>
  <c r="O82" i="27" s="1"/>
  <c r="M83" i="27"/>
  <c r="N83" i="27" s="1"/>
  <c r="O83" i="27" s="1"/>
  <c r="M84" i="27"/>
  <c r="N84" i="27" s="1"/>
  <c r="O84" i="27" s="1"/>
  <c r="M85" i="27"/>
  <c r="N85" i="27" s="1"/>
  <c r="O85" i="27" s="1"/>
  <c r="M86" i="27"/>
  <c r="N86" i="27" s="1"/>
  <c r="O86" i="27" s="1"/>
  <c r="M87" i="27"/>
  <c r="N87" i="27" s="1"/>
  <c r="O87" i="27" s="1"/>
  <c r="M88" i="27"/>
  <c r="N88" i="27"/>
  <c r="O88" i="27" s="1"/>
  <c r="M89" i="27"/>
  <c r="N89" i="27"/>
  <c r="O89" i="27" s="1"/>
  <c r="M90" i="27"/>
  <c r="N90" i="27"/>
  <c r="O90" i="27" s="1"/>
  <c r="M91" i="27"/>
  <c r="N91" i="27" s="1"/>
  <c r="O91" i="27" s="1"/>
  <c r="M92" i="27"/>
  <c r="N92" i="27"/>
  <c r="O92" i="27" s="1"/>
  <c r="M93" i="27"/>
  <c r="N93" i="27" s="1"/>
  <c r="O93" i="27" s="1"/>
  <c r="M94" i="27"/>
  <c r="N94" i="27" s="1"/>
  <c r="O94" i="27" s="1"/>
  <c r="M95" i="27"/>
  <c r="N95" i="27"/>
  <c r="O95" i="27" s="1"/>
  <c r="M96" i="27"/>
  <c r="N96" i="27"/>
  <c r="O96" i="27" s="1"/>
  <c r="M97" i="27"/>
  <c r="N97" i="27" s="1"/>
  <c r="O97" i="27" s="1"/>
  <c r="M98" i="27"/>
  <c r="N98" i="27"/>
  <c r="O98" i="27" s="1"/>
  <c r="M99" i="27"/>
  <c r="N99" i="27" s="1"/>
  <c r="O99" i="27" s="1"/>
  <c r="M100" i="27"/>
  <c r="N100" i="27" s="1"/>
  <c r="O100" i="27" s="1"/>
  <c r="M101" i="27"/>
  <c r="N101" i="27"/>
  <c r="O101" i="27" s="1"/>
  <c r="M102" i="27"/>
  <c r="N102" i="27" s="1"/>
  <c r="O102" i="27" s="1"/>
  <c r="M103" i="27"/>
  <c r="N103" i="27"/>
  <c r="O103" i="27" s="1"/>
  <c r="M104" i="27"/>
  <c r="N104" i="27" s="1"/>
  <c r="O104" i="27" s="1"/>
  <c r="M105" i="27"/>
  <c r="N105" i="27"/>
  <c r="O105" i="27" s="1"/>
  <c r="M106" i="27"/>
  <c r="N106" i="27" s="1"/>
  <c r="O106" i="27" s="1"/>
  <c r="M107" i="27"/>
  <c r="N107" i="27" s="1"/>
  <c r="O107" i="27" s="1"/>
  <c r="M108" i="27"/>
  <c r="N108" i="27" s="1"/>
  <c r="O108" i="27" s="1"/>
  <c r="M109" i="27"/>
  <c r="N109" i="27" s="1"/>
  <c r="O109" i="27"/>
  <c r="M110" i="27"/>
  <c r="N110" i="27" s="1"/>
  <c r="O110" i="27" s="1"/>
  <c r="M111" i="27"/>
  <c r="N111" i="27" s="1"/>
  <c r="O111" i="27" s="1"/>
  <c r="M112" i="27"/>
  <c r="N112" i="27"/>
  <c r="O112" i="27" s="1"/>
  <c r="M113" i="27"/>
  <c r="N113" i="27" s="1"/>
  <c r="O113" i="27" s="1"/>
  <c r="M114" i="27"/>
  <c r="N114" i="27"/>
  <c r="O114" i="27" s="1"/>
  <c r="M115" i="27"/>
  <c r="N115" i="27" s="1"/>
  <c r="O115" i="27" s="1"/>
  <c r="M116" i="27"/>
  <c r="N116" i="27" s="1"/>
  <c r="O116" i="27" s="1"/>
  <c r="M117" i="27"/>
  <c r="N117" i="27" s="1"/>
  <c r="O117" i="27" s="1"/>
  <c r="M118" i="27"/>
  <c r="N118" i="27" s="1"/>
  <c r="O118" i="27" s="1"/>
  <c r="M119" i="27"/>
  <c r="N119" i="27"/>
  <c r="O119" i="27" s="1"/>
  <c r="M120" i="27"/>
  <c r="N120" i="27" s="1"/>
  <c r="O120" i="27" s="1"/>
  <c r="M121" i="27"/>
  <c r="N121" i="27"/>
  <c r="O121" i="27" s="1"/>
  <c r="M122" i="27"/>
  <c r="N122" i="27" s="1"/>
  <c r="O122" i="27" s="1"/>
  <c r="M123" i="27"/>
  <c r="N123" i="27"/>
  <c r="O123" i="27" s="1"/>
  <c r="M124" i="27"/>
  <c r="N124" i="27" s="1"/>
  <c r="O124" i="27" s="1"/>
  <c r="M125" i="27"/>
  <c r="N125" i="27"/>
  <c r="O125" i="27" s="1"/>
  <c r="M126" i="27"/>
  <c r="N126" i="27" s="1"/>
  <c r="O126" i="27" s="1"/>
  <c r="M127" i="27"/>
  <c r="N127" i="27" s="1"/>
  <c r="O127" i="27" s="1"/>
  <c r="M128" i="27"/>
  <c r="N128" i="27" s="1"/>
  <c r="O128" i="27" s="1"/>
  <c r="M129" i="27"/>
  <c r="N129" i="27" s="1"/>
  <c r="O129" i="27" s="1"/>
  <c r="M130" i="27"/>
  <c r="N130" i="27" s="1"/>
  <c r="O130" i="27" s="1"/>
  <c r="M131" i="27"/>
  <c r="N131" i="27" s="1"/>
  <c r="O131" i="27" s="1"/>
  <c r="M132" i="27"/>
  <c r="N132" i="27" s="1"/>
  <c r="O132" i="27" s="1"/>
  <c r="M133" i="27"/>
  <c r="N133" i="27"/>
  <c r="O133" i="27" s="1"/>
  <c r="M134" i="27"/>
  <c r="N134" i="27" s="1"/>
  <c r="O134" i="27" s="1"/>
  <c r="M135" i="27"/>
  <c r="N135" i="27" s="1"/>
  <c r="O135" i="27" s="1"/>
  <c r="M136" i="27"/>
  <c r="N136" i="27" s="1"/>
  <c r="O136" i="27" s="1"/>
  <c r="M137" i="27"/>
  <c r="N137" i="27"/>
  <c r="O137" i="27"/>
  <c r="M138" i="27"/>
  <c r="N138" i="27"/>
  <c r="O138" i="27" s="1"/>
  <c r="M139" i="27"/>
  <c r="N139" i="27" s="1"/>
  <c r="O139" i="27" s="1"/>
  <c r="M140" i="27"/>
  <c r="N140" i="27" s="1"/>
  <c r="O140" i="27" s="1"/>
  <c r="M141" i="27"/>
  <c r="N141" i="27" s="1"/>
  <c r="O141" i="27" s="1"/>
  <c r="M142" i="27"/>
  <c r="N142" i="27" s="1"/>
  <c r="O142" i="27" s="1"/>
  <c r="M143" i="27"/>
  <c r="N143" i="27"/>
  <c r="O143" i="27" s="1"/>
  <c r="M144" i="27"/>
  <c r="N144" i="27" s="1"/>
  <c r="O144" i="27" s="1"/>
  <c r="M145" i="27"/>
  <c r="N145" i="27" s="1"/>
  <c r="O145" i="27" s="1"/>
  <c r="M146" i="27"/>
  <c r="N146" i="27"/>
  <c r="O146" i="27" s="1"/>
  <c r="M147" i="27"/>
  <c r="N147" i="27"/>
  <c r="O147" i="27" s="1"/>
  <c r="M148" i="27"/>
  <c r="N148" i="27" s="1"/>
  <c r="O148" i="27" s="1"/>
  <c r="M149" i="27"/>
  <c r="N149" i="27"/>
  <c r="O149" i="27" s="1"/>
  <c r="M150" i="27"/>
  <c r="N150" i="27" s="1"/>
  <c r="O150" i="27" s="1"/>
  <c r="M151" i="27"/>
  <c r="N151" i="27" s="1"/>
  <c r="O151" i="27" s="1"/>
  <c r="M152" i="27"/>
  <c r="N152" i="27" s="1"/>
  <c r="O152" i="27" s="1"/>
  <c r="M153" i="27"/>
  <c r="N153" i="27" s="1"/>
  <c r="O153" i="27" s="1"/>
  <c r="M154" i="27"/>
  <c r="N154" i="27" s="1"/>
  <c r="O154" i="27" s="1"/>
  <c r="M155" i="27"/>
  <c r="N155" i="27" s="1"/>
  <c r="O155" i="27" s="1"/>
  <c r="M156" i="27"/>
  <c r="N156" i="27" s="1"/>
  <c r="O156" i="27" s="1"/>
  <c r="M157" i="27"/>
  <c r="N157" i="27" s="1"/>
  <c r="O157" i="27" s="1"/>
  <c r="M158" i="27"/>
  <c r="N158" i="27" s="1"/>
  <c r="O158" i="27" s="1"/>
  <c r="M159" i="27"/>
  <c r="N159" i="27" s="1"/>
  <c r="O159" i="27"/>
  <c r="M160" i="27"/>
  <c r="N160" i="27"/>
  <c r="O160" i="27" s="1"/>
  <c r="M161" i="27"/>
  <c r="N161" i="27"/>
  <c r="O161" i="27"/>
  <c r="M162" i="27"/>
  <c r="N162" i="27"/>
  <c r="O162" i="27" s="1"/>
  <c r="M163" i="27"/>
  <c r="N163" i="27" s="1"/>
  <c r="O163" i="27" s="1"/>
  <c r="M164" i="27"/>
  <c r="N164" i="27" s="1"/>
  <c r="O164" i="27" s="1"/>
  <c r="M165" i="27"/>
  <c r="N165" i="27"/>
  <c r="O165" i="27" s="1"/>
  <c r="M166" i="27"/>
  <c r="N166" i="27"/>
  <c r="O166" i="27" s="1"/>
  <c r="M167" i="27"/>
  <c r="N167" i="27" s="1"/>
  <c r="O167" i="27" s="1"/>
  <c r="M168" i="27"/>
  <c r="N168" i="27" s="1"/>
  <c r="O168" i="27" s="1"/>
  <c r="M169" i="27"/>
  <c r="N169" i="27"/>
  <c r="O169" i="27" s="1"/>
  <c r="M170" i="27"/>
  <c r="N170" i="27"/>
  <c r="O170" i="27" s="1"/>
  <c r="M171" i="27"/>
  <c r="N171" i="27"/>
  <c r="O171" i="27" s="1"/>
  <c r="M172" i="27"/>
  <c r="N172" i="27" s="1"/>
  <c r="O172" i="27" s="1"/>
  <c r="M173" i="27"/>
  <c r="N173" i="27"/>
  <c r="O173" i="27" s="1"/>
  <c r="M174" i="27"/>
  <c r="N174" i="27" s="1"/>
  <c r="O174" i="27" s="1"/>
  <c r="M175" i="27"/>
  <c r="N175" i="27" s="1"/>
  <c r="O175" i="27" s="1"/>
  <c r="M176" i="27"/>
  <c r="N176" i="27" s="1"/>
  <c r="O176" i="27" s="1"/>
  <c r="M177" i="27"/>
  <c r="N177" i="27" s="1"/>
  <c r="O177" i="27" s="1"/>
  <c r="M178" i="27"/>
  <c r="N178" i="27" s="1"/>
  <c r="O178" i="27" s="1"/>
  <c r="M179" i="27"/>
  <c r="N179" i="27" s="1"/>
  <c r="O179" i="27" s="1"/>
  <c r="M180" i="27"/>
  <c r="N180" i="27" s="1"/>
  <c r="O180" i="27" s="1"/>
  <c r="M181" i="27"/>
  <c r="N181" i="27" s="1"/>
  <c r="O181" i="27" s="1"/>
  <c r="M182" i="27"/>
  <c r="N182" i="27" s="1"/>
  <c r="O182" i="27" s="1"/>
  <c r="M183" i="27"/>
  <c r="N183" i="27" s="1"/>
  <c r="O183" i="27"/>
  <c r="M184" i="27"/>
  <c r="N184" i="27" s="1"/>
  <c r="O184" i="27" s="1"/>
  <c r="M185" i="27"/>
  <c r="N185" i="27"/>
  <c r="O185" i="27" s="1"/>
  <c r="M186" i="27"/>
  <c r="N186" i="27"/>
  <c r="O186" i="27" s="1"/>
  <c r="M187" i="27"/>
  <c r="N187" i="27" s="1"/>
  <c r="O187" i="27" s="1"/>
  <c r="M188" i="27"/>
  <c r="N188" i="27" s="1"/>
  <c r="O188" i="27" s="1"/>
  <c r="M189" i="27"/>
  <c r="N189" i="27"/>
  <c r="O189" i="27" s="1"/>
  <c r="M190" i="27"/>
  <c r="N190" i="27" s="1"/>
  <c r="O190" i="27" s="1"/>
  <c r="M191" i="27"/>
  <c r="N191" i="27"/>
  <c r="O191" i="27" s="1"/>
  <c r="M192" i="27"/>
  <c r="N192" i="27"/>
  <c r="O192" i="27" s="1"/>
  <c r="M193" i="27"/>
  <c r="N193" i="27"/>
  <c r="O193" i="27" s="1"/>
  <c r="M194" i="27"/>
  <c r="N194" i="27"/>
  <c r="O194" i="27" s="1"/>
  <c r="M195" i="27"/>
  <c r="N195" i="27" s="1"/>
  <c r="O195" i="27" s="1"/>
  <c r="M196" i="27"/>
  <c r="N196" i="27" s="1"/>
  <c r="O196" i="27" s="1"/>
  <c r="M197" i="27"/>
  <c r="N197" i="27"/>
  <c r="O197" i="27" s="1"/>
  <c r="M198" i="27"/>
  <c r="N198" i="27" s="1"/>
  <c r="O198" i="27" s="1"/>
  <c r="M199" i="27"/>
  <c r="N199" i="27" s="1"/>
  <c r="O199" i="27" s="1"/>
  <c r="M200" i="27"/>
  <c r="N200" i="27" s="1"/>
  <c r="O200" i="27" s="1"/>
  <c r="M201" i="27"/>
  <c r="N201" i="27" s="1"/>
  <c r="O201" i="27" s="1"/>
  <c r="M202" i="27"/>
  <c r="N202" i="27" s="1"/>
  <c r="O202" i="27" s="1"/>
  <c r="M203" i="27"/>
  <c r="N203" i="27" s="1"/>
  <c r="O203" i="27" s="1"/>
  <c r="M204" i="27"/>
  <c r="N204" i="27" s="1"/>
  <c r="O204" i="27" s="1"/>
  <c r="M205" i="27"/>
  <c r="N205" i="27"/>
  <c r="O205" i="27"/>
  <c r="M206" i="27"/>
  <c r="N206" i="27" s="1"/>
  <c r="O206" i="27" s="1"/>
  <c r="M207" i="27"/>
  <c r="N207" i="27" s="1"/>
  <c r="O207" i="27"/>
  <c r="M208" i="27"/>
  <c r="N208" i="27"/>
  <c r="O208" i="27" s="1"/>
  <c r="M209" i="27"/>
  <c r="N209" i="27" s="1"/>
  <c r="O209" i="27" s="1"/>
  <c r="M210" i="27"/>
  <c r="N210" i="27"/>
  <c r="O210" i="27" s="1"/>
  <c r="M211" i="27"/>
  <c r="N211" i="27" s="1"/>
  <c r="O211" i="27" s="1"/>
  <c r="M212" i="27"/>
  <c r="N212" i="27"/>
  <c r="O212" i="27" s="1"/>
  <c r="M213" i="27"/>
  <c r="N213" i="27" s="1"/>
  <c r="O213" i="27" s="1"/>
  <c r="M214" i="27"/>
  <c r="N214" i="27"/>
  <c r="O214" i="27" s="1"/>
  <c r="M215" i="27"/>
  <c r="N215" i="27" s="1"/>
  <c r="O215" i="27" s="1"/>
  <c r="M216" i="27"/>
  <c r="N216" i="27"/>
  <c r="O216" i="27" s="1"/>
  <c r="M217" i="27"/>
  <c r="N217" i="27" s="1"/>
  <c r="O217" i="27" s="1"/>
  <c r="M218" i="27"/>
  <c r="N218" i="27" s="1"/>
  <c r="O218" i="27" s="1"/>
  <c r="M219" i="27"/>
  <c r="N219" i="27"/>
  <c r="O219" i="27" s="1"/>
  <c r="M220" i="27"/>
  <c r="N220" i="27" s="1"/>
  <c r="O220" i="27" s="1"/>
  <c r="M221" i="27"/>
  <c r="N221" i="27" s="1"/>
  <c r="O221" i="27" s="1"/>
  <c r="M222" i="27"/>
  <c r="N222" i="27" s="1"/>
  <c r="O222" i="27" s="1"/>
  <c r="M223" i="27"/>
  <c r="N223" i="27" s="1"/>
  <c r="O223" i="27" s="1"/>
  <c r="M224" i="27"/>
  <c r="N224" i="27" s="1"/>
  <c r="O224" i="27" s="1"/>
  <c r="M225" i="27"/>
  <c r="N225" i="27"/>
  <c r="O225" i="27" s="1"/>
  <c r="M226" i="27"/>
  <c r="N226" i="27" s="1"/>
  <c r="O226" i="27" s="1"/>
  <c r="M227" i="27"/>
  <c r="N227" i="27" s="1"/>
  <c r="O227" i="27" s="1"/>
  <c r="M228" i="27"/>
  <c r="N228" i="27" s="1"/>
  <c r="O228" i="27" s="1"/>
  <c r="M229" i="27"/>
  <c r="N229" i="27"/>
  <c r="O229" i="27"/>
  <c r="M230" i="27"/>
  <c r="N230" i="27" s="1"/>
  <c r="O230" i="27" s="1"/>
  <c r="M231" i="27"/>
  <c r="N231" i="27" s="1"/>
  <c r="O231" i="27" s="1"/>
  <c r="M232" i="27"/>
  <c r="N232" i="27" s="1"/>
  <c r="O232" i="27" s="1"/>
  <c r="M233" i="27"/>
  <c r="N233" i="27"/>
  <c r="O233" i="27" s="1"/>
  <c r="M234" i="27"/>
  <c r="N234" i="27" s="1"/>
  <c r="O234" i="27" s="1"/>
  <c r="M235" i="27"/>
  <c r="N235" i="27" s="1"/>
  <c r="O235" i="27" s="1"/>
  <c r="M236" i="27"/>
  <c r="N236" i="27" s="1"/>
  <c r="O236" i="27" s="1"/>
  <c r="M237" i="27"/>
  <c r="N237" i="27"/>
  <c r="O237" i="27"/>
  <c r="M238" i="27"/>
  <c r="N238" i="27" s="1"/>
  <c r="O238" i="27" s="1"/>
  <c r="M239" i="27"/>
  <c r="N239" i="27"/>
  <c r="O239" i="27" s="1"/>
  <c r="M240" i="27"/>
  <c r="N240" i="27" s="1"/>
  <c r="O240" i="27" s="1"/>
  <c r="M241" i="27"/>
  <c r="N241" i="27"/>
  <c r="O241" i="27" s="1"/>
  <c r="M242" i="27"/>
  <c r="N242" i="27"/>
  <c r="O242" i="27" s="1"/>
  <c r="M243" i="27"/>
  <c r="N243" i="27" s="1"/>
  <c r="O243" i="27" s="1"/>
  <c r="M244" i="27"/>
  <c r="N244" i="27" s="1"/>
  <c r="O244" i="27" s="1"/>
  <c r="M245" i="27"/>
  <c r="N245" i="27" s="1"/>
  <c r="O245" i="27" s="1"/>
  <c r="M246" i="27"/>
  <c r="N246" i="27" s="1"/>
  <c r="O246" i="27" s="1"/>
  <c r="M247" i="27"/>
  <c r="N247" i="27"/>
  <c r="O247" i="27" s="1"/>
  <c r="M248" i="27"/>
  <c r="N248" i="27" s="1"/>
  <c r="O248" i="27" s="1"/>
  <c r="M249" i="27"/>
  <c r="N249" i="27" s="1"/>
  <c r="O249" i="27" s="1"/>
  <c r="M250" i="27"/>
  <c r="N250" i="27" s="1"/>
  <c r="O250" i="27" s="1"/>
  <c r="M251" i="27"/>
  <c r="N251" i="27" s="1"/>
  <c r="O251" i="27" s="1"/>
  <c r="M252" i="27"/>
  <c r="N252" i="27" s="1"/>
  <c r="O252" i="27" s="1"/>
  <c r="M253" i="27"/>
  <c r="N253" i="27"/>
  <c r="O253" i="27" s="1"/>
  <c r="M254" i="27"/>
  <c r="N254" i="27" s="1"/>
  <c r="O254" i="27" s="1"/>
  <c r="M255" i="27"/>
  <c r="N255" i="27" s="1"/>
  <c r="O255" i="27"/>
  <c r="M256" i="27"/>
  <c r="N256" i="27" s="1"/>
  <c r="O256" i="27" s="1"/>
  <c r="M257" i="27"/>
  <c r="N257" i="27"/>
  <c r="O257" i="27" s="1"/>
  <c r="M258" i="27"/>
  <c r="N258" i="27" s="1"/>
  <c r="O258" i="27" s="1"/>
  <c r="M259" i="27"/>
  <c r="N259" i="27" s="1"/>
  <c r="O259" i="27" s="1"/>
  <c r="M260" i="27"/>
  <c r="N260" i="27"/>
  <c r="O260" i="27" s="1"/>
  <c r="M261" i="27"/>
  <c r="N261" i="27"/>
  <c r="O261" i="27" s="1"/>
  <c r="M262" i="27"/>
  <c r="N262" i="27"/>
  <c r="O262" i="27" s="1"/>
  <c r="M263" i="27"/>
  <c r="N263" i="27" s="1"/>
  <c r="O263" i="27" s="1"/>
  <c r="M264" i="27"/>
  <c r="N264" i="27"/>
  <c r="O264" i="27" s="1"/>
  <c r="M265" i="27"/>
  <c r="N265" i="27"/>
  <c r="O265" i="27" s="1"/>
  <c r="M266" i="27"/>
  <c r="N266" i="27"/>
  <c r="O266" i="27" s="1"/>
  <c r="M267" i="27"/>
  <c r="N267" i="27"/>
  <c r="O267" i="27" s="1"/>
  <c r="M268" i="27"/>
  <c r="N268" i="27" s="1"/>
  <c r="O268" i="27" s="1"/>
  <c r="M269" i="27"/>
  <c r="N269" i="27"/>
  <c r="O269" i="27" s="1"/>
  <c r="M270" i="27"/>
  <c r="N270" i="27" s="1"/>
  <c r="O270" i="27" s="1"/>
  <c r="M271" i="27"/>
  <c r="N271" i="27"/>
  <c r="O271" i="27" s="1"/>
  <c r="M272" i="27"/>
  <c r="N272" i="27" s="1"/>
  <c r="O272" i="27" s="1"/>
  <c r="M273" i="27"/>
  <c r="N273" i="27"/>
  <c r="O273" i="27" s="1"/>
  <c r="M274" i="27"/>
  <c r="N274" i="27" s="1"/>
  <c r="O274" i="27" s="1"/>
  <c r="M275" i="27"/>
  <c r="N275" i="27" s="1"/>
  <c r="O275" i="27" s="1"/>
  <c r="M276" i="27"/>
  <c r="N276" i="27" s="1"/>
  <c r="O276" i="27" s="1"/>
  <c r="M277" i="27"/>
  <c r="N277" i="27"/>
  <c r="O277" i="27" s="1"/>
  <c r="M278" i="27"/>
  <c r="N278" i="27" s="1"/>
  <c r="O278" i="27" s="1"/>
  <c r="M279" i="27"/>
  <c r="N279" i="27" s="1"/>
  <c r="O279" i="27" s="1"/>
  <c r="M280" i="27"/>
  <c r="N280" i="27" s="1"/>
  <c r="O280" i="27" s="1"/>
  <c r="M281" i="27"/>
  <c r="N281" i="27" s="1"/>
  <c r="O281" i="27" s="1"/>
  <c r="M282" i="27"/>
  <c r="N282" i="27"/>
  <c r="O282" i="27" s="1"/>
  <c r="M283" i="27"/>
  <c r="N283" i="27" s="1"/>
  <c r="O283" i="27" s="1"/>
  <c r="M284" i="27"/>
  <c r="N284" i="27" s="1"/>
  <c r="O284" i="27" s="1"/>
  <c r="M285" i="27"/>
  <c r="N285" i="27" s="1"/>
  <c r="O285" i="27" s="1"/>
  <c r="M286" i="27"/>
  <c r="N286" i="27"/>
  <c r="O286" i="27" s="1"/>
  <c r="M287" i="27"/>
  <c r="N287" i="27" s="1"/>
  <c r="O287" i="27" s="1"/>
  <c r="M288" i="27"/>
  <c r="N288" i="27" s="1"/>
  <c r="O288" i="27" s="1"/>
  <c r="M289" i="27"/>
  <c r="N289" i="27"/>
  <c r="O289" i="27" s="1"/>
  <c r="M290" i="27"/>
  <c r="N290" i="27" s="1"/>
  <c r="O290" i="27" s="1"/>
  <c r="M291" i="27"/>
  <c r="N291" i="27" s="1"/>
  <c r="O291" i="27" s="1"/>
  <c r="M292" i="27"/>
  <c r="N292" i="27" s="1"/>
  <c r="O292" i="27" s="1"/>
  <c r="M293" i="27"/>
  <c r="N293" i="27"/>
  <c r="O293" i="27" s="1"/>
  <c r="M294" i="27"/>
  <c r="N294" i="27" s="1"/>
  <c r="O294" i="27" s="1"/>
  <c r="M295" i="27"/>
  <c r="N295" i="27" s="1"/>
  <c r="O295" i="27" s="1"/>
  <c r="M296" i="27"/>
  <c r="N296" i="27" s="1"/>
  <c r="O296" i="27" s="1"/>
  <c r="M297" i="27"/>
  <c r="N297" i="27" s="1"/>
  <c r="O297" i="27" s="1"/>
  <c r="M298" i="27"/>
  <c r="N298" i="27" s="1"/>
  <c r="O298" i="27" s="1"/>
  <c r="M299" i="27"/>
  <c r="N299" i="27" s="1"/>
  <c r="O299" i="27" s="1"/>
  <c r="M300" i="27"/>
  <c r="N300" i="27" s="1"/>
  <c r="O300" i="27" s="1"/>
  <c r="M301" i="27"/>
  <c r="N301" i="27"/>
  <c r="O301" i="27" s="1"/>
  <c r="M302" i="27"/>
  <c r="N302" i="27" s="1"/>
  <c r="O302" i="27" s="1"/>
  <c r="M303" i="27"/>
  <c r="N303" i="27" s="1"/>
  <c r="O303" i="27" s="1"/>
  <c r="M304" i="27"/>
  <c r="N304" i="27" s="1"/>
  <c r="O304" i="27" s="1"/>
  <c r="M305" i="27"/>
  <c r="N305" i="27"/>
  <c r="O305" i="27"/>
  <c r="M306" i="27"/>
  <c r="N306" i="27" s="1"/>
  <c r="O306" i="27" s="1"/>
  <c r="M307" i="27"/>
  <c r="N307" i="27" s="1"/>
  <c r="O307" i="27" s="1"/>
  <c r="M308" i="27"/>
  <c r="N308" i="27" s="1"/>
  <c r="O308" i="27" s="1"/>
  <c r="M309" i="27"/>
  <c r="N309" i="27"/>
  <c r="O309" i="27" s="1"/>
  <c r="M310" i="27"/>
  <c r="N310" i="27" s="1"/>
  <c r="O310" i="27" s="1"/>
  <c r="M311" i="27"/>
  <c r="N311" i="27"/>
  <c r="O311" i="27" s="1"/>
  <c r="M312" i="27"/>
  <c r="N312" i="27" s="1"/>
  <c r="O312" i="27" s="1"/>
  <c r="M313" i="27"/>
  <c r="N313" i="27"/>
  <c r="O313" i="27" s="1"/>
  <c r="M314" i="27"/>
  <c r="N314" i="27" s="1"/>
  <c r="O314" i="27" s="1"/>
  <c r="M315" i="27"/>
  <c r="N315" i="27"/>
  <c r="O315" i="27" s="1"/>
  <c r="M316" i="27"/>
  <c r="N316" i="27" s="1"/>
  <c r="O316" i="27" s="1"/>
  <c r="M317" i="27"/>
  <c r="N317" i="27" s="1"/>
  <c r="O317" i="27" s="1"/>
  <c r="M318" i="27"/>
  <c r="N318" i="27" s="1"/>
  <c r="O318" i="27" s="1"/>
  <c r="M319" i="27"/>
  <c r="N319" i="27" s="1"/>
  <c r="O319" i="27" s="1"/>
  <c r="M320" i="27"/>
  <c r="N320" i="27" s="1"/>
  <c r="O320" i="27" s="1"/>
  <c r="M321" i="27"/>
  <c r="N321" i="27" s="1"/>
  <c r="O321" i="27" s="1"/>
  <c r="M322" i="27"/>
  <c r="N322" i="27" s="1"/>
  <c r="O322" i="27" s="1"/>
  <c r="M323" i="27"/>
  <c r="N323" i="27" s="1"/>
  <c r="O323" i="27" s="1"/>
  <c r="M324" i="27"/>
  <c r="N324" i="27" s="1"/>
  <c r="O324" i="27" s="1"/>
  <c r="M325" i="27"/>
  <c r="N325" i="27" s="1"/>
  <c r="O325" i="27" s="1"/>
  <c r="M326" i="27"/>
  <c r="N326" i="27" s="1"/>
  <c r="O326" i="27" s="1"/>
  <c r="M327" i="27"/>
  <c r="N327" i="27" s="1"/>
  <c r="O327" i="27" s="1"/>
  <c r="M328" i="27"/>
  <c r="N328" i="27"/>
  <c r="O328" i="27" s="1"/>
  <c r="M329" i="27"/>
  <c r="N329" i="27"/>
  <c r="O329" i="27" s="1"/>
  <c r="M330" i="27"/>
  <c r="N330" i="27"/>
  <c r="O330" i="27" s="1"/>
  <c r="M331" i="27"/>
  <c r="N331" i="27" s="1"/>
  <c r="O331" i="27" s="1"/>
  <c r="M332" i="27"/>
  <c r="N332" i="27"/>
  <c r="O332" i="27" s="1"/>
  <c r="M333" i="27"/>
  <c r="N333" i="27" s="1"/>
  <c r="O333" i="27"/>
  <c r="M334" i="27"/>
  <c r="N334" i="27"/>
  <c r="O334" i="27" s="1"/>
  <c r="M335" i="27"/>
  <c r="N335" i="27"/>
  <c r="O335" i="27" s="1"/>
  <c r="M336" i="27"/>
  <c r="N336" i="27" s="1"/>
  <c r="O336" i="27" s="1"/>
  <c r="M337" i="27"/>
  <c r="N337" i="27" s="1"/>
  <c r="O337" i="27" s="1"/>
  <c r="M338" i="27"/>
  <c r="N338" i="27"/>
  <c r="O338" i="27" s="1"/>
  <c r="M339" i="27"/>
  <c r="N339" i="27"/>
  <c r="O339" i="27" s="1"/>
  <c r="M340" i="27"/>
  <c r="N340" i="27" s="1"/>
  <c r="O340" i="27" s="1"/>
  <c r="M341" i="27"/>
  <c r="N341" i="27"/>
  <c r="O341" i="27" s="1"/>
  <c r="M342" i="27"/>
  <c r="N342" i="27" s="1"/>
  <c r="O342" i="27" s="1"/>
  <c r="M343" i="27"/>
  <c r="N343" i="27"/>
  <c r="O343" i="27" s="1"/>
  <c r="M344" i="27"/>
  <c r="N344" i="27" s="1"/>
  <c r="O344" i="27" s="1"/>
  <c r="M345" i="27"/>
  <c r="N345" i="27"/>
  <c r="O345" i="27" s="1"/>
  <c r="M346" i="27"/>
  <c r="N346" i="27" s="1"/>
  <c r="O346" i="27" s="1"/>
  <c r="M347" i="27"/>
  <c r="N347" i="27" s="1"/>
  <c r="O347" i="27" s="1"/>
  <c r="M348" i="27"/>
  <c r="N348" i="27" s="1"/>
  <c r="O348" i="27" s="1"/>
  <c r="M349" i="27"/>
  <c r="N349" i="27"/>
  <c r="O349" i="27" s="1"/>
  <c r="M350" i="27"/>
  <c r="N350" i="27" s="1"/>
  <c r="O350" i="27" s="1"/>
  <c r="M351" i="27"/>
  <c r="N351" i="27" s="1"/>
  <c r="O351" i="27" s="1"/>
  <c r="M352" i="27"/>
  <c r="N352" i="27"/>
  <c r="O352" i="27" s="1"/>
  <c r="M353" i="27"/>
  <c r="N353" i="27" s="1"/>
  <c r="O353" i="27" s="1"/>
  <c r="M354" i="27"/>
  <c r="N354" i="27" s="1"/>
  <c r="O354" i="27" s="1"/>
  <c r="M355" i="27"/>
  <c r="N355" i="27" s="1"/>
  <c r="O355" i="27" s="1"/>
  <c r="M356" i="27"/>
  <c r="N356" i="27"/>
  <c r="O356" i="27" s="1"/>
  <c r="M357" i="27"/>
  <c r="N357" i="27"/>
  <c r="O357" i="27" s="1"/>
  <c r="M358" i="27"/>
  <c r="N358" i="27" s="1"/>
  <c r="O358" i="27" s="1"/>
  <c r="M359" i="27"/>
  <c r="N359" i="27" s="1"/>
  <c r="O359" i="27"/>
  <c r="M360" i="27"/>
  <c r="N360" i="27" s="1"/>
  <c r="O360" i="27" s="1"/>
  <c r="M361" i="27"/>
  <c r="N361" i="27"/>
  <c r="O361" i="27" s="1"/>
  <c r="M362" i="27"/>
  <c r="N362" i="27" s="1"/>
  <c r="O362" i="27" s="1"/>
  <c r="M363" i="27"/>
  <c r="N363" i="27" s="1"/>
  <c r="O363" i="27" s="1"/>
  <c r="M364" i="27"/>
  <c r="N364" i="27" s="1"/>
  <c r="O364" i="27" s="1"/>
  <c r="M365" i="27"/>
  <c r="N365" i="27" s="1"/>
  <c r="O365" i="27" s="1"/>
  <c r="M366" i="27"/>
  <c r="N366" i="27" s="1"/>
  <c r="O366" i="27" s="1"/>
  <c r="M367" i="27"/>
  <c r="N367" i="27" s="1"/>
  <c r="O367" i="27" s="1"/>
  <c r="M368" i="27"/>
  <c r="N368" i="27"/>
  <c r="O368" i="27" s="1"/>
  <c r="M369" i="27"/>
  <c r="N369" i="27" s="1"/>
  <c r="O369" i="27" s="1"/>
  <c r="M370" i="27"/>
  <c r="N370" i="27" s="1"/>
  <c r="O370" i="27" s="1"/>
  <c r="M371" i="27"/>
  <c r="N371" i="27" s="1"/>
  <c r="O371" i="27" s="1"/>
  <c r="M372" i="27"/>
  <c r="N372" i="27"/>
  <c r="O372" i="27"/>
  <c r="M373" i="27"/>
  <c r="N373" i="27"/>
  <c r="O373" i="27" s="1"/>
  <c r="M374" i="27"/>
  <c r="N374" i="27" s="1"/>
  <c r="O374" i="27" s="1"/>
  <c r="M375" i="27"/>
  <c r="N375" i="27" s="1"/>
  <c r="O375" i="27" s="1"/>
  <c r="M376" i="27"/>
  <c r="N376" i="27" s="1"/>
  <c r="O376" i="27" s="1"/>
  <c r="M377" i="27"/>
  <c r="N377" i="27" s="1"/>
  <c r="O377" i="27" s="1"/>
  <c r="M378" i="27"/>
  <c r="N378" i="27" s="1"/>
  <c r="O378" i="27" s="1"/>
  <c r="M379" i="27"/>
  <c r="N379" i="27" s="1"/>
  <c r="O379" i="27"/>
  <c r="M380" i="27"/>
  <c r="N380" i="27"/>
  <c r="O380" i="27" s="1"/>
  <c r="M381" i="27"/>
  <c r="N381" i="27" s="1"/>
  <c r="O381" i="27" s="1"/>
  <c r="M382" i="27"/>
  <c r="N382" i="27" s="1"/>
  <c r="O382" i="27" s="1"/>
  <c r="M383" i="27"/>
  <c r="N383" i="27" s="1"/>
  <c r="O383" i="27"/>
  <c r="M384" i="27"/>
  <c r="N384" i="27" s="1"/>
  <c r="O384" i="27" s="1"/>
  <c r="M385" i="27"/>
  <c r="N385" i="27" s="1"/>
  <c r="O385" i="27" s="1"/>
  <c r="M386" i="27"/>
  <c r="N386" i="27" s="1"/>
  <c r="O386" i="27" s="1"/>
  <c r="M387" i="27"/>
  <c r="N387" i="27" s="1"/>
  <c r="O387" i="27" s="1"/>
  <c r="M388" i="27"/>
  <c r="N388" i="27"/>
  <c r="O388" i="27" s="1"/>
  <c r="M389" i="27"/>
  <c r="N389" i="27"/>
  <c r="O389" i="27" s="1"/>
  <c r="M390" i="27"/>
  <c r="N390" i="27" s="1"/>
  <c r="O390" i="27" s="1"/>
  <c r="M391" i="27"/>
  <c r="N391" i="27" s="1"/>
  <c r="O391" i="27"/>
  <c r="M392" i="27"/>
  <c r="N392" i="27" s="1"/>
  <c r="O392" i="27" s="1"/>
  <c r="M393" i="27"/>
  <c r="N393" i="27"/>
  <c r="O393" i="27" s="1"/>
  <c r="M394" i="27"/>
  <c r="N394" i="27" s="1"/>
  <c r="O394" i="27" s="1"/>
  <c r="M395" i="27"/>
  <c r="N395" i="27" s="1"/>
  <c r="O395" i="27" s="1"/>
  <c r="M396" i="27"/>
  <c r="N396" i="27" s="1"/>
  <c r="O396" i="27" s="1"/>
  <c r="M397" i="27"/>
  <c r="N397" i="27"/>
  <c r="O397" i="27" s="1"/>
  <c r="M398" i="27"/>
  <c r="N398" i="27" s="1"/>
  <c r="O398" i="27" s="1"/>
  <c r="M399" i="27"/>
  <c r="N399" i="27" s="1"/>
  <c r="O399" i="27" s="1"/>
  <c r="M400" i="27"/>
  <c r="N400" i="27" s="1"/>
  <c r="O400" i="27" s="1"/>
  <c r="M401" i="27"/>
  <c r="N401" i="27"/>
  <c r="O401" i="27" s="1"/>
  <c r="M402" i="27"/>
  <c r="N402" i="27" s="1"/>
  <c r="O402" i="27" s="1"/>
  <c r="M403" i="27"/>
  <c r="N403" i="27" s="1"/>
  <c r="O403" i="27"/>
  <c r="M404" i="27"/>
  <c r="N404" i="27"/>
  <c r="O404" i="27"/>
  <c r="M405" i="27"/>
  <c r="N405" i="27"/>
  <c r="O405" i="27" s="1"/>
  <c r="M406" i="27"/>
  <c r="N406" i="27" s="1"/>
  <c r="O406" i="27" s="1"/>
  <c r="M407" i="27"/>
  <c r="N407" i="27" s="1"/>
  <c r="O407" i="27"/>
  <c r="M408" i="27"/>
  <c r="N408" i="27"/>
  <c r="O408" i="27" s="1"/>
  <c r="M409" i="27"/>
  <c r="N409" i="27"/>
  <c r="O409" i="27" s="1"/>
  <c r="M410" i="27"/>
  <c r="N410" i="27" s="1"/>
  <c r="O410" i="27" s="1"/>
  <c r="Q7" i="27"/>
  <c r="R7" i="27"/>
  <c r="S7" i="27"/>
  <c r="T7" i="27"/>
  <c r="Q8" i="27"/>
  <c r="R8" i="27"/>
  <c r="S8" i="27"/>
  <c r="T8" i="27"/>
  <c r="Q9" i="27"/>
  <c r="R9" i="27"/>
  <c r="S9" i="27"/>
  <c r="T9" i="27"/>
  <c r="Q10" i="27"/>
  <c r="R10" i="27"/>
  <c r="S10" i="27"/>
  <c r="T10" i="27"/>
  <c r="Q11" i="27"/>
  <c r="R11" i="27"/>
  <c r="S11" i="27"/>
  <c r="T11" i="27"/>
  <c r="Q12" i="27"/>
  <c r="R12" i="27"/>
  <c r="S12" i="27"/>
  <c r="T12" i="27"/>
  <c r="Q13" i="27"/>
  <c r="R13" i="27"/>
  <c r="S13" i="27"/>
  <c r="T13" i="27"/>
  <c r="Q14" i="27"/>
  <c r="R14" i="27"/>
  <c r="S14" i="27"/>
  <c r="T14" i="27"/>
  <c r="Q15" i="27"/>
  <c r="R15" i="27"/>
  <c r="S15" i="27"/>
  <c r="T15" i="27"/>
  <c r="Q16" i="27"/>
  <c r="R16" i="27"/>
  <c r="S16" i="27"/>
  <c r="T16" i="27"/>
  <c r="Q17" i="27"/>
  <c r="R17" i="27"/>
  <c r="S17" i="27"/>
  <c r="T17" i="27"/>
  <c r="Q18" i="27"/>
  <c r="R18" i="27"/>
  <c r="S18" i="27"/>
  <c r="T18" i="27"/>
  <c r="Q19" i="27"/>
  <c r="R19" i="27"/>
  <c r="S19" i="27"/>
  <c r="T19" i="27"/>
  <c r="Q20" i="27"/>
  <c r="R20" i="27"/>
  <c r="S20" i="27"/>
  <c r="T20" i="27"/>
  <c r="Q21" i="27"/>
  <c r="R21" i="27"/>
  <c r="S21" i="27"/>
  <c r="T21" i="27"/>
  <c r="Q22" i="27"/>
  <c r="R22" i="27"/>
  <c r="S22" i="27"/>
  <c r="T22" i="27"/>
  <c r="Q23" i="27"/>
  <c r="R23" i="27"/>
  <c r="S23" i="27"/>
  <c r="T23" i="27"/>
  <c r="Q24" i="27"/>
  <c r="R24" i="27"/>
  <c r="S24" i="27"/>
  <c r="T24" i="27"/>
  <c r="Q25" i="27"/>
  <c r="R25" i="27"/>
  <c r="S25" i="27"/>
  <c r="T25" i="27"/>
  <c r="Q26" i="27"/>
  <c r="R26" i="27"/>
  <c r="S26" i="27"/>
  <c r="T26" i="27"/>
  <c r="Q27" i="27"/>
  <c r="R27" i="27"/>
  <c r="S27" i="27"/>
  <c r="T27" i="27"/>
  <c r="Q28" i="27"/>
  <c r="R28" i="27"/>
  <c r="S28" i="27"/>
  <c r="T28" i="27"/>
  <c r="Q29" i="27"/>
  <c r="R29" i="27"/>
  <c r="S29" i="27"/>
  <c r="T29" i="27"/>
  <c r="Q30" i="27"/>
  <c r="R30" i="27"/>
  <c r="S30" i="27"/>
  <c r="T30" i="27"/>
  <c r="Q31" i="27"/>
  <c r="R31" i="27"/>
  <c r="S31" i="27"/>
  <c r="T31" i="27"/>
  <c r="Q32" i="27"/>
  <c r="R32" i="27"/>
  <c r="S32" i="27"/>
  <c r="T32" i="27"/>
  <c r="Q33" i="27"/>
  <c r="R33" i="27"/>
  <c r="S33" i="27"/>
  <c r="T33" i="27"/>
  <c r="Q34" i="27"/>
  <c r="R34" i="27"/>
  <c r="S34" i="27"/>
  <c r="T34" i="27"/>
  <c r="Q35" i="27"/>
  <c r="R35" i="27"/>
  <c r="S35" i="27"/>
  <c r="T35" i="27"/>
  <c r="Q36" i="27"/>
  <c r="R36" i="27"/>
  <c r="S36" i="27"/>
  <c r="T36" i="27"/>
  <c r="Q37" i="27"/>
  <c r="R37" i="27"/>
  <c r="S37" i="27"/>
  <c r="T37" i="27"/>
  <c r="Q38" i="27"/>
  <c r="R38" i="27"/>
  <c r="S38" i="27"/>
  <c r="T38" i="27"/>
  <c r="Q39" i="27"/>
  <c r="R39" i="27"/>
  <c r="S39" i="27"/>
  <c r="T39" i="27"/>
  <c r="Q40" i="27"/>
  <c r="R40" i="27"/>
  <c r="S40" i="27"/>
  <c r="T40" i="27"/>
  <c r="Q41" i="27"/>
  <c r="R41" i="27"/>
  <c r="S41" i="27"/>
  <c r="T41" i="27"/>
  <c r="Q42" i="27"/>
  <c r="R42" i="27"/>
  <c r="S42" i="27"/>
  <c r="T42" i="27"/>
  <c r="Q43" i="27"/>
  <c r="R43" i="27"/>
  <c r="S43" i="27"/>
  <c r="T43" i="27"/>
  <c r="Q44" i="27"/>
  <c r="R44" i="27"/>
  <c r="S44" i="27"/>
  <c r="T44" i="27"/>
  <c r="Q45" i="27"/>
  <c r="R45" i="27"/>
  <c r="S45" i="27"/>
  <c r="T45" i="27"/>
  <c r="Q46" i="27"/>
  <c r="R46" i="27"/>
  <c r="S46" i="27"/>
  <c r="T46" i="27"/>
  <c r="Q47" i="27"/>
  <c r="R47" i="27"/>
  <c r="S47" i="27"/>
  <c r="T47" i="27"/>
  <c r="Q48" i="27"/>
  <c r="R48" i="27"/>
  <c r="S48" i="27"/>
  <c r="T48" i="27"/>
  <c r="Q49" i="27"/>
  <c r="R49" i="27"/>
  <c r="S49" i="27"/>
  <c r="T49" i="27"/>
  <c r="Q50" i="27"/>
  <c r="R50" i="27"/>
  <c r="S50" i="27"/>
  <c r="T50" i="27"/>
  <c r="Q51" i="27"/>
  <c r="R51" i="27"/>
  <c r="S51" i="27"/>
  <c r="T51" i="27"/>
  <c r="Q52" i="27"/>
  <c r="R52" i="27"/>
  <c r="S52" i="27"/>
  <c r="T52" i="27"/>
  <c r="Q53" i="27"/>
  <c r="R53" i="27"/>
  <c r="S53" i="27"/>
  <c r="T53" i="27"/>
  <c r="Q54" i="27"/>
  <c r="R54" i="27"/>
  <c r="S54" i="27"/>
  <c r="T54" i="27"/>
  <c r="Q55" i="27"/>
  <c r="R55" i="27"/>
  <c r="S55" i="27"/>
  <c r="T55" i="27"/>
  <c r="Q56" i="27"/>
  <c r="R56" i="27"/>
  <c r="S56" i="27"/>
  <c r="T56" i="27"/>
  <c r="Q57" i="27"/>
  <c r="R57" i="27"/>
  <c r="S57" i="27"/>
  <c r="T57" i="27"/>
  <c r="Q58" i="27"/>
  <c r="R58" i="27"/>
  <c r="S58" i="27"/>
  <c r="T58" i="27"/>
  <c r="Q59" i="27"/>
  <c r="R59" i="27"/>
  <c r="S59" i="27"/>
  <c r="T59" i="27"/>
  <c r="Q60" i="27"/>
  <c r="R60" i="27"/>
  <c r="S60" i="27"/>
  <c r="T60" i="27"/>
  <c r="Q61" i="27"/>
  <c r="R61" i="27"/>
  <c r="S61" i="27"/>
  <c r="T61" i="27"/>
  <c r="Q62" i="27"/>
  <c r="R62" i="27"/>
  <c r="S62" i="27"/>
  <c r="T62" i="27"/>
  <c r="Q63" i="27"/>
  <c r="R63" i="27"/>
  <c r="S63" i="27"/>
  <c r="T63" i="27"/>
  <c r="Q64" i="27"/>
  <c r="R64" i="27"/>
  <c r="S64" i="27"/>
  <c r="T64" i="27"/>
  <c r="Q65" i="27"/>
  <c r="R65" i="27"/>
  <c r="S65" i="27"/>
  <c r="T65" i="27"/>
  <c r="Q66" i="27"/>
  <c r="R66" i="27"/>
  <c r="S66" i="27"/>
  <c r="T66" i="27"/>
  <c r="Q67" i="27"/>
  <c r="R67" i="27"/>
  <c r="S67" i="27"/>
  <c r="T67" i="27"/>
  <c r="Q68" i="27"/>
  <c r="R68" i="27"/>
  <c r="S68" i="27"/>
  <c r="T68" i="27"/>
  <c r="Q69" i="27"/>
  <c r="R69" i="27"/>
  <c r="S69" i="27"/>
  <c r="T69" i="27"/>
  <c r="Q70" i="27"/>
  <c r="R70" i="27"/>
  <c r="S70" i="27"/>
  <c r="T70" i="27"/>
  <c r="Q71" i="27"/>
  <c r="R71" i="27"/>
  <c r="S71" i="27"/>
  <c r="T71" i="27"/>
  <c r="Q72" i="27"/>
  <c r="R72" i="27"/>
  <c r="S72" i="27"/>
  <c r="T72" i="27"/>
  <c r="Q73" i="27"/>
  <c r="R73" i="27"/>
  <c r="S73" i="27"/>
  <c r="T73" i="27"/>
  <c r="Q74" i="27"/>
  <c r="R74" i="27"/>
  <c r="S74" i="27"/>
  <c r="T74" i="27"/>
  <c r="Q75" i="27"/>
  <c r="R75" i="27"/>
  <c r="S75" i="27"/>
  <c r="T75" i="27"/>
  <c r="Q76" i="27"/>
  <c r="R76" i="27"/>
  <c r="S76" i="27"/>
  <c r="T76" i="27"/>
  <c r="Q77" i="27"/>
  <c r="R77" i="27"/>
  <c r="S77" i="27"/>
  <c r="T77" i="27"/>
  <c r="Q78" i="27"/>
  <c r="R78" i="27"/>
  <c r="S78" i="27"/>
  <c r="T78" i="27"/>
  <c r="Q79" i="27"/>
  <c r="R79" i="27"/>
  <c r="S79" i="27"/>
  <c r="T79" i="27"/>
  <c r="Q80" i="27"/>
  <c r="R80" i="27"/>
  <c r="S80" i="27"/>
  <c r="T80" i="27"/>
  <c r="Q81" i="27"/>
  <c r="R81" i="27"/>
  <c r="S81" i="27"/>
  <c r="T81" i="27"/>
  <c r="Q82" i="27"/>
  <c r="R82" i="27"/>
  <c r="S82" i="27"/>
  <c r="T82" i="27"/>
  <c r="Q83" i="27"/>
  <c r="R83" i="27"/>
  <c r="S83" i="27"/>
  <c r="T83" i="27"/>
  <c r="Q84" i="27"/>
  <c r="R84" i="27"/>
  <c r="S84" i="27"/>
  <c r="T84" i="27"/>
  <c r="Q85" i="27"/>
  <c r="R85" i="27"/>
  <c r="S85" i="27"/>
  <c r="T85" i="27"/>
  <c r="Q86" i="27"/>
  <c r="R86" i="27"/>
  <c r="S86" i="27"/>
  <c r="T86" i="27"/>
  <c r="Q87" i="27"/>
  <c r="R87" i="27"/>
  <c r="S87" i="27"/>
  <c r="T87" i="27"/>
  <c r="Q88" i="27"/>
  <c r="R88" i="27"/>
  <c r="S88" i="27"/>
  <c r="T88" i="27"/>
  <c r="Q89" i="27"/>
  <c r="R89" i="27"/>
  <c r="S89" i="27"/>
  <c r="T89" i="27"/>
  <c r="Q90" i="27"/>
  <c r="R90" i="27"/>
  <c r="S90" i="27"/>
  <c r="T90" i="27"/>
  <c r="Q91" i="27"/>
  <c r="R91" i="27"/>
  <c r="S91" i="27"/>
  <c r="T91" i="27"/>
  <c r="Q92" i="27"/>
  <c r="R92" i="27"/>
  <c r="S92" i="27"/>
  <c r="T92" i="27"/>
  <c r="Q93" i="27"/>
  <c r="R93" i="27"/>
  <c r="S93" i="27"/>
  <c r="T93" i="27"/>
  <c r="Q94" i="27"/>
  <c r="R94" i="27"/>
  <c r="S94" i="27"/>
  <c r="T94" i="27"/>
  <c r="Q95" i="27"/>
  <c r="R95" i="27"/>
  <c r="S95" i="27"/>
  <c r="T95" i="27"/>
  <c r="Q96" i="27"/>
  <c r="R96" i="27"/>
  <c r="S96" i="27"/>
  <c r="T96" i="27"/>
  <c r="Q97" i="27"/>
  <c r="R97" i="27"/>
  <c r="S97" i="27"/>
  <c r="T97" i="27"/>
  <c r="Q98" i="27"/>
  <c r="R98" i="27"/>
  <c r="S98" i="27"/>
  <c r="T98" i="27"/>
  <c r="Q99" i="27"/>
  <c r="R99" i="27"/>
  <c r="S99" i="27"/>
  <c r="T99" i="27"/>
  <c r="Q100" i="27"/>
  <c r="R100" i="27"/>
  <c r="S100" i="27"/>
  <c r="T100" i="27"/>
  <c r="Q101" i="27"/>
  <c r="R101" i="27"/>
  <c r="S101" i="27"/>
  <c r="T101" i="27"/>
  <c r="Q102" i="27"/>
  <c r="R102" i="27"/>
  <c r="S102" i="27"/>
  <c r="T102" i="27"/>
  <c r="Q103" i="27"/>
  <c r="R103" i="27"/>
  <c r="S103" i="27"/>
  <c r="T103" i="27"/>
  <c r="Q104" i="27"/>
  <c r="R104" i="27"/>
  <c r="S104" i="27"/>
  <c r="T104" i="27"/>
  <c r="Q105" i="27"/>
  <c r="R105" i="27"/>
  <c r="S105" i="27"/>
  <c r="T105" i="27"/>
  <c r="Q106" i="27"/>
  <c r="R106" i="27"/>
  <c r="S106" i="27"/>
  <c r="T106" i="27"/>
  <c r="Q107" i="27"/>
  <c r="R107" i="27"/>
  <c r="S107" i="27"/>
  <c r="T107" i="27"/>
  <c r="Q108" i="27"/>
  <c r="R108" i="27"/>
  <c r="S108" i="27"/>
  <c r="T108" i="27"/>
  <c r="Q109" i="27"/>
  <c r="R109" i="27"/>
  <c r="S109" i="27"/>
  <c r="T109" i="27"/>
  <c r="Q110" i="27"/>
  <c r="R110" i="27"/>
  <c r="S110" i="27"/>
  <c r="T110" i="27"/>
  <c r="Q111" i="27"/>
  <c r="R111" i="27"/>
  <c r="S111" i="27"/>
  <c r="T111" i="27"/>
  <c r="Q112" i="27"/>
  <c r="R112" i="27"/>
  <c r="S112" i="27"/>
  <c r="T112" i="27"/>
  <c r="Q113" i="27"/>
  <c r="R113" i="27"/>
  <c r="S113" i="27"/>
  <c r="T113" i="27"/>
  <c r="Q114" i="27"/>
  <c r="R114" i="27"/>
  <c r="S114" i="27"/>
  <c r="T114" i="27"/>
  <c r="Q115" i="27"/>
  <c r="R115" i="27"/>
  <c r="S115" i="27"/>
  <c r="T115" i="27"/>
  <c r="Q116" i="27"/>
  <c r="R116" i="27"/>
  <c r="S116" i="27"/>
  <c r="T116" i="27"/>
  <c r="Q117" i="27"/>
  <c r="R117" i="27"/>
  <c r="S117" i="27"/>
  <c r="T117" i="27"/>
  <c r="Q118" i="27"/>
  <c r="R118" i="27"/>
  <c r="S118" i="27"/>
  <c r="T118" i="27"/>
  <c r="Q119" i="27"/>
  <c r="R119" i="27"/>
  <c r="S119" i="27"/>
  <c r="T119" i="27"/>
  <c r="Q120" i="27"/>
  <c r="R120" i="27"/>
  <c r="S120" i="27"/>
  <c r="T120" i="27"/>
  <c r="Q121" i="27"/>
  <c r="R121" i="27"/>
  <c r="S121" i="27"/>
  <c r="T121" i="27"/>
  <c r="Q122" i="27"/>
  <c r="R122" i="27"/>
  <c r="S122" i="27"/>
  <c r="T122" i="27"/>
  <c r="Q123" i="27"/>
  <c r="R123" i="27"/>
  <c r="S123" i="27"/>
  <c r="T123" i="27"/>
  <c r="Q124" i="27"/>
  <c r="R124" i="27"/>
  <c r="S124" i="27"/>
  <c r="T124" i="27"/>
  <c r="Q125" i="27"/>
  <c r="R125" i="27"/>
  <c r="S125" i="27"/>
  <c r="T125" i="27"/>
  <c r="Q126" i="27"/>
  <c r="R126" i="27"/>
  <c r="S126" i="27"/>
  <c r="T126" i="27"/>
  <c r="Q127" i="27"/>
  <c r="R127" i="27"/>
  <c r="S127" i="27"/>
  <c r="T127" i="27"/>
  <c r="Q128" i="27"/>
  <c r="R128" i="27"/>
  <c r="S128" i="27"/>
  <c r="T128" i="27"/>
  <c r="Q129" i="27"/>
  <c r="R129" i="27"/>
  <c r="S129" i="27"/>
  <c r="T129" i="27"/>
  <c r="Q130" i="27"/>
  <c r="R130" i="27"/>
  <c r="S130" i="27"/>
  <c r="T130" i="27"/>
  <c r="Q131" i="27"/>
  <c r="R131" i="27"/>
  <c r="S131" i="27"/>
  <c r="T131" i="27"/>
  <c r="Q132" i="27"/>
  <c r="R132" i="27"/>
  <c r="S132" i="27"/>
  <c r="T132" i="27"/>
  <c r="Q133" i="27"/>
  <c r="R133" i="27"/>
  <c r="S133" i="27"/>
  <c r="T133" i="27"/>
  <c r="Q134" i="27"/>
  <c r="R134" i="27"/>
  <c r="S134" i="27"/>
  <c r="T134" i="27"/>
  <c r="Q135" i="27"/>
  <c r="R135" i="27"/>
  <c r="S135" i="27"/>
  <c r="T135" i="27"/>
  <c r="Q136" i="27"/>
  <c r="R136" i="27"/>
  <c r="S136" i="27"/>
  <c r="T136" i="27"/>
  <c r="Q137" i="27"/>
  <c r="R137" i="27"/>
  <c r="S137" i="27"/>
  <c r="T137" i="27"/>
  <c r="Q138" i="27"/>
  <c r="R138" i="27"/>
  <c r="S138" i="27"/>
  <c r="T138" i="27"/>
  <c r="Q139" i="27"/>
  <c r="R139" i="27"/>
  <c r="S139" i="27"/>
  <c r="T139" i="27"/>
  <c r="Q140" i="27"/>
  <c r="R140" i="27"/>
  <c r="S140" i="27"/>
  <c r="T140" i="27"/>
  <c r="Q141" i="27"/>
  <c r="R141" i="27"/>
  <c r="S141" i="27"/>
  <c r="T141" i="27"/>
  <c r="Q142" i="27"/>
  <c r="R142" i="27"/>
  <c r="S142" i="27"/>
  <c r="T142" i="27"/>
  <c r="Q143" i="27"/>
  <c r="R143" i="27"/>
  <c r="S143" i="27"/>
  <c r="T143" i="27"/>
  <c r="Q144" i="27"/>
  <c r="R144" i="27"/>
  <c r="S144" i="27"/>
  <c r="T144" i="27"/>
  <c r="Q145" i="27"/>
  <c r="R145" i="27"/>
  <c r="S145" i="27"/>
  <c r="T145" i="27"/>
  <c r="Q146" i="27"/>
  <c r="R146" i="27"/>
  <c r="S146" i="27"/>
  <c r="T146" i="27"/>
  <c r="Q147" i="27"/>
  <c r="R147" i="27"/>
  <c r="S147" i="27"/>
  <c r="T147" i="27"/>
  <c r="Q148" i="27"/>
  <c r="R148" i="27"/>
  <c r="S148" i="27"/>
  <c r="T148" i="27"/>
  <c r="Q149" i="27"/>
  <c r="R149" i="27"/>
  <c r="S149" i="27"/>
  <c r="T149" i="27"/>
  <c r="Q150" i="27"/>
  <c r="R150" i="27"/>
  <c r="S150" i="27"/>
  <c r="T150" i="27"/>
  <c r="Q151" i="27"/>
  <c r="R151" i="27"/>
  <c r="S151" i="27"/>
  <c r="T151" i="27"/>
  <c r="Q152" i="27"/>
  <c r="R152" i="27"/>
  <c r="S152" i="27"/>
  <c r="T152" i="27"/>
  <c r="Q153" i="27"/>
  <c r="R153" i="27"/>
  <c r="S153" i="27"/>
  <c r="T153" i="27"/>
  <c r="Q154" i="27"/>
  <c r="R154" i="27"/>
  <c r="S154" i="27"/>
  <c r="T154" i="27"/>
  <c r="Q155" i="27"/>
  <c r="R155" i="27"/>
  <c r="S155" i="27"/>
  <c r="T155" i="27"/>
  <c r="Q156" i="27"/>
  <c r="R156" i="27"/>
  <c r="S156" i="27"/>
  <c r="T156" i="27"/>
  <c r="Q157" i="27"/>
  <c r="R157" i="27"/>
  <c r="S157" i="27"/>
  <c r="T157" i="27"/>
  <c r="Q158" i="27"/>
  <c r="R158" i="27"/>
  <c r="S158" i="27"/>
  <c r="T158" i="27"/>
  <c r="Q159" i="27"/>
  <c r="R159" i="27"/>
  <c r="S159" i="27"/>
  <c r="T159" i="27"/>
  <c r="Q160" i="27"/>
  <c r="R160" i="27"/>
  <c r="S160" i="27"/>
  <c r="T160" i="27"/>
  <c r="Q161" i="27"/>
  <c r="R161" i="27"/>
  <c r="S161" i="27"/>
  <c r="T161" i="27"/>
  <c r="Q162" i="27"/>
  <c r="R162" i="27"/>
  <c r="S162" i="27"/>
  <c r="T162" i="27"/>
  <c r="Q163" i="27"/>
  <c r="R163" i="27"/>
  <c r="S163" i="27"/>
  <c r="T163" i="27"/>
  <c r="Q164" i="27"/>
  <c r="R164" i="27"/>
  <c r="S164" i="27"/>
  <c r="T164" i="27"/>
  <c r="Q165" i="27"/>
  <c r="R165" i="27"/>
  <c r="S165" i="27"/>
  <c r="T165" i="27"/>
  <c r="Q166" i="27"/>
  <c r="R166" i="27"/>
  <c r="S166" i="27"/>
  <c r="T166" i="27"/>
  <c r="Q167" i="27"/>
  <c r="R167" i="27"/>
  <c r="S167" i="27"/>
  <c r="T167" i="27"/>
  <c r="Q168" i="27"/>
  <c r="R168" i="27"/>
  <c r="S168" i="27"/>
  <c r="T168" i="27"/>
  <c r="Q169" i="27"/>
  <c r="R169" i="27"/>
  <c r="S169" i="27"/>
  <c r="T169" i="27"/>
  <c r="Q170" i="27"/>
  <c r="R170" i="27"/>
  <c r="S170" i="27"/>
  <c r="T170" i="27"/>
  <c r="Q171" i="27"/>
  <c r="R171" i="27"/>
  <c r="S171" i="27"/>
  <c r="T171" i="27"/>
  <c r="Q172" i="27"/>
  <c r="R172" i="27"/>
  <c r="S172" i="27"/>
  <c r="T172" i="27"/>
  <c r="Q173" i="27"/>
  <c r="R173" i="27"/>
  <c r="S173" i="27"/>
  <c r="T173" i="27"/>
  <c r="Q174" i="27"/>
  <c r="R174" i="27"/>
  <c r="S174" i="27"/>
  <c r="T174" i="27"/>
  <c r="Q175" i="27"/>
  <c r="R175" i="27"/>
  <c r="S175" i="27"/>
  <c r="T175" i="27"/>
  <c r="Q176" i="27"/>
  <c r="R176" i="27"/>
  <c r="S176" i="27"/>
  <c r="T176" i="27"/>
  <c r="Q177" i="27"/>
  <c r="R177" i="27"/>
  <c r="S177" i="27"/>
  <c r="T177" i="27"/>
  <c r="Q178" i="27"/>
  <c r="R178" i="27"/>
  <c r="S178" i="27"/>
  <c r="T178" i="27"/>
  <c r="Q179" i="27"/>
  <c r="R179" i="27"/>
  <c r="S179" i="27"/>
  <c r="T179" i="27"/>
  <c r="Q180" i="27"/>
  <c r="R180" i="27"/>
  <c r="S180" i="27"/>
  <c r="T180" i="27"/>
  <c r="Q181" i="27"/>
  <c r="R181" i="27"/>
  <c r="S181" i="27"/>
  <c r="T181" i="27"/>
  <c r="Q182" i="27"/>
  <c r="R182" i="27"/>
  <c r="S182" i="27"/>
  <c r="T182" i="27"/>
  <c r="Q183" i="27"/>
  <c r="R183" i="27"/>
  <c r="S183" i="27"/>
  <c r="T183" i="27"/>
  <c r="Q184" i="27"/>
  <c r="R184" i="27"/>
  <c r="S184" i="27"/>
  <c r="T184" i="27"/>
  <c r="Q185" i="27"/>
  <c r="R185" i="27"/>
  <c r="S185" i="27"/>
  <c r="T185" i="27"/>
  <c r="Q186" i="27"/>
  <c r="R186" i="27"/>
  <c r="S186" i="27"/>
  <c r="T186" i="27"/>
  <c r="Q187" i="27"/>
  <c r="R187" i="27"/>
  <c r="S187" i="27"/>
  <c r="T187" i="27"/>
  <c r="Q188" i="27"/>
  <c r="R188" i="27"/>
  <c r="S188" i="27"/>
  <c r="T188" i="27"/>
  <c r="Q189" i="27"/>
  <c r="R189" i="27"/>
  <c r="S189" i="27"/>
  <c r="T189" i="27"/>
  <c r="Q190" i="27"/>
  <c r="R190" i="27"/>
  <c r="S190" i="27"/>
  <c r="T190" i="27"/>
  <c r="Q191" i="27"/>
  <c r="R191" i="27"/>
  <c r="S191" i="27"/>
  <c r="T191" i="27"/>
  <c r="Q192" i="27"/>
  <c r="R192" i="27"/>
  <c r="S192" i="27"/>
  <c r="T192" i="27"/>
  <c r="Q193" i="27"/>
  <c r="R193" i="27"/>
  <c r="S193" i="27"/>
  <c r="T193" i="27"/>
  <c r="Q194" i="27"/>
  <c r="R194" i="27"/>
  <c r="S194" i="27"/>
  <c r="T194" i="27"/>
  <c r="Q195" i="27"/>
  <c r="R195" i="27"/>
  <c r="S195" i="27"/>
  <c r="T195" i="27"/>
  <c r="Q196" i="27"/>
  <c r="R196" i="27"/>
  <c r="S196" i="27"/>
  <c r="T196" i="27"/>
  <c r="Q197" i="27"/>
  <c r="R197" i="27"/>
  <c r="S197" i="27"/>
  <c r="T197" i="27"/>
  <c r="Q198" i="27"/>
  <c r="R198" i="27"/>
  <c r="S198" i="27"/>
  <c r="T198" i="27"/>
  <c r="Q199" i="27"/>
  <c r="R199" i="27"/>
  <c r="S199" i="27"/>
  <c r="T199" i="27"/>
  <c r="Q200" i="27"/>
  <c r="R200" i="27"/>
  <c r="S200" i="27"/>
  <c r="T200" i="27"/>
  <c r="Q201" i="27"/>
  <c r="R201" i="27"/>
  <c r="S201" i="27"/>
  <c r="T201" i="27"/>
  <c r="Q202" i="27"/>
  <c r="R202" i="27"/>
  <c r="S202" i="27"/>
  <c r="T202" i="27"/>
  <c r="Q203" i="27"/>
  <c r="R203" i="27"/>
  <c r="S203" i="27"/>
  <c r="T203" i="27"/>
  <c r="Q204" i="27"/>
  <c r="R204" i="27"/>
  <c r="S204" i="27"/>
  <c r="T204" i="27"/>
  <c r="Q205" i="27"/>
  <c r="R205" i="27"/>
  <c r="S205" i="27"/>
  <c r="T205" i="27"/>
  <c r="Q206" i="27"/>
  <c r="R206" i="27"/>
  <c r="S206" i="27"/>
  <c r="T206" i="27"/>
  <c r="Q207" i="27"/>
  <c r="R207" i="27"/>
  <c r="S207" i="27"/>
  <c r="T207" i="27"/>
  <c r="Q208" i="27"/>
  <c r="R208" i="27"/>
  <c r="S208" i="27"/>
  <c r="T208" i="27"/>
  <c r="Q209" i="27"/>
  <c r="R209" i="27"/>
  <c r="S209" i="27"/>
  <c r="T209" i="27"/>
  <c r="Q210" i="27"/>
  <c r="R210" i="27"/>
  <c r="S210" i="27"/>
  <c r="T210" i="27"/>
  <c r="Q211" i="27"/>
  <c r="R211" i="27"/>
  <c r="S211" i="27"/>
  <c r="T211" i="27"/>
  <c r="Q212" i="27"/>
  <c r="R212" i="27"/>
  <c r="S212" i="27"/>
  <c r="T212" i="27"/>
  <c r="Q213" i="27"/>
  <c r="R213" i="27"/>
  <c r="S213" i="27"/>
  <c r="T213" i="27"/>
  <c r="Q214" i="27"/>
  <c r="R214" i="27"/>
  <c r="S214" i="27"/>
  <c r="T214" i="27"/>
  <c r="Q215" i="27"/>
  <c r="R215" i="27"/>
  <c r="S215" i="27"/>
  <c r="T215" i="27"/>
  <c r="Q216" i="27"/>
  <c r="R216" i="27"/>
  <c r="S216" i="27"/>
  <c r="T216" i="27"/>
  <c r="Q217" i="27"/>
  <c r="R217" i="27"/>
  <c r="S217" i="27"/>
  <c r="T217" i="27"/>
  <c r="Q218" i="27"/>
  <c r="R218" i="27"/>
  <c r="S218" i="27"/>
  <c r="T218" i="27"/>
  <c r="Q219" i="27"/>
  <c r="R219" i="27"/>
  <c r="S219" i="27"/>
  <c r="T219" i="27"/>
  <c r="Q220" i="27"/>
  <c r="R220" i="27"/>
  <c r="S220" i="27"/>
  <c r="T220" i="27"/>
  <c r="Q221" i="27"/>
  <c r="R221" i="27"/>
  <c r="S221" i="27"/>
  <c r="T221" i="27"/>
  <c r="Q222" i="27"/>
  <c r="R222" i="27"/>
  <c r="S222" i="27"/>
  <c r="T222" i="27"/>
  <c r="Q223" i="27"/>
  <c r="R223" i="27"/>
  <c r="S223" i="27"/>
  <c r="T223" i="27"/>
  <c r="Q224" i="27"/>
  <c r="R224" i="27"/>
  <c r="S224" i="27"/>
  <c r="T224" i="27"/>
  <c r="Q225" i="27"/>
  <c r="R225" i="27"/>
  <c r="S225" i="27"/>
  <c r="T225" i="27"/>
  <c r="Q226" i="27"/>
  <c r="R226" i="27"/>
  <c r="S226" i="27"/>
  <c r="T226" i="27"/>
  <c r="Q227" i="27"/>
  <c r="R227" i="27"/>
  <c r="S227" i="27"/>
  <c r="T227" i="27"/>
  <c r="Q228" i="27"/>
  <c r="R228" i="27"/>
  <c r="S228" i="27"/>
  <c r="T228" i="27"/>
  <c r="Q229" i="27"/>
  <c r="R229" i="27"/>
  <c r="S229" i="27"/>
  <c r="T229" i="27"/>
  <c r="Q230" i="27"/>
  <c r="R230" i="27"/>
  <c r="S230" i="27"/>
  <c r="T230" i="27"/>
  <c r="Q231" i="27"/>
  <c r="R231" i="27"/>
  <c r="S231" i="27"/>
  <c r="T231" i="27"/>
  <c r="Q232" i="27"/>
  <c r="R232" i="27"/>
  <c r="S232" i="27"/>
  <c r="T232" i="27"/>
  <c r="Q233" i="27"/>
  <c r="R233" i="27"/>
  <c r="S233" i="27"/>
  <c r="T233" i="27"/>
  <c r="Q234" i="27"/>
  <c r="R234" i="27"/>
  <c r="S234" i="27"/>
  <c r="T234" i="27"/>
  <c r="Q235" i="27"/>
  <c r="R235" i="27"/>
  <c r="S235" i="27"/>
  <c r="T235" i="27"/>
  <c r="Q236" i="27"/>
  <c r="R236" i="27"/>
  <c r="S236" i="27"/>
  <c r="T236" i="27"/>
  <c r="Q237" i="27"/>
  <c r="R237" i="27"/>
  <c r="S237" i="27"/>
  <c r="T237" i="27"/>
  <c r="Q238" i="27"/>
  <c r="R238" i="27"/>
  <c r="S238" i="27"/>
  <c r="T238" i="27"/>
  <c r="Q239" i="27"/>
  <c r="R239" i="27"/>
  <c r="S239" i="27"/>
  <c r="T239" i="27"/>
  <c r="Q240" i="27"/>
  <c r="R240" i="27"/>
  <c r="S240" i="27"/>
  <c r="T240" i="27"/>
  <c r="Q241" i="27"/>
  <c r="R241" i="27"/>
  <c r="S241" i="27"/>
  <c r="T241" i="27"/>
  <c r="Q242" i="27"/>
  <c r="R242" i="27"/>
  <c r="S242" i="27"/>
  <c r="T242" i="27"/>
  <c r="Q243" i="27"/>
  <c r="R243" i="27"/>
  <c r="S243" i="27"/>
  <c r="T243" i="27"/>
  <c r="Q244" i="27"/>
  <c r="R244" i="27"/>
  <c r="S244" i="27"/>
  <c r="T244" i="27"/>
  <c r="Q245" i="27"/>
  <c r="R245" i="27"/>
  <c r="S245" i="27"/>
  <c r="T245" i="27"/>
  <c r="Q246" i="27"/>
  <c r="R246" i="27"/>
  <c r="S246" i="27"/>
  <c r="T246" i="27"/>
  <c r="Q247" i="27"/>
  <c r="R247" i="27"/>
  <c r="S247" i="27"/>
  <c r="T247" i="27"/>
  <c r="Q248" i="27"/>
  <c r="R248" i="27"/>
  <c r="S248" i="27"/>
  <c r="T248" i="27"/>
  <c r="Q249" i="27"/>
  <c r="R249" i="27"/>
  <c r="S249" i="27"/>
  <c r="T249" i="27"/>
  <c r="Q250" i="27"/>
  <c r="R250" i="27"/>
  <c r="S250" i="27"/>
  <c r="T250" i="27"/>
  <c r="Q251" i="27"/>
  <c r="R251" i="27"/>
  <c r="S251" i="27"/>
  <c r="T251" i="27"/>
  <c r="Q252" i="27"/>
  <c r="R252" i="27"/>
  <c r="S252" i="27"/>
  <c r="T252" i="27"/>
  <c r="Q253" i="27"/>
  <c r="R253" i="27"/>
  <c r="S253" i="27"/>
  <c r="T253" i="27"/>
  <c r="Q254" i="27"/>
  <c r="R254" i="27"/>
  <c r="S254" i="27"/>
  <c r="T254" i="27"/>
  <c r="Q255" i="27"/>
  <c r="R255" i="27"/>
  <c r="S255" i="27"/>
  <c r="T255" i="27"/>
  <c r="Q256" i="27"/>
  <c r="R256" i="27"/>
  <c r="S256" i="27"/>
  <c r="T256" i="27"/>
  <c r="Q257" i="27"/>
  <c r="R257" i="27"/>
  <c r="S257" i="27"/>
  <c r="T257" i="27"/>
  <c r="Q258" i="27"/>
  <c r="R258" i="27"/>
  <c r="S258" i="27"/>
  <c r="T258" i="27"/>
  <c r="Q259" i="27"/>
  <c r="R259" i="27"/>
  <c r="S259" i="27"/>
  <c r="T259" i="27"/>
  <c r="Q260" i="27"/>
  <c r="R260" i="27"/>
  <c r="S260" i="27"/>
  <c r="T260" i="27"/>
  <c r="Q261" i="27"/>
  <c r="R261" i="27"/>
  <c r="S261" i="27"/>
  <c r="T261" i="27"/>
  <c r="Q262" i="27"/>
  <c r="R262" i="27"/>
  <c r="S262" i="27"/>
  <c r="T262" i="27"/>
  <c r="Q263" i="27"/>
  <c r="R263" i="27"/>
  <c r="S263" i="27"/>
  <c r="T263" i="27"/>
  <c r="Q264" i="27"/>
  <c r="R264" i="27"/>
  <c r="S264" i="27"/>
  <c r="T264" i="27"/>
  <c r="Q265" i="27"/>
  <c r="R265" i="27"/>
  <c r="S265" i="27"/>
  <c r="T265" i="27"/>
  <c r="Q266" i="27"/>
  <c r="R266" i="27"/>
  <c r="S266" i="27"/>
  <c r="T266" i="27"/>
  <c r="Q267" i="27"/>
  <c r="R267" i="27"/>
  <c r="S267" i="27"/>
  <c r="T267" i="27"/>
  <c r="Q268" i="27"/>
  <c r="R268" i="27"/>
  <c r="S268" i="27"/>
  <c r="T268" i="27"/>
  <c r="Q269" i="27"/>
  <c r="R269" i="27"/>
  <c r="S269" i="27"/>
  <c r="T269" i="27"/>
  <c r="Q270" i="27"/>
  <c r="R270" i="27"/>
  <c r="S270" i="27"/>
  <c r="T270" i="27"/>
  <c r="Q271" i="27"/>
  <c r="R271" i="27"/>
  <c r="S271" i="27"/>
  <c r="T271" i="27"/>
  <c r="Q272" i="27"/>
  <c r="R272" i="27"/>
  <c r="S272" i="27"/>
  <c r="T272" i="27"/>
  <c r="Q273" i="27"/>
  <c r="R273" i="27"/>
  <c r="S273" i="27"/>
  <c r="T273" i="27"/>
  <c r="Q274" i="27"/>
  <c r="R274" i="27"/>
  <c r="S274" i="27"/>
  <c r="T274" i="27"/>
  <c r="Q275" i="27"/>
  <c r="R275" i="27"/>
  <c r="S275" i="27"/>
  <c r="T275" i="27"/>
  <c r="Q276" i="27"/>
  <c r="R276" i="27"/>
  <c r="S276" i="27"/>
  <c r="T276" i="27"/>
  <c r="Q277" i="27"/>
  <c r="R277" i="27"/>
  <c r="S277" i="27"/>
  <c r="T277" i="27"/>
  <c r="Q278" i="27"/>
  <c r="R278" i="27"/>
  <c r="S278" i="27"/>
  <c r="T278" i="27"/>
  <c r="Q279" i="27"/>
  <c r="R279" i="27"/>
  <c r="S279" i="27"/>
  <c r="T279" i="27"/>
  <c r="Q280" i="27"/>
  <c r="R280" i="27"/>
  <c r="S280" i="27"/>
  <c r="T280" i="27"/>
  <c r="Q281" i="27"/>
  <c r="R281" i="27"/>
  <c r="S281" i="27"/>
  <c r="T281" i="27"/>
  <c r="Q282" i="27"/>
  <c r="R282" i="27"/>
  <c r="S282" i="27"/>
  <c r="T282" i="27"/>
  <c r="Q283" i="27"/>
  <c r="R283" i="27"/>
  <c r="S283" i="27"/>
  <c r="T283" i="27"/>
  <c r="Q284" i="27"/>
  <c r="R284" i="27"/>
  <c r="S284" i="27"/>
  <c r="T284" i="27"/>
  <c r="Q285" i="27"/>
  <c r="R285" i="27"/>
  <c r="S285" i="27"/>
  <c r="T285" i="27"/>
  <c r="Q286" i="27"/>
  <c r="R286" i="27"/>
  <c r="S286" i="27"/>
  <c r="T286" i="27"/>
  <c r="Q287" i="27"/>
  <c r="R287" i="27"/>
  <c r="S287" i="27"/>
  <c r="T287" i="27"/>
  <c r="Q288" i="27"/>
  <c r="R288" i="27"/>
  <c r="S288" i="27"/>
  <c r="T288" i="27"/>
  <c r="Q289" i="27"/>
  <c r="R289" i="27"/>
  <c r="S289" i="27"/>
  <c r="T289" i="27"/>
  <c r="Q290" i="27"/>
  <c r="R290" i="27"/>
  <c r="S290" i="27"/>
  <c r="T290" i="27"/>
  <c r="Q291" i="27"/>
  <c r="R291" i="27"/>
  <c r="S291" i="27"/>
  <c r="T291" i="27"/>
  <c r="Q292" i="27"/>
  <c r="R292" i="27"/>
  <c r="S292" i="27"/>
  <c r="T292" i="27"/>
  <c r="Q293" i="27"/>
  <c r="R293" i="27"/>
  <c r="S293" i="27"/>
  <c r="T293" i="27"/>
  <c r="Q294" i="27"/>
  <c r="R294" i="27"/>
  <c r="S294" i="27"/>
  <c r="T294" i="27"/>
  <c r="Q295" i="27"/>
  <c r="R295" i="27"/>
  <c r="S295" i="27"/>
  <c r="T295" i="27"/>
  <c r="Q296" i="27"/>
  <c r="R296" i="27"/>
  <c r="S296" i="27"/>
  <c r="T296" i="27"/>
  <c r="Q297" i="27"/>
  <c r="R297" i="27"/>
  <c r="S297" i="27"/>
  <c r="T297" i="27"/>
  <c r="Q298" i="27"/>
  <c r="R298" i="27"/>
  <c r="S298" i="27"/>
  <c r="T298" i="27"/>
  <c r="Q299" i="27"/>
  <c r="R299" i="27"/>
  <c r="S299" i="27"/>
  <c r="T299" i="27"/>
  <c r="Q300" i="27"/>
  <c r="R300" i="27"/>
  <c r="S300" i="27"/>
  <c r="T300" i="27"/>
  <c r="Q301" i="27"/>
  <c r="R301" i="27"/>
  <c r="S301" i="27"/>
  <c r="T301" i="27"/>
  <c r="Q302" i="27"/>
  <c r="R302" i="27"/>
  <c r="S302" i="27"/>
  <c r="T302" i="27"/>
  <c r="Q303" i="27"/>
  <c r="R303" i="27"/>
  <c r="S303" i="27"/>
  <c r="T303" i="27"/>
  <c r="Q304" i="27"/>
  <c r="R304" i="27"/>
  <c r="S304" i="27"/>
  <c r="T304" i="27"/>
  <c r="Q305" i="27"/>
  <c r="R305" i="27"/>
  <c r="S305" i="27"/>
  <c r="T305" i="27"/>
  <c r="Q306" i="27"/>
  <c r="R306" i="27"/>
  <c r="S306" i="27"/>
  <c r="T306" i="27"/>
  <c r="Q307" i="27"/>
  <c r="R307" i="27"/>
  <c r="S307" i="27"/>
  <c r="T307" i="27"/>
  <c r="Q308" i="27"/>
  <c r="R308" i="27"/>
  <c r="S308" i="27"/>
  <c r="T308" i="27"/>
  <c r="Q309" i="27"/>
  <c r="R309" i="27"/>
  <c r="S309" i="27"/>
  <c r="T309" i="27"/>
  <c r="Q310" i="27"/>
  <c r="R310" i="27"/>
  <c r="S310" i="27"/>
  <c r="T310" i="27"/>
  <c r="Q311" i="27"/>
  <c r="R311" i="27"/>
  <c r="S311" i="27"/>
  <c r="T311" i="27"/>
  <c r="Q312" i="27"/>
  <c r="R312" i="27"/>
  <c r="S312" i="27"/>
  <c r="T312" i="27"/>
  <c r="Q313" i="27"/>
  <c r="R313" i="27"/>
  <c r="S313" i="27"/>
  <c r="T313" i="27"/>
  <c r="Q314" i="27"/>
  <c r="R314" i="27"/>
  <c r="S314" i="27"/>
  <c r="T314" i="27"/>
  <c r="Q315" i="27"/>
  <c r="R315" i="27"/>
  <c r="S315" i="27"/>
  <c r="T315" i="27"/>
  <c r="Q316" i="27"/>
  <c r="R316" i="27"/>
  <c r="S316" i="27"/>
  <c r="T316" i="27"/>
  <c r="Q317" i="27"/>
  <c r="R317" i="27"/>
  <c r="S317" i="27"/>
  <c r="T317" i="27"/>
  <c r="Q318" i="27"/>
  <c r="R318" i="27"/>
  <c r="S318" i="27"/>
  <c r="T318" i="27"/>
  <c r="Q319" i="27"/>
  <c r="R319" i="27"/>
  <c r="S319" i="27"/>
  <c r="T319" i="27"/>
  <c r="Q320" i="27"/>
  <c r="R320" i="27"/>
  <c r="S320" i="27"/>
  <c r="T320" i="27"/>
  <c r="Q321" i="27"/>
  <c r="R321" i="27"/>
  <c r="S321" i="27"/>
  <c r="T321" i="27"/>
  <c r="Q322" i="27"/>
  <c r="R322" i="27"/>
  <c r="S322" i="27"/>
  <c r="T322" i="27"/>
  <c r="Q323" i="27"/>
  <c r="R323" i="27"/>
  <c r="S323" i="27"/>
  <c r="T323" i="27"/>
  <c r="Q324" i="27"/>
  <c r="R324" i="27"/>
  <c r="S324" i="27"/>
  <c r="T324" i="27"/>
  <c r="Q325" i="27"/>
  <c r="R325" i="27"/>
  <c r="S325" i="27"/>
  <c r="T325" i="27"/>
  <c r="Q326" i="27"/>
  <c r="R326" i="27"/>
  <c r="S326" i="27"/>
  <c r="T326" i="27"/>
  <c r="Q327" i="27"/>
  <c r="R327" i="27"/>
  <c r="S327" i="27"/>
  <c r="T327" i="27"/>
  <c r="Q328" i="27"/>
  <c r="R328" i="27"/>
  <c r="S328" i="27"/>
  <c r="T328" i="27"/>
  <c r="Q329" i="27"/>
  <c r="R329" i="27"/>
  <c r="S329" i="27"/>
  <c r="T329" i="27"/>
  <c r="Q330" i="27"/>
  <c r="R330" i="27"/>
  <c r="S330" i="27"/>
  <c r="T330" i="27"/>
  <c r="Q331" i="27"/>
  <c r="R331" i="27"/>
  <c r="S331" i="27"/>
  <c r="T331" i="27"/>
  <c r="Q332" i="27"/>
  <c r="R332" i="27"/>
  <c r="S332" i="27"/>
  <c r="T332" i="27"/>
  <c r="Q333" i="27"/>
  <c r="R333" i="27"/>
  <c r="S333" i="27"/>
  <c r="T333" i="27"/>
  <c r="Q334" i="27"/>
  <c r="R334" i="27"/>
  <c r="S334" i="27"/>
  <c r="T334" i="27"/>
  <c r="Q335" i="27"/>
  <c r="R335" i="27"/>
  <c r="S335" i="27"/>
  <c r="T335" i="27"/>
  <c r="Q336" i="27"/>
  <c r="R336" i="27"/>
  <c r="S336" i="27"/>
  <c r="T336" i="27"/>
  <c r="Q337" i="27"/>
  <c r="R337" i="27"/>
  <c r="S337" i="27"/>
  <c r="T337" i="27"/>
  <c r="Q338" i="27"/>
  <c r="R338" i="27"/>
  <c r="S338" i="27"/>
  <c r="T338" i="27"/>
  <c r="Q339" i="27"/>
  <c r="R339" i="27"/>
  <c r="S339" i="27"/>
  <c r="T339" i="27"/>
  <c r="Q340" i="27"/>
  <c r="R340" i="27"/>
  <c r="S340" i="27"/>
  <c r="T340" i="27"/>
  <c r="Q341" i="27"/>
  <c r="R341" i="27"/>
  <c r="S341" i="27"/>
  <c r="T341" i="27"/>
  <c r="Q342" i="27"/>
  <c r="R342" i="27"/>
  <c r="S342" i="27"/>
  <c r="T342" i="27"/>
  <c r="Q343" i="27"/>
  <c r="R343" i="27"/>
  <c r="S343" i="27"/>
  <c r="T343" i="27"/>
  <c r="Q344" i="27"/>
  <c r="R344" i="27"/>
  <c r="S344" i="27"/>
  <c r="T344" i="27"/>
  <c r="Q345" i="27"/>
  <c r="R345" i="27"/>
  <c r="S345" i="27"/>
  <c r="T345" i="27"/>
  <c r="Q346" i="27"/>
  <c r="R346" i="27"/>
  <c r="S346" i="27"/>
  <c r="T346" i="27"/>
  <c r="Q347" i="27"/>
  <c r="R347" i="27"/>
  <c r="S347" i="27"/>
  <c r="T347" i="27"/>
  <c r="Q348" i="27"/>
  <c r="R348" i="27"/>
  <c r="S348" i="27"/>
  <c r="T348" i="27"/>
  <c r="Q349" i="27"/>
  <c r="R349" i="27"/>
  <c r="S349" i="27"/>
  <c r="T349" i="27"/>
  <c r="Q350" i="27"/>
  <c r="R350" i="27"/>
  <c r="S350" i="27"/>
  <c r="T350" i="27"/>
  <c r="Q351" i="27"/>
  <c r="R351" i="27"/>
  <c r="S351" i="27"/>
  <c r="T351" i="27"/>
  <c r="Q352" i="27"/>
  <c r="R352" i="27"/>
  <c r="S352" i="27"/>
  <c r="T352" i="27"/>
  <c r="Q353" i="27"/>
  <c r="R353" i="27"/>
  <c r="S353" i="27"/>
  <c r="T353" i="27"/>
  <c r="Q354" i="27"/>
  <c r="R354" i="27"/>
  <c r="S354" i="27"/>
  <c r="T354" i="27"/>
  <c r="Q355" i="27"/>
  <c r="R355" i="27"/>
  <c r="S355" i="27"/>
  <c r="T355" i="27"/>
  <c r="Q356" i="27"/>
  <c r="R356" i="27"/>
  <c r="S356" i="27"/>
  <c r="T356" i="27"/>
  <c r="Q357" i="27"/>
  <c r="R357" i="27"/>
  <c r="S357" i="27"/>
  <c r="T357" i="27"/>
  <c r="Q358" i="27"/>
  <c r="R358" i="27"/>
  <c r="S358" i="27"/>
  <c r="T358" i="27"/>
  <c r="Q359" i="27"/>
  <c r="R359" i="27"/>
  <c r="S359" i="27"/>
  <c r="T359" i="27"/>
  <c r="Q360" i="27"/>
  <c r="R360" i="27"/>
  <c r="S360" i="27"/>
  <c r="T360" i="27"/>
  <c r="Q361" i="27"/>
  <c r="R361" i="27"/>
  <c r="S361" i="27"/>
  <c r="T361" i="27"/>
  <c r="Q362" i="27"/>
  <c r="R362" i="27"/>
  <c r="S362" i="27"/>
  <c r="T362" i="27"/>
  <c r="Q363" i="27"/>
  <c r="R363" i="27"/>
  <c r="S363" i="27"/>
  <c r="T363" i="27"/>
  <c r="Q364" i="27"/>
  <c r="R364" i="27"/>
  <c r="S364" i="27"/>
  <c r="T364" i="27"/>
  <c r="Q365" i="27"/>
  <c r="R365" i="27"/>
  <c r="S365" i="27"/>
  <c r="T365" i="27"/>
  <c r="Q366" i="27"/>
  <c r="R366" i="27"/>
  <c r="S366" i="27"/>
  <c r="T366" i="27"/>
  <c r="Q367" i="27"/>
  <c r="R367" i="27"/>
  <c r="S367" i="27"/>
  <c r="T367" i="27"/>
  <c r="Q368" i="27"/>
  <c r="R368" i="27"/>
  <c r="S368" i="27"/>
  <c r="T368" i="27"/>
  <c r="Q369" i="27"/>
  <c r="R369" i="27"/>
  <c r="S369" i="27"/>
  <c r="T369" i="27"/>
  <c r="Q370" i="27"/>
  <c r="R370" i="27"/>
  <c r="S370" i="27"/>
  <c r="T370" i="27"/>
  <c r="Q371" i="27"/>
  <c r="R371" i="27"/>
  <c r="S371" i="27"/>
  <c r="T371" i="27"/>
  <c r="Q372" i="27"/>
  <c r="R372" i="27"/>
  <c r="S372" i="27"/>
  <c r="T372" i="27"/>
  <c r="Q373" i="27"/>
  <c r="R373" i="27"/>
  <c r="S373" i="27"/>
  <c r="T373" i="27"/>
  <c r="Q374" i="27"/>
  <c r="R374" i="27"/>
  <c r="S374" i="27"/>
  <c r="T374" i="27"/>
  <c r="Q375" i="27"/>
  <c r="R375" i="27"/>
  <c r="S375" i="27"/>
  <c r="T375" i="27"/>
  <c r="Q376" i="27"/>
  <c r="R376" i="27"/>
  <c r="S376" i="27"/>
  <c r="T376" i="27"/>
  <c r="Q377" i="27"/>
  <c r="R377" i="27"/>
  <c r="S377" i="27"/>
  <c r="T377" i="27"/>
  <c r="Q378" i="27"/>
  <c r="R378" i="27"/>
  <c r="S378" i="27"/>
  <c r="T378" i="27"/>
  <c r="Q379" i="27"/>
  <c r="R379" i="27"/>
  <c r="S379" i="27"/>
  <c r="T379" i="27"/>
  <c r="Q380" i="27"/>
  <c r="R380" i="27"/>
  <c r="S380" i="27"/>
  <c r="T380" i="27"/>
  <c r="Q381" i="27"/>
  <c r="R381" i="27"/>
  <c r="S381" i="27"/>
  <c r="T381" i="27"/>
  <c r="Q382" i="27"/>
  <c r="R382" i="27"/>
  <c r="S382" i="27"/>
  <c r="T382" i="27"/>
  <c r="Q383" i="27"/>
  <c r="R383" i="27"/>
  <c r="S383" i="27"/>
  <c r="T383" i="27"/>
  <c r="Q384" i="27"/>
  <c r="R384" i="27"/>
  <c r="S384" i="27"/>
  <c r="T384" i="27"/>
  <c r="Q385" i="27"/>
  <c r="R385" i="27"/>
  <c r="S385" i="27"/>
  <c r="T385" i="27"/>
  <c r="Q386" i="27"/>
  <c r="R386" i="27"/>
  <c r="S386" i="27"/>
  <c r="T386" i="27"/>
  <c r="Q387" i="27"/>
  <c r="R387" i="27"/>
  <c r="S387" i="27"/>
  <c r="T387" i="27"/>
  <c r="Q388" i="27"/>
  <c r="R388" i="27"/>
  <c r="S388" i="27"/>
  <c r="T388" i="27"/>
  <c r="Q389" i="27"/>
  <c r="R389" i="27"/>
  <c r="S389" i="27"/>
  <c r="T389" i="27"/>
  <c r="Q390" i="27"/>
  <c r="R390" i="27"/>
  <c r="S390" i="27"/>
  <c r="T390" i="27"/>
  <c r="Q391" i="27"/>
  <c r="R391" i="27"/>
  <c r="S391" i="27"/>
  <c r="T391" i="27"/>
  <c r="Q392" i="27"/>
  <c r="R392" i="27"/>
  <c r="S392" i="27"/>
  <c r="T392" i="27"/>
  <c r="Q393" i="27"/>
  <c r="R393" i="27"/>
  <c r="S393" i="27"/>
  <c r="T393" i="27"/>
  <c r="Q394" i="27"/>
  <c r="R394" i="27"/>
  <c r="S394" i="27"/>
  <c r="T394" i="27"/>
  <c r="Q395" i="27"/>
  <c r="R395" i="27"/>
  <c r="S395" i="27"/>
  <c r="T395" i="27"/>
  <c r="Q396" i="27"/>
  <c r="R396" i="27"/>
  <c r="S396" i="27"/>
  <c r="T396" i="27"/>
  <c r="Q397" i="27"/>
  <c r="R397" i="27"/>
  <c r="S397" i="27"/>
  <c r="T397" i="27"/>
  <c r="Q398" i="27"/>
  <c r="R398" i="27"/>
  <c r="S398" i="27"/>
  <c r="T398" i="27"/>
  <c r="Q399" i="27"/>
  <c r="R399" i="27"/>
  <c r="S399" i="27"/>
  <c r="T399" i="27"/>
  <c r="Q400" i="27"/>
  <c r="R400" i="27"/>
  <c r="S400" i="27"/>
  <c r="T400" i="27"/>
  <c r="Q401" i="27"/>
  <c r="R401" i="27"/>
  <c r="S401" i="27"/>
  <c r="T401" i="27"/>
  <c r="Q402" i="27"/>
  <c r="R402" i="27"/>
  <c r="S402" i="27"/>
  <c r="T402" i="27"/>
  <c r="Q403" i="27"/>
  <c r="R403" i="27"/>
  <c r="S403" i="27"/>
  <c r="T403" i="27"/>
  <c r="Q404" i="27"/>
  <c r="R404" i="27"/>
  <c r="S404" i="27"/>
  <c r="T404" i="27"/>
  <c r="Q405" i="27"/>
  <c r="R405" i="27"/>
  <c r="S405" i="27"/>
  <c r="T405" i="27"/>
  <c r="Q406" i="27"/>
  <c r="R406" i="27"/>
  <c r="S406" i="27"/>
  <c r="T406" i="27"/>
  <c r="Q407" i="27"/>
  <c r="R407" i="27"/>
  <c r="S407" i="27"/>
  <c r="T407" i="27"/>
  <c r="Q408" i="27"/>
  <c r="R408" i="27"/>
  <c r="S408" i="27"/>
  <c r="T408" i="27"/>
  <c r="Q409" i="27"/>
  <c r="R409" i="27"/>
  <c r="S409" i="27"/>
  <c r="T409" i="27"/>
  <c r="Q410" i="27"/>
  <c r="R410" i="27"/>
  <c r="S410" i="27"/>
  <c r="T410" i="27"/>
  <c r="R6" i="27"/>
  <c r="Q6" i="27"/>
  <c r="F410" i="27"/>
  <c r="F409" i="27"/>
  <c r="F408" i="27"/>
  <c r="F407" i="27"/>
  <c r="F406" i="27"/>
  <c r="F405" i="27"/>
  <c r="F404" i="27"/>
  <c r="F403" i="27"/>
  <c r="F402" i="27"/>
  <c r="F401" i="27"/>
  <c r="F400" i="27"/>
  <c r="F399" i="27"/>
  <c r="F398" i="27"/>
  <c r="F397" i="27"/>
  <c r="F396" i="27"/>
  <c r="F395" i="27"/>
  <c r="F394" i="27"/>
  <c r="F393" i="27"/>
  <c r="F392" i="27"/>
  <c r="F391" i="27"/>
  <c r="F390" i="27"/>
  <c r="F389" i="27"/>
  <c r="F388" i="27"/>
  <c r="F387" i="27"/>
  <c r="F386" i="27"/>
  <c r="F385" i="27"/>
  <c r="F384" i="27"/>
  <c r="F383" i="27"/>
  <c r="F382" i="27"/>
  <c r="F381" i="27"/>
  <c r="F380" i="27"/>
  <c r="F379" i="27"/>
  <c r="F378" i="27"/>
  <c r="F377" i="27"/>
  <c r="F376" i="27"/>
  <c r="F375" i="27"/>
  <c r="F374" i="27"/>
  <c r="F373" i="27"/>
  <c r="F372" i="27"/>
  <c r="F371" i="27"/>
  <c r="F370" i="27"/>
  <c r="F369" i="27"/>
  <c r="F368" i="27"/>
  <c r="F367" i="27"/>
  <c r="F366" i="27"/>
  <c r="F365" i="27"/>
  <c r="F364" i="27"/>
  <c r="F363" i="27"/>
  <c r="F362" i="27"/>
  <c r="F361" i="27"/>
  <c r="F360" i="27"/>
  <c r="F359" i="27"/>
  <c r="F358" i="27"/>
  <c r="F357" i="27"/>
  <c r="F356" i="27"/>
  <c r="F355" i="27"/>
  <c r="F354" i="27"/>
  <c r="F353" i="27"/>
  <c r="F352" i="27"/>
  <c r="F351" i="27"/>
  <c r="F350" i="27"/>
  <c r="F349" i="27"/>
  <c r="F348" i="27"/>
  <c r="F347" i="27"/>
  <c r="F346" i="27"/>
  <c r="F345" i="27"/>
  <c r="F344" i="27"/>
  <c r="F343" i="27"/>
  <c r="F342" i="27"/>
  <c r="F341" i="27"/>
  <c r="F340" i="27"/>
  <c r="F339" i="27"/>
  <c r="F338" i="27"/>
  <c r="F337" i="27"/>
  <c r="F336" i="27"/>
  <c r="F335" i="27"/>
  <c r="F334" i="27"/>
  <c r="F333" i="27"/>
  <c r="F332" i="27"/>
  <c r="F331" i="27"/>
  <c r="F330" i="27"/>
  <c r="F329" i="27"/>
  <c r="F328" i="27"/>
  <c r="F327" i="27"/>
  <c r="F326" i="27"/>
  <c r="F325" i="27"/>
  <c r="F324" i="27"/>
  <c r="F323" i="27"/>
  <c r="F322" i="27"/>
  <c r="F321" i="27"/>
  <c r="F320" i="27"/>
  <c r="F319" i="27"/>
  <c r="F318" i="27"/>
  <c r="F317" i="27"/>
  <c r="F316" i="27"/>
  <c r="F315" i="27"/>
  <c r="F314" i="27"/>
  <c r="F313" i="27"/>
  <c r="F312" i="27"/>
  <c r="F311" i="27"/>
  <c r="F310" i="27"/>
  <c r="F309" i="27"/>
  <c r="F308" i="27"/>
  <c r="F307" i="27"/>
  <c r="F306" i="27"/>
  <c r="F305" i="27"/>
  <c r="F304" i="27"/>
  <c r="F303" i="27"/>
  <c r="F302" i="27"/>
  <c r="F301" i="27"/>
  <c r="F300" i="27"/>
  <c r="F299" i="27"/>
  <c r="F298" i="27"/>
  <c r="F297" i="27"/>
  <c r="F296" i="27"/>
  <c r="F295" i="27"/>
  <c r="F294" i="27"/>
  <c r="F293" i="27"/>
  <c r="F292" i="27"/>
  <c r="F291" i="27"/>
  <c r="F290" i="27"/>
  <c r="F289" i="27"/>
  <c r="F288" i="27"/>
  <c r="F287" i="27"/>
  <c r="F286" i="27"/>
  <c r="F285" i="27"/>
  <c r="F284" i="27"/>
  <c r="F283" i="27"/>
  <c r="F282" i="27"/>
  <c r="F281" i="27"/>
  <c r="F280" i="27"/>
  <c r="F279" i="27"/>
  <c r="F278" i="27"/>
  <c r="F277" i="27"/>
  <c r="F276" i="27"/>
  <c r="F275" i="27"/>
  <c r="F274" i="27"/>
  <c r="F273" i="27"/>
  <c r="F272" i="27"/>
  <c r="F271" i="27"/>
  <c r="F270" i="27"/>
  <c r="F269" i="27"/>
  <c r="F268" i="27"/>
  <c r="F267" i="27"/>
  <c r="F266" i="27"/>
  <c r="F265" i="27"/>
  <c r="F264" i="27"/>
  <c r="F263" i="27"/>
  <c r="F262" i="27"/>
  <c r="F261" i="27"/>
  <c r="F260" i="27"/>
  <c r="F259" i="27"/>
  <c r="F258" i="27"/>
  <c r="F257" i="27"/>
  <c r="F256" i="27"/>
  <c r="F255" i="27"/>
  <c r="F254" i="27"/>
  <c r="F253" i="27"/>
  <c r="F252" i="27"/>
  <c r="F251" i="27"/>
  <c r="F250" i="27"/>
  <c r="F249" i="27"/>
  <c r="F248" i="27"/>
  <c r="F247" i="27"/>
  <c r="F246" i="27"/>
  <c r="F245" i="27"/>
  <c r="F244" i="27"/>
  <c r="F243" i="27"/>
  <c r="F242" i="27"/>
  <c r="F241" i="27"/>
  <c r="F240" i="27"/>
  <c r="F239" i="27"/>
  <c r="F238" i="27"/>
  <c r="F237" i="27"/>
  <c r="F236" i="27"/>
  <c r="F235" i="27"/>
  <c r="F234" i="27"/>
  <c r="F233" i="27"/>
  <c r="F232" i="27"/>
  <c r="F231" i="27"/>
  <c r="F230" i="27"/>
  <c r="F229" i="27"/>
  <c r="F228" i="27"/>
  <c r="F227" i="27"/>
  <c r="F226" i="27"/>
  <c r="F225" i="27"/>
  <c r="F224" i="27"/>
  <c r="F223" i="27"/>
  <c r="F222" i="27"/>
  <c r="F221" i="27"/>
  <c r="F220" i="27"/>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F134" i="27"/>
  <c r="F133" i="27"/>
  <c r="F132" i="27"/>
  <c r="F131" i="27"/>
  <c r="F130" i="27"/>
  <c r="F129" i="27"/>
  <c r="F128" i="27"/>
  <c r="F127" i="27"/>
  <c r="F126" i="27"/>
  <c r="F125" i="27"/>
  <c r="F124" i="27"/>
  <c r="F123" i="27"/>
  <c r="F122" i="27"/>
  <c r="F121" i="27"/>
  <c r="F120" i="27"/>
  <c r="F119" i="27"/>
  <c r="F118" i="27"/>
  <c r="F117" i="27"/>
  <c r="F116" i="27"/>
  <c r="F115" i="27"/>
  <c r="F114" i="27"/>
  <c r="F113" i="27"/>
  <c r="F112" i="27"/>
  <c r="F111" i="27"/>
  <c r="F110" i="27"/>
  <c r="F109" i="27"/>
  <c r="F108" i="27"/>
  <c r="F107" i="27"/>
  <c r="F106" i="27"/>
  <c r="F105" i="27"/>
  <c r="F104" i="27"/>
  <c r="F103" i="27"/>
  <c r="F102" i="27"/>
  <c r="F101" i="27"/>
  <c r="F100" i="27"/>
  <c r="F99" i="27"/>
  <c r="F98" i="27"/>
  <c r="F97" i="27"/>
  <c r="F96" i="27"/>
  <c r="F95" i="27"/>
  <c r="F94" i="27"/>
  <c r="F92" i="27"/>
  <c r="F91" i="27"/>
  <c r="F90" i="27"/>
  <c r="F89" i="27"/>
  <c r="F88" i="27"/>
  <c r="F87" i="27"/>
  <c r="F86" i="27"/>
  <c r="F85" i="27"/>
  <c r="F84" i="27"/>
  <c r="F83" i="27"/>
  <c r="F82" i="27"/>
  <c r="F81" i="27"/>
  <c r="F80" i="27"/>
  <c r="F79" i="27"/>
  <c r="F78" i="27"/>
  <c r="F77" i="27"/>
  <c r="F76" i="27"/>
  <c r="F75" i="27"/>
  <c r="F74" i="27"/>
  <c r="F73" i="27"/>
  <c r="F72" i="27"/>
  <c r="F71" i="27"/>
  <c r="F70" i="27"/>
  <c r="F69" i="27"/>
  <c r="F68" i="27"/>
  <c r="F67" i="27"/>
  <c r="F66" i="27"/>
  <c r="F65" i="27"/>
  <c r="F64" i="27"/>
  <c r="F63" i="27"/>
  <c r="F62" i="27"/>
  <c r="F61" i="27"/>
  <c r="F60"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8" i="27"/>
  <c r="F9" i="27"/>
  <c r="F10" i="27"/>
  <c r="F11" i="27"/>
  <c r="F12" i="27"/>
  <c r="F13" i="27"/>
  <c r="F14" i="27"/>
  <c r="F7" i="27"/>
  <c r="F6" i="27"/>
  <c r="E411" i="27"/>
  <c r="M8" i="26"/>
  <c r="N8" i="26" s="1"/>
  <c r="O8" i="26" s="1"/>
  <c r="M9" i="26"/>
  <c r="N9" i="26"/>
  <c r="O9" i="26" s="1"/>
  <c r="M10" i="26"/>
  <c r="N10" i="26" s="1"/>
  <c r="O10" i="26" s="1"/>
  <c r="M11" i="26"/>
  <c r="N11" i="26" s="1"/>
  <c r="O11" i="26" s="1"/>
  <c r="M12" i="26"/>
  <c r="N12" i="26"/>
  <c r="O12" i="26" s="1"/>
  <c r="M13" i="26"/>
  <c r="N13" i="26" s="1"/>
  <c r="O13" i="26" s="1"/>
  <c r="M14" i="26"/>
  <c r="N14" i="26" s="1"/>
  <c r="O14" i="26" s="1"/>
  <c r="M15" i="26"/>
  <c r="N15" i="26" s="1"/>
  <c r="O15" i="26" s="1"/>
  <c r="M16" i="26"/>
  <c r="N16" i="26"/>
  <c r="O16" i="26" s="1"/>
  <c r="M17" i="26"/>
  <c r="N17" i="26" s="1"/>
  <c r="O17" i="26" s="1"/>
  <c r="M18" i="26"/>
  <c r="N18" i="26" s="1"/>
  <c r="O18" i="26" s="1"/>
  <c r="M19" i="26"/>
  <c r="N19" i="26" s="1"/>
  <c r="O19" i="26" s="1"/>
  <c r="M20" i="26"/>
  <c r="N20" i="26"/>
  <c r="O20" i="26" s="1"/>
  <c r="M21" i="26"/>
  <c r="N21" i="26" s="1"/>
  <c r="O21" i="26" s="1"/>
  <c r="M22" i="26"/>
  <c r="N22" i="26" s="1"/>
  <c r="O22" i="26" s="1"/>
  <c r="M23" i="26"/>
  <c r="N23" i="26" s="1"/>
  <c r="O23" i="26" s="1"/>
  <c r="M24" i="26"/>
  <c r="N24" i="26"/>
  <c r="O24" i="26" s="1"/>
  <c r="M25" i="26"/>
  <c r="N25" i="26"/>
  <c r="O25" i="26" s="1"/>
  <c r="M26" i="26"/>
  <c r="N26" i="26" s="1"/>
  <c r="O26" i="26" s="1"/>
  <c r="M27" i="26"/>
  <c r="N27" i="26" s="1"/>
  <c r="O27" i="26" s="1"/>
  <c r="M28" i="26"/>
  <c r="N28" i="26" s="1"/>
  <c r="O28" i="26" s="1"/>
  <c r="M29" i="26"/>
  <c r="N29" i="26"/>
  <c r="O29" i="26" s="1"/>
  <c r="M30" i="26"/>
  <c r="N30" i="26" s="1"/>
  <c r="O30" i="26" s="1"/>
  <c r="M31" i="26"/>
  <c r="N31" i="26" s="1"/>
  <c r="O31" i="26" s="1"/>
  <c r="M32" i="26"/>
  <c r="N32" i="26"/>
  <c r="O32" i="26" s="1"/>
  <c r="M33" i="26"/>
  <c r="N33" i="26"/>
  <c r="O33" i="26" s="1"/>
  <c r="M34" i="26"/>
  <c r="N34" i="26" s="1"/>
  <c r="O34" i="26" s="1"/>
  <c r="M35" i="26"/>
  <c r="N35" i="26" s="1"/>
  <c r="O35" i="26" s="1"/>
  <c r="M36" i="26"/>
  <c r="N36" i="26"/>
  <c r="O36" i="26" s="1"/>
  <c r="M37" i="26"/>
  <c r="N37" i="26" s="1"/>
  <c r="O37" i="26" s="1"/>
  <c r="M38" i="26"/>
  <c r="N38" i="26" s="1"/>
  <c r="O38" i="26" s="1"/>
  <c r="M39" i="26"/>
  <c r="N39" i="26" s="1"/>
  <c r="O39" i="26" s="1"/>
  <c r="M40" i="26"/>
  <c r="N40" i="26"/>
  <c r="O40" i="26" s="1"/>
  <c r="M41" i="26"/>
  <c r="N41" i="26" s="1"/>
  <c r="O41" i="26" s="1"/>
  <c r="M42" i="26"/>
  <c r="N42" i="26" s="1"/>
  <c r="O42" i="26" s="1"/>
  <c r="M43" i="26"/>
  <c r="N43" i="26" s="1"/>
  <c r="O43" i="26" s="1"/>
  <c r="M44" i="26"/>
  <c r="N44" i="26" s="1"/>
  <c r="O44" i="26" s="1"/>
  <c r="M45" i="26"/>
  <c r="N45" i="26"/>
  <c r="O45" i="26" s="1"/>
  <c r="M46" i="26"/>
  <c r="N46" i="26" s="1"/>
  <c r="O46" i="26" s="1"/>
  <c r="M47" i="26"/>
  <c r="N47" i="26" s="1"/>
  <c r="O47" i="26" s="1"/>
  <c r="M48" i="26"/>
  <c r="N48" i="26" s="1"/>
  <c r="O48" i="26" s="1"/>
  <c r="M49" i="26"/>
  <c r="N49" i="26"/>
  <c r="O49" i="26" s="1"/>
  <c r="M50" i="26"/>
  <c r="N50" i="26" s="1"/>
  <c r="O50" i="26" s="1"/>
  <c r="M51" i="26"/>
  <c r="N51" i="26" s="1"/>
  <c r="O51" i="26" s="1"/>
  <c r="M52" i="26"/>
  <c r="N52" i="26"/>
  <c r="O52" i="26" s="1"/>
  <c r="M53" i="26"/>
  <c r="N53" i="26"/>
  <c r="O53" i="26" s="1"/>
  <c r="M54" i="26"/>
  <c r="N54" i="26" s="1"/>
  <c r="O54" i="26" s="1"/>
  <c r="M55" i="26"/>
  <c r="N55" i="26" s="1"/>
  <c r="O55" i="26" s="1"/>
  <c r="M56" i="26"/>
  <c r="N56" i="26"/>
  <c r="O56" i="26" s="1"/>
  <c r="M57" i="26"/>
  <c r="N57" i="26" s="1"/>
  <c r="O57" i="26" s="1"/>
  <c r="M58" i="26"/>
  <c r="N58" i="26" s="1"/>
  <c r="O58" i="26" s="1"/>
  <c r="M59" i="26"/>
  <c r="N59" i="26" s="1"/>
  <c r="O59" i="26" s="1"/>
  <c r="M60" i="26"/>
  <c r="N60" i="26"/>
  <c r="O60" i="26" s="1"/>
  <c r="M61" i="26"/>
  <c r="N61" i="26" s="1"/>
  <c r="O61" i="26" s="1"/>
  <c r="M62" i="26"/>
  <c r="N62" i="26" s="1"/>
  <c r="O62" i="26" s="1"/>
  <c r="M63" i="26"/>
  <c r="N63" i="26" s="1"/>
  <c r="O63" i="26" s="1"/>
  <c r="M64" i="26"/>
  <c r="N64" i="26"/>
  <c r="O64" i="26" s="1"/>
  <c r="M65" i="26"/>
  <c r="N65" i="26"/>
  <c r="O65" i="26" s="1"/>
  <c r="M66" i="26"/>
  <c r="N66" i="26" s="1"/>
  <c r="O66" i="26" s="1"/>
  <c r="M67" i="26"/>
  <c r="N67" i="26" s="1"/>
  <c r="O67" i="26" s="1"/>
  <c r="M68" i="26"/>
  <c r="N68" i="26"/>
  <c r="O68" i="26" s="1"/>
  <c r="M69" i="26"/>
  <c r="N69" i="26"/>
  <c r="O69" i="26" s="1"/>
  <c r="M70" i="26"/>
  <c r="N70" i="26" s="1"/>
  <c r="O70" i="26" s="1"/>
  <c r="M71" i="26"/>
  <c r="N71" i="26" s="1"/>
  <c r="O71" i="26" s="1"/>
  <c r="M72" i="26"/>
  <c r="N72" i="26"/>
  <c r="O72" i="26" s="1"/>
  <c r="M73" i="26"/>
  <c r="N73" i="26"/>
  <c r="O73" i="26" s="1"/>
  <c r="M74" i="26"/>
  <c r="N74" i="26" s="1"/>
  <c r="O74" i="26" s="1"/>
  <c r="M75" i="26"/>
  <c r="N75" i="26" s="1"/>
  <c r="O75" i="26" s="1"/>
  <c r="M76" i="26"/>
  <c r="N76" i="26"/>
  <c r="O76" i="26" s="1"/>
  <c r="M77" i="26"/>
  <c r="N77" i="26"/>
  <c r="O77" i="26" s="1"/>
  <c r="M78" i="26"/>
  <c r="N78" i="26" s="1"/>
  <c r="O78" i="26" s="1"/>
  <c r="M79" i="26"/>
  <c r="N79" i="26" s="1"/>
  <c r="O79" i="26" s="1"/>
  <c r="M80" i="26"/>
  <c r="N80" i="26"/>
  <c r="O80" i="26" s="1"/>
  <c r="M81" i="26"/>
  <c r="N81" i="26"/>
  <c r="O81" i="26" s="1"/>
  <c r="M82" i="26"/>
  <c r="N82" i="26" s="1"/>
  <c r="O82" i="26" s="1"/>
  <c r="M83" i="26"/>
  <c r="N83" i="26" s="1"/>
  <c r="O83" i="26" s="1"/>
  <c r="M84" i="26"/>
  <c r="N84" i="26" s="1"/>
  <c r="O84" i="26" s="1"/>
  <c r="M85" i="26"/>
  <c r="N85" i="26"/>
  <c r="O85" i="26" s="1"/>
  <c r="M86" i="26"/>
  <c r="N86" i="26" s="1"/>
  <c r="O86" i="26" s="1"/>
  <c r="M87" i="26"/>
  <c r="N87" i="26" s="1"/>
  <c r="O87" i="26" s="1"/>
  <c r="M88" i="26"/>
  <c r="N88" i="26" s="1"/>
  <c r="O88" i="26" s="1"/>
  <c r="M89" i="26"/>
  <c r="N89" i="26"/>
  <c r="O89" i="26" s="1"/>
  <c r="M90" i="26"/>
  <c r="N90" i="26" s="1"/>
  <c r="O90" i="26" s="1"/>
  <c r="M91" i="26"/>
  <c r="N91" i="26" s="1"/>
  <c r="O91" i="26" s="1"/>
  <c r="M92" i="26"/>
  <c r="N92" i="26"/>
  <c r="O92" i="26" s="1"/>
  <c r="M93" i="26"/>
  <c r="N93" i="26"/>
  <c r="O93" i="26" s="1"/>
  <c r="M94" i="26"/>
  <c r="N94" i="26" s="1"/>
  <c r="O94" i="26" s="1"/>
  <c r="M95" i="26"/>
  <c r="N95" i="26" s="1"/>
  <c r="O95" i="26" s="1"/>
  <c r="M96" i="26"/>
  <c r="N96" i="26"/>
  <c r="O96" i="26" s="1"/>
  <c r="M97" i="26"/>
  <c r="N97" i="26" s="1"/>
  <c r="O97" i="26" s="1"/>
  <c r="M98" i="26"/>
  <c r="N98" i="26" s="1"/>
  <c r="O98" i="26" s="1"/>
  <c r="M99" i="26"/>
  <c r="N99" i="26" s="1"/>
  <c r="O99" i="26" s="1"/>
  <c r="M100" i="26"/>
  <c r="N100" i="26"/>
  <c r="O100" i="26" s="1"/>
  <c r="M101" i="26"/>
  <c r="N101" i="26" s="1"/>
  <c r="O101" i="26" s="1"/>
  <c r="M102" i="26"/>
  <c r="N102" i="26" s="1"/>
  <c r="O102" i="26" s="1"/>
  <c r="M103" i="26"/>
  <c r="N103" i="26" s="1"/>
  <c r="O103" i="26" s="1"/>
  <c r="M104" i="26"/>
  <c r="N104" i="26" s="1"/>
  <c r="O104" i="26" s="1"/>
  <c r="M105" i="26"/>
  <c r="N105" i="26"/>
  <c r="O105" i="26" s="1"/>
  <c r="M106" i="26"/>
  <c r="N106" i="26" s="1"/>
  <c r="O106" i="26" s="1"/>
  <c r="M107" i="26"/>
  <c r="N107" i="26" s="1"/>
  <c r="O107" i="26" s="1"/>
  <c r="M108" i="26"/>
  <c r="N108" i="26"/>
  <c r="O108" i="26" s="1"/>
  <c r="M109" i="26"/>
  <c r="N109" i="26"/>
  <c r="O109" i="26" s="1"/>
  <c r="M110" i="26"/>
  <c r="N110" i="26" s="1"/>
  <c r="O110" i="26" s="1"/>
  <c r="M111" i="26"/>
  <c r="N111" i="26" s="1"/>
  <c r="O111" i="26" s="1"/>
  <c r="M112" i="26"/>
  <c r="N112" i="26"/>
  <c r="O112" i="26" s="1"/>
  <c r="M113" i="26"/>
  <c r="N113" i="26"/>
  <c r="O113" i="26" s="1"/>
  <c r="M114" i="26"/>
  <c r="N114" i="26" s="1"/>
  <c r="O114" i="26" s="1"/>
  <c r="M115" i="26"/>
  <c r="N115" i="26" s="1"/>
  <c r="O115" i="26" s="1"/>
  <c r="M116" i="26"/>
  <c r="N116" i="26"/>
  <c r="O116" i="26" s="1"/>
  <c r="M117" i="26"/>
  <c r="N117" i="26" s="1"/>
  <c r="O117" i="26" s="1"/>
  <c r="M118" i="26"/>
  <c r="N118" i="26" s="1"/>
  <c r="O118" i="26" s="1"/>
  <c r="M119" i="26"/>
  <c r="N119" i="26" s="1"/>
  <c r="O119" i="26" s="1"/>
  <c r="M120" i="26"/>
  <c r="N120" i="26"/>
  <c r="O120" i="26" s="1"/>
  <c r="M121" i="26"/>
  <c r="N121" i="26"/>
  <c r="O121" i="26" s="1"/>
  <c r="M122" i="26"/>
  <c r="N122" i="26" s="1"/>
  <c r="O122" i="26" s="1"/>
  <c r="M123" i="26"/>
  <c r="N123" i="26" s="1"/>
  <c r="O123" i="26" s="1"/>
  <c r="M124" i="26"/>
  <c r="N124" i="26" s="1"/>
  <c r="O124" i="26" s="1"/>
  <c r="M125" i="26"/>
  <c r="N125" i="26"/>
  <c r="O125" i="26" s="1"/>
  <c r="M126" i="26"/>
  <c r="N126" i="26" s="1"/>
  <c r="O126" i="26" s="1"/>
  <c r="M127" i="26"/>
  <c r="N127" i="26" s="1"/>
  <c r="O127" i="26" s="1"/>
  <c r="M128" i="26"/>
  <c r="N128" i="26" s="1"/>
  <c r="O128" i="26" s="1"/>
  <c r="M129" i="26"/>
  <c r="N129" i="26"/>
  <c r="O129" i="26" s="1"/>
  <c r="M130" i="26"/>
  <c r="N130" i="26" s="1"/>
  <c r="O130" i="26" s="1"/>
  <c r="M131" i="26"/>
  <c r="N131" i="26" s="1"/>
  <c r="O131" i="26" s="1"/>
  <c r="M132" i="26"/>
  <c r="N132" i="26" s="1"/>
  <c r="O132" i="26" s="1"/>
  <c r="M133" i="26"/>
  <c r="N133" i="26"/>
  <c r="O133" i="26" s="1"/>
  <c r="M134" i="26"/>
  <c r="N134" i="26" s="1"/>
  <c r="O134" i="26" s="1"/>
  <c r="M135" i="26"/>
  <c r="N135" i="26" s="1"/>
  <c r="O135" i="26" s="1"/>
  <c r="M136" i="26"/>
  <c r="N136" i="26"/>
  <c r="O136" i="26" s="1"/>
  <c r="M137" i="26"/>
  <c r="N137" i="26" s="1"/>
  <c r="O137" i="26" s="1"/>
  <c r="M138" i="26"/>
  <c r="N138" i="26" s="1"/>
  <c r="O138" i="26" s="1"/>
  <c r="M139" i="26"/>
  <c r="N139" i="26" s="1"/>
  <c r="O139" i="26" s="1"/>
  <c r="M140" i="26"/>
  <c r="N140" i="26"/>
  <c r="O140" i="26" s="1"/>
  <c r="M141" i="26"/>
  <c r="N141" i="26" s="1"/>
  <c r="O141" i="26" s="1"/>
  <c r="M142" i="26"/>
  <c r="N142" i="26" s="1"/>
  <c r="O142" i="26" s="1"/>
  <c r="M143" i="26"/>
  <c r="N143" i="26" s="1"/>
  <c r="O143" i="26" s="1"/>
  <c r="M144" i="26"/>
  <c r="N144" i="26"/>
  <c r="O144" i="26" s="1"/>
  <c r="M145" i="26"/>
  <c r="N145" i="26"/>
  <c r="O145" i="26" s="1"/>
  <c r="M146" i="26"/>
  <c r="N146" i="26" s="1"/>
  <c r="O146" i="26" s="1"/>
  <c r="M147" i="26"/>
  <c r="N147" i="26" s="1"/>
  <c r="O147" i="26" s="1"/>
  <c r="M148" i="26"/>
  <c r="N148" i="26"/>
  <c r="O148" i="26" s="1"/>
  <c r="M149" i="26"/>
  <c r="N149" i="26"/>
  <c r="O149" i="26" s="1"/>
  <c r="M150" i="26"/>
  <c r="N150" i="26" s="1"/>
  <c r="O150" i="26" s="1"/>
  <c r="M151" i="26"/>
  <c r="N151" i="26" s="1"/>
  <c r="O151" i="26" s="1"/>
  <c r="M152" i="26"/>
  <c r="N152" i="26"/>
  <c r="O152" i="26" s="1"/>
  <c r="M153" i="26"/>
  <c r="N153" i="26"/>
  <c r="O153" i="26" s="1"/>
  <c r="M154" i="26"/>
  <c r="N154" i="26" s="1"/>
  <c r="O154" i="26" s="1"/>
  <c r="M155" i="26"/>
  <c r="N155" i="26" s="1"/>
  <c r="O155" i="26" s="1"/>
  <c r="M156" i="26"/>
  <c r="N156" i="26"/>
  <c r="O156" i="26" s="1"/>
  <c r="M157" i="26"/>
  <c r="N157" i="26"/>
  <c r="O157" i="26" s="1"/>
  <c r="M158" i="26"/>
  <c r="N158" i="26" s="1"/>
  <c r="O158" i="26" s="1"/>
  <c r="M159" i="26"/>
  <c r="N159" i="26" s="1"/>
  <c r="O159" i="26" s="1"/>
  <c r="M160" i="26"/>
  <c r="N160" i="26" s="1"/>
  <c r="O160" i="26" s="1"/>
  <c r="M161" i="26"/>
  <c r="N161" i="26"/>
  <c r="O161" i="26" s="1"/>
  <c r="M162" i="26"/>
  <c r="N162" i="26" s="1"/>
  <c r="O162" i="26" s="1"/>
  <c r="M163" i="26"/>
  <c r="N163" i="26" s="1"/>
  <c r="O163" i="26" s="1"/>
  <c r="M164" i="26"/>
  <c r="N164" i="26" s="1"/>
  <c r="O164" i="26" s="1"/>
  <c r="M165" i="26"/>
  <c r="N165" i="26"/>
  <c r="O165" i="26" s="1"/>
  <c r="M166" i="26"/>
  <c r="N166" i="26" s="1"/>
  <c r="O166" i="26" s="1"/>
  <c r="M167" i="26"/>
  <c r="N167" i="26" s="1"/>
  <c r="O167" i="26" s="1"/>
  <c r="M168" i="26"/>
  <c r="N168" i="26" s="1"/>
  <c r="O168" i="26" s="1"/>
  <c r="M169" i="26"/>
  <c r="N169" i="26"/>
  <c r="O169" i="26" s="1"/>
  <c r="M170" i="26"/>
  <c r="N170" i="26" s="1"/>
  <c r="O170" i="26" s="1"/>
  <c r="M171" i="26"/>
  <c r="N171" i="26" s="1"/>
  <c r="O171" i="26" s="1"/>
  <c r="M172" i="26"/>
  <c r="N172" i="26"/>
  <c r="O172" i="26" s="1"/>
  <c r="M173" i="26"/>
  <c r="N173" i="26"/>
  <c r="O173" i="26" s="1"/>
  <c r="M174" i="26"/>
  <c r="N174" i="26" s="1"/>
  <c r="O174" i="26" s="1"/>
  <c r="M175" i="26"/>
  <c r="N175" i="26" s="1"/>
  <c r="O175" i="26" s="1"/>
  <c r="M176" i="26"/>
  <c r="N176" i="26"/>
  <c r="O176" i="26" s="1"/>
  <c r="M177" i="26"/>
  <c r="N177" i="26" s="1"/>
  <c r="O177" i="26" s="1"/>
  <c r="M178" i="26"/>
  <c r="N178" i="26" s="1"/>
  <c r="O178" i="26" s="1"/>
  <c r="M179" i="26"/>
  <c r="N179" i="26" s="1"/>
  <c r="O179" i="26" s="1"/>
  <c r="M180" i="26"/>
  <c r="N180" i="26"/>
  <c r="O180" i="26" s="1"/>
  <c r="M181" i="26"/>
  <c r="N181" i="26" s="1"/>
  <c r="O181" i="26" s="1"/>
  <c r="M182" i="26"/>
  <c r="N182" i="26" s="1"/>
  <c r="O182" i="26" s="1"/>
  <c r="M183" i="26"/>
  <c r="N183" i="26" s="1"/>
  <c r="O183" i="26" s="1"/>
  <c r="M184" i="26"/>
  <c r="N184" i="26"/>
  <c r="O184" i="26" s="1"/>
  <c r="M185" i="26"/>
  <c r="N185" i="26" s="1"/>
  <c r="O185" i="26" s="1"/>
  <c r="M186" i="26"/>
  <c r="N186" i="26" s="1"/>
  <c r="O186" i="26" s="1"/>
  <c r="M187" i="26"/>
  <c r="N187" i="26" s="1"/>
  <c r="O187" i="26" s="1"/>
  <c r="M188" i="26"/>
  <c r="N188" i="26"/>
  <c r="O188" i="26" s="1"/>
  <c r="M189" i="26"/>
  <c r="N189" i="26"/>
  <c r="O189" i="26" s="1"/>
  <c r="M190" i="26"/>
  <c r="N190" i="26" s="1"/>
  <c r="O190" i="26" s="1"/>
  <c r="M191" i="26"/>
  <c r="N191" i="26" s="1"/>
  <c r="O191" i="26" s="1"/>
  <c r="M192" i="26"/>
  <c r="N192" i="26"/>
  <c r="O192" i="26" s="1"/>
  <c r="M193" i="26"/>
  <c r="N193" i="26"/>
  <c r="O193" i="26" s="1"/>
  <c r="M194" i="26"/>
  <c r="N194" i="26" s="1"/>
  <c r="O194" i="26" s="1"/>
  <c r="M195" i="26"/>
  <c r="N195" i="26" s="1"/>
  <c r="O195" i="26" s="1"/>
  <c r="M196" i="26"/>
  <c r="N196" i="26"/>
  <c r="O196" i="26" s="1"/>
  <c r="M197" i="26"/>
  <c r="N197" i="26"/>
  <c r="O197" i="26" s="1"/>
  <c r="M198" i="26"/>
  <c r="N198" i="26" s="1"/>
  <c r="O198" i="26" s="1"/>
  <c r="M199" i="26"/>
  <c r="N199" i="26" s="1"/>
  <c r="O199" i="26" s="1"/>
  <c r="M200" i="26"/>
  <c r="N200" i="26"/>
  <c r="O200" i="26" s="1"/>
  <c r="M201" i="26"/>
  <c r="N201" i="26"/>
  <c r="O201" i="26" s="1"/>
  <c r="M202" i="26"/>
  <c r="N202" i="26" s="1"/>
  <c r="O202" i="26" s="1"/>
  <c r="M203" i="26"/>
  <c r="N203" i="26" s="1"/>
  <c r="O203" i="26" s="1"/>
  <c r="M204" i="26"/>
  <c r="N204" i="26" s="1"/>
  <c r="O204" i="26" s="1"/>
  <c r="M205" i="26"/>
  <c r="N205" i="26"/>
  <c r="O205" i="26" s="1"/>
  <c r="M206" i="26"/>
  <c r="N206" i="26" s="1"/>
  <c r="O206" i="26" s="1"/>
  <c r="M207" i="26"/>
  <c r="N207" i="26" s="1"/>
  <c r="O207" i="26" s="1"/>
  <c r="M208" i="26"/>
  <c r="N208" i="26" s="1"/>
  <c r="O208" i="26" s="1"/>
  <c r="M209" i="26"/>
  <c r="N209" i="26"/>
  <c r="O209" i="26" s="1"/>
  <c r="M210" i="26"/>
  <c r="N210" i="26" s="1"/>
  <c r="O210" i="26" s="1"/>
  <c r="M211" i="26"/>
  <c r="N211" i="26" s="1"/>
  <c r="O211" i="26" s="1"/>
  <c r="M212" i="26"/>
  <c r="N212" i="26"/>
  <c r="O212" i="26" s="1"/>
  <c r="M213" i="26"/>
  <c r="N213" i="26" s="1"/>
  <c r="O213" i="26" s="1"/>
  <c r="M214" i="26"/>
  <c r="N214" i="26" s="1"/>
  <c r="O214" i="26" s="1"/>
  <c r="M215" i="26"/>
  <c r="N215" i="26" s="1"/>
  <c r="O215" i="26" s="1"/>
  <c r="M216" i="26"/>
  <c r="N216" i="26"/>
  <c r="O216" i="26" s="1"/>
  <c r="M217" i="26"/>
  <c r="N217" i="26"/>
  <c r="O217" i="26" s="1"/>
  <c r="M218" i="26"/>
  <c r="N218" i="26" s="1"/>
  <c r="O218" i="26" s="1"/>
  <c r="M219" i="26"/>
  <c r="N219" i="26" s="1"/>
  <c r="O219" i="26" s="1"/>
  <c r="M220" i="26"/>
  <c r="N220" i="26"/>
  <c r="O220" i="26" s="1"/>
  <c r="M221" i="26"/>
  <c r="N221" i="26" s="1"/>
  <c r="O221" i="26" s="1"/>
  <c r="M222" i="26"/>
  <c r="N222" i="26" s="1"/>
  <c r="O222" i="26" s="1"/>
  <c r="M223" i="26"/>
  <c r="N223" i="26" s="1"/>
  <c r="O223" i="26" s="1"/>
  <c r="M224" i="26"/>
  <c r="N224" i="26" s="1"/>
  <c r="O224" i="26" s="1"/>
  <c r="M225" i="26"/>
  <c r="N225" i="26" s="1"/>
  <c r="O225" i="26" s="1"/>
  <c r="M226" i="26"/>
  <c r="N226" i="26" s="1"/>
  <c r="O226" i="26" s="1"/>
  <c r="M227" i="26"/>
  <c r="N227" i="26" s="1"/>
  <c r="O227" i="26" s="1"/>
  <c r="M228" i="26"/>
  <c r="N228" i="26"/>
  <c r="O228" i="26" s="1"/>
  <c r="M229" i="26"/>
  <c r="N229" i="26"/>
  <c r="O229" i="26" s="1"/>
  <c r="M230" i="26"/>
  <c r="N230" i="26" s="1"/>
  <c r="O230" i="26" s="1"/>
  <c r="M231" i="26"/>
  <c r="N231" i="26" s="1"/>
  <c r="O231" i="26" s="1"/>
  <c r="M232" i="26"/>
  <c r="N232" i="26"/>
  <c r="O232" i="26" s="1"/>
  <c r="M233" i="26"/>
  <c r="N233" i="26"/>
  <c r="O233" i="26" s="1"/>
  <c r="M234" i="26"/>
  <c r="N234" i="26" s="1"/>
  <c r="O234" i="26" s="1"/>
  <c r="M235" i="26"/>
  <c r="N235" i="26" s="1"/>
  <c r="O235" i="26" s="1"/>
  <c r="M236" i="26"/>
  <c r="N236" i="26"/>
  <c r="O236" i="26" s="1"/>
  <c r="M237" i="26"/>
  <c r="N237" i="26" s="1"/>
  <c r="O237" i="26" s="1"/>
  <c r="M238" i="26"/>
  <c r="N238" i="26" s="1"/>
  <c r="O238" i="26" s="1"/>
  <c r="M239" i="26"/>
  <c r="N239" i="26" s="1"/>
  <c r="O239" i="26" s="1"/>
  <c r="M240" i="26"/>
  <c r="N240" i="26"/>
  <c r="O240" i="26" s="1"/>
  <c r="M241" i="26"/>
  <c r="N241" i="26"/>
  <c r="O241" i="26" s="1"/>
  <c r="M242" i="26"/>
  <c r="N242" i="26" s="1"/>
  <c r="O242" i="26" s="1"/>
  <c r="M243" i="26"/>
  <c r="N243" i="26" s="1"/>
  <c r="O243" i="26" s="1"/>
  <c r="M244" i="26"/>
  <c r="N244" i="26" s="1"/>
  <c r="O244" i="26" s="1"/>
  <c r="M245" i="26"/>
  <c r="N245" i="26"/>
  <c r="O245" i="26" s="1"/>
  <c r="M246" i="26"/>
  <c r="N246" i="26" s="1"/>
  <c r="O246" i="26" s="1"/>
  <c r="M247" i="26"/>
  <c r="N247" i="26" s="1"/>
  <c r="O247" i="26" s="1"/>
  <c r="M248" i="26"/>
  <c r="N248" i="26" s="1"/>
  <c r="O248" i="26" s="1"/>
  <c r="M249" i="26"/>
  <c r="N249" i="26"/>
  <c r="O249" i="26" s="1"/>
  <c r="M250" i="26"/>
  <c r="N250" i="26" s="1"/>
  <c r="O250" i="26" s="1"/>
  <c r="M251" i="26"/>
  <c r="N251" i="26" s="1"/>
  <c r="O251" i="26" s="1"/>
  <c r="M252" i="26"/>
  <c r="N252" i="26" s="1"/>
  <c r="O252" i="26" s="1"/>
  <c r="M253" i="26"/>
  <c r="N253" i="26" s="1"/>
  <c r="O253" i="26" s="1"/>
  <c r="M254" i="26"/>
  <c r="N254" i="26" s="1"/>
  <c r="O254" i="26" s="1"/>
  <c r="M255" i="26"/>
  <c r="N255" i="26" s="1"/>
  <c r="O255" i="26" s="1"/>
  <c r="M256" i="26"/>
  <c r="N256" i="26"/>
  <c r="O256" i="26" s="1"/>
  <c r="M257" i="26"/>
  <c r="N257" i="26" s="1"/>
  <c r="O257" i="26" s="1"/>
  <c r="M258" i="26"/>
  <c r="N258" i="26" s="1"/>
  <c r="O258" i="26" s="1"/>
  <c r="M259" i="26"/>
  <c r="N259" i="26" s="1"/>
  <c r="O259" i="26" s="1"/>
  <c r="M260" i="26"/>
  <c r="N260" i="26"/>
  <c r="O260" i="26" s="1"/>
  <c r="M261" i="26"/>
  <c r="N261" i="26" s="1"/>
  <c r="O261" i="26" s="1"/>
  <c r="M262" i="26"/>
  <c r="N262" i="26" s="1"/>
  <c r="O262" i="26" s="1"/>
  <c r="M263" i="26"/>
  <c r="N263" i="26" s="1"/>
  <c r="O263" i="26" s="1"/>
  <c r="M264" i="26"/>
  <c r="N264" i="26"/>
  <c r="O264" i="26" s="1"/>
  <c r="M265" i="26"/>
  <c r="N265" i="26"/>
  <c r="O265" i="26" s="1"/>
  <c r="M266" i="26"/>
  <c r="N266" i="26" s="1"/>
  <c r="O266" i="26" s="1"/>
  <c r="M267" i="26"/>
  <c r="N267" i="26" s="1"/>
  <c r="O267" i="26" s="1"/>
  <c r="M268" i="26"/>
  <c r="N268" i="26" s="1"/>
  <c r="O268" i="26" s="1"/>
  <c r="M269" i="26"/>
  <c r="N269" i="26"/>
  <c r="O269" i="26" s="1"/>
  <c r="M270" i="26"/>
  <c r="N270" i="26" s="1"/>
  <c r="O270" i="26" s="1"/>
  <c r="M271" i="26"/>
  <c r="N271" i="26" s="1"/>
  <c r="O271" i="26" s="1"/>
  <c r="M272" i="26"/>
  <c r="N272" i="26"/>
  <c r="O272" i="26" s="1"/>
  <c r="M273" i="26"/>
  <c r="N273" i="26"/>
  <c r="O273" i="26" s="1"/>
  <c r="M274" i="26"/>
  <c r="N274" i="26" s="1"/>
  <c r="O274" i="26" s="1"/>
  <c r="M275" i="26"/>
  <c r="N275" i="26" s="1"/>
  <c r="O275" i="26" s="1"/>
  <c r="M276" i="26"/>
  <c r="N276" i="26"/>
  <c r="O276" i="26" s="1"/>
  <c r="M277" i="26"/>
  <c r="N277" i="26"/>
  <c r="O277" i="26" s="1"/>
  <c r="M278" i="26"/>
  <c r="N278" i="26" s="1"/>
  <c r="O278" i="26" s="1"/>
  <c r="M279" i="26"/>
  <c r="N279" i="26" s="1"/>
  <c r="O279" i="26" s="1"/>
  <c r="M280" i="26"/>
  <c r="N280" i="26" s="1"/>
  <c r="O280" i="26" s="1"/>
  <c r="M281" i="26"/>
  <c r="N281" i="26" s="1"/>
  <c r="O281" i="26" s="1"/>
  <c r="M282" i="26"/>
  <c r="N282" i="26" s="1"/>
  <c r="O282" i="26" s="1"/>
  <c r="M283" i="26"/>
  <c r="N283" i="26" s="1"/>
  <c r="O283" i="26" s="1"/>
  <c r="M284" i="26"/>
  <c r="N284" i="26" s="1"/>
  <c r="O284" i="26" s="1"/>
  <c r="M285" i="26"/>
  <c r="N285" i="26"/>
  <c r="O285" i="26" s="1"/>
  <c r="M286" i="26"/>
  <c r="N286" i="26" s="1"/>
  <c r="O286" i="26" s="1"/>
  <c r="M287" i="26"/>
  <c r="N287" i="26" s="1"/>
  <c r="O287" i="26" s="1"/>
  <c r="M288" i="26"/>
  <c r="N288" i="26" s="1"/>
  <c r="O288" i="26" s="1"/>
  <c r="M289" i="26"/>
  <c r="N289" i="26"/>
  <c r="O289" i="26" s="1"/>
  <c r="M290" i="26"/>
  <c r="N290" i="26" s="1"/>
  <c r="O290" i="26" s="1"/>
  <c r="M291" i="26"/>
  <c r="N291" i="26" s="1"/>
  <c r="O291" i="26" s="1"/>
  <c r="M292" i="26"/>
  <c r="N292" i="26"/>
  <c r="O292" i="26" s="1"/>
  <c r="M293" i="26"/>
  <c r="N293" i="26"/>
  <c r="O293" i="26" s="1"/>
  <c r="M294" i="26"/>
  <c r="N294" i="26" s="1"/>
  <c r="O294" i="26" s="1"/>
  <c r="M295" i="26"/>
  <c r="N295" i="26" s="1"/>
  <c r="O295" i="26" s="1"/>
  <c r="M296" i="26"/>
  <c r="N296" i="26"/>
  <c r="O296" i="26" s="1"/>
  <c r="M297" i="26"/>
  <c r="N297" i="26" s="1"/>
  <c r="O297" i="26" s="1"/>
  <c r="M298" i="26"/>
  <c r="N298" i="26" s="1"/>
  <c r="O298" i="26" s="1"/>
  <c r="M299" i="26"/>
  <c r="N299" i="26" s="1"/>
  <c r="O299" i="26" s="1"/>
  <c r="M300" i="26"/>
  <c r="N300" i="26"/>
  <c r="O300" i="26" s="1"/>
  <c r="M301" i="26"/>
  <c r="N301" i="26" s="1"/>
  <c r="O301" i="26" s="1"/>
  <c r="M302" i="26"/>
  <c r="N302" i="26" s="1"/>
  <c r="O302" i="26" s="1"/>
  <c r="M303" i="26"/>
  <c r="N303" i="26" s="1"/>
  <c r="O303" i="26" s="1"/>
  <c r="M304" i="26"/>
  <c r="N304" i="26"/>
  <c r="O304" i="26" s="1"/>
  <c r="M305" i="26"/>
  <c r="N305" i="26" s="1"/>
  <c r="O305" i="26" s="1"/>
  <c r="M306" i="26"/>
  <c r="N306" i="26" s="1"/>
  <c r="O306" i="26" s="1"/>
  <c r="M308" i="26"/>
  <c r="N308" i="26" s="1"/>
  <c r="O308" i="26" s="1"/>
  <c r="M307" i="26"/>
  <c r="N307" i="26"/>
  <c r="O307" i="26" s="1"/>
  <c r="M309" i="26"/>
  <c r="N309" i="26"/>
  <c r="O309" i="26" s="1"/>
  <c r="M310" i="26"/>
  <c r="N310" i="26" s="1"/>
  <c r="O310" i="26" s="1"/>
  <c r="M311" i="26"/>
  <c r="N311" i="26" s="1"/>
  <c r="O311" i="26" s="1"/>
  <c r="M312" i="26"/>
  <c r="N312" i="26"/>
  <c r="O312" i="26" s="1"/>
  <c r="M313" i="26"/>
  <c r="N313" i="26"/>
  <c r="O313" i="26" s="1"/>
  <c r="M314" i="26"/>
  <c r="N314" i="26" s="1"/>
  <c r="O314" i="26" s="1"/>
  <c r="M315" i="26"/>
  <c r="N315" i="26" s="1"/>
  <c r="O315" i="26" s="1"/>
  <c r="M316" i="26"/>
  <c r="N316" i="26"/>
  <c r="O316" i="26" s="1"/>
  <c r="M317" i="26"/>
  <c r="N317" i="26"/>
  <c r="O317" i="26" s="1"/>
  <c r="M318" i="26"/>
  <c r="N318" i="26" s="1"/>
  <c r="O318" i="26" s="1"/>
  <c r="M319" i="26"/>
  <c r="N319" i="26" s="1"/>
  <c r="O319" i="26" s="1"/>
  <c r="M320" i="26"/>
  <c r="N320" i="26"/>
  <c r="O320" i="26" s="1"/>
  <c r="M321" i="26"/>
  <c r="N321" i="26"/>
  <c r="O321" i="26" s="1"/>
  <c r="M322" i="26"/>
  <c r="N322" i="26" s="1"/>
  <c r="O322" i="26" s="1"/>
  <c r="M323" i="26"/>
  <c r="N323" i="26" s="1"/>
  <c r="O323" i="26" s="1"/>
  <c r="M324" i="26"/>
  <c r="N324" i="26"/>
  <c r="O324" i="26" s="1"/>
  <c r="M325" i="26"/>
  <c r="N325" i="26" s="1"/>
  <c r="O325" i="26" s="1"/>
  <c r="M326" i="26"/>
  <c r="N326" i="26" s="1"/>
  <c r="O326" i="26" s="1"/>
  <c r="M327" i="26"/>
  <c r="N327" i="26" s="1"/>
  <c r="O327" i="26" s="1"/>
  <c r="M331" i="26"/>
  <c r="N331" i="26" s="1"/>
  <c r="O331" i="26" s="1"/>
  <c r="M330" i="26"/>
  <c r="N330" i="26"/>
  <c r="O330" i="26" s="1"/>
  <c r="M328" i="26"/>
  <c r="N328" i="26" s="1"/>
  <c r="O328" i="26" s="1"/>
  <c r="M329" i="26"/>
  <c r="N329" i="26" s="1"/>
  <c r="O329" i="26" s="1"/>
  <c r="M332" i="26"/>
  <c r="N332" i="26"/>
  <c r="O332" i="26" s="1"/>
  <c r="M333" i="26"/>
  <c r="N333" i="26" s="1"/>
  <c r="O333" i="26" s="1"/>
  <c r="M334" i="26"/>
  <c r="N334" i="26" s="1"/>
  <c r="O334" i="26" s="1"/>
  <c r="M335" i="26"/>
  <c r="N335" i="26" s="1"/>
  <c r="O335" i="26" s="1"/>
  <c r="M336" i="26"/>
  <c r="N336" i="26"/>
  <c r="O336" i="26" s="1"/>
  <c r="M337" i="26"/>
  <c r="N337" i="26"/>
  <c r="O337" i="26" s="1"/>
  <c r="M338" i="26"/>
  <c r="N338" i="26" s="1"/>
  <c r="O338" i="26" s="1"/>
  <c r="M339" i="26"/>
  <c r="N339" i="26" s="1"/>
  <c r="O339" i="26" s="1"/>
  <c r="M340" i="26"/>
  <c r="N340" i="26"/>
  <c r="O340" i="26" s="1"/>
  <c r="M341" i="26"/>
  <c r="N341" i="26" s="1"/>
  <c r="O341" i="26" s="1"/>
  <c r="M342" i="26"/>
  <c r="N342" i="26" s="1"/>
  <c r="O342" i="26" s="1"/>
  <c r="M343" i="26"/>
  <c r="N343" i="26" s="1"/>
  <c r="O343" i="26" s="1"/>
  <c r="M344" i="26"/>
  <c r="N344" i="26"/>
  <c r="O344" i="26" s="1"/>
  <c r="M345" i="26"/>
  <c r="N345" i="26" s="1"/>
  <c r="O345" i="26" s="1"/>
  <c r="M346" i="26"/>
  <c r="N346" i="26" s="1"/>
  <c r="O346" i="26" s="1"/>
  <c r="M347" i="26"/>
  <c r="N347" i="26" s="1"/>
  <c r="O347" i="26" s="1"/>
  <c r="M348" i="26"/>
  <c r="N348" i="26"/>
  <c r="O348" i="26" s="1"/>
  <c r="M349" i="26"/>
  <c r="N349" i="26"/>
  <c r="O349" i="26" s="1"/>
  <c r="M350" i="26"/>
  <c r="N350" i="26" s="1"/>
  <c r="O350" i="26" s="1"/>
  <c r="M351" i="26"/>
  <c r="N351" i="26" s="1"/>
  <c r="O351" i="26" s="1"/>
  <c r="M352" i="26"/>
  <c r="N352" i="26" s="1"/>
  <c r="O352" i="26" s="1"/>
  <c r="M353" i="26"/>
  <c r="N353" i="26"/>
  <c r="O353" i="26" s="1"/>
  <c r="M354" i="26"/>
  <c r="N354" i="26" s="1"/>
  <c r="O354" i="26" s="1"/>
  <c r="M355" i="26"/>
  <c r="N355" i="26" s="1"/>
  <c r="O355" i="26" s="1"/>
  <c r="M369" i="26"/>
  <c r="N369" i="26"/>
  <c r="O369" i="26" s="1"/>
  <c r="M370" i="26"/>
  <c r="N370" i="26" s="1"/>
  <c r="O370" i="26" s="1"/>
  <c r="M371" i="26"/>
  <c r="N371" i="26" s="1"/>
  <c r="O371" i="26" s="1"/>
  <c r="M372" i="26"/>
  <c r="N372" i="26" s="1"/>
  <c r="O372" i="26" s="1"/>
  <c r="M373" i="26"/>
  <c r="N373" i="26"/>
  <c r="O373" i="26" s="1"/>
  <c r="M374" i="26"/>
  <c r="N374" i="26" s="1"/>
  <c r="O374" i="26" s="1"/>
  <c r="M356" i="26"/>
  <c r="N356" i="26" s="1"/>
  <c r="O356" i="26" s="1"/>
  <c r="M357" i="26"/>
  <c r="N357" i="26" s="1"/>
  <c r="O357" i="26" s="1"/>
  <c r="M358" i="26"/>
  <c r="N358" i="26" s="1"/>
  <c r="O358" i="26" s="1"/>
  <c r="M359" i="26"/>
  <c r="N359" i="26" s="1"/>
  <c r="O359" i="26" s="1"/>
  <c r="M360" i="26"/>
  <c r="N360" i="26" s="1"/>
  <c r="O360" i="26" s="1"/>
  <c r="M361" i="26"/>
  <c r="N361" i="26" s="1"/>
  <c r="O361" i="26" s="1"/>
  <c r="M362" i="26"/>
  <c r="N362" i="26" s="1"/>
  <c r="O362" i="26" s="1"/>
  <c r="M363" i="26"/>
  <c r="N363" i="26"/>
  <c r="O363" i="26" s="1"/>
  <c r="M364" i="26"/>
  <c r="N364" i="26" s="1"/>
  <c r="O364" i="26" s="1"/>
  <c r="M365" i="26"/>
  <c r="N365" i="26" s="1"/>
  <c r="O365" i="26" s="1"/>
  <c r="M366" i="26"/>
  <c r="N366" i="26"/>
  <c r="O366" i="26" s="1"/>
  <c r="M367" i="26"/>
  <c r="N367" i="26"/>
  <c r="O367" i="26" s="1"/>
  <c r="M368" i="26"/>
  <c r="N368" i="26" s="1"/>
  <c r="O368" i="26" s="1"/>
  <c r="M375" i="26"/>
  <c r="N375" i="26" s="1"/>
  <c r="O375" i="26" s="1"/>
  <c r="M376" i="26"/>
  <c r="N376" i="26"/>
  <c r="O376" i="26" s="1"/>
  <c r="M377" i="26"/>
  <c r="N377" i="26" s="1"/>
  <c r="O377" i="26" s="1"/>
  <c r="M378" i="26"/>
  <c r="N378" i="26" s="1"/>
  <c r="O378" i="26" s="1"/>
  <c r="M379" i="26"/>
  <c r="N379" i="26" s="1"/>
  <c r="O379" i="26" s="1"/>
  <c r="M380" i="26"/>
  <c r="N380" i="26"/>
  <c r="O380" i="26" s="1"/>
  <c r="M381" i="26"/>
  <c r="N381" i="26" s="1"/>
  <c r="O381" i="26" s="1"/>
  <c r="M382" i="26"/>
  <c r="N382" i="26" s="1"/>
  <c r="O382" i="26" s="1"/>
  <c r="M383" i="26"/>
  <c r="N383" i="26" s="1"/>
  <c r="O383" i="26" s="1"/>
  <c r="M384" i="26"/>
  <c r="N384" i="26" s="1"/>
  <c r="O384" i="26" s="1"/>
  <c r="M385" i="26"/>
  <c r="N385" i="26" s="1"/>
  <c r="O385" i="26" s="1"/>
  <c r="M386" i="26"/>
  <c r="N386" i="26" s="1"/>
  <c r="O386" i="26" s="1"/>
  <c r="M387" i="26"/>
  <c r="N387" i="26" s="1"/>
  <c r="O387" i="26" s="1"/>
  <c r="M388" i="26"/>
  <c r="N388" i="26"/>
  <c r="O388" i="26" s="1"/>
  <c r="M389" i="26"/>
  <c r="N389" i="26"/>
  <c r="O389" i="26" s="1"/>
  <c r="M390" i="26"/>
  <c r="N390" i="26" s="1"/>
  <c r="O390" i="26" s="1"/>
  <c r="M391" i="26"/>
  <c r="N391" i="26" s="1"/>
  <c r="O391" i="26" s="1"/>
  <c r="M392" i="26"/>
  <c r="N392" i="26" s="1"/>
  <c r="O392" i="26" s="1"/>
  <c r="M393" i="26"/>
  <c r="N393" i="26"/>
  <c r="O393" i="26" s="1"/>
  <c r="M394" i="26"/>
  <c r="N394" i="26" s="1"/>
  <c r="O394" i="26" s="1"/>
  <c r="M395" i="26"/>
  <c r="N395" i="26" s="1"/>
  <c r="O395" i="26" s="1"/>
  <c r="M396" i="26"/>
  <c r="N396" i="26"/>
  <c r="O396" i="26" s="1"/>
  <c r="M397" i="26"/>
  <c r="N397" i="26"/>
  <c r="O397" i="26" s="1"/>
  <c r="M398" i="26"/>
  <c r="N398" i="26" s="1"/>
  <c r="O398" i="26" s="1"/>
  <c r="M399" i="26"/>
  <c r="N399" i="26" s="1"/>
  <c r="O399" i="26" s="1"/>
  <c r="M400" i="26"/>
  <c r="N400" i="26"/>
  <c r="O400" i="26" s="1"/>
  <c r="M401" i="26"/>
  <c r="N401" i="26" s="1"/>
  <c r="O401" i="26" s="1"/>
  <c r="M403" i="26"/>
  <c r="N403" i="26" s="1"/>
  <c r="O403" i="26" s="1"/>
  <c r="M402" i="26"/>
  <c r="N402" i="26" s="1"/>
  <c r="O402" i="26" s="1"/>
  <c r="M404" i="26"/>
  <c r="N404" i="26"/>
  <c r="O404" i="26" s="1"/>
  <c r="M405" i="26"/>
  <c r="N405" i="26" s="1"/>
  <c r="O405" i="26" s="1"/>
  <c r="M406" i="26"/>
  <c r="N406" i="26" s="1"/>
  <c r="O406" i="26" s="1"/>
  <c r="M407" i="26"/>
  <c r="N407" i="26" s="1"/>
  <c r="O407" i="26" s="1"/>
  <c r="M408" i="26"/>
  <c r="N408" i="26" s="1"/>
  <c r="O408" i="26" s="1"/>
  <c r="M409" i="26"/>
  <c r="N409" i="26"/>
  <c r="O409" i="26" s="1"/>
  <c r="M410" i="26"/>
  <c r="N410" i="26" s="1"/>
  <c r="O410" i="26" s="1"/>
  <c r="M411" i="26"/>
  <c r="N411" i="26" s="1"/>
  <c r="O411" i="26" s="1"/>
  <c r="Q7" i="26"/>
  <c r="R7" i="26"/>
  <c r="S7" i="26"/>
  <c r="T7" i="26"/>
  <c r="Q8" i="26"/>
  <c r="R8" i="26"/>
  <c r="S8" i="26"/>
  <c r="T8" i="26"/>
  <c r="Q9" i="26"/>
  <c r="R9" i="26"/>
  <c r="S9" i="26"/>
  <c r="T9" i="26"/>
  <c r="Q10" i="26"/>
  <c r="R10" i="26"/>
  <c r="S10" i="26"/>
  <c r="T10" i="26"/>
  <c r="Q11" i="26"/>
  <c r="R11" i="26"/>
  <c r="S11" i="26"/>
  <c r="T11" i="26"/>
  <c r="Q12" i="26"/>
  <c r="R12" i="26"/>
  <c r="S12" i="26"/>
  <c r="T12" i="26"/>
  <c r="Q13" i="26"/>
  <c r="R13" i="26"/>
  <c r="S13" i="26"/>
  <c r="T13" i="26"/>
  <c r="Q14" i="26"/>
  <c r="R14" i="26"/>
  <c r="S14" i="26"/>
  <c r="T14" i="26"/>
  <c r="Q15" i="26"/>
  <c r="R15" i="26"/>
  <c r="S15" i="26"/>
  <c r="T15" i="26"/>
  <c r="Q16" i="26"/>
  <c r="R16" i="26"/>
  <c r="S16" i="26"/>
  <c r="T16" i="26"/>
  <c r="Q17" i="26"/>
  <c r="R17" i="26"/>
  <c r="S17" i="26"/>
  <c r="T17" i="26"/>
  <c r="Q18" i="26"/>
  <c r="R18" i="26"/>
  <c r="S18" i="26"/>
  <c r="T18" i="26"/>
  <c r="Q19" i="26"/>
  <c r="R19" i="26"/>
  <c r="S19" i="26"/>
  <c r="T19" i="26"/>
  <c r="Q20" i="26"/>
  <c r="R20" i="26"/>
  <c r="S20" i="26"/>
  <c r="T20" i="26"/>
  <c r="Q21" i="26"/>
  <c r="R21" i="26"/>
  <c r="S21" i="26"/>
  <c r="T21" i="26"/>
  <c r="Q22" i="26"/>
  <c r="R22" i="26"/>
  <c r="S22" i="26"/>
  <c r="T22" i="26"/>
  <c r="Q23" i="26"/>
  <c r="R23" i="26"/>
  <c r="S23" i="26"/>
  <c r="T23" i="26"/>
  <c r="Q24" i="26"/>
  <c r="R24" i="26"/>
  <c r="S24" i="26"/>
  <c r="T24" i="26"/>
  <c r="Q25" i="26"/>
  <c r="R25" i="26"/>
  <c r="S25" i="26"/>
  <c r="T25" i="26"/>
  <c r="Q26" i="26"/>
  <c r="R26" i="26"/>
  <c r="S26" i="26"/>
  <c r="T26" i="26"/>
  <c r="Q27" i="26"/>
  <c r="R27" i="26"/>
  <c r="S27" i="26"/>
  <c r="T27" i="26"/>
  <c r="Q28" i="26"/>
  <c r="R28" i="26"/>
  <c r="S28" i="26"/>
  <c r="T28" i="26"/>
  <c r="Q29" i="26"/>
  <c r="R29" i="26"/>
  <c r="S29" i="26"/>
  <c r="T29" i="26"/>
  <c r="Q30" i="26"/>
  <c r="R30" i="26"/>
  <c r="S30" i="26"/>
  <c r="T30" i="26"/>
  <c r="Q31" i="26"/>
  <c r="R31" i="26"/>
  <c r="S31" i="26"/>
  <c r="T31" i="26"/>
  <c r="Q32" i="26"/>
  <c r="R32" i="26"/>
  <c r="S32" i="26"/>
  <c r="T32" i="26"/>
  <c r="Q33" i="26"/>
  <c r="R33" i="26"/>
  <c r="S33" i="26"/>
  <c r="T33" i="26"/>
  <c r="Q34" i="26"/>
  <c r="R34" i="26"/>
  <c r="S34" i="26"/>
  <c r="T34" i="26"/>
  <c r="Q35" i="26"/>
  <c r="R35" i="26"/>
  <c r="S35" i="26"/>
  <c r="T35" i="26"/>
  <c r="Q36" i="26"/>
  <c r="R36" i="26"/>
  <c r="S36" i="26"/>
  <c r="T36" i="26"/>
  <c r="Q37" i="26"/>
  <c r="R37" i="26"/>
  <c r="S37" i="26"/>
  <c r="T37" i="26"/>
  <c r="Q38" i="26"/>
  <c r="R38" i="26"/>
  <c r="S38" i="26"/>
  <c r="T38" i="26"/>
  <c r="Q39" i="26"/>
  <c r="R39" i="26"/>
  <c r="S39" i="26"/>
  <c r="T39" i="26"/>
  <c r="Q40" i="26"/>
  <c r="R40" i="26"/>
  <c r="S40" i="26"/>
  <c r="T40" i="26"/>
  <c r="Q41" i="26"/>
  <c r="R41" i="26"/>
  <c r="S41" i="26"/>
  <c r="T41" i="26"/>
  <c r="Q42" i="26"/>
  <c r="R42" i="26"/>
  <c r="S42" i="26"/>
  <c r="T42" i="26"/>
  <c r="Q43" i="26"/>
  <c r="R43" i="26"/>
  <c r="S43" i="26"/>
  <c r="T43" i="26"/>
  <c r="Q44" i="26"/>
  <c r="R44" i="26"/>
  <c r="S44" i="26"/>
  <c r="T44" i="26"/>
  <c r="Q45" i="26"/>
  <c r="R45" i="26"/>
  <c r="S45" i="26"/>
  <c r="T45" i="26"/>
  <c r="Q46" i="26"/>
  <c r="R46" i="26"/>
  <c r="S46" i="26"/>
  <c r="T46" i="26"/>
  <c r="Q47" i="26"/>
  <c r="R47" i="26"/>
  <c r="S47" i="26"/>
  <c r="T47" i="26"/>
  <c r="Q48" i="26"/>
  <c r="R48" i="26"/>
  <c r="S48" i="26"/>
  <c r="T48" i="26"/>
  <c r="Q49" i="26"/>
  <c r="R49" i="26"/>
  <c r="S49" i="26"/>
  <c r="T49" i="26"/>
  <c r="Q50" i="26"/>
  <c r="R50" i="26"/>
  <c r="S50" i="26"/>
  <c r="T50" i="26"/>
  <c r="Q51" i="26"/>
  <c r="R51" i="26"/>
  <c r="S51" i="26"/>
  <c r="T51" i="26"/>
  <c r="Q52" i="26"/>
  <c r="R52" i="26"/>
  <c r="S52" i="26"/>
  <c r="T52" i="26"/>
  <c r="Q53" i="26"/>
  <c r="R53" i="26"/>
  <c r="S53" i="26"/>
  <c r="T53" i="26"/>
  <c r="Q54" i="26"/>
  <c r="R54" i="26"/>
  <c r="S54" i="26"/>
  <c r="T54" i="26"/>
  <c r="Q55" i="26"/>
  <c r="R55" i="26"/>
  <c r="S55" i="26"/>
  <c r="T55" i="26"/>
  <c r="Q56" i="26"/>
  <c r="R56" i="26"/>
  <c r="S56" i="26"/>
  <c r="T56" i="26"/>
  <c r="Q57" i="26"/>
  <c r="R57" i="26"/>
  <c r="S57" i="26"/>
  <c r="T57" i="26"/>
  <c r="Q58" i="26"/>
  <c r="R58" i="26"/>
  <c r="S58" i="26"/>
  <c r="T58" i="26"/>
  <c r="Q59" i="26"/>
  <c r="R59" i="26"/>
  <c r="S59" i="26"/>
  <c r="T59" i="26"/>
  <c r="Q60" i="26"/>
  <c r="R60" i="26"/>
  <c r="S60" i="26"/>
  <c r="T60" i="26"/>
  <c r="Q61" i="26"/>
  <c r="R61" i="26"/>
  <c r="S61" i="26"/>
  <c r="T61" i="26"/>
  <c r="Q62" i="26"/>
  <c r="R62" i="26"/>
  <c r="S62" i="26"/>
  <c r="T62" i="26"/>
  <c r="Q63" i="26"/>
  <c r="R63" i="26"/>
  <c r="S63" i="26"/>
  <c r="T63" i="26"/>
  <c r="Q64" i="26"/>
  <c r="R64" i="26"/>
  <c r="S64" i="26"/>
  <c r="T64" i="26"/>
  <c r="Q65" i="26"/>
  <c r="R65" i="26"/>
  <c r="S65" i="26"/>
  <c r="T65" i="26"/>
  <c r="Q66" i="26"/>
  <c r="R66" i="26"/>
  <c r="S66" i="26"/>
  <c r="T66" i="26"/>
  <c r="Q67" i="26"/>
  <c r="R67" i="26"/>
  <c r="S67" i="26"/>
  <c r="T67" i="26"/>
  <c r="Q68" i="26"/>
  <c r="R68" i="26"/>
  <c r="S68" i="26"/>
  <c r="T68" i="26"/>
  <c r="Q69" i="26"/>
  <c r="R69" i="26"/>
  <c r="S69" i="26"/>
  <c r="T69" i="26"/>
  <c r="Q70" i="26"/>
  <c r="R70" i="26"/>
  <c r="S70" i="26"/>
  <c r="T70" i="26"/>
  <c r="Q71" i="26"/>
  <c r="R71" i="26"/>
  <c r="S71" i="26"/>
  <c r="T71" i="26"/>
  <c r="Q72" i="26"/>
  <c r="R72" i="26"/>
  <c r="S72" i="26"/>
  <c r="T72" i="26"/>
  <c r="Q73" i="26"/>
  <c r="R73" i="26"/>
  <c r="S73" i="26"/>
  <c r="T73" i="26"/>
  <c r="Q74" i="26"/>
  <c r="R74" i="26"/>
  <c r="S74" i="26"/>
  <c r="T74" i="26"/>
  <c r="Q75" i="26"/>
  <c r="R75" i="26"/>
  <c r="S75" i="26"/>
  <c r="T75" i="26"/>
  <c r="Q76" i="26"/>
  <c r="R76" i="26"/>
  <c r="S76" i="26"/>
  <c r="T76" i="26"/>
  <c r="Q77" i="26"/>
  <c r="R77" i="26"/>
  <c r="S77" i="26"/>
  <c r="T77" i="26"/>
  <c r="Q78" i="26"/>
  <c r="R78" i="26"/>
  <c r="S78" i="26"/>
  <c r="T78" i="26"/>
  <c r="Q79" i="26"/>
  <c r="R79" i="26"/>
  <c r="S79" i="26"/>
  <c r="T79" i="26"/>
  <c r="Q80" i="26"/>
  <c r="R80" i="26"/>
  <c r="S80" i="26"/>
  <c r="T80" i="26"/>
  <c r="Q81" i="26"/>
  <c r="R81" i="26"/>
  <c r="S81" i="26"/>
  <c r="T81" i="26"/>
  <c r="Q82" i="26"/>
  <c r="R82" i="26"/>
  <c r="S82" i="26"/>
  <c r="T82" i="26"/>
  <c r="Q83" i="26"/>
  <c r="R83" i="26"/>
  <c r="S83" i="26"/>
  <c r="T83" i="26"/>
  <c r="Q84" i="26"/>
  <c r="R84" i="26"/>
  <c r="S84" i="26"/>
  <c r="T84" i="26"/>
  <c r="Q85" i="26"/>
  <c r="R85" i="26"/>
  <c r="S85" i="26"/>
  <c r="T85" i="26"/>
  <c r="Q86" i="26"/>
  <c r="R86" i="26"/>
  <c r="S86" i="26"/>
  <c r="T86" i="26"/>
  <c r="Q87" i="26"/>
  <c r="R87" i="26"/>
  <c r="S87" i="26"/>
  <c r="T87" i="26"/>
  <c r="Q88" i="26"/>
  <c r="R88" i="26"/>
  <c r="S88" i="26"/>
  <c r="T88" i="26"/>
  <c r="Q89" i="26"/>
  <c r="R89" i="26"/>
  <c r="S89" i="26"/>
  <c r="T89" i="26"/>
  <c r="Q90" i="26"/>
  <c r="R90" i="26"/>
  <c r="S90" i="26"/>
  <c r="T90" i="26"/>
  <c r="Q91" i="26"/>
  <c r="R91" i="26"/>
  <c r="S91" i="26"/>
  <c r="T91" i="26"/>
  <c r="Q92" i="26"/>
  <c r="R92" i="26"/>
  <c r="S92" i="26"/>
  <c r="T92" i="26"/>
  <c r="Q93" i="26"/>
  <c r="R93" i="26"/>
  <c r="S93" i="26"/>
  <c r="T93" i="26"/>
  <c r="Q94" i="26"/>
  <c r="R94" i="26"/>
  <c r="S94" i="26"/>
  <c r="T94" i="26"/>
  <c r="Q95" i="26"/>
  <c r="R95" i="26"/>
  <c r="S95" i="26"/>
  <c r="T95" i="26"/>
  <c r="Q96" i="26"/>
  <c r="R96" i="26"/>
  <c r="S96" i="26"/>
  <c r="T96" i="26"/>
  <c r="Q97" i="26"/>
  <c r="R97" i="26"/>
  <c r="S97" i="26"/>
  <c r="T97" i="26"/>
  <c r="Q98" i="26"/>
  <c r="R98" i="26"/>
  <c r="S98" i="26"/>
  <c r="T98" i="26"/>
  <c r="Q99" i="26"/>
  <c r="R99" i="26"/>
  <c r="S99" i="26"/>
  <c r="T99" i="26"/>
  <c r="Q100" i="26"/>
  <c r="R100" i="26"/>
  <c r="S100" i="26"/>
  <c r="T100" i="26"/>
  <c r="Q101" i="26"/>
  <c r="R101" i="26"/>
  <c r="S101" i="26"/>
  <c r="T101" i="26"/>
  <c r="Q102" i="26"/>
  <c r="R102" i="26"/>
  <c r="S102" i="26"/>
  <c r="T102" i="26"/>
  <c r="Q103" i="26"/>
  <c r="R103" i="26"/>
  <c r="S103" i="26"/>
  <c r="T103" i="26"/>
  <c r="Q104" i="26"/>
  <c r="R104" i="26"/>
  <c r="S104" i="26"/>
  <c r="T104" i="26"/>
  <c r="Q105" i="26"/>
  <c r="R105" i="26"/>
  <c r="S105" i="26"/>
  <c r="T105" i="26"/>
  <c r="Q106" i="26"/>
  <c r="R106" i="26"/>
  <c r="S106" i="26"/>
  <c r="T106" i="26"/>
  <c r="Q107" i="26"/>
  <c r="R107" i="26"/>
  <c r="S107" i="26"/>
  <c r="T107" i="26"/>
  <c r="Q108" i="26"/>
  <c r="R108" i="26"/>
  <c r="S108" i="26"/>
  <c r="T108" i="26"/>
  <c r="Q109" i="26"/>
  <c r="R109" i="26"/>
  <c r="S109" i="26"/>
  <c r="T109" i="26"/>
  <c r="Q110" i="26"/>
  <c r="R110" i="26"/>
  <c r="S110" i="26"/>
  <c r="T110" i="26"/>
  <c r="Q111" i="26"/>
  <c r="R111" i="26"/>
  <c r="S111" i="26"/>
  <c r="T111" i="26"/>
  <c r="Q112" i="26"/>
  <c r="R112" i="26"/>
  <c r="S112" i="26"/>
  <c r="T112" i="26"/>
  <c r="Q113" i="26"/>
  <c r="R113" i="26"/>
  <c r="S113" i="26"/>
  <c r="T113" i="26"/>
  <c r="Q114" i="26"/>
  <c r="R114" i="26"/>
  <c r="S114" i="26"/>
  <c r="T114" i="26"/>
  <c r="Q115" i="26"/>
  <c r="R115" i="26"/>
  <c r="S115" i="26"/>
  <c r="T115" i="26"/>
  <c r="Q116" i="26"/>
  <c r="R116" i="26"/>
  <c r="S116" i="26"/>
  <c r="T116" i="26"/>
  <c r="Q117" i="26"/>
  <c r="R117" i="26"/>
  <c r="S117" i="26"/>
  <c r="T117" i="26"/>
  <c r="Q118" i="26"/>
  <c r="R118" i="26"/>
  <c r="S118" i="26"/>
  <c r="T118" i="26"/>
  <c r="Q119" i="26"/>
  <c r="R119" i="26"/>
  <c r="S119" i="26"/>
  <c r="T119" i="26"/>
  <c r="Q120" i="26"/>
  <c r="R120" i="26"/>
  <c r="S120" i="26"/>
  <c r="T120" i="26"/>
  <c r="Q121" i="26"/>
  <c r="R121" i="26"/>
  <c r="S121" i="26"/>
  <c r="T121" i="26"/>
  <c r="Q122" i="26"/>
  <c r="R122" i="26"/>
  <c r="S122" i="26"/>
  <c r="T122" i="26"/>
  <c r="Q123" i="26"/>
  <c r="R123" i="26"/>
  <c r="S123" i="26"/>
  <c r="T123" i="26"/>
  <c r="Q124" i="26"/>
  <c r="R124" i="26"/>
  <c r="S124" i="26"/>
  <c r="T124" i="26"/>
  <c r="Q125" i="26"/>
  <c r="R125" i="26"/>
  <c r="S125" i="26"/>
  <c r="T125" i="26"/>
  <c r="Q126" i="26"/>
  <c r="R126" i="26"/>
  <c r="S126" i="26"/>
  <c r="T126" i="26"/>
  <c r="Q127" i="26"/>
  <c r="R127" i="26"/>
  <c r="S127" i="26"/>
  <c r="T127" i="26"/>
  <c r="Q128" i="26"/>
  <c r="R128" i="26"/>
  <c r="S128" i="26"/>
  <c r="T128" i="26"/>
  <c r="Q129" i="26"/>
  <c r="R129" i="26"/>
  <c r="S129" i="26"/>
  <c r="T129" i="26"/>
  <c r="Q130" i="26"/>
  <c r="R130" i="26"/>
  <c r="S130" i="26"/>
  <c r="T130" i="26"/>
  <c r="Q131" i="26"/>
  <c r="R131" i="26"/>
  <c r="S131" i="26"/>
  <c r="T131" i="26"/>
  <c r="Q132" i="26"/>
  <c r="R132" i="26"/>
  <c r="S132" i="26"/>
  <c r="T132" i="26"/>
  <c r="Q133" i="26"/>
  <c r="R133" i="26"/>
  <c r="S133" i="26"/>
  <c r="T133" i="26"/>
  <c r="Q134" i="26"/>
  <c r="R134" i="26"/>
  <c r="S134" i="26"/>
  <c r="T134" i="26"/>
  <c r="Q135" i="26"/>
  <c r="R135" i="26"/>
  <c r="S135" i="26"/>
  <c r="T135" i="26"/>
  <c r="Q136" i="26"/>
  <c r="R136" i="26"/>
  <c r="S136" i="26"/>
  <c r="T136" i="26"/>
  <c r="Q137" i="26"/>
  <c r="R137" i="26"/>
  <c r="S137" i="26"/>
  <c r="T137" i="26"/>
  <c r="Q138" i="26"/>
  <c r="R138" i="26"/>
  <c r="S138" i="26"/>
  <c r="T138" i="26"/>
  <c r="Q139" i="26"/>
  <c r="R139" i="26"/>
  <c r="S139" i="26"/>
  <c r="T139" i="26"/>
  <c r="Q140" i="26"/>
  <c r="R140" i="26"/>
  <c r="S140" i="26"/>
  <c r="T140" i="26"/>
  <c r="Q141" i="26"/>
  <c r="R141" i="26"/>
  <c r="S141" i="26"/>
  <c r="T141" i="26"/>
  <c r="Q142" i="26"/>
  <c r="R142" i="26"/>
  <c r="S142" i="26"/>
  <c r="T142" i="26"/>
  <c r="Q143" i="26"/>
  <c r="R143" i="26"/>
  <c r="S143" i="26"/>
  <c r="T143" i="26"/>
  <c r="Q144" i="26"/>
  <c r="R144" i="26"/>
  <c r="S144" i="26"/>
  <c r="T144" i="26"/>
  <c r="Q145" i="26"/>
  <c r="R145" i="26"/>
  <c r="S145" i="26"/>
  <c r="T145" i="26"/>
  <c r="Q146" i="26"/>
  <c r="R146" i="26"/>
  <c r="S146" i="26"/>
  <c r="T146" i="26"/>
  <c r="Q147" i="26"/>
  <c r="R147" i="26"/>
  <c r="S147" i="26"/>
  <c r="T147" i="26"/>
  <c r="Q148" i="26"/>
  <c r="R148" i="26"/>
  <c r="S148" i="26"/>
  <c r="T148" i="26"/>
  <c r="Q149" i="26"/>
  <c r="R149" i="26"/>
  <c r="S149" i="26"/>
  <c r="T149" i="26"/>
  <c r="Q150" i="26"/>
  <c r="R150" i="26"/>
  <c r="S150" i="26"/>
  <c r="T150" i="26"/>
  <c r="Q151" i="26"/>
  <c r="R151" i="26"/>
  <c r="S151" i="26"/>
  <c r="T151" i="26"/>
  <c r="Q152" i="26"/>
  <c r="R152" i="26"/>
  <c r="S152" i="26"/>
  <c r="T152" i="26"/>
  <c r="Q153" i="26"/>
  <c r="R153" i="26"/>
  <c r="S153" i="26"/>
  <c r="T153" i="26"/>
  <c r="Q154" i="26"/>
  <c r="R154" i="26"/>
  <c r="S154" i="26"/>
  <c r="T154" i="26"/>
  <c r="Q155" i="26"/>
  <c r="R155" i="26"/>
  <c r="S155" i="26"/>
  <c r="T155" i="26"/>
  <c r="Q156" i="26"/>
  <c r="R156" i="26"/>
  <c r="S156" i="26"/>
  <c r="T156" i="26"/>
  <c r="Q157" i="26"/>
  <c r="R157" i="26"/>
  <c r="S157" i="26"/>
  <c r="T157" i="26"/>
  <c r="Q158" i="26"/>
  <c r="R158" i="26"/>
  <c r="S158" i="26"/>
  <c r="T158" i="26"/>
  <c r="Q159" i="26"/>
  <c r="R159" i="26"/>
  <c r="S159" i="26"/>
  <c r="T159" i="26"/>
  <c r="Q160" i="26"/>
  <c r="R160" i="26"/>
  <c r="S160" i="26"/>
  <c r="T160" i="26"/>
  <c r="Q161" i="26"/>
  <c r="R161" i="26"/>
  <c r="S161" i="26"/>
  <c r="T161" i="26"/>
  <c r="Q162" i="26"/>
  <c r="R162" i="26"/>
  <c r="S162" i="26"/>
  <c r="T162" i="26"/>
  <c r="Q163" i="26"/>
  <c r="R163" i="26"/>
  <c r="S163" i="26"/>
  <c r="T163" i="26"/>
  <c r="Q164" i="26"/>
  <c r="R164" i="26"/>
  <c r="S164" i="26"/>
  <c r="T164" i="26"/>
  <c r="Q165" i="26"/>
  <c r="R165" i="26"/>
  <c r="S165" i="26"/>
  <c r="T165" i="26"/>
  <c r="Q166" i="26"/>
  <c r="R166" i="26"/>
  <c r="S166" i="26"/>
  <c r="T166" i="26"/>
  <c r="Q167" i="26"/>
  <c r="R167" i="26"/>
  <c r="S167" i="26"/>
  <c r="T167" i="26"/>
  <c r="Q168" i="26"/>
  <c r="R168" i="26"/>
  <c r="S168" i="26"/>
  <c r="T168" i="26"/>
  <c r="Q169" i="26"/>
  <c r="R169" i="26"/>
  <c r="S169" i="26"/>
  <c r="T169" i="26"/>
  <c r="Q170" i="26"/>
  <c r="R170" i="26"/>
  <c r="S170" i="26"/>
  <c r="T170" i="26"/>
  <c r="Q171" i="26"/>
  <c r="R171" i="26"/>
  <c r="S171" i="26"/>
  <c r="T171" i="26"/>
  <c r="Q172" i="26"/>
  <c r="R172" i="26"/>
  <c r="S172" i="26"/>
  <c r="T172" i="26"/>
  <c r="Q173" i="26"/>
  <c r="R173" i="26"/>
  <c r="S173" i="26"/>
  <c r="T173" i="26"/>
  <c r="Q174" i="26"/>
  <c r="R174" i="26"/>
  <c r="S174" i="26"/>
  <c r="T174" i="26"/>
  <c r="Q175" i="26"/>
  <c r="R175" i="26"/>
  <c r="S175" i="26"/>
  <c r="T175" i="26"/>
  <c r="Q176" i="26"/>
  <c r="R176" i="26"/>
  <c r="S176" i="26"/>
  <c r="T176" i="26"/>
  <c r="Q177" i="26"/>
  <c r="R177" i="26"/>
  <c r="S177" i="26"/>
  <c r="T177" i="26"/>
  <c r="Q178" i="26"/>
  <c r="R178" i="26"/>
  <c r="S178" i="26"/>
  <c r="T178" i="26"/>
  <c r="Q179" i="26"/>
  <c r="R179" i="26"/>
  <c r="S179" i="26"/>
  <c r="T179" i="26"/>
  <c r="Q180" i="26"/>
  <c r="R180" i="26"/>
  <c r="S180" i="26"/>
  <c r="T180" i="26"/>
  <c r="Q181" i="26"/>
  <c r="R181" i="26"/>
  <c r="S181" i="26"/>
  <c r="T181" i="26"/>
  <c r="Q182" i="26"/>
  <c r="R182" i="26"/>
  <c r="S182" i="26"/>
  <c r="T182" i="26"/>
  <c r="Q183" i="26"/>
  <c r="R183" i="26"/>
  <c r="S183" i="26"/>
  <c r="T183" i="26"/>
  <c r="Q184" i="26"/>
  <c r="R184" i="26"/>
  <c r="S184" i="26"/>
  <c r="T184" i="26"/>
  <c r="Q185" i="26"/>
  <c r="R185" i="26"/>
  <c r="S185" i="26"/>
  <c r="T185" i="26"/>
  <c r="Q186" i="26"/>
  <c r="R186" i="26"/>
  <c r="S186" i="26"/>
  <c r="T186" i="26"/>
  <c r="Q187" i="26"/>
  <c r="R187" i="26"/>
  <c r="S187" i="26"/>
  <c r="T187" i="26"/>
  <c r="Q188" i="26"/>
  <c r="R188" i="26"/>
  <c r="S188" i="26"/>
  <c r="T188" i="26"/>
  <c r="Q189" i="26"/>
  <c r="R189" i="26"/>
  <c r="S189" i="26"/>
  <c r="T189" i="26"/>
  <c r="Q190" i="26"/>
  <c r="R190" i="26"/>
  <c r="S190" i="26"/>
  <c r="T190" i="26"/>
  <c r="Q191" i="26"/>
  <c r="R191" i="26"/>
  <c r="S191" i="26"/>
  <c r="T191" i="26"/>
  <c r="Q192" i="26"/>
  <c r="R192" i="26"/>
  <c r="S192" i="26"/>
  <c r="T192" i="26"/>
  <c r="Q193" i="26"/>
  <c r="R193" i="26"/>
  <c r="S193" i="26"/>
  <c r="T193" i="26"/>
  <c r="Q194" i="26"/>
  <c r="R194" i="26"/>
  <c r="S194" i="26"/>
  <c r="T194" i="26"/>
  <c r="Q195" i="26"/>
  <c r="R195" i="26"/>
  <c r="S195" i="26"/>
  <c r="T195" i="26"/>
  <c r="Q196" i="26"/>
  <c r="R196" i="26"/>
  <c r="S196" i="26"/>
  <c r="T196" i="26"/>
  <c r="Q197" i="26"/>
  <c r="R197" i="26"/>
  <c r="S197" i="26"/>
  <c r="T197" i="26"/>
  <c r="Q198" i="26"/>
  <c r="R198" i="26"/>
  <c r="S198" i="26"/>
  <c r="T198" i="26"/>
  <c r="Q199" i="26"/>
  <c r="R199" i="26"/>
  <c r="S199" i="26"/>
  <c r="T199" i="26"/>
  <c r="Q200" i="26"/>
  <c r="R200" i="26"/>
  <c r="S200" i="26"/>
  <c r="T200" i="26"/>
  <c r="Q201" i="26"/>
  <c r="R201" i="26"/>
  <c r="S201" i="26"/>
  <c r="T201" i="26"/>
  <c r="Q202" i="26"/>
  <c r="R202" i="26"/>
  <c r="S202" i="26"/>
  <c r="T202" i="26"/>
  <c r="Q203" i="26"/>
  <c r="R203" i="26"/>
  <c r="S203" i="26"/>
  <c r="T203" i="26"/>
  <c r="Q204" i="26"/>
  <c r="R204" i="26"/>
  <c r="S204" i="26"/>
  <c r="T204" i="26"/>
  <c r="Q205" i="26"/>
  <c r="R205" i="26"/>
  <c r="S205" i="26"/>
  <c r="T205" i="26"/>
  <c r="Q206" i="26"/>
  <c r="R206" i="26"/>
  <c r="S206" i="26"/>
  <c r="T206" i="26"/>
  <c r="Q207" i="26"/>
  <c r="R207" i="26"/>
  <c r="S207" i="26"/>
  <c r="T207" i="26"/>
  <c r="Q208" i="26"/>
  <c r="R208" i="26"/>
  <c r="S208" i="26"/>
  <c r="T208" i="26"/>
  <c r="Q209" i="26"/>
  <c r="R209" i="26"/>
  <c r="S209" i="26"/>
  <c r="T209" i="26"/>
  <c r="Q210" i="26"/>
  <c r="R210" i="26"/>
  <c r="S210" i="26"/>
  <c r="T210" i="26"/>
  <c r="Q211" i="26"/>
  <c r="R211" i="26"/>
  <c r="S211" i="26"/>
  <c r="T211" i="26"/>
  <c r="Q212" i="26"/>
  <c r="R212" i="26"/>
  <c r="S212" i="26"/>
  <c r="T212" i="26"/>
  <c r="Q213" i="26"/>
  <c r="R213" i="26"/>
  <c r="S213" i="26"/>
  <c r="T213" i="26"/>
  <c r="Q214" i="26"/>
  <c r="R214" i="26"/>
  <c r="S214" i="26"/>
  <c r="T214" i="26"/>
  <c r="Q215" i="26"/>
  <c r="R215" i="26"/>
  <c r="S215" i="26"/>
  <c r="T215" i="26"/>
  <c r="Q216" i="26"/>
  <c r="R216" i="26"/>
  <c r="S216" i="26"/>
  <c r="T216" i="26"/>
  <c r="Q217" i="26"/>
  <c r="R217" i="26"/>
  <c r="S217" i="26"/>
  <c r="T217" i="26"/>
  <c r="Q218" i="26"/>
  <c r="R218" i="26"/>
  <c r="S218" i="26"/>
  <c r="T218" i="26"/>
  <c r="Q219" i="26"/>
  <c r="R219" i="26"/>
  <c r="S219" i="26"/>
  <c r="T219" i="26"/>
  <c r="Q220" i="26"/>
  <c r="R220" i="26"/>
  <c r="S220" i="26"/>
  <c r="T220" i="26"/>
  <c r="Q221" i="26"/>
  <c r="R221" i="26"/>
  <c r="S221" i="26"/>
  <c r="T221" i="26"/>
  <c r="Q222" i="26"/>
  <c r="R222" i="26"/>
  <c r="S222" i="26"/>
  <c r="T222" i="26"/>
  <c r="Q223" i="26"/>
  <c r="R223" i="26"/>
  <c r="S223" i="26"/>
  <c r="T223" i="26"/>
  <c r="Q224" i="26"/>
  <c r="R224" i="26"/>
  <c r="S224" i="26"/>
  <c r="T224" i="26"/>
  <c r="Q225" i="26"/>
  <c r="R225" i="26"/>
  <c r="S225" i="26"/>
  <c r="T225" i="26"/>
  <c r="Q226" i="26"/>
  <c r="R226" i="26"/>
  <c r="S226" i="26"/>
  <c r="T226" i="26"/>
  <c r="Q227" i="26"/>
  <c r="R227" i="26"/>
  <c r="S227" i="26"/>
  <c r="T227" i="26"/>
  <c r="Q228" i="26"/>
  <c r="R228" i="26"/>
  <c r="S228" i="26"/>
  <c r="T228" i="26"/>
  <c r="Q229" i="26"/>
  <c r="R229" i="26"/>
  <c r="S229" i="26"/>
  <c r="T229" i="26"/>
  <c r="Q230" i="26"/>
  <c r="R230" i="26"/>
  <c r="S230" i="26"/>
  <c r="T230" i="26"/>
  <c r="Q231" i="26"/>
  <c r="R231" i="26"/>
  <c r="S231" i="26"/>
  <c r="T231" i="26"/>
  <c r="Q232" i="26"/>
  <c r="R232" i="26"/>
  <c r="S232" i="26"/>
  <c r="T232" i="26"/>
  <c r="Q233" i="26"/>
  <c r="R233" i="26"/>
  <c r="S233" i="26"/>
  <c r="T233" i="26"/>
  <c r="Q234" i="26"/>
  <c r="R234" i="26"/>
  <c r="S234" i="26"/>
  <c r="T234" i="26"/>
  <c r="Q235" i="26"/>
  <c r="R235" i="26"/>
  <c r="S235" i="26"/>
  <c r="T235" i="26"/>
  <c r="Q236" i="26"/>
  <c r="R236" i="26"/>
  <c r="S236" i="26"/>
  <c r="T236" i="26"/>
  <c r="Q237" i="26"/>
  <c r="R237" i="26"/>
  <c r="S237" i="26"/>
  <c r="T237" i="26"/>
  <c r="Q238" i="26"/>
  <c r="R238" i="26"/>
  <c r="S238" i="26"/>
  <c r="T238" i="26"/>
  <c r="Q239" i="26"/>
  <c r="R239" i="26"/>
  <c r="S239" i="26"/>
  <c r="T239" i="26"/>
  <c r="Q240" i="26"/>
  <c r="R240" i="26"/>
  <c r="S240" i="26"/>
  <c r="T240" i="26"/>
  <c r="Q241" i="26"/>
  <c r="R241" i="26"/>
  <c r="S241" i="26"/>
  <c r="T241" i="26"/>
  <c r="Q242" i="26"/>
  <c r="R242" i="26"/>
  <c r="S242" i="26"/>
  <c r="T242" i="26"/>
  <c r="Q243" i="26"/>
  <c r="R243" i="26"/>
  <c r="S243" i="26"/>
  <c r="T243" i="26"/>
  <c r="Q244" i="26"/>
  <c r="R244" i="26"/>
  <c r="S244" i="26"/>
  <c r="T244" i="26"/>
  <c r="Q245" i="26"/>
  <c r="R245" i="26"/>
  <c r="S245" i="26"/>
  <c r="T245" i="26"/>
  <c r="Q246" i="26"/>
  <c r="R246" i="26"/>
  <c r="S246" i="26"/>
  <c r="T246" i="26"/>
  <c r="Q247" i="26"/>
  <c r="R247" i="26"/>
  <c r="S247" i="26"/>
  <c r="T247" i="26"/>
  <c r="Q248" i="26"/>
  <c r="R248" i="26"/>
  <c r="S248" i="26"/>
  <c r="T248" i="26"/>
  <c r="Q249" i="26"/>
  <c r="R249" i="26"/>
  <c r="S249" i="26"/>
  <c r="T249" i="26"/>
  <c r="Q250" i="26"/>
  <c r="R250" i="26"/>
  <c r="S250" i="26"/>
  <c r="T250" i="26"/>
  <c r="Q251" i="26"/>
  <c r="R251" i="26"/>
  <c r="S251" i="26"/>
  <c r="T251" i="26"/>
  <c r="Q252" i="26"/>
  <c r="R252" i="26"/>
  <c r="S252" i="26"/>
  <c r="T252" i="26"/>
  <c r="Q253" i="26"/>
  <c r="R253" i="26"/>
  <c r="S253" i="26"/>
  <c r="T253" i="26"/>
  <c r="Q254" i="26"/>
  <c r="R254" i="26"/>
  <c r="S254" i="26"/>
  <c r="T254" i="26"/>
  <c r="Q255" i="26"/>
  <c r="R255" i="26"/>
  <c r="S255" i="26"/>
  <c r="T255" i="26"/>
  <c r="Q256" i="26"/>
  <c r="R256" i="26"/>
  <c r="S256" i="26"/>
  <c r="T256" i="26"/>
  <c r="Q257" i="26"/>
  <c r="R257" i="26"/>
  <c r="S257" i="26"/>
  <c r="T257" i="26"/>
  <c r="Q258" i="26"/>
  <c r="R258" i="26"/>
  <c r="S258" i="26"/>
  <c r="T258" i="26"/>
  <c r="Q259" i="26"/>
  <c r="R259" i="26"/>
  <c r="S259" i="26"/>
  <c r="T259" i="26"/>
  <c r="Q260" i="26"/>
  <c r="R260" i="26"/>
  <c r="S260" i="26"/>
  <c r="T260" i="26"/>
  <c r="Q261" i="26"/>
  <c r="R261" i="26"/>
  <c r="S261" i="26"/>
  <c r="T261" i="26"/>
  <c r="Q262" i="26"/>
  <c r="R262" i="26"/>
  <c r="S262" i="26"/>
  <c r="T262" i="26"/>
  <c r="Q263" i="26"/>
  <c r="R263" i="26"/>
  <c r="S263" i="26"/>
  <c r="T263" i="26"/>
  <c r="Q264" i="26"/>
  <c r="R264" i="26"/>
  <c r="S264" i="26"/>
  <c r="T264" i="26"/>
  <c r="Q265" i="26"/>
  <c r="R265" i="26"/>
  <c r="S265" i="26"/>
  <c r="T265" i="26"/>
  <c r="Q266" i="26"/>
  <c r="R266" i="26"/>
  <c r="S266" i="26"/>
  <c r="T266" i="26"/>
  <c r="Q267" i="26"/>
  <c r="R267" i="26"/>
  <c r="S267" i="26"/>
  <c r="T267" i="26"/>
  <c r="Q268" i="26"/>
  <c r="R268" i="26"/>
  <c r="S268" i="26"/>
  <c r="T268" i="26"/>
  <c r="Q269" i="26"/>
  <c r="R269" i="26"/>
  <c r="S269" i="26"/>
  <c r="T269" i="26"/>
  <c r="Q270" i="26"/>
  <c r="R270" i="26"/>
  <c r="S270" i="26"/>
  <c r="T270" i="26"/>
  <c r="Q271" i="26"/>
  <c r="R271" i="26"/>
  <c r="S271" i="26"/>
  <c r="T271" i="26"/>
  <c r="Q272" i="26"/>
  <c r="R272" i="26"/>
  <c r="S272" i="26"/>
  <c r="T272" i="26"/>
  <c r="Q273" i="26"/>
  <c r="R273" i="26"/>
  <c r="S273" i="26"/>
  <c r="T273" i="26"/>
  <c r="Q274" i="26"/>
  <c r="R274" i="26"/>
  <c r="S274" i="26"/>
  <c r="T274" i="26"/>
  <c r="Q275" i="26"/>
  <c r="R275" i="26"/>
  <c r="S275" i="26"/>
  <c r="T275" i="26"/>
  <c r="Q276" i="26"/>
  <c r="R276" i="26"/>
  <c r="S276" i="26"/>
  <c r="T276" i="26"/>
  <c r="Q277" i="26"/>
  <c r="R277" i="26"/>
  <c r="S277" i="26"/>
  <c r="T277" i="26"/>
  <c r="Q278" i="26"/>
  <c r="R278" i="26"/>
  <c r="S278" i="26"/>
  <c r="T278" i="26"/>
  <c r="Q279" i="26"/>
  <c r="R279" i="26"/>
  <c r="S279" i="26"/>
  <c r="T279" i="26"/>
  <c r="Q280" i="26"/>
  <c r="R280" i="26"/>
  <c r="S280" i="26"/>
  <c r="T280" i="26"/>
  <c r="Q281" i="26"/>
  <c r="R281" i="26"/>
  <c r="S281" i="26"/>
  <c r="T281" i="26"/>
  <c r="Q282" i="26"/>
  <c r="R282" i="26"/>
  <c r="S282" i="26"/>
  <c r="T282" i="26"/>
  <c r="Q283" i="26"/>
  <c r="R283" i="26"/>
  <c r="S283" i="26"/>
  <c r="T283" i="26"/>
  <c r="Q284" i="26"/>
  <c r="R284" i="26"/>
  <c r="S284" i="26"/>
  <c r="T284" i="26"/>
  <c r="Q285" i="26"/>
  <c r="R285" i="26"/>
  <c r="S285" i="26"/>
  <c r="T285" i="26"/>
  <c r="Q286" i="26"/>
  <c r="R286" i="26"/>
  <c r="S286" i="26"/>
  <c r="T286" i="26"/>
  <c r="Q287" i="26"/>
  <c r="R287" i="26"/>
  <c r="S287" i="26"/>
  <c r="T287" i="26"/>
  <c r="Q288" i="26"/>
  <c r="R288" i="26"/>
  <c r="S288" i="26"/>
  <c r="T288" i="26"/>
  <c r="Q289" i="26"/>
  <c r="R289" i="26"/>
  <c r="S289" i="26"/>
  <c r="T289" i="26"/>
  <c r="Q290" i="26"/>
  <c r="R290" i="26"/>
  <c r="S290" i="26"/>
  <c r="T290" i="26"/>
  <c r="Q291" i="26"/>
  <c r="R291" i="26"/>
  <c r="S291" i="26"/>
  <c r="T291" i="26"/>
  <c r="Q292" i="26"/>
  <c r="R292" i="26"/>
  <c r="S292" i="26"/>
  <c r="T292" i="26"/>
  <c r="Q293" i="26"/>
  <c r="R293" i="26"/>
  <c r="S293" i="26"/>
  <c r="T293" i="26"/>
  <c r="Q294" i="26"/>
  <c r="R294" i="26"/>
  <c r="S294" i="26"/>
  <c r="T294" i="26"/>
  <c r="Q295" i="26"/>
  <c r="R295" i="26"/>
  <c r="S295" i="26"/>
  <c r="T295" i="26"/>
  <c r="Q296" i="26"/>
  <c r="R296" i="26"/>
  <c r="S296" i="26"/>
  <c r="T296" i="26"/>
  <c r="Q297" i="26"/>
  <c r="R297" i="26"/>
  <c r="S297" i="26"/>
  <c r="T297" i="26"/>
  <c r="Q298" i="26"/>
  <c r="R298" i="26"/>
  <c r="S298" i="26"/>
  <c r="T298" i="26"/>
  <c r="Q299" i="26"/>
  <c r="R299" i="26"/>
  <c r="S299" i="26"/>
  <c r="T299" i="26"/>
  <c r="Q300" i="26"/>
  <c r="R300" i="26"/>
  <c r="S300" i="26"/>
  <c r="T300" i="26"/>
  <c r="Q301" i="26"/>
  <c r="R301" i="26"/>
  <c r="S301" i="26"/>
  <c r="T301" i="26"/>
  <c r="Q302" i="26"/>
  <c r="R302" i="26"/>
  <c r="S302" i="26"/>
  <c r="T302" i="26"/>
  <c r="Q303" i="26"/>
  <c r="R303" i="26"/>
  <c r="S303" i="26"/>
  <c r="T303" i="26"/>
  <c r="Q304" i="26"/>
  <c r="R304" i="26"/>
  <c r="S304" i="26"/>
  <c r="T304" i="26"/>
  <c r="Q305" i="26"/>
  <c r="R305" i="26"/>
  <c r="S305" i="26"/>
  <c r="T305" i="26"/>
  <c r="Q306" i="26"/>
  <c r="R306" i="26"/>
  <c r="S306" i="26"/>
  <c r="T306" i="26"/>
  <c r="Q307" i="26"/>
  <c r="R307" i="26"/>
  <c r="S307" i="26"/>
  <c r="T307" i="26"/>
  <c r="Q308" i="26"/>
  <c r="R308" i="26"/>
  <c r="S308" i="26"/>
  <c r="T308" i="26"/>
  <c r="Q309" i="26"/>
  <c r="R309" i="26"/>
  <c r="S309" i="26"/>
  <c r="T309" i="26"/>
  <c r="Q310" i="26"/>
  <c r="R310" i="26"/>
  <c r="S310" i="26"/>
  <c r="T310" i="26"/>
  <c r="Q311" i="26"/>
  <c r="R311" i="26"/>
  <c r="S311" i="26"/>
  <c r="T311" i="26"/>
  <c r="Q312" i="26"/>
  <c r="R312" i="26"/>
  <c r="S312" i="26"/>
  <c r="T312" i="26"/>
  <c r="Q313" i="26"/>
  <c r="R313" i="26"/>
  <c r="S313" i="26"/>
  <c r="T313" i="26"/>
  <c r="Q314" i="26"/>
  <c r="R314" i="26"/>
  <c r="S314" i="26"/>
  <c r="T314" i="26"/>
  <c r="Q315" i="26"/>
  <c r="R315" i="26"/>
  <c r="S315" i="26"/>
  <c r="T315" i="26"/>
  <c r="Q316" i="26"/>
  <c r="R316" i="26"/>
  <c r="S316" i="26"/>
  <c r="T316" i="26"/>
  <c r="Q317" i="26"/>
  <c r="R317" i="26"/>
  <c r="S317" i="26"/>
  <c r="T317" i="26"/>
  <c r="Q318" i="26"/>
  <c r="R318" i="26"/>
  <c r="S318" i="26"/>
  <c r="T318" i="26"/>
  <c r="Q319" i="26"/>
  <c r="R319" i="26"/>
  <c r="S319" i="26"/>
  <c r="T319" i="26"/>
  <c r="Q320" i="26"/>
  <c r="R320" i="26"/>
  <c r="S320" i="26"/>
  <c r="T320" i="26"/>
  <c r="Q321" i="26"/>
  <c r="R321" i="26"/>
  <c r="S321" i="26"/>
  <c r="T321" i="26"/>
  <c r="Q322" i="26"/>
  <c r="R322" i="26"/>
  <c r="S322" i="26"/>
  <c r="T322" i="26"/>
  <c r="Q323" i="26"/>
  <c r="R323" i="26"/>
  <c r="S323" i="26"/>
  <c r="T323" i="26"/>
  <c r="Q324" i="26"/>
  <c r="R324" i="26"/>
  <c r="S324" i="26"/>
  <c r="T324" i="26"/>
  <c r="Q325" i="26"/>
  <c r="R325" i="26"/>
  <c r="S325" i="26"/>
  <c r="T325" i="26"/>
  <c r="Q326" i="26"/>
  <c r="R326" i="26"/>
  <c r="S326" i="26"/>
  <c r="T326" i="26"/>
  <c r="Q327" i="26"/>
  <c r="R327" i="26"/>
  <c r="S327" i="26"/>
  <c r="T327" i="26"/>
  <c r="Q328" i="26"/>
  <c r="R328" i="26"/>
  <c r="S328" i="26"/>
  <c r="T328" i="26"/>
  <c r="Q329" i="26"/>
  <c r="R329" i="26"/>
  <c r="S329" i="26"/>
  <c r="T329" i="26"/>
  <c r="Q330" i="26"/>
  <c r="R330" i="26"/>
  <c r="S330" i="26"/>
  <c r="T330" i="26"/>
  <c r="Q331" i="26"/>
  <c r="R331" i="26"/>
  <c r="S331" i="26"/>
  <c r="T331" i="26"/>
  <c r="Q332" i="26"/>
  <c r="R332" i="26"/>
  <c r="S332" i="26"/>
  <c r="T332" i="26"/>
  <c r="Q333" i="26"/>
  <c r="R333" i="26"/>
  <c r="S333" i="26"/>
  <c r="T333" i="26"/>
  <c r="Q334" i="26"/>
  <c r="R334" i="26"/>
  <c r="S334" i="26"/>
  <c r="T334" i="26"/>
  <c r="Q335" i="26"/>
  <c r="R335" i="26"/>
  <c r="S335" i="26"/>
  <c r="T335" i="26"/>
  <c r="Q336" i="26"/>
  <c r="R336" i="26"/>
  <c r="S336" i="26"/>
  <c r="T336" i="26"/>
  <c r="Q337" i="26"/>
  <c r="R337" i="26"/>
  <c r="S337" i="26"/>
  <c r="T337" i="26"/>
  <c r="Q338" i="26"/>
  <c r="R338" i="26"/>
  <c r="S338" i="26"/>
  <c r="T338" i="26"/>
  <c r="Q339" i="26"/>
  <c r="R339" i="26"/>
  <c r="S339" i="26"/>
  <c r="T339" i="26"/>
  <c r="Q340" i="26"/>
  <c r="R340" i="26"/>
  <c r="S340" i="26"/>
  <c r="T340" i="26"/>
  <c r="Q341" i="26"/>
  <c r="R341" i="26"/>
  <c r="S341" i="26"/>
  <c r="T341" i="26"/>
  <c r="Q342" i="26"/>
  <c r="R342" i="26"/>
  <c r="S342" i="26"/>
  <c r="T342" i="26"/>
  <c r="Q343" i="26"/>
  <c r="R343" i="26"/>
  <c r="S343" i="26"/>
  <c r="T343" i="26"/>
  <c r="Q344" i="26"/>
  <c r="R344" i="26"/>
  <c r="S344" i="26"/>
  <c r="T344" i="26"/>
  <c r="Q345" i="26"/>
  <c r="R345" i="26"/>
  <c r="S345" i="26"/>
  <c r="T345" i="26"/>
  <c r="Q346" i="26"/>
  <c r="R346" i="26"/>
  <c r="S346" i="26"/>
  <c r="T346" i="26"/>
  <c r="Q347" i="26"/>
  <c r="R347" i="26"/>
  <c r="S347" i="26"/>
  <c r="T347" i="26"/>
  <c r="Q348" i="26"/>
  <c r="R348" i="26"/>
  <c r="S348" i="26"/>
  <c r="T348" i="26"/>
  <c r="Q349" i="26"/>
  <c r="R349" i="26"/>
  <c r="S349" i="26"/>
  <c r="T349" i="26"/>
  <c r="Q350" i="26"/>
  <c r="R350" i="26"/>
  <c r="S350" i="26"/>
  <c r="T350" i="26"/>
  <c r="Q351" i="26"/>
  <c r="R351" i="26"/>
  <c r="S351" i="26"/>
  <c r="T351" i="26"/>
  <c r="Q352" i="26"/>
  <c r="R352" i="26"/>
  <c r="S352" i="26"/>
  <c r="T352" i="26"/>
  <c r="Q353" i="26"/>
  <c r="R353" i="26"/>
  <c r="S353" i="26"/>
  <c r="T353" i="26"/>
  <c r="Q354" i="26"/>
  <c r="R354" i="26"/>
  <c r="S354" i="26"/>
  <c r="T354" i="26"/>
  <c r="Q355" i="26"/>
  <c r="R355" i="26"/>
  <c r="S355" i="26"/>
  <c r="T355" i="26"/>
  <c r="Q356" i="26"/>
  <c r="R356" i="26"/>
  <c r="S356" i="26"/>
  <c r="T356" i="26"/>
  <c r="Q357" i="26"/>
  <c r="R357" i="26"/>
  <c r="S357" i="26"/>
  <c r="T357" i="26"/>
  <c r="Q358" i="26"/>
  <c r="R358" i="26"/>
  <c r="S358" i="26"/>
  <c r="T358" i="26"/>
  <c r="Q359" i="26"/>
  <c r="R359" i="26"/>
  <c r="S359" i="26"/>
  <c r="T359" i="26"/>
  <c r="Q360" i="26"/>
  <c r="R360" i="26"/>
  <c r="S360" i="26"/>
  <c r="T360" i="26"/>
  <c r="Q361" i="26"/>
  <c r="R361" i="26"/>
  <c r="S361" i="26"/>
  <c r="T361" i="26"/>
  <c r="Q362" i="26"/>
  <c r="R362" i="26"/>
  <c r="S362" i="26"/>
  <c r="T362" i="26"/>
  <c r="Q363" i="26"/>
  <c r="R363" i="26"/>
  <c r="S363" i="26"/>
  <c r="T363" i="26"/>
  <c r="Q364" i="26"/>
  <c r="R364" i="26"/>
  <c r="S364" i="26"/>
  <c r="T364" i="26"/>
  <c r="Q365" i="26"/>
  <c r="R365" i="26"/>
  <c r="S365" i="26"/>
  <c r="T365" i="26"/>
  <c r="Q366" i="26"/>
  <c r="R366" i="26"/>
  <c r="S366" i="26"/>
  <c r="T366" i="26"/>
  <c r="Q367" i="26"/>
  <c r="R367" i="26"/>
  <c r="S367" i="26"/>
  <c r="T367" i="26"/>
  <c r="Q368" i="26"/>
  <c r="R368" i="26"/>
  <c r="S368" i="26"/>
  <c r="T368" i="26"/>
  <c r="Q369" i="26"/>
  <c r="R369" i="26"/>
  <c r="S369" i="26"/>
  <c r="T369" i="26"/>
  <c r="Q370" i="26"/>
  <c r="R370" i="26"/>
  <c r="S370" i="26"/>
  <c r="T370" i="26"/>
  <c r="Q371" i="26"/>
  <c r="R371" i="26"/>
  <c r="S371" i="26"/>
  <c r="T371" i="26"/>
  <c r="Q372" i="26"/>
  <c r="R372" i="26"/>
  <c r="S372" i="26"/>
  <c r="T372" i="26"/>
  <c r="Q373" i="26"/>
  <c r="R373" i="26"/>
  <c r="S373" i="26"/>
  <c r="T373" i="26"/>
  <c r="Q374" i="26"/>
  <c r="R374" i="26"/>
  <c r="S374" i="26"/>
  <c r="T374" i="26"/>
  <c r="Q375" i="26"/>
  <c r="R375" i="26"/>
  <c r="S375" i="26"/>
  <c r="T375" i="26"/>
  <c r="Q376" i="26"/>
  <c r="R376" i="26"/>
  <c r="S376" i="26"/>
  <c r="T376" i="26"/>
  <c r="Q377" i="26"/>
  <c r="R377" i="26"/>
  <c r="S377" i="26"/>
  <c r="T377" i="26"/>
  <c r="Q378" i="26"/>
  <c r="R378" i="26"/>
  <c r="S378" i="26"/>
  <c r="T378" i="26"/>
  <c r="Q379" i="26"/>
  <c r="R379" i="26"/>
  <c r="S379" i="26"/>
  <c r="T379" i="26"/>
  <c r="Q380" i="26"/>
  <c r="R380" i="26"/>
  <c r="S380" i="26"/>
  <c r="T380" i="26"/>
  <c r="Q381" i="26"/>
  <c r="R381" i="26"/>
  <c r="S381" i="26"/>
  <c r="T381" i="26"/>
  <c r="Q382" i="26"/>
  <c r="R382" i="26"/>
  <c r="S382" i="26"/>
  <c r="T382" i="26"/>
  <c r="Q383" i="26"/>
  <c r="R383" i="26"/>
  <c r="S383" i="26"/>
  <c r="T383" i="26"/>
  <c r="Q384" i="26"/>
  <c r="R384" i="26"/>
  <c r="S384" i="26"/>
  <c r="T384" i="26"/>
  <c r="Q385" i="26"/>
  <c r="R385" i="26"/>
  <c r="S385" i="26"/>
  <c r="T385" i="26"/>
  <c r="Q386" i="26"/>
  <c r="R386" i="26"/>
  <c r="S386" i="26"/>
  <c r="T386" i="26"/>
  <c r="Q387" i="26"/>
  <c r="R387" i="26"/>
  <c r="S387" i="26"/>
  <c r="T387" i="26"/>
  <c r="Q388" i="26"/>
  <c r="R388" i="26"/>
  <c r="S388" i="26"/>
  <c r="T388" i="26"/>
  <c r="Q389" i="26"/>
  <c r="R389" i="26"/>
  <c r="S389" i="26"/>
  <c r="T389" i="26"/>
  <c r="Q390" i="26"/>
  <c r="R390" i="26"/>
  <c r="S390" i="26"/>
  <c r="T390" i="26"/>
  <c r="Q391" i="26"/>
  <c r="R391" i="26"/>
  <c r="S391" i="26"/>
  <c r="T391" i="26"/>
  <c r="Q392" i="26"/>
  <c r="R392" i="26"/>
  <c r="S392" i="26"/>
  <c r="T392" i="26"/>
  <c r="Q393" i="26"/>
  <c r="R393" i="26"/>
  <c r="S393" i="26"/>
  <c r="T393" i="26"/>
  <c r="Q394" i="26"/>
  <c r="R394" i="26"/>
  <c r="S394" i="26"/>
  <c r="T394" i="26"/>
  <c r="Q395" i="26"/>
  <c r="R395" i="26"/>
  <c r="S395" i="26"/>
  <c r="T395" i="26"/>
  <c r="Q396" i="26"/>
  <c r="R396" i="26"/>
  <c r="S396" i="26"/>
  <c r="T396" i="26"/>
  <c r="Q397" i="26"/>
  <c r="R397" i="26"/>
  <c r="S397" i="26"/>
  <c r="T397" i="26"/>
  <c r="Q398" i="26"/>
  <c r="R398" i="26"/>
  <c r="S398" i="26"/>
  <c r="T398" i="26"/>
  <c r="Q399" i="26"/>
  <c r="R399" i="26"/>
  <c r="S399" i="26"/>
  <c r="T399" i="26"/>
  <c r="Q400" i="26"/>
  <c r="R400" i="26"/>
  <c r="S400" i="26"/>
  <c r="T400" i="26"/>
  <c r="Q401" i="26"/>
  <c r="R401" i="26"/>
  <c r="S401" i="26"/>
  <c r="T401" i="26"/>
  <c r="Q402" i="26"/>
  <c r="R402" i="26"/>
  <c r="S402" i="26"/>
  <c r="T402" i="26"/>
  <c r="Q403" i="26"/>
  <c r="R403" i="26"/>
  <c r="S403" i="26"/>
  <c r="T403" i="26"/>
  <c r="Q404" i="26"/>
  <c r="R404" i="26"/>
  <c r="S404" i="26"/>
  <c r="T404" i="26"/>
  <c r="Q405" i="26"/>
  <c r="R405" i="26"/>
  <c r="S405" i="26"/>
  <c r="T405" i="26"/>
  <c r="Q406" i="26"/>
  <c r="R406" i="26"/>
  <c r="S406" i="26"/>
  <c r="T406" i="26"/>
  <c r="Q407" i="26"/>
  <c r="R407" i="26"/>
  <c r="S407" i="26"/>
  <c r="T407" i="26"/>
  <c r="Q408" i="26"/>
  <c r="R408" i="26"/>
  <c r="S408" i="26"/>
  <c r="T408" i="26"/>
  <c r="Q409" i="26"/>
  <c r="R409" i="26"/>
  <c r="S409" i="26"/>
  <c r="T409" i="26"/>
  <c r="Q410" i="26"/>
  <c r="R410" i="26"/>
  <c r="S410" i="26"/>
  <c r="T410" i="26"/>
  <c r="Q411" i="26"/>
  <c r="R411" i="26"/>
  <c r="S411" i="26"/>
  <c r="T411" i="26"/>
  <c r="R6" i="26"/>
  <c r="Q6" i="26"/>
  <c r="F411" i="26"/>
  <c r="F410" i="26"/>
  <c r="F409" i="26"/>
  <c r="F408" i="26"/>
  <c r="F407" i="26"/>
  <c r="F406" i="26"/>
  <c r="F405" i="26"/>
  <c r="F404" i="26"/>
  <c r="F402" i="26"/>
  <c r="F403" i="26"/>
  <c r="F401" i="26"/>
  <c r="F400" i="26"/>
  <c r="F399" i="26"/>
  <c r="F398" i="26"/>
  <c r="F397" i="26"/>
  <c r="F396" i="26"/>
  <c r="F395" i="26"/>
  <c r="F394" i="26"/>
  <c r="F393" i="26"/>
  <c r="F392" i="26"/>
  <c r="F391" i="26"/>
  <c r="F390" i="26"/>
  <c r="F389" i="26"/>
  <c r="F388" i="26"/>
  <c r="F387" i="26"/>
  <c r="F386" i="26"/>
  <c r="F385" i="26"/>
  <c r="F384" i="26"/>
  <c r="F383" i="26"/>
  <c r="F382" i="26"/>
  <c r="F381" i="26"/>
  <c r="F380" i="26"/>
  <c r="F379" i="26"/>
  <c r="F378" i="26"/>
  <c r="F377" i="26"/>
  <c r="F376" i="26"/>
  <c r="F375" i="26"/>
  <c r="F368" i="26"/>
  <c r="F367" i="26"/>
  <c r="F366" i="26"/>
  <c r="F365" i="26"/>
  <c r="F364" i="26"/>
  <c r="F363" i="26"/>
  <c r="F362" i="26"/>
  <c r="F361" i="26"/>
  <c r="F360" i="26"/>
  <c r="F359" i="26"/>
  <c r="F358" i="26"/>
  <c r="F357" i="26"/>
  <c r="F356" i="26"/>
  <c r="F374" i="26"/>
  <c r="F373" i="26"/>
  <c r="F372" i="26"/>
  <c r="F371" i="26"/>
  <c r="F370" i="26"/>
  <c r="F369" i="26"/>
  <c r="F355" i="26"/>
  <c r="F354" i="26"/>
  <c r="F353" i="26"/>
  <c r="F352" i="26"/>
  <c r="F351" i="26"/>
  <c r="F350" i="26"/>
  <c r="F349" i="26"/>
  <c r="F348" i="26"/>
  <c r="F347" i="26"/>
  <c r="F346" i="26"/>
  <c r="F345" i="26"/>
  <c r="F344" i="26"/>
  <c r="F343" i="26"/>
  <c r="F342" i="26"/>
  <c r="F341" i="26"/>
  <c r="F340" i="26"/>
  <c r="F339" i="26"/>
  <c r="F338" i="26"/>
  <c r="F337" i="26"/>
  <c r="F336" i="26"/>
  <c r="F335" i="26"/>
  <c r="F334" i="26"/>
  <c r="F333" i="26"/>
  <c r="F332" i="26"/>
  <c r="F329" i="26"/>
  <c r="F328" i="26"/>
  <c r="F330" i="26"/>
  <c r="F331" i="26"/>
  <c r="F327" i="26"/>
  <c r="F326" i="26"/>
  <c r="F325" i="26"/>
  <c r="F324" i="26"/>
  <c r="F323" i="26"/>
  <c r="F322" i="26"/>
  <c r="F321" i="26"/>
  <c r="F320" i="26"/>
  <c r="F319" i="26"/>
  <c r="F318" i="26"/>
  <c r="F317" i="26"/>
  <c r="F316" i="26"/>
  <c r="F315" i="26"/>
  <c r="F314" i="26"/>
  <c r="F313" i="26"/>
  <c r="F312" i="26"/>
  <c r="F311" i="26"/>
  <c r="F310" i="26"/>
  <c r="F309" i="26"/>
  <c r="F307" i="26"/>
  <c r="F308" i="26"/>
  <c r="F306" i="26"/>
  <c r="F305" i="26"/>
  <c r="F304" i="26"/>
  <c r="F303" i="26"/>
  <c r="F302" i="26"/>
  <c r="F301" i="26"/>
  <c r="F300" i="26"/>
  <c r="F299" i="26"/>
  <c r="F298" i="26"/>
  <c r="F297" i="26"/>
  <c r="F296" i="26"/>
  <c r="F295" i="26"/>
  <c r="F294" i="26"/>
  <c r="F293" i="26"/>
  <c r="F292" i="26"/>
  <c r="F291" i="26"/>
  <c r="F290" i="26"/>
  <c r="F289" i="26"/>
  <c r="F288" i="26"/>
  <c r="F287" i="26"/>
  <c r="F286" i="26"/>
  <c r="F285" i="26"/>
  <c r="F284" i="26"/>
  <c r="F283" i="26"/>
  <c r="F282" i="26"/>
  <c r="F281" i="26"/>
  <c r="F280" i="26"/>
  <c r="F279" i="26"/>
  <c r="F278" i="26"/>
  <c r="F277" i="26"/>
  <c r="F276" i="26"/>
  <c r="F275" i="26"/>
  <c r="F274" i="26"/>
  <c r="F273" i="26"/>
  <c r="F272" i="26"/>
  <c r="F271" i="26"/>
  <c r="F270" i="26"/>
  <c r="F269" i="26"/>
  <c r="F268" i="26"/>
  <c r="F267" i="26"/>
  <c r="F266" i="26"/>
  <c r="F265" i="26"/>
  <c r="F264" i="26"/>
  <c r="F263" i="26"/>
  <c r="F262" i="26"/>
  <c r="F261" i="26"/>
  <c r="F260" i="26"/>
  <c r="F259" i="26"/>
  <c r="F258" i="26"/>
  <c r="F257" i="26"/>
  <c r="F256" i="26"/>
  <c r="F255" i="26"/>
  <c r="F254" i="26"/>
  <c r="F253" i="26"/>
  <c r="F252" i="26"/>
  <c r="F251" i="26"/>
  <c r="F250" i="26"/>
  <c r="F249" i="26"/>
  <c r="F248" i="26"/>
  <c r="F247" i="26"/>
  <c r="F246" i="26"/>
  <c r="F245" i="26"/>
  <c r="F244" i="26"/>
  <c r="F243" i="26"/>
  <c r="F242" i="26"/>
  <c r="F241" i="26"/>
  <c r="F240" i="26"/>
  <c r="F239" i="26"/>
  <c r="F238" i="26"/>
  <c r="F237" i="26"/>
  <c r="F236" i="26"/>
  <c r="F235" i="26"/>
  <c r="F234" i="26"/>
  <c r="F233" i="26"/>
  <c r="F232" i="26"/>
  <c r="F231" i="26"/>
  <c r="F230" i="26"/>
  <c r="F229" i="26"/>
  <c r="F228" i="26"/>
  <c r="F227" i="26"/>
  <c r="F226" i="26"/>
  <c r="F225" i="26"/>
  <c r="F224" i="26"/>
  <c r="F223" i="26"/>
  <c r="F222" i="26"/>
  <c r="F221" i="26"/>
  <c r="F220" i="26"/>
  <c r="F219" i="26"/>
  <c r="F218" i="26"/>
  <c r="F217" i="26"/>
  <c r="F216" i="26"/>
  <c r="F215" i="26"/>
  <c r="F214" i="26"/>
  <c r="F213" i="26"/>
  <c r="F212" i="26"/>
  <c r="F211" i="26"/>
  <c r="F210" i="26"/>
  <c r="F209" i="26"/>
  <c r="F208" i="26"/>
  <c r="F207" i="26"/>
  <c r="F206" i="26"/>
  <c r="F205" i="26"/>
  <c r="F204" i="26"/>
  <c r="F203" i="26"/>
  <c r="F202" i="26"/>
  <c r="F201" i="26"/>
  <c r="F200" i="26"/>
  <c r="F199" i="26"/>
  <c r="F198" i="26"/>
  <c r="F197" i="26"/>
  <c r="F196" i="26"/>
  <c r="F195" i="26"/>
  <c r="F194" i="26"/>
  <c r="F193" i="26"/>
  <c r="F192" i="26"/>
  <c r="F191" i="26"/>
  <c r="F190" i="26"/>
  <c r="F189" i="26"/>
  <c r="F188" i="26"/>
  <c r="F187" i="26"/>
  <c r="F186" i="26"/>
  <c r="F185" i="26"/>
  <c r="F184" i="26"/>
  <c r="F183" i="26"/>
  <c r="F182" i="26"/>
  <c r="F181" i="26"/>
  <c r="F180" i="26"/>
  <c r="F179" i="26"/>
  <c r="F178" i="26"/>
  <c r="F177" i="26"/>
  <c r="F176" i="26"/>
  <c r="F175" i="26"/>
  <c r="F174" i="26"/>
  <c r="F173" i="26"/>
  <c r="F172" i="26"/>
  <c r="F171" i="26"/>
  <c r="F170" i="26"/>
  <c r="F169" i="26"/>
  <c r="F168" i="26"/>
  <c r="F167" i="26"/>
  <c r="F166" i="26"/>
  <c r="F165" i="26"/>
  <c r="F164" i="26"/>
  <c r="F163" i="26"/>
  <c r="F162" i="26"/>
  <c r="F161" i="26"/>
  <c r="F160" i="26"/>
  <c r="F159" i="26"/>
  <c r="F158" i="26"/>
  <c r="F157" i="26"/>
  <c r="F156" i="26"/>
  <c r="F155" i="26"/>
  <c r="F154" i="26"/>
  <c r="F153" i="26"/>
  <c r="F152" i="26"/>
  <c r="F151" i="26"/>
  <c r="F150" i="26"/>
  <c r="F149" i="26"/>
  <c r="F148" i="26"/>
  <c r="F147" i="26"/>
  <c r="F146" i="26"/>
  <c r="F145" i="26"/>
  <c r="F144" i="26"/>
  <c r="F143" i="26"/>
  <c r="F142" i="26"/>
  <c r="F141" i="26"/>
  <c r="F140" i="26"/>
  <c r="F139" i="26"/>
  <c r="F138" i="26"/>
  <c r="F137" i="26"/>
  <c r="F136" i="26"/>
  <c r="F135" i="26"/>
  <c r="F134" i="26"/>
  <c r="F133" i="26"/>
  <c r="F132" i="26"/>
  <c r="F131" i="26"/>
  <c r="F130" i="26"/>
  <c r="F129" i="26"/>
  <c r="F128" i="26"/>
  <c r="F127" i="26"/>
  <c r="F126" i="26"/>
  <c r="F125" i="26"/>
  <c r="F124" i="26"/>
  <c r="F123" i="26"/>
  <c r="F122" i="26"/>
  <c r="F121" i="26"/>
  <c r="F120" i="26"/>
  <c r="F119" i="26"/>
  <c r="F118" i="26"/>
  <c r="F117" i="26"/>
  <c r="F116" i="26"/>
  <c r="F115" i="26"/>
  <c r="F114" i="26"/>
  <c r="F113" i="26"/>
  <c r="F112" i="26"/>
  <c r="F111" i="26"/>
  <c r="F110" i="26"/>
  <c r="F109" i="26"/>
  <c r="F108" i="26"/>
  <c r="F107" i="26"/>
  <c r="F106" i="26"/>
  <c r="F105" i="26"/>
  <c r="F104" i="26"/>
  <c r="F103" i="26"/>
  <c r="F102" i="26"/>
  <c r="F101" i="26"/>
  <c r="F100" i="26"/>
  <c r="F99" i="26"/>
  <c r="F98" i="26"/>
  <c r="F97" i="26"/>
  <c r="F96" i="26"/>
  <c r="F95" i="26"/>
  <c r="F94"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7" i="26"/>
  <c r="F6" i="26"/>
  <c r="E412" i="26"/>
  <c r="Q7" i="24"/>
  <c r="R7" i="24"/>
  <c r="S7" i="24"/>
  <c r="T7" i="24"/>
  <c r="Q8" i="24"/>
  <c r="R8" i="24"/>
  <c r="S8" i="24"/>
  <c r="T8" i="24"/>
  <c r="Q9" i="24"/>
  <c r="R9" i="24"/>
  <c r="S9" i="24"/>
  <c r="T9" i="24"/>
  <c r="Q10" i="24"/>
  <c r="R10" i="24"/>
  <c r="S10" i="24"/>
  <c r="S414" i="24" s="1"/>
  <c r="C415" i="24" s="1"/>
  <c r="T10" i="24"/>
  <c r="Q11" i="24"/>
  <c r="R11" i="24"/>
  <c r="S11" i="24"/>
  <c r="T11" i="24"/>
  <c r="Q12" i="24"/>
  <c r="R12" i="24"/>
  <c r="S12" i="24"/>
  <c r="T12" i="24"/>
  <c r="Q13" i="24"/>
  <c r="R13" i="24"/>
  <c r="S13" i="24"/>
  <c r="T13" i="24"/>
  <c r="Q14" i="24"/>
  <c r="R14" i="24"/>
  <c r="S14" i="24"/>
  <c r="T14" i="24"/>
  <c r="Q15" i="24"/>
  <c r="R15" i="24"/>
  <c r="S15" i="24"/>
  <c r="T15" i="24"/>
  <c r="Q16" i="24"/>
  <c r="R16" i="24"/>
  <c r="S16" i="24"/>
  <c r="T16" i="24"/>
  <c r="Q17" i="24"/>
  <c r="R17" i="24"/>
  <c r="S17" i="24"/>
  <c r="T17" i="24"/>
  <c r="Q18" i="24"/>
  <c r="R18" i="24"/>
  <c r="S18" i="24"/>
  <c r="T18" i="24"/>
  <c r="Q19" i="24"/>
  <c r="R19" i="24"/>
  <c r="S19" i="24"/>
  <c r="T19" i="24"/>
  <c r="Q20" i="24"/>
  <c r="R20" i="24"/>
  <c r="S20" i="24"/>
  <c r="T20" i="24"/>
  <c r="Q21" i="24"/>
  <c r="R21" i="24"/>
  <c r="S21" i="24"/>
  <c r="T21" i="24"/>
  <c r="Q22" i="24"/>
  <c r="R22" i="24"/>
  <c r="S22" i="24"/>
  <c r="T22" i="24"/>
  <c r="Q23" i="24"/>
  <c r="R23" i="24"/>
  <c r="S23" i="24"/>
  <c r="T23" i="24"/>
  <c r="Q24" i="24"/>
  <c r="R24" i="24"/>
  <c r="S24" i="24"/>
  <c r="T24" i="24"/>
  <c r="Q25" i="24"/>
  <c r="R25" i="24"/>
  <c r="S25" i="24"/>
  <c r="T25" i="24"/>
  <c r="Q26" i="24"/>
  <c r="R26" i="24"/>
  <c r="S26" i="24"/>
  <c r="T26" i="24"/>
  <c r="Q27" i="24"/>
  <c r="R27" i="24"/>
  <c r="S27" i="24"/>
  <c r="T27" i="24"/>
  <c r="Q28" i="24"/>
  <c r="R28" i="24"/>
  <c r="S28" i="24"/>
  <c r="T28" i="24"/>
  <c r="Q29" i="24"/>
  <c r="R29" i="24"/>
  <c r="S29" i="24"/>
  <c r="T29" i="24"/>
  <c r="Q30" i="24"/>
  <c r="R30" i="24"/>
  <c r="S30" i="24"/>
  <c r="T30" i="24"/>
  <c r="Q31" i="24"/>
  <c r="R31" i="24"/>
  <c r="S31" i="24"/>
  <c r="T31" i="24"/>
  <c r="Q32" i="24"/>
  <c r="R32" i="24"/>
  <c r="S32" i="24"/>
  <c r="T32" i="24"/>
  <c r="Q33" i="24"/>
  <c r="R33" i="24"/>
  <c r="S33" i="24"/>
  <c r="T33" i="24"/>
  <c r="Q34" i="24"/>
  <c r="R34" i="24"/>
  <c r="S34" i="24"/>
  <c r="T34" i="24"/>
  <c r="Q35" i="24"/>
  <c r="R35" i="24"/>
  <c r="S35" i="24"/>
  <c r="T35" i="24"/>
  <c r="Q36" i="24"/>
  <c r="R36" i="24"/>
  <c r="S36" i="24"/>
  <c r="T36" i="24"/>
  <c r="Q37" i="24"/>
  <c r="R37" i="24"/>
  <c r="S37" i="24"/>
  <c r="T37" i="24"/>
  <c r="Q38" i="24"/>
  <c r="R38" i="24"/>
  <c r="S38" i="24"/>
  <c r="T38" i="24"/>
  <c r="Q39" i="24"/>
  <c r="R39" i="24"/>
  <c r="S39" i="24"/>
  <c r="T39" i="24"/>
  <c r="Q40" i="24"/>
  <c r="R40" i="24"/>
  <c r="S40" i="24"/>
  <c r="T40" i="24"/>
  <c r="Q41" i="24"/>
  <c r="R41" i="24"/>
  <c r="S41" i="24"/>
  <c r="T41" i="24"/>
  <c r="Q42" i="24"/>
  <c r="R42" i="24"/>
  <c r="S42" i="24"/>
  <c r="T42" i="24"/>
  <c r="Q43" i="24"/>
  <c r="R43" i="24"/>
  <c r="S43" i="24"/>
  <c r="T43" i="24"/>
  <c r="Q44" i="24"/>
  <c r="R44" i="24"/>
  <c r="S44" i="24"/>
  <c r="T44" i="24"/>
  <c r="Q45" i="24"/>
  <c r="R45" i="24"/>
  <c r="S45" i="24"/>
  <c r="T45" i="24"/>
  <c r="Q46" i="24"/>
  <c r="R46" i="24"/>
  <c r="S46" i="24"/>
  <c r="T46" i="24"/>
  <c r="Q47" i="24"/>
  <c r="R47" i="24"/>
  <c r="S47" i="24"/>
  <c r="T47" i="24"/>
  <c r="Q48" i="24"/>
  <c r="R48" i="24"/>
  <c r="S48" i="24"/>
  <c r="T48" i="24"/>
  <c r="Q49" i="24"/>
  <c r="R49" i="24"/>
  <c r="S49" i="24"/>
  <c r="T49" i="24"/>
  <c r="Q50" i="24"/>
  <c r="R50" i="24"/>
  <c r="S50" i="24"/>
  <c r="T50" i="24"/>
  <c r="Q51" i="24"/>
  <c r="R51" i="24"/>
  <c r="S51" i="24"/>
  <c r="T51" i="24"/>
  <c r="Q52" i="24"/>
  <c r="R52" i="24"/>
  <c r="S52" i="24"/>
  <c r="T52" i="24"/>
  <c r="Q53" i="24"/>
  <c r="R53" i="24"/>
  <c r="S53" i="24"/>
  <c r="T53" i="24"/>
  <c r="Q54" i="24"/>
  <c r="R54" i="24"/>
  <c r="S54" i="24"/>
  <c r="T54" i="24"/>
  <c r="Q55" i="24"/>
  <c r="R55" i="24"/>
  <c r="S55" i="24"/>
  <c r="T55" i="24"/>
  <c r="Q56" i="24"/>
  <c r="R56" i="24"/>
  <c r="S56" i="24"/>
  <c r="T56" i="24"/>
  <c r="Q57" i="24"/>
  <c r="R57" i="24"/>
  <c r="S57" i="24"/>
  <c r="T57" i="24"/>
  <c r="Q58" i="24"/>
  <c r="R58" i="24"/>
  <c r="S58" i="24"/>
  <c r="T58" i="24"/>
  <c r="Q59" i="24"/>
  <c r="R59" i="24"/>
  <c r="S59" i="24"/>
  <c r="T59" i="24"/>
  <c r="Q60" i="24"/>
  <c r="R60" i="24"/>
  <c r="S60" i="24"/>
  <c r="T60" i="24"/>
  <c r="Q61" i="24"/>
  <c r="R61" i="24"/>
  <c r="S61" i="24"/>
  <c r="T61" i="24"/>
  <c r="Q62" i="24"/>
  <c r="R62" i="24"/>
  <c r="S62" i="24"/>
  <c r="T62" i="24"/>
  <c r="Q63" i="24"/>
  <c r="R63" i="24"/>
  <c r="S63" i="24"/>
  <c r="T63" i="24"/>
  <c r="Q64" i="24"/>
  <c r="R64" i="24"/>
  <c r="S64" i="24"/>
  <c r="T64" i="24"/>
  <c r="Q65" i="24"/>
  <c r="R65" i="24"/>
  <c r="S65" i="24"/>
  <c r="T65" i="24"/>
  <c r="Q66" i="24"/>
  <c r="R66" i="24"/>
  <c r="S66" i="24"/>
  <c r="T66" i="24"/>
  <c r="Q67" i="24"/>
  <c r="R67" i="24"/>
  <c r="S67" i="24"/>
  <c r="T67" i="24"/>
  <c r="Q68" i="24"/>
  <c r="R68" i="24"/>
  <c r="S68" i="24"/>
  <c r="T68" i="24"/>
  <c r="Q69" i="24"/>
  <c r="R69" i="24"/>
  <c r="S69" i="24"/>
  <c r="T69" i="24"/>
  <c r="Q70" i="24"/>
  <c r="R70" i="24"/>
  <c r="S70" i="24"/>
  <c r="T70" i="24"/>
  <c r="Q71" i="24"/>
  <c r="R71" i="24"/>
  <c r="S71" i="24"/>
  <c r="T71" i="24"/>
  <c r="Q72" i="24"/>
  <c r="R72" i="24"/>
  <c r="S72" i="24"/>
  <c r="T72" i="24"/>
  <c r="Q73" i="24"/>
  <c r="R73" i="24"/>
  <c r="S73" i="24"/>
  <c r="T73" i="24"/>
  <c r="Q74" i="24"/>
  <c r="R74" i="24"/>
  <c r="S74" i="24"/>
  <c r="T74" i="24"/>
  <c r="Q75" i="24"/>
  <c r="R75" i="24"/>
  <c r="S75" i="24"/>
  <c r="T75" i="24"/>
  <c r="Q76" i="24"/>
  <c r="R76" i="24"/>
  <c r="S76" i="24"/>
  <c r="T76" i="24"/>
  <c r="Q77" i="24"/>
  <c r="R77" i="24"/>
  <c r="S77" i="24"/>
  <c r="T77" i="24"/>
  <c r="Q78" i="24"/>
  <c r="R78" i="24"/>
  <c r="S78" i="24"/>
  <c r="T78" i="24"/>
  <c r="Q79" i="24"/>
  <c r="R79" i="24"/>
  <c r="S79" i="24"/>
  <c r="T79" i="24"/>
  <c r="Q80" i="24"/>
  <c r="R80" i="24"/>
  <c r="S80" i="24"/>
  <c r="T80" i="24"/>
  <c r="Q81" i="24"/>
  <c r="R81" i="24"/>
  <c r="S81" i="24"/>
  <c r="T81" i="24"/>
  <c r="Q82" i="24"/>
  <c r="R82" i="24"/>
  <c r="S82" i="24"/>
  <c r="T82" i="24"/>
  <c r="Q83" i="24"/>
  <c r="R83" i="24"/>
  <c r="S83" i="24"/>
  <c r="T83" i="24"/>
  <c r="Q84" i="24"/>
  <c r="R84" i="24"/>
  <c r="S84" i="24"/>
  <c r="T84" i="24"/>
  <c r="Q85" i="24"/>
  <c r="R85" i="24"/>
  <c r="S85" i="24"/>
  <c r="T85" i="24"/>
  <c r="Q86" i="24"/>
  <c r="R86" i="24"/>
  <c r="S86" i="24"/>
  <c r="T86" i="24"/>
  <c r="Q87" i="24"/>
  <c r="R87" i="24"/>
  <c r="S87" i="24"/>
  <c r="T87" i="24"/>
  <c r="Q88" i="24"/>
  <c r="R88" i="24"/>
  <c r="S88" i="24"/>
  <c r="T88" i="24"/>
  <c r="Q89" i="24"/>
  <c r="R89" i="24"/>
  <c r="S89" i="24"/>
  <c r="T89" i="24"/>
  <c r="Q90" i="24"/>
  <c r="R90" i="24"/>
  <c r="S90" i="24"/>
  <c r="T90" i="24"/>
  <c r="Q91" i="24"/>
  <c r="R91" i="24"/>
  <c r="S91" i="24"/>
  <c r="T91" i="24"/>
  <c r="Q92" i="24"/>
  <c r="R92" i="24"/>
  <c r="S92" i="24"/>
  <c r="T92" i="24"/>
  <c r="Q93" i="24"/>
  <c r="R93" i="24"/>
  <c r="S93" i="24"/>
  <c r="T93" i="24"/>
  <c r="Q94" i="24"/>
  <c r="R94" i="24"/>
  <c r="S94" i="24"/>
  <c r="T94" i="24"/>
  <c r="Q95" i="24"/>
  <c r="R95" i="24"/>
  <c r="S95" i="24"/>
  <c r="T95" i="24"/>
  <c r="Q96" i="24"/>
  <c r="R96" i="24"/>
  <c r="S96" i="24"/>
  <c r="T96" i="24"/>
  <c r="Q97" i="24"/>
  <c r="R97" i="24"/>
  <c r="S97" i="24"/>
  <c r="T97" i="24"/>
  <c r="Q98" i="24"/>
  <c r="R98" i="24"/>
  <c r="S98" i="24"/>
  <c r="T98" i="24"/>
  <c r="Q99" i="24"/>
  <c r="R99" i="24"/>
  <c r="S99" i="24"/>
  <c r="T99" i="24"/>
  <c r="Q100" i="24"/>
  <c r="R100" i="24"/>
  <c r="S100" i="24"/>
  <c r="T100" i="24"/>
  <c r="Q101" i="24"/>
  <c r="R101" i="24"/>
  <c r="S101" i="24"/>
  <c r="T101" i="24"/>
  <c r="S102" i="24"/>
  <c r="T102" i="24"/>
  <c r="Q103" i="24"/>
  <c r="R103" i="24"/>
  <c r="S103" i="24"/>
  <c r="T103" i="24"/>
  <c r="Q104" i="24"/>
  <c r="R104" i="24"/>
  <c r="S104" i="24"/>
  <c r="T104" i="24"/>
  <c r="Q105" i="24"/>
  <c r="R105" i="24"/>
  <c r="S105" i="24"/>
  <c r="T105" i="24"/>
  <c r="Q106" i="24"/>
  <c r="R106" i="24"/>
  <c r="S106" i="24"/>
  <c r="T106" i="24"/>
  <c r="Q107" i="24"/>
  <c r="R107" i="24"/>
  <c r="S107" i="24"/>
  <c r="T107" i="24"/>
  <c r="Q108" i="24"/>
  <c r="R108" i="24"/>
  <c r="S108" i="24"/>
  <c r="T108" i="24"/>
  <c r="Q109" i="24"/>
  <c r="R109" i="24"/>
  <c r="S109" i="24"/>
  <c r="T109" i="24"/>
  <c r="Q110" i="24"/>
  <c r="R110" i="24"/>
  <c r="S110" i="24"/>
  <c r="T110" i="24"/>
  <c r="Q111" i="24"/>
  <c r="R111" i="24"/>
  <c r="S111" i="24"/>
  <c r="T111" i="24"/>
  <c r="Q112" i="24"/>
  <c r="R112" i="24"/>
  <c r="S112" i="24"/>
  <c r="T112" i="24"/>
  <c r="S113" i="24"/>
  <c r="T113" i="24"/>
  <c r="Q114" i="24"/>
  <c r="R114" i="24"/>
  <c r="S114" i="24"/>
  <c r="T114" i="24"/>
  <c r="Q115" i="24"/>
  <c r="R115" i="24"/>
  <c r="S115" i="24"/>
  <c r="T115" i="24"/>
  <c r="Q116" i="24"/>
  <c r="R116" i="24"/>
  <c r="S116" i="24"/>
  <c r="T116" i="24"/>
  <c r="Q117" i="24"/>
  <c r="R117" i="24"/>
  <c r="S117" i="24"/>
  <c r="T117" i="24"/>
  <c r="Q118" i="24"/>
  <c r="R118" i="24"/>
  <c r="S118" i="24"/>
  <c r="T118" i="24"/>
  <c r="Q119" i="24"/>
  <c r="R119" i="24"/>
  <c r="S119" i="24"/>
  <c r="T119" i="24"/>
  <c r="Q120" i="24"/>
  <c r="R120" i="24"/>
  <c r="S120" i="24"/>
  <c r="T120" i="24"/>
  <c r="Q121" i="24"/>
  <c r="R121" i="24"/>
  <c r="S121" i="24"/>
  <c r="T121" i="24"/>
  <c r="Q122" i="24"/>
  <c r="R122" i="24"/>
  <c r="S122" i="24"/>
  <c r="T122" i="24"/>
  <c r="Q123" i="24"/>
  <c r="R123" i="24"/>
  <c r="S123" i="24"/>
  <c r="T123" i="24"/>
  <c r="Q124" i="24"/>
  <c r="R124" i="24"/>
  <c r="S124" i="24"/>
  <c r="T124" i="24"/>
  <c r="Q125" i="24"/>
  <c r="R125" i="24"/>
  <c r="S125" i="24"/>
  <c r="T125" i="24"/>
  <c r="Q126" i="24"/>
  <c r="R126" i="24"/>
  <c r="S126" i="24"/>
  <c r="T126" i="24"/>
  <c r="Q127" i="24"/>
  <c r="R127" i="24"/>
  <c r="S127" i="24"/>
  <c r="T127" i="24"/>
  <c r="Q128" i="24"/>
  <c r="R128" i="24"/>
  <c r="S128" i="24"/>
  <c r="T128" i="24"/>
  <c r="Q129" i="24"/>
  <c r="R129" i="24"/>
  <c r="S129" i="24"/>
  <c r="T129" i="24"/>
  <c r="Q130" i="24"/>
  <c r="R130" i="24"/>
  <c r="S130" i="24"/>
  <c r="T130" i="24"/>
  <c r="Q131" i="24"/>
  <c r="R131" i="24"/>
  <c r="S131" i="24"/>
  <c r="T131" i="24"/>
  <c r="Q132" i="24"/>
  <c r="R132" i="24"/>
  <c r="S132" i="24"/>
  <c r="T132" i="24"/>
  <c r="Q133" i="24"/>
  <c r="R133" i="24"/>
  <c r="S133" i="24"/>
  <c r="T133" i="24"/>
  <c r="Q134" i="24"/>
  <c r="R134" i="24"/>
  <c r="S134" i="24"/>
  <c r="T134" i="24"/>
  <c r="Q135" i="24"/>
  <c r="R135" i="24"/>
  <c r="S135" i="24"/>
  <c r="T135" i="24"/>
  <c r="Q136" i="24"/>
  <c r="R136" i="24"/>
  <c r="S136" i="24"/>
  <c r="T136" i="24"/>
  <c r="Q137" i="24"/>
  <c r="R137" i="24"/>
  <c r="S137" i="24"/>
  <c r="T137" i="24"/>
  <c r="Q138" i="24"/>
  <c r="R138" i="24"/>
  <c r="S138" i="24"/>
  <c r="T138" i="24"/>
  <c r="Q139" i="24"/>
  <c r="R139" i="24"/>
  <c r="S139" i="24"/>
  <c r="T139" i="24"/>
  <c r="Q140" i="24"/>
  <c r="R140" i="24"/>
  <c r="S140" i="24"/>
  <c r="T140" i="24"/>
  <c r="Q141" i="24"/>
  <c r="R141" i="24"/>
  <c r="S141" i="24"/>
  <c r="T141" i="24"/>
  <c r="Q142" i="24"/>
  <c r="R142" i="24"/>
  <c r="S142" i="24"/>
  <c r="T142" i="24"/>
  <c r="Q143" i="24"/>
  <c r="R143" i="24"/>
  <c r="S143" i="24"/>
  <c r="T143" i="24"/>
  <c r="Q144" i="24"/>
  <c r="R144" i="24"/>
  <c r="S144" i="24"/>
  <c r="T144" i="24"/>
  <c r="Q145" i="24"/>
  <c r="R145" i="24"/>
  <c r="S145" i="24"/>
  <c r="T145" i="24"/>
  <c r="Q146" i="24"/>
  <c r="R146" i="24"/>
  <c r="S146" i="24"/>
  <c r="T146" i="24"/>
  <c r="Q147" i="24"/>
  <c r="R147" i="24"/>
  <c r="S147" i="24"/>
  <c r="T147" i="24"/>
  <c r="Q148" i="24"/>
  <c r="R148" i="24"/>
  <c r="S148" i="24"/>
  <c r="T148" i="24"/>
  <c r="Q149" i="24"/>
  <c r="R149" i="24"/>
  <c r="S149" i="24"/>
  <c r="T149" i="24"/>
  <c r="Q150" i="24"/>
  <c r="R150" i="24"/>
  <c r="S150" i="24"/>
  <c r="T150" i="24"/>
  <c r="Q151" i="24"/>
  <c r="R151" i="24"/>
  <c r="S151" i="24"/>
  <c r="T151" i="24"/>
  <c r="Q152" i="24"/>
  <c r="R152" i="24"/>
  <c r="S152" i="24"/>
  <c r="T152" i="24"/>
  <c r="Q153" i="24"/>
  <c r="R153" i="24"/>
  <c r="S153" i="24"/>
  <c r="T153" i="24"/>
  <c r="Q154" i="24"/>
  <c r="R154" i="24"/>
  <c r="S154" i="24"/>
  <c r="T154" i="24"/>
  <c r="Q155" i="24"/>
  <c r="R155" i="24"/>
  <c r="S155" i="24"/>
  <c r="T155" i="24"/>
  <c r="Q156" i="24"/>
  <c r="R156" i="24"/>
  <c r="S156" i="24"/>
  <c r="T156" i="24"/>
  <c r="Q157" i="24"/>
  <c r="R157" i="24"/>
  <c r="S157" i="24"/>
  <c r="T157" i="24"/>
  <c r="Q158" i="24"/>
  <c r="R158" i="24"/>
  <c r="S158" i="24"/>
  <c r="T158" i="24"/>
  <c r="Q159" i="24"/>
  <c r="R159" i="24"/>
  <c r="S159" i="24"/>
  <c r="T159" i="24"/>
  <c r="Q160" i="24"/>
  <c r="R160" i="24"/>
  <c r="S160" i="24"/>
  <c r="T160" i="24"/>
  <c r="Q161" i="24"/>
  <c r="R161" i="24"/>
  <c r="S161" i="24"/>
  <c r="T161" i="24"/>
  <c r="Q162" i="24"/>
  <c r="R162" i="24"/>
  <c r="S162" i="24"/>
  <c r="T162" i="24"/>
  <c r="Q163" i="24"/>
  <c r="R163" i="24"/>
  <c r="S163" i="24"/>
  <c r="T163" i="24"/>
  <c r="Q164" i="24"/>
  <c r="R164" i="24"/>
  <c r="S164" i="24"/>
  <c r="T164" i="24"/>
  <c r="Q165" i="24"/>
  <c r="R165" i="24"/>
  <c r="S165" i="24"/>
  <c r="T165" i="24"/>
  <c r="Q166" i="24"/>
  <c r="R166" i="24"/>
  <c r="S166" i="24"/>
  <c r="T166" i="24"/>
  <c r="Q167" i="24"/>
  <c r="R167" i="24"/>
  <c r="S167" i="24"/>
  <c r="T167" i="24"/>
  <c r="Q168" i="24"/>
  <c r="R168" i="24"/>
  <c r="S168" i="24"/>
  <c r="T168" i="24"/>
  <c r="Q169" i="24"/>
  <c r="R169" i="24"/>
  <c r="S169" i="24"/>
  <c r="T169" i="24"/>
  <c r="Q170" i="24"/>
  <c r="R170" i="24"/>
  <c r="S170" i="24"/>
  <c r="T170" i="24"/>
  <c r="Q171" i="24"/>
  <c r="R171" i="24"/>
  <c r="S171" i="24"/>
  <c r="T171" i="24"/>
  <c r="Q172" i="24"/>
  <c r="R172" i="24"/>
  <c r="S172" i="24"/>
  <c r="T172" i="24"/>
  <c r="Q173" i="24"/>
  <c r="R173" i="24"/>
  <c r="S173" i="24"/>
  <c r="T173" i="24"/>
  <c r="Q174" i="24"/>
  <c r="R174" i="24"/>
  <c r="S174" i="24"/>
  <c r="T174" i="24"/>
  <c r="Q175" i="24"/>
  <c r="R175" i="24"/>
  <c r="S175" i="24"/>
  <c r="T175" i="24"/>
  <c r="Q176" i="24"/>
  <c r="R176" i="24"/>
  <c r="S176" i="24"/>
  <c r="T176" i="24"/>
  <c r="Q177" i="24"/>
  <c r="R177" i="24"/>
  <c r="S177" i="24"/>
  <c r="T177" i="24"/>
  <c r="Q178" i="24"/>
  <c r="R178" i="24"/>
  <c r="S178" i="24"/>
  <c r="T178" i="24"/>
  <c r="Q179" i="24"/>
  <c r="R179" i="24"/>
  <c r="S179" i="24"/>
  <c r="T179" i="24"/>
  <c r="Q180" i="24"/>
  <c r="R180" i="24"/>
  <c r="S180" i="24"/>
  <c r="T180" i="24"/>
  <c r="Q181" i="24"/>
  <c r="R181" i="24"/>
  <c r="S181" i="24"/>
  <c r="T181" i="24"/>
  <c r="Q182" i="24"/>
  <c r="R182" i="24"/>
  <c r="S182" i="24"/>
  <c r="T182" i="24"/>
  <c r="Q183" i="24"/>
  <c r="R183" i="24"/>
  <c r="S183" i="24"/>
  <c r="T183" i="24"/>
  <c r="Q184" i="24"/>
  <c r="R184" i="24"/>
  <c r="S184" i="24"/>
  <c r="T184" i="24"/>
  <c r="Q185" i="24"/>
  <c r="R185" i="24"/>
  <c r="S185" i="24"/>
  <c r="T185" i="24"/>
  <c r="Q186" i="24"/>
  <c r="R186" i="24"/>
  <c r="S186" i="24"/>
  <c r="T186" i="24"/>
  <c r="Q187" i="24"/>
  <c r="R187" i="24"/>
  <c r="S187" i="24"/>
  <c r="T187" i="24"/>
  <c r="Q188" i="24"/>
  <c r="R188" i="24"/>
  <c r="S188" i="24"/>
  <c r="T188" i="24"/>
  <c r="Q189" i="24"/>
  <c r="R189" i="24"/>
  <c r="S189" i="24"/>
  <c r="T189" i="24"/>
  <c r="Q190" i="24"/>
  <c r="R190" i="24"/>
  <c r="S190" i="24"/>
  <c r="T190" i="24"/>
  <c r="Q191" i="24"/>
  <c r="R191" i="24"/>
  <c r="S191" i="24"/>
  <c r="T191" i="24"/>
  <c r="S192" i="24"/>
  <c r="T192" i="24"/>
  <c r="Q193" i="24"/>
  <c r="R193" i="24"/>
  <c r="S193" i="24"/>
  <c r="T193" i="24"/>
  <c r="Q194" i="24"/>
  <c r="R194" i="24"/>
  <c r="S194" i="24"/>
  <c r="T194" i="24"/>
  <c r="Q195" i="24"/>
  <c r="R195" i="24"/>
  <c r="S195" i="24"/>
  <c r="T195" i="24"/>
  <c r="Q196" i="24"/>
  <c r="R196" i="24"/>
  <c r="S196" i="24"/>
  <c r="T196" i="24"/>
  <c r="Q197" i="24"/>
  <c r="R197" i="24"/>
  <c r="S197" i="24"/>
  <c r="T197" i="24"/>
  <c r="Q198" i="24"/>
  <c r="R198" i="24"/>
  <c r="S198" i="24"/>
  <c r="T198" i="24"/>
  <c r="Q199" i="24"/>
  <c r="R199" i="24"/>
  <c r="S199" i="24"/>
  <c r="T199" i="24"/>
  <c r="Q200" i="24"/>
  <c r="R200" i="24"/>
  <c r="S200" i="24"/>
  <c r="T200" i="24"/>
  <c r="Q201" i="24"/>
  <c r="R201" i="24"/>
  <c r="S201" i="24"/>
  <c r="T201" i="24"/>
  <c r="Q202" i="24"/>
  <c r="R202" i="24"/>
  <c r="S202" i="24"/>
  <c r="T202" i="24"/>
  <c r="Q203" i="24"/>
  <c r="R203" i="24"/>
  <c r="S203" i="24"/>
  <c r="T203" i="24"/>
  <c r="Q204" i="24"/>
  <c r="R204" i="24"/>
  <c r="S204" i="24"/>
  <c r="T204" i="24"/>
  <c r="Q205" i="24"/>
  <c r="R205" i="24"/>
  <c r="S205" i="24"/>
  <c r="T205" i="24"/>
  <c r="Q206" i="24"/>
  <c r="R206" i="24"/>
  <c r="S206" i="24"/>
  <c r="T206" i="24"/>
  <c r="Q207" i="24"/>
  <c r="R207" i="24"/>
  <c r="S207" i="24"/>
  <c r="T207" i="24"/>
  <c r="Q208" i="24"/>
  <c r="R208" i="24"/>
  <c r="S208" i="24"/>
  <c r="T208" i="24"/>
  <c r="Q209" i="24"/>
  <c r="R209" i="24"/>
  <c r="S209" i="24"/>
  <c r="T209" i="24"/>
  <c r="Q210" i="24"/>
  <c r="R210" i="24"/>
  <c r="S210" i="24"/>
  <c r="T210" i="24"/>
  <c r="Q211" i="24"/>
  <c r="R211" i="24"/>
  <c r="S211" i="24"/>
  <c r="T211" i="24"/>
  <c r="Q212" i="24"/>
  <c r="R212" i="24"/>
  <c r="S212" i="24"/>
  <c r="T212" i="24"/>
  <c r="Q213" i="24"/>
  <c r="R213" i="24"/>
  <c r="S213" i="24"/>
  <c r="T213" i="24"/>
  <c r="Q214" i="24"/>
  <c r="R214" i="24"/>
  <c r="S214" i="24"/>
  <c r="T214" i="24"/>
  <c r="Q215" i="24"/>
  <c r="R215" i="24"/>
  <c r="S215" i="24"/>
  <c r="T215" i="24"/>
  <c r="Q216" i="24"/>
  <c r="R216" i="24"/>
  <c r="S216" i="24"/>
  <c r="T216" i="24"/>
  <c r="Q217" i="24"/>
  <c r="R217" i="24"/>
  <c r="S217" i="24"/>
  <c r="T217" i="24"/>
  <c r="Q218" i="24"/>
  <c r="R218" i="24"/>
  <c r="S218" i="24"/>
  <c r="T218" i="24"/>
  <c r="Q219" i="24"/>
  <c r="R219" i="24"/>
  <c r="S219" i="24"/>
  <c r="T219" i="24"/>
  <c r="Q220" i="24"/>
  <c r="R220" i="24"/>
  <c r="S220" i="24"/>
  <c r="T220" i="24"/>
  <c r="Q221" i="24"/>
  <c r="R221" i="24"/>
  <c r="S221" i="24"/>
  <c r="T221" i="24"/>
  <c r="Q222" i="24"/>
  <c r="R222" i="24"/>
  <c r="S222" i="24"/>
  <c r="T222" i="24"/>
  <c r="Q223" i="24"/>
  <c r="R223" i="24"/>
  <c r="S223" i="24"/>
  <c r="T223" i="24"/>
  <c r="Q224" i="24"/>
  <c r="R224" i="24"/>
  <c r="S224" i="24"/>
  <c r="T224" i="24"/>
  <c r="Q225" i="24"/>
  <c r="R225" i="24"/>
  <c r="S225" i="24"/>
  <c r="T225" i="24"/>
  <c r="Q226" i="24"/>
  <c r="R226" i="24"/>
  <c r="S226" i="24"/>
  <c r="T226" i="24"/>
  <c r="Q227" i="24"/>
  <c r="R227" i="24"/>
  <c r="S227" i="24"/>
  <c r="T227" i="24"/>
  <c r="Q228" i="24"/>
  <c r="R228" i="24"/>
  <c r="S228" i="24"/>
  <c r="T228" i="24"/>
  <c r="Q229" i="24"/>
  <c r="R229" i="24"/>
  <c r="S229" i="24"/>
  <c r="T229" i="24"/>
  <c r="Q230" i="24"/>
  <c r="R230" i="24"/>
  <c r="S230" i="24"/>
  <c r="T230" i="24"/>
  <c r="Q231" i="24"/>
  <c r="R231" i="24"/>
  <c r="S231" i="24"/>
  <c r="T231" i="24"/>
  <c r="Q232" i="24"/>
  <c r="R232" i="24"/>
  <c r="S232" i="24"/>
  <c r="T232" i="24"/>
  <c r="Q233" i="24"/>
  <c r="R233" i="24"/>
  <c r="S233" i="24"/>
  <c r="T233" i="24"/>
  <c r="Q234" i="24"/>
  <c r="R234" i="24"/>
  <c r="S234" i="24"/>
  <c r="T234" i="24"/>
  <c r="Q235" i="24"/>
  <c r="R235" i="24"/>
  <c r="S235" i="24"/>
  <c r="T235" i="24"/>
  <c r="Q236" i="24"/>
  <c r="R236" i="24"/>
  <c r="S236" i="24"/>
  <c r="T236" i="24"/>
  <c r="Q237" i="24"/>
  <c r="R237" i="24"/>
  <c r="S237" i="24"/>
  <c r="T237" i="24"/>
  <c r="Q238" i="24"/>
  <c r="R238" i="24"/>
  <c r="S238" i="24"/>
  <c r="T238" i="24"/>
  <c r="Q239" i="24"/>
  <c r="R239" i="24"/>
  <c r="S239" i="24"/>
  <c r="T239" i="24"/>
  <c r="Q240" i="24"/>
  <c r="R240" i="24"/>
  <c r="S240" i="24"/>
  <c r="T240" i="24"/>
  <c r="Q241" i="24"/>
  <c r="R241" i="24"/>
  <c r="S241" i="24"/>
  <c r="T241" i="24"/>
  <c r="Q242" i="24"/>
  <c r="R242" i="24"/>
  <c r="S242" i="24"/>
  <c r="T242" i="24"/>
  <c r="Q243" i="24"/>
  <c r="R243" i="24"/>
  <c r="S243" i="24"/>
  <c r="T243" i="24"/>
  <c r="Q244" i="24"/>
  <c r="R244" i="24"/>
  <c r="S244" i="24"/>
  <c r="T244" i="24"/>
  <c r="Q245" i="24"/>
  <c r="R245" i="24"/>
  <c r="S245" i="24"/>
  <c r="T245" i="24"/>
  <c r="Q246" i="24"/>
  <c r="R246" i="24"/>
  <c r="S246" i="24"/>
  <c r="T246" i="24"/>
  <c r="Q247" i="24"/>
  <c r="R247" i="24"/>
  <c r="S247" i="24"/>
  <c r="T247" i="24"/>
  <c r="Q248" i="24"/>
  <c r="R248" i="24"/>
  <c r="S248" i="24"/>
  <c r="T248" i="24"/>
  <c r="Q249" i="24"/>
  <c r="R249" i="24"/>
  <c r="S249" i="24"/>
  <c r="T249" i="24"/>
  <c r="Q250" i="24"/>
  <c r="R250" i="24"/>
  <c r="S250" i="24"/>
  <c r="T250" i="24"/>
  <c r="Q251" i="24"/>
  <c r="R251" i="24"/>
  <c r="S251" i="24"/>
  <c r="T251" i="24"/>
  <c r="Q252" i="24"/>
  <c r="R252" i="24"/>
  <c r="S252" i="24"/>
  <c r="T252" i="24"/>
  <c r="Q253" i="24"/>
  <c r="R253" i="24"/>
  <c r="S253" i="24"/>
  <c r="T253" i="24"/>
  <c r="Q254" i="24"/>
  <c r="R254" i="24"/>
  <c r="S254" i="24"/>
  <c r="T254" i="24"/>
  <c r="Q255" i="24"/>
  <c r="R255" i="24"/>
  <c r="S255" i="24"/>
  <c r="T255" i="24"/>
  <c r="Q256" i="24"/>
  <c r="R256" i="24"/>
  <c r="S256" i="24"/>
  <c r="T256" i="24"/>
  <c r="Q257" i="24"/>
  <c r="R257" i="24"/>
  <c r="S257" i="24"/>
  <c r="T257" i="24"/>
  <c r="Q258" i="24"/>
  <c r="R258" i="24"/>
  <c r="S258" i="24"/>
  <c r="T258" i="24"/>
  <c r="Q259" i="24"/>
  <c r="R259" i="24"/>
  <c r="S259" i="24"/>
  <c r="T259" i="24"/>
  <c r="Q260" i="24"/>
  <c r="R260" i="24"/>
  <c r="S260" i="24"/>
  <c r="T260" i="24"/>
  <c r="Q261" i="24"/>
  <c r="R261" i="24"/>
  <c r="S261" i="24"/>
  <c r="T261" i="24"/>
  <c r="Q262" i="24"/>
  <c r="R262" i="24"/>
  <c r="S262" i="24"/>
  <c r="T262" i="24"/>
  <c r="Q263" i="24"/>
  <c r="R263" i="24"/>
  <c r="S263" i="24"/>
  <c r="T263" i="24"/>
  <c r="Q264" i="24"/>
  <c r="R264" i="24"/>
  <c r="S264" i="24"/>
  <c r="T264" i="24"/>
  <c r="Q265" i="24"/>
  <c r="R265" i="24"/>
  <c r="S265" i="24"/>
  <c r="T265" i="24"/>
  <c r="Q266" i="24"/>
  <c r="R266" i="24"/>
  <c r="S266" i="24"/>
  <c r="T266" i="24"/>
  <c r="Q267" i="24"/>
  <c r="R267" i="24"/>
  <c r="S267" i="24"/>
  <c r="T267" i="24"/>
  <c r="Q268" i="24"/>
  <c r="R268" i="24"/>
  <c r="S268" i="24"/>
  <c r="T268" i="24"/>
  <c r="Q269" i="24"/>
  <c r="R269" i="24"/>
  <c r="S269" i="24"/>
  <c r="T269" i="24"/>
  <c r="Q270" i="24"/>
  <c r="R270" i="24"/>
  <c r="S270" i="24"/>
  <c r="T270" i="24"/>
  <c r="Q271" i="24"/>
  <c r="R271" i="24"/>
  <c r="S271" i="24"/>
  <c r="T271" i="24"/>
  <c r="Q272" i="24"/>
  <c r="R272" i="24"/>
  <c r="S272" i="24"/>
  <c r="T272" i="24"/>
  <c r="Q273" i="24"/>
  <c r="R273" i="24"/>
  <c r="S273" i="24"/>
  <c r="T273" i="24"/>
  <c r="Q274" i="24"/>
  <c r="R274" i="24"/>
  <c r="S274" i="24"/>
  <c r="T274" i="24"/>
  <c r="Q275" i="24"/>
  <c r="R275" i="24"/>
  <c r="S275" i="24"/>
  <c r="T275" i="24"/>
  <c r="Q276" i="24"/>
  <c r="R276" i="24"/>
  <c r="S276" i="24"/>
  <c r="T276" i="24"/>
  <c r="Q277" i="24"/>
  <c r="R277" i="24"/>
  <c r="S277" i="24"/>
  <c r="T277" i="24"/>
  <c r="Q278" i="24"/>
  <c r="R278" i="24"/>
  <c r="S278" i="24"/>
  <c r="T278" i="24"/>
  <c r="Q279" i="24"/>
  <c r="R279" i="24"/>
  <c r="S279" i="24"/>
  <c r="T279" i="24"/>
  <c r="Q280" i="24"/>
  <c r="R280" i="24"/>
  <c r="S280" i="24"/>
  <c r="T280" i="24"/>
  <c r="Q281" i="24"/>
  <c r="R281" i="24"/>
  <c r="S281" i="24"/>
  <c r="T281" i="24"/>
  <c r="Q282" i="24"/>
  <c r="R282" i="24"/>
  <c r="S282" i="24"/>
  <c r="T282" i="24"/>
  <c r="Q283" i="24"/>
  <c r="R283" i="24"/>
  <c r="S283" i="24"/>
  <c r="T283" i="24"/>
  <c r="Q284" i="24"/>
  <c r="R284" i="24"/>
  <c r="S284" i="24"/>
  <c r="T284" i="24"/>
  <c r="Q285" i="24"/>
  <c r="R285" i="24"/>
  <c r="S285" i="24"/>
  <c r="T285" i="24"/>
  <c r="Q286" i="24"/>
  <c r="R286" i="24"/>
  <c r="S286" i="24"/>
  <c r="T286" i="24"/>
  <c r="Q287" i="24"/>
  <c r="R287" i="24"/>
  <c r="S287" i="24"/>
  <c r="T287" i="24"/>
  <c r="Q288" i="24"/>
  <c r="R288" i="24"/>
  <c r="S288" i="24"/>
  <c r="T288" i="24"/>
  <c r="Q289" i="24"/>
  <c r="R289" i="24"/>
  <c r="S289" i="24"/>
  <c r="T289" i="24"/>
  <c r="Q290" i="24"/>
  <c r="R290" i="24"/>
  <c r="S290" i="24"/>
  <c r="T290" i="24"/>
  <c r="Q291" i="24"/>
  <c r="R291" i="24"/>
  <c r="S291" i="24"/>
  <c r="T291" i="24"/>
  <c r="Q292" i="24"/>
  <c r="R292" i="24"/>
  <c r="S292" i="24"/>
  <c r="T292" i="24"/>
  <c r="Q293" i="24"/>
  <c r="R293" i="24"/>
  <c r="S293" i="24"/>
  <c r="T293" i="24"/>
  <c r="Q294" i="24"/>
  <c r="R294" i="24"/>
  <c r="S294" i="24"/>
  <c r="T294" i="24"/>
  <c r="Q295" i="24"/>
  <c r="R295" i="24"/>
  <c r="S295" i="24"/>
  <c r="T295" i="24"/>
  <c r="Q296" i="24"/>
  <c r="R296" i="24"/>
  <c r="S296" i="24"/>
  <c r="T296" i="24"/>
  <c r="Q297" i="24"/>
  <c r="R297" i="24"/>
  <c r="S297" i="24"/>
  <c r="T297" i="24"/>
  <c r="Q298" i="24"/>
  <c r="R298" i="24"/>
  <c r="S298" i="24"/>
  <c r="T298" i="24"/>
  <c r="Q299" i="24"/>
  <c r="R299" i="24"/>
  <c r="S299" i="24"/>
  <c r="T299" i="24"/>
  <c r="Q300" i="24"/>
  <c r="R300" i="24"/>
  <c r="S300" i="24"/>
  <c r="T300" i="24"/>
  <c r="Q301" i="24"/>
  <c r="R301" i="24"/>
  <c r="S301" i="24"/>
  <c r="T301" i="24"/>
  <c r="Q302" i="24"/>
  <c r="R302" i="24"/>
  <c r="S302" i="24"/>
  <c r="T302" i="24"/>
  <c r="Q303" i="24"/>
  <c r="R303" i="24"/>
  <c r="S303" i="24"/>
  <c r="T303" i="24"/>
  <c r="Q304" i="24"/>
  <c r="R304" i="24"/>
  <c r="S304" i="24"/>
  <c r="T304" i="24"/>
  <c r="Q305" i="24"/>
  <c r="R305" i="24"/>
  <c r="S305" i="24"/>
  <c r="T305" i="24"/>
  <c r="Q306" i="24"/>
  <c r="R306" i="24"/>
  <c r="S306" i="24"/>
  <c r="T306" i="24"/>
  <c r="Q307" i="24"/>
  <c r="R307" i="24"/>
  <c r="S307" i="24"/>
  <c r="T307" i="24"/>
  <c r="Q308" i="24"/>
  <c r="R308" i="24"/>
  <c r="S308" i="24"/>
  <c r="T308" i="24"/>
  <c r="Q309" i="24"/>
  <c r="R309" i="24"/>
  <c r="S309" i="24"/>
  <c r="T309" i="24"/>
  <c r="Q310" i="24"/>
  <c r="R310" i="24"/>
  <c r="S310" i="24"/>
  <c r="T310" i="24"/>
  <c r="Q311" i="24"/>
  <c r="R311" i="24"/>
  <c r="S311" i="24"/>
  <c r="T311" i="24"/>
  <c r="Q312" i="24"/>
  <c r="R312" i="24"/>
  <c r="S312" i="24"/>
  <c r="T312" i="24"/>
  <c r="Q313" i="24"/>
  <c r="R313" i="24"/>
  <c r="S313" i="24"/>
  <c r="T313" i="24"/>
  <c r="Q314" i="24"/>
  <c r="R314" i="24"/>
  <c r="S314" i="24"/>
  <c r="T314" i="24"/>
  <c r="Q315" i="24"/>
  <c r="R315" i="24"/>
  <c r="S315" i="24"/>
  <c r="T315" i="24"/>
  <c r="Q316" i="24"/>
  <c r="R316" i="24"/>
  <c r="S316" i="24"/>
  <c r="T316" i="24"/>
  <c r="Q317" i="24"/>
  <c r="R317" i="24"/>
  <c r="S317" i="24"/>
  <c r="T317" i="24"/>
  <c r="Q318" i="24"/>
  <c r="R318" i="24"/>
  <c r="S318" i="24"/>
  <c r="T318" i="24"/>
  <c r="Q319" i="24"/>
  <c r="R319" i="24"/>
  <c r="S319" i="24"/>
  <c r="T319" i="24"/>
  <c r="Q320" i="24"/>
  <c r="R320" i="24"/>
  <c r="S320" i="24"/>
  <c r="T320" i="24"/>
  <c r="Q321" i="24"/>
  <c r="R321" i="24"/>
  <c r="S321" i="24"/>
  <c r="T321" i="24"/>
  <c r="Q322" i="24"/>
  <c r="R322" i="24"/>
  <c r="S322" i="24"/>
  <c r="T322" i="24"/>
  <c r="Q323" i="24"/>
  <c r="R323" i="24"/>
  <c r="S323" i="24"/>
  <c r="T323" i="24"/>
  <c r="Q324" i="24"/>
  <c r="R324" i="24"/>
  <c r="S324" i="24"/>
  <c r="T324" i="24"/>
  <c r="Q325" i="24"/>
  <c r="R325" i="24"/>
  <c r="S325" i="24"/>
  <c r="T325" i="24"/>
  <c r="Q326" i="24"/>
  <c r="R326" i="24"/>
  <c r="S326" i="24"/>
  <c r="T326" i="24"/>
  <c r="Q327" i="24"/>
  <c r="R327" i="24"/>
  <c r="S327" i="24"/>
  <c r="T327" i="24"/>
  <c r="Q328" i="24"/>
  <c r="R328" i="24"/>
  <c r="S328" i="24"/>
  <c r="T328" i="24"/>
  <c r="Q329" i="24"/>
  <c r="R329" i="24"/>
  <c r="S329" i="24"/>
  <c r="T329" i="24"/>
  <c r="Q330" i="24"/>
  <c r="R330" i="24"/>
  <c r="S330" i="24"/>
  <c r="T330" i="24"/>
  <c r="Q331" i="24"/>
  <c r="R331" i="24"/>
  <c r="S331" i="24"/>
  <c r="T331" i="24"/>
  <c r="Q332" i="24"/>
  <c r="R332" i="24"/>
  <c r="S332" i="24"/>
  <c r="T332" i="24"/>
  <c r="Q333" i="24"/>
  <c r="R333" i="24"/>
  <c r="S333" i="24"/>
  <c r="T333" i="24"/>
  <c r="Q334" i="24"/>
  <c r="R334" i="24"/>
  <c r="S334" i="24"/>
  <c r="T334" i="24"/>
  <c r="Q335" i="24"/>
  <c r="R335" i="24"/>
  <c r="S335" i="24"/>
  <c r="T335" i="24"/>
  <c r="Q336" i="24"/>
  <c r="R336" i="24"/>
  <c r="S336" i="24"/>
  <c r="T336" i="24"/>
  <c r="Q337" i="24"/>
  <c r="R337" i="24"/>
  <c r="S337" i="24"/>
  <c r="T337" i="24"/>
  <c r="Q338" i="24"/>
  <c r="R338" i="24"/>
  <c r="S338" i="24"/>
  <c r="T338" i="24"/>
  <c r="Q339" i="24"/>
  <c r="R339" i="24"/>
  <c r="S339" i="24"/>
  <c r="T339" i="24"/>
  <c r="Q340" i="24"/>
  <c r="R340" i="24"/>
  <c r="S340" i="24"/>
  <c r="T340" i="24"/>
  <c r="Q341" i="24"/>
  <c r="R341" i="24"/>
  <c r="S341" i="24"/>
  <c r="T341" i="24"/>
  <c r="Q342" i="24"/>
  <c r="R342" i="24"/>
  <c r="S342" i="24"/>
  <c r="T342" i="24"/>
  <c r="Q343" i="24"/>
  <c r="R343" i="24"/>
  <c r="S343" i="24"/>
  <c r="T343" i="24"/>
  <c r="Q344" i="24"/>
  <c r="R344" i="24"/>
  <c r="S344" i="24"/>
  <c r="T344" i="24"/>
  <c r="Q345" i="24"/>
  <c r="R345" i="24"/>
  <c r="S345" i="24"/>
  <c r="T345" i="24"/>
  <c r="Q346" i="24"/>
  <c r="R346" i="24"/>
  <c r="S346" i="24"/>
  <c r="T346" i="24"/>
  <c r="Q347" i="24"/>
  <c r="R347" i="24"/>
  <c r="S347" i="24"/>
  <c r="T347" i="24"/>
  <c r="Q348" i="24"/>
  <c r="R348" i="24"/>
  <c r="S348" i="24"/>
  <c r="T348" i="24"/>
  <c r="Q349" i="24"/>
  <c r="R349" i="24"/>
  <c r="S349" i="24"/>
  <c r="T349" i="24"/>
  <c r="Q350" i="24"/>
  <c r="R350" i="24"/>
  <c r="S350" i="24"/>
  <c r="T350" i="24"/>
  <c r="Q351" i="24"/>
  <c r="R351" i="24"/>
  <c r="S351" i="24"/>
  <c r="T351" i="24"/>
  <c r="Q352" i="24"/>
  <c r="R352" i="24"/>
  <c r="S352" i="24"/>
  <c r="T352" i="24"/>
  <c r="Q353" i="24"/>
  <c r="R353" i="24"/>
  <c r="S353" i="24"/>
  <c r="T353" i="24"/>
  <c r="Q354" i="24"/>
  <c r="R354" i="24"/>
  <c r="S354" i="24"/>
  <c r="T354" i="24"/>
  <c r="Q355" i="24"/>
  <c r="R355" i="24"/>
  <c r="S355" i="24"/>
  <c r="T355" i="24"/>
  <c r="Q356" i="24"/>
  <c r="R356" i="24"/>
  <c r="S356" i="24"/>
  <c r="T356" i="24"/>
  <c r="Q357" i="24"/>
  <c r="R357" i="24"/>
  <c r="S357" i="24"/>
  <c r="T357" i="24"/>
  <c r="Q358" i="24"/>
  <c r="R358" i="24"/>
  <c r="S358" i="24"/>
  <c r="T358" i="24"/>
  <c r="Q359" i="24"/>
  <c r="R359" i="24"/>
  <c r="S359" i="24"/>
  <c r="T359" i="24"/>
  <c r="Q360" i="24"/>
  <c r="R360" i="24"/>
  <c r="S360" i="24"/>
  <c r="T360" i="24"/>
  <c r="Q361" i="24"/>
  <c r="R361" i="24"/>
  <c r="S361" i="24"/>
  <c r="T361" i="24"/>
  <c r="Q362" i="24"/>
  <c r="R362" i="24"/>
  <c r="S362" i="24"/>
  <c r="T362" i="24"/>
  <c r="Q363" i="24"/>
  <c r="R363" i="24"/>
  <c r="S363" i="24"/>
  <c r="T363" i="24"/>
  <c r="Q364" i="24"/>
  <c r="R364" i="24"/>
  <c r="S364" i="24"/>
  <c r="T364" i="24"/>
  <c r="Q365" i="24"/>
  <c r="R365" i="24"/>
  <c r="S365" i="24"/>
  <c r="T365" i="24"/>
  <c r="Q366" i="24"/>
  <c r="R366" i="24"/>
  <c r="S366" i="24"/>
  <c r="T366" i="24"/>
  <c r="Q367" i="24"/>
  <c r="R367" i="24"/>
  <c r="S367" i="24"/>
  <c r="T367" i="24"/>
  <c r="Q368" i="24"/>
  <c r="R368" i="24"/>
  <c r="S368" i="24"/>
  <c r="T368" i="24"/>
  <c r="Q369" i="24"/>
  <c r="R369" i="24"/>
  <c r="S369" i="24"/>
  <c r="T369" i="24"/>
  <c r="Q370" i="24"/>
  <c r="R370" i="24"/>
  <c r="S370" i="24"/>
  <c r="T370" i="24"/>
  <c r="Q371" i="24"/>
  <c r="R371" i="24"/>
  <c r="S371" i="24"/>
  <c r="T371" i="24"/>
  <c r="Q372" i="24"/>
  <c r="R372" i="24"/>
  <c r="S372" i="24"/>
  <c r="T372" i="24"/>
  <c r="Q373" i="24"/>
  <c r="R373" i="24"/>
  <c r="S373" i="24"/>
  <c r="T373" i="24"/>
  <c r="Q374" i="24"/>
  <c r="R374" i="24"/>
  <c r="S374" i="24"/>
  <c r="T374" i="24"/>
  <c r="Q375" i="24"/>
  <c r="R375" i="24"/>
  <c r="S375" i="24"/>
  <c r="T375" i="24"/>
  <c r="Q376" i="24"/>
  <c r="R376" i="24"/>
  <c r="S376" i="24"/>
  <c r="T376" i="24"/>
  <c r="Q377" i="24"/>
  <c r="R377" i="24"/>
  <c r="S377" i="24"/>
  <c r="T377" i="24"/>
  <c r="Q378" i="24"/>
  <c r="R378" i="24"/>
  <c r="S378" i="24"/>
  <c r="T378" i="24"/>
  <c r="Q379" i="24"/>
  <c r="R379" i="24"/>
  <c r="S379" i="24"/>
  <c r="T379" i="24"/>
  <c r="Q380" i="24"/>
  <c r="R380" i="24"/>
  <c r="S380" i="24"/>
  <c r="T380" i="24"/>
  <c r="Q381" i="24"/>
  <c r="R381" i="24"/>
  <c r="S381" i="24"/>
  <c r="T381" i="24"/>
  <c r="Q382" i="24"/>
  <c r="R382" i="24"/>
  <c r="S382" i="24"/>
  <c r="T382" i="24"/>
  <c r="Q383" i="24"/>
  <c r="R383" i="24"/>
  <c r="S383" i="24"/>
  <c r="T383" i="24"/>
  <c r="Q384" i="24"/>
  <c r="R384" i="24"/>
  <c r="S384" i="24"/>
  <c r="T384" i="24"/>
  <c r="Q385" i="24"/>
  <c r="R385" i="24"/>
  <c r="S385" i="24"/>
  <c r="T385" i="24"/>
  <c r="Q386" i="24"/>
  <c r="R386" i="24"/>
  <c r="S386" i="24"/>
  <c r="T386" i="24"/>
  <c r="Q387" i="24"/>
  <c r="R387" i="24"/>
  <c r="S387" i="24"/>
  <c r="T387" i="24"/>
  <c r="Q388" i="24"/>
  <c r="R388" i="24"/>
  <c r="S388" i="24"/>
  <c r="T388" i="24"/>
  <c r="Q389" i="24"/>
  <c r="R389" i="24"/>
  <c r="S389" i="24"/>
  <c r="T389" i="24"/>
  <c r="Q390" i="24"/>
  <c r="R390" i="24"/>
  <c r="S390" i="24"/>
  <c r="T390" i="24"/>
  <c r="Q391" i="24"/>
  <c r="R391" i="24"/>
  <c r="S391" i="24"/>
  <c r="T391" i="24"/>
  <c r="Q392" i="24"/>
  <c r="R392" i="24"/>
  <c r="S392" i="24"/>
  <c r="T392" i="24"/>
  <c r="Q393" i="24"/>
  <c r="R393" i="24"/>
  <c r="S393" i="24"/>
  <c r="T393" i="24"/>
  <c r="Q394" i="24"/>
  <c r="R394" i="24"/>
  <c r="S394" i="24"/>
  <c r="T394" i="24"/>
  <c r="Q395" i="24"/>
  <c r="R395" i="24"/>
  <c r="S395" i="24"/>
  <c r="T395" i="24"/>
  <c r="Q396" i="24"/>
  <c r="R396" i="24"/>
  <c r="S396" i="24"/>
  <c r="T396" i="24"/>
  <c r="Q397" i="24"/>
  <c r="R397" i="24"/>
  <c r="S397" i="24"/>
  <c r="T397" i="24"/>
  <c r="Q398" i="24"/>
  <c r="R398" i="24"/>
  <c r="S398" i="24"/>
  <c r="T398" i="24"/>
  <c r="Q399" i="24"/>
  <c r="R399" i="24"/>
  <c r="S399" i="24"/>
  <c r="T399" i="24"/>
  <c r="Q400" i="24"/>
  <c r="R400" i="24"/>
  <c r="S400" i="24"/>
  <c r="T400" i="24"/>
  <c r="Q401" i="24"/>
  <c r="R401" i="24"/>
  <c r="S401" i="24"/>
  <c r="T401" i="24"/>
  <c r="Q402" i="24"/>
  <c r="R402" i="24"/>
  <c r="S402" i="24"/>
  <c r="T402" i="24"/>
  <c r="Q403" i="24"/>
  <c r="R403" i="24"/>
  <c r="S403" i="24"/>
  <c r="T403" i="24"/>
  <c r="Q404" i="24"/>
  <c r="R404" i="24"/>
  <c r="S404" i="24"/>
  <c r="T404" i="24"/>
  <c r="Q405" i="24"/>
  <c r="R405" i="24"/>
  <c r="S405" i="24"/>
  <c r="T405" i="24"/>
  <c r="Q406" i="24"/>
  <c r="R406" i="24"/>
  <c r="S406" i="24"/>
  <c r="T406" i="24"/>
  <c r="Q407" i="24"/>
  <c r="R407" i="24"/>
  <c r="S407" i="24"/>
  <c r="T407" i="24"/>
  <c r="Q408" i="24"/>
  <c r="R408" i="24"/>
  <c r="S408" i="24"/>
  <c r="T408" i="24"/>
  <c r="Q409" i="24"/>
  <c r="R409" i="24"/>
  <c r="S409" i="24"/>
  <c r="T409" i="24"/>
  <c r="Q410" i="24"/>
  <c r="R410" i="24"/>
  <c r="S410" i="24"/>
  <c r="T410" i="24"/>
  <c r="Q411" i="24"/>
  <c r="R411" i="24"/>
  <c r="S411" i="24"/>
  <c r="T411" i="24"/>
  <c r="Q412" i="24"/>
  <c r="R412" i="24"/>
  <c r="S412" i="24"/>
  <c r="T412" i="24"/>
  <c r="Q413" i="24"/>
  <c r="R413" i="24"/>
  <c r="S413" i="24"/>
  <c r="T413" i="24"/>
  <c r="R6" i="24"/>
  <c r="Q6" i="24"/>
  <c r="M8" i="24"/>
  <c r="N8" i="24" s="1"/>
  <c r="O8" i="24" s="1"/>
  <c r="M9" i="24"/>
  <c r="N9" i="24" s="1"/>
  <c r="O9" i="24"/>
  <c r="M10" i="24"/>
  <c r="N10" i="24" s="1"/>
  <c r="O10" i="24" s="1"/>
  <c r="M11" i="24"/>
  <c r="N11" i="24" s="1"/>
  <c r="O11" i="24" s="1"/>
  <c r="M12" i="24"/>
  <c r="N12" i="24" s="1"/>
  <c r="O12" i="24" s="1"/>
  <c r="M13" i="24"/>
  <c r="N13" i="24" s="1"/>
  <c r="O13" i="24"/>
  <c r="M14" i="24"/>
  <c r="N14" i="24"/>
  <c r="O14" i="24" s="1"/>
  <c r="M15" i="24"/>
  <c r="N15" i="24"/>
  <c r="O15" i="24" s="1"/>
  <c r="M16" i="24"/>
  <c r="N16" i="24" s="1"/>
  <c r="O16" i="24" s="1"/>
  <c r="M17" i="24"/>
  <c r="N17" i="24" s="1"/>
  <c r="O17" i="24" s="1"/>
  <c r="M18" i="24"/>
  <c r="N18" i="24"/>
  <c r="O18" i="24" s="1"/>
  <c r="M19" i="24"/>
  <c r="N19" i="24"/>
  <c r="O19" i="24"/>
  <c r="M20" i="24"/>
  <c r="N20" i="24"/>
  <c r="O20" i="24" s="1"/>
  <c r="M21" i="24"/>
  <c r="N21" i="24" s="1"/>
  <c r="O21" i="24" s="1"/>
  <c r="M22" i="24"/>
  <c r="N22" i="24"/>
  <c r="O22" i="24"/>
  <c r="M23" i="24"/>
  <c r="N23" i="24" s="1"/>
  <c r="O23" i="24" s="1"/>
  <c r="M24" i="24"/>
  <c r="N24" i="24" s="1"/>
  <c r="O24" i="24" s="1"/>
  <c r="M25" i="24"/>
  <c r="N25" i="24" s="1"/>
  <c r="O25" i="24" s="1"/>
  <c r="M26" i="24"/>
  <c r="N26" i="24" s="1"/>
  <c r="O26" i="24" s="1"/>
  <c r="M27" i="24"/>
  <c r="N27" i="24"/>
  <c r="O27" i="24" s="1"/>
  <c r="M28" i="24"/>
  <c r="N28" i="24" s="1"/>
  <c r="O28" i="24" s="1"/>
  <c r="M29" i="24"/>
  <c r="N29" i="24" s="1"/>
  <c r="O29" i="24" s="1"/>
  <c r="M30" i="24"/>
  <c r="N30" i="24" s="1"/>
  <c r="O30" i="24" s="1"/>
  <c r="M31" i="24"/>
  <c r="N31" i="24"/>
  <c r="O31" i="24"/>
  <c r="M32" i="24"/>
  <c r="N32" i="24"/>
  <c r="O32" i="24" s="1"/>
  <c r="M33" i="24"/>
  <c r="N33" i="24" s="1"/>
  <c r="O33" i="24" s="1"/>
  <c r="M34" i="24"/>
  <c r="N34" i="24" s="1"/>
  <c r="O34" i="24" s="1"/>
  <c r="M35" i="24"/>
  <c r="N35" i="24"/>
  <c r="O35" i="24"/>
  <c r="M36" i="24"/>
  <c r="N36" i="24" s="1"/>
  <c r="O36" i="24" s="1"/>
  <c r="M37" i="24"/>
  <c r="N37" i="24" s="1"/>
  <c r="O37" i="24" s="1"/>
  <c r="M38" i="24"/>
  <c r="N38" i="24" s="1"/>
  <c r="O38" i="24" s="1"/>
  <c r="M39" i="24"/>
  <c r="N39" i="24" s="1"/>
  <c r="O39" i="24" s="1"/>
  <c r="M40" i="24"/>
  <c r="N40" i="24"/>
  <c r="O40" i="24" s="1"/>
  <c r="M41" i="24"/>
  <c r="N41" i="24" s="1"/>
  <c r="O41" i="24"/>
  <c r="M42" i="24"/>
  <c r="N42" i="24" s="1"/>
  <c r="O42" i="24" s="1"/>
  <c r="M43" i="24"/>
  <c r="N43" i="24"/>
  <c r="O43" i="24" s="1"/>
  <c r="M44" i="24"/>
  <c r="N44" i="24" s="1"/>
  <c r="O44" i="24"/>
  <c r="M45" i="24"/>
  <c r="N45" i="24" s="1"/>
  <c r="O45" i="24"/>
  <c r="M46" i="24"/>
  <c r="N46" i="24" s="1"/>
  <c r="O46" i="24"/>
  <c r="M47" i="24"/>
  <c r="N47" i="24" s="1"/>
  <c r="O47" i="24" s="1"/>
  <c r="M48" i="24"/>
  <c r="N48" i="24"/>
  <c r="O48" i="24"/>
  <c r="M49" i="24"/>
  <c r="N49" i="24" s="1"/>
  <c r="O49" i="24" s="1"/>
  <c r="M50" i="24"/>
  <c r="N50" i="24"/>
  <c r="O50" i="24" s="1"/>
  <c r="M51" i="24"/>
  <c r="N51" i="24" s="1"/>
  <c r="O51" i="24" s="1"/>
  <c r="M52" i="24"/>
  <c r="N52" i="24" s="1"/>
  <c r="O52" i="24" s="1"/>
  <c r="M53" i="24"/>
  <c r="N53" i="24" s="1"/>
  <c r="O53" i="24" s="1"/>
  <c r="M54" i="24"/>
  <c r="N54" i="24"/>
  <c r="O54" i="24"/>
  <c r="M55" i="24"/>
  <c r="N55" i="24"/>
  <c r="O55" i="24" s="1"/>
  <c r="M56" i="24"/>
  <c r="N56" i="24"/>
  <c r="O56" i="24" s="1"/>
  <c r="M57" i="24"/>
  <c r="N57" i="24" s="1"/>
  <c r="O57" i="24" s="1"/>
  <c r="M58" i="24"/>
  <c r="N58" i="24" s="1"/>
  <c r="O58" i="24" s="1"/>
  <c r="M59" i="24"/>
  <c r="N59" i="24" s="1"/>
  <c r="O59" i="24"/>
  <c r="M60" i="24"/>
  <c r="N60" i="24" s="1"/>
  <c r="O60" i="24" s="1"/>
  <c r="M61" i="24"/>
  <c r="N61" i="24" s="1"/>
  <c r="O61" i="24"/>
  <c r="M62" i="24"/>
  <c r="N62" i="24"/>
  <c r="O62" i="24" s="1"/>
  <c r="M63" i="24"/>
  <c r="N63" i="24"/>
  <c r="O63" i="24" s="1"/>
  <c r="M64" i="24"/>
  <c r="N64" i="24" s="1"/>
  <c r="O64" i="24" s="1"/>
  <c r="M65" i="24"/>
  <c r="N65" i="24" s="1"/>
  <c r="O65" i="24" s="1"/>
  <c r="M66" i="24"/>
  <c r="N66" i="24"/>
  <c r="O66" i="24" s="1"/>
  <c r="M67" i="24"/>
  <c r="N67" i="24"/>
  <c r="O67" i="24" s="1"/>
  <c r="M68" i="24"/>
  <c r="N68" i="24"/>
  <c r="O68" i="24" s="1"/>
  <c r="M69" i="24"/>
  <c r="N69" i="24" s="1"/>
  <c r="O69" i="24"/>
  <c r="M70" i="24"/>
  <c r="N70" i="24"/>
  <c r="O70" i="24"/>
  <c r="M71" i="24"/>
  <c r="N71" i="24" s="1"/>
  <c r="O71" i="24" s="1"/>
  <c r="M72" i="24"/>
  <c r="N72" i="24" s="1"/>
  <c r="O72" i="24" s="1"/>
  <c r="M73" i="24"/>
  <c r="N73" i="24" s="1"/>
  <c r="O73" i="24" s="1"/>
  <c r="M74" i="24"/>
  <c r="N74" i="24" s="1"/>
  <c r="O74" i="24" s="1"/>
  <c r="M75" i="24"/>
  <c r="N75" i="24"/>
  <c r="O75" i="24" s="1"/>
  <c r="M76" i="24"/>
  <c r="N76" i="24" s="1"/>
  <c r="O76" i="24" s="1"/>
  <c r="M77" i="24"/>
  <c r="N77" i="24" s="1"/>
  <c r="O77" i="24" s="1"/>
  <c r="M78" i="24"/>
  <c r="N78" i="24"/>
  <c r="O78" i="24" s="1"/>
  <c r="M79" i="24"/>
  <c r="N79" i="24"/>
  <c r="O79" i="24" s="1"/>
  <c r="M80" i="24"/>
  <c r="N80" i="24"/>
  <c r="O80" i="24" s="1"/>
  <c r="M81" i="24"/>
  <c r="N81" i="24" s="1"/>
  <c r="O81" i="24"/>
  <c r="M82" i="24"/>
  <c r="N82" i="24" s="1"/>
  <c r="O82" i="24" s="1"/>
  <c r="M83" i="24"/>
  <c r="N83" i="24" s="1"/>
  <c r="O83" i="24" s="1"/>
  <c r="M84" i="24"/>
  <c r="N84" i="24" s="1"/>
  <c r="O84" i="24" s="1"/>
  <c r="M85" i="24"/>
  <c r="N85" i="24" s="1"/>
  <c r="O85" i="24" s="1"/>
  <c r="M86" i="24"/>
  <c r="N86" i="24" s="1"/>
  <c r="O86" i="24" s="1"/>
  <c r="M87" i="24"/>
  <c r="N87" i="24" s="1"/>
  <c r="O87" i="24" s="1"/>
  <c r="M88" i="24"/>
  <c r="N88" i="24"/>
  <c r="O88" i="24" s="1"/>
  <c r="M89" i="24"/>
  <c r="N89" i="24" s="1"/>
  <c r="O89" i="24"/>
  <c r="M90" i="24"/>
  <c r="N90" i="24"/>
  <c r="O90" i="24" s="1"/>
  <c r="M91" i="24"/>
  <c r="N91" i="24"/>
  <c r="O91" i="24" s="1"/>
  <c r="M92" i="24"/>
  <c r="N92" i="24" s="1"/>
  <c r="O92" i="24" s="1"/>
  <c r="M93" i="24"/>
  <c r="N93" i="24"/>
  <c r="O93" i="24"/>
  <c r="M94" i="24"/>
  <c r="N94" i="24"/>
  <c r="O94" i="24" s="1"/>
  <c r="M95" i="24"/>
  <c r="N95" i="24" s="1"/>
  <c r="O95" i="24" s="1"/>
  <c r="M96" i="24"/>
  <c r="N96" i="24" s="1"/>
  <c r="O96" i="24" s="1"/>
  <c r="M97" i="24"/>
  <c r="N97" i="24" s="1"/>
  <c r="O97" i="24"/>
  <c r="M98" i="24"/>
  <c r="N98" i="24"/>
  <c r="O98" i="24" s="1"/>
  <c r="M99" i="24"/>
  <c r="N99" i="24"/>
  <c r="O99" i="24" s="1"/>
  <c r="M100" i="24"/>
  <c r="N100" i="24"/>
  <c r="O100" i="24" s="1"/>
  <c r="M101" i="24"/>
  <c r="N101" i="24"/>
  <c r="O101" i="24" s="1"/>
  <c r="M103" i="24"/>
  <c r="N103" i="24"/>
  <c r="O103" i="24" s="1"/>
  <c r="M104" i="24"/>
  <c r="N104" i="24"/>
  <c r="O104" i="24" s="1"/>
  <c r="M105" i="24"/>
  <c r="N105" i="24"/>
  <c r="O105" i="24" s="1"/>
  <c r="M106" i="24"/>
  <c r="N106" i="24" s="1"/>
  <c r="O106" i="24"/>
  <c r="M107" i="24"/>
  <c r="N107" i="24" s="1"/>
  <c r="O107" i="24" s="1"/>
  <c r="M108" i="24"/>
  <c r="N108" i="24" s="1"/>
  <c r="O108" i="24" s="1"/>
  <c r="M109" i="24"/>
  <c r="N109" i="24" s="1"/>
  <c r="O109" i="24" s="1"/>
  <c r="M110" i="24"/>
  <c r="N110" i="24"/>
  <c r="O110" i="24" s="1"/>
  <c r="M111" i="24"/>
  <c r="N111" i="24"/>
  <c r="O111" i="24" s="1"/>
  <c r="M112" i="24"/>
  <c r="N112" i="24"/>
  <c r="O112" i="24" s="1"/>
  <c r="M114" i="24"/>
  <c r="N114" i="24" s="1"/>
  <c r="O114" i="24"/>
  <c r="M115" i="24"/>
  <c r="N115" i="24" s="1"/>
  <c r="O115" i="24" s="1"/>
  <c r="M116" i="24"/>
  <c r="N116" i="24"/>
  <c r="O116" i="24" s="1"/>
  <c r="M117" i="24"/>
  <c r="N117" i="24"/>
  <c r="O117" i="24" s="1"/>
  <c r="M118" i="24"/>
  <c r="N118" i="24" s="1"/>
  <c r="O118" i="24" s="1"/>
  <c r="M119" i="24"/>
  <c r="N119" i="24" s="1"/>
  <c r="O119" i="24" s="1"/>
  <c r="M120" i="24"/>
  <c r="N120" i="24"/>
  <c r="O120" i="24" s="1"/>
  <c r="M121" i="24"/>
  <c r="N121" i="24"/>
  <c r="O121" i="24" s="1"/>
  <c r="M122" i="24"/>
  <c r="N122" i="24" s="1"/>
  <c r="O122" i="24" s="1"/>
  <c r="M123" i="24"/>
  <c r="N123" i="24" s="1"/>
  <c r="O123" i="24" s="1"/>
  <c r="M124" i="24"/>
  <c r="N124" i="24"/>
  <c r="O124" i="24" s="1"/>
  <c r="M125" i="24"/>
  <c r="N125" i="24" s="1"/>
  <c r="O125" i="24" s="1"/>
  <c r="M126" i="24"/>
  <c r="N126" i="24"/>
  <c r="O126" i="24"/>
  <c r="M127" i="24"/>
  <c r="N127" i="24" s="1"/>
  <c r="O127" i="24" s="1"/>
  <c r="M128" i="24"/>
  <c r="N128" i="24"/>
  <c r="O128" i="24" s="1"/>
  <c r="M129" i="24"/>
  <c r="N129" i="24"/>
  <c r="O129" i="24" s="1"/>
  <c r="M130" i="24"/>
  <c r="N130" i="24"/>
  <c r="O130" i="24" s="1"/>
  <c r="M131" i="24"/>
  <c r="N131" i="24" s="1"/>
  <c r="O131" i="24"/>
  <c r="M132" i="24"/>
  <c r="N132" i="24" s="1"/>
  <c r="O132" i="24" s="1"/>
  <c r="M133" i="24"/>
  <c r="N133" i="24"/>
  <c r="O133" i="24" s="1"/>
  <c r="M134" i="24"/>
  <c r="N134" i="24"/>
  <c r="O134" i="24"/>
  <c r="M135" i="24"/>
  <c r="N135" i="24"/>
  <c r="O135" i="24"/>
  <c r="M136" i="24"/>
  <c r="N136" i="24" s="1"/>
  <c r="O136" i="24" s="1"/>
  <c r="M137" i="24"/>
  <c r="N137" i="24"/>
  <c r="O137" i="24" s="1"/>
  <c r="M138" i="24"/>
  <c r="N138" i="24"/>
  <c r="O138" i="24"/>
  <c r="M139" i="24"/>
  <c r="N139" i="24" s="1"/>
  <c r="O139" i="24" s="1"/>
  <c r="M140" i="24"/>
  <c r="N140" i="24" s="1"/>
  <c r="O140" i="24" s="1"/>
  <c r="M141" i="24"/>
  <c r="N141" i="24"/>
  <c r="O141" i="24" s="1"/>
  <c r="M142" i="24"/>
  <c r="N142" i="24" s="1"/>
  <c r="O142" i="24"/>
  <c r="M143" i="24"/>
  <c r="N143" i="24"/>
  <c r="O143" i="24"/>
  <c r="M144" i="24"/>
  <c r="N144" i="24"/>
  <c r="O144" i="24" s="1"/>
  <c r="M145" i="24"/>
  <c r="N145" i="24"/>
  <c r="O145" i="24" s="1"/>
  <c r="M146" i="24"/>
  <c r="N146" i="24" s="1"/>
  <c r="O146" i="24" s="1"/>
  <c r="M147" i="24"/>
  <c r="N147" i="24" s="1"/>
  <c r="O147" i="24" s="1"/>
  <c r="M148" i="24"/>
  <c r="N148" i="24"/>
  <c r="O148" i="24" s="1"/>
  <c r="M149" i="24"/>
  <c r="N149" i="24" s="1"/>
  <c r="O149" i="24" s="1"/>
  <c r="M150" i="24"/>
  <c r="N150" i="24"/>
  <c r="O150" i="24" s="1"/>
  <c r="M151" i="24"/>
  <c r="N151" i="24" s="1"/>
  <c r="O151" i="24" s="1"/>
  <c r="M152" i="24"/>
  <c r="N152" i="24"/>
  <c r="O152" i="24" s="1"/>
  <c r="M153" i="24"/>
  <c r="N153" i="24" s="1"/>
  <c r="O153" i="24" s="1"/>
  <c r="M154" i="24"/>
  <c r="N154" i="24"/>
  <c r="O154" i="24"/>
  <c r="M155" i="24"/>
  <c r="N155" i="24" s="1"/>
  <c r="O155" i="24"/>
  <c r="M156" i="24"/>
  <c r="N156" i="24" s="1"/>
  <c r="O156" i="24" s="1"/>
  <c r="M157" i="24"/>
  <c r="N157" i="24" s="1"/>
  <c r="O157" i="24" s="1"/>
  <c r="M158" i="24"/>
  <c r="N158" i="24"/>
  <c r="O158" i="24"/>
  <c r="M159" i="24"/>
  <c r="N159" i="24"/>
  <c r="O159" i="24"/>
  <c r="M160" i="24"/>
  <c r="N160" i="24" s="1"/>
  <c r="O160" i="24" s="1"/>
  <c r="M161" i="24"/>
  <c r="N161" i="24"/>
  <c r="O161" i="24" s="1"/>
  <c r="M162" i="24"/>
  <c r="N162" i="24"/>
  <c r="O162" i="24" s="1"/>
  <c r="M163" i="24"/>
  <c r="N163" i="24" s="1"/>
  <c r="O163" i="24"/>
  <c r="M164" i="24"/>
  <c r="N164" i="24"/>
  <c r="O164" i="24" s="1"/>
  <c r="M165" i="24"/>
  <c r="N165" i="24"/>
  <c r="O165" i="24" s="1"/>
  <c r="M166" i="24"/>
  <c r="N166" i="24" s="1"/>
  <c r="O166" i="24" s="1"/>
  <c r="M167" i="24"/>
  <c r="N167" i="24" s="1"/>
  <c r="O167" i="24"/>
  <c r="M168" i="24"/>
  <c r="N168" i="24"/>
  <c r="O168" i="24" s="1"/>
  <c r="M169" i="24"/>
  <c r="N169" i="24"/>
  <c r="O169" i="24" s="1"/>
  <c r="M170" i="24"/>
  <c r="N170" i="24" s="1"/>
  <c r="O170" i="24" s="1"/>
  <c r="M171" i="24"/>
  <c r="N171" i="24" s="1"/>
  <c r="O171" i="24"/>
  <c r="M172" i="24"/>
  <c r="N172" i="24" s="1"/>
  <c r="O172" i="24" s="1"/>
  <c r="M173" i="24"/>
  <c r="N173" i="24" s="1"/>
  <c r="O173" i="24" s="1"/>
  <c r="M174" i="24"/>
  <c r="N174" i="24" s="1"/>
  <c r="O174" i="24" s="1"/>
  <c r="M175" i="24"/>
  <c r="N175" i="24"/>
  <c r="O175" i="24" s="1"/>
  <c r="M176" i="24"/>
  <c r="N176" i="24" s="1"/>
  <c r="O176" i="24" s="1"/>
  <c r="M177" i="24"/>
  <c r="N177" i="24" s="1"/>
  <c r="O177" i="24" s="1"/>
  <c r="M178" i="24"/>
  <c r="N178" i="24"/>
  <c r="O178" i="24"/>
  <c r="M179" i="24"/>
  <c r="N179" i="24" s="1"/>
  <c r="O179" i="24"/>
  <c r="M180" i="24"/>
  <c r="N180" i="24" s="1"/>
  <c r="O180" i="24" s="1"/>
  <c r="M181" i="24"/>
  <c r="N181" i="24"/>
  <c r="O181" i="24" s="1"/>
  <c r="M182" i="24"/>
  <c r="N182" i="24"/>
  <c r="O182" i="24" s="1"/>
  <c r="M183" i="24"/>
  <c r="N183" i="24"/>
  <c r="O183" i="24"/>
  <c r="M184" i="24"/>
  <c r="N184" i="24"/>
  <c r="O184" i="24" s="1"/>
  <c r="M185" i="24"/>
  <c r="N185" i="24" s="1"/>
  <c r="O185" i="24" s="1"/>
  <c r="M186" i="24"/>
  <c r="N186" i="24" s="1"/>
  <c r="O186" i="24" s="1"/>
  <c r="M187" i="24"/>
  <c r="N187" i="24" s="1"/>
  <c r="O187" i="24"/>
  <c r="M188" i="24"/>
  <c r="N188" i="24"/>
  <c r="O188" i="24" s="1"/>
  <c r="M189" i="24"/>
  <c r="N189" i="24" s="1"/>
  <c r="O189" i="24" s="1"/>
  <c r="M190" i="24"/>
  <c r="N190" i="24" s="1"/>
  <c r="O190" i="24"/>
  <c r="M191" i="24"/>
  <c r="N191" i="24" s="1"/>
  <c r="O191" i="24" s="1"/>
  <c r="M193" i="24"/>
  <c r="N193" i="24" s="1"/>
  <c r="O193" i="24" s="1"/>
  <c r="M194" i="24"/>
  <c r="N194" i="24" s="1"/>
  <c r="O194" i="24" s="1"/>
  <c r="M195" i="24"/>
  <c r="N195" i="24" s="1"/>
  <c r="O195" i="24" s="1"/>
  <c r="M196" i="24"/>
  <c r="N196" i="24" s="1"/>
  <c r="O196" i="24" s="1"/>
  <c r="M197" i="24"/>
  <c r="N197" i="24" s="1"/>
  <c r="O197" i="24" s="1"/>
  <c r="M198" i="24"/>
  <c r="N198" i="24"/>
  <c r="O198" i="24" s="1"/>
  <c r="M199" i="24"/>
  <c r="N199" i="24" s="1"/>
  <c r="O199" i="24" s="1"/>
  <c r="M200" i="24"/>
  <c r="N200" i="24" s="1"/>
  <c r="O200" i="24" s="1"/>
  <c r="M201" i="24"/>
  <c r="N201" i="24"/>
  <c r="O201" i="24" s="1"/>
  <c r="M202" i="24"/>
  <c r="N202" i="24"/>
  <c r="O202" i="24" s="1"/>
  <c r="M203" i="24"/>
  <c r="N203" i="24"/>
  <c r="O203" i="24"/>
  <c r="M204" i="24"/>
  <c r="N204" i="24" s="1"/>
  <c r="O204" i="24" s="1"/>
  <c r="M205" i="24"/>
  <c r="N205" i="24" s="1"/>
  <c r="O205" i="24" s="1"/>
  <c r="M206" i="24"/>
  <c r="N206" i="24" s="1"/>
  <c r="O206" i="24" s="1"/>
  <c r="M207" i="24"/>
  <c r="N207" i="24" s="1"/>
  <c r="O207" i="24" s="1"/>
  <c r="M208" i="24"/>
  <c r="N208" i="24"/>
  <c r="O208" i="24" s="1"/>
  <c r="M209" i="24"/>
  <c r="N209" i="24"/>
  <c r="O209" i="24" s="1"/>
  <c r="M210" i="24"/>
  <c r="N210" i="24" s="1"/>
  <c r="O210" i="24" s="1"/>
  <c r="M211" i="24"/>
  <c r="N211" i="24"/>
  <c r="O211" i="24"/>
  <c r="M212" i="24"/>
  <c r="N212" i="24" s="1"/>
  <c r="O212" i="24"/>
  <c r="M213" i="24"/>
  <c r="N213" i="24"/>
  <c r="O213" i="24" s="1"/>
  <c r="M214" i="24"/>
  <c r="N214" i="24"/>
  <c r="O214" i="24" s="1"/>
  <c r="M215" i="24"/>
  <c r="N215" i="24" s="1"/>
  <c r="O215" i="24" s="1"/>
  <c r="M216" i="24"/>
  <c r="N216" i="24" s="1"/>
  <c r="O216" i="24" s="1"/>
  <c r="M217" i="24"/>
  <c r="N217" i="24" s="1"/>
  <c r="O217" i="24" s="1"/>
  <c r="M218" i="24"/>
  <c r="N218" i="24"/>
  <c r="O218" i="24" s="1"/>
  <c r="M219" i="24"/>
  <c r="N219" i="24"/>
  <c r="O219" i="24"/>
  <c r="M220" i="24"/>
  <c r="N220" i="24" s="1"/>
  <c r="O220" i="24"/>
  <c r="M221" i="24"/>
  <c r="N221" i="24"/>
  <c r="O221" i="24" s="1"/>
  <c r="M222" i="24"/>
  <c r="N222" i="24"/>
  <c r="O222" i="24" s="1"/>
  <c r="M223" i="24"/>
  <c r="N223" i="24"/>
  <c r="O223" i="24"/>
  <c r="M224" i="24"/>
  <c r="N224" i="24"/>
  <c r="O224" i="24" s="1"/>
  <c r="M225" i="24"/>
  <c r="N225" i="24" s="1"/>
  <c r="O225" i="24" s="1"/>
  <c r="M226" i="24"/>
  <c r="N226" i="24"/>
  <c r="O226" i="24" s="1"/>
  <c r="M227" i="24"/>
  <c r="N227" i="24" s="1"/>
  <c r="O227" i="24"/>
  <c r="M228" i="24"/>
  <c r="N228" i="24" s="1"/>
  <c r="O228" i="24" s="1"/>
  <c r="M229" i="24"/>
  <c r="N229" i="24"/>
  <c r="O229" i="24" s="1"/>
  <c r="M230" i="24"/>
  <c r="N230" i="24"/>
  <c r="O230" i="24" s="1"/>
  <c r="M231" i="24"/>
  <c r="N231" i="24"/>
  <c r="O231" i="24"/>
  <c r="M232" i="24"/>
  <c r="N232" i="24"/>
  <c r="O232" i="24"/>
  <c r="M233" i="24"/>
  <c r="N233" i="24"/>
  <c r="O233" i="24" s="1"/>
  <c r="M234" i="24"/>
  <c r="N234" i="24" s="1"/>
  <c r="O234" i="24" s="1"/>
  <c r="M235" i="24"/>
  <c r="N235" i="24"/>
  <c r="O235" i="24" s="1"/>
  <c r="M236" i="24"/>
  <c r="N236" i="24" s="1"/>
  <c r="O236" i="24"/>
  <c r="M237" i="24"/>
  <c r="N237" i="24"/>
  <c r="O237" i="24" s="1"/>
  <c r="M238" i="24"/>
  <c r="N238" i="24"/>
  <c r="O238" i="24" s="1"/>
  <c r="M239" i="24"/>
  <c r="N239" i="24" s="1"/>
  <c r="O239" i="24" s="1"/>
  <c r="M240" i="24"/>
  <c r="N240" i="24"/>
  <c r="O240" i="24"/>
  <c r="M241" i="24"/>
  <c r="N241" i="24" s="1"/>
  <c r="O241" i="24" s="1"/>
  <c r="M242" i="24"/>
  <c r="N242" i="24" s="1"/>
  <c r="O242" i="24" s="1"/>
  <c r="M243" i="24"/>
  <c r="N243" i="24"/>
  <c r="O243" i="24"/>
  <c r="M244" i="24"/>
  <c r="N244" i="24" s="1"/>
  <c r="O244" i="24"/>
  <c r="M245" i="24"/>
  <c r="N245" i="24" s="1"/>
  <c r="O245" i="24" s="1"/>
  <c r="M246" i="24"/>
  <c r="N246" i="24"/>
  <c r="O246" i="24" s="1"/>
  <c r="M247" i="24"/>
  <c r="N247" i="24" s="1"/>
  <c r="O247" i="24" s="1"/>
  <c r="M248" i="24"/>
  <c r="N248" i="24" s="1"/>
  <c r="O248" i="24" s="1"/>
  <c r="M249" i="24"/>
  <c r="N249" i="24"/>
  <c r="O249" i="24" s="1"/>
  <c r="M250" i="24"/>
  <c r="N250" i="24"/>
  <c r="O250" i="24" s="1"/>
  <c r="M251" i="24"/>
  <c r="N251" i="24" s="1"/>
  <c r="O251" i="24" s="1"/>
  <c r="M252" i="24"/>
  <c r="N252" i="24" s="1"/>
  <c r="O252" i="24" s="1"/>
  <c r="M253" i="24"/>
  <c r="N253" i="24"/>
  <c r="O253" i="24" s="1"/>
  <c r="M254" i="24"/>
  <c r="N254" i="24" s="1"/>
  <c r="O254" i="24" s="1"/>
  <c r="M255" i="24"/>
  <c r="N255" i="24" s="1"/>
  <c r="O255" i="24" s="1"/>
  <c r="M256" i="24"/>
  <c r="N256" i="24"/>
  <c r="O256" i="24" s="1"/>
  <c r="M257" i="24"/>
  <c r="N257" i="24"/>
  <c r="O257" i="24" s="1"/>
  <c r="M258" i="24"/>
  <c r="N258" i="24" s="1"/>
  <c r="O258" i="24" s="1"/>
  <c r="M259" i="24"/>
  <c r="N259" i="24" s="1"/>
  <c r="O259" i="24" s="1"/>
  <c r="M260" i="24"/>
  <c r="N260" i="24" s="1"/>
  <c r="O260" i="24"/>
  <c r="M261" i="24"/>
  <c r="N261" i="24"/>
  <c r="O261" i="24" s="1"/>
  <c r="M262" i="24"/>
  <c r="N262" i="24"/>
  <c r="O262" i="24" s="1"/>
  <c r="M263" i="24"/>
  <c r="N263" i="24" s="1"/>
  <c r="O263" i="24" s="1"/>
  <c r="M264" i="24"/>
  <c r="N264" i="24"/>
  <c r="O264" i="24" s="1"/>
  <c r="M265" i="24"/>
  <c r="N265" i="24"/>
  <c r="O265" i="24" s="1"/>
  <c r="M266" i="24"/>
  <c r="N266" i="24" s="1"/>
  <c r="O266" i="24" s="1"/>
  <c r="M267" i="24"/>
  <c r="N267" i="24"/>
  <c r="O267" i="24" s="1"/>
  <c r="M268" i="24"/>
  <c r="N268" i="24" s="1"/>
  <c r="O268" i="24"/>
  <c r="M269" i="24"/>
  <c r="N269" i="24" s="1"/>
  <c r="O269" i="24" s="1"/>
  <c r="M270" i="24"/>
  <c r="N270" i="24"/>
  <c r="O270" i="24" s="1"/>
  <c r="M271" i="24"/>
  <c r="N271" i="24" s="1"/>
  <c r="O271" i="24" s="1"/>
  <c r="M272" i="24"/>
  <c r="N272" i="24"/>
  <c r="O272" i="24" s="1"/>
  <c r="M273" i="24"/>
  <c r="N273" i="24"/>
  <c r="O273" i="24" s="1"/>
  <c r="M274" i="24"/>
  <c r="N274" i="24"/>
  <c r="O274" i="24" s="1"/>
  <c r="M275" i="24"/>
  <c r="N275" i="24" s="1"/>
  <c r="O275" i="24"/>
  <c r="M276" i="24"/>
  <c r="N276" i="24" s="1"/>
  <c r="O276" i="24" s="1"/>
  <c r="M277" i="24"/>
  <c r="N277" i="24"/>
  <c r="O277" i="24" s="1"/>
  <c r="M278" i="24"/>
  <c r="N278" i="24"/>
  <c r="O278" i="24" s="1"/>
  <c r="M279" i="24"/>
  <c r="N279" i="24"/>
  <c r="O279" i="24"/>
  <c r="M280" i="24"/>
  <c r="N280" i="24" s="1"/>
  <c r="O280" i="24" s="1"/>
  <c r="M281" i="24"/>
  <c r="N281" i="24"/>
  <c r="O281" i="24" s="1"/>
  <c r="M282" i="24"/>
  <c r="N282" i="24" s="1"/>
  <c r="O282" i="24" s="1"/>
  <c r="M283" i="24"/>
  <c r="N283" i="24" s="1"/>
  <c r="O283" i="24" s="1"/>
  <c r="M284" i="24"/>
  <c r="N284" i="24" s="1"/>
  <c r="O284" i="24" s="1"/>
  <c r="M285" i="24"/>
  <c r="N285" i="24"/>
  <c r="O285" i="24" s="1"/>
  <c r="M286" i="24"/>
  <c r="N286" i="24" s="1"/>
  <c r="O286" i="24" s="1"/>
  <c r="M287" i="24"/>
  <c r="N287" i="24"/>
  <c r="O287" i="24" s="1"/>
  <c r="M288" i="24"/>
  <c r="N288" i="24"/>
  <c r="O288" i="24"/>
  <c r="M289" i="24"/>
  <c r="N289" i="24"/>
  <c r="O289" i="24" s="1"/>
  <c r="M290" i="24"/>
  <c r="N290" i="24"/>
  <c r="O290" i="24" s="1"/>
  <c r="M291" i="24"/>
  <c r="N291" i="24" s="1"/>
  <c r="O291" i="24" s="1"/>
  <c r="M292" i="24"/>
  <c r="N292" i="24" s="1"/>
  <c r="O292" i="24"/>
  <c r="M293" i="24"/>
  <c r="N293" i="24" s="1"/>
  <c r="O293" i="24" s="1"/>
  <c r="M294" i="24"/>
  <c r="N294" i="24"/>
  <c r="O294" i="24" s="1"/>
  <c r="M295" i="24"/>
  <c r="N295" i="24"/>
  <c r="O295" i="24"/>
  <c r="M296" i="24"/>
  <c r="N296" i="24" s="1"/>
  <c r="O296" i="24" s="1"/>
  <c r="M297" i="24"/>
  <c r="N297" i="24"/>
  <c r="O297" i="24" s="1"/>
  <c r="M298" i="24"/>
  <c r="N298" i="24"/>
  <c r="O298" i="24" s="1"/>
  <c r="M299" i="24"/>
  <c r="N299" i="24"/>
  <c r="O299" i="24"/>
  <c r="M300" i="24"/>
  <c r="N300" i="24" s="1"/>
  <c r="O300" i="24" s="1"/>
  <c r="M301" i="24"/>
  <c r="N301" i="24" s="1"/>
  <c r="O301" i="24" s="1"/>
  <c r="M302" i="24"/>
  <c r="N302" i="24"/>
  <c r="O302" i="24" s="1"/>
  <c r="M303" i="24"/>
  <c r="N303" i="24" s="1"/>
  <c r="O303" i="24"/>
  <c r="M304" i="24"/>
  <c r="N304" i="24"/>
  <c r="O304" i="24" s="1"/>
  <c r="M305" i="24"/>
  <c r="N305" i="24"/>
  <c r="O305" i="24" s="1"/>
  <c r="M306" i="24"/>
  <c r="N306" i="24"/>
  <c r="O306" i="24" s="1"/>
  <c r="M307" i="24"/>
  <c r="N307" i="24"/>
  <c r="O307" i="24"/>
  <c r="M308" i="24"/>
  <c r="N308" i="24" s="1"/>
  <c r="O308" i="24"/>
  <c r="M309" i="24"/>
  <c r="N309" i="24"/>
  <c r="O309" i="24" s="1"/>
  <c r="M310" i="24"/>
  <c r="N310" i="24" s="1"/>
  <c r="O310" i="24" s="1"/>
  <c r="M311" i="24"/>
  <c r="N311" i="24"/>
  <c r="O311" i="24" s="1"/>
  <c r="M312" i="24"/>
  <c r="N312" i="24" s="1"/>
  <c r="O312" i="24" s="1"/>
  <c r="M313" i="24"/>
  <c r="N313" i="24"/>
  <c r="O313" i="24" s="1"/>
  <c r="M314" i="24"/>
  <c r="N314" i="24"/>
  <c r="O314" i="24" s="1"/>
  <c r="M315" i="24"/>
  <c r="N315" i="24" s="1"/>
  <c r="O315" i="24" s="1"/>
  <c r="M316" i="24"/>
  <c r="N316" i="24" s="1"/>
  <c r="O316" i="24"/>
  <c r="M317" i="24"/>
  <c r="N317" i="24" s="1"/>
  <c r="O317" i="24" s="1"/>
  <c r="M318" i="24"/>
  <c r="N318" i="24" s="1"/>
  <c r="O318" i="24" s="1"/>
  <c r="M319" i="24"/>
  <c r="N319" i="24"/>
  <c r="O319" i="24"/>
  <c r="M320" i="24"/>
  <c r="N320" i="24"/>
  <c r="O320" i="24" s="1"/>
  <c r="M321" i="24"/>
  <c r="N321" i="24" s="1"/>
  <c r="O321" i="24" s="1"/>
  <c r="M322" i="24"/>
  <c r="N322" i="24"/>
  <c r="O322" i="24" s="1"/>
  <c r="M323" i="24"/>
  <c r="N323" i="24" s="1"/>
  <c r="O323" i="24" s="1"/>
  <c r="M324" i="24"/>
  <c r="N324" i="24" s="1"/>
  <c r="O324" i="24" s="1"/>
  <c r="M325" i="24"/>
  <c r="N325" i="24"/>
  <c r="O325" i="24" s="1"/>
  <c r="M326" i="24"/>
  <c r="N326" i="24"/>
  <c r="O326" i="24" s="1"/>
  <c r="M327" i="24"/>
  <c r="N327" i="24" s="1"/>
  <c r="O327" i="24" s="1"/>
  <c r="M328" i="24"/>
  <c r="N328" i="24" s="1"/>
  <c r="O328" i="24"/>
  <c r="M329" i="24"/>
  <c r="N329" i="24" s="1"/>
  <c r="O329" i="24" s="1"/>
  <c r="M330" i="24"/>
  <c r="N330" i="24" s="1"/>
  <c r="O330" i="24" s="1"/>
  <c r="M331" i="24"/>
  <c r="N331" i="24" s="1"/>
  <c r="O331" i="24" s="1"/>
  <c r="M332" i="24"/>
  <c r="N332" i="24" s="1"/>
  <c r="O332" i="24"/>
  <c r="M333" i="24"/>
  <c r="N333" i="24"/>
  <c r="O333" i="24" s="1"/>
  <c r="M334" i="24"/>
  <c r="N334" i="24" s="1"/>
  <c r="O334" i="24" s="1"/>
  <c r="M335" i="24"/>
  <c r="N335" i="24" s="1"/>
  <c r="O335" i="24" s="1"/>
  <c r="M336" i="24"/>
  <c r="N336" i="24"/>
  <c r="O336" i="24" s="1"/>
  <c r="M337" i="24"/>
  <c r="N337" i="24"/>
  <c r="O337" i="24" s="1"/>
  <c r="M338" i="24"/>
  <c r="N338" i="24" s="1"/>
  <c r="O338" i="24" s="1"/>
  <c r="M339" i="24"/>
  <c r="N339" i="24" s="1"/>
  <c r="O339" i="24" s="1"/>
  <c r="M340" i="24"/>
  <c r="N340" i="24" s="1"/>
  <c r="O340" i="24" s="1"/>
  <c r="M341" i="24"/>
  <c r="N341" i="24" s="1"/>
  <c r="O341" i="24" s="1"/>
  <c r="M342" i="24"/>
  <c r="N342" i="24"/>
  <c r="O342" i="24" s="1"/>
  <c r="M343" i="24"/>
  <c r="N343" i="24"/>
  <c r="O343" i="24" s="1"/>
  <c r="M344" i="24"/>
  <c r="N344" i="24"/>
  <c r="O344" i="24"/>
  <c r="M345" i="24"/>
  <c r="N345" i="24"/>
  <c r="O345" i="24" s="1"/>
  <c r="M346" i="24"/>
  <c r="N346" i="24"/>
  <c r="O346" i="24" s="1"/>
  <c r="M347" i="24"/>
  <c r="N347" i="24" s="1"/>
  <c r="O347" i="24" s="1"/>
  <c r="M348" i="24"/>
  <c r="N348" i="24" s="1"/>
  <c r="O348" i="24"/>
  <c r="M349" i="24"/>
  <c r="N349" i="24" s="1"/>
  <c r="O349" i="24" s="1"/>
  <c r="M350" i="24"/>
  <c r="N350" i="24" s="1"/>
  <c r="O350" i="24" s="1"/>
  <c r="M351" i="24"/>
  <c r="N351" i="24" s="1"/>
  <c r="O351" i="24"/>
  <c r="M352" i="24"/>
  <c r="N352" i="24" s="1"/>
  <c r="O352" i="24" s="1"/>
  <c r="M353" i="24"/>
  <c r="N353" i="24" s="1"/>
  <c r="O353" i="24" s="1"/>
  <c r="M354" i="24"/>
  <c r="N354" i="24"/>
  <c r="O354" i="24" s="1"/>
  <c r="M355" i="24"/>
  <c r="N355" i="24"/>
  <c r="O355" i="24"/>
  <c r="M356" i="24"/>
  <c r="N356" i="24" s="1"/>
  <c r="O356" i="24"/>
  <c r="M357" i="24"/>
  <c r="N357" i="24"/>
  <c r="O357" i="24" s="1"/>
  <c r="M358" i="24"/>
  <c r="N358" i="24" s="1"/>
  <c r="O358" i="24" s="1"/>
  <c r="M359" i="24"/>
  <c r="N359" i="24" s="1"/>
  <c r="O359" i="24" s="1"/>
  <c r="M360" i="24"/>
  <c r="N360" i="24" s="1"/>
  <c r="O360" i="24" s="1"/>
  <c r="M361" i="24"/>
  <c r="N361" i="24"/>
  <c r="O361" i="24" s="1"/>
  <c r="M362" i="24"/>
  <c r="N362" i="24"/>
  <c r="O362" i="24" s="1"/>
  <c r="M363" i="24"/>
  <c r="N363" i="24" s="1"/>
  <c r="O363" i="24" s="1"/>
  <c r="M364" i="24"/>
  <c r="N364" i="24" s="1"/>
  <c r="O364" i="24" s="1"/>
  <c r="M365" i="24"/>
  <c r="N365" i="24"/>
  <c r="O365" i="24" s="1"/>
  <c r="M366" i="24"/>
  <c r="N366" i="24"/>
  <c r="O366" i="24" s="1"/>
  <c r="M367" i="24"/>
  <c r="N367" i="24"/>
  <c r="O367" i="24"/>
  <c r="M368" i="24"/>
  <c r="N368" i="24"/>
  <c r="O368" i="24" s="1"/>
  <c r="M369" i="24"/>
  <c r="N369" i="24"/>
  <c r="O369" i="24" s="1"/>
  <c r="M370" i="24"/>
  <c r="N370" i="24" s="1"/>
  <c r="O370" i="24" s="1"/>
  <c r="M371" i="24"/>
  <c r="N371" i="24"/>
  <c r="O371" i="24"/>
  <c r="M372" i="24"/>
  <c r="N372" i="24" s="1"/>
  <c r="O372" i="24" s="1"/>
  <c r="M373" i="24"/>
  <c r="N373" i="24"/>
  <c r="O373" i="24" s="1"/>
  <c r="M374" i="24"/>
  <c r="N374" i="24"/>
  <c r="O374" i="24" s="1"/>
  <c r="M375" i="24"/>
  <c r="N375" i="24"/>
  <c r="O375" i="24"/>
  <c r="M376" i="24"/>
  <c r="N376" i="24" s="1"/>
  <c r="O376" i="24"/>
  <c r="M377" i="24"/>
  <c r="N377" i="24" s="1"/>
  <c r="O377" i="24" s="1"/>
  <c r="M378" i="24"/>
  <c r="N378" i="24"/>
  <c r="O378" i="24" s="1"/>
  <c r="M379" i="24"/>
  <c r="N379" i="24"/>
  <c r="O379" i="24"/>
  <c r="M380" i="24"/>
  <c r="N380" i="24" s="1"/>
  <c r="O380" i="24"/>
  <c r="M381" i="24"/>
  <c r="N381" i="24"/>
  <c r="O381" i="24" s="1"/>
  <c r="M382" i="24"/>
  <c r="N382" i="24"/>
  <c r="O382" i="24" s="1"/>
  <c r="M383" i="24"/>
  <c r="N383" i="24" s="1"/>
  <c r="O383" i="24" s="1"/>
  <c r="M384" i="24"/>
  <c r="N384" i="24"/>
  <c r="O384" i="24" s="1"/>
  <c r="M385" i="24"/>
  <c r="N385" i="24" s="1"/>
  <c r="O385" i="24" s="1"/>
  <c r="M386" i="24"/>
  <c r="N386" i="24"/>
  <c r="O386" i="24" s="1"/>
  <c r="M387" i="24"/>
  <c r="N387" i="24" s="1"/>
  <c r="O387" i="24"/>
  <c r="M388" i="24"/>
  <c r="N388" i="24" s="1"/>
  <c r="O388" i="24"/>
  <c r="M389" i="24"/>
  <c r="N389" i="24"/>
  <c r="O389" i="24" s="1"/>
  <c r="M390" i="24"/>
  <c r="N390" i="24"/>
  <c r="O390" i="24" s="1"/>
  <c r="M391" i="24"/>
  <c r="N391" i="24"/>
  <c r="O391" i="24" s="1"/>
  <c r="M392" i="24"/>
  <c r="N392" i="24"/>
  <c r="O392" i="24" s="1"/>
  <c r="M393" i="24"/>
  <c r="N393" i="24"/>
  <c r="O393" i="24" s="1"/>
  <c r="M394" i="24"/>
  <c r="N394" i="24" s="1"/>
  <c r="O394" i="24" s="1"/>
  <c r="M395" i="24"/>
  <c r="N395" i="24"/>
  <c r="O395" i="24" s="1"/>
  <c r="M396" i="24"/>
  <c r="N396" i="24" s="1"/>
  <c r="O396" i="24" s="1"/>
  <c r="M397" i="24"/>
  <c r="N397" i="24"/>
  <c r="O397" i="24" s="1"/>
  <c r="M398" i="24"/>
  <c r="N398" i="24" s="1"/>
  <c r="O398" i="24" s="1"/>
  <c r="M399" i="24"/>
  <c r="N399" i="24" s="1"/>
  <c r="O399" i="24" s="1"/>
  <c r="M400" i="24"/>
  <c r="N400" i="24"/>
  <c r="O400" i="24" s="1"/>
  <c r="M401" i="24"/>
  <c r="N401" i="24" s="1"/>
  <c r="O401" i="24" s="1"/>
  <c r="M402" i="24"/>
  <c r="N402" i="24" s="1"/>
  <c r="O402" i="24" s="1"/>
  <c r="M403" i="24"/>
  <c r="N403" i="24"/>
  <c r="O403" i="24"/>
  <c r="M404" i="24"/>
  <c r="N404" i="24" s="1"/>
  <c r="O404" i="24"/>
  <c r="M405" i="24"/>
  <c r="N405" i="24"/>
  <c r="O405" i="24" s="1"/>
  <c r="M406" i="24"/>
  <c r="N406" i="24" s="1"/>
  <c r="O406" i="24" s="1"/>
  <c r="M407" i="24"/>
  <c r="N407" i="24" s="1"/>
  <c r="O407" i="24" s="1"/>
  <c r="M408" i="24"/>
  <c r="N408" i="24" s="1"/>
  <c r="O408" i="24" s="1"/>
  <c r="M409" i="24"/>
  <c r="N409" i="24"/>
  <c r="O409" i="24" s="1"/>
  <c r="M410" i="24"/>
  <c r="N410" i="24"/>
  <c r="O410" i="24" s="1"/>
  <c r="M411" i="24"/>
  <c r="N411" i="24" s="1"/>
  <c r="O411" i="24" s="1"/>
  <c r="M412" i="24"/>
  <c r="N412" i="24" s="1"/>
  <c r="O412" i="24" s="1"/>
  <c r="M413" i="24"/>
  <c r="N413" i="24"/>
  <c r="O413" i="24" s="1"/>
  <c r="F413" i="24"/>
  <c r="F412" i="24"/>
  <c r="F411" i="24"/>
  <c r="F410" i="24"/>
  <c r="F409" i="24"/>
  <c r="F408" i="24"/>
  <c r="F407" i="24"/>
  <c r="F406" i="24"/>
  <c r="F404" i="24"/>
  <c r="F405" i="24"/>
  <c r="F403" i="24"/>
  <c r="F402" i="24"/>
  <c r="F401" i="24"/>
  <c r="F400" i="24"/>
  <c r="F399" i="24"/>
  <c r="F398" i="24"/>
  <c r="F397" i="24"/>
  <c r="F396" i="24"/>
  <c r="F395" i="24"/>
  <c r="F394" i="24"/>
  <c r="F393" i="24"/>
  <c r="F392" i="24"/>
  <c r="F391" i="24"/>
  <c r="F390" i="24"/>
  <c r="F389" i="24"/>
  <c r="F388" i="24"/>
  <c r="F387" i="24"/>
  <c r="F386" i="24"/>
  <c r="F385" i="24"/>
  <c r="F384" i="24"/>
  <c r="F383" i="24"/>
  <c r="F382" i="24"/>
  <c r="F381" i="24"/>
  <c r="F380" i="24"/>
  <c r="F379" i="24"/>
  <c r="F378" i="24"/>
  <c r="F377" i="24"/>
  <c r="F370" i="24"/>
  <c r="F369" i="24"/>
  <c r="F368" i="24"/>
  <c r="F367" i="24"/>
  <c r="F366" i="24"/>
  <c r="F365" i="24"/>
  <c r="F364" i="24"/>
  <c r="F363" i="24"/>
  <c r="F362" i="24"/>
  <c r="F361" i="24"/>
  <c r="F360" i="24"/>
  <c r="F359" i="24"/>
  <c r="F358" i="24"/>
  <c r="F376" i="24"/>
  <c r="F375" i="24"/>
  <c r="F374" i="24"/>
  <c r="F373" i="24"/>
  <c r="F372" i="24"/>
  <c r="F371" i="24"/>
  <c r="F357" i="24"/>
  <c r="F356" i="24"/>
  <c r="F355" i="24"/>
  <c r="F354" i="24"/>
  <c r="F353" i="24"/>
  <c r="F352" i="24"/>
  <c r="F351" i="24"/>
  <c r="F350" i="24"/>
  <c r="F349" i="24"/>
  <c r="F348" i="24"/>
  <c r="F347" i="24"/>
  <c r="F346" i="24"/>
  <c r="F345" i="24"/>
  <c r="F344" i="24"/>
  <c r="F343" i="24"/>
  <c r="F342" i="24"/>
  <c r="F341" i="24"/>
  <c r="F340" i="24"/>
  <c r="F339" i="24"/>
  <c r="F338" i="24"/>
  <c r="F337" i="24"/>
  <c r="F336" i="24"/>
  <c r="F335" i="24"/>
  <c r="F334" i="24"/>
  <c r="F331" i="24"/>
  <c r="F330" i="24"/>
  <c r="F332" i="24"/>
  <c r="F333" i="24"/>
  <c r="F329" i="24"/>
  <c r="F328" i="24"/>
  <c r="F327" i="24"/>
  <c r="F326" i="24"/>
  <c r="F325" i="24"/>
  <c r="F324" i="24"/>
  <c r="F323" i="24"/>
  <c r="F322" i="24"/>
  <c r="F321" i="24"/>
  <c r="F320" i="24"/>
  <c r="F319" i="24"/>
  <c r="F318" i="24"/>
  <c r="F317" i="24"/>
  <c r="F316" i="24"/>
  <c r="F315" i="24"/>
  <c r="F314" i="24"/>
  <c r="F313" i="24"/>
  <c r="F312" i="24"/>
  <c r="F311" i="24"/>
  <c r="F309" i="24"/>
  <c r="F310" i="24"/>
  <c r="F308" i="24"/>
  <c r="F307" i="24"/>
  <c r="F306" i="24"/>
  <c r="F305" i="24"/>
  <c r="F304" i="24"/>
  <c r="F303" i="24"/>
  <c r="F302" i="24"/>
  <c r="F301" i="24"/>
  <c r="F300" i="24"/>
  <c r="F299" i="24"/>
  <c r="F298" i="24"/>
  <c r="F297" i="24"/>
  <c r="F296" i="24"/>
  <c r="F295" i="24"/>
  <c r="F294" i="24"/>
  <c r="F293" i="24"/>
  <c r="F292" i="24"/>
  <c r="F291" i="24"/>
  <c r="F290" i="24"/>
  <c r="F289" i="24"/>
  <c r="F288" i="24"/>
  <c r="F287" i="24"/>
  <c r="F286" i="24"/>
  <c r="F285" i="24"/>
  <c r="F284" i="24"/>
  <c r="F283" i="24"/>
  <c r="F282" i="24"/>
  <c r="F281" i="24"/>
  <c r="F280" i="24"/>
  <c r="F279" i="24"/>
  <c r="F278" i="24"/>
  <c r="F277" i="24"/>
  <c r="F276" i="24"/>
  <c r="F275" i="24"/>
  <c r="F274" i="24"/>
  <c r="F273" i="24"/>
  <c r="F272" i="24"/>
  <c r="F271" i="24"/>
  <c r="F270" i="24"/>
  <c r="F269" i="24"/>
  <c r="F268" i="24"/>
  <c r="F267" i="24"/>
  <c r="F266" i="24"/>
  <c r="F265" i="24"/>
  <c r="F264" i="24"/>
  <c r="F263" i="24"/>
  <c r="F262" i="24"/>
  <c r="F261" i="24"/>
  <c r="F260" i="24"/>
  <c r="F259" i="24"/>
  <c r="F258" i="24"/>
  <c r="F257" i="24"/>
  <c r="F256" i="24"/>
  <c r="F255" i="24"/>
  <c r="F254" i="24"/>
  <c r="F253" i="24"/>
  <c r="F252" i="24"/>
  <c r="F251" i="24"/>
  <c r="F250" i="24"/>
  <c r="F249" i="24"/>
  <c r="F248" i="24"/>
  <c r="F247" i="24"/>
  <c r="F246" i="24"/>
  <c r="F245" i="24"/>
  <c r="F244" i="24"/>
  <c r="F243" i="24"/>
  <c r="F242" i="24"/>
  <c r="F241" i="24"/>
  <c r="F240" i="24"/>
  <c r="F239" i="24"/>
  <c r="F238" i="24"/>
  <c r="F237" i="24"/>
  <c r="F236" i="24"/>
  <c r="F235" i="24"/>
  <c r="F234" i="24"/>
  <c r="F233" i="24"/>
  <c r="F232" i="24"/>
  <c r="F231" i="24"/>
  <c r="F230" i="24"/>
  <c r="F229" i="24"/>
  <c r="F228" i="24"/>
  <c r="F227" i="24"/>
  <c r="F226" i="24"/>
  <c r="F225" i="24"/>
  <c r="F224" i="24"/>
  <c r="F223" i="24"/>
  <c r="F222" i="24"/>
  <c r="F221" i="24"/>
  <c r="F220" i="24"/>
  <c r="F219" i="24"/>
  <c r="F218" i="24"/>
  <c r="F217" i="24"/>
  <c r="F216" i="24"/>
  <c r="F215" i="24"/>
  <c r="F214" i="24"/>
  <c r="F213" i="24"/>
  <c r="F212" i="24"/>
  <c r="F211" i="24"/>
  <c r="F210" i="24"/>
  <c r="F209" i="24"/>
  <c r="F208" i="24"/>
  <c r="F207" i="24"/>
  <c r="F206" i="24"/>
  <c r="F205" i="24"/>
  <c r="F204" i="24"/>
  <c r="F203" i="24"/>
  <c r="F202" i="24"/>
  <c r="F201" i="24"/>
  <c r="F200" i="24"/>
  <c r="F199" i="24"/>
  <c r="F198" i="24"/>
  <c r="F197" i="24"/>
  <c r="F196" i="24"/>
  <c r="F195" i="24"/>
  <c r="F194" i="24"/>
  <c r="F193" i="24"/>
  <c r="F191" i="24"/>
  <c r="F190" i="24"/>
  <c r="F189" i="24"/>
  <c r="F188" i="24"/>
  <c r="F187" i="24"/>
  <c r="F186" i="24"/>
  <c r="F185" i="24"/>
  <c r="F184" i="24"/>
  <c r="F183" i="24"/>
  <c r="F182" i="24"/>
  <c r="F181" i="24"/>
  <c r="F180" i="24"/>
  <c r="F179" i="24"/>
  <c r="F178" i="24"/>
  <c r="F177" i="24"/>
  <c r="F176" i="24"/>
  <c r="F175" i="24"/>
  <c r="F174" i="24"/>
  <c r="F173" i="24"/>
  <c r="F172" i="24"/>
  <c r="F171" i="24"/>
  <c r="F170" i="24"/>
  <c r="F169" i="24"/>
  <c r="F168" i="24"/>
  <c r="F167" i="24"/>
  <c r="F166" i="24"/>
  <c r="F165" i="24"/>
  <c r="F164" i="24"/>
  <c r="F163" i="24"/>
  <c r="F162" i="24"/>
  <c r="F161" i="24"/>
  <c r="F160" i="24"/>
  <c r="F159" i="24"/>
  <c r="F158" i="24"/>
  <c r="F157" i="24"/>
  <c r="F156" i="24"/>
  <c r="F155" i="24"/>
  <c r="F154" i="24"/>
  <c r="F153" i="24"/>
  <c r="F152" i="24"/>
  <c r="F151" i="24"/>
  <c r="F150" i="24"/>
  <c r="F149" i="24"/>
  <c r="F148" i="24"/>
  <c r="F147" i="24"/>
  <c r="F146" i="24"/>
  <c r="F145" i="24"/>
  <c r="F144" i="24"/>
  <c r="F143" i="24"/>
  <c r="F142" i="24"/>
  <c r="F141" i="24"/>
  <c r="F140" i="24"/>
  <c r="F139" i="24"/>
  <c r="F138" i="24"/>
  <c r="F137" i="24"/>
  <c r="F136" i="24"/>
  <c r="F135" i="24"/>
  <c r="F134" i="24"/>
  <c r="F133" i="24"/>
  <c r="F132" i="24"/>
  <c r="F131" i="24"/>
  <c r="F130" i="24"/>
  <c r="F129" i="24"/>
  <c r="F128" i="24"/>
  <c r="F127" i="24"/>
  <c r="F126" i="24"/>
  <c r="F125" i="24"/>
  <c r="F124" i="24"/>
  <c r="F123" i="24"/>
  <c r="F122" i="24"/>
  <c r="F121" i="24"/>
  <c r="F120" i="24"/>
  <c r="F119" i="24"/>
  <c r="F118" i="24"/>
  <c r="F117" i="24"/>
  <c r="F116" i="24"/>
  <c r="F115" i="24"/>
  <c r="F114" i="24"/>
  <c r="F112" i="24"/>
  <c r="F111" i="24"/>
  <c r="F110" i="24"/>
  <c r="F109" i="24"/>
  <c r="F108" i="24"/>
  <c r="F107" i="24"/>
  <c r="F106" i="24"/>
  <c r="F105" i="24"/>
  <c r="F104" i="24"/>
  <c r="F103" i="24"/>
  <c r="F101" i="24"/>
  <c r="F100" i="24"/>
  <c r="F99" i="24"/>
  <c r="F98" i="24"/>
  <c r="F97" i="24"/>
  <c r="F96" i="24"/>
  <c r="F95" i="24"/>
  <c r="F94" i="24"/>
  <c r="F92" i="24"/>
  <c r="F91" i="24"/>
  <c r="F90" i="24"/>
  <c r="F89" i="24"/>
  <c r="F88" i="24"/>
  <c r="F87" i="24"/>
  <c r="F86" i="24"/>
  <c r="F85" i="24"/>
  <c r="F84" i="24"/>
  <c r="F83" i="24"/>
  <c r="F82" i="24"/>
  <c r="F81" i="24"/>
  <c r="F80" i="24"/>
  <c r="F79" i="24"/>
  <c r="F78" i="24"/>
  <c r="F77" i="24"/>
  <c r="F76" i="24"/>
  <c r="F75" i="24"/>
  <c r="F74" i="24"/>
  <c r="F73" i="24"/>
  <c r="F72" i="24"/>
  <c r="F71" i="24"/>
  <c r="F70" i="24"/>
  <c r="F69" i="24"/>
  <c r="F68" i="24"/>
  <c r="F67" i="24"/>
  <c r="F66" i="24"/>
  <c r="F65" i="24"/>
  <c r="F64" i="24"/>
  <c r="F63" i="24"/>
  <c r="F62" i="24"/>
  <c r="F61" i="24"/>
  <c r="F60" i="24"/>
  <c r="F59" i="24"/>
  <c r="F58" i="24"/>
  <c r="F57" i="24"/>
  <c r="F56" i="24"/>
  <c r="F55" i="24"/>
  <c r="F54" i="24"/>
  <c r="F53" i="24"/>
  <c r="F52" i="24"/>
  <c r="F51" i="24"/>
  <c r="F50" i="24"/>
  <c r="F49"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8" i="24"/>
  <c r="F9" i="24"/>
  <c r="F10" i="24"/>
  <c r="F11" i="24"/>
  <c r="F12" i="24"/>
  <c r="F13" i="24"/>
  <c r="F14" i="24"/>
  <c r="F7" i="24"/>
  <c r="F6" i="24"/>
  <c r="E192" i="24"/>
  <c r="F192" i="24" s="1"/>
  <c r="E113" i="24"/>
  <c r="F113" i="24"/>
  <c r="E102" i="24"/>
  <c r="M94" i="25"/>
  <c r="N94" i="25" s="1"/>
  <c r="O94" i="25" s="1"/>
  <c r="M8" i="25"/>
  <c r="N8" i="25" s="1"/>
  <c r="O8" i="25" s="1"/>
  <c r="M9" i="25"/>
  <c r="N9" i="25"/>
  <c r="O9" i="25" s="1"/>
  <c r="M10" i="25"/>
  <c r="N10" i="25" s="1"/>
  <c r="O10" i="25" s="1"/>
  <c r="M11" i="25"/>
  <c r="N11" i="25" s="1"/>
  <c r="O11" i="25" s="1"/>
  <c r="M12" i="25"/>
  <c r="N12" i="25" s="1"/>
  <c r="O12" i="25" s="1"/>
  <c r="M13" i="25"/>
  <c r="N13" i="25" s="1"/>
  <c r="O13" i="25" s="1"/>
  <c r="M14" i="25"/>
  <c r="N14" i="25" s="1"/>
  <c r="O14" i="25" s="1"/>
  <c r="M15" i="25"/>
  <c r="N15" i="25" s="1"/>
  <c r="O15" i="25" s="1"/>
  <c r="M16" i="25"/>
  <c r="N16" i="25"/>
  <c r="O16" i="25" s="1"/>
  <c r="M17" i="25"/>
  <c r="N17" i="25" s="1"/>
  <c r="O17" i="25" s="1"/>
  <c r="M18" i="25"/>
  <c r="N18" i="25" s="1"/>
  <c r="O18" i="25" s="1"/>
  <c r="M19" i="25"/>
  <c r="N19" i="25" s="1"/>
  <c r="O19" i="25" s="1"/>
  <c r="M20" i="25"/>
  <c r="N20" i="25" s="1"/>
  <c r="O20" i="25" s="1"/>
  <c r="M21" i="25"/>
  <c r="N21" i="25" s="1"/>
  <c r="O21" i="25" s="1"/>
  <c r="M22" i="25"/>
  <c r="N22" i="25" s="1"/>
  <c r="O22" i="25" s="1"/>
  <c r="M23" i="25"/>
  <c r="N23" i="25" s="1"/>
  <c r="O23" i="25" s="1"/>
  <c r="M24" i="25"/>
  <c r="N24" i="25" s="1"/>
  <c r="O24" i="25" s="1"/>
  <c r="M25" i="25"/>
  <c r="N25" i="25" s="1"/>
  <c r="O25" i="25" s="1"/>
  <c r="M26" i="25"/>
  <c r="N26" i="25" s="1"/>
  <c r="O26" i="25" s="1"/>
  <c r="M27" i="25"/>
  <c r="N27" i="25" s="1"/>
  <c r="O27" i="25" s="1"/>
  <c r="M28" i="25"/>
  <c r="N28" i="25"/>
  <c r="O28" i="25" s="1"/>
  <c r="M29" i="25"/>
  <c r="N29" i="25"/>
  <c r="O29" i="25" s="1"/>
  <c r="M30" i="25"/>
  <c r="N30" i="25" s="1"/>
  <c r="O30" i="25" s="1"/>
  <c r="M31" i="25"/>
  <c r="N31" i="25" s="1"/>
  <c r="O31" i="25" s="1"/>
  <c r="M32" i="25"/>
  <c r="N32" i="25" s="1"/>
  <c r="O32" i="25" s="1"/>
  <c r="M33" i="25"/>
  <c r="N33" i="25" s="1"/>
  <c r="O33" i="25" s="1"/>
  <c r="M34" i="25"/>
  <c r="N34" i="25" s="1"/>
  <c r="O34" i="25" s="1"/>
  <c r="M35" i="25"/>
  <c r="N35" i="25" s="1"/>
  <c r="O35" i="25" s="1"/>
  <c r="M36" i="25"/>
  <c r="N36" i="25" s="1"/>
  <c r="O36" i="25" s="1"/>
  <c r="M37" i="25"/>
  <c r="N37" i="25"/>
  <c r="O37" i="25" s="1"/>
  <c r="M38" i="25"/>
  <c r="N38" i="25" s="1"/>
  <c r="O38" i="25" s="1"/>
  <c r="M39" i="25"/>
  <c r="N39" i="25" s="1"/>
  <c r="O39" i="25" s="1"/>
  <c r="M40" i="25"/>
  <c r="N40" i="25" s="1"/>
  <c r="O40" i="25" s="1"/>
  <c r="M41" i="25"/>
  <c r="N41" i="25"/>
  <c r="O41" i="25" s="1"/>
  <c r="M42" i="25"/>
  <c r="N42" i="25" s="1"/>
  <c r="O42" i="25" s="1"/>
  <c r="M43" i="25"/>
  <c r="N43" i="25" s="1"/>
  <c r="O43" i="25" s="1"/>
  <c r="M44" i="25"/>
  <c r="N44" i="25"/>
  <c r="O44" i="25" s="1"/>
  <c r="M45" i="25"/>
  <c r="N45" i="25"/>
  <c r="O45" i="25" s="1"/>
  <c r="M46" i="25"/>
  <c r="N46" i="25" s="1"/>
  <c r="O46" i="25" s="1"/>
  <c r="M47" i="25"/>
  <c r="N47" i="25" s="1"/>
  <c r="O47" i="25" s="1"/>
  <c r="M48" i="25"/>
  <c r="N48" i="25" s="1"/>
  <c r="O48" i="25" s="1"/>
  <c r="M49" i="25"/>
  <c r="N49" i="25" s="1"/>
  <c r="O49" i="25" s="1"/>
  <c r="M50" i="25"/>
  <c r="N50" i="25" s="1"/>
  <c r="O50" i="25" s="1"/>
  <c r="M51" i="25"/>
  <c r="N51" i="25" s="1"/>
  <c r="O51" i="25" s="1"/>
  <c r="M52" i="25"/>
  <c r="N52" i="25" s="1"/>
  <c r="O52" i="25" s="1"/>
  <c r="M53" i="25"/>
  <c r="N53" i="25"/>
  <c r="O53" i="25" s="1"/>
  <c r="M54" i="25"/>
  <c r="N54" i="25" s="1"/>
  <c r="O54" i="25" s="1"/>
  <c r="M55" i="25"/>
  <c r="N55" i="25" s="1"/>
  <c r="O55" i="25" s="1"/>
  <c r="M56" i="25"/>
  <c r="N56" i="25"/>
  <c r="O56" i="25" s="1"/>
  <c r="M57" i="25"/>
  <c r="N57" i="25"/>
  <c r="O57" i="25" s="1"/>
  <c r="M58" i="25"/>
  <c r="N58" i="25" s="1"/>
  <c r="O58" i="25" s="1"/>
  <c r="M59" i="25"/>
  <c r="N59" i="25" s="1"/>
  <c r="O59" i="25" s="1"/>
  <c r="M60" i="25"/>
  <c r="N60" i="25"/>
  <c r="O60" i="25" s="1"/>
  <c r="M61" i="25"/>
  <c r="N61" i="25" s="1"/>
  <c r="O61" i="25" s="1"/>
  <c r="M62" i="25"/>
  <c r="N62" i="25" s="1"/>
  <c r="O62" i="25" s="1"/>
  <c r="M63" i="25"/>
  <c r="N63" i="25" s="1"/>
  <c r="O63" i="25" s="1"/>
  <c r="M64" i="25"/>
  <c r="N64" i="25" s="1"/>
  <c r="O64" i="25" s="1"/>
  <c r="M65" i="25"/>
  <c r="N65" i="25" s="1"/>
  <c r="O65" i="25" s="1"/>
  <c r="M66" i="25"/>
  <c r="N66" i="25" s="1"/>
  <c r="O66" i="25" s="1"/>
  <c r="M67" i="25"/>
  <c r="N67" i="25" s="1"/>
  <c r="O67" i="25" s="1"/>
  <c r="M68" i="25"/>
  <c r="N68" i="25" s="1"/>
  <c r="O68" i="25" s="1"/>
  <c r="M69" i="25"/>
  <c r="N69" i="25"/>
  <c r="O69" i="25" s="1"/>
  <c r="M70" i="25"/>
  <c r="N70" i="25" s="1"/>
  <c r="O70" i="25" s="1"/>
  <c r="M71" i="25"/>
  <c r="N71" i="25" s="1"/>
  <c r="O71" i="25" s="1"/>
  <c r="M73" i="25"/>
  <c r="N73" i="25" s="1"/>
  <c r="O73" i="25" s="1"/>
  <c r="M72" i="25"/>
  <c r="N72" i="25"/>
  <c r="O72" i="25" s="1"/>
  <c r="M74" i="25"/>
  <c r="N74" i="25" s="1"/>
  <c r="O74" i="25" s="1"/>
  <c r="M75" i="25"/>
  <c r="N75" i="25" s="1"/>
  <c r="O75" i="25" s="1"/>
  <c r="M76" i="25"/>
  <c r="N76" i="25"/>
  <c r="O76" i="25" s="1"/>
  <c r="M77" i="25"/>
  <c r="N77" i="25" s="1"/>
  <c r="O77" i="25" s="1"/>
  <c r="M78" i="25"/>
  <c r="N78" i="25" s="1"/>
  <c r="O78" i="25" s="1"/>
  <c r="M79" i="25"/>
  <c r="N79" i="25" s="1"/>
  <c r="O79" i="25" s="1"/>
  <c r="M80" i="25"/>
  <c r="N80" i="25" s="1"/>
  <c r="O80" i="25" s="1"/>
  <c r="M81" i="25"/>
  <c r="N81" i="25" s="1"/>
  <c r="O81" i="25" s="1"/>
  <c r="M82" i="25"/>
  <c r="N82" i="25" s="1"/>
  <c r="O82" i="25" s="1"/>
  <c r="M83" i="25"/>
  <c r="N83" i="25" s="1"/>
  <c r="O83" i="25" s="1"/>
  <c r="M84" i="25"/>
  <c r="N84" i="25"/>
  <c r="O84" i="25" s="1"/>
  <c r="M85" i="25"/>
  <c r="N85" i="25"/>
  <c r="O85" i="25" s="1"/>
  <c r="M86" i="25"/>
  <c r="N86" i="25" s="1"/>
  <c r="O86" i="25" s="1"/>
  <c r="M87" i="25"/>
  <c r="N87" i="25" s="1"/>
  <c r="O87" i="25" s="1"/>
  <c r="M88" i="25"/>
  <c r="N88" i="25"/>
  <c r="O88" i="25" s="1"/>
  <c r="M89" i="25"/>
  <c r="N89" i="25"/>
  <c r="O89" i="25" s="1"/>
  <c r="M90" i="25"/>
  <c r="N90" i="25" s="1"/>
  <c r="O90" i="25" s="1"/>
  <c r="M91" i="25"/>
  <c r="N91" i="25" s="1"/>
  <c r="O91" i="25" s="1"/>
  <c r="M92" i="25"/>
  <c r="N92" i="25" s="1"/>
  <c r="O92" i="25" s="1"/>
  <c r="M93" i="25"/>
  <c r="N93" i="25" s="1"/>
  <c r="O93" i="25" s="1"/>
  <c r="M95" i="25"/>
  <c r="N95" i="25" s="1"/>
  <c r="O95" i="25" s="1"/>
  <c r="M96" i="25"/>
  <c r="N96" i="25" s="1"/>
  <c r="O96" i="25" s="1"/>
  <c r="M97" i="25"/>
  <c r="N97" i="25" s="1"/>
  <c r="O97" i="25" s="1"/>
  <c r="M98" i="25"/>
  <c r="N98" i="25" s="1"/>
  <c r="O98" i="25" s="1"/>
  <c r="M99" i="25"/>
  <c r="N99" i="25" s="1"/>
  <c r="O99" i="25" s="1"/>
  <c r="M100" i="25"/>
  <c r="N100" i="25" s="1"/>
  <c r="O100" i="25" s="1"/>
  <c r="M101" i="25"/>
  <c r="N101" i="25" s="1"/>
  <c r="O101" i="25" s="1"/>
  <c r="M102" i="25"/>
  <c r="N102" i="25"/>
  <c r="O102" i="25" s="1"/>
  <c r="M103" i="25"/>
  <c r="N103" i="25" s="1"/>
  <c r="O103" i="25" s="1"/>
  <c r="M104" i="25"/>
  <c r="N104" i="25" s="1"/>
  <c r="O104" i="25" s="1"/>
  <c r="M105" i="25"/>
  <c r="N105" i="25"/>
  <c r="O105" i="25" s="1"/>
  <c r="M106" i="25"/>
  <c r="N106" i="25" s="1"/>
  <c r="O106" i="25" s="1"/>
  <c r="M107" i="25"/>
  <c r="N107" i="25" s="1"/>
  <c r="O107" i="25" s="1"/>
  <c r="M108" i="25"/>
  <c r="N108" i="25" s="1"/>
  <c r="O108" i="25" s="1"/>
  <c r="M109" i="25"/>
  <c r="N109" i="25" s="1"/>
  <c r="O109" i="25" s="1"/>
  <c r="M110" i="25"/>
  <c r="N110" i="25" s="1"/>
  <c r="O110" i="25" s="1"/>
  <c r="M111" i="25"/>
  <c r="N111" i="25" s="1"/>
  <c r="O111" i="25" s="1"/>
  <c r="M112" i="25"/>
  <c r="N112" i="25" s="1"/>
  <c r="O112" i="25" s="1"/>
  <c r="M113" i="25"/>
  <c r="N113" i="25"/>
  <c r="O113" i="25" s="1"/>
  <c r="M114" i="25"/>
  <c r="N114" i="25" s="1"/>
  <c r="O114" i="25" s="1"/>
  <c r="M115" i="25"/>
  <c r="N115" i="25" s="1"/>
  <c r="O115" i="25" s="1"/>
  <c r="M116" i="25"/>
  <c r="N116" i="25" s="1"/>
  <c r="O116" i="25" s="1"/>
  <c r="M117" i="25"/>
  <c r="N117" i="25"/>
  <c r="O117" i="25" s="1"/>
  <c r="M118" i="25"/>
  <c r="N118" i="25" s="1"/>
  <c r="O118" i="25" s="1"/>
  <c r="M119" i="25"/>
  <c r="N119" i="25" s="1"/>
  <c r="O119" i="25" s="1"/>
  <c r="M120" i="25"/>
  <c r="N120" i="25" s="1"/>
  <c r="O120" i="25" s="1"/>
  <c r="M121" i="25"/>
  <c r="N121" i="25"/>
  <c r="O121" i="25" s="1"/>
  <c r="M122" i="25"/>
  <c r="N122" i="25" s="1"/>
  <c r="O122" i="25" s="1"/>
  <c r="M123" i="25"/>
  <c r="N123" i="25" s="1"/>
  <c r="O123" i="25" s="1"/>
  <c r="M124" i="25"/>
  <c r="N124" i="25" s="1"/>
  <c r="O124" i="25" s="1"/>
  <c r="M125" i="25"/>
  <c r="N125" i="25"/>
  <c r="O125" i="25" s="1"/>
  <c r="M126" i="25"/>
  <c r="N126" i="25" s="1"/>
  <c r="O126" i="25" s="1"/>
  <c r="M127" i="25"/>
  <c r="N127" i="25" s="1"/>
  <c r="O127" i="25" s="1"/>
  <c r="M128" i="25"/>
  <c r="N128" i="25" s="1"/>
  <c r="O128" i="25" s="1"/>
  <c r="M129" i="25"/>
  <c r="N129" i="25"/>
  <c r="O129" i="25" s="1"/>
  <c r="M130" i="25"/>
  <c r="N130" i="25" s="1"/>
  <c r="O130" i="25" s="1"/>
  <c r="M131" i="25"/>
  <c r="N131" i="25" s="1"/>
  <c r="O131" i="25" s="1"/>
  <c r="M132" i="25"/>
  <c r="N132" i="25" s="1"/>
  <c r="O132" i="25" s="1"/>
  <c r="M133" i="25"/>
  <c r="N133" i="25" s="1"/>
  <c r="O133" i="25" s="1"/>
  <c r="M134" i="25"/>
  <c r="N134" i="25" s="1"/>
  <c r="O134" i="25" s="1"/>
  <c r="M135" i="25"/>
  <c r="N135" i="25" s="1"/>
  <c r="O135" i="25" s="1"/>
  <c r="M136" i="25"/>
  <c r="N136" i="25" s="1"/>
  <c r="O136" i="25" s="1"/>
  <c r="M137" i="25"/>
  <c r="N137" i="25"/>
  <c r="O137" i="25" s="1"/>
  <c r="M138" i="25"/>
  <c r="N138" i="25" s="1"/>
  <c r="O138" i="25" s="1"/>
  <c r="M139" i="25"/>
  <c r="N139" i="25" s="1"/>
  <c r="O139" i="25" s="1"/>
  <c r="M140" i="25"/>
  <c r="N140" i="25" s="1"/>
  <c r="O140" i="25" s="1"/>
  <c r="M141" i="25"/>
  <c r="N141" i="25"/>
  <c r="O141" i="25" s="1"/>
  <c r="M142" i="25"/>
  <c r="N142" i="25"/>
  <c r="O142" i="25" s="1"/>
  <c r="M143" i="25"/>
  <c r="N143" i="25" s="1"/>
  <c r="O143" i="25" s="1"/>
  <c r="M144" i="25"/>
  <c r="N144" i="25" s="1"/>
  <c r="O144" i="25" s="1"/>
  <c r="M145" i="25"/>
  <c r="N145" i="25" s="1"/>
  <c r="O145" i="25" s="1"/>
  <c r="M146" i="25"/>
  <c r="N146" i="25" s="1"/>
  <c r="O146" i="25" s="1"/>
  <c r="M147" i="25"/>
  <c r="N147" i="25" s="1"/>
  <c r="O147" i="25" s="1"/>
  <c r="M148" i="25"/>
  <c r="N148" i="25" s="1"/>
  <c r="O148" i="25" s="1"/>
  <c r="M149" i="25"/>
  <c r="N149" i="25"/>
  <c r="O149" i="25" s="1"/>
  <c r="M150" i="25"/>
  <c r="N150" i="25" s="1"/>
  <c r="O150" i="25" s="1"/>
  <c r="M151" i="25"/>
  <c r="N151" i="25" s="1"/>
  <c r="O151" i="25" s="1"/>
  <c r="M152" i="25"/>
  <c r="N152" i="25" s="1"/>
  <c r="O152" i="25" s="1"/>
  <c r="M153" i="25"/>
  <c r="N153" i="25"/>
  <c r="O153" i="25" s="1"/>
  <c r="M154" i="25"/>
  <c r="N154" i="25"/>
  <c r="O154" i="25" s="1"/>
  <c r="M155" i="25"/>
  <c r="N155" i="25" s="1"/>
  <c r="O155" i="25" s="1"/>
  <c r="M156" i="25"/>
  <c r="N156" i="25" s="1"/>
  <c r="O156" i="25" s="1"/>
  <c r="M157" i="25"/>
  <c r="N157" i="25"/>
  <c r="O157" i="25" s="1"/>
  <c r="M158" i="25"/>
  <c r="N158" i="25" s="1"/>
  <c r="O158" i="25" s="1"/>
  <c r="M159" i="25"/>
  <c r="N159" i="25" s="1"/>
  <c r="O159" i="25" s="1"/>
  <c r="M160" i="25"/>
  <c r="N160" i="25" s="1"/>
  <c r="O160" i="25" s="1"/>
  <c r="M161" i="25"/>
  <c r="N161" i="25"/>
  <c r="O161" i="25" s="1"/>
  <c r="M162" i="25"/>
  <c r="N162" i="25"/>
  <c r="O162" i="25" s="1"/>
  <c r="M163" i="25"/>
  <c r="N163" i="25" s="1"/>
  <c r="O163" i="25" s="1"/>
  <c r="M164" i="25"/>
  <c r="N164" i="25" s="1"/>
  <c r="O164" i="25" s="1"/>
  <c r="M165" i="25"/>
  <c r="N165" i="25" s="1"/>
  <c r="O165" i="25" s="1"/>
  <c r="M166" i="25"/>
  <c r="N166" i="25"/>
  <c r="O166" i="25" s="1"/>
  <c r="M167" i="25"/>
  <c r="N167" i="25" s="1"/>
  <c r="O167" i="25" s="1"/>
  <c r="M168" i="25"/>
  <c r="N168" i="25" s="1"/>
  <c r="O168" i="25" s="1"/>
  <c r="M169" i="25"/>
  <c r="N169" i="25"/>
  <c r="O169" i="25" s="1"/>
  <c r="M170" i="25"/>
  <c r="N170" i="25" s="1"/>
  <c r="O170" i="25" s="1"/>
  <c r="M171" i="25"/>
  <c r="N171" i="25" s="1"/>
  <c r="O171" i="25" s="1"/>
  <c r="M172" i="25"/>
  <c r="N172" i="25" s="1"/>
  <c r="O172" i="25" s="1"/>
  <c r="M173" i="25"/>
  <c r="N173" i="25" s="1"/>
  <c r="O173" i="25" s="1"/>
  <c r="M174" i="25"/>
  <c r="N174" i="25" s="1"/>
  <c r="O174" i="25" s="1"/>
  <c r="M175" i="25"/>
  <c r="N175" i="25" s="1"/>
  <c r="O175" i="25" s="1"/>
  <c r="M176" i="25"/>
  <c r="N176" i="25" s="1"/>
  <c r="O176" i="25" s="1"/>
  <c r="M177" i="25"/>
  <c r="N177" i="25" s="1"/>
  <c r="O177" i="25" s="1"/>
  <c r="M178" i="25"/>
  <c r="N178" i="25"/>
  <c r="O178" i="25" s="1"/>
  <c r="M179" i="25"/>
  <c r="N179" i="25" s="1"/>
  <c r="O179" i="25" s="1"/>
  <c r="M180" i="25"/>
  <c r="N180" i="25" s="1"/>
  <c r="O180" i="25" s="1"/>
  <c r="M181" i="25"/>
  <c r="N181" i="25" s="1"/>
  <c r="O181" i="25" s="1"/>
  <c r="M182" i="25"/>
  <c r="N182" i="25" s="1"/>
  <c r="O182" i="25" s="1"/>
  <c r="M183" i="25"/>
  <c r="N183" i="25" s="1"/>
  <c r="O183" i="25" s="1"/>
  <c r="M184" i="25"/>
  <c r="N184" i="25" s="1"/>
  <c r="O184" i="25" s="1"/>
  <c r="M185" i="25"/>
  <c r="N185" i="25" s="1"/>
  <c r="O185" i="25" s="1"/>
  <c r="M186" i="25"/>
  <c r="N186" i="25" s="1"/>
  <c r="O186" i="25" s="1"/>
  <c r="M187" i="25"/>
  <c r="N187" i="25" s="1"/>
  <c r="O187" i="25" s="1"/>
  <c r="M188" i="25"/>
  <c r="N188" i="25" s="1"/>
  <c r="O188" i="25" s="1"/>
  <c r="M189" i="25"/>
  <c r="N189" i="25"/>
  <c r="O189" i="25" s="1"/>
  <c r="M190" i="25"/>
  <c r="N190" i="25"/>
  <c r="O190" i="25" s="1"/>
  <c r="M191" i="25"/>
  <c r="N191" i="25" s="1"/>
  <c r="O191" i="25" s="1"/>
  <c r="M192" i="25"/>
  <c r="N192" i="25" s="1"/>
  <c r="O192" i="25" s="1"/>
  <c r="M193" i="25"/>
  <c r="N193" i="25" s="1"/>
  <c r="O193" i="25" s="1"/>
  <c r="M194" i="25"/>
  <c r="N194" i="25"/>
  <c r="O194" i="25" s="1"/>
  <c r="M195" i="25"/>
  <c r="N195" i="25" s="1"/>
  <c r="O195" i="25" s="1"/>
  <c r="M196" i="25"/>
  <c r="N196" i="25" s="1"/>
  <c r="O196" i="25" s="1"/>
  <c r="M197" i="25"/>
  <c r="N197" i="25"/>
  <c r="O197" i="25" s="1"/>
  <c r="M198" i="25"/>
  <c r="N198" i="25"/>
  <c r="O198" i="25" s="1"/>
  <c r="M199" i="25"/>
  <c r="N199" i="25" s="1"/>
  <c r="O199" i="25" s="1"/>
  <c r="M200" i="25"/>
  <c r="N200" i="25" s="1"/>
  <c r="O200" i="25" s="1"/>
  <c r="M201" i="25"/>
  <c r="N201" i="25" s="1"/>
  <c r="O201" i="25" s="1"/>
  <c r="M202" i="25"/>
  <c r="N202" i="25"/>
  <c r="O202" i="25" s="1"/>
  <c r="M203" i="25"/>
  <c r="N203" i="25" s="1"/>
  <c r="O203" i="25" s="1"/>
  <c r="M204" i="25"/>
  <c r="N204" i="25" s="1"/>
  <c r="O204" i="25" s="1"/>
  <c r="M205" i="25"/>
  <c r="N205" i="25" s="1"/>
  <c r="O205" i="25" s="1"/>
  <c r="M206" i="25"/>
  <c r="N206" i="25" s="1"/>
  <c r="O206" i="25" s="1"/>
  <c r="M207" i="25"/>
  <c r="N207" i="25" s="1"/>
  <c r="O207" i="25" s="1"/>
  <c r="M208" i="25"/>
  <c r="N208" i="25" s="1"/>
  <c r="O208" i="25" s="1"/>
  <c r="M209" i="25"/>
  <c r="N209" i="25"/>
  <c r="O209" i="25" s="1"/>
  <c r="M210" i="25"/>
  <c r="N210" i="25"/>
  <c r="O210" i="25" s="1"/>
  <c r="M211" i="25"/>
  <c r="N211" i="25" s="1"/>
  <c r="O211" i="25" s="1"/>
  <c r="M212" i="25"/>
  <c r="N212" i="25" s="1"/>
  <c r="O212" i="25" s="1"/>
  <c r="M213" i="25"/>
  <c r="N213" i="25" s="1"/>
  <c r="O213" i="25" s="1"/>
  <c r="M214" i="25"/>
  <c r="N214" i="25"/>
  <c r="O214" i="25" s="1"/>
  <c r="M215" i="25"/>
  <c r="N215" i="25" s="1"/>
  <c r="O215" i="25" s="1"/>
  <c r="M216" i="25"/>
  <c r="N216" i="25" s="1"/>
  <c r="O216" i="25" s="1"/>
  <c r="M217" i="25"/>
  <c r="N217" i="25" s="1"/>
  <c r="O217" i="25" s="1"/>
  <c r="M218" i="25"/>
  <c r="N218" i="25" s="1"/>
  <c r="O218" i="25" s="1"/>
  <c r="M219" i="25"/>
  <c r="N219" i="25" s="1"/>
  <c r="O219" i="25" s="1"/>
  <c r="M220" i="25"/>
  <c r="N220" i="25" s="1"/>
  <c r="O220" i="25" s="1"/>
  <c r="M221" i="25"/>
  <c r="N221" i="25" s="1"/>
  <c r="O221" i="25" s="1"/>
  <c r="M222" i="25"/>
  <c r="N222" i="25"/>
  <c r="O222" i="25" s="1"/>
  <c r="M223" i="25"/>
  <c r="N223" i="25" s="1"/>
  <c r="O223" i="25" s="1"/>
  <c r="M224" i="25"/>
  <c r="N224" i="25" s="1"/>
  <c r="O224" i="25" s="1"/>
  <c r="M225" i="25"/>
  <c r="N225" i="25"/>
  <c r="O225" i="25" s="1"/>
  <c r="M226" i="25"/>
  <c r="N226" i="25" s="1"/>
  <c r="O226" i="25" s="1"/>
  <c r="M227" i="25"/>
  <c r="N227" i="25" s="1"/>
  <c r="O227" i="25" s="1"/>
  <c r="M228" i="25"/>
  <c r="N228" i="25" s="1"/>
  <c r="O228" i="25" s="1"/>
  <c r="M229" i="25"/>
  <c r="N229" i="25"/>
  <c r="O229" i="25" s="1"/>
  <c r="M230" i="25"/>
  <c r="N230" i="25"/>
  <c r="O230" i="25" s="1"/>
  <c r="M231" i="25"/>
  <c r="N231" i="25" s="1"/>
  <c r="O231" i="25" s="1"/>
  <c r="M232" i="25"/>
  <c r="N232" i="25" s="1"/>
  <c r="O232" i="25" s="1"/>
  <c r="M233" i="25"/>
  <c r="N233" i="25" s="1"/>
  <c r="O233" i="25" s="1"/>
  <c r="M234" i="25"/>
  <c r="N234" i="25" s="1"/>
  <c r="O234" i="25" s="1"/>
  <c r="M235" i="25"/>
  <c r="N235" i="25" s="1"/>
  <c r="O235" i="25" s="1"/>
  <c r="M236" i="25"/>
  <c r="N236" i="25" s="1"/>
  <c r="O236" i="25" s="1"/>
  <c r="M237" i="25"/>
  <c r="N237" i="25"/>
  <c r="O237" i="25" s="1"/>
  <c r="M238" i="25"/>
  <c r="N238" i="25" s="1"/>
  <c r="O238" i="25" s="1"/>
  <c r="M239" i="25"/>
  <c r="N239" i="25" s="1"/>
  <c r="O239" i="25" s="1"/>
  <c r="M240" i="25"/>
  <c r="N240" i="25" s="1"/>
  <c r="O240" i="25" s="1"/>
  <c r="M241" i="25"/>
  <c r="N241" i="25"/>
  <c r="O241" i="25" s="1"/>
  <c r="M242" i="25"/>
  <c r="N242" i="25"/>
  <c r="O242" i="25" s="1"/>
  <c r="M243" i="25"/>
  <c r="N243" i="25" s="1"/>
  <c r="O243" i="25" s="1"/>
  <c r="M244" i="25"/>
  <c r="N244" i="25" s="1"/>
  <c r="O244" i="25" s="1"/>
  <c r="M245" i="25"/>
  <c r="N245" i="25"/>
  <c r="O245" i="25" s="1"/>
  <c r="M246" i="25"/>
  <c r="N246" i="25" s="1"/>
  <c r="O246" i="25" s="1"/>
  <c r="M247" i="25"/>
  <c r="N247" i="25" s="1"/>
  <c r="O247" i="25" s="1"/>
  <c r="M248" i="25"/>
  <c r="N248" i="25" s="1"/>
  <c r="O248" i="25" s="1"/>
  <c r="M249" i="25"/>
  <c r="N249" i="25"/>
  <c r="O249" i="25" s="1"/>
  <c r="M250" i="25"/>
  <c r="N250" i="25" s="1"/>
  <c r="O250" i="25" s="1"/>
  <c r="M251" i="25"/>
  <c r="N251" i="25" s="1"/>
  <c r="O251" i="25" s="1"/>
  <c r="M252" i="25"/>
  <c r="N252" i="25" s="1"/>
  <c r="O252" i="25" s="1"/>
  <c r="M253" i="25"/>
  <c r="N253" i="25" s="1"/>
  <c r="O253" i="25" s="1"/>
  <c r="M254" i="25"/>
  <c r="N254" i="25"/>
  <c r="O254" i="25" s="1"/>
  <c r="M255" i="25"/>
  <c r="N255" i="25" s="1"/>
  <c r="O255" i="25" s="1"/>
  <c r="M256" i="25"/>
  <c r="N256" i="25" s="1"/>
  <c r="O256" i="25" s="1"/>
  <c r="M257" i="25"/>
  <c r="N257" i="25" s="1"/>
  <c r="O257" i="25" s="1"/>
  <c r="M258" i="25"/>
  <c r="N258" i="25" s="1"/>
  <c r="O258" i="25" s="1"/>
  <c r="M259" i="25"/>
  <c r="N259" i="25" s="1"/>
  <c r="O259" i="25" s="1"/>
  <c r="M260" i="25"/>
  <c r="N260" i="25" s="1"/>
  <c r="O260" i="25" s="1"/>
  <c r="M261" i="25"/>
  <c r="N261" i="25"/>
  <c r="O261" i="25" s="1"/>
  <c r="M262" i="25"/>
  <c r="N262" i="25" s="1"/>
  <c r="O262" i="25" s="1"/>
  <c r="M263" i="25"/>
  <c r="N263" i="25" s="1"/>
  <c r="O263" i="25" s="1"/>
  <c r="M264" i="25"/>
  <c r="N264" i="25" s="1"/>
  <c r="O264" i="25" s="1"/>
  <c r="M265" i="25"/>
  <c r="N265" i="25" s="1"/>
  <c r="O265" i="25" s="1"/>
  <c r="M266" i="25"/>
  <c r="N266" i="25" s="1"/>
  <c r="O266" i="25" s="1"/>
  <c r="M267" i="25"/>
  <c r="N267" i="25" s="1"/>
  <c r="O267" i="25" s="1"/>
  <c r="M268" i="25"/>
  <c r="N268" i="25" s="1"/>
  <c r="O268" i="25" s="1"/>
  <c r="M269" i="25"/>
  <c r="N269" i="25"/>
  <c r="O269" i="25" s="1"/>
  <c r="M270" i="25"/>
  <c r="N270" i="25"/>
  <c r="O270" i="25" s="1"/>
  <c r="M271" i="25"/>
  <c r="N271" i="25" s="1"/>
  <c r="O271" i="25" s="1"/>
  <c r="M272" i="25"/>
  <c r="N272" i="25" s="1"/>
  <c r="O272" i="25" s="1"/>
  <c r="M273" i="25"/>
  <c r="N273" i="25"/>
  <c r="O273" i="25" s="1"/>
  <c r="M274" i="25"/>
  <c r="N274" i="25" s="1"/>
  <c r="O274" i="25" s="1"/>
  <c r="M275" i="25"/>
  <c r="N275" i="25" s="1"/>
  <c r="O275" i="25" s="1"/>
  <c r="M276" i="25"/>
  <c r="N276" i="25" s="1"/>
  <c r="O276" i="25" s="1"/>
  <c r="M277" i="25"/>
  <c r="N277" i="25"/>
  <c r="O277" i="25" s="1"/>
  <c r="M278" i="25"/>
  <c r="N278" i="25" s="1"/>
  <c r="O278" i="25" s="1"/>
  <c r="M279" i="25"/>
  <c r="N279" i="25" s="1"/>
  <c r="O279" i="25" s="1"/>
  <c r="M280" i="25"/>
  <c r="N280" i="25" s="1"/>
  <c r="O280" i="25" s="1"/>
  <c r="M281" i="25"/>
  <c r="N281" i="25"/>
  <c r="O281" i="25" s="1"/>
  <c r="M282" i="25"/>
  <c r="N282" i="25" s="1"/>
  <c r="O282" i="25" s="1"/>
  <c r="M283" i="25"/>
  <c r="N283" i="25" s="1"/>
  <c r="O283" i="25" s="1"/>
  <c r="M284" i="25"/>
  <c r="N284" i="25" s="1"/>
  <c r="O284" i="25" s="1"/>
  <c r="M285" i="25"/>
  <c r="N285" i="25"/>
  <c r="O285" i="25" s="1"/>
  <c r="M286" i="25"/>
  <c r="N286" i="25"/>
  <c r="O286" i="25" s="1"/>
  <c r="M287" i="25"/>
  <c r="N287" i="25" s="1"/>
  <c r="O287" i="25" s="1"/>
  <c r="M288" i="25"/>
  <c r="N288" i="25" s="1"/>
  <c r="O288" i="25" s="1"/>
  <c r="M289" i="25"/>
  <c r="N289" i="25"/>
  <c r="O289" i="25" s="1"/>
  <c r="M290" i="25"/>
  <c r="N290" i="25"/>
  <c r="O290" i="25" s="1"/>
  <c r="M291" i="25"/>
  <c r="N291" i="25" s="1"/>
  <c r="O291" i="25" s="1"/>
  <c r="M292" i="25"/>
  <c r="N292" i="25" s="1"/>
  <c r="O292" i="25" s="1"/>
  <c r="M293" i="25"/>
  <c r="N293" i="25" s="1"/>
  <c r="O293" i="25" s="1"/>
  <c r="M294" i="25"/>
  <c r="N294" i="25" s="1"/>
  <c r="O294" i="25" s="1"/>
  <c r="M295" i="25"/>
  <c r="N295" i="25" s="1"/>
  <c r="O295" i="25" s="1"/>
  <c r="M296" i="25"/>
  <c r="N296" i="25" s="1"/>
  <c r="O296" i="25" s="1"/>
  <c r="M297" i="25"/>
  <c r="N297" i="25"/>
  <c r="O297" i="25" s="1"/>
  <c r="M298" i="25"/>
  <c r="N298" i="25"/>
  <c r="O298" i="25" s="1"/>
  <c r="M299" i="25"/>
  <c r="N299" i="25" s="1"/>
  <c r="O299" i="25" s="1"/>
  <c r="M300" i="25"/>
  <c r="N300" i="25" s="1"/>
  <c r="O300" i="25" s="1"/>
  <c r="M301" i="25"/>
  <c r="N301" i="25" s="1"/>
  <c r="O301" i="25" s="1"/>
  <c r="M302" i="25"/>
  <c r="N302" i="25"/>
  <c r="O302" i="25" s="1"/>
  <c r="M303" i="25"/>
  <c r="N303" i="25" s="1"/>
  <c r="O303" i="25" s="1"/>
  <c r="M304" i="25"/>
  <c r="N304" i="25" s="1"/>
  <c r="O304" i="25" s="1"/>
  <c r="M305" i="25"/>
  <c r="N305" i="25"/>
  <c r="O305" i="25" s="1"/>
  <c r="M306" i="25"/>
  <c r="N306" i="25" s="1"/>
  <c r="O306" i="25" s="1"/>
  <c r="M307" i="25"/>
  <c r="N307" i="25" s="1"/>
  <c r="O307" i="25" s="1"/>
  <c r="M308" i="25"/>
  <c r="N308" i="25" s="1"/>
  <c r="O308" i="25" s="1"/>
  <c r="M309" i="25"/>
  <c r="N309" i="25" s="1"/>
  <c r="O309" i="25" s="1"/>
  <c r="M311" i="25"/>
  <c r="N311" i="25"/>
  <c r="O311" i="25" s="1"/>
  <c r="M310" i="25"/>
  <c r="N310" i="25" s="1"/>
  <c r="O310" i="25" s="1"/>
  <c r="M312" i="25"/>
  <c r="N312" i="25" s="1"/>
  <c r="O312" i="25" s="1"/>
  <c r="M313" i="25"/>
  <c r="N313" i="25"/>
  <c r="O313" i="25" s="1"/>
  <c r="M314" i="25"/>
  <c r="N314" i="25"/>
  <c r="O314" i="25" s="1"/>
  <c r="M315" i="25"/>
  <c r="N315" i="25" s="1"/>
  <c r="O315" i="25" s="1"/>
  <c r="M316" i="25"/>
  <c r="N316" i="25" s="1"/>
  <c r="O316" i="25" s="1"/>
  <c r="M317" i="25"/>
  <c r="N317" i="25"/>
  <c r="O317" i="25" s="1"/>
  <c r="M318" i="25"/>
  <c r="N318" i="25"/>
  <c r="O318" i="25" s="1"/>
  <c r="M319" i="25"/>
  <c r="N319" i="25" s="1"/>
  <c r="O319" i="25" s="1"/>
  <c r="M320" i="25"/>
  <c r="N320" i="25" s="1"/>
  <c r="O320" i="25" s="1"/>
  <c r="M321" i="25"/>
  <c r="N321" i="25"/>
  <c r="O321" i="25" s="1"/>
  <c r="M322" i="25"/>
  <c r="N322" i="25" s="1"/>
  <c r="O322" i="25" s="1"/>
  <c r="M323" i="25"/>
  <c r="N323" i="25" s="1"/>
  <c r="O323" i="25" s="1"/>
  <c r="M324" i="25"/>
  <c r="N324" i="25" s="1"/>
  <c r="O324" i="25" s="1"/>
  <c r="M325" i="25"/>
  <c r="N325" i="25"/>
  <c r="O325" i="25" s="1"/>
  <c r="M326" i="25"/>
  <c r="N326" i="25"/>
  <c r="O326" i="25" s="1"/>
  <c r="M327" i="25"/>
  <c r="N327" i="25" s="1"/>
  <c r="O327" i="25" s="1"/>
  <c r="M328" i="25"/>
  <c r="N328" i="25" s="1"/>
  <c r="O328" i="25" s="1"/>
  <c r="M329" i="25"/>
  <c r="N329" i="25" s="1"/>
  <c r="O329" i="25" s="1"/>
  <c r="M330" i="25"/>
  <c r="N330" i="25"/>
  <c r="O330" i="25" s="1"/>
  <c r="M334" i="25"/>
  <c r="N334" i="25"/>
  <c r="O334" i="25" s="1"/>
  <c r="M333" i="25"/>
  <c r="N333" i="25" s="1"/>
  <c r="O333" i="25" s="1"/>
  <c r="M331" i="25"/>
  <c r="N331" i="25"/>
  <c r="O331" i="25" s="1"/>
  <c r="M332" i="25"/>
  <c r="N332" i="25"/>
  <c r="O332" i="25" s="1"/>
  <c r="M335" i="25"/>
  <c r="N335" i="25" s="1"/>
  <c r="O335" i="25" s="1"/>
  <c r="M336" i="25"/>
  <c r="N336" i="25" s="1"/>
  <c r="O336" i="25" s="1"/>
  <c r="M337" i="25"/>
  <c r="N337" i="25"/>
  <c r="O337" i="25" s="1"/>
  <c r="M338" i="25"/>
  <c r="N338" i="25"/>
  <c r="O338" i="25" s="1"/>
  <c r="M339" i="25"/>
  <c r="N339" i="25" s="1"/>
  <c r="O339" i="25" s="1"/>
  <c r="M340" i="25"/>
  <c r="N340" i="25" s="1"/>
  <c r="O340" i="25" s="1"/>
  <c r="M341" i="25"/>
  <c r="N341" i="25" s="1"/>
  <c r="O341" i="25" s="1"/>
  <c r="M342" i="25"/>
  <c r="N342" i="25"/>
  <c r="O342" i="25" s="1"/>
  <c r="M343" i="25"/>
  <c r="N343" i="25"/>
  <c r="O343" i="25" s="1"/>
  <c r="M344" i="25"/>
  <c r="N344" i="25" s="1"/>
  <c r="O344" i="25" s="1"/>
  <c r="M345" i="25"/>
  <c r="N345" i="25"/>
  <c r="O345" i="25" s="1"/>
  <c r="M346" i="25"/>
  <c r="N346" i="25" s="1"/>
  <c r="O346" i="25" s="1"/>
  <c r="M347" i="25"/>
  <c r="N347" i="25"/>
  <c r="O347" i="25" s="1"/>
  <c r="M348" i="25"/>
  <c r="N348" i="25" s="1"/>
  <c r="O348" i="25" s="1"/>
  <c r="M349" i="25"/>
  <c r="N349" i="25"/>
  <c r="O349" i="25" s="1"/>
  <c r="M350" i="25"/>
  <c r="N350" i="25" s="1"/>
  <c r="O350" i="25" s="1"/>
  <c r="M351" i="25"/>
  <c r="N351" i="25"/>
  <c r="O351" i="25" s="1"/>
  <c r="M352" i="25"/>
  <c r="N352" i="25" s="1"/>
  <c r="O352" i="25" s="1"/>
  <c r="M353" i="25"/>
  <c r="N353" i="25"/>
  <c r="O353" i="25" s="1"/>
  <c r="M354" i="25"/>
  <c r="N354" i="25" s="1"/>
  <c r="O354" i="25" s="1"/>
  <c r="M355" i="25"/>
  <c r="N355" i="25"/>
  <c r="O355" i="25" s="1"/>
  <c r="M356" i="25"/>
  <c r="N356" i="25" s="1"/>
  <c r="O356" i="25" s="1"/>
  <c r="M357" i="25"/>
  <c r="N357" i="25" s="1"/>
  <c r="O357" i="25" s="1"/>
  <c r="M358" i="25"/>
  <c r="N358" i="25" s="1"/>
  <c r="O358" i="25" s="1"/>
  <c r="M372" i="25"/>
  <c r="N372" i="25"/>
  <c r="O372" i="25" s="1"/>
  <c r="M373" i="25"/>
  <c r="N373" i="25" s="1"/>
  <c r="O373" i="25" s="1"/>
  <c r="M374" i="25"/>
  <c r="N374" i="25"/>
  <c r="O374" i="25" s="1"/>
  <c r="M375" i="25"/>
  <c r="N375" i="25" s="1"/>
  <c r="O375" i="25" s="1"/>
  <c r="M376" i="25"/>
  <c r="N376" i="25" s="1"/>
  <c r="O376" i="25" s="1"/>
  <c r="M377" i="25"/>
  <c r="N377" i="25" s="1"/>
  <c r="O377" i="25" s="1"/>
  <c r="M359" i="25"/>
  <c r="N359" i="25"/>
  <c r="O359" i="25" s="1"/>
  <c r="M360" i="25"/>
  <c r="N360" i="25"/>
  <c r="O360" i="25" s="1"/>
  <c r="M361" i="25"/>
  <c r="N361" i="25" s="1"/>
  <c r="O361" i="25" s="1"/>
  <c r="M362" i="25"/>
  <c r="N362" i="25" s="1"/>
  <c r="O362" i="25" s="1"/>
  <c r="M363" i="25"/>
  <c r="N363" i="25"/>
  <c r="O363" i="25" s="1"/>
  <c r="M364" i="25"/>
  <c r="N364" i="25" s="1"/>
  <c r="O364" i="25" s="1"/>
  <c r="M365" i="25"/>
  <c r="N365" i="25" s="1"/>
  <c r="O365" i="25" s="1"/>
  <c r="M366" i="25"/>
  <c r="N366" i="25" s="1"/>
  <c r="O366" i="25" s="1"/>
  <c r="M367" i="25"/>
  <c r="N367" i="25"/>
  <c r="O367" i="25" s="1"/>
  <c r="M368" i="25"/>
  <c r="N368" i="25" s="1"/>
  <c r="O368" i="25" s="1"/>
  <c r="M369" i="25"/>
  <c r="N369" i="25" s="1"/>
  <c r="O369" i="25" s="1"/>
  <c r="M370" i="25"/>
  <c r="N370" i="25" s="1"/>
  <c r="O370" i="25" s="1"/>
  <c r="M371" i="25"/>
  <c r="N371" i="25" s="1"/>
  <c r="O371" i="25" s="1"/>
  <c r="M378" i="25"/>
  <c r="N378" i="25"/>
  <c r="O378" i="25" s="1"/>
  <c r="M379" i="25"/>
  <c r="N379" i="25"/>
  <c r="O379" i="25" s="1"/>
  <c r="M380" i="25"/>
  <c r="N380" i="25" s="1"/>
  <c r="O380" i="25" s="1"/>
  <c r="M381" i="25"/>
  <c r="N381" i="25"/>
  <c r="O381" i="25" s="1"/>
  <c r="M382" i="25"/>
  <c r="N382" i="25"/>
  <c r="O382" i="25" s="1"/>
  <c r="M383" i="25"/>
  <c r="N383" i="25" s="1"/>
  <c r="O383" i="25" s="1"/>
  <c r="M384" i="25"/>
  <c r="N384" i="25" s="1"/>
  <c r="O384" i="25" s="1"/>
  <c r="M385" i="25"/>
  <c r="N385" i="25" s="1"/>
  <c r="O385" i="25" s="1"/>
  <c r="M386" i="25"/>
  <c r="N386" i="25"/>
  <c r="O386" i="25" s="1"/>
  <c r="M387" i="25"/>
  <c r="N387" i="25" s="1"/>
  <c r="O387" i="25" s="1"/>
  <c r="M388" i="25"/>
  <c r="N388" i="25" s="1"/>
  <c r="O388" i="25" s="1"/>
  <c r="M389" i="25"/>
  <c r="N389" i="25" s="1"/>
  <c r="O389" i="25" s="1"/>
  <c r="M390" i="25"/>
  <c r="N390" i="25"/>
  <c r="O390" i="25" s="1"/>
  <c r="M391" i="25"/>
  <c r="N391" i="25" s="1"/>
  <c r="O391" i="25" s="1"/>
  <c r="M392" i="25"/>
  <c r="N392" i="25" s="1"/>
  <c r="O392" i="25" s="1"/>
  <c r="M393" i="25"/>
  <c r="N393" i="25" s="1"/>
  <c r="O393" i="25" s="1"/>
  <c r="M394" i="25"/>
  <c r="N394" i="25"/>
  <c r="O394" i="25" s="1"/>
  <c r="M395" i="25"/>
  <c r="N395" i="25"/>
  <c r="O395" i="25" s="1"/>
  <c r="M396" i="25"/>
  <c r="N396" i="25" s="1"/>
  <c r="O396" i="25" s="1"/>
  <c r="M397" i="25"/>
  <c r="N397" i="25" s="1"/>
  <c r="O397" i="25" s="1"/>
  <c r="M398" i="25"/>
  <c r="N398" i="25" s="1"/>
  <c r="O398" i="25" s="1"/>
  <c r="M399" i="25"/>
  <c r="N399" i="25" s="1"/>
  <c r="O399" i="25" s="1"/>
  <c r="M400" i="25"/>
  <c r="N400" i="25" s="1"/>
  <c r="O400" i="25" s="1"/>
  <c r="M401" i="25"/>
  <c r="N401" i="25"/>
  <c r="O401" i="25" s="1"/>
  <c r="M402" i="25"/>
  <c r="N402" i="25" s="1"/>
  <c r="O402" i="25" s="1"/>
  <c r="M403" i="25"/>
  <c r="N403" i="25"/>
  <c r="O403" i="25" s="1"/>
  <c r="M404" i="25"/>
  <c r="N404" i="25" s="1"/>
  <c r="O404" i="25" s="1"/>
  <c r="M406" i="25"/>
  <c r="N406" i="25"/>
  <c r="O406" i="25" s="1"/>
  <c r="M405" i="25"/>
  <c r="N405" i="25"/>
  <c r="O405" i="25" s="1"/>
  <c r="M407" i="25"/>
  <c r="N407" i="25" s="1"/>
  <c r="O407" i="25" s="1"/>
  <c r="M408" i="25"/>
  <c r="N408" i="25" s="1"/>
  <c r="O408" i="25" s="1"/>
  <c r="M409" i="25"/>
  <c r="N409" i="25"/>
  <c r="O409" i="25" s="1"/>
  <c r="M410" i="25"/>
  <c r="N410" i="25" s="1"/>
  <c r="O410" i="25" s="1"/>
  <c r="M411" i="25"/>
  <c r="N411" i="25" s="1"/>
  <c r="O411" i="25" s="1"/>
  <c r="M412" i="25"/>
  <c r="N412" i="25" s="1"/>
  <c r="O412" i="25" s="1"/>
  <c r="M413" i="25"/>
  <c r="N413" i="25" s="1"/>
  <c r="O413" i="25" s="1"/>
  <c r="M414" i="25"/>
  <c r="N414" i="25"/>
  <c r="O414" i="25" s="1"/>
  <c r="Q7" i="25"/>
  <c r="R7" i="25"/>
  <c r="Q8" i="25"/>
  <c r="R8" i="25"/>
  <c r="Q9" i="25"/>
  <c r="R9" i="25"/>
  <c r="Q10" i="25"/>
  <c r="R10" i="25"/>
  <c r="Q11" i="25"/>
  <c r="R11" i="25"/>
  <c r="Q12" i="25"/>
  <c r="R12" i="25"/>
  <c r="Q13" i="25"/>
  <c r="R13" i="25"/>
  <c r="Q14" i="25"/>
  <c r="R14" i="25"/>
  <c r="Q15" i="25"/>
  <c r="R15" i="25"/>
  <c r="Q16" i="25"/>
  <c r="R16" i="25"/>
  <c r="Q17" i="25"/>
  <c r="R17" i="25"/>
  <c r="Q18" i="25"/>
  <c r="R18" i="25"/>
  <c r="Q19" i="25"/>
  <c r="R19" i="25"/>
  <c r="Q20" i="25"/>
  <c r="R20" i="25"/>
  <c r="Q21" i="25"/>
  <c r="R21" i="25"/>
  <c r="Q22" i="25"/>
  <c r="R22" i="25"/>
  <c r="Q23" i="25"/>
  <c r="R23" i="25"/>
  <c r="Q24" i="25"/>
  <c r="R24" i="25"/>
  <c r="Q25" i="25"/>
  <c r="R25" i="25"/>
  <c r="Q26" i="25"/>
  <c r="R26" i="25"/>
  <c r="Q27" i="25"/>
  <c r="R27" i="25"/>
  <c r="Q28" i="25"/>
  <c r="R28" i="25"/>
  <c r="Q29" i="25"/>
  <c r="R29" i="25"/>
  <c r="Q30" i="25"/>
  <c r="R30" i="25"/>
  <c r="Q31" i="25"/>
  <c r="R31" i="25"/>
  <c r="Q32" i="25"/>
  <c r="R32" i="25"/>
  <c r="Q33" i="25"/>
  <c r="R33" i="25"/>
  <c r="Q34" i="25"/>
  <c r="R34" i="25"/>
  <c r="Q35" i="25"/>
  <c r="R35" i="25"/>
  <c r="Q36" i="25"/>
  <c r="R36" i="25"/>
  <c r="Q37" i="25"/>
  <c r="R37" i="25"/>
  <c r="Q38" i="25"/>
  <c r="R38" i="25"/>
  <c r="Q39" i="25"/>
  <c r="R39" i="25"/>
  <c r="Q40" i="25"/>
  <c r="R40" i="25"/>
  <c r="Q41" i="25"/>
  <c r="R41" i="25"/>
  <c r="Q42" i="25"/>
  <c r="R42" i="25"/>
  <c r="Q43" i="25"/>
  <c r="R43" i="25"/>
  <c r="Q44" i="25"/>
  <c r="R44" i="25"/>
  <c r="Q45" i="25"/>
  <c r="R45" i="25"/>
  <c r="Q46" i="25"/>
  <c r="R46" i="25"/>
  <c r="Q47" i="25"/>
  <c r="R47" i="25"/>
  <c r="Q48" i="25"/>
  <c r="R48" i="25"/>
  <c r="Q49" i="25"/>
  <c r="R49" i="25"/>
  <c r="Q50" i="25"/>
  <c r="R50" i="25"/>
  <c r="Q51" i="25"/>
  <c r="R51" i="25"/>
  <c r="Q52" i="25"/>
  <c r="R52" i="25"/>
  <c r="Q53" i="25"/>
  <c r="R53" i="25"/>
  <c r="Q54" i="25"/>
  <c r="R54" i="25"/>
  <c r="Q55" i="25"/>
  <c r="R55" i="25"/>
  <c r="Q56" i="25"/>
  <c r="R56" i="25"/>
  <c r="Q57" i="25"/>
  <c r="R57" i="25"/>
  <c r="Q58" i="25"/>
  <c r="R58" i="25"/>
  <c r="Q59" i="25"/>
  <c r="R59" i="25"/>
  <c r="Q60" i="25"/>
  <c r="R60" i="25"/>
  <c r="Q61" i="25"/>
  <c r="R61" i="25"/>
  <c r="Q62" i="25"/>
  <c r="R62" i="25"/>
  <c r="Q63" i="25"/>
  <c r="R63" i="25"/>
  <c r="Q64" i="25"/>
  <c r="R64" i="25"/>
  <c r="Q65" i="25"/>
  <c r="R65" i="25"/>
  <c r="Q66" i="25"/>
  <c r="R66" i="25"/>
  <c r="Q67" i="25"/>
  <c r="R67" i="25"/>
  <c r="Q68" i="25"/>
  <c r="R68" i="25"/>
  <c r="Q69" i="25"/>
  <c r="R69" i="25"/>
  <c r="Q70" i="25"/>
  <c r="R70" i="25"/>
  <c r="Q71" i="25"/>
  <c r="R71" i="25"/>
  <c r="Q72" i="25"/>
  <c r="R72" i="25"/>
  <c r="Q73" i="25"/>
  <c r="R73" i="25"/>
  <c r="Q74" i="25"/>
  <c r="R74" i="25"/>
  <c r="Q75" i="25"/>
  <c r="R75" i="25"/>
  <c r="Q76" i="25"/>
  <c r="R76" i="25"/>
  <c r="Q77" i="25"/>
  <c r="R77" i="25"/>
  <c r="Q78" i="25"/>
  <c r="R78" i="25"/>
  <c r="Q79" i="25"/>
  <c r="R79" i="25"/>
  <c r="Q80" i="25"/>
  <c r="R80" i="25"/>
  <c r="Q81" i="25"/>
  <c r="R81" i="25"/>
  <c r="Q82" i="25"/>
  <c r="R82" i="25"/>
  <c r="Q83" i="25"/>
  <c r="R83" i="25"/>
  <c r="Q84" i="25"/>
  <c r="R84" i="25"/>
  <c r="Q85" i="25"/>
  <c r="R85" i="25"/>
  <c r="Q86" i="25"/>
  <c r="R86" i="25"/>
  <c r="Q87" i="25"/>
  <c r="R87" i="25"/>
  <c r="Q88" i="25"/>
  <c r="R88" i="25"/>
  <c r="Q89" i="25"/>
  <c r="R89" i="25"/>
  <c r="Q90" i="25"/>
  <c r="R90" i="25"/>
  <c r="Q91" i="25"/>
  <c r="R91" i="25"/>
  <c r="Q92" i="25"/>
  <c r="R92" i="25"/>
  <c r="Q93" i="25"/>
  <c r="R93" i="25"/>
  <c r="Q94" i="25"/>
  <c r="R94" i="25"/>
  <c r="Q95" i="25"/>
  <c r="R95" i="25"/>
  <c r="Q96" i="25"/>
  <c r="R96" i="25"/>
  <c r="Q97" i="25"/>
  <c r="R97" i="25"/>
  <c r="Q98" i="25"/>
  <c r="R98" i="25"/>
  <c r="Q99" i="25"/>
  <c r="R99" i="25"/>
  <c r="Q100" i="25"/>
  <c r="R100" i="25"/>
  <c r="Q101" i="25"/>
  <c r="R101" i="25"/>
  <c r="Q102" i="25"/>
  <c r="R102" i="25"/>
  <c r="Q103" i="25"/>
  <c r="R103" i="25"/>
  <c r="Q104" i="25"/>
  <c r="R104" i="25"/>
  <c r="Q105" i="25"/>
  <c r="R105" i="25"/>
  <c r="Q106" i="25"/>
  <c r="R106" i="25"/>
  <c r="Q107" i="25"/>
  <c r="R107" i="25"/>
  <c r="Q108" i="25"/>
  <c r="R108" i="25"/>
  <c r="Q109" i="25"/>
  <c r="R109" i="25"/>
  <c r="Q110" i="25"/>
  <c r="R110" i="25"/>
  <c r="Q111" i="25"/>
  <c r="R111" i="25"/>
  <c r="Q112" i="25"/>
  <c r="R112" i="25"/>
  <c r="Q113" i="25"/>
  <c r="R113" i="25"/>
  <c r="Q114" i="25"/>
  <c r="R114" i="25"/>
  <c r="Q115" i="25"/>
  <c r="R115" i="25"/>
  <c r="Q116" i="25"/>
  <c r="R116" i="25"/>
  <c r="Q117" i="25"/>
  <c r="R117" i="25"/>
  <c r="Q118" i="25"/>
  <c r="R118" i="25"/>
  <c r="Q119" i="25"/>
  <c r="R119" i="25"/>
  <c r="Q120" i="25"/>
  <c r="R120" i="25"/>
  <c r="Q121" i="25"/>
  <c r="R121" i="25"/>
  <c r="Q122" i="25"/>
  <c r="R122" i="25"/>
  <c r="Q123" i="25"/>
  <c r="R123" i="25"/>
  <c r="Q124" i="25"/>
  <c r="R124" i="25"/>
  <c r="Q125" i="25"/>
  <c r="R125" i="25"/>
  <c r="Q126" i="25"/>
  <c r="R126" i="25"/>
  <c r="Q127" i="25"/>
  <c r="R127" i="25"/>
  <c r="Q128" i="25"/>
  <c r="R128" i="25"/>
  <c r="Q129" i="25"/>
  <c r="R129" i="25"/>
  <c r="Q130" i="25"/>
  <c r="R130" i="25"/>
  <c r="Q131" i="25"/>
  <c r="R131" i="25"/>
  <c r="Q132" i="25"/>
  <c r="R132" i="25"/>
  <c r="Q133" i="25"/>
  <c r="R133" i="25"/>
  <c r="Q134" i="25"/>
  <c r="R134" i="25"/>
  <c r="Q135" i="25"/>
  <c r="R135" i="25"/>
  <c r="Q136" i="25"/>
  <c r="R136" i="25"/>
  <c r="Q137" i="25"/>
  <c r="R137" i="25"/>
  <c r="Q138" i="25"/>
  <c r="R138" i="25"/>
  <c r="Q139" i="25"/>
  <c r="R139" i="25"/>
  <c r="Q140" i="25"/>
  <c r="R140" i="25"/>
  <c r="Q141" i="25"/>
  <c r="R141" i="25"/>
  <c r="Q142" i="25"/>
  <c r="R142" i="25"/>
  <c r="Q143" i="25"/>
  <c r="R143" i="25"/>
  <c r="Q144" i="25"/>
  <c r="R144" i="25"/>
  <c r="Q145" i="25"/>
  <c r="R145" i="25"/>
  <c r="Q146" i="25"/>
  <c r="R146" i="25"/>
  <c r="Q147" i="25"/>
  <c r="R147" i="25"/>
  <c r="Q148" i="25"/>
  <c r="R148" i="25"/>
  <c r="Q149" i="25"/>
  <c r="R149" i="25"/>
  <c r="Q150" i="25"/>
  <c r="R150" i="25"/>
  <c r="Q151" i="25"/>
  <c r="R151" i="25"/>
  <c r="Q152" i="25"/>
  <c r="R152" i="25"/>
  <c r="Q153" i="25"/>
  <c r="R153" i="25"/>
  <c r="Q154" i="25"/>
  <c r="R154" i="25"/>
  <c r="Q155" i="25"/>
  <c r="R155" i="25"/>
  <c r="Q156" i="25"/>
  <c r="R156" i="25"/>
  <c r="Q157" i="25"/>
  <c r="R157" i="25"/>
  <c r="Q158" i="25"/>
  <c r="R158" i="25"/>
  <c r="Q159" i="25"/>
  <c r="R159" i="25"/>
  <c r="Q160" i="25"/>
  <c r="R160" i="25"/>
  <c r="Q161" i="25"/>
  <c r="R161" i="25"/>
  <c r="Q162" i="25"/>
  <c r="R162" i="25"/>
  <c r="Q163" i="25"/>
  <c r="R163" i="25"/>
  <c r="Q164" i="25"/>
  <c r="R164" i="25"/>
  <c r="Q165" i="25"/>
  <c r="R165" i="25"/>
  <c r="Q166" i="25"/>
  <c r="R166" i="25"/>
  <c r="Q167" i="25"/>
  <c r="R167" i="25"/>
  <c r="Q168" i="25"/>
  <c r="R168" i="25"/>
  <c r="Q169" i="25"/>
  <c r="R169" i="25"/>
  <c r="Q170" i="25"/>
  <c r="R170" i="25"/>
  <c r="Q171" i="25"/>
  <c r="R171" i="25"/>
  <c r="Q172" i="25"/>
  <c r="R172" i="25"/>
  <c r="Q173" i="25"/>
  <c r="R173" i="25"/>
  <c r="Q174" i="25"/>
  <c r="R174" i="25"/>
  <c r="Q175" i="25"/>
  <c r="R175" i="25"/>
  <c r="Q176" i="25"/>
  <c r="R176" i="25"/>
  <c r="Q177" i="25"/>
  <c r="R177" i="25"/>
  <c r="Q178" i="25"/>
  <c r="R178" i="25"/>
  <c r="Q179" i="25"/>
  <c r="R179" i="25"/>
  <c r="Q180" i="25"/>
  <c r="R180" i="25"/>
  <c r="Q181" i="25"/>
  <c r="R181" i="25"/>
  <c r="Q182" i="25"/>
  <c r="R182" i="25"/>
  <c r="Q183" i="25"/>
  <c r="R183" i="25"/>
  <c r="Q184" i="25"/>
  <c r="R184" i="25"/>
  <c r="Q185" i="25"/>
  <c r="R185" i="25"/>
  <c r="Q186" i="25"/>
  <c r="R186" i="25"/>
  <c r="Q187" i="25"/>
  <c r="R187" i="25"/>
  <c r="Q188" i="25"/>
  <c r="R188" i="25"/>
  <c r="Q189" i="25"/>
  <c r="R189" i="25"/>
  <c r="Q190" i="25"/>
  <c r="R190" i="25"/>
  <c r="Q191" i="25"/>
  <c r="R191" i="25"/>
  <c r="Q192" i="25"/>
  <c r="R192" i="25"/>
  <c r="Q193" i="25"/>
  <c r="R193" i="25"/>
  <c r="Q194" i="25"/>
  <c r="R194" i="25"/>
  <c r="Q195" i="25"/>
  <c r="R195" i="25"/>
  <c r="Q196" i="25"/>
  <c r="R196" i="25"/>
  <c r="Q197" i="25"/>
  <c r="R197" i="25"/>
  <c r="Q198" i="25"/>
  <c r="R198" i="25"/>
  <c r="Q199" i="25"/>
  <c r="R199" i="25"/>
  <c r="Q200" i="25"/>
  <c r="R200" i="25"/>
  <c r="Q201" i="25"/>
  <c r="R201" i="25"/>
  <c r="Q202" i="25"/>
  <c r="R202" i="25"/>
  <c r="Q203" i="25"/>
  <c r="R203" i="25"/>
  <c r="Q204" i="25"/>
  <c r="R204" i="25"/>
  <c r="Q205" i="25"/>
  <c r="R205" i="25"/>
  <c r="Q206" i="25"/>
  <c r="R206" i="25"/>
  <c r="Q207" i="25"/>
  <c r="R207" i="25"/>
  <c r="Q208" i="25"/>
  <c r="R208" i="25"/>
  <c r="Q209" i="25"/>
  <c r="R209" i="25"/>
  <c r="Q210" i="25"/>
  <c r="R210" i="25"/>
  <c r="Q211" i="25"/>
  <c r="R211" i="25"/>
  <c r="Q212" i="25"/>
  <c r="R212" i="25"/>
  <c r="Q213" i="25"/>
  <c r="R213" i="25"/>
  <c r="Q214" i="25"/>
  <c r="R214" i="25"/>
  <c r="Q215" i="25"/>
  <c r="R215" i="25"/>
  <c r="Q216" i="25"/>
  <c r="R216" i="25"/>
  <c r="Q217" i="25"/>
  <c r="R217" i="25"/>
  <c r="Q218" i="25"/>
  <c r="R218" i="25"/>
  <c r="Q219" i="25"/>
  <c r="R219" i="25"/>
  <c r="Q220" i="25"/>
  <c r="R220" i="25"/>
  <c r="Q221" i="25"/>
  <c r="R221" i="25"/>
  <c r="Q222" i="25"/>
  <c r="R222" i="25"/>
  <c r="Q223" i="25"/>
  <c r="R223" i="25"/>
  <c r="Q224" i="25"/>
  <c r="R224" i="25"/>
  <c r="Q225" i="25"/>
  <c r="R225" i="25"/>
  <c r="Q226" i="25"/>
  <c r="R226" i="25"/>
  <c r="Q227" i="25"/>
  <c r="R227" i="25"/>
  <c r="Q228" i="25"/>
  <c r="R228" i="25"/>
  <c r="Q229" i="25"/>
  <c r="R229" i="25"/>
  <c r="Q230" i="25"/>
  <c r="R230" i="25"/>
  <c r="Q231" i="25"/>
  <c r="R231" i="25"/>
  <c r="Q232" i="25"/>
  <c r="R232" i="25"/>
  <c r="Q233" i="25"/>
  <c r="R233" i="25"/>
  <c r="Q234" i="25"/>
  <c r="R234" i="25"/>
  <c r="Q235" i="25"/>
  <c r="R235" i="25"/>
  <c r="Q236" i="25"/>
  <c r="R236" i="25"/>
  <c r="Q237" i="25"/>
  <c r="R237" i="25"/>
  <c r="Q238" i="25"/>
  <c r="R238" i="25"/>
  <c r="Q239" i="25"/>
  <c r="R239" i="25"/>
  <c r="Q240" i="25"/>
  <c r="R240" i="25"/>
  <c r="Q241" i="25"/>
  <c r="R241" i="25"/>
  <c r="Q242" i="25"/>
  <c r="R242" i="25"/>
  <c r="Q243" i="25"/>
  <c r="R243" i="25"/>
  <c r="Q244" i="25"/>
  <c r="R244" i="25"/>
  <c r="Q245" i="25"/>
  <c r="R245" i="25"/>
  <c r="Q246" i="25"/>
  <c r="R246" i="25"/>
  <c r="Q247" i="25"/>
  <c r="R247" i="25"/>
  <c r="Q248" i="25"/>
  <c r="R248" i="25"/>
  <c r="Q249" i="25"/>
  <c r="R249" i="25"/>
  <c r="Q250" i="25"/>
  <c r="R250" i="25"/>
  <c r="Q251" i="25"/>
  <c r="R251" i="25"/>
  <c r="Q252" i="25"/>
  <c r="R252" i="25"/>
  <c r="Q253" i="25"/>
  <c r="R253" i="25"/>
  <c r="Q254" i="25"/>
  <c r="R254" i="25"/>
  <c r="Q255" i="25"/>
  <c r="R255" i="25"/>
  <c r="Q256" i="25"/>
  <c r="R256" i="25"/>
  <c r="Q257" i="25"/>
  <c r="R257" i="25"/>
  <c r="Q258" i="25"/>
  <c r="R258" i="25"/>
  <c r="Q259" i="25"/>
  <c r="R259" i="25"/>
  <c r="Q260" i="25"/>
  <c r="R260" i="25"/>
  <c r="Q261" i="25"/>
  <c r="R261" i="25"/>
  <c r="Q262" i="25"/>
  <c r="R262" i="25"/>
  <c r="Q263" i="25"/>
  <c r="R263" i="25"/>
  <c r="Q264" i="25"/>
  <c r="R264" i="25"/>
  <c r="Q265" i="25"/>
  <c r="R265" i="25"/>
  <c r="Q266" i="25"/>
  <c r="R266" i="25"/>
  <c r="Q267" i="25"/>
  <c r="R267" i="25"/>
  <c r="Q268" i="25"/>
  <c r="R268" i="25"/>
  <c r="Q269" i="25"/>
  <c r="R269" i="25"/>
  <c r="Q270" i="25"/>
  <c r="R270" i="25"/>
  <c r="Q271" i="25"/>
  <c r="R271" i="25"/>
  <c r="Q272" i="25"/>
  <c r="R272" i="25"/>
  <c r="Q273" i="25"/>
  <c r="R273" i="25"/>
  <c r="Q274" i="25"/>
  <c r="R274" i="25"/>
  <c r="Q275" i="25"/>
  <c r="R275" i="25"/>
  <c r="Q276" i="25"/>
  <c r="R276" i="25"/>
  <c r="Q277" i="25"/>
  <c r="R277" i="25"/>
  <c r="Q278" i="25"/>
  <c r="R278" i="25"/>
  <c r="Q279" i="25"/>
  <c r="R279" i="25"/>
  <c r="Q280" i="25"/>
  <c r="R280" i="25"/>
  <c r="Q281" i="25"/>
  <c r="R281" i="25"/>
  <c r="Q282" i="25"/>
  <c r="R282" i="25"/>
  <c r="Q283" i="25"/>
  <c r="R283" i="25"/>
  <c r="Q284" i="25"/>
  <c r="R284" i="25"/>
  <c r="Q285" i="25"/>
  <c r="R285" i="25"/>
  <c r="Q286" i="25"/>
  <c r="R286" i="25"/>
  <c r="Q287" i="25"/>
  <c r="R287" i="25"/>
  <c r="Q288" i="25"/>
  <c r="R288" i="25"/>
  <c r="Q289" i="25"/>
  <c r="R289" i="25"/>
  <c r="Q290" i="25"/>
  <c r="R290" i="25"/>
  <c r="Q291" i="25"/>
  <c r="R291" i="25"/>
  <c r="Q292" i="25"/>
  <c r="R292" i="25"/>
  <c r="Q293" i="25"/>
  <c r="R293" i="25"/>
  <c r="Q294" i="25"/>
  <c r="R294" i="25"/>
  <c r="Q295" i="25"/>
  <c r="R295" i="25"/>
  <c r="Q296" i="25"/>
  <c r="R296" i="25"/>
  <c r="Q297" i="25"/>
  <c r="R297" i="25"/>
  <c r="Q298" i="25"/>
  <c r="R298" i="25"/>
  <c r="Q299" i="25"/>
  <c r="R299" i="25"/>
  <c r="Q300" i="25"/>
  <c r="R300" i="25"/>
  <c r="Q301" i="25"/>
  <c r="R301" i="25"/>
  <c r="Q302" i="25"/>
  <c r="R302" i="25"/>
  <c r="Q303" i="25"/>
  <c r="R303" i="25"/>
  <c r="Q304" i="25"/>
  <c r="R304" i="25"/>
  <c r="Q305" i="25"/>
  <c r="R305" i="25"/>
  <c r="Q306" i="25"/>
  <c r="R306" i="25"/>
  <c r="Q307" i="25"/>
  <c r="R307" i="25"/>
  <c r="Q308" i="25"/>
  <c r="R308" i="25"/>
  <c r="Q309" i="25"/>
  <c r="R309" i="25"/>
  <c r="Q310" i="25"/>
  <c r="R310" i="25"/>
  <c r="Q311" i="25"/>
  <c r="R311" i="25"/>
  <c r="Q312" i="25"/>
  <c r="R312" i="25"/>
  <c r="Q313" i="25"/>
  <c r="R313" i="25"/>
  <c r="Q314" i="25"/>
  <c r="R314" i="25"/>
  <c r="Q315" i="25"/>
  <c r="R315" i="25"/>
  <c r="Q316" i="25"/>
  <c r="R316" i="25"/>
  <c r="Q317" i="25"/>
  <c r="R317" i="25"/>
  <c r="Q318" i="25"/>
  <c r="R318" i="25"/>
  <c r="Q319" i="25"/>
  <c r="R319" i="25"/>
  <c r="Q320" i="25"/>
  <c r="R320" i="25"/>
  <c r="Q321" i="25"/>
  <c r="R321" i="25"/>
  <c r="Q322" i="25"/>
  <c r="R322" i="25"/>
  <c r="Q323" i="25"/>
  <c r="R323" i="25"/>
  <c r="Q324" i="25"/>
  <c r="R324" i="25"/>
  <c r="Q325" i="25"/>
  <c r="R325" i="25"/>
  <c r="Q326" i="25"/>
  <c r="R326" i="25"/>
  <c r="Q327" i="25"/>
  <c r="R327" i="25"/>
  <c r="Q328" i="25"/>
  <c r="R328" i="25"/>
  <c r="Q329" i="25"/>
  <c r="R329" i="25"/>
  <c r="Q330" i="25"/>
  <c r="R330" i="25"/>
  <c r="Q331" i="25"/>
  <c r="R331" i="25"/>
  <c r="Q332" i="25"/>
  <c r="R332" i="25"/>
  <c r="Q333" i="25"/>
  <c r="R333" i="25"/>
  <c r="Q334" i="25"/>
  <c r="R334" i="25"/>
  <c r="Q335" i="25"/>
  <c r="R335" i="25"/>
  <c r="Q336" i="25"/>
  <c r="R336" i="25"/>
  <c r="Q337" i="25"/>
  <c r="R337" i="25"/>
  <c r="Q338" i="25"/>
  <c r="R338" i="25"/>
  <c r="Q339" i="25"/>
  <c r="R339" i="25"/>
  <c r="Q340" i="25"/>
  <c r="R340" i="25"/>
  <c r="Q341" i="25"/>
  <c r="R341" i="25"/>
  <c r="Q342" i="25"/>
  <c r="R342" i="25"/>
  <c r="Q343" i="25"/>
  <c r="R343" i="25"/>
  <c r="Q344" i="25"/>
  <c r="R344" i="25"/>
  <c r="Q345" i="25"/>
  <c r="R345" i="25"/>
  <c r="Q346" i="25"/>
  <c r="R346" i="25"/>
  <c r="Q347" i="25"/>
  <c r="R347" i="25"/>
  <c r="Q348" i="25"/>
  <c r="R348" i="25"/>
  <c r="Q349" i="25"/>
  <c r="R349" i="25"/>
  <c r="Q350" i="25"/>
  <c r="R350" i="25"/>
  <c r="Q351" i="25"/>
  <c r="R351" i="25"/>
  <c r="Q352" i="25"/>
  <c r="R352" i="25"/>
  <c r="Q353" i="25"/>
  <c r="R353" i="25"/>
  <c r="Q354" i="25"/>
  <c r="R354" i="25"/>
  <c r="Q355" i="25"/>
  <c r="R355" i="25"/>
  <c r="Q356" i="25"/>
  <c r="R356" i="25"/>
  <c r="Q357" i="25"/>
  <c r="R357" i="25"/>
  <c r="Q358" i="25"/>
  <c r="R358" i="25"/>
  <c r="Q359" i="25"/>
  <c r="R359" i="25"/>
  <c r="Q360" i="25"/>
  <c r="R360" i="25"/>
  <c r="Q361" i="25"/>
  <c r="R361" i="25"/>
  <c r="Q362" i="25"/>
  <c r="R362" i="25"/>
  <c r="Q363" i="25"/>
  <c r="R363" i="25"/>
  <c r="Q364" i="25"/>
  <c r="R364" i="25"/>
  <c r="Q365" i="25"/>
  <c r="R365" i="25"/>
  <c r="Q366" i="25"/>
  <c r="R366" i="25"/>
  <c r="Q367" i="25"/>
  <c r="R367" i="25"/>
  <c r="Q368" i="25"/>
  <c r="R368" i="25"/>
  <c r="Q369" i="25"/>
  <c r="R369" i="25"/>
  <c r="Q370" i="25"/>
  <c r="R370" i="25"/>
  <c r="Q371" i="25"/>
  <c r="R371" i="25"/>
  <c r="Q372" i="25"/>
  <c r="R372" i="25"/>
  <c r="Q373" i="25"/>
  <c r="R373" i="25"/>
  <c r="Q374" i="25"/>
  <c r="R374" i="25"/>
  <c r="Q375" i="25"/>
  <c r="R375" i="25"/>
  <c r="Q376" i="25"/>
  <c r="R376" i="25"/>
  <c r="Q377" i="25"/>
  <c r="R377" i="25"/>
  <c r="Q378" i="25"/>
  <c r="R378" i="25"/>
  <c r="Q379" i="25"/>
  <c r="R379" i="25"/>
  <c r="Q380" i="25"/>
  <c r="R380" i="25"/>
  <c r="Q381" i="25"/>
  <c r="R381" i="25"/>
  <c r="Q382" i="25"/>
  <c r="R382" i="25"/>
  <c r="Q383" i="25"/>
  <c r="R383" i="25"/>
  <c r="Q384" i="25"/>
  <c r="R384" i="25"/>
  <c r="Q385" i="25"/>
  <c r="R385" i="25"/>
  <c r="Q386" i="25"/>
  <c r="R386" i="25"/>
  <c r="Q387" i="25"/>
  <c r="R387" i="25"/>
  <c r="Q388" i="25"/>
  <c r="R388" i="25"/>
  <c r="Q389" i="25"/>
  <c r="R389" i="25"/>
  <c r="Q390" i="25"/>
  <c r="R390" i="25"/>
  <c r="Q391" i="25"/>
  <c r="R391" i="25"/>
  <c r="Q392" i="25"/>
  <c r="R392" i="25"/>
  <c r="Q393" i="25"/>
  <c r="R393" i="25"/>
  <c r="Q394" i="25"/>
  <c r="R394" i="25"/>
  <c r="Q395" i="25"/>
  <c r="R395" i="25"/>
  <c r="Q396" i="25"/>
  <c r="R396" i="25"/>
  <c r="Q397" i="25"/>
  <c r="R397" i="25"/>
  <c r="Q398" i="25"/>
  <c r="R398" i="25"/>
  <c r="Q399" i="25"/>
  <c r="R399" i="25"/>
  <c r="Q400" i="25"/>
  <c r="R400" i="25"/>
  <c r="Q401" i="25"/>
  <c r="R401" i="25"/>
  <c r="Q402" i="25"/>
  <c r="R402" i="25"/>
  <c r="Q403" i="25"/>
  <c r="R403" i="25"/>
  <c r="Q404" i="25"/>
  <c r="R404" i="25"/>
  <c r="Q405" i="25"/>
  <c r="R405" i="25"/>
  <c r="Q406" i="25"/>
  <c r="R406" i="25"/>
  <c r="Q407" i="25"/>
  <c r="R407" i="25"/>
  <c r="Q408" i="25"/>
  <c r="R408" i="25"/>
  <c r="Q409" i="25"/>
  <c r="R409" i="25"/>
  <c r="Q410" i="25"/>
  <c r="R410" i="25"/>
  <c r="Q411" i="25"/>
  <c r="R411" i="25"/>
  <c r="Q412" i="25"/>
  <c r="R412" i="25"/>
  <c r="Q413" i="25"/>
  <c r="R413" i="25"/>
  <c r="Q414" i="25"/>
  <c r="R414" i="25"/>
  <c r="R6" i="25"/>
  <c r="Q6" i="25"/>
  <c r="F414" i="25"/>
  <c r="F413" i="25"/>
  <c r="F412" i="25"/>
  <c r="F411" i="25"/>
  <c r="F410" i="25"/>
  <c r="F409" i="25"/>
  <c r="F408" i="25"/>
  <c r="F407" i="25"/>
  <c r="F405" i="25"/>
  <c r="F406"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1" i="25"/>
  <c r="F370" i="25"/>
  <c r="F369" i="25"/>
  <c r="F368" i="25"/>
  <c r="F367" i="25"/>
  <c r="F366" i="25"/>
  <c r="F365" i="25"/>
  <c r="F364" i="25"/>
  <c r="F363" i="25"/>
  <c r="F362" i="25"/>
  <c r="F361" i="25"/>
  <c r="F360" i="25"/>
  <c r="F359" i="25"/>
  <c r="F377" i="25"/>
  <c r="F376" i="25"/>
  <c r="F375" i="25"/>
  <c r="F374" i="25"/>
  <c r="F373" i="25"/>
  <c r="F372"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2" i="25"/>
  <c r="F331" i="25"/>
  <c r="F333" i="25"/>
  <c r="F334" i="25"/>
  <c r="F330" i="25"/>
  <c r="F329" i="25"/>
  <c r="F328" i="25"/>
  <c r="F327" i="25"/>
  <c r="F326" i="25"/>
  <c r="F325" i="25"/>
  <c r="F324" i="25"/>
  <c r="F323" i="25"/>
  <c r="F322" i="25"/>
  <c r="F321" i="25"/>
  <c r="F320" i="25"/>
  <c r="F319" i="25"/>
  <c r="F318" i="25"/>
  <c r="F317" i="25"/>
  <c r="F316" i="25"/>
  <c r="F315" i="25"/>
  <c r="F314" i="25"/>
  <c r="F313" i="25"/>
  <c r="F312" i="25"/>
  <c r="F310" i="25"/>
  <c r="F311"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3" i="25"/>
  <c r="F92" i="25"/>
  <c r="F91" i="25"/>
  <c r="F90" i="25"/>
  <c r="F89" i="25"/>
  <c r="F88" i="25"/>
  <c r="F87" i="25"/>
  <c r="F86" i="25"/>
  <c r="F85" i="25"/>
  <c r="F84" i="25"/>
  <c r="F83" i="25"/>
  <c r="F82" i="25"/>
  <c r="F81" i="25"/>
  <c r="F80" i="25"/>
  <c r="F79" i="25"/>
  <c r="F78" i="25"/>
  <c r="F77" i="25"/>
  <c r="F76" i="25"/>
  <c r="F75" i="25"/>
  <c r="F74" i="25"/>
  <c r="F72" i="25"/>
  <c r="F73"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8" i="25"/>
  <c r="F9" i="25"/>
  <c r="F10" i="25"/>
  <c r="F11" i="25"/>
  <c r="F12" i="25"/>
  <c r="F13" i="25"/>
  <c r="F14" i="25"/>
  <c r="F7" i="25"/>
  <c r="F6" i="25"/>
  <c r="E415" i="25"/>
  <c r="M8" i="35"/>
  <c r="M9" i="35"/>
  <c r="N9" i="35" s="1"/>
  <c r="O9" i="35" s="1"/>
  <c r="M10" i="35"/>
  <c r="N10" i="35" s="1"/>
  <c r="O10" i="35" s="1"/>
  <c r="M11" i="35"/>
  <c r="N11" i="35"/>
  <c r="O11" i="35" s="1"/>
  <c r="M12" i="35"/>
  <c r="N12" i="35" s="1"/>
  <c r="O12" i="35" s="1"/>
  <c r="M13" i="35"/>
  <c r="N13" i="35" s="1"/>
  <c r="O13" i="35" s="1"/>
  <c r="M14" i="35"/>
  <c r="N14" i="35"/>
  <c r="O14" i="35" s="1"/>
  <c r="M15" i="35"/>
  <c r="N15" i="35"/>
  <c r="O15" i="35" s="1"/>
  <c r="M16" i="35"/>
  <c r="N16" i="35" s="1"/>
  <c r="O16" i="35" s="1"/>
  <c r="M17" i="35"/>
  <c r="N17" i="35"/>
  <c r="O17" i="35"/>
  <c r="M18" i="35"/>
  <c r="N18" i="35"/>
  <c r="O18" i="35"/>
  <c r="M19" i="35"/>
  <c r="N19" i="35"/>
  <c r="O19" i="35" s="1"/>
  <c r="M20" i="35"/>
  <c r="N20" i="35" s="1"/>
  <c r="O20" i="35" s="1"/>
  <c r="M21" i="35"/>
  <c r="N21" i="35" s="1"/>
  <c r="O21" i="35"/>
  <c r="M22" i="35"/>
  <c r="N22" i="35" s="1"/>
  <c r="O22" i="35"/>
  <c r="M23" i="35"/>
  <c r="N23" i="35" s="1"/>
  <c r="O23" i="35" s="1"/>
  <c r="M24" i="35"/>
  <c r="N24" i="35" s="1"/>
  <c r="O24" i="35" s="1"/>
  <c r="M25" i="35"/>
  <c r="N25" i="35"/>
  <c r="O25" i="35" s="1"/>
  <c r="M26" i="35"/>
  <c r="N26" i="35"/>
  <c r="O26" i="35" s="1"/>
  <c r="M27" i="35"/>
  <c r="N27" i="35"/>
  <c r="O27" i="35" s="1"/>
  <c r="M28" i="35"/>
  <c r="N28" i="35" s="1"/>
  <c r="O28" i="35" s="1"/>
  <c r="M29" i="35"/>
  <c r="N29" i="35" s="1"/>
  <c r="O29" i="35" s="1"/>
  <c r="M30" i="35"/>
  <c r="N30" i="35"/>
  <c r="O30" i="35" s="1"/>
  <c r="M31" i="35"/>
  <c r="N31" i="35"/>
  <c r="O31" i="35" s="1"/>
  <c r="M32" i="35"/>
  <c r="N32" i="35" s="1"/>
  <c r="O32" i="35" s="1"/>
  <c r="M33" i="35"/>
  <c r="N33" i="35"/>
  <c r="O33" i="35"/>
  <c r="M34" i="35"/>
  <c r="N34" i="35"/>
  <c r="O34" i="35" s="1"/>
  <c r="M35" i="35"/>
  <c r="N35" i="35"/>
  <c r="O35" i="35" s="1"/>
  <c r="M36" i="35"/>
  <c r="N36" i="35" s="1"/>
  <c r="O36" i="35" s="1"/>
  <c r="M37" i="35"/>
  <c r="N37" i="35"/>
  <c r="O37" i="35"/>
  <c r="M38" i="35"/>
  <c r="N38" i="35" s="1"/>
  <c r="O38" i="35" s="1"/>
  <c r="M39" i="35"/>
  <c r="N39" i="35" s="1"/>
  <c r="O39" i="35" s="1"/>
  <c r="M40" i="35"/>
  <c r="N40" i="35" s="1"/>
  <c r="O40" i="35" s="1"/>
  <c r="M41" i="35"/>
  <c r="N41" i="35" s="1"/>
  <c r="O41" i="35" s="1"/>
  <c r="M42" i="35"/>
  <c r="N42" i="35" s="1"/>
  <c r="O42" i="35" s="1"/>
  <c r="M43" i="35"/>
  <c r="N43" i="35"/>
  <c r="O43" i="35" s="1"/>
  <c r="M44" i="35"/>
  <c r="N44" i="35" s="1"/>
  <c r="O44" i="35" s="1"/>
  <c r="M45" i="35"/>
  <c r="N45" i="35" s="1"/>
  <c r="O45" i="35" s="1"/>
  <c r="M46" i="35"/>
  <c r="N46" i="35" s="1"/>
  <c r="O46" i="35" s="1"/>
  <c r="M47" i="35"/>
  <c r="N47" i="35" s="1"/>
  <c r="O47" i="35" s="1"/>
  <c r="M48" i="35"/>
  <c r="N48" i="35" s="1"/>
  <c r="O48" i="35" s="1"/>
  <c r="M49" i="35"/>
  <c r="N49" i="35" s="1"/>
  <c r="O49" i="35"/>
  <c r="M50" i="35"/>
  <c r="N50" i="35" s="1"/>
  <c r="O50" i="35" s="1"/>
  <c r="M51" i="35"/>
  <c r="N51" i="35" s="1"/>
  <c r="O51" i="35" s="1"/>
  <c r="M52" i="35"/>
  <c r="N52" i="35" s="1"/>
  <c r="O52" i="35" s="1"/>
  <c r="M53" i="35"/>
  <c r="N53" i="35"/>
  <c r="O53" i="35" s="1"/>
  <c r="M54" i="35"/>
  <c r="N54" i="35"/>
  <c r="O54" i="35" s="1"/>
  <c r="M55" i="35"/>
  <c r="N55" i="35"/>
  <c r="O55" i="35" s="1"/>
  <c r="M56" i="35"/>
  <c r="N56" i="35" s="1"/>
  <c r="O56" i="35" s="1"/>
  <c r="M57" i="35"/>
  <c r="N57" i="35"/>
  <c r="O57" i="35" s="1"/>
  <c r="M58" i="35"/>
  <c r="N58" i="35"/>
  <c r="O58" i="35"/>
  <c r="M59" i="35"/>
  <c r="N59" i="35"/>
  <c r="O59" i="35" s="1"/>
  <c r="M60" i="35"/>
  <c r="N60" i="35" s="1"/>
  <c r="O60" i="35" s="1"/>
  <c r="M61" i="35"/>
  <c r="N61" i="35" s="1"/>
  <c r="O61" i="35" s="1"/>
  <c r="M62" i="35"/>
  <c r="N62" i="35"/>
  <c r="O62" i="35" s="1"/>
  <c r="M63" i="35"/>
  <c r="N63" i="35"/>
  <c r="O63" i="35" s="1"/>
  <c r="M64" i="35"/>
  <c r="N64" i="35" s="1"/>
  <c r="O64" i="35" s="1"/>
  <c r="M65" i="35"/>
  <c r="N65" i="35"/>
  <c r="O65" i="35" s="1"/>
  <c r="M66" i="35"/>
  <c r="N66" i="35" s="1"/>
  <c r="O66" i="35" s="1"/>
  <c r="M67" i="35"/>
  <c r="N67" i="35"/>
  <c r="O67" i="35" s="1"/>
  <c r="M68" i="35"/>
  <c r="N68" i="35" s="1"/>
  <c r="O68" i="35" s="1"/>
  <c r="M69" i="35"/>
  <c r="N69" i="35"/>
  <c r="O69" i="35"/>
  <c r="M70" i="35"/>
  <c r="N70" i="35"/>
  <c r="O70" i="35"/>
  <c r="M71" i="35"/>
  <c r="N71" i="35" s="1"/>
  <c r="O71" i="35" s="1"/>
  <c r="M72" i="35"/>
  <c r="N72" i="35" s="1"/>
  <c r="O72" i="35" s="1"/>
  <c r="M73" i="35"/>
  <c r="N73" i="35" s="1"/>
  <c r="O73" i="35" s="1"/>
  <c r="M74" i="35"/>
  <c r="N74" i="35" s="1"/>
  <c r="O74" i="35" s="1"/>
  <c r="M75" i="35"/>
  <c r="N75" i="35" s="1"/>
  <c r="O75" i="35" s="1"/>
  <c r="M76" i="35"/>
  <c r="N76" i="35" s="1"/>
  <c r="O76" i="35" s="1"/>
  <c r="M77" i="35"/>
  <c r="N77" i="35" s="1"/>
  <c r="O77" i="35" s="1"/>
  <c r="M78" i="35"/>
  <c r="N78" i="35"/>
  <c r="O78" i="35"/>
  <c r="M79" i="35"/>
  <c r="N79" i="35" s="1"/>
  <c r="O79" i="35" s="1"/>
  <c r="M80" i="35"/>
  <c r="N80" i="35" s="1"/>
  <c r="O80" i="35" s="1"/>
  <c r="M81" i="35"/>
  <c r="N81" i="35"/>
  <c r="O81" i="35"/>
  <c r="M82" i="35"/>
  <c r="N82" i="35" s="1"/>
  <c r="O82" i="35" s="1"/>
  <c r="M83" i="35"/>
  <c r="N83" i="35"/>
  <c r="O83" i="35" s="1"/>
  <c r="M84" i="35"/>
  <c r="N84" i="35" s="1"/>
  <c r="O84" i="35" s="1"/>
  <c r="M85" i="35"/>
  <c r="N85" i="35"/>
  <c r="O85" i="35"/>
  <c r="M86" i="35"/>
  <c r="N86" i="35"/>
  <c r="O86" i="35"/>
  <c r="M87" i="35"/>
  <c r="N87" i="35"/>
  <c r="O87" i="35" s="1"/>
  <c r="M88" i="35"/>
  <c r="N88" i="35" s="1"/>
  <c r="O88" i="35" s="1"/>
  <c r="M89" i="35"/>
  <c r="N89" i="35" s="1"/>
  <c r="O89" i="35" s="1"/>
  <c r="M90" i="35"/>
  <c r="N90" i="35"/>
  <c r="O90" i="35"/>
  <c r="M91" i="35"/>
  <c r="N91" i="35"/>
  <c r="O91" i="35" s="1"/>
  <c r="M92" i="35"/>
  <c r="N92" i="35" s="1"/>
  <c r="O92" i="35" s="1"/>
  <c r="M93" i="35"/>
  <c r="N93" i="35" s="1"/>
  <c r="O93" i="35" s="1"/>
  <c r="M94" i="35"/>
  <c r="N94" i="35" s="1"/>
  <c r="O94" i="35" s="1"/>
  <c r="M95" i="35"/>
  <c r="N95" i="35"/>
  <c r="O95" i="35" s="1"/>
  <c r="M96" i="35"/>
  <c r="N96" i="35" s="1"/>
  <c r="O96" i="35" s="1"/>
  <c r="M97" i="35"/>
  <c r="N97" i="35"/>
  <c r="O97" i="35"/>
  <c r="M98" i="35"/>
  <c r="N98" i="35"/>
  <c r="O98" i="35" s="1"/>
  <c r="M99" i="35"/>
  <c r="N99" i="35" s="1"/>
  <c r="O99" i="35" s="1"/>
  <c r="M100" i="35"/>
  <c r="N100" i="35" s="1"/>
  <c r="O100" i="35" s="1"/>
  <c r="M101" i="35"/>
  <c r="N101" i="35" s="1"/>
  <c r="O101" i="35"/>
  <c r="M102" i="35"/>
  <c r="N102" i="35" s="1"/>
  <c r="O102" i="35"/>
  <c r="M103" i="35"/>
  <c r="N103" i="35" s="1"/>
  <c r="O103" i="35" s="1"/>
  <c r="M104" i="35"/>
  <c r="N104" i="35" s="1"/>
  <c r="O104" i="35" s="1"/>
  <c r="M105" i="35"/>
  <c r="N105" i="35" s="1"/>
  <c r="O105" i="35" s="1"/>
  <c r="M106" i="35"/>
  <c r="N106" i="35"/>
  <c r="O106" i="35" s="1"/>
  <c r="M107" i="35"/>
  <c r="N107" i="35"/>
  <c r="O107" i="35" s="1"/>
  <c r="M108" i="35"/>
  <c r="N108" i="35" s="1"/>
  <c r="O108" i="35" s="1"/>
  <c r="M109" i="35"/>
  <c r="N109" i="35" s="1"/>
  <c r="O109" i="35" s="1"/>
  <c r="M110" i="35"/>
  <c r="N110" i="35"/>
  <c r="O110" i="35" s="1"/>
  <c r="M111" i="35"/>
  <c r="N111" i="35"/>
  <c r="O111" i="35" s="1"/>
  <c r="M112" i="35"/>
  <c r="N112" i="35" s="1"/>
  <c r="O112" i="35" s="1"/>
  <c r="M113" i="35"/>
  <c r="N113" i="35"/>
  <c r="O113" i="35"/>
  <c r="M114" i="35"/>
  <c r="N114" i="35" s="1"/>
  <c r="O114" i="35" s="1"/>
  <c r="M115" i="35"/>
  <c r="N115" i="35"/>
  <c r="O115" i="35" s="1"/>
  <c r="M116" i="35"/>
  <c r="N116" i="35" s="1"/>
  <c r="O116" i="35" s="1"/>
  <c r="M117" i="35"/>
  <c r="N117" i="35"/>
  <c r="O117" i="35"/>
  <c r="M118" i="35"/>
  <c r="N118" i="35"/>
  <c r="O118" i="35" s="1"/>
  <c r="M119" i="35"/>
  <c r="N119" i="35" s="1"/>
  <c r="O119" i="35" s="1"/>
  <c r="M120" i="35"/>
  <c r="N120" i="35" s="1"/>
  <c r="O120" i="35" s="1"/>
  <c r="M121" i="35"/>
  <c r="N121" i="35"/>
  <c r="O121" i="35" s="1"/>
  <c r="M122" i="35"/>
  <c r="N122" i="35" s="1"/>
  <c r="O122" i="35" s="1"/>
  <c r="M123" i="35"/>
  <c r="N123" i="35"/>
  <c r="O123" i="35" s="1"/>
  <c r="M124" i="35"/>
  <c r="N124" i="35" s="1"/>
  <c r="O124" i="35" s="1"/>
  <c r="M125" i="35"/>
  <c r="N125" i="35" s="1"/>
  <c r="O125" i="35" s="1"/>
  <c r="M126" i="35"/>
  <c r="N126" i="35" s="1"/>
  <c r="O126" i="35" s="1"/>
  <c r="M127" i="35"/>
  <c r="N127" i="35" s="1"/>
  <c r="O127" i="35" s="1"/>
  <c r="M128" i="35"/>
  <c r="N128" i="35" s="1"/>
  <c r="O128" i="35" s="1"/>
  <c r="M129" i="35"/>
  <c r="N129" i="35" s="1"/>
  <c r="O129" i="35"/>
  <c r="M130" i="35"/>
  <c r="N130" i="35" s="1"/>
  <c r="O130" i="35"/>
  <c r="M131" i="35"/>
  <c r="N131" i="35" s="1"/>
  <c r="O131" i="35" s="1"/>
  <c r="M132" i="35"/>
  <c r="N132" i="35" s="1"/>
  <c r="O132" i="35" s="1"/>
  <c r="M133" i="35"/>
  <c r="N133" i="35"/>
  <c r="O133" i="35" s="1"/>
  <c r="M134" i="35"/>
  <c r="N134" i="35"/>
  <c r="O134" i="35" s="1"/>
  <c r="M135" i="35"/>
  <c r="N135" i="35"/>
  <c r="O135" i="35" s="1"/>
  <c r="M136" i="35"/>
  <c r="N136" i="35" s="1"/>
  <c r="O136" i="35" s="1"/>
  <c r="M137" i="35"/>
  <c r="N137" i="35"/>
  <c r="O137" i="35" s="1"/>
  <c r="M138" i="35"/>
  <c r="N138" i="35"/>
  <c r="O138" i="35"/>
  <c r="M139" i="35"/>
  <c r="N139" i="35"/>
  <c r="O139" i="35" s="1"/>
  <c r="M140" i="35"/>
  <c r="N140" i="35" s="1"/>
  <c r="O140" i="35" s="1"/>
  <c r="M141" i="35"/>
  <c r="N141" i="35"/>
  <c r="O141" i="35" s="1"/>
  <c r="M142" i="35"/>
  <c r="N142" i="35"/>
  <c r="O142" i="35" s="1"/>
  <c r="M143" i="35"/>
  <c r="N143" i="35"/>
  <c r="O143" i="35" s="1"/>
  <c r="M144" i="35"/>
  <c r="N144" i="35" s="1"/>
  <c r="O144" i="35" s="1"/>
  <c r="M145" i="35"/>
  <c r="N145" i="35"/>
  <c r="O145" i="35" s="1"/>
  <c r="M146" i="35"/>
  <c r="N146" i="35" s="1"/>
  <c r="O146" i="35" s="1"/>
  <c r="M147" i="35"/>
  <c r="N147" i="35"/>
  <c r="O147" i="35" s="1"/>
  <c r="M148" i="35"/>
  <c r="N148" i="35" s="1"/>
  <c r="O148" i="35" s="1"/>
  <c r="M149" i="35"/>
  <c r="N149" i="35"/>
  <c r="O149" i="35"/>
  <c r="M150" i="35"/>
  <c r="N150" i="35"/>
  <c r="O150" i="35"/>
  <c r="M151" i="35"/>
  <c r="N151" i="35"/>
  <c r="O151" i="35" s="1"/>
  <c r="M152" i="35"/>
  <c r="N152" i="35" s="1"/>
  <c r="O152" i="35" s="1"/>
  <c r="M153" i="35"/>
  <c r="N153" i="35" s="1"/>
  <c r="O153" i="35" s="1"/>
  <c r="M154" i="35"/>
  <c r="N154" i="35" s="1"/>
  <c r="O154" i="35" s="1"/>
  <c r="M155" i="35"/>
  <c r="N155" i="35" s="1"/>
  <c r="O155" i="35" s="1"/>
  <c r="M156" i="35"/>
  <c r="N156" i="35" s="1"/>
  <c r="O156" i="35" s="1"/>
  <c r="M157" i="35"/>
  <c r="N157" i="35" s="1"/>
  <c r="O157" i="35" s="1"/>
  <c r="M158" i="35"/>
  <c r="N158" i="35"/>
  <c r="O158" i="35"/>
  <c r="M159" i="35"/>
  <c r="N159" i="35" s="1"/>
  <c r="O159" i="35" s="1"/>
  <c r="M160" i="35"/>
  <c r="N160" i="35" s="1"/>
  <c r="O160" i="35" s="1"/>
  <c r="M161" i="35"/>
  <c r="N161" i="35"/>
  <c r="O161" i="35"/>
  <c r="M162" i="35"/>
  <c r="N162" i="35" s="1"/>
  <c r="O162" i="35" s="1"/>
  <c r="M163" i="35"/>
  <c r="N163" i="35"/>
  <c r="O163" i="35" s="1"/>
  <c r="M164" i="35"/>
  <c r="N164" i="35" s="1"/>
  <c r="O164" i="35" s="1"/>
  <c r="M165" i="35"/>
  <c r="N165" i="35"/>
  <c r="O165" i="35"/>
  <c r="M166" i="35"/>
  <c r="N166" i="35"/>
  <c r="O166" i="35"/>
  <c r="M167" i="35"/>
  <c r="N167" i="35"/>
  <c r="O167" i="35" s="1"/>
  <c r="M168" i="35"/>
  <c r="N168" i="35" s="1"/>
  <c r="O168" i="35" s="1"/>
  <c r="M169" i="35"/>
  <c r="N169" i="35"/>
  <c r="O169" i="35" s="1"/>
  <c r="M170" i="35"/>
  <c r="N170" i="35"/>
  <c r="O170" i="35"/>
  <c r="M171" i="35"/>
  <c r="N171" i="35"/>
  <c r="O171" i="35" s="1"/>
  <c r="M172" i="35"/>
  <c r="N172" i="35" s="1"/>
  <c r="O172" i="35" s="1"/>
  <c r="M173" i="35"/>
  <c r="N173" i="35" s="1"/>
  <c r="O173" i="35" s="1"/>
  <c r="M174" i="35"/>
  <c r="N174" i="35" s="1"/>
  <c r="O174" i="35" s="1"/>
  <c r="M175" i="35"/>
  <c r="N175" i="35"/>
  <c r="O175" i="35" s="1"/>
  <c r="M176" i="35"/>
  <c r="N176" i="35" s="1"/>
  <c r="O176" i="35" s="1"/>
  <c r="M177" i="35"/>
  <c r="N177" i="35"/>
  <c r="O177" i="35"/>
  <c r="M178" i="35"/>
  <c r="N178" i="35"/>
  <c r="O178" i="35"/>
  <c r="M179" i="35"/>
  <c r="N179" i="35"/>
  <c r="O179" i="35" s="1"/>
  <c r="M180" i="35"/>
  <c r="N180" i="35" s="1"/>
  <c r="O180" i="35" s="1"/>
  <c r="M181" i="35"/>
  <c r="N181" i="35" s="1"/>
  <c r="O181" i="35"/>
  <c r="M182" i="35"/>
  <c r="N182" i="35" s="1"/>
  <c r="O182" i="35"/>
  <c r="M183" i="35"/>
  <c r="N183" i="35" s="1"/>
  <c r="O183" i="35" s="1"/>
  <c r="M184" i="35"/>
  <c r="N184" i="35" s="1"/>
  <c r="O184" i="35" s="1"/>
  <c r="M185" i="35"/>
  <c r="N185" i="35" s="1"/>
  <c r="O185" i="35" s="1"/>
  <c r="M186" i="35"/>
  <c r="N186" i="35"/>
  <c r="O186" i="35" s="1"/>
  <c r="M187" i="35"/>
  <c r="N187" i="35"/>
  <c r="O187" i="35" s="1"/>
  <c r="M188" i="35"/>
  <c r="N188" i="35" s="1"/>
  <c r="O188" i="35" s="1"/>
  <c r="M189" i="35"/>
  <c r="N189" i="35" s="1"/>
  <c r="O189" i="35" s="1"/>
  <c r="M190" i="35"/>
  <c r="N190" i="35"/>
  <c r="O190" i="35" s="1"/>
  <c r="M191" i="35"/>
  <c r="N191" i="35"/>
  <c r="O191" i="35" s="1"/>
  <c r="M192" i="35"/>
  <c r="N192" i="35" s="1"/>
  <c r="O192" i="35" s="1"/>
  <c r="M193" i="35"/>
  <c r="N193" i="35"/>
  <c r="O193" i="35"/>
  <c r="M194" i="35"/>
  <c r="N194" i="35" s="1"/>
  <c r="O194" i="35" s="1"/>
  <c r="M195" i="35"/>
  <c r="N195" i="35"/>
  <c r="O195" i="35" s="1"/>
  <c r="M196" i="35"/>
  <c r="N196" i="35" s="1"/>
  <c r="O196" i="35" s="1"/>
  <c r="M197" i="35"/>
  <c r="N197" i="35"/>
  <c r="O197" i="35"/>
  <c r="M198" i="35"/>
  <c r="N198" i="35" s="1"/>
  <c r="O198" i="35" s="1"/>
  <c r="M199" i="35"/>
  <c r="N199" i="35" s="1"/>
  <c r="O199" i="35" s="1"/>
  <c r="M200" i="35"/>
  <c r="N200" i="35" s="1"/>
  <c r="O200" i="35" s="1"/>
  <c r="M201" i="35"/>
  <c r="N201" i="35"/>
  <c r="O201" i="35" s="1"/>
  <c r="M202" i="35"/>
  <c r="N202" i="35" s="1"/>
  <c r="O202" i="35" s="1"/>
  <c r="M203" i="35"/>
  <c r="N203" i="35"/>
  <c r="O203" i="35" s="1"/>
  <c r="M204" i="35"/>
  <c r="N204" i="35" s="1"/>
  <c r="O204" i="35" s="1"/>
  <c r="M205" i="35"/>
  <c r="N205" i="35" s="1"/>
  <c r="O205" i="35" s="1"/>
  <c r="M206" i="35"/>
  <c r="N206" i="35" s="1"/>
  <c r="O206" i="35" s="1"/>
  <c r="M207" i="35"/>
  <c r="N207" i="35" s="1"/>
  <c r="O207" i="35" s="1"/>
  <c r="M208" i="35"/>
  <c r="N208" i="35" s="1"/>
  <c r="O208" i="35" s="1"/>
  <c r="M209" i="35"/>
  <c r="N209" i="35" s="1"/>
  <c r="O209" i="35"/>
  <c r="M210" i="35"/>
  <c r="N210" i="35" s="1"/>
  <c r="O210" i="35"/>
  <c r="M211" i="35"/>
  <c r="N211" i="35" s="1"/>
  <c r="O211" i="35" s="1"/>
  <c r="M212" i="35"/>
  <c r="N212" i="35" s="1"/>
  <c r="O212" i="35" s="1"/>
  <c r="M213" i="35"/>
  <c r="N213" i="35"/>
  <c r="O213" i="35" s="1"/>
  <c r="M214" i="35"/>
  <c r="N214" i="35"/>
  <c r="O214" i="35" s="1"/>
  <c r="M215" i="35"/>
  <c r="N215" i="35"/>
  <c r="O215" i="35" s="1"/>
  <c r="M216" i="35"/>
  <c r="N216" i="35" s="1"/>
  <c r="O216" i="35" s="1"/>
  <c r="M217" i="35"/>
  <c r="N217" i="35"/>
  <c r="O217" i="35" s="1"/>
  <c r="M218" i="35"/>
  <c r="N218" i="35"/>
  <c r="O218" i="35"/>
  <c r="M219" i="35"/>
  <c r="N219" i="35"/>
  <c r="O219" i="35" s="1"/>
  <c r="M220" i="35"/>
  <c r="N220" i="35" s="1"/>
  <c r="O220" i="35" s="1"/>
  <c r="M221" i="35"/>
  <c r="N221" i="35"/>
  <c r="O221" i="35"/>
  <c r="M222" i="35"/>
  <c r="N222" i="35"/>
  <c r="O222" i="35" s="1"/>
  <c r="M223" i="35"/>
  <c r="N223" i="35"/>
  <c r="O223" i="35" s="1"/>
  <c r="M224" i="35"/>
  <c r="N224" i="35" s="1"/>
  <c r="O224" i="35" s="1"/>
  <c r="M225" i="35"/>
  <c r="N225" i="35"/>
  <c r="O225" i="35" s="1"/>
  <c r="M226" i="35"/>
  <c r="N226" i="35" s="1"/>
  <c r="O226" i="35" s="1"/>
  <c r="M227" i="35"/>
  <c r="N227" i="35"/>
  <c r="O227" i="35" s="1"/>
  <c r="M228" i="35"/>
  <c r="N228" i="35" s="1"/>
  <c r="O228" i="35" s="1"/>
  <c r="M229" i="35"/>
  <c r="N229" i="35"/>
  <c r="O229" i="35"/>
  <c r="M230" i="35"/>
  <c r="N230" i="35"/>
  <c r="O230" i="35"/>
  <c r="M231" i="35"/>
  <c r="N231" i="35"/>
  <c r="O231" i="35" s="1"/>
  <c r="M232" i="35"/>
  <c r="N232" i="35" s="1"/>
  <c r="O232" i="35" s="1"/>
  <c r="M233" i="35"/>
  <c r="N233" i="35" s="1"/>
  <c r="O233" i="35" s="1"/>
  <c r="M234" i="35"/>
  <c r="N234" i="35" s="1"/>
  <c r="O234" i="35" s="1"/>
  <c r="M235" i="35"/>
  <c r="N235" i="35" s="1"/>
  <c r="O235" i="35" s="1"/>
  <c r="M236" i="35"/>
  <c r="N236" i="35" s="1"/>
  <c r="O236" i="35" s="1"/>
  <c r="M237" i="35"/>
  <c r="N237" i="35" s="1"/>
  <c r="O237" i="35" s="1"/>
  <c r="M238" i="35"/>
  <c r="N238" i="35"/>
  <c r="O238" i="35"/>
  <c r="M239" i="35"/>
  <c r="N239" i="35"/>
  <c r="O239" i="35" s="1"/>
  <c r="M240" i="35"/>
  <c r="N240" i="35" s="1"/>
  <c r="O240" i="35" s="1"/>
  <c r="M241" i="35"/>
  <c r="N241" i="35"/>
  <c r="O241" i="35"/>
  <c r="M242" i="35"/>
  <c r="N242" i="35" s="1"/>
  <c r="O242" i="35" s="1"/>
  <c r="M243" i="35"/>
  <c r="N243" i="35"/>
  <c r="O243" i="35" s="1"/>
  <c r="M244" i="35"/>
  <c r="N244" i="35" s="1"/>
  <c r="O244" i="35" s="1"/>
  <c r="M245" i="35"/>
  <c r="N245" i="35"/>
  <c r="O245" i="35"/>
  <c r="M246" i="35"/>
  <c r="N246" i="35"/>
  <c r="O246" i="35"/>
  <c r="M247" i="35"/>
  <c r="N247" i="35"/>
  <c r="O247" i="35" s="1"/>
  <c r="M248" i="35"/>
  <c r="N248" i="35" s="1"/>
  <c r="O248" i="35" s="1"/>
  <c r="M249" i="35"/>
  <c r="N249" i="35" s="1"/>
  <c r="O249" i="35" s="1"/>
  <c r="M250" i="35"/>
  <c r="N250" i="35" s="1"/>
  <c r="O250" i="35" s="1"/>
  <c r="M251" i="35"/>
  <c r="N251" i="35"/>
  <c r="O251" i="35" s="1"/>
  <c r="M252" i="35"/>
  <c r="N252" i="35" s="1"/>
  <c r="O252" i="35" s="1"/>
  <c r="M253" i="35"/>
  <c r="N253" i="35" s="1"/>
  <c r="O253" i="35" s="1"/>
  <c r="M254" i="35"/>
  <c r="N254" i="35" s="1"/>
  <c r="O254" i="35" s="1"/>
  <c r="M255" i="35"/>
  <c r="N255" i="35"/>
  <c r="O255" i="35" s="1"/>
  <c r="M256" i="35"/>
  <c r="N256" i="35" s="1"/>
  <c r="O256" i="35" s="1"/>
  <c r="M257" i="35"/>
  <c r="N257" i="35"/>
  <c r="O257" i="35"/>
  <c r="M258" i="35"/>
  <c r="N258" i="35"/>
  <c r="O258" i="35"/>
  <c r="M259" i="35"/>
  <c r="N259" i="35" s="1"/>
  <c r="O259" i="35" s="1"/>
  <c r="M260" i="35"/>
  <c r="N260" i="35" s="1"/>
  <c r="O260" i="35" s="1"/>
  <c r="M261" i="35"/>
  <c r="N261" i="35" s="1"/>
  <c r="O261" i="35" s="1"/>
  <c r="M262" i="35"/>
  <c r="N262" i="35" s="1"/>
  <c r="O262" i="35"/>
  <c r="M263" i="35"/>
  <c r="N263" i="35" s="1"/>
  <c r="O263" i="35" s="1"/>
  <c r="M264" i="35"/>
  <c r="N264" i="35" s="1"/>
  <c r="O264" i="35" s="1"/>
  <c r="M265" i="35"/>
  <c r="N265" i="35" s="1"/>
  <c r="O265" i="35" s="1"/>
  <c r="M266" i="35"/>
  <c r="N266" i="35"/>
  <c r="O266" i="35" s="1"/>
  <c r="M267" i="35"/>
  <c r="N267" i="35"/>
  <c r="O267" i="35" s="1"/>
  <c r="M268" i="35"/>
  <c r="N268" i="35" s="1"/>
  <c r="O268" i="35" s="1"/>
  <c r="M269" i="35"/>
  <c r="N269" i="35"/>
  <c r="O269" i="35" s="1"/>
  <c r="M270" i="35"/>
  <c r="N270" i="35"/>
  <c r="O270" i="35" s="1"/>
  <c r="M271" i="35"/>
  <c r="N271" i="35"/>
  <c r="O271" i="35" s="1"/>
  <c r="M272" i="35"/>
  <c r="N272" i="35" s="1"/>
  <c r="O272" i="35" s="1"/>
  <c r="M273" i="35"/>
  <c r="N273" i="35"/>
  <c r="O273" i="35"/>
  <c r="M274" i="35"/>
  <c r="N274" i="35" s="1"/>
  <c r="O274" i="35" s="1"/>
  <c r="M275" i="35"/>
  <c r="N275" i="35"/>
  <c r="O275" i="35" s="1"/>
  <c r="M276" i="35"/>
  <c r="N276" i="35" s="1"/>
  <c r="O276" i="35" s="1"/>
  <c r="M277" i="35"/>
  <c r="N277" i="35"/>
  <c r="O277" i="35"/>
  <c r="M278" i="35"/>
  <c r="N278" i="35" s="1"/>
  <c r="O278" i="35" s="1"/>
  <c r="M279" i="35"/>
  <c r="N279" i="35" s="1"/>
  <c r="O279" i="35" s="1"/>
  <c r="M280" i="35"/>
  <c r="N280" i="35" s="1"/>
  <c r="O280" i="35" s="1"/>
  <c r="M281" i="35"/>
  <c r="N281" i="35" s="1"/>
  <c r="O281" i="35" s="1"/>
  <c r="M282" i="35"/>
  <c r="N282" i="35" s="1"/>
  <c r="O282" i="35" s="1"/>
  <c r="M283" i="35"/>
  <c r="N283" i="35"/>
  <c r="O283" i="35" s="1"/>
  <c r="M284" i="35"/>
  <c r="N284" i="35" s="1"/>
  <c r="O284" i="35" s="1"/>
  <c r="M285" i="35"/>
  <c r="N285" i="35" s="1"/>
  <c r="O285" i="35" s="1"/>
  <c r="M286" i="35"/>
  <c r="N286" i="35" s="1"/>
  <c r="O286" i="35" s="1"/>
  <c r="M287" i="35"/>
  <c r="N287" i="35" s="1"/>
  <c r="O287" i="35" s="1"/>
  <c r="M288" i="35"/>
  <c r="N288" i="35" s="1"/>
  <c r="O288" i="35" s="1"/>
  <c r="M289" i="35"/>
  <c r="N289" i="35" s="1"/>
  <c r="O289" i="35"/>
  <c r="M290" i="35"/>
  <c r="N290" i="35" s="1"/>
  <c r="O290" i="35"/>
  <c r="M291" i="35"/>
  <c r="N291" i="35"/>
  <c r="O291" i="35" s="1"/>
  <c r="M292" i="35"/>
  <c r="N292" i="35" s="1"/>
  <c r="O292" i="35" s="1"/>
  <c r="M293" i="35"/>
  <c r="N293" i="35"/>
  <c r="O293" i="35" s="1"/>
  <c r="M294" i="35"/>
  <c r="N294" i="35"/>
  <c r="O294" i="35" s="1"/>
  <c r="M295" i="35"/>
  <c r="N295" i="35"/>
  <c r="O295" i="35" s="1"/>
  <c r="M296" i="35"/>
  <c r="N296" i="35" s="1"/>
  <c r="O296" i="35" s="1"/>
  <c r="M297" i="35"/>
  <c r="N297" i="35"/>
  <c r="O297" i="35" s="1"/>
  <c r="M298" i="35"/>
  <c r="N298" i="35"/>
  <c r="O298" i="35"/>
  <c r="M299" i="35"/>
  <c r="N299" i="35"/>
  <c r="O299" i="35" s="1"/>
  <c r="M300" i="35"/>
  <c r="N300" i="35" s="1"/>
  <c r="O300" i="35" s="1"/>
  <c r="M301" i="35"/>
  <c r="N301" i="35"/>
  <c r="O301" i="35"/>
  <c r="M302" i="35"/>
  <c r="N302" i="35"/>
  <c r="O302" i="35" s="1"/>
  <c r="M303" i="35"/>
  <c r="N303" i="35"/>
  <c r="O303" i="35" s="1"/>
  <c r="M304" i="35"/>
  <c r="N304" i="35" s="1"/>
  <c r="O304" i="35" s="1"/>
  <c r="M305" i="35"/>
  <c r="N305" i="35"/>
  <c r="O305" i="35" s="1"/>
  <c r="M306" i="35"/>
  <c r="N306" i="35" s="1"/>
  <c r="O306" i="35" s="1"/>
  <c r="M307" i="35"/>
  <c r="N307" i="35"/>
  <c r="O307" i="35" s="1"/>
  <c r="M308" i="35"/>
  <c r="N308" i="35" s="1"/>
  <c r="O308" i="35" s="1"/>
  <c r="M309" i="35"/>
  <c r="N309" i="35"/>
  <c r="O309" i="35"/>
  <c r="M310" i="35"/>
  <c r="N310" i="35"/>
  <c r="O310" i="35"/>
  <c r="M311" i="35"/>
  <c r="N311" i="35"/>
  <c r="O311" i="35" s="1"/>
  <c r="M312" i="35"/>
  <c r="N312" i="35" s="1"/>
  <c r="O312" i="35" s="1"/>
  <c r="M313" i="35"/>
  <c r="N313" i="35" s="1"/>
  <c r="O313" i="35" s="1"/>
  <c r="M314" i="35"/>
  <c r="N314" i="35" s="1"/>
  <c r="O314" i="35" s="1"/>
  <c r="M315" i="35"/>
  <c r="N315" i="35" s="1"/>
  <c r="O315" i="35" s="1"/>
  <c r="M316" i="35"/>
  <c r="N316" i="35" s="1"/>
  <c r="O316" i="35" s="1"/>
  <c r="M317" i="35"/>
  <c r="N317" i="35" s="1"/>
  <c r="O317" i="35" s="1"/>
  <c r="M318" i="35"/>
  <c r="N318" i="35"/>
  <c r="O318" i="35"/>
  <c r="M319" i="35"/>
  <c r="N319" i="35" s="1"/>
  <c r="O319" i="35" s="1"/>
  <c r="M320" i="35"/>
  <c r="N320" i="35" s="1"/>
  <c r="O320" i="35" s="1"/>
  <c r="M321" i="35"/>
  <c r="N321" i="35" s="1"/>
  <c r="O321" i="35" s="1"/>
  <c r="M322" i="35"/>
  <c r="N322" i="35" s="1"/>
  <c r="O322" i="35" s="1"/>
  <c r="M323" i="35"/>
  <c r="N323" i="35"/>
  <c r="O323" i="35" s="1"/>
  <c r="M324" i="35"/>
  <c r="N324" i="35" s="1"/>
  <c r="O324" i="35" s="1"/>
  <c r="M325" i="35"/>
  <c r="N325" i="35"/>
  <c r="O325" i="35"/>
  <c r="M326" i="35"/>
  <c r="N326" i="35"/>
  <c r="O326" i="35"/>
  <c r="M327" i="35"/>
  <c r="N327" i="35"/>
  <c r="O327" i="35" s="1"/>
  <c r="M328" i="35"/>
  <c r="N328" i="35" s="1"/>
  <c r="O328" i="35" s="1"/>
  <c r="M329" i="35"/>
  <c r="N329" i="35"/>
  <c r="O329" i="35" s="1"/>
  <c r="M330" i="35"/>
  <c r="N330" i="35" s="1"/>
  <c r="O330" i="35" s="1"/>
  <c r="M331" i="35"/>
  <c r="N331" i="35"/>
  <c r="O331" i="35" s="1"/>
  <c r="M332" i="35"/>
  <c r="N332" i="35" s="1"/>
  <c r="O332" i="35" s="1"/>
  <c r="M333" i="35"/>
  <c r="N333" i="35" s="1"/>
  <c r="O333" i="35" s="1"/>
  <c r="M334" i="35"/>
  <c r="N334" i="35" s="1"/>
  <c r="O334" i="35" s="1"/>
  <c r="M335" i="35"/>
  <c r="N335" i="35"/>
  <c r="O335" i="35" s="1"/>
  <c r="M336" i="35"/>
  <c r="N336" i="35" s="1"/>
  <c r="O336" i="35" s="1"/>
  <c r="M337" i="35"/>
  <c r="N337" i="35"/>
  <c r="O337" i="35"/>
  <c r="M338" i="35"/>
  <c r="N338" i="35"/>
  <c r="O338" i="35" s="1"/>
  <c r="M339" i="35"/>
  <c r="N339" i="35"/>
  <c r="O339" i="35" s="1"/>
  <c r="M340" i="35"/>
  <c r="N340" i="35" s="1"/>
  <c r="O340" i="35" s="1"/>
  <c r="M341" i="35"/>
  <c r="N341" i="35" s="1"/>
  <c r="O341" i="35" s="1"/>
  <c r="M342" i="35"/>
  <c r="N342" i="35" s="1"/>
  <c r="O342" i="35"/>
  <c r="M343" i="35"/>
  <c r="N343" i="35" s="1"/>
  <c r="O343" i="35" s="1"/>
  <c r="M344" i="35"/>
  <c r="N344" i="35" s="1"/>
  <c r="O344" i="35" s="1"/>
  <c r="M345" i="35"/>
  <c r="N345" i="35" s="1"/>
  <c r="O345" i="35" s="1"/>
  <c r="M346" i="35"/>
  <c r="N346" i="35"/>
  <c r="O346" i="35" s="1"/>
  <c r="M347" i="35"/>
  <c r="N347" i="35"/>
  <c r="O347" i="35" s="1"/>
  <c r="M348" i="35"/>
  <c r="N348" i="35" s="1"/>
  <c r="O348" i="35" s="1"/>
  <c r="M349" i="35"/>
  <c r="N349" i="35" s="1"/>
  <c r="O349" i="35" s="1"/>
  <c r="M350" i="35"/>
  <c r="N350" i="35"/>
  <c r="O350" i="35" s="1"/>
  <c r="M351" i="35"/>
  <c r="N351" i="35"/>
  <c r="O351" i="35" s="1"/>
  <c r="M352" i="35"/>
  <c r="N352" i="35" s="1"/>
  <c r="O352" i="35" s="1"/>
  <c r="M353" i="35"/>
  <c r="N353" i="35"/>
  <c r="O353" i="35"/>
  <c r="M354" i="35"/>
  <c r="N354" i="35" s="1"/>
  <c r="O354" i="35" s="1"/>
  <c r="M355" i="35"/>
  <c r="N355" i="35"/>
  <c r="O355" i="35" s="1"/>
  <c r="M356" i="35"/>
  <c r="N356" i="35" s="1"/>
  <c r="O356" i="35" s="1"/>
  <c r="M357" i="35"/>
  <c r="N357" i="35"/>
  <c r="O357" i="35"/>
  <c r="M358" i="35"/>
  <c r="N358" i="35" s="1"/>
  <c r="O358" i="35" s="1"/>
  <c r="M359" i="35"/>
  <c r="N359" i="35" s="1"/>
  <c r="O359" i="35" s="1"/>
  <c r="M360" i="35"/>
  <c r="N360" i="35" s="1"/>
  <c r="O360" i="35" s="1"/>
  <c r="M361" i="35"/>
  <c r="N361" i="35" s="1"/>
  <c r="O361" i="35" s="1"/>
  <c r="M362" i="35"/>
  <c r="N362" i="35" s="1"/>
  <c r="O362" i="35" s="1"/>
  <c r="M363" i="35"/>
  <c r="N363" i="35"/>
  <c r="O363" i="35" s="1"/>
  <c r="M364" i="35"/>
  <c r="N364" i="35" s="1"/>
  <c r="O364" i="35" s="1"/>
  <c r="M365" i="35"/>
  <c r="N365" i="35" s="1"/>
  <c r="O365" i="35" s="1"/>
  <c r="M366" i="35"/>
  <c r="N366" i="35" s="1"/>
  <c r="O366" i="35" s="1"/>
  <c r="M367" i="35"/>
  <c r="N367" i="35" s="1"/>
  <c r="O367" i="35" s="1"/>
  <c r="M368" i="35"/>
  <c r="N368" i="35" s="1"/>
  <c r="O368" i="35" s="1"/>
  <c r="M369" i="35"/>
  <c r="N369" i="35" s="1"/>
  <c r="O369" i="35"/>
  <c r="M370" i="35"/>
  <c r="N370" i="35" s="1"/>
  <c r="O370" i="35"/>
  <c r="M371" i="35"/>
  <c r="N371" i="35"/>
  <c r="O371" i="35" s="1"/>
  <c r="M372" i="35"/>
  <c r="N372" i="35" s="1"/>
  <c r="O372" i="35" s="1"/>
  <c r="M373" i="35"/>
  <c r="N373" i="35"/>
  <c r="O373" i="35" s="1"/>
  <c r="M374" i="35"/>
  <c r="N374" i="35"/>
  <c r="O374" i="35" s="1"/>
  <c r="M375" i="35"/>
  <c r="N375" i="35"/>
  <c r="O375" i="35" s="1"/>
  <c r="M376" i="35"/>
  <c r="N376" i="35" s="1"/>
  <c r="O376" i="35" s="1"/>
  <c r="M377" i="35"/>
  <c r="N377" i="35"/>
  <c r="O377" i="35" s="1"/>
  <c r="M378" i="35"/>
  <c r="N378" i="35"/>
  <c r="O378" i="35"/>
  <c r="M379" i="35"/>
  <c r="N379" i="35"/>
  <c r="O379" i="35" s="1"/>
  <c r="M380" i="35"/>
  <c r="N380" i="35" s="1"/>
  <c r="O380" i="35" s="1"/>
  <c r="M381" i="35"/>
  <c r="N381" i="35"/>
  <c r="O381" i="35"/>
  <c r="M382" i="35"/>
  <c r="N382" i="35"/>
  <c r="O382" i="35" s="1"/>
  <c r="M383" i="35"/>
  <c r="N383" i="35"/>
  <c r="O383" i="35" s="1"/>
  <c r="M384" i="35"/>
  <c r="N384" i="35" s="1"/>
  <c r="O384" i="35" s="1"/>
  <c r="M385" i="35"/>
  <c r="N385" i="35"/>
  <c r="O385" i="35" s="1"/>
  <c r="M386" i="35"/>
  <c r="N386" i="35" s="1"/>
  <c r="O386" i="35" s="1"/>
  <c r="M387" i="35"/>
  <c r="N387" i="35"/>
  <c r="O387" i="35" s="1"/>
  <c r="M388" i="35"/>
  <c r="N388" i="35" s="1"/>
  <c r="O388" i="35" s="1"/>
  <c r="M389" i="35"/>
  <c r="N389" i="35"/>
  <c r="O389" i="35" s="1"/>
  <c r="M390" i="35"/>
  <c r="N390" i="35"/>
  <c r="O390" i="35"/>
  <c r="M391" i="35"/>
  <c r="N391" i="35"/>
  <c r="O391" i="35" s="1"/>
  <c r="M392" i="35"/>
  <c r="N392" i="35" s="1"/>
  <c r="O392" i="35" s="1"/>
  <c r="M393" i="35"/>
  <c r="N393" i="35" s="1"/>
  <c r="O393" i="35" s="1"/>
  <c r="M394" i="35"/>
  <c r="N394" i="35" s="1"/>
  <c r="O394" i="35" s="1"/>
  <c r="M395" i="35"/>
  <c r="N395" i="35" s="1"/>
  <c r="O395" i="35" s="1"/>
  <c r="M396" i="35"/>
  <c r="N396" i="35" s="1"/>
  <c r="O396" i="35" s="1"/>
  <c r="M397" i="35"/>
  <c r="N397" i="35" s="1"/>
  <c r="O397" i="35" s="1"/>
  <c r="M398" i="35"/>
  <c r="N398" i="35"/>
  <c r="O398" i="35"/>
  <c r="M399" i="35"/>
  <c r="N399" i="35"/>
  <c r="O399" i="35" s="1"/>
  <c r="M400" i="35"/>
  <c r="N400" i="35" s="1"/>
  <c r="O400" i="35" s="1"/>
  <c r="M401" i="35"/>
  <c r="N401" i="35" s="1"/>
  <c r="O401" i="35" s="1"/>
  <c r="M402" i="35"/>
  <c r="N402" i="35" s="1"/>
  <c r="O402" i="35" s="1"/>
  <c r="M403" i="35"/>
  <c r="N403" i="35"/>
  <c r="O403" i="35" s="1"/>
  <c r="M404" i="35"/>
  <c r="N404" i="35" s="1"/>
  <c r="O404" i="35" s="1"/>
  <c r="M405" i="35"/>
  <c r="N405" i="35"/>
  <c r="O405" i="35"/>
  <c r="M406" i="35"/>
  <c r="N406" i="35"/>
  <c r="O406" i="35"/>
  <c r="M407" i="35"/>
  <c r="N407" i="35"/>
  <c r="O407" i="35" s="1"/>
  <c r="M408" i="35"/>
  <c r="N408" i="35" s="1"/>
  <c r="O408" i="35" s="1"/>
  <c r="M409" i="35"/>
  <c r="N409" i="35"/>
  <c r="O409" i="35"/>
  <c r="M410" i="35"/>
  <c r="N410" i="35"/>
  <c r="O410" i="35" s="1"/>
  <c r="M411" i="35"/>
  <c r="N411" i="35"/>
  <c r="O411" i="35" s="1"/>
  <c r="M412" i="35"/>
  <c r="N412" i="35" s="1"/>
  <c r="O412" i="35" s="1"/>
  <c r="M413" i="35"/>
  <c r="N413" i="35" s="1"/>
  <c r="O413" i="35" s="1"/>
  <c r="M414" i="35"/>
  <c r="N414" i="35" s="1"/>
  <c r="O414" i="35" s="1"/>
  <c r="M415" i="35"/>
  <c r="N415" i="35"/>
  <c r="O415" i="35" s="1"/>
  <c r="Q7" i="35"/>
  <c r="R7" i="35"/>
  <c r="Q8" i="35"/>
  <c r="R8" i="35"/>
  <c r="R416" i="35" s="1"/>
  <c r="F416" i="35" s="1"/>
  <c r="Q9" i="35"/>
  <c r="R9" i="35"/>
  <c r="Q10" i="35"/>
  <c r="R10" i="35"/>
  <c r="Q11" i="35"/>
  <c r="R11" i="35"/>
  <c r="Q12" i="35"/>
  <c r="R12" i="35"/>
  <c r="Q13" i="35"/>
  <c r="R13" i="35"/>
  <c r="Q14" i="35"/>
  <c r="R14" i="35"/>
  <c r="Q15" i="35"/>
  <c r="R15" i="35"/>
  <c r="Q16" i="35"/>
  <c r="R16" i="35"/>
  <c r="Q17" i="35"/>
  <c r="R17" i="35"/>
  <c r="Q18" i="35"/>
  <c r="R18" i="35"/>
  <c r="Q19" i="35"/>
  <c r="R19" i="35"/>
  <c r="Q20" i="35"/>
  <c r="R20" i="35"/>
  <c r="Q21" i="35"/>
  <c r="R21" i="35"/>
  <c r="Q22" i="35"/>
  <c r="R22" i="35"/>
  <c r="Q23" i="35"/>
  <c r="R23" i="35"/>
  <c r="Q24" i="35"/>
  <c r="R24" i="35"/>
  <c r="Q25" i="35"/>
  <c r="R25" i="35"/>
  <c r="Q26" i="35"/>
  <c r="R26" i="35"/>
  <c r="Q27" i="35"/>
  <c r="R27" i="35"/>
  <c r="Q28" i="35"/>
  <c r="R28" i="35"/>
  <c r="Q29" i="35"/>
  <c r="R29" i="35"/>
  <c r="Q30" i="35"/>
  <c r="R30" i="35"/>
  <c r="Q31" i="35"/>
  <c r="R31" i="35"/>
  <c r="Q32" i="35"/>
  <c r="R32" i="35"/>
  <c r="Q33" i="35"/>
  <c r="R33" i="35"/>
  <c r="Q34" i="35"/>
  <c r="R34" i="35"/>
  <c r="Q35" i="35"/>
  <c r="R35" i="35"/>
  <c r="Q36" i="35"/>
  <c r="R36" i="35"/>
  <c r="Q37" i="35"/>
  <c r="R37" i="35"/>
  <c r="Q38" i="35"/>
  <c r="R38" i="35"/>
  <c r="Q39" i="35"/>
  <c r="R39" i="35"/>
  <c r="Q40" i="35"/>
  <c r="R40" i="35"/>
  <c r="Q41" i="35"/>
  <c r="R41" i="35"/>
  <c r="Q42" i="35"/>
  <c r="R42" i="35"/>
  <c r="Q43" i="35"/>
  <c r="R43" i="35"/>
  <c r="Q44" i="35"/>
  <c r="R44" i="35"/>
  <c r="Q45" i="35"/>
  <c r="R45" i="35"/>
  <c r="Q46" i="35"/>
  <c r="R46" i="35"/>
  <c r="Q47" i="35"/>
  <c r="R47" i="35"/>
  <c r="Q48" i="35"/>
  <c r="R48" i="35"/>
  <c r="Q49" i="35"/>
  <c r="R49" i="35"/>
  <c r="Q50" i="35"/>
  <c r="R50" i="35"/>
  <c r="Q51" i="35"/>
  <c r="R51" i="35"/>
  <c r="Q52" i="35"/>
  <c r="R52" i="35"/>
  <c r="Q53" i="35"/>
  <c r="R53" i="35"/>
  <c r="Q54" i="35"/>
  <c r="R54" i="35"/>
  <c r="Q55" i="35"/>
  <c r="R55" i="35"/>
  <c r="Q56" i="35"/>
  <c r="R56" i="35"/>
  <c r="Q57" i="35"/>
  <c r="R57" i="35"/>
  <c r="Q58" i="35"/>
  <c r="R58" i="35"/>
  <c r="Q59" i="35"/>
  <c r="R59" i="35"/>
  <c r="Q60" i="35"/>
  <c r="R60" i="35"/>
  <c r="Q61" i="35"/>
  <c r="R61" i="35"/>
  <c r="Q62" i="35"/>
  <c r="R62" i="35"/>
  <c r="Q63" i="35"/>
  <c r="R63" i="35"/>
  <c r="Q64" i="35"/>
  <c r="R64" i="35"/>
  <c r="Q65" i="35"/>
  <c r="R65" i="35"/>
  <c r="Q66" i="35"/>
  <c r="R66" i="35"/>
  <c r="Q67" i="35"/>
  <c r="R67" i="35"/>
  <c r="Q68" i="35"/>
  <c r="R68" i="35"/>
  <c r="Q69" i="35"/>
  <c r="R69" i="35"/>
  <c r="Q70" i="35"/>
  <c r="R70" i="35"/>
  <c r="Q71" i="35"/>
  <c r="R71" i="35"/>
  <c r="Q72" i="35"/>
  <c r="R72" i="35"/>
  <c r="Q73" i="35"/>
  <c r="R73" i="35"/>
  <c r="Q74" i="35"/>
  <c r="R74" i="35"/>
  <c r="Q75" i="35"/>
  <c r="R75" i="35"/>
  <c r="Q76" i="35"/>
  <c r="R76" i="35"/>
  <c r="Q77" i="35"/>
  <c r="R77" i="35"/>
  <c r="Q78" i="35"/>
  <c r="R78" i="35"/>
  <c r="Q79" i="35"/>
  <c r="R79" i="35"/>
  <c r="Q80" i="35"/>
  <c r="R80" i="35"/>
  <c r="Q81" i="35"/>
  <c r="R81" i="35"/>
  <c r="Q82" i="35"/>
  <c r="R82" i="35"/>
  <c r="Q83" i="35"/>
  <c r="R83" i="35"/>
  <c r="Q84" i="35"/>
  <c r="R84" i="35"/>
  <c r="Q85" i="35"/>
  <c r="R85" i="35"/>
  <c r="Q86" i="35"/>
  <c r="R86" i="35"/>
  <c r="Q87" i="35"/>
  <c r="R87" i="35"/>
  <c r="Q88" i="35"/>
  <c r="R88" i="35"/>
  <c r="Q89" i="35"/>
  <c r="R89" i="35"/>
  <c r="Q90" i="35"/>
  <c r="R90" i="35"/>
  <c r="Q91" i="35"/>
  <c r="R91" i="35"/>
  <c r="Q92" i="35"/>
  <c r="R92" i="35"/>
  <c r="Q93" i="35"/>
  <c r="R93" i="35"/>
  <c r="Q94" i="35"/>
  <c r="R94" i="35"/>
  <c r="Q95" i="35"/>
  <c r="R95" i="35"/>
  <c r="Q96" i="35"/>
  <c r="R96" i="35"/>
  <c r="Q97" i="35"/>
  <c r="R97" i="35"/>
  <c r="Q98" i="35"/>
  <c r="R98" i="35"/>
  <c r="Q99" i="35"/>
  <c r="R99" i="35"/>
  <c r="Q100" i="35"/>
  <c r="R100" i="35"/>
  <c r="Q101" i="35"/>
  <c r="R101" i="35"/>
  <c r="Q102" i="35"/>
  <c r="R102" i="35"/>
  <c r="Q103" i="35"/>
  <c r="R103" i="35"/>
  <c r="Q104" i="35"/>
  <c r="R104" i="35"/>
  <c r="Q105" i="35"/>
  <c r="R105" i="35"/>
  <c r="Q106" i="35"/>
  <c r="R106" i="35"/>
  <c r="Q107" i="35"/>
  <c r="R107" i="35"/>
  <c r="Q108" i="35"/>
  <c r="R108" i="35"/>
  <c r="Q109" i="35"/>
  <c r="R109" i="35"/>
  <c r="Q110" i="35"/>
  <c r="R110" i="35"/>
  <c r="Q111" i="35"/>
  <c r="R111" i="35"/>
  <c r="Q112" i="35"/>
  <c r="R112" i="35"/>
  <c r="Q113" i="35"/>
  <c r="R113" i="35"/>
  <c r="Q114" i="35"/>
  <c r="R114" i="35"/>
  <c r="Q115" i="35"/>
  <c r="R115" i="35"/>
  <c r="Q116" i="35"/>
  <c r="R116" i="35"/>
  <c r="Q117" i="35"/>
  <c r="R117" i="35"/>
  <c r="Q118" i="35"/>
  <c r="R118" i="35"/>
  <c r="Q119" i="35"/>
  <c r="R119" i="35"/>
  <c r="Q120" i="35"/>
  <c r="R120" i="35"/>
  <c r="Q121" i="35"/>
  <c r="R121" i="35"/>
  <c r="Q122" i="35"/>
  <c r="R122" i="35"/>
  <c r="Q123" i="35"/>
  <c r="R123" i="35"/>
  <c r="Q124" i="35"/>
  <c r="R124" i="35"/>
  <c r="Q125" i="35"/>
  <c r="R125" i="35"/>
  <c r="Q126" i="35"/>
  <c r="R126" i="35"/>
  <c r="Q127" i="35"/>
  <c r="R127" i="35"/>
  <c r="Q128" i="35"/>
  <c r="R128" i="35"/>
  <c r="Q129" i="35"/>
  <c r="R129" i="35"/>
  <c r="Q130" i="35"/>
  <c r="R130" i="35"/>
  <c r="Q131" i="35"/>
  <c r="R131" i="35"/>
  <c r="Q132" i="35"/>
  <c r="R132" i="35"/>
  <c r="Q133" i="35"/>
  <c r="R133" i="35"/>
  <c r="Q134" i="35"/>
  <c r="R134" i="35"/>
  <c r="Q135" i="35"/>
  <c r="R135" i="35"/>
  <c r="Q136" i="35"/>
  <c r="R136" i="35"/>
  <c r="Q137" i="35"/>
  <c r="R137" i="35"/>
  <c r="Q138" i="35"/>
  <c r="R138" i="35"/>
  <c r="Q139" i="35"/>
  <c r="R139" i="35"/>
  <c r="Q140" i="35"/>
  <c r="R140" i="35"/>
  <c r="Q141" i="35"/>
  <c r="R141" i="35"/>
  <c r="Q142" i="35"/>
  <c r="R142" i="35"/>
  <c r="Q143" i="35"/>
  <c r="R143" i="35"/>
  <c r="Q144" i="35"/>
  <c r="R144" i="35"/>
  <c r="Q145" i="35"/>
  <c r="R145" i="35"/>
  <c r="Q146" i="35"/>
  <c r="R146" i="35"/>
  <c r="Q147" i="35"/>
  <c r="R147" i="35"/>
  <c r="Q148" i="35"/>
  <c r="R148" i="35"/>
  <c r="Q149" i="35"/>
  <c r="R149" i="35"/>
  <c r="Q150" i="35"/>
  <c r="R150" i="35"/>
  <c r="Q151" i="35"/>
  <c r="R151" i="35"/>
  <c r="Q152" i="35"/>
  <c r="R152" i="35"/>
  <c r="Q153" i="35"/>
  <c r="R153" i="35"/>
  <c r="Q154" i="35"/>
  <c r="R154" i="35"/>
  <c r="Q155" i="35"/>
  <c r="R155" i="35"/>
  <c r="Q156" i="35"/>
  <c r="R156" i="35"/>
  <c r="Q157" i="35"/>
  <c r="R157" i="35"/>
  <c r="Q158" i="35"/>
  <c r="R158" i="35"/>
  <c r="Q159" i="35"/>
  <c r="R159" i="35"/>
  <c r="Q160" i="35"/>
  <c r="R160" i="35"/>
  <c r="Q161" i="35"/>
  <c r="R161" i="35"/>
  <c r="Q162" i="35"/>
  <c r="R162" i="35"/>
  <c r="Q163" i="35"/>
  <c r="R163" i="35"/>
  <c r="Q164" i="35"/>
  <c r="R164" i="35"/>
  <c r="Q165" i="35"/>
  <c r="R165" i="35"/>
  <c r="Q166" i="35"/>
  <c r="R166" i="35"/>
  <c r="Q167" i="35"/>
  <c r="R167" i="35"/>
  <c r="Q168" i="35"/>
  <c r="R168" i="35"/>
  <c r="Q169" i="35"/>
  <c r="R169" i="35"/>
  <c r="Q170" i="35"/>
  <c r="R170" i="35"/>
  <c r="Q171" i="35"/>
  <c r="R171" i="35"/>
  <c r="Q172" i="35"/>
  <c r="R172" i="35"/>
  <c r="Q173" i="35"/>
  <c r="R173" i="35"/>
  <c r="Q174" i="35"/>
  <c r="R174" i="35"/>
  <c r="Q175" i="35"/>
  <c r="R175" i="35"/>
  <c r="Q176" i="35"/>
  <c r="R176" i="35"/>
  <c r="Q177" i="35"/>
  <c r="R177" i="35"/>
  <c r="Q178" i="35"/>
  <c r="R178" i="35"/>
  <c r="Q179" i="35"/>
  <c r="R179" i="35"/>
  <c r="Q180" i="35"/>
  <c r="R180" i="35"/>
  <c r="Q181" i="35"/>
  <c r="R181" i="35"/>
  <c r="Q182" i="35"/>
  <c r="R182" i="35"/>
  <c r="Q183" i="35"/>
  <c r="R183" i="35"/>
  <c r="Q184" i="35"/>
  <c r="R184" i="35"/>
  <c r="Q185" i="35"/>
  <c r="R185" i="35"/>
  <c r="Q186" i="35"/>
  <c r="R186" i="35"/>
  <c r="Q187" i="35"/>
  <c r="R187" i="35"/>
  <c r="Q188" i="35"/>
  <c r="R188" i="35"/>
  <c r="Q189" i="35"/>
  <c r="R189" i="35"/>
  <c r="Q190" i="35"/>
  <c r="R190" i="35"/>
  <c r="Q191" i="35"/>
  <c r="R191" i="35"/>
  <c r="Q192" i="35"/>
  <c r="R192" i="35"/>
  <c r="Q193" i="35"/>
  <c r="R193" i="35"/>
  <c r="Q194" i="35"/>
  <c r="R194" i="35"/>
  <c r="Q195" i="35"/>
  <c r="R195" i="35"/>
  <c r="Q196" i="35"/>
  <c r="R196" i="35"/>
  <c r="Q197" i="35"/>
  <c r="R197" i="35"/>
  <c r="Q198" i="35"/>
  <c r="R198" i="35"/>
  <c r="Q199" i="35"/>
  <c r="R199" i="35"/>
  <c r="Q200" i="35"/>
  <c r="R200" i="35"/>
  <c r="Q201" i="35"/>
  <c r="R201" i="35"/>
  <c r="Q202" i="35"/>
  <c r="R202" i="35"/>
  <c r="Q203" i="35"/>
  <c r="R203" i="35"/>
  <c r="Q204" i="35"/>
  <c r="R204" i="35"/>
  <c r="Q205" i="35"/>
  <c r="R205" i="35"/>
  <c r="Q206" i="35"/>
  <c r="R206" i="35"/>
  <c r="Q207" i="35"/>
  <c r="R207" i="35"/>
  <c r="Q208" i="35"/>
  <c r="R208" i="35"/>
  <c r="Q209" i="35"/>
  <c r="R209" i="35"/>
  <c r="Q210" i="35"/>
  <c r="R210" i="35"/>
  <c r="Q211" i="35"/>
  <c r="R211" i="35"/>
  <c r="Q212" i="35"/>
  <c r="R212" i="35"/>
  <c r="Q213" i="35"/>
  <c r="R213" i="35"/>
  <c r="Q214" i="35"/>
  <c r="R214" i="35"/>
  <c r="Q215" i="35"/>
  <c r="R215" i="35"/>
  <c r="Q216" i="35"/>
  <c r="R216" i="35"/>
  <c r="Q217" i="35"/>
  <c r="R217" i="35"/>
  <c r="Q218" i="35"/>
  <c r="R218" i="35"/>
  <c r="Q219" i="35"/>
  <c r="R219" i="35"/>
  <c r="Q220" i="35"/>
  <c r="R220" i="35"/>
  <c r="Q221" i="35"/>
  <c r="R221" i="35"/>
  <c r="Q222" i="35"/>
  <c r="R222" i="35"/>
  <c r="Q223" i="35"/>
  <c r="R223" i="35"/>
  <c r="Q224" i="35"/>
  <c r="R224" i="35"/>
  <c r="Q225" i="35"/>
  <c r="R225" i="35"/>
  <c r="Q226" i="35"/>
  <c r="R226" i="35"/>
  <c r="Q227" i="35"/>
  <c r="R227" i="35"/>
  <c r="Q228" i="35"/>
  <c r="R228" i="35"/>
  <c r="Q229" i="35"/>
  <c r="R229" i="35"/>
  <c r="Q230" i="35"/>
  <c r="R230" i="35"/>
  <c r="Q231" i="35"/>
  <c r="R231" i="35"/>
  <c r="Q232" i="35"/>
  <c r="R232" i="35"/>
  <c r="Q233" i="35"/>
  <c r="R233" i="35"/>
  <c r="Q234" i="35"/>
  <c r="R234" i="35"/>
  <c r="Q235" i="35"/>
  <c r="R235" i="35"/>
  <c r="Q236" i="35"/>
  <c r="R236" i="35"/>
  <c r="Q237" i="35"/>
  <c r="R237" i="35"/>
  <c r="Q238" i="35"/>
  <c r="R238" i="35"/>
  <c r="Q239" i="35"/>
  <c r="R239" i="35"/>
  <c r="Q240" i="35"/>
  <c r="R240" i="35"/>
  <c r="Q241" i="35"/>
  <c r="R241" i="35"/>
  <c r="Q242" i="35"/>
  <c r="R242" i="35"/>
  <c r="Q243" i="35"/>
  <c r="R243" i="35"/>
  <c r="Q244" i="35"/>
  <c r="R244" i="35"/>
  <c r="Q245" i="35"/>
  <c r="R245" i="35"/>
  <c r="Q246" i="35"/>
  <c r="R246" i="35"/>
  <c r="Q247" i="35"/>
  <c r="R247" i="35"/>
  <c r="Q248" i="35"/>
  <c r="R248" i="35"/>
  <c r="Q249" i="35"/>
  <c r="R249" i="35"/>
  <c r="Q250" i="35"/>
  <c r="R250" i="35"/>
  <c r="Q251" i="35"/>
  <c r="R251" i="35"/>
  <c r="Q252" i="35"/>
  <c r="R252" i="35"/>
  <c r="Q253" i="35"/>
  <c r="R253" i="35"/>
  <c r="Q254" i="35"/>
  <c r="R254" i="35"/>
  <c r="Q255" i="35"/>
  <c r="R255" i="35"/>
  <c r="Q256" i="35"/>
  <c r="R256" i="35"/>
  <c r="Q257" i="35"/>
  <c r="R257" i="35"/>
  <c r="Q258" i="35"/>
  <c r="R258" i="35"/>
  <c r="Q259" i="35"/>
  <c r="R259" i="35"/>
  <c r="Q260" i="35"/>
  <c r="R260" i="35"/>
  <c r="Q261" i="35"/>
  <c r="R261" i="35"/>
  <c r="Q262" i="35"/>
  <c r="R262" i="35"/>
  <c r="Q263" i="35"/>
  <c r="R263" i="35"/>
  <c r="Q264" i="35"/>
  <c r="R264" i="35"/>
  <c r="Q265" i="35"/>
  <c r="R265" i="35"/>
  <c r="Q266" i="35"/>
  <c r="R266" i="35"/>
  <c r="Q267" i="35"/>
  <c r="R267" i="35"/>
  <c r="Q268" i="35"/>
  <c r="R268" i="35"/>
  <c r="Q269" i="35"/>
  <c r="R269" i="35"/>
  <c r="Q270" i="35"/>
  <c r="R270" i="35"/>
  <c r="Q271" i="35"/>
  <c r="R271" i="35"/>
  <c r="Q272" i="35"/>
  <c r="R272" i="35"/>
  <c r="Q273" i="35"/>
  <c r="R273" i="35"/>
  <c r="Q274" i="35"/>
  <c r="R274" i="35"/>
  <c r="Q275" i="35"/>
  <c r="R275" i="35"/>
  <c r="Q276" i="35"/>
  <c r="R276" i="35"/>
  <c r="Q277" i="35"/>
  <c r="R277" i="35"/>
  <c r="Q278" i="35"/>
  <c r="R278" i="35"/>
  <c r="Q279" i="35"/>
  <c r="R279" i="35"/>
  <c r="Q280" i="35"/>
  <c r="R280" i="35"/>
  <c r="Q281" i="35"/>
  <c r="R281" i="35"/>
  <c r="Q282" i="35"/>
  <c r="R282" i="35"/>
  <c r="Q283" i="35"/>
  <c r="R283" i="35"/>
  <c r="Q284" i="35"/>
  <c r="R284" i="35"/>
  <c r="Q285" i="35"/>
  <c r="R285" i="35"/>
  <c r="Q286" i="35"/>
  <c r="R286" i="35"/>
  <c r="Q287" i="35"/>
  <c r="R287" i="35"/>
  <c r="Q288" i="35"/>
  <c r="R288" i="35"/>
  <c r="Q289" i="35"/>
  <c r="R289" i="35"/>
  <c r="Q290" i="35"/>
  <c r="R290" i="35"/>
  <c r="Q291" i="35"/>
  <c r="R291" i="35"/>
  <c r="Q292" i="35"/>
  <c r="R292" i="35"/>
  <c r="Q293" i="35"/>
  <c r="R293" i="35"/>
  <c r="Q294" i="35"/>
  <c r="R294" i="35"/>
  <c r="Q295" i="35"/>
  <c r="R295" i="35"/>
  <c r="Q296" i="35"/>
  <c r="R296" i="35"/>
  <c r="Q297" i="35"/>
  <c r="R297" i="35"/>
  <c r="Q298" i="35"/>
  <c r="R298" i="35"/>
  <c r="Q299" i="35"/>
  <c r="R299" i="35"/>
  <c r="Q300" i="35"/>
  <c r="R300" i="35"/>
  <c r="Q301" i="35"/>
  <c r="R301" i="35"/>
  <c r="Q302" i="35"/>
  <c r="R302" i="35"/>
  <c r="Q303" i="35"/>
  <c r="R303" i="35"/>
  <c r="Q304" i="35"/>
  <c r="R304" i="35"/>
  <c r="Q305" i="35"/>
  <c r="R305" i="35"/>
  <c r="Q306" i="35"/>
  <c r="R306" i="35"/>
  <c r="Q307" i="35"/>
  <c r="R307" i="35"/>
  <c r="Q308" i="35"/>
  <c r="R308" i="35"/>
  <c r="Q309" i="35"/>
  <c r="R309" i="35"/>
  <c r="Q310" i="35"/>
  <c r="R310" i="35"/>
  <c r="Q311" i="35"/>
  <c r="R311" i="35"/>
  <c r="Q312" i="35"/>
  <c r="R312" i="35"/>
  <c r="Q313" i="35"/>
  <c r="R313" i="35"/>
  <c r="Q314" i="35"/>
  <c r="R314" i="35"/>
  <c r="Q315" i="35"/>
  <c r="R315" i="35"/>
  <c r="Q316" i="35"/>
  <c r="R316" i="35"/>
  <c r="Q317" i="35"/>
  <c r="R317" i="35"/>
  <c r="Q318" i="35"/>
  <c r="R318" i="35"/>
  <c r="Q319" i="35"/>
  <c r="R319" i="35"/>
  <c r="Q320" i="35"/>
  <c r="R320" i="35"/>
  <c r="Q321" i="35"/>
  <c r="R321" i="35"/>
  <c r="Q322" i="35"/>
  <c r="R322" i="35"/>
  <c r="Q323" i="35"/>
  <c r="R323" i="35"/>
  <c r="Q324" i="35"/>
  <c r="R324" i="35"/>
  <c r="Q325" i="35"/>
  <c r="R325" i="35"/>
  <c r="Q326" i="35"/>
  <c r="R326" i="35"/>
  <c r="Q327" i="35"/>
  <c r="R327" i="35"/>
  <c r="Q328" i="35"/>
  <c r="R328" i="35"/>
  <c r="Q329" i="35"/>
  <c r="R329" i="35"/>
  <c r="Q330" i="35"/>
  <c r="R330" i="35"/>
  <c r="Q331" i="35"/>
  <c r="R331" i="35"/>
  <c r="Q332" i="35"/>
  <c r="R332" i="35"/>
  <c r="Q333" i="35"/>
  <c r="R333" i="35"/>
  <c r="Q334" i="35"/>
  <c r="R334" i="35"/>
  <c r="Q335" i="35"/>
  <c r="R335" i="35"/>
  <c r="Q336" i="35"/>
  <c r="R336" i="35"/>
  <c r="Q337" i="35"/>
  <c r="R337" i="35"/>
  <c r="Q338" i="35"/>
  <c r="R338" i="35"/>
  <c r="Q339" i="35"/>
  <c r="R339" i="35"/>
  <c r="Q340" i="35"/>
  <c r="R340" i="35"/>
  <c r="Q341" i="35"/>
  <c r="R341" i="35"/>
  <c r="Q342" i="35"/>
  <c r="R342" i="35"/>
  <c r="Q343" i="35"/>
  <c r="R343" i="35"/>
  <c r="Q344" i="35"/>
  <c r="R344" i="35"/>
  <c r="Q345" i="35"/>
  <c r="R345" i="35"/>
  <c r="Q346" i="35"/>
  <c r="R346" i="35"/>
  <c r="Q347" i="35"/>
  <c r="R347" i="35"/>
  <c r="Q348" i="35"/>
  <c r="R348" i="35"/>
  <c r="Q349" i="35"/>
  <c r="R349" i="35"/>
  <c r="Q350" i="35"/>
  <c r="R350" i="35"/>
  <c r="Q351" i="35"/>
  <c r="R351" i="35"/>
  <c r="Q352" i="35"/>
  <c r="R352" i="35"/>
  <c r="Q353" i="35"/>
  <c r="R353" i="35"/>
  <c r="Q354" i="35"/>
  <c r="R354" i="35"/>
  <c r="Q355" i="35"/>
  <c r="R355" i="35"/>
  <c r="Q356" i="35"/>
  <c r="R356" i="35"/>
  <c r="Q357" i="35"/>
  <c r="R357" i="35"/>
  <c r="Q358" i="35"/>
  <c r="R358" i="35"/>
  <c r="Q359" i="35"/>
  <c r="R359" i="35"/>
  <c r="Q360" i="35"/>
  <c r="R360" i="35"/>
  <c r="Q361" i="35"/>
  <c r="R361" i="35"/>
  <c r="Q362" i="35"/>
  <c r="R362" i="35"/>
  <c r="Q363" i="35"/>
  <c r="R363" i="35"/>
  <c r="Q364" i="35"/>
  <c r="R364" i="35"/>
  <c r="Q365" i="35"/>
  <c r="R365" i="35"/>
  <c r="Q366" i="35"/>
  <c r="R366" i="35"/>
  <c r="Q367" i="35"/>
  <c r="R367" i="35"/>
  <c r="Q368" i="35"/>
  <c r="R368" i="35"/>
  <c r="Q369" i="35"/>
  <c r="R369" i="35"/>
  <c r="Q370" i="35"/>
  <c r="R370" i="35"/>
  <c r="Q371" i="35"/>
  <c r="R371" i="35"/>
  <c r="Q372" i="35"/>
  <c r="R372" i="35"/>
  <c r="Q373" i="35"/>
  <c r="R373" i="35"/>
  <c r="Q374" i="35"/>
  <c r="R374" i="35"/>
  <c r="Q375" i="35"/>
  <c r="R375" i="35"/>
  <c r="Q376" i="35"/>
  <c r="R376" i="35"/>
  <c r="Q377" i="35"/>
  <c r="R377" i="35"/>
  <c r="Q378" i="35"/>
  <c r="R378" i="35"/>
  <c r="Q379" i="35"/>
  <c r="R379" i="35"/>
  <c r="Q380" i="35"/>
  <c r="R380" i="35"/>
  <c r="Q381" i="35"/>
  <c r="R381" i="35"/>
  <c r="Q382" i="35"/>
  <c r="R382" i="35"/>
  <c r="Q383" i="35"/>
  <c r="R383" i="35"/>
  <c r="Q384" i="35"/>
  <c r="R384" i="35"/>
  <c r="Q385" i="35"/>
  <c r="R385" i="35"/>
  <c r="Q386" i="35"/>
  <c r="R386" i="35"/>
  <c r="Q387" i="35"/>
  <c r="R387" i="35"/>
  <c r="Q388" i="35"/>
  <c r="R388" i="35"/>
  <c r="Q389" i="35"/>
  <c r="R389" i="35"/>
  <c r="Q390" i="35"/>
  <c r="R390" i="35"/>
  <c r="Q391" i="35"/>
  <c r="R391" i="35"/>
  <c r="Q392" i="35"/>
  <c r="R392" i="35"/>
  <c r="Q393" i="35"/>
  <c r="R393" i="35"/>
  <c r="Q394" i="35"/>
  <c r="R394" i="35"/>
  <c r="Q395" i="35"/>
  <c r="R395" i="35"/>
  <c r="Q396" i="35"/>
  <c r="R396" i="35"/>
  <c r="Q397" i="35"/>
  <c r="R397" i="35"/>
  <c r="Q398" i="35"/>
  <c r="R398" i="35"/>
  <c r="Q399" i="35"/>
  <c r="R399" i="35"/>
  <c r="Q400" i="35"/>
  <c r="R400" i="35"/>
  <c r="Q401" i="35"/>
  <c r="R401" i="35"/>
  <c r="Q402" i="35"/>
  <c r="R402" i="35"/>
  <c r="Q403" i="35"/>
  <c r="R403" i="35"/>
  <c r="Q404" i="35"/>
  <c r="R404" i="35"/>
  <c r="Q405" i="35"/>
  <c r="R405" i="35"/>
  <c r="Q406" i="35"/>
  <c r="R406" i="35"/>
  <c r="Q407" i="35"/>
  <c r="R407" i="35"/>
  <c r="Q408" i="35"/>
  <c r="R408" i="35"/>
  <c r="Q409" i="35"/>
  <c r="R409" i="35"/>
  <c r="Q410" i="35"/>
  <c r="R410" i="35"/>
  <c r="Q411" i="35"/>
  <c r="R411" i="35"/>
  <c r="Q412" i="35"/>
  <c r="R412" i="35"/>
  <c r="Q413" i="35"/>
  <c r="R413" i="35"/>
  <c r="Q414" i="35"/>
  <c r="R414" i="35"/>
  <c r="Q415" i="35"/>
  <c r="R415" i="35"/>
  <c r="R6" i="35"/>
  <c r="Q6" i="35"/>
  <c r="Q416" i="35" s="1"/>
  <c r="F415" i="35"/>
  <c r="F414" i="35"/>
  <c r="F413" i="35"/>
  <c r="F412" i="35"/>
  <c r="F411" i="35"/>
  <c r="F410" i="35"/>
  <c r="F409" i="35"/>
  <c r="F408" i="35"/>
  <c r="F407" i="35"/>
  <c r="F405" i="35"/>
  <c r="F404" i="35"/>
  <c r="F403" i="35"/>
  <c r="F402" i="35"/>
  <c r="F401" i="35"/>
  <c r="F400" i="35"/>
  <c r="F399" i="35"/>
  <c r="F398" i="35"/>
  <c r="F397" i="35"/>
  <c r="F396" i="35"/>
  <c r="F395" i="35"/>
  <c r="F394" i="35"/>
  <c r="F393" i="35"/>
  <c r="F392" i="35"/>
  <c r="F391" i="35"/>
  <c r="F390" i="35"/>
  <c r="F389" i="35"/>
  <c r="F388" i="35"/>
  <c r="F387" i="35"/>
  <c r="F386" i="35"/>
  <c r="F385" i="35"/>
  <c r="F384" i="35"/>
  <c r="F383" i="35"/>
  <c r="F382" i="35"/>
  <c r="F380" i="35"/>
  <c r="F379" i="35"/>
  <c r="F378" i="35"/>
  <c r="F377" i="35"/>
  <c r="F376" i="35"/>
  <c r="F375" i="35"/>
  <c r="F374" i="35"/>
  <c r="F373" i="35"/>
  <c r="F372" i="35"/>
  <c r="F371" i="35"/>
  <c r="F370" i="35"/>
  <c r="F369" i="35"/>
  <c r="F368" i="35"/>
  <c r="F367" i="35"/>
  <c r="F366" i="35"/>
  <c r="F365" i="35"/>
  <c r="F364" i="35"/>
  <c r="F363" i="35"/>
  <c r="F362" i="35"/>
  <c r="F361" i="35"/>
  <c r="F360" i="35"/>
  <c r="F359" i="35"/>
  <c r="F358" i="35"/>
  <c r="F357" i="35"/>
  <c r="F356" i="35"/>
  <c r="F355" i="35"/>
  <c r="F354" i="35"/>
  <c r="F353" i="35"/>
  <c r="F352" i="35"/>
  <c r="F351" i="35"/>
  <c r="F350" i="35"/>
  <c r="F349" i="35"/>
  <c r="F348" i="35"/>
  <c r="F347" i="35"/>
  <c r="F346" i="35"/>
  <c r="F345" i="35"/>
  <c r="F344" i="35"/>
  <c r="F343" i="35"/>
  <c r="F342" i="35"/>
  <c r="F341" i="35"/>
  <c r="F340" i="35"/>
  <c r="F339" i="35"/>
  <c r="F338" i="35"/>
  <c r="F337" i="35"/>
  <c r="F336" i="35"/>
  <c r="F335" i="35"/>
  <c r="F334" i="35"/>
  <c r="F333" i="35"/>
  <c r="F332" i="35"/>
  <c r="F331" i="35"/>
  <c r="F330" i="35"/>
  <c r="F329" i="35"/>
  <c r="F328" i="35"/>
  <c r="F327" i="35"/>
  <c r="F326" i="35"/>
  <c r="F325" i="35"/>
  <c r="F324" i="35"/>
  <c r="F323" i="35"/>
  <c r="F322" i="35"/>
  <c r="F321" i="35"/>
  <c r="F320" i="35"/>
  <c r="F319" i="35"/>
  <c r="F318" i="35"/>
  <c r="F317" i="35"/>
  <c r="F316" i="35"/>
  <c r="F315" i="35"/>
  <c r="F314" i="35"/>
  <c r="F313" i="35"/>
  <c r="F312" i="35"/>
  <c r="F311" i="35"/>
  <c r="F310" i="35"/>
  <c r="F309" i="35"/>
  <c r="F308" i="35"/>
  <c r="F307" i="35"/>
  <c r="F306" i="35"/>
  <c r="F305" i="35"/>
  <c r="F304" i="35"/>
  <c r="F303" i="35"/>
  <c r="F302" i="35"/>
  <c r="F301" i="35"/>
  <c r="F300" i="35"/>
  <c r="F299" i="35"/>
  <c r="F298" i="35"/>
  <c r="F297" i="35"/>
  <c r="F296" i="35"/>
  <c r="F295" i="35"/>
  <c r="F294" i="35"/>
  <c r="F293" i="35"/>
  <c r="F292" i="35"/>
  <c r="F291" i="35"/>
  <c r="F290" i="35"/>
  <c r="F289" i="35"/>
  <c r="F288" i="35"/>
  <c r="F287" i="35"/>
  <c r="F286" i="35"/>
  <c r="F285" i="35"/>
  <c r="F284" i="35"/>
  <c r="F283" i="35"/>
  <c r="F282" i="35"/>
  <c r="F281" i="35"/>
  <c r="F280" i="35"/>
  <c r="F279" i="35"/>
  <c r="F278" i="35"/>
  <c r="F277" i="35"/>
  <c r="F276" i="35"/>
  <c r="F275" i="35"/>
  <c r="F274" i="35"/>
  <c r="F273" i="35"/>
  <c r="F272" i="35"/>
  <c r="F271" i="35"/>
  <c r="F270" i="35"/>
  <c r="F269" i="35"/>
  <c r="F268" i="35"/>
  <c r="F267" i="35"/>
  <c r="F266" i="35"/>
  <c r="F265" i="35"/>
  <c r="F264" i="35"/>
  <c r="F263" i="35"/>
  <c r="F262" i="35"/>
  <c r="F261" i="35"/>
  <c r="F260" i="35"/>
  <c r="F259" i="35"/>
  <c r="F258" i="35"/>
  <c r="F257" i="35"/>
  <c r="F256" i="35"/>
  <c r="F255" i="35"/>
  <c r="F254" i="35"/>
  <c r="F253" i="35"/>
  <c r="F252" i="35"/>
  <c r="F251" i="35"/>
  <c r="F250" i="35"/>
  <c r="F249" i="35"/>
  <c r="F248" i="35"/>
  <c r="F247" i="35"/>
  <c r="F246" i="35"/>
  <c r="F245" i="35"/>
  <c r="F244" i="35"/>
  <c r="F243" i="35"/>
  <c r="F242" i="35"/>
  <c r="F241" i="35"/>
  <c r="F240" i="35"/>
  <c r="F239" i="35"/>
  <c r="F238" i="35"/>
  <c r="F237" i="35"/>
  <c r="F236" i="35"/>
  <c r="F235" i="35"/>
  <c r="F234" i="35"/>
  <c r="F233" i="35"/>
  <c r="F232" i="35"/>
  <c r="F231" i="35"/>
  <c r="F230" i="35"/>
  <c r="F229" i="35"/>
  <c r="F228" i="35"/>
  <c r="F227" i="35"/>
  <c r="F226" i="35"/>
  <c r="F225" i="35"/>
  <c r="F224" i="35"/>
  <c r="F223" i="35"/>
  <c r="F222" i="35"/>
  <c r="F221" i="35"/>
  <c r="F220" i="35"/>
  <c r="F219" i="35"/>
  <c r="F218" i="35"/>
  <c r="F217" i="35"/>
  <c r="F216" i="35"/>
  <c r="F215" i="35"/>
  <c r="F214" i="35"/>
  <c r="F213" i="35"/>
  <c r="F212" i="35"/>
  <c r="F211" i="35"/>
  <c r="F210" i="35"/>
  <c r="F209" i="35"/>
  <c r="F208" i="35"/>
  <c r="F207" i="35"/>
  <c r="F206" i="35"/>
  <c r="F205" i="35"/>
  <c r="F204" i="35"/>
  <c r="F203" i="35"/>
  <c r="F202" i="35"/>
  <c r="F201" i="35"/>
  <c r="F200" i="35"/>
  <c r="F199" i="35"/>
  <c r="F198" i="35"/>
  <c r="F197" i="35"/>
  <c r="F196" i="35"/>
  <c r="F195" i="35"/>
  <c r="F194" i="35"/>
  <c r="F193" i="35"/>
  <c r="F192" i="35"/>
  <c r="F191" i="35"/>
  <c r="F190" i="35"/>
  <c r="F189" i="35"/>
  <c r="F188" i="35"/>
  <c r="F187" i="35"/>
  <c r="F186" i="35"/>
  <c r="F185" i="35"/>
  <c r="F184" i="35"/>
  <c r="F183" i="35"/>
  <c r="F182" i="35"/>
  <c r="F181" i="35"/>
  <c r="F180" i="35"/>
  <c r="F179" i="35"/>
  <c r="F178" i="35"/>
  <c r="F177" i="35"/>
  <c r="F176" i="35"/>
  <c r="F175" i="35"/>
  <c r="F174" i="35"/>
  <c r="F173" i="35"/>
  <c r="F172" i="35"/>
  <c r="F171" i="35"/>
  <c r="F170" i="35"/>
  <c r="F169" i="35"/>
  <c r="F168" i="35"/>
  <c r="F167" i="35"/>
  <c r="F166" i="35"/>
  <c r="F165" i="35"/>
  <c r="F164" i="35"/>
  <c r="F163" i="35"/>
  <c r="F162" i="35"/>
  <c r="F161" i="35"/>
  <c r="F160" i="35"/>
  <c r="F159" i="35"/>
  <c r="F158" i="35"/>
  <c r="F156" i="35"/>
  <c r="F155" i="35"/>
  <c r="F154" i="35"/>
  <c r="F153" i="35"/>
  <c r="F152" i="35"/>
  <c r="F151" i="35"/>
  <c r="F150" i="35"/>
  <c r="F149" i="35"/>
  <c r="F148" i="35"/>
  <c r="F147" i="35"/>
  <c r="F146" i="35"/>
  <c r="F145" i="35"/>
  <c r="F144" i="35"/>
  <c r="F143" i="35"/>
  <c r="F142" i="35"/>
  <c r="F141" i="35"/>
  <c r="F140" i="35"/>
  <c r="F139" i="35"/>
  <c r="F138" i="35"/>
  <c r="F137" i="35"/>
  <c r="F136" i="35"/>
  <c r="F135" i="35"/>
  <c r="F134" i="35"/>
  <c r="F133" i="35"/>
  <c r="F132" i="35"/>
  <c r="F131" i="35"/>
  <c r="F129" i="35"/>
  <c r="F128" i="35"/>
  <c r="F127" i="35"/>
  <c r="F126" i="35"/>
  <c r="F125" i="35"/>
  <c r="F124" i="35"/>
  <c r="F123" i="35"/>
  <c r="F122" i="35"/>
  <c r="F121" i="35"/>
  <c r="F120" i="35"/>
  <c r="F119" i="35"/>
  <c r="F118" i="35"/>
  <c r="F117" i="35"/>
  <c r="F115" i="35"/>
  <c r="F114" i="35"/>
  <c r="F113" i="35"/>
  <c r="F112" i="35"/>
  <c r="F111" i="35"/>
  <c r="F110" i="35"/>
  <c r="F109" i="35"/>
  <c r="F108" i="35"/>
  <c r="F107" i="35"/>
  <c r="F106" i="35"/>
  <c r="F105" i="35"/>
  <c r="F104" i="35"/>
  <c r="F103" i="35"/>
  <c r="F102" i="35"/>
  <c r="F101" i="35"/>
  <c r="F100" i="35"/>
  <c r="F99" i="35"/>
  <c r="F98" i="35"/>
  <c r="F97" i="35"/>
  <c r="F96" i="35"/>
  <c r="F95" i="35"/>
  <c r="F93" i="35"/>
  <c r="F92" i="35"/>
  <c r="F91" i="35"/>
  <c r="F90" i="35"/>
  <c r="F89" i="35"/>
  <c r="F88" i="35"/>
  <c r="F87" i="35"/>
  <c r="F86" i="35"/>
  <c r="F85" i="35"/>
  <c r="F84" i="35"/>
  <c r="F83" i="35"/>
  <c r="F82" i="35"/>
  <c r="F81"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5" i="35"/>
  <c r="F54" i="35"/>
  <c r="F53" i="35"/>
  <c r="F52" i="35"/>
  <c r="F51" i="35"/>
  <c r="F50" i="35"/>
  <c r="F49" i="35"/>
  <c r="F48" i="35"/>
  <c r="F47" i="35"/>
  <c r="F46" i="35"/>
  <c r="F45" i="35"/>
  <c r="F44" i="35"/>
  <c r="F43" i="35"/>
  <c r="F42" i="35"/>
  <c r="F41"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c r="F8" i="35"/>
  <c r="F9" i="35"/>
  <c r="F10" i="35"/>
  <c r="F11" i="35"/>
  <c r="F12" i="35"/>
  <c r="F13" i="35"/>
  <c r="F14" i="35"/>
  <c r="F7" i="35"/>
  <c r="F6" i="35"/>
  <c r="E416" i="35"/>
  <c r="M8" i="36"/>
  <c r="N8" i="36" s="1"/>
  <c r="O8" i="36" s="1"/>
  <c r="M9" i="36"/>
  <c r="N9" i="36" s="1"/>
  <c r="O9" i="36" s="1"/>
  <c r="M10" i="36"/>
  <c r="N10" i="36"/>
  <c r="O10" i="36" s="1"/>
  <c r="M11" i="36"/>
  <c r="N11" i="36"/>
  <c r="O11" i="36" s="1"/>
  <c r="M12" i="36"/>
  <c r="N12" i="36" s="1"/>
  <c r="O12" i="36" s="1"/>
  <c r="M13" i="36"/>
  <c r="N13" i="36"/>
  <c r="O13" i="36"/>
  <c r="M14" i="36"/>
  <c r="N14" i="36"/>
  <c r="O14" i="36"/>
  <c r="M15" i="36"/>
  <c r="N15" i="36" s="1"/>
  <c r="O15" i="36" s="1"/>
  <c r="M16" i="36"/>
  <c r="N16" i="36" s="1"/>
  <c r="O16" i="36" s="1"/>
  <c r="M17" i="36"/>
  <c r="N17" i="36"/>
  <c r="O17" i="36"/>
  <c r="M18" i="36"/>
  <c r="N18" i="36" s="1"/>
  <c r="O18" i="36" s="1"/>
  <c r="M19" i="36"/>
  <c r="N19" i="36"/>
  <c r="O19" i="36" s="1"/>
  <c r="M20" i="36"/>
  <c r="N20" i="36" s="1"/>
  <c r="O20" i="36" s="1"/>
  <c r="M21" i="36"/>
  <c r="N21" i="36" s="1"/>
  <c r="O21" i="36" s="1"/>
  <c r="M22" i="36"/>
  <c r="N22" i="36" s="1"/>
  <c r="O22" i="36" s="1"/>
  <c r="M23" i="36"/>
  <c r="N23" i="36"/>
  <c r="O23" i="36" s="1"/>
  <c r="M24" i="36"/>
  <c r="N24" i="36" s="1"/>
  <c r="O24" i="36" s="1"/>
  <c r="M25" i="36"/>
  <c r="N25" i="36"/>
  <c r="O25" i="36"/>
  <c r="M26" i="36"/>
  <c r="N26" i="36"/>
  <c r="O26" i="36"/>
  <c r="M27" i="36"/>
  <c r="N27" i="36"/>
  <c r="O27" i="36" s="1"/>
  <c r="M28" i="36"/>
  <c r="N28" i="36" s="1"/>
  <c r="O28" i="36" s="1"/>
  <c r="M29" i="36"/>
  <c r="N29" i="36" s="1"/>
  <c r="O29" i="36" s="1"/>
  <c r="M30" i="36"/>
  <c r="N30" i="36" s="1"/>
  <c r="O30" i="36"/>
  <c r="M31" i="36"/>
  <c r="N31" i="36" s="1"/>
  <c r="O31" i="36" s="1"/>
  <c r="M32" i="36"/>
  <c r="N32" i="36" s="1"/>
  <c r="O32" i="36" s="1"/>
  <c r="M33" i="36"/>
  <c r="N33" i="36" s="1"/>
  <c r="O33" i="36" s="1"/>
  <c r="M34" i="36"/>
  <c r="N34" i="36" s="1"/>
  <c r="O34" i="36" s="1"/>
  <c r="M35" i="36"/>
  <c r="N35" i="36"/>
  <c r="O35" i="36" s="1"/>
  <c r="M36" i="36"/>
  <c r="N36" i="36" s="1"/>
  <c r="O36" i="36" s="1"/>
  <c r="M37" i="36"/>
  <c r="N37" i="36"/>
  <c r="O37" i="36"/>
  <c r="M38" i="36"/>
  <c r="N38" i="36"/>
  <c r="O38" i="36" s="1"/>
  <c r="M39" i="36"/>
  <c r="N39" i="36"/>
  <c r="O39" i="36" s="1"/>
  <c r="M40" i="36"/>
  <c r="N40" i="36" s="1"/>
  <c r="O40" i="36" s="1"/>
  <c r="M41" i="36"/>
  <c r="N41" i="36"/>
  <c r="O41" i="36" s="1"/>
  <c r="M42" i="36"/>
  <c r="N42" i="36" s="1"/>
  <c r="O42" i="36" s="1"/>
  <c r="M43" i="36"/>
  <c r="N43" i="36"/>
  <c r="O43" i="36" s="1"/>
  <c r="M44" i="36"/>
  <c r="N44" i="36" s="1"/>
  <c r="O44" i="36" s="1"/>
  <c r="M45" i="36"/>
  <c r="N45" i="36" s="1"/>
  <c r="O45" i="36" s="1"/>
  <c r="M46" i="36"/>
  <c r="N46" i="36" s="1"/>
  <c r="O46" i="36" s="1"/>
  <c r="M47" i="36"/>
  <c r="N47" i="36" s="1"/>
  <c r="O47" i="36" s="1"/>
  <c r="M48" i="36"/>
  <c r="N48" i="36" s="1"/>
  <c r="O48" i="36" s="1"/>
  <c r="M49" i="36"/>
  <c r="N49" i="36" s="1"/>
  <c r="O49" i="36"/>
  <c r="M50" i="36"/>
  <c r="N50" i="36" s="1"/>
  <c r="O50" i="36"/>
  <c r="M51" i="36"/>
  <c r="N51" i="36"/>
  <c r="O51" i="36" s="1"/>
  <c r="M52" i="36"/>
  <c r="N52" i="36" s="1"/>
  <c r="O52" i="36" s="1"/>
  <c r="M53" i="36"/>
  <c r="N53" i="36"/>
  <c r="O53" i="36" s="1"/>
  <c r="M54" i="36"/>
  <c r="N54" i="36"/>
  <c r="O54" i="36" s="1"/>
  <c r="M55" i="36"/>
  <c r="N55" i="36"/>
  <c r="O55" i="36" s="1"/>
  <c r="M56" i="36"/>
  <c r="N56" i="36" s="1"/>
  <c r="O56" i="36" s="1"/>
  <c r="M57" i="36"/>
  <c r="N57" i="36"/>
  <c r="O57" i="36" s="1"/>
  <c r="M58" i="36"/>
  <c r="N58" i="36"/>
  <c r="O58" i="36"/>
  <c r="M59" i="36"/>
  <c r="N59" i="36"/>
  <c r="O59" i="36" s="1"/>
  <c r="M60" i="36"/>
  <c r="N60" i="36" s="1"/>
  <c r="O60" i="36" s="1"/>
  <c r="M61" i="36"/>
  <c r="N61" i="36"/>
  <c r="O61" i="36"/>
  <c r="M62" i="36"/>
  <c r="N62" i="36"/>
  <c r="O62" i="36" s="1"/>
  <c r="M63" i="36"/>
  <c r="N63" i="36"/>
  <c r="O63" i="36" s="1"/>
  <c r="M64" i="36"/>
  <c r="N64" i="36" s="1"/>
  <c r="O64" i="36" s="1"/>
  <c r="M65" i="36"/>
  <c r="N65" i="36"/>
  <c r="O65" i="36" s="1"/>
  <c r="M66" i="36"/>
  <c r="N66" i="36" s="1"/>
  <c r="O66" i="36" s="1"/>
  <c r="M67" i="36"/>
  <c r="N67" i="36" s="1"/>
  <c r="O67" i="36" s="1"/>
  <c r="M68" i="36"/>
  <c r="N68" i="36" s="1"/>
  <c r="O68" i="36" s="1"/>
  <c r="M69" i="36"/>
  <c r="N69" i="36" s="1"/>
  <c r="O69" i="36"/>
  <c r="M70" i="36"/>
  <c r="N70" i="36" s="1"/>
  <c r="O70" i="36" s="1"/>
  <c r="M71" i="36"/>
  <c r="N71" i="36" s="1"/>
  <c r="O71" i="36" s="1"/>
  <c r="M72" i="36"/>
  <c r="N72" i="36" s="1"/>
  <c r="O72" i="36" s="1"/>
  <c r="M73" i="36"/>
  <c r="N73" i="36"/>
  <c r="O73" i="36"/>
  <c r="M74" i="36"/>
  <c r="N74" i="36" s="1"/>
  <c r="O74" i="36" s="1"/>
  <c r="M75" i="36"/>
  <c r="N75" i="36" s="1"/>
  <c r="O75" i="36" s="1"/>
  <c r="M76" i="36"/>
  <c r="N76" i="36" s="1"/>
  <c r="O76" i="36" s="1"/>
  <c r="M77" i="36"/>
  <c r="N77" i="36" s="1"/>
  <c r="O77" i="36" s="1"/>
  <c r="M78" i="36"/>
  <c r="N78" i="36" s="1"/>
  <c r="O78" i="36"/>
  <c r="M79" i="36"/>
  <c r="N79" i="36" s="1"/>
  <c r="O79" i="36" s="1"/>
  <c r="M80" i="36"/>
  <c r="N80" i="36" s="1"/>
  <c r="O80" i="36" s="1"/>
  <c r="M81" i="36"/>
  <c r="N81" i="36"/>
  <c r="O81" i="36"/>
  <c r="M82" i="36"/>
  <c r="N82" i="36" s="1"/>
  <c r="O82" i="36" s="1"/>
  <c r="M83" i="36"/>
  <c r="N83" i="36"/>
  <c r="O83" i="36" s="1"/>
  <c r="M84" i="36"/>
  <c r="N84" i="36" s="1"/>
  <c r="O84" i="36" s="1"/>
  <c r="M85" i="36"/>
  <c r="N85" i="36"/>
  <c r="O85" i="36"/>
  <c r="M86" i="36"/>
  <c r="N86" i="36" s="1"/>
  <c r="O86" i="36" s="1"/>
  <c r="M87" i="36"/>
  <c r="N87" i="36" s="1"/>
  <c r="O87" i="36" s="1"/>
  <c r="M88" i="36"/>
  <c r="N88" i="36" s="1"/>
  <c r="O88" i="36" s="1"/>
  <c r="M89" i="36"/>
  <c r="N89" i="36" s="1"/>
  <c r="O89" i="36"/>
  <c r="M90" i="36"/>
  <c r="N90" i="36" s="1"/>
  <c r="O90" i="36" s="1"/>
  <c r="M91" i="36"/>
  <c r="N91" i="36"/>
  <c r="O91" i="36" s="1"/>
  <c r="M92" i="36"/>
  <c r="N92" i="36" s="1"/>
  <c r="O92" i="36" s="1"/>
  <c r="M93" i="36"/>
  <c r="N93" i="36"/>
  <c r="O93" i="36"/>
  <c r="M94" i="36"/>
  <c r="N94" i="36"/>
  <c r="O94" i="36" s="1"/>
  <c r="M95" i="36"/>
  <c r="N95" i="36" s="1"/>
  <c r="O95" i="36" s="1"/>
  <c r="M96" i="36"/>
  <c r="N96" i="36" s="1"/>
  <c r="O96" i="36" s="1"/>
  <c r="M97" i="36"/>
  <c r="N97" i="36"/>
  <c r="O97" i="36" s="1"/>
  <c r="M98" i="36"/>
  <c r="N98" i="36" s="1"/>
  <c r="O98" i="36" s="1"/>
  <c r="M99" i="36"/>
  <c r="N99" i="36" s="1"/>
  <c r="O99" i="36" s="1"/>
  <c r="M100" i="36"/>
  <c r="N100" i="36" s="1"/>
  <c r="O100" i="36" s="1"/>
  <c r="M101" i="36"/>
  <c r="N101" i="36" s="1"/>
  <c r="O101" i="36"/>
  <c r="M102" i="36"/>
  <c r="N102" i="36" s="1"/>
  <c r="O102" i="36" s="1"/>
  <c r="M103" i="36"/>
  <c r="N103" i="36" s="1"/>
  <c r="O103" i="36" s="1"/>
  <c r="M105" i="36"/>
  <c r="N105" i="36" s="1"/>
  <c r="O105" i="36" s="1"/>
  <c r="M106" i="36"/>
  <c r="N106" i="36"/>
  <c r="O106" i="36"/>
  <c r="M107" i="36"/>
  <c r="N107" i="36" s="1"/>
  <c r="O107" i="36" s="1"/>
  <c r="M108" i="36"/>
  <c r="N108" i="36"/>
  <c r="O108" i="36" s="1"/>
  <c r="M109" i="36"/>
  <c r="N109" i="36" s="1"/>
  <c r="O109" i="36" s="1"/>
  <c r="M110" i="36"/>
  <c r="N110" i="36" s="1"/>
  <c r="O110" i="36" s="1"/>
  <c r="M111" i="36"/>
  <c r="N111" i="36" s="1"/>
  <c r="O111" i="36" s="1"/>
  <c r="M112" i="36"/>
  <c r="N112" i="36" s="1"/>
  <c r="O112" i="36" s="1"/>
  <c r="M113" i="36"/>
  <c r="N113" i="36" s="1"/>
  <c r="O113" i="36" s="1"/>
  <c r="M114" i="36"/>
  <c r="N114" i="36"/>
  <c r="O114" i="36"/>
  <c r="M116" i="36"/>
  <c r="N116" i="36" s="1"/>
  <c r="O116" i="36" s="1"/>
  <c r="M117" i="36"/>
  <c r="N117" i="36"/>
  <c r="O117" i="36" s="1"/>
  <c r="M118" i="36"/>
  <c r="N118" i="36" s="1"/>
  <c r="O118" i="36" s="1"/>
  <c r="M119" i="36"/>
  <c r="N119" i="36"/>
  <c r="O119" i="36"/>
  <c r="M120" i="36"/>
  <c r="N120" i="36"/>
  <c r="O120" i="36" s="1"/>
  <c r="M121" i="36"/>
  <c r="N121" i="36"/>
  <c r="O121" i="36" s="1"/>
  <c r="M122" i="36"/>
  <c r="N122" i="36" s="1"/>
  <c r="O122" i="36" s="1"/>
  <c r="M123" i="36"/>
  <c r="N123" i="36"/>
  <c r="O123" i="36" s="1"/>
  <c r="M124" i="36"/>
  <c r="N124" i="36"/>
  <c r="O124" i="36" s="1"/>
  <c r="M125" i="36"/>
  <c r="N125" i="36"/>
  <c r="O125" i="36" s="1"/>
  <c r="M126" i="36"/>
  <c r="N126" i="36" s="1"/>
  <c r="O126" i="36" s="1"/>
  <c r="M127" i="36"/>
  <c r="N127" i="36" s="1"/>
  <c r="O127" i="36" s="1"/>
  <c r="M128" i="36"/>
  <c r="N128" i="36" s="1"/>
  <c r="O128" i="36" s="1"/>
  <c r="M129" i="36"/>
  <c r="N129" i="36"/>
  <c r="O129" i="36" s="1"/>
  <c r="M130" i="36"/>
  <c r="N130" i="36" s="1"/>
  <c r="O130" i="36" s="1"/>
  <c r="M131" i="36"/>
  <c r="N131" i="36" s="1"/>
  <c r="O131" i="36" s="1"/>
  <c r="M132" i="36"/>
  <c r="N132" i="36" s="1"/>
  <c r="O132" i="36" s="1"/>
  <c r="M133" i="36"/>
  <c r="N133" i="36" s="1"/>
  <c r="O133" i="36" s="1"/>
  <c r="M134" i="36"/>
  <c r="N134" i="36" s="1"/>
  <c r="O134" i="36" s="1"/>
  <c r="M135" i="36"/>
  <c r="N135" i="36" s="1"/>
  <c r="O135" i="36" s="1"/>
  <c r="M136" i="36"/>
  <c r="N136" i="36" s="1"/>
  <c r="O136" i="36" s="1"/>
  <c r="M137" i="36"/>
  <c r="N137" i="36"/>
  <c r="O137" i="36" s="1"/>
  <c r="M138" i="36"/>
  <c r="N138" i="36" s="1"/>
  <c r="O138" i="36" s="1"/>
  <c r="M139" i="36"/>
  <c r="N139" i="36"/>
  <c r="O139" i="36"/>
  <c r="M140" i="36"/>
  <c r="N140" i="36" s="1"/>
  <c r="O140" i="36" s="1"/>
  <c r="M141" i="36"/>
  <c r="N141" i="36"/>
  <c r="O141" i="36" s="1"/>
  <c r="M142" i="36"/>
  <c r="N142" i="36" s="1"/>
  <c r="O142" i="36" s="1"/>
  <c r="M143" i="36"/>
  <c r="N143" i="36" s="1"/>
  <c r="O143" i="36" s="1"/>
  <c r="M144" i="36"/>
  <c r="N144" i="36" s="1"/>
  <c r="O144" i="36" s="1"/>
  <c r="M145" i="36"/>
  <c r="N145" i="36" s="1"/>
  <c r="O145" i="36" s="1"/>
  <c r="M146" i="36"/>
  <c r="N146" i="36" s="1"/>
  <c r="O146" i="36" s="1"/>
  <c r="M147" i="36"/>
  <c r="N147" i="36" s="1"/>
  <c r="O147" i="36" s="1"/>
  <c r="M148" i="36"/>
  <c r="N148" i="36" s="1"/>
  <c r="O148" i="36" s="1"/>
  <c r="M149" i="36"/>
  <c r="N149" i="36" s="1"/>
  <c r="O149" i="36" s="1"/>
  <c r="M150" i="36"/>
  <c r="N150" i="36" s="1"/>
  <c r="O150" i="36" s="1"/>
  <c r="M151" i="36"/>
  <c r="N151" i="36" s="1"/>
  <c r="O151" i="36" s="1"/>
  <c r="M152" i="36"/>
  <c r="N152" i="36"/>
  <c r="O152" i="36" s="1"/>
  <c r="M153" i="36"/>
  <c r="N153" i="36"/>
  <c r="O153" i="36" s="1"/>
  <c r="M154" i="36"/>
  <c r="N154" i="36" s="1"/>
  <c r="O154" i="36" s="1"/>
  <c r="M155" i="36"/>
  <c r="N155" i="36"/>
  <c r="O155" i="36"/>
  <c r="M156" i="36"/>
  <c r="N156" i="36"/>
  <c r="O156" i="36" s="1"/>
  <c r="M157" i="36"/>
  <c r="N157" i="36" s="1"/>
  <c r="O157" i="36" s="1"/>
  <c r="M158" i="36"/>
  <c r="N158" i="36" s="1"/>
  <c r="O158" i="36" s="1"/>
  <c r="M159" i="36"/>
  <c r="N159" i="36"/>
  <c r="O159" i="36" s="1"/>
  <c r="M160" i="36"/>
  <c r="N160" i="36"/>
  <c r="O160" i="36" s="1"/>
  <c r="M161" i="36"/>
  <c r="N161" i="36" s="1"/>
  <c r="O161" i="36" s="1"/>
  <c r="M162" i="36"/>
  <c r="N162" i="36" s="1"/>
  <c r="O162" i="36" s="1"/>
  <c r="M163" i="36"/>
  <c r="N163" i="36" s="1"/>
  <c r="O163" i="36" s="1"/>
  <c r="M164" i="36"/>
  <c r="N164" i="36" s="1"/>
  <c r="O164" i="36" s="1"/>
  <c r="M165" i="36"/>
  <c r="N165" i="36"/>
  <c r="O165" i="36" s="1"/>
  <c r="M166" i="36"/>
  <c r="N166" i="36" s="1"/>
  <c r="O166" i="36" s="1"/>
  <c r="M167" i="36"/>
  <c r="N167" i="36"/>
  <c r="O167" i="36"/>
  <c r="M168" i="36"/>
  <c r="N168" i="36"/>
  <c r="O168" i="36" s="1"/>
  <c r="M169" i="36"/>
  <c r="N169" i="36" s="1"/>
  <c r="O169" i="36" s="1"/>
  <c r="M170" i="36"/>
  <c r="N170" i="36" s="1"/>
  <c r="O170" i="36" s="1"/>
  <c r="M171" i="36"/>
  <c r="N171" i="36"/>
  <c r="O171" i="36"/>
  <c r="M172" i="36"/>
  <c r="N172" i="36" s="1"/>
  <c r="O172" i="36" s="1"/>
  <c r="M173" i="36"/>
  <c r="N173" i="36"/>
  <c r="O173" i="36" s="1"/>
  <c r="M174" i="36"/>
  <c r="N174" i="36" s="1"/>
  <c r="O174" i="36" s="1"/>
  <c r="M175" i="36"/>
  <c r="N175" i="36"/>
  <c r="O175" i="36"/>
  <c r="M176" i="36"/>
  <c r="N176" i="36"/>
  <c r="O176" i="36" s="1"/>
  <c r="M177" i="36"/>
  <c r="N177" i="36"/>
  <c r="O177" i="36" s="1"/>
  <c r="M178" i="36"/>
  <c r="N178" i="36" s="1"/>
  <c r="O178" i="36" s="1"/>
  <c r="M179" i="36"/>
  <c r="N179" i="36"/>
  <c r="O179" i="36" s="1"/>
  <c r="M180" i="36"/>
  <c r="N180" i="36" s="1"/>
  <c r="O180" i="36" s="1"/>
  <c r="M181" i="36"/>
  <c r="N181" i="36"/>
  <c r="O181" i="36" s="1"/>
  <c r="M182" i="36"/>
  <c r="N182" i="36" s="1"/>
  <c r="O182" i="36" s="1"/>
  <c r="M183" i="36"/>
  <c r="N183" i="36" s="1"/>
  <c r="O183" i="36"/>
  <c r="M184" i="36"/>
  <c r="N184" i="36" s="1"/>
  <c r="O184" i="36" s="1"/>
  <c r="M185" i="36"/>
  <c r="N185" i="36"/>
  <c r="O185" i="36" s="1"/>
  <c r="M186" i="36"/>
  <c r="N186" i="36" s="1"/>
  <c r="O186" i="36" s="1"/>
  <c r="M187" i="36"/>
  <c r="N187" i="36"/>
  <c r="O187" i="36" s="1"/>
  <c r="M188" i="36"/>
  <c r="N188" i="36" s="1"/>
  <c r="O188" i="36" s="1"/>
  <c r="M189" i="36"/>
  <c r="N189" i="36"/>
  <c r="O189" i="36" s="1"/>
  <c r="M190" i="36"/>
  <c r="N190" i="36" s="1"/>
  <c r="O190" i="36" s="1"/>
  <c r="M191" i="36"/>
  <c r="N191" i="36" s="1"/>
  <c r="O191" i="36" s="1"/>
  <c r="M192" i="36"/>
  <c r="N192" i="36"/>
  <c r="O192" i="36" s="1"/>
  <c r="M193" i="36"/>
  <c r="N193" i="36" s="1"/>
  <c r="O193" i="36" s="1"/>
  <c r="M195" i="36"/>
  <c r="N195" i="36" s="1"/>
  <c r="O195" i="36" s="1"/>
  <c r="M196" i="36"/>
  <c r="N196" i="36" s="1"/>
  <c r="O196" i="36"/>
  <c r="M197" i="36"/>
  <c r="N197" i="36" s="1"/>
  <c r="O197" i="36" s="1"/>
  <c r="M198" i="36"/>
  <c r="N198" i="36"/>
  <c r="O198" i="36" s="1"/>
  <c r="M199" i="36"/>
  <c r="N199" i="36" s="1"/>
  <c r="O199" i="36" s="1"/>
  <c r="M200" i="36"/>
  <c r="N200" i="36"/>
  <c r="O200" i="36" s="1"/>
  <c r="M201" i="36"/>
  <c r="N201" i="36" s="1"/>
  <c r="O201" i="36" s="1"/>
  <c r="M202" i="36"/>
  <c r="N202" i="36"/>
  <c r="O202" i="36" s="1"/>
  <c r="M203" i="36"/>
  <c r="N203" i="36" s="1"/>
  <c r="O203" i="36" s="1"/>
  <c r="M204" i="36"/>
  <c r="N204" i="36"/>
  <c r="O204" i="36" s="1"/>
  <c r="M205" i="36"/>
  <c r="N205" i="36" s="1"/>
  <c r="O205" i="36" s="1"/>
  <c r="M206" i="36"/>
  <c r="N206" i="36"/>
  <c r="O206" i="36" s="1"/>
  <c r="M207" i="36"/>
  <c r="N207" i="36" s="1"/>
  <c r="O207" i="36" s="1"/>
  <c r="M208" i="36"/>
  <c r="N208" i="36"/>
  <c r="O208" i="36"/>
  <c r="M209" i="36"/>
  <c r="N209" i="36"/>
  <c r="O209" i="36" s="1"/>
  <c r="M210" i="36"/>
  <c r="N210" i="36"/>
  <c r="O210" i="36" s="1"/>
  <c r="M211" i="36"/>
  <c r="N211" i="36" s="1"/>
  <c r="O211" i="36" s="1"/>
  <c r="M212" i="36"/>
  <c r="N212" i="36"/>
  <c r="O212" i="36" s="1"/>
  <c r="M213" i="36"/>
  <c r="N213" i="36"/>
  <c r="O213" i="36" s="1"/>
  <c r="M214" i="36"/>
  <c r="N214" i="36" s="1"/>
  <c r="O214" i="36" s="1"/>
  <c r="M215" i="36"/>
  <c r="N215" i="36" s="1"/>
  <c r="O215" i="36" s="1"/>
  <c r="M216" i="36"/>
  <c r="N216" i="36" s="1"/>
  <c r="O216" i="36" s="1"/>
  <c r="M217" i="36"/>
  <c r="N217" i="36" s="1"/>
  <c r="O217" i="36" s="1"/>
  <c r="M218" i="36"/>
  <c r="N218" i="36"/>
  <c r="O218" i="36" s="1"/>
  <c r="M219" i="36"/>
  <c r="N219" i="36" s="1"/>
  <c r="O219" i="36" s="1"/>
  <c r="M220" i="36"/>
  <c r="N220" i="36"/>
  <c r="O220" i="36" s="1"/>
  <c r="M221" i="36"/>
  <c r="N221" i="36" s="1"/>
  <c r="O221" i="36" s="1"/>
  <c r="M222" i="36"/>
  <c r="N222" i="36"/>
  <c r="O222" i="36" s="1"/>
  <c r="M223" i="36"/>
  <c r="N223" i="36" s="1"/>
  <c r="O223" i="36" s="1"/>
  <c r="M224" i="36"/>
  <c r="N224" i="36"/>
  <c r="O224" i="36" s="1"/>
  <c r="M225" i="36"/>
  <c r="N225" i="36" s="1"/>
  <c r="O225" i="36" s="1"/>
  <c r="M226" i="36"/>
  <c r="N226" i="36"/>
  <c r="O226" i="36" s="1"/>
  <c r="M227" i="36"/>
  <c r="N227" i="36" s="1"/>
  <c r="O227" i="36" s="1"/>
  <c r="M228" i="36"/>
  <c r="N228" i="36"/>
  <c r="O228" i="36"/>
  <c r="M229" i="36"/>
  <c r="N229" i="36"/>
  <c r="O229" i="36" s="1"/>
  <c r="M230" i="36"/>
  <c r="N230" i="36"/>
  <c r="O230" i="36" s="1"/>
  <c r="M231" i="36"/>
  <c r="N231" i="36" s="1"/>
  <c r="O231" i="36" s="1"/>
  <c r="M232" i="36"/>
  <c r="N232" i="36"/>
  <c r="O232" i="36"/>
  <c r="M233" i="36"/>
  <c r="N233" i="36"/>
  <c r="O233" i="36" s="1"/>
  <c r="M234" i="36"/>
  <c r="N234" i="36"/>
  <c r="O234" i="36" s="1"/>
  <c r="M235" i="36"/>
  <c r="N235" i="36" s="1"/>
  <c r="O235" i="36" s="1"/>
  <c r="M236" i="36"/>
  <c r="N236" i="36" s="1"/>
  <c r="O236" i="36" s="1"/>
  <c r="M237" i="36"/>
  <c r="N237" i="36" s="1"/>
  <c r="O237" i="36" s="1"/>
  <c r="M238" i="36"/>
  <c r="N238" i="36"/>
  <c r="O238" i="36" s="1"/>
  <c r="M239" i="36"/>
  <c r="N239" i="36" s="1"/>
  <c r="O239" i="36" s="1"/>
  <c r="M240" i="36"/>
  <c r="N240" i="36"/>
  <c r="O240" i="36" s="1"/>
  <c r="M241" i="36"/>
  <c r="N241" i="36"/>
  <c r="O241" i="36" s="1"/>
  <c r="M242" i="36"/>
  <c r="N242" i="36" s="1"/>
  <c r="O242" i="36" s="1"/>
  <c r="M243" i="36"/>
  <c r="N243" i="36" s="1"/>
  <c r="O243" i="36" s="1"/>
  <c r="M244" i="36"/>
  <c r="N244" i="36"/>
  <c r="O244" i="36"/>
  <c r="M245" i="36"/>
  <c r="N245" i="36" s="1"/>
  <c r="O245" i="36" s="1"/>
  <c r="M246" i="36"/>
  <c r="N246" i="36"/>
  <c r="O246" i="36" s="1"/>
  <c r="M247" i="36"/>
  <c r="N247" i="36" s="1"/>
  <c r="O247" i="36" s="1"/>
  <c r="M248" i="36"/>
  <c r="N248" i="36"/>
  <c r="O248" i="36"/>
  <c r="M249" i="36"/>
  <c r="N249" i="36" s="1"/>
  <c r="O249" i="36" s="1"/>
  <c r="M250" i="36"/>
  <c r="N250" i="36"/>
  <c r="O250" i="36" s="1"/>
  <c r="M251" i="36"/>
  <c r="N251" i="36" s="1"/>
  <c r="O251" i="36" s="1"/>
  <c r="M252" i="36"/>
  <c r="N252" i="36"/>
  <c r="O252" i="36"/>
  <c r="M253" i="36"/>
  <c r="N253" i="36" s="1"/>
  <c r="O253" i="36" s="1"/>
  <c r="M254" i="36"/>
  <c r="N254" i="36"/>
  <c r="O254" i="36" s="1"/>
  <c r="M255" i="36"/>
  <c r="N255" i="36" s="1"/>
  <c r="O255" i="36" s="1"/>
  <c r="M256" i="36"/>
  <c r="N256" i="36" s="1"/>
  <c r="O256" i="36" s="1"/>
  <c r="M257" i="36"/>
  <c r="N257" i="36" s="1"/>
  <c r="O257" i="36" s="1"/>
  <c r="M258" i="36"/>
  <c r="N258" i="36" s="1"/>
  <c r="O258" i="36" s="1"/>
  <c r="M259" i="36"/>
  <c r="N259" i="36" s="1"/>
  <c r="O259" i="36" s="1"/>
  <c r="M260" i="36"/>
  <c r="N260" i="36" s="1"/>
  <c r="O260" i="36" s="1"/>
  <c r="M261" i="36"/>
  <c r="N261" i="36" s="1"/>
  <c r="O261" i="36" s="1"/>
  <c r="M262" i="36"/>
  <c r="N262" i="36"/>
  <c r="O262" i="36" s="1"/>
  <c r="M263" i="36"/>
  <c r="N263" i="36" s="1"/>
  <c r="O263" i="36" s="1"/>
  <c r="M264" i="36"/>
  <c r="N264" i="36" s="1"/>
  <c r="O264" i="36" s="1"/>
  <c r="M265" i="36"/>
  <c r="N265" i="36" s="1"/>
  <c r="O265" i="36" s="1"/>
  <c r="M266" i="36"/>
  <c r="N266" i="36"/>
  <c r="O266" i="36" s="1"/>
  <c r="M267" i="36"/>
  <c r="N267" i="36" s="1"/>
  <c r="O267" i="36" s="1"/>
  <c r="M268" i="36"/>
  <c r="N268" i="36"/>
  <c r="O268" i="36" s="1"/>
  <c r="M269" i="36"/>
  <c r="N269" i="36" s="1"/>
  <c r="O269" i="36" s="1"/>
  <c r="M270" i="36"/>
  <c r="N270" i="36" s="1"/>
  <c r="O270" i="36" s="1"/>
  <c r="M271" i="36"/>
  <c r="N271" i="36" s="1"/>
  <c r="O271" i="36" s="1"/>
  <c r="M272" i="36"/>
  <c r="N272" i="36" s="1"/>
  <c r="O272" i="36" s="1"/>
  <c r="M273" i="36"/>
  <c r="N273" i="36" s="1"/>
  <c r="O273" i="36" s="1"/>
  <c r="M274" i="36"/>
  <c r="N274" i="36"/>
  <c r="O274" i="36" s="1"/>
  <c r="M275" i="36"/>
  <c r="N275" i="36" s="1"/>
  <c r="O275" i="36" s="1"/>
  <c r="M276" i="36"/>
  <c r="N276" i="36"/>
  <c r="O276" i="36" s="1"/>
  <c r="M277" i="36"/>
  <c r="N277" i="36" s="1"/>
  <c r="O277" i="36" s="1"/>
  <c r="M278" i="36"/>
  <c r="N278" i="36"/>
  <c r="O278" i="36" s="1"/>
  <c r="M279" i="36"/>
  <c r="N279" i="36" s="1"/>
  <c r="O279" i="36" s="1"/>
  <c r="M280" i="36"/>
  <c r="N280" i="36" s="1"/>
  <c r="O280" i="36"/>
  <c r="M281" i="36"/>
  <c r="N281" i="36" s="1"/>
  <c r="O281" i="36" s="1"/>
  <c r="M282" i="36"/>
  <c r="N282" i="36"/>
  <c r="O282" i="36" s="1"/>
  <c r="M283" i="36"/>
  <c r="N283" i="36" s="1"/>
  <c r="O283" i="36" s="1"/>
  <c r="M284" i="36"/>
  <c r="N284" i="36"/>
  <c r="O284" i="36" s="1"/>
  <c r="M285" i="36"/>
  <c r="N285" i="36" s="1"/>
  <c r="O285" i="36" s="1"/>
  <c r="M286" i="36"/>
  <c r="N286" i="36"/>
  <c r="O286" i="36" s="1"/>
  <c r="M287" i="36"/>
  <c r="N287" i="36" s="1"/>
  <c r="O287" i="36" s="1"/>
  <c r="M288" i="36"/>
  <c r="N288" i="36"/>
  <c r="O288" i="36" s="1"/>
  <c r="M289" i="36"/>
  <c r="N289" i="36" s="1"/>
  <c r="O289" i="36" s="1"/>
  <c r="M290" i="36"/>
  <c r="N290" i="36"/>
  <c r="O290" i="36" s="1"/>
  <c r="M291" i="36"/>
  <c r="N291" i="36" s="1"/>
  <c r="O291" i="36"/>
  <c r="M292" i="36"/>
  <c r="N292" i="36" s="1"/>
  <c r="O292" i="36"/>
  <c r="M293" i="36"/>
  <c r="N293" i="36" s="1"/>
  <c r="O293" i="36" s="1"/>
  <c r="M294" i="36"/>
  <c r="N294" i="36" s="1"/>
  <c r="O294" i="36" s="1"/>
  <c r="M295" i="36"/>
  <c r="N295" i="36" s="1"/>
  <c r="O295" i="36" s="1"/>
  <c r="M296" i="36"/>
  <c r="N296" i="36"/>
  <c r="O296" i="36" s="1"/>
  <c r="M297" i="36"/>
  <c r="N297" i="36"/>
  <c r="O297" i="36" s="1"/>
  <c r="M298" i="36"/>
  <c r="N298" i="36"/>
  <c r="O298" i="36" s="1"/>
  <c r="M299" i="36"/>
  <c r="N299" i="36" s="1"/>
  <c r="O299" i="36" s="1"/>
  <c r="M300" i="36"/>
  <c r="N300" i="36" s="1"/>
  <c r="O300" i="36" s="1"/>
  <c r="M301" i="36"/>
  <c r="N301" i="36" s="1"/>
  <c r="O301" i="36" s="1"/>
  <c r="M302" i="36"/>
  <c r="N302" i="36"/>
  <c r="O302" i="36" s="1"/>
  <c r="M303" i="36"/>
  <c r="N303" i="36" s="1"/>
  <c r="O303" i="36" s="1"/>
  <c r="M304" i="36"/>
  <c r="N304" i="36"/>
  <c r="O304" i="36"/>
  <c r="M305" i="36"/>
  <c r="N305" i="36"/>
  <c r="O305" i="36" s="1"/>
  <c r="M306" i="36"/>
  <c r="N306" i="36" s="1"/>
  <c r="O306" i="36" s="1"/>
  <c r="M307" i="36"/>
  <c r="N307" i="36" s="1"/>
  <c r="O307" i="36"/>
  <c r="M308" i="36"/>
  <c r="N308" i="36"/>
  <c r="O308" i="36" s="1"/>
  <c r="M309" i="36"/>
  <c r="N309" i="36" s="1"/>
  <c r="O309" i="36" s="1"/>
  <c r="M310" i="36"/>
  <c r="N310" i="36" s="1"/>
  <c r="O310" i="36" s="1"/>
  <c r="M311" i="36"/>
  <c r="N311" i="36" s="1"/>
  <c r="O311" i="36" s="1"/>
  <c r="M312" i="36"/>
  <c r="N312" i="36"/>
  <c r="O312" i="36" s="1"/>
  <c r="M313" i="36"/>
  <c r="N313" i="36" s="1"/>
  <c r="O313" i="36" s="1"/>
  <c r="M314" i="36"/>
  <c r="N314" i="36"/>
  <c r="O314" i="36" s="1"/>
  <c r="M315" i="36"/>
  <c r="N315" i="36" s="1"/>
  <c r="O315" i="36"/>
  <c r="M316" i="36"/>
  <c r="N316" i="36"/>
  <c r="O316" i="36"/>
  <c r="M317" i="36"/>
  <c r="N317" i="36" s="1"/>
  <c r="O317" i="36" s="1"/>
  <c r="M318" i="36"/>
  <c r="N318" i="36" s="1"/>
  <c r="O318" i="36" s="1"/>
  <c r="M319" i="36"/>
  <c r="N319" i="36" s="1"/>
  <c r="O319" i="36" s="1"/>
  <c r="M320" i="36"/>
  <c r="N320" i="36" s="1"/>
  <c r="O320" i="36"/>
  <c r="M321" i="36"/>
  <c r="N321" i="36" s="1"/>
  <c r="O321" i="36" s="1"/>
  <c r="M322" i="36"/>
  <c r="N322" i="36"/>
  <c r="O322" i="36" s="1"/>
  <c r="M323" i="36"/>
  <c r="N323" i="36" s="1"/>
  <c r="O323" i="36" s="1"/>
  <c r="M324" i="36"/>
  <c r="N324" i="36"/>
  <c r="O324" i="36"/>
  <c r="M325" i="36"/>
  <c r="N325" i="36"/>
  <c r="O325" i="36" s="1"/>
  <c r="M326" i="36"/>
  <c r="N326" i="36"/>
  <c r="O326" i="36" s="1"/>
  <c r="M327" i="36"/>
  <c r="N327" i="36" s="1"/>
  <c r="O327" i="36" s="1"/>
  <c r="M328" i="36"/>
  <c r="N328" i="36"/>
  <c r="O328" i="36"/>
  <c r="M329" i="36"/>
  <c r="N329" i="36" s="1"/>
  <c r="O329" i="36" s="1"/>
  <c r="M330" i="36"/>
  <c r="N330" i="36"/>
  <c r="O330" i="36" s="1"/>
  <c r="M331" i="36"/>
  <c r="N331" i="36" s="1"/>
  <c r="O331" i="36" s="1"/>
  <c r="M332" i="36"/>
  <c r="N332" i="36"/>
  <c r="O332" i="36"/>
  <c r="M333" i="36"/>
  <c r="N333" i="36"/>
  <c r="O333" i="36" s="1"/>
  <c r="M334" i="36"/>
  <c r="N334" i="36"/>
  <c r="O334" i="36" s="1"/>
  <c r="M335" i="36"/>
  <c r="N335" i="36" s="1"/>
  <c r="O335" i="36" s="1"/>
  <c r="M336" i="36"/>
  <c r="N336" i="36"/>
  <c r="O336" i="36"/>
  <c r="M337" i="36"/>
  <c r="N337" i="36"/>
  <c r="O337" i="36" s="1"/>
  <c r="M338" i="36"/>
  <c r="N338" i="36"/>
  <c r="O338" i="36" s="1"/>
  <c r="M339" i="36"/>
  <c r="N339" i="36" s="1"/>
  <c r="O339" i="36" s="1"/>
  <c r="M340" i="36"/>
  <c r="N340" i="36" s="1"/>
  <c r="O340" i="36" s="1"/>
  <c r="M341" i="36"/>
  <c r="N341" i="36" s="1"/>
  <c r="O341" i="36" s="1"/>
  <c r="M342" i="36"/>
  <c r="N342" i="36"/>
  <c r="O342" i="36" s="1"/>
  <c r="M343" i="36"/>
  <c r="N343" i="36" s="1"/>
  <c r="O343" i="36" s="1"/>
  <c r="M344" i="36"/>
  <c r="N344" i="36"/>
  <c r="O344" i="36" s="1"/>
  <c r="M345" i="36"/>
  <c r="N345" i="36" s="1"/>
  <c r="O345" i="36" s="1"/>
  <c r="M346" i="36"/>
  <c r="N346" i="36" s="1"/>
  <c r="O346" i="36" s="1"/>
  <c r="M347" i="36"/>
  <c r="N347" i="36" s="1"/>
  <c r="O347" i="36"/>
  <c r="M348" i="36"/>
  <c r="N348" i="36"/>
  <c r="O348" i="36"/>
  <c r="M349" i="36"/>
  <c r="N349" i="36" s="1"/>
  <c r="O349" i="36" s="1"/>
  <c r="M350" i="36"/>
  <c r="N350" i="36"/>
  <c r="O350" i="36" s="1"/>
  <c r="M351" i="36"/>
  <c r="N351" i="36" s="1"/>
  <c r="O351" i="36" s="1"/>
  <c r="M352" i="36"/>
  <c r="N352" i="36" s="1"/>
  <c r="O352" i="36" s="1"/>
  <c r="M353" i="36"/>
  <c r="N353" i="36"/>
  <c r="O353" i="36" s="1"/>
  <c r="M354" i="36"/>
  <c r="N354" i="36"/>
  <c r="O354" i="36" s="1"/>
  <c r="M355" i="36"/>
  <c r="N355" i="36" s="1"/>
  <c r="O355" i="36" s="1"/>
  <c r="M356" i="36"/>
  <c r="N356" i="36" s="1"/>
  <c r="O356" i="36" s="1"/>
  <c r="M357" i="36"/>
  <c r="N357" i="36" s="1"/>
  <c r="O357" i="36" s="1"/>
  <c r="M358" i="36"/>
  <c r="N358" i="36"/>
  <c r="O358" i="36" s="1"/>
  <c r="M359" i="36"/>
  <c r="N359" i="36" s="1"/>
  <c r="O359" i="36" s="1"/>
  <c r="M360" i="36"/>
  <c r="N360" i="36"/>
  <c r="O360" i="36"/>
  <c r="M361" i="36"/>
  <c r="N361" i="36" s="1"/>
  <c r="O361" i="36" s="1"/>
  <c r="M362" i="36"/>
  <c r="N362" i="36" s="1"/>
  <c r="O362" i="36" s="1"/>
  <c r="M363" i="36"/>
  <c r="N363" i="36" s="1"/>
  <c r="O363" i="36"/>
  <c r="M364" i="36"/>
  <c r="N364" i="36" s="1"/>
  <c r="O364" i="36"/>
  <c r="M365" i="36"/>
  <c r="N365" i="36" s="1"/>
  <c r="O365" i="36" s="1"/>
  <c r="M366" i="36"/>
  <c r="N366" i="36"/>
  <c r="O366" i="36" s="1"/>
  <c r="M367" i="36"/>
  <c r="N367" i="36" s="1"/>
  <c r="O367" i="36" s="1"/>
  <c r="M368" i="36"/>
  <c r="N368" i="36"/>
  <c r="O368" i="36" s="1"/>
  <c r="M369" i="36"/>
  <c r="N369" i="36" s="1"/>
  <c r="O369" i="36" s="1"/>
  <c r="M370" i="36"/>
  <c r="N370" i="36"/>
  <c r="O370" i="36" s="1"/>
  <c r="M371" i="36"/>
  <c r="N371" i="36" s="1"/>
  <c r="O371" i="36" s="1"/>
  <c r="M372" i="36"/>
  <c r="N372" i="36"/>
  <c r="O372" i="36" s="1"/>
  <c r="M373" i="36"/>
  <c r="N373" i="36" s="1"/>
  <c r="O373" i="36" s="1"/>
  <c r="M374" i="36"/>
  <c r="N374" i="36"/>
  <c r="O374" i="36" s="1"/>
  <c r="M375" i="36"/>
  <c r="N375" i="36" s="1"/>
  <c r="O375" i="36"/>
  <c r="M376" i="36"/>
  <c r="N376" i="36" s="1"/>
  <c r="O376" i="36" s="1"/>
  <c r="M377" i="36"/>
  <c r="N377" i="36" s="1"/>
  <c r="O377" i="36" s="1"/>
  <c r="M378" i="36"/>
  <c r="N378" i="36" s="1"/>
  <c r="O378" i="36" s="1"/>
  <c r="M379" i="36"/>
  <c r="N379" i="36" s="1"/>
  <c r="O379" i="36"/>
  <c r="M380" i="36"/>
  <c r="N380" i="36"/>
  <c r="O380" i="36"/>
  <c r="M381" i="36"/>
  <c r="N381" i="36" s="1"/>
  <c r="O381" i="36" s="1"/>
  <c r="M382" i="36"/>
  <c r="N382" i="36"/>
  <c r="O382" i="36" s="1"/>
  <c r="M383" i="36"/>
  <c r="N383" i="36" s="1"/>
  <c r="O383" i="36" s="1"/>
  <c r="M384" i="36"/>
  <c r="N384" i="36"/>
  <c r="O384" i="36"/>
  <c r="M385" i="36"/>
  <c r="N385" i="36" s="1"/>
  <c r="O385" i="36" s="1"/>
  <c r="M386" i="36"/>
  <c r="N386" i="36"/>
  <c r="O386" i="36" s="1"/>
  <c r="M387" i="36"/>
  <c r="N387" i="36" s="1"/>
  <c r="O387" i="36"/>
  <c r="M388" i="36"/>
  <c r="N388" i="36" s="1"/>
  <c r="O388" i="36" s="1"/>
  <c r="M389" i="36"/>
  <c r="N389" i="36"/>
  <c r="O389" i="36" s="1"/>
  <c r="M390" i="36"/>
  <c r="N390" i="36"/>
  <c r="O390" i="36" s="1"/>
  <c r="M391" i="36"/>
  <c r="N391" i="36" s="1"/>
  <c r="O391" i="36" s="1"/>
  <c r="M392" i="36"/>
  <c r="N392" i="36" s="1"/>
  <c r="O392" i="36"/>
  <c r="M393" i="36"/>
  <c r="N393" i="36" s="1"/>
  <c r="O393" i="36" s="1"/>
  <c r="M394" i="36"/>
  <c r="N394" i="36"/>
  <c r="O394" i="36" s="1"/>
  <c r="M395" i="36"/>
  <c r="N395" i="36" s="1"/>
  <c r="O395" i="36" s="1"/>
  <c r="M396" i="36"/>
  <c r="N396" i="36" s="1"/>
  <c r="O396" i="36" s="1"/>
  <c r="M397" i="36"/>
  <c r="N397" i="36" s="1"/>
  <c r="O397" i="36" s="1"/>
  <c r="M398" i="36"/>
  <c r="N398" i="36"/>
  <c r="O398" i="36" s="1"/>
  <c r="M399" i="36"/>
  <c r="N399" i="36" s="1"/>
  <c r="O399" i="36" s="1"/>
  <c r="M400" i="36"/>
  <c r="N400" i="36"/>
  <c r="O400" i="36" s="1"/>
  <c r="M401" i="36"/>
  <c r="N401" i="36" s="1"/>
  <c r="O401" i="36" s="1"/>
  <c r="M402" i="36"/>
  <c r="N402" i="36" s="1"/>
  <c r="O402" i="36" s="1"/>
  <c r="M403" i="36"/>
  <c r="N403" i="36" s="1"/>
  <c r="O403" i="36"/>
  <c r="M404" i="36"/>
  <c r="N404" i="36" s="1"/>
  <c r="O404" i="36" s="1"/>
  <c r="M405" i="36"/>
  <c r="N405" i="36" s="1"/>
  <c r="O405" i="36" s="1"/>
  <c r="M406" i="36"/>
  <c r="N406" i="36"/>
  <c r="O406" i="36" s="1"/>
  <c r="M407" i="36"/>
  <c r="N407" i="36" s="1"/>
  <c r="O407" i="36"/>
  <c r="M408" i="36"/>
  <c r="N408" i="36"/>
  <c r="O408" i="36"/>
  <c r="M409" i="36"/>
  <c r="N409" i="36" s="1"/>
  <c r="O409" i="36" s="1"/>
  <c r="M410" i="36"/>
  <c r="N410" i="36"/>
  <c r="O410" i="36" s="1"/>
  <c r="M411" i="36"/>
  <c r="N411" i="36" s="1"/>
  <c r="O411" i="36" s="1"/>
  <c r="M412" i="36"/>
  <c r="N412" i="36" s="1"/>
  <c r="O412" i="36" s="1"/>
  <c r="M413" i="36"/>
  <c r="N413" i="36" s="1"/>
  <c r="O413" i="36" s="1"/>
  <c r="M414" i="36"/>
  <c r="N414" i="36"/>
  <c r="O414" i="36" s="1"/>
  <c r="M415" i="36"/>
  <c r="N415" i="36" s="1"/>
  <c r="O415" i="36"/>
  <c r="M416" i="36"/>
  <c r="N416" i="36"/>
  <c r="O416" i="36" s="1"/>
  <c r="M417" i="36"/>
  <c r="N417" i="36" s="1"/>
  <c r="O417" i="36" s="1"/>
  <c r="Q7" i="36"/>
  <c r="R7" i="36"/>
  <c r="Q8" i="36"/>
  <c r="R8" i="36"/>
  <c r="Q9" i="36"/>
  <c r="R9" i="36"/>
  <c r="Q10" i="36"/>
  <c r="R10" i="36"/>
  <c r="Q11" i="36"/>
  <c r="R11" i="36"/>
  <c r="Q12" i="36"/>
  <c r="R12" i="36"/>
  <c r="Q13" i="36"/>
  <c r="R13" i="36"/>
  <c r="Q14" i="36"/>
  <c r="R14" i="36"/>
  <c r="Q15" i="36"/>
  <c r="R15" i="36"/>
  <c r="Q16" i="36"/>
  <c r="R16" i="36"/>
  <c r="Q17" i="36"/>
  <c r="R17" i="36"/>
  <c r="Q18" i="36"/>
  <c r="R18" i="36"/>
  <c r="Q19" i="36"/>
  <c r="R19" i="36"/>
  <c r="Q20" i="36"/>
  <c r="R20" i="36"/>
  <c r="Q21" i="36"/>
  <c r="R21" i="36"/>
  <c r="Q22" i="36"/>
  <c r="R22" i="36"/>
  <c r="Q23" i="36"/>
  <c r="R23" i="36"/>
  <c r="Q24" i="36"/>
  <c r="R24" i="36"/>
  <c r="Q25" i="36"/>
  <c r="R25" i="36"/>
  <c r="Q26" i="36"/>
  <c r="R26" i="36"/>
  <c r="Q27" i="36"/>
  <c r="R27" i="36"/>
  <c r="Q28" i="36"/>
  <c r="R28" i="36"/>
  <c r="Q29" i="36"/>
  <c r="R29" i="36"/>
  <c r="Q30" i="36"/>
  <c r="R30" i="36"/>
  <c r="Q31" i="36"/>
  <c r="R31" i="36"/>
  <c r="Q32" i="36"/>
  <c r="R32" i="36"/>
  <c r="Q33" i="36"/>
  <c r="R33" i="36"/>
  <c r="Q34" i="36"/>
  <c r="R34" i="36"/>
  <c r="Q35" i="36"/>
  <c r="R35" i="36"/>
  <c r="Q36" i="36"/>
  <c r="R36" i="36"/>
  <c r="Q37" i="36"/>
  <c r="R37" i="36"/>
  <c r="Q38" i="36"/>
  <c r="R38" i="36"/>
  <c r="Q39" i="36"/>
  <c r="R39" i="36"/>
  <c r="Q40" i="36"/>
  <c r="R40" i="36"/>
  <c r="Q41" i="36"/>
  <c r="R41" i="36"/>
  <c r="Q42" i="36"/>
  <c r="R42" i="36"/>
  <c r="Q43" i="36"/>
  <c r="R43" i="36"/>
  <c r="Q44" i="36"/>
  <c r="R44" i="36"/>
  <c r="Q45" i="36"/>
  <c r="R45" i="36"/>
  <c r="Q46" i="36"/>
  <c r="R46" i="36"/>
  <c r="Q47" i="36"/>
  <c r="R47" i="36"/>
  <c r="Q48" i="36"/>
  <c r="R48" i="36"/>
  <c r="Q49" i="36"/>
  <c r="R49" i="36"/>
  <c r="Q50" i="36"/>
  <c r="R50" i="36"/>
  <c r="Q51" i="36"/>
  <c r="R51" i="36"/>
  <c r="Q52" i="36"/>
  <c r="R52" i="36"/>
  <c r="Q53" i="36"/>
  <c r="R53" i="36"/>
  <c r="Q54" i="36"/>
  <c r="R54" i="36"/>
  <c r="Q55" i="36"/>
  <c r="R55" i="36"/>
  <c r="Q56" i="36"/>
  <c r="R56" i="36"/>
  <c r="Q57" i="36"/>
  <c r="R57" i="36"/>
  <c r="Q58" i="36"/>
  <c r="R58" i="36"/>
  <c r="Q59" i="36"/>
  <c r="R59" i="36"/>
  <c r="Q60" i="36"/>
  <c r="R60" i="36"/>
  <c r="Q61" i="36"/>
  <c r="R61" i="36"/>
  <c r="Q62" i="36"/>
  <c r="R62" i="36"/>
  <c r="Q63" i="36"/>
  <c r="R63" i="36"/>
  <c r="Q64" i="36"/>
  <c r="R64" i="36"/>
  <c r="Q65" i="36"/>
  <c r="R65" i="36"/>
  <c r="Q66" i="36"/>
  <c r="R66" i="36"/>
  <c r="Q67" i="36"/>
  <c r="R67" i="36"/>
  <c r="Q68" i="36"/>
  <c r="R68" i="36"/>
  <c r="Q69" i="36"/>
  <c r="R69" i="36"/>
  <c r="Q70" i="36"/>
  <c r="R70" i="36"/>
  <c r="Q71" i="36"/>
  <c r="R71" i="36"/>
  <c r="Q72" i="36"/>
  <c r="R72" i="36"/>
  <c r="Q73" i="36"/>
  <c r="R73" i="36"/>
  <c r="Q74" i="36"/>
  <c r="R74" i="36"/>
  <c r="Q75" i="36"/>
  <c r="R75" i="36"/>
  <c r="Q76" i="36"/>
  <c r="R76" i="36"/>
  <c r="Q77" i="36"/>
  <c r="R77" i="36"/>
  <c r="Q78" i="36"/>
  <c r="R78" i="36"/>
  <c r="Q79" i="36"/>
  <c r="R79" i="36"/>
  <c r="Q80" i="36"/>
  <c r="R80" i="36"/>
  <c r="Q81" i="36"/>
  <c r="R81" i="36"/>
  <c r="Q82" i="36"/>
  <c r="R82" i="36"/>
  <c r="Q83" i="36"/>
  <c r="R83" i="36"/>
  <c r="Q84" i="36"/>
  <c r="R84" i="36"/>
  <c r="Q85" i="36"/>
  <c r="R85" i="36"/>
  <c r="Q86" i="36"/>
  <c r="R86" i="36"/>
  <c r="Q87" i="36"/>
  <c r="R87" i="36"/>
  <c r="Q88" i="36"/>
  <c r="R88" i="36"/>
  <c r="Q89" i="36"/>
  <c r="R89" i="36"/>
  <c r="Q90" i="36"/>
  <c r="R90" i="36"/>
  <c r="Q91" i="36"/>
  <c r="R91" i="36"/>
  <c r="Q92" i="36"/>
  <c r="R92" i="36"/>
  <c r="Q93" i="36"/>
  <c r="R93" i="36"/>
  <c r="Q94" i="36"/>
  <c r="R94" i="36"/>
  <c r="Q95" i="36"/>
  <c r="R95" i="36"/>
  <c r="Q96" i="36"/>
  <c r="R96" i="36"/>
  <c r="Q97" i="36"/>
  <c r="R97" i="36"/>
  <c r="Q98" i="36"/>
  <c r="R98" i="36"/>
  <c r="Q99" i="36"/>
  <c r="R99" i="36"/>
  <c r="Q100" i="36"/>
  <c r="R100" i="36"/>
  <c r="Q101" i="36"/>
  <c r="R101" i="36"/>
  <c r="Q102" i="36"/>
  <c r="R102" i="36"/>
  <c r="Q103" i="36"/>
  <c r="R103" i="36"/>
  <c r="Q105" i="36"/>
  <c r="R105" i="36"/>
  <c r="Q106" i="36"/>
  <c r="R106" i="36"/>
  <c r="Q107" i="36"/>
  <c r="R107" i="36"/>
  <c r="Q108" i="36"/>
  <c r="R108" i="36"/>
  <c r="Q109" i="36"/>
  <c r="R109" i="36"/>
  <c r="Q110" i="36"/>
  <c r="R110" i="36"/>
  <c r="Q111" i="36"/>
  <c r="R111" i="36"/>
  <c r="Q112" i="36"/>
  <c r="R112" i="36"/>
  <c r="Q113" i="36"/>
  <c r="R113" i="36"/>
  <c r="Q114" i="36"/>
  <c r="R114" i="36"/>
  <c r="Q116" i="36"/>
  <c r="R116" i="36"/>
  <c r="Q117" i="36"/>
  <c r="R117" i="36"/>
  <c r="Q118" i="36"/>
  <c r="R118" i="36"/>
  <c r="Q119" i="36"/>
  <c r="R119" i="36"/>
  <c r="Q120" i="36"/>
  <c r="R120" i="36"/>
  <c r="Q121" i="36"/>
  <c r="R121" i="36"/>
  <c r="Q122" i="36"/>
  <c r="R122" i="36"/>
  <c r="Q123" i="36"/>
  <c r="R123" i="36"/>
  <c r="Q124" i="36"/>
  <c r="R124" i="36"/>
  <c r="Q125" i="36"/>
  <c r="R125" i="36"/>
  <c r="Q126" i="36"/>
  <c r="R126" i="36"/>
  <c r="Q127" i="36"/>
  <c r="R127" i="36"/>
  <c r="Q128" i="36"/>
  <c r="R128" i="36"/>
  <c r="Q129" i="36"/>
  <c r="R129" i="36"/>
  <c r="Q130" i="36"/>
  <c r="R130" i="36"/>
  <c r="Q131" i="36"/>
  <c r="R131" i="36"/>
  <c r="Q132" i="36"/>
  <c r="R132" i="36"/>
  <c r="Q133" i="36"/>
  <c r="R133" i="36"/>
  <c r="Q134" i="36"/>
  <c r="R134" i="36"/>
  <c r="Q135" i="36"/>
  <c r="R135" i="36"/>
  <c r="Q136" i="36"/>
  <c r="R136" i="36"/>
  <c r="Q137" i="36"/>
  <c r="R137" i="36"/>
  <c r="Q138" i="36"/>
  <c r="R138" i="36"/>
  <c r="Q139" i="36"/>
  <c r="R139" i="36"/>
  <c r="Q140" i="36"/>
  <c r="R140" i="36"/>
  <c r="Q141" i="36"/>
  <c r="R141" i="36"/>
  <c r="Q142" i="36"/>
  <c r="R142" i="36"/>
  <c r="Q143" i="36"/>
  <c r="R143" i="36"/>
  <c r="Q144" i="36"/>
  <c r="R144" i="36"/>
  <c r="Q145" i="36"/>
  <c r="R145" i="36"/>
  <c r="Q146" i="36"/>
  <c r="R146" i="36"/>
  <c r="Q147" i="36"/>
  <c r="R147" i="36"/>
  <c r="Q148" i="36"/>
  <c r="R148" i="36"/>
  <c r="Q149" i="36"/>
  <c r="R149" i="36"/>
  <c r="Q150" i="36"/>
  <c r="R150" i="36"/>
  <c r="Q151" i="36"/>
  <c r="R151" i="36"/>
  <c r="Q152" i="36"/>
  <c r="R152" i="36"/>
  <c r="Q153" i="36"/>
  <c r="R153" i="36"/>
  <c r="Q154" i="36"/>
  <c r="R154" i="36"/>
  <c r="Q155" i="36"/>
  <c r="R155" i="36"/>
  <c r="Q156" i="36"/>
  <c r="R156" i="36"/>
  <c r="Q157" i="36"/>
  <c r="R157" i="36"/>
  <c r="Q158" i="36"/>
  <c r="R158" i="36"/>
  <c r="Q159" i="36"/>
  <c r="R159" i="36"/>
  <c r="Q160" i="36"/>
  <c r="R160" i="36"/>
  <c r="Q161" i="36"/>
  <c r="R161" i="36"/>
  <c r="Q162" i="36"/>
  <c r="R162" i="36"/>
  <c r="Q163" i="36"/>
  <c r="R163" i="36"/>
  <c r="Q164" i="36"/>
  <c r="R164" i="36"/>
  <c r="Q165" i="36"/>
  <c r="R165" i="36"/>
  <c r="Q166" i="36"/>
  <c r="R166" i="36"/>
  <c r="Q167" i="36"/>
  <c r="R167" i="36"/>
  <c r="Q168" i="36"/>
  <c r="R168" i="36"/>
  <c r="Q169" i="36"/>
  <c r="R169" i="36"/>
  <c r="Q170" i="36"/>
  <c r="R170" i="36"/>
  <c r="Q171" i="36"/>
  <c r="R171" i="36"/>
  <c r="Q172" i="36"/>
  <c r="R172" i="36"/>
  <c r="Q173" i="36"/>
  <c r="R173" i="36"/>
  <c r="Q174" i="36"/>
  <c r="R174" i="36"/>
  <c r="Q175" i="36"/>
  <c r="R175" i="36"/>
  <c r="Q176" i="36"/>
  <c r="R176" i="36"/>
  <c r="Q177" i="36"/>
  <c r="R177" i="36"/>
  <c r="Q178" i="36"/>
  <c r="R178" i="36"/>
  <c r="Q179" i="36"/>
  <c r="R179" i="36"/>
  <c r="Q180" i="36"/>
  <c r="R180" i="36"/>
  <c r="Q181" i="36"/>
  <c r="R181" i="36"/>
  <c r="Q182" i="36"/>
  <c r="R182" i="36"/>
  <c r="Q183" i="36"/>
  <c r="R183" i="36"/>
  <c r="Q184" i="36"/>
  <c r="R184" i="36"/>
  <c r="Q185" i="36"/>
  <c r="R185" i="36"/>
  <c r="Q186" i="36"/>
  <c r="R186" i="36"/>
  <c r="Q187" i="36"/>
  <c r="R187" i="36"/>
  <c r="Q188" i="36"/>
  <c r="R188" i="36"/>
  <c r="Q189" i="36"/>
  <c r="R189" i="36"/>
  <c r="Q190" i="36"/>
  <c r="R190" i="36"/>
  <c r="Q191" i="36"/>
  <c r="R191" i="36"/>
  <c r="Q192" i="36"/>
  <c r="R192" i="36"/>
  <c r="Q193" i="36"/>
  <c r="R193" i="36"/>
  <c r="Q195" i="36"/>
  <c r="R195" i="36"/>
  <c r="Q196" i="36"/>
  <c r="R196" i="36"/>
  <c r="Q197" i="36"/>
  <c r="R197" i="36"/>
  <c r="Q198" i="36"/>
  <c r="R198" i="36"/>
  <c r="Q199" i="36"/>
  <c r="R199" i="36"/>
  <c r="Q200" i="36"/>
  <c r="R200" i="36"/>
  <c r="Q201" i="36"/>
  <c r="R201" i="36"/>
  <c r="Q202" i="36"/>
  <c r="R202" i="36"/>
  <c r="Q203" i="36"/>
  <c r="R203" i="36"/>
  <c r="Q204" i="36"/>
  <c r="R204" i="36"/>
  <c r="Q205" i="36"/>
  <c r="R205" i="36"/>
  <c r="Q206" i="36"/>
  <c r="R206" i="36"/>
  <c r="Q207" i="36"/>
  <c r="R207" i="36"/>
  <c r="Q208" i="36"/>
  <c r="R208" i="36"/>
  <c r="Q209" i="36"/>
  <c r="R209" i="36"/>
  <c r="Q210" i="36"/>
  <c r="R210" i="36"/>
  <c r="Q211" i="36"/>
  <c r="R211" i="36"/>
  <c r="Q212" i="36"/>
  <c r="R212" i="36"/>
  <c r="Q213" i="36"/>
  <c r="R213" i="36"/>
  <c r="Q214" i="36"/>
  <c r="R214" i="36"/>
  <c r="Q215" i="36"/>
  <c r="R215" i="36"/>
  <c r="Q216" i="36"/>
  <c r="R216" i="36"/>
  <c r="Q217" i="36"/>
  <c r="R217" i="36"/>
  <c r="Q218" i="36"/>
  <c r="R218" i="36"/>
  <c r="Q219" i="36"/>
  <c r="R219" i="36"/>
  <c r="Q220" i="36"/>
  <c r="R220" i="36"/>
  <c r="Q221" i="36"/>
  <c r="R221" i="36"/>
  <c r="Q222" i="36"/>
  <c r="R222" i="36"/>
  <c r="Q223" i="36"/>
  <c r="R223" i="36"/>
  <c r="Q224" i="36"/>
  <c r="R224" i="36"/>
  <c r="Q225" i="36"/>
  <c r="R225" i="36"/>
  <c r="Q226" i="36"/>
  <c r="R226" i="36"/>
  <c r="Q227" i="36"/>
  <c r="R227" i="36"/>
  <c r="Q228" i="36"/>
  <c r="R228" i="36"/>
  <c r="Q229" i="36"/>
  <c r="R229" i="36"/>
  <c r="Q230" i="36"/>
  <c r="R230" i="36"/>
  <c r="Q231" i="36"/>
  <c r="R231" i="36"/>
  <c r="Q232" i="36"/>
  <c r="R232" i="36"/>
  <c r="Q233" i="36"/>
  <c r="R233" i="36"/>
  <c r="Q234" i="36"/>
  <c r="R234" i="36"/>
  <c r="Q235" i="36"/>
  <c r="R235" i="36"/>
  <c r="Q236" i="36"/>
  <c r="R236" i="36"/>
  <c r="Q237" i="36"/>
  <c r="R237" i="36"/>
  <c r="Q238" i="36"/>
  <c r="R238" i="36"/>
  <c r="Q239" i="36"/>
  <c r="R239" i="36"/>
  <c r="Q240" i="36"/>
  <c r="R240" i="36"/>
  <c r="Q241" i="36"/>
  <c r="R241" i="36"/>
  <c r="Q242" i="36"/>
  <c r="R242" i="36"/>
  <c r="Q243" i="36"/>
  <c r="R243" i="36"/>
  <c r="Q244" i="36"/>
  <c r="R244" i="36"/>
  <c r="Q245" i="36"/>
  <c r="R245" i="36"/>
  <c r="Q246" i="36"/>
  <c r="R246" i="36"/>
  <c r="Q247" i="36"/>
  <c r="R247" i="36"/>
  <c r="Q248" i="36"/>
  <c r="R248" i="36"/>
  <c r="Q249" i="36"/>
  <c r="R249" i="36"/>
  <c r="Q250" i="36"/>
  <c r="R250" i="36"/>
  <c r="Q251" i="36"/>
  <c r="R251" i="36"/>
  <c r="Q252" i="36"/>
  <c r="R252" i="36"/>
  <c r="Q253" i="36"/>
  <c r="R253" i="36"/>
  <c r="Q254" i="36"/>
  <c r="R254" i="36"/>
  <c r="Q255" i="36"/>
  <c r="R255" i="36"/>
  <c r="Q256" i="36"/>
  <c r="R256" i="36"/>
  <c r="Q257" i="36"/>
  <c r="R257" i="36"/>
  <c r="Q258" i="36"/>
  <c r="R258" i="36"/>
  <c r="Q259" i="36"/>
  <c r="R259" i="36"/>
  <c r="Q260" i="36"/>
  <c r="R260" i="36"/>
  <c r="Q261" i="36"/>
  <c r="R261" i="36"/>
  <c r="Q262" i="36"/>
  <c r="R262" i="36"/>
  <c r="Q263" i="36"/>
  <c r="R263" i="36"/>
  <c r="Q264" i="36"/>
  <c r="R264" i="36"/>
  <c r="Q265" i="36"/>
  <c r="R265" i="36"/>
  <c r="Q266" i="36"/>
  <c r="R266" i="36"/>
  <c r="Q267" i="36"/>
  <c r="R267" i="36"/>
  <c r="Q268" i="36"/>
  <c r="R268" i="36"/>
  <c r="Q269" i="36"/>
  <c r="R269" i="36"/>
  <c r="Q270" i="36"/>
  <c r="R270" i="36"/>
  <c r="Q271" i="36"/>
  <c r="R271" i="36"/>
  <c r="Q272" i="36"/>
  <c r="R272" i="36"/>
  <c r="Q273" i="36"/>
  <c r="R273" i="36"/>
  <c r="Q274" i="36"/>
  <c r="R274" i="36"/>
  <c r="Q275" i="36"/>
  <c r="R275" i="36"/>
  <c r="Q276" i="36"/>
  <c r="R276" i="36"/>
  <c r="Q277" i="36"/>
  <c r="R277" i="36"/>
  <c r="Q278" i="36"/>
  <c r="R278" i="36"/>
  <c r="Q279" i="36"/>
  <c r="R279" i="36"/>
  <c r="Q280" i="36"/>
  <c r="R280" i="36"/>
  <c r="Q281" i="36"/>
  <c r="R281" i="36"/>
  <c r="Q282" i="36"/>
  <c r="R282" i="36"/>
  <c r="Q283" i="36"/>
  <c r="R283" i="36"/>
  <c r="Q284" i="36"/>
  <c r="R284" i="36"/>
  <c r="Q285" i="36"/>
  <c r="R285" i="36"/>
  <c r="Q286" i="36"/>
  <c r="R286" i="36"/>
  <c r="Q287" i="36"/>
  <c r="R287" i="36"/>
  <c r="Q288" i="36"/>
  <c r="R288" i="36"/>
  <c r="Q289" i="36"/>
  <c r="R289" i="36"/>
  <c r="Q290" i="36"/>
  <c r="R290" i="36"/>
  <c r="Q291" i="36"/>
  <c r="R291" i="36"/>
  <c r="Q292" i="36"/>
  <c r="R292" i="36"/>
  <c r="Q293" i="36"/>
  <c r="R293" i="36"/>
  <c r="Q294" i="36"/>
  <c r="R294" i="36"/>
  <c r="Q295" i="36"/>
  <c r="R295" i="36"/>
  <c r="Q296" i="36"/>
  <c r="R296" i="36"/>
  <c r="Q297" i="36"/>
  <c r="R297" i="36"/>
  <c r="Q298" i="36"/>
  <c r="R298" i="36"/>
  <c r="Q299" i="36"/>
  <c r="R299" i="36"/>
  <c r="Q300" i="36"/>
  <c r="R300" i="36"/>
  <c r="Q301" i="36"/>
  <c r="R301" i="36"/>
  <c r="Q302" i="36"/>
  <c r="R302" i="36"/>
  <c r="Q303" i="36"/>
  <c r="R303" i="36"/>
  <c r="Q304" i="36"/>
  <c r="R304" i="36"/>
  <c r="Q305" i="36"/>
  <c r="R305" i="36"/>
  <c r="Q306" i="36"/>
  <c r="R306" i="36"/>
  <c r="Q307" i="36"/>
  <c r="R307" i="36"/>
  <c r="Q308" i="36"/>
  <c r="R308" i="36"/>
  <c r="Q309" i="36"/>
  <c r="R309" i="36"/>
  <c r="Q310" i="36"/>
  <c r="R310" i="36"/>
  <c r="Q311" i="36"/>
  <c r="R311" i="36"/>
  <c r="Q312" i="36"/>
  <c r="R312" i="36"/>
  <c r="Q313" i="36"/>
  <c r="R313" i="36"/>
  <c r="Q314" i="36"/>
  <c r="R314" i="36"/>
  <c r="Q315" i="36"/>
  <c r="R315" i="36"/>
  <c r="Q316" i="36"/>
  <c r="R316" i="36"/>
  <c r="Q317" i="36"/>
  <c r="R317" i="36"/>
  <c r="Q318" i="36"/>
  <c r="R318" i="36"/>
  <c r="Q319" i="36"/>
  <c r="R319" i="36"/>
  <c r="Q320" i="36"/>
  <c r="R320" i="36"/>
  <c r="Q321" i="36"/>
  <c r="R321" i="36"/>
  <c r="Q322" i="36"/>
  <c r="R322" i="36"/>
  <c r="Q323" i="36"/>
  <c r="R323" i="36"/>
  <c r="Q324" i="36"/>
  <c r="R324" i="36"/>
  <c r="Q325" i="36"/>
  <c r="R325" i="36"/>
  <c r="Q326" i="36"/>
  <c r="R326" i="36"/>
  <c r="Q327" i="36"/>
  <c r="R327" i="36"/>
  <c r="Q328" i="36"/>
  <c r="R328" i="36"/>
  <c r="Q329" i="36"/>
  <c r="R329" i="36"/>
  <c r="Q330" i="36"/>
  <c r="R330" i="36"/>
  <c r="Q331" i="36"/>
  <c r="R331" i="36"/>
  <c r="Q332" i="36"/>
  <c r="R332" i="36"/>
  <c r="Q333" i="36"/>
  <c r="R333" i="36"/>
  <c r="Q334" i="36"/>
  <c r="R334" i="36"/>
  <c r="Q335" i="36"/>
  <c r="R335" i="36"/>
  <c r="Q336" i="36"/>
  <c r="R336" i="36"/>
  <c r="Q337" i="36"/>
  <c r="R337" i="36"/>
  <c r="Q338" i="36"/>
  <c r="R338" i="36"/>
  <c r="Q339" i="36"/>
  <c r="R339" i="36"/>
  <c r="Q340" i="36"/>
  <c r="R340" i="36"/>
  <c r="Q341" i="36"/>
  <c r="R341" i="36"/>
  <c r="Q342" i="36"/>
  <c r="R342" i="36"/>
  <c r="Q343" i="36"/>
  <c r="R343" i="36"/>
  <c r="Q344" i="36"/>
  <c r="R344" i="36"/>
  <c r="Q345" i="36"/>
  <c r="R345" i="36"/>
  <c r="Q346" i="36"/>
  <c r="R346" i="36"/>
  <c r="Q347" i="36"/>
  <c r="R347" i="36"/>
  <c r="Q348" i="36"/>
  <c r="R348" i="36"/>
  <c r="Q349" i="36"/>
  <c r="R349" i="36"/>
  <c r="Q350" i="36"/>
  <c r="R350" i="36"/>
  <c r="Q351" i="36"/>
  <c r="R351" i="36"/>
  <c r="Q352" i="36"/>
  <c r="R352" i="36"/>
  <c r="Q353" i="36"/>
  <c r="R353" i="36"/>
  <c r="Q354" i="36"/>
  <c r="R354" i="36"/>
  <c r="Q355" i="36"/>
  <c r="R355" i="36"/>
  <c r="Q356" i="36"/>
  <c r="R356" i="36"/>
  <c r="Q357" i="36"/>
  <c r="R357" i="36"/>
  <c r="Q358" i="36"/>
  <c r="R358" i="36"/>
  <c r="Q359" i="36"/>
  <c r="R359" i="36"/>
  <c r="Q360" i="36"/>
  <c r="R360" i="36"/>
  <c r="Q361" i="36"/>
  <c r="R361" i="36"/>
  <c r="Q362" i="36"/>
  <c r="R362" i="36"/>
  <c r="Q363" i="36"/>
  <c r="R363" i="36"/>
  <c r="Q364" i="36"/>
  <c r="R364" i="36"/>
  <c r="Q365" i="36"/>
  <c r="R365" i="36"/>
  <c r="Q366" i="36"/>
  <c r="R366" i="36"/>
  <c r="Q367" i="36"/>
  <c r="R367" i="36"/>
  <c r="Q368" i="36"/>
  <c r="R368" i="36"/>
  <c r="Q369" i="36"/>
  <c r="R369" i="36"/>
  <c r="Q370" i="36"/>
  <c r="R370" i="36"/>
  <c r="Q371" i="36"/>
  <c r="R371" i="36"/>
  <c r="Q372" i="36"/>
  <c r="R372" i="36"/>
  <c r="Q373" i="36"/>
  <c r="R373" i="36"/>
  <c r="Q374" i="36"/>
  <c r="R374" i="36"/>
  <c r="Q375" i="36"/>
  <c r="R375" i="36"/>
  <c r="Q376" i="36"/>
  <c r="R376" i="36"/>
  <c r="Q377" i="36"/>
  <c r="R377" i="36"/>
  <c r="Q378" i="36"/>
  <c r="R378" i="36"/>
  <c r="Q379" i="36"/>
  <c r="R379" i="36"/>
  <c r="Q380" i="36"/>
  <c r="R380" i="36"/>
  <c r="Q381" i="36"/>
  <c r="R381" i="36"/>
  <c r="Q382" i="36"/>
  <c r="R382" i="36"/>
  <c r="Q383" i="36"/>
  <c r="R383" i="36"/>
  <c r="Q384" i="36"/>
  <c r="R384" i="36"/>
  <c r="Q385" i="36"/>
  <c r="R385" i="36"/>
  <c r="Q386" i="36"/>
  <c r="R386" i="36"/>
  <c r="Q387" i="36"/>
  <c r="R387" i="36"/>
  <c r="Q388" i="36"/>
  <c r="R388" i="36"/>
  <c r="Q389" i="36"/>
  <c r="R389" i="36"/>
  <c r="Q390" i="36"/>
  <c r="R390" i="36"/>
  <c r="Q391" i="36"/>
  <c r="R391" i="36"/>
  <c r="Q392" i="36"/>
  <c r="R392" i="36"/>
  <c r="Q393" i="36"/>
  <c r="R393" i="36"/>
  <c r="Q394" i="36"/>
  <c r="R394" i="36"/>
  <c r="Q395" i="36"/>
  <c r="R395" i="36"/>
  <c r="Q396" i="36"/>
  <c r="R396" i="36"/>
  <c r="Q397" i="36"/>
  <c r="R397" i="36"/>
  <c r="Q398" i="36"/>
  <c r="R398" i="36"/>
  <c r="Q399" i="36"/>
  <c r="R399" i="36"/>
  <c r="Q400" i="36"/>
  <c r="R400" i="36"/>
  <c r="Q401" i="36"/>
  <c r="R401" i="36"/>
  <c r="Q402" i="36"/>
  <c r="R402" i="36"/>
  <c r="Q403" i="36"/>
  <c r="R403" i="36"/>
  <c r="Q404" i="36"/>
  <c r="R404" i="36"/>
  <c r="Q405" i="36"/>
  <c r="R405" i="36"/>
  <c r="Q406" i="36"/>
  <c r="R406" i="36"/>
  <c r="Q407" i="36"/>
  <c r="R407" i="36"/>
  <c r="Q408" i="36"/>
  <c r="R408" i="36"/>
  <c r="Q409" i="36"/>
  <c r="R409" i="36"/>
  <c r="Q410" i="36"/>
  <c r="R410" i="36"/>
  <c r="Q411" i="36"/>
  <c r="R411" i="36"/>
  <c r="Q412" i="36"/>
  <c r="R412" i="36"/>
  <c r="Q413" i="36"/>
  <c r="R413" i="36"/>
  <c r="Q414" i="36"/>
  <c r="R414" i="36"/>
  <c r="Q415" i="36"/>
  <c r="R415" i="36"/>
  <c r="Q416" i="36"/>
  <c r="R416" i="36"/>
  <c r="Q417" i="36"/>
  <c r="R417" i="36"/>
  <c r="R6" i="36"/>
  <c r="Q6" i="36"/>
  <c r="F417" i="36"/>
  <c r="F416" i="36"/>
  <c r="F415" i="36"/>
  <c r="F414" i="36"/>
  <c r="F413" i="36"/>
  <c r="F411" i="36"/>
  <c r="F410" i="36"/>
  <c r="F409" i="36"/>
  <c r="F407" i="36"/>
  <c r="F406" i="36"/>
  <c r="F405" i="36"/>
  <c r="F404" i="36"/>
  <c r="F403" i="36"/>
  <c r="F402" i="36"/>
  <c r="F401" i="36"/>
  <c r="F400" i="36"/>
  <c r="F399" i="36"/>
  <c r="F398" i="36"/>
  <c r="F397" i="36"/>
  <c r="F396" i="36"/>
  <c r="F395" i="36"/>
  <c r="F394" i="36"/>
  <c r="F393" i="36"/>
  <c r="F392" i="36"/>
  <c r="F390" i="36"/>
  <c r="F389" i="36"/>
  <c r="F388" i="36"/>
  <c r="F387" i="36"/>
  <c r="F386" i="36"/>
  <c r="F385" i="36"/>
  <c r="F384" i="36"/>
  <c r="F383" i="36"/>
  <c r="F382" i="36"/>
  <c r="F381" i="36"/>
  <c r="F380" i="36"/>
  <c r="F379" i="36"/>
  <c r="F378" i="36"/>
  <c r="F377" i="36"/>
  <c r="F376" i="36"/>
  <c r="F375" i="36"/>
  <c r="F374" i="36"/>
  <c r="F373" i="36"/>
  <c r="F372" i="36"/>
  <c r="F371" i="36"/>
  <c r="F370" i="36"/>
  <c r="F369" i="36"/>
  <c r="F368" i="36"/>
  <c r="F367" i="36"/>
  <c r="F366" i="36"/>
  <c r="F365" i="36"/>
  <c r="F364" i="36"/>
  <c r="F363" i="36"/>
  <c r="F362" i="36"/>
  <c r="F361" i="36"/>
  <c r="F360" i="36"/>
  <c r="F359" i="36"/>
  <c r="F358" i="36"/>
  <c r="F357" i="36"/>
  <c r="F356" i="36"/>
  <c r="F355" i="36"/>
  <c r="F354" i="36"/>
  <c r="F353" i="36"/>
  <c r="F352" i="36"/>
  <c r="F351" i="36"/>
  <c r="F350" i="36"/>
  <c r="F349" i="36"/>
  <c r="F348" i="36"/>
  <c r="F347" i="36"/>
  <c r="F346" i="36"/>
  <c r="F345" i="36"/>
  <c r="F344" i="36"/>
  <c r="F343" i="36"/>
  <c r="F342" i="36"/>
  <c r="F341" i="36"/>
  <c r="F340" i="36"/>
  <c r="F339" i="36"/>
  <c r="F338" i="36"/>
  <c r="F337" i="36"/>
  <c r="F336" i="36"/>
  <c r="F335" i="36"/>
  <c r="F334" i="36"/>
  <c r="F333" i="36"/>
  <c r="F332" i="36"/>
  <c r="F331" i="36"/>
  <c r="F330" i="36"/>
  <c r="F329" i="36"/>
  <c r="F328" i="36"/>
  <c r="F327" i="36"/>
  <c r="F326" i="36"/>
  <c r="F325" i="36"/>
  <c r="F324" i="36"/>
  <c r="F323" i="36"/>
  <c r="F322" i="36"/>
  <c r="F321" i="36"/>
  <c r="F320" i="36"/>
  <c r="F319" i="36"/>
  <c r="F318" i="36"/>
  <c r="F317" i="36"/>
  <c r="F316" i="36"/>
  <c r="F315" i="36"/>
  <c r="F314" i="36"/>
  <c r="F313" i="36"/>
  <c r="F312" i="36"/>
  <c r="F311" i="36"/>
  <c r="F310" i="36"/>
  <c r="F309" i="36"/>
  <c r="F308" i="36"/>
  <c r="F307" i="36"/>
  <c r="F306" i="36"/>
  <c r="F305" i="36"/>
  <c r="F304" i="36"/>
  <c r="F303" i="36"/>
  <c r="F302" i="36"/>
  <c r="F301" i="36"/>
  <c r="F300" i="36"/>
  <c r="F299" i="36"/>
  <c r="F298" i="36"/>
  <c r="F297" i="36"/>
  <c r="F296" i="36"/>
  <c r="F295" i="36"/>
  <c r="F294" i="36"/>
  <c r="F293" i="36"/>
  <c r="F292" i="36"/>
  <c r="F291" i="36"/>
  <c r="F290" i="36"/>
  <c r="F289" i="36"/>
  <c r="F288" i="36"/>
  <c r="F287" i="36"/>
  <c r="F286" i="36"/>
  <c r="F285" i="36"/>
  <c r="F284" i="36"/>
  <c r="F283" i="36"/>
  <c r="F282" i="36"/>
  <c r="F281" i="36"/>
  <c r="F280" i="36"/>
  <c r="F279" i="36"/>
  <c r="F278" i="36"/>
  <c r="F277" i="36"/>
  <c r="F276" i="36"/>
  <c r="F275" i="36"/>
  <c r="F274" i="36"/>
  <c r="F273" i="36"/>
  <c r="F272" i="36"/>
  <c r="F271" i="36"/>
  <c r="F270" i="36"/>
  <c r="F269" i="36"/>
  <c r="F268" i="36"/>
  <c r="F267" i="36"/>
  <c r="F266" i="36"/>
  <c r="F265" i="36"/>
  <c r="F264" i="36"/>
  <c r="F263" i="36"/>
  <c r="F262" i="36"/>
  <c r="F261" i="36"/>
  <c r="F260" i="36"/>
  <c r="F259" i="36"/>
  <c r="F258" i="36"/>
  <c r="F257" i="36"/>
  <c r="F256" i="36"/>
  <c r="F255" i="36"/>
  <c r="F254" i="36"/>
  <c r="F253" i="36"/>
  <c r="F252" i="36"/>
  <c r="F251" i="36"/>
  <c r="F250" i="36"/>
  <c r="F249" i="36"/>
  <c r="F248" i="36"/>
  <c r="F247" i="36"/>
  <c r="F246" i="36"/>
  <c r="F245" i="36"/>
  <c r="F244" i="36"/>
  <c r="F243" i="36"/>
  <c r="F242" i="36"/>
  <c r="F241" i="36"/>
  <c r="F240" i="36"/>
  <c r="F239" i="36"/>
  <c r="F238" i="36"/>
  <c r="F237" i="36"/>
  <c r="F236" i="36"/>
  <c r="F235" i="36"/>
  <c r="F234" i="36"/>
  <c r="F233" i="36"/>
  <c r="F232" i="36"/>
  <c r="F231" i="36"/>
  <c r="F230" i="36"/>
  <c r="F229" i="36"/>
  <c r="F228" i="36"/>
  <c r="F227" i="36"/>
  <c r="F226" i="36"/>
  <c r="F225" i="36"/>
  <c r="F224" i="36"/>
  <c r="F223" i="36"/>
  <c r="F222" i="36"/>
  <c r="F221" i="36"/>
  <c r="F220" i="36"/>
  <c r="F219" i="36"/>
  <c r="F218" i="36"/>
  <c r="F217" i="36"/>
  <c r="F216" i="36"/>
  <c r="F215" i="36"/>
  <c r="F214" i="36"/>
  <c r="F213" i="36"/>
  <c r="F212" i="36"/>
  <c r="F211" i="36"/>
  <c r="F210" i="36"/>
  <c r="F209" i="36"/>
  <c r="F208" i="36"/>
  <c r="F207" i="36"/>
  <c r="F206" i="36"/>
  <c r="F205" i="36"/>
  <c r="F204" i="36"/>
  <c r="F203" i="36"/>
  <c r="F202" i="36"/>
  <c r="F201" i="36"/>
  <c r="F200" i="36"/>
  <c r="F199" i="36"/>
  <c r="F198" i="36"/>
  <c r="F197" i="36"/>
  <c r="F196" i="36"/>
  <c r="F195" i="36"/>
  <c r="F193" i="36"/>
  <c r="F192" i="36"/>
  <c r="F191" i="36"/>
  <c r="F190" i="36"/>
  <c r="F189" i="36"/>
  <c r="F188" i="36"/>
  <c r="F187" i="36"/>
  <c r="F186" i="36"/>
  <c r="F185" i="36"/>
  <c r="F184" i="36"/>
  <c r="F183" i="36"/>
  <c r="F182" i="36"/>
  <c r="F181" i="36"/>
  <c r="F180" i="36"/>
  <c r="F179" i="36"/>
  <c r="F178" i="36"/>
  <c r="F177" i="36"/>
  <c r="F176" i="36"/>
  <c r="F175" i="36"/>
  <c r="F174" i="36"/>
  <c r="F173" i="36"/>
  <c r="F172" i="36"/>
  <c r="F171" i="36"/>
  <c r="F170" i="36"/>
  <c r="F169" i="36"/>
  <c r="F168" i="36"/>
  <c r="F167" i="36"/>
  <c r="F166" i="36"/>
  <c r="F165" i="36"/>
  <c r="F164" i="36"/>
  <c r="F163" i="36"/>
  <c r="F162" i="36"/>
  <c r="F161" i="36"/>
  <c r="F160" i="36"/>
  <c r="F159" i="36"/>
  <c r="F158" i="36"/>
  <c r="F157" i="36"/>
  <c r="F156" i="36"/>
  <c r="F155" i="36"/>
  <c r="F154" i="36"/>
  <c r="F153" i="36"/>
  <c r="F152" i="36"/>
  <c r="F151" i="36"/>
  <c r="F150" i="36"/>
  <c r="F149" i="36"/>
  <c r="F148" i="36"/>
  <c r="F147" i="36"/>
  <c r="F146" i="36"/>
  <c r="F145" i="36"/>
  <c r="F144" i="36"/>
  <c r="F143" i="36"/>
  <c r="F142" i="36"/>
  <c r="F141" i="36"/>
  <c r="F140" i="36"/>
  <c r="F139" i="36"/>
  <c r="F138" i="36"/>
  <c r="F137" i="36"/>
  <c r="F136" i="36"/>
  <c r="F135" i="36"/>
  <c r="F134" i="36"/>
  <c r="F133" i="36"/>
  <c r="F132" i="36"/>
  <c r="F131" i="36"/>
  <c r="F130" i="36"/>
  <c r="F129" i="36"/>
  <c r="F128" i="36"/>
  <c r="F127" i="36"/>
  <c r="F126" i="36"/>
  <c r="F125" i="36"/>
  <c r="F124" i="36"/>
  <c r="F123" i="36"/>
  <c r="F122" i="36"/>
  <c r="F121" i="36"/>
  <c r="F120" i="36"/>
  <c r="F119" i="36"/>
  <c r="F118" i="36"/>
  <c r="F117" i="36"/>
  <c r="F116" i="36"/>
  <c r="F114" i="36"/>
  <c r="F113" i="36"/>
  <c r="F112" i="36"/>
  <c r="F111" i="36"/>
  <c r="F110" i="36"/>
  <c r="F109" i="36"/>
  <c r="F108" i="36"/>
  <c r="F107" i="36"/>
  <c r="F106" i="36"/>
  <c r="F105" i="36"/>
  <c r="F103" i="36"/>
  <c r="F102" i="36"/>
  <c r="F101" i="36"/>
  <c r="F100" i="36"/>
  <c r="F99" i="36"/>
  <c r="F98" i="36"/>
  <c r="F97" i="36"/>
  <c r="F96" i="36"/>
  <c r="F94" i="36"/>
  <c r="F93" i="36"/>
  <c r="F92" i="36"/>
  <c r="F91" i="36"/>
  <c r="F90" i="36"/>
  <c r="F89" i="36"/>
  <c r="F88" i="36"/>
  <c r="F87" i="36"/>
  <c r="F86" i="36"/>
  <c r="F85" i="36"/>
  <c r="F84" i="36"/>
  <c r="F83" i="36"/>
  <c r="F82" i="36"/>
  <c r="F81" i="36"/>
  <c r="F80" i="36"/>
  <c r="F79" i="36"/>
  <c r="F78" i="36"/>
  <c r="F77" i="36"/>
  <c r="F76" i="36"/>
  <c r="F75" i="36"/>
  <c r="F74" i="36"/>
  <c r="F73" i="36"/>
  <c r="F72" i="36"/>
  <c r="F71" i="36"/>
  <c r="F70" i="36"/>
  <c r="F69" i="36"/>
  <c r="F68" i="36"/>
  <c r="F67" i="36"/>
  <c r="F66" i="36"/>
  <c r="F65" i="36"/>
  <c r="F64" i="36"/>
  <c r="F63" i="36"/>
  <c r="F62" i="36"/>
  <c r="F61" i="36"/>
  <c r="F60" i="36"/>
  <c r="F59" i="36"/>
  <c r="F58" i="36"/>
  <c r="F57" i="36"/>
  <c r="F56" i="36"/>
  <c r="F55" i="36"/>
  <c r="F54" i="36"/>
  <c r="F53" i="36"/>
  <c r="F52" i="36"/>
  <c r="F51" i="36"/>
  <c r="F50" i="36"/>
  <c r="F49" i="36"/>
  <c r="F48" i="36"/>
  <c r="F47" i="36"/>
  <c r="F46" i="36"/>
  <c r="F45" i="36"/>
  <c r="F44" i="36"/>
  <c r="F43" i="36"/>
  <c r="F42" i="36"/>
  <c r="F41" i="36"/>
  <c r="F40" i="36"/>
  <c r="F39" i="36"/>
  <c r="F38" i="36"/>
  <c r="F37" i="36"/>
  <c r="F36" i="36"/>
  <c r="F35" i="36"/>
  <c r="F34" i="36"/>
  <c r="F33" i="36"/>
  <c r="F32" i="36"/>
  <c r="F31" i="36"/>
  <c r="F30" i="36"/>
  <c r="F29" i="36"/>
  <c r="F28" i="36"/>
  <c r="F27" i="36"/>
  <c r="F26" i="36"/>
  <c r="F25" i="36"/>
  <c r="F24" i="36"/>
  <c r="F23" i="36"/>
  <c r="F22" i="36"/>
  <c r="F21" i="36"/>
  <c r="F20" i="36"/>
  <c r="F19" i="36"/>
  <c r="F18" i="36"/>
  <c r="F17" i="36"/>
  <c r="F16" i="36"/>
  <c r="F8" i="36"/>
  <c r="F9" i="36"/>
  <c r="F10" i="36"/>
  <c r="F11" i="36"/>
  <c r="F12" i="36"/>
  <c r="F13" i="36"/>
  <c r="F14" i="36"/>
  <c r="F7" i="36"/>
  <c r="F6" i="36"/>
  <c r="E194" i="36"/>
  <c r="R194" i="36" s="1"/>
  <c r="E115" i="36"/>
  <c r="E104" i="36"/>
  <c r="Q104" i="36" s="1"/>
  <c r="F410" i="37"/>
  <c r="F411" i="37"/>
  <c r="F412" i="37"/>
  <c r="F413" i="37"/>
  <c r="F414" i="37"/>
  <c r="F415" i="37"/>
  <c r="F416" i="37"/>
  <c r="F417" i="37"/>
  <c r="F409" i="37"/>
  <c r="F385" i="37"/>
  <c r="F386" i="37"/>
  <c r="F387" i="37"/>
  <c r="F388" i="37"/>
  <c r="F389" i="37"/>
  <c r="F390" i="37"/>
  <c r="F391" i="37"/>
  <c r="F392" i="37"/>
  <c r="F393" i="37"/>
  <c r="F394" i="37"/>
  <c r="F395" i="37"/>
  <c r="F396" i="37"/>
  <c r="F397" i="37"/>
  <c r="F398" i="37"/>
  <c r="F399" i="37"/>
  <c r="F400" i="37"/>
  <c r="F401" i="37"/>
  <c r="F402" i="37"/>
  <c r="F403" i="37"/>
  <c r="F404" i="37"/>
  <c r="F405" i="37"/>
  <c r="F406" i="37"/>
  <c r="F407" i="37"/>
  <c r="F384" i="37"/>
  <c r="F97" i="37"/>
  <c r="F98" i="37"/>
  <c r="F99" i="37"/>
  <c r="F100" i="37"/>
  <c r="F101" i="37"/>
  <c r="F102" i="37"/>
  <c r="F103" i="37"/>
  <c r="F105" i="37"/>
  <c r="F106" i="37"/>
  <c r="F107" i="37"/>
  <c r="F108" i="37"/>
  <c r="F109" i="37"/>
  <c r="F110" i="37"/>
  <c r="F111" i="37"/>
  <c r="F112" i="37"/>
  <c r="F113" i="37"/>
  <c r="F114"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F183" i="37"/>
  <c r="F184" i="37"/>
  <c r="F185" i="37"/>
  <c r="F186" i="37"/>
  <c r="F187" i="37"/>
  <c r="F188" i="37"/>
  <c r="F189" i="37"/>
  <c r="F190" i="37"/>
  <c r="F191" i="37"/>
  <c r="F192" i="37"/>
  <c r="F193" i="37"/>
  <c r="F195" i="37"/>
  <c r="F196" i="37"/>
  <c r="F197" i="37"/>
  <c r="F198" i="37"/>
  <c r="F199" i="37"/>
  <c r="F200" i="37"/>
  <c r="F201" i="37"/>
  <c r="F202" i="37"/>
  <c r="F203" i="37"/>
  <c r="F204" i="37"/>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302" i="37"/>
  <c r="F303" i="37"/>
  <c r="F304" i="37"/>
  <c r="F305" i="37"/>
  <c r="F306" i="37"/>
  <c r="F307" i="37"/>
  <c r="F308" i="37"/>
  <c r="F309" i="37"/>
  <c r="F310" i="37"/>
  <c r="F311" i="37"/>
  <c r="F312" i="37"/>
  <c r="F313" i="37"/>
  <c r="F314" i="37"/>
  <c r="F315" i="37"/>
  <c r="F316" i="37"/>
  <c r="F317" i="37"/>
  <c r="F318" i="37"/>
  <c r="F319" i="37"/>
  <c r="F320" i="37"/>
  <c r="F321" i="37"/>
  <c r="F322" i="37"/>
  <c r="F323" i="37"/>
  <c r="F324" i="37"/>
  <c r="F325" i="37"/>
  <c r="F326" i="37"/>
  <c r="F327" i="37"/>
  <c r="F328" i="37"/>
  <c r="F329" i="37"/>
  <c r="F330" i="37"/>
  <c r="F331" i="37"/>
  <c r="F332" i="37"/>
  <c r="F333" i="37"/>
  <c r="F334" i="37"/>
  <c r="F335" i="37"/>
  <c r="F336" i="37"/>
  <c r="F337" i="37"/>
  <c r="F338" i="37"/>
  <c r="F339" i="37"/>
  <c r="F340" i="37"/>
  <c r="F341" i="37"/>
  <c r="F342" i="37"/>
  <c r="F343" i="37"/>
  <c r="F344" i="37"/>
  <c r="F345" i="37"/>
  <c r="F346" i="37"/>
  <c r="F347" i="37"/>
  <c r="F348" i="37"/>
  <c r="F349" i="37"/>
  <c r="F350" i="37"/>
  <c r="F351" i="37"/>
  <c r="F352" i="37"/>
  <c r="F353" i="37"/>
  <c r="F354" i="37"/>
  <c r="F355" i="37"/>
  <c r="F356" i="37"/>
  <c r="F357" i="37"/>
  <c r="F358" i="37"/>
  <c r="F359" i="37"/>
  <c r="F360" i="37"/>
  <c r="F361" i="37"/>
  <c r="F362" i="37"/>
  <c r="F363" i="37"/>
  <c r="F364" i="37"/>
  <c r="F365" i="37"/>
  <c r="F366" i="37"/>
  <c r="F367" i="37"/>
  <c r="F368" i="37"/>
  <c r="F369" i="37"/>
  <c r="F370" i="37"/>
  <c r="F371" i="37"/>
  <c r="F372" i="37"/>
  <c r="F373" i="37"/>
  <c r="F374" i="37"/>
  <c r="F375" i="37"/>
  <c r="F376" i="37"/>
  <c r="F377" i="37"/>
  <c r="F378" i="37"/>
  <c r="F379" i="37"/>
  <c r="F380" i="37"/>
  <c r="F381" i="37"/>
  <c r="F382" i="37"/>
  <c r="F9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0" i="37"/>
  <c r="F91" i="37"/>
  <c r="F92" i="37"/>
  <c r="F93" i="37"/>
  <c r="F94" i="37"/>
  <c r="F16" i="37"/>
  <c r="F8" i="37"/>
  <c r="F9" i="37"/>
  <c r="F10" i="37"/>
  <c r="F11" i="37"/>
  <c r="F12" i="37"/>
  <c r="F13" i="37"/>
  <c r="F14" i="37"/>
  <c r="F7" i="37"/>
  <c r="F6" i="37"/>
  <c r="Q7" i="37"/>
  <c r="R7" i="37"/>
  <c r="Q8" i="37"/>
  <c r="R8" i="37"/>
  <c r="R418" i="37" s="1"/>
  <c r="F418" i="37" s="1"/>
  <c r="Q9" i="37"/>
  <c r="R9" i="37"/>
  <c r="Q10" i="37"/>
  <c r="R10" i="37"/>
  <c r="Q11" i="37"/>
  <c r="R11" i="37"/>
  <c r="Q12" i="37"/>
  <c r="R12" i="37"/>
  <c r="Q13" i="37"/>
  <c r="R13" i="37"/>
  <c r="Q14" i="37"/>
  <c r="R14" i="37"/>
  <c r="Q15" i="37"/>
  <c r="R15" i="37"/>
  <c r="Q16" i="37"/>
  <c r="R16" i="37"/>
  <c r="Q17" i="37"/>
  <c r="R17" i="37"/>
  <c r="Q18" i="37"/>
  <c r="R18" i="37"/>
  <c r="Q19" i="37"/>
  <c r="R19" i="37"/>
  <c r="Q20" i="37"/>
  <c r="R20" i="37"/>
  <c r="Q21" i="37"/>
  <c r="R21" i="37"/>
  <c r="Q22" i="37"/>
  <c r="R22" i="37"/>
  <c r="Q23" i="37"/>
  <c r="R23" i="37"/>
  <c r="Q24" i="37"/>
  <c r="R24" i="37"/>
  <c r="Q25" i="37"/>
  <c r="R25" i="37"/>
  <c r="Q26" i="37"/>
  <c r="R26" i="37"/>
  <c r="Q27" i="37"/>
  <c r="R27" i="37"/>
  <c r="Q28" i="37"/>
  <c r="R28" i="37"/>
  <c r="Q29" i="37"/>
  <c r="R29" i="37"/>
  <c r="Q30" i="37"/>
  <c r="R30" i="37"/>
  <c r="Q31" i="37"/>
  <c r="R31" i="37"/>
  <c r="Q32" i="37"/>
  <c r="R32" i="37"/>
  <c r="Q33" i="37"/>
  <c r="R33" i="37"/>
  <c r="Q34" i="37"/>
  <c r="R34" i="37"/>
  <c r="Q35" i="37"/>
  <c r="R35" i="37"/>
  <c r="Q36" i="37"/>
  <c r="R36" i="37"/>
  <c r="Q37" i="37"/>
  <c r="R37" i="37"/>
  <c r="Q38" i="37"/>
  <c r="R38" i="37"/>
  <c r="Q39" i="37"/>
  <c r="R39" i="37"/>
  <c r="Q40" i="37"/>
  <c r="R40" i="37"/>
  <c r="Q41" i="37"/>
  <c r="R41" i="37"/>
  <c r="Q42" i="37"/>
  <c r="R42" i="37"/>
  <c r="Q43" i="37"/>
  <c r="R43" i="37"/>
  <c r="Q44" i="37"/>
  <c r="R44" i="37"/>
  <c r="Q45" i="37"/>
  <c r="R45" i="37"/>
  <c r="Q46" i="37"/>
  <c r="R46" i="37"/>
  <c r="Q47" i="37"/>
  <c r="R47" i="37"/>
  <c r="Q48" i="37"/>
  <c r="R48" i="37"/>
  <c r="Q49" i="37"/>
  <c r="R49" i="37"/>
  <c r="Q50" i="37"/>
  <c r="R50" i="37"/>
  <c r="Q51" i="37"/>
  <c r="R51" i="37"/>
  <c r="Q52" i="37"/>
  <c r="R52" i="37"/>
  <c r="Q53" i="37"/>
  <c r="R53" i="37"/>
  <c r="Q54" i="37"/>
  <c r="R54" i="37"/>
  <c r="Q55" i="37"/>
  <c r="R55" i="37"/>
  <c r="Q56" i="37"/>
  <c r="R56" i="37"/>
  <c r="Q57" i="37"/>
  <c r="R57" i="37"/>
  <c r="Q58" i="37"/>
  <c r="R58" i="37"/>
  <c r="Q59" i="37"/>
  <c r="R59" i="37"/>
  <c r="Q60" i="37"/>
  <c r="R60" i="37"/>
  <c r="Q61" i="37"/>
  <c r="R61" i="37"/>
  <c r="Q62" i="37"/>
  <c r="R62" i="37"/>
  <c r="Q63" i="37"/>
  <c r="R63" i="37"/>
  <c r="Q64" i="37"/>
  <c r="R64" i="37"/>
  <c r="Q65" i="37"/>
  <c r="R65" i="37"/>
  <c r="Q66" i="37"/>
  <c r="R66" i="37"/>
  <c r="Q67" i="37"/>
  <c r="R67" i="37"/>
  <c r="Q68" i="37"/>
  <c r="R68" i="37"/>
  <c r="Q69" i="37"/>
  <c r="R69" i="37"/>
  <c r="Q70" i="37"/>
  <c r="R70" i="37"/>
  <c r="Q71" i="37"/>
  <c r="R71" i="37"/>
  <c r="Q72" i="37"/>
  <c r="R72" i="37"/>
  <c r="Q73" i="37"/>
  <c r="R73" i="37"/>
  <c r="Q74" i="37"/>
  <c r="R74" i="37"/>
  <c r="Q75" i="37"/>
  <c r="R75" i="37"/>
  <c r="Q76" i="37"/>
  <c r="R76" i="37"/>
  <c r="Q77" i="37"/>
  <c r="R77" i="37"/>
  <c r="Q78" i="37"/>
  <c r="R78" i="37"/>
  <c r="Q79" i="37"/>
  <c r="R79" i="37"/>
  <c r="Q80" i="37"/>
  <c r="R80" i="37"/>
  <c r="Q81" i="37"/>
  <c r="R81" i="37"/>
  <c r="Q82" i="37"/>
  <c r="R82" i="37"/>
  <c r="Q83" i="37"/>
  <c r="R83" i="37"/>
  <c r="Q84" i="37"/>
  <c r="R84" i="37"/>
  <c r="Q85" i="37"/>
  <c r="R85" i="37"/>
  <c r="Q86" i="37"/>
  <c r="R86" i="37"/>
  <c r="Q87" i="37"/>
  <c r="R87" i="37"/>
  <c r="Q88" i="37"/>
  <c r="R88" i="37"/>
  <c r="Q89" i="37"/>
  <c r="R89" i="37"/>
  <c r="Q90" i="37"/>
  <c r="R90" i="37"/>
  <c r="Q91" i="37"/>
  <c r="R91" i="37"/>
  <c r="Q92" i="37"/>
  <c r="R92" i="37"/>
  <c r="Q93" i="37"/>
  <c r="R93" i="37"/>
  <c r="Q94" i="37"/>
  <c r="R94" i="37"/>
  <c r="Q95" i="37"/>
  <c r="R95" i="37"/>
  <c r="Q96" i="37"/>
  <c r="R96" i="37"/>
  <c r="Q97" i="37"/>
  <c r="R97" i="37"/>
  <c r="Q98" i="37"/>
  <c r="R98" i="37"/>
  <c r="Q99" i="37"/>
  <c r="R99" i="37"/>
  <c r="Q100" i="37"/>
  <c r="R100" i="37"/>
  <c r="Q101" i="37"/>
  <c r="R101" i="37"/>
  <c r="Q102" i="37"/>
  <c r="R102" i="37"/>
  <c r="Q103" i="37"/>
  <c r="R103" i="37"/>
  <c r="Q105" i="37"/>
  <c r="R105" i="37"/>
  <c r="Q106" i="37"/>
  <c r="R106" i="37"/>
  <c r="Q107" i="37"/>
  <c r="R107" i="37"/>
  <c r="Q108" i="37"/>
  <c r="R108" i="37"/>
  <c r="Q109" i="37"/>
  <c r="R109" i="37"/>
  <c r="Q110" i="37"/>
  <c r="R110" i="37"/>
  <c r="Q111" i="37"/>
  <c r="R111" i="37"/>
  <c r="Q112" i="37"/>
  <c r="R112" i="37"/>
  <c r="Q113" i="37"/>
  <c r="R113" i="37"/>
  <c r="Q114" i="37"/>
  <c r="R114" i="37"/>
  <c r="Q116" i="37"/>
  <c r="R116" i="37"/>
  <c r="Q117" i="37"/>
  <c r="R117" i="37"/>
  <c r="Q118" i="37"/>
  <c r="R118" i="37"/>
  <c r="Q119" i="37"/>
  <c r="R119" i="37"/>
  <c r="Q120" i="37"/>
  <c r="R120" i="37"/>
  <c r="Q121" i="37"/>
  <c r="R121" i="37"/>
  <c r="Q122" i="37"/>
  <c r="R122" i="37"/>
  <c r="Q123" i="37"/>
  <c r="R123" i="37"/>
  <c r="Q124" i="37"/>
  <c r="R124" i="37"/>
  <c r="Q125" i="37"/>
  <c r="R125" i="37"/>
  <c r="Q126" i="37"/>
  <c r="R126" i="37"/>
  <c r="Q127" i="37"/>
  <c r="R127" i="37"/>
  <c r="Q128" i="37"/>
  <c r="R128" i="37"/>
  <c r="Q129" i="37"/>
  <c r="R129" i="37"/>
  <c r="Q130" i="37"/>
  <c r="R130" i="37"/>
  <c r="Q131" i="37"/>
  <c r="R131" i="37"/>
  <c r="Q132" i="37"/>
  <c r="R132" i="37"/>
  <c r="Q133" i="37"/>
  <c r="R133" i="37"/>
  <c r="Q134" i="37"/>
  <c r="R134" i="37"/>
  <c r="Q135" i="37"/>
  <c r="R135" i="37"/>
  <c r="Q136" i="37"/>
  <c r="R136" i="37"/>
  <c r="Q137" i="37"/>
  <c r="R137" i="37"/>
  <c r="Q138" i="37"/>
  <c r="R138" i="37"/>
  <c r="Q139" i="37"/>
  <c r="R139" i="37"/>
  <c r="Q140" i="37"/>
  <c r="R140" i="37"/>
  <c r="Q141" i="37"/>
  <c r="R141" i="37"/>
  <c r="Q142" i="37"/>
  <c r="R142" i="37"/>
  <c r="Q143" i="37"/>
  <c r="R143" i="37"/>
  <c r="Q144" i="37"/>
  <c r="R144" i="37"/>
  <c r="Q145" i="37"/>
  <c r="R145" i="37"/>
  <c r="Q146" i="37"/>
  <c r="R146" i="37"/>
  <c r="Q147" i="37"/>
  <c r="R147" i="37"/>
  <c r="Q148" i="37"/>
  <c r="R148" i="37"/>
  <c r="Q149" i="37"/>
  <c r="R149" i="37"/>
  <c r="Q150" i="37"/>
  <c r="R150" i="37"/>
  <c r="Q151" i="37"/>
  <c r="R151" i="37"/>
  <c r="Q152" i="37"/>
  <c r="R152" i="37"/>
  <c r="Q153" i="37"/>
  <c r="R153" i="37"/>
  <c r="Q154" i="37"/>
  <c r="R154" i="37"/>
  <c r="Q155" i="37"/>
  <c r="R155" i="37"/>
  <c r="Q156" i="37"/>
  <c r="R156" i="37"/>
  <c r="Q157" i="37"/>
  <c r="R157" i="37"/>
  <c r="Q158" i="37"/>
  <c r="R158" i="37"/>
  <c r="Q159" i="37"/>
  <c r="R159" i="37"/>
  <c r="Q160" i="37"/>
  <c r="R160" i="37"/>
  <c r="Q161" i="37"/>
  <c r="R161" i="37"/>
  <c r="Q162" i="37"/>
  <c r="R162" i="37"/>
  <c r="Q163" i="37"/>
  <c r="R163" i="37"/>
  <c r="Q164" i="37"/>
  <c r="R164" i="37"/>
  <c r="Q165" i="37"/>
  <c r="R165" i="37"/>
  <c r="Q166" i="37"/>
  <c r="R166" i="37"/>
  <c r="Q167" i="37"/>
  <c r="R167" i="37"/>
  <c r="Q168" i="37"/>
  <c r="R168" i="37"/>
  <c r="Q169" i="37"/>
  <c r="R169" i="37"/>
  <c r="Q170" i="37"/>
  <c r="R170" i="37"/>
  <c r="Q171" i="37"/>
  <c r="R171" i="37"/>
  <c r="Q172" i="37"/>
  <c r="R172" i="37"/>
  <c r="Q173" i="37"/>
  <c r="R173" i="37"/>
  <c r="Q174" i="37"/>
  <c r="R174" i="37"/>
  <c r="Q175" i="37"/>
  <c r="R175" i="37"/>
  <c r="Q176" i="37"/>
  <c r="R176" i="37"/>
  <c r="Q177" i="37"/>
  <c r="R177" i="37"/>
  <c r="Q178" i="37"/>
  <c r="R178" i="37"/>
  <c r="Q179" i="37"/>
  <c r="R179" i="37"/>
  <c r="Q180" i="37"/>
  <c r="R180" i="37"/>
  <c r="Q181" i="37"/>
  <c r="R181" i="37"/>
  <c r="Q182" i="37"/>
  <c r="R182" i="37"/>
  <c r="Q183" i="37"/>
  <c r="R183" i="37"/>
  <c r="Q184" i="37"/>
  <c r="R184" i="37"/>
  <c r="Q185" i="37"/>
  <c r="R185" i="37"/>
  <c r="Q186" i="37"/>
  <c r="R186" i="37"/>
  <c r="Q187" i="37"/>
  <c r="R187" i="37"/>
  <c r="Q188" i="37"/>
  <c r="R188" i="37"/>
  <c r="Q189" i="37"/>
  <c r="R189" i="37"/>
  <c r="Q190" i="37"/>
  <c r="R190" i="37"/>
  <c r="Q191" i="37"/>
  <c r="R191" i="37"/>
  <c r="Q192" i="37"/>
  <c r="R192" i="37"/>
  <c r="Q193" i="37"/>
  <c r="R193" i="37"/>
  <c r="Q195" i="37"/>
  <c r="R195" i="37"/>
  <c r="Q196" i="37"/>
  <c r="R196" i="37"/>
  <c r="Q197" i="37"/>
  <c r="R197" i="37"/>
  <c r="Q198" i="37"/>
  <c r="R198" i="37"/>
  <c r="Q199" i="37"/>
  <c r="R199" i="37"/>
  <c r="Q200" i="37"/>
  <c r="R200" i="37"/>
  <c r="Q201" i="37"/>
  <c r="R201" i="37"/>
  <c r="Q202" i="37"/>
  <c r="R202" i="37"/>
  <c r="Q203" i="37"/>
  <c r="R203" i="37"/>
  <c r="Q204" i="37"/>
  <c r="R204" i="37"/>
  <c r="Q205" i="37"/>
  <c r="R205" i="37"/>
  <c r="Q206" i="37"/>
  <c r="R206" i="37"/>
  <c r="Q207" i="37"/>
  <c r="R207" i="37"/>
  <c r="Q208" i="37"/>
  <c r="R208" i="37"/>
  <c r="Q209" i="37"/>
  <c r="R209" i="37"/>
  <c r="Q210" i="37"/>
  <c r="R210" i="37"/>
  <c r="Q211" i="37"/>
  <c r="R211" i="37"/>
  <c r="Q212" i="37"/>
  <c r="R212" i="37"/>
  <c r="Q213" i="37"/>
  <c r="R213" i="37"/>
  <c r="Q214" i="37"/>
  <c r="R214" i="37"/>
  <c r="Q215" i="37"/>
  <c r="R215" i="37"/>
  <c r="Q216" i="37"/>
  <c r="R216" i="37"/>
  <c r="Q217" i="37"/>
  <c r="R217" i="37"/>
  <c r="Q218" i="37"/>
  <c r="R218" i="37"/>
  <c r="Q219" i="37"/>
  <c r="R219" i="37"/>
  <c r="Q220" i="37"/>
  <c r="R220" i="37"/>
  <c r="Q221" i="37"/>
  <c r="R221" i="37"/>
  <c r="Q222" i="37"/>
  <c r="R222" i="37"/>
  <c r="Q223" i="37"/>
  <c r="R223" i="37"/>
  <c r="Q224" i="37"/>
  <c r="R224" i="37"/>
  <c r="Q225" i="37"/>
  <c r="R225" i="37"/>
  <c r="Q226" i="37"/>
  <c r="R226" i="37"/>
  <c r="Q227" i="37"/>
  <c r="R227" i="37"/>
  <c r="Q228" i="37"/>
  <c r="R228" i="37"/>
  <c r="Q229" i="37"/>
  <c r="R229" i="37"/>
  <c r="Q230" i="37"/>
  <c r="R230" i="37"/>
  <c r="Q231" i="37"/>
  <c r="R231" i="37"/>
  <c r="Q232" i="37"/>
  <c r="R232" i="37"/>
  <c r="Q233" i="37"/>
  <c r="R233" i="37"/>
  <c r="Q234" i="37"/>
  <c r="R234" i="37"/>
  <c r="Q235" i="37"/>
  <c r="R235" i="37"/>
  <c r="Q236" i="37"/>
  <c r="R236" i="37"/>
  <c r="Q237" i="37"/>
  <c r="R237" i="37"/>
  <c r="Q238" i="37"/>
  <c r="R238" i="37"/>
  <c r="Q239" i="37"/>
  <c r="R239" i="37"/>
  <c r="Q240" i="37"/>
  <c r="R240" i="37"/>
  <c r="Q241" i="37"/>
  <c r="R241" i="37"/>
  <c r="Q242" i="37"/>
  <c r="R242" i="37"/>
  <c r="Q243" i="37"/>
  <c r="R243" i="37"/>
  <c r="Q244" i="37"/>
  <c r="R244" i="37"/>
  <c r="Q245" i="37"/>
  <c r="R245" i="37"/>
  <c r="Q246" i="37"/>
  <c r="R246" i="37"/>
  <c r="Q247" i="37"/>
  <c r="R247" i="37"/>
  <c r="Q248" i="37"/>
  <c r="R248" i="37"/>
  <c r="Q249" i="37"/>
  <c r="R249" i="37"/>
  <c r="Q250" i="37"/>
  <c r="R250" i="37"/>
  <c r="Q251" i="37"/>
  <c r="R251" i="37"/>
  <c r="Q252" i="37"/>
  <c r="R252" i="37"/>
  <c r="Q253" i="37"/>
  <c r="R253" i="37"/>
  <c r="Q254" i="37"/>
  <c r="R254" i="37"/>
  <c r="Q255" i="37"/>
  <c r="R255" i="37"/>
  <c r="Q256" i="37"/>
  <c r="R256" i="37"/>
  <c r="Q257" i="37"/>
  <c r="R257" i="37"/>
  <c r="Q258" i="37"/>
  <c r="R258" i="37"/>
  <c r="Q259" i="37"/>
  <c r="R259" i="37"/>
  <c r="Q260" i="37"/>
  <c r="R260" i="37"/>
  <c r="Q261" i="37"/>
  <c r="R261" i="37"/>
  <c r="Q262" i="37"/>
  <c r="R262" i="37"/>
  <c r="Q263" i="37"/>
  <c r="R263" i="37"/>
  <c r="Q264" i="37"/>
  <c r="R264" i="37"/>
  <c r="Q265" i="37"/>
  <c r="R265" i="37"/>
  <c r="Q266" i="37"/>
  <c r="R266" i="37"/>
  <c r="Q267" i="37"/>
  <c r="R267" i="37"/>
  <c r="Q268" i="37"/>
  <c r="R268" i="37"/>
  <c r="Q269" i="37"/>
  <c r="R269" i="37"/>
  <c r="Q270" i="37"/>
  <c r="R270" i="37"/>
  <c r="Q271" i="37"/>
  <c r="R271" i="37"/>
  <c r="Q272" i="37"/>
  <c r="R272" i="37"/>
  <c r="Q273" i="37"/>
  <c r="R273" i="37"/>
  <c r="Q274" i="37"/>
  <c r="R274" i="37"/>
  <c r="Q275" i="37"/>
  <c r="R275" i="37"/>
  <c r="Q276" i="37"/>
  <c r="R276" i="37"/>
  <c r="Q277" i="37"/>
  <c r="R277" i="37"/>
  <c r="Q278" i="37"/>
  <c r="R278" i="37"/>
  <c r="Q279" i="37"/>
  <c r="R279" i="37"/>
  <c r="Q280" i="37"/>
  <c r="R280" i="37"/>
  <c r="Q281" i="37"/>
  <c r="R281" i="37"/>
  <c r="Q282" i="37"/>
  <c r="R282" i="37"/>
  <c r="Q283" i="37"/>
  <c r="R283" i="37"/>
  <c r="Q284" i="37"/>
  <c r="R284" i="37"/>
  <c r="Q285" i="37"/>
  <c r="R285" i="37"/>
  <c r="Q286" i="37"/>
  <c r="R286" i="37"/>
  <c r="Q287" i="37"/>
  <c r="R287" i="37"/>
  <c r="Q288" i="37"/>
  <c r="R288" i="37"/>
  <c r="Q289" i="37"/>
  <c r="R289" i="37"/>
  <c r="Q290" i="37"/>
  <c r="R290" i="37"/>
  <c r="Q291" i="37"/>
  <c r="R291" i="37"/>
  <c r="Q292" i="37"/>
  <c r="R292" i="37"/>
  <c r="Q293" i="37"/>
  <c r="R293" i="37"/>
  <c r="Q294" i="37"/>
  <c r="R294" i="37"/>
  <c r="Q295" i="37"/>
  <c r="R295" i="37"/>
  <c r="Q296" i="37"/>
  <c r="R296" i="37"/>
  <c r="Q297" i="37"/>
  <c r="R297" i="37"/>
  <c r="Q298" i="37"/>
  <c r="R298" i="37"/>
  <c r="Q299" i="37"/>
  <c r="R299" i="37"/>
  <c r="Q300" i="37"/>
  <c r="R300" i="37"/>
  <c r="Q301" i="37"/>
  <c r="R301" i="37"/>
  <c r="Q302" i="37"/>
  <c r="R302" i="37"/>
  <c r="Q303" i="37"/>
  <c r="R303" i="37"/>
  <c r="Q304" i="37"/>
  <c r="R304" i="37"/>
  <c r="Q305" i="37"/>
  <c r="R305" i="37"/>
  <c r="Q306" i="37"/>
  <c r="R306" i="37"/>
  <c r="Q307" i="37"/>
  <c r="R307" i="37"/>
  <c r="Q308" i="37"/>
  <c r="R308" i="37"/>
  <c r="Q309" i="37"/>
  <c r="R309" i="37"/>
  <c r="Q310" i="37"/>
  <c r="R310" i="37"/>
  <c r="Q311" i="37"/>
  <c r="R311" i="37"/>
  <c r="Q312" i="37"/>
  <c r="R312" i="37"/>
  <c r="Q313" i="37"/>
  <c r="R313" i="37"/>
  <c r="Q314" i="37"/>
  <c r="R314" i="37"/>
  <c r="Q315" i="37"/>
  <c r="R315" i="37"/>
  <c r="Q316" i="37"/>
  <c r="R316" i="37"/>
  <c r="Q317" i="37"/>
  <c r="R317" i="37"/>
  <c r="Q318" i="37"/>
  <c r="R318" i="37"/>
  <c r="Q319" i="37"/>
  <c r="R319" i="37"/>
  <c r="Q320" i="37"/>
  <c r="R320" i="37"/>
  <c r="Q321" i="37"/>
  <c r="R321" i="37"/>
  <c r="Q322" i="37"/>
  <c r="R322" i="37"/>
  <c r="Q323" i="37"/>
  <c r="R323" i="37"/>
  <c r="Q324" i="37"/>
  <c r="R324" i="37"/>
  <c r="Q325" i="37"/>
  <c r="R325" i="37"/>
  <c r="Q326" i="37"/>
  <c r="R326" i="37"/>
  <c r="Q327" i="37"/>
  <c r="R327" i="37"/>
  <c r="Q328" i="37"/>
  <c r="R328" i="37"/>
  <c r="Q329" i="37"/>
  <c r="R329" i="37"/>
  <c r="Q330" i="37"/>
  <c r="R330" i="37"/>
  <c r="Q331" i="37"/>
  <c r="R331" i="37"/>
  <c r="Q332" i="37"/>
  <c r="R332" i="37"/>
  <c r="Q333" i="37"/>
  <c r="R333" i="37"/>
  <c r="Q334" i="37"/>
  <c r="R334" i="37"/>
  <c r="Q335" i="37"/>
  <c r="R335" i="37"/>
  <c r="Q336" i="37"/>
  <c r="R336" i="37"/>
  <c r="Q337" i="37"/>
  <c r="R337" i="37"/>
  <c r="Q338" i="37"/>
  <c r="R338" i="37"/>
  <c r="Q339" i="37"/>
  <c r="R339" i="37"/>
  <c r="Q340" i="37"/>
  <c r="R340" i="37"/>
  <c r="Q341" i="37"/>
  <c r="R341" i="37"/>
  <c r="Q342" i="37"/>
  <c r="R342" i="37"/>
  <c r="Q343" i="37"/>
  <c r="R343" i="37"/>
  <c r="Q344" i="37"/>
  <c r="R344" i="37"/>
  <c r="Q345" i="37"/>
  <c r="R345" i="37"/>
  <c r="Q346" i="37"/>
  <c r="R346" i="37"/>
  <c r="Q347" i="37"/>
  <c r="R347" i="37"/>
  <c r="Q348" i="37"/>
  <c r="R348" i="37"/>
  <c r="Q349" i="37"/>
  <c r="R349" i="37"/>
  <c r="Q350" i="37"/>
  <c r="R350" i="37"/>
  <c r="Q351" i="37"/>
  <c r="R351" i="37"/>
  <c r="Q352" i="37"/>
  <c r="R352" i="37"/>
  <c r="Q353" i="37"/>
  <c r="R353" i="37"/>
  <c r="Q354" i="37"/>
  <c r="R354" i="37"/>
  <c r="Q355" i="37"/>
  <c r="R355" i="37"/>
  <c r="Q356" i="37"/>
  <c r="R356" i="37"/>
  <c r="Q357" i="37"/>
  <c r="R357" i="37"/>
  <c r="Q358" i="37"/>
  <c r="R358" i="37"/>
  <c r="Q359" i="37"/>
  <c r="R359" i="37"/>
  <c r="Q360" i="37"/>
  <c r="R360" i="37"/>
  <c r="Q361" i="37"/>
  <c r="R361" i="37"/>
  <c r="Q362" i="37"/>
  <c r="R362" i="37"/>
  <c r="Q363" i="37"/>
  <c r="R363" i="37"/>
  <c r="Q364" i="37"/>
  <c r="R364" i="37"/>
  <c r="Q365" i="37"/>
  <c r="R365" i="37"/>
  <c r="Q366" i="37"/>
  <c r="R366" i="37"/>
  <c r="Q367" i="37"/>
  <c r="R367" i="37"/>
  <c r="Q368" i="37"/>
  <c r="R368" i="37"/>
  <c r="Q369" i="37"/>
  <c r="R369" i="37"/>
  <c r="Q370" i="37"/>
  <c r="R370" i="37"/>
  <c r="Q371" i="37"/>
  <c r="R371" i="37"/>
  <c r="Q372" i="37"/>
  <c r="R372" i="37"/>
  <c r="Q373" i="37"/>
  <c r="R373" i="37"/>
  <c r="Q374" i="37"/>
  <c r="R374" i="37"/>
  <c r="Q375" i="37"/>
  <c r="R375" i="37"/>
  <c r="Q376" i="37"/>
  <c r="R376" i="37"/>
  <c r="Q377" i="37"/>
  <c r="R377" i="37"/>
  <c r="Q378" i="37"/>
  <c r="R378" i="37"/>
  <c r="Q379" i="37"/>
  <c r="R379" i="37"/>
  <c r="Q380" i="37"/>
  <c r="R380" i="37"/>
  <c r="Q381" i="37"/>
  <c r="R381" i="37"/>
  <c r="Q382" i="37"/>
  <c r="R382" i="37"/>
  <c r="Q383" i="37"/>
  <c r="R383" i="37"/>
  <c r="Q384" i="37"/>
  <c r="R384" i="37"/>
  <c r="Q385" i="37"/>
  <c r="R385" i="37"/>
  <c r="Q386" i="37"/>
  <c r="R386" i="37"/>
  <c r="Q387" i="37"/>
  <c r="R387" i="37"/>
  <c r="Q388" i="37"/>
  <c r="R388" i="37"/>
  <c r="Q389" i="37"/>
  <c r="R389" i="37"/>
  <c r="Q390" i="37"/>
  <c r="R390" i="37"/>
  <c r="Q391" i="37"/>
  <c r="R391" i="37"/>
  <c r="Q392" i="37"/>
  <c r="R392" i="37"/>
  <c r="Q393" i="37"/>
  <c r="R393" i="37"/>
  <c r="Q394" i="37"/>
  <c r="R394" i="37"/>
  <c r="Q395" i="37"/>
  <c r="R395" i="37"/>
  <c r="Q396" i="37"/>
  <c r="R396" i="37"/>
  <c r="Q397" i="37"/>
  <c r="R397" i="37"/>
  <c r="Q398" i="37"/>
  <c r="R398" i="37"/>
  <c r="Q399" i="37"/>
  <c r="R399" i="37"/>
  <c r="Q400" i="37"/>
  <c r="R400" i="37"/>
  <c r="Q401" i="37"/>
  <c r="R401" i="37"/>
  <c r="Q402" i="37"/>
  <c r="R402" i="37"/>
  <c r="Q403" i="37"/>
  <c r="R403" i="37"/>
  <c r="Q404" i="37"/>
  <c r="R404" i="37"/>
  <c r="Q405" i="37"/>
  <c r="R405" i="37"/>
  <c r="Q406" i="37"/>
  <c r="R406" i="37"/>
  <c r="Q407" i="37"/>
  <c r="R407" i="37"/>
  <c r="Q408" i="37"/>
  <c r="R408" i="37"/>
  <c r="Q409" i="37"/>
  <c r="R409" i="37"/>
  <c r="Q410" i="37"/>
  <c r="R410" i="37"/>
  <c r="Q411" i="37"/>
  <c r="R411" i="37"/>
  <c r="Q412" i="37"/>
  <c r="R412" i="37"/>
  <c r="Q413" i="37"/>
  <c r="R413" i="37"/>
  <c r="Q414" i="37"/>
  <c r="R414" i="37"/>
  <c r="Q415" i="37"/>
  <c r="R415" i="37"/>
  <c r="Q416" i="37"/>
  <c r="R416" i="37"/>
  <c r="Q417" i="37"/>
  <c r="R417" i="37"/>
  <c r="R6" i="37"/>
  <c r="Q6" i="37"/>
  <c r="E194" i="37"/>
  <c r="E115" i="37"/>
  <c r="R115" i="37"/>
  <c r="E104" i="37"/>
  <c r="Q104" i="37"/>
  <c r="M383" i="37"/>
  <c r="N383" i="37" s="1"/>
  <c r="O383" i="37" s="1"/>
  <c r="M384" i="37"/>
  <c r="N384" i="37" s="1"/>
  <c r="O384" i="37" s="1"/>
  <c r="J193" i="38"/>
  <c r="K193" i="38" s="1"/>
  <c r="F193" i="38"/>
  <c r="L193" i="38" s="1"/>
  <c r="D193" i="38"/>
  <c r="K301" i="38"/>
  <c r="K279" i="38"/>
  <c r="K301" i="39"/>
  <c r="K279" i="39"/>
  <c r="K74" i="38"/>
  <c r="K73" i="38"/>
  <c r="K72" i="38"/>
  <c r="L71" i="38"/>
  <c r="M71" i="38" s="1"/>
  <c r="N71" i="38" s="1"/>
  <c r="K71" i="38"/>
  <c r="G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L8" i="38"/>
  <c r="M8" i="38" s="1"/>
  <c r="N8" i="38" s="1"/>
  <c r="L9" i="38"/>
  <c r="M9" i="38" s="1"/>
  <c r="N9" i="38" s="1"/>
  <c r="L10" i="38"/>
  <c r="M10" i="38"/>
  <c r="N10" i="38" s="1"/>
  <c r="L11" i="38"/>
  <c r="M11" i="38" s="1"/>
  <c r="N11" i="38" s="1"/>
  <c r="L12" i="38"/>
  <c r="M12" i="38" s="1"/>
  <c r="N12" i="38" s="1"/>
  <c r="L13" i="38"/>
  <c r="M13" i="38" s="1"/>
  <c r="N13" i="38" s="1"/>
  <c r="L14" i="38"/>
  <c r="M14" i="38" s="1"/>
  <c r="N14" i="38" s="1"/>
  <c r="L15" i="38"/>
  <c r="M15" i="38" s="1"/>
  <c r="N15" i="38" s="1"/>
  <c r="L16" i="38"/>
  <c r="M16" i="38" s="1"/>
  <c r="N16" i="38" s="1"/>
  <c r="L17" i="38"/>
  <c r="M17" i="38" s="1"/>
  <c r="N17" i="38" s="1"/>
  <c r="L18" i="38"/>
  <c r="M18" i="38"/>
  <c r="N18" i="38" s="1"/>
  <c r="L19" i="38"/>
  <c r="M19" i="38" s="1"/>
  <c r="N19" i="38" s="1"/>
  <c r="L20" i="38"/>
  <c r="M20" i="38" s="1"/>
  <c r="N20" i="38" s="1"/>
  <c r="L21" i="38"/>
  <c r="M21" i="38" s="1"/>
  <c r="N21" i="38"/>
  <c r="L22" i="38"/>
  <c r="M22" i="38" s="1"/>
  <c r="N22" i="38" s="1"/>
  <c r="L23" i="38"/>
  <c r="M23" i="38" s="1"/>
  <c r="N23" i="38" s="1"/>
  <c r="L24" i="38"/>
  <c r="M24" i="38" s="1"/>
  <c r="N24" i="38" s="1"/>
  <c r="L25" i="38"/>
  <c r="M25" i="38" s="1"/>
  <c r="N25" i="38" s="1"/>
  <c r="L26" i="38"/>
  <c r="M26" i="38" s="1"/>
  <c r="N26" i="38" s="1"/>
  <c r="L27" i="38"/>
  <c r="M27" i="38" s="1"/>
  <c r="N27" i="38" s="1"/>
  <c r="L28" i="38"/>
  <c r="M28" i="38" s="1"/>
  <c r="N28" i="38" s="1"/>
  <c r="L29" i="38"/>
  <c r="M29" i="38" s="1"/>
  <c r="N29" i="38" s="1"/>
  <c r="L30" i="38"/>
  <c r="M30" i="38"/>
  <c r="N30" i="38" s="1"/>
  <c r="L31" i="38"/>
  <c r="M31" i="38" s="1"/>
  <c r="N31" i="38" s="1"/>
  <c r="L32" i="38"/>
  <c r="M32" i="38" s="1"/>
  <c r="N32" i="38" s="1"/>
  <c r="L33" i="38"/>
  <c r="M33" i="38" s="1"/>
  <c r="N33" i="38"/>
  <c r="L34" i="38"/>
  <c r="M34" i="38"/>
  <c r="N34" i="38" s="1"/>
  <c r="L35" i="38"/>
  <c r="M35" i="38" s="1"/>
  <c r="N35" i="38" s="1"/>
  <c r="L36" i="38"/>
  <c r="M36" i="38" s="1"/>
  <c r="N36" i="38" s="1"/>
  <c r="L37" i="38"/>
  <c r="M37" i="38" s="1"/>
  <c r="N37" i="38"/>
  <c r="L38" i="38"/>
  <c r="M38" i="38" s="1"/>
  <c r="N38" i="38" s="1"/>
  <c r="L39" i="38"/>
  <c r="M39" i="38" s="1"/>
  <c r="N39" i="38" s="1"/>
  <c r="L40" i="38"/>
  <c r="M40" i="38" s="1"/>
  <c r="N40" i="38"/>
  <c r="L41" i="38"/>
  <c r="M41" i="38" s="1"/>
  <c r="N41" i="38" s="1"/>
  <c r="L42" i="38"/>
  <c r="M42" i="38" s="1"/>
  <c r="N42" i="38" s="1"/>
  <c r="L43" i="38"/>
  <c r="M43" i="38" s="1"/>
  <c r="N43" i="38" s="1"/>
  <c r="L44" i="38"/>
  <c r="M44" i="38" s="1"/>
  <c r="N44" i="38" s="1"/>
  <c r="L45" i="38"/>
  <c r="M45" i="38" s="1"/>
  <c r="N45" i="38"/>
  <c r="L46" i="38"/>
  <c r="M46" i="38" s="1"/>
  <c r="N46" i="38" s="1"/>
  <c r="L47" i="38"/>
  <c r="M47" i="38" s="1"/>
  <c r="N47" i="38" s="1"/>
  <c r="L48" i="38"/>
  <c r="M48" i="38" s="1"/>
  <c r="N48" i="38" s="1"/>
  <c r="L49" i="38"/>
  <c r="M49" i="38" s="1"/>
  <c r="N49" i="38" s="1"/>
  <c r="L50" i="38"/>
  <c r="M50" i="38"/>
  <c r="N50" i="38" s="1"/>
  <c r="L51" i="38"/>
  <c r="M51" i="38" s="1"/>
  <c r="N51" i="38" s="1"/>
  <c r="L52" i="38"/>
  <c r="M52" i="38" s="1"/>
  <c r="N52" i="38"/>
  <c r="L53" i="38"/>
  <c r="M53" i="38" s="1"/>
  <c r="N53" i="38" s="1"/>
  <c r="L54" i="38"/>
  <c r="M54" i="38" s="1"/>
  <c r="N54" i="38" s="1"/>
  <c r="L55" i="38"/>
  <c r="M55" i="38" s="1"/>
  <c r="N55" i="38" s="1"/>
  <c r="L56" i="38"/>
  <c r="M56" i="38" s="1"/>
  <c r="N56" i="38" s="1"/>
  <c r="L57" i="38"/>
  <c r="M57" i="38" s="1"/>
  <c r="N57" i="38" s="1"/>
  <c r="L58" i="38"/>
  <c r="M58" i="38" s="1"/>
  <c r="N58" i="38" s="1"/>
  <c r="L59" i="38"/>
  <c r="M59" i="38" s="1"/>
  <c r="N59" i="38" s="1"/>
  <c r="L60" i="38"/>
  <c r="M60" i="38" s="1"/>
  <c r="N60" i="38" s="1"/>
  <c r="L61" i="38"/>
  <c r="M61" i="38" s="1"/>
  <c r="N61" i="38" s="1"/>
  <c r="L62" i="38"/>
  <c r="M62" i="38"/>
  <c r="N62" i="38" s="1"/>
  <c r="L63" i="38"/>
  <c r="M63" i="38" s="1"/>
  <c r="N63" i="38" s="1"/>
  <c r="L64" i="38"/>
  <c r="M64" i="38" s="1"/>
  <c r="N64" i="38" s="1"/>
  <c r="L65" i="38"/>
  <c r="M65" i="38" s="1"/>
  <c r="N65" i="38" s="1"/>
  <c r="L66" i="38"/>
  <c r="M66" i="38"/>
  <c r="N66" i="38" s="1"/>
  <c r="L67" i="38"/>
  <c r="M67" i="38" s="1"/>
  <c r="N67" i="38" s="1"/>
  <c r="L68" i="38"/>
  <c r="M68" i="38" s="1"/>
  <c r="N68" i="38" s="1"/>
  <c r="L69" i="38"/>
  <c r="M69" i="38" s="1"/>
  <c r="N69" i="38" s="1"/>
  <c r="L70" i="38"/>
  <c r="M70" i="38" s="1"/>
  <c r="N70" i="38" s="1"/>
  <c r="L72" i="38"/>
  <c r="M72" i="38" s="1"/>
  <c r="N72" i="38" s="1"/>
  <c r="L73" i="38"/>
  <c r="M73" i="38" s="1"/>
  <c r="N73" i="38" s="1"/>
  <c r="L74" i="38"/>
  <c r="M74" i="38" s="1"/>
  <c r="N74" i="38" s="1"/>
  <c r="L75" i="38"/>
  <c r="M75" i="38" s="1"/>
  <c r="N75" i="38" s="1"/>
  <c r="L76" i="38"/>
  <c r="M76" i="38" s="1"/>
  <c r="N76" i="38" s="1"/>
  <c r="L77" i="38"/>
  <c r="M77" i="38" s="1"/>
  <c r="N77" i="38" s="1"/>
  <c r="L78" i="38"/>
  <c r="M78" i="38" s="1"/>
  <c r="N78" i="38" s="1"/>
  <c r="L79" i="38"/>
  <c r="M79" i="38"/>
  <c r="N79" i="38" s="1"/>
  <c r="L80" i="38"/>
  <c r="M80" i="38" s="1"/>
  <c r="N80" i="38" s="1"/>
  <c r="L81" i="38"/>
  <c r="M81" i="38" s="1"/>
  <c r="N81" i="38" s="1"/>
  <c r="L82" i="38"/>
  <c r="M82" i="38" s="1"/>
  <c r="N82" i="38"/>
  <c r="L83" i="38"/>
  <c r="M83" i="38"/>
  <c r="N83" i="38" s="1"/>
  <c r="L84" i="38"/>
  <c r="M84" i="38" s="1"/>
  <c r="N84" i="38" s="1"/>
  <c r="L85" i="38"/>
  <c r="M85" i="38" s="1"/>
  <c r="N85" i="38" s="1"/>
  <c r="L86" i="38"/>
  <c r="M86" i="38" s="1"/>
  <c r="N86" i="38"/>
  <c r="L87" i="38"/>
  <c r="M87" i="38"/>
  <c r="N87" i="38" s="1"/>
  <c r="L88" i="38"/>
  <c r="M88" i="38" s="1"/>
  <c r="N88" i="38" s="1"/>
  <c r="L89" i="38"/>
  <c r="M89" i="38" s="1"/>
  <c r="N89" i="38"/>
  <c r="L90" i="38"/>
  <c r="M90" i="38" s="1"/>
  <c r="N90" i="38" s="1"/>
  <c r="L91" i="38"/>
  <c r="M91" i="38" s="1"/>
  <c r="N91" i="38" s="1"/>
  <c r="L92" i="38"/>
  <c r="M92" i="38" s="1"/>
  <c r="N92" i="38" s="1"/>
  <c r="L93" i="38"/>
  <c r="M93" i="38" s="1"/>
  <c r="N93" i="38"/>
  <c r="L94" i="38"/>
  <c r="M94" i="38" s="1"/>
  <c r="N94" i="38"/>
  <c r="L95" i="38"/>
  <c r="M95" i="38"/>
  <c r="N95" i="38" s="1"/>
  <c r="L96" i="38"/>
  <c r="M96" i="38" s="1"/>
  <c r="N96" i="38" s="1"/>
  <c r="L97" i="38"/>
  <c r="M97" i="38" s="1"/>
  <c r="N97" i="38" s="1"/>
  <c r="L98" i="38"/>
  <c r="M98" i="38" s="1"/>
  <c r="N98" i="38" s="1"/>
  <c r="L99" i="38"/>
  <c r="M99" i="38" s="1"/>
  <c r="N99" i="38" s="1"/>
  <c r="L100" i="38"/>
  <c r="M100" i="38" s="1"/>
  <c r="N100" i="38" s="1"/>
  <c r="L101" i="38"/>
  <c r="M101" i="38" s="1"/>
  <c r="N101" i="38" s="1"/>
  <c r="L102" i="38"/>
  <c r="M102" i="38" s="1"/>
  <c r="N102" i="38" s="1"/>
  <c r="L104" i="38"/>
  <c r="M104" i="38" s="1"/>
  <c r="N104" i="38" s="1"/>
  <c r="L105" i="38"/>
  <c r="M105" i="38" s="1"/>
  <c r="N105" i="38" s="1"/>
  <c r="L106" i="38"/>
  <c r="M106" i="38" s="1"/>
  <c r="N106" i="38" s="1"/>
  <c r="L107" i="38"/>
  <c r="M107" i="38" s="1"/>
  <c r="N107" i="38" s="1"/>
  <c r="L108" i="38"/>
  <c r="M108" i="38" s="1"/>
  <c r="N108" i="38" s="1"/>
  <c r="L109" i="38"/>
  <c r="M109" i="38" s="1"/>
  <c r="N109" i="38" s="1"/>
  <c r="L110" i="38"/>
  <c r="M110" i="38" s="1"/>
  <c r="N110" i="38" s="1"/>
  <c r="L111" i="38"/>
  <c r="M111" i="38" s="1"/>
  <c r="N111" i="38" s="1"/>
  <c r="L112" i="38"/>
  <c r="M112" i="38" s="1"/>
  <c r="N112" i="38" s="1"/>
  <c r="L113" i="38"/>
  <c r="M113" i="38" s="1"/>
  <c r="N113" i="38" s="1"/>
  <c r="L115" i="38"/>
  <c r="M115" i="38" s="1"/>
  <c r="N115" i="38" s="1"/>
  <c r="L116" i="38"/>
  <c r="M116" i="38" s="1"/>
  <c r="N116" i="38" s="1"/>
  <c r="L117" i="38"/>
  <c r="M117" i="38"/>
  <c r="N117" i="38" s="1"/>
  <c r="L118" i="38"/>
  <c r="M118" i="38" s="1"/>
  <c r="N118" i="38" s="1"/>
  <c r="L119" i="38"/>
  <c r="M119" i="38" s="1"/>
  <c r="N119" i="38" s="1"/>
  <c r="L120" i="38"/>
  <c r="M120" i="38" s="1"/>
  <c r="N120" i="38"/>
  <c r="L121" i="38"/>
  <c r="M121" i="38"/>
  <c r="N121" i="38" s="1"/>
  <c r="L122" i="38"/>
  <c r="M122" i="38" s="1"/>
  <c r="N122" i="38" s="1"/>
  <c r="L123" i="38"/>
  <c r="M123" i="38" s="1"/>
  <c r="N123" i="38" s="1"/>
  <c r="L124" i="38"/>
  <c r="M124" i="38" s="1"/>
  <c r="N124" i="38" s="1"/>
  <c r="L125" i="38"/>
  <c r="M125" i="38"/>
  <c r="N125" i="38" s="1"/>
  <c r="L126" i="38"/>
  <c r="M126" i="38" s="1"/>
  <c r="N126" i="38" s="1"/>
  <c r="L127" i="38"/>
  <c r="M127" i="38" s="1"/>
  <c r="N127" i="38"/>
  <c r="L128" i="38"/>
  <c r="M128" i="38" s="1"/>
  <c r="N128" i="38" s="1"/>
  <c r="L129" i="38"/>
  <c r="M129" i="38" s="1"/>
  <c r="N129" i="38" s="1"/>
  <c r="L130" i="38"/>
  <c r="M130" i="38" s="1"/>
  <c r="N130" i="38" s="1"/>
  <c r="L131" i="38"/>
  <c r="M131" i="38" s="1"/>
  <c r="N131" i="38" s="1"/>
  <c r="L132" i="38"/>
  <c r="M132" i="38" s="1"/>
  <c r="N132" i="38" s="1"/>
  <c r="L133" i="38"/>
  <c r="M133" i="38"/>
  <c r="N133" i="38" s="1"/>
  <c r="L134" i="38"/>
  <c r="M134" i="38" s="1"/>
  <c r="N134" i="38" s="1"/>
  <c r="L135" i="38"/>
  <c r="M135" i="38" s="1"/>
  <c r="N135" i="38" s="1"/>
  <c r="L136" i="38"/>
  <c r="M136" i="38" s="1"/>
  <c r="N136" i="38" s="1"/>
  <c r="L137" i="38"/>
  <c r="M137" i="38"/>
  <c r="N137" i="38" s="1"/>
  <c r="L138" i="38"/>
  <c r="M138" i="38" s="1"/>
  <c r="N138" i="38" s="1"/>
  <c r="L139" i="38"/>
  <c r="M139" i="38" s="1"/>
  <c r="N139" i="38" s="1"/>
  <c r="L140" i="38"/>
  <c r="M140" i="38" s="1"/>
  <c r="N140" i="38"/>
  <c r="L141" i="38"/>
  <c r="M141" i="38"/>
  <c r="N141" i="38" s="1"/>
  <c r="L142" i="38"/>
  <c r="M142" i="38" s="1"/>
  <c r="N142" i="38" s="1"/>
  <c r="L143" i="38"/>
  <c r="M143" i="38" s="1"/>
  <c r="N143" i="38" s="1"/>
  <c r="L144" i="38"/>
  <c r="M144" i="38" s="1"/>
  <c r="N144" i="38" s="1"/>
  <c r="L145" i="38"/>
  <c r="M145" i="38" s="1"/>
  <c r="N145" i="38" s="1"/>
  <c r="L146" i="38"/>
  <c r="M146" i="38" s="1"/>
  <c r="N146" i="38" s="1"/>
  <c r="L147" i="38"/>
  <c r="M147" i="38" s="1"/>
  <c r="N147" i="38" s="1"/>
  <c r="L148" i="38"/>
  <c r="M148" i="38" s="1"/>
  <c r="N148" i="38"/>
  <c r="L149" i="38"/>
  <c r="M149" i="38" s="1"/>
  <c r="N149" i="38" s="1"/>
  <c r="L150" i="38"/>
  <c r="M150" i="38" s="1"/>
  <c r="N150" i="38" s="1"/>
  <c r="L151" i="38"/>
  <c r="M151" i="38" s="1"/>
  <c r="N151" i="38" s="1"/>
  <c r="L152" i="38"/>
  <c r="M152" i="38" s="1"/>
  <c r="N152" i="38" s="1"/>
  <c r="L153" i="38"/>
  <c r="M153" i="38"/>
  <c r="N153" i="38" s="1"/>
  <c r="L154" i="38"/>
  <c r="M154" i="38"/>
  <c r="N154" i="38" s="1"/>
  <c r="L155" i="38"/>
  <c r="M155" i="38" s="1"/>
  <c r="N155" i="38" s="1"/>
  <c r="L156" i="38"/>
  <c r="M156" i="38" s="1"/>
  <c r="N156" i="38" s="1"/>
  <c r="L157" i="38"/>
  <c r="M157" i="38" s="1"/>
  <c r="N157" i="38" s="1"/>
  <c r="L158" i="38"/>
  <c r="M158" i="38" s="1"/>
  <c r="N158" i="38" s="1"/>
  <c r="L159" i="38"/>
  <c r="M159" i="38" s="1"/>
  <c r="N159" i="38" s="1"/>
  <c r="L160" i="38"/>
  <c r="M160" i="38" s="1"/>
  <c r="N160" i="38"/>
  <c r="L161" i="38"/>
  <c r="M161" i="38"/>
  <c r="N161" i="38" s="1"/>
  <c r="L162" i="38"/>
  <c r="M162" i="38" s="1"/>
  <c r="N162" i="38" s="1"/>
  <c r="L163" i="38"/>
  <c r="M163" i="38" s="1"/>
  <c r="N163" i="38" s="1"/>
  <c r="L164" i="38"/>
  <c r="M164" i="38" s="1"/>
  <c r="N164" i="38"/>
  <c r="L165" i="38"/>
  <c r="M165" i="38" s="1"/>
  <c r="N165" i="38" s="1"/>
  <c r="L166" i="38"/>
  <c r="M166" i="38"/>
  <c r="N166" i="38" s="1"/>
  <c r="L167" i="38"/>
  <c r="M167" i="38" s="1"/>
  <c r="N167" i="38" s="1"/>
  <c r="L168" i="38"/>
  <c r="M168" i="38" s="1"/>
  <c r="N168" i="38" s="1"/>
  <c r="L169" i="38"/>
  <c r="M169" i="38" s="1"/>
  <c r="N169" i="38" s="1"/>
  <c r="L170" i="38"/>
  <c r="M170" i="38" s="1"/>
  <c r="N170" i="38" s="1"/>
  <c r="L171" i="38"/>
  <c r="M171" i="38" s="1"/>
  <c r="N171" i="38" s="1"/>
  <c r="L172" i="38"/>
  <c r="M172" i="38" s="1"/>
  <c r="N172" i="38" s="1"/>
  <c r="L173" i="38"/>
  <c r="M173" i="38"/>
  <c r="N173" i="38" s="1"/>
  <c r="L174" i="38"/>
  <c r="M174" i="38" s="1"/>
  <c r="N174" i="38" s="1"/>
  <c r="L175" i="38"/>
  <c r="M175" i="38" s="1"/>
  <c r="N175" i="38" s="1"/>
  <c r="L176" i="38"/>
  <c r="M176" i="38" s="1"/>
  <c r="N176" i="38" s="1"/>
  <c r="L177" i="38"/>
  <c r="M177" i="38"/>
  <c r="N177" i="38" s="1"/>
  <c r="L178" i="38"/>
  <c r="M178" i="38" s="1"/>
  <c r="N178" i="38" s="1"/>
  <c r="L179" i="38"/>
  <c r="M179" i="38" s="1"/>
  <c r="N179" i="38" s="1"/>
  <c r="L180" i="38"/>
  <c r="M180" i="38" s="1"/>
  <c r="N180" i="38" s="1"/>
  <c r="L181" i="38"/>
  <c r="M181" i="38" s="1"/>
  <c r="N181" i="38" s="1"/>
  <c r="L182" i="38"/>
  <c r="M182" i="38" s="1"/>
  <c r="N182" i="38" s="1"/>
  <c r="L183" i="38"/>
  <c r="M183" i="38" s="1"/>
  <c r="N183" i="38" s="1"/>
  <c r="L184" i="38"/>
  <c r="M184" i="38" s="1"/>
  <c r="N184" i="38" s="1"/>
  <c r="L185" i="38"/>
  <c r="M185" i="38"/>
  <c r="N185" i="38" s="1"/>
  <c r="L186" i="38"/>
  <c r="M186" i="38" s="1"/>
  <c r="N186" i="38" s="1"/>
  <c r="L187" i="38"/>
  <c r="M187" i="38" s="1"/>
  <c r="N187" i="38" s="1"/>
  <c r="L188" i="38"/>
  <c r="M188" i="38" s="1"/>
  <c r="N188" i="38"/>
  <c r="L189" i="38"/>
  <c r="M189" i="38" s="1"/>
  <c r="N189" i="38" s="1"/>
  <c r="L190" i="38"/>
  <c r="M190" i="38"/>
  <c r="N190" i="38" s="1"/>
  <c r="L191" i="38"/>
  <c r="M191" i="38" s="1"/>
  <c r="N191" i="38" s="1"/>
  <c r="L192" i="38"/>
  <c r="M192" i="38" s="1"/>
  <c r="N192" i="38" s="1"/>
  <c r="L194" i="38"/>
  <c r="M194" i="38" s="1"/>
  <c r="N194" i="38" s="1"/>
  <c r="L195" i="38"/>
  <c r="M195" i="38"/>
  <c r="N195" i="38" s="1"/>
  <c r="L196" i="38"/>
  <c r="M196" i="38" s="1"/>
  <c r="N196" i="38" s="1"/>
  <c r="L197" i="38"/>
  <c r="M197" i="38" s="1"/>
  <c r="N197" i="38" s="1"/>
  <c r="L198" i="38"/>
  <c r="M198" i="38"/>
  <c r="N198" i="38" s="1"/>
  <c r="L199" i="38"/>
  <c r="M199" i="38" s="1"/>
  <c r="N199" i="38" s="1"/>
  <c r="L200" i="38"/>
  <c r="M200" i="38" s="1"/>
  <c r="N200" i="38" s="1"/>
  <c r="L201" i="38"/>
  <c r="M201" i="38" s="1"/>
  <c r="N201" i="38"/>
  <c r="L202" i="38"/>
  <c r="M202" i="38"/>
  <c r="N202" i="38" s="1"/>
  <c r="L203" i="38"/>
  <c r="M203" i="38" s="1"/>
  <c r="N203" i="38" s="1"/>
  <c r="L204" i="38"/>
  <c r="M204" i="38" s="1"/>
  <c r="N204" i="38" s="1"/>
  <c r="L205" i="38"/>
  <c r="M205" i="38" s="1"/>
  <c r="N205" i="38" s="1"/>
  <c r="L206" i="38"/>
  <c r="M206" i="38" s="1"/>
  <c r="N206" i="38" s="1"/>
  <c r="L207" i="38"/>
  <c r="M207" i="38"/>
  <c r="N207" i="38" s="1"/>
  <c r="L208" i="38"/>
  <c r="M208" i="38" s="1"/>
  <c r="N208" i="38" s="1"/>
  <c r="L209" i="38"/>
  <c r="M209" i="38" s="1"/>
  <c r="N209" i="38"/>
  <c r="L210" i="38"/>
  <c r="M210" i="38" s="1"/>
  <c r="N210" i="38" s="1"/>
  <c r="L211" i="38"/>
  <c r="M211" i="38" s="1"/>
  <c r="N211" i="38" s="1"/>
  <c r="L212" i="38"/>
  <c r="M212" i="38" s="1"/>
  <c r="N212" i="38" s="1"/>
  <c r="L213" i="38"/>
  <c r="M213" i="38" s="1"/>
  <c r="N213" i="38" s="1"/>
  <c r="L214" i="38"/>
  <c r="M214" i="38"/>
  <c r="N214" i="38" s="1"/>
  <c r="L215" i="38"/>
  <c r="M215" i="38"/>
  <c r="N215" i="38" s="1"/>
  <c r="L216" i="38"/>
  <c r="M216" i="38" s="1"/>
  <c r="N216" i="38" s="1"/>
  <c r="L217" i="38"/>
  <c r="M217" i="38" s="1"/>
  <c r="N217" i="38" s="1"/>
  <c r="L218" i="38"/>
  <c r="M218" i="38" s="1"/>
  <c r="N218" i="38" s="1"/>
  <c r="L219" i="38"/>
  <c r="M219" i="38"/>
  <c r="N219" i="38" s="1"/>
  <c r="L220" i="38"/>
  <c r="M220" i="38" s="1"/>
  <c r="N220" i="38" s="1"/>
  <c r="L221" i="38"/>
  <c r="M221" i="38" s="1"/>
  <c r="N221" i="38"/>
  <c r="L222" i="38"/>
  <c r="M222" i="38"/>
  <c r="N222" i="38" s="1"/>
  <c r="L223" i="38"/>
  <c r="M223" i="38" s="1"/>
  <c r="N223" i="38" s="1"/>
  <c r="L224" i="38"/>
  <c r="M224" i="38" s="1"/>
  <c r="N224" i="38" s="1"/>
  <c r="L225" i="38"/>
  <c r="M225" i="38" s="1"/>
  <c r="N225" i="38" s="1"/>
  <c r="L226" i="38"/>
  <c r="M226" i="38" s="1"/>
  <c r="N226" i="38" s="1"/>
  <c r="L227" i="38"/>
  <c r="M227" i="38"/>
  <c r="N227" i="38" s="1"/>
  <c r="L228" i="38"/>
  <c r="M228" i="38" s="1"/>
  <c r="N228" i="38" s="1"/>
  <c r="L229" i="38"/>
  <c r="M229" i="38" s="1"/>
  <c r="N229" i="38" s="1"/>
  <c r="L230" i="38"/>
  <c r="M230" i="38" s="1"/>
  <c r="N230" i="38" s="1"/>
  <c r="L231" i="38"/>
  <c r="M231" i="38" s="1"/>
  <c r="N231" i="38" s="1"/>
  <c r="L232" i="38"/>
  <c r="M232" i="38" s="1"/>
  <c r="N232" i="38" s="1"/>
  <c r="L233" i="38"/>
  <c r="M233" i="38" s="1"/>
  <c r="N233" i="38" s="1"/>
  <c r="L234" i="38"/>
  <c r="M234" i="38"/>
  <c r="N234" i="38" s="1"/>
  <c r="L235" i="38"/>
  <c r="M235" i="38" s="1"/>
  <c r="N235" i="38" s="1"/>
  <c r="L236" i="38"/>
  <c r="M236" i="38" s="1"/>
  <c r="N236" i="38" s="1"/>
  <c r="L237" i="38"/>
  <c r="M237" i="38" s="1"/>
  <c r="N237" i="38"/>
  <c r="L238" i="38"/>
  <c r="M238" i="38" s="1"/>
  <c r="N238" i="38" s="1"/>
  <c r="L239" i="38"/>
  <c r="M239" i="38" s="1"/>
  <c r="N239" i="38" s="1"/>
  <c r="L240" i="38"/>
  <c r="M240" i="38" s="1"/>
  <c r="N240" i="38"/>
  <c r="L241" i="38"/>
  <c r="M241" i="38" s="1"/>
  <c r="N241" i="38" s="1"/>
  <c r="L242" i="38"/>
  <c r="M242" i="38"/>
  <c r="N242" i="38" s="1"/>
  <c r="L243" i="38"/>
  <c r="M243" i="38" s="1"/>
  <c r="N243" i="38" s="1"/>
  <c r="L244" i="38"/>
  <c r="M244" i="38" s="1"/>
  <c r="N244" i="38" s="1"/>
  <c r="L245" i="38"/>
  <c r="M245" i="38" s="1"/>
  <c r="N245" i="38" s="1"/>
  <c r="L246" i="38"/>
  <c r="M246" i="38"/>
  <c r="N246" i="38" s="1"/>
  <c r="L247" i="38"/>
  <c r="M247" i="38" s="1"/>
  <c r="N247" i="38" s="1"/>
  <c r="L248" i="38"/>
  <c r="M248" i="38" s="1"/>
  <c r="N248" i="38" s="1"/>
  <c r="L249" i="38"/>
  <c r="M249" i="38" s="1"/>
  <c r="N249" i="38"/>
  <c r="L250" i="38"/>
  <c r="M250" i="38"/>
  <c r="N250" i="38" s="1"/>
  <c r="L251" i="38"/>
  <c r="M251" i="38" s="1"/>
  <c r="N251" i="38" s="1"/>
  <c r="L252" i="38"/>
  <c r="M252" i="38" s="1"/>
  <c r="N252" i="38"/>
  <c r="L253" i="38"/>
  <c r="M253" i="38" s="1"/>
  <c r="N253" i="38" s="1"/>
  <c r="L254" i="38"/>
  <c r="M254" i="38"/>
  <c r="N254" i="38" s="1"/>
  <c r="L255" i="38"/>
  <c r="M255" i="38" s="1"/>
  <c r="N255" i="38" s="1"/>
  <c r="L256" i="38"/>
  <c r="M256" i="38" s="1"/>
  <c r="N256" i="38" s="1"/>
  <c r="L257" i="38"/>
  <c r="M257" i="38" s="1"/>
  <c r="N257" i="38" s="1"/>
  <c r="L258" i="38"/>
  <c r="M258" i="38"/>
  <c r="N258" i="38" s="1"/>
  <c r="L259" i="38"/>
  <c r="M259" i="38" s="1"/>
  <c r="N259" i="38" s="1"/>
  <c r="L260" i="38"/>
  <c r="M260" i="38" s="1"/>
  <c r="N260" i="38" s="1"/>
  <c r="L261" i="38"/>
  <c r="M261" i="38" s="1"/>
  <c r="N261" i="38"/>
  <c r="L262" i="38"/>
  <c r="M262" i="38"/>
  <c r="N262" i="38" s="1"/>
  <c r="L263" i="38"/>
  <c r="M263" i="38"/>
  <c r="N263" i="38" s="1"/>
  <c r="L264" i="38"/>
  <c r="M264" i="38" s="1"/>
  <c r="N264" i="38"/>
  <c r="L265" i="38"/>
  <c r="M265" i="38" s="1"/>
  <c r="N265" i="38" s="1"/>
  <c r="L266" i="38"/>
  <c r="M266" i="38"/>
  <c r="N266" i="38" s="1"/>
  <c r="L267" i="38"/>
  <c r="M267" i="38" s="1"/>
  <c r="N267" i="38" s="1"/>
  <c r="L268" i="38"/>
  <c r="M268" i="38" s="1"/>
  <c r="N268" i="38" s="1"/>
  <c r="L269" i="38"/>
  <c r="M269" i="38" s="1"/>
  <c r="N269" i="38" s="1"/>
  <c r="L270" i="38"/>
  <c r="M270" i="38"/>
  <c r="N270" i="38" s="1"/>
  <c r="L271" i="38"/>
  <c r="M271" i="38" s="1"/>
  <c r="N271" i="38" s="1"/>
  <c r="L272" i="38"/>
  <c r="M272" i="38" s="1"/>
  <c r="N272" i="38" s="1"/>
  <c r="L273" i="38"/>
  <c r="M273" i="38" s="1"/>
  <c r="N273" i="38"/>
  <c r="L274" i="38"/>
  <c r="M274" i="38"/>
  <c r="N274" i="38" s="1"/>
  <c r="L275" i="38"/>
  <c r="M275" i="38"/>
  <c r="N275" i="38" s="1"/>
  <c r="L276" i="38"/>
  <c r="M276" i="38" s="1"/>
  <c r="N276" i="38"/>
  <c r="L277" i="38"/>
  <c r="M277" i="38" s="1"/>
  <c r="N277" i="38" s="1"/>
  <c r="L278" i="38"/>
  <c r="M278" i="38"/>
  <c r="N278" i="38" s="1"/>
  <c r="L279" i="38"/>
  <c r="M279" i="38" s="1"/>
  <c r="N279" i="38" s="1"/>
  <c r="L280" i="38"/>
  <c r="M280" i="38" s="1"/>
  <c r="N280" i="38" s="1"/>
  <c r="L281" i="38"/>
  <c r="M281" i="38" s="1"/>
  <c r="N281" i="38" s="1"/>
  <c r="L282" i="38"/>
  <c r="M282" i="38"/>
  <c r="N282" i="38" s="1"/>
  <c r="L283" i="38"/>
  <c r="M283" i="38" s="1"/>
  <c r="N283" i="38" s="1"/>
  <c r="L284" i="38"/>
  <c r="M284" i="38" s="1"/>
  <c r="N284" i="38" s="1"/>
  <c r="L285" i="38"/>
  <c r="M285" i="38" s="1"/>
  <c r="N285" i="38" s="1"/>
  <c r="L286" i="38"/>
  <c r="M286" i="38"/>
  <c r="N286" i="38" s="1"/>
  <c r="L287" i="38"/>
  <c r="M287" i="38"/>
  <c r="N287" i="38" s="1"/>
  <c r="L288" i="38"/>
  <c r="M288" i="38" s="1"/>
  <c r="N288" i="38"/>
  <c r="L289" i="38"/>
  <c r="M289" i="38" s="1"/>
  <c r="N289" i="38" s="1"/>
  <c r="L290" i="38"/>
  <c r="M290" i="38"/>
  <c r="N290" i="38" s="1"/>
  <c r="L291" i="38"/>
  <c r="M291" i="38" s="1"/>
  <c r="N291" i="38" s="1"/>
  <c r="L292" i="38"/>
  <c r="M292" i="38" s="1"/>
  <c r="N292" i="38" s="1"/>
  <c r="L293" i="38"/>
  <c r="M293" i="38" s="1"/>
  <c r="N293" i="38" s="1"/>
  <c r="L294" i="38"/>
  <c r="M294" i="38"/>
  <c r="N294" i="38" s="1"/>
  <c r="L295" i="38"/>
  <c r="M295" i="38" s="1"/>
  <c r="N295" i="38" s="1"/>
  <c r="L296" i="38"/>
  <c r="M296" i="38" s="1"/>
  <c r="N296" i="38" s="1"/>
  <c r="L297" i="38"/>
  <c r="M297" i="38" s="1"/>
  <c r="N297" i="38" s="1"/>
  <c r="L298" i="38"/>
  <c r="M298" i="38" s="1"/>
  <c r="N298" i="38" s="1"/>
  <c r="L299" i="38"/>
  <c r="M299" i="38"/>
  <c r="N299" i="38" s="1"/>
  <c r="L300" i="38"/>
  <c r="M300" i="38" s="1"/>
  <c r="N300" i="38"/>
  <c r="L301" i="38"/>
  <c r="M301" i="38" s="1"/>
  <c r="N301" i="38" s="1"/>
  <c r="L302" i="38"/>
  <c r="M302" i="38"/>
  <c r="N302" i="38" s="1"/>
  <c r="L303" i="38"/>
  <c r="M303" i="38" s="1"/>
  <c r="N303" i="38" s="1"/>
  <c r="L304" i="38"/>
  <c r="M304" i="38" s="1"/>
  <c r="N304" i="38" s="1"/>
  <c r="L305" i="38"/>
  <c r="M305" i="38" s="1"/>
  <c r="N305" i="38" s="1"/>
  <c r="L306" i="38"/>
  <c r="M306" i="38"/>
  <c r="N306" i="38" s="1"/>
  <c r="L307" i="38"/>
  <c r="M307" i="38" s="1"/>
  <c r="N307" i="38" s="1"/>
  <c r="L308" i="38"/>
  <c r="M308" i="38" s="1"/>
  <c r="N308" i="38" s="1"/>
  <c r="L309" i="38"/>
  <c r="M309" i="38" s="1"/>
  <c r="N309" i="38"/>
  <c r="L310" i="38"/>
  <c r="M310" i="38" s="1"/>
  <c r="N310" i="38" s="1"/>
  <c r="L311" i="38"/>
  <c r="M311" i="38" s="1"/>
  <c r="N311" i="38" s="1"/>
  <c r="L312" i="38"/>
  <c r="M312" i="38" s="1"/>
  <c r="N312" i="38"/>
  <c r="L313" i="38"/>
  <c r="M313" i="38" s="1"/>
  <c r="N313" i="38" s="1"/>
  <c r="L314" i="38"/>
  <c r="M314" i="38"/>
  <c r="N314" i="38" s="1"/>
  <c r="L315" i="38"/>
  <c r="M315" i="38" s="1"/>
  <c r="N315" i="38" s="1"/>
  <c r="L316" i="38"/>
  <c r="M316" i="38" s="1"/>
  <c r="N316" i="38" s="1"/>
  <c r="L317" i="38"/>
  <c r="M317" i="38" s="1"/>
  <c r="N317" i="38" s="1"/>
  <c r="L318" i="38"/>
  <c r="M318" i="38"/>
  <c r="N318" i="38" s="1"/>
  <c r="L319" i="38"/>
  <c r="M319" i="38" s="1"/>
  <c r="N319" i="38" s="1"/>
  <c r="L320" i="38"/>
  <c r="M320" i="38" s="1"/>
  <c r="N320" i="38" s="1"/>
  <c r="L321" i="38"/>
  <c r="M321" i="38" s="1"/>
  <c r="N321" i="38" s="1"/>
  <c r="L322" i="38"/>
  <c r="M322" i="38"/>
  <c r="N322" i="38" s="1"/>
  <c r="L323" i="38"/>
  <c r="M323" i="38" s="1"/>
  <c r="N323" i="38" s="1"/>
  <c r="L324" i="38"/>
  <c r="M324" i="38" s="1"/>
  <c r="N324" i="38"/>
  <c r="L325" i="38"/>
  <c r="M325" i="38" s="1"/>
  <c r="N325" i="38" s="1"/>
  <c r="L326" i="38"/>
  <c r="M326" i="38"/>
  <c r="N326" i="38" s="1"/>
  <c r="L327" i="38"/>
  <c r="M327" i="38" s="1"/>
  <c r="N327" i="38" s="1"/>
  <c r="L328" i="38"/>
  <c r="M328" i="38" s="1"/>
  <c r="N328" i="38" s="1"/>
  <c r="L329" i="38"/>
  <c r="M329" i="38" s="1"/>
  <c r="N329" i="38" s="1"/>
  <c r="L330" i="38"/>
  <c r="M330" i="38"/>
  <c r="N330" i="38" s="1"/>
  <c r="L331" i="38"/>
  <c r="M331" i="38" s="1"/>
  <c r="N331" i="38" s="1"/>
  <c r="L332" i="38"/>
  <c r="M332" i="38" s="1"/>
  <c r="N332" i="38" s="1"/>
  <c r="L333" i="38"/>
  <c r="M333" i="38" s="1"/>
  <c r="N333" i="38" s="1"/>
  <c r="L334" i="38"/>
  <c r="M334" i="38" s="1"/>
  <c r="N334" i="38" s="1"/>
  <c r="L335" i="38"/>
  <c r="M335" i="38"/>
  <c r="N335" i="38" s="1"/>
  <c r="L336" i="38"/>
  <c r="M336" i="38" s="1"/>
  <c r="N336" i="38"/>
  <c r="L337" i="38"/>
  <c r="M337" i="38" s="1"/>
  <c r="N337" i="38" s="1"/>
  <c r="L338" i="38"/>
  <c r="M338" i="38"/>
  <c r="N338" i="38" s="1"/>
  <c r="L339" i="38"/>
  <c r="M339" i="38" s="1"/>
  <c r="N339" i="38" s="1"/>
  <c r="L340" i="38"/>
  <c r="M340" i="38" s="1"/>
  <c r="N340" i="38" s="1"/>
  <c r="L341" i="38"/>
  <c r="M341" i="38" s="1"/>
  <c r="N341" i="38" s="1"/>
  <c r="L342" i="38"/>
  <c r="M342" i="38"/>
  <c r="N342" i="38" s="1"/>
  <c r="L343" i="38"/>
  <c r="M343" i="38" s="1"/>
  <c r="N343" i="38" s="1"/>
  <c r="L344" i="38"/>
  <c r="M344" i="38" s="1"/>
  <c r="N344" i="38" s="1"/>
  <c r="L345" i="38"/>
  <c r="M345" i="38" s="1"/>
  <c r="N345" i="38" s="1"/>
  <c r="L346" i="38"/>
  <c r="M346" i="38" s="1"/>
  <c r="N346" i="38" s="1"/>
  <c r="L347" i="38"/>
  <c r="M347" i="38" s="1"/>
  <c r="N347" i="38" s="1"/>
  <c r="L348" i="38"/>
  <c r="M348" i="38" s="1"/>
  <c r="N348" i="38"/>
  <c r="L349" i="38"/>
  <c r="M349" i="38" s="1"/>
  <c r="N349" i="38" s="1"/>
  <c r="L350" i="38"/>
  <c r="M350" i="38"/>
  <c r="N350" i="38" s="1"/>
  <c r="L351" i="38"/>
  <c r="M351" i="38" s="1"/>
  <c r="N351" i="38" s="1"/>
  <c r="L352" i="38"/>
  <c r="M352" i="38" s="1"/>
  <c r="N352" i="38" s="1"/>
  <c r="L353" i="38"/>
  <c r="M353" i="38" s="1"/>
  <c r="N353" i="38" s="1"/>
  <c r="L354" i="38"/>
  <c r="M354" i="38"/>
  <c r="N354" i="38" s="1"/>
  <c r="L355" i="38"/>
  <c r="M355" i="38" s="1"/>
  <c r="N355" i="38" s="1"/>
  <c r="L356" i="38"/>
  <c r="M356" i="38" s="1"/>
  <c r="N356" i="38" s="1"/>
  <c r="L357" i="38"/>
  <c r="M357" i="38" s="1"/>
  <c r="N357" i="38"/>
  <c r="L358" i="38"/>
  <c r="M358" i="38" s="1"/>
  <c r="N358" i="38" s="1"/>
  <c r="L359" i="38"/>
  <c r="M359" i="38" s="1"/>
  <c r="N359" i="38" s="1"/>
  <c r="L360" i="38"/>
  <c r="M360" i="38" s="1"/>
  <c r="N360" i="38"/>
  <c r="L361" i="38"/>
  <c r="M361" i="38" s="1"/>
  <c r="N361" i="38" s="1"/>
  <c r="L362" i="38"/>
  <c r="M362" i="38"/>
  <c r="N362" i="38" s="1"/>
  <c r="L363" i="38"/>
  <c r="M363" i="38" s="1"/>
  <c r="N363" i="38" s="1"/>
  <c r="L364" i="38"/>
  <c r="M364" i="38" s="1"/>
  <c r="N364" i="38" s="1"/>
  <c r="L365" i="38"/>
  <c r="M365" i="38" s="1"/>
  <c r="N365" i="38" s="1"/>
  <c r="L366" i="38"/>
  <c r="M366" i="38"/>
  <c r="N366" i="38" s="1"/>
  <c r="L367" i="38"/>
  <c r="M367" i="38" s="1"/>
  <c r="N367" i="38" s="1"/>
  <c r="L368" i="38"/>
  <c r="M368" i="38" s="1"/>
  <c r="N368" i="38" s="1"/>
  <c r="L369" i="38"/>
  <c r="M369" i="38" s="1"/>
  <c r="N369" i="38"/>
  <c r="L370" i="38"/>
  <c r="M370" i="38"/>
  <c r="N370" i="38" s="1"/>
  <c r="L371" i="38"/>
  <c r="M371" i="38" s="1"/>
  <c r="N371" i="38" s="1"/>
  <c r="L372" i="38"/>
  <c r="M372" i="38" s="1"/>
  <c r="N372" i="38"/>
  <c r="L373" i="38"/>
  <c r="M373" i="38" s="1"/>
  <c r="N373" i="38" s="1"/>
  <c r="L374" i="38"/>
  <c r="M374" i="38"/>
  <c r="N374" i="38" s="1"/>
  <c r="L375" i="38"/>
  <c r="M375" i="38" s="1"/>
  <c r="N375" i="38" s="1"/>
  <c r="L376" i="38"/>
  <c r="M376" i="38" s="1"/>
  <c r="N376" i="38" s="1"/>
  <c r="L377" i="38"/>
  <c r="M377" i="38" s="1"/>
  <c r="N377" i="38" s="1"/>
  <c r="L378" i="38"/>
  <c r="M378" i="38"/>
  <c r="N378" i="38" s="1"/>
  <c r="L379" i="38"/>
  <c r="M379" i="38" s="1"/>
  <c r="N379" i="38" s="1"/>
  <c r="L380" i="38"/>
  <c r="M380" i="38" s="1"/>
  <c r="N380" i="38" s="1"/>
  <c r="L381" i="38"/>
  <c r="M381" i="38" s="1"/>
  <c r="N381" i="38"/>
  <c r="L382" i="38"/>
  <c r="M382" i="38"/>
  <c r="N382" i="38" s="1"/>
  <c r="L383" i="38"/>
  <c r="M383" i="38"/>
  <c r="N383" i="38" s="1"/>
  <c r="L384" i="38"/>
  <c r="M384" i="38" s="1"/>
  <c r="N384" i="38"/>
  <c r="L385" i="38"/>
  <c r="M385" i="38" s="1"/>
  <c r="N385" i="38" s="1"/>
  <c r="L386" i="38"/>
  <c r="M386" i="38"/>
  <c r="N386" i="38" s="1"/>
  <c r="L387" i="38"/>
  <c r="M387" i="38" s="1"/>
  <c r="N387" i="38" s="1"/>
  <c r="L388" i="38"/>
  <c r="M388" i="38" s="1"/>
  <c r="N388" i="38" s="1"/>
  <c r="L389" i="38"/>
  <c r="M389" i="38" s="1"/>
  <c r="N389" i="38" s="1"/>
  <c r="L390" i="38"/>
  <c r="M390" i="38"/>
  <c r="N390" i="38" s="1"/>
  <c r="L391" i="38"/>
  <c r="M391" i="38" s="1"/>
  <c r="N391" i="38" s="1"/>
  <c r="L392" i="38"/>
  <c r="M392" i="38" s="1"/>
  <c r="N392" i="38" s="1"/>
  <c r="L393" i="38"/>
  <c r="M393" i="38" s="1"/>
  <c r="N393" i="38"/>
  <c r="L394" i="38"/>
  <c r="M394" i="38"/>
  <c r="N394" i="38" s="1"/>
  <c r="L395" i="38"/>
  <c r="M395" i="38"/>
  <c r="N395" i="38" s="1"/>
  <c r="L396" i="38"/>
  <c r="M396" i="38" s="1"/>
  <c r="N396" i="38" s="1"/>
  <c r="L397" i="38"/>
  <c r="M397" i="38" s="1"/>
  <c r="N397" i="38" s="1"/>
  <c r="L398" i="38"/>
  <c r="M398" i="38"/>
  <c r="N398" i="38" s="1"/>
  <c r="L399" i="38"/>
  <c r="M399" i="38" s="1"/>
  <c r="N399" i="38" s="1"/>
  <c r="L400" i="38"/>
  <c r="M400" i="38" s="1"/>
  <c r="N400" i="38" s="1"/>
  <c r="L401" i="38"/>
  <c r="M401" i="38" s="1"/>
  <c r="N401" i="38"/>
  <c r="L402" i="38"/>
  <c r="M402" i="38"/>
  <c r="N402" i="38" s="1"/>
  <c r="L403" i="38"/>
  <c r="M403" i="38" s="1"/>
  <c r="N403" i="38" s="1"/>
  <c r="L404" i="38"/>
  <c r="M404" i="38" s="1"/>
  <c r="N404" i="38" s="1"/>
  <c r="L405" i="38"/>
  <c r="M405" i="38" s="1"/>
  <c r="N405" i="38" s="1"/>
  <c r="L406" i="38"/>
  <c r="M406" i="38" s="1"/>
  <c r="N406" i="38" s="1"/>
  <c r="L407" i="38"/>
  <c r="M407" i="38" s="1"/>
  <c r="N407" i="38" s="1"/>
  <c r="L408" i="38"/>
  <c r="M408" i="38" s="1"/>
  <c r="N408" i="38" s="1"/>
  <c r="L409" i="38"/>
  <c r="M409" i="38" s="1"/>
  <c r="N409" i="38"/>
  <c r="L410" i="38"/>
  <c r="M410" i="38"/>
  <c r="N410" i="38" s="1"/>
  <c r="L411" i="38"/>
  <c r="M411" i="38"/>
  <c r="N411" i="38" s="1"/>
  <c r="L412" i="38"/>
  <c r="M412" i="38" s="1"/>
  <c r="N412" i="38" s="1"/>
  <c r="L413" i="38"/>
  <c r="M413" i="38" s="1"/>
  <c r="N413" i="38" s="1"/>
  <c r="L414" i="38"/>
  <c r="M414" i="38"/>
  <c r="N414" i="38" s="1"/>
  <c r="L415" i="38"/>
  <c r="M415" i="38" s="1"/>
  <c r="N415" i="38" s="1"/>
  <c r="L416" i="38"/>
  <c r="M416" i="38" s="1"/>
  <c r="N416" i="38"/>
  <c r="K44" i="38"/>
  <c r="K74" i="39"/>
  <c r="K73" i="39"/>
  <c r="K72" i="39"/>
  <c r="L8" i="39"/>
  <c r="M8" i="39" s="1"/>
  <c r="L9" i="39"/>
  <c r="M9" i="39" s="1"/>
  <c r="N9" i="39" s="1"/>
  <c r="L10" i="39"/>
  <c r="M10" i="39" s="1"/>
  <c r="N10" i="39" s="1"/>
  <c r="L11" i="39"/>
  <c r="M11" i="39" s="1"/>
  <c r="N11" i="39" s="1"/>
  <c r="L12" i="39"/>
  <c r="M12" i="39" s="1"/>
  <c r="N12" i="39" s="1"/>
  <c r="L13" i="39"/>
  <c r="M13" i="39" s="1"/>
  <c r="N13" i="39" s="1"/>
  <c r="L14" i="39"/>
  <c r="M14" i="39" s="1"/>
  <c r="N14" i="39" s="1"/>
  <c r="L15" i="39"/>
  <c r="M15" i="39" s="1"/>
  <c r="N15" i="39" s="1"/>
  <c r="L16" i="39"/>
  <c r="M16" i="39" s="1"/>
  <c r="N16" i="39" s="1"/>
  <c r="L17" i="39"/>
  <c r="M17" i="39" s="1"/>
  <c r="N17" i="39" s="1"/>
  <c r="L18" i="39"/>
  <c r="M18" i="39" s="1"/>
  <c r="N18" i="39" s="1"/>
  <c r="L19" i="39"/>
  <c r="M19" i="39" s="1"/>
  <c r="N19" i="39" s="1"/>
  <c r="L20" i="39"/>
  <c r="M20" i="39" s="1"/>
  <c r="N20" i="39" s="1"/>
  <c r="L21" i="39"/>
  <c r="M21" i="39" s="1"/>
  <c r="N21" i="39" s="1"/>
  <c r="L22" i="39"/>
  <c r="M22" i="39" s="1"/>
  <c r="N22" i="39" s="1"/>
  <c r="L23" i="39"/>
  <c r="M23" i="39" s="1"/>
  <c r="N23" i="39" s="1"/>
  <c r="L24" i="39"/>
  <c r="M24" i="39" s="1"/>
  <c r="N24" i="39" s="1"/>
  <c r="L25" i="39"/>
  <c r="M25" i="39"/>
  <c r="N25" i="39" s="1"/>
  <c r="L26" i="39"/>
  <c r="M26" i="39" s="1"/>
  <c r="N26" i="39" s="1"/>
  <c r="L27" i="39"/>
  <c r="M27" i="39" s="1"/>
  <c r="N27" i="39" s="1"/>
  <c r="L28" i="39"/>
  <c r="M28" i="39"/>
  <c r="N28" i="39" s="1"/>
  <c r="L29" i="39"/>
  <c r="M29" i="39" s="1"/>
  <c r="N29" i="39" s="1"/>
  <c r="L30" i="39"/>
  <c r="M30" i="39" s="1"/>
  <c r="N30" i="39" s="1"/>
  <c r="L31" i="39"/>
  <c r="M31" i="39" s="1"/>
  <c r="N31" i="39" s="1"/>
  <c r="L32" i="39"/>
  <c r="M32" i="39" s="1"/>
  <c r="N32" i="39" s="1"/>
  <c r="L33" i="39"/>
  <c r="M33" i="39" s="1"/>
  <c r="N33" i="39" s="1"/>
  <c r="L34" i="39"/>
  <c r="M34" i="39" s="1"/>
  <c r="N34" i="39" s="1"/>
  <c r="L35" i="39"/>
  <c r="M35" i="39" s="1"/>
  <c r="N35" i="39" s="1"/>
  <c r="L36" i="39"/>
  <c r="M36" i="39" s="1"/>
  <c r="N36" i="39" s="1"/>
  <c r="L37" i="39"/>
  <c r="M37" i="39" s="1"/>
  <c r="N37" i="39" s="1"/>
  <c r="L38" i="39"/>
  <c r="M38" i="39" s="1"/>
  <c r="N38" i="39" s="1"/>
  <c r="L39" i="39"/>
  <c r="M39" i="39" s="1"/>
  <c r="N39" i="39" s="1"/>
  <c r="L40" i="39"/>
  <c r="M40" i="39" s="1"/>
  <c r="N40" i="39" s="1"/>
  <c r="L41" i="39"/>
  <c r="M41" i="39"/>
  <c r="N41" i="39" s="1"/>
  <c r="L42" i="39"/>
  <c r="M42" i="39" s="1"/>
  <c r="N42" i="39" s="1"/>
  <c r="L43" i="39"/>
  <c r="M43" i="39" s="1"/>
  <c r="N43" i="39" s="1"/>
  <c r="L44" i="39"/>
  <c r="M44" i="39" s="1"/>
  <c r="N44" i="39" s="1"/>
  <c r="L45" i="39"/>
  <c r="M45" i="39" s="1"/>
  <c r="N45" i="39" s="1"/>
  <c r="L46" i="39"/>
  <c r="M46" i="39" s="1"/>
  <c r="N46" i="39" s="1"/>
  <c r="L47" i="39"/>
  <c r="M47" i="39" s="1"/>
  <c r="N47" i="39" s="1"/>
  <c r="L48" i="39"/>
  <c r="M48" i="39"/>
  <c r="N48" i="39" s="1"/>
  <c r="L49" i="39"/>
  <c r="M49" i="39" s="1"/>
  <c r="N49" i="39"/>
  <c r="L50" i="39"/>
  <c r="M50" i="39" s="1"/>
  <c r="N50" i="39" s="1"/>
  <c r="L51" i="39"/>
  <c r="M51" i="39" s="1"/>
  <c r="N51" i="39" s="1"/>
  <c r="L52" i="39"/>
  <c r="M52" i="39"/>
  <c r="N52" i="39" s="1"/>
  <c r="L53" i="39"/>
  <c r="M53" i="39" s="1"/>
  <c r="N53" i="39" s="1"/>
  <c r="L54" i="39"/>
  <c r="M54" i="39" s="1"/>
  <c r="N54" i="39" s="1"/>
  <c r="L55" i="39"/>
  <c r="M55" i="39" s="1"/>
  <c r="N55" i="39" s="1"/>
  <c r="L56" i="39"/>
  <c r="M56" i="39" s="1"/>
  <c r="N56" i="39" s="1"/>
  <c r="L57" i="39"/>
  <c r="M57" i="39" s="1"/>
  <c r="N57" i="39" s="1"/>
  <c r="L58" i="39"/>
  <c r="M58" i="39" s="1"/>
  <c r="N58" i="39" s="1"/>
  <c r="L59" i="39"/>
  <c r="M59" i="39" s="1"/>
  <c r="N59" i="39" s="1"/>
  <c r="L60" i="39"/>
  <c r="M60" i="39" s="1"/>
  <c r="N60" i="39" s="1"/>
  <c r="L61" i="39"/>
  <c r="M61" i="39" s="1"/>
  <c r="N61" i="39" s="1"/>
  <c r="L62" i="39"/>
  <c r="M62" i="39" s="1"/>
  <c r="N62" i="39" s="1"/>
  <c r="L63" i="39"/>
  <c r="M63" i="39" s="1"/>
  <c r="N63" i="39" s="1"/>
  <c r="L64" i="39"/>
  <c r="M64" i="39" s="1"/>
  <c r="N64" i="39" s="1"/>
  <c r="L65" i="39"/>
  <c r="M65" i="39" s="1"/>
  <c r="N65" i="39" s="1"/>
  <c r="L66" i="39"/>
  <c r="M66" i="39" s="1"/>
  <c r="N66" i="39" s="1"/>
  <c r="L67" i="39"/>
  <c r="M67" i="39" s="1"/>
  <c r="N67" i="39" s="1"/>
  <c r="L68" i="39"/>
  <c r="M68" i="39" s="1"/>
  <c r="N68" i="39" s="1"/>
  <c r="L69" i="39"/>
  <c r="M69" i="39" s="1"/>
  <c r="N69" i="39" s="1"/>
  <c r="L70" i="39"/>
  <c r="M70" i="39" s="1"/>
  <c r="N70" i="39" s="1"/>
  <c r="L71" i="39"/>
  <c r="M71" i="39" s="1"/>
  <c r="N71" i="39" s="1"/>
  <c r="L72" i="39"/>
  <c r="M72" i="39" s="1"/>
  <c r="N72" i="39" s="1"/>
  <c r="L73" i="39"/>
  <c r="M73" i="39" s="1"/>
  <c r="N73" i="39" s="1"/>
  <c r="L74" i="39"/>
  <c r="M74" i="39" s="1"/>
  <c r="N74" i="39" s="1"/>
  <c r="L75" i="39"/>
  <c r="M75" i="39" s="1"/>
  <c r="N75" i="39"/>
  <c r="L76" i="39"/>
  <c r="M76" i="39" s="1"/>
  <c r="N76" i="39" s="1"/>
  <c r="L77" i="39"/>
  <c r="M77" i="39" s="1"/>
  <c r="N77" i="39" s="1"/>
  <c r="L78" i="39"/>
  <c r="M78" i="39" s="1"/>
  <c r="N78" i="39" s="1"/>
  <c r="L79" i="39"/>
  <c r="M79" i="39" s="1"/>
  <c r="N79" i="39" s="1"/>
  <c r="L80" i="39"/>
  <c r="M80" i="39"/>
  <c r="N80" i="39" s="1"/>
  <c r="L81" i="39"/>
  <c r="M81" i="39" s="1"/>
  <c r="N81" i="39" s="1"/>
  <c r="L82" i="39"/>
  <c r="M82" i="39" s="1"/>
  <c r="N82" i="39" s="1"/>
  <c r="L83" i="39"/>
  <c r="M83" i="39" s="1"/>
  <c r="N83" i="39" s="1"/>
  <c r="L84" i="39"/>
  <c r="M84" i="39"/>
  <c r="N84" i="39" s="1"/>
  <c r="L85" i="39"/>
  <c r="M85" i="39" s="1"/>
  <c r="N85" i="39" s="1"/>
  <c r="L86" i="39"/>
  <c r="M86" i="39" s="1"/>
  <c r="N86" i="39" s="1"/>
  <c r="L87" i="39"/>
  <c r="M87" i="39" s="1"/>
  <c r="N87" i="39" s="1"/>
  <c r="L88" i="39"/>
  <c r="M88" i="39" s="1"/>
  <c r="N88" i="39" s="1"/>
  <c r="L89" i="39"/>
  <c r="M89" i="39" s="1"/>
  <c r="N89" i="39" s="1"/>
  <c r="L90" i="39"/>
  <c r="M90" i="39" s="1"/>
  <c r="N90" i="39" s="1"/>
  <c r="L91" i="39"/>
  <c r="M91" i="39" s="1"/>
  <c r="N91" i="39" s="1"/>
  <c r="L92" i="39"/>
  <c r="M92" i="39"/>
  <c r="N92" i="39" s="1"/>
  <c r="L93" i="39"/>
  <c r="M93" i="39" s="1"/>
  <c r="N93" i="39" s="1"/>
  <c r="L94" i="39"/>
  <c r="M94" i="39" s="1"/>
  <c r="N94" i="39" s="1"/>
  <c r="L95" i="39"/>
  <c r="M95" i="39" s="1"/>
  <c r="N95" i="39" s="1"/>
  <c r="L96" i="39"/>
  <c r="M96" i="39" s="1"/>
  <c r="N96" i="39" s="1"/>
  <c r="L97" i="39"/>
  <c r="M97" i="39" s="1"/>
  <c r="N97" i="39"/>
  <c r="L98" i="39"/>
  <c r="M98" i="39" s="1"/>
  <c r="N98" i="39" s="1"/>
  <c r="L99" i="39"/>
  <c r="M99" i="39" s="1"/>
  <c r="N99" i="39" s="1"/>
  <c r="L100" i="39"/>
  <c r="M100" i="39"/>
  <c r="N100" i="39" s="1"/>
  <c r="L101" i="39"/>
  <c r="M101" i="39" s="1"/>
  <c r="N101" i="39" s="1"/>
  <c r="L102" i="39"/>
  <c r="M102" i="39" s="1"/>
  <c r="N102" i="39" s="1"/>
  <c r="L104" i="39"/>
  <c r="M104" i="39" s="1"/>
  <c r="N104" i="39" s="1"/>
  <c r="L105" i="39"/>
  <c r="M105" i="39" s="1"/>
  <c r="N105" i="39" s="1"/>
  <c r="L106" i="39"/>
  <c r="M106" i="39" s="1"/>
  <c r="N106" i="39" s="1"/>
  <c r="L107" i="39"/>
  <c r="M107" i="39" s="1"/>
  <c r="N107" i="39" s="1"/>
  <c r="L108" i="39"/>
  <c r="M108" i="39" s="1"/>
  <c r="N108" i="39" s="1"/>
  <c r="L109" i="39"/>
  <c r="M109" i="39"/>
  <c r="N109" i="39" s="1"/>
  <c r="L110" i="39"/>
  <c r="M110" i="39" s="1"/>
  <c r="N110" i="39" s="1"/>
  <c r="L111" i="39"/>
  <c r="M111" i="39" s="1"/>
  <c r="N111" i="39" s="1"/>
  <c r="L112" i="39"/>
  <c r="M112" i="39" s="1"/>
  <c r="N112" i="39" s="1"/>
  <c r="L113" i="39"/>
  <c r="M113" i="39" s="1"/>
  <c r="N113" i="39" s="1"/>
  <c r="L115" i="39"/>
  <c r="M115" i="39" s="1"/>
  <c r="N115" i="39" s="1"/>
  <c r="L116" i="39"/>
  <c r="M116" i="39" s="1"/>
  <c r="N116" i="39" s="1"/>
  <c r="L117" i="39"/>
  <c r="M117" i="39" s="1"/>
  <c r="N117" i="39" s="1"/>
  <c r="L118" i="39"/>
  <c r="M118" i="39" s="1"/>
  <c r="N118" i="39" s="1"/>
  <c r="L119" i="39"/>
  <c r="M119" i="39" s="1"/>
  <c r="N119" i="39" s="1"/>
  <c r="L120" i="39"/>
  <c r="M120" i="39" s="1"/>
  <c r="N120" i="39" s="1"/>
  <c r="L121" i="39"/>
  <c r="M121" i="39" s="1"/>
  <c r="N121" i="39" s="1"/>
  <c r="L122" i="39"/>
  <c r="M122" i="39" s="1"/>
  <c r="N122" i="39" s="1"/>
  <c r="L123" i="39"/>
  <c r="M123" i="39" s="1"/>
  <c r="N123" i="39" s="1"/>
  <c r="L124" i="39"/>
  <c r="M124" i="39" s="1"/>
  <c r="N124" i="39" s="1"/>
  <c r="L125" i="39"/>
  <c r="M125" i="39" s="1"/>
  <c r="N125" i="39" s="1"/>
  <c r="L126" i="39"/>
  <c r="M126" i="39" s="1"/>
  <c r="N126" i="39" s="1"/>
  <c r="L127" i="39"/>
  <c r="M127" i="39" s="1"/>
  <c r="N127" i="39" s="1"/>
  <c r="L128" i="39"/>
  <c r="M128" i="39" s="1"/>
  <c r="N128" i="39" s="1"/>
  <c r="L129" i="39"/>
  <c r="M129" i="39" s="1"/>
  <c r="N129" i="39" s="1"/>
  <c r="L130" i="39"/>
  <c r="M130" i="39" s="1"/>
  <c r="N130" i="39" s="1"/>
  <c r="L131" i="39"/>
  <c r="M131" i="39" s="1"/>
  <c r="N131" i="39" s="1"/>
  <c r="L132" i="39"/>
  <c r="M132" i="39" s="1"/>
  <c r="N132" i="39" s="1"/>
  <c r="L133" i="39"/>
  <c r="M133" i="39" s="1"/>
  <c r="N133" i="39" s="1"/>
  <c r="L134" i="39"/>
  <c r="M134" i="39" s="1"/>
  <c r="N134" i="39" s="1"/>
  <c r="L135" i="39"/>
  <c r="M135" i="39" s="1"/>
  <c r="N135" i="39" s="1"/>
  <c r="L136" i="39"/>
  <c r="M136" i="39" s="1"/>
  <c r="N136" i="39" s="1"/>
  <c r="L137" i="39"/>
  <c r="M137" i="39"/>
  <c r="N137" i="39" s="1"/>
  <c r="L138" i="39"/>
  <c r="M138" i="39" s="1"/>
  <c r="N138" i="39" s="1"/>
  <c r="L139" i="39"/>
  <c r="M139" i="39" s="1"/>
  <c r="N139" i="39" s="1"/>
  <c r="L140" i="39"/>
  <c r="M140" i="39" s="1"/>
  <c r="N140" i="39" s="1"/>
  <c r="L141" i="39"/>
  <c r="M141" i="39"/>
  <c r="N141" i="39" s="1"/>
  <c r="L142" i="39"/>
  <c r="M142" i="39" s="1"/>
  <c r="N142" i="39" s="1"/>
  <c r="L143" i="39"/>
  <c r="M143" i="39" s="1"/>
  <c r="N143" i="39" s="1"/>
  <c r="L144" i="39"/>
  <c r="M144" i="39" s="1"/>
  <c r="N144" i="39" s="1"/>
  <c r="L145" i="39"/>
  <c r="M145" i="39" s="1"/>
  <c r="N145" i="39" s="1"/>
  <c r="L146" i="39"/>
  <c r="M146" i="39" s="1"/>
  <c r="N146" i="39"/>
  <c r="L147" i="39"/>
  <c r="M147" i="39" s="1"/>
  <c r="N147" i="39" s="1"/>
  <c r="L148" i="39"/>
  <c r="M148" i="39" s="1"/>
  <c r="N148" i="39" s="1"/>
  <c r="L149" i="39"/>
  <c r="M149" i="39" s="1"/>
  <c r="N149" i="39" s="1"/>
  <c r="L150" i="39"/>
  <c r="M150" i="39" s="1"/>
  <c r="N150" i="39" s="1"/>
  <c r="L151" i="39"/>
  <c r="M151" i="39" s="1"/>
  <c r="N151" i="39" s="1"/>
  <c r="L152" i="39"/>
  <c r="M152" i="39" s="1"/>
  <c r="N152" i="39" s="1"/>
  <c r="L153" i="39"/>
  <c r="M153" i="39" s="1"/>
  <c r="N153" i="39" s="1"/>
  <c r="L154" i="39"/>
  <c r="M154" i="39" s="1"/>
  <c r="N154" i="39" s="1"/>
  <c r="L155" i="39"/>
  <c r="M155" i="39" s="1"/>
  <c r="N155" i="39" s="1"/>
  <c r="L156" i="39"/>
  <c r="M156" i="39" s="1"/>
  <c r="N156" i="39" s="1"/>
  <c r="L157" i="39"/>
  <c r="M157" i="39" s="1"/>
  <c r="N157" i="39" s="1"/>
  <c r="L158" i="39"/>
  <c r="M158" i="39" s="1"/>
  <c r="N158" i="39" s="1"/>
  <c r="L159" i="39"/>
  <c r="M159" i="39" s="1"/>
  <c r="N159" i="39" s="1"/>
  <c r="L160" i="39"/>
  <c r="M160" i="39" s="1"/>
  <c r="N160" i="39" s="1"/>
  <c r="L161" i="39"/>
  <c r="M161" i="39" s="1"/>
  <c r="N161" i="39" s="1"/>
  <c r="L162" i="39"/>
  <c r="M162" i="39" s="1"/>
  <c r="N162" i="39" s="1"/>
  <c r="L163" i="39"/>
  <c r="M163" i="39" s="1"/>
  <c r="N163" i="39" s="1"/>
  <c r="L164" i="39"/>
  <c r="M164" i="39" s="1"/>
  <c r="N164" i="39" s="1"/>
  <c r="L165" i="39"/>
  <c r="M165" i="39" s="1"/>
  <c r="N165" i="39" s="1"/>
  <c r="L166" i="39"/>
  <c r="M166" i="39" s="1"/>
  <c r="N166" i="39" s="1"/>
  <c r="L167" i="39"/>
  <c r="M167" i="39" s="1"/>
  <c r="N167" i="39" s="1"/>
  <c r="L168" i="39"/>
  <c r="M168" i="39" s="1"/>
  <c r="N168" i="39" s="1"/>
  <c r="L169" i="39"/>
  <c r="M169" i="39" s="1"/>
  <c r="N169" i="39" s="1"/>
  <c r="L170" i="39"/>
  <c r="M170" i="39"/>
  <c r="N170" i="39" s="1"/>
  <c r="L171" i="39"/>
  <c r="M171" i="39" s="1"/>
  <c r="N171" i="39" s="1"/>
  <c r="L172" i="39"/>
  <c r="M172" i="39" s="1"/>
  <c r="N172" i="39" s="1"/>
  <c r="L173" i="39"/>
  <c r="M173" i="39" s="1"/>
  <c r="N173" i="39" s="1"/>
  <c r="L174" i="39"/>
  <c r="M174" i="39" s="1"/>
  <c r="N174" i="39" s="1"/>
  <c r="L175" i="39"/>
  <c r="M175" i="39" s="1"/>
  <c r="N175" i="39" s="1"/>
  <c r="L176" i="39"/>
  <c r="M176" i="39" s="1"/>
  <c r="N176" i="39" s="1"/>
  <c r="L177" i="39"/>
  <c r="M177" i="39"/>
  <c r="N177" i="39" s="1"/>
  <c r="L178" i="39"/>
  <c r="M178" i="39" s="1"/>
  <c r="N178" i="39" s="1"/>
  <c r="L179" i="39"/>
  <c r="M179" i="39" s="1"/>
  <c r="N179" i="39" s="1"/>
  <c r="L180" i="39"/>
  <c r="M180" i="39" s="1"/>
  <c r="N180" i="39" s="1"/>
  <c r="L181" i="39"/>
  <c r="M181" i="39" s="1"/>
  <c r="N181" i="39" s="1"/>
  <c r="L182" i="39"/>
  <c r="M182" i="39" s="1"/>
  <c r="N182" i="39" s="1"/>
  <c r="L183" i="39"/>
  <c r="M183" i="39" s="1"/>
  <c r="N183" i="39" s="1"/>
  <c r="L184" i="39"/>
  <c r="M184" i="39" s="1"/>
  <c r="N184" i="39" s="1"/>
  <c r="L185" i="39"/>
  <c r="M185" i="39" s="1"/>
  <c r="N185" i="39" s="1"/>
  <c r="L186" i="39"/>
  <c r="M186" i="39" s="1"/>
  <c r="N186" i="39" s="1"/>
  <c r="L187" i="39"/>
  <c r="M187" i="39" s="1"/>
  <c r="N187" i="39" s="1"/>
  <c r="L188" i="39"/>
  <c r="M188" i="39" s="1"/>
  <c r="N188" i="39" s="1"/>
  <c r="L189" i="39"/>
  <c r="M189" i="39" s="1"/>
  <c r="N189" i="39" s="1"/>
  <c r="L190" i="39"/>
  <c r="M190" i="39" s="1"/>
  <c r="N190" i="39" s="1"/>
  <c r="L191" i="39"/>
  <c r="M191" i="39" s="1"/>
  <c r="N191" i="39" s="1"/>
  <c r="L192" i="39"/>
  <c r="M192" i="39" s="1"/>
  <c r="N192" i="39" s="1"/>
  <c r="L193" i="39"/>
  <c r="M193" i="39" s="1"/>
  <c r="N193" i="39" s="1"/>
  <c r="L194" i="39"/>
  <c r="M194" i="39" s="1"/>
  <c r="N194" i="39" s="1"/>
  <c r="L195" i="39"/>
  <c r="M195" i="39" s="1"/>
  <c r="N195" i="39" s="1"/>
  <c r="L196" i="39"/>
  <c r="M196" i="39" s="1"/>
  <c r="N196" i="39" s="1"/>
  <c r="L197" i="39"/>
  <c r="M197" i="39"/>
  <c r="N197" i="39" s="1"/>
  <c r="L198" i="39"/>
  <c r="M198" i="39" s="1"/>
  <c r="N198" i="39" s="1"/>
  <c r="L199" i="39"/>
  <c r="M199" i="39" s="1"/>
  <c r="N199" i="39" s="1"/>
  <c r="L200" i="39"/>
  <c r="M200" i="39" s="1"/>
  <c r="N200" i="39" s="1"/>
  <c r="L201" i="39"/>
  <c r="M201" i="39"/>
  <c r="N201" i="39" s="1"/>
  <c r="L202" i="39"/>
  <c r="M202" i="39" s="1"/>
  <c r="N202" i="39" s="1"/>
  <c r="L203" i="39"/>
  <c r="M203" i="39" s="1"/>
  <c r="N203" i="39" s="1"/>
  <c r="L204" i="39"/>
  <c r="M204" i="39" s="1"/>
  <c r="N204" i="39" s="1"/>
  <c r="L205" i="39"/>
  <c r="M205" i="39" s="1"/>
  <c r="N205" i="39" s="1"/>
  <c r="L206" i="39"/>
  <c r="M206" i="39" s="1"/>
  <c r="N206" i="39" s="1"/>
  <c r="L207" i="39"/>
  <c r="M207" i="39" s="1"/>
  <c r="N207" i="39" s="1"/>
  <c r="L208" i="39"/>
  <c r="M208" i="39" s="1"/>
  <c r="N208" i="39" s="1"/>
  <c r="L209" i="39"/>
  <c r="M209" i="39" s="1"/>
  <c r="N209" i="39" s="1"/>
  <c r="L210" i="39"/>
  <c r="M210" i="39" s="1"/>
  <c r="N210" i="39"/>
  <c r="L211" i="39"/>
  <c r="M211" i="39" s="1"/>
  <c r="N211" i="39" s="1"/>
  <c r="L212" i="39"/>
  <c r="M212" i="39" s="1"/>
  <c r="N212" i="39" s="1"/>
  <c r="L213" i="39"/>
  <c r="M213" i="39" s="1"/>
  <c r="N213" i="39" s="1"/>
  <c r="L214" i="39"/>
  <c r="M214" i="39" s="1"/>
  <c r="N214" i="39" s="1"/>
  <c r="L215" i="39"/>
  <c r="M215" i="39" s="1"/>
  <c r="N215" i="39" s="1"/>
  <c r="L216" i="39"/>
  <c r="M216" i="39" s="1"/>
  <c r="N216" i="39" s="1"/>
  <c r="L217" i="39"/>
  <c r="M217" i="39" s="1"/>
  <c r="N217" i="39" s="1"/>
  <c r="L218" i="39"/>
  <c r="M218" i="39"/>
  <c r="N218" i="39" s="1"/>
  <c r="L219" i="39"/>
  <c r="M219" i="39" s="1"/>
  <c r="N219" i="39" s="1"/>
  <c r="L220" i="39"/>
  <c r="M220" i="39" s="1"/>
  <c r="N220" i="39" s="1"/>
  <c r="L221" i="39"/>
  <c r="M221" i="39" s="1"/>
  <c r="N221" i="39" s="1"/>
  <c r="L222" i="39"/>
  <c r="M222" i="39" s="1"/>
  <c r="N222" i="39" s="1"/>
  <c r="L223" i="39"/>
  <c r="M223" i="39" s="1"/>
  <c r="N223" i="39" s="1"/>
  <c r="L224" i="39"/>
  <c r="M224" i="39" s="1"/>
  <c r="N224" i="39" s="1"/>
  <c r="L225" i="39"/>
  <c r="M225" i="39" s="1"/>
  <c r="N225" i="39" s="1"/>
  <c r="L226" i="39"/>
  <c r="M226" i="39" s="1"/>
  <c r="N226" i="39" s="1"/>
  <c r="L227" i="39"/>
  <c r="M227" i="39" s="1"/>
  <c r="N227" i="39" s="1"/>
  <c r="L228" i="39"/>
  <c r="M228" i="39" s="1"/>
  <c r="N228" i="39" s="1"/>
  <c r="L229" i="39"/>
  <c r="M229" i="39" s="1"/>
  <c r="N229" i="39" s="1"/>
  <c r="L230" i="39"/>
  <c r="M230" i="39" s="1"/>
  <c r="N230" i="39" s="1"/>
  <c r="L231" i="39"/>
  <c r="M231" i="39" s="1"/>
  <c r="N231" i="39" s="1"/>
  <c r="L232" i="39"/>
  <c r="M232" i="39" s="1"/>
  <c r="N232" i="39" s="1"/>
  <c r="L233" i="39"/>
  <c r="M233" i="39"/>
  <c r="N233" i="39" s="1"/>
  <c r="L234" i="39"/>
  <c r="M234" i="39" s="1"/>
  <c r="N234" i="39" s="1"/>
  <c r="L235" i="39"/>
  <c r="M235" i="39" s="1"/>
  <c r="N235" i="39" s="1"/>
  <c r="L236" i="39"/>
  <c r="M236" i="39" s="1"/>
  <c r="N236" i="39"/>
  <c r="L237" i="39"/>
  <c r="M237" i="39"/>
  <c r="N237" i="39" s="1"/>
  <c r="L238" i="39"/>
  <c r="M238" i="39" s="1"/>
  <c r="N238" i="39" s="1"/>
  <c r="L239" i="39"/>
  <c r="M239" i="39" s="1"/>
  <c r="N239" i="39" s="1"/>
  <c r="L240" i="39"/>
  <c r="M240" i="39" s="1"/>
  <c r="N240" i="39" s="1"/>
  <c r="L241" i="39"/>
  <c r="M241" i="39" s="1"/>
  <c r="N241" i="39" s="1"/>
  <c r="L242" i="39"/>
  <c r="M242" i="39" s="1"/>
  <c r="N242" i="39"/>
  <c r="L243" i="39"/>
  <c r="M243" i="39" s="1"/>
  <c r="N243" i="39" s="1"/>
  <c r="L244" i="39"/>
  <c r="M244" i="39" s="1"/>
  <c r="N244" i="39" s="1"/>
  <c r="L245" i="39"/>
  <c r="M245" i="39"/>
  <c r="N245" i="39" s="1"/>
  <c r="L246" i="39"/>
  <c r="M246" i="39" s="1"/>
  <c r="N246" i="39" s="1"/>
  <c r="L247" i="39"/>
  <c r="M247" i="39" s="1"/>
  <c r="N247" i="39" s="1"/>
  <c r="L248" i="39"/>
  <c r="M248" i="39" s="1"/>
  <c r="N248" i="39" s="1"/>
  <c r="L249" i="39"/>
  <c r="M249" i="39" s="1"/>
  <c r="N249" i="39" s="1"/>
  <c r="L250" i="39"/>
  <c r="M250" i="39" s="1"/>
  <c r="N250" i="39" s="1"/>
  <c r="L251" i="39"/>
  <c r="M251" i="39" s="1"/>
  <c r="N251" i="39" s="1"/>
  <c r="L252" i="39"/>
  <c r="M252" i="39" s="1"/>
  <c r="N252" i="39" s="1"/>
  <c r="L253" i="39"/>
  <c r="M253" i="39" s="1"/>
  <c r="N253" i="39" s="1"/>
  <c r="L254" i="39"/>
  <c r="M254" i="39" s="1"/>
  <c r="N254" i="39" s="1"/>
  <c r="L255" i="39"/>
  <c r="M255" i="39" s="1"/>
  <c r="N255" i="39"/>
  <c r="L256" i="39"/>
  <c r="M256" i="39" s="1"/>
  <c r="N256" i="39" s="1"/>
  <c r="L257" i="39"/>
  <c r="M257" i="39" s="1"/>
  <c r="N257" i="39" s="1"/>
  <c r="L258" i="39"/>
  <c r="M258" i="39" s="1"/>
  <c r="N258" i="39" s="1"/>
  <c r="L259" i="39"/>
  <c r="M259" i="39" s="1"/>
  <c r="N259" i="39" s="1"/>
  <c r="L260" i="39"/>
  <c r="M260" i="39" s="1"/>
  <c r="N260" i="39" s="1"/>
  <c r="L261" i="39"/>
  <c r="M261" i="39" s="1"/>
  <c r="N261" i="39" s="1"/>
  <c r="L262" i="39"/>
  <c r="M262" i="39" s="1"/>
  <c r="N262" i="39" s="1"/>
  <c r="L263" i="39"/>
  <c r="M263" i="39" s="1"/>
  <c r="N263" i="39" s="1"/>
  <c r="L264" i="39"/>
  <c r="M264" i="39" s="1"/>
  <c r="N264" i="39" s="1"/>
  <c r="L265" i="39"/>
  <c r="M265" i="39" s="1"/>
  <c r="N265" i="39" s="1"/>
  <c r="L266" i="39"/>
  <c r="M266" i="39" s="1"/>
  <c r="N266" i="39" s="1"/>
  <c r="L267" i="39"/>
  <c r="M267" i="39" s="1"/>
  <c r="N267" i="39" s="1"/>
  <c r="L268" i="39"/>
  <c r="M268" i="39" s="1"/>
  <c r="N268" i="39"/>
  <c r="L269" i="39"/>
  <c r="M269" i="39"/>
  <c r="N269" i="39" s="1"/>
  <c r="L270" i="39"/>
  <c r="M270" i="39" s="1"/>
  <c r="N270" i="39" s="1"/>
  <c r="L271" i="39"/>
  <c r="M271" i="39" s="1"/>
  <c r="N271" i="39" s="1"/>
  <c r="L272" i="39"/>
  <c r="M272" i="39" s="1"/>
  <c r="N272" i="39" s="1"/>
  <c r="L273" i="39"/>
  <c r="M273" i="39" s="1"/>
  <c r="N273" i="39" s="1"/>
  <c r="L274" i="39"/>
  <c r="M274" i="39" s="1"/>
  <c r="N274" i="39"/>
  <c r="L275" i="39"/>
  <c r="M275" i="39" s="1"/>
  <c r="N275" i="39" s="1"/>
  <c r="L276" i="39"/>
  <c r="M276" i="39" s="1"/>
  <c r="N276" i="39" s="1"/>
  <c r="L277" i="39"/>
  <c r="M277" i="39" s="1"/>
  <c r="N277" i="39" s="1"/>
  <c r="L278" i="39"/>
  <c r="M278" i="39" s="1"/>
  <c r="N278" i="39" s="1"/>
  <c r="L279" i="39"/>
  <c r="M279" i="39" s="1"/>
  <c r="N279" i="39" s="1"/>
  <c r="L280" i="39"/>
  <c r="M280" i="39" s="1"/>
  <c r="N280" i="39" s="1"/>
  <c r="L281" i="39"/>
  <c r="M281" i="39" s="1"/>
  <c r="N281" i="39" s="1"/>
  <c r="L282" i="39"/>
  <c r="M282" i="39" s="1"/>
  <c r="N282" i="39" s="1"/>
  <c r="L283" i="39"/>
  <c r="M283" i="39" s="1"/>
  <c r="N283" i="39" s="1"/>
  <c r="L284" i="39"/>
  <c r="M284" i="39" s="1"/>
  <c r="N284" i="39" s="1"/>
  <c r="L285" i="39"/>
  <c r="M285" i="39" s="1"/>
  <c r="N285" i="39" s="1"/>
  <c r="L286" i="39"/>
  <c r="M286" i="39" s="1"/>
  <c r="N286" i="39" s="1"/>
  <c r="L287" i="39"/>
  <c r="M287" i="39" s="1"/>
  <c r="N287" i="39" s="1"/>
  <c r="L288" i="39"/>
  <c r="M288" i="39" s="1"/>
  <c r="N288" i="39" s="1"/>
  <c r="L289" i="39"/>
  <c r="M289" i="39" s="1"/>
  <c r="N289" i="39" s="1"/>
  <c r="L290" i="39"/>
  <c r="M290" i="39" s="1"/>
  <c r="N290" i="39" s="1"/>
  <c r="L291" i="39"/>
  <c r="M291" i="39" s="1"/>
  <c r="N291" i="39" s="1"/>
  <c r="L292" i="39"/>
  <c r="M292" i="39" s="1"/>
  <c r="N292" i="39" s="1"/>
  <c r="L293" i="39"/>
  <c r="M293" i="39" s="1"/>
  <c r="N293" i="39" s="1"/>
  <c r="L294" i="39"/>
  <c r="M294" i="39" s="1"/>
  <c r="N294" i="39" s="1"/>
  <c r="L295" i="39"/>
  <c r="M295" i="39" s="1"/>
  <c r="N295" i="39" s="1"/>
  <c r="L296" i="39"/>
  <c r="M296" i="39" s="1"/>
  <c r="N296" i="39" s="1"/>
  <c r="L297" i="39"/>
  <c r="M297" i="39" s="1"/>
  <c r="N297" i="39" s="1"/>
  <c r="L298" i="39"/>
  <c r="M298" i="39" s="1"/>
  <c r="N298" i="39" s="1"/>
  <c r="L299" i="39"/>
  <c r="M299" i="39" s="1"/>
  <c r="N299" i="39" s="1"/>
  <c r="L300" i="39"/>
  <c r="M300" i="39" s="1"/>
  <c r="N300" i="39" s="1"/>
  <c r="L301" i="39"/>
  <c r="M301" i="39" s="1"/>
  <c r="N301" i="39" s="1"/>
  <c r="L302" i="39"/>
  <c r="M302" i="39" s="1"/>
  <c r="N302" i="39" s="1"/>
  <c r="L303" i="39"/>
  <c r="M303" i="39" s="1"/>
  <c r="N303" i="39" s="1"/>
  <c r="L304" i="39"/>
  <c r="M304" i="39" s="1"/>
  <c r="N304" i="39" s="1"/>
  <c r="L305" i="39"/>
  <c r="M305" i="39" s="1"/>
  <c r="N305" i="39" s="1"/>
  <c r="L306" i="39"/>
  <c r="M306" i="39" s="1"/>
  <c r="N306" i="39" s="1"/>
  <c r="L307" i="39"/>
  <c r="M307" i="39" s="1"/>
  <c r="N307" i="39" s="1"/>
  <c r="L308" i="39"/>
  <c r="M308" i="39" s="1"/>
  <c r="N308" i="39" s="1"/>
  <c r="L309" i="39"/>
  <c r="M309" i="39" s="1"/>
  <c r="N309" i="39" s="1"/>
  <c r="L310" i="39"/>
  <c r="M310" i="39" s="1"/>
  <c r="N310" i="39" s="1"/>
  <c r="L311" i="39"/>
  <c r="M311" i="39" s="1"/>
  <c r="N311" i="39" s="1"/>
  <c r="L312" i="39"/>
  <c r="M312" i="39" s="1"/>
  <c r="N312" i="39" s="1"/>
  <c r="L313" i="39"/>
  <c r="M313" i="39" s="1"/>
  <c r="N313" i="39" s="1"/>
  <c r="L314" i="39"/>
  <c r="M314" i="39"/>
  <c r="N314" i="39" s="1"/>
  <c r="L315" i="39"/>
  <c r="M315" i="39" s="1"/>
  <c r="N315" i="39" s="1"/>
  <c r="L316" i="39"/>
  <c r="M316" i="39" s="1"/>
  <c r="N316" i="39" s="1"/>
  <c r="L317" i="39"/>
  <c r="M317" i="39" s="1"/>
  <c r="N317" i="39" s="1"/>
  <c r="L318" i="39"/>
  <c r="M318" i="39" s="1"/>
  <c r="N318" i="39" s="1"/>
  <c r="L319" i="39"/>
  <c r="M319" i="39" s="1"/>
  <c r="N319" i="39" s="1"/>
  <c r="L320" i="39"/>
  <c r="M320" i="39" s="1"/>
  <c r="N320" i="39" s="1"/>
  <c r="L321" i="39"/>
  <c r="M321" i="39" s="1"/>
  <c r="N321" i="39" s="1"/>
  <c r="L322" i="39"/>
  <c r="M322" i="39" s="1"/>
  <c r="N322" i="39" s="1"/>
  <c r="L323" i="39"/>
  <c r="M323" i="39" s="1"/>
  <c r="N323" i="39" s="1"/>
  <c r="L324" i="39"/>
  <c r="M324" i="39" s="1"/>
  <c r="N324" i="39" s="1"/>
  <c r="L325" i="39"/>
  <c r="M325" i="39" s="1"/>
  <c r="N325" i="39" s="1"/>
  <c r="L326" i="39"/>
  <c r="M326" i="39" s="1"/>
  <c r="N326" i="39" s="1"/>
  <c r="L327" i="39"/>
  <c r="M327" i="39" s="1"/>
  <c r="N327" i="39" s="1"/>
  <c r="L328" i="39"/>
  <c r="M328" i="39" s="1"/>
  <c r="N328" i="39" s="1"/>
  <c r="L329" i="39"/>
  <c r="M329" i="39" s="1"/>
  <c r="N329" i="39" s="1"/>
  <c r="L330" i="39"/>
  <c r="M330" i="39" s="1"/>
  <c r="N330" i="39" s="1"/>
  <c r="L331" i="39"/>
  <c r="M331" i="39" s="1"/>
  <c r="N331" i="39" s="1"/>
  <c r="L332" i="39"/>
  <c r="M332" i="39" s="1"/>
  <c r="N332" i="39" s="1"/>
  <c r="L333" i="39"/>
  <c r="M333" i="39" s="1"/>
  <c r="N333" i="39" s="1"/>
  <c r="L334" i="39"/>
  <c r="M334" i="39" s="1"/>
  <c r="N334" i="39" s="1"/>
  <c r="L335" i="39"/>
  <c r="M335" i="39" s="1"/>
  <c r="N335" i="39" s="1"/>
  <c r="L336" i="39"/>
  <c r="M336" i="39" s="1"/>
  <c r="N336" i="39" s="1"/>
  <c r="L337" i="39"/>
  <c r="M337" i="39" s="1"/>
  <c r="N337" i="39" s="1"/>
  <c r="L338" i="39"/>
  <c r="M338" i="39"/>
  <c r="N338" i="39" s="1"/>
  <c r="L339" i="39"/>
  <c r="M339" i="39" s="1"/>
  <c r="N339" i="39" s="1"/>
  <c r="L340" i="39"/>
  <c r="M340" i="39" s="1"/>
  <c r="N340" i="39" s="1"/>
  <c r="L341" i="39"/>
  <c r="M341" i="39" s="1"/>
  <c r="N341" i="39" s="1"/>
  <c r="L342" i="39"/>
  <c r="M342" i="39" s="1"/>
  <c r="N342" i="39" s="1"/>
  <c r="L343" i="39"/>
  <c r="M343" i="39" s="1"/>
  <c r="N343" i="39" s="1"/>
  <c r="L344" i="39"/>
  <c r="M344" i="39" s="1"/>
  <c r="N344" i="39" s="1"/>
  <c r="L345" i="39"/>
  <c r="M345" i="39" s="1"/>
  <c r="N345" i="39" s="1"/>
  <c r="L346" i="39"/>
  <c r="M346" i="39"/>
  <c r="N346" i="39" s="1"/>
  <c r="L347" i="39"/>
  <c r="M347" i="39" s="1"/>
  <c r="N347" i="39" s="1"/>
  <c r="L348" i="39"/>
  <c r="M348" i="39" s="1"/>
  <c r="N348" i="39" s="1"/>
  <c r="L349" i="39"/>
  <c r="M349" i="39" s="1"/>
  <c r="N349" i="39" s="1"/>
  <c r="L350" i="39"/>
  <c r="M350" i="39" s="1"/>
  <c r="N350" i="39" s="1"/>
  <c r="L351" i="39"/>
  <c r="M351" i="39" s="1"/>
  <c r="N351" i="39" s="1"/>
  <c r="L352" i="39"/>
  <c r="M352" i="39" s="1"/>
  <c r="N352" i="39" s="1"/>
  <c r="L353" i="39"/>
  <c r="M353" i="39" s="1"/>
  <c r="N353" i="39" s="1"/>
  <c r="L354" i="39"/>
  <c r="M354" i="39" s="1"/>
  <c r="N354" i="39" s="1"/>
  <c r="L355" i="39"/>
  <c r="M355" i="39" s="1"/>
  <c r="N355" i="39" s="1"/>
  <c r="L356" i="39"/>
  <c r="M356" i="39" s="1"/>
  <c r="N356" i="39" s="1"/>
  <c r="L357" i="39"/>
  <c r="M357" i="39" s="1"/>
  <c r="N357" i="39" s="1"/>
  <c r="L358" i="39"/>
  <c r="M358" i="39" s="1"/>
  <c r="N358" i="39" s="1"/>
  <c r="L359" i="39"/>
  <c r="M359" i="39" s="1"/>
  <c r="N359" i="39" s="1"/>
  <c r="L360" i="39"/>
  <c r="M360" i="39" s="1"/>
  <c r="N360" i="39" s="1"/>
  <c r="L361" i="39"/>
  <c r="M361" i="39" s="1"/>
  <c r="N361" i="39" s="1"/>
  <c r="L362" i="39"/>
  <c r="M362" i="39"/>
  <c r="N362" i="39" s="1"/>
  <c r="L363" i="39"/>
  <c r="M363" i="39" s="1"/>
  <c r="N363" i="39" s="1"/>
  <c r="L364" i="39"/>
  <c r="M364" i="39" s="1"/>
  <c r="N364" i="39" s="1"/>
  <c r="L365" i="39"/>
  <c r="M365" i="39" s="1"/>
  <c r="N365" i="39" s="1"/>
  <c r="L366" i="39"/>
  <c r="M366" i="39" s="1"/>
  <c r="N366" i="39" s="1"/>
  <c r="L367" i="39"/>
  <c r="M367" i="39" s="1"/>
  <c r="N367" i="39" s="1"/>
  <c r="L368" i="39"/>
  <c r="M368" i="39" s="1"/>
  <c r="N368" i="39" s="1"/>
  <c r="L369" i="39"/>
  <c r="M369" i="39" s="1"/>
  <c r="N369" i="39" s="1"/>
  <c r="L370" i="39"/>
  <c r="M370" i="39"/>
  <c r="N370" i="39" s="1"/>
  <c r="L371" i="39"/>
  <c r="M371" i="39" s="1"/>
  <c r="N371" i="39" s="1"/>
  <c r="L372" i="39"/>
  <c r="M372" i="39" s="1"/>
  <c r="N372" i="39" s="1"/>
  <c r="L373" i="39"/>
  <c r="M373" i="39" s="1"/>
  <c r="N373" i="39" s="1"/>
  <c r="L374" i="39"/>
  <c r="M374" i="39" s="1"/>
  <c r="N374" i="39" s="1"/>
  <c r="L375" i="39"/>
  <c r="M375" i="39" s="1"/>
  <c r="N375" i="39" s="1"/>
  <c r="L376" i="39"/>
  <c r="M376" i="39" s="1"/>
  <c r="N376" i="39" s="1"/>
  <c r="L377" i="39"/>
  <c r="M377" i="39" s="1"/>
  <c r="N377" i="39" s="1"/>
  <c r="L378" i="39"/>
  <c r="M378" i="39" s="1"/>
  <c r="N378" i="39" s="1"/>
  <c r="L379" i="39"/>
  <c r="M379" i="39" s="1"/>
  <c r="N379" i="39" s="1"/>
  <c r="L380" i="39"/>
  <c r="M380" i="39" s="1"/>
  <c r="N380" i="39" s="1"/>
  <c r="L381" i="39"/>
  <c r="M381" i="39" s="1"/>
  <c r="N381" i="39" s="1"/>
  <c r="L382" i="39"/>
  <c r="M382" i="39" s="1"/>
  <c r="N382" i="39" s="1"/>
  <c r="L383" i="39"/>
  <c r="M383" i="39" s="1"/>
  <c r="N383" i="39" s="1"/>
  <c r="L384" i="39"/>
  <c r="M384" i="39" s="1"/>
  <c r="N384" i="39" s="1"/>
  <c r="L385" i="39"/>
  <c r="M385" i="39" s="1"/>
  <c r="N385" i="39" s="1"/>
  <c r="L386" i="39"/>
  <c r="M386" i="39" s="1"/>
  <c r="N386" i="39" s="1"/>
  <c r="L387" i="39"/>
  <c r="M387" i="39" s="1"/>
  <c r="N387" i="39" s="1"/>
  <c r="L388" i="39"/>
  <c r="M388" i="39" s="1"/>
  <c r="N388" i="39" s="1"/>
  <c r="L389" i="39"/>
  <c r="M389" i="39" s="1"/>
  <c r="N389" i="39" s="1"/>
  <c r="L390" i="39"/>
  <c r="M390" i="39" s="1"/>
  <c r="N390" i="39" s="1"/>
  <c r="L391" i="39"/>
  <c r="M391" i="39" s="1"/>
  <c r="N391" i="39" s="1"/>
  <c r="L392" i="39"/>
  <c r="M392" i="39" s="1"/>
  <c r="N392" i="39" s="1"/>
  <c r="L393" i="39"/>
  <c r="M393" i="39" s="1"/>
  <c r="N393" i="39" s="1"/>
  <c r="L394" i="39"/>
  <c r="M394" i="39"/>
  <c r="N394" i="39" s="1"/>
  <c r="L395" i="39"/>
  <c r="M395" i="39" s="1"/>
  <c r="N395" i="39" s="1"/>
  <c r="L396" i="39"/>
  <c r="M396" i="39" s="1"/>
  <c r="N396" i="39" s="1"/>
  <c r="L397" i="39"/>
  <c r="M397" i="39" s="1"/>
  <c r="N397" i="39" s="1"/>
  <c r="L398" i="39"/>
  <c r="M398" i="39" s="1"/>
  <c r="N398" i="39" s="1"/>
  <c r="L399" i="39"/>
  <c r="M399" i="39" s="1"/>
  <c r="N399" i="39" s="1"/>
  <c r="L400" i="39"/>
  <c r="M400" i="39" s="1"/>
  <c r="N400" i="39" s="1"/>
  <c r="L401" i="39"/>
  <c r="M401" i="39" s="1"/>
  <c r="N401" i="39" s="1"/>
  <c r="L402" i="39"/>
  <c r="M402" i="39"/>
  <c r="N402" i="39" s="1"/>
  <c r="L403" i="39"/>
  <c r="M403" i="39" s="1"/>
  <c r="N403" i="39" s="1"/>
  <c r="L404" i="39"/>
  <c r="M404" i="39" s="1"/>
  <c r="N404" i="39" s="1"/>
  <c r="L405" i="39"/>
  <c r="M405" i="39" s="1"/>
  <c r="N405" i="39" s="1"/>
  <c r="L406" i="39"/>
  <c r="M406" i="39"/>
  <c r="N406" i="39" s="1"/>
  <c r="L407" i="39"/>
  <c r="M407" i="39" s="1"/>
  <c r="N407" i="39" s="1"/>
  <c r="L408" i="39"/>
  <c r="M408" i="39" s="1"/>
  <c r="N408" i="39" s="1"/>
  <c r="L409" i="39"/>
  <c r="M409" i="39" s="1"/>
  <c r="N409" i="39" s="1"/>
  <c r="L410" i="39"/>
  <c r="M410" i="39" s="1"/>
  <c r="N410" i="39" s="1"/>
  <c r="L411" i="39"/>
  <c r="M411" i="39" s="1"/>
  <c r="N411" i="39" s="1"/>
  <c r="L412" i="39"/>
  <c r="M412" i="39" s="1"/>
  <c r="N412" i="39" s="1"/>
  <c r="L413" i="39"/>
  <c r="M413" i="39" s="1"/>
  <c r="N413" i="39" s="1"/>
  <c r="L414" i="39"/>
  <c r="M414" i="39" s="1"/>
  <c r="N414" i="39" s="1"/>
  <c r="L415" i="39"/>
  <c r="M415" i="39" s="1"/>
  <c r="N415" i="39" s="1"/>
  <c r="L416" i="39"/>
  <c r="M416" i="39" s="1"/>
  <c r="N416" i="39" s="1"/>
  <c r="K71" i="39"/>
  <c r="G71" i="39"/>
  <c r="K70" i="39"/>
  <c r="K69" i="39"/>
  <c r="K68" i="39"/>
  <c r="K67" i="39"/>
  <c r="K66" i="39"/>
  <c r="K65" i="39"/>
  <c r="K64" i="39"/>
  <c r="K63" i="39"/>
  <c r="K62" i="39"/>
  <c r="K61" i="39"/>
  <c r="K60" i="39"/>
  <c r="K59" i="39"/>
  <c r="K58" i="39"/>
  <c r="K55" i="39"/>
  <c r="K56" i="39"/>
  <c r="K54" i="39"/>
  <c r="K53" i="39"/>
  <c r="K52" i="39"/>
  <c r="K51" i="39"/>
  <c r="K50" i="39"/>
  <c r="K49" i="39"/>
  <c r="K48" i="39"/>
  <c r="K47" i="39"/>
  <c r="K46" i="39"/>
  <c r="K45" i="39"/>
  <c r="K44" i="39"/>
  <c r="K43" i="38"/>
  <c r="K43" i="39"/>
  <c r="C417" i="39"/>
  <c r="Q416" i="39"/>
  <c r="P416" i="39"/>
  <c r="Q415" i="39"/>
  <c r="P415" i="39"/>
  <c r="K415" i="39"/>
  <c r="G415" i="39"/>
  <c r="E415" i="39"/>
  <c r="Q414" i="39"/>
  <c r="P414" i="39"/>
  <c r="Q413" i="39"/>
  <c r="P413" i="39"/>
  <c r="K413" i="39"/>
  <c r="G413" i="39"/>
  <c r="E413" i="39"/>
  <c r="Q412" i="39"/>
  <c r="P412" i="39"/>
  <c r="Q411" i="39"/>
  <c r="P411" i="39"/>
  <c r="Q410" i="39"/>
  <c r="P410" i="39"/>
  <c r="K410" i="39"/>
  <c r="G410" i="39"/>
  <c r="E410" i="39"/>
  <c r="Q409" i="39"/>
  <c r="P409" i="39"/>
  <c r="K409" i="39"/>
  <c r="G409" i="39"/>
  <c r="E409" i="39"/>
  <c r="Q408" i="39"/>
  <c r="P408" i="39"/>
  <c r="Q407" i="39"/>
  <c r="P407" i="39"/>
  <c r="K408" i="39"/>
  <c r="G408" i="39"/>
  <c r="E408" i="39"/>
  <c r="Q406" i="39"/>
  <c r="P406" i="39"/>
  <c r="K406" i="39"/>
  <c r="G406" i="39"/>
  <c r="E406" i="39"/>
  <c r="Q405" i="39"/>
  <c r="P405" i="39"/>
  <c r="K405" i="39"/>
  <c r="G405" i="39"/>
  <c r="E405" i="39"/>
  <c r="Q404" i="39"/>
  <c r="P404" i="39"/>
  <c r="K404" i="39"/>
  <c r="G404" i="39"/>
  <c r="E404" i="39"/>
  <c r="Q403" i="39"/>
  <c r="P403" i="39"/>
  <c r="K403" i="39"/>
  <c r="G403" i="39"/>
  <c r="E403" i="39"/>
  <c r="Q402" i="39"/>
  <c r="P402" i="39"/>
  <c r="K402" i="39"/>
  <c r="G402" i="39"/>
  <c r="E402" i="39"/>
  <c r="Q401" i="39"/>
  <c r="P401" i="39"/>
  <c r="K401" i="39"/>
  <c r="G401" i="39"/>
  <c r="E401" i="39"/>
  <c r="Q400" i="39"/>
  <c r="P400" i="39"/>
  <c r="K400" i="39"/>
  <c r="G400" i="39"/>
  <c r="E400" i="39"/>
  <c r="Q399" i="39"/>
  <c r="P399" i="39"/>
  <c r="K399" i="39"/>
  <c r="G399" i="39"/>
  <c r="E399" i="39"/>
  <c r="Q398" i="39"/>
  <c r="P398" i="39"/>
  <c r="K398" i="39"/>
  <c r="G398" i="39"/>
  <c r="E398" i="39"/>
  <c r="Q397" i="39"/>
  <c r="P397" i="39"/>
  <c r="K397" i="39"/>
  <c r="G397" i="39"/>
  <c r="E397" i="39"/>
  <c r="Q396" i="39"/>
  <c r="P396" i="39"/>
  <c r="K396" i="39"/>
  <c r="G396" i="39"/>
  <c r="E396" i="39"/>
  <c r="Q395" i="39"/>
  <c r="P395" i="39"/>
  <c r="K395" i="39"/>
  <c r="G395" i="39"/>
  <c r="E395" i="39"/>
  <c r="Q394" i="39"/>
  <c r="P394" i="39"/>
  <c r="K394" i="39"/>
  <c r="G394" i="39"/>
  <c r="E394" i="39"/>
  <c r="Q393" i="39"/>
  <c r="P393" i="39"/>
  <c r="K393" i="39"/>
  <c r="G393" i="39"/>
  <c r="E393" i="39"/>
  <c r="Q392" i="39"/>
  <c r="P392" i="39"/>
  <c r="K392" i="39"/>
  <c r="G392" i="39"/>
  <c r="E392" i="39"/>
  <c r="Q391" i="39"/>
  <c r="P391" i="39"/>
  <c r="K391" i="39"/>
  <c r="G391" i="39"/>
  <c r="E391" i="39"/>
  <c r="Q390" i="39"/>
  <c r="P390" i="39"/>
  <c r="K390" i="39"/>
  <c r="G390" i="39"/>
  <c r="E390" i="39"/>
  <c r="Q389" i="39"/>
  <c r="P389" i="39"/>
  <c r="Q388" i="39"/>
  <c r="P388" i="39"/>
  <c r="K388" i="39"/>
  <c r="G388" i="39"/>
  <c r="E388" i="39"/>
  <c r="Q387" i="39"/>
  <c r="P387" i="39"/>
  <c r="K387" i="39"/>
  <c r="G387" i="39"/>
  <c r="E387" i="39"/>
  <c r="Q386" i="39"/>
  <c r="P386" i="39"/>
  <c r="K386" i="39"/>
  <c r="G386" i="39"/>
  <c r="E386" i="39"/>
  <c r="Q385" i="39"/>
  <c r="P385" i="39"/>
  <c r="K385" i="39"/>
  <c r="G385" i="39"/>
  <c r="E385" i="39"/>
  <c r="Q384" i="39"/>
  <c r="P384" i="39"/>
  <c r="K384" i="39"/>
  <c r="G384" i="39"/>
  <c r="E384" i="39"/>
  <c r="Q383" i="39"/>
  <c r="P383" i="39"/>
  <c r="K383" i="39"/>
  <c r="G383" i="39"/>
  <c r="E383" i="39"/>
  <c r="Q382" i="39"/>
  <c r="P382" i="39"/>
  <c r="Q381" i="39"/>
  <c r="P381" i="39"/>
  <c r="K381" i="39"/>
  <c r="G381" i="39"/>
  <c r="E381" i="39"/>
  <c r="Q380" i="39"/>
  <c r="P380" i="39"/>
  <c r="K380" i="39"/>
  <c r="G380" i="39"/>
  <c r="E380" i="39"/>
  <c r="Q379" i="39"/>
  <c r="P379" i="39"/>
  <c r="K373" i="39"/>
  <c r="G373" i="39"/>
  <c r="E373" i="39"/>
  <c r="Q378" i="39"/>
  <c r="P378" i="39"/>
  <c r="K372" i="39"/>
  <c r="G372" i="39"/>
  <c r="E372" i="39"/>
  <c r="Q377" i="39"/>
  <c r="P377" i="39"/>
  <c r="K371" i="39"/>
  <c r="G371" i="39"/>
  <c r="E371" i="39"/>
  <c r="Q376" i="39"/>
  <c r="P376" i="39"/>
  <c r="K370" i="39"/>
  <c r="G370" i="39"/>
  <c r="E370" i="39"/>
  <c r="Q375" i="39"/>
  <c r="P375" i="39"/>
  <c r="K369" i="39"/>
  <c r="G369" i="39"/>
  <c r="E369" i="39"/>
  <c r="Q374" i="39"/>
  <c r="P374" i="39"/>
  <c r="K368" i="39"/>
  <c r="G368" i="39"/>
  <c r="E368" i="39"/>
  <c r="Q373" i="39"/>
  <c r="P373" i="39"/>
  <c r="K367" i="39"/>
  <c r="G367" i="39"/>
  <c r="E367" i="39"/>
  <c r="Q372" i="39"/>
  <c r="P372" i="39"/>
  <c r="K366" i="39"/>
  <c r="G366" i="39"/>
  <c r="E366" i="39"/>
  <c r="Q371" i="39"/>
  <c r="P371" i="39"/>
  <c r="K365" i="39"/>
  <c r="G365" i="39"/>
  <c r="E365" i="39"/>
  <c r="Q370" i="39"/>
  <c r="P370" i="39"/>
  <c r="K364" i="39"/>
  <c r="G364" i="39"/>
  <c r="E364" i="39"/>
  <c r="Q369" i="39"/>
  <c r="P369" i="39"/>
  <c r="K363" i="39"/>
  <c r="G363" i="39"/>
  <c r="E363" i="39"/>
  <c r="Q368" i="39"/>
  <c r="P368" i="39"/>
  <c r="K362" i="39"/>
  <c r="G362" i="39"/>
  <c r="E362" i="39"/>
  <c r="Q367" i="39"/>
  <c r="P367" i="39"/>
  <c r="K361" i="39"/>
  <c r="G361" i="39"/>
  <c r="E361" i="39"/>
  <c r="Q366" i="39"/>
  <c r="P366" i="39"/>
  <c r="K379" i="39"/>
  <c r="G379" i="39"/>
  <c r="E379" i="39"/>
  <c r="Q365" i="39"/>
  <c r="P365" i="39"/>
  <c r="K378" i="39"/>
  <c r="G378" i="39"/>
  <c r="E378" i="39"/>
  <c r="Q364" i="39"/>
  <c r="P364" i="39"/>
  <c r="K377" i="39"/>
  <c r="G377" i="39"/>
  <c r="E377" i="39"/>
  <c r="Q363" i="39"/>
  <c r="P363" i="39"/>
  <c r="K376" i="39"/>
  <c r="G376" i="39"/>
  <c r="E376" i="39"/>
  <c r="Q362" i="39"/>
  <c r="P362" i="39"/>
  <c r="K375" i="39"/>
  <c r="G375" i="39"/>
  <c r="E375" i="39"/>
  <c r="Q361" i="39"/>
  <c r="P361" i="39"/>
  <c r="K374" i="39"/>
  <c r="G374" i="39"/>
  <c r="E374" i="39"/>
  <c r="Q360" i="39"/>
  <c r="P360" i="39"/>
  <c r="K360" i="39"/>
  <c r="G360" i="39"/>
  <c r="E360" i="39"/>
  <c r="Q359" i="39"/>
  <c r="P359" i="39"/>
  <c r="K359" i="39"/>
  <c r="G359" i="39"/>
  <c r="E359" i="39"/>
  <c r="Q358" i="39"/>
  <c r="P358" i="39"/>
  <c r="K358" i="39"/>
  <c r="G358" i="39"/>
  <c r="E358" i="39"/>
  <c r="Q357" i="39"/>
  <c r="P357" i="39"/>
  <c r="K357" i="39"/>
  <c r="G357" i="39"/>
  <c r="E357" i="39"/>
  <c r="Q356" i="39"/>
  <c r="P356" i="39"/>
  <c r="K356" i="39"/>
  <c r="G356" i="39"/>
  <c r="E356" i="39"/>
  <c r="Q355" i="39"/>
  <c r="P355" i="39"/>
  <c r="K355" i="39"/>
  <c r="G355" i="39"/>
  <c r="E355" i="39"/>
  <c r="Q354" i="39"/>
  <c r="P354" i="39"/>
  <c r="K354" i="39"/>
  <c r="G354" i="39"/>
  <c r="E354" i="39"/>
  <c r="Q353" i="39"/>
  <c r="P353" i="39"/>
  <c r="K353" i="39"/>
  <c r="G353" i="39"/>
  <c r="E353" i="39"/>
  <c r="Q352" i="39"/>
  <c r="P352" i="39"/>
  <c r="K352" i="39"/>
  <c r="G352" i="39"/>
  <c r="E352" i="39"/>
  <c r="Q351" i="39"/>
  <c r="P351" i="39"/>
  <c r="K351" i="39"/>
  <c r="G351" i="39"/>
  <c r="E351" i="39"/>
  <c r="Q350" i="39"/>
  <c r="P350" i="39"/>
  <c r="K350" i="39"/>
  <c r="G350" i="39"/>
  <c r="E350" i="39"/>
  <c r="Q349" i="39"/>
  <c r="P349" i="39"/>
  <c r="K349" i="39"/>
  <c r="G349" i="39"/>
  <c r="E349" i="39"/>
  <c r="Q348" i="39"/>
  <c r="P348" i="39"/>
  <c r="K348" i="39"/>
  <c r="G348" i="39"/>
  <c r="E348" i="39"/>
  <c r="Q347" i="39"/>
  <c r="P347" i="39"/>
  <c r="K347" i="39"/>
  <c r="G347" i="39"/>
  <c r="E347" i="39"/>
  <c r="Q346" i="39"/>
  <c r="P346" i="39"/>
  <c r="K346" i="39"/>
  <c r="G346" i="39"/>
  <c r="E346" i="39"/>
  <c r="Q345" i="39"/>
  <c r="P345" i="39"/>
  <c r="K345" i="39"/>
  <c r="G345" i="39"/>
  <c r="E345" i="39"/>
  <c r="Q344" i="39"/>
  <c r="P344" i="39"/>
  <c r="K344" i="39"/>
  <c r="G344" i="39"/>
  <c r="E344" i="39"/>
  <c r="Q343" i="39"/>
  <c r="P343" i="39"/>
  <c r="K343" i="39"/>
  <c r="G343" i="39"/>
  <c r="E343" i="39"/>
  <c r="Q342" i="39"/>
  <c r="P342" i="39"/>
  <c r="K342" i="39"/>
  <c r="G342" i="39"/>
  <c r="E342" i="39"/>
  <c r="Q341" i="39"/>
  <c r="P341" i="39"/>
  <c r="K341" i="39"/>
  <c r="G341" i="39"/>
  <c r="E341" i="39"/>
  <c r="Q340" i="39"/>
  <c r="P340" i="39"/>
  <c r="K340" i="39"/>
  <c r="G340" i="39"/>
  <c r="E340" i="39"/>
  <c r="Q339" i="39"/>
  <c r="P339" i="39"/>
  <c r="K339" i="39"/>
  <c r="G339" i="39"/>
  <c r="E339" i="39"/>
  <c r="Q338" i="39"/>
  <c r="P338" i="39"/>
  <c r="K338" i="39"/>
  <c r="G338" i="39"/>
  <c r="E338" i="39"/>
  <c r="Q337" i="39"/>
  <c r="P337" i="39"/>
  <c r="K337" i="39"/>
  <c r="G337" i="39"/>
  <c r="E337" i="39"/>
  <c r="Q336" i="39"/>
  <c r="P336" i="39"/>
  <c r="K334" i="39"/>
  <c r="G334" i="39"/>
  <c r="E334" i="39"/>
  <c r="Q335" i="39"/>
  <c r="P335" i="39"/>
  <c r="K333" i="39"/>
  <c r="G333" i="39"/>
  <c r="E333" i="39"/>
  <c r="Q334" i="39"/>
  <c r="P334" i="39"/>
  <c r="K335" i="39"/>
  <c r="G335" i="39"/>
  <c r="E335" i="39"/>
  <c r="Q333" i="39"/>
  <c r="P333" i="39"/>
  <c r="K336" i="39"/>
  <c r="G336" i="39"/>
  <c r="E336" i="39"/>
  <c r="Q332" i="39"/>
  <c r="P332" i="39"/>
  <c r="K332" i="39"/>
  <c r="G332" i="39"/>
  <c r="E332" i="39"/>
  <c r="Q331" i="39"/>
  <c r="P331" i="39"/>
  <c r="K331" i="39"/>
  <c r="G331" i="39"/>
  <c r="E331" i="39"/>
  <c r="Q330" i="39"/>
  <c r="P330" i="39"/>
  <c r="K330" i="39"/>
  <c r="G330" i="39"/>
  <c r="E330" i="39"/>
  <c r="Q329" i="39"/>
  <c r="P329" i="39"/>
  <c r="K329" i="39"/>
  <c r="G329" i="39"/>
  <c r="E329" i="39"/>
  <c r="Q328" i="39"/>
  <c r="P328" i="39"/>
  <c r="K328" i="39"/>
  <c r="G328" i="39"/>
  <c r="E328" i="39"/>
  <c r="Q327" i="39"/>
  <c r="P327" i="39"/>
  <c r="K327" i="39"/>
  <c r="G327" i="39"/>
  <c r="E327" i="39"/>
  <c r="Q326" i="39"/>
  <c r="P326" i="39"/>
  <c r="K326" i="39"/>
  <c r="G326" i="39"/>
  <c r="E326" i="39"/>
  <c r="Q325" i="39"/>
  <c r="P325" i="39"/>
  <c r="K325" i="39"/>
  <c r="G325" i="39"/>
  <c r="E325" i="39"/>
  <c r="Q324" i="39"/>
  <c r="P324" i="39"/>
  <c r="K324" i="39"/>
  <c r="G324" i="39"/>
  <c r="E324" i="39"/>
  <c r="Q323" i="39"/>
  <c r="P323" i="39"/>
  <c r="K323" i="39"/>
  <c r="G323" i="39"/>
  <c r="E323" i="39"/>
  <c r="Q322" i="39"/>
  <c r="P322" i="39"/>
  <c r="K322" i="39"/>
  <c r="G322" i="39"/>
  <c r="E322" i="39"/>
  <c r="Q321" i="39"/>
  <c r="P321" i="39"/>
  <c r="K321" i="39"/>
  <c r="G321" i="39"/>
  <c r="E321" i="39"/>
  <c r="Q320" i="39"/>
  <c r="P320" i="39"/>
  <c r="K320" i="39"/>
  <c r="G320" i="39"/>
  <c r="E320" i="39"/>
  <c r="Q319" i="39"/>
  <c r="P319" i="39"/>
  <c r="K319" i="39"/>
  <c r="G319" i="39"/>
  <c r="E319" i="39"/>
  <c r="Q318" i="39"/>
  <c r="P318" i="39"/>
  <c r="K318" i="39"/>
  <c r="G318" i="39"/>
  <c r="E318" i="39"/>
  <c r="Q317" i="39"/>
  <c r="P317" i="39"/>
  <c r="K317" i="39"/>
  <c r="G317" i="39"/>
  <c r="E317" i="39"/>
  <c r="Q316" i="39"/>
  <c r="P316" i="39"/>
  <c r="K316" i="39"/>
  <c r="G316" i="39"/>
  <c r="E316" i="39"/>
  <c r="Q315" i="39"/>
  <c r="P315" i="39"/>
  <c r="K315" i="39"/>
  <c r="G315" i="39"/>
  <c r="E315" i="39"/>
  <c r="Q314" i="39"/>
  <c r="P314" i="39"/>
  <c r="K314" i="39"/>
  <c r="G314" i="39"/>
  <c r="E314" i="39"/>
  <c r="Q313" i="39"/>
  <c r="P313" i="39"/>
  <c r="K312" i="39"/>
  <c r="G312" i="39"/>
  <c r="E312" i="39"/>
  <c r="Q312" i="39"/>
  <c r="P312" i="39"/>
  <c r="K313" i="39"/>
  <c r="G313" i="39"/>
  <c r="E313" i="39"/>
  <c r="Q311" i="39"/>
  <c r="P311" i="39"/>
  <c r="K311" i="39"/>
  <c r="G311" i="39"/>
  <c r="E311" i="39"/>
  <c r="Q310" i="39"/>
  <c r="P310" i="39"/>
  <c r="K310" i="39"/>
  <c r="G310" i="39"/>
  <c r="E310" i="39"/>
  <c r="Q309" i="39"/>
  <c r="P309" i="39"/>
  <c r="K309" i="39"/>
  <c r="G309" i="39"/>
  <c r="E309" i="39"/>
  <c r="Q308" i="39"/>
  <c r="P308" i="39"/>
  <c r="K308" i="39"/>
  <c r="G308" i="39"/>
  <c r="E308" i="39"/>
  <c r="Q307" i="39"/>
  <c r="P307" i="39"/>
  <c r="K307" i="39"/>
  <c r="G307" i="39"/>
  <c r="E307" i="39"/>
  <c r="Q306" i="39"/>
  <c r="P306" i="39"/>
  <c r="K306" i="39"/>
  <c r="G306" i="39"/>
  <c r="E306" i="39"/>
  <c r="Q305" i="39"/>
  <c r="P305" i="39"/>
  <c r="K305" i="39"/>
  <c r="G305" i="39"/>
  <c r="E305" i="39"/>
  <c r="Q304" i="39"/>
  <c r="P304" i="39"/>
  <c r="K304" i="39"/>
  <c r="G304" i="39"/>
  <c r="E304" i="39"/>
  <c r="Q303" i="39"/>
  <c r="P303" i="39"/>
  <c r="K303" i="39"/>
  <c r="G303" i="39"/>
  <c r="E303" i="39"/>
  <c r="Q302" i="39"/>
  <c r="P302" i="39"/>
  <c r="K302" i="39"/>
  <c r="G302" i="39"/>
  <c r="E302" i="39"/>
  <c r="Q301" i="39"/>
  <c r="P301" i="39"/>
  <c r="G301" i="39"/>
  <c r="E301" i="39"/>
  <c r="Q300" i="39"/>
  <c r="P300" i="39"/>
  <c r="K300" i="39"/>
  <c r="G300" i="39"/>
  <c r="E300" i="39"/>
  <c r="Q299" i="39"/>
  <c r="P299" i="39"/>
  <c r="K299" i="39"/>
  <c r="G299" i="39"/>
  <c r="E299" i="39"/>
  <c r="Q298" i="39"/>
  <c r="P298" i="39"/>
  <c r="K298" i="39"/>
  <c r="G298" i="39"/>
  <c r="E298" i="39"/>
  <c r="Q297" i="39"/>
  <c r="P297" i="39"/>
  <c r="K297" i="39"/>
  <c r="G297" i="39"/>
  <c r="E297" i="39"/>
  <c r="Q296" i="39"/>
  <c r="P296" i="39"/>
  <c r="K296" i="39"/>
  <c r="G296" i="39"/>
  <c r="E296" i="39"/>
  <c r="Q295" i="39"/>
  <c r="P295" i="39"/>
  <c r="K295" i="39"/>
  <c r="G295" i="39"/>
  <c r="E295" i="39"/>
  <c r="Q294" i="39"/>
  <c r="P294" i="39"/>
  <c r="K294" i="39"/>
  <c r="G294" i="39"/>
  <c r="E294" i="39"/>
  <c r="Q293" i="39"/>
  <c r="P293" i="39"/>
  <c r="K293" i="39"/>
  <c r="G293" i="39"/>
  <c r="E293" i="39"/>
  <c r="Q292" i="39"/>
  <c r="P292" i="39"/>
  <c r="K292" i="39"/>
  <c r="G292" i="39"/>
  <c r="E292" i="39"/>
  <c r="Q291" i="39"/>
  <c r="P291" i="39"/>
  <c r="K291" i="39"/>
  <c r="G291" i="39"/>
  <c r="E291" i="39"/>
  <c r="Q290" i="39"/>
  <c r="P290" i="39"/>
  <c r="K290" i="39"/>
  <c r="G290" i="39"/>
  <c r="E290" i="39"/>
  <c r="Q289" i="39"/>
  <c r="P289" i="39"/>
  <c r="K289" i="39"/>
  <c r="G289" i="39"/>
  <c r="E289" i="39"/>
  <c r="Q288" i="39"/>
  <c r="P288" i="39"/>
  <c r="K288" i="39"/>
  <c r="G288" i="39"/>
  <c r="E288" i="39"/>
  <c r="Q287" i="39"/>
  <c r="P287" i="39"/>
  <c r="K287" i="39"/>
  <c r="G287" i="39"/>
  <c r="E287" i="39"/>
  <c r="Q286" i="39"/>
  <c r="P286" i="39"/>
  <c r="K286" i="39"/>
  <c r="G286" i="39"/>
  <c r="E286" i="39"/>
  <c r="Q285" i="39"/>
  <c r="P285" i="39"/>
  <c r="K285" i="39"/>
  <c r="G285" i="39"/>
  <c r="E285" i="39"/>
  <c r="Q284" i="39"/>
  <c r="P284" i="39"/>
  <c r="K284" i="39"/>
  <c r="G284" i="39"/>
  <c r="E284" i="39"/>
  <c r="Q283" i="39"/>
  <c r="P283" i="39"/>
  <c r="K283" i="39"/>
  <c r="G283" i="39"/>
  <c r="E283" i="39"/>
  <c r="Q282" i="39"/>
  <c r="P282" i="39"/>
  <c r="K282" i="39"/>
  <c r="G282" i="39"/>
  <c r="E282" i="39"/>
  <c r="Q281" i="39"/>
  <c r="P281" i="39"/>
  <c r="K281" i="39"/>
  <c r="G281" i="39"/>
  <c r="E281" i="39"/>
  <c r="Q280" i="39"/>
  <c r="P280" i="39"/>
  <c r="K280" i="39"/>
  <c r="G280" i="39"/>
  <c r="E280" i="39"/>
  <c r="Q279" i="39"/>
  <c r="P279" i="39"/>
  <c r="G279" i="39"/>
  <c r="E279" i="39"/>
  <c r="Q278" i="39"/>
  <c r="P278" i="39"/>
  <c r="Q277" i="39"/>
  <c r="P277" i="39"/>
  <c r="K277" i="39"/>
  <c r="G277" i="39"/>
  <c r="E277" i="39"/>
  <c r="Q276" i="39"/>
  <c r="P276" i="39"/>
  <c r="Q275" i="39"/>
  <c r="P275" i="39"/>
  <c r="K275" i="39"/>
  <c r="G275" i="39"/>
  <c r="E275" i="39"/>
  <c r="Q274" i="39"/>
  <c r="P274" i="39"/>
  <c r="K274" i="39"/>
  <c r="G274" i="39"/>
  <c r="E274" i="39"/>
  <c r="Q273" i="39"/>
  <c r="P273" i="39"/>
  <c r="K273" i="39"/>
  <c r="G273" i="39"/>
  <c r="E273" i="39"/>
  <c r="Q272" i="39"/>
  <c r="P272" i="39"/>
  <c r="K272" i="39"/>
  <c r="G272" i="39"/>
  <c r="E272" i="39"/>
  <c r="Q271" i="39"/>
  <c r="P271" i="39"/>
  <c r="K271" i="39"/>
  <c r="G271" i="39"/>
  <c r="E271" i="39"/>
  <c r="Q270" i="39"/>
  <c r="P270" i="39"/>
  <c r="K270" i="39"/>
  <c r="G270" i="39"/>
  <c r="E270" i="39"/>
  <c r="Q269" i="39"/>
  <c r="P269" i="39"/>
  <c r="K269" i="39"/>
  <c r="G269" i="39"/>
  <c r="E269" i="39"/>
  <c r="Q268" i="39"/>
  <c r="P268" i="39"/>
  <c r="K268" i="39"/>
  <c r="G268" i="39"/>
  <c r="E268" i="39"/>
  <c r="Q267" i="39"/>
  <c r="P267" i="39"/>
  <c r="K267" i="39"/>
  <c r="G267" i="39"/>
  <c r="E267" i="39"/>
  <c r="Q266" i="39"/>
  <c r="P266" i="39"/>
  <c r="K266" i="39"/>
  <c r="G266" i="39"/>
  <c r="E266" i="39"/>
  <c r="Q265" i="39"/>
  <c r="P265" i="39"/>
  <c r="K265" i="39"/>
  <c r="G265" i="39"/>
  <c r="E265" i="39"/>
  <c r="Q264" i="39"/>
  <c r="P264" i="39"/>
  <c r="K264" i="39"/>
  <c r="G264" i="39"/>
  <c r="E264" i="39"/>
  <c r="Q263" i="39"/>
  <c r="P263" i="39"/>
  <c r="K263" i="39"/>
  <c r="G263" i="39"/>
  <c r="E263" i="39"/>
  <c r="Q262" i="39"/>
  <c r="P262" i="39"/>
  <c r="K262" i="39"/>
  <c r="G262" i="39"/>
  <c r="E262" i="39"/>
  <c r="Q261" i="39"/>
  <c r="P261" i="39"/>
  <c r="K261" i="39"/>
  <c r="G261" i="39"/>
  <c r="E261" i="39"/>
  <c r="Q260" i="39"/>
  <c r="P260" i="39"/>
  <c r="K260" i="39"/>
  <c r="G260" i="39"/>
  <c r="E260" i="39"/>
  <c r="Q259" i="39"/>
  <c r="P259" i="39"/>
  <c r="K259" i="39"/>
  <c r="G259" i="39"/>
  <c r="E259" i="39"/>
  <c r="Q258" i="39"/>
  <c r="P258" i="39"/>
  <c r="K258" i="39"/>
  <c r="G258" i="39"/>
  <c r="E258" i="39"/>
  <c r="Q257" i="39"/>
  <c r="P257" i="39"/>
  <c r="K257" i="39"/>
  <c r="G257" i="39"/>
  <c r="E257" i="39"/>
  <c r="Q256" i="39"/>
  <c r="P256" i="39"/>
  <c r="K256" i="39"/>
  <c r="G256" i="39"/>
  <c r="E256" i="39"/>
  <c r="Q255" i="39"/>
  <c r="P255" i="39"/>
  <c r="K255" i="39"/>
  <c r="G255" i="39"/>
  <c r="E255" i="39"/>
  <c r="Q254" i="39"/>
  <c r="P254" i="39"/>
  <c r="K254" i="39"/>
  <c r="G254" i="39"/>
  <c r="E254" i="39"/>
  <c r="Q253" i="39"/>
  <c r="P253" i="39"/>
  <c r="K253" i="39"/>
  <c r="G253" i="39"/>
  <c r="E253" i="39"/>
  <c r="Q252" i="39"/>
  <c r="P252" i="39"/>
  <c r="K252" i="39"/>
  <c r="G252" i="39"/>
  <c r="E252" i="39"/>
  <c r="Q251" i="39"/>
  <c r="P251" i="39"/>
  <c r="K251" i="39"/>
  <c r="G251" i="39"/>
  <c r="E251" i="39"/>
  <c r="Q250" i="39"/>
  <c r="P250" i="39"/>
  <c r="K250" i="39"/>
  <c r="G250" i="39"/>
  <c r="E250" i="39"/>
  <c r="Q249" i="39"/>
  <c r="P249" i="39"/>
  <c r="K249" i="39"/>
  <c r="G249" i="39"/>
  <c r="E249" i="39"/>
  <c r="Q248" i="39"/>
  <c r="P248" i="39"/>
  <c r="K248" i="39"/>
  <c r="G248" i="39"/>
  <c r="E248" i="39"/>
  <c r="Q247" i="39"/>
  <c r="P247" i="39"/>
  <c r="K247" i="39"/>
  <c r="G247" i="39"/>
  <c r="E247" i="39"/>
  <c r="Q246" i="39"/>
  <c r="P246" i="39"/>
  <c r="K246" i="39"/>
  <c r="G246" i="39"/>
  <c r="E246" i="39"/>
  <c r="Q245" i="39"/>
  <c r="P245" i="39"/>
  <c r="K245" i="39"/>
  <c r="G245" i="39"/>
  <c r="E245" i="39"/>
  <c r="Q244" i="39"/>
  <c r="P244" i="39"/>
  <c r="K244" i="39"/>
  <c r="G244" i="39"/>
  <c r="E244" i="39"/>
  <c r="Q243" i="39"/>
  <c r="P243" i="39"/>
  <c r="K243" i="39"/>
  <c r="G243" i="39"/>
  <c r="E243" i="39"/>
  <c r="Q242" i="39"/>
  <c r="P242" i="39"/>
  <c r="K242" i="39"/>
  <c r="G242" i="39"/>
  <c r="E242" i="39"/>
  <c r="Q241" i="39"/>
  <c r="P241" i="39"/>
  <c r="K241" i="39"/>
  <c r="G241" i="39"/>
  <c r="E241" i="39"/>
  <c r="Q240" i="39"/>
  <c r="P240" i="39"/>
  <c r="K240" i="39"/>
  <c r="G240" i="39"/>
  <c r="E240" i="39"/>
  <c r="Q239" i="39"/>
  <c r="P239" i="39"/>
  <c r="K239" i="39"/>
  <c r="G239" i="39"/>
  <c r="E239" i="39"/>
  <c r="Q238" i="39"/>
  <c r="P238" i="39"/>
  <c r="K238" i="39"/>
  <c r="G238" i="39"/>
  <c r="E238" i="39"/>
  <c r="Q237" i="39"/>
  <c r="P237" i="39"/>
  <c r="K237" i="39"/>
  <c r="G237" i="39"/>
  <c r="E237" i="39"/>
  <c r="Q236" i="39"/>
  <c r="P236" i="39"/>
  <c r="K236" i="39"/>
  <c r="G236" i="39"/>
  <c r="E236" i="39"/>
  <c r="Q235" i="39"/>
  <c r="P235" i="39"/>
  <c r="K235" i="39"/>
  <c r="G235" i="39"/>
  <c r="E235" i="39"/>
  <c r="Q234" i="39"/>
  <c r="P234" i="39"/>
  <c r="K234" i="39"/>
  <c r="G234" i="39"/>
  <c r="E234" i="39"/>
  <c r="Q233" i="39"/>
  <c r="P233" i="39"/>
  <c r="K233" i="39"/>
  <c r="G233" i="39"/>
  <c r="E233" i="39"/>
  <c r="Q232" i="39"/>
  <c r="P232" i="39"/>
  <c r="K232" i="39"/>
  <c r="G232" i="39"/>
  <c r="E232" i="39"/>
  <c r="Q231" i="39"/>
  <c r="P231" i="39"/>
  <c r="K231" i="39"/>
  <c r="G231" i="39"/>
  <c r="E231" i="39"/>
  <c r="Q230" i="39"/>
  <c r="P230" i="39"/>
  <c r="K230" i="39"/>
  <c r="G230" i="39"/>
  <c r="E230" i="39"/>
  <c r="Q229" i="39"/>
  <c r="P229" i="39"/>
  <c r="K229" i="39"/>
  <c r="G229" i="39"/>
  <c r="E229" i="39"/>
  <c r="Q228" i="39"/>
  <c r="P228" i="39"/>
  <c r="K228" i="39"/>
  <c r="G228" i="39"/>
  <c r="E228" i="39"/>
  <c r="Q227" i="39"/>
  <c r="P227" i="39"/>
  <c r="K227" i="39"/>
  <c r="G227" i="39"/>
  <c r="E227" i="39"/>
  <c r="Q226" i="39"/>
  <c r="P226" i="39"/>
  <c r="K226" i="39"/>
  <c r="G226" i="39"/>
  <c r="E226" i="39"/>
  <c r="Q225" i="39"/>
  <c r="P225" i="39"/>
  <c r="K225" i="39"/>
  <c r="G225" i="39"/>
  <c r="E225" i="39"/>
  <c r="Q224" i="39"/>
  <c r="P224" i="39"/>
  <c r="K224" i="39"/>
  <c r="G224" i="39"/>
  <c r="E224" i="39"/>
  <c r="Q223" i="39"/>
  <c r="P223" i="39"/>
  <c r="K223" i="39"/>
  <c r="G223" i="39"/>
  <c r="E223" i="39"/>
  <c r="Q222" i="39"/>
  <c r="P222" i="39"/>
  <c r="K222" i="39"/>
  <c r="G222" i="39"/>
  <c r="E222" i="39"/>
  <c r="Q221" i="39"/>
  <c r="P221" i="39"/>
  <c r="K221" i="39"/>
  <c r="G221" i="39"/>
  <c r="E221" i="39"/>
  <c r="Q220" i="39"/>
  <c r="P220" i="39"/>
  <c r="K220" i="39"/>
  <c r="G220" i="39"/>
  <c r="E220" i="39"/>
  <c r="Q219" i="39"/>
  <c r="P219" i="39"/>
  <c r="K219" i="39"/>
  <c r="G219" i="39"/>
  <c r="E219" i="39"/>
  <c r="Q218" i="39"/>
  <c r="P218" i="39"/>
  <c r="K218" i="39"/>
  <c r="G218" i="39"/>
  <c r="E218" i="39"/>
  <c r="Q217" i="39"/>
  <c r="P217" i="39"/>
  <c r="Q216" i="39"/>
  <c r="P216" i="39"/>
  <c r="K216" i="39"/>
  <c r="G216" i="39"/>
  <c r="E216" i="39"/>
  <c r="Q215" i="39"/>
  <c r="P215" i="39"/>
  <c r="K215" i="39"/>
  <c r="G215" i="39"/>
  <c r="E215" i="39"/>
  <c r="Q214" i="39"/>
  <c r="P214" i="39"/>
  <c r="K214" i="39"/>
  <c r="G214" i="39"/>
  <c r="E214" i="39"/>
  <c r="Q213" i="39"/>
  <c r="P213" i="39"/>
  <c r="K213" i="39"/>
  <c r="G213" i="39"/>
  <c r="E213" i="39"/>
  <c r="Q212" i="39"/>
  <c r="P212" i="39"/>
  <c r="K212" i="39"/>
  <c r="G212" i="39"/>
  <c r="E212" i="39"/>
  <c r="Q211" i="39"/>
  <c r="P211" i="39"/>
  <c r="K211" i="39"/>
  <c r="G211" i="39"/>
  <c r="E211" i="39"/>
  <c r="Q210" i="39"/>
  <c r="P210" i="39"/>
  <c r="K210" i="39"/>
  <c r="G210" i="39"/>
  <c r="E210" i="39"/>
  <c r="Q209" i="39"/>
  <c r="P209" i="39"/>
  <c r="K209" i="39"/>
  <c r="G209" i="39"/>
  <c r="E209" i="39"/>
  <c r="Q208" i="39"/>
  <c r="P208" i="39"/>
  <c r="K208" i="39"/>
  <c r="G208" i="39"/>
  <c r="E208" i="39"/>
  <c r="Q207" i="39"/>
  <c r="P207" i="39"/>
  <c r="K207" i="39"/>
  <c r="G207" i="39"/>
  <c r="E207" i="39"/>
  <c r="Q206" i="39"/>
  <c r="P206" i="39"/>
  <c r="K206" i="39"/>
  <c r="G206" i="39"/>
  <c r="E206" i="39"/>
  <c r="Q205" i="39"/>
  <c r="P205" i="39"/>
  <c r="K205" i="39"/>
  <c r="G205" i="39"/>
  <c r="E205" i="39"/>
  <c r="Q204" i="39"/>
  <c r="P204" i="39"/>
  <c r="K204" i="39"/>
  <c r="G204" i="39"/>
  <c r="E204" i="39"/>
  <c r="Q203" i="39"/>
  <c r="P203" i="39"/>
  <c r="K203" i="39"/>
  <c r="G203" i="39"/>
  <c r="E203" i="39"/>
  <c r="Q202" i="39"/>
  <c r="P202" i="39"/>
  <c r="K202" i="39"/>
  <c r="G202" i="39"/>
  <c r="E202" i="39"/>
  <c r="Q201" i="39"/>
  <c r="P201" i="39"/>
  <c r="K201" i="39"/>
  <c r="G201" i="39"/>
  <c r="E201" i="39"/>
  <c r="Q200" i="39"/>
  <c r="P200" i="39"/>
  <c r="K200" i="39"/>
  <c r="G200" i="39"/>
  <c r="E200" i="39"/>
  <c r="Q199" i="39"/>
  <c r="P199" i="39"/>
  <c r="K199" i="39"/>
  <c r="G199" i="39"/>
  <c r="E199" i="39"/>
  <c r="Q198" i="39"/>
  <c r="P198" i="39"/>
  <c r="Q197" i="39"/>
  <c r="P197" i="39"/>
  <c r="K197" i="39"/>
  <c r="G197" i="39"/>
  <c r="E197" i="39"/>
  <c r="Q196" i="39"/>
  <c r="P196" i="39"/>
  <c r="K196" i="39"/>
  <c r="G196" i="39"/>
  <c r="E196" i="39"/>
  <c r="Q195" i="39"/>
  <c r="P195" i="39"/>
  <c r="K195" i="39"/>
  <c r="G195" i="39"/>
  <c r="E195" i="39"/>
  <c r="Q194" i="39"/>
  <c r="P194" i="39"/>
  <c r="K194" i="39"/>
  <c r="G194" i="39"/>
  <c r="E194" i="39"/>
  <c r="Q193" i="39"/>
  <c r="P193" i="39"/>
  <c r="K193" i="39"/>
  <c r="E193" i="39"/>
  <c r="Q192" i="39"/>
  <c r="P192" i="39"/>
  <c r="K192" i="39"/>
  <c r="G192" i="39"/>
  <c r="E192" i="39"/>
  <c r="Q191" i="39"/>
  <c r="P191" i="39"/>
  <c r="K191" i="39"/>
  <c r="G191" i="39"/>
  <c r="E191" i="39"/>
  <c r="Q190" i="39"/>
  <c r="P190" i="39"/>
  <c r="K190" i="39"/>
  <c r="G190" i="39"/>
  <c r="E190" i="39"/>
  <c r="Q189" i="39"/>
  <c r="P189" i="39"/>
  <c r="K189" i="39"/>
  <c r="G189" i="39"/>
  <c r="E189" i="39"/>
  <c r="Q188" i="39"/>
  <c r="P188" i="39"/>
  <c r="K188" i="39"/>
  <c r="G188" i="39"/>
  <c r="E188" i="39"/>
  <c r="Q187" i="39"/>
  <c r="P187" i="39"/>
  <c r="K187" i="39"/>
  <c r="G187" i="39"/>
  <c r="E187" i="39"/>
  <c r="Q186" i="39"/>
  <c r="P186" i="39"/>
  <c r="K186" i="39"/>
  <c r="G186" i="39"/>
  <c r="E186" i="39"/>
  <c r="Q185" i="39"/>
  <c r="P185" i="39"/>
  <c r="K185" i="39"/>
  <c r="G185" i="39"/>
  <c r="E185" i="39"/>
  <c r="Q184" i="39"/>
  <c r="P184" i="39"/>
  <c r="K184" i="39"/>
  <c r="G184" i="39"/>
  <c r="E184" i="39"/>
  <c r="Q183" i="39"/>
  <c r="P183" i="39"/>
  <c r="K183" i="39"/>
  <c r="G183" i="39"/>
  <c r="E183" i="39"/>
  <c r="Q182" i="39"/>
  <c r="P182" i="39"/>
  <c r="K182" i="39"/>
  <c r="G182" i="39"/>
  <c r="E182" i="39"/>
  <c r="Q181" i="39"/>
  <c r="P181" i="39"/>
  <c r="K181" i="39"/>
  <c r="G181" i="39"/>
  <c r="E181" i="39"/>
  <c r="Q180" i="39"/>
  <c r="P180" i="39"/>
  <c r="K180" i="39"/>
  <c r="G180" i="39"/>
  <c r="E180" i="39"/>
  <c r="Q179" i="39"/>
  <c r="P179" i="39"/>
  <c r="K179" i="39"/>
  <c r="G179" i="39"/>
  <c r="E179" i="39"/>
  <c r="Q178" i="39"/>
  <c r="P178" i="39"/>
  <c r="K178" i="39"/>
  <c r="G178" i="39"/>
  <c r="E178" i="39"/>
  <c r="Q177" i="39"/>
  <c r="P177" i="39"/>
  <c r="K177" i="39"/>
  <c r="G177" i="39"/>
  <c r="E177" i="39"/>
  <c r="Q176" i="39"/>
  <c r="P176" i="39"/>
  <c r="K176" i="39"/>
  <c r="G176" i="39"/>
  <c r="E176" i="39"/>
  <c r="Q175" i="39"/>
  <c r="P175" i="39"/>
  <c r="K175" i="39"/>
  <c r="G175" i="39"/>
  <c r="E175" i="39"/>
  <c r="Q174" i="39"/>
  <c r="P174" i="39"/>
  <c r="K174" i="39"/>
  <c r="G174" i="39"/>
  <c r="E174" i="39"/>
  <c r="Q173" i="39"/>
  <c r="P173" i="39"/>
  <c r="K173" i="39"/>
  <c r="G173" i="39"/>
  <c r="E173" i="39"/>
  <c r="Q172" i="39"/>
  <c r="P172" i="39"/>
  <c r="K172" i="39"/>
  <c r="G172" i="39"/>
  <c r="E172" i="39"/>
  <c r="Q171" i="39"/>
  <c r="P171" i="39"/>
  <c r="K171" i="39"/>
  <c r="G171" i="39"/>
  <c r="E171" i="39"/>
  <c r="Q170" i="39"/>
  <c r="P170" i="39"/>
  <c r="K170" i="39"/>
  <c r="G170" i="39"/>
  <c r="E170" i="39"/>
  <c r="Q169" i="39"/>
  <c r="P169" i="39"/>
  <c r="K169" i="39"/>
  <c r="G169" i="39"/>
  <c r="E169" i="39"/>
  <c r="Q168" i="39"/>
  <c r="P168" i="39"/>
  <c r="K168" i="39"/>
  <c r="G168" i="39"/>
  <c r="E168" i="39"/>
  <c r="Q167" i="39"/>
  <c r="P167" i="39"/>
  <c r="K167" i="39"/>
  <c r="G167" i="39"/>
  <c r="E167" i="39"/>
  <c r="Q166" i="39"/>
  <c r="P166" i="39"/>
  <c r="K166" i="39"/>
  <c r="G166" i="39"/>
  <c r="E166" i="39"/>
  <c r="Q165" i="39"/>
  <c r="P165" i="39"/>
  <c r="K165" i="39"/>
  <c r="G165" i="39"/>
  <c r="E165" i="39"/>
  <c r="Q164" i="39"/>
  <c r="P164" i="39"/>
  <c r="K164" i="39"/>
  <c r="G164" i="39"/>
  <c r="E164" i="39"/>
  <c r="Q163" i="39"/>
  <c r="P163" i="39"/>
  <c r="K163" i="39"/>
  <c r="G163" i="39"/>
  <c r="E163" i="39"/>
  <c r="Q162" i="39"/>
  <c r="P162" i="39"/>
  <c r="K162" i="39"/>
  <c r="G162" i="39"/>
  <c r="E162" i="39"/>
  <c r="Q161" i="39"/>
  <c r="P161" i="39"/>
  <c r="K161" i="39"/>
  <c r="G161" i="39"/>
  <c r="E161" i="39"/>
  <c r="Q160" i="39"/>
  <c r="P160" i="39"/>
  <c r="K160" i="39"/>
  <c r="G160" i="39"/>
  <c r="E160" i="39"/>
  <c r="Q159" i="39"/>
  <c r="P159" i="39"/>
  <c r="K159" i="39"/>
  <c r="G159" i="39"/>
  <c r="E159" i="39"/>
  <c r="Q158" i="39"/>
  <c r="P158" i="39"/>
  <c r="K158" i="39"/>
  <c r="G158" i="39"/>
  <c r="E158" i="39"/>
  <c r="Q157" i="39"/>
  <c r="P157" i="39"/>
  <c r="K157" i="39"/>
  <c r="G157" i="39"/>
  <c r="E157" i="39"/>
  <c r="Q156" i="39"/>
  <c r="P156" i="39"/>
  <c r="K156" i="39"/>
  <c r="G156" i="39"/>
  <c r="E156" i="39"/>
  <c r="Q155" i="39"/>
  <c r="P155" i="39"/>
  <c r="K155" i="39"/>
  <c r="G155" i="39"/>
  <c r="E155" i="39"/>
  <c r="Q154" i="39"/>
  <c r="P154" i="39"/>
  <c r="K154" i="39"/>
  <c r="G154" i="39"/>
  <c r="E154" i="39"/>
  <c r="Q153" i="39"/>
  <c r="P153" i="39"/>
  <c r="K153" i="39"/>
  <c r="G153" i="39"/>
  <c r="E153" i="39"/>
  <c r="Q152" i="39"/>
  <c r="P152" i="39"/>
  <c r="Q151" i="39"/>
  <c r="P151" i="39"/>
  <c r="K151" i="39"/>
  <c r="G151" i="39"/>
  <c r="E151" i="39"/>
  <c r="Q150" i="39"/>
  <c r="P150" i="39"/>
  <c r="K150" i="39"/>
  <c r="G150" i="39"/>
  <c r="E150" i="39"/>
  <c r="Q149" i="39"/>
  <c r="P149" i="39"/>
  <c r="Q148" i="39"/>
  <c r="P148" i="39"/>
  <c r="K148" i="39"/>
  <c r="G148" i="39"/>
  <c r="E148" i="39"/>
  <c r="Q147" i="39"/>
  <c r="P147" i="39"/>
  <c r="K147" i="39"/>
  <c r="G147" i="39"/>
  <c r="E147" i="39"/>
  <c r="Q146" i="39"/>
  <c r="P146" i="39"/>
  <c r="K146" i="39"/>
  <c r="G146" i="39"/>
  <c r="E146" i="39"/>
  <c r="Q145" i="39"/>
  <c r="P145" i="39"/>
  <c r="Q144" i="39"/>
  <c r="P144" i="39"/>
  <c r="K144" i="39"/>
  <c r="G144" i="39"/>
  <c r="E144" i="39"/>
  <c r="Q143" i="39"/>
  <c r="P143" i="39"/>
  <c r="K143" i="39"/>
  <c r="G143" i="39"/>
  <c r="E143" i="39"/>
  <c r="Q142" i="39"/>
  <c r="P142" i="39"/>
  <c r="K142" i="39"/>
  <c r="G142" i="39"/>
  <c r="E142" i="39"/>
  <c r="Q141" i="39"/>
  <c r="P141" i="39"/>
  <c r="K141" i="39"/>
  <c r="G141" i="39"/>
  <c r="E141" i="39"/>
  <c r="Q140" i="39"/>
  <c r="P140" i="39"/>
  <c r="K140" i="39"/>
  <c r="G140" i="39"/>
  <c r="E140" i="39"/>
  <c r="Q139" i="39"/>
  <c r="P139" i="39"/>
  <c r="K139" i="39"/>
  <c r="G139" i="39"/>
  <c r="E139" i="39"/>
  <c r="Q138" i="39"/>
  <c r="P138" i="39"/>
  <c r="Q137" i="39"/>
  <c r="P137" i="39"/>
  <c r="Q136" i="39"/>
  <c r="P136" i="39"/>
  <c r="K136" i="39"/>
  <c r="G136" i="39"/>
  <c r="E136" i="39"/>
  <c r="Q135" i="39"/>
  <c r="P135" i="39"/>
  <c r="K135" i="39"/>
  <c r="G135" i="39"/>
  <c r="E135" i="39"/>
  <c r="Q134" i="39"/>
  <c r="P134" i="39"/>
  <c r="Q133" i="39"/>
  <c r="P133" i="39"/>
  <c r="K133" i="39"/>
  <c r="G133" i="39"/>
  <c r="E133" i="39"/>
  <c r="Q132" i="39"/>
  <c r="P132" i="39"/>
  <c r="K132" i="39"/>
  <c r="G132" i="39"/>
  <c r="E132" i="39"/>
  <c r="Q131" i="39"/>
  <c r="P131" i="39"/>
  <c r="K131" i="39"/>
  <c r="G131" i="39"/>
  <c r="E131" i="39"/>
  <c r="Q130" i="39"/>
  <c r="P130" i="39"/>
  <c r="K130" i="39"/>
  <c r="G130" i="39"/>
  <c r="E130" i="39"/>
  <c r="Q129" i="39"/>
  <c r="P129" i="39"/>
  <c r="K129" i="39"/>
  <c r="G129" i="39"/>
  <c r="E129" i="39"/>
  <c r="Q128" i="39"/>
  <c r="P128" i="39"/>
  <c r="K128" i="39"/>
  <c r="G128" i="39"/>
  <c r="E128" i="39"/>
  <c r="Q127" i="39"/>
  <c r="P127" i="39"/>
  <c r="K127" i="39"/>
  <c r="G127" i="39"/>
  <c r="E127" i="39"/>
  <c r="Q126" i="39"/>
  <c r="P126" i="39"/>
  <c r="K126" i="39"/>
  <c r="G126" i="39"/>
  <c r="E126" i="39"/>
  <c r="Q125" i="39"/>
  <c r="P125" i="39"/>
  <c r="K125" i="39"/>
  <c r="G125" i="39"/>
  <c r="E125" i="39"/>
  <c r="Q124" i="39"/>
  <c r="P124" i="39"/>
  <c r="K124" i="39"/>
  <c r="G124" i="39"/>
  <c r="E124" i="39"/>
  <c r="Q123" i="39"/>
  <c r="P123" i="39"/>
  <c r="K123" i="39"/>
  <c r="G123" i="39"/>
  <c r="E123" i="39"/>
  <c r="Q122" i="39"/>
  <c r="P122" i="39"/>
  <c r="K122" i="39"/>
  <c r="G122" i="39"/>
  <c r="E122" i="39"/>
  <c r="Q121" i="39"/>
  <c r="P121" i="39"/>
  <c r="K121" i="39"/>
  <c r="G121" i="39"/>
  <c r="E121" i="39"/>
  <c r="Q120" i="39"/>
  <c r="P120" i="39"/>
  <c r="K120" i="39"/>
  <c r="G120" i="39"/>
  <c r="E120" i="39"/>
  <c r="Q119" i="39"/>
  <c r="P119" i="39"/>
  <c r="K119" i="39"/>
  <c r="G119" i="39"/>
  <c r="E119" i="39"/>
  <c r="Q118" i="39"/>
  <c r="P118" i="39"/>
  <c r="K118" i="39"/>
  <c r="G118" i="39"/>
  <c r="E118" i="39"/>
  <c r="Q117" i="39"/>
  <c r="P117" i="39"/>
  <c r="K117" i="39"/>
  <c r="G117" i="39"/>
  <c r="E117" i="39"/>
  <c r="Q116" i="39"/>
  <c r="P116" i="39"/>
  <c r="K116" i="39"/>
  <c r="G116" i="39"/>
  <c r="E116" i="39"/>
  <c r="Q115" i="39"/>
  <c r="P115" i="39"/>
  <c r="K115" i="39"/>
  <c r="G115" i="39"/>
  <c r="E115" i="39"/>
  <c r="Q114" i="39"/>
  <c r="P114" i="39"/>
  <c r="K114" i="39"/>
  <c r="E114" i="39"/>
  <c r="Q113" i="39"/>
  <c r="P113" i="39"/>
  <c r="K113" i="39"/>
  <c r="G113" i="39"/>
  <c r="E113" i="39"/>
  <c r="Q112" i="39"/>
  <c r="P112" i="39"/>
  <c r="K112" i="39"/>
  <c r="G112" i="39"/>
  <c r="E112" i="39"/>
  <c r="Q111" i="39"/>
  <c r="P111" i="39"/>
  <c r="K111" i="39"/>
  <c r="G111" i="39"/>
  <c r="E111" i="39"/>
  <c r="Q110" i="39"/>
  <c r="P110" i="39"/>
  <c r="K110" i="39"/>
  <c r="G110" i="39"/>
  <c r="E110" i="39"/>
  <c r="Q109" i="39"/>
  <c r="P109" i="39"/>
  <c r="K109" i="39"/>
  <c r="G109" i="39"/>
  <c r="E109" i="39"/>
  <c r="Q108" i="39"/>
  <c r="P108" i="39"/>
  <c r="K108" i="39"/>
  <c r="G108" i="39"/>
  <c r="E108" i="39"/>
  <c r="Q107" i="39"/>
  <c r="P107" i="39"/>
  <c r="K107" i="39"/>
  <c r="G107" i="39"/>
  <c r="E107" i="39"/>
  <c r="Q106" i="39"/>
  <c r="P106" i="39"/>
  <c r="K106" i="39"/>
  <c r="G106" i="39"/>
  <c r="E106" i="39"/>
  <c r="Q105" i="39"/>
  <c r="P105" i="39"/>
  <c r="K105" i="39"/>
  <c r="G105" i="39"/>
  <c r="E105" i="39"/>
  <c r="Q104" i="39"/>
  <c r="P104" i="39"/>
  <c r="K104" i="39"/>
  <c r="G104" i="39"/>
  <c r="E104" i="39"/>
  <c r="Q103" i="39"/>
  <c r="P103" i="39"/>
  <c r="D417" i="39"/>
  <c r="Q102" i="39"/>
  <c r="P102" i="39"/>
  <c r="K102" i="39"/>
  <c r="G102" i="39"/>
  <c r="E102" i="39"/>
  <c r="Q101" i="39"/>
  <c r="P101" i="39"/>
  <c r="K101" i="39"/>
  <c r="G101" i="39"/>
  <c r="E101" i="39"/>
  <c r="Q100" i="39"/>
  <c r="P100" i="39"/>
  <c r="K100" i="39"/>
  <c r="G100" i="39"/>
  <c r="E100" i="39"/>
  <c r="Q99" i="39"/>
  <c r="P99" i="39"/>
  <c r="K99" i="39"/>
  <c r="E99" i="39"/>
  <c r="Q98" i="39"/>
  <c r="P98" i="39"/>
  <c r="K98" i="39"/>
  <c r="G98" i="39"/>
  <c r="E98" i="39"/>
  <c r="Q97" i="39"/>
  <c r="P97" i="39"/>
  <c r="K97" i="39"/>
  <c r="G97" i="39"/>
  <c r="E97" i="39"/>
  <c r="Q96" i="39"/>
  <c r="P96" i="39"/>
  <c r="K96" i="39"/>
  <c r="G96" i="39"/>
  <c r="E96" i="39"/>
  <c r="Q95" i="39"/>
  <c r="P95" i="39"/>
  <c r="K95" i="39"/>
  <c r="G95" i="39"/>
  <c r="E95" i="39"/>
  <c r="Q94" i="39"/>
  <c r="P94" i="39"/>
  <c r="Q93" i="39"/>
  <c r="P93" i="39"/>
  <c r="K93" i="39"/>
  <c r="G93" i="39"/>
  <c r="E93" i="39"/>
  <c r="Q92" i="39"/>
  <c r="P92" i="39"/>
  <c r="K92" i="39"/>
  <c r="G92" i="39"/>
  <c r="E92" i="39"/>
  <c r="Q91" i="39"/>
  <c r="P91" i="39"/>
  <c r="K91" i="39"/>
  <c r="G91" i="39"/>
  <c r="E91" i="39"/>
  <c r="Q90" i="39"/>
  <c r="P90" i="39"/>
  <c r="K90" i="39"/>
  <c r="G90" i="39"/>
  <c r="E90" i="39"/>
  <c r="Q89" i="39"/>
  <c r="P89" i="39"/>
  <c r="K89" i="39"/>
  <c r="G89" i="39"/>
  <c r="E89" i="39"/>
  <c r="Q88" i="39"/>
  <c r="P88" i="39"/>
  <c r="K88" i="39"/>
  <c r="G88" i="39"/>
  <c r="E88" i="39"/>
  <c r="Q87" i="39"/>
  <c r="P87" i="39"/>
  <c r="Q86" i="39"/>
  <c r="P86" i="39"/>
  <c r="K86" i="39"/>
  <c r="G86" i="39"/>
  <c r="E86" i="39"/>
  <c r="Q85" i="39"/>
  <c r="P85" i="39"/>
  <c r="K85" i="39"/>
  <c r="G85" i="39"/>
  <c r="E85" i="39"/>
  <c r="Q84" i="39"/>
  <c r="P84" i="39"/>
  <c r="K84" i="39"/>
  <c r="G84" i="39"/>
  <c r="E84" i="39"/>
  <c r="Q83" i="39"/>
  <c r="P83" i="39"/>
  <c r="Q82" i="39"/>
  <c r="P82" i="39"/>
  <c r="K82" i="39"/>
  <c r="G82" i="39"/>
  <c r="E82" i="39"/>
  <c r="Q81" i="39"/>
  <c r="P81" i="39"/>
  <c r="K81" i="39"/>
  <c r="G81" i="39"/>
  <c r="E81" i="39"/>
  <c r="Q80" i="39"/>
  <c r="P80" i="39"/>
  <c r="K80" i="39"/>
  <c r="G80" i="39"/>
  <c r="E80" i="39"/>
  <c r="Q79" i="39"/>
  <c r="P79" i="39"/>
  <c r="K79" i="39"/>
  <c r="G79" i="39"/>
  <c r="E79" i="39"/>
  <c r="Q78" i="39"/>
  <c r="P78" i="39"/>
  <c r="K78" i="39"/>
  <c r="G78" i="39"/>
  <c r="E78" i="39"/>
  <c r="Q77" i="39"/>
  <c r="P77" i="39"/>
  <c r="K77" i="39"/>
  <c r="G77" i="39"/>
  <c r="E77" i="39"/>
  <c r="Q76" i="39"/>
  <c r="P76" i="39"/>
  <c r="K76" i="39"/>
  <c r="G76" i="39"/>
  <c r="E76" i="39"/>
  <c r="Q75" i="39"/>
  <c r="P75" i="39"/>
  <c r="Q74" i="39"/>
  <c r="P74" i="39"/>
  <c r="G74" i="39"/>
  <c r="E74" i="39"/>
  <c r="Q73" i="39"/>
  <c r="P73" i="39"/>
  <c r="G72" i="39"/>
  <c r="E72" i="39"/>
  <c r="Q72" i="39"/>
  <c r="P72" i="39"/>
  <c r="G73" i="39"/>
  <c r="E73" i="39"/>
  <c r="Q71" i="39"/>
  <c r="P71" i="39"/>
  <c r="E71" i="39"/>
  <c r="Q70" i="39"/>
  <c r="P70" i="39"/>
  <c r="G70" i="39"/>
  <c r="E70" i="39"/>
  <c r="Q69" i="39"/>
  <c r="P69" i="39"/>
  <c r="G69" i="39"/>
  <c r="E69" i="39"/>
  <c r="Q68" i="39"/>
  <c r="P68" i="39"/>
  <c r="G68" i="39"/>
  <c r="E68" i="39"/>
  <c r="Q67" i="39"/>
  <c r="P67" i="39"/>
  <c r="G67" i="39"/>
  <c r="E67" i="39"/>
  <c r="Q66" i="39"/>
  <c r="P66" i="39"/>
  <c r="G66" i="39"/>
  <c r="E66" i="39"/>
  <c r="Q65" i="39"/>
  <c r="P65" i="39"/>
  <c r="G65" i="39"/>
  <c r="E65" i="39"/>
  <c r="Q64" i="39"/>
  <c r="P64" i="39"/>
  <c r="G64" i="39"/>
  <c r="E64" i="39"/>
  <c r="Q63" i="39"/>
  <c r="P63" i="39"/>
  <c r="G63" i="39"/>
  <c r="E63" i="39"/>
  <c r="Q62" i="39"/>
  <c r="P62" i="39"/>
  <c r="G62" i="39"/>
  <c r="E62" i="39"/>
  <c r="Q61" i="39"/>
  <c r="P61" i="39"/>
  <c r="G61" i="39"/>
  <c r="E61" i="39"/>
  <c r="Q60" i="39"/>
  <c r="P60" i="39"/>
  <c r="G60" i="39"/>
  <c r="E60" i="39"/>
  <c r="Q59" i="39"/>
  <c r="P59" i="39"/>
  <c r="G59" i="39"/>
  <c r="E59" i="39"/>
  <c r="Q58" i="39"/>
  <c r="P58" i="39"/>
  <c r="G58" i="39"/>
  <c r="E58" i="39"/>
  <c r="Q57" i="39"/>
  <c r="P57" i="39"/>
  <c r="Q56" i="39"/>
  <c r="P56" i="39"/>
  <c r="G56" i="39"/>
  <c r="E56" i="39"/>
  <c r="Q55" i="39"/>
  <c r="P55" i="39"/>
  <c r="G55" i="39"/>
  <c r="E55" i="39"/>
  <c r="Q54" i="39"/>
  <c r="P54" i="39"/>
  <c r="G54" i="39"/>
  <c r="E54" i="39"/>
  <c r="Q53" i="39"/>
  <c r="P53" i="39"/>
  <c r="G53" i="39"/>
  <c r="E53" i="39"/>
  <c r="Q52" i="39"/>
  <c r="P52" i="39"/>
  <c r="G52" i="39"/>
  <c r="E52" i="39"/>
  <c r="Q51" i="39"/>
  <c r="P51" i="39"/>
  <c r="G51" i="39"/>
  <c r="E51" i="39"/>
  <c r="Q50" i="39"/>
  <c r="P50" i="39"/>
  <c r="G50" i="39"/>
  <c r="E50" i="39"/>
  <c r="Q49" i="39"/>
  <c r="P49" i="39"/>
  <c r="G49" i="39"/>
  <c r="E49" i="39"/>
  <c r="Q48" i="39"/>
  <c r="P48" i="39"/>
  <c r="G48" i="39"/>
  <c r="E48" i="39"/>
  <c r="Q47" i="39"/>
  <c r="P47" i="39"/>
  <c r="G47" i="39"/>
  <c r="E47" i="39"/>
  <c r="Q46" i="39"/>
  <c r="P46" i="39"/>
  <c r="G46" i="39"/>
  <c r="E46" i="39"/>
  <c r="Q45" i="39"/>
  <c r="P45" i="39"/>
  <c r="G45" i="39"/>
  <c r="E45" i="39"/>
  <c r="Q44" i="39"/>
  <c r="P44" i="39"/>
  <c r="G44" i="39"/>
  <c r="E44" i="39"/>
  <c r="Q43" i="39"/>
  <c r="P43" i="39"/>
  <c r="G43" i="39"/>
  <c r="E43" i="39"/>
  <c r="Q42" i="39"/>
  <c r="P42" i="39"/>
  <c r="K42" i="39"/>
  <c r="G42" i="39"/>
  <c r="E42" i="39"/>
  <c r="Q41" i="39"/>
  <c r="P41" i="39"/>
  <c r="K41" i="39"/>
  <c r="G41" i="39"/>
  <c r="E41" i="39"/>
  <c r="Q40" i="39"/>
  <c r="P40" i="39"/>
  <c r="K40" i="39"/>
  <c r="G40" i="39"/>
  <c r="E40" i="39"/>
  <c r="Q39" i="39"/>
  <c r="P39" i="39"/>
  <c r="Q38" i="39"/>
  <c r="P38" i="39"/>
  <c r="K38" i="39"/>
  <c r="G38" i="39"/>
  <c r="E38" i="39"/>
  <c r="Q37" i="39"/>
  <c r="P37" i="39"/>
  <c r="K37" i="39"/>
  <c r="G37" i="39"/>
  <c r="E37" i="39"/>
  <c r="Q36" i="39"/>
  <c r="P36" i="39"/>
  <c r="K36" i="39"/>
  <c r="G36" i="39"/>
  <c r="E36" i="39"/>
  <c r="Q35" i="39"/>
  <c r="P35" i="39"/>
  <c r="K35" i="39"/>
  <c r="G35" i="39"/>
  <c r="E35" i="39"/>
  <c r="Q34" i="39"/>
  <c r="P34" i="39"/>
  <c r="K34" i="39"/>
  <c r="G34" i="39"/>
  <c r="E34" i="39"/>
  <c r="Q33" i="39"/>
  <c r="P33" i="39"/>
  <c r="K33" i="39"/>
  <c r="G33" i="39"/>
  <c r="E33" i="39"/>
  <c r="Q32" i="39"/>
  <c r="P32" i="39"/>
  <c r="K32" i="39"/>
  <c r="G32" i="39"/>
  <c r="E32" i="39"/>
  <c r="Q31" i="39"/>
  <c r="P31" i="39"/>
  <c r="K31" i="39"/>
  <c r="G31" i="39"/>
  <c r="E31" i="39"/>
  <c r="Q30" i="39"/>
  <c r="P30" i="39"/>
  <c r="K30" i="39"/>
  <c r="G30" i="39"/>
  <c r="E30" i="39"/>
  <c r="Q29" i="39"/>
  <c r="P29" i="39"/>
  <c r="K29" i="39"/>
  <c r="G29" i="39"/>
  <c r="E29" i="39"/>
  <c r="Q28" i="39"/>
  <c r="P28" i="39"/>
  <c r="K28" i="39"/>
  <c r="G28" i="39"/>
  <c r="E28" i="39"/>
  <c r="Q27" i="39"/>
  <c r="P27" i="39"/>
  <c r="K27" i="39"/>
  <c r="G27" i="39"/>
  <c r="E27" i="39"/>
  <c r="Q26" i="39"/>
  <c r="P26" i="39"/>
  <c r="K26" i="39"/>
  <c r="G26" i="39"/>
  <c r="E26" i="39"/>
  <c r="Q25" i="39"/>
  <c r="P25" i="39"/>
  <c r="K25" i="39"/>
  <c r="G25" i="39"/>
  <c r="E25" i="39"/>
  <c r="Q24" i="39"/>
  <c r="P24" i="39"/>
  <c r="K24" i="39"/>
  <c r="G24" i="39"/>
  <c r="E24" i="39"/>
  <c r="Q23" i="39"/>
  <c r="P23" i="39"/>
  <c r="Q22" i="39"/>
  <c r="P22" i="39"/>
  <c r="Q21" i="39"/>
  <c r="P21" i="39"/>
  <c r="Q20" i="39"/>
  <c r="P20" i="39"/>
  <c r="K20" i="39"/>
  <c r="G20" i="39"/>
  <c r="E20" i="39"/>
  <c r="Q19" i="39"/>
  <c r="P19" i="39"/>
  <c r="K19" i="39"/>
  <c r="G19" i="39"/>
  <c r="E19" i="39"/>
  <c r="Q18" i="39"/>
  <c r="P18" i="39"/>
  <c r="K18" i="39"/>
  <c r="G18" i="39"/>
  <c r="E18" i="39"/>
  <c r="Q17" i="39"/>
  <c r="P17" i="39"/>
  <c r="K17" i="39"/>
  <c r="G17" i="39"/>
  <c r="E17" i="39"/>
  <c r="Q16" i="39"/>
  <c r="P16" i="39"/>
  <c r="K16" i="39"/>
  <c r="G16" i="39"/>
  <c r="E16" i="39"/>
  <c r="Q15" i="39"/>
  <c r="P15" i="39"/>
  <c r="Q14" i="39"/>
  <c r="P14" i="39"/>
  <c r="K14" i="39"/>
  <c r="G14" i="39"/>
  <c r="E14" i="39"/>
  <c r="Q13" i="39"/>
  <c r="P13" i="39"/>
  <c r="K13" i="39"/>
  <c r="G13" i="39"/>
  <c r="E13" i="39"/>
  <c r="Q12" i="39"/>
  <c r="P12" i="39"/>
  <c r="K12" i="39"/>
  <c r="G12" i="39"/>
  <c r="E12" i="39"/>
  <c r="Q11" i="39"/>
  <c r="P11" i="39"/>
  <c r="K11" i="39"/>
  <c r="G11" i="39"/>
  <c r="E11" i="39"/>
  <c r="Q10" i="39"/>
  <c r="P10" i="39"/>
  <c r="K10" i="39"/>
  <c r="G10" i="39"/>
  <c r="E10" i="39"/>
  <c r="Q9" i="39"/>
  <c r="P9" i="39"/>
  <c r="K9" i="39"/>
  <c r="G9" i="39"/>
  <c r="E9" i="39"/>
  <c r="Q8" i="39"/>
  <c r="P8" i="39"/>
  <c r="K8" i="39"/>
  <c r="G8" i="39"/>
  <c r="E8" i="39"/>
  <c r="Q7" i="39"/>
  <c r="P7" i="39"/>
  <c r="L7" i="39"/>
  <c r="M7" i="39"/>
  <c r="N7" i="39" s="1"/>
  <c r="K7" i="39"/>
  <c r="G7" i="39"/>
  <c r="E7" i="39"/>
  <c r="Q6" i="39"/>
  <c r="P6" i="39"/>
  <c r="L6" i="39"/>
  <c r="K6" i="39"/>
  <c r="G6" i="39"/>
  <c r="E6" i="39"/>
  <c r="H415" i="37"/>
  <c r="J103" i="38"/>
  <c r="F103" i="38"/>
  <c r="D103" i="38"/>
  <c r="D417" i="38" s="1"/>
  <c r="K194" i="37"/>
  <c r="L194" i="37" s="1"/>
  <c r="G194" i="37"/>
  <c r="M194" i="37" s="1"/>
  <c r="N194" i="37" s="1"/>
  <c r="O194" i="37" s="1"/>
  <c r="K363" i="38"/>
  <c r="K362" i="38"/>
  <c r="K361" i="38"/>
  <c r="J114" i="38"/>
  <c r="F114" i="38"/>
  <c r="L114" i="38"/>
  <c r="M114" i="38"/>
  <c r="N114" i="38" s="1"/>
  <c r="D114" i="38"/>
  <c r="G129" i="38"/>
  <c r="K104" i="38"/>
  <c r="K105" i="38"/>
  <c r="C417" i="38"/>
  <c r="Q416" i="38"/>
  <c r="P416" i="38"/>
  <c r="Q415" i="38"/>
  <c r="P415" i="38"/>
  <c r="K415" i="38"/>
  <c r="G415" i="38"/>
  <c r="E415" i="38"/>
  <c r="Q414" i="38"/>
  <c r="P414" i="38"/>
  <c r="Q413" i="38"/>
  <c r="P413" i="38"/>
  <c r="K413" i="38"/>
  <c r="G413" i="38"/>
  <c r="E413" i="38"/>
  <c r="Q412" i="38"/>
  <c r="P412" i="38"/>
  <c r="Q411" i="38"/>
  <c r="P411" i="38"/>
  <c r="Q410" i="38"/>
  <c r="P410" i="38"/>
  <c r="K410" i="38"/>
  <c r="G410" i="38"/>
  <c r="E410" i="38"/>
  <c r="Q409" i="38"/>
  <c r="P409" i="38"/>
  <c r="K409" i="38"/>
  <c r="G409" i="38"/>
  <c r="E409" i="38"/>
  <c r="Q408" i="38"/>
  <c r="P408" i="38"/>
  <c r="Q407" i="38"/>
  <c r="P407" i="38"/>
  <c r="K408" i="38"/>
  <c r="G408" i="38"/>
  <c r="E408" i="38"/>
  <c r="Q406" i="38"/>
  <c r="P406" i="38"/>
  <c r="K406" i="38"/>
  <c r="G406" i="38"/>
  <c r="E406" i="38"/>
  <c r="Q405" i="38"/>
  <c r="P405" i="38"/>
  <c r="K405" i="38"/>
  <c r="G405" i="38"/>
  <c r="E405" i="38"/>
  <c r="Q404" i="38"/>
  <c r="P404" i="38"/>
  <c r="K404" i="38"/>
  <c r="G404" i="38"/>
  <c r="E404" i="38"/>
  <c r="Q403" i="38"/>
  <c r="P403" i="38"/>
  <c r="K403" i="38"/>
  <c r="G403" i="38"/>
  <c r="E403" i="38"/>
  <c r="Q402" i="38"/>
  <c r="P402" i="38"/>
  <c r="K402" i="38"/>
  <c r="G402" i="38"/>
  <c r="E402" i="38"/>
  <c r="Q401" i="38"/>
  <c r="P401" i="38"/>
  <c r="K401" i="38"/>
  <c r="G401" i="38"/>
  <c r="E401" i="38"/>
  <c r="Q400" i="38"/>
  <c r="P400" i="38"/>
  <c r="K400" i="38"/>
  <c r="G400" i="38"/>
  <c r="E400" i="38"/>
  <c r="Q399" i="38"/>
  <c r="P399" i="38"/>
  <c r="K399" i="38"/>
  <c r="G399" i="38"/>
  <c r="E399" i="38"/>
  <c r="Q398" i="38"/>
  <c r="P398" i="38"/>
  <c r="K398" i="38"/>
  <c r="G398" i="38"/>
  <c r="E398" i="38"/>
  <c r="Q397" i="38"/>
  <c r="P397" i="38"/>
  <c r="K397" i="38"/>
  <c r="G397" i="38"/>
  <c r="E397" i="38"/>
  <c r="Q396" i="38"/>
  <c r="P396" i="38"/>
  <c r="K396" i="38"/>
  <c r="G396" i="38"/>
  <c r="E396" i="38"/>
  <c r="Q395" i="38"/>
  <c r="P395" i="38"/>
  <c r="K395" i="38"/>
  <c r="G395" i="38"/>
  <c r="E395" i="38"/>
  <c r="Q394" i="38"/>
  <c r="P394" i="38"/>
  <c r="K394" i="38"/>
  <c r="G394" i="38"/>
  <c r="E394" i="38"/>
  <c r="Q393" i="38"/>
  <c r="P393" i="38"/>
  <c r="K393" i="38"/>
  <c r="G393" i="38"/>
  <c r="E393" i="38"/>
  <c r="Q392" i="38"/>
  <c r="P392" i="38"/>
  <c r="K392" i="38"/>
  <c r="G392" i="38"/>
  <c r="E392" i="38"/>
  <c r="Q391" i="38"/>
  <c r="P391" i="38"/>
  <c r="K391" i="38"/>
  <c r="G391" i="38"/>
  <c r="E391" i="38"/>
  <c r="Q390" i="38"/>
  <c r="P390" i="38"/>
  <c r="K390" i="38"/>
  <c r="G390" i="38"/>
  <c r="E390" i="38"/>
  <c r="Q389" i="38"/>
  <c r="P389" i="38"/>
  <c r="Q388" i="38"/>
  <c r="P388" i="38"/>
  <c r="K388" i="38"/>
  <c r="G388" i="38"/>
  <c r="E388" i="38"/>
  <c r="Q387" i="38"/>
  <c r="P387" i="38"/>
  <c r="K387" i="38"/>
  <c r="G387" i="38"/>
  <c r="E387" i="38"/>
  <c r="Q386" i="38"/>
  <c r="P386" i="38"/>
  <c r="K386" i="38"/>
  <c r="G386" i="38"/>
  <c r="E386" i="38"/>
  <c r="Q385" i="38"/>
  <c r="P385" i="38"/>
  <c r="K385" i="38"/>
  <c r="G385" i="38"/>
  <c r="E385" i="38"/>
  <c r="Q384" i="38"/>
  <c r="P384" i="38"/>
  <c r="K384" i="38"/>
  <c r="G384" i="38"/>
  <c r="E384" i="38"/>
  <c r="Q383" i="38"/>
  <c r="P383" i="38"/>
  <c r="K383" i="38"/>
  <c r="G383" i="38"/>
  <c r="E383" i="38"/>
  <c r="Q382" i="38"/>
  <c r="P382" i="38"/>
  <c r="Q381" i="38"/>
  <c r="P381" i="38"/>
  <c r="K381" i="38"/>
  <c r="G381" i="38"/>
  <c r="E381" i="38"/>
  <c r="Q380" i="38"/>
  <c r="P380" i="38"/>
  <c r="K380" i="38"/>
  <c r="G380" i="38"/>
  <c r="E380" i="38"/>
  <c r="Q379" i="38"/>
  <c r="P379" i="38"/>
  <c r="K373" i="38"/>
  <c r="G373" i="38"/>
  <c r="E373" i="38"/>
  <c r="Q378" i="38"/>
  <c r="P378" i="38"/>
  <c r="K372" i="38"/>
  <c r="G372" i="38"/>
  <c r="E372" i="38"/>
  <c r="Q377" i="38"/>
  <c r="P377" i="38"/>
  <c r="K371" i="38"/>
  <c r="G371" i="38"/>
  <c r="E371" i="38"/>
  <c r="Q376" i="38"/>
  <c r="P376" i="38"/>
  <c r="K370" i="38"/>
  <c r="G370" i="38"/>
  <c r="E370" i="38"/>
  <c r="Q375" i="38"/>
  <c r="P375" i="38"/>
  <c r="K369" i="38"/>
  <c r="G369" i="38"/>
  <c r="E369" i="38"/>
  <c r="Q374" i="38"/>
  <c r="P374" i="38"/>
  <c r="K368" i="38"/>
  <c r="G368" i="38"/>
  <c r="E368" i="38"/>
  <c r="Q373" i="38"/>
  <c r="P373" i="38"/>
  <c r="K367" i="38"/>
  <c r="G367" i="38"/>
  <c r="E367" i="38"/>
  <c r="Q372" i="38"/>
  <c r="P372" i="38"/>
  <c r="K366" i="38"/>
  <c r="G366" i="38"/>
  <c r="E366" i="38"/>
  <c r="Q371" i="38"/>
  <c r="P371" i="38"/>
  <c r="K365" i="38"/>
  <c r="G365" i="38"/>
  <c r="E365" i="38"/>
  <c r="Q370" i="38"/>
  <c r="P370" i="38"/>
  <c r="K364" i="38"/>
  <c r="G364" i="38"/>
  <c r="E364" i="38"/>
  <c r="Q369" i="38"/>
  <c r="P369" i="38"/>
  <c r="G363" i="38"/>
  <c r="E363" i="38"/>
  <c r="Q368" i="38"/>
  <c r="P368" i="38"/>
  <c r="G362" i="38"/>
  <c r="E362" i="38"/>
  <c r="Q367" i="38"/>
  <c r="P367" i="38"/>
  <c r="G361" i="38"/>
  <c r="E361" i="38"/>
  <c r="Q366" i="38"/>
  <c r="P366" i="38"/>
  <c r="K379" i="38"/>
  <c r="G379" i="38"/>
  <c r="E379" i="38"/>
  <c r="Q365" i="38"/>
  <c r="P365" i="38"/>
  <c r="K378" i="38"/>
  <c r="G378" i="38"/>
  <c r="E378" i="38"/>
  <c r="Q364" i="38"/>
  <c r="P364" i="38"/>
  <c r="K377" i="38"/>
  <c r="G377" i="38"/>
  <c r="E377" i="38"/>
  <c r="Q363" i="38"/>
  <c r="P363" i="38"/>
  <c r="K376" i="38"/>
  <c r="G376" i="38"/>
  <c r="E376" i="38"/>
  <c r="Q362" i="38"/>
  <c r="P362" i="38"/>
  <c r="K375" i="38"/>
  <c r="G375" i="38"/>
  <c r="E375" i="38"/>
  <c r="Q361" i="38"/>
  <c r="P361" i="38"/>
  <c r="K374" i="38"/>
  <c r="G374" i="38"/>
  <c r="E374" i="38"/>
  <c r="Q360" i="38"/>
  <c r="P360" i="38"/>
  <c r="K360" i="38"/>
  <c r="G360" i="38"/>
  <c r="E360" i="38"/>
  <c r="Q359" i="38"/>
  <c r="P359" i="38"/>
  <c r="K359" i="38"/>
  <c r="G359" i="38"/>
  <c r="E359" i="38"/>
  <c r="Q358" i="38"/>
  <c r="P358" i="38"/>
  <c r="K358" i="38"/>
  <c r="G358" i="38"/>
  <c r="E358" i="38"/>
  <c r="Q357" i="38"/>
  <c r="P357" i="38"/>
  <c r="K357" i="38"/>
  <c r="G357" i="38"/>
  <c r="E357" i="38"/>
  <c r="Q356" i="38"/>
  <c r="P356" i="38"/>
  <c r="K356" i="38"/>
  <c r="G356" i="38"/>
  <c r="E356" i="38"/>
  <c r="Q355" i="38"/>
  <c r="P355" i="38"/>
  <c r="K355" i="38"/>
  <c r="G355" i="38"/>
  <c r="E355" i="38"/>
  <c r="Q354" i="38"/>
  <c r="P354" i="38"/>
  <c r="K354" i="38"/>
  <c r="G354" i="38"/>
  <c r="E354" i="38"/>
  <c r="Q353" i="38"/>
  <c r="P353" i="38"/>
  <c r="K353" i="38"/>
  <c r="G353" i="38"/>
  <c r="E353" i="38"/>
  <c r="Q352" i="38"/>
  <c r="P352" i="38"/>
  <c r="K352" i="38"/>
  <c r="G352" i="38"/>
  <c r="E352" i="38"/>
  <c r="Q351" i="38"/>
  <c r="P351" i="38"/>
  <c r="K351" i="38"/>
  <c r="G351" i="38"/>
  <c r="E351" i="38"/>
  <c r="Q350" i="38"/>
  <c r="P350" i="38"/>
  <c r="K350" i="38"/>
  <c r="G350" i="38"/>
  <c r="E350" i="38"/>
  <c r="Q349" i="38"/>
  <c r="P349" i="38"/>
  <c r="K349" i="38"/>
  <c r="G349" i="38"/>
  <c r="E349" i="38"/>
  <c r="Q348" i="38"/>
  <c r="P348" i="38"/>
  <c r="K348" i="38"/>
  <c r="G348" i="38"/>
  <c r="E348" i="38"/>
  <c r="Q347" i="38"/>
  <c r="P347" i="38"/>
  <c r="K347" i="38"/>
  <c r="G347" i="38"/>
  <c r="E347" i="38"/>
  <c r="Q346" i="38"/>
  <c r="P346" i="38"/>
  <c r="K346" i="38"/>
  <c r="G346" i="38"/>
  <c r="E346" i="38"/>
  <c r="Q345" i="38"/>
  <c r="P345" i="38"/>
  <c r="K345" i="38"/>
  <c r="G345" i="38"/>
  <c r="E345" i="38"/>
  <c r="Q344" i="38"/>
  <c r="P344" i="38"/>
  <c r="K344" i="38"/>
  <c r="G344" i="38"/>
  <c r="E344" i="38"/>
  <c r="Q343" i="38"/>
  <c r="P343" i="38"/>
  <c r="K343" i="38"/>
  <c r="G343" i="38"/>
  <c r="E343" i="38"/>
  <c r="Q342" i="38"/>
  <c r="P342" i="38"/>
  <c r="K342" i="38"/>
  <c r="G342" i="38"/>
  <c r="E342" i="38"/>
  <c r="Q341" i="38"/>
  <c r="P341" i="38"/>
  <c r="K341" i="38"/>
  <c r="G341" i="38"/>
  <c r="E341" i="38"/>
  <c r="Q340" i="38"/>
  <c r="P340" i="38"/>
  <c r="K340" i="38"/>
  <c r="G340" i="38"/>
  <c r="E340" i="38"/>
  <c r="Q339" i="38"/>
  <c r="P339" i="38"/>
  <c r="K339" i="38"/>
  <c r="G339" i="38"/>
  <c r="E339" i="38"/>
  <c r="Q338" i="38"/>
  <c r="P338" i="38"/>
  <c r="K338" i="38"/>
  <c r="G338" i="38"/>
  <c r="E338" i="38"/>
  <c r="Q337" i="38"/>
  <c r="P337" i="38"/>
  <c r="K337" i="38"/>
  <c r="G337" i="38"/>
  <c r="E337" i="38"/>
  <c r="Q336" i="38"/>
  <c r="P336" i="38"/>
  <c r="K334" i="38"/>
  <c r="G334" i="38"/>
  <c r="E334" i="38"/>
  <c r="Q335" i="38"/>
  <c r="P335" i="38"/>
  <c r="K333" i="38"/>
  <c r="G333" i="38"/>
  <c r="E333" i="38"/>
  <c r="Q334" i="38"/>
  <c r="P334" i="38"/>
  <c r="K335" i="38"/>
  <c r="G335" i="38"/>
  <c r="E335" i="38"/>
  <c r="Q333" i="38"/>
  <c r="P333" i="38"/>
  <c r="K336" i="38"/>
  <c r="G336" i="38"/>
  <c r="E336" i="38"/>
  <c r="Q332" i="38"/>
  <c r="P332" i="38"/>
  <c r="K332" i="38"/>
  <c r="G332" i="38"/>
  <c r="E332" i="38"/>
  <c r="Q331" i="38"/>
  <c r="P331" i="38"/>
  <c r="K331" i="38"/>
  <c r="G331" i="38"/>
  <c r="E331" i="38"/>
  <c r="Q330" i="38"/>
  <c r="P330" i="38"/>
  <c r="K330" i="38"/>
  <c r="G330" i="38"/>
  <c r="E330" i="38"/>
  <c r="Q329" i="38"/>
  <c r="P329" i="38"/>
  <c r="K329" i="38"/>
  <c r="G329" i="38"/>
  <c r="E329" i="38"/>
  <c r="Q328" i="38"/>
  <c r="P328" i="38"/>
  <c r="K328" i="38"/>
  <c r="G328" i="38"/>
  <c r="E328" i="38"/>
  <c r="Q327" i="38"/>
  <c r="P327" i="38"/>
  <c r="K327" i="38"/>
  <c r="G327" i="38"/>
  <c r="E327" i="38"/>
  <c r="Q326" i="38"/>
  <c r="P326" i="38"/>
  <c r="K326" i="38"/>
  <c r="G326" i="38"/>
  <c r="E326" i="38"/>
  <c r="Q325" i="38"/>
  <c r="P325" i="38"/>
  <c r="K325" i="38"/>
  <c r="G325" i="38"/>
  <c r="E325" i="38"/>
  <c r="Q324" i="38"/>
  <c r="P324" i="38"/>
  <c r="K324" i="38"/>
  <c r="G324" i="38"/>
  <c r="E324" i="38"/>
  <c r="Q323" i="38"/>
  <c r="P323" i="38"/>
  <c r="K323" i="38"/>
  <c r="G323" i="38"/>
  <c r="E323" i="38"/>
  <c r="Q322" i="38"/>
  <c r="P322" i="38"/>
  <c r="K322" i="38"/>
  <c r="G322" i="38"/>
  <c r="E322" i="38"/>
  <c r="Q321" i="38"/>
  <c r="P321" i="38"/>
  <c r="K321" i="38"/>
  <c r="G321" i="38"/>
  <c r="E321" i="38"/>
  <c r="Q320" i="38"/>
  <c r="P320" i="38"/>
  <c r="K320" i="38"/>
  <c r="G320" i="38"/>
  <c r="E320" i="38"/>
  <c r="Q319" i="38"/>
  <c r="P319" i="38"/>
  <c r="K319" i="38"/>
  <c r="G319" i="38"/>
  <c r="E319" i="38"/>
  <c r="Q318" i="38"/>
  <c r="P318" i="38"/>
  <c r="K318" i="38"/>
  <c r="G318" i="38"/>
  <c r="E318" i="38"/>
  <c r="Q317" i="38"/>
  <c r="P317" i="38"/>
  <c r="K317" i="38"/>
  <c r="G317" i="38"/>
  <c r="E317" i="38"/>
  <c r="Q316" i="38"/>
  <c r="P316" i="38"/>
  <c r="K316" i="38"/>
  <c r="G316" i="38"/>
  <c r="E316" i="38"/>
  <c r="Q315" i="38"/>
  <c r="P315" i="38"/>
  <c r="K315" i="38"/>
  <c r="G315" i="38"/>
  <c r="E315" i="38"/>
  <c r="Q314" i="38"/>
  <c r="P314" i="38"/>
  <c r="K314" i="38"/>
  <c r="G314" i="38"/>
  <c r="E314" i="38"/>
  <c r="Q313" i="38"/>
  <c r="P313" i="38"/>
  <c r="K312" i="38"/>
  <c r="G312" i="38"/>
  <c r="E312" i="38"/>
  <c r="Q312" i="38"/>
  <c r="P312" i="38"/>
  <c r="K313" i="38"/>
  <c r="G313" i="38"/>
  <c r="E313" i="38"/>
  <c r="Q311" i="38"/>
  <c r="P311" i="38"/>
  <c r="K311" i="38"/>
  <c r="G311" i="38"/>
  <c r="E311" i="38"/>
  <c r="Q310" i="38"/>
  <c r="P310" i="38"/>
  <c r="K310" i="38"/>
  <c r="G310" i="38"/>
  <c r="E310" i="38"/>
  <c r="Q309" i="38"/>
  <c r="P309" i="38"/>
  <c r="K309" i="38"/>
  <c r="G309" i="38"/>
  <c r="E309" i="38"/>
  <c r="Q308" i="38"/>
  <c r="P308" i="38"/>
  <c r="K308" i="38"/>
  <c r="G308" i="38"/>
  <c r="E308" i="38"/>
  <c r="Q307" i="38"/>
  <c r="P307" i="38"/>
  <c r="K307" i="38"/>
  <c r="G307" i="38"/>
  <c r="E307" i="38"/>
  <c r="Q306" i="38"/>
  <c r="P306" i="38"/>
  <c r="K306" i="38"/>
  <c r="G306" i="38"/>
  <c r="E306" i="38"/>
  <c r="Q305" i="38"/>
  <c r="P305" i="38"/>
  <c r="K305" i="38"/>
  <c r="G305" i="38"/>
  <c r="E305" i="38"/>
  <c r="Q304" i="38"/>
  <c r="P304" i="38"/>
  <c r="K304" i="38"/>
  <c r="G304" i="38"/>
  <c r="E304" i="38"/>
  <c r="Q303" i="38"/>
  <c r="P303" i="38"/>
  <c r="K303" i="38"/>
  <c r="G303" i="38"/>
  <c r="E303" i="38"/>
  <c r="Q302" i="38"/>
  <c r="P302" i="38"/>
  <c r="K302" i="38"/>
  <c r="G302" i="38"/>
  <c r="E302" i="38"/>
  <c r="Q301" i="38"/>
  <c r="P301" i="38"/>
  <c r="G301" i="38"/>
  <c r="E301" i="38"/>
  <c r="Q300" i="38"/>
  <c r="P300" i="38"/>
  <c r="K300" i="38"/>
  <c r="G300" i="38"/>
  <c r="E300" i="38"/>
  <c r="Q299" i="38"/>
  <c r="P299" i="38"/>
  <c r="K299" i="38"/>
  <c r="G299" i="38"/>
  <c r="E299" i="38"/>
  <c r="Q298" i="38"/>
  <c r="P298" i="38"/>
  <c r="K298" i="38"/>
  <c r="G298" i="38"/>
  <c r="E298" i="38"/>
  <c r="Q297" i="38"/>
  <c r="P297" i="38"/>
  <c r="K297" i="38"/>
  <c r="G297" i="38"/>
  <c r="E297" i="38"/>
  <c r="Q296" i="38"/>
  <c r="P296" i="38"/>
  <c r="K296" i="38"/>
  <c r="G296" i="38"/>
  <c r="E296" i="38"/>
  <c r="Q295" i="38"/>
  <c r="P295" i="38"/>
  <c r="K295" i="38"/>
  <c r="G295" i="38"/>
  <c r="E295" i="38"/>
  <c r="Q294" i="38"/>
  <c r="P294" i="38"/>
  <c r="K294" i="38"/>
  <c r="G294" i="38"/>
  <c r="E294" i="38"/>
  <c r="Q293" i="38"/>
  <c r="P293" i="38"/>
  <c r="K293" i="38"/>
  <c r="G293" i="38"/>
  <c r="E293" i="38"/>
  <c r="Q292" i="38"/>
  <c r="P292" i="38"/>
  <c r="K292" i="38"/>
  <c r="G292" i="38"/>
  <c r="E292" i="38"/>
  <c r="Q291" i="38"/>
  <c r="P291" i="38"/>
  <c r="K291" i="38"/>
  <c r="G291" i="38"/>
  <c r="E291" i="38"/>
  <c r="Q290" i="38"/>
  <c r="P290" i="38"/>
  <c r="K290" i="38"/>
  <c r="G290" i="38"/>
  <c r="E290" i="38"/>
  <c r="Q289" i="38"/>
  <c r="P289" i="38"/>
  <c r="K289" i="38"/>
  <c r="G289" i="38"/>
  <c r="E289" i="38"/>
  <c r="Q288" i="38"/>
  <c r="P288" i="38"/>
  <c r="K288" i="38"/>
  <c r="G288" i="38"/>
  <c r="E288" i="38"/>
  <c r="Q287" i="38"/>
  <c r="P287" i="38"/>
  <c r="K287" i="38"/>
  <c r="G287" i="38"/>
  <c r="E287" i="38"/>
  <c r="Q286" i="38"/>
  <c r="P286" i="38"/>
  <c r="K286" i="38"/>
  <c r="G286" i="38"/>
  <c r="E286" i="38"/>
  <c r="Q285" i="38"/>
  <c r="P285" i="38"/>
  <c r="K285" i="38"/>
  <c r="G285" i="38"/>
  <c r="E285" i="38"/>
  <c r="Q284" i="38"/>
  <c r="P284" i="38"/>
  <c r="K284" i="38"/>
  <c r="G284" i="38"/>
  <c r="E284" i="38"/>
  <c r="Q283" i="38"/>
  <c r="P283" i="38"/>
  <c r="K283" i="38"/>
  <c r="G283" i="38"/>
  <c r="E283" i="38"/>
  <c r="Q282" i="38"/>
  <c r="P282" i="38"/>
  <c r="K282" i="38"/>
  <c r="G282" i="38"/>
  <c r="E282" i="38"/>
  <c r="Q281" i="38"/>
  <c r="P281" i="38"/>
  <c r="K281" i="38"/>
  <c r="G281" i="38"/>
  <c r="E281" i="38"/>
  <c r="Q280" i="38"/>
  <c r="P280" i="38"/>
  <c r="K280" i="38"/>
  <c r="G280" i="38"/>
  <c r="E280" i="38"/>
  <c r="Q279" i="38"/>
  <c r="P279" i="38"/>
  <c r="G279" i="38"/>
  <c r="E279" i="38"/>
  <c r="Q278" i="38"/>
  <c r="P278" i="38"/>
  <c r="Q277" i="38"/>
  <c r="P277" i="38"/>
  <c r="K277" i="38"/>
  <c r="G277" i="38"/>
  <c r="E277" i="38"/>
  <c r="Q276" i="38"/>
  <c r="P276" i="38"/>
  <c r="Q275" i="38"/>
  <c r="P275" i="38"/>
  <c r="K275" i="38"/>
  <c r="G275" i="38"/>
  <c r="E275" i="38"/>
  <c r="Q274" i="38"/>
  <c r="P274" i="38"/>
  <c r="K274" i="38"/>
  <c r="G274" i="38"/>
  <c r="E274" i="38"/>
  <c r="Q273" i="38"/>
  <c r="P273" i="38"/>
  <c r="K273" i="38"/>
  <c r="G273" i="38"/>
  <c r="E273" i="38"/>
  <c r="Q272" i="38"/>
  <c r="P272" i="38"/>
  <c r="K272" i="38"/>
  <c r="G272" i="38"/>
  <c r="E272" i="38"/>
  <c r="Q271" i="38"/>
  <c r="P271" i="38"/>
  <c r="K271" i="38"/>
  <c r="G271" i="38"/>
  <c r="E271" i="38"/>
  <c r="Q270" i="38"/>
  <c r="P270" i="38"/>
  <c r="K270" i="38"/>
  <c r="G270" i="38"/>
  <c r="E270" i="38"/>
  <c r="Q269" i="38"/>
  <c r="P269" i="38"/>
  <c r="K269" i="38"/>
  <c r="G269" i="38"/>
  <c r="E269" i="38"/>
  <c r="Q268" i="38"/>
  <c r="P268" i="38"/>
  <c r="K268" i="38"/>
  <c r="G268" i="38"/>
  <c r="E268" i="38"/>
  <c r="Q267" i="38"/>
  <c r="P267" i="38"/>
  <c r="K267" i="38"/>
  <c r="G267" i="38"/>
  <c r="E267" i="38"/>
  <c r="Q266" i="38"/>
  <c r="P266" i="38"/>
  <c r="K266" i="38"/>
  <c r="G266" i="38"/>
  <c r="E266" i="38"/>
  <c r="Q265" i="38"/>
  <c r="P265" i="38"/>
  <c r="K265" i="38"/>
  <c r="G265" i="38"/>
  <c r="E265" i="38"/>
  <c r="Q264" i="38"/>
  <c r="P264" i="38"/>
  <c r="K264" i="38"/>
  <c r="G264" i="38"/>
  <c r="E264" i="38"/>
  <c r="Q263" i="38"/>
  <c r="P263" i="38"/>
  <c r="K263" i="38"/>
  <c r="G263" i="38"/>
  <c r="E263" i="38"/>
  <c r="Q262" i="38"/>
  <c r="P262" i="38"/>
  <c r="K262" i="38"/>
  <c r="G262" i="38"/>
  <c r="E262" i="38"/>
  <c r="Q261" i="38"/>
  <c r="P261" i="38"/>
  <c r="K261" i="38"/>
  <c r="G261" i="38"/>
  <c r="E261" i="38"/>
  <c r="Q260" i="38"/>
  <c r="P260" i="38"/>
  <c r="K260" i="38"/>
  <c r="G260" i="38"/>
  <c r="E260" i="38"/>
  <c r="Q259" i="38"/>
  <c r="P259" i="38"/>
  <c r="K259" i="38"/>
  <c r="G259" i="38"/>
  <c r="E259" i="38"/>
  <c r="Q258" i="38"/>
  <c r="P258" i="38"/>
  <c r="K258" i="38"/>
  <c r="G258" i="38"/>
  <c r="E258" i="38"/>
  <c r="Q257" i="38"/>
  <c r="P257" i="38"/>
  <c r="K257" i="38"/>
  <c r="G257" i="38"/>
  <c r="E257" i="38"/>
  <c r="Q256" i="38"/>
  <c r="P256" i="38"/>
  <c r="K256" i="38"/>
  <c r="G256" i="38"/>
  <c r="E256" i="38"/>
  <c r="Q255" i="38"/>
  <c r="P255" i="38"/>
  <c r="K255" i="38"/>
  <c r="G255" i="38"/>
  <c r="E255" i="38"/>
  <c r="Q254" i="38"/>
  <c r="P254" i="38"/>
  <c r="K254" i="38"/>
  <c r="G254" i="38"/>
  <c r="E254" i="38"/>
  <c r="Q253" i="38"/>
  <c r="P253" i="38"/>
  <c r="K253" i="38"/>
  <c r="G253" i="38"/>
  <c r="E253" i="38"/>
  <c r="Q252" i="38"/>
  <c r="P252" i="38"/>
  <c r="K252" i="38"/>
  <c r="G252" i="38"/>
  <c r="E252" i="38"/>
  <c r="Q251" i="38"/>
  <c r="P251" i="38"/>
  <c r="K251" i="38"/>
  <c r="G251" i="38"/>
  <c r="E251" i="38"/>
  <c r="Q250" i="38"/>
  <c r="P250" i="38"/>
  <c r="K250" i="38"/>
  <c r="G250" i="38"/>
  <c r="E250" i="38"/>
  <c r="Q249" i="38"/>
  <c r="P249" i="38"/>
  <c r="K249" i="38"/>
  <c r="G249" i="38"/>
  <c r="E249" i="38"/>
  <c r="Q248" i="38"/>
  <c r="P248" i="38"/>
  <c r="K248" i="38"/>
  <c r="G248" i="38"/>
  <c r="E248" i="38"/>
  <c r="Q247" i="38"/>
  <c r="P247" i="38"/>
  <c r="K247" i="38"/>
  <c r="G247" i="38"/>
  <c r="E247" i="38"/>
  <c r="Q246" i="38"/>
  <c r="P246" i="38"/>
  <c r="K246" i="38"/>
  <c r="G246" i="38"/>
  <c r="E246" i="38"/>
  <c r="Q245" i="38"/>
  <c r="P245" i="38"/>
  <c r="K245" i="38"/>
  <c r="G245" i="38"/>
  <c r="E245" i="38"/>
  <c r="Q244" i="38"/>
  <c r="P244" i="38"/>
  <c r="K244" i="38"/>
  <c r="G244" i="38"/>
  <c r="E244" i="38"/>
  <c r="Q243" i="38"/>
  <c r="P243" i="38"/>
  <c r="K243" i="38"/>
  <c r="G243" i="38"/>
  <c r="E243" i="38"/>
  <c r="Q242" i="38"/>
  <c r="P242" i="38"/>
  <c r="K242" i="38"/>
  <c r="G242" i="38"/>
  <c r="E242" i="38"/>
  <c r="Q241" i="38"/>
  <c r="P241" i="38"/>
  <c r="K241" i="38"/>
  <c r="G241" i="38"/>
  <c r="E241" i="38"/>
  <c r="Q240" i="38"/>
  <c r="P240" i="38"/>
  <c r="K240" i="38"/>
  <c r="G240" i="38"/>
  <c r="E240" i="38"/>
  <c r="Q239" i="38"/>
  <c r="P239" i="38"/>
  <c r="K239" i="38"/>
  <c r="G239" i="38"/>
  <c r="E239" i="38"/>
  <c r="Q238" i="38"/>
  <c r="P238" i="38"/>
  <c r="K238" i="38"/>
  <c r="G238" i="38"/>
  <c r="E238" i="38"/>
  <c r="Q237" i="38"/>
  <c r="P237" i="38"/>
  <c r="K237" i="38"/>
  <c r="G237" i="38"/>
  <c r="E237" i="38"/>
  <c r="Q236" i="38"/>
  <c r="P236" i="38"/>
  <c r="K236" i="38"/>
  <c r="G236" i="38"/>
  <c r="E236" i="38"/>
  <c r="Q235" i="38"/>
  <c r="P235" i="38"/>
  <c r="K235" i="38"/>
  <c r="G235" i="38"/>
  <c r="E235" i="38"/>
  <c r="Q234" i="38"/>
  <c r="P234" i="38"/>
  <c r="K234" i="38"/>
  <c r="G234" i="38"/>
  <c r="E234" i="38"/>
  <c r="Q233" i="38"/>
  <c r="P233" i="38"/>
  <c r="K233" i="38"/>
  <c r="G233" i="38"/>
  <c r="E233" i="38"/>
  <c r="Q232" i="38"/>
  <c r="P232" i="38"/>
  <c r="K232" i="38"/>
  <c r="G232" i="38"/>
  <c r="E232" i="38"/>
  <c r="Q231" i="38"/>
  <c r="P231" i="38"/>
  <c r="K231" i="38"/>
  <c r="G231" i="38"/>
  <c r="E231" i="38"/>
  <c r="Q230" i="38"/>
  <c r="P230" i="38"/>
  <c r="K230" i="38"/>
  <c r="G230" i="38"/>
  <c r="E230" i="38"/>
  <c r="Q229" i="38"/>
  <c r="P229" i="38"/>
  <c r="K229" i="38"/>
  <c r="G229" i="38"/>
  <c r="E229" i="38"/>
  <c r="Q228" i="38"/>
  <c r="P228" i="38"/>
  <c r="K228" i="38"/>
  <c r="G228" i="38"/>
  <c r="E228" i="38"/>
  <c r="Q227" i="38"/>
  <c r="P227" i="38"/>
  <c r="K227" i="38"/>
  <c r="G227" i="38"/>
  <c r="E227" i="38"/>
  <c r="Q226" i="38"/>
  <c r="P226" i="38"/>
  <c r="K226" i="38"/>
  <c r="G226" i="38"/>
  <c r="E226" i="38"/>
  <c r="Q225" i="38"/>
  <c r="P225" i="38"/>
  <c r="K225" i="38"/>
  <c r="G225" i="38"/>
  <c r="E225" i="38"/>
  <c r="Q224" i="38"/>
  <c r="P224" i="38"/>
  <c r="K224" i="38"/>
  <c r="G224" i="38"/>
  <c r="E224" i="38"/>
  <c r="Q223" i="38"/>
  <c r="P223" i="38"/>
  <c r="K223" i="38"/>
  <c r="G223" i="38"/>
  <c r="E223" i="38"/>
  <c r="Q222" i="38"/>
  <c r="P222" i="38"/>
  <c r="K222" i="38"/>
  <c r="G222" i="38"/>
  <c r="E222" i="38"/>
  <c r="Q221" i="38"/>
  <c r="P221" i="38"/>
  <c r="K221" i="38"/>
  <c r="G221" i="38"/>
  <c r="E221" i="38"/>
  <c r="Q220" i="38"/>
  <c r="P220" i="38"/>
  <c r="K220" i="38"/>
  <c r="G220" i="38"/>
  <c r="E220" i="38"/>
  <c r="Q219" i="38"/>
  <c r="P219" i="38"/>
  <c r="K219" i="38"/>
  <c r="G219" i="38"/>
  <c r="E219" i="38"/>
  <c r="Q218" i="38"/>
  <c r="P218" i="38"/>
  <c r="K218" i="38"/>
  <c r="G218" i="38"/>
  <c r="E218" i="38"/>
  <c r="Q217" i="38"/>
  <c r="P217" i="38"/>
  <c r="Q216" i="38"/>
  <c r="P216" i="38"/>
  <c r="K216" i="38"/>
  <c r="G216" i="38"/>
  <c r="E216" i="38"/>
  <c r="Q215" i="38"/>
  <c r="P215" i="38"/>
  <c r="K215" i="38"/>
  <c r="G215" i="38"/>
  <c r="E215" i="38"/>
  <c r="Q214" i="38"/>
  <c r="P214" i="38"/>
  <c r="K214" i="38"/>
  <c r="G214" i="38"/>
  <c r="E214" i="38"/>
  <c r="Q213" i="38"/>
  <c r="P213" i="38"/>
  <c r="K213" i="38"/>
  <c r="G213" i="38"/>
  <c r="E213" i="38"/>
  <c r="Q212" i="38"/>
  <c r="P212" i="38"/>
  <c r="K212" i="38"/>
  <c r="G212" i="38"/>
  <c r="E212" i="38"/>
  <c r="Q211" i="38"/>
  <c r="P211" i="38"/>
  <c r="K211" i="38"/>
  <c r="G211" i="38"/>
  <c r="E211" i="38"/>
  <c r="Q210" i="38"/>
  <c r="P210" i="38"/>
  <c r="K210" i="38"/>
  <c r="G210" i="38"/>
  <c r="E210" i="38"/>
  <c r="Q209" i="38"/>
  <c r="P209" i="38"/>
  <c r="K209" i="38"/>
  <c r="G209" i="38"/>
  <c r="E209" i="38"/>
  <c r="Q208" i="38"/>
  <c r="P208" i="38"/>
  <c r="K208" i="38"/>
  <c r="G208" i="38"/>
  <c r="E208" i="38"/>
  <c r="Q207" i="38"/>
  <c r="P207" i="38"/>
  <c r="K207" i="38"/>
  <c r="G207" i="38"/>
  <c r="E207" i="38"/>
  <c r="Q206" i="38"/>
  <c r="P206" i="38"/>
  <c r="K206" i="38"/>
  <c r="G206" i="38"/>
  <c r="E206" i="38"/>
  <c r="Q205" i="38"/>
  <c r="P205" i="38"/>
  <c r="K205" i="38"/>
  <c r="G205" i="38"/>
  <c r="E205" i="38"/>
  <c r="Q204" i="38"/>
  <c r="P204" i="38"/>
  <c r="K204" i="38"/>
  <c r="G204" i="38"/>
  <c r="E204" i="38"/>
  <c r="Q203" i="38"/>
  <c r="P203" i="38"/>
  <c r="K203" i="38"/>
  <c r="G203" i="38"/>
  <c r="E203" i="38"/>
  <c r="Q202" i="38"/>
  <c r="P202" i="38"/>
  <c r="K202" i="38"/>
  <c r="G202" i="38"/>
  <c r="E202" i="38"/>
  <c r="Q201" i="38"/>
  <c r="P201" i="38"/>
  <c r="K201" i="38"/>
  <c r="G201" i="38"/>
  <c r="E201" i="38"/>
  <c r="Q200" i="38"/>
  <c r="P200" i="38"/>
  <c r="K200" i="38"/>
  <c r="G200" i="38"/>
  <c r="E200" i="38"/>
  <c r="Q199" i="38"/>
  <c r="P199" i="38"/>
  <c r="K199" i="38"/>
  <c r="G199" i="38"/>
  <c r="E199" i="38"/>
  <c r="Q198" i="38"/>
  <c r="P198" i="38"/>
  <c r="Q197" i="38"/>
  <c r="P197" i="38"/>
  <c r="K197" i="38"/>
  <c r="G197" i="38"/>
  <c r="E197" i="38"/>
  <c r="Q196" i="38"/>
  <c r="P196" i="38"/>
  <c r="K196" i="38"/>
  <c r="G196" i="38"/>
  <c r="E196" i="38"/>
  <c r="Q195" i="38"/>
  <c r="P195" i="38"/>
  <c r="K195" i="38"/>
  <c r="G195" i="38"/>
  <c r="E195" i="38"/>
  <c r="Q194" i="38"/>
  <c r="P194" i="38"/>
  <c r="K194" i="38"/>
  <c r="G194" i="38"/>
  <c r="E194" i="38"/>
  <c r="Q193" i="38"/>
  <c r="P193" i="38"/>
  <c r="E193" i="38"/>
  <c r="Q192" i="38"/>
  <c r="P192" i="38"/>
  <c r="K192" i="38"/>
  <c r="G192" i="38"/>
  <c r="E192" i="38"/>
  <c r="Q191" i="38"/>
  <c r="P191" i="38"/>
  <c r="K191" i="38"/>
  <c r="G191" i="38"/>
  <c r="E191" i="38"/>
  <c r="Q190" i="38"/>
  <c r="P190" i="38"/>
  <c r="K190" i="38"/>
  <c r="G190" i="38"/>
  <c r="E190" i="38"/>
  <c r="Q189" i="38"/>
  <c r="P189" i="38"/>
  <c r="K189" i="38"/>
  <c r="G189" i="38"/>
  <c r="E189" i="38"/>
  <c r="Q188" i="38"/>
  <c r="P188" i="38"/>
  <c r="K188" i="38"/>
  <c r="G188" i="38"/>
  <c r="E188" i="38"/>
  <c r="Q187" i="38"/>
  <c r="P187" i="38"/>
  <c r="K187" i="38"/>
  <c r="G187" i="38"/>
  <c r="E187" i="38"/>
  <c r="Q186" i="38"/>
  <c r="P186" i="38"/>
  <c r="K186" i="38"/>
  <c r="G186" i="38"/>
  <c r="E186" i="38"/>
  <c r="Q185" i="38"/>
  <c r="P185" i="38"/>
  <c r="K185" i="38"/>
  <c r="G185" i="38"/>
  <c r="E185" i="38"/>
  <c r="Q184" i="38"/>
  <c r="P184" i="38"/>
  <c r="K184" i="38"/>
  <c r="G184" i="38"/>
  <c r="E184" i="38"/>
  <c r="Q183" i="38"/>
  <c r="P183" i="38"/>
  <c r="K183" i="38"/>
  <c r="G183" i="38"/>
  <c r="E183" i="38"/>
  <c r="Q182" i="38"/>
  <c r="P182" i="38"/>
  <c r="K182" i="38"/>
  <c r="G182" i="38"/>
  <c r="E182" i="38"/>
  <c r="Q181" i="38"/>
  <c r="P181" i="38"/>
  <c r="K181" i="38"/>
  <c r="G181" i="38"/>
  <c r="E181" i="38"/>
  <c r="Q180" i="38"/>
  <c r="P180" i="38"/>
  <c r="K180" i="38"/>
  <c r="G180" i="38"/>
  <c r="E180" i="38"/>
  <c r="Q179" i="38"/>
  <c r="P179" i="38"/>
  <c r="K179" i="38"/>
  <c r="G179" i="38"/>
  <c r="E179" i="38"/>
  <c r="Q178" i="38"/>
  <c r="P178" i="38"/>
  <c r="K178" i="38"/>
  <c r="G178" i="38"/>
  <c r="E178" i="38"/>
  <c r="Q177" i="38"/>
  <c r="P177" i="38"/>
  <c r="K177" i="38"/>
  <c r="G177" i="38"/>
  <c r="E177" i="38"/>
  <c r="Q176" i="38"/>
  <c r="P176" i="38"/>
  <c r="K176" i="38"/>
  <c r="G176" i="38"/>
  <c r="E176" i="38"/>
  <c r="Q175" i="38"/>
  <c r="P175" i="38"/>
  <c r="K175" i="38"/>
  <c r="G175" i="38"/>
  <c r="E175" i="38"/>
  <c r="Q174" i="38"/>
  <c r="P174" i="38"/>
  <c r="K174" i="38"/>
  <c r="G174" i="38"/>
  <c r="E174" i="38"/>
  <c r="Q173" i="38"/>
  <c r="P173" i="38"/>
  <c r="K173" i="38"/>
  <c r="G173" i="38"/>
  <c r="E173" i="38"/>
  <c r="Q172" i="38"/>
  <c r="P172" i="38"/>
  <c r="K172" i="38"/>
  <c r="G172" i="38"/>
  <c r="E172" i="38"/>
  <c r="Q171" i="38"/>
  <c r="P171" i="38"/>
  <c r="K171" i="38"/>
  <c r="G171" i="38"/>
  <c r="E171" i="38"/>
  <c r="Q170" i="38"/>
  <c r="P170" i="38"/>
  <c r="K170" i="38"/>
  <c r="G170" i="38"/>
  <c r="E170" i="38"/>
  <c r="Q169" i="38"/>
  <c r="P169" i="38"/>
  <c r="K169" i="38"/>
  <c r="G169" i="38"/>
  <c r="E169" i="38"/>
  <c r="Q168" i="38"/>
  <c r="P168" i="38"/>
  <c r="K168" i="38"/>
  <c r="G168" i="38"/>
  <c r="E168" i="38"/>
  <c r="Q167" i="38"/>
  <c r="P167" i="38"/>
  <c r="K167" i="38"/>
  <c r="G167" i="38"/>
  <c r="E167" i="38"/>
  <c r="Q166" i="38"/>
  <c r="P166" i="38"/>
  <c r="K166" i="38"/>
  <c r="G166" i="38"/>
  <c r="E166" i="38"/>
  <c r="Q165" i="38"/>
  <c r="P165" i="38"/>
  <c r="K165" i="38"/>
  <c r="G165" i="38"/>
  <c r="E165" i="38"/>
  <c r="Q164" i="38"/>
  <c r="P164" i="38"/>
  <c r="K164" i="38"/>
  <c r="G164" i="38"/>
  <c r="E164" i="38"/>
  <c r="Q163" i="38"/>
  <c r="P163" i="38"/>
  <c r="K163" i="38"/>
  <c r="G163" i="38"/>
  <c r="E163" i="38"/>
  <c r="Q162" i="38"/>
  <c r="P162" i="38"/>
  <c r="K162" i="38"/>
  <c r="G162" i="38"/>
  <c r="E162" i="38"/>
  <c r="Q161" i="38"/>
  <c r="P161" i="38"/>
  <c r="K161" i="38"/>
  <c r="G161" i="38"/>
  <c r="E161" i="38"/>
  <c r="Q160" i="38"/>
  <c r="P160" i="38"/>
  <c r="K160" i="38"/>
  <c r="G160" i="38"/>
  <c r="E160" i="38"/>
  <c r="Q159" i="38"/>
  <c r="P159" i="38"/>
  <c r="K159" i="38"/>
  <c r="G159" i="38"/>
  <c r="E159" i="38"/>
  <c r="Q158" i="38"/>
  <c r="P158" i="38"/>
  <c r="K158" i="38"/>
  <c r="G158" i="38"/>
  <c r="E158" i="38"/>
  <c r="Q157" i="38"/>
  <c r="P157" i="38"/>
  <c r="K157" i="38"/>
  <c r="G157" i="38"/>
  <c r="E157" i="38"/>
  <c r="Q156" i="38"/>
  <c r="P156" i="38"/>
  <c r="K156" i="38"/>
  <c r="G156" i="38"/>
  <c r="E156" i="38"/>
  <c r="Q155" i="38"/>
  <c r="P155" i="38"/>
  <c r="K155" i="38"/>
  <c r="G155" i="38"/>
  <c r="E155" i="38"/>
  <c r="Q154" i="38"/>
  <c r="P154" i="38"/>
  <c r="K154" i="38"/>
  <c r="G154" i="38"/>
  <c r="E154" i="38"/>
  <c r="Q153" i="38"/>
  <c r="P153" i="38"/>
  <c r="K153" i="38"/>
  <c r="G153" i="38"/>
  <c r="E153" i="38"/>
  <c r="Q152" i="38"/>
  <c r="P152" i="38"/>
  <c r="Q151" i="38"/>
  <c r="P151" i="38"/>
  <c r="K151" i="38"/>
  <c r="G151" i="38"/>
  <c r="E151" i="38"/>
  <c r="Q150" i="38"/>
  <c r="P150" i="38"/>
  <c r="K150" i="38"/>
  <c r="G150" i="38"/>
  <c r="E150" i="38"/>
  <c r="Q149" i="38"/>
  <c r="P149" i="38"/>
  <c r="Q148" i="38"/>
  <c r="P148" i="38"/>
  <c r="K148" i="38"/>
  <c r="G148" i="38"/>
  <c r="E148" i="38"/>
  <c r="Q147" i="38"/>
  <c r="P147" i="38"/>
  <c r="K147" i="38"/>
  <c r="G147" i="38"/>
  <c r="E147" i="38"/>
  <c r="Q146" i="38"/>
  <c r="P146" i="38"/>
  <c r="K146" i="38"/>
  <c r="G146" i="38"/>
  <c r="E146" i="38"/>
  <c r="Q145" i="38"/>
  <c r="P145" i="38"/>
  <c r="Q144" i="38"/>
  <c r="P144" i="38"/>
  <c r="K144" i="38"/>
  <c r="G144" i="38"/>
  <c r="E144" i="38"/>
  <c r="Q143" i="38"/>
  <c r="P143" i="38"/>
  <c r="K143" i="38"/>
  <c r="G143" i="38"/>
  <c r="E143" i="38"/>
  <c r="Q142" i="38"/>
  <c r="P142" i="38"/>
  <c r="K142" i="38"/>
  <c r="G142" i="38"/>
  <c r="E142" i="38"/>
  <c r="Q141" i="38"/>
  <c r="P141" i="38"/>
  <c r="K141" i="38"/>
  <c r="G141" i="38"/>
  <c r="E141" i="38"/>
  <c r="Q140" i="38"/>
  <c r="P140" i="38"/>
  <c r="K140" i="38"/>
  <c r="G140" i="38"/>
  <c r="E140" i="38"/>
  <c r="Q139" i="38"/>
  <c r="P139" i="38"/>
  <c r="K139" i="38"/>
  <c r="G139" i="38"/>
  <c r="E139" i="38"/>
  <c r="Q138" i="38"/>
  <c r="P138" i="38"/>
  <c r="Q137" i="38"/>
  <c r="P137" i="38"/>
  <c r="Q136" i="38"/>
  <c r="P136" i="38"/>
  <c r="K136" i="38"/>
  <c r="G136" i="38"/>
  <c r="E136" i="38"/>
  <c r="Q135" i="38"/>
  <c r="P135" i="38"/>
  <c r="K135" i="38"/>
  <c r="G135" i="38"/>
  <c r="E135" i="38"/>
  <c r="Q134" i="38"/>
  <c r="P134" i="38"/>
  <c r="Q133" i="38"/>
  <c r="P133" i="38"/>
  <c r="K133" i="38"/>
  <c r="G133" i="38"/>
  <c r="E133" i="38"/>
  <c r="Q132" i="38"/>
  <c r="P132" i="38"/>
  <c r="K132" i="38"/>
  <c r="G132" i="38"/>
  <c r="E132" i="38"/>
  <c r="Q131" i="38"/>
  <c r="P131" i="38"/>
  <c r="K131" i="38"/>
  <c r="G131" i="38"/>
  <c r="E131" i="38"/>
  <c r="Q130" i="38"/>
  <c r="P130" i="38"/>
  <c r="K130" i="38"/>
  <c r="G130" i="38"/>
  <c r="E130" i="38"/>
  <c r="Q129" i="38"/>
  <c r="P129" i="38"/>
  <c r="K129" i="38"/>
  <c r="E129" i="38"/>
  <c r="Q128" i="38"/>
  <c r="P128" i="38"/>
  <c r="K128" i="38"/>
  <c r="G128" i="38"/>
  <c r="E128" i="38"/>
  <c r="Q127" i="38"/>
  <c r="P127" i="38"/>
  <c r="K127" i="38"/>
  <c r="G127" i="38"/>
  <c r="E127" i="38"/>
  <c r="Q126" i="38"/>
  <c r="P126" i="38"/>
  <c r="K126" i="38"/>
  <c r="G126" i="38"/>
  <c r="E126" i="38"/>
  <c r="Q125" i="38"/>
  <c r="P125" i="38"/>
  <c r="K125" i="38"/>
  <c r="G125" i="38"/>
  <c r="E125" i="38"/>
  <c r="Q124" i="38"/>
  <c r="P124" i="38"/>
  <c r="K124" i="38"/>
  <c r="G124" i="38"/>
  <c r="E124" i="38"/>
  <c r="Q123" i="38"/>
  <c r="P123" i="38"/>
  <c r="K123" i="38"/>
  <c r="G123" i="38"/>
  <c r="E123" i="38"/>
  <c r="Q122" i="38"/>
  <c r="P122" i="38"/>
  <c r="K122" i="38"/>
  <c r="G122" i="38"/>
  <c r="E122" i="38"/>
  <c r="Q121" i="38"/>
  <c r="P121" i="38"/>
  <c r="K121" i="38"/>
  <c r="G121" i="38"/>
  <c r="E121" i="38"/>
  <c r="Q120" i="38"/>
  <c r="P120" i="38"/>
  <c r="K120" i="38"/>
  <c r="G120" i="38"/>
  <c r="E120" i="38"/>
  <c r="Q119" i="38"/>
  <c r="P119" i="38"/>
  <c r="K119" i="38"/>
  <c r="G119" i="38"/>
  <c r="E119" i="38"/>
  <c r="Q118" i="38"/>
  <c r="P118" i="38"/>
  <c r="K118" i="38"/>
  <c r="G118" i="38"/>
  <c r="E118" i="38"/>
  <c r="Q117" i="38"/>
  <c r="P117" i="38"/>
  <c r="K117" i="38"/>
  <c r="G117" i="38"/>
  <c r="E117" i="38"/>
  <c r="Q116" i="38"/>
  <c r="P116" i="38"/>
  <c r="K116" i="38"/>
  <c r="G116" i="38"/>
  <c r="E116" i="38"/>
  <c r="Q115" i="38"/>
  <c r="P115" i="38"/>
  <c r="K115" i="38"/>
  <c r="G115" i="38"/>
  <c r="E115" i="38"/>
  <c r="Q114" i="38"/>
  <c r="P114" i="38"/>
  <c r="E114" i="38"/>
  <c r="Q113" i="38"/>
  <c r="P113" i="38"/>
  <c r="K113" i="38"/>
  <c r="G113" i="38"/>
  <c r="E113" i="38"/>
  <c r="Q112" i="38"/>
  <c r="P112" i="38"/>
  <c r="K112" i="38"/>
  <c r="G112" i="38"/>
  <c r="E112" i="38"/>
  <c r="Q111" i="38"/>
  <c r="P111" i="38"/>
  <c r="K111" i="38"/>
  <c r="G111" i="38"/>
  <c r="E111" i="38"/>
  <c r="Q110" i="38"/>
  <c r="P110" i="38"/>
  <c r="K110" i="38"/>
  <c r="G110" i="38"/>
  <c r="E110" i="38"/>
  <c r="Q109" i="38"/>
  <c r="P109" i="38"/>
  <c r="K109" i="38"/>
  <c r="G109" i="38"/>
  <c r="E109" i="38"/>
  <c r="Q108" i="38"/>
  <c r="P108" i="38"/>
  <c r="K108" i="38"/>
  <c r="G108" i="38"/>
  <c r="E108" i="38"/>
  <c r="Q107" i="38"/>
  <c r="P107" i="38"/>
  <c r="K107" i="38"/>
  <c r="G107" i="38"/>
  <c r="E107" i="38"/>
  <c r="Q106" i="38"/>
  <c r="P106" i="38"/>
  <c r="K106" i="38"/>
  <c r="G106" i="38"/>
  <c r="E106" i="38"/>
  <c r="Q105" i="38"/>
  <c r="P105" i="38"/>
  <c r="G105" i="38"/>
  <c r="E105" i="38"/>
  <c r="Q104" i="38"/>
  <c r="P104" i="38"/>
  <c r="G104" i="38"/>
  <c r="E104" i="38"/>
  <c r="Q103" i="38"/>
  <c r="P103" i="38"/>
  <c r="Q102" i="38"/>
  <c r="P102" i="38"/>
  <c r="K102" i="38"/>
  <c r="G102" i="38"/>
  <c r="E102" i="38"/>
  <c r="Q101" i="38"/>
  <c r="P101" i="38"/>
  <c r="K101" i="38"/>
  <c r="G101" i="38"/>
  <c r="E101" i="38"/>
  <c r="Q100" i="38"/>
  <c r="P100" i="38"/>
  <c r="K100" i="38"/>
  <c r="G100" i="38"/>
  <c r="E100" i="38"/>
  <c r="Q99" i="38"/>
  <c r="P99" i="38"/>
  <c r="K99" i="38"/>
  <c r="G99" i="38"/>
  <c r="E99" i="38"/>
  <c r="Q98" i="38"/>
  <c r="P98" i="38"/>
  <c r="K98" i="38"/>
  <c r="G98" i="38"/>
  <c r="E98" i="38"/>
  <c r="Q97" i="38"/>
  <c r="P97" i="38"/>
  <c r="K97" i="38"/>
  <c r="G97" i="38"/>
  <c r="E97" i="38"/>
  <c r="Q96" i="38"/>
  <c r="P96" i="38"/>
  <c r="K96" i="38"/>
  <c r="G96" i="38"/>
  <c r="E96" i="38"/>
  <c r="Q95" i="38"/>
  <c r="P95" i="38"/>
  <c r="K95" i="38"/>
  <c r="G95" i="38"/>
  <c r="E95" i="38"/>
  <c r="Q94" i="38"/>
  <c r="P94" i="38"/>
  <c r="Q93" i="38"/>
  <c r="P93" i="38"/>
  <c r="K93" i="38"/>
  <c r="G93" i="38"/>
  <c r="E93" i="38"/>
  <c r="Q92" i="38"/>
  <c r="P92" i="38"/>
  <c r="K92" i="38"/>
  <c r="G92" i="38"/>
  <c r="E92" i="38"/>
  <c r="Q91" i="38"/>
  <c r="P91" i="38"/>
  <c r="K91" i="38"/>
  <c r="G91" i="38"/>
  <c r="E91" i="38"/>
  <c r="Q90" i="38"/>
  <c r="P90" i="38"/>
  <c r="K90" i="38"/>
  <c r="G90" i="38"/>
  <c r="E90" i="38"/>
  <c r="Q89" i="38"/>
  <c r="P89" i="38"/>
  <c r="K89" i="38"/>
  <c r="G89" i="38"/>
  <c r="E89" i="38"/>
  <c r="Q88" i="38"/>
  <c r="P88" i="38"/>
  <c r="K88" i="38"/>
  <c r="G88" i="38"/>
  <c r="E88" i="38"/>
  <c r="Q87" i="38"/>
  <c r="P87" i="38"/>
  <c r="Q86" i="38"/>
  <c r="P86" i="38"/>
  <c r="K86" i="38"/>
  <c r="G86" i="38"/>
  <c r="E86" i="38"/>
  <c r="Q85" i="38"/>
  <c r="P85" i="38"/>
  <c r="K85" i="38"/>
  <c r="G85" i="38"/>
  <c r="E85" i="38"/>
  <c r="Q84" i="38"/>
  <c r="P84" i="38"/>
  <c r="K84" i="38"/>
  <c r="G84" i="38"/>
  <c r="E84" i="38"/>
  <c r="Q83" i="38"/>
  <c r="P83" i="38"/>
  <c r="Q82" i="38"/>
  <c r="P82" i="38"/>
  <c r="K82" i="38"/>
  <c r="G82" i="38"/>
  <c r="E82" i="38"/>
  <c r="Q81" i="38"/>
  <c r="P81" i="38"/>
  <c r="K81" i="38"/>
  <c r="G81" i="38"/>
  <c r="E81" i="38"/>
  <c r="Q80" i="38"/>
  <c r="P80" i="38"/>
  <c r="K80" i="38"/>
  <c r="G80" i="38"/>
  <c r="E80" i="38"/>
  <c r="Q79" i="38"/>
  <c r="P79" i="38"/>
  <c r="K79" i="38"/>
  <c r="G79" i="38"/>
  <c r="E79" i="38"/>
  <c r="Q78" i="38"/>
  <c r="P78" i="38"/>
  <c r="K78" i="38"/>
  <c r="G78" i="38"/>
  <c r="E78" i="38"/>
  <c r="Q77" i="38"/>
  <c r="P77" i="38"/>
  <c r="K77" i="38"/>
  <c r="G77" i="38"/>
  <c r="E77" i="38"/>
  <c r="Q76" i="38"/>
  <c r="P76" i="38"/>
  <c r="K76" i="38"/>
  <c r="G76" i="38"/>
  <c r="E76" i="38"/>
  <c r="Q75" i="38"/>
  <c r="P75" i="38"/>
  <c r="Q74" i="38"/>
  <c r="P74" i="38"/>
  <c r="G74" i="38"/>
  <c r="E74" i="38"/>
  <c r="Q73" i="38"/>
  <c r="P73" i="38"/>
  <c r="G72" i="38"/>
  <c r="E72" i="38"/>
  <c r="Q72" i="38"/>
  <c r="P72" i="38"/>
  <c r="G73" i="38"/>
  <c r="E73" i="38"/>
  <c r="Q71" i="38"/>
  <c r="P71" i="38"/>
  <c r="E71" i="38"/>
  <c r="Q70" i="38"/>
  <c r="P70" i="38"/>
  <c r="G70" i="38"/>
  <c r="E70" i="38"/>
  <c r="Q69" i="38"/>
  <c r="P69" i="38"/>
  <c r="G69" i="38"/>
  <c r="E69" i="38"/>
  <c r="Q68" i="38"/>
  <c r="P68" i="38"/>
  <c r="G68" i="38"/>
  <c r="E68" i="38"/>
  <c r="Q67" i="38"/>
  <c r="P67" i="38"/>
  <c r="G67" i="38"/>
  <c r="E67" i="38"/>
  <c r="Q66" i="38"/>
  <c r="P66" i="38"/>
  <c r="G66" i="38"/>
  <c r="E66" i="38"/>
  <c r="Q65" i="38"/>
  <c r="P65" i="38"/>
  <c r="G65" i="38"/>
  <c r="E65" i="38"/>
  <c r="Q64" i="38"/>
  <c r="P64" i="38"/>
  <c r="G64" i="38"/>
  <c r="E64" i="38"/>
  <c r="Q63" i="38"/>
  <c r="P63" i="38"/>
  <c r="G63" i="38"/>
  <c r="E63" i="38"/>
  <c r="Q62" i="38"/>
  <c r="P62" i="38"/>
  <c r="G62" i="38"/>
  <c r="E62" i="38"/>
  <c r="Q61" i="38"/>
  <c r="P61" i="38"/>
  <c r="G61" i="38"/>
  <c r="E61" i="38"/>
  <c r="Q60" i="38"/>
  <c r="P60" i="38"/>
  <c r="G60" i="38"/>
  <c r="E60" i="38"/>
  <c r="Q59" i="38"/>
  <c r="P59" i="38"/>
  <c r="G59" i="38"/>
  <c r="E59" i="38"/>
  <c r="Q58" i="38"/>
  <c r="P58" i="38"/>
  <c r="G58" i="38"/>
  <c r="E58" i="38"/>
  <c r="Q57" i="38"/>
  <c r="P57" i="38"/>
  <c r="G57" i="38"/>
  <c r="E57" i="38"/>
  <c r="Q56" i="38"/>
  <c r="P56" i="38"/>
  <c r="G56" i="38"/>
  <c r="E56" i="38"/>
  <c r="Q55" i="38"/>
  <c r="P55" i="38"/>
  <c r="G55" i="38"/>
  <c r="E55" i="38"/>
  <c r="Q54" i="38"/>
  <c r="P54" i="38"/>
  <c r="G54" i="38"/>
  <c r="E54" i="38"/>
  <c r="Q53" i="38"/>
  <c r="P53" i="38"/>
  <c r="G53" i="38"/>
  <c r="E53" i="38"/>
  <c r="Q52" i="38"/>
  <c r="P52" i="38"/>
  <c r="G52" i="38"/>
  <c r="E52" i="38"/>
  <c r="Q51" i="38"/>
  <c r="P51" i="38"/>
  <c r="G51" i="38"/>
  <c r="E51" i="38"/>
  <c r="Q50" i="38"/>
  <c r="P50" i="38"/>
  <c r="G50" i="38"/>
  <c r="E50" i="38"/>
  <c r="Q49" i="38"/>
  <c r="P49" i="38"/>
  <c r="G49" i="38"/>
  <c r="E49" i="38"/>
  <c r="Q48" i="38"/>
  <c r="P48" i="38"/>
  <c r="G48" i="38"/>
  <c r="E48" i="38"/>
  <c r="Q47" i="38"/>
  <c r="P47" i="38"/>
  <c r="G47" i="38"/>
  <c r="E47" i="38"/>
  <c r="Q46" i="38"/>
  <c r="P46" i="38"/>
  <c r="G46" i="38"/>
  <c r="E46" i="38"/>
  <c r="Q45" i="38"/>
  <c r="P45" i="38"/>
  <c r="G45" i="38"/>
  <c r="E45" i="38"/>
  <c r="Q44" i="38"/>
  <c r="P44" i="38"/>
  <c r="G44" i="38"/>
  <c r="E44" i="38"/>
  <c r="Q43" i="38"/>
  <c r="P43" i="38"/>
  <c r="G43" i="38"/>
  <c r="E43" i="38"/>
  <c r="Q42" i="38"/>
  <c r="P42" i="38"/>
  <c r="K42" i="38"/>
  <c r="G42" i="38"/>
  <c r="E42" i="38"/>
  <c r="Q41" i="38"/>
  <c r="P41" i="38"/>
  <c r="K41" i="38"/>
  <c r="G41" i="38"/>
  <c r="E41" i="38"/>
  <c r="Q40" i="38"/>
  <c r="P40" i="38"/>
  <c r="K40" i="38"/>
  <c r="G40" i="38"/>
  <c r="E40" i="38"/>
  <c r="Q39" i="38"/>
  <c r="P39" i="38"/>
  <c r="Q38" i="38"/>
  <c r="P38" i="38"/>
  <c r="K38" i="38"/>
  <c r="G38" i="38"/>
  <c r="E38" i="38"/>
  <c r="Q37" i="38"/>
  <c r="P37" i="38"/>
  <c r="K37" i="38"/>
  <c r="G37" i="38"/>
  <c r="E37" i="38"/>
  <c r="Q36" i="38"/>
  <c r="P36" i="38"/>
  <c r="K36" i="38"/>
  <c r="G36" i="38"/>
  <c r="E36" i="38"/>
  <c r="Q35" i="38"/>
  <c r="P35" i="38"/>
  <c r="K35" i="38"/>
  <c r="G35" i="38"/>
  <c r="E35" i="38"/>
  <c r="Q34" i="38"/>
  <c r="P34" i="38"/>
  <c r="K34" i="38"/>
  <c r="G34" i="38"/>
  <c r="E34" i="38"/>
  <c r="Q33" i="38"/>
  <c r="P33" i="38"/>
  <c r="K33" i="38"/>
  <c r="G33" i="38"/>
  <c r="E33" i="38"/>
  <c r="Q32" i="38"/>
  <c r="P32" i="38"/>
  <c r="K32" i="38"/>
  <c r="G32" i="38"/>
  <c r="E32" i="38"/>
  <c r="Q31" i="38"/>
  <c r="P31" i="38"/>
  <c r="K31" i="38"/>
  <c r="G31" i="38"/>
  <c r="E31" i="38"/>
  <c r="Q30" i="38"/>
  <c r="P30" i="38"/>
  <c r="K30" i="38"/>
  <c r="G30" i="38"/>
  <c r="E30" i="38"/>
  <c r="Q29" i="38"/>
  <c r="P29" i="38"/>
  <c r="K29" i="38"/>
  <c r="G29" i="38"/>
  <c r="E29" i="38"/>
  <c r="Q28" i="38"/>
  <c r="P28" i="38"/>
  <c r="K28" i="38"/>
  <c r="G28" i="38"/>
  <c r="E28" i="38"/>
  <c r="Q27" i="38"/>
  <c r="P27" i="38"/>
  <c r="K27" i="38"/>
  <c r="G27" i="38"/>
  <c r="E27" i="38"/>
  <c r="Q26" i="38"/>
  <c r="P26" i="38"/>
  <c r="K26" i="38"/>
  <c r="G26" i="38"/>
  <c r="E26" i="38"/>
  <c r="Q25" i="38"/>
  <c r="P25" i="38"/>
  <c r="K25" i="38"/>
  <c r="G25" i="38"/>
  <c r="E25" i="38"/>
  <c r="Q24" i="38"/>
  <c r="P24" i="38"/>
  <c r="K24" i="38"/>
  <c r="G24" i="38"/>
  <c r="E24" i="38"/>
  <c r="Q23" i="38"/>
  <c r="P23" i="38"/>
  <c r="Q22" i="38"/>
  <c r="P22" i="38"/>
  <c r="Q21" i="38"/>
  <c r="P21" i="38"/>
  <c r="Q20" i="38"/>
  <c r="P20" i="38"/>
  <c r="K20" i="38"/>
  <c r="G20" i="38"/>
  <c r="E20" i="38"/>
  <c r="Q19" i="38"/>
  <c r="P19" i="38"/>
  <c r="K19" i="38"/>
  <c r="G19" i="38"/>
  <c r="E19" i="38"/>
  <c r="Q18" i="38"/>
  <c r="P18" i="38"/>
  <c r="K18" i="38"/>
  <c r="G18" i="38"/>
  <c r="E18" i="38"/>
  <c r="Q17" i="38"/>
  <c r="P17" i="38"/>
  <c r="K17" i="38"/>
  <c r="G17" i="38"/>
  <c r="E17" i="38"/>
  <c r="Q16" i="38"/>
  <c r="P16" i="38"/>
  <c r="K16" i="38"/>
  <c r="G16" i="38"/>
  <c r="E16" i="38"/>
  <c r="Q15" i="38"/>
  <c r="P15" i="38"/>
  <c r="Q14" i="38"/>
  <c r="P14" i="38"/>
  <c r="K14" i="38"/>
  <c r="G14" i="38"/>
  <c r="E14" i="38"/>
  <c r="Q13" i="38"/>
  <c r="P13" i="38"/>
  <c r="K13" i="38"/>
  <c r="G13" i="38"/>
  <c r="E13" i="38"/>
  <c r="Q12" i="38"/>
  <c r="P12" i="38"/>
  <c r="K12" i="38"/>
  <c r="G12" i="38"/>
  <c r="E12" i="38"/>
  <c r="Q11" i="38"/>
  <c r="P11" i="38"/>
  <c r="K11" i="38"/>
  <c r="G11" i="38"/>
  <c r="E11" i="38"/>
  <c r="Q10" i="38"/>
  <c r="P10" i="38"/>
  <c r="K10" i="38"/>
  <c r="G10" i="38"/>
  <c r="E10" i="38"/>
  <c r="Q9" i="38"/>
  <c r="P9" i="38"/>
  <c r="K9" i="38"/>
  <c r="G9" i="38"/>
  <c r="E9" i="38"/>
  <c r="Q8" i="38"/>
  <c r="P8" i="38"/>
  <c r="K8" i="38"/>
  <c r="G8" i="38"/>
  <c r="E8" i="38"/>
  <c r="Q7" i="38"/>
  <c r="P7" i="38"/>
  <c r="L7" i="38"/>
  <c r="M7" i="38" s="1"/>
  <c r="N7" i="38" s="1"/>
  <c r="K7" i="38"/>
  <c r="G7" i="38"/>
  <c r="E7" i="38"/>
  <c r="Q6" i="38"/>
  <c r="P6" i="38"/>
  <c r="L6" i="38"/>
  <c r="K6" i="38"/>
  <c r="G6" i="38"/>
  <c r="E6" i="38"/>
  <c r="L238" i="37"/>
  <c r="L237" i="37"/>
  <c r="L236" i="37"/>
  <c r="L235" i="37"/>
  <c r="L234" i="37"/>
  <c r="L233" i="37"/>
  <c r="L232" i="37"/>
  <c r="L231" i="37"/>
  <c r="L230" i="37"/>
  <c r="L229" i="37"/>
  <c r="L228" i="37"/>
  <c r="L227" i="37"/>
  <c r="L226" i="37"/>
  <c r="L225" i="37"/>
  <c r="L224" i="37"/>
  <c r="L223" i="37"/>
  <c r="L222" i="37"/>
  <c r="L221" i="37"/>
  <c r="L220" i="37"/>
  <c r="L219" i="37"/>
  <c r="L218" i="37"/>
  <c r="L217" i="37"/>
  <c r="L216" i="37"/>
  <c r="L215" i="37"/>
  <c r="L214" i="37"/>
  <c r="L213" i="37"/>
  <c r="L212" i="37"/>
  <c r="L211" i="37"/>
  <c r="L210" i="37"/>
  <c r="L209" i="37"/>
  <c r="L208" i="37"/>
  <c r="L207" i="37"/>
  <c r="L206" i="37"/>
  <c r="L205" i="37"/>
  <c r="L204" i="37"/>
  <c r="L200" i="36"/>
  <c r="H200" i="36"/>
  <c r="K194" i="36"/>
  <c r="G194" i="36"/>
  <c r="M194" i="36"/>
  <c r="N194" i="36" s="1"/>
  <c r="O194" i="36" s="1"/>
  <c r="M15" i="37"/>
  <c r="N15" i="37" s="1"/>
  <c r="O15" i="37" s="1"/>
  <c r="M95" i="37"/>
  <c r="N95" i="37" s="1"/>
  <c r="O95" i="37" s="1"/>
  <c r="M408" i="37"/>
  <c r="N408" i="37"/>
  <c r="O408" i="37" s="1"/>
  <c r="M412" i="37"/>
  <c r="N412" i="37"/>
  <c r="O412" i="37" s="1"/>
  <c r="H412" i="37"/>
  <c r="L409" i="37"/>
  <c r="L391" i="37"/>
  <c r="H391" i="37"/>
  <c r="M391" i="37"/>
  <c r="N391" i="37" s="1"/>
  <c r="O391" i="37" s="1"/>
  <c r="H390" i="37"/>
  <c r="L293" i="37"/>
  <c r="L200" i="37"/>
  <c r="M200" i="37"/>
  <c r="N200" i="37"/>
  <c r="O200" i="37" s="1"/>
  <c r="H200" i="37"/>
  <c r="K115" i="37"/>
  <c r="G115" i="37"/>
  <c r="H115" i="37" s="1"/>
  <c r="G104" i="37"/>
  <c r="L118" i="37"/>
  <c r="L117" i="37"/>
  <c r="C418" i="37"/>
  <c r="T417" i="37"/>
  <c r="S417" i="37"/>
  <c r="M417" i="37"/>
  <c r="N417" i="37"/>
  <c r="O417" i="37"/>
  <c r="H417" i="37"/>
  <c r="T416" i="37"/>
  <c r="S416" i="37"/>
  <c r="M416" i="37"/>
  <c r="N416" i="37" s="1"/>
  <c r="O416" i="37" s="1"/>
  <c r="L416" i="37"/>
  <c r="H416" i="37"/>
  <c r="T415" i="37"/>
  <c r="S415" i="37"/>
  <c r="M415" i="37"/>
  <c r="N415" i="37" s="1"/>
  <c r="O415" i="37" s="1"/>
  <c r="T414" i="37"/>
  <c r="S414" i="37"/>
  <c r="M414" i="37"/>
  <c r="N414" i="37"/>
  <c r="O414" i="37" s="1"/>
  <c r="L414" i="37"/>
  <c r="H414" i="37"/>
  <c r="T413" i="37"/>
  <c r="S413" i="37"/>
  <c r="M413" i="37"/>
  <c r="N413" i="37"/>
  <c r="O413" i="37" s="1"/>
  <c r="H413" i="37"/>
  <c r="T412" i="37"/>
  <c r="S412" i="37"/>
  <c r="T411" i="37"/>
  <c r="S411" i="37"/>
  <c r="M411" i="37"/>
  <c r="N411" i="37"/>
  <c r="O411" i="37"/>
  <c r="L411" i="37"/>
  <c r="H411" i="37"/>
  <c r="T410" i="37"/>
  <c r="S410" i="37"/>
  <c r="M410" i="37"/>
  <c r="N410" i="37"/>
  <c r="O410" i="37" s="1"/>
  <c r="L410" i="37"/>
  <c r="H410" i="37"/>
  <c r="T409" i="37"/>
  <c r="S409" i="37"/>
  <c r="T408" i="37"/>
  <c r="S408" i="37"/>
  <c r="M409" i="37"/>
  <c r="N409" i="37"/>
  <c r="O409" i="37" s="1"/>
  <c r="H409" i="37"/>
  <c r="T407" i="37"/>
  <c r="S407" i="37"/>
  <c r="M407" i="37"/>
  <c r="N407" i="37" s="1"/>
  <c r="O407" i="37" s="1"/>
  <c r="L407" i="37"/>
  <c r="H407" i="37"/>
  <c r="T406" i="37"/>
  <c r="S406" i="37"/>
  <c r="M406" i="37"/>
  <c r="N406" i="37" s="1"/>
  <c r="O406" i="37"/>
  <c r="L406" i="37"/>
  <c r="H406" i="37"/>
  <c r="T405" i="37"/>
  <c r="S405" i="37"/>
  <c r="M405" i="37"/>
  <c r="N405" i="37" s="1"/>
  <c r="O405" i="37" s="1"/>
  <c r="L405" i="37"/>
  <c r="H405" i="37"/>
  <c r="T404" i="37"/>
  <c r="S404" i="37"/>
  <c r="M404" i="37"/>
  <c r="N404" i="37" s="1"/>
  <c r="O404" i="37" s="1"/>
  <c r="L404" i="37"/>
  <c r="H404" i="37"/>
  <c r="T403" i="37"/>
  <c r="S403" i="37"/>
  <c r="M403" i="37"/>
  <c r="N403" i="37" s="1"/>
  <c r="O403" i="37" s="1"/>
  <c r="L403" i="37"/>
  <c r="H403" i="37"/>
  <c r="T402" i="37"/>
  <c r="S402" i="37"/>
  <c r="M402" i="37"/>
  <c r="N402" i="37"/>
  <c r="O402" i="37" s="1"/>
  <c r="L402" i="37"/>
  <c r="H402" i="37"/>
  <c r="T401" i="37"/>
  <c r="S401" i="37"/>
  <c r="M401" i="37"/>
  <c r="N401" i="37"/>
  <c r="O401" i="37" s="1"/>
  <c r="L401" i="37"/>
  <c r="H401" i="37"/>
  <c r="T400" i="37"/>
  <c r="S400" i="37"/>
  <c r="M400" i="37"/>
  <c r="N400" i="37"/>
  <c r="O400" i="37" s="1"/>
  <c r="L400" i="37"/>
  <c r="H400" i="37"/>
  <c r="T399" i="37"/>
  <c r="S399" i="37"/>
  <c r="M399" i="37"/>
  <c r="N399" i="37"/>
  <c r="O399" i="37" s="1"/>
  <c r="L399" i="37"/>
  <c r="H399" i="37"/>
  <c r="T398" i="37"/>
  <c r="S398" i="37"/>
  <c r="M398" i="37"/>
  <c r="N398" i="37" s="1"/>
  <c r="O398" i="37" s="1"/>
  <c r="L398" i="37"/>
  <c r="H398" i="37"/>
  <c r="T397" i="37"/>
  <c r="S397" i="37"/>
  <c r="M397" i="37"/>
  <c r="N397" i="37" s="1"/>
  <c r="O397" i="37" s="1"/>
  <c r="L397" i="37"/>
  <c r="H397" i="37"/>
  <c r="T396" i="37"/>
  <c r="S396" i="37"/>
  <c r="M396" i="37"/>
  <c r="N396" i="37"/>
  <c r="O396" i="37" s="1"/>
  <c r="L396" i="37"/>
  <c r="H396" i="37"/>
  <c r="T395" i="37"/>
  <c r="S395" i="37"/>
  <c r="M395" i="37"/>
  <c r="N395" i="37" s="1"/>
  <c r="O395" i="37"/>
  <c r="L395" i="37"/>
  <c r="H395" i="37"/>
  <c r="T394" i="37"/>
  <c r="S394" i="37"/>
  <c r="M394" i="37"/>
  <c r="N394" i="37" s="1"/>
  <c r="O394" i="37" s="1"/>
  <c r="L394" i="37"/>
  <c r="H394" i="37"/>
  <c r="T393" i="37"/>
  <c r="S393" i="37"/>
  <c r="M393" i="37"/>
  <c r="N393" i="37"/>
  <c r="O393" i="37"/>
  <c r="L393" i="37"/>
  <c r="H393" i="37"/>
  <c r="T392" i="37"/>
  <c r="S392" i="37"/>
  <c r="M392" i="37"/>
  <c r="N392" i="37"/>
  <c r="O392" i="37" s="1"/>
  <c r="L392" i="37"/>
  <c r="H392" i="37"/>
  <c r="T391" i="37"/>
  <c r="S391" i="37"/>
  <c r="T390" i="37"/>
  <c r="S390" i="37"/>
  <c r="M390" i="37"/>
  <c r="N390" i="37"/>
  <c r="O390" i="37" s="1"/>
  <c r="T389" i="37"/>
  <c r="S389" i="37"/>
  <c r="M389" i="37"/>
  <c r="N389" i="37"/>
  <c r="O389" i="37" s="1"/>
  <c r="L389" i="37"/>
  <c r="H389" i="37"/>
  <c r="T388" i="37"/>
  <c r="S388" i="37"/>
  <c r="M388" i="37"/>
  <c r="N388" i="37"/>
  <c r="O388" i="37" s="1"/>
  <c r="L388" i="37"/>
  <c r="H388" i="37"/>
  <c r="T387" i="37"/>
  <c r="S387" i="37"/>
  <c r="M387" i="37"/>
  <c r="N387" i="37"/>
  <c r="O387" i="37" s="1"/>
  <c r="L387" i="37"/>
  <c r="H387" i="37"/>
  <c r="T386" i="37"/>
  <c r="S386" i="37"/>
  <c r="M386" i="37"/>
  <c r="N386" i="37" s="1"/>
  <c r="O386" i="37" s="1"/>
  <c r="L386" i="37"/>
  <c r="H386" i="37"/>
  <c r="T385" i="37"/>
  <c r="S385" i="37"/>
  <c r="M385" i="37"/>
  <c r="N385" i="37" s="1"/>
  <c r="O385" i="37" s="1"/>
  <c r="L385" i="37"/>
  <c r="H385" i="37"/>
  <c r="T384" i="37"/>
  <c r="S384" i="37"/>
  <c r="L384" i="37"/>
  <c r="H384" i="37"/>
  <c r="T383" i="37"/>
  <c r="S383" i="37"/>
  <c r="T382" i="37"/>
  <c r="S382" i="37"/>
  <c r="M382" i="37"/>
  <c r="N382" i="37" s="1"/>
  <c r="O382" i="37" s="1"/>
  <c r="L382" i="37"/>
  <c r="H382" i="37"/>
  <c r="T381" i="37"/>
  <c r="S381" i="37"/>
  <c r="M381" i="37"/>
  <c r="N381" i="37"/>
  <c r="O381" i="37" s="1"/>
  <c r="L381" i="37"/>
  <c r="H381" i="37"/>
  <c r="T380" i="37"/>
  <c r="S380" i="37"/>
  <c r="M374" i="37"/>
  <c r="N374" i="37" s="1"/>
  <c r="O374" i="37" s="1"/>
  <c r="L374" i="37"/>
  <c r="H374" i="37"/>
  <c r="T379" i="37"/>
  <c r="S379" i="37"/>
  <c r="M373" i="37"/>
  <c r="N373" i="37"/>
  <c r="O373" i="37" s="1"/>
  <c r="L373" i="37"/>
  <c r="H373" i="37"/>
  <c r="T378" i="37"/>
  <c r="S378" i="37"/>
  <c r="M372" i="37"/>
  <c r="N372" i="37"/>
  <c r="O372" i="37" s="1"/>
  <c r="L372" i="37"/>
  <c r="H372" i="37"/>
  <c r="T377" i="37"/>
  <c r="S377" i="37"/>
  <c r="M371" i="37"/>
  <c r="N371" i="37" s="1"/>
  <c r="O371" i="37" s="1"/>
  <c r="L371" i="37"/>
  <c r="H371" i="37"/>
  <c r="T376" i="37"/>
  <c r="S376" i="37"/>
  <c r="M370" i="37"/>
  <c r="N370" i="37" s="1"/>
  <c r="O370" i="37" s="1"/>
  <c r="L370" i="37"/>
  <c r="H370" i="37"/>
  <c r="T375" i="37"/>
  <c r="S375" i="37"/>
  <c r="M369" i="37"/>
  <c r="N369" i="37" s="1"/>
  <c r="O369" i="37" s="1"/>
  <c r="L369" i="37"/>
  <c r="H369" i="37"/>
  <c r="T374" i="37"/>
  <c r="S374" i="37"/>
  <c r="M368" i="37"/>
  <c r="N368" i="37" s="1"/>
  <c r="O368" i="37" s="1"/>
  <c r="L368" i="37"/>
  <c r="H368" i="37"/>
  <c r="T373" i="37"/>
  <c r="S373" i="37"/>
  <c r="M367" i="37"/>
  <c r="N367" i="37" s="1"/>
  <c r="O367" i="37" s="1"/>
  <c r="L367" i="37"/>
  <c r="H367" i="37"/>
  <c r="T372" i="37"/>
  <c r="S372" i="37"/>
  <c r="M366" i="37"/>
  <c r="N366" i="37"/>
  <c r="O366" i="37"/>
  <c r="L366" i="37"/>
  <c r="H366" i="37"/>
  <c r="T371" i="37"/>
  <c r="S371" i="37"/>
  <c r="M365" i="37"/>
  <c r="N365" i="37"/>
  <c r="O365" i="37" s="1"/>
  <c r="L365" i="37"/>
  <c r="H365" i="37"/>
  <c r="T370" i="37"/>
  <c r="S370" i="37"/>
  <c r="M364" i="37"/>
  <c r="N364" i="37" s="1"/>
  <c r="O364" i="37" s="1"/>
  <c r="H364" i="37"/>
  <c r="T369" i="37"/>
  <c r="S369" i="37"/>
  <c r="M363" i="37"/>
  <c r="N363" i="37" s="1"/>
  <c r="O363" i="37" s="1"/>
  <c r="H363" i="37"/>
  <c r="T368" i="37"/>
  <c r="S368" i="37"/>
  <c r="M362" i="37"/>
  <c r="N362" i="37" s="1"/>
  <c r="O362" i="37" s="1"/>
  <c r="H362" i="37"/>
  <c r="T367" i="37"/>
  <c r="S367" i="37"/>
  <c r="M380" i="37"/>
  <c r="N380" i="37" s="1"/>
  <c r="O380" i="37" s="1"/>
  <c r="L380" i="37"/>
  <c r="H380" i="37"/>
  <c r="T366" i="37"/>
  <c r="S366" i="37"/>
  <c r="M379" i="37"/>
  <c r="N379" i="37" s="1"/>
  <c r="O379" i="37" s="1"/>
  <c r="L379" i="37"/>
  <c r="H379" i="37"/>
  <c r="T365" i="37"/>
  <c r="S365" i="37"/>
  <c r="M378" i="37"/>
  <c r="N378" i="37" s="1"/>
  <c r="O378" i="37"/>
  <c r="L378" i="37"/>
  <c r="H378" i="37"/>
  <c r="T364" i="37"/>
  <c r="S364" i="37"/>
  <c r="M377" i="37"/>
  <c r="N377" i="37"/>
  <c r="O377" i="37" s="1"/>
  <c r="L377" i="37"/>
  <c r="H377" i="37"/>
  <c r="T363" i="37"/>
  <c r="S363" i="37"/>
  <c r="M376" i="37"/>
  <c r="N376" i="37" s="1"/>
  <c r="O376" i="37" s="1"/>
  <c r="L376" i="37"/>
  <c r="H376" i="37"/>
  <c r="T362" i="37"/>
  <c r="S362" i="37"/>
  <c r="M375" i="37"/>
  <c r="N375" i="37"/>
  <c r="O375" i="37" s="1"/>
  <c r="L375" i="37"/>
  <c r="H375" i="37"/>
  <c r="T361" i="37"/>
  <c r="S361" i="37"/>
  <c r="M361" i="37"/>
  <c r="N361" i="37" s="1"/>
  <c r="O361" i="37" s="1"/>
  <c r="L361" i="37"/>
  <c r="H361" i="37"/>
  <c r="T360" i="37"/>
  <c r="S360" i="37"/>
  <c r="M360" i="37"/>
  <c r="N360" i="37" s="1"/>
  <c r="O360" i="37" s="1"/>
  <c r="L360" i="37"/>
  <c r="H360" i="37"/>
  <c r="T359" i="37"/>
  <c r="S359" i="37"/>
  <c r="M359" i="37"/>
  <c r="N359" i="37" s="1"/>
  <c r="O359" i="37" s="1"/>
  <c r="L359" i="37"/>
  <c r="H359" i="37"/>
  <c r="T358" i="37"/>
  <c r="S358" i="37"/>
  <c r="M358" i="37"/>
  <c r="N358" i="37"/>
  <c r="O358" i="37"/>
  <c r="L358" i="37"/>
  <c r="H358" i="37"/>
  <c r="T357" i="37"/>
  <c r="S357" i="37"/>
  <c r="M357" i="37"/>
  <c r="N357" i="37"/>
  <c r="O357" i="37" s="1"/>
  <c r="L357" i="37"/>
  <c r="H357" i="37"/>
  <c r="T356" i="37"/>
  <c r="S356" i="37"/>
  <c r="M356" i="37"/>
  <c r="N356" i="37" s="1"/>
  <c r="O356" i="37" s="1"/>
  <c r="L356" i="37"/>
  <c r="H356" i="37"/>
  <c r="T355" i="37"/>
  <c r="S355" i="37"/>
  <c r="M355" i="37"/>
  <c r="N355" i="37" s="1"/>
  <c r="O355" i="37" s="1"/>
  <c r="L355" i="37"/>
  <c r="H355" i="37"/>
  <c r="T354" i="37"/>
  <c r="S354" i="37"/>
  <c r="M354" i="37"/>
  <c r="N354" i="37" s="1"/>
  <c r="O354" i="37" s="1"/>
  <c r="L354" i="37"/>
  <c r="H354" i="37"/>
  <c r="T353" i="37"/>
  <c r="S353" i="37"/>
  <c r="M353" i="37"/>
  <c r="N353" i="37" s="1"/>
  <c r="O353" i="37" s="1"/>
  <c r="L353" i="37"/>
  <c r="H353" i="37"/>
  <c r="T352" i="37"/>
  <c r="S352" i="37"/>
  <c r="M352" i="37"/>
  <c r="N352" i="37" s="1"/>
  <c r="O352" i="37" s="1"/>
  <c r="L352" i="37"/>
  <c r="H352" i="37"/>
  <c r="T351" i="37"/>
  <c r="S351" i="37"/>
  <c r="M351" i="37"/>
  <c r="N351" i="37" s="1"/>
  <c r="O351" i="37" s="1"/>
  <c r="L351" i="37"/>
  <c r="H351" i="37"/>
  <c r="T350" i="37"/>
  <c r="S350" i="37"/>
  <c r="M350" i="37"/>
  <c r="N350" i="37" s="1"/>
  <c r="O350" i="37" s="1"/>
  <c r="L350" i="37"/>
  <c r="H350" i="37"/>
  <c r="T349" i="37"/>
  <c r="S349" i="37"/>
  <c r="M349" i="37"/>
  <c r="N349" i="37" s="1"/>
  <c r="O349" i="37" s="1"/>
  <c r="L349" i="37"/>
  <c r="H349" i="37"/>
  <c r="T348" i="37"/>
  <c r="S348" i="37"/>
  <c r="M348" i="37"/>
  <c r="N348" i="37"/>
  <c r="O348" i="37" s="1"/>
  <c r="L348" i="37"/>
  <c r="H348" i="37"/>
  <c r="T347" i="37"/>
  <c r="S347" i="37"/>
  <c r="M347" i="37"/>
  <c r="N347" i="37" s="1"/>
  <c r="O347" i="37" s="1"/>
  <c r="L347" i="37"/>
  <c r="H347" i="37"/>
  <c r="T346" i="37"/>
  <c r="S346" i="37"/>
  <c r="M346" i="37"/>
  <c r="N346" i="37"/>
  <c r="O346" i="37" s="1"/>
  <c r="L346" i="37"/>
  <c r="H346" i="37"/>
  <c r="T345" i="37"/>
  <c r="S345" i="37"/>
  <c r="M345" i="37"/>
  <c r="N345" i="37" s="1"/>
  <c r="O345" i="37" s="1"/>
  <c r="L345" i="37"/>
  <c r="H345" i="37"/>
  <c r="T344" i="37"/>
  <c r="S344" i="37"/>
  <c r="M344" i="37"/>
  <c r="N344" i="37" s="1"/>
  <c r="O344" i="37" s="1"/>
  <c r="L344" i="37"/>
  <c r="H344" i="37"/>
  <c r="T343" i="37"/>
  <c r="S343" i="37"/>
  <c r="M343" i="37"/>
  <c r="N343" i="37" s="1"/>
  <c r="O343" i="37" s="1"/>
  <c r="L343" i="37"/>
  <c r="H343" i="37"/>
  <c r="T342" i="37"/>
  <c r="S342" i="37"/>
  <c r="M342" i="37"/>
  <c r="N342" i="37"/>
  <c r="O342" i="37"/>
  <c r="L342" i="37"/>
  <c r="H342" i="37"/>
  <c r="T341" i="37"/>
  <c r="S341" i="37"/>
  <c r="M341" i="37"/>
  <c r="N341" i="37" s="1"/>
  <c r="O341" i="37"/>
  <c r="L341" i="37"/>
  <c r="H341" i="37"/>
  <c r="T340" i="37"/>
  <c r="S340" i="37"/>
  <c r="M340" i="37"/>
  <c r="N340" i="37"/>
  <c r="O340" i="37" s="1"/>
  <c r="L340" i="37"/>
  <c r="H340" i="37"/>
  <c r="T339" i="37"/>
  <c r="S339" i="37"/>
  <c r="M339" i="37"/>
  <c r="N339" i="37" s="1"/>
  <c r="O339" i="37" s="1"/>
  <c r="L339" i="37"/>
  <c r="H339" i="37"/>
  <c r="T338" i="37"/>
  <c r="S338" i="37"/>
  <c r="M338" i="37"/>
  <c r="N338" i="37" s="1"/>
  <c r="O338" i="37" s="1"/>
  <c r="L338" i="37"/>
  <c r="H338" i="37"/>
  <c r="T337" i="37"/>
  <c r="S337" i="37"/>
  <c r="M335" i="37"/>
  <c r="N335" i="37" s="1"/>
  <c r="O335" i="37" s="1"/>
  <c r="L335" i="37"/>
  <c r="H335" i="37"/>
  <c r="T336" i="37"/>
  <c r="S336" i="37"/>
  <c r="M334" i="37"/>
  <c r="N334" i="37" s="1"/>
  <c r="O334" i="37" s="1"/>
  <c r="L334" i="37"/>
  <c r="H334" i="37"/>
  <c r="T335" i="37"/>
  <c r="S335" i="37"/>
  <c r="M336" i="37"/>
  <c r="N336" i="37"/>
  <c r="O336" i="37"/>
  <c r="L336" i="37"/>
  <c r="H336" i="37"/>
  <c r="T334" i="37"/>
  <c r="S334" i="37"/>
  <c r="M337" i="37"/>
  <c r="N337" i="37"/>
  <c r="O337" i="37"/>
  <c r="L337" i="37"/>
  <c r="H337" i="37"/>
  <c r="T333" i="37"/>
  <c r="S333" i="37"/>
  <c r="M333" i="37"/>
  <c r="N333" i="37" s="1"/>
  <c r="O333" i="37" s="1"/>
  <c r="L333" i="37"/>
  <c r="H333" i="37"/>
  <c r="T332" i="37"/>
  <c r="S332" i="37"/>
  <c r="M332" i="37"/>
  <c r="N332" i="37" s="1"/>
  <c r="O332" i="37" s="1"/>
  <c r="L332" i="37"/>
  <c r="H332" i="37"/>
  <c r="T331" i="37"/>
  <c r="S331" i="37"/>
  <c r="M331" i="37"/>
  <c r="N331" i="37" s="1"/>
  <c r="O331" i="37" s="1"/>
  <c r="L331" i="37"/>
  <c r="H331" i="37"/>
  <c r="T330" i="37"/>
  <c r="S330" i="37"/>
  <c r="M330" i="37"/>
  <c r="N330" i="37"/>
  <c r="O330" i="37" s="1"/>
  <c r="L330" i="37"/>
  <c r="H330" i="37"/>
  <c r="T329" i="37"/>
  <c r="S329" i="37"/>
  <c r="M329" i="37"/>
  <c r="N329" i="37" s="1"/>
  <c r="O329" i="37" s="1"/>
  <c r="L329" i="37"/>
  <c r="H329" i="37"/>
  <c r="T328" i="37"/>
  <c r="S328" i="37"/>
  <c r="M328" i="37"/>
  <c r="N328" i="37" s="1"/>
  <c r="O328" i="37" s="1"/>
  <c r="L328" i="37"/>
  <c r="H328" i="37"/>
  <c r="T327" i="37"/>
  <c r="S327" i="37"/>
  <c r="M327" i="37"/>
  <c r="N327" i="37"/>
  <c r="O327" i="37" s="1"/>
  <c r="L327" i="37"/>
  <c r="H327" i="37"/>
  <c r="T326" i="37"/>
  <c r="S326" i="37"/>
  <c r="M326" i="37"/>
  <c r="N326" i="37" s="1"/>
  <c r="O326" i="37" s="1"/>
  <c r="L326" i="37"/>
  <c r="H326" i="37"/>
  <c r="T325" i="37"/>
  <c r="S325" i="37"/>
  <c r="M325" i="37"/>
  <c r="N325" i="37" s="1"/>
  <c r="O325" i="37" s="1"/>
  <c r="L325" i="37"/>
  <c r="H325" i="37"/>
  <c r="T324" i="37"/>
  <c r="S324" i="37"/>
  <c r="M324" i="37"/>
  <c r="N324" i="37"/>
  <c r="O324" i="37" s="1"/>
  <c r="L324" i="37"/>
  <c r="H324" i="37"/>
  <c r="T323" i="37"/>
  <c r="S323" i="37"/>
  <c r="M323" i="37"/>
  <c r="N323" i="37"/>
  <c r="O323" i="37" s="1"/>
  <c r="L323" i="37"/>
  <c r="H323" i="37"/>
  <c r="T322" i="37"/>
  <c r="S322" i="37"/>
  <c r="M322" i="37"/>
  <c r="N322" i="37" s="1"/>
  <c r="O322" i="37" s="1"/>
  <c r="L322" i="37"/>
  <c r="H322" i="37"/>
  <c r="T321" i="37"/>
  <c r="S321" i="37"/>
  <c r="M321" i="37"/>
  <c r="N321" i="37" s="1"/>
  <c r="O321" i="37" s="1"/>
  <c r="L321" i="37"/>
  <c r="H321" i="37"/>
  <c r="T320" i="37"/>
  <c r="S320" i="37"/>
  <c r="M320" i="37"/>
  <c r="N320" i="37"/>
  <c r="O320" i="37" s="1"/>
  <c r="L320" i="37"/>
  <c r="H320" i="37"/>
  <c r="T319" i="37"/>
  <c r="S319" i="37"/>
  <c r="M319" i="37"/>
  <c r="N319" i="37" s="1"/>
  <c r="O319" i="37" s="1"/>
  <c r="L319" i="37"/>
  <c r="H319" i="37"/>
  <c r="T318" i="37"/>
  <c r="S318" i="37"/>
  <c r="M318" i="37"/>
  <c r="N318" i="37" s="1"/>
  <c r="O318" i="37" s="1"/>
  <c r="L318" i="37"/>
  <c r="H318" i="37"/>
  <c r="T317" i="37"/>
  <c r="S317" i="37"/>
  <c r="M317" i="37"/>
  <c r="N317" i="37" s="1"/>
  <c r="O317" i="37" s="1"/>
  <c r="L317" i="37"/>
  <c r="H317" i="37"/>
  <c r="T316" i="37"/>
  <c r="S316" i="37"/>
  <c r="M316" i="37"/>
  <c r="N316" i="37" s="1"/>
  <c r="O316" i="37" s="1"/>
  <c r="L316" i="37"/>
  <c r="H316" i="37"/>
  <c r="T315" i="37"/>
  <c r="S315" i="37"/>
  <c r="M315" i="37"/>
  <c r="N315" i="37"/>
  <c r="O315" i="37"/>
  <c r="L315" i="37"/>
  <c r="H315" i="37"/>
  <c r="T314" i="37"/>
  <c r="S314" i="37"/>
  <c r="M313" i="37"/>
  <c r="N313" i="37"/>
  <c r="O313" i="37" s="1"/>
  <c r="L313" i="37"/>
  <c r="H313" i="37"/>
  <c r="T313" i="37"/>
  <c r="S313" i="37"/>
  <c r="M314" i="37"/>
  <c r="N314" i="37" s="1"/>
  <c r="O314" i="37" s="1"/>
  <c r="L314" i="37"/>
  <c r="H314" i="37"/>
  <c r="T312" i="37"/>
  <c r="S312" i="37"/>
  <c r="M312" i="37"/>
  <c r="N312" i="37" s="1"/>
  <c r="O312" i="37" s="1"/>
  <c r="L312" i="37"/>
  <c r="H312" i="37"/>
  <c r="T311" i="37"/>
  <c r="S311" i="37"/>
  <c r="M311" i="37"/>
  <c r="N311" i="37"/>
  <c r="O311" i="37" s="1"/>
  <c r="L311" i="37"/>
  <c r="H311" i="37"/>
  <c r="T310" i="37"/>
  <c r="S310" i="37"/>
  <c r="M310" i="37"/>
  <c r="N310" i="37"/>
  <c r="O310" i="37" s="1"/>
  <c r="L310" i="37"/>
  <c r="H310" i="37"/>
  <c r="T309" i="37"/>
  <c r="S309" i="37"/>
  <c r="M309" i="37"/>
  <c r="N309" i="37" s="1"/>
  <c r="O309" i="37" s="1"/>
  <c r="L309" i="37"/>
  <c r="H309" i="37"/>
  <c r="T308" i="37"/>
  <c r="S308" i="37"/>
  <c r="M308" i="37"/>
  <c r="N308" i="37" s="1"/>
  <c r="O308" i="37" s="1"/>
  <c r="L308" i="37"/>
  <c r="H308" i="37"/>
  <c r="T307" i="37"/>
  <c r="S307" i="37"/>
  <c r="M307" i="37"/>
  <c r="N307" i="37" s="1"/>
  <c r="O307" i="37"/>
  <c r="L307" i="37"/>
  <c r="H307" i="37"/>
  <c r="T306" i="37"/>
  <c r="S306" i="37"/>
  <c r="M306" i="37"/>
  <c r="N306" i="37"/>
  <c r="O306" i="37"/>
  <c r="L306" i="37"/>
  <c r="H306" i="37"/>
  <c r="T305" i="37"/>
  <c r="S305" i="37"/>
  <c r="M305" i="37"/>
  <c r="N305" i="37" s="1"/>
  <c r="O305" i="37"/>
  <c r="L305" i="37"/>
  <c r="H305" i="37"/>
  <c r="T304" i="37"/>
  <c r="S304" i="37"/>
  <c r="M304" i="37"/>
  <c r="N304" i="37" s="1"/>
  <c r="O304" i="37" s="1"/>
  <c r="L304" i="37"/>
  <c r="H304" i="37"/>
  <c r="T303" i="37"/>
  <c r="S303" i="37"/>
  <c r="M303" i="37"/>
  <c r="N303" i="37" s="1"/>
  <c r="O303" i="37" s="1"/>
  <c r="L303" i="37"/>
  <c r="H303" i="37"/>
  <c r="T302" i="37"/>
  <c r="S302" i="37"/>
  <c r="M302" i="37"/>
  <c r="N302" i="37"/>
  <c r="O302" i="37" s="1"/>
  <c r="L302" i="37"/>
  <c r="H302" i="37"/>
  <c r="T301" i="37"/>
  <c r="S301" i="37"/>
  <c r="M301" i="37"/>
  <c r="N301" i="37" s="1"/>
  <c r="O301" i="37" s="1"/>
  <c r="L301" i="37"/>
  <c r="H301" i="37"/>
  <c r="T300" i="37"/>
  <c r="S300" i="37"/>
  <c r="M300" i="37"/>
  <c r="N300" i="37"/>
  <c r="O300" i="37" s="1"/>
  <c r="L300" i="37"/>
  <c r="H300" i="37"/>
  <c r="T299" i="37"/>
  <c r="S299" i="37"/>
  <c r="M299" i="37"/>
  <c r="N299" i="37"/>
  <c r="O299" i="37" s="1"/>
  <c r="L299" i="37"/>
  <c r="H299" i="37"/>
  <c r="T298" i="37"/>
  <c r="S298" i="37"/>
  <c r="M298" i="37"/>
  <c r="N298" i="37"/>
  <c r="O298" i="37"/>
  <c r="L298" i="37"/>
  <c r="H298" i="37"/>
  <c r="T297" i="37"/>
  <c r="S297" i="37"/>
  <c r="M297" i="37"/>
  <c r="N297" i="37"/>
  <c r="O297" i="37" s="1"/>
  <c r="L297" i="37"/>
  <c r="H297" i="37"/>
  <c r="T296" i="37"/>
  <c r="S296" i="37"/>
  <c r="M296" i="37"/>
  <c r="N296" i="37" s="1"/>
  <c r="O296" i="37" s="1"/>
  <c r="L296" i="37"/>
  <c r="H296" i="37"/>
  <c r="T295" i="37"/>
  <c r="S295" i="37"/>
  <c r="M295" i="37"/>
  <c r="N295" i="37" s="1"/>
  <c r="O295" i="37" s="1"/>
  <c r="L295" i="37"/>
  <c r="H295" i="37"/>
  <c r="T294" i="37"/>
  <c r="S294" i="37"/>
  <c r="M294" i="37"/>
  <c r="N294" i="37"/>
  <c r="O294" i="37"/>
  <c r="L294" i="37"/>
  <c r="H294" i="37"/>
  <c r="T293" i="37"/>
  <c r="S293" i="37"/>
  <c r="M293" i="37"/>
  <c r="N293" i="37" s="1"/>
  <c r="O293" i="37" s="1"/>
  <c r="H293" i="37"/>
  <c r="T292" i="37"/>
  <c r="S292" i="37"/>
  <c r="M292" i="37"/>
  <c r="N292" i="37"/>
  <c r="O292" i="37"/>
  <c r="L292" i="37"/>
  <c r="H292" i="37"/>
  <c r="T291" i="37"/>
  <c r="S291" i="37"/>
  <c r="M291" i="37"/>
  <c r="N291" i="37"/>
  <c r="O291" i="37"/>
  <c r="L291" i="37"/>
  <c r="H291" i="37"/>
  <c r="T290" i="37"/>
  <c r="S290" i="37"/>
  <c r="M290" i="37"/>
  <c r="N290" i="37"/>
  <c r="O290" i="37" s="1"/>
  <c r="L290" i="37"/>
  <c r="H290" i="37"/>
  <c r="T289" i="37"/>
  <c r="S289" i="37"/>
  <c r="M289" i="37"/>
  <c r="N289" i="37" s="1"/>
  <c r="O289" i="37" s="1"/>
  <c r="L289" i="37"/>
  <c r="H289" i="37"/>
  <c r="T288" i="37"/>
  <c r="S288" i="37"/>
  <c r="M288" i="37"/>
  <c r="N288" i="37" s="1"/>
  <c r="O288" i="37" s="1"/>
  <c r="L288" i="37"/>
  <c r="H288" i="37"/>
  <c r="T287" i="37"/>
  <c r="S287" i="37"/>
  <c r="M287" i="37"/>
  <c r="N287" i="37"/>
  <c r="O287" i="37" s="1"/>
  <c r="L287" i="37"/>
  <c r="H287" i="37"/>
  <c r="T286" i="37"/>
  <c r="S286" i="37"/>
  <c r="M286" i="37"/>
  <c r="N286" i="37" s="1"/>
  <c r="O286" i="37" s="1"/>
  <c r="L286" i="37"/>
  <c r="H286" i="37"/>
  <c r="T285" i="37"/>
  <c r="S285" i="37"/>
  <c r="M285" i="37"/>
  <c r="N285" i="37"/>
  <c r="O285" i="37"/>
  <c r="L285" i="37"/>
  <c r="H285" i="37"/>
  <c r="T284" i="37"/>
  <c r="S284" i="37"/>
  <c r="M284" i="37"/>
  <c r="N284" i="37" s="1"/>
  <c r="O284" i="37" s="1"/>
  <c r="L284" i="37"/>
  <c r="H284" i="37"/>
  <c r="T283" i="37"/>
  <c r="S283" i="37"/>
  <c r="M283" i="37"/>
  <c r="N283" i="37" s="1"/>
  <c r="O283" i="37" s="1"/>
  <c r="L283" i="37"/>
  <c r="H283" i="37"/>
  <c r="T282" i="37"/>
  <c r="S282" i="37"/>
  <c r="M282" i="37"/>
  <c r="N282" i="37" s="1"/>
  <c r="O282" i="37" s="1"/>
  <c r="L282" i="37"/>
  <c r="H282" i="37"/>
  <c r="T281" i="37"/>
  <c r="S281" i="37"/>
  <c r="M281" i="37"/>
  <c r="N281" i="37" s="1"/>
  <c r="O281" i="37" s="1"/>
  <c r="L281" i="37"/>
  <c r="H281" i="37"/>
  <c r="T280" i="37"/>
  <c r="S280" i="37"/>
  <c r="M280" i="37"/>
  <c r="N280" i="37"/>
  <c r="O280" i="37" s="1"/>
  <c r="L280" i="37"/>
  <c r="H280" i="37"/>
  <c r="T279" i="37"/>
  <c r="S279" i="37"/>
  <c r="M279" i="37"/>
  <c r="N279" i="37"/>
  <c r="O279" i="37"/>
  <c r="H279" i="37"/>
  <c r="T278" i="37"/>
  <c r="S278" i="37"/>
  <c r="M278" i="37"/>
  <c r="N278" i="37" s="1"/>
  <c r="O278" i="37" s="1"/>
  <c r="L278" i="37"/>
  <c r="H278" i="37"/>
  <c r="T277" i="37"/>
  <c r="S277" i="37"/>
  <c r="M277" i="37"/>
  <c r="N277" i="37"/>
  <c r="O277" i="37"/>
  <c r="H277" i="37"/>
  <c r="T276" i="37"/>
  <c r="S276" i="37"/>
  <c r="M276" i="37"/>
  <c r="N276" i="37" s="1"/>
  <c r="O276" i="37" s="1"/>
  <c r="L276" i="37"/>
  <c r="H276" i="37"/>
  <c r="T275" i="37"/>
  <c r="S275" i="37"/>
  <c r="M275" i="37"/>
  <c r="N275" i="37"/>
  <c r="O275" i="37" s="1"/>
  <c r="L275" i="37"/>
  <c r="H275" i="37"/>
  <c r="T274" i="37"/>
  <c r="S274" i="37"/>
  <c r="M274" i="37"/>
  <c r="N274" i="37" s="1"/>
  <c r="O274" i="37" s="1"/>
  <c r="L274" i="37"/>
  <c r="H274" i="37"/>
  <c r="T273" i="37"/>
  <c r="S273" i="37"/>
  <c r="M273" i="37"/>
  <c r="N273" i="37"/>
  <c r="O273" i="37"/>
  <c r="L273" i="37"/>
  <c r="H273" i="37"/>
  <c r="T272" i="37"/>
  <c r="S272" i="37"/>
  <c r="M272" i="37"/>
  <c r="N272" i="37" s="1"/>
  <c r="O272" i="37" s="1"/>
  <c r="L272" i="37"/>
  <c r="H272" i="37"/>
  <c r="T271" i="37"/>
  <c r="S271" i="37"/>
  <c r="M271" i="37"/>
  <c r="N271" i="37" s="1"/>
  <c r="O271" i="37" s="1"/>
  <c r="L271" i="37"/>
  <c r="H271" i="37"/>
  <c r="T270" i="37"/>
  <c r="S270" i="37"/>
  <c r="M270" i="37"/>
  <c r="N270" i="37" s="1"/>
  <c r="O270" i="37" s="1"/>
  <c r="L270" i="37"/>
  <c r="H270" i="37"/>
  <c r="T269" i="37"/>
  <c r="S269" i="37"/>
  <c r="M269" i="37"/>
  <c r="N269" i="37"/>
  <c r="O269" i="37" s="1"/>
  <c r="L269" i="37"/>
  <c r="H269" i="37"/>
  <c r="T268" i="37"/>
  <c r="S268" i="37"/>
  <c r="M268" i="37"/>
  <c r="N268" i="37" s="1"/>
  <c r="O268" i="37" s="1"/>
  <c r="L268" i="37"/>
  <c r="H268" i="37"/>
  <c r="T267" i="37"/>
  <c r="S267" i="37"/>
  <c r="M267" i="37"/>
  <c r="N267" i="37"/>
  <c r="O267" i="37" s="1"/>
  <c r="L267" i="37"/>
  <c r="H267" i="37"/>
  <c r="T266" i="37"/>
  <c r="S266" i="37"/>
  <c r="M266" i="37"/>
  <c r="N266" i="37"/>
  <c r="O266" i="37" s="1"/>
  <c r="L266" i="37"/>
  <c r="H266" i="37"/>
  <c r="T265" i="37"/>
  <c r="S265" i="37"/>
  <c r="M265" i="37"/>
  <c r="N265" i="37"/>
  <c r="O265" i="37" s="1"/>
  <c r="L265" i="37"/>
  <c r="H265" i="37"/>
  <c r="T264" i="37"/>
  <c r="S264" i="37"/>
  <c r="M264" i="37"/>
  <c r="N264" i="37" s="1"/>
  <c r="O264" i="37" s="1"/>
  <c r="L264" i="37"/>
  <c r="H264" i="37"/>
  <c r="T263" i="37"/>
  <c r="S263" i="37"/>
  <c r="M263" i="37"/>
  <c r="N263" i="37" s="1"/>
  <c r="O263" i="37" s="1"/>
  <c r="L263" i="37"/>
  <c r="H263" i="37"/>
  <c r="T262" i="37"/>
  <c r="S262" i="37"/>
  <c r="M262" i="37"/>
  <c r="N262" i="37" s="1"/>
  <c r="O262" i="37"/>
  <c r="L262" i="37"/>
  <c r="H262" i="37"/>
  <c r="T261" i="37"/>
  <c r="S261" i="37"/>
  <c r="M261" i="37"/>
  <c r="N261" i="37"/>
  <c r="O261" i="37"/>
  <c r="L261" i="37"/>
  <c r="H261" i="37"/>
  <c r="T260" i="37"/>
  <c r="S260" i="37"/>
  <c r="M260" i="37"/>
  <c r="N260" i="37" s="1"/>
  <c r="O260" i="37" s="1"/>
  <c r="L260" i="37"/>
  <c r="H260" i="37"/>
  <c r="T259" i="37"/>
  <c r="S259" i="37"/>
  <c r="M259" i="37"/>
  <c r="N259" i="37" s="1"/>
  <c r="O259" i="37" s="1"/>
  <c r="L259" i="37"/>
  <c r="H259" i="37"/>
  <c r="T258" i="37"/>
  <c r="S258" i="37"/>
  <c r="M258" i="37"/>
  <c r="N258" i="37" s="1"/>
  <c r="O258" i="37" s="1"/>
  <c r="L258" i="37"/>
  <c r="H258" i="37"/>
  <c r="T257" i="37"/>
  <c r="S257" i="37"/>
  <c r="M257" i="37"/>
  <c r="N257" i="37" s="1"/>
  <c r="O257" i="37" s="1"/>
  <c r="L257" i="37"/>
  <c r="H257" i="37"/>
  <c r="T256" i="37"/>
  <c r="S256" i="37"/>
  <c r="M256" i="37"/>
  <c r="N256" i="37" s="1"/>
  <c r="O256" i="37" s="1"/>
  <c r="L256" i="37"/>
  <c r="H256" i="37"/>
  <c r="T255" i="37"/>
  <c r="S255" i="37"/>
  <c r="M255" i="37"/>
  <c r="N255" i="37"/>
  <c r="O255" i="37" s="1"/>
  <c r="L255" i="37"/>
  <c r="H255" i="37"/>
  <c r="T254" i="37"/>
  <c r="S254" i="37"/>
  <c r="M254" i="37"/>
  <c r="N254" i="37"/>
  <c r="O254" i="37" s="1"/>
  <c r="L254" i="37"/>
  <c r="H254" i="37"/>
  <c r="T253" i="37"/>
  <c r="S253" i="37"/>
  <c r="M253" i="37"/>
  <c r="N253" i="37"/>
  <c r="O253" i="37" s="1"/>
  <c r="L253" i="37"/>
  <c r="H253" i="37"/>
  <c r="T252" i="37"/>
  <c r="S252" i="37"/>
  <c r="M252" i="37"/>
  <c r="N252" i="37" s="1"/>
  <c r="O252" i="37" s="1"/>
  <c r="L252" i="37"/>
  <c r="H252" i="37"/>
  <c r="T251" i="37"/>
  <c r="S251" i="37"/>
  <c r="M251" i="37"/>
  <c r="N251" i="37" s="1"/>
  <c r="O251" i="37" s="1"/>
  <c r="L251" i="37"/>
  <c r="H251" i="37"/>
  <c r="T250" i="37"/>
  <c r="S250" i="37"/>
  <c r="M250" i="37"/>
  <c r="N250" i="37" s="1"/>
  <c r="O250" i="37" s="1"/>
  <c r="L250" i="37"/>
  <c r="H250" i="37"/>
  <c r="T249" i="37"/>
  <c r="S249" i="37"/>
  <c r="M249" i="37"/>
  <c r="N249" i="37"/>
  <c r="O249" i="37"/>
  <c r="L249" i="37"/>
  <c r="H249" i="37"/>
  <c r="T248" i="37"/>
  <c r="S248" i="37"/>
  <c r="M248" i="37"/>
  <c r="N248" i="37" s="1"/>
  <c r="O248" i="37" s="1"/>
  <c r="L248" i="37"/>
  <c r="H248" i="37"/>
  <c r="T247" i="37"/>
  <c r="S247" i="37"/>
  <c r="M247" i="37"/>
  <c r="N247" i="37" s="1"/>
  <c r="O247" i="37" s="1"/>
  <c r="L247" i="37"/>
  <c r="H247" i="37"/>
  <c r="T246" i="37"/>
  <c r="S246" i="37"/>
  <c r="M246" i="37"/>
  <c r="N246" i="37"/>
  <c r="O246" i="37" s="1"/>
  <c r="L246" i="37"/>
  <c r="H246" i="37"/>
  <c r="T245" i="37"/>
  <c r="S245" i="37"/>
  <c r="M245" i="37"/>
  <c r="N245" i="37" s="1"/>
  <c r="O245" i="37" s="1"/>
  <c r="L245" i="37"/>
  <c r="H245" i="37"/>
  <c r="T244" i="37"/>
  <c r="S244" i="37"/>
  <c r="M244" i="37"/>
  <c r="N244" i="37" s="1"/>
  <c r="O244" i="37" s="1"/>
  <c r="L244" i="37"/>
  <c r="H244" i="37"/>
  <c r="T243" i="37"/>
  <c r="S243" i="37"/>
  <c r="M243" i="37"/>
  <c r="N243" i="37"/>
  <c r="O243" i="37" s="1"/>
  <c r="L243" i="37"/>
  <c r="H243" i="37"/>
  <c r="T242" i="37"/>
  <c r="S242" i="37"/>
  <c r="M242" i="37"/>
  <c r="N242" i="37"/>
  <c r="O242" i="37" s="1"/>
  <c r="L242" i="37"/>
  <c r="H242" i="37"/>
  <c r="T241" i="37"/>
  <c r="S241" i="37"/>
  <c r="M241" i="37"/>
  <c r="N241" i="37" s="1"/>
  <c r="O241" i="37" s="1"/>
  <c r="L241" i="37"/>
  <c r="H241" i="37"/>
  <c r="T240" i="37"/>
  <c r="S240" i="37"/>
  <c r="M240" i="37"/>
  <c r="N240" i="37" s="1"/>
  <c r="O240" i="37" s="1"/>
  <c r="L240" i="37"/>
  <c r="H240" i="37"/>
  <c r="T239" i="37"/>
  <c r="S239" i="37"/>
  <c r="M239" i="37"/>
  <c r="N239" i="37"/>
  <c r="O239" i="37" s="1"/>
  <c r="L239" i="37"/>
  <c r="H239" i="37"/>
  <c r="T238" i="37"/>
  <c r="S238" i="37"/>
  <c r="M238" i="37"/>
  <c r="N238" i="37" s="1"/>
  <c r="O238" i="37"/>
  <c r="H238" i="37"/>
  <c r="T237" i="37"/>
  <c r="S237" i="37"/>
  <c r="M237" i="37"/>
  <c r="N237" i="37" s="1"/>
  <c r="O237" i="37" s="1"/>
  <c r="H237" i="37"/>
  <c r="T236" i="37"/>
  <c r="S236" i="37"/>
  <c r="M236" i="37"/>
  <c r="N236" i="37" s="1"/>
  <c r="O236" i="37"/>
  <c r="H236" i="37"/>
  <c r="T235" i="37"/>
  <c r="S235" i="37"/>
  <c r="M235" i="37"/>
  <c r="N235" i="37" s="1"/>
  <c r="O235" i="37" s="1"/>
  <c r="H235" i="37"/>
  <c r="T234" i="37"/>
  <c r="S234" i="37"/>
  <c r="M234" i="37"/>
  <c r="N234" i="37" s="1"/>
  <c r="O234" i="37" s="1"/>
  <c r="H234" i="37"/>
  <c r="T233" i="37"/>
  <c r="S233" i="37"/>
  <c r="M233" i="37"/>
  <c r="N233" i="37" s="1"/>
  <c r="O233" i="37" s="1"/>
  <c r="H233" i="37"/>
  <c r="T232" i="37"/>
  <c r="S232" i="37"/>
  <c r="M232" i="37"/>
  <c r="N232" i="37" s="1"/>
  <c r="O232" i="37"/>
  <c r="H232" i="37"/>
  <c r="T231" i="37"/>
  <c r="S231" i="37"/>
  <c r="M231" i="37"/>
  <c r="N231" i="37" s="1"/>
  <c r="O231" i="37" s="1"/>
  <c r="H231" i="37"/>
  <c r="T230" i="37"/>
  <c r="S230" i="37"/>
  <c r="M230" i="37"/>
  <c r="N230" i="37" s="1"/>
  <c r="O230" i="37"/>
  <c r="H230" i="37"/>
  <c r="T229" i="37"/>
  <c r="S229" i="37"/>
  <c r="M229" i="37"/>
  <c r="N229" i="37" s="1"/>
  <c r="O229" i="37" s="1"/>
  <c r="H229" i="37"/>
  <c r="T228" i="37"/>
  <c r="S228" i="37"/>
  <c r="M228" i="37"/>
  <c r="N228" i="37" s="1"/>
  <c r="O228" i="37"/>
  <c r="H228" i="37"/>
  <c r="T227" i="37"/>
  <c r="S227" i="37"/>
  <c r="M227" i="37"/>
  <c r="N227" i="37" s="1"/>
  <c r="O227" i="37" s="1"/>
  <c r="H227" i="37"/>
  <c r="T226" i="37"/>
  <c r="S226" i="37"/>
  <c r="M226" i="37"/>
  <c r="N226" i="37" s="1"/>
  <c r="O226" i="37"/>
  <c r="H226" i="37"/>
  <c r="T225" i="37"/>
  <c r="S225" i="37"/>
  <c r="M225" i="37"/>
  <c r="N225" i="37" s="1"/>
  <c r="O225" i="37" s="1"/>
  <c r="H225" i="37"/>
  <c r="T224" i="37"/>
  <c r="S224" i="37"/>
  <c r="M224" i="37"/>
  <c r="N224" i="37" s="1"/>
  <c r="O224" i="37"/>
  <c r="H224" i="37"/>
  <c r="T223" i="37"/>
  <c r="S223" i="37"/>
  <c r="M223" i="37"/>
  <c r="N223" i="37" s="1"/>
  <c r="O223" i="37" s="1"/>
  <c r="H223" i="37"/>
  <c r="T222" i="37"/>
  <c r="S222" i="37"/>
  <c r="M222" i="37"/>
  <c r="N222" i="37" s="1"/>
  <c r="O222" i="37" s="1"/>
  <c r="H222" i="37"/>
  <c r="T221" i="37"/>
  <c r="S221" i="37"/>
  <c r="M221" i="37"/>
  <c r="N221" i="37" s="1"/>
  <c r="O221" i="37" s="1"/>
  <c r="H221" i="37"/>
  <c r="T220" i="37"/>
  <c r="S220" i="37"/>
  <c r="M220" i="37"/>
  <c r="N220" i="37" s="1"/>
  <c r="O220" i="37"/>
  <c r="H220" i="37"/>
  <c r="T219" i="37"/>
  <c r="S219" i="37"/>
  <c r="M219" i="37"/>
  <c r="N219" i="37" s="1"/>
  <c r="O219" i="37" s="1"/>
  <c r="H219" i="37"/>
  <c r="T218" i="37"/>
  <c r="S218" i="37"/>
  <c r="M218" i="37"/>
  <c r="N218" i="37" s="1"/>
  <c r="O218" i="37"/>
  <c r="H218" i="37"/>
  <c r="T217" i="37"/>
  <c r="S217" i="37"/>
  <c r="M217" i="37"/>
  <c r="N217" i="37" s="1"/>
  <c r="O217" i="37"/>
  <c r="H217" i="37"/>
  <c r="T216" i="37"/>
  <c r="S216" i="37"/>
  <c r="M216" i="37"/>
  <c r="N216" i="37" s="1"/>
  <c r="O216" i="37" s="1"/>
  <c r="H216" i="37"/>
  <c r="T215" i="37"/>
  <c r="S215" i="37"/>
  <c r="M215" i="37"/>
  <c r="N215" i="37" s="1"/>
  <c r="O215" i="37"/>
  <c r="H215" i="37"/>
  <c r="T214" i="37"/>
  <c r="S214" i="37"/>
  <c r="M214" i="37"/>
  <c r="N214" i="37" s="1"/>
  <c r="O214" i="37"/>
  <c r="H214" i="37"/>
  <c r="T213" i="37"/>
  <c r="S213" i="37"/>
  <c r="M213" i="37"/>
  <c r="N213" i="37" s="1"/>
  <c r="O213" i="37" s="1"/>
  <c r="H213" i="37"/>
  <c r="T212" i="37"/>
  <c r="S212" i="37"/>
  <c r="M212" i="37"/>
  <c r="N212" i="37" s="1"/>
  <c r="O212" i="37" s="1"/>
  <c r="H212" i="37"/>
  <c r="T211" i="37"/>
  <c r="S211" i="37"/>
  <c r="M211" i="37"/>
  <c r="N211" i="37" s="1"/>
  <c r="O211" i="37" s="1"/>
  <c r="H211" i="37"/>
  <c r="T210" i="37"/>
  <c r="S210" i="37"/>
  <c r="M210" i="37"/>
  <c r="N210" i="37" s="1"/>
  <c r="O210" i="37" s="1"/>
  <c r="H210" i="37"/>
  <c r="T209" i="37"/>
  <c r="S209" i="37"/>
  <c r="M209" i="37"/>
  <c r="N209" i="37" s="1"/>
  <c r="O209" i="37"/>
  <c r="H209" i="37"/>
  <c r="T208" i="37"/>
  <c r="S208" i="37"/>
  <c r="M208" i="37"/>
  <c r="N208" i="37" s="1"/>
  <c r="O208" i="37" s="1"/>
  <c r="H208" i="37"/>
  <c r="T207" i="37"/>
  <c r="S207" i="37"/>
  <c r="M207" i="37"/>
  <c r="N207" i="37" s="1"/>
  <c r="O207" i="37" s="1"/>
  <c r="H207" i="37"/>
  <c r="T206" i="37"/>
  <c r="S206" i="37"/>
  <c r="M206" i="37"/>
  <c r="N206" i="37" s="1"/>
  <c r="O206" i="37"/>
  <c r="H206" i="37"/>
  <c r="T205" i="37"/>
  <c r="S205" i="37"/>
  <c r="M205" i="37"/>
  <c r="N205" i="37" s="1"/>
  <c r="O205" i="37"/>
  <c r="H205" i="37"/>
  <c r="T204" i="37"/>
  <c r="S204" i="37"/>
  <c r="M204" i="37"/>
  <c r="N204" i="37" s="1"/>
  <c r="O204" i="37" s="1"/>
  <c r="H204" i="37"/>
  <c r="T203" i="37"/>
  <c r="S203" i="37"/>
  <c r="M203" i="37"/>
  <c r="N203" i="37" s="1"/>
  <c r="O203" i="37" s="1"/>
  <c r="L203" i="37"/>
  <c r="H203" i="37"/>
  <c r="T202" i="37"/>
  <c r="S202" i="37"/>
  <c r="M202" i="37"/>
  <c r="N202" i="37"/>
  <c r="O202" i="37" s="1"/>
  <c r="L202" i="37"/>
  <c r="H202" i="37"/>
  <c r="T201" i="37"/>
  <c r="S201" i="37"/>
  <c r="M201" i="37"/>
  <c r="N201" i="37" s="1"/>
  <c r="O201" i="37" s="1"/>
  <c r="L201" i="37"/>
  <c r="H201" i="37"/>
  <c r="T200" i="37"/>
  <c r="S200" i="37"/>
  <c r="T199" i="37"/>
  <c r="S199" i="37"/>
  <c r="M199" i="37"/>
  <c r="N199" i="37" s="1"/>
  <c r="O199" i="37" s="1"/>
  <c r="H199" i="37"/>
  <c r="T198" i="37"/>
  <c r="S198" i="37"/>
  <c r="M198" i="37"/>
  <c r="N198" i="37"/>
  <c r="O198" i="37" s="1"/>
  <c r="L198" i="37"/>
  <c r="H198" i="37"/>
  <c r="T197" i="37"/>
  <c r="S197" i="37"/>
  <c r="M197" i="37"/>
  <c r="N197" i="37" s="1"/>
  <c r="O197" i="37" s="1"/>
  <c r="L197" i="37"/>
  <c r="H197" i="37"/>
  <c r="T196" i="37"/>
  <c r="S196" i="37"/>
  <c r="M196" i="37"/>
  <c r="N196" i="37" s="1"/>
  <c r="O196" i="37" s="1"/>
  <c r="L196" i="37"/>
  <c r="H196" i="37"/>
  <c r="T195" i="37"/>
  <c r="S195" i="37"/>
  <c r="M195" i="37"/>
  <c r="N195" i="37" s="1"/>
  <c r="O195" i="37" s="1"/>
  <c r="L195" i="37"/>
  <c r="H195" i="37"/>
  <c r="T194" i="37"/>
  <c r="S194" i="37"/>
  <c r="T193" i="37"/>
  <c r="S193" i="37"/>
  <c r="M193" i="37"/>
  <c r="N193" i="37" s="1"/>
  <c r="O193" i="37" s="1"/>
  <c r="L193" i="37"/>
  <c r="H193" i="37"/>
  <c r="T192" i="37"/>
  <c r="S192" i="37"/>
  <c r="M192" i="37"/>
  <c r="N192" i="37"/>
  <c r="O192" i="37" s="1"/>
  <c r="L192" i="37"/>
  <c r="H192" i="37"/>
  <c r="T191" i="37"/>
  <c r="S191" i="37"/>
  <c r="M191" i="37"/>
  <c r="N191" i="37" s="1"/>
  <c r="O191" i="37" s="1"/>
  <c r="L191" i="37"/>
  <c r="H191" i="37"/>
  <c r="T190" i="37"/>
  <c r="S190" i="37"/>
  <c r="M190" i="37"/>
  <c r="N190" i="37" s="1"/>
  <c r="O190" i="37" s="1"/>
  <c r="L190" i="37"/>
  <c r="H190" i="37"/>
  <c r="T189" i="37"/>
  <c r="S189" i="37"/>
  <c r="M189" i="37"/>
  <c r="N189" i="37" s="1"/>
  <c r="O189" i="37" s="1"/>
  <c r="L189" i="37"/>
  <c r="H189" i="37"/>
  <c r="T188" i="37"/>
  <c r="S188" i="37"/>
  <c r="M188" i="37"/>
  <c r="N188" i="37" s="1"/>
  <c r="O188" i="37" s="1"/>
  <c r="L188" i="37"/>
  <c r="H188" i="37"/>
  <c r="T187" i="37"/>
  <c r="S187" i="37"/>
  <c r="M187" i="37"/>
  <c r="N187" i="37" s="1"/>
  <c r="O187" i="37" s="1"/>
  <c r="L187" i="37"/>
  <c r="H187" i="37"/>
  <c r="T186" i="37"/>
  <c r="S186" i="37"/>
  <c r="M186" i="37"/>
  <c r="N186" i="37" s="1"/>
  <c r="O186" i="37" s="1"/>
  <c r="L186" i="37"/>
  <c r="H186" i="37"/>
  <c r="T185" i="37"/>
  <c r="S185" i="37"/>
  <c r="M185" i="37"/>
  <c r="N185" i="37" s="1"/>
  <c r="O185" i="37" s="1"/>
  <c r="L185" i="37"/>
  <c r="H185" i="37"/>
  <c r="T184" i="37"/>
  <c r="S184" i="37"/>
  <c r="M184" i="37"/>
  <c r="N184" i="37" s="1"/>
  <c r="O184" i="37" s="1"/>
  <c r="L184" i="37"/>
  <c r="H184" i="37"/>
  <c r="T183" i="37"/>
  <c r="S183" i="37"/>
  <c r="M183" i="37"/>
  <c r="N183" i="37"/>
  <c r="O183" i="37"/>
  <c r="L183" i="37"/>
  <c r="H183" i="37"/>
  <c r="T182" i="37"/>
  <c r="S182" i="37"/>
  <c r="M182" i="37"/>
  <c r="N182" i="37"/>
  <c r="O182" i="37" s="1"/>
  <c r="L182" i="37"/>
  <c r="H182" i="37"/>
  <c r="T181" i="37"/>
  <c r="S181" i="37"/>
  <c r="M181" i="37"/>
  <c r="N181" i="37" s="1"/>
  <c r="O181" i="37" s="1"/>
  <c r="L181" i="37"/>
  <c r="H181" i="37"/>
  <c r="T180" i="37"/>
  <c r="S180" i="37"/>
  <c r="M180" i="37"/>
  <c r="N180" i="37" s="1"/>
  <c r="O180" i="37" s="1"/>
  <c r="L180" i="37"/>
  <c r="H180" i="37"/>
  <c r="T179" i="37"/>
  <c r="S179" i="37"/>
  <c r="M179" i="37"/>
  <c r="N179" i="37"/>
  <c r="O179" i="37" s="1"/>
  <c r="L179" i="37"/>
  <c r="H179" i="37"/>
  <c r="T178" i="37"/>
  <c r="S178" i="37"/>
  <c r="M178" i="37"/>
  <c r="N178" i="37" s="1"/>
  <c r="O178" i="37"/>
  <c r="L178" i="37"/>
  <c r="H178" i="37"/>
  <c r="T177" i="37"/>
  <c r="S177" i="37"/>
  <c r="M177" i="37"/>
  <c r="N177" i="37"/>
  <c r="O177" i="37" s="1"/>
  <c r="L177" i="37"/>
  <c r="H177" i="37"/>
  <c r="T176" i="37"/>
  <c r="S176" i="37"/>
  <c r="M176" i="37"/>
  <c r="N176" i="37" s="1"/>
  <c r="O176" i="37" s="1"/>
  <c r="L176" i="37"/>
  <c r="H176" i="37"/>
  <c r="T175" i="37"/>
  <c r="S175" i="37"/>
  <c r="M175" i="37"/>
  <c r="N175" i="37" s="1"/>
  <c r="O175" i="37" s="1"/>
  <c r="L175" i="37"/>
  <c r="H175" i="37"/>
  <c r="T174" i="37"/>
  <c r="S174" i="37"/>
  <c r="M174" i="37"/>
  <c r="N174" i="37"/>
  <c r="O174" i="37" s="1"/>
  <c r="L174" i="37"/>
  <c r="H174" i="37"/>
  <c r="T173" i="37"/>
  <c r="S173" i="37"/>
  <c r="M173" i="37"/>
  <c r="N173" i="37" s="1"/>
  <c r="O173" i="37" s="1"/>
  <c r="L173" i="37"/>
  <c r="H173" i="37"/>
  <c r="T172" i="37"/>
  <c r="S172" i="37"/>
  <c r="M172" i="37"/>
  <c r="N172" i="37" s="1"/>
  <c r="O172" i="37" s="1"/>
  <c r="L172" i="37"/>
  <c r="H172" i="37"/>
  <c r="T171" i="37"/>
  <c r="S171" i="37"/>
  <c r="M171" i="37"/>
  <c r="N171" i="37" s="1"/>
  <c r="O171" i="37" s="1"/>
  <c r="L171" i="37"/>
  <c r="H171" i="37"/>
  <c r="T170" i="37"/>
  <c r="S170" i="37"/>
  <c r="M170" i="37"/>
  <c r="N170" i="37" s="1"/>
  <c r="O170" i="37" s="1"/>
  <c r="L170" i="37"/>
  <c r="H170" i="37"/>
  <c r="T169" i="37"/>
  <c r="S169" i="37"/>
  <c r="M169" i="37"/>
  <c r="N169" i="37"/>
  <c r="O169" i="37" s="1"/>
  <c r="L169" i="37"/>
  <c r="H169" i="37"/>
  <c r="T168" i="37"/>
  <c r="S168" i="37"/>
  <c r="M168" i="37"/>
  <c r="N168" i="37" s="1"/>
  <c r="O168" i="37" s="1"/>
  <c r="L168" i="37"/>
  <c r="H168" i="37"/>
  <c r="T167" i="37"/>
  <c r="S167" i="37"/>
  <c r="M167" i="37"/>
  <c r="N167" i="37"/>
  <c r="O167" i="37" s="1"/>
  <c r="L167" i="37"/>
  <c r="H167" i="37"/>
  <c r="T166" i="37"/>
  <c r="S166" i="37"/>
  <c r="M166" i="37"/>
  <c r="N166" i="37" s="1"/>
  <c r="O166" i="37" s="1"/>
  <c r="L166" i="37"/>
  <c r="H166" i="37"/>
  <c r="T165" i="37"/>
  <c r="S165" i="37"/>
  <c r="M165" i="37"/>
  <c r="N165" i="37"/>
  <c r="O165" i="37" s="1"/>
  <c r="L165" i="37"/>
  <c r="H165" i="37"/>
  <c r="T164" i="37"/>
  <c r="S164" i="37"/>
  <c r="M164" i="37"/>
  <c r="N164" i="37" s="1"/>
  <c r="O164" i="37" s="1"/>
  <c r="L164" i="37"/>
  <c r="H164" i="37"/>
  <c r="T163" i="37"/>
  <c r="S163" i="37"/>
  <c r="M163" i="37"/>
  <c r="N163" i="37" s="1"/>
  <c r="O163" i="37" s="1"/>
  <c r="L163" i="37"/>
  <c r="H163" i="37"/>
  <c r="T162" i="37"/>
  <c r="S162" i="37"/>
  <c r="M162" i="37"/>
  <c r="N162" i="37"/>
  <c r="O162" i="37"/>
  <c r="L162" i="37"/>
  <c r="H162" i="37"/>
  <c r="T161" i="37"/>
  <c r="S161" i="37"/>
  <c r="M161" i="37"/>
  <c r="N161" i="37"/>
  <c r="O161" i="37" s="1"/>
  <c r="L161" i="37"/>
  <c r="H161" i="37"/>
  <c r="T160" i="37"/>
  <c r="S160" i="37"/>
  <c r="M160" i="37"/>
  <c r="N160" i="37" s="1"/>
  <c r="O160" i="37"/>
  <c r="L160" i="37"/>
  <c r="H160" i="37"/>
  <c r="T159" i="37"/>
  <c r="S159" i="37"/>
  <c r="M159" i="37"/>
  <c r="N159" i="37"/>
  <c r="O159" i="37" s="1"/>
  <c r="L159" i="37"/>
  <c r="H159" i="37"/>
  <c r="T158" i="37"/>
  <c r="S158" i="37"/>
  <c r="M158" i="37"/>
  <c r="N158" i="37" s="1"/>
  <c r="O158" i="37" s="1"/>
  <c r="L158" i="37"/>
  <c r="H158" i="37"/>
  <c r="T157" i="37"/>
  <c r="S157" i="37"/>
  <c r="M157" i="37"/>
  <c r="N157" i="37" s="1"/>
  <c r="O157" i="37" s="1"/>
  <c r="L157" i="37"/>
  <c r="H157" i="37"/>
  <c r="T156" i="37"/>
  <c r="S156" i="37"/>
  <c r="M156" i="37"/>
  <c r="N156" i="37" s="1"/>
  <c r="O156" i="37" s="1"/>
  <c r="L156" i="37"/>
  <c r="H156" i="37"/>
  <c r="T155" i="37"/>
  <c r="S155" i="37"/>
  <c r="M155" i="37"/>
  <c r="N155" i="37" s="1"/>
  <c r="O155" i="37" s="1"/>
  <c r="L155" i="37"/>
  <c r="H155" i="37"/>
  <c r="T154" i="37"/>
  <c r="S154" i="37"/>
  <c r="M154" i="37"/>
  <c r="N154" i="37" s="1"/>
  <c r="O154" i="37" s="1"/>
  <c r="L154" i="37"/>
  <c r="H154" i="37"/>
  <c r="T153" i="37"/>
  <c r="S153" i="37"/>
  <c r="M153" i="37"/>
  <c r="N153" i="37"/>
  <c r="O153" i="37"/>
  <c r="H153" i="37"/>
  <c r="T152" i="37"/>
  <c r="S152" i="37"/>
  <c r="M152" i="37"/>
  <c r="N152" i="37"/>
  <c r="O152" i="37" s="1"/>
  <c r="L152" i="37"/>
  <c r="H152" i="37"/>
  <c r="T151" i="37"/>
  <c r="S151" i="37"/>
  <c r="M151" i="37"/>
  <c r="N151" i="37" s="1"/>
  <c r="O151" i="37"/>
  <c r="L151" i="37"/>
  <c r="H151" i="37"/>
  <c r="T150" i="37"/>
  <c r="S150" i="37"/>
  <c r="M150" i="37"/>
  <c r="N150" i="37" s="1"/>
  <c r="O150" i="37" s="1"/>
  <c r="H150" i="37"/>
  <c r="T149" i="37"/>
  <c r="S149" i="37"/>
  <c r="M149" i="37"/>
  <c r="N149" i="37" s="1"/>
  <c r="O149" i="37" s="1"/>
  <c r="L149" i="37"/>
  <c r="H149" i="37"/>
  <c r="T148" i="37"/>
  <c r="S148" i="37"/>
  <c r="M148" i="37"/>
  <c r="N148" i="37" s="1"/>
  <c r="O148" i="37" s="1"/>
  <c r="L148" i="37"/>
  <c r="H148" i="37"/>
  <c r="T147" i="37"/>
  <c r="S147" i="37"/>
  <c r="M147" i="37"/>
  <c r="N147" i="37"/>
  <c r="O147" i="37" s="1"/>
  <c r="L147" i="37"/>
  <c r="H147" i="37"/>
  <c r="T146" i="37"/>
  <c r="S146" i="37"/>
  <c r="M146" i="37"/>
  <c r="N146" i="37" s="1"/>
  <c r="O146" i="37" s="1"/>
  <c r="H146" i="37"/>
  <c r="T145" i="37"/>
  <c r="S145" i="37"/>
  <c r="M145" i="37"/>
  <c r="N145" i="37" s="1"/>
  <c r="O145" i="37" s="1"/>
  <c r="L145" i="37"/>
  <c r="H145" i="37"/>
  <c r="T144" i="37"/>
  <c r="S144" i="37"/>
  <c r="M144" i="37"/>
  <c r="N144" i="37"/>
  <c r="O144" i="37" s="1"/>
  <c r="L144" i="37"/>
  <c r="H144" i="37"/>
  <c r="T143" i="37"/>
  <c r="S143" i="37"/>
  <c r="M143" i="37"/>
  <c r="N143" i="37" s="1"/>
  <c r="O143" i="37" s="1"/>
  <c r="L143" i="37"/>
  <c r="H143" i="37"/>
  <c r="T142" i="37"/>
  <c r="S142" i="37"/>
  <c r="M142" i="37"/>
  <c r="N142" i="37"/>
  <c r="O142" i="37" s="1"/>
  <c r="L142" i="37"/>
  <c r="H142" i="37"/>
  <c r="T141" i="37"/>
  <c r="S141" i="37"/>
  <c r="M141" i="37"/>
  <c r="N141" i="37" s="1"/>
  <c r="O141" i="37" s="1"/>
  <c r="L141" i="37"/>
  <c r="H141" i="37"/>
  <c r="T140" i="37"/>
  <c r="S140" i="37"/>
  <c r="M140" i="37"/>
  <c r="N140" i="37" s="1"/>
  <c r="O140" i="37" s="1"/>
  <c r="L140" i="37"/>
  <c r="H140" i="37"/>
  <c r="T139" i="37"/>
  <c r="S139" i="37"/>
  <c r="M139" i="37"/>
  <c r="N139" i="37" s="1"/>
  <c r="O139" i="37" s="1"/>
  <c r="H139" i="37"/>
  <c r="T138" i="37"/>
  <c r="S138" i="37"/>
  <c r="M138" i="37"/>
  <c r="N138" i="37" s="1"/>
  <c r="O138" i="37" s="1"/>
  <c r="H138" i="37"/>
  <c r="T137" i="37"/>
  <c r="S137" i="37"/>
  <c r="M137" i="37"/>
  <c r="N137" i="37" s="1"/>
  <c r="O137" i="37" s="1"/>
  <c r="L137" i="37"/>
  <c r="H137" i="37"/>
  <c r="T136" i="37"/>
  <c r="S136" i="37"/>
  <c r="M136" i="37"/>
  <c r="N136" i="37"/>
  <c r="O136" i="37" s="1"/>
  <c r="L136" i="37"/>
  <c r="H136" i="37"/>
  <c r="T135" i="37"/>
  <c r="S135" i="37"/>
  <c r="M135" i="37"/>
  <c r="N135" i="37" s="1"/>
  <c r="O135" i="37" s="1"/>
  <c r="H135" i="37"/>
  <c r="T134" i="37"/>
  <c r="S134" i="37"/>
  <c r="M134" i="37"/>
  <c r="N134" i="37" s="1"/>
  <c r="O134" i="37" s="1"/>
  <c r="L134" i="37"/>
  <c r="H134" i="37"/>
  <c r="T133" i="37"/>
  <c r="S133" i="37"/>
  <c r="M133" i="37"/>
  <c r="N133" i="37" s="1"/>
  <c r="O133" i="37" s="1"/>
  <c r="L133" i="37"/>
  <c r="H133" i="37"/>
  <c r="T132" i="37"/>
  <c r="S132" i="37"/>
  <c r="M132" i="37"/>
  <c r="N132" i="37"/>
  <c r="O132" i="37" s="1"/>
  <c r="L132" i="37"/>
  <c r="H132" i="37"/>
  <c r="T131" i="37"/>
  <c r="S131" i="37"/>
  <c r="M131" i="37"/>
  <c r="N131" i="37" s="1"/>
  <c r="O131" i="37" s="1"/>
  <c r="L131" i="37"/>
  <c r="H131" i="37"/>
  <c r="T130" i="37"/>
  <c r="S130" i="37"/>
  <c r="M130" i="37"/>
  <c r="N130" i="37" s="1"/>
  <c r="O130" i="37" s="1"/>
  <c r="L130" i="37"/>
  <c r="H130" i="37"/>
  <c r="T129" i="37"/>
  <c r="S129" i="37"/>
  <c r="M129" i="37"/>
  <c r="N129" i="37"/>
  <c r="O129" i="37" s="1"/>
  <c r="L129" i="37"/>
  <c r="H129" i="37"/>
  <c r="T128" i="37"/>
  <c r="S128" i="37"/>
  <c r="M128" i="37"/>
  <c r="N128" i="37"/>
  <c r="O128" i="37" s="1"/>
  <c r="L128" i="37"/>
  <c r="H128" i="37"/>
  <c r="T127" i="37"/>
  <c r="S127" i="37"/>
  <c r="M127" i="37"/>
  <c r="N127" i="37"/>
  <c r="O127" i="37" s="1"/>
  <c r="L127" i="37"/>
  <c r="H127" i="37"/>
  <c r="T126" i="37"/>
  <c r="S126" i="37"/>
  <c r="M126" i="37"/>
  <c r="N126" i="37" s="1"/>
  <c r="O126" i="37" s="1"/>
  <c r="L126" i="37"/>
  <c r="H126" i="37"/>
  <c r="T125" i="37"/>
  <c r="S125" i="37"/>
  <c r="M125" i="37"/>
  <c r="N125" i="37"/>
  <c r="O125" i="37" s="1"/>
  <c r="L125" i="37"/>
  <c r="H125" i="37"/>
  <c r="T124" i="37"/>
  <c r="S124" i="37"/>
  <c r="M124" i="37"/>
  <c r="N124" i="37" s="1"/>
  <c r="O124" i="37" s="1"/>
  <c r="L124" i="37"/>
  <c r="H124" i="37"/>
  <c r="T123" i="37"/>
  <c r="S123" i="37"/>
  <c r="M123" i="37"/>
  <c r="N123" i="37" s="1"/>
  <c r="O123" i="37" s="1"/>
  <c r="L123" i="37"/>
  <c r="H123" i="37"/>
  <c r="T122" i="37"/>
  <c r="S122" i="37"/>
  <c r="M122" i="37"/>
  <c r="N122" i="37" s="1"/>
  <c r="O122" i="37" s="1"/>
  <c r="L122" i="37"/>
  <c r="H122" i="37"/>
  <c r="T121" i="37"/>
  <c r="S121" i="37"/>
  <c r="M121" i="37"/>
  <c r="N121" i="37" s="1"/>
  <c r="O121" i="37" s="1"/>
  <c r="L121" i="37"/>
  <c r="H121" i="37"/>
  <c r="T120" i="37"/>
  <c r="S120" i="37"/>
  <c r="M120" i="37"/>
  <c r="N120" i="37" s="1"/>
  <c r="O120" i="37" s="1"/>
  <c r="L120" i="37"/>
  <c r="H120" i="37"/>
  <c r="T119" i="37"/>
  <c r="S119" i="37"/>
  <c r="M119" i="37"/>
  <c r="N119" i="37"/>
  <c r="O119" i="37" s="1"/>
  <c r="L119" i="37"/>
  <c r="H119" i="37"/>
  <c r="T118" i="37"/>
  <c r="S118" i="37"/>
  <c r="M118" i="37"/>
  <c r="N118" i="37" s="1"/>
  <c r="O118" i="37" s="1"/>
  <c r="H118" i="37"/>
  <c r="T117" i="37"/>
  <c r="S117" i="37"/>
  <c r="M117" i="37"/>
  <c r="N117" i="37" s="1"/>
  <c r="O117" i="37"/>
  <c r="H117" i="37"/>
  <c r="T116" i="37"/>
  <c r="S116" i="37"/>
  <c r="M116" i="37"/>
  <c r="N116" i="37" s="1"/>
  <c r="O116" i="37" s="1"/>
  <c r="L116" i="37"/>
  <c r="H116" i="37"/>
  <c r="T115" i="37"/>
  <c r="S115" i="37"/>
  <c r="T114" i="37"/>
  <c r="S114" i="37"/>
  <c r="M114" i="37"/>
  <c r="N114" i="37"/>
  <c r="O114" i="37" s="1"/>
  <c r="L114" i="37"/>
  <c r="H114" i="37"/>
  <c r="T113" i="37"/>
  <c r="S113" i="37"/>
  <c r="M113" i="37"/>
  <c r="N113" i="37" s="1"/>
  <c r="O113" i="37" s="1"/>
  <c r="L113" i="37"/>
  <c r="H113" i="37"/>
  <c r="T112" i="37"/>
  <c r="S112" i="37"/>
  <c r="M112" i="37"/>
  <c r="N112" i="37" s="1"/>
  <c r="O112" i="37" s="1"/>
  <c r="L112" i="37"/>
  <c r="H112" i="37"/>
  <c r="T111" i="37"/>
  <c r="S111" i="37"/>
  <c r="M111" i="37"/>
  <c r="N111" i="37"/>
  <c r="O111" i="37" s="1"/>
  <c r="L111" i="37"/>
  <c r="H111" i="37"/>
  <c r="T110" i="37"/>
  <c r="S110" i="37"/>
  <c r="M110" i="37"/>
  <c r="N110" i="37" s="1"/>
  <c r="O110" i="37" s="1"/>
  <c r="L110" i="37"/>
  <c r="H110" i="37"/>
  <c r="T109" i="37"/>
  <c r="S109" i="37"/>
  <c r="M109" i="37"/>
  <c r="N109" i="37" s="1"/>
  <c r="O109" i="37" s="1"/>
  <c r="L109" i="37"/>
  <c r="H109" i="37"/>
  <c r="T108" i="37"/>
  <c r="S108" i="37"/>
  <c r="M108" i="37"/>
  <c r="N108" i="37"/>
  <c r="O108" i="37"/>
  <c r="L108" i="37"/>
  <c r="H108" i="37"/>
  <c r="T107" i="37"/>
  <c r="S107" i="37"/>
  <c r="M107" i="37"/>
  <c r="N107" i="37" s="1"/>
  <c r="O107" i="37" s="1"/>
  <c r="L107" i="37"/>
  <c r="H107" i="37"/>
  <c r="T106" i="37"/>
  <c r="S106" i="37"/>
  <c r="M106" i="37"/>
  <c r="N106" i="37" s="1"/>
  <c r="O106" i="37" s="1"/>
  <c r="H106" i="37"/>
  <c r="T105" i="37"/>
  <c r="S105" i="37"/>
  <c r="M105" i="37"/>
  <c r="N105" i="37" s="1"/>
  <c r="O105" i="37" s="1"/>
  <c r="H105" i="37"/>
  <c r="T104" i="37"/>
  <c r="S104" i="37"/>
  <c r="T103" i="37"/>
  <c r="S103" i="37"/>
  <c r="M103" i="37"/>
  <c r="N103" i="37"/>
  <c r="O103" i="37" s="1"/>
  <c r="L103" i="37"/>
  <c r="H103" i="37"/>
  <c r="T102" i="37"/>
  <c r="S102" i="37"/>
  <c r="M102" i="37"/>
  <c r="N102" i="37" s="1"/>
  <c r="O102" i="37" s="1"/>
  <c r="L102" i="37"/>
  <c r="H102" i="37"/>
  <c r="T101" i="37"/>
  <c r="S101" i="37"/>
  <c r="M101" i="37"/>
  <c r="N101" i="37"/>
  <c r="O101" i="37" s="1"/>
  <c r="L101" i="37"/>
  <c r="H101" i="37"/>
  <c r="T100" i="37"/>
  <c r="S100" i="37"/>
  <c r="M100" i="37"/>
  <c r="N100" i="37" s="1"/>
  <c r="O100" i="37" s="1"/>
  <c r="L100" i="37"/>
  <c r="H100" i="37"/>
  <c r="T99" i="37"/>
  <c r="S99" i="37"/>
  <c r="M99" i="37"/>
  <c r="N99" i="37" s="1"/>
  <c r="O99" i="37" s="1"/>
  <c r="L99" i="37"/>
  <c r="H99" i="37"/>
  <c r="T98" i="37"/>
  <c r="S98" i="37"/>
  <c r="M98" i="37"/>
  <c r="N98" i="37" s="1"/>
  <c r="O98" i="37" s="1"/>
  <c r="L98" i="37"/>
  <c r="H98" i="37"/>
  <c r="T97" i="37"/>
  <c r="S97" i="37"/>
  <c r="M97" i="37"/>
  <c r="N97" i="37"/>
  <c r="O97" i="37" s="1"/>
  <c r="L97" i="37"/>
  <c r="H97" i="37"/>
  <c r="T96" i="37"/>
  <c r="S96" i="37"/>
  <c r="M96" i="37"/>
  <c r="N96" i="37" s="1"/>
  <c r="O96" i="37" s="1"/>
  <c r="L96" i="37"/>
  <c r="H96" i="37"/>
  <c r="T95" i="37"/>
  <c r="S95" i="37"/>
  <c r="T94" i="37"/>
  <c r="S94" i="37"/>
  <c r="M94" i="37"/>
  <c r="N94" i="37" s="1"/>
  <c r="O94" i="37" s="1"/>
  <c r="L94" i="37"/>
  <c r="H94" i="37"/>
  <c r="T93" i="37"/>
  <c r="S93" i="37"/>
  <c r="M93" i="37"/>
  <c r="N93" i="37"/>
  <c r="O93" i="37" s="1"/>
  <c r="L93" i="37"/>
  <c r="H93" i="37"/>
  <c r="T92" i="37"/>
  <c r="S92" i="37"/>
  <c r="M92" i="37"/>
  <c r="N92" i="37" s="1"/>
  <c r="O92" i="37" s="1"/>
  <c r="L92" i="37"/>
  <c r="H92" i="37"/>
  <c r="T91" i="37"/>
  <c r="S91" i="37"/>
  <c r="M91" i="37"/>
  <c r="N91" i="37" s="1"/>
  <c r="O91" i="37" s="1"/>
  <c r="L91" i="37"/>
  <c r="H91" i="37"/>
  <c r="T90" i="37"/>
  <c r="S90" i="37"/>
  <c r="M90" i="37"/>
  <c r="N90" i="37" s="1"/>
  <c r="O90" i="37" s="1"/>
  <c r="L90" i="37"/>
  <c r="H90" i="37"/>
  <c r="T89" i="37"/>
  <c r="S89" i="37"/>
  <c r="M89" i="37"/>
  <c r="N89" i="37" s="1"/>
  <c r="O89" i="37" s="1"/>
  <c r="L89" i="37"/>
  <c r="H89" i="37"/>
  <c r="T88" i="37"/>
  <c r="S88" i="37"/>
  <c r="M88" i="37"/>
  <c r="N88" i="37"/>
  <c r="O88" i="37" s="1"/>
  <c r="H88" i="37"/>
  <c r="T87" i="37"/>
  <c r="S87" i="37"/>
  <c r="M87" i="37"/>
  <c r="N87" i="37" s="1"/>
  <c r="O87" i="37" s="1"/>
  <c r="L87" i="37"/>
  <c r="H87" i="37"/>
  <c r="T86" i="37"/>
  <c r="S86" i="37"/>
  <c r="M86" i="37"/>
  <c r="N86" i="37" s="1"/>
  <c r="O86" i="37" s="1"/>
  <c r="L86" i="37"/>
  <c r="H86" i="37"/>
  <c r="T85" i="37"/>
  <c r="S85" i="37"/>
  <c r="M85" i="37"/>
  <c r="N85" i="37" s="1"/>
  <c r="O85" i="37" s="1"/>
  <c r="L85" i="37"/>
  <c r="H85" i="37"/>
  <c r="T84" i="37"/>
  <c r="S84" i="37"/>
  <c r="M84" i="37"/>
  <c r="N84" i="37" s="1"/>
  <c r="O84" i="37"/>
  <c r="H84" i="37"/>
  <c r="T83" i="37"/>
  <c r="S83" i="37"/>
  <c r="M83" i="37"/>
  <c r="N83" i="37" s="1"/>
  <c r="O83" i="37" s="1"/>
  <c r="L83" i="37"/>
  <c r="H83" i="37"/>
  <c r="T82" i="37"/>
  <c r="S82" i="37"/>
  <c r="M82" i="37"/>
  <c r="N82" i="37" s="1"/>
  <c r="O82" i="37" s="1"/>
  <c r="L82" i="37"/>
  <c r="H82" i="37"/>
  <c r="T81" i="37"/>
  <c r="S81" i="37"/>
  <c r="M81" i="37"/>
  <c r="N81" i="37" s="1"/>
  <c r="O81" i="37" s="1"/>
  <c r="L81" i="37"/>
  <c r="H81" i="37"/>
  <c r="T80" i="37"/>
  <c r="S80" i="37"/>
  <c r="M80" i="37"/>
  <c r="N80" i="37"/>
  <c r="O80" i="37" s="1"/>
  <c r="L80" i="37"/>
  <c r="H80" i="37"/>
  <c r="T79" i="37"/>
  <c r="S79" i="37"/>
  <c r="M79" i="37"/>
  <c r="N79" i="37" s="1"/>
  <c r="O79" i="37" s="1"/>
  <c r="L79" i="37"/>
  <c r="H79" i="37"/>
  <c r="T78" i="37"/>
  <c r="S78" i="37"/>
  <c r="M78" i="37"/>
  <c r="N78" i="37" s="1"/>
  <c r="O78" i="37" s="1"/>
  <c r="L78" i="37"/>
  <c r="H78" i="37"/>
  <c r="T77" i="37"/>
  <c r="S77" i="37"/>
  <c r="M77" i="37"/>
  <c r="N77" i="37" s="1"/>
  <c r="O77" i="37" s="1"/>
  <c r="L77" i="37"/>
  <c r="H77" i="37"/>
  <c r="T76" i="37"/>
  <c r="S76" i="37"/>
  <c r="M76" i="37"/>
  <c r="N76" i="37"/>
  <c r="O76" i="37" s="1"/>
  <c r="H76" i="37"/>
  <c r="T75" i="37"/>
  <c r="S75" i="37"/>
  <c r="M75" i="37"/>
  <c r="N75" i="37" s="1"/>
  <c r="O75" i="37" s="1"/>
  <c r="L75" i="37"/>
  <c r="H75" i="37"/>
  <c r="T74" i="37"/>
  <c r="S74" i="37"/>
  <c r="M73" i="37"/>
  <c r="N73" i="37"/>
  <c r="O73" i="37" s="1"/>
  <c r="L73" i="37"/>
  <c r="H73" i="37"/>
  <c r="T73" i="37"/>
  <c r="S73" i="37"/>
  <c r="M74" i="37"/>
  <c r="N74" i="37" s="1"/>
  <c r="O74" i="37" s="1"/>
  <c r="L74" i="37"/>
  <c r="H74" i="37"/>
  <c r="T72" i="37"/>
  <c r="S72" i="37"/>
  <c r="M72" i="37"/>
  <c r="N72" i="37" s="1"/>
  <c r="O72" i="37" s="1"/>
  <c r="L72" i="37"/>
  <c r="H72" i="37"/>
  <c r="T71" i="37"/>
  <c r="S71" i="37"/>
  <c r="M71" i="37"/>
  <c r="N71" i="37"/>
  <c r="O71" i="37" s="1"/>
  <c r="L71" i="37"/>
  <c r="H71" i="37"/>
  <c r="T70" i="37"/>
  <c r="S70" i="37"/>
  <c r="M70" i="37"/>
  <c r="N70" i="37" s="1"/>
  <c r="O70" i="37"/>
  <c r="L70" i="37"/>
  <c r="H70" i="37"/>
  <c r="T69" i="37"/>
  <c r="S69" i="37"/>
  <c r="M69" i="37"/>
  <c r="N69" i="37"/>
  <c r="O69" i="37" s="1"/>
  <c r="L69" i="37"/>
  <c r="H69" i="37"/>
  <c r="T68" i="37"/>
  <c r="S68" i="37"/>
  <c r="M68" i="37"/>
  <c r="N68" i="37" s="1"/>
  <c r="O68" i="37" s="1"/>
  <c r="L68" i="37"/>
  <c r="H68" i="37"/>
  <c r="T67" i="37"/>
  <c r="S67" i="37"/>
  <c r="M67" i="37"/>
  <c r="N67" i="37" s="1"/>
  <c r="O67" i="37" s="1"/>
  <c r="L67" i="37"/>
  <c r="H67" i="37"/>
  <c r="T66" i="37"/>
  <c r="S66" i="37"/>
  <c r="M66" i="37"/>
  <c r="N66" i="37" s="1"/>
  <c r="O66" i="37" s="1"/>
  <c r="L66" i="37"/>
  <c r="H66" i="37"/>
  <c r="T65" i="37"/>
  <c r="S65" i="37"/>
  <c r="M65" i="37"/>
  <c r="N65" i="37" s="1"/>
  <c r="O65" i="37" s="1"/>
  <c r="L65" i="37"/>
  <c r="H65" i="37"/>
  <c r="T64" i="37"/>
  <c r="S64" i="37"/>
  <c r="M64" i="37"/>
  <c r="N64" i="37" s="1"/>
  <c r="O64" i="37" s="1"/>
  <c r="L64" i="37"/>
  <c r="H64" i="37"/>
  <c r="T63" i="37"/>
  <c r="S63" i="37"/>
  <c r="M63" i="37"/>
  <c r="N63" i="37" s="1"/>
  <c r="O63" i="37" s="1"/>
  <c r="L63" i="37"/>
  <c r="H63" i="37"/>
  <c r="T62" i="37"/>
  <c r="S62" i="37"/>
  <c r="M62" i="37"/>
  <c r="N62" i="37"/>
  <c r="O62" i="37"/>
  <c r="L62" i="37"/>
  <c r="H62" i="37"/>
  <c r="T61" i="37"/>
  <c r="S61" i="37"/>
  <c r="M61" i="37"/>
  <c r="N61" i="37" s="1"/>
  <c r="O61" i="37" s="1"/>
  <c r="L61" i="37"/>
  <c r="H61" i="37"/>
  <c r="T60" i="37"/>
  <c r="S60" i="37"/>
  <c r="M60" i="37"/>
  <c r="N60" i="37" s="1"/>
  <c r="O60" i="37" s="1"/>
  <c r="L60" i="37"/>
  <c r="H60" i="37"/>
  <c r="T59" i="37"/>
  <c r="S59" i="37"/>
  <c r="M59" i="37"/>
  <c r="N59" i="37"/>
  <c r="O59" i="37" s="1"/>
  <c r="L59" i="37"/>
  <c r="H59" i="37"/>
  <c r="T58" i="37"/>
  <c r="S58" i="37"/>
  <c r="M58" i="37"/>
  <c r="N58" i="37"/>
  <c r="O58" i="37" s="1"/>
  <c r="L58" i="37"/>
  <c r="H58" i="37"/>
  <c r="T57" i="37"/>
  <c r="S57" i="37"/>
  <c r="M57" i="37"/>
  <c r="N57" i="37" s="1"/>
  <c r="O57" i="37" s="1"/>
  <c r="L57" i="37"/>
  <c r="H57" i="37"/>
  <c r="T56" i="37"/>
  <c r="S56" i="37"/>
  <c r="M56" i="37"/>
  <c r="N56" i="37" s="1"/>
  <c r="O56" i="37" s="1"/>
  <c r="L56" i="37"/>
  <c r="H56" i="37"/>
  <c r="T55" i="37"/>
  <c r="S55" i="37"/>
  <c r="M55" i="37"/>
  <c r="N55" i="37"/>
  <c r="O55" i="37" s="1"/>
  <c r="L55" i="37"/>
  <c r="H55" i="37"/>
  <c r="T54" i="37"/>
  <c r="S54" i="37"/>
  <c r="M54" i="37"/>
  <c r="N54" i="37" s="1"/>
  <c r="O54" i="37" s="1"/>
  <c r="L54" i="37"/>
  <c r="H54" i="37"/>
  <c r="T53" i="37"/>
  <c r="S53" i="37"/>
  <c r="M53" i="37"/>
  <c r="N53" i="37" s="1"/>
  <c r="O53" i="37" s="1"/>
  <c r="L53" i="37"/>
  <c r="H53" i="37"/>
  <c r="T52" i="37"/>
  <c r="S52" i="37"/>
  <c r="M52" i="37"/>
  <c r="N52" i="37"/>
  <c r="O52" i="37" s="1"/>
  <c r="L52" i="37"/>
  <c r="H52" i="37"/>
  <c r="T51" i="37"/>
  <c r="S51" i="37"/>
  <c r="M51" i="37"/>
  <c r="N51" i="37" s="1"/>
  <c r="O51" i="37" s="1"/>
  <c r="L51" i="37"/>
  <c r="H51" i="37"/>
  <c r="T50" i="37"/>
  <c r="S50" i="37"/>
  <c r="M50" i="37"/>
  <c r="N50" i="37" s="1"/>
  <c r="O50" i="37" s="1"/>
  <c r="L50" i="37"/>
  <c r="H50" i="37"/>
  <c r="T49" i="37"/>
  <c r="S49" i="37"/>
  <c r="M49" i="37"/>
  <c r="N49" i="37" s="1"/>
  <c r="O49" i="37" s="1"/>
  <c r="L49" i="37"/>
  <c r="H49" i="37"/>
  <c r="T48" i="37"/>
  <c r="S48" i="37"/>
  <c r="M48" i="37"/>
  <c r="N48" i="37" s="1"/>
  <c r="O48" i="37" s="1"/>
  <c r="L48" i="37"/>
  <c r="H48" i="37"/>
  <c r="T47" i="37"/>
  <c r="S47" i="37"/>
  <c r="M47" i="37"/>
  <c r="N47" i="37"/>
  <c r="O47" i="37"/>
  <c r="L47" i="37"/>
  <c r="H47" i="37"/>
  <c r="T46" i="37"/>
  <c r="S46" i="37"/>
  <c r="M46" i="37"/>
  <c r="N46" i="37"/>
  <c r="O46" i="37" s="1"/>
  <c r="L46" i="37"/>
  <c r="H46" i="37"/>
  <c r="T45" i="37"/>
  <c r="S45" i="37"/>
  <c r="M45" i="37"/>
  <c r="N45" i="37" s="1"/>
  <c r="O45" i="37" s="1"/>
  <c r="L45" i="37"/>
  <c r="H45" i="37"/>
  <c r="T44" i="37"/>
  <c r="S44" i="37"/>
  <c r="M44" i="37"/>
  <c r="N44" i="37" s="1"/>
  <c r="O44" i="37" s="1"/>
  <c r="L44" i="37"/>
  <c r="H44" i="37"/>
  <c r="T43" i="37"/>
  <c r="S43" i="37"/>
  <c r="M43" i="37"/>
  <c r="N43" i="37" s="1"/>
  <c r="O43" i="37" s="1"/>
  <c r="L43" i="37"/>
  <c r="H43" i="37"/>
  <c r="T42" i="37"/>
  <c r="S42" i="37"/>
  <c r="M42" i="37"/>
  <c r="N42" i="37" s="1"/>
  <c r="O42" i="37" s="1"/>
  <c r="L42" i="37"/>
  <c r="H42" i="37"/>
  <c r="T41" i="37"/>
  <c r="S41" i="37"/>
  <c r="M41" i="37"/>
  <c r="N41" i="37" s="1"/>
  <c r="O41" i="37" s="1"/>
  <c r="L41" i="37"/>
  <c r="H41" i="37"/>
  <c r="T40" i="37"/>
  <c r="S40" i="37"/>
  <c r="M40" i="37"/>
  <c r="N40" i="37"/>
  <c r="O40" i="37" s="1"/>
  <c r="H40" i="37"/>
  <c r="T39" i="37"/>
  <c r="S39" i="37"/>
  <c r="M39" i="37"/>
  <c r="N39" i="37"/>
  <c r="O39" i="37" s="1"/>
  <c r="L39" i="37"/>
  <c r="H39" i="37"/>
  <c r="T38" i="37"/>
  <c r="S38" i="37"/>
  <c r="M38" i="37"/>
  <c r="N38" i="37" s="1"/>
  <c r="O38" i="37" s="1"/>
  <c r="L38" i="37"/>
  <c r="H38" i="37"/>
  <c r="T37" i="37"/>
  <c r="S37" i="37"/>
  <c r="M37" i="37"/>
  <c r="N37" i="37" s="1"/>
  <c r="O37" i="37" s="1"/>
  <c r="L37" i="37"/>
  <c r="H37" i="37"/>
  <c r="T36" i="37"/>
  <c r="S36" i="37"/>
  <c r="M36" i="37"/>
  <c r="N36" i="37"/>
  <c r="O36" i="37" s="1"/>
  <c r="L36" i="37"/>
  <c r="H36" i="37"/>
  <c r="T35" i="37"/>
  <c r="S35" i="37"/>
  <c r="M35" i="37"/>
  <c r="N35" i="37" s="1"/>
  <c r="O35" i="37" s="1"/>
  <c r="L35" i="37"/>
  <c r="H35" i="37"/>
  <c r="T34" i="37"/>
  <c r="S34" i="37"/>
  <c r="M34" i="37"/>
  <c r="N34" i="37" s="1"/>
  <c r="O34" i="37" s="1"/>
  <c r="L34" i="37"/>
  <c r="H34" i="37"/>
  <c r="T33" i="37"/>
  <c r="S33" i="37"/>
  <c r="M33" i="37"/>
  <c r="N33" i="37"/>
  <c r="O33" i="37" s="1"/>
  <c r="L33" i="37"/>
  <c r="H33" i="37"/>
  <c r="T32" i="37"/>
  <c r="S32" i="37"/>
  <c r="M32" i="37"/>
  <c r="N32" i="37" s="1"/>
  <c r="O32" i="37" s="1"/>
  <c r="L32" i="37"/>
  <c r="H32" i="37"/>
  <c r="T31" i="37"/>
  <c r="S31" i="37"/>
  <c r="M31" i="37"/>
  <c r="N31" i="37"/>
  <c r="O31" i="37" s="1"/>
  <c r="L31" i="37"/>
  <c r="H31" i="37"/>
  <c r="T30" i="37"/>
  <c r="S30" i="37"/>
  <c r="M30" i="37"/>
  <c r="N30" i="37"/>
  <c r="O30" i="37" s="1"/>
  <c r="L30" i="37"/>
  <c r="H30" i="37"/>
  <c r="T29" i="37"/>
  <c r="S29" i="37"/>
  <c r="M29" i="37"/>
  <c r="N29" i="37" s="1"/>
  <c r="O29" i="37" s="1"/>
  <c r="L29" i="37"/>
  <c r="H29" i="37"/>
  <c r="T28" i="37"/>
  <c r="S28" i="37"/>
  <c r="M28" i="37"/>
  <c r="N28" i="37"/>
  <c r="O28" i="37"/>
  <c r="L28" i="37"/>
  <c r="H28" i="37"/>
  <c r="T27" i="37"/>
  <c r="S27" i="37"/>
  <c r="M27" i="37"/>
  <c r="N27" i="37" s="1"/>
  <c r="O27" i="37" s="1"/>
  <c r="L27" i="37"/>
  <c r="H27" i="37"/>
  <c r="T26" i="37"/>
  <c r="S26" i="37"/>
  <c r="M26" i="37"/>
  <c r="N26" i="37" s="1"/>
  <c r="O26" i="37" s="1"/>
  <c r="L26" i="37"/>
  <c r="H26" i="37"/>
  <c r="T25" i="37"/>
  <c r="S25" i="37"/>
  <c r="M25" i="37"/>
  <c r="N25" i="37" s="1"/>
  <c r="O25" i="37" s="1"/>
  <c r="L25" i="37"/>
  <c r="H25" i="37"/>
  <c r="T24" i="37"/>
  <c r="S24" i="37"/>
  <c r="M24" i="37"/>
  <c r="N24" i="37" s="1"/>
  <c r="O24" i="37" s="1"/>
  <c r="H24" i="37"/>
  <c r="T23" i="37"/>
  <c r="S23" i="37"/>
  <c r="M23" i="37"/>
  <c r="N23" i="37" s="1"/>
  <c r="O23" i="37" s="1"/>
  <c r="H23" i="37"/>
  <c r="T22" i="37"/>
  <c r="S22" i="37"/>
  <c r="M22" i="37"/>
  <c r="N22" i="37" s="1"/>
  <c r="O22" i="37" s="1"/>
  <c r="H22" i="37"/>
  <c r="T21" i="37"/>
  <c r="S21" i="37"/>
  <c r="M21" i="37"/>
  <c r="N21" i="37"/>
  <c r="O21" i="37" s="1"/>
  <c r="L21" i="37"/>
  <c r="H21" i="37"/>
  <c r="T20" i="37"/>
  <c r="S20" i="37"/>
  <c r="M20" i="37"/>
  <c r="N20" i="37" s="1"/>
  <c r="O20" i="37" s="1"/>
  <c r="L20" i="37"/>
  <c r="H20" i="37"/>
  <c r="T19" i="37"/>
  <c r="S19" i="37"/>
  <c r="M19" i="37"/>
  <c r="N19" i="37"/>
  <c r="O19" i="37"/>
  <c r="L19" i="37"/>
  <c r="H19" i="37"/>
  <c r="T18" i="37"/>
  <c r="S18" i="37"/>
  <c r="M18" i="37"/>
  <c r="N18" i="37"/>
  <c r="O18" i="37" s="1"/>
  <c r="L18" i="37"/>
  <c r="H18" i="37"/>
  <c r="T17" i="37"/>
  <c r="S17" i="37"/>
  <c r="M17" i="37"/>
  <c r="N17" i="37" s="1"/>
  <c r="O17" i="37" s="1"/>
  <c r="L17" i="37"/>
  <c r="H17" i="37"/>
  <c r="T16" i="37"/>
  <c r="S16" i="37"/>
  <c r="M16" i="37"/>
  <c r="N16" i="37" s="1"/>
  <c r="O16" i="37" s="1"/>
  <c r="L16" i="37"/>
  <c r="H16" i="37"/>
  <c r="T15" i="37"/>
  <c r="S15" i="37"/>
  <c r="T14" i="37"/>
  <c r="S14" i="37"/>
  <c r="M14" i="37"/>
  <c r="N14" i="37" s="1"/>
  <c r="O14" i="37" s="1"/>
  <c r="L14" i="37"/>
  <c r="H14" i="37"/>
  <c r="T13" i="37"/>
  <c r="S13" i="37"/>
  <c r="M13" i="37"/>
  <c r="N13" i="37" s="1"/>
  <c r="O13" i="37" s="1"/>
  <c r="L13" i="37"/>
  <c r="H13" i="37"/>
  <c r="T12" i="37"/>
  <c r="S12" i="37"/>
  <c r="M12" i="37"/>
  <c r="N12" i="37" s="1"/>
  <c r="O12" i="37" s="1"/>
  <c r="L12" i="37"/>
  <c r="H12" i="37"/>
  <c r="T11" i="37"/>
  <c r="S11" i="37"/>
  <c r="M11" i="37"/>
  <c r="N11" i="37"/>
  <c r="O11" i="37"/>
  <c r="L11" i="37"/>
  <c r="H11" i="37"/>
  <c r="T10" i="37"/>
  <c r="S10" i="37"/>
  <c r="M10" i="37"/>
  <c r="N10" i="37"/>
  <c r="O10" i="37" s="1"/>
  <c r="L10" i="37"/>
  <c r="H10" i="37"/>
  <c r="T9" i="37"/>
  <c r="S9" i="37"/>
  <c r="M9" i="37"/>
  <c r="N9" i="37" s="1"/>
  <c r="O9" i="37" s="1"/>
  <c r="L9" i="37"/>
  <c r="H9" i="37"/>
  <c r="T8" i="37"/>
  <c r="S8" i="37"/>
  <c r="M8" i="37"/>
  <c r="N8" i="37" s="1"/>
  <c r="O8" i="37" s="1"/>
  <c r="L8" i="37"/>
  <c r="H8" i="37"/>
  <c r="T7" i="37"/>
  <c r="S7" i="37"/>
  <c r="M7" i="37"/>
  <c r="N7" i="37" s="1"/>
  <c r="O7" i="37" s="1"/>
  <c r="L7" i="37"/>
  <c r="H7" i="37"/>
  <c r="T6" i="37"/>
  <c r="S6" i="37"/>
  <c r="M6" i="37"/>
  <c r="N6" i="37" s="1"/>
  <c r="L6" i="37"/>
  <c r="H6" i="37"/>
  <c r="L21" i="35"/>
  <c r="H21" i="35"/>
  <c r="L17" i="35"/>
  <c r="H17" i="35"/>
  <c r="H293" i="36"/>
  <c r="L32" i="36"/>
  <c r="H32" i="36"/>
  <c r="H383" i="36"/>
  <c r="L360" i="36"/>
  <c r="L361" i="36"/>
  <c r="L375" i="36"/>
  <c r="L376" i="36"/>
  <c r="L377" i="36"/>
  <c r="L378" i="36"/>
  <c r="L379" i="36"/>
  <c r="S360" i="36"/>
  <c r="T360" i="36"/>
  <c r="S361" i="36"/>
  <c r="T361" i="36"/>
  <c r="S375" i="36"/>
  <c r="T375" i="36"/>
  <c r="S376" i="36"/>
  <c r="T376" i="36"/>
  <c r="S377" i="36"/>
  <c r="T377" i="36"/>
  <c r="S378" i="36"/>
  <c r="T378" i="36"/>
  <c r="H360" i="36"/>
  <c r="H361" i="36"/>
  <c r="H375" i="36"/>
  <c r="H376" i="36"/>
  <c r="H377" i="36"/>
  <c r="H378" i="36"/>
  <c r="L158" i="36"/>
  <c r="H158" i="36"/>
  <c r="H117" i="36"/>
  <c r="K115" i="36"/>
  <c r="L115" i="36" s="1"/>
  <c r="G115" i="36"/>
  <c r="K104" i="36"/>
  <c r="N104" i="36" s="1"/>
  <c r="O104" i="36" s="1"/>
  <c r="G104" i="36"/>
  <c r="M104" i="36"/>
  <c r="L88" i="36"/>
  <c r="L21" i="36"/>
  <c r="H21" i="36"/>
  <c r="L17" i="36"/>
  <c r="H17" i="36"/>
  <c r="S293" i="36"/>
  <c r="T293" i="36"/>
  <c r="S32" i="36"/>
  <c r="T32" i="36"/>
  <c r="S6" i="36"/>
  <c r="S7" i="36"/>
  <c r="S8" i="36"/>
  <c r="S9" i="36"/>
  <c r="S10" i="36"/>
  <c r="S11" i="36"/>
  <c r="S12" i="36"/>
  <c r="S13" i="36"/>
  <c r="S14" i="36"/>
  <c r="S15" i="36"/>
  <c r="S16" i="36"/>
  <c r="S17" i="36"/>
  <c r="S18" i="36"/>
  <c r="S19" i="36"/>
  <c r="S20" i="36"/>
  <c r="S21" i="36"/>
  <c r="S22" i="36"/>
  <c r="S23" i="36"/>
  <c r="S24" i="36"/>
  <c r="S25" i="36"/>
  <c r="S26" i="36"/>
  <c r="S27" i="36"/>
  <c r="S28" i="36"/>
  <c r="S29" i="36"/>
  <c r="S30" i="36"/>
  <c r="S31" i="36"/>
  <c r="S33" i="36"/>
  <c r="S34" i="36"/>
  <c r="S35" i="36"/>
  <c r="S36" i="36"/>
  <c r="S37" i="36"/>
  <c r="S38" i="36"/>
  <c r="S39" i="36"/>
  <c r="S40" i="36"/>
  <c r="S41" i="36"/>
  <c r="S42" i="36"/>
  <c r="S43" i="36"/>
  <c r="S44" i="36"/>
  <c r="S45" i="36"/>
  <c r="S46" i="36"/>
  <c r="S47" i="36"/>
  <c r="S48" i="36"/>
  <c r="S49" i="36"/>
  <c r="S50" i="36"/>
  <c r="S51" i="36"/>
  <c r="S52" i="36"/>
  <c r="S53" i="36"/>
  <c r="S54" i="36"/>
  <c r="S55" i="36"/>
  <c r="S56" i="36"/>
  <c r="S57" i="36"/>
  <c r="S58" i="36"/>
  <c r="S59" i="36"/>
  <c r="S60" i="36"/>
  <c r="S61" i="36"/>
  <c r="S62" i="36"/>
  <c r="S63" i="36"/>
  <c r="S64" i="36"/>
  <c r="S65" i="36"/>
  <c r="S66" i="36"/>
  <c r="S67" i="36"/>
  <c r="S68" i="36"/>
  <c r="S69" i="36"/>
  <c r="S70" i="36"/>
  <c r="S71" i="36"/>
  <c r="S72" i="36"/>
  <c r="S74" i="36"/>
  <c r="S73" i="36"/>
  <c r="S75" i="36"/>
  <c r="S76" i="36"/>
  <c r="S77" i="36"/>
  <c r="S78" i="36"/>
  <c r="S79" i="36"/>
  <c r="S80" i="36"/>
  <c r="S81" i="36"/>
  <c r="S82" i="36"/>
  <c r="S83" i="36"/>
  <c r="S84" i="36"/>
  <c r="S85" i="36"/>
  <c r="S86" i="36"/>
  <c r="S87" i="36"/>
  <c r="S88" i="36"/>
  <c r="S89" i="36"/>
  <c r="S90" i="36"/>
  <c r="S91" i="36"/>
  <c r="S92" i="36"/>
  <c r="S93" i="36"/>
  <c r="S94" i="36"/>
  <c r="S95" i="36"/>
  <c r="S96" i="36"/>
  <c r="S97" i="36"/>
  <c r="S98" i="36"/>
  <c r="S99" i="36"/>
  <c r="S100" i="36"/>
  <c r="S101" i="36"/>
  <c r="S102" i="36"/>
  <c r="S103" i="36"/>
  <c r="S104" i="36"/>
  <c r="S105" i="36"/>
  <c r="S106" i="36"/>
  <c r="S107" i="36"/>
  <c r="S108" i="36"/>
  <c r="S109" i="36"/>
  <c r="S110" i="36"/>
  <c r="S111" i="36"/>
  <c r="S112" i="36"/>
  <c r="S113" i="36"/>
  <c r="S114" i="36"/>
  <c r="S115" i="36"/>
  <c r="S116" i="36"/>
  <c r="S117" i="36"/>
  <c r="S118" i="36"/>
  <c r="S119" i="36"/>
  <c r="S120" i="36"/>
  <c r="S121" i="36"/>
  <c r="S122" i="36"/>
  <c r="S123" i="36"/>
  <c r="S124" i="36"/>
  <c r="S125" i="36"/>
  <c r="S126" i="36"/>
  <c r="S127" i="36"/>
  <c r="S128" i="36"/>
  <c r="S129" i="36"/>
  <c r="S130" i="36"/>
  <c r="S131" i="36"/>
  <c r="S132" i="36"/>
  <c r="S133" i="36"/>
  <c r="S134" i="36"/>
  <c r="S135" i="36"/>
  <c r="S136" i="36"/>
  <c r="S137" i="36"/>
  <c r="S138" i="36"/>
  <c r="S139" i="36"/>
  <c r="S140" i="36"/>
  <c r="S141" i="36"/>
  <c r="S142" i="36"/>
  <c r="S143" i="36"/>
  <c r="S144" i="36"/>
  <c r="S145" i="36"/>
  <c r="S146" i="36"/>
  <c r="S147" i="36"/>
  <c r="S148" i="36"/>
  <c r="S149" i="36"/>
  <c r="S150" i="36"/>
  <c r="S151" i="36"/>
  <c r="S152" i="36"/>
  <c r="S153" i="36"/>
  <c r="S154" i="36"/>
  <c r="S155" i="36"/>
  <c r="S156" i="36"/>
  <c r="S157" i="36"/>
  <c r="S158" i="36"/>
  <c r="S159" i="36"/>
  <c r="S160" i="36"/>
  <c r="S161" i="36"/>
  <c r="S162" i="36"/>
  <c r="S163" i="36"/>
  <c r="S164" i="36"/>
  <c r="S165" i="36"/>
  <c r="S166" i="36"/>
  <c r="S167" i="36"/>
  <c r="S168" i="36"/>
  <c r="S169" i="36"/>
  <c r="S170" i="36"/>
  <c r="S171" i="36"/>
  <c r="S172" i="36"/>
  <c r="S173" i="36"/>
  <c r="S174" i="36"/>
  <c r="S175" i="36"/>
  <c r="S176" i="36"/>
  <c r="S177" i="36"/>
  <c r="S178" i="36"/>
  <c r="S179" i="36"/>
  <c r="S180" i="36"/>
  <c r="S181" i="36"/>
  <c r="S182" i="36"/>
  <c r="S183" i="36"/>
  <c r="S184" i="36"/>
  <c r="S185" i="36"/>
  <c r="S186" i="36"/>
  <c r="S187" i="36"/>
  <c r="S188" i="36"/>
  <c r="S189" i="36"/>
  <c r="S190" i="36"/>
  <c r="S191" i="36"/>
  <c r="S192" i="36"/>
  <c r="S193" i="36"/>
  <c r="S194" i="36"/>
  <c r="S195" i="36"/>
  <c r="S196" i="36"/>
  <c r="S197" i="36"/>
  <c r="S198" i="36"/>
  <c r="S199" i="36"/>
  <c r="S200" i="36"/>
  <c r="S201" i="36"/>
  <c r="S202" i="36"/>
  <c r="S203" i="36"/>
  <c r="S204" i="36"/>
  <c r="S205" i="36"/>
  <c r="S206" i="36"/>
  <c r="S207" i="36"/>
  <c r="S208" i="36"/>
  <c r="S209" i="36"/>
  <c r="S210" i="36"/>
  <c r="S211" i="36"/>
  <c r="S212" i="36"/>
  <c r="S213" i="36"/>
  <c r="S214" i="36"/>
  <c r="S215" i="36"/>
  <c r="S216" i="36"/>
  <c r="S217" i="36"/>
  <c r="S218" i="36"/>
  <c r="S219" i="36"/>
  <c r="S220" i="36"/>
  <c r="S221" i="36"/>
  <c r="S222" i="36"/>
  <c r="S223" i="36"/>
  <c r="S224" i="36"/>
  <c r="S225" i="36"/>
  <c r="S226" i="36"/>
  <c r="S227" i="36"/>
  <c r="S228" i="36"/>
  <c r="S229" i="36"/>
  <c r="S230" i="36"/>
  <c r="S231" i="36"/>
  <c r="S232" i="36"/>
  <c r="S233" i="36"/>
  <c r="S234" i="36"/>
  <c r="S235" i="36"/>
  <c r="S236" i="36"/>
  <c r="S237" i="36"/>
  <c r="S238" i="36"/>
  <c r="S239" i="36"/>
  <c r="S240" i="36"/>
  <c r="S241" i="36"/>
  <c r="S242" i="36"/>
  <c r="S243" i="36"/>
  <c r="S244" i="36"/>
  <c r="S245" i="36"/>
  <c r="S246" i="36"/>
  <c r="S247" i="36"/>
  <c r="S248" i="36"/>
  <c r="S249" i="36"/>
  <c r="S250" i="36"/>
  <c r="S251" i="36"/>
  <c r="S252" i="36"/>
  <c r="S253" i="36"/>
  <c r="S254" i="36"/>
  <c r="S255" i="36"/>
  <c r="S256" i="36"/>
  <c r="S257" i="36"/>
  <c r="S258" i="36"/>
  <c r="S259" i="36"/>
  <c r="S260" i="36"/>
  <c r="S261" i="36"/>
  <c r="S262" i="36"/>
  <c r="S263" i="36"/>
  <c r="S264" i="36"/>
  <c r="S265" i="36"/>
  <c r="S266" i="36"/>
  <c r="S267" i="36"/>
  <c r="S268" i="36"/>
  <c r="S269" i="36"/>
  <c r="S270" i="36"/>
  <c r="S271" i="36"/>
  <c r="S272" i="36"/>
  <c r="S273" i="36"/>
  <c r="S274" i="36"/>
  <c r="S275" i="36"/>
  <c r="S276" i="36"/>
  <c r="S277" i="36"/>
  <c r="S278" i="36"/>
  <c r="S279" i="36"/>
  <c r="S280" i="36"/>
  <c r="S281" i="36"/>
  <c r="S282" i="36"/>
  <c r="S283" i="36"/>
  <c r="S284" i="36"/>
  <c r="S285" i="36"/>
  <c r="S286" i="36"/>
  <c r="S287" i="36"/>
  <c r="S288" i="36"/>
  <c r="S289" i="36"/>
  <c r="S290" i="36"/>
  <c r="S291" i="36"/>
  <c r="S292" i="36"/>
  <c r="S294" i="36"/>
  <c r="S295" i="36"/>
  <c r="S296" i="36"/>
  <c r="S297" i="36"/>
  <c r="S298" i="36"/>
  <c r="S299" i="36"/>
  <c r="S300" i="36"/>
  <c r="S301" i="36"/>
  <c r="S302" i="36"/>
  <c r="S303" i="36"/>
  <c r="S304" i="36"/>
  <c r="S305" i="36"/>
  <c r="S306" i="36"/>
  <c r="S307" i="36"/>
  <c r="S308" i="36"/>
  <c r="S309" i="36"/>
  <c r="S310" i="36"/>
  <c r="S311" i="36"/>
  <c r="S312" i="36"/>
  <c r="S314" i="36"/>
  <c r="S313" i="36"/>
  <c r="S315" i="36"/>
  <c r="S316" i="36"/>
  <c r="S317" i="36"/>
  <c r="S318" i="36"/>
  <c r="S319" i="36"/>
  <c r="S320" i="36"/>
  <c r="S321" i="36"/>
  <c r="S322" i="36"/>
  <c r="S323" i="36"/>
  <c r="S324" i="36"/>
  <c r="S325" i="36"/>
  <c r="S326" i="36"/>
  <c r="S327" i="36"/>
  <c r="S328" i="36"/>
  <c r="S329" i="36"/>
  <c r="S330" i="36"/>
  <c r="S331" i="36"/>
  <c r="S332" i="36"/>
  <c r="S333" i="36"/>
  <c r="S336" i="36"/>
  <c r="S337" i="36"/>
  <c r="S334" i="36"/>
  <c r="S335" i="36"/>
  <c r="S338" i="36"/>
  <c r="S339" i="36"/>
  <c r="S340" i="36"/>
  <c r="S341" i="36"/>
  <c r="S342" i="36"/>
  <c r="S343" i="36"/>
  <c r="S344" i="36"/>
  <c r="S345" i="36"/>
  <c r="S346" i="36"/>
  <c r="S347" i="36"/>
  <c r="S348" i="36"/>
  <c r="S349" i="36"/>
  <c r="S350" i="36"/>
  <c r="S351" i="36"/>
  <c r="S352" i="36"/>
  <c r="S353" i="36"/>
  <c r="S354" i="36"/>
  <c r="S355" i="36"/>
  <c r="S356" i="36"/>
  <c r="S357" i="36"/>
  <c r="S358" i="36"/>
  <c r="S359" i="36"/>
  <c r="S379" i="36"/>
  <c r="S380" i="36"/>
  <c r="S362" i="36"/>
  <c r="S363" i="36"/>
  <c r="S364" i="36"/>
  <c r="S365" i="36"/>
  <c r="S366" i="36"/>
  <c r="S367" i="36"/>
  <c r="S368" i="36"/>
  <c r="S369" i="36"/>
  <c r="S370" i="36"/>
  <c r="S371" i="36"/>
  <c r="S372" i="36"/>
  <c r="S373" i="36"/>
  <c r="S374" i="36"/>
  <c r="S381" i="36"/>
  <c r="S382" i="36"/>
  <c r="S383" i="36"/>
  <c r="S384" i="36"/>
  <c r="S385" i="36"/>
  <c r="S386" i="36"/>
  <c r="S387" i="36"/>
  <c r="S388" i="36"/>
  <c r="S389" i="36"/>
  <c r="S390" i="36"/>
  <c r="S391" i="36"/>
  <c r="S392" i="36"/>
  <c r="S393" i="36"/>
  <c r="S394" i="36"/>
  <c r="S395" i="36"/>
  <c r="S396" i="36"/>
  <c r="S397" i="36"/>
  <c r="S398" i="36"/>
  <c r="S399" i="36"/>
  <c r="S400" i="36"/>
  <c r="S401" i="36"/>
  <c r="S402" i="36"/>
  <c r="S403" i="36"/>
  <c r="S404" i="36"/>
  <c r="S405" i="36"/>
  <c r="S406" i="36"/>
  <c r="S407" i="36"/>
  <c r="S409" i="36"/>
  <c r="S408" i="36"/>
  <c r="S410" i="36"/>
  <c r="S411" i="36"/>
  <c r="S412" i="36"/>
  <c r="S413" i="36"/>
  <c r="S414" i="36"/>
  <c r="S415" i="36"/>
  <c r="S416" i="36"/>
  <c r="S417" i="36"/>
  <c r="T6" i="36"/>
  <c r="T7" i="36"/>
  <c r="T8" i="36"/>
  <c r="T9" i="36"/>
  <c r="T10" i="36"/>
  <c r="T11" i="36"/>
  <c r="T12" i="36"/>
  <c r="T13" i="36"/>
  <c r="T14" i="36"/>
  <c r="T15" i="36"/>
  <c r="T16" i="36"/>
  <c r="T17" i="36"/>
  <c r="T18" i="36"/>
  <c r="T19" i="36"/>
  <c r="T20" i="36"/>
  <c r="T21" i="36"/>
  <c r="T22" i="36"/>
  <c r="T23" i="36"/>
  <c r="T24" i="36"/>
  <c r="T25" i="36"/>
  <c r="T26" i="36"/>
  <c r="T27" i="36"/>
  <c r="T28" i="36"/>
  <c r="T29" i="36"/>
  <c r="T30" i="36"/>
  <c r="T31" i="36"/>
  <c r="T33" i="36"/>
  <c r="T34" i="36"/>
  <c r="T35" i="36"/>
  <c r="T36" i="36"/>
  <c r="T37" i="36"/>
  <c r="T38" i="36"/>
  <c r="T39" i="36"/>
  <c r="T40" i="36"/>
  <c r="T41" i="36"/>
  <c r="T42" i="36"/>
  <c r="T43" i="36"/>
  <c r="T44" i="36"/>
  <c r="T45" i="36"/>
  <c r="T46" i="36"/>
  <c r="T47" i="36"/>
  <c r="T48" i="36"/>
  <c r="T49" i="36"/>
  <c r="T50" i="36"/>
  <c r="T51" i="36"/>
  <c r="T52" i="36"/>
  <c r="T53" i="36"/>
  <c r="T54" i="36"/>
  <c r="T55" i="36"/>
  <c r="T56" i="36"/>
  <c r="T57" i="36"/>
  <c r="T58" i="36"/>
  <c r="T59" i="36"/>
  <c r="T60" i="36"/>
  <c r="T61" i="36"/>
  <c r="T62" i="36"/>
  <c r="T63" i="36"/>
  <c r="T64" i="36"/>
  <c r="T65" i="36"/>
  <c r="T66" i="36"/>
  <c r="T67" i="36"/>
  <c r="T68" i="36"/>
  <c r="T69" i="36"/>
  <c r="T70" i="36"/>
  <c r="T71" i="36"/>
  <c r="T72" i="36"/>
  <c r="T74" i="36"/>
  <c r="T73" i="36"/>
  <c r="T75" i="36"/>
  <c r="T76" i="36"/>
  <c r="T77" i="36"/>
  <c r="T78" i="36"/>
  <c r="T79" i="36"/>
  <c r="T80" i="36"/>
  <c r="T81" i="36"/>
  <c r="T82" i="36"/>
  <c r="T83" i="36"/>
  <c r="T84" i="36"/>
  <c r="T85" i="36"/>
  <c r="T86" i="36"/>
  <c r="T87" i="36"/>
  <c r="T88" i="36"/>
  <c r="T89" i="36"/>
  <c r="T90" i="36"/>
  <c r="T91" i="36"/>
  <c r="T92" i="36"/>
  <c r="T93" i="36"/>
  <c r="T94" i="36"/>
  <c r="T95" i="36"/>
  <c r="T96" i="36"/>
  <c r="T97" i="36"/>
  <c r="T98" i="36"/>
  <c r="T99" i="36"/>
  <c r="T100" i="36"/>
  <c r="T101" i="36"/>
  <c r="T102" i="36"/>
  <c r="T103" i="36"/>
  <c r="T104" i="36"/>
  <c r="T105" i="36"/>
  <c r="T106" i="36"/>
  <c r="T107" i="36"/>
  <c r="T108" i="36"/>
  <c r="T109" i="36"/>
  <c r="T110" i="36"/>
  <c r="T111" i="36"/>
  <c r="T112" i="36"/>
  <c r="T113" i="36"/>
  <c r="T114" i="36"/>
  <c r="T115" i="36"/>
  <c r="T116" i="36"/>
  <c r="T117" i="36"/>
  <c r="T118" i="36"/>
  <c r="T119" i="36"/>
  <c r="T120" i="36"/>
  <c r="T121" i="36"/>
  <c r="T122" i="36"/>
  <c r="T123" i="36"/>
  <c r="T124" i="36"/>
  <c r="T125" i="36"/>
  <c r="T126" i="36"/>
  <c r="T127" i="36"/>
  <c r="T128" i="36"/>
  <c r="T129" i="36"/>
  <c r="T130" i="36"/>
  <c r="T131" i="36"/>
  <c r="T132" i="36"/>
  <c r="T133" i="36"/>
  <c r="T134" i="36"/>
  <c r="T135" i="36"/>
  <c r="T136" i="36"/>
  <c r="T137" i="36"/>
  <c r="T138" i="36"/>
  <c r="T139" i="36"/>
  <c r="T140" i="36"/>
  <c r="T141" i="36"/>
  <c r="T142" i="36"/>
  <c r="T143" i="36"/>
  <c r="T144" i="36"/>
  <c r="T145" i="36"/>
  <c r="T146" i="36"/>
  <c r="T147" i="36"/>
  <c r="T148" i="36"/>
  <c r="T149" i="36"/>
  <c r="T150" i="36"/>
  <c r="T151" i="36"/>
  <c r="T152" i="36"/>
  <c r="T153" i="36"/>
  <c r="T154" i="36"/>
  <c r="T155" i="36"/>
  <c r="T156" i="36"/>
  <c r="T157" i="36"/>
  <c r="T158" i="36"/>
  <c r="T159" i="36"/>
  <c r="T160" i="36"/>
  <c r="T161" i="36"/>
  <c r="T162" i="36"/>
  <c r="T163" i="36"/>
  <c r="T164" i="36"/>
  <c r="T165" i="36"/>
  <c r="T166" i="36"/>
  <c r="T167" i="36"/>
  <c r="T168" i="36"/>
  <c r="T169" i="36"/>
  <c r="T170" i="36"/>
  <c r="T171" i="36"/>
  <c r="T172" i="36"/>
  <c r="T173" i="36"/>
  <c r="T174" i="36"/>
  <c r="T175" i="36"/>
  <c r="T176" i="36"/>
  <c r="T177" i="36"/>
  <c r="T178" i="36"/>
  <c r="T179" i="36"/>
  <c r="T180" i="36"/>
  <c r="T181" i="36"/>
  <c r="T182" i="36"/>
  <c r="T183" i="36"/>
  <c r="T184" i="36"/>
  <c r="T185" i="36"/>
  <c r="T186" i="36"/>
  <c r="T187" i="36"/>
  <c r="T188" i="36"/>
  <c r="T189" i="36"/>
  <c r="T190" i="36"/>
  <c r="T191" i="36"/>
  <c r="T192" i="36"/>
  <c r="T193" i="36"/>
  <c r="T194" i="36"/>
  <c r="T195" i="36"/>
  <c r="T196" i="36"/>
  <c r="T197" i="36"/>
  <c r="T198" i="36"/>
  <c r="T199" i="36"/>
  <c r="T200" i="36"/>
  <c r="T201" i="36"/>
  <c r="T202" i="36"/>
  <c r="T203" i="36"/>
  <c r="T204" i="36"/>
  <c r="T205" i="36"/>
  <c r="T206" i="36"/>
  <c r="T207" i="36"/>
  <c r="T208" i="36"/>
  <c r="T209" i="36"/>
  <c r="T210" i="36"/>
  <c r="T211" i="36"/>
  <c r="T212" i="36"/>
  <c r="T213" i="36"/>
  <c r="T214" i="36"/>
  <c r="T215" i="36"/>
  <c r="T216" i="36"/>
  <c r="T217" i="36"/>
  <c r="T218" i="36"/>
  <c r="T219" i="36"/>
  <c r="T220" i="36"/>
  <c r="T221" i="36"/>
  <c r="T222" i="36"/>
  <c r="T223" i="36"/>
  <c r="T224" i="36"/>
  <c r="T225" i="36"/>
  <c r="T226" i="36"/>
  <c r="T227" i="36"/>
  <c r="T228" i="36"/>
  <c r="T229" i="36"/>
  <c r="T230" i="36"/>
  <c r="T231" i="36"/>
  <c r="T232" i="36"/>
  <c r="T233" i="36"/>
  <c r="T234" i="36"/>
  <c r="T235" i="36"/>
  <c r="T236" i="36"/>
  <c r="T237" i="36"/>
  <c r="T238" i="36"/>
  <c r="T239" i="36"/>
  <c r="T240" i="36"/>
  <c r="T241" i="36"/>
  <c r="T242" i="36"/>
  <c r="T243" i="36"/>
  <c r="T244" i="36"/>
  <c r="T245" i="36"/>
  <c r="T246" i="36"/>
  <c r="T247" i="36"/>
  <c r="T248" i="36"/>
  <c r="T249" i="36"/>
  <c r="T250" i="36"/>
  <c r="T251" i="36"/>
  <c r="T252" i="36"/>
  <c r="T253" i="36"/>
  <c r="T254" i="36"/>
  <c r="T255" i="36"/>
  <c r="T256" i="36"/>
  <c r="T257" i="36"/>
  <c r="T258" i="36"/>
  <c r="T259" i="36"/>
  <c r="T260" i="36"/>
  <c r="T261" i="36"/>
  <c r="T262" i="36"/>
  <c r="T263" i="36"/>
  <c r="T264" i="36"/>
  <c r="T265" i="36"/>
  <c r="T266" i="36"/>
  <c r="T267" i="36"/>
  <c r="T268" i="36"/>
  <c r="T269" i="36"/>
  <c r="T270" i="36"/>
  <c r="T271" i="36"/>
  <c r="T272" i="36"/>
  <c r="T273" i="36"/>
  <c r="T274" i="36"/>
  <c r="T275" i="36"/>
  <c r="T276" i="36"/>
  <c r="T277" i="36"/>
  <c r="T278" i="36"/>
  <c r="T279" i="36"/>
  <c r="T280" i="36"/>
  <c r="T281" i="36"/>
  <c r="T282" i="36"/>
  <c r="T283" i="36"/>
  <c r="T284" i="36"/>
  <c r="T285" i="36"/>
  <c r="T286" i="36"/>
  <c r="T287" i="36"/>
  <c r="T288" i="36"/>
  <c r="T289" i="36"/>
  <c r="T290" i="36"/>
  <c r="T291" i="36"/>
  <c r="T292" i="36"/>
  <c r="T294" i="36"/>
  <c r="T295" i="36"/>
  <c r="T296" i="36"/>
  <c r="T297" i="36"/>
  <c r="T298" i="36"/>
  <c r="T299" i="36"/>
  <c r="T300" i="36"/>
  <c r="T301" i="36"/>
  <c r="T302" i="36"/>
  <c r="T303" i="36"/>
  <c r="T304" i="36"/>
  <c r="T305" i="36"/>
  <c r="T306" i="36"/>
  <c r="T307" i="36"/>
  <c r="T308" i="36"/>
  <c r="T309" i="36"/>
  <c r="T310" i="36"/>
  <c r="T311" i="36"/>
  <c r="T312" i="36"/>
  <c r="T314" i="36"/>
  <c r="T313" i="36"/>
  <c r="T315" i="36"/>
  <c r="T316" i="36"/>
  <c r="T317" i="36"/>
  <c r="T318" i="36"/>
  <c r="T319" i="36"/>
  <c r="T320" i="36"/>
  <c r="T321" i="36"/>
  <c r="T322" i="36"/>
  <c r="T323" i="36"/>
  <c r="T324" i="36"/>
  <c r="T325" i="36"/>
  <c r="T326" i="36"/>
  <c r="T327" i="36"/>
  <c r="T328" i="36"/>
  <c r="T329" i="36"/>
  <c r="T330" i="36"/>
  <c r="T331" i="36"/>
  <c r="T332" i="36"/>
  <c r="T333" i="36"/>
  <c r="T336" i="36"/>
  <c r="T337" i="36"/>
  <c r="T334" i="36"/>
  <c r="T335" i="36"/>
  <c r="T338" i="36"/>
  <c r="T339" i="36"/>
  <c r="T340" i="36"/>
  <c r="T341" i="36"/>
  <c r="T342" i="36"/>
  <c r="T343" i="36"/>
  <c r="T344" i="36"/>
  <c r="T345" i="36"/>
  <c r="T346" i="36"/>
  <c r="T347" i="36"/>
  <c r="T348" i="36"/>
  <c r="T349" i="36"/>
  <c r="T350" i="36"/>
  <c r="T351" i="36"/>
  <c r="T352" i="36"/>
  <c r="T353" i="36"/>
  <c r="T354" i="36"/>
  <c r="T355" i="36"/>
  <c r="T356" i="36"/>
  <c r="T357" i="36"/>
  <c r="T358" i="36"/>
  <c r="T359" i="36"/>
  <c r="T379" i="36"/>
  <c r="T380" i="36"/>
  <c r="T362" i="36"/>
  <c r="T363" i="36"/>
  <c r="T364" i="36"/>
  <c r="T365" i="36"/>
  <c r="T366" i="36"/>
  <c r="T367" i="36"/>
  <c r="T368" i="36"/>
  <c r="T369" i="36"/>
  <c r="T370" i="36"/>
  <c r="T371" i="36"/>
  <c r="T372" i="36"/>
  <c r="T373" i="36"/>
  <c r="T374" i="36"/>
  <c r="T381" i="36"/>
  <c r="T382" i="36"/>
  <c r="T383" i="36"/>
  <c r="T384" i="36"/>
  <c r="T385" i="36"/>
  <c r="T386" i="36"/>
  <c r="T387" i="36"/>
  <c r="T388" i="36"/>
  <c r="T389" i="36"/>
  <c r="T390" i="36"/>
  <c r="T391" i="36"/>
  <c r="T392" i="36"/>
  <c r="T393" i="36"/>
  <c r="T394" i="36"/>
  <c r="T395" i="36"/>
  <c r="T396" i="36"/>
  <c r="T397" i="36"/>
  <c r="T398" i="36"/>
  <c r="T399" i="36"/>
  <c r="T400" i="36"/>
  <c r="T401" i="36"/>
  <c r="T402" i="36"/>
  <c r="T403" i="36"/>
  <c r="T404" i="36"/>
  <c r="T405" i="36"/>
  <c r="T406" i="36"/>
  <c r="T407" i="36"/>
  <c r="T409" i="36"/>
  <c r="T408" i="36"/>
  <c r="T410" i="36"/>
  <c r="T411" i="36"/>
  <c r="T412" i="36"/>
  <c r="T413" i="36"/>
  <c r="T414" i="36"/>
  <c r="T415" i="36"/>
  <c r="T416" i="36"/>
  <c r="T417" i="36"/>
  <c r="M6" i="36"/>
  <c r="N6" i="36"/>
  <c r="M7" i="36"/>
  <c r="N7" i="36" s="1"/>
  <c r="C418" i="36"/>
  <c r="H417" i="36"/>
  <c r="L416" i="36"/>
  <c r="H416" i="36"/>
  <c r="H415" i="36"/>
  <c r="L414" i="36"/>
  <c r="H414" i="36"/>
  <c r="H413" i="36"/>
  <c r="L411" i="36"/>
  <c r="H411" i="36"/>
  <c r="L410" i="36"/>
  <c r="H410" i="36"/>
  <c r="H409" i="36"/>
  <c r="L407" i="36"/>
  <c r="H407" i="36"/>
  <c r="L406" i="36"/>
  <c r="H406" i="36"/>
  <c r="L405" i="36"/>
  <c r="H405" i="36"/>
  <c r="L404" i="36"/>
  <c r="H404" i="36"/>
  <c r="L403" i="36"/>
  <c r="H403" i="36"/>
  <c r="L402" i="36"/>
  <c r="H402" i="36"/>
  <c r="L401" i="36"/>
  <c r="H401" i="36"/>
  <c r="L400" i="36"/>
  <c r="H400" i="36"/>
  <c r="L399" i="36"/>
  <c r="H399" i="36"/>
  <c r="L398" i="36"/>
  <c r="H398" i="36"/>
  <c r="L397" i="36"/>
  <c r="H397" i="36"/>
  <c r="L396" i="36"/>
  <c r="H396" i="36"/>
  <c r="L395" i="36"/>
  <c r="H395" i="36"/>
  <c r="L394" i="36"/>
  <c r="H394" i="36"/>
  <c r="L393" i="36"/>
  <c r="H393" i="36"/>
  <c r="L392" i="36"/>
  <c r="H392" i="36"/>
  <c r="H390" i="36"/>
  <c r="L389" i="36"/>
  <c r="H389" i="36"/>
  <c r="L388" i="36"/>
  <c r="H388" i="36"/>
  <c r="L387" i="36"/>
  <c r="H387" i="36"/>
  <c r="L386" i="36"/>
  <c r="H386" i="36"/>
  <c r="L385" i="36"/>
  <c r="H385" i="36"/>
  <c r="L384" i="36"/>
  <c r="H384" i="36"/>
  <c r="L382" i="36"/>
  <c r="H382" i="36"/>
  <c r="L381" i="36"/>
  <c r="H381" i="36"/>
  <c r="L374" i="36"/>
  <c r="H374" i="36"/>
  <c r="L373" i="36"/>
  <c r="H373" i="36"/>
  <c r="L372" i="36"/>
  <c r="H372" i="36"/>
  <c r="L371" i="36"/>
  <c r="H371" i="36"/>
  <c r="L370" i="36"/>
  <c r="H370" i="36"/>
  <c r="L369" i="36"/>
  <c r="H369" i="36"/>
  <c r="L368" i="36"/>
  <c r="H368" i="36"/>
  <c r="L367" i="36"/>
  <c r="H367" i="36"/>
  <c r="L366" i="36"/>
  <c r="H366" i="36"/>
  <c r="L365" i="36"/>
  <c r="H365" i="36"/>
  <c r="L364" i="36"/>
  <c r="H364" i="36"/>
  <c r="L363" i="36"/>
  <c r="H363" i="36"/>
  <c r="L362" i="36"/>
  <c r="H362" i="36"/>
  <c r="L380" i="36"/>
  <c r="H380" i="36"/>
  <c r="H379" i="36"/>
  <c r="L359" i="36"/>
  <c r="H359" i="36"/>
  <c r="L358" i="36"/>
  <c r="H358" i="36"/>
  <c r="L357" i="36"/>
  <c r="H357" i="36"/>
  <c r="L356" i="36"/>
  <c r="H356" i="36"/>
  <c r="L355" i="36"/>
  <c r="H355" i="36"/>
  <c r="L354" i="36"/>
  <c r="H354" i="36"/>
  <c r="L353" i="36"/>
  <c r="H353" i="36"/>
  <c r="L352" i="36"/>
  <c r="H352" i="36"/>
  <c r="L351" i="36"/>
  <c r="H351" i="36"/>
  <c r="L350" i="36"/>
  <c r="H350" i="36"/>
  <c r="L349" i="36"/>
  <c r="H349" i="36"/>
  <c r="L348" i="36"/>
  <c r="H348" i="36"/>
  <c r="L347" i="36"/>
  <c r="H347" i="36"/>
  <c r="L346" i="36"/>
  <c r="H346" i="36"/>
  <c r="L345" i="36"/>
  <c r="H345" i="36"/>
  <c r="L344" i="36"/>
  <c r="H344" i="36"/>
  <c r="L343" i="36"/>
  <c r="H343" i="36"/>
  <c r="L342" i="36"/>
  <c r="H342" i="36"/>
  <c r="L341" i="36"/>
  <c r="H341" i="36"/>
  <c r="L340" i="36"/>
  <c r="H340" i="36"/>
  <c r="L339" i="36"/>
  <c r="H339" i="36"/>
  <c r="L338" i="36"/>
  <c r="H338" i="36"/>
  <c r="L335" i="36"/>
  <c r="H335" i="36"/>
  <c r="L334" i="36"/>
  <c r="H334" i="36"/>
  <c r="L336" i="36"/>
  <c r="H336" i="36"/>
  <c r="L337" i="36"/>
  <c r="H337" i="36"/>
  <c r="L333" i="36"/>
  <c r="H333" i="36"/>
  <c r="L332" i="36"/>
  <c r="H332" i="36"/>
  <c r="L331" i="36"/>
  <c r="H331" i="36"/>
  <c r="L330" i="36"/>
  <c r="H330" i="36"/>
  <c r="L329" i="36"/>
  <c r="H329" i="36"/>
  <c r="L328" i="36"/>
  <c r="H328" i="36"/>
  <c r="L327" i="36"/>
  <c r="H327" i="36"/>
  <c r="L326" i="36"/>
  <c r="H326" i="36"/>
  <c r="L325" i="36"/>
  <c r="H325" i="36"/>
  <c r="L324" i="36"/>
  <c r="H324" i="36"/>
  <c r="L323" i="36"/>
  <c r="H323" i="36"/>
  <c r="L322" i="36"/>
  <c r="H322" i="36"/>
  <c r="L321" i="36"/>
  <c r="H321" i="36"/>
  <c r="L320" i="36"/>
  <c r="H320" i="36"/>
  <c r="L319" i="36"/>
  <c r="H319" i="36"/>
  <c r="L318" i="36"/>
  <c r="H318" i="36"/>
  <c r="L317" i="36"/>
  <c r="H317" i="36"/>
  <c r="L316" i="36"/>
  <c r="H316" i="36"/>
  <c r="L315" i="36"/>
  <c r="H315" i="36"/>
  <c r="L313" i="36"/>
  <c r="H313" i="36"/>
  <c r="L314" i="36"/>
  <c r="H314" i="36"/>
  <c r="L312" i="36"/>
  <c r="H312" i="36"/>
  <c r="L311" i="36"/>
  <c r="H311" i="36"/>
  <c r="L310" i="36"/>
  <c r="H310" i="36"/>
  <c r="L309" i="36"/>
  <c r="H309" i="36"/>
  <c r="L308" i="36"/>
  <c r="H308" i="36"/>
  <c r="L307" i="36"/>
  <c r="H307" i="36"/>
  <c r="L306" i="36"/>
  <c r="H306" i="36"/>
  <c r="L305" i="36"/>
  <c r="H305" i="36"/>
  <c r="L304" i="36"/>
  <c r="H304" i="36"/>
  <c r="L303" i="36"/>
  <c r="H303" i="36"/>
  <c r="L302" i="36"/>
  <c r="H302" i="36"/>
  <c r="L301" i="36"/>
  <c r="H301" i="36"/>
  <c r="L300" i="36"/>
  <c r="H300" i="36"/>
  <c r="L299" i="36"/>
  <c r="H299" i="36"/>
  <c r="L298" i="36"/>
  <c r="H298" i="36"/>
  <c r="L297" i="36"/>
  <c r="H297" i="36"/>
  <c r="L296" i="36"/>
  <c r="H296" i="36"/>
  <c r="L295" i="36"/>
  <c r="H295" i="36"/>
  <c r="L294" i="36"/>
  <c r="H294" i="36"/>
  <c r="L292" i="36"/>
  <c r="H292" i="36"/>
  <c r="L291" i="36"/>
  <c r="H291" i="36"/>
  <c r="L290" i="36"/>
  <c r="H290" i="36"/>
  <c r="L289" i="36"/>
  <c r="H289" i="36"/>
  <c r="L288" i="36"/>
  <c r="H288" i="36"/>
  <c r="L287" i="36"/>
  <c r="H287" i="36"/>
  <c r="L286" i="36"/>
  <c r="H286" i="36"/>
  <c r="L285" i="36"/>
  <c r="H285" i="36"/>
  <c r="L284" i="36"/>
  <c r="H284" i="36"/>
  <c r="L283" i="36"/>
  <c r="H283" i="36"/>
  <c r="L282" i="36"/>
  <c r="H282" i="36"/>
  <c r="L281" i="36"/>
  <c r="H281" i="36"/>
  <c r="L280" i="36"/>
  <c r="H280" i="36"/>
  <c r="H279" i="36"/>
  <c r="L278" i="36"/>
  <c r="H278" i="36"/>
  <c r="H277" i="36"/>
  <c r="L276" i="36"/>
  <c r="H276" i="36"/>
  <c r="L275" i="36"/>
  <c r="H275" i="36"/>
  <c r="L274" i="36"/>
  <c r="H274" i="36"/>
  <c r="L273" i="36"/>
  <c r="H273" i="36"/>
  <c r="L272" i="36"/>
  <c r="H272" i="36"/>
  <c r="L271" i="36"/>
  <c r="H271" i="36"/>
  <c r="L270" i="36"/>
  <c r="H270" i="36"/>
  <c r="L269" i="36"/>
  <c r="H269" i="36"/>
  <c r="L268" i="36"/>
  <c r="H268" i="36"/>
  <c r="L267" i="36"/>
  <c r="H267" i="36"/>
  <c r="L266" i="36"/>
  <c r="H266" i="36"/>
  <c r="L265" i="36"/>
  <c r="H265" i="36"/>
  <c r="L264" i="36"/>
  <c r="H264" i="36"/>
  <c r="L263" i="36"/>
  <c r="H263" i="36"/>
  <c r="L262" i="36"/>
  <c r="H262" i="36"/>
  <c r="L261" i="36"/>
  <c r="H261" i="36"/>
  <c r="L260" i="36"/>
  <c r="H260" i="36"/>
  <c r="L259" i="36"/>
  <c r="H259" i="36"/>
  <c r="L258" i="36"/>
  <c r="H258" i="36"/>
  <c r="L257" i="36"/>
  <c r="H257" i="36"/>
  <c r="L256" i="36"/>
  <c r="H256" i="36"/>
  <c r="L255" i="36"/>
  <c r="H255" i="36"/>
  <c r="L254" i="36"/>
  <c r="H254" i="36"/>
  <c r="L253" i="36"/>
  <c r="H253" i="36"/>
  <c r="L252" i="36"/>
  <c r="H252" i="36"/>
  <c r="L251" i="36"/>
  <c r="H251" i="36"/>
  <c r="L250" i="36"/>
  <c r="H250" i="36"/>
  <c r="L249" i="36"/>
  <c r="H249" i="36"/>
  <c r="L248" i="36"/>
  <c r="H248" i="36"/>
  <c r="L247" i="36"/>
  <c r="H247" i="36"/>
  <c r="L246" i="36"/>
  <c r="H246" i="36"/>
  <c r="L245" i="36"/>
  <c r="H245" i="36"/>
  <c r="L244" i="36"/>
  <c r="H244" i="36"/>
  <c r="L243" i="36"/>
  <c r="H243" i="36"/>
  <c r="L242" i="36"/>
  <c r="H242" i="36"/>
  <c r="L241" i="36"/>
  <c r="H241" i="36"/>
  <c r="L240" i="36"/>
  <c r="H240" i="36"/>
  <c r="L239" i="36"/>
  <c r="H239" i="36"/>
  <c r="L238" i="36"/>
  <c r="H238" i="36"/>
  <c r="L237" i="36"/>
  <c r="H237" i="36"/>
  <c r="L236" i="36"/>
  <c r="H236" i="36"/>
  <c r="L235" i="36"/>
  <c r="H235" i="36"/>
  <c r="L234" i="36"/>
  <c r="H234" i="36"/>
  <c r="L233" i="36"/>
  <c r="H233" i="36"/>
  <c r="L232" i="36"/>
  <c r="H232" i="36"/>
  <c r="L231" i="36"/>
  <c r="H231" i="36"/>
  <c r="L230" i="36"/>
  <c r="H230" i="36"/>
  <c r="L229" i="36"/>
  <c r="H229" i="36"/>
  <c r="L228" i="36"/>
  <c r="H228" i="36"/>
  <c r="L227" i="36"/>
  <c r="H227" i="36"/>
  <c r="L226" i="36"/>
  <c r="H226" i="36"/>
  <c r="L225" i="36"/>
  <c r="H225" i="36"/>
  <c r="L224" i="36"/>
  <c r="H224" i="36"/>
  <c r="L223" i="36"/>
  <c r="H223" i="36"/>
  <c r="L222" i="36"/>
  <c r="H222" i="36"/>
  <c r="L221" i="36"/>
  <c r="H221" i="36"/>
  <c r="L220" i="36"/>
  <c r="H220" i="36"/>
  <c r="L219" i="36"/>
  <c r="H219" i="36"/>
  <c r="L218" i="36"/>
  <c r="H218" i="36"/>
  <c r="L217" i="36"/>
  <c r="H217" i="36"/>
  <c r="L216" i="36"/>
  <c r="H216" i="36"/>
  <c r="L215" i="36"/>
  <c r="H215" i="36"/>
  <c r="L214" i="36"/>
  <c r="H214" i="36"/>
  <c r="L213" i="36"/>
  <c r="H213" i="36"/>
  <c r="L212" i="36"/>
  <c r="H212" i="36"/>
  <c r="L211" i="36"/>
  <c r="H211" i="36"/>
  <c r="L210" i="36"/>
  <c r="H210" i="36"/>
  <c r="L209" i="36"/>
  <c r="H209" i="36"/>
  <c r="L208" i="36"/>
  <c r="H208" i="36"/>
  <c r="L207" i="36"/>
  <c r="H207" i="36"/>
  <c r="L206" i="36"/>
  <c r="H206" i="36"/>
  <c r="L205" i="36"/>
  <c r="H205" i="36"/>
  <c r="L204" i="36"/>
  <c r="H204" i="36"/>
  <c r="L203" i="36"/>
  <c r="H203" i="36"/>
  <c r="L202" i="36"/>
  <c r="H202" i="36"/>
  <c r="L201" i="36"/>
  <c r="H201" i="36"/>
  <c r="H199" i="36"/>
  <c r="L198" i="36"/>
  <c r="H198" i="36"/>
  <c r="L197" i="36"/>
  <c r="H197" i="36"/>
  <c r="L196" i="36"/>
  <c r="H196" i="36"/>
  <c r="L195" i="36"/>
  <c r="H195" i="36"/>
  <c r="H194" i="36"/>
  <c r="L193" i="36"/>
  <c r="H193" i="36"/>
  <c r="L192" i="36"/>
  <c r="H192" i="36"/>
  <c r="L191" i="36"/>
  <c r="H191" i="36"/>
  <c r="L190" i="36"/>
  <c r="H190" i="36"/>
  <c r="L189" i="36"/>
  <c r="H189" i="36"/>
  <c r="L188" i="36"/>
  <c r="H188" i="36"/>
  <c r="L187" i="36"/>
  <c r="H187" i="36"/>
  <c r="L186" i="36"/>
  <c r="H186" i="36"/>
  <c r="L185" i="36"/>
  <c r="H185" i="36"/>
  <c r="L184" i="36"/>
  <c r="H184" i="36"/>
  <c r="L183" i="36"/>
  <c r="H183" i="36"/>
  <c r="L182" i="36"/>
  <c r="H182" i="36"/>
  <c r="L181" i="36"/>
  <c r="H181" i="36"/>
  <c r="L180" i="36"/>
  <c r="H180" i="36"/>
  <c r="L179" i="36"/>
  <c r="H179" i="36"/>
  <c r="L178" i="36"/>
  <c r="H178" i="36"/>
  <c r="L177" i="36"/>
  <c r="H177" i="36"/>
  <c r="L176" i="36"/>
  <c r="H176" i="36"/>
  <c r="L175" i="36"/>
  <c r="H175" i="36"/>
  <c r="L174" i="36"/>
  <c r="H174" i="36"/>
  <c r="L173" i="36"/>
  <c r="H173" i="36"/>
  <c r="L172" i="36"/>
  <c r="H172" i="36"/>
  <c r="L171" i="36"/>
  <c r="H171" i="36"/>
  <c r="L170" i="36"/>
  <c r="H170" i="36"/>
  <c r="L169" i="36"/>
  <c r="H169" i="36"/>
  <c r="L168" i="36"/>
  <c r="H168" i="36"/>
  <c r="L167" i="36"/>
  <c r="H167" i="36"/>
  <c r="L166" i="36"/>
  <c r="H166" i="36"/>
  <c r="L165" i="36"/>
  <c r="H165" i="36"/>
  <c r="L164" i="36"/>
  <c r="H164" i="36"/>
  <c r="L163" i="36"/>
  <c r="H163" i="36"/>
  <c r="L162" i="36"/>
  <c r="H162" i="36"/>
  <c r="L161" i="36"/>
  <c r="H161" i="36"/>
  <c r="L160" i="36"/>
  <c r="H160" i="36"/>
  <c r="L159" i="36"/>
  <c r="H159" i="36"/>
  <c r="L157" i="36"/>
  <c r="H157" i="36"/>
  <c r="L156" i="36"/>
  <c r="H156" i="36"/>
  <c r="L155" i="36"/>
  <c r="H155" i="36"/>
  <c r="L154" i="36"/>
  <c r="H154" i="36"/>
  <c r="H153" i="36"/>
  <c r="L152" i="36"/>
  <c r="H152" i="36"/>
  <c r="L151" i="36"/>
  <c r="H151" i="36"/>
  <c r="H150" i="36"/>
  <c r="L149" i="36"/>
  <c r="H149" i="36"/>
  <c r="L148" i="36"/>
  <c r="H148" i="36"/>
  <c r="L147" i="36"/>
  <c r="H147" i="36"/>
  <c r="H146" i="36"/>
  <c r="L145" i="36"/>
  <c r="H145" i="36"/>
  <c r="L144" i="36"/>
  <c r="H144" i="36"/>
  <c r="L143" i="36"/>
  <c r="H143" i="36"/>
  <c r="L142" i="36"/>
  <c r="H142" i="36"/>
  <c r="L141" i="36"/>
  <c r="H141" i="36"/>
  <c r="L140" i="36"/>
  <c r="H140" i="36"/>
  <c r="H139" i="36"/>
  <c r="H138" i="36"/>
  <c r="L137" i="36"/>
  <c r="H137" i="36"/>
  <c r="L136" i="36"/>
  <c r="H136" i="36"/>
  <c r="H135" i="36"/>
  <c r="L134" i="36"/>
  <c r="H134" i="36"/>
  <c r="L133" i="36"/>
  <c r="H133" i="36"/>
  <c r="L132" i="36"/>
  <c r="H132" i="36"/>
  <c r="L131" i="36"/>
  <c r="H131" i="36"/>
  <c r="L130" i="36"/>
  <c r="H130" i="36"/>
  <c r="L129" i="36"/>
  <c r="H129" i="36"/>
  <c r="L128" i="36"/>
  <c r="H128" i="36"/>
  <c r="L127" i="36"/>
  <c r="H127" i="36"/>
  <c r="L126" i="36"/>
  <c r="H126" i="36"/>
  <c r="L125" i="36"/>
  <c r="H125" i="36"/>
  <c r="L124" i="36"/>
  <c r="H124" i="36"/>
  <c r="L123" i="36"/>
  <c r="H123" i="36"/>
  <c r="L122" i="36"/>
  <c r="H122" i="36"/>
  <c r="L121" i="36"/>
  <c r="H121" i="36"/>
  <c r="L120" i="36"/>
  <c r="H120" i="36"/>
  <c r="L119" i="36"/>
  <c r="H119" i="36"/>
  <c r="H118" i="36"/>
  <c r="L116" i="36"/>
  <c r="H116" i="36"/>
  <c r="L114" i="36"/>
  <c r="H114" i="36"/>
  <c r="L113" i="36"/>
  <c r="H113" i="36"/>
  <c r="L112" i="36"/>
  <c r="H112" i="36"/>
  <c r="L111" i="36"/>
  <c r="H111" i="36"/>
  <c r="L110" i="36"/>
  <c r="H110" i="36"/>
  <c r="L109" i="36"/>
  <c r="H109" i="36"/>
  <c r="L108" i="36"/>
  <c r="H108" i="36"/>
  <c r="L107" i="36"/>
  <c r="H107" i="36"/>
  <c r="L106" i="36"/>
  <c r="H106" i="36"/>
  <c r="L105" i="36"/>
  <c r="H105" i="36"/>
  <c r="H104" i="36"/>
  <c r="L103" i="36"/>
  <c r="H103" i="36"/>
  <c r="L102" i="36"/>
  <c r="H102" i="36"/>
  <c r="L101" i="36"/>
  <c r="H101" i="36"/>
  <c r="L100" i="36"/>
  <c r="H100" i="36"/>
  <c r="L99" i="36"/>
  <c r="H99" i="36"/>
  <c r="L98" i="36"/>
  <c r="H98" i="36"/>
  <c r="L97" i="36"/>
  <c r="H97" i="36"/>
  <c r="L96" i="36"/>
  <c r="H96" i="36"/>
  <c r="L94" i="36"/>
  <c r="H94" i="36"/>
  <c r="L93" i="36"/>
  <c r="H93" i="36"/>
  <c r="L92" i="36"/>
  <c r="H92" i="36"/>
  <c r="L91" i="36"/>
  <c r="H91" i="36"/>
  <c r="L90" i="36"/>
  <c r="H90" i="36"/>
  <c r="L89" i="36"/>
  <c r="H89" i="36"/>
  <c r="H88" i="36"/>
  <c r="L87" i="36"/>
  <c r="H87" i="36"/>
  <c r="L86" i="36"/>
  <c r="H86" i="36"/>
  <c r="L85" i="36"/>
  <c r="H85" i="36"/>
  <c r="H84" i="36"/>
  <c r="L83" i="36"/>
  <c r="H83" i="36"/>
  <c r="L82" i="36"/>
  <c r="H82" i="36"/>
  <c r="L81" i="36"/>
  <c r="H81" i="36"/>
  <c r="L80" i="36"/>
  <c r="H80" i="36"/>
  <c r="L79" i="36"/>
  <c r="H79" i="36"/>
  <c r="L78" i="36"/>
  <c r="H78" i="36"/>
  <c r="L77" i="36"/>
  <c r="H77" i="36"/>
  <c r="H76" i="36"/>
  <c r="L75" i="36"/>
  <c r="H75" i="36"/>
  <c r="L73" i="36"/>
  <c r="H73" i="36"/>
  <c r="L74" i="36"/>
  <c r="H74" i="36"/>
  <c r="L72" i="36"/>
  <c r="H72" i="36"/>
  <c r="L71" i="36"/>
  <c r="H71" i="36"/>
  <c r="L70" i="36"/>
  <c r="H70" i="36"/>
  <c r="L69" i="36"/>
  <c r="H69" i="36"/>
  <c r="L68" i="36"/>
  <c r="H68" i="36"/>
  <c r="L67" i="36"/>
  <c r="H67" i="36"/>
  <c r="L66" i="36"/>
  <c r="H66" i="36"/>
  <c r="L65" i="36"/>
  <c r="H65" i="36"/>
  <c r="L64" i="36"/>
  <c r="H64" i="36"/>
  <c r="L63" i="36"/>
  <c r="H63" i="36"/>
  <c r="L62" i="36"/>
  <c r="H62" i="36"/>
  <c r="L61" i="36"/>
  <c r="H61" i="36"/>
  <c r="L60" i="36"/>
  <c r="H60" i="36"/>
  <c r="L59" i="36"/>
  <c r="H59" i="36"/>
  <c r="L58" i="36"/>
  <c r="H58" i="36"/>
  <c r="L57" i="36"/>
  <c r="H57" i="36"/>
  <c r="L56" i="36"/>
  <c r="H56" i="36"/>
  <c r="L55" i="36"/>
  <c r="H55" i="36"/>
  <c r="L54" i="36"/>
  <c r="H54" i="36"/>
  <c r="L53" i="36"/>
  <c r="H53" i="36"/>
  <c r="L52" i="36"/>
  <c r="H52" i="36"/>
  <c r="L51" i="36"/>
  <c r="H51" i="36"/>
  <c r="L50" i="36"/>
  <c r="H50" i="36"/>
  <c r="L49" i="36"/>
  <c r="H49" i="36"/>
  <c r="L48" i="36"/>
  <c r="H48" i="36"/>
  <c r="L47" i="36"/>
  <c r="H47" i="36"/>
  <c r="L46" i="36"/>
  <c r="H46" i="36"/>
  <c r="L45" i="36"/>
  <c r="H45" i="36"/>
  <c r="L44" i="36"/>
  <c r="H44" i="36"/>
  <c r="L43" i="36"/>
  <c r="H43" i="36"/>
  <c r="L42" i="36"/>
  <c r="H42" i="36"/>
  <c r="L41" i="36"/>
  <c r="H41" i="36"/>
  <c r="H40" i="36"/>
  <c r="L39" i="36"/>
  <c r="H39" i="36"/>
  <c r="L38" i="36"/>
  <c r="H38" i="36"/>
  <c r="L37" i="36"/>
  <c r="H37" i="36"/>
  <c r="L36" i="36"/>
  <c r="H36" i="36"/>
  <c r="L35" i="36"/>
  <c r="H35" i="36"/>
  <c r="L34" i="36"/>
  <c r="H34" i="36"/>
  <c r="L33" i="36"/>
  <c r="H33" i="36"/>
  <c r="L31" i="36"/>
  <c r="H31" i="36"/>
  <c r="L30" i="36"/>
  <c r="H30" i="36"/>
  <c r="L29" i="36"/>
  <c r="H29" i="36"/>
  <c r="L28" i="36"/>
  <c r="H28" i="36"/>
  <c r="L27" i="36"/>
  <c r="H27" i="36"/>
  <c r="L26" i="36"/>
  <c r="H26" i="36"/>
  <c r="L25" i="36"/>
  <c r="H25" i="36"/>
  <c r="H24" i="36"/>
  <c r="H23" i="36"/>
  <c r="H22" i="36"/>
  <c r="L20" i="36"/>
  <c r="H20" i="36"/>
  <c r="L19" i="36"/>
  <c r="H19" i="36"/>
  <c r="L18" i="36"/>
  <c r="H18" i="36"/>
  <c r="L16" i="36"/>
  <c r="H16" i="36"/>
  <c r="L14" i="36"/>
  <c r="H14" i="36"/>
  <c r="L13" i="36"/>
  <c r="H13" i="36"/>
  <c r="L12" i="36"/>
  <c r="H12" i="36"/>
  <c r="L11" i="36"/>
  <c r="H11" i="36"/>
  <c r="L10" i="36"/>
  <c r="H10" i="36"/>
  <c r="L9" i="36"/>
  <c r="H9" i="36"/>
  <c r="L8" i="36"/>
  <c r="H8" i="36"/>
  <c r="L7" i="36"/>
  <c r="H7" i="36"/>
  <c r="L6" i="36"/>
  <c r="H6" i="36"/>
  <c r="S413" i="35"/>
  <c r="T413" i="35"/>
  <c r="S414" i="35"/>
  <c r="T414" i="35"/>
  <c r="S415" i="35"/>
  <c r="T415" i="35"/>
  <c r="L414" i="35"/>
  <c r="H413" i="35"/>
  <c r="H414" i="35"/>
  <c r="H415" i="35"/>
  <c r="S6" i="35"/>
  <c r="S7" i="35"/>
  <c r="S8" i="35"/>
  <c r="S9" i="35"/>
  <c r="S10" i="35"/>
  <c r="S11" i="35"/>
  <c r="S12" i="35"/>
  <c r="S13" i="35"/>
  <c r="S14" i="35"/>
  <c r="S15" i="35"/>
  <c r="S16" i="35"/>
  <c r="S17" i="35"/>
  <c r="S18" i="35"/>
  <c r="S19" i="35"/>
  <c r="S20" i="35"/>
  <c r="S21" i="35"/>
  <c r="S22" i="35"/>
  <c r="S23" i="35"/>
  <c r="S24" i="35"/>
  <c r="S25" i="35"/>
  <c r="S26" i="35"/>
  <c r="S27" i="35"/>
  <c r="S28" i="35"/>
  <c r="S29" i="35"/>
  <c r="S30" i="35"/>
  <c r="S31" i="35"/>
  <c r="S32" i="35"/>
  <c r="S33" i="35"/>
  <c r="S34" i="35"/>
  <c r="S35" i="35"/>
  <c r="S36" i="35"/>
  <c r="S37" i="35"/>
  <c r="S38" i="35"/>
  <c r="S39" i="35"/>
  <c r="S40" i="35"/>
  <c r="S41" i="35"/>
  <c r="S42" i="35"/>
  <c r="S43" i="35"/>
  <c r="S44" i="35"/>
  <c r="S45" i="35"/>
  <c r="S46" i="35"/>
  <c r="S47" i="35"/>
  <c r="S48" i="35"/>
  <c r="S49" i="35"/>
  <c r="S50" i="35"/>
  <c r="S51" i="35"/>
  <c r="S52" i="35"/>
  <c r="S53" i="35"/>
  <c r="S54" i="35"/>
  <c r="S55" i="35"/>
  <c r="S56" i="35"/>
  <c r="S57" i="35"/>
  <c r="S58" i="35"/>
  <c r="S59" i="35"/>
  <c r="S60" i="35"/>
  <c r="S61" i="35"/>
  <c r="S62" i="35"/>
  <c r="S63" i="35"/>
  <c r="S64" i="35"/>
  <c r="S65" i="35"/>
  <c r="S66" i="35"/>
  <c r="S67" i="35"/>
  <c r="S68" i="35"/>
  <c r="S69" i="35"/>
  <c r="S70" i="35"/>
  <c r="S71" i="35"/>
  <c r="S72" i="35"/>
  <c r="S73" i="35"/>
  <c r="S74" i="35"/>
  <c r="S75" i="35"/>
  <c r="S76" i="35"/>
  <c r="S77" i="35"/>
  <c r="S78" i="35"/>
  <c r="S79" i="35"/>
  <c r="S80" i="35"/>
  <c r="S81" i="35"/>
  <c r="S82" i="35"/>
  <c r="S83" i="35"/>
  <c r="S84" i="35"/>
  <c r="S85" i="35"/>
  <c r="S86" i="35"/>
  <c r="S87" i="35"/>
  <c r="S88" i="35"/>
  <c r="S89" i="35"/>
  <c r="S90" i="35"/>
  <c r="S91" i="35"/>
  <c r="S92" i="35"/>
  <c r="S93" i="35"/>
  <c r="S94" i="35"/>
  <c r="S95" i="35"/>
  <c r="S96" i="35"/>
  <c r="S97" i="35"/>
  <c r="S98" i="35"/>
  <c r="S99" i="35"/>
  <c r="S100" i="35"/>
  <c r="S101" i="35"/>
  <c r="S102" i="35"/>
  <c r="S103" i="35"/>
  <c r="S104" i="35"/>
  <c r="S105" i="35"/>
  <c r="S106" i="35"/>
  <c r="S107" i="35"/>
  <c r="S108" i="35"/>
  <c r="S109" i="35"/>
  <c r="S110" i="35"/>
  <c r="S111" i="35"/>
  <c r="S112" i="35"/>
  <c r="S113" i="35"/>
  <c r="S114" i="35"/>
  <c r="S115" i="35"/>
  <c r="S116" i="35"/>
  <c r="S117" i="35"/>
  <c r="S118" i="35"/>
  <c r="S119" i="35"/>
  <c r="S120" i="35"/>
  <c r="S121" i="35"/>
  <c r="S122" i="35"/>
  <c r="S123" i="35"/>
  <c r="S124" i="35"/>
  <c r="S125" i="35"/>
  <c r="S126" i="35"/>
  <c r="S127" i="35"/>
  <c r="S128" i="35"/>
  <c r="S129" i="35"/>
  <c r="S130" i="35"/>
  <c r="S131" i="35"/>
  <c r="S132" i="35"/>
  <c r="S133" i="35"/>
  <c r="S134" i="35"/>
  <c r="S135" i="35"/>
  <c r="S136" i="35"/>
  <c r="S137" i="35"/>
  <c r="S138" i="35"/>
  <c r="S139" i="35"/>
  <c r="S140" i="35"/>
  <c r="S141" i="35"/>
  <c r="S142" i="35"/>
  <c r="S143" i="35"/>
  <c r="S144" i="35"/>
  <c r="S145" i="35"/>
  <c r="S146" i="35"/>
  <c r="S147" i="35"/>
  <c r="S148" i="35"/>
  <c r="S149" i="35"/>
  <c r="S150" i="35"/>
  <c r="S151" i="35"/>
  <c r="S152" i="35"/>
  <c r="S153" i="35"/>
  <c r="S154" i="35"/>
  <c r="S155" i="35"/>
  <c r="S156" i="35"/>
  <c r="S157" i="35"/>
  <c r="S158" i="35"/>
  <c r="S159" i="35"/>
  <c r="S160" i="35"/>
  <c r="S161" i="35"/>
  <c r="S162" i="35"/>
  <c r="S163" i="35"/>
  <c r="S164" i="35"/>
  <c r="S165" i="35"/>
  <c r="S166" i="35"/>
  <c r="S167" i="35"/>
  <c r="S168" i="35"/>
  <c r="S169" i="35"/>
  <c r="S170" i="35"/>
  <c r="S171" i="35"/>
  <c r="S172" i="35"/>
  <c r="S173" i="35"/>
  <c r="S174" i="35"/>
  <c r="S175" i="35"/>
  <c r="S176" i="35"/>
  <c r="S177" i="35"/>
  <c r="S178" i="35"/>
  <c r="S179" i="35"/>
  <c r="S180" i="35"/>
  <c r="S181" i="35"/>
  <c r="S182" i="35"/>
  <c r="S183" i="35"/>
  <c r="S184" i="35"/>
  <c r="S185" i="35"/>
  <c r="S186" i="35"/>
  <c r="S187" i="35"/>
  <c r="S188" i="35"/>
  <c r="S189" i="35"/>
  <c r="S190" i="35"/>
  <c r="S191" i="35"/>
  <c r="S192" i="35"/>
  <c r="S193" i="35"/>
  <c r="S194" i="35"/>
  <c r="S195" i="35"/>
  <c r="S196" i="35"/>
  <c r="S197" i="35"/>
  <c r="S198" i="35"/>
  <c r="S199" i="35"/>
  <c r="S200" i="35"/>
  <c r="S201" i="35"/>
  <c r="S202" i="35"/>
  <c r="S203" i="35"/>
  <c r="S204" i="35"/>
  <c r="S205" i="35"/>
  <c r="S206" i="35"/>
  <c r="S207" i="35"/>
  <c r="S208" i="35"/>
  <c r="S209" i="35"/>
  <c r="S210" i="35"/>
  <c r="S211" i="35"/>
  <c r="S212" i="35"/>
  <c r="S213" i="35"/>
  <c r="S214" i="35"/>
  <c r="S215" i="35"/>
  <c r="S216" i="35"/>
  <c r="S217" i="35"/>
  <c r="S218" i="35"/>
  <c r="S219" i="35"/>
  <c r="S220" i="35"/>
  <c r="S221" i="35"/>
  <c r="S222" i="35"/>
  <c r="S223" i="35"/>
  <c r="S224" i="35"/>
  <c r="S225" i="35"/>
  <c r="S226" i="35"/>
  <c r="S227" i="35"/>
  <c r="S228" i="35"/>
  <c r="S229" i="35"/>
  <c r="S230" i="35"/>
  <c r="S231" i="35"/>
  <c r="S232" i="35"/>
  <c r="S233" i="35"/>
  <c r="S234" i="35"/>
  <c r="S235" i="35"/>
  <c r="S236" i="35"/>
  <c r="S237" i="35"/>
  <c r="S238" i="35"/>
  <c r="S239" i="35"/>
  <c r="S240" i="35"/>
  <c r="S241" i="35"/>
  <c r="S242" i="35"/>
  <c r="S243" i="35"/>
  <c r="S244" i="35"/>
  <c r="S245" i="35"/>
  <c r="S246" i="35"/>
  <c r="S247" i="35"/>
  <c r="S248" i="35"/>
  <c r="S249" i="35"/>
  <c r="S250" i="35"/>
  <c r="S251" i="35"/>
  <c r="S252" i="35"/>
  <c r="S253" i="35"/>
  <c r="S254" i="35"/>
  <c r="S255" i="35"/>
  <c r="S256" i="35"/>
  <c r="S257" i="35"/>
  <c r="S258" i="35"/>
  <c r="S259" i="35"/>
  <c r="S260" i="35"/>
  <c r="S261" i="35"/>
  <c r="S262" i="35"/>
  <c r="S263" i="35"/>
  <c r="S264" i="35"/>
  <c r="S265" i="35"/>
  <c r="S266" i="35"/>
  <c r="S267" i="35"/>
  <c r="S268" i="35"/>
  <c r="S269" i="35"/>
  <c r="S270" i="35"/>
  <c r="S271" i="35"/>
  <c r="S272" i="35"/>
  <c r="S273" i="35"/>
  <c r="S274" i="35"/>
  <c r="S275" i="35"/>
  <c r="S276" i="35"/>
  <c r="S277" i="35"/>
  <c r="S278" i="35"/>
  <c r="S279" i="35"/>
  <c r="S280" i="35"/>
  <c r="S281" i="35"/>
  <c r="S282" i="35"/>
  <c r="S283" i="35"/>
  <c r="S284" i="35"/>
  <c r="S285" i="35"/>
  <c r="S286" i="35"/>
  <c r="S287" i="35"/>
  <c r="S288" i="35"/>
  <c r="S289" i="35"/>
  <c r="S290" i="35"/>
  <c r="S291" i="35"/>
  <c r="S292" i="35"/>
  <c r="S293" i="35"/>
  <c r="S294" i="35"/>
  <c r="S295" i="35"/>
  <c r="S296" i="35"/>
  <c r="S297" i="35"/>
  <c r="S298" i="35"/>
  <c r="S299" i="35"/>
  <c r="S300" i="35"/>
  <c r="S301" i="35"/>
  <c r="S302" i="35"/>
  <c r="S303" i="35"/>
  <c r="S304" i="35"/>
  <c r="S305" i="35"/>
  <c r="S306" i="35"/>
  <c r="S307" i="35"/>
  <c r="S308" i="35"/>
  <c r="S309" i="35"/>
  <c r="S310" i="35"/>
  <c r="S311" i="35"/>
  <c r="S312" i="35"/>
  <c r="S313" i="35"/>
  <c r="S314" i="35"/>
  <c r="S315" i="35"/>
  <c r="S316" i="35"/>
  <c r="S317" i="35"/>
  <c r="S318" i="35"/>
  <c r="S319" i="35"/>
  <c r="S320" i="35"/>
  <c r="S321" i="35"/>
  <c r="S322" i="35"/>
  <c r="S323" i="35"/>
  <c r="S324" i="35"/>
  <c r="S325" i="35"/>
  <c r="S326" i="35"/>
  <c r="S327" i="35"/>
  <c r="S328" i="35"/>
  <c r="S329" i="35"/>
  <c r="S330" i="35"/>
  <c r="S331" i="35"/>
  <c r="S332" i="35"/>
  <c r="S333" i="35"/>
  <c r="S334" i="35"/>
  <c r="S335" i="35"/>
  <c r="S336" i="35"/>
  <c r="S337" i="35"/>
  <c r="S338" i="35"/>
  <c r="S339" i="35"/>
  <c r="S340" i="35"/>
  <c r="S341" i="35"/>
  <c r="S342" i="35"/>
  <c r="S343" i="35"/>
  <c r="S344" i="35"/>
  <c r="S345" i="35"/>
  <c r="S346" i="35"/>
  <c r="S347" i="35"/>
  <c r="S348" i="35"/>
  <c r="S349" i="35"/>
  <c r="S350" i="35"/>
  <c r="S351" i="35"/>
  <c r="S352" i="35"/>
  <c r="S353" i="35"/>
  <c r="S354" i="35"/>
  <c r="S355" i="35"/>
  <c r="S356" i="35"/>
  <c r="S357" i="35"/>
  <c r="S358" i="35"/>
  <c r="S359" i="35"/>
  <c r="S360" i="35"/>
  <c r="S361" i="35"/>
  <c r="S362" i="35"/>
  <c r="S363" i="35"/>
  <c r="S364" i="35"/>
  <c r="S365" i="35"/>
  <c r="S366" i="35"/>
  <c r="S367" i="35"/>
  <c r="S368" i="35"/>
  <c r="S369" i="35"/>
  <c r="S370" i="35"/>
  <c r="S371" i="35"/>
  <c r="S372" i="35"/>
  <c r="S373" i="35"/>
  <c r="S374" i="35"/>
  <c r="S375" i="35"/>
  <c r="S376" i="35"/>
  <c r="S377" i="35"/>
  <c r="S378" i="35"/>
  <c r="S379" i="35"/>
  <c r="S380" i="35"/>
  <c r="S381" i="35"/>
  <c r="S382" i="35"/>
  <c r="S383" i="35"/>
  <c r="S384" i="35"/>
  <c r="S385" i="35"/>
  <c r="S386" i="35"/>
  <c r="S387" i="35"/>
  <c r="S388" i="35"/>
  <c r="S389" i="35"/>
  <c r="S390" i="35"/>
  <c r="S391" i="35"/>
  <c r="S392" i="35"/>
  <c r="S393" i="35"/>
  <c r="S394" i="35"/>
  <c r="S395" i="35"/>
  <c r="S396" i="35"/>
  <c r="S397" i="35"/>
  <c r="S398" i="35"/>
  <c r="S399" i="35"/>
  <c r="S400" i="35"/>
  <c r="S401" i="35"/>
  <c r="S402" i="35"/>
  <c r="S403" i="35"/>
  <c r="S404" i="35"/>
  <c r="S405" i="35"/>
  <c r="S406" i="35"/>
  <c r="S407" i="35"/>
  <c r="S408" i="35"/>
  <c r="S409" i="35"/>
  <c r="S410" i="35"/>
  <c r="S411" i="35"/>
  <c r="S412" i="35"/>
  <c r="T6" i="35"/>
  <c r="T7" i="35"/>
  <c r="T8" i="35"/>
  <c r="T9" i="35"/>
  <c r="T10" i="35"/>
  <c r="T11" i="35"/>
  <c r="T12" i="35"/>
  <c r="T13" i="35"/>
  <c r="T14" i="35"/>
  <c r="T15" i="35"/>
  <c r="T16" i="35"/>
  <c r="T17" i="35"/>
  <c r="T18" i="35"/>
  <c r="T19" i="35"/>
  <c r="T20" i="35"/>
  <c r="T21" i="35"/>
  <c r="T22" i="35"/>
  <c r="T23" i="35"/>
  <c r="T24" i="35"/>
  <c r="T25" i="35"/>
  <c r="T26" i="35"/>
  <c r="T27" i="35"/>
  <c r="T28" i="35"/>
  <c r="T29" i="35"/>
  <c r="T30" i="35"/>
  <c r="T31" i="35"/>
  <c r="T32" i="35"/>
  <c r="T33" i="35"/>
  <c r="T34" i="35"/>
  <c r="T35" i="35"/>
  <c r="T36" i="35"/>
  <c r="T37" i="35"/>
  <c r="T38" i="35"/>
  <c r="T39" i="35"/>
  <c r="T40" i="35"/>
  <c r="T41" i="35"/>
  <c r="T42" i="35"/>
  <c r="T43" i="35"/>
  <c r="T44" i="35"/>
  <c r="T45" i="35"/>
  <c r="T46" i="35"/>
  <c r="T47" i="35"/>
  <c r="T48" i="35"/>
  <c r="T49" i="35"/>
  <c r="T50" i="35"/>
  <c r="T51" i="35"/>
  <c r="T52" i="35"/>
  <c r="T53" i="35"/>
  <c r="T54" i="35"/>
  <c r="T55" i="35"/>
  <c r="T56" i="35"/>
  <c r="T57" i="35"/>
  <c r="T58" i="35"/>
  <c r="T59" i="35"/>
  <c r="T60" i="35"/>
  <c r="T61" i="35"/>
  <c r="T62" i="35"/>
  <c r="T63" i="35"/>
  <c r="T64" i="35"/>
  <c r="T65" i="35"/>
  <c r="T66" i="35"/>
  <c r="T67" i="35"/>
  <c r="T68" i="35"/>
  <c r="T69" i="35"/>
  <c r="T70" i="35"/>
  <c r="T71" i="35"/>
  <c r="T72" i="35"/>
  <c r="T73" i="35"/>
  <c r="T74" i="35"/>
  <c r="T75" i="35"/>
  <c r="T76" i="35"/>
  <c r="T77" i="35"/>
  <c r="T78" i="35"/>
  <c r="T79" i="35"/>
  <c r="T80" i="35"/>
  <c r="T81" i="35"/>
  <c r="T82" i="35"/>
  <c r="T83" i="35"/>
  <c r="T84" i="35"/>
  <c r="T85" i="35"/>
  <c r="T86" i="35"/>
  <c r="T87" i="35"/>
  <c r="T88" i="35"/>
  <c r="T89" i="35"/>
  <c r="T90" i="35"/>
  <c r="T91" i="35"/>
  <c r="T92" i="35"/>
  <c r="T93" i="35"/>
  <c r="T94" i="35"/>
  <c r="T95" i="35"/>
  <c r="T96" i="35"/>
  <c r="T97" i="35"/>
  <c r="T98" i="35"/>
  <c r="T99" i="35"/>
  <c r="T100" i="35"/>
  <c r="T101" i="35"/>
  <c r="T102" i="35"/>
  <c r="T103" i="35"/>
  <c r="T104" i="35"/>
  <c r="T105" i="35"/>
  <c r="T106" i="35"/>
  <c r="T107" i="35"/>
  <c r="T108" i="35"/>
  <c r="T109" i="35"/>
  <c r="T110" i="35"/>
  <c r="T111" i="35"/>
  <c r="T112" i="35"/>
  <c r="T113" i="35"/>
  <c r="T114" i="35"/>
  <c r="T115" i="35"/>
  <c r="T116" i="35"/>
  <c r="T117" i="35"/>
  <c r="T118" i="35"/>
  <c r="T119" i="35"/>
  <c r="T120" i="35"/>
  <c r="T121" i="35"/>
  <c r="T122" i="35"/>
  <c r="T123" i="35"/>
  <c r="T124" i="35"/>
  <c r="T125" i="35"/>
  <c r="T126" i="35"/>
  <c r="T127" i="35"/>
  <c r="T128" i="35"/>
  <c r="T129" i="35"/>
  <c r="T130" i="35"/>
  <c r="T131" i="35"/>
  <c r="T132" i="35"/>
  <c r="T133" i="35"/>
  <c r="T134" i="35"/>
  <c r="T135" i="35"/>
  <c r="T136" i="35"/>
  <c r="T137" i="35"/>
  <c r="T138" i="35"/>
  <c r="T139" i="35"/>
  <c r="T140" i="35"/>
  <c r="T141" i="35"/>
  <c r="T142" i="35"/>
  <c r="T143" i="35"/>
  <c r="T144" i="35"/>
  <c r="T145" i="35"/>
  <c r="T146" i="35"/>
  <c r="T147" i="35"/>
  <c r="T148" i="35"/>
  <c r="T149" i="35"/>
  <c r="T150" i="35"/>
  <c r="T151" i="35"/>
  <c r="T152" i="35"/>
  <c r="T153" i="35"/>
  <c r="T154" i="35"/>
  <c r="T155" i="35"/>
  <c r="T156" i="35"/>
  <c r="T157" i="35"/>
  <c r="T158" i="35"/>
  <c r="T159" i="35"/>
  <c r="T160" i="35"/>
  <c r="T161" i="35"/>
  <c r="T162" i="35"/>
  <c r="T163" i="35"/>
  <c r="T164" i="35"/>
  <c r="T165" i="35"/>
  <c r="T166" i="35"/>
  <c r="T167" i="35"/>
  <c r="T168" i="35"/>
  <c r="T169" i="35"/>
  <c r="T170" i="35"/>
  <c r="T171" i="35"/>
  <c r="T172" i="35"/>
  <c r="T173" i="35"/>
  <c r="T174" i="35"/>
  <c r="T175" i="35"/>
  <c r="T176" i="35"/>
  <c r="T177" i="35"/>
  <c r="T178" i="35"/>
  <c r="T179" i="35"/>
  <c r="T180" i="35"/>
  <c r="T181" i="35"/>
  <c r="T182" i="35"/>
  <c r="T183" i="35"/>
  <c r="T184" i="35"/>
  <c r="T185" i="35"/>
  <c r="T186" i="35"/>
  <c r="T187" i="35"/>
  <c r="T188" i="35"/>
  <c r="T189" i="35"/>
  <c r="T190" i="35"/>
  <c r="T191" i="35"/>
  <c r="T192" i="35"/>
  <c r="T193" i="35"/>
  <c r="T194" i="35"/>
  <c r="T195" i="35"/>
  <c r="T196" i="35"/>
  <c r="T197" i="35"/>
  <c r="T198" i="35"/>
  <c r="T199" i="35"/>
  <c r="T200" i="35"/>
  <c r="T201" i="35"/>
  <c r="T202" i="35"/>
  <c r="T203" i="35"/>
  <c r="T204" i="35"/>
  <c r="T205" i="35"/>
  <c r="T206" i="35"/>
  <c r="T207" i="35"/>
  <c r="T208" i="35"/>
  <c r="T209" i="35"/>
  <c r="T210" i="35"/>
  <c r="T211" i="35"/>
  <c r="T212" i="35"/>
  <c r="T213" i="35"/>
  <c r="T214" i="35"/>
  <c r="T215" i="35"/>
  <c r="T216" i="35"/>
  <c r="T217" i="35"/>
  <c r="T218" i="35"/>
  <c r="T219" i="35"/>
  <c r="T220" i="35"/>
  <c r="T221" i="35"/>
  <c r="T222" i="35"/>
  <c r="T223" i="35"/>
  <c r="T224" i="35"/>
  <c r="T225" i="35"/>
  <c r="T226" i="35"/>
  <c r="T227" i="35"/>
  <c r="T228" i="35"/>
  <c r="T229" i="35"/>
  <c r="T230" i="35"/>
  <c r="T231" i="35"/>
  <c r="T232" i="35"/>
  <c r="T233" i="35"/>
  <c r="T234" i="35"/>
  <c r="T235" i="35"/>
  <c r="T236" i="35"/>
  <c r="T237" i="35"/>
  <c r="T238" i="35"/>
  <c r="T239" i="35"/>
  <c r="T240" i="35"/>
  <c r="T241" i="35"/>
  <c r="T242" i="35"/>
  <c r="T243" i="35"/>
  <c r="T244" i="35"/>
  <c r="T245" i="35"/>
  <c r="T246" i="35"/>
  <c r="T247" i="35"/>
  <c r="T248" i="35"/>
  <c r="T249" i="35"/>
  <c r="T250" i="35"/>
  <c r="T251" i="35"/>
  <c r="T252" i="35"/>
  <c r="T253" i="35"/>
  <c r="T254" i="35"/>
  <c r="T255" i="35"/>
  <c r="T256" i="35"/>
  <c r="T257" i="35"/>
  <c r="T258" i="35"/>
  <c r="T259" i="35"/>
  <c r="T260" i="35"/>
  <c r="T261" i="35"/>
  <c r="T262" i="35"/>
  <c r="T263" i="35"/>
  <c r="T264" i="35"/>
  <c r="T265" i="35"/>
  <c r="T266" i="35"/>
  <c r="T267" i="35"/>
  <c r="T268" i="35"/>
  <c r="T269" i="35"/>
  <c r="T270" i="35"/>
  <c r="T271" i="35"/>
  <c r="T272" i="35"/>
  <c r="T273" i="35"/>
  <c r="T274" i="35"/>
  <c r="T275" i="35"/>
  <c r="T276" i="35"/>
  <c r="T277" i="35"/>
  <c r="T278" i="35"/>
  <c r="T279" i="35"/>
  <c r="T280" i="35"/>
  <c r="T281" i="35"/>
  <c r="T282" i="35"/>
  <c r="T283" i="35"/>
  <c r="T284" i="35"/>
  <c r="T285" i="35"/>
  <c r="T286" i="35"/>
  <c r="T287" i="35"/>
  <c r="T288" i="35"/>
  <c r="T289" i="35"/>
  <c r="T290" i="35"/>
  <c r="T291" i="35"/>
  <c r="T292" i="35"/>
  <c r="T293" i="35"/>
  <c r="T294" i="35"/>
  <c r="T295" i="35"/>
  <c r="T296" i="35"/>
  <c r="T297" i="35"/>
  <c r="T298" i="35"/>
  <c r="T299" i="35"/>
  <c r="T300" i="35"/>
  <c r="T301" i="35"/>
  <c r="T302" i="35"/>
  <c r="T303" i="35"/>
  <c r="T304" i="35"/>
  <c r="T305" i="35"/>
  <c r="T306" i="35"/>
  <c r="T307" i="35"/>
  <c r="T308" i="35"/>
  <c r="T309" i="35"/>
  <c r="T310" i="35"/>
  <c r="T311" i="35"/>
  <c r="T312" i="35"/>
  <c r="T313" i="35"/>
  <c r="T314" i="35"/>
  <c r="T315" i="35"/>
  <c r="T316" i="35"/>
  <c r="T317" i="35"/>
  <c r="T318" i="35"/>
  <c r="T319" i="35"/>
  <c r="T320" i="35"/>
  <c r="T321" i="35"/>
  <c r="T322" i="35"/>
  <c r="T323" i="35"/>
  <c r="T324" i="35"/>
  <c r="T325" i="35"/>
  <c r="T326" i="35"/>
  <c r="T327" i="35"/>
  <c r="T328" i="35"/>
  <c r="T329" i="35"/>
  <c r="T330" i="35"/>
  <c r="T331" i="35"/>
  <c r="T332" i="35"/>
  <c r="T333" i="35"/>
  <c r="T334" i="35"/>
  <c r="T335" i="35"/>
  <c r="T336" i="35"/>
  <c r="T337" i="35"/>
  <c r="T338" i="35"/>
  <c r="T339" i="35"/>
  <c r="T340" i="35"/>
  <c r="T341" i="35"/>
  <c r="T342" i="35"/>
  <c r="T343" i="35"/>
  <c r="T344" i="35"/>
  <c r="T345" i="35"/>
  <c r="T346" i="35"/>
  <c r="T347" i="35"/>
  <c r="T348" i="35"/>
  <c r="T349" i="35"/>
  <c r="T350" i="35"/>
  <c r="T351" i="35"/>
  <c r="T352" i="35"/>
  <c r="T353" i="35"/>
  <c r="T354" i="35"/>
  <c r="T355" i="35"/>
  <c r="T356" i="35"/>
  <c r="T357" i="35"/>
  <c r="T358" i="35"/>
  <c r="T359" i="35"/>
  <c r="T360" i="35"/>
  <c r="T361" i="35"/>
  <c r="T362" i="35"/>
  <c r="T363" i="35"/>
  <c r="T364" i="35"/>
  <c r="T365" i="35"/>
  <c r="T366" i="35"/>
  <c r="T367" i="35"/>
  <c r="T368" i="35"/>
  <c r="T369" i="35"/>
  <c r="T370" i="35"/>
  <c r="T371" i="35"/>
  <c r="T372" i="35"/>
  <c r="T373" i="35"/>
  <c r="T374" i="35"/>
  <c r="T375" i="35"/>
  <c r="T376" i="35"/>
  <c r="T377" i="35"/>
  <c r="T378" i="35"/>
  <c r="T379" i="35"/>
  <c r="T380" i="35"/>
  <c r="T381" i="35"/>
  <c r="T382" i="35"/>
  <c r="T383" i="35"/>
  <c r="T384" i="35"/>
  <c r="T385" i="35"/>
  <c r="T386" i="35"/>
  <c r="T387" i="35"/>
  <c r="T388" i="35"/>
  <c r="T389" i="35"/>
  <c r="T390" i="35"/>
  <c r="T391" i="35"/>
  <c r="T392" i="35"/>
  <c r="T393" i="35"/>
  <c r="T394" i="35"/>
  <c r="T395" i="35"/>
  <c r="T396" i="35"/>
  <c r="T397" i="35"/>
  <c r="T398" i="35"/>
  <c r="T399" i="35"/>
  <c r="T400" i="35"/>
  <c r="T401" i="35"/>
  <c r="T402" i="35"/>
  <c r="T403" i="35"/>
  <c r="T404" i="35"/>
  <c r="T405" i="35"/>
  <c r="T406" i="35"/>
  <c r="T407" i="35"/>
  <c r="T408" i="35"/>
  <c r="T409" i="35"/>
  <c r="T410" i="35"/>
  <c r="T411" i="35"/>
  <c r="T412" i="35"/>
  <c r="M6" i="35"/>
  <c r="N6" i="35"/>
  <c r="M7" i="35"/>
  <c r="N7" i="35" s="1"/>
  <c r="O7" i="35" s="1"/>
  <c r="C416" i="35"/>
  <c r="K416" i="35"/>
  <c r="G416" i="35"/>
  <c r="L412" i="35"/>
  <c r="H412" i="35"/>
  <c r="H411" i="35"/>
  <c r="H410" i="35"/>
  <c r="L409" i="35"/>
  <c r="H409" i="35"/>
  <c r="L408" i="35"/>
  <c r="H408" i="35"/>
  <c r="L407" i="35"/>
  <c r="H407" i="35"/>
  <c r="L405" i="35"/>
  <c r="H405" i="35"/>
  <c r="L404" i="35"/>
  <c r="H404" i="35"/>
  <c r="L403" i="35"/>
  <c r="H403" i="35"/>
  <c r="L402" i="35"/>
  <c r="H402" i="35"/>
  <c r="L401" i="35"/>
  <c r="H401" i="35"/>
  <c r="L400" i="35"/>
  <c r="H400" i="35"/>
  <c r="L399" i="35"/>
  <c r="H399" i="35"/>
  <c r="L398" i="35"/>
  <c r="H398" i="35"/>
  <c r="L397" i="35"/>
  <c r="H397" i="35"/>
  <c r="L396" i="35"/>
  <c r="H396" i="35"/>
  <c r="L395" i="35"/>
  <c r="H395" i="35"/>
  <c r="L394" i="35"/>
  <c r="H394" i="35"/>
  <c r="L393" i="35"/>
  <c r="H393" i="35"/>
  <c r="L392" i="35"/>
  <c r="H392" i="35"/>
  <c r="L391" i="35"/>
  <c r="H391" i="35"/>
  <c r="L390" i="35"/>
  <c r="H390" i="35"/>
  <c r="L389" i="35"/>
  <c r="H389" i="35"/>
  <c r="H388" i="35"/>
  <c r="L387" i="35"/>
  <c r="H387" i="35"/>
  <c r="L386" i="35"/>
  <c r="H386" i="35"/>
  <c r="L385" i="35"/>
  <c r="H385" i="35"/>
  <c r="L384" i="35"/>
  <c r="H384" i="35"/>
  <c r="L383" i="35"/>
  <c r="H383" i="35"/>
  <c r="L382" i="35"/>
  <c r="H382" i="35"/>
  <c r="L380" i="35"/>
  <c r="H380" i="35"/>
  <c r="L379" i="35"/>
  <c r="H379" i="35"/>
  <c r="L372" i="35"/>
  <c r="H372" i="35"/>
  <c r="L371" i="35"/>
  <c r="H371" i="35"/>
  <c r="L370" i="35"/>
  <c r="H370" i="35"/>
  <c r="L369" i="35"/>
  <c r="H369" i="35"/>
  <c r="L368" i="35"/>
  <c r="H368" i="35"/>
  <c r="L367" i="35"/>
  <c r="H367" i="35"/>
  <c r="L366" i="35"/>
  <c r="H366" i="35"/>
  <c r="L365" i="35"/>
  <c r="H365" i="35"/>
  <c r="L364" i="35"/>
  <c r="H364" i="35"/>
  <c r="L363" i="35"/>
  <c r="H363" i="35"/>
  <c r="L362" i="35"/>
  <c r="H362" i="35"/>
  <c r="L361" i="35"/>
  <c r="H361" i="35"/>
  <c r="L360" i="35"/>
  <c r="H360" i="35"/>
  <c r="L378" i="35"/>
  <c r="H378" i="35"/>
  <c r="L377" i="35"/>
  <c r="H377" i="35"/>
  <c r="L376" i="35"/>
  <c r="H376" i="35"/>
  <c r="L375" i="35"/>
  <c r="H375" i="35"/>
  <c r="L374" i="35"/>
  <c r="H374" i="35"/>
  <c r="L373" i="35"/>
  <c r="H373" i="35"/>
  <c r="L359" i="35"/>
  <c r="H359" i="35"/>
  <c r="L358" i="35"/>
  <c r="H358" i="35"/>
  <c r="L357" i="35"/>
  <c r="H357" i="35"/>
  <c r="L356" i="35"/>
  <c r="H356" i="35"/>
  <c r="L355" i="35"/>
  <c r="H355" i="35"/>
  <c r="L354" i="35"/>
  <c r="H354" i="35"/>
  <c r="L353" i="35"/>
  <c r="H353" i="35"/>
  <c r="L352" i="35"/>
  <c r="H352" i="35"/>
  <c r="L351" i="35"/>
  <c r="H351" i="35"/>
  <c r="L350" i="35"/>
  <c r="H350" i="35"/>
  <c r="L349" i="35"/>
  <c r="H349" i="35"/>
  <c r="L348" i="35"/>
  <c r="H348" i="35"/>
  <c r="L347" i="35"/>
  <c r="H347" i="35"/>
  <c r="L346" i="35"/>
  <c r="H346" i="35"/>
  <c r="L345" i="35"/>
  <c r="H345" i="35"/>
  <c r="L344" i="35"/>
  <c r="H344" i="35"/>
  <c r="L343" i="35"/>
  <c r="H343" i="35"/>
  <c r="L342" i="35"/>
  <c r="H342" i="35"/>
  <c r="L341" i="35"/>
  <c r="H341" i="35"/>
  <c r="L340" i="35"/>
  <c r="H340" i="35"/>
  <c r="L339" i="35"/>
  <c r="H339" i="35"/>
  <c r="L338" i="35"/>
  <c r="H338" i="35"/>
  <c r="L337" i="35"/>
  <c r="H337" i="35"/>
  <c r="L336" i="35"/>
  <c r="H336" i="35"/>
  <c r="L333" i="35"/>
  <c r="H333" i="35"/>
  <c r="L332" i="35"/>
  <c r="H332" i="35"/>
  <c r="L334" i="35"/>
  <c r="H334" i="35"/>
  <c r="L335" i="35"/>
  <c r="H335" i="35"/>
  <c r="L331" i="35"/>
  <c r="H331" i="35"/>
  <c r="L330" i="35"/>
  <c r="H330" i="35"/>
  <c r="L329" i="35"/>
  <c r="H329" i="35"/>
  <c r="L328" i="35"/>
  <c r="H328" i="35"/>
  <c r="L327" i="35"/>
  <c r="H327" i="35"/>
  <c r="L326" i="35"/>
  <c r="H326" i="35"/>
  <c r="L325" i="35"/>
  <c r="H325" i="35"/>
  <c r="L324" i="35"/>
  <c r="H324" i="35"/>
  <c r="L323" i="35"/>
  <c r="H323" i="35"/>
  <c r="L322" i="35"/>
  <c r="H322" i="35"/>
  <c r="L321" i="35"/>
  <c r="H321" i="35"/>
  <c r="L320" i="35"/>
  <c r="H320" i="35"/>
  <c r="L319" i="35"/>
  <c r="H319" i="35"/>
  <c r="L318" i="35"/>
  <c r="H318" i="35"/>
  <c r="L317" i="35"/>
  <c r="H317" i="35"/>
  <c r="L316" i="35"/>
  <c r="H316" i="35"/>
  <c r="L315" i="35"/>
  <c r="H315" i="35"/>
  <c r="L314" i="35"/>
  <c r="H314" i="35"/>
  <c r="L313" i="35"/>
  <c r="H313" i="35"/>
  <c r="L311" i="35"/>
  <c r="H311" i="35"/>
  <c r="L312" i="35"/>
  <c r="H312" i="35"/>
  <c r="L310" i="35"/>
  <c r="H310" i="35"/>
  <c r="L309" i="35"/>
  <c r="H309" i="35"/>
  <c r="L308" i="35"/>
  <c r="H308" i="35"/>
  <c r="L307" i="35"/>
  <c r="H307" i="35"/>
  <c r="L306" i="35"/>
  <c r="H306" i="35"/>
  <c r="L305" i="35"/>
  <c r="H305" i="35"/>
  <c r="L304" i="35"/>
  <c r="H304" i="35"/>
  <c r="L303" i="35"/>
  <c r="H303" i="35"/>
  <c r="L302" i="35"/>
  <c r="H302" i="35"/>
  <c r="L301" i="35"/>
  <c r="H301" i="35"/>
  <c r="L300" i="35"/>
  <c r="H300" i="35"/>
  <c r="L299" i="35"/>
  <c r="H299" i="35"/>
  <c r="L298" i="35"/>
  <c r="H298" i="35"/>
  <c r="L297" i="35"/>
  <c r="H297" i="35"/>
  <c r="L296" i="35"/>
  <c r="H296" i="35"/>
  <c r="L295" i="35"/>
  <c r="H295" i="35"/>
  <c r="L294" i="35"/>
  <c r="H294" i="35"/>
  <c r="L293" i="35"/>
  <c r="H293" i="35"/>
  <c r="L292" i="35"/>
  <c r="H292" i="35"/>
  <c r="L291" i="35"/>
  <c r="H291" i="35"/>
  <c r="L290" i="35"/>
  <c r="H290" i="35"/>
  <c r="L289" i="35"/>
  <c r="H289" i="35"/>
  <c r="L288" i="35"/>
  <c r="H288" i="35"/>
  <c r="L287" i="35"/>
  <c r="H287" i="35"/>
  <c r="L286" i="35"/>
  <c r="H286" i="35"/>
  <c r="L285" i="35"/>
  <c r="H285" i="35"/>
  <c r="L284" i="35"/>
  <c r="H284" i="35"/>
  <c r="L283" i="35"/>
  <c r="H283" i="35"/>
  <c r="L282" i="35"/>
  <c r="H282" i="35"/>
  <c r="L281" i="35"/>
  <c r="H281" i="35"/>
  <c r="L280" i="35"/>
  <c r="H280" i="35"/>
  <c r="L279" i="35"/>
  <c r="H279" i="35"/>
  <c r="H278" i="35"/>
  <c r="L277" i="35"/>
  <c r="H277" i="35"/>
  <c r="H276" i="35"/>
  <c r="L275" i="35"/>
  <c r="H275" i="35"/>
  <c r="L274" i="35"/>
  <c r="H274" i="35"/>
  <c r="L273" i="35"/>
  <c r="H273" i="35"/>
  <c r="L272" i="35"/>
  <c r="H272" i="35"/>
  <c r="L271" i="35"/>
  <c r="H271" i="35"/>
  <c r="L270" i="35"/>
  <c r="H270" i="35"/>
  <c r="L269" i="35"/>
  <c r="H269" i="35"/>
  <c r="L268" i="35"/>
  <c r="H268" i="35"/>
  <c r="L267" i="35"/>
  <c r="H267" i="35"/>
  <c r="L266" i="35"/>
  <c r="H266" i="35"/>
  <c r="L265" i="35"/>
  <c r="H265" i="35"/>
  <c r="L264" i="35"/>
  <c r="H264" i="35"/>
  <c r="L263" i="35"/>
  <c r="H263" i="35"/>
  <c r="L262" i="35"/>
  <c r="H262" i="35"/>
  <c r="L261" i="35"/>
  <c r="H261" i="35"/>
  <c r="L260" i="35"/>
  <c r="H260" i="35"/>
  <c r="L259" i="35"/>
  <c r="H259" i="35"/>
  <c r="L258" i="35"/>
  <c r="H258" i="35"/>
  <c r="L257" i="35"/>
  <c r="H257" i="35"/>
  <c r="L256" i="35"/>
  <c r="H256" i="35"/>
  <c r="L255" i="35"/>
  <c r="H255" i="35"/>
  <c r="L254" i="35"/>
  <c r="H254" i="35"/>
  <c r="L253" i="35"/>
  <c r="H253" i="35"/>
  <c r="L252" i="35"/>
  <c r="H252" i="35"/>
  <c r="L251" i="35"/>
  <c r="H251" i="35"/>
  <c r="L250" i="35"/>
  <c r="H250" i="35"/>
  <c r="L249" i="35"/>
  <c r="H249" i="35"/>
  <c r="L248" i="35"/>
  <c r="H248" i="35"/>
  <c r="L247" i="35"/>
  <c r="H247" i="35"/>
  <c r="L246" i="35"/>
  <c r="H246" i="35"/>
  <c r="L245" i="35"/>
  <c r="H245" i="35"/>
  <c r="L244" i="35"/>
  <c r="H244" i="35"/>
  <c r="L243" i="35"/>
  <c r="H243" i="35"/>
  <c r="L242" i="35"/>
  <c r="H242" i="35"/>
  <c r="L241" i="35"/>
  <c r="H241" i="35"/>
  <c r="L240" i="35"/>
  <c r="H240" i="35"/>
  <c r="L239" i="35"/>
  <c r="H239" i="35"/>
  <c r="L238" i="35"/>
  <c r="H238" i="35"/>
  <c r="L237" i="35"/>
  <c r="H237" i="35"/>
  <c r="L236" i="35"/>
  <c r="H236" i="35"/>
  <c r="L235" i="35"/>
  <c r="H235" i="35"/>
  <c r="L234" i="35"/>
  <c r="H234" i="35"/>
  <c r="L233" i="35"/>
  <c r="H233" i="35"/>
  <c r="L232" i="35"/>
  <c r="H232" i="35"/>
  <c r="L231" i="35"/>
  <c r="H231" i="35"/>
  <c r="L230" i="35"/>
  <c r="H230" i="35"/>
  <c r="L229" i="35"/>
  <c r="H229" i="35"/>
  <c r="L228" i="35"/>
  <c r="H228" i="35"/>
  <c r="L227" i="35"/>
  <c r="H227" i="35"/>
  <c r="L226" i="35"/>
  <c r="H226" i="35"/>
  <c r="L225" i="35"/>
  <c r="H225" i="35"/>
  <c r="L224" i="35"/>
  <c r="H224" i="35"/>
  <c r="L223" i="35"/>
  <c r="H223" i="35"/>
  <c r="L222" i="35"/>
  <c r="H222" i="35"/>
  <c r="L221" i="35"/>
  <c r="H221" i="35"/>
  <c r="L220" i="35"/>
  <c r="H220" i="35"/>
  <c r="L219" i="35"/>
  <c r="H219" i="35"/>
  <c r="L218" i="35"/>
  <c r="H218" i="35"/>
  <c r="L217" i="35"/>
  <c r="H217" i="35"/>
  <c r="L216" i="35"/>
  <c r="H216" i="35"/>
  <c r="L215" i="35"/>
  <c r="H215" i="35"/>
  <c r="L214" i="35"/>
  <c r="H214" i="35"/>
  <c r="L213" i="35"/>
  <c r="H213" i="35"/>
  <c r="L212" i="35"/>
  <c r="H212" i="35"/>
  <c r="L211" i="35"/>
  <c r="H211" i="35"/>
  <c r="L210" i="35"/>
  <c r="H210" i="35"/>
  <c r="L209" i="35"/>
  <c r="H209" i="35"/>
  <c r="L208" i="35"/>
  <c r="H208" i="35"/>
  <c r="L207" i="35"/>
  <c r="H207" i="35"/>
  <c r="L206" i="35"/>
  <c r="H206" i="35"/>
  <c r="L205" i="35"/>
  <c r="H205" i="35"/>
  <c r="L204" i="35"/>
  <c r="H204" i="35"/>
  <c r="L203" i="35"/>
  <c r="H203" i="35"/>
  <c r="L202" i="35"/>
  <c r="H202" i="35"/>
  <c r="L201" i="35"/>
  <c r="H201" i="35"/>
  <c r="L200" i="35"/>
  <c r="H200" i="35"/>
  <c r="L199" i="35"/>
  <c r="H199" i="35"/>
  <c r="H198" i="35"/>
  <c r="L197" i="35"/>
  <c r="H197" i="35"/>
  <c r="L196" i="35"/>
  <c r="H196" i="35"/>
  <c r="L195" i="35"/>
  <c r="H195" i="35"/>
  <c r="L194" i="35"/>
  <c r="H194" i="35"/>
  <c r="L193" i="35"/>
  <c r="H193" i="35"/>
  <c r="L192" i="35"/>
  <c r="H192" i="35"/>
  <c r="L191" i="35"/>
  <c r="H191" i="35"/>
  <c r="L190" i="35"/>
  <c r="H190" i="35"/>
  <c r="L189" i="35"/>
  <c r="H189" i="35"/>
  <c r="L188" i="35"/>
  <c r="H188" i="35"/>
  <c r="L187" i="35"/>
  <c r="H187" i="35"/>
  <c r="L186" i="35"/>
  <c r="H186" i="35"/>
  <c r="L185" i="35"/>
  <c r="H185" i="35"/>
  <c r="L184" i="35"/>
  <c r="H184" i="35"/>
  <c r="L183" i="35"/>
  <c r="H183" i="35"/>
  <c r="L182" i="35"/>
  <c r="H182" i="35"/>
  <c r="L181" i="35"/>
  <c r="H181" i="35"/>
  <c r="L180" i="35"/>
  <c r="H180" i="35"/>
  <c r="L179" i="35"/>
  <c r="H179" i="35"/>
  <c r="L178" i="35"/>
  <c r="H178" i="35"/>
  <c r="L177" i="35"/>
  <c r="H177" i="35"/>
  <c r="L176" i="35"/>
  <c r="H176" i="35"/>
  <c r="L175" i="35"/>
  <c r="H175" i="35"/>
  <c r="L174" i="35"/>
  <c r="H174" i="35"/>
  <c r="L173" i="35"/>
  <c r="H173" i="35"/>
  <c r="L172" i="35"/>
  <c r="H172" i="35"/>
  <c r="L171" i="35"/>
  <c r="H171" i="35"/>
  <c r="L170" i="35"/>
  <c r="H170" i="35"/>
  <c r="L169" i="35"/>
  <c r="H169" i="35"/>
  <c r="L168" i="35"/>
  <c r="H168" i="35"/>
  <c r="L167" i="35"/>
  <c r="H167" i="35"/>
  <c r="L166" i="35"/>
  <c r="H166" i="35"/>
  <c r="L165" i="35"/>
  <c r="H165" i="35"/>
  <c r="L164" i="35"/>
  <c r="H164" i="35"/>
  <c r="L163" i="35"/>
  <c r="H163" i="35"/>
  <c r="L162" i="35"/>
  <c r="H162" i="35"/>
  <c r="L161" i="35"/>
  <c r="H161" i="35"/>
  <c r="L160" i="35"/>
  <c r="H160" i="35"/>
  <c r="L159" i="35"/>
  <c r="H159" i="35"/>
  <c r="L158" i="35"/>
  <c r="H158" i="35"/>
  <c r="L156" i="35"/>
  <c r="H156" i="35"/>
  <c r="L155" i="35"/>
  <c r="H155" i="35"/>
  <c r="L154" i="35"/>
  <c r="H154" i="35"/>
  <c r="L153" i="35"/>
  <c r="H153" i="35"/>
  <c r="H152" i="35"/>
  <c r="L151" i="35"/>
  <c r="H151" i="35"/>
  <c r="L150" i="35"/>
  <c r="H150" i="35"/>
  <c r="H149" i="35"/>
  <c r="L148" i="35"/>
  <c r="H148" i="35"/>
  <c r="L147" i="35"/>
  <c r="H147" i="35"/>
  <c r="L146" i="35"/>
  <c r="H146" i="35"/>
  <c r="H145" i="35"/>
  <c r="L144" i="35"/>
  <c r="H144" i="35"/>
  <c r="L143" i="35"/>
  <c r="H143" i="35"/>
  <c r="L142" i="35"/>
  <c r="H142" i="35"/>
  <c r="L141" i="35"/>
  <c r="H141" i="35"/>
  <c r="L140" i="35"/>
  <c r="H140" i="35"/>
  <c r="L139" i="35"/>
  <c r="H139" i="35"/>
  <c r="H138" i="35"/>
  <c r="H137" i="35"/>
  <c r="L136" i="35"/>
  <c r="H136" i="35"/>
  <c r="L135" i="35"/>
  <c r="H135" i="35"/>
  <c r="H134" i="35"/>
  <c r="L133" i="35"/>
  <c r="H133" i="35"/>
  <c r="L132" i="35"/>
  <c r="H132" i="35"/>
  <c r="L131" i="35"/>
  <c r="H131" i="35"/>
  <c r="L130" i="35"/>
  <c r="L129" i="35"/>
  <c r="H129" i="35"/>
  <c r="L128" i="35"/>
  <c r="H128" i="35"/>
  <c r="L127" i="35"/>
  <c r="H127" i="35"/>
  <c r="L126" i="35"/>
  <c r="H126" i="35"/>
  <c r="L125" i="35"/>
  <c r="H125" i="35"/>
  <c r="L124" i="35"/>
  <c r="H124" i="35"/>
  <c r="L123" i="35"/>
  <c r="H123" i="35"/>
  <c r="L122" i="35"/>
  <c r="H122" i="35"/>
  <c r="L121" i="35"/>
  <c r="H121" i="35"/>
  <c r="L120" i="35"/>
  <c r="H120" i="35"/>
  <c r="L119" i="35"/>
  <c r="H119" i="35"/>
  <c r="L118" i="35"/>
  <c r="H118" i="35"/>
  <c r="L117" i="35"/>
  <c r="H117" i="35"/>
  <c r="L115" i="35"/>
  <c r="H115" i="35"/>
  <c r="L114" i="35"/>
  <c r="H114" i="35"/>
  <c r="L113" i="35"/>
  <c r="H113" i="35"/>
  <c r="L112" i="35"/>
  <c r="H112" i="35"/>
  <c r="L111" i="35"/>
  <c r="H111" i="35"/>
  <c r="L110" i="35"/>
  <c r="H110" i="35"/>
  <c r="L109" i="35"/>
  <c r="H109" i="35"/>
  <c r="L108" i="35"/>
  <c r="H108" i="35"/>
  <c r="L107" i="35"/>
  <c r="H107" i="35"/>
  <c r="L106" i="35"/>
  <c r="H106" i="35"/>
  <c r="L105" i="35"/>
  <c r="H105" i="35"/>
  <c r="L104" i="35"/>
  <c r="H104" i="35"/>
  <c r="L103" i="35"/>
  <c r="H103" i="35"/>
  <c r="L102" i="35"/>
  <c r="H102" i="35"/>
  <c r="L101" i="35"/>
  <c r="H101" i="35"/>
  <c r="L100" i="35"/>
  <c r="H100" i="35"/>
  <c r="L99" i="35"/>
  <c r="H99" i="35"/>
  <c r="L98" i="35"/>
  <c r="H98" i="35"/>
  <c r="L97" i="35"/>
  <c r="H97" i="35"/>
  <c r="L96" i="35"/>
  <c r="H96" i="35"/>
  <c r="L95" i="35"/>
  <c r="H95" i="35"/>
  <c r="L93" i="35"/>
  <c r="H93" i="35"/>
  <c r="L92" i="35"/>
  <c r="H92" i="35"/>
  <c r="L91" i="35"/>
  <c r="H91" i="35"/>
  <c r="L90" i="35"/>
  <c r="H90" i="35"/>
  <c r="L89" i="35"/>
  <c r="H89" i="35"/>
  <c r="L88" i="35"/>
  <c r="H88" i="35"/>
  <c r="H87" i="35"/>
  <c r="L86" i="35"/>
  <c r="H86" i="35"/>
  <c r="L85" i="35"/>
  <c r="H85" i="35"/>
  <c r="L84" i="35"/>
  <c r="H84" i="35"/>
  <c r="H83" i="35"/>
  <c r="L82" i="35"/>
  <c r="H82" i="35"/>
  <c r="L81" i="35"/>
  <c r="H81" i="35"/>
  <c r="L80" i="35"/>
  <c r="H80" i="35"/>
  <c r="L79" i="35"/>
  <c r="H79" i="35"/>
  <c r="L78" i="35"/>
  <c r="H78" i="35"/>
  <c r="L77" i="35"/>
  <c r="H77" i="35"/>
  <c r="L76" i="35"/>
  <c r="H76" i="35"/>
  <c r="H75" i="35"/>
  <c r="L74" i="35"/>
  <c r="H74" i="35"/>
  <c r="L72" i="35"/>
  <c r="H72" i="35"/>
  <c r="L73" i="35"/>
  <c r="H73" i="35"/>
  <c r="L71" i="35"/>
  <c r="H71" i="35"/>
  <c r="L70" i="35"/>
  <c r="H70" i="35"/>
  <c r="L69" i="35"/>
  <c r="H69" i="35"/>
  <c r="L68" i="35"/>
  <c r="H68" i="35"/>
  <c r="L67" i="35"/>
  <c r="H67" i="35"/>
  <c r="L66" i="35"/>
  <c r="H66" i="35"/>
  <c r="L65" i="35"/>
  <c r="H65" i="35"/>
  <c r="L64" i="35"/>
  <c r="H64" i="35"/>
  <c r="L63" i="35"/>
  <c r="H63" i="35"/>
  <c r="L62" i="35"/>
  <c r="H62" i="35"/>
  <c r="L61" i="35"/>
  <c r="H61" i="35"/>
  <c r="L60" i="35"/>
  <c r="H60" i="35"/>
  <c r="L59" i="35"/>
  <c r="H59" i="35"/>
  <c r="L58" i="35"/>
  <c r="H58" i="35"/>
  <c r="L57" i="35"/>
  <c r="H57" i="35"/>
  <c r="L56" i="35"/>
  <c r="H56" i="35"/>
  <c r="L55" i="35"/>
  <c r="H55" i="35"/>
  <c r="L54" i="35"/>
  <c r="H54" i="35"/>
  <c r="L53" i="35"/>
  <c r="H53" i="35"/>
  <c r="L52" i="35"/>
  <c r="H52" i="35"/>
  <c r="L51" i="35"/>
  <c r="H51" i="35"/>
  <c r="L50" i="35"/>
  <c r="H50" i="35"/>
  <c r="L49" i="35"/>
  <c r="H49" i="35"/>
  <c r="L48" i="35"/>
  <c r="H48" i="35"/>
  <c r="L47" i="35"/>
  <c r="H47" i="35"/>
  <c r="L46" i="35"/>
  <c r="H46" i="35"/>
  <c r="L45" i="35"/>
  <c r="H45" i="35"/>
  <c r="L44" i="35"/>
  <c r="H44" i="35"/>
  <c r="L43" i="35"/>
  <c r="H43" i="35"/>
  <c r="L42" i="35"/>
  <c r="H42" i="35"/>
  <c r="L41" i="35"/>
  <c r="H41" i="35"/>
  <c r="L40" i="35"/>
  <c r="H40" i="35"/>
  <c r="H39" i="35"/>
  <c r="L38" i="35"/>
  <c r="H38" i="35"/>
  <c r="L37" i="35"/>
  <c r="H37" i="35"/>
  <c r="L36" i="35"/>
  <c r="H36" i="35"/>
  <c r="L35" i="35"/>
  <c r="H35" i="35"/>
  <c r="L34" i="35"/>
  <c r="H34" i="35"/>
  <c r="L33" i="35"/>
  <c r="H33" i="35"/>
  <c r="L32" i="35"/>
  <c r="H32" i="35"/>
  <c r="L31" i="35"/>
  <c r="H31" i="35"/>
  <c r="L30" i="35"/>
  <c r="H30" i="35"/>
  <c r="L29" i="35"/>
  <c r="H29" i="35"/>
  <c r="L28" i="35"/>
  <c r="H28" i="35"/>
  <c r="L27" i="35"/>
  <c r="H27" i="35"/>
  <c r="L26" i="35"/>
  <c r="H26" i="35"/>
  <c r="L25" i="35"/>
  <c r="H25" i="35"/>
  <c r="H24" i="35"/>
  <c r="H23" i="35"/>
  <c r="H22" i="35"/>
  <c r="L20" i="35"/>
  <c r="H20" i="35"/>
  <c r="L19" i="35"/>
  <c r="H19" i="35"/>
  <c r="L18" i="35"/>
  <c r="H18" i="35"/>
  <c r="L16" i="35"/>
  <c r="H16" i="35"/>
  <c r="L14" i="35"/>
  <c r="H14" i="35"/>
  <c r="L13" i="35"/>
  <c r="H13" i="35"/>
  <c r="L12" i="35"/>
  <c r="H12" i="35"/>
  <c r="L11" i="35"/>
  <c r="H11" i="35"/>
  <c r="L10" i="35"/>
  <c r="H10" i="35"/>
  <c r="L9" i="35"/>
  <c r="H9" i="35"/>
  <c r="L8" i="35"/>
  <c r="H8" i="35"/>
  <c r="L7" i="35"/>
  <c r="H7" i="35"/>
  <c r="L6" i="35"/>
  <c r="H6" i="35"/>
  <c r="M7" i="25"/>
  <c r="N7" i="25"/>
  <c r="O7" i="25" s="1"/>
  <c r="M6" i="25"/>
  <c r="H94" i="34"/>
  <c r="L94" i="34"/>
  <c r="S6" i="34"/>
  <c r="S398" i="34" s="1"/>
  <c r="C399" i="34" s="1"/>
  <c r="M6" i="34"/>
  <c r="N6" i="34" s="1"/>
  <c r="M7" i="34"/>
  <c r="N7" i="34"/>
  <c r="O7" i="34" s="1"/>
  <c r="T6" i="34"/>
  <c r="C398" i="34"/>
  <c r="K398" i="34"/>
  <c r="G398" i="34"/>
  <c r="H397" i="34"/>
  <c r="L396" i="34"/>
  <c r="H396" i="34"/>
  <c r="H395" i="34"/>
  <c r="L394" i="34"/>
  <c r="H394" i="34"/>
  <c r="H393" i="34"/>
  <c r="H392" i="34"/>
  <c r="L391" i="34"/>
  <c r="H391" i="34"/>
  <c r="L390" i="34"/>
  <c r="H390" i="34"/>
  <c r="H388" i="34"/>
  <c r="L389" i="34"/>
  <c r="H389" i="34"/>
  <c r="L387" i="34"/>
  <c r="H387" i="34"/>
  <c r="L386" i="34"/>
  <c r="H386" i="34"/>
  <c r="L385" i="34"/>
  <c r="H385" i="34"/>
  <c r="L384" i="34"/>
  <c r="H384" i="34"/>
  <c r="L383" i="34"/>
  <c r="H383" i="34"/>
  <c r="L382" i="34"/>
  <c r="H382" i="34"/>
  <c r="L381" i="34"/>
  <c r="H381" i="34"/>
  <c r="L380" i="34"/>
  <c r="H380" i="34"/>
  <c r="L379" i="34"/>
  <c r="H379" i="34"/>
  <c r="L378" i="34"/>
  <c r="H378" i="34"/>
  <c r="L377" i="34"/>
  <c r="H377" i="34"/>
  <c r="L376" i="34"/>
  <c r="H376" i="34"/>
  <c r="L374" i="34"/>
  <c r="H374" i="34"/>
  <c r="L373" i="34"/>
  <c r="H373" i="34"/>
  <c r="L372" i="34"/>
  <c r="H372" i="34"/>
  <c r="H371" i="34"/>
  <c r="L370" i="34"/>
  <c r="H370" i="34"/>
  <c r="L369" i="34"/>
  <c r="H369" i="34"/>
  <c r="L368" i="34"/>
  <c r="H368" i="34"/>
  <c r="L367" i="34"/>
  <c r="H367" i="34"/>
  <c r="L366" i="34"/>
  <c r="H366" i="34"/>
  <c r="L365" i="34"/>
  <c r="H365" i="34"/>
  <c r="H364" i="34"/>
  <c r="L363" i="34"/>
  <c r="H363" i="34"/>
  <c r="L362" i="34"/>
  <c r="H362" i="34"/>
  <c r="L355" i="34"/>
  <c r="H355" i="34"/>
  <c r="L354" i="34"/>
  <c r="H354" i="34"/>
  <c r="L353" i="34"/>
  <c r="H353" i="34"/>
  <c r="L352" i="34"/>
  <c r="H352" i="34"/>
  <c r="L351" i="34"/>
  <c r="H351" i="34"/>
  <c r="L350" i="34"/>
  <c r="H350" i="34"/>
  <c r="L349" i="34"/>
  <c r="H349" i="34"/>
  <c r="L348" i="34"/>
  <c r="H348" i="34"/>
  <c r="L347" i="34"/>
  <c r="H347" i="34"/>
  <c r="L346" i="34"/>
  <c r="H346" i="34"/>
  <c r="L345" i="34"/>
  <c r="H345" i="34"/>
  <c r="L344" i="34"/>
  <c r="H344" i="34"/>
  <c r="L343" i="34"/>
  <c r="H343" i="34"/>
  <c r="L361" i="34"/>
  <c r="H361" i="34"/>
  <c r="L360" i="34"/>
  <c r="H360" i="34"/>
  <c r="L359" i="34"/>
  <c r="H359" i="34"/>
  <c r="L358" i="34"/>
  <c r="H358" i="34"/>
  <c r="L357" i="34"/>
  <c r="H357" i="34"/>
  <c r="L356" i="34"/>
  <c r="H356" i="34"/>
  <c r="L342" i="34"/>
  <c r="H342" i="34"/>
  <c r="L341" i="34"/>
  <c r="H341" i="34"/>
  <c r="L340" i="34"/>
  <c r="H340" i="34"/>
  <c r="L339" i="34"/>
  <c r="H339" i="34"/>
  <c r="L338" i="34"/>
  <c r="H338" i="34"/>
  <c r="L337" i="34"/>
  <c r="H337" i="34"/>
  <c r="L336" i="34"/>
  <c r="H336" i="34"/>
  <c r="L335" i="34"/>
  <c r="H335" i="34"/>
  <c r="L334" i="34"/>
  <c r="H334" i="34"/>
  <c r="L333" i="34"/>
  <c r="H333" i="34"/>
  <c r="L332" i="34"/>
  <c r="H332" i="34"/>
  <c r="L331" i="34"/>
  <c r="H331" i="34"/>
  <c r="L330" i="34"/>
  <c r="H330" i="34"/>
  <c r="L329" i="34"/>
  <c r="H329" i="34"/>
  <c r="L328" i="34"/>
  <c r="H328" i="34"/>
  <c r="L327" i="34"/>
  <c r="H327" i="34"/>
  <c r="H326" i="34"/>
  <c r="L325" i="34"/>
  <c r="H325" i="34"/>
  <c r="L324" i="34"/>
  <c r="H324" i="34"/>
  <c r="L323" i="34"/>
  <c r="H323" i="34"/>
  <c r="L322" i="34"/>
  <c r="H322" i="34"/>
  <c r="L321" i="34"/>
  <c r="H321" i="34"/>
  <c r="L320" i="34"/>
  <c r="H320" i="34"/>
  <c r="L319" i="34"/>
  <c r="H319" i="34"/>
  <c r="L316" i="34"/>
  <c r="H316" i="34"/>
  <c r="L315" i="34"/>
  <c r="H315" i="34"/>
  <c r="L317" i="34"/>
  <c r="H317" i="34"/>
  <c r="L318" i="34"/>
  <c r="H318" i="34"/>
  <c r="L314" i="34"/>
  <c r="H314" i="34"/>
  <c r="L313" i="34"/>
  <c r="H313" i="34"/>
  <c r="L312" i="34"/>
  <c r="H312" i="34"/>
  <c r="L311" i="34"/>
  <c r="H311" i="34"/>
  <c r="L310" i="34"/>
  <c r="H310" i="34"/>
  <c r="L309" i="34"/>
  <c r="H309" i="34"/>
  <c r="L308" i="34"/>
  <c r="H308" i="34"/>
  <c r="L307" i="34"/>
  <c r="H307" i="34"/>
  <c r="L306" i="34"/>
  <c r="H306" i="34"/>
  <c r="L305" i="34"/>
  <c r="H305" i="34"/>
  <c r="L304" i="34"/>
  <c r="H304" i="34"/>
  <c r="L303" i="34"/>
  <c r="H303" i="34"/>
  <c r="L302" i="34"/>
  <c r="H302" i="34"/>
  <c r="L301" i="34"/>
  <c r="H301" i="34"/>
  <c r="L300" i="34"/>
  <c r="H300" i="34"/>
  <c r="L299" i="34"/>
  <c r="H299" i="34"/>
  <c r="L298" i="34"/>
  <c r="H298" i="34"/>
  <c r="L297" i="34"/>
  <c r="H297" i="34"/>
  <c r="L296" i="34"/>
  <c r="H296" i="34"/>
  <c r="L294" i="34"/>
  <c r="H294" i="34"/>
  <c r="L295" i="34"/>
  <c r="H295" i="34"/>
  <c r="L293" i="34"/>
  <c r="H293" i="34"/>
  <c r="L292" i="34"/>
  <c r="H292" i="34"/>
  <c r="L291" i="34"/>
  <c r="H291" i="34"/>
  <c r="L290" i="34"/>
  <c r="H290" i="34"/>
  <c r="L289" i="34"/>
  <c r="H289" i="34"/>
  <c r="L288" i="34"/>
  <c r="H288" i="34"/>
  <c r="L287" i="34"/>
  <c r="H287" i="34"/>
  <c r="L286" i="34"/>
  <c r="H286" i="34"/>
  <c r="L285" i="34"/>
  <c r="H285" i="34"/>
  <c r="L284" i="34"/>
  <c r="H284" i="34"/>
  <c r="L283" i="34"/>
  <c r="H283" i="34"/>
  <c r="L282" i="34"/>
  <c r="H282" i="34"/>
  <c r="L281" i="34"/>
  <c r="H281" i="34"/>
  <c r="L280" i="34"/>
  <c r="H280" i="34"/>
  <c r="L279" i="34"/>
  <c r="H279" i="34"/>
  <c r="L278" i="34"/>
  <c r="H278" i="34"/>
  <c r="L277" i="34"/>
  <c r="H277" i="34"/>
  <c r="L276" i="34"/>
  <c r="H276" i="34"/>
  <c r="L275" i="34"/>
  <c r="H275" i="34"/>
  <c r="L274" i="34"/>
  <c r="H274" i="34"/>
  <c r="L273" i="34"/>
  <c r="H273" i="34"/>
  <c r="L272" i="34"/>
  <c r="H272" i="34"/>
  <c r="L271" i="34"/>
  <c r="H271" i="34"/>
  <c r="L270" i="34"/>
  <c r="H270" i="34"/>
  <c r="L269" i="34"/>
  <c r="H269" i="34"/>
  <c r="L268" i="34"/>
  <c r="H268" i="34"/>
  <c r="L267" i="34"/>
  <c r="H267" i="34"/>
  <c r="L266" i="34"/>
  <c r="H266" i="34"/>
  <c r="L265" i="34"/>
  <c r="H265" i="34"/>
  <c r="L264" i="34"/>
  <c r="H264" i="34"/>
  <c r="L263" i="34"/>
  <c r="H263" i="34"/>
  <c r="L262" i="34"/>
  <c r="H262" i="34"/>
  <c r="H261" i="34"/>
  <c r="L260" i="34"/>
  <c r="H260" i="34"/>
  <c r="H259" i="34"/>
  <c r="L258" i="34"/>
  <c r="H258" i="34"/>
  <c r="L257" i="34"/>
  <c r="H257" i="34"/>
  <c r="L256" i="34"/>
  <c r="H256" i="34"/>
  <c r="L255" i="34"/>
  <c r="H255" i="34"/>
  <c r="L254" i="34"/>
  <c r="H254" i="34"/>
  <c r="L253" i="34"/>
  <c r="H253" i="34"/>
  <c r="L252" i="34"/>
  <c r="H252" i="34"/>
  <c r="L251" i="34"/>
  <c r="H251" i="34"/>
  <c r="L250" i="34"/>
  <c r="H250" i="34"/>
  <c r="L249" i="34"/>
  <c r="H249" i="34"/>
  <c r="L248" i="34"/>
  <c r="H248" i="34"/>
  <c r="L247" i="34"/>
  <c r="H247" i="34"/>
  <c r="L246" i="34"/>
  <c r="H246" i="34"/>
  <c r="L245" i="34"/>
  <c r="H245" i="34"/>
  <c r="L244" i="34"/>
  <c r="H244" i="34"/>
  <c r="L243" i="34"/>
  <c r="H243" i="34"/>
  <c r="L242" i="34"/>
  <c r="H242" i="34"/>
  <c r="L241" i="34"/>
  <c r="H241" i="34"/>
  <c r="L240" i="34"/>
  <c r="H240" i="34"/>
  <c r="L239" i="34"/>
  <c r="H239" i="34"/>
  <c r="L238" i="34"/>
  <c r="H238" i="34"/>
  <c r="L237" i="34"/>
  <c r="H237" i="34"/>
  <c r="L236" i="34"/>
  <c r="H236" i="34"/>
  <c r="L235" i="34"/>
  <c r="H235" i="34"/>
  <c r="L234" i="34"/>
  <c r="H234" i="34"/>
  <c r="H233" i="34"/>
  <c r="L232" i="34"/>
  <c r="H232" i="34"/>
  <c r="L231" i="34"/>
  <c r="H231" i="34"/>
  <c r="L230" i="34"/>
  <c r="H230" i="34"/>
  <c r="L229" i="34"/>
  <c r="H229" i="34"/>
  <c r="L228" i="34"/>
  <c r="H228" i="34"/>
  <c r="L227" i="34"/>
  <c r="H227" i="34"/>
  <c r="L226" i="34"/>
  <c r="H226" i="34"/>
  <c r="L225" i="34"/>
  <c r="H225" i="34"/>
  <c r="L224" i="34"/>
  <c r="H224" i="34"/>
  <c r="L223" i="34"/>
  <c r="H223" i="34"/>
  <c r="L222" i="34"/>
  <c r="H222" i="34"/>
  <c r="L221" i="34"/>
  <c r="H221" i="34"/>
  <c r="L220" i="34"/>
  <c r="H220" i="34"/>
  <c r="L219" i="34"/>
  <c r="H219" i="34"/>
  <c r="L218" i="34"/>
  <c r="H218" i="34"/>
  <c r="L217" i="34"/>
  <c r="H217" i="34"/>
  <c r="L216" i="34"/>
  <c r="H216" i="34"/>
  <c r="L215" i="34"/>
  <c r="H215" i="34"/>
  <c r="L214" i="34"/>
  <c r="H214" i="34"/>
  <c r="L213" i="34"/>
  <c r="H213" i="34"/>
  <c r="L212" i="34"/>
  <c r="H212" i="34"/>
  <c r="L211" i="34"/>
  <c r="H211" i="34"/>
  <c r="L210" i="34"/>
  <c r="H210" i="34"/>
  <c r="L209" i="34"/>
  <c r="H209" i="34"/>
  <c r="L208" i="34"/>
  <c r="H208" i="34"/>
  <c r="L207" i="34"/>
  <c r="H207" i="34"/>
  <c r="L206" i="34"/>
  <c r="H206" i="34"/>
  <c r="L205" i="34"/>
  <c r="H205" i="34"/>
  <c r="L204" i="34"/>
  <c r="H204" i="34"/>
  <c r="L203" i="34"/>
  <c r="H203" i="34"/>
  <c r="L202" i="34"/>
  <c r="H202" i="34"/>
  <c r="L201" i="34"/>
  <c r="H201" i="34"/>
  <c r="L200" i="34"/>
  <c r="H200" i="34"/>
  <c r="L199" i="34"/>
  <c r="H199" i="34"/>
  <c r="L198" i="34"/>
  <c r="H198" i="34"/>
  <c r="L197" i="34"/>
  <c r="H197" i="34"/>
  <c r="L196" i="34"/>
  <c r="H196" i="34"/>
  <c r="L195" i="34"/>
  <c r="H195" i="34"/>
  <c r="L194" i="34"/>
  <c r="H194" i="34"/>
  <c r="H193" i="34"/>
  <c r="L192" i="34"/>
  <c r="H192" i="34"/>
  <c r="H191" i="34"/>
  <c r="L190" i="34"/>
  <c r="H190" i="34"/>
  <c r="L189" i="34"/>
  <c r="H189" i="34"/>
  <c r="L188" i="34"/>
  <c r="H188" i="34"/>
  <c r="L187" i="34"/>
  <c r="H187" i="34"/>
  <c r="L186" i="34"/>
  <c r="H186" i="34"/>
  <c r="L185" i="34"/>
  <c r="H185" i="34"/>
  <c r="L184" i="34"/>
  <c r="H184" i="34"/>
  <c r="L183" i="34"/>
  <c r="H183" i="34"/>
  <c r="L182" i="34"/>
  <c r="H182" i="34"/>
  <c r="L181" i="34"/>
  <c r="H181" i="34"/>
  <c r="L180" i="34"/>
  <c r="H180" i="34"/>
  <c r="L179" i="34"/>
  <c r="H179" i="34"/>
  <c r="L178" i="34"/>
  <c r="H178" i="34"/>
  <c r="L177" i="34"/>
  <c r="H177" i="34"/>
  <c r="L176" i="34"/>
  <c r="H176" i="34"/>
  <c r="L175" i="34"/>
  <c r="H175" i="34"/>
  <c r="L174" i="34"/>
  <c r="H174" i="34"/>
  <c r="L173" i="34"/>
  <c r="H173" i="34"/>
  <c r="L172" i="34"/>
  <c r="H172" i="34"/>
  <c r="L171" i="34"/>
  <c r="H171" i="34"/>
  <c r="L170" i="34"/>
  <c r="H170" i="34"/>
  <c r="L169" i="34"/>
  <c r="H169" i="34"/>
  <c r="L168" i="34"/>
  <c r="H168" i="34"/>
  <c r="L167" i="34"/>
  <c r="H167" i="34"/>
  <c r="L166" i="34"/>
  <c r="H166" i="34"/>
  <c r="L165" i="34"/>
  <c r="H165" i="34"/>
  <c r="L164" i="34"/>
  <c r="H164" i="34"/>
  <c r="L163" i="34"/>
  <c r="H163" i="34"/>
  <c r="L162" i="34"/>
  <c r="H162" i="34"/>
  <c r="L161" i="34"/>
  <c r="H161" i="34"/>
  <c r="L160" i="34"/>
  <c r="H160" i="34"/>
  <c r="L159" i="34"/>
  <c r="H159" i="34"/>
  <c r="L158" i="34"/>
  <c r="H158" i="34"/>
  <c r="L157" i="34"/>
  <c r="H157" i="34"/>
  <c r="L156" i="34"/>
  <c r="H156" i="34"/>
  <c r="L155" i="34"/>
  <c r="H155" i="34"/>
  <c r="L154" i="34"/>
  <c r="H154" i="34"/>
  <c r="L153" i="34"/>
  <c r="H153" i="34"/>
  <c r="L152" i="34"/>
  <c r="H152" i="34"/>
  <c r="L151" i="34"/>
  <c r="H151" i="34"/>
  <c r="L150" i="34"/>
  <c r="H150" i="34"/>
  <c r="L149" i="34"/>
  <c r="H149" i="34"/>
  <c r="L148" i="34"/>
  <c r="H148" i="34"/>
  <c r="H147" i="34"/>
  <c r="L146" i="34"/>
  <c r="H146" i="34"/>
  <c r="L145" i="34"/>
  <c r="H145" i="34"/>
  <c r="H144" i="34"/>
  <c r="L143" i="34"/>
  <c r="H143" i="34"/>
  <c r="L142" i="34"/>
  <c r="H142" i="34"/>
  <c r="L141" i="34"/>
  <c r="H141" i="34"/>
  <c r="H140" i="34"/>
  <c r="L139" i="34"/>
  <c r="H139" i="34"/>
  <c r="L138" i="34"/>
  <c r="H138" i="34"/>
  <c r="L137" i="34"/>
  <c r="H137" i="34"/>
  <c r="L136" i="34"/>
  <c r="H136" i="34"/>
  <c r="L135" i="34"/>
  <c r="H135" i="34"/>
  <c r="L134" i="34"/>
  <c r="H134" i="34"/>
  <c r="H133" i="34"/>
  <c r="H132" i="34"/>
  <c r="L131" i="34"/>
  <c r="H131" i="34"/>
  <c r="L130" i="34"/>
  <c r="H130" i="34"/>
  <c r="H129" i="34"/>
  <c r="L128" i="34"/>
  <c r="H128" i="34"/>
  <c r="L127" i="34"/>
  <c r="H127" i="34"/>
  <c r="L126" i="34"/>
  <c r="H126" i="34"/>
  <c r="L125" i="34"/>
  <c r="H125" i="34"/>
  <c r="L124" i="34"/>
  <c r="H124" i="34"/>
  <c r="L123" i="34"/>
  <c r="H123" i="34"/>
  <c r="L122" i="34"/>
  <c r="H122" i="34"/>
  <c r="L121" i="34"/>
  <c r="H121" i="34"/>
  <c r="L120" i="34"/>
  <c r="H120" i="34"/>
  <c r="L119" i="34"/>
  <c r="H119" i="34"/>
  <c r="L118" i="34"/>
  <c r="H118" i="34"/>
  <c r="L117" i="34"/>
  <c r="H117" i="34"/>
  <c r="L116" i="34"/>
  <c r="H116" i="34"/>
  <c r="L115" i="34"/>
  <c r="H115" i="34"/>
  <c r="L114" i="34"/>
  <c r="H114" i="34"/>
  <c r="L113" i="34"/>
  <c r="H113" i="34"/>
  <c r="L112" i="34"/>
  <c r="H112" i="34"/>
  <c r="L111" i="34"/>
  <c r="H111" i="34"/>
  <c r="L110" i="34"/>
  <c r="H110" i="34"/>
  <c r="L109" i="34"/>
  <c r="H109" i="34"/>
  <c r="H108" i="34"/>
  <c r="H107" i="34"/>
  <c r="L106" i="34"/>
  <c r="H106" i="34"/>
  <c r="L105" i="34"/>
  <c r="H105" i="34"/>
  <c r="L104" i="34"/>
  <c r="H104" i="34"/>
  <c r="L103" i="34"/>
  <c r="H103" i="34"/>
  <c r="L102" i="34"/>
  <c r="H102" i="34"/>
  <c r="L101" i="34"/>
  <c r="H101" i="34"/>
  <c r="L100" i="34"/>
  <c r="H100" i="34"/>
  <c r="L99" i="34"/>
  <c r="H99" i="34"/>
  <c r="H98" i="34"/>
  <c r="L97" i="34"/>
  <c r="H97" i="34"/>
  <c r="L96" i="34"/>
  <c r="H96" i="34"/>
  <c r="L95" i="34"/>
  <c r="H95" i="34"/>
  <c r="L93" i="34"/>
  <c r="H93" i="34"/>
  <c r="L92" i="34"/>
  <c r="H92" i="34"/>
  <c r="L91" i="34"/>
  <c r="H91" i="34"/>
  <c r="L89" i="34"/>
  <c r="H89" i="34"/>
  <c r="L88" i="34"/>
  <c r="H88" i="34"/>
  <c r="L87" i="34"/>
  <c r="H87" i="34"/>
  <c r="H86" i="34"/>
  <c r="L85" i="34"/>
  <c r="H85" i="34"/>
  <c r="L84" i="34"/>
  <c r="H84" i="34"/>
  <c r="H83" i="34"/>
  <c r="L82" i="34"/>
  <c r="H82" i="34"/>
  <c r="L81" i="34"/>
  <c r="H81" i="34"/>
  <c r="H80" i="34"/>
  <c r="L79" i="34"/>
  <c r="H79" i="34"/>
  <c r="L78" i="34"/>
  <c r="H78" i="34"/>
  <c r="L77" i="34"/>
  <c r="H77" i="34"/>
  <c r="L76" i="34"/>
  <c r="H76" i="34"/>
  <c r="L75" i="34"/>
  <c r="H75" i="34"/>
  <c r="L74" i="34"/>
  <c r="H74" i="34"/>
  <c r="L73" i="34"/>
  <c r="H73" i="34"/>
  <c r="H72" i="34"/>
  <c r="L71" i="34"/>
  <c r="H71" i="34"/>
  <c r="L70" i="34"/>
  <c r="H70" i="34"/>
  <c r="L69" i="34"/>
  <c r="H69" i="34"/>
  <c r="L68" i="34"/>
  <c r="H68" i="34"/>
  <c r="L67" i="34"/>
  <c r="H67" i="34"/>
  <c r="L66" i="34"/>
  <c r="H66" i="34"/>
  <c r="L65" i="34"/>
  <c r="H65" i="34"/>
  <c r="L64" i="34"/>
  <c r="H64" i="34"/>
  <c r="L63" i="34"/>
  <c r="H63" i="34"/>
  <c r="L62" i="34"/>
  <c r="H62" i="34"/>
  <c r="L61" i="34"/>
  <c r="H61" i="34"/>
  <c r="L60" i="34"/>
  <c r="H60" i="34"/>
  <c r="L59" i="34"/>
  <c r="H59" i="34"/>
  <c r="L58" i="34"/>
  <c r="H58" i="34"/>
  <c r="L57" i="34"/>
  <c r="H57" i="34"/>
  <c r="L56" i="34"/>
  <c r="H56" i="34"/>
  <c r="L55" i="34"/>
  <c r="H55" i="34"/>
  <c r="L54" i="34"/>
  <c r="H54" i="34"/>
  <c r="L53" i="34"/>
  <c r="H53" i="34"/>
  <c r="L52" i="34"/>
  <c r="H52" i="34"/>
  <c r="L51" i="34"/>
  <c r="H51" i="34"/>
  <c r="L50" i="34"/>
  <c r="H50" i="34"/>
  <c r="L49" i="34"/>
  <c r="H49" i="34"/>
  <c r="L48" i="34"/>
  <c r="H48" i="34"/>
  <c r="L47" i="34"/>
  <c r="H47" i="34"/>
  <c r="L46" i="34"/>
  <c r="H46" i="34"/>
  <c r="L45" i="34"/>
  <c r="H45" i="34"/>
  <c r="L44" i="34"/>
  <c r="H44" i="34"/>
  <c r="H43" i="34"/>
  <c r="L42" i="34"/>
  <c r="H42" i="34"/>
  <c r="L41" i="34"/>
  <c r="H41" i="34"/>
  <c r="L40" i="34"/>
  <c r="H40" i="34"/>
  <c r="H39" i="34"/>
  <c r="L38" i="34"/>
  <c r="H38" i="34"/>
  <c r="L37" i="34"/>
  <c r="H37" i="34"/>
  <c r="L36" i="34"/>
  <c r="H36" i="34"/>
  <c r="L35" i="34"/>
  <c r="H35" i="34"/>
  <c r="L34" i="34"/>
  <c r="H34" i="34"/>
  <c r="L33" i="34"/>
  <c r="H33" i="34"/>
  <c r="L32" i="34"/>
  <c r="H32" i="34"/>
  <c r="L31" i="34"/>
  <c r="H31" i="34"/>
  <c r="L30" i="34"/>
  <c r="H30" i="34"/>
  <c r="H29" i="34"/>
  <c r="L28" i="34"/>
  <c r="H28" i="34"/>
  <c r="L27" i="34"/>
  <c r="H27" i="34"/>
  <c r="L26" i="34"/>
  <c r="H26" i="34"/>
  <c r="L25" i="34"/>
  <c r="H25" i="34"/>
  <c r="H24" i="34"/>
  <c r="H23" i="34"/>
  <c r="H22" i="34"/>
  <c r="L21" i="34"/>
  <c r="H21" i="34"/>
  <c r="L20" i="34"/>
  <c r="H20" i="34"/>
  <c r="L19" i="34"/>
  <c r="H19" i="34"/>
  <c r="H18" i="34"/>
  <c r="H17" i="34"/>
  <c r="L16" i="34"/>
  <c r="H16" i="34"/>
  <c r="H15" i="34"/>
  <c r="L14" i="34"/>
  <c r="H14" i="34"/>
  <c r="L13" i="34"/>
  <c r="H13" i="34"/>
  <c r="L12" i="34"/>
  <c r="H12" i="34"/>
  <c r="L11" i="34"/>
  <c r="H11" i="34"/>
  <c r="L10" i="34"/>
  <c r="H10" i="34"/>
  <c r="L9" i="34"/>
  <c r="H9" i="34"/>
  <c r="L8" i="34"/>
  <c r="H8" i="34"/>
  <c r="L7" i="34"/>
  <c r="H7" i="34"/>
  <c r="L6" i="34"/>
  <c r="H6" i="34"/>
  <c r="H94" i="33"/>
  <c r="L94" i="33"/>
  <c r="S6" i="33"/>
  <c r="M6" i="33"/>
  <c r="N6" i="33" s="1"/>
  <c r="M7" i="33"/>
  <c r="T6" i="33"/>
  <c r="T403" i="33"/>
  <c r="C403" i="33"/>
  <c r="K403" i="33"/>
  <c r="G403" i="33"/>
  <c r="H402" i="33"/>
  <c r="L401" i="33"/>
  <c r="H401" i="33"/>
  <c r="H400" i="33"/>
  <c r="L399" i="33"/>
  <c r="H399" i="33"/>
  <c r="H398" i="33"/>
  <c r="H397" i="33"/>
  <c r="L396" i="33"/>
  <c r="H396" i="33"/>
  <c r="L395" i="33"/>
  <c r="H395" i="33"/>
  <c r="H393" i="33"/>
  <c r="L394" i="33"/>
  <c r="H394" i="33"/>
  <c r="L392" i="33"/>
  <c r="H392" i="33"/>
  <c r="L391" i="33"/>
  <c r="H391" i="33"/>
  <c r="L390" i="33"/>
  <c r="H390" i="33"/>
  <c r="L389" i="33"/>
  <c r="H389" i="33"/>
  <c r="L388" i="33"/>
  <c r="H388" i="33"/>
  <c r="L387" i="33"/>
  <c r="H387" i="33"/>
  <c r="L386" i="33"/>
  <c r="H386" i="33"/>
  <c r="L385" i="33"/>
  <c r="H385" i="33"/>
  <c r="L384" i="33"/>
  <c r="H384" i="33"/>
  <c r="L383" i="33"/>
  <c r="H383" i="33"/>
  <c r="L382" i="33"/>
  <c r="H382" i="33"/>
  <c r="L381" i="33"/>
  <c r="H381" i="33"/>
  <c r="L380" i="33"/>
  <c r="H380" i="33"/>
  <c r="L379" i="33"/>
  <c r="H379" i="33"/>
  <c r="L378" i="33"/>
  <c r="H378" i="33"/>
  <c r="L377" i="33"/>
  <c r="H377" i="33"/>
  <c r="L376" i="33"/>
  <c r="H376" i="33"/>
  <c r="H375" i="33"/>
  <c r="L374" i="33"/>
  <c r="H374" i="33"/>
  <c r="L373" i="33"/>
  <c r="H373" i="33"/>
  <c r="L372" i="33"/>
  <c r="H372" i="33"/>
  <c r="L371" i="33"/>
  <c r="H371" i="33"/>
  <c r="L370" i="33"/>
  <c r="H370" i="33"/>
  <c r="L369" i="33"/>
  <c r="H369" i="33"/>
  <c r="H368" i="33"/>
  <c r="L367" i="33"/>
  <c r="H367" i="33"/>
  <c r="L366" i="33"/>
  <c r="H366" i="33"/>
  <c r="L359" i="33"/>
  <c r="H359" i="33"/>
  <c r="L358" i="33"/>
  <c r="H358" i="33"/>
  <c r="L357" i="33"/>
  <c r="H357" i="33"/>
  <c r="L356" i="33"/>
  <c r="H356" i="33"/>
  <c r="L355" i="33"/>
  <c r="H355" i="33"/>
  <c r="L354" i="33"/>
  <c r="H354" i="33"/>
  <c r="L353" i="33"/>
  <c r="H353" i="33"/>
  <c r="L352" i="33"/>
  <c r="H352" i="33"/>
  <c r="L351" i="33"/>
  <c r="H351" i="33"/>
  <c r="L350" i="33"/>
  <c r="H350" i="33"/>
  <c r="L349" i="33"/>
  <c r="H349" i="33"/>
  <c r="L348" i="33"/>
  <c r="H348" i="33"/>
  <c r="L347" i="33"/>
  <c r="H347" i="33"/>
  <c r="L365" i="33"/>
  <c r="H365" i="33"/>
  <c r="L364" i="33"/>
  <c r="H364" i="33"/>
  <c r="L363" i="33"/>
  <c r="H363" i="33"/>
  <c r="L362" i="33"/>
  <c r="H362" i="33"/>
  <c r="L361" i="33"/>
  <c r="H361" i="33"/>
  <c r="L360" i="33"/>
  <c r="H360" i="33"/>
  <c r="L346" i="33"/>
  <c r="H346" i="33"/>
  <c r="L345" i="33"/>
  <c r="H345" i="33"/>
  <c r="L344" i="33"/>
  <c r="H344" i="33"/>
  <c r="L343" i="33"/>
  <c r="H343" i="33"/>
  <c r="L342" i="33"/>
  <c r="H342" i="33"/>
  <c r="L341" i="33"/>
  <c r="H341" i="33"/>
  <c r="L340" i="33"/>
  <c r="H340" i="33"/>
  <c r="L339" i="33"/>
  <c r="H339" i="33"/>
  <c r="L338" i="33"/>
  <c r="H338" i="33"/>
  <c r="L337" i="33"/>
  <c r="H337" i="33"/>
  <c r="L336" i="33"/>
  <c r="H336" i="33"/>
  <c r="L335" i="33"/>
  <c r="H335" i="33"/>
  <c r="L334" i="33"/>
  <c r="H334" i="33"/>
  <c r="L333" i="33"/>
  <c r="H333" i="33"/>
  <c r="L332" i="33"/>
  <c r="H332" i="33"/>
  <c r="L331" i="33"/>
  <c r="H331" i="33"/>
  <c r="H330" i="33"/>
  <c r="L329" i="33"/>
  <c r="H329" i="33"/>
  <c r="L328" i="33"/>
  <c r="H328" i="33"/>
  <c r="L327" i="33"/>
  <c r="H327" i="33"/>
  <c r="L326" i="33"/>
  <c r="H326" i="33"/>
  <c r="L325" i="33"/>
  <c r="H325" i="33"/>
  <c r="L324" i="33"/>
  <c r="H324" i="33"/>
  <c r="L323" i="33"/>
  <c r="H323" i="33"/>
  <c r="L320" i="33"/>
  <c r="H320" i="33"/>
  <c r="L319" i="33"/>
  <c r="H319" i="33"/>
  <c r="L321" i="33"/>
  <c r="H321" i="33"/>
  <c r="L322" i="33"/>
  <c r="H322" i="33"/>
  <c r="L318" i="33"/>
  <c r="H318" i="33"/>
  <c r="L317" i="33"/>
  <c r="H317" i="33"/>
  <c r="L316" i="33"/>
  <c r="H316" i="33"/>
  <c r="L315" i="33"/>
  <c r="H315" i="33"/>
  <c r="L314" i="33"/>
  <c r="H314" i="33"/>
  <c r="L313" i="33"/>
  <c r="H313" i="33"/>
  <c r="L312" i="33"/>
  <c r="H312" i="33"/>
  <c r="L311" i="33"/>
  <c r="H311" i="33"/>
  <c r="L310" i="33"/>
  <c r="H310" i="33"/>
  <c r="L309" i="33"/>
  <c r="H309" i="33"/>
  <c r="L308" i="33"/>
  <c r="H308" i="33"/>
  <c r="L307" i="33"/>
  <c r="H307" i="33"/>
  <c r="L306" i="33"/>
  <c r="H306" i="33"/>
  <c r="L305" i="33"/>
  <c r="H305" i="33"/>
  <c r="L304" i="33"/>
  <c r="H304" i="33"/>
  <c r="L303" i="33"/>
  <c r="H303" i="33"/>
  <c r="L302" i="33"/>
  <c r="H302" i="33"/>
  <c r="L301" i="33"/>
  <c r="H301" i="33"/>
  <c r="L300" i="33"/>
  <c r="H300" i="33"/>
  <c r="L298" i="33"/>
  <c r="H298" i="33"/>
  <c r="L299" i="33"/>
  <c r="H299" i="33"/>
  <c r="L297" i="33"/>
  <c r="H297" i="33"/>
  <c r="L296" i="33"/>
  <c r="H296" i="33"/>
  <c r="L295" i="33"/>
  <c r="H295" i="33"/>
  <c r="L294" i="33"/>
  <c r="H294" i="33"/>
  <c r="L293" i="33"/>
  <c r="H293" i="33"/>
  <c r="L292" i="33"/>
  <c r="H292" i="33"/>
  <c r="L291" i="33"/>
  <c r="H291" i="33"/>
  <c r="L290" i="33"/>
  <c r="H290" i="33"/>
  <c r="L289" i="33"/>
  <c r="H289" i="33"/>
  <c r="L288" i="33"/>
  <c r="H288" i="33"/>
  <c r="L287" i="33"/>
  <c r="H287" i="33"/>
  <c r="L286" i="33"/>
  <c r="H286" i="33"/>
  <c r="L285" i="33"/>
  <c r="H285" i="33"/>
  <c r="L284" i="33"/>
  <c r="H284" i="33"/>
  <c r="L283" i="33"/>
  <c r="H283" i="33"/>
  <c r="L282" i="33"/>
  <c r="H282" i="33"/>
  <c r="L281" i="33"/>
  <c r="H281" i="33"/>
  <c r="L280" i="33"/>
  <c r="H280" i="33"/>
  <c r="L279" i="33"/>
  <c r="H279" i="33"/>
  <c r="L278" i="33"/>
  <c r="H278" i="33"/>
  <c r="L277" i="33"/>
  <c r="H277" i="33"/>
  <c r="L276" i="33"/>
  <c r="H276" i="33"/>
  <c r="L275" i="33"/>
  <c r="H275" i="33"/>
  <c r="L274" i="33"/>
  <c r="H274" i="33"/>
  <c r="L273" i="33"/>
  <c r="H273" i="33"/>
  <c r="L272" i="33"/>
  <c r="H272" i="33"/>
  <c r="L271" i="33"/>
  <c r="H271" i="33"/>
  <c r="L270" i="33"/>
  <c r="H270" i="33"/>
  <c r="L269" i="33"/>
  <c r="H269" i="33"/>
  <c r="L268" i="33"/>
  <c r="H268" i="33"/>
  <c r="L267" i="33"/>
  <c r="H267" i="33"/>
  <c r="L266" i="33"/>
  <c r="H266" i="33"/>
  <c r="L265" i="33"/>
  <c r="H265" i="33"/>
  <c r="H264" i="33"/>
  <c r="L263" i="33"/>
  <c r="H263" i="33"/>
  <c r="H262" i="33"/>
  <c r="L261" i="33"/>
  <c r="H261" i="33"/>
  <c r="L260" i="33"/>
  <c r="H260" i="33"/>
  <c r="L259" i="33"/>
  <c r="H259" i="33"/>
  <c r="L258" i="33"/>
  <c r="H258" i="33"/>
  <c r="L257" i="33"/>
  <c r="H257" i="33"/>
  <c r="L256" i="33"/>
  <c r="H256" i="33"/>
  <c r="L255" i="33"/>
  <c r="H255" i="33"/>
  <c r="L254" i="33"/>
  <c r="H254" i="33"/>
  <c r="L253" i="33"/>
  <c r="H253" i="33"/>
  <c r="L252" i="33"/>
  <c r="H252" i="33"/>
  <c r="L251" i="33"/>
  <c r="H251" i="33"/>
  <c r="L250" i="33"/>
  <c r="H250" i="33"/>
  <c r="L249" i="33"/>
  <c r="H249" i="33"/>
  <c r="L248" i="33"/>
  <c r="H248" i="33"/>
  <c r="L247" i="33"/>
  <c r="H247" i="33"/>
  <c r="L246" i="33"/>
  <c r="H246" i="33"/>
  <c r="L245" i="33"/>
  <c r="H245" i="33"/>
  <c r="L244" i="33"/>
  <c r="H244" i="33"/>
  <c r="L243" i="33"/>
  <c r="H243" i="33"/>
  <c r="L242" i="33"/>
  <c r="H242" i="33"/>
  <c r="L241" i="33"/>
  <c r="H241" i="33"/>
  <c r="L240" i="33"/>
  <c r="H240" i="33"/>
  <c r="L239" i="33"/>
  <c r="H239" i="33"/>
  <c r="L238" i="33"/>
  <c r="H238" i="33"/>
  <c r="L237" i="33"/>
  <c r="H237" i="33"/>
  <c r="H236" i="33"/>
  <c r="L235" i="33"/>
  <c r="H235" i="33"/>
  <c r="L234" i="33"/>
  <c r="H234" i="33"/>
  <c r="L233" i="33"/>
  <c r="H233" i="33"/>
  <c r="L232" i="33"/>
  <c r="H232" i="33"/>
  <c r="L231" i="33"/>
  <c r="H231" i="33"/>
  <c r="L230" i="33"/>
  <c r="H230" i="33"/>
  <c r="L229" i="33"/>
  <c r="H229" i="33"/>
  <c r="L228" i="33"/>
  <c r="H228" i="33"/>
  <c r="L227" i="33"/>
  <c r="H227" i="33"/>
  <c r="L226" i="33"/>
  <c r="H226" i="33"/>
  <c r="L225" i="33"/>
  <c r="H225" i="33"/>
  <c r="L224" i="33"/>
  <c r="H224" i="33"/>
  <c r="L223" i="33"/>
  <c r="H223" i="33"/>
  <c r="L222" i="33"/>
  <c r="H222" i="33"/>
  <c r="L221" i="33"/>
  <c r="H221" i="33"/>
  <c r="L219" i="33"/>
  <c r="H219" i="33"/>
  <c r="L218" i="33"/>
  <c r="H218" i="33"/>
  <c r="L217" i="33"/>
  <c r="H217" i="33"/>
  <c r="L216" i="33"/>
  <c r="H216" i="33"/>
  <c r="L215" i="33"/>
  <c r="H215" i="33"/>
  <c r="L214" i="33"/>
  <c r="H214" i="33"/>
  <c r="L213" i="33"/>
  <c r="H213" i="33"/>
  <c r="L212" i="33"/>
  <c r="H212" i="33"/>
  <c r="L211" i="33"/>
  <c r="H211" i="33"/>
  <c r="L210" i="33"/>
  <c r="H210" i="33"/>
  <c r="L209" i="33"/>
  <c r="H209" i="33"/>
  <c r="L208" i="33"/>
  <c r="H208" i="33"/>
  <c r="L207" i="33"/>
  <c r="H207" i="33"/>
  <c r="L206" i="33"/>
  <c r="H206" i="33"/>
  <c r="L205" i="33"/>
  <c r="H205" i="33"/>
  <c r="L204" i="33"/>
  <c r="H204" i="33"/>
  <c r="L203" i="33"/>
  <c r="H203" i="33"/>
  <c r="L202" i="33"/>
  <c r="H202" i="33"/>
  <c r="L201" i="33"/>
  <c r="H201" i="33"/>
  <c r="L200" i="33"/>
  <c r="H200" i="33"/>
  <c r="L199" i="33"/>
  <c r="H199" i="33"/>
  <c r="L198" i="33"/>
  <c r="H198" i="33"/>
  <c r="L197" i="33"/>
  <c r="H197" i="33"/>
  <c r="L196" i="33"/>
  <c r="H196" i="33"/>
  <c r="L195" i="33"/>
  <c r="H195" i="33"/>
  <c r="H194" i="33"/>
  <c r="L193" i="33"/>
  <c r="H193" i="33"/>
  <c r="H192" i="33"/>
  <c r="L191" i="33"/>
  <c r="H191" i="33"/>
  <c r="L190" i="33"/>
  <c r="H190" i="33"/>
  <c r="L189" i="33"/>
  <c r="H189" i="33"/>
  <c r="L188" i="33"/>
  <c r="H188" i="33"/>
  <c r="L187" i="33"/>
  <c r="H187" i="33"/>
  <c r="L186" i="33"/>
  <c r="H186" i="33"/>
  <c r="L185" i="33"/>
  <c r="H185" i="33"/>
  <c r="L184" i="33"/>
  <c r="H184" i="33"/>
  <c r="L183" i="33"/>
  <c r="H183" i="33"/>
  <c r="L182" i="33"/>
  <c r="H182" i="33"/>
  <c r="L181" i="33"/>
  <c r="H181" i="33"/>
  <c r="L180" i="33"/>
  <c r="H180" i="33"/>
  <c r="L179" i="33"/>
  <c r="H179" i="33"/>
  <c r="L178" i="33"/>
  <c r="H178" i="33"/>
  <c r="L177" i="33"/>
  <c r="H177" i="33"/>
  <c r="L176" i="33"/>
  <c r="H176" i="33"/>
  <c r="L175" i="33"/>
  <c r="H175" i="33"/>
  <c r="L174" i="33"/>
  <c r="H174" i="33"/>
  <c r="L173" i="33"/>
  <c r="H173" i="33"/>
  <c r="L172" i="33"/>
  <c r="H172" i="33"/>
  <c r="L171" i="33"/>
  <c r="H171" i="33"/>
  <c r="L170" i="33"/>
  <c r="H170" i="33"/>
  <c r="L169" i="33"/>
  <c r="H169" i="33"/>
  <c r="L168" i="33"/>
  <c r="H168" i="33"/>
  <c r="L167" i="33"/>
  <c r="H167" i="33"/>
  <c r="L166" i="33"/>
  <c r="H166" i="33"/>
  <c r="L165" i="33"/>
  <c r="H165" i="33"/>
  <c r="L164" i="33"/>
  <c r="H164" i="33"/>
  <c r="L163" i="33"/>
  <c r="H163" i="33"/>
  <c r="L162" i="33"/>
  <c r="H162" i="33"/>
  <c r="L161" i="33"/>
  <c r="H161" i="33"/>
  <c r="L160" i="33"/>
  <c r="H160" i="33"/>
  <c r="L159" i="33"/>
  <c r="H159" i="33"/>
  <c r="L158" i="33"/>
  <c r="H158" i="33"/>
  <c r="L157" i="33"/>
  <c r="H157" i="33"/>
  <c r="L156" i="33"/>
  <c r="H156" i="33"/>
  <c r="L155" i="33"/>
  <c r="H155" i="33"/>
  <c r="L154" i="33"/>
  <c r="H154" i="33"/>
  <c r="L153" i="33"/>
  <c r="H153" i="33"/>
  <c r="L152" i="33"/>
  <c r="H152" i="33"/>
  <c r="L151" i="33"/>
  <c r="H151" i="33"/>
  <c r="L150" i="33"/>
  <c r="H150" i="33"/>
  <c r="L149" i="33"/>
  <c r="H149" i="33"/>
  <c r="L148" i="33"/>
  <c r="H148" i="33"/>
  <c r="H147" i="33"/>
  <c r="L146" i="33"/>
  <c r="H146" i="33"/>
  <c r="L145" i="33"/>
  <c r="H145" i="33"/>
  <c r="H144" i="33"/>
  <c r="L143" i="33"/>
  <c r="H143" i="33"/>
  <c r="L142" i="33"/>
  <c r="H142" i="33"/>
  <c r="L141" i="33"/>
  <c r="H141" i="33"/>
  <c r="H140" i="33"/>
  <c r="L139" i="33"/>
  <c r="H139" i="33"/>
  <c r="L138" i="33"/>
  <c r="H138" i="33"/>
  <c r="L137" i="33"/>
  <c r="H137" i="33"/>
  <c r="L136" i="33"/>
  <c r="H136" i="33"/>
  <c r="L135" i="33"/>
  <c r="H135" i="33"/>
  <c r="L134" i="33"/>
  <c r="H134" i="33"/>
  <c r="H133" i="33"/>
  <c r="H132" i="33"/>
  <c r="L131" i="33"/>
  <c r="H131" i="33"/>
  <c r="L130" i="33"/>
  <c r="H130" i="33"/>
  <c r="H129" i="33"/>
  <c r="L128" i="33"/>
  <c r="H128" i="33"/>
  <c r="L127" i="33"/>
  <c r="H127" i="33"/>
  <c r="L126" i="33"/>
  <c r="H126" i="33"/>
  <c r="L125" i="33"/>
  <c r="H125" i="33"/>
  <c r="L124" i="33"/>
  <c r="H124" i="33"/>
  <c r="L123" i="33"/>
  <c r="H123" i="33"/>
  <c r="L122" i="33"/>
  <c r="H122" i="33"/>
  <c r="L121" i="33"/>
  <c r="H121" i="33"/>
  <c r="L120" i="33"/>
  <c r="H120" i="33"/>
  <c r="L119" i="33"/>
  <c r="H119" i="33"/>
  <c r="L118" i="33"/>
  <c r="H118" i="33"/>
  <c r="L117" i="33"/>
  <c r="H117" i="33"/>
  <c r="L116" i="33"/>
  <c r="H116" i="33"/>
  <c r="L115" i="33"/>
  <c r="H115" i="33"/>
  <c r="L114" i="33"/>
  <c r="H114" i="33"/>
  <c r="L113" i="33"/>
  <c r="H113" i="33"/>
  <c r="L112" i="33"/>
  <c r="H112" i="33"/>
  <c r="L111" i="33"/>
  <c r="H111" i="33"/>
  <c r="L110" i="33"/>
  <c r="H110" i="33"/>
  <c r="L109" i="33"/>
  <c r="H109" i="33"/>
  <c r="H108" i="33"/>
  <c r="H107" i="33"/>
  <c r="L106" i="33"/>
  <c r="H106" i="33"/>
  <c r="L105" i="33"/>
  <c r="H105" i="33"/>
  <c r="L104" i="33"/>
  <c r="H104" i="33"/>
  <c r="L103" i="33"/>
  <c r="H103" i="33"/>
  <c r="L102" i="33"/>
  <c r="H102" i="33"/>
  <c r="L101" i="33"/>
  <c r="H101" i="33"/>
  <c r="L100" i="33"/>
  <c r="H100" i="33"/>
  <c r="L99" i="33"/>
  <c r="H99" i="33"/>
  <c r="H98" i="33"/>
  <c r="L97" i="33"/>
  <c r="H97" i="33"/>
  <c r="L96" i="33"/>
  <c r="H96" i="33"/>
  <c r="L95" i="33"/>
  <c r="H95" i="33"/>
  <c r="L93" i="33"/>
  <c r="H93" i="33"/>
  <c r="L92" i="33"/>
  <c r="H92" i="33"/>
  <c r="L91" i="33"/>
  <c r="H91" i="33"/>
  <c r="L89" i="33"/>
  <c r="H89" i="33"/>
  <c r="L88" i="33"/>
  <c r="H88" i="33"/>
  <c r="L87" i="33"/>
  <c r="H87" i="33"/>
  <c r="H86" i="33"/>
  <c r="L85" i="33"/>
  <c r="H85" i="33"/>
  <c r="L84" i="33"/>
  <c r="H84" i="33"/>
  <c r="H83" i="33"/>
  <c r="L82" i="33"/>
  <c r="H82" i="33"/>
  <c r="L81" i="33"/>
  <c r="H81" i="33"/>
  <c r="H80" i="33"/>
  <c r="L79" i="33"/>
  <c r="H79" i="33"/>
  <c r="L78" i="33"/>
  <c r="H78" i="33"/>
  <c r="L77" i="33"/>
  <c r="H77" i="33"/>
  <c r="L76" i="33"/>
  <c r="H76" i="33"/>
  <c r="L75" i="33"/>
  <c r="H75" i="33"/>
  <c r="L74" i="33"/>
  <c r="H74" i="33"/>
  <c r="L73" i="33"/>
  <c r="H73" i="33"/>
  <c r="H72" i="33"/>
  <c r="L71" i="33"/>
  <c r="H71" i="33"/>
  <c r="L70" i="33"/>
  <c r="H70" i="33"/>
  <c r="L69" i="33"/>
  <c r="H69" i="33"/>
  <c r="L68" i="33"/>
  <c r="H68" i="33"/>
  <c r="L67" i="33"/>
  <c r="H67" i="33"/>
  <c r="L66" i="33"/>
  <c r="H66" i="33"/>
  <c r="L65" i="33"/>
  <c r="H65" i="33"/>
  <c r="L64" i="33"/>
  <c r="H64" i="33"/>
  <c r="L63" i="33"/>
  <c r="H63" i="33"/>
  <c r="L62" i="33"/>
  <c r="H62" i="33"/>
  <c r="L61" i="33"/>
  <c r="H61" i="33"/>
  <c r="L60" i="33"/>
  <c r="H60" i="33"/>
  <c r="L59" i="33"/>
  <c r="H59" i="33"/>
  <c r="L58" i="33"/>
  <c r="H58" i="33"/>
  <c r="L57" i="33"/>
  <c r="H57" i="33"/>
  <c r="L56" i="33"/>
  <c r="H56" i="33"/>
  <c r="L55" i="33"/>
  <c r="H55" i="33"/>
  <c r="L54" i="33"/>
  <c r="H54" i="33"/>
  <c r="L53" i="33"/>
  <c r="H53" i="33"/>
  <c r="L52" i="33"/>
  <c r="H52" i="33"/>
  <c r="L51" i="33"/>
  <c r="H51" i="33"/>
  <c r="L50" i="33"/>
  <c r="H50" i="33"/>
  <c r="L49" i="33"/>
  <c r="H49" i="33"/>
  <c r="L48" i="33"/>
  <c r="H48" i="33"/>
  <c r="L47" i="33"/>
  <c r="H47" i="33"/>
  <c r="L46" i="33"/>
  <c r="H46" i="33"/>
  <c r="L45" i="33"/>
  <c r="H45" i="33"/>
  <c r="L44" i="33"/>
  <c r="H44" i="33"/>
  <c r="H43" i="33"/>
  <c r="L42" i="33"/>
  <c r="H42" i="33"/>
  <c r="L41" i="33"/>
  <c r="H41" i="33"/>
  <c r="L40" i="33"/>
  <c r="H40" i="33"/>
  <c r="H39" i="33"/>
  <c r="L38" i="33"/>
  <c r="H38" i="33"/>
  <c r="L37" i="33"/>
  <c r="H37" i="33"/>
  <c r="L36" i="33"/>
  <c r="H36" i="33"/>
  <c r="L35" i="33"/>
  <c r="H35" i="33"/>
  <c r="L34" i="33"/>
  <c r="H34" i="33"/>
  <c r="L33" i="33"/>
  <c r="H33" i="33"/>
  <c r="L32" i="33"/>
  <c r="H32" i="33"/>
  <c r="L31" i="33"/>
  <c r="H31" i="33"/>
  <c r="L30" i="33"/>
  <c r="H30" i="33"/>
  <c r="H29" i="33"/>
  <c r="L28" i="33"/>
  <c r="H28" i="33"/>
  <c r="L27" i="33"/>
  <c r="H27" i="33"/>
  <c r="L26" i="33"/>
  <c r="H26" i="33"/>
  <c r="L25" i="33"/>
  <c r="H25" i="33"/>
  <c r="H24" i="33"/>
  <c r="H23" i="33"/>
  <c r="H22" i="33"/>
  <c r="L21" i="33"/>
  <c r="H21" i="33"/>
  <c r="L20" i="33"/>
  <c r="H20" i="33"/>
  <c r="L19" i="33"/>
  <c r="H19" i="33"/>
  <c r="H18" i="33"/>
  <c r="H17" i="33"/>
  <c r="L16" i="33"/>
  <c r="H16" i="33"/>
  <c r="H15" i="33"/>
  <c r="L14" i="33"/>
  <c r="H14" i="33"/>
  <c r="L13" i="33"/>
  <c r="H13" i="33"/>
  <c r="L12" i="33"/>
  <c r="H12" i="33"/>
  <c r="L11" i="33"/>
  <c r="H11" i="33"/>
  <c r="L10" i="33"/>
  <c r="H10" i="33"/>
  <c r="L9" i="33"/>
  <c r="H9" i="33"/>
  <c r="L8" i="33"/>
  <c r="H8" i="33"/>
  <c r="L7" i="33"/>
  <c r="H7" i="33"/>
  <c r="L6" i="33"/>
  <c r="H6" i="33"/>
  <c r="H94" i="32"/>
  <c r="L94" i="32"/>
  <c r="S6" i="32"/>
  <c r="M6" i="32"/>
  <c r="N6" i="32" s="1"/>
  <c r="M7" i="32"/>
  <c r="T6" i="32"/>
  <c r="T404" i="32" s="1"/>
  <c r="L404" i="32" s="1"/>
  <c r="C404" i="32"/>
  <c r="K404" i="32"/>
  <c r="G404" i="32"/>
  <c r="H403" i="32"/>
  <c r="L402" i="32"/>
  <c r="H402" i="32"/>
  <c r="H401" i="32"/>
  <c r="L400" i="32"/>
  <c r="H400" i="32"/>
  <c r="H399" i="32"/>
  <c r="H398" i="32"/>
  <c r="L397" i="32"/>
  <c r="H397" i="32"/>
  <c r="L396" i="32"/>
  <c r="H396" i="32"/>
  <c r="H394" i="32"/>
  <c r="L395" i="32"/>
  <c r="H395" i="32"/>
  <c r="L393" i="32"/>
  <c r="H393" i="32"/>
  <c r="L392" i="32"/>
  <c r="H392" i="32"/>
  <c r="L391" i="32"/>
  <c r="H391" i="32"/>
  <c r="L390" i="32"/>
  <c r="H390" i="32"/>
  <c r="L389" i="32"/>
  <c r="H389" i="32"/>
  <c r="L388" i="32"/>
  <c r="H388" i="32"/>
  <c r="L387" i="32"/>
  <c r="H387" i="32"/>
  <c r="L386" i="32"/>
  <c r="H386" i="32"/>
  <c r="L385" i="32"/>
  <c r="H385" i="32"/>
  <c r="L384" i="32"/>
  <c r="H384" i="32"/>
  <c r="L383" i="32"/>
  <c r="H383" i="32"/>
  <c r="L382" i="32"/>
  <c r="H382" i="32"/>
  <c r="L381" i="32"/>
  <c r="H381" i="32"/>
  <c r="L380" i="32"/>
  <c r="H380" i="32"/>
  <c r="L379" i="32"/>
  <c r="H379" i="32"/>
  <c r="L378" i="32"/>
  <c r="H378" i="32"/>
  <c r="L377" i="32"/>
  <c r="H377" i="32"/>
  <c r="H376" i="32"/>
  <c r="L375" i="32"/>
  <c r="H375" i="32"/>
  <c r="L374" i="32"/>
  <c r="H374" i="32"/>
  <c r="L373" i="32"/>
  <c r="H373" i="32"/>
  <c r="L372" i="32"/>
  <c r="H372" i="32"/>
  <c r="L371" i="32"/>
  <c r="H371" i="32"/>
  <c r="L370" i="32"/>
  <c r="H370" i="32"/>
  <c r="H369" i="32"/>
  <c r="L368" i="32"/>
  <c r="H368" i="32"/>
  <c r="L367" i="32"/>
  <c r="H367" i="32"/>
  <c r="L360" i="32"/>
  <c r="H360" i="32"/>
  <c r="L359" i="32"/>
  <c r="H359" i="32"/>
  <c r="L358" i="32"/>
  <c r="H358" i="32"/>
  <c r="L357" i="32"/>
  <c r="H357" i="32"/>
  <c r="L356" i="32"/>
  <c r="H356" i="32"/>
  <c r="L355" i="32"/>
  <c r="H355" i="32"/>
  <c r="L354" i="32"/>
  <c r="H354" i="32"/>
  <c r="L353" i="32"/>
  <c r="H353" i="32"/>
  <c r="L352" i="32"/>
  <c r="H352" i="32"/>
  <c r="L351" i="32"/>
  <c r="H351" i="32"/>
  <c r="L350" i="32"/>
  <c r="H350" i="32"/>
  <c r="L349" i="32"/>
  <c r="H349" i="32"/>
  <c r="L348" i="32"/>
  <c r="H348" i="32"/>
  <c r="L366" i="32"/>
  <c r="H366" i="32"/>
  <c r="L365" i="32"/>
  <c r="H365" i="32"/>
  <c r="L364" i="32"/>
  <c r="H364" i="32"/>
  <c r="L363" i="32"/>
  <c r="H363" i="32"/>
  <c r="L362" i="32"/>
  <c r="H362" i="32"/>
  <c r="L361" i="32"/>
  <c r="H361" i="32"/>
  <c r="L347" i="32"/>
  <c r="H347" i="32"/>
  <c r="L346" i="32"/>
  <c r="H346" i="32"/>
  <c r="L345" i="32"/>
  <c r="H345" i="32"/>
  <c r="L344" i="32"/>
  <c r="H344" i="32"/>
  <c r="L343" i="32"/>
  <c r="H343" i="32"/>
  <c r="L342" i="32"/>
  <c r="H342" i="32"/>
  <c r="L341" i="32"/>
  <c r="H341" i="32"/>
  <c r="L340" i="32"/>
  <c r="H340" i="32"/>
  <c r="L339" i="32"/>
  <c r="H339" i="32"/>
  <c r="L338" i="32"/>
  <c r="H338" i="32"/>
  <c r="L337" i="32"/>
  <c r="H337" i="32"/>
  <c r="L336" i="32"/>
  <c r="H336" i="32"/>
  <c r="L335" i="32"/>
  <c r="H335" i="32"/>
  <c r="L334" i="32"/>
  <c r="H334" i="32"/>
  <c r="L333" i="32"/>
  <c r="H333" i="32"/>
  <c r="L332" i="32"/>
  <c r="H332" i="32"/>
  <c r="H331" i="32"/>
  <c r="L330" i="32"/>
  <c r="H330" i="32"/>
  <c r="L329" i="32"/>
  <c r="H329" i="32"/>
  <c r="L328" i="32"/>
  <c r="H328" i="32"/>
  <c r="L327" i="32"/>
  <c r="H327" i="32"/>
  <c r="L326" i="32"/>
  <c r="H326" i="32"/>
  <c r="L325" i="32"/>
  <c r="H325" i="32"/>
  <c r="L324" i="32"/>
  <c r="H324" i="32"/>
  <c r="L321" i="32"/>
  <c r="H321" i="32"/>
  <c r="L320" i="32"/>
  <c r="H320" i="32"/>
  <c r="L322" i="32"/>
  <c r="H322" i="32"/>
  <c r="L323" i="32"/>
  <c r="H323" i="32"/>
  <c r="L319" i="32"/>
  <c r="H319" i="32"/>
  <c r="L318" i="32"/>
  <c r="H318" i="32"/>
  <c r="L317" i="32"/>
  <c r="H317" i="32"/>
  <c r="L316" i="32"/>
  <c r="H316" i="32"/>
  <c r="L315" i="32"/>
  <c r="H315" i="32"/>
  <c r="L314" i="32"/>
  <c r="H314" i="32"/>
  <c r="L313" i="32"/>
  <c r="H313" i="32"/>
  <c r="L312" i="32"/>
  <c r="H312" i="32"/>
  <c r="L311" i="32"/>
  <c r="H311" i="32"/>
  <c r="L310" i="32"/>
  <c r="H310" i="32"/>
  <c r="L309" i="32"/>
  <c r="H309" i="32"/>
  <c r="L308" i="32"/>
  <c r="H308" i="32"/>
  <c r="L307" i="32"/>
  <c r="H307" i="32"/>
  <c r="L306" i="32"/>
  <c r="H306" i="32"/>
  <c r="L305" i="32"/>
  <c r="H305" i="32"/>
  <c r="L304" i="32"/>
  <c r="H304" i="32"/>
  <c r="L303" i="32"/>
  <c r="H303" i="32"/>
  <c r="L302" i="32"/>
  <c r="H302" i="32"/>
  <c r="L301" i="32"/>
  <c r="H301" i="32"/>
  <c r="L299" i="32"/>
  <c r="H299" i="32"/>
  <c r="L300" i="32"/>
  <c r="H300" i="32"/>
  <c r="L298" i="32"/>
  <c r="H298" i="32"/>
  <c r="L297" i="32"/>
  <c r="H297" i="32"/>
  <c r="L296" i="32"/>
  <c r="H296" i="32"/>
  <c r="L295" i="32"/>
  <c r="H295" i="32"/>
  <c r="L294" i="32"/>
  <c r="H294" i="32"/>
  <c r="L293" i="32"/>
  <c r="H293" i="32"/>
  <c r="L292" i="32"/>
  <c r="H292" i="32"/>
  <c r="L291" i="32"/>
  <c r="H291" i="32"/>
  <c r="L290" i="32"/>
  <c r="H290" i="32"/>
  <c r="L289" i="32"/>
  <c r="H289" i="32"/>
  <c r="L288" i="32"/>
  <c r="H288" i="32"/>
  <c r="L287" i="32"/>
  <c r="H287" i="32"/>
  <c r="L286" i="32"/>
  <c r="H286" i="32"/>
  <c r="L285" i="32"/>
  <c r="H285" i="32"/>
  <c r="L284" i="32"/>
  <c r="H284" i="32"/>
  <c r="L283" i="32"/>
  <c r="H283" i="32"/>
  <c r="L282" i="32"/>
  <c r="H282" i="32"/>
  <c r="L281" i="32"/>
  <c r="H281" i="32"/>
  <c r="L280" i="32"/>
  <c r="H280" i="32"/>
  <c r="L279" i="32"/>
  <c r="H279" i="32"/>
  <c r="L278" i="32"/>
  <c r="H278" i="32"/>
  <c r="L277" i="32"/>
  <c r="H277" i="32"/>
  <c r="L276" i="32"/>
  <c r="H276" i="32"/>
  <c r="L275" i="32"/>
  <c r="H275" i="32"/>
  <c r="L274" i="32"/>
  <c r="H274" i="32"/>
  <c r="L273" i="32"/>
  <c r="H273" i="32"/>
  <c r="L272" i="32"/>
  <c r="H272" i="32"/>
  <c r="L271" i="32"/>
  <c r="H271" i="32"/>
  <c r="L270" i="32"/>
  <c r="H270" i="32"/>
  <c r="L269" i="32"/>
  <c r="H269" i="32"/>
  <c r="L268" i="32"/>
  <c r="H268" i="32"/>
  <c r="L267" i="32"/>
  <c r="H267" i="32"/>
  <c r="L266" i="32"/>
  <c r="H266" i="32"/>
  <c r="H265" i="32"/>
  <c r="L264" i="32"/>
  <c r="H264" i="32"/>
  <c r="H263" i="32"/>
  <c r="L262" i="32"/>
  <c r="H262" i="32"/>
  <c r="L261" i="32"/>
  <c r="H261" i="32"/>
  <c r="L260" i="32"/>
  <c r="H260" i="32"/>
  <c r="L259" i="32"/>
  <c r="H259" i="32"/>
  <c r="L258" i="32"/>
  <c r="H258" i="32"/>
  <c r="L257" i="32"/>
  <c r="H257" i="32"/>
  <c r="L256" i="32"/>
  <c r="H256" i="32"/>
  <c r="L255" i="32"/>
  <c r="H255" i="32"/>
  <c r="L254" i="32"/>
  <c r="H254" i="32"/>
  <c r="L253" i="32"/>
  <c r="H253" i="32"/>
  <c r="L252" i="32"/>
  <c r="H252" i="32"/>
  <c r="L251" i="32"/>
  <c r="H251" i="32"/>
  <c r="L250" i="32"/>
  <c r="H250" i="32"/>
  <c r="L249" i="32"/>
  <c r="H249" i="32"/>
  <c r="L248" i="32"/>
  <c r="H248" i="32"/>
  <c r="L247" i="32"/>
  <c r="H247" i="32"/>
  <c r="L246" i="32"/>
  <c r="H246" i="32"/>
  <c r="L245" i="32"/>
  <c r="H245" i="32"/>
  <c r="L244" i="32"/>
  <c r="H244" i="32"/>
  <c r="L243" i="32"/>
  <c r="H243" i="32"/>
  <c r="L242" i="32"/>
  <c r="H242" i="32"/>
  <c r="L241" i="32"/>
  <c r="H241" i="32"/>
  <c r="L240" i="32"/>
  <c r="H240" i="32"/>
  <c r="L239" i="32"/>
  <c r="H239" i="32"/>
  <c r="L238" i="32"/>
  <c r="H238" i="32"/>
  <c r="H237" i="32"/>
  <c r="L236" i="32"/>
  <c r="H236" i="32"/>
  <c r="L235" i="32"/>
  <c r="H235" i="32"/>
  <c r="L234" i="32"/>
  <c r="H234" i="32"/>
  <c r="L233" i="32"/>
  <c r="H233" i="32"/>
  <c r="L232" i="32"/>
  <c r="H232" i="32"/>
  <c r="L231" i="32"/>
  <c r="H231" i="32"/>
  <c r="L230" i="32"/>
  <c r="H230" i="32"/>
  <c r="L229" i="32"/>
  <c r="H229" i="32"/>
  <c r="L228" i="32"/>
  <c r="H228" i="32"/>
  <c r="L227" i="32"/>
  <c r="H227" i="32"/>
  <c r="L226" i="32"/>
  <c r="H226" i="32"/>
  <c r="L225" i="32"/>
  <c r="H225" i="32"/>
  <c r="L224" i="32"/>
  <c r="H224" i="32"/>
  <c r="L223" i="32"/>
  <c r="H223" i="32"/>
  <c r="L222" i="32"/>
  <c r="H222" i="32"/>
  <c r="L221" i="32"/>
  <c r="H221" i="32"/>
  <c r="L220" i="32"/>
  <c r="H220" i="32"/>
  <c r="L219" i="32"/>
  <c r="H219" i="32"/>
  <c r="L218" i="32"/>
  <c r="H218" i="32"/>
  <c r="L217" i="32"/>
  <c r="H217" i="32"/>
  <c r="L216" i="32"/>
  <c r="H216" i="32"/>
  <c r="L215" i="32"/>
  <c r="H215" i="32"/>
  <c r="L214" i="32"/>
  <c r="H214" i="32"/>
  <c r="L213" i="32"/>
  <c r="H213" i="32"/>
  <c r="L212" i="32"/>
  <c r="H212" i="32"/>
  <c r="L211" i="32"/>
  <c r="H211" i="32"/>
  <c r="L210" i="32"/>
  <c r="H210" i="32"/>
  <c r="L209" i="32"/>
  <c r="H209" i="32"/>
  <c r="L208" i="32"/>
  <c r="H208" i="32"/>
  <c r="L207" i="32"/>
  <c r="H207" i="32"/>
  <c r="L206" i="32"/>
  <c r="H206" i="32"/>
  <c r="L205" i="32"/>
  <c r="H205" i="32"/>
  <c r="L204" i="32"/>
  <c r="H204" i="32"/>
  <c r="L203" i="32"/>
  <c r="H203" i="32"/>
  <c r="L202" i="32"/>
  <c r="H202" i="32"/>
  <c r="L201" i="32"/>
  <c r="H201" i="32"/>
  <c r="L200" i="32"/>
  <c r="H200" i="32"/>
  <c r="L199" i="32"/>
  <c r="H199" i="32"/>
  <c r="L198" i="32"/>
  <c r="H198" i="32"/>
  <c r="L197" i="32"/>
  <c r="H197" i="32"/>
  <c r="L196" i="32"/>
  <c r="H196" i="32"/>
  <c r="H195" i="32"/>
  <c r="L194" i="32"/>
  <c r="H194" i="32"/>
  <c r="H193" i="32"/>
  <c r="L192" i="32"/>
  <c r="H192" i="32"/>
  <c r="L191" i="32"/>
  <c r="H191" i="32"/>
  <c r="L190" i="32"/>
  <c r="H190" i="32"/>
  <c r="L189" i="32"/>
  <c r="H189" i="32"/>
  <c r="L188" i="32"/>
  <c r="H188" i="32"/>
  <c r="L187" i="32"/>
  <c r="H187" i="32"/>
  <c r="L186" i="32"/>
  <c r="H186" i="32"/>
  <c r="L185" i="32"/>
  <c r="H185" i="32"/>
  <c r="L184" i="32"/>
  <c r="H184" i="32"/>
  <c r="L183" i="32"/>
  <c r="H183" i="32"/>
  <c r="L182" i="32"/>
  <c r="H182" i="32"/>
  <c r="L181" i="32"/>
  <c r="H181" i="32"/>
  <c r="L180" i="32"/>
  <c r="H180" i="32"/>
  <c r="L179" i="32"/>
  <c r="H179" i="32"/>
  <c r="L178" i="32"/>
  <c r="H178" i="32"/>
  <c r="L177" i="32"/>
  <c r="H177" i="32"/>
  <c r="L176" i="32"/>
  <c r="H176" i="32"/>
  <c r="L175" i="32"/>
  <c r="H175" i="32"/>
  <c r="L174" i="32"/>
  <c r="H174" i="32"/>
  <c r="L173" i="32"/>
  <c r="H173" i="32"/>
  <c r="L172" i="32"/>
  <c r="H172" i="32"/>
  <c r="L171" i="32"/>
  <c r="H171" i="32"/>
  <c r="L170" i="32"/>
  <c r="H170" i="32"/>
  <c r="L169" i="32"/>
  <c r="H169" i="32"/>
  <c r="L168" i="32"/>
  <c r="H168" i="32"/>
  <c r="L167" i="32"/>
  <c r="H167" i="32"/>
  <c r="L166" i="32"/>
  <c r="H166" i="32"/>
  <c r="L165" i="32"/>
  <c r="H165" i="32"/>
  <c r="L164" i="32"/>
  <c r="H164" i="32"/>
  <c r="L163" i="32"/>
  <c r="H163" i="32"/>
  <c r="L162" i="32"/>
  <c r="H162" i="32"/>
  <c r="L161" i="32"/>
  <c r="H161" i="32"/>
  <c r="L160" i="32"/>
  <c r="H160" i="32"/>
  <c r="L159" i="32"/>
  <c r="H159" i="32"/>
  <c r="L158" i="32"/>
  <c r="H158" i="32"/>
  <c r="L157" i="32"/>
  <c r="H157" i="32"/>
  <c r="L156" i="32"/>
  <c r="H156" i="32"/>
  <c r="L155" i="32"/>
  <c r="H155" i="32"/>
  <c r="L154" i="32"/>
  <c r="H154" i="32"/>
  <c r="L153" i="32"/>
  <c r="H153" i="32"/>
  <c r="L152" i="32"/>
  <c r="H152" i="32"/>
  <c r="L151" i="32"/>
  <c r="H151" i="32"/>
  <c r="L150" i="32"/>
  <c r="H150" i="32"/>
  <c r="L149" i="32"/>
  <c r="H149" i="32"/>
  <c r="H148" i="32"/>
  <c r="L147" i="32"/>
  <c r="H147" i="32"/>
  <c r="L146" i="32"/>
  <c r="H146" i="32"/>
  <c r="H145" i="32"/>
  <c r="L144" i="32"/>
  <c r="H144" i="32"/>
  <c r="L143" i="32"/>
  <c r="H143" i="32"/>
  <c r="L142" i="32"/>
  <c r="H142" i="32"/>
  <c r="H141" i="32"/>
  <c r="L140" i="32"/>
  <c r="H140" i="32"/>
  <c r="L139" i="32"/>
  <c r="H139" i="32"/>
  <c r="L138" i="32"/>
  <c r="H138" i="32"/>
  <c r="L137" i="32"/>
  <c r="H137" i="32"/>
  <c r="L136" i="32"/>
  <c r="H136" i="32"/>
  <c r="L135" i="32"/>
  <c r="H135" i="32"/>
  <c r="H134" i="32"/>
  <c r="H133" i="32"/>
  <c r="L132" i="32"/>
  <c r="H132" i="32"/>
  <c r="L131" i="32"/>
  <c r="H131" i="32"/>
  <c r="H130" i="32"/>
  <c r="L129" i="32"/>
  <c r="H129" i="32"/>
  <c r="L128" i="32"/>
  <c r="H128" i="32"/>
  <c r="L127" i="32"/>
  <c r="H127" i="32"/>
  <c r="L126" i="32"/>
  <c r="H126" i="32"/>
  <c r="L125" i="32"/>
  <c r="H125" i="32"/>
  <c r="L124" i="32"/>
  <c r="H124" i="32"/>
  <c r="L123" i="32"/>
  <c r="H123" i="32"/>
  <c r="L122" i="32"/>
  <c r="H122" i="32"/>
  <c r="L121" i="32"/>
  <c r="H121" i="32"/>
  <c r="L120" i="32"/>
  <c r="H120" i="32"/>
  <c r="L119" i="32"/>
  <c r="H119" i="32"/>
  <c r="L118" i="32"/>
  <c r="H118" i="32"/>
  <c r="L117" i="32"/>
  <c r="H117" i="32"/>
  <c r="L116" i="32"/>
  <c r="H116" i="32"/>
  <c r="L115" i="32"/>
  <c r="H115" i="32"/>
  <c r="L114" i="32"/>
  <c r="H114" i="32"/>
  <c r="L113" i="32"/>
  <c r="H113" i="32"/>
  <c r="L112" i="32"/>
  <c r="H112" i="32"/>
  <c r="L111" i="32"/>
  <c r="H111" i="32"/>
  <c r="L110" i="32"/>
  <c r="H110" i="32"/>
  <c r="H109" i="32"/>
  <c r="H108" i="32"/>
  <c r="L107" i="32"/>
  <c r="H107" i="32"/>
  <c r="L106" i="32"/>
  <c r="H106" i="32"/>
  <c r="L105" i="32"/>
  <c r="H105" i="32"/>
  <c r="L104" i="32"/>
  <c r="H104" i="32"/>
  <c r="L103" i="32"/>
  <c r="H103" i="32"/>
  <c r="L102" i="32"/>
  <c r="H102" i="32"/>
  <c r="L101" i="32"/>
  <c r="H101" i="32"/>
  <c r="L100" i="32"/>
  <c r="H100" i="32"/>
  <c r="H99" i="32"/>
  <c r="L98" i="32"/>
  <c r="H98" i="32"/>
  <c r="L97" i="32"/>
  <c r="H97" i="32"/>
  <c r="L96" i="32"/>
  <c r="H96" i="32"/>
  <c r="L95" i="32"/>
  <c r="H95" i="32"/>
  <c r="L93" i="32"/>
  <c r="H93" i="32"/>
  <c r="L92" i="32"/>
  <c r="H92" i="32"/>
  <c r="L90" i="32"/>
  <c r="H90" i="32"/>
  <c r="L89" i="32"/>
  <c r="H89" i="32"/>
  <c r="L88" i="32"/>
  <c r="H88" i="32"/>
  <c r="L87" i="32"/>
  <c r="H87" i="32"/>
  <c r="L86" i="32"/>
  <c r="H86" i="32"/>
  <c r="L85" i="32"/>
  <c r="H85" i="32"/>
  <c r="H84" i="32"/>
  <c r="L83" i="32"/>
  <c r="H83" i="32"/>
  <c r="L82" i="32"/>
  <c r="H82" i="32"/>
  <c r="H81" i="32"/>
  <c r="L80" i="32"/>
  <c r="H80" i="32"/>
  <c r="L79" i="32"/>
  <c r="H79" i="32"/>
  <c r="L78" i="32"/>
  <c r="H78" i="32"/>
  <c r="L77" i="32"/>
  <c r="H77" i="32"/>
  <c r="L76" i="32"/>
  <c r="H76" i="32"/>
  <c r="L75" i="32"/>
  <c r="H75" i="32"/>
  <c r="L74" i="32"/>
  <c r="H74" i="32"/>
  <c r="H73" i="32"/>
  <c r="L72" i="32"/>
  <c r="H72" i="32"/>
  <c r="H71" i="32"/>
  <c r="L70" i="32"/>
  <c r="H70" i="32"/>
  <c r="L69" i="32"/>
  <c r="H69" i="32"/>
  <c r="L68" i="32"/>
  <c r="H68" i="32"/>
  <c r="L67" i="32"/>
  <c r="H67" i="32"/>
  <c r="L66" i="32"/>
  <c r="H66" i="32"/>
  <c r="L65" i="32"/>
  <c r="H65" i="32"/>
  <c r="L64" i="32"/>
  <c r="H64" i="32"/>
  <c r="L63" i="32"/>
  <c r="H63" i="32"/>
  <c r="L62" i="32"/>
  <c r="H62" i="32"/>
  <c r="L61" i="32"/>
  <c r="H61" i="32"/>
  <c r="L60" i="32"/>
  <c r="H60" i="32"/>
  <c r="L59" i="32"/>
  <c r="H59" i="32"/>
  <c r="L58" i="32"/>
  <c r="H58" i="32"/>
  <c r="L57" i="32"/>
  <c r="H57" i="32"/>
  <c r="L56" i="32"/>
  <c r="H56" i="32"/>
  <c r="L55" i="32"/>
  <c r="H55" i="32"/>
  <c r="L54" i="32"/>
  <c r="H54" i="32"/>
  <c r="L53" i="32"/>
  <c r="H53" i="32"/>
  <c r="L52" i="32"/>
  <c r="H52" i="32"/>
  <c r="L51" i="32"/>
  <c r="H51" i="32"/>
  <c r="L50" i="32"/>
  <c r="H50" i="32"/>
  <c r="L49" i="32"/>
  <c r="H49" i="32"/>
  <c r="L48" i="32"/>
  <c r="H48" i="32"/>
  <c r="L47" i="32"/>
  <c r="H47" i="32"/>
  <c r="L46" i="32"/>
  <c r="H46" i="32"/>
  <c r="L45" i="32"/>
  <c r="H45" i="32"/>
  <c r="L44" i="32"/>
  <c r="H44" i="32"/>
  <c r="H43" i="32"/>
  <c r="L42" i="32"/>
  <c r="H42" i="32"/>
  <c r="L41" i="32"/>
  <c r="H41" i="32"/>
  <c r="L40" i="32"/>
  <c r="H40" i="32"/>
  <c r="H39" i="32"/>
  <c r="L38" i="32"/>
  <c r="H38" i="32"/>
  <c r="L37" i="32"/>
  <c r="H37" i="32"/>
  <c r="L36" i="32"/>
  <c r="H36" i="32"/>
  <c r="L35" i="32"/>
  <c r="H35" i="32"/>
  <c r="L34" i="32"/>
  <c r="H34" i="32"/>
  <c r="L33" i="32"/>
  <c r="H33" i="32"/>
  <c r="L32" i="32"/>
  <c r="H32" i="32"/>
  <c r="L31" i="32"/>
  <c r="H31" i="32"/>
  <c r="L30" i="32"/>
  <c r="H30" i="32"/>
  <c r="H29" i="32"/>
  <c r="L28" i="32"/>
  <c r="H28" i="32"/>
  <c r="L27" i="32"/>
  <c r="H27" i="32"/>
  <c r="L26" i="32"/>
  <c r="H26" i="32"/>
  <c r="L25" i="32"/>
  <c r="H25" i="32"/>
  <c r="H24" i="32"/>
  <c r="H23" i="32"/>
  <c r="H22" i="32"/>
  <c r="L21" i="32"/>
  <c r="H21" i="32"/>
  <c r="L20" i="32"/>
  <c r="H20" i="32"/>
  <c r="L19" i="32"/>
  <c r="H19" i="32"/>
  <c r="H18" i="32"/>
  <c r="H17" i="32"/>
  <c r="L16" i="32"/>
  <c r="H16" i="32"/>
  <c r="H15" i="32"/>
  <c r="L14" i="32"/>
  <c r="H14" i="32"/>
  <c r="L13" i="32"/>
  <c r="H13" i="32"/>
  <c r="L12" i="32"/>
  <c r="H12" i="32"/>
  <c r="L11" i="32"/>
  <c r="H11" i="32"/>
  <c r="L10" i="32"/>
  <c r="H10" i="32"/>
  <c r="L9" i="32"/>
  <c r="H9" i="32"/>
  <c r="L8" i="32"/>
  <c r="H8" i="32"/>
  <c r="L7" i="32"/>
  <c r="H7" i="32"/>
  <c r="L6" i="32"/>
  <c r="H6" i="32"/>
  <c r="L94" i="31"/>
  <c r="H94" i="31"/>
  <c r="S6" i="31"/>
  <c r="M6" i="31"/>
  <c r="N6" i="31" s="1"/>
  <c r="M7" i="31"/>
  <c r="N7" i="31"/>
  <c r="T6" i="31"/>
  <c r="C406" i="31"/>
  <c r="K406" i="31"/>
  <c r="G406" i="31"/>
  <c r="H405" i="31"/>
  <c r="L404" i="31"/>
  <c r="H404" i="31"/>
  <c r="H403" i="31"/>
  <c r="L402" i="31"/>
  <c r="H402" i="31"/>
  <c r="H401" i="31"/>
  <c r="H400" i="31"/>
  <c r="L399" i="31"/>
  <c r="H399" i="31"/>
  <c r="L398" i="31"/>
  <c r="H398" i="31"/>
  <c r="H396" i="31"/>
  <c r="L397" i="31"/>
  <c r="H397" i="31"/>
  <c r="L395" i="31"/>
  <c r="H395" i="31"/>
  <c r="L394" i="31"/>
  <c r="H394" i="31"/>
  <c r="L393" i="31"/>
  <c r="H393" i="31"/>
  <c r="L392" i="31"/>
  <c r="H392" i="31"/>
  <c r="L391" i="31"/>
  <c r="H391" i="31"/>
  <c r="L390" i="31"/>
  <c r="H390" i="31"/>
  <c r="L389" i="31"/>
  <c r="H389" i="31"/>
  <c r="L388" i="31"/>
  <c r="H388" i="31"/>
  <c r="L387" i="31"/>
  <c r="H387" i="31"/>
  <c r="L386" i="31"/>
  <c r="H386" i="31"/>
  <c r="L385" i="31"/>
  <c r="H385" i="31"/>
  <c r="L384" i="31"/>
  <c r="H384" i="31"/>
  <c r="L383" i="31"/>
  <c r="H383" i="31"/>
  <c r="L382" i="31"/>
  <c r="H382" i="31"/>
  <c r="L381" i="31"/>
  <c r="H381" i="31"/>
  <c r="L380" i="31"/>
  <c r="H380" i="31"/>
  <c r="L379" i="31"/>
  <c r="H379" i="31"/>
  <c r="H378" i="31"/>
  <c r="L377" i="31"/>
  <c r="H377" i="31"/>
  <c r="L376" i="31"/>
  <c r="H376" i="31"/>
  <c r="L375" i="31"/>
  <c r="H375" i="31"/>
  <c r="L374" i="31"/>
  <c r="H374" i="31"/>
  <c r="L373" i="31"/>
  <c r="H373" i="31"/>
  <c r="L372" i="31"/>
  <c r="H372" i="31"/>
  <c r="H371" i="31"/>
  <c r="L370" i="31"/>
  <c r="H370" i="31"/>
  <c r="L369" i="31"/>
  <c r="H369" i="31"/>
  <c r="L362" i="31"/>
  <c r="H362" i="31"/>
  <c r="L361" i="31"/>
  <c r="H361" i="31"/>
  <c r="L360" i="31"/>
  <c r="H360" i="31"/>
  <c r="L359" i="31"/>
  <c r="H359" i="31"/>
  <c r="L358" i="31"/>
  <c r="H358" i="31"/>
  <c r="L357" i="31"/>
  <c r="H357" i="31"/>
  <c r="L356" i="31"/>
  <c r="H356" i="31"/>
  <c r="L355" i="31"/>
  <c r="H355" i="31"/>
  <c r="L354" i="31"/>
  <c r="H354" i="31"/>
  <c r="L353" i="31"/>
  <c r="H353" i="31"/>
  <c r="L352" i="31"/>
  <c r="H352" i="31"/>
  <c r="L351" i="31"/>
  <c r="H351" i="31"/>
  <c r="L350" i="31"/>
  <c r="H350" i="31"/>
  <c r="L368" i="31"/>
  <c r="H368" i="31"/>
  <c r="L367" i="31"/>
  <c r="H367" i="31"/>
  <c r="L366" i="31"/>
  <c r="H366" i="31"/>
  <c r="L365" i="31"/>
  <c r="H365" i="31"/>
  <c r="L364" i="31"/>
  <c r="H364" i="31"/>
  <c r="L363" i="31"/>
  <c r="H363" i="31"/>
  <c r="L349" i="31"/>
  <c r="H349" i="31"/>
  <c r="L348" i="31"/>
  <c r="H348" i="31"/>
  <c r="L347" i="31"/>
  <c r="H347" i="31"/>
  <c r="L346" i="31"/>
  <c r="H346" i="31"/>
  <c r="L345" i="31"/>
  <c r="H345" i="31"/>
  <c r="L344" i="31"/>
  <c r="H344" i="31"/>
  <c r="L343" i="31"/>
  <c r="H343" i="31"/>
  <c r="L342" i="31"/>
  <c r="H342" i="31"/>
  <c r="L341" i="31"/>
  <c r="H341" i="31"/>
  <c r="L340" i="31"/>
  <c r="H340" i="31"/>
  <c r="L339" i="31"/>
  <c r="H339" i="31"/>
  <c r="L338" i="31"/>
  <c r="H338" i="31"/>
  <c r="L337" i="31"/>
  <c r="H337" i="31"/>
  <c r="L336" i="31"/>
  <c r="H336" i="31"/>
  <c r="L335" i="31"/>
  <c r="H335" i="31"/>
  <c r="L334" i="31"/>
  <c r="H334" i="31"/>
  <c r="H333" i="31"/>
  <c r="L332" i="31"/>
  <c r="H332" i="31"/>
  <c r="L331" i="31"/>
  <c r="H331" i="31"/>
  <c r="L330" i="31"/>
  <c r="H330" i="31"/>
  <c r="L329" i="31"/>
  <c r="H329" i="31"/>
  <c r="L328" i="31"/>
  <c r="H328" i="31"/>
  <c r="L327" i="31"/>
  <c r="H327" i="31"/>
  <c r="L326" i="31"/>
  <c r="H326" i="31"/>
  <c r="L323" i="31"/>
  <c r="H323" i="31"/>
  <c r="L322" i="31"/>
  <c r="H322" i="31"/>
  <c r="L324" i="31"/>
  <c r="H324" i="31"/>
  <c r="L325" i="31"/>
  <c r="H325" i="31"/>
  <c r="L321" i="31"/>
  <c r="H321" i="31"/>
  <c r="L320" i="31"/>
  <c r="H320" i="31"/>
  <c r="L319" i="31"/>
  <c r="H319" i="31"/>
  <c r="L318" i="31"/>
  <c r="H318" i="31"/>
  <c r="L317" i="31"/>
  <c r="H317" i="31"/>
  <c r="L316" i="31"/>
  <c r="H316" i="31"/>
  <c r="L315" i="31"/>
  <c r="H315" i="31"/>
  <c r="L314" i="31"/>
  <c r="H314" i="31"/>
  <c r="L313" i="31"/>
  <c r="H313" i="31"/>
  <c r="L312" i="31"/>
  <c r="H312" i="31"/>
  <c r="L311" i="31"/>
  <c r="H311" i="31"/>
  <c r="L310" i="31"/>
  <c r="H310" i="31"/>
  <c r="L309" i="31"/>
  <c r="H309" i="31"/>
  <c r="L308" i="31"/>
  <c r="H308" i="31"/>
  <c r="L307" i="31"/>
  <c r="H307" i="31"/>
  <c r="L306" i="31"/>
  <c r="H306" i="31"/>
  <c r="L305" i="31"/>
  <c r="H305" i="31"/>
  <c r="L304" i="31"/>
  <c r="H304" i="31"/>
  <c r="L303" i="31"/>
  <c r="H303" i="31"/>
  <c r="L301" i="31"/>
  <c r="H301" i="31"/>
  <c r="L302" i="31"/>
  <c r="H302" i="31"/>
  <c r="L300" i="31"/>
  <c r="H300" i="31"/>
  <c r="L299" i="31"/>
  <c r="H299" i="31"/>
  <c r="L298" i="31"/>
  <c r="H298" i="31"/>
  <c r="L297" i="31"/>
  <c r="H297" i="31"/>
  <c r="L296" i="31"/>
  <c r="H296" i="31"/>
  <c r="L295" i="31"/>
  <c r="H295" i="31"/>
  <c r="L294" i="31"/>
  <c r="H294" i="31"/>
  <c r="L293" i="31"/>
  <c r="H293" i="31"/>
  <c r="L292" i="31"/>
  <c r="H292" i="31"/>
  <c r="L291" i="31"/>
  <c r="H291" i="31"/>
  <c r="L290" i="31"/>
  <c r="H290" i="31"/>
  <c r="L289" i="31"/>
  <c r="H289" i="31"/>
  <c r="L288" i="31"/>
  <c r="H288" i="31"/>
  <c r="L287" i="31"/>
  <c r="H287" i="31"/>
  <c r="L286" i="31"/>
  <c r="H286" i="31"/>
  <c r="L285" i="31"/>
  <c r="H285" i="31"/>
  <c r="L284" i="31"/>
  <c r="H284" i="31"/>
  <c r="L283" i="31"/>
  <c r="H283" i="31"/>
  <c r="L282" i="31"/>
  <c r="H282" i="31"/>
  <c r="L281" i="31"/>
  <c r="H281" i="31"/>
  <c r="L280" i="31"/>
  <c r="H280" i="31"/>
  <c r="L279" i="31"/>
  <c r="H279" i="31"/>
  <c r="L278" i="31"/>
  <c r="H278" i="31"/>
  <c r="L277" i="31"/>
  <c r="H277" i="31"/>
  <c r="L276" i="31"/>
  <c r="H276" i="31"/>
  <c r="L275" i="31"/>
  <c r="H275" i="31"/>
  <c r="L274" i="31"/>
  <c r="H274" i="31"/>
  <c r="L273" i="31"/>
  <c r="H273" i="31"/>
  <c r="L272" i="31"/>
  <c r="H272" i="31"/>
  <c r="L271" i="31"/>
  <c r="H271" i="31"/>
  <c r="L270" i="31"/>
  <c r="H270" i="31"/>
  <c r="L269" i="31"/>
  <c r="H269" i="31"/>
  <c r="H268" i="31"/>
  <c r="L267" i="31"/>
  <c r="H267" i="31"/>
  <c r="H266" i="31"/>
  <c r="L265" i="31"/>
  <c r="H265" i="31"/>
  <c r="L264" i="31"/>
  <c r="H264" i="31"/>
  <c r="L263" i="31"/>
  <c r="H263" i="31"/>
  <c r="L262" i="31"/>
  <c r="H262" i="31"/>
  <c r="L261" i="31"/>
  <c r="H261" i="31"/>
  <c r="L260" i="31"/>
  <c r="H260" i="31"/>
  <c r="L259" i="31"/>
  <c r="H259" i="31"/>
  <c r="L258" i="31"/>
  <c r="H258" i="31"/>
  <c r="L257" i="31"/>
  <c r="H257" i="31"/>
  <c r="L256" i="31"/>
  <c r="H256" i="31"/>
  <c r="L255" i="31"/>
  <c r="H255" i="31"/>
  <c r="L254" i="31"/>
  <c r="H254" i="31"/>
  <c r="L253" i="31"/>
  <c r="H253" i="31"/>
  <c r="L252" i="31"/>
  <c r="H252" i="31"/>
  <c r="L251" i="31"/>
  <c r="H251" i="31"/>
  <c r="L250" i="31"/>
  <c r="H250" i="31"/>
  <c r="L249" i="31"/>
  <c r="H249" i="31"/>
  <c r="L248" i="31"/>
  <c r="H248" i="31"/>
  <c r="L247" i="31"/>
  <c r="H247" i="31"/>
  <c r="L246" i="31"/>
  <c r="H246" i="31"/>
  <c r="H245" i="31"/>
  <c r="L244" i="31"/>
  <c r="H244" i="31"/>
  <c r="L243" i="31"/>
  <c r="H243" i="31"/>
  <c r="L242" i="31"/>
  <c r="H242" i="31"/>
  <c r="L241" i="31"/>
  <c r="H241" i="31"/>
  <c r="H240" i="31"/>
  <c r="L239" i="31"/>
  <c r="H239" i="31"/>
  <c r="L238" i="31"/>
  <c r="H238" i="31"/>
  <c r="L237" i="31"/>
  <c r="H237" i="31"/>
  <c r="L236" i="31"/>
  <c r="H236" i="31"/>
  <c r="L235" i="31"/>
  <c r="H235" i="31"/>
  <c r="L234" i="31"/>
  <c r="H234" i="31"/>
  <c r="L233" i="31"/>
  <c r="H233" i="31"/>
  <c r="L232" i="31"/>
  <c r="H232" i="31"/>
  <c r="L231" i="31"/>
  <c r="H231" i="31"/>
  <c r="L230" i="31"/>
  <c r="H230" i="31"/>
  <c r="L229" i="31"/>
  <c r="H229" i="31"/>
  <c r="L228" i="31"/>
  <c r="H228" i="31"/>
  <c r="L227" i="31"/>
  <c r="H227" i="31"/>
  <c r="L226" i="31"/>
  <c r="H226" i="31"/>
  <c r="L225" i="31"/>
  <c r="H225" i="31"/>
  <c r="L224" i="31"/>
  <c r="H224" i="31"/>
  <c r="L223" i="31"/>
  <c r="H223" i="31"/>
  <c r="L222" i="31"/>
  <c r="H222" i="31"/>
  <c r="L221" i="31"/>
  <c r="H221" i="31"/>
  <c r="L220" i="31"/>
  <c r="H220" i="31"/>
  <c r="L219" i="31"/>
  <c r="H219" i="31"/>
  <c r="L218" i="31"/>
  <c r="H218" i="31"/>
  <c r="L217" i="31"/>
  <c r="H217" i="31"/>
  <c r="L216" i="31"/>
  <c r="H216" i="31"/>
  <c r="L215" i="31"/>
  <c r="H215" i="31"/>
  <c r="L214" i="31"/>
  <c r="H214" i="31"/>
  <c r="L213" i="31"/>
  <c r="H213" i="31"/>
  <c r="L212" i="31"/>
  <c r="H212" i="31"/>
  <c r="L211" i="31"/>
  <c r="H211" i="31"/>
  <c r="L210" i="31"/>
  <c r="H210" i="31"/>
  <c r="L209" i="31"/>
  <c r="H209" i="31"/>
  <c r="L208" i="31"/>
  <c r="H208" i="31"/>
  <c r="L207" i="31"/>
  <c r="H207" i="31"/>
  <c r="L206" i="31"/>
  <c r="H206" i="31"/>
  <c r="L205" i="31"/>
  <c r="H205" i="31"/>
  <c r="L204" i="31"/>
  <c r="H204" i="31"/>
  <c r="L203" i="31"/>
  <c r="H203" i="31"/>
  <c r="L202" i="31"/>
  <c r="H202" i="31"/>
  <c r="L201" i="31"/>
  <c r="H201" i="31"/>
  <c r="L200" i="31"/>
  <c r="H200" i="31"/>
  <c r="L199" i="31"/>
  <c r="H199" i="31"/>
  <c r="L198" i="31"/>
  <c r="H198" i="31"/>
  <c r="L197" i="31"/>
  <c r="H197" i="31"/>
  <c r="H196" i="31"/>
  <c r="L195" i="31"/>
  <c r="H195" i="31"/>
  <c r="H194" i="31"/>
  <c r="L193" i="31"/>
  <c r="H193" i="31"/>
  <c r="L192" i="31"/>
  <c r="H192" i="31"/>
  <c r="L191" i="31"/>
  <c r="H191" i="31"/>
  <c r="L190" i="31"/>
  <c r="H190" i="31"/>
  <c r="L189" i="31"/>
  <c r="H189" i="31"/>
  <c r="L188" i="31"/>
  <c r="H188" i="31"/>
  <c r="L187" i="31"/>
  <c r="H187" i="31"/>
  <c r="L186" i="31"/>
  <c r="H186" i="31"/>
  <c r="L185" i="31"/>
  <c r="H185" i="31"/>
  <c r="L184" i="31"/>
  <c r="H184" i="31"/>
  <c r="L183" i="31"/>
  <c r="H183" i="31"/>
  <c r="L182" i="31"/>
  <c r="H182" i="31"/>
  <c r="L181" i="31"/>
  <c r="H181" i="31"/>
  <c r="L180" i="31"/>
  <c r="H180" i="31"/>
  <c r="L179" i="31"/>
  <c r="H179" i="31"/>
  <c r="L178" i="31"/>
  <c r="H178" i="31"/>
  <c r="L177" i="31"/>
  <c r="H177" i="31"/>
  <c r="L176" i="31"/>
  <c r="H176" i="31"/>
  <c r="L175" i="31"/>
  <c r="H175" i="31"/>
  <c r="L174" i="31"/>
  <c r="H174" i="31"/>
  <c r="L173" i="31"/>
  <c r="H173" i="31"/>
  <c r="L172" i="31"/>
  <c r="H172" i="31"/>
  <c r="L171" i="31"/>
  <c r="H171" i="31"/>
  <c r="L170" i="31"/>
  <c r="H170" i="31"/>
  <c r="L169" i="31"/>
  <c r="H169" i="31"/>
  <c r="L168" i="31"/>
  <c r="H168" i="31"/>
  <c r="L167" i="31"/>
  <c r="H167" i="31"/>
  <c r="L166" i="31"/>
  <c r="H166" i="31"/>
  <c r="L165" i="31"/>
  <c r="H165" i="31"/>
  <c r="L164" i="31"/>
  <c r="H164" i="31"/>
  <c r="L163" i="31"/>
  <c r="H163" i="31"/>
  <c r="L162" i="31"/>
  <c r="H162" i="31"/>
  <c r="L161" i="31"/>
  <c r="H161" i="31"/>
  <c r="L160" i="31"/>
  <c r="H160" i="31"/>
  <c r="L159" i="31"/>
  <c r="H159" i="31"/>
  <c r="L158" i="31"/>
  <c r="H158" i="31"/>
  <c r="L157" i="31"/>
  <c r="H157" i="31"/>
  <c r="L156" i="31"/>
  <c r="H156" i="31"/>
  <c r="L155" i="31"/>
  <c r="H155" i="31"/>
  <c r="L154" i="31"/>
  <c r="H154" i="31"/>
  <c r="L153" i="31"/>
  <c r="H153" i="31"/>
  <c r="L152" i="31"/>
  <c r="H152" i="31"/>
  <c r="L151" i="31"/>
  <c r="H151" i="31"/>
  <c r="L150" i="31"/>
  <c r="H150" i="31"/>
  <c r="H149" i="31"/>
  <c r="L148" i="31"/>
  <c r="H148" i="31"/>
  <c r="L147" i="31"/>
  <c r="H147" i="31"/>
  <c r="H146" i="31"/>
  <c r="L145" i="31"/>
  <c r="H145" i="31"/>
  <c r="L144" i="31"/>
  <c r="H144" i="31"/>
  <c r="L143" i="31"/>
  <c r="H143" i="31"/>
  <c r="H142" i="31"/>
  <c r="L141" i="31"/>
  <c r="H141" i="31"/>
  <c r="L140" i="31"/>
  <c r="H140" i="31"/>
  <c r="L139" i="31"/>
  <c r="H139" i="31"/>
  <c r="L138" i="31"/>
  <c r="H138" i="31"/>
  <c r="L137" i="31"/>
  <c r="H137" i="31"/>
  <c r="L136" i="31"/>
  <c r="H136" i="31"/>
  <c r="H135" i="31"/>
  <c r="H134" i="31"/>
  <c r="L133" i="31"/>
  <c r="H133" i="31"/>
  <c r="L132" i="31"/>
  <c r="H132" i="31"/>
  <c r="H131" i="31"/>
  <c r="L130" i="31"/>
  <c r="H130" i="31"/>
  <c r="L129" i="31"/>
  <c r="H129" i="31"/>
  <c r="L128" i="31"/>
  <c r="H128" i="31"/>
  <c r="L127" i="31"/>
  <c r="H127" i="31"/>
  <c r="L126" i="31"/>
  <c r="H126" i="31"/>
  <c r="L125" i="31"/>
  <c r="H125" i="31"/>
  <c r="L124" i="31"/>
  <c r="H124" i="31"/>
  <c r="L123" i="31"/>
  <c r="H123" i="31"/>
  <c r="L122" i="31"/>
  <c r="H122" i="31"/>
  <c r="L121" i="31"/>
  <c r="H121" i="31"/>
  <c r="L120" i="31"/>
  <c r="H120" i="31"/>
  <c r="L119" i="31"/>
  <c r="H119" i="31"/>
  <c r="L118" i="31"/>
  <c r="H118" i="31"/>
  <c r="L117" i="31"/>
  <c r="H117" i="31"/>
  <c r="L116" i="31"/>
  <c r="H116" i="31"/>
  <c r="L115" i="31"/>
  <c r="H115" i="31"/>
  <c r="L114" i="31"/>
  <c r="H114" i="31"/>
  <c r="L113" i="31"/>
  <c r="H113" i="31"/>
  <c r="L112" i="31"/>
  <c r="H112" i="31"/>
  <c r="L111" i="31"/>
  <c r="H111" i="31"/>
  <c r="H110" i="31"/>
  <c r="H109" i="31"/>
  <c r="L108" i="31"/>
  <c r="H108" i="31"/>
  <c r="L107" i="31"/>
  <c r="H107" i="31"/>
  <c r="L106" i="31"/>
  <c r="H106" i="31"/>
  <c r="L105" i="31"/>
  <c r="H105" i="31"/>
  <c r="L104" i="31"/>
  <c r="H104" i="31"/>
  <c r="L103" i="31"/>
  <c r="H103" i="31"/>
  <c r="L102" i="31"/>
  <c r="H102" i="31"/>
  <c r="L101" i="31"/>
  <c r="H101" i="31"/>
  <c r="L100" i="31"/>
  <c r="H100" i="31"/>
  <c r="H99" i="31"/>
  <c r="L98" i="31"/>
  <c r="H98" i="31"/>
  <c r="L97" i="31"/>
  <c r="H97" i="31"/>
  <c r="L96" i="31"/>
  <c r="H96" i="31"/>
  <c r="L95" i="31"/>
  <c r="H95" i="31"/>
  <c r="L93" i="31"/>
  <c r="H93" i="31"/>
  <c r="L91" i="31"/>
  <c r="H91" i="31"/>
  <c r="L90" i="31"/>
  <c r="H90" i="31"/>
  <c r="L89" i="31"/>
  <c r="H89" i="31"/>
  <c r="L88" i="31"/>
  <c r="H88" i="31"/>
  <c r="L87" i="31"/>
  <c r="H87" i="31"/>
  <c r="L86" i="31"/>
  <c r="H86" i="31"/>
  <c r="H85" i="31"/>
  <c r="L84" i="31"/>
  <c r="H84" i="31"/>
  <c r="L83" i="31"/>
  <c r="H83" i="31"/>
  <c r="L82" i="31"/>
  <c r="H82" i="31"/>
  <c r="H81" i="31"/>
  <c r="L80" i="31"/>
  <c r="H80" i="31"/>
  <c r="L79" i="31"/>
  <c r="H79" i="31"/>
  <c r="L78" i="31"/>
  <c r="H78" i="31"/>
  <c r="L77" i="31"/>
  <c r="H77" i="31"/>
  <c r="L76" i="31"/>
  <c r="H76" i="31"/>
  <c r="L75" i="31"/>
  <c r="H75" i="31"/>
  <c r="L74" i="31"/>
  <c r="H74" i="31"/>
  <c r="H73" i="31"/>
  <c r="L72" i="31"/>
  <c r="H72" i="31"/>
  <c r="L71" i="31"/>
  <c r="H71" i="31"/>
  <c r="L70" i="31"/>
  <c r="H70" i="31"/>
  <c r="L69" i="31"/>
  <c r="H69" i="31"/>
  <c r="L68" i="31"/>
  <c r="H68" i="31"/>
  <c r="L67" i="31"/>
  <c r="H67" i="31"/>
  <c r="L66" i="31"/>
  <c r="H66" i="31"/>
  <c r="L65" i="31"/>
  <c r="H65" i="31"/>
  <c r="L64" i="31"/>
  <c r="H64" i="31"/>
  <c r="L63" i="31"/>
  <c r="H63" i="31"/>
  <c r="L62" i="31"/>
  <c r="H62" i="31"/>
  <c r="L61" i="31"/>
  <c r="H61" i="31"/>
  <c r="L60" i="31"/>
  <c r="H60" i="31"/>
  <c r="L59" i="31"/>
  <c r="H59" i="31"/>
  <c r="L58" i="31"/>
  <c r="H58" i="31"/>
  <c r="L57" i="31"/>
  <c r="H57" i="31"/>
  <c r="L56" i="31"/>
  <c r="H56" i="31"/>
  <c r="L55" i="31"/>
  <c r="H55" i="31"/>
  <c r="L54" i="31"/>
  <c r="H54" i="31"/>
  <c r="L53" i="31"/>
  <c r="H53" i="31"/>
  <c r="L52" i="31"/>
  <c r="H52" i="31"/>
  <c r="L51" i="31"/>
  <c r="H51" i="31"/>
  <c r="L50" i="31"/>
  <c r="H50" i="31"/>
  <c r="L49" i="31"/>
  <c r="H49" i="31"/>
  <c r="L48" i="31"/>
  <c r="H48" i="31"/>
  <c r="L47" i="31"/>
  <c r="H47" i="31"/>
  <c r="L46" i="31"/>
  <c r="H46" i="31"/>
  <c r="L45" i="31"/>
  <c r="H45" i="31"/>
  <c r="L44" i="31"/>
  <c r="H44" i="31"/>
  <c r="H43" i="31"/>
  <c r="L42" i="31"/>
  <c r="H42" i="31"/>
  <c r="L41" i="31"/>
  <c r="H41" i="31"/>
  <c r="L40" i="31"/>
  <c r="H40" i="31"/>
  <c r="H39" i="31"/>
  <c r="L38" i="31"/>
  <c r="H38" i="31"/>
  <c r="L37" i="31"/>
  <c r="H37" i="31"/>
  <c r="L36" i="31"/>
  <c r="H36" i="31"/>
  <c r="L35" i="31"/>
  <c r="H35" i="31"/>
  <c r="L34" i="31"/>
  <c r="H34" i="31"/>
  <c r="L33" i="31"/>
  <c r="H33" i="31"/>
  <c r="L32" i="31"/>
  <c r="H32" i="31"/>
  <c r="L31" i="31"/>
  <c r="H31" i="31"/>
  <c r="L30" i="31"/>
  <c r="H30" i="31"/>
  <c r="L29" i="31"/>
  <c r="H29" i="31"/>
  <c r="L28" i="31"/>
  <c r="H28" i="31"/>
  <c r="L27" i="31"/>
  <c r="H27" i="31"/>
  <c r="L26" i="31"/>
  <c r="H26" i="31"/>
  <c r="L25" i="31"/>
  <c r="H25" i="31"/>
  <c r="H24" i="31"/>
  <c r="H23" i="31"/>
  <c r="H22" i="31"/>
  <c r="L21" i="31"/>
  <c r="H21" i="31"/>
  <c r="L20" i="31"/>
  <c r="H20" i="31"/>
  <c r="L19" i="31"/>
  <c r="H19" i="31"/>
  <c r="H18" i="31"/>
  <c r="H17" i="31"/>
  <c r="L16" i="31"/>
  <c r="H16" i="31"/>
  <c r="H15" i="31"/>
  <c r="L14" i="31"/>
  <c r="H14" i="31"/>
  <c r="L13" i="31"/>
  <c r="H13" i="31"/>
  <c r="L12" i="31"/>
  <c r="H12" i="31"/>
  <c r="L11" i="31"/>
  <c r="H11" i="31"/>
  <c r="L10" i="31"/>
  <c r="H10" i="31"/>
  <c r="L9" i="31"/>
  <c r="H9" i="31"/>
  <c r="L8" i="31"/>
  <c r="H8" i="31"/>
  <c r="L7" i="31"/>
  <c r="H7" i="31"/>
  <c r="L6" i="31"/>
  <c r="H6" i="31"/>
  <c r="H94" i="30"/>
  <c r="L94" i="30"/>
  <c r="S6" i="30"/>
  <c r="S406" i="30"/>
  <c r="C407" i="30" s="1"/>
  <c r="M6" i="30"/>
  <c r="M7" i="30"/>
  <c r="N7" i="30"/>
  <c r="T6" i="30"/>
  <c r="T406" i="30" s="1"/>
  <c r="C406" i="30"/>
  <c r="K406" i="30"/>
  <c r="G406" i="30"/>
  <c r="H405" i="30"/>
  <c r="L404" i="30"/>
  <c r="H404" i="30"/>
  <c r="H403" i="30"/>
  <c r="L402" i="30"/>
  <c r="H402" i="30"/>
  <c r="H401" i="30"/>
  <c r="H400" i="30"/>
  <c r="L399" i="30"/>
  <c r="H399" i="30"/>
  <c r="L398" i="30"/>
  <c r="H398" i="30"/>
  <c r="H396" i="30"/>
  <c r="L397" i="30"/>
  <c r="H397" i="30"/>
  <c r="L395" i="30"/>
  <c r="H395" i="30"/>
  <c r="L394" i="30"/>
  <c r="H394" i="30"/>
  <c r="L393" i="30"/>
  <c r="H393" i="30"/>
  <c r="L392" i="30"/>
  <c r="H392" i="30"/>
  <c r="L391" i="30"/>
  <c r="H391" i="30"/>
  <c r="L390" i="30"/>
  <c r="H390" i="30"/>
  <c r="L389" i="30"/>
  <c r="H389" i="30"/>
  <c r="L388" i="30"/>
  <c r="H388" i="30"/>
  <c r="L387" i="30"/>
  <c r="H387" i="30"/>
  <c r="L386" i="30"/>
  <c r="H386" i="30"/>
  <c r="L385" i="30"/>
  <c r="H385" i="30"/>
  <c r="L384" i="30"/>
  <c r="H384" i="30"/>
  <c r="L383" i="30"/>
  <c r="H383" i="30"/>
  <c r="L382" i="30"/>
  <c r="H382" i="30"/>
  <c r="L381" i="30"/>
  <c r="H381" i="30"/>
  <c r="L380" i="30"/>
  <c r="H380" i="30"/>
  <c r="L379" i="30"/>
  <c r="H379" i="30"/>
  <c r="H378" i="30"/>
  <c r="L377" i="30"/>
  <c r="H377" i="30"/>
  <c r="L376" i="30"/>
  <c r="H376" i="30"/>
  <c r="L375" i="30"/>
  <c r="H375" i="30"/>
  <c r="L374" i="30"/>
  <c r="H374" i="30"/>
  <c r="L373" i="30"/>
  <c r="H373" i="30"/>
  <c r="L372" i="30"/>
  <c r="H372" i="30"/>
  <c r="H371" i="30"/>
  <c r="L370" i="30"/>
  <c r="H370" i="30"/>
  <c r="L369" i="30"/>
  <c r="H369" i="30"/>
  <c r="L362" i="30"/>
  <c r="H362" i="30"/>
  <c r="L361" i="30"/>
  <c r="H361" i="30"/>
  <c r="L360" i="30"/>
  <c r="H360" i="30"/>
  <c r="L359" i="30"/>
  <c r="H359" i="30"/>
  <c r="L358" i="30"/>
  <c r="H358" i="30"/>
  <c r="L357" i="30"/>
  <c r="H357" i="30"/>
  <c r="L356" i="30"/>
  <c r="H356" i="30"/>
  <c r="L355" i="30"/>
  <c r="H355" i="30"/>
  <c r="L354" i="30"/>
  <c r="H354" i="30"/>
  <c r="L353" i="30"/>
  <c r="H353" i="30"/>
  <c r="L352" i="30"/>
  <c r="H352" i="30"/>
  <c r="L351" i="30"/>
  <c r="H351" i="30"/>
  <c r="L350" i="30"/>
  <c r="H350" i="30"/>
  <c r="L368" i="30"/>
  <c r="H368" i="30"/>
  <c r="L367" i="30"/>
  <c r="H367" i="30"/>
  <c r="L366" i="30"/>
  <c r="H366" i="30"/>
  <c r="L365" i="30"/>
  <c r="H365" i="30"/>
  <c r="L364" i="30"/>
  <c r="H364" i="30"/>
  <c r="L363" i="30"/>
  <c r="H363" i="30"/>
  <c r="L349" i="30"/>
  <c r="H349" i="30"/>
  <c r="L348" i="30"/>
  <c r="H348" i="30"/>
  <c r="L347" i="30"/>
  <c r="H347" i="30"/>
  <c r="L346" i="30"/>
  <c r="H346" i="30"/>
  <c r="L345" i="30"/>
  <c r="H345" i="30"/>
  <c r="L344" i="30"/>
  <c r="H344" i="30"/>
  <c r="L343" i="30"/>
  <c r="H343" i="30"/>
  <c r="L342" i="30"/>
  <c r="H342" i="30"/>
  <c r="L341" i="30"/>
  <c r="H341" i="30"/>
  <c r="L340" i="30"/>
  <c r="H340" i="30"/>
  <c r="L339" i="30"/>
  <c r="H339" i="30"/>
  <c r="L338" i="30"/>
  <c r="H338" i="30"/>
  <c r="L337" i="30"/>
  <c r="H337" i="30"/>
  <c r="L336" i="30"/>
  <c r="H336" i="30"/>
  <c r="L335" i="30"/>
  <c r="H335" i="30"/>
  <c r="L334" i="30"/>
  <c r="H334" i="30"/>
  <c r="H333" i="30"/>
  <c r="L332" i="30"/>
  <c r="H332" i="30"/>
  <c r="L331" i="30"/>
  <c r="H331" i="30"/>
  <c r="L330" i="30"/>
  <c r="H330" i="30"/>
  <c r="L329" i="30"/>
  <c r="H329" i="30"/>
  <c r="L328" i="30"/>
  <c r="H328" i="30"/>
  <c r="L327" i="30"/>
  <c r="H327" i="30"/>
  <c r="L326" i="30"/>
  <c r="H326" i="30"/>
  <c r="L323" i="30"/>
  <c r="H323" i="30"/>
  <c r="L322" i="30"/>
  <c r="H322" i="30"/>
  <c r="L324" i="30"/>
  <c r="H324" i="30"/>
  <c r="L325" i="30"/>
  <c r="H325" i="30"/>
  <c r="L321" i="30"/>
  <c r="H321" i="30"/>
  <c r="L320" i="30"/>
  <c r="H320" i="30"/>
  <c r="L319" i="30"/>
  <c r="H319" i="30"/>
  <c r="L318" i="30"/>
  <c r="H318" i="30"/>
  <c r="L317" i="30"/>
  <c r="H317" i="30"/>
  <c r="L316" i="30"/>
  <c r="H316" i="30"/>
  <c r="L315" i="30"/>
  <c r="H315" i="30"/>
  <c r="L314" i="30"/>
  <c r="H314" i="30"/>
  <c r="L313" i="30"/>
  <c r="H313" i="30"/>
  <c r="L312" i="30"/>
  <c r="H312" i="30"/>
  <c r="L311" i="30"/>
  <c r="H311" i="30"/>
  <c r="L310" i="30"/>
  <c r="H310" i="30"/>
  <c r="L309" i="30"/>
  <c r="H309" i="30"/>
  <c r="L308" i="30"/>
  <c r="H308" i="30"/>
  <c r="L307" i="30"/>
  <c r="H307" i="30"/>
  <c r="L306" i="30"/>
  <c r="H306" i="30"/>
  <c r="L305" i="30"/>
  <c r="H305" i="30"/>
  <c r="L304" i="30"/>
  <c r="H304" i="30"/>
  <c r="L303" i="30"/>
  <c r="H303" i="30"/>
  <c r="L301" i="30"/>
  <c r="H301" i="30"/>
  <c r="L302" i="30"/>
  <c r="H302" i="30"/>
  <c r="L300" i="30"/>
  <c r="H300" i="30"/>
  <c r="L299" i="30"/>
  <c r="H299" i="30"/>
  <c r="L298" i="30"/>
  <c r="H298" i="30"/>
  <c r="L297" i="30"/>
  <c r="H297" i="30"/>
  <c r="L296" i="30"/>
  <c r="H296" i="30"/>
  <c r="L295" i="30"/>
  <c r="H295" i="30"/>
  <c r="L294" i="30"/>
  <c r="H294" i="30"/>
  <c r="L293" i="30"/>
  <c r="H293" i="30"/>
  <c r="L292" i="30"/>
  <c r="H292" i="30"/>
  <c r="L291" i="30"/>
  <c r="H291" i="30"/>
  <c r="L290" i="30"/>
  <c r="H290" i="30"/>
  <c r="L289" i="30"/>
  <c r="H289" i="30"/>
  <c r="L288" i="30"/>
  <c r="H288" i="30"/>
  <c r="L287" i="30"/>
  <c r="H287" i="30"/>
  <c r="L286" i="30"/>
  <c r="H286" i="30"/>
  <c r="L285" i="30"/>
  <c r="H285" i="30"/>
  <c r="L284" i="30"/>
  <c r="H284" i="30"/>
  <c r="L283" i="30"/>
  <c r="H283" i="30"/>
  <c r="L282" i="30"/>
  <c r="H282" i="30"/>
  <c r="L281" i="30"/>
  <c r="H281" i="30"/>
  <c r="L280" i="30"/>
  <c r="H280" i="30"/>
  <c r="L279" i="30"/>
  <c r="H279" i="30"/>
  <c r="L278" i="30"/>
  <c r="H278" i="30"/>
  <c r="L277" i="30"/>
  <c r="H277" i="30"/>
  <c r="L276" i="30"/>
  <c r="H276" i="30"/>
  <c r="L275" i="30"/>
  <c r="H275" i="30"/>
  <c r="L274" i="30"/>
  <c r="H274" i="30"/>
  <c r="L273" i="30"/>
  <c r="H273" i="30"/>
  <c r="L272" i="30"/>
  <c r="H272" i="30"/>
  <c r="L271" i="30"/>
  <c r="H271" i="30"/>
  <c r="L270" i="30"/>
  <c r="H270" i="30"/>
  <c r="L269" i="30"/>
  <c r="H269" i="30"/>
  <c r="H268" i="30"/>
  <c r="L267" i="30"/>
  <c r="H267" i="30"/>
  <c r="H266" i="30"/>
  <c r="L265" i="30"/>
  <c r="H265" i="30"/>
  <c r="L264" i="30"/>
  <c r="H264" i="30"/>
  <c r="L263" i="30"/>
  <c r="H263" i="30"/>
  <c r="L262" i="30"/>
  <c r="H262" i="30"/>
  <c r="L261" i="30"/>
  <c r="H261" i="30"/>
  <c r="L260" i="30"/>
  <c r="H260" i="30"/>
  <c r="L259" i="30"/>
  <c r="H259" i="30"/>
  <c r="L258" i="30"/>
  <c r="H258" i="30"/>
  <c r="L257" i="30"/>
  <c r="H257" i="30"/>
  <c r="L256" i="30"/>
  <c r="H256" i="30"/>
  <c r="L255" i="30"/>
  <c r="H255" i="30"/>
  <c r="L254" i="30"/>
  <c r="H254" i="30"/>
  <c r="L253" i="30"/>
  <c r="H253" i="30"/>
  <c r="L252" i="30"/>
  <c r="H252" i="30"/>
  <c r="L251" i="30"/>
  <c r="H251" i="30"/>
  <c r="L250" i="30"/>
  <c r="H250" i="30"/>
  <c r="L249" i="30"/>
  <c r="H249" i="30"/>
  <c r="L248" i="30"/>
  <c r="H248" i="30"/>
  <c r="L247" i="30"/>
  <c r="H247" i="30"/>
  <c r="L246" i="30"/>
  <c r="H246" i="30"/>
  <c r="L245" i="30"/>
  <c r="H245" i="30"/>
  <c r="L244" i="30"/>
  <c r="H244" i="30"/>
  <c r="L243" i="30"/>
  <c r="H243" i="30"/>
  <c r="L242" i="30"/>
  <c r="H242" i="30"/>
  <c r="L241" i="30"/>
  <c r="H241" i="30"/>
  <c r="H240" i="30"/>
  <c r="L239" i="30"/>
  <c r="H239" i="30"/>
  <c r="L238" i="30"/>
  <c r="H238" i="30"/>
  <c r="L237" i="30"/>
  <c r="H237" i="30"/>
  <c r="L236" i="30"/>
  <c r="H236" i="30"/>
  <c r="L235" i="30"/>
  <c r="H235" i="30"/>
  <c r="L234" i="30"/>
  <c r="H234" i="30"/>
  <c r="L233" i="30"/>
  <c r="H233" i="30"/>
  <c r="L232" i="30"/>
  <c r="H232" i="30"/>
  <c r="L231" i="30"/>
  <c r="H231" i="30"/>
  <c r="L230" i="30"/>
  <c r="H230" i="30"/>
  <c r="L229" i="30"/>
  <c r="H229" i="30"/>
  <c r="L228" i="30"/>
  <c r="H228" i="30"/>
  <c r="L227" i="30"/>
  <c r="H227" i="30"/>
  <c r="L226" i="30"/>
  <c r="H226" i="30"/>
  <c r="L225" i="30"/>
  <c r="H225" i="30"/>
  <c r="L224" i="30"/>
  <c r="H224" i="30"/>
  <c r="L223" i="30"/>
  <c r="H223" i="30"/>
  <c r="L222" i="30"/>
  <c r="H222" i="30"/>
  <c r="L221" i="30"/>
  <c r="H221" i="30"/>
  <c r="L220" i="30"/>
  <c r="H220" i="30"/>
  <c r="L219" i="30"/>
  <c r="H219" i="30"/>
  <c r="L218" i="30"/>
  <c r="H218" i="30"/>
  <c r="L217" i="30"/>
  <c r="H217" i="30"/>
  <c r="L216" i="30"/>
  <c r="H216" i="30"/>
  <c r="L215" i="30"/>
  <c r="H215" i="30"/>
  <c r="L214" i="30"/>
  <c r="H214" i="30"/>
  <c r="L213" i="30"/>
  <c r="H213" i="30"/>
  <c r="L212" i="30"/>
  <c r="H212" i="30"/>
  <c r="L211" i="30"/>
  <c r="H211" i="30"/>
  <c r="L210" i="30"/>
  <c r="H210" i="30"/>
  <c r="L209" i="30"/>
  <c r="H209" i="30"/>
  <c r="L208" i="30"/>
  <c r="H208" i="30"/>
  <c r="L207" i="30"/>
  <c r="H207" i="30"/>
  <c r="L206" i="30"/>
  <c r="H206" i="30"/>
  <c r="L205" i="30"/>
  <c r="H205" i="30"/>
  <c r="L204" i="30"/>
  <c r="H204" i="30"/>
  <c r="L203" i="30"/>
  <c r="H203" i="30"/>
  <c r="L202" i="30"/>
  <c r="H202" i="30"/>
  <c r="L201" i="30"/>
  <c r="H201" i="30"/>
  <c r="L200" i="30"/>
  <c r="H200" i="30"/>
  <c r="L199" i="30"/>
  <c r="H199" i="30"/>
  <c r="L198" i="30"/>
  <c r="H198" i="30"/>
  <c r="L197" i="30"/>
  <c r="H197" i="30"/>
  <c r="H196" i="30"/>
  <c r="L195" i="30"/>
  <c r="H195" i="30"/>
  <c r="H194" i="30"/>
  <c r="L193" i="30"/>
  <c r="H193" i="30"/>
  <c r="L192" i="30"/>
  <c r="H192" i="30"/>
  <c r="L191" i="30"/>
  <c r="H191" i="30"/>
  <c r="L190" i="30"/>
  <c r="H190" i="30"/>
  <c r="L189" i="30"/>
  <c r="H189" i="30"/>
  <c r="L188" i="30"/>
  <c r="H188" i="30"/>
  <c r="L187" i="30"/>
  <c r="H187" i="30"/>
  <c r="L186" i="30"/>
  <c r="H186" i="30"/>
  <c r="L185" i="30"/>
  <c r="H185" i="30"/>
  <c r="L184" i="30"/>
  <c r="H184" i="30"/>
  <c r="L183" i="30"/>
  <c r="H183" i="30"/>
  <c r="L182" i="30"/>
  <c r="H182" i="30"/>
  <c r="L181" i="30"/>
  <c r="H181" i="30"/>
  <c r="L180" i="30"/>
  <c r="H180" i="30"/>
  <c r="L179" i="30"/>
  <c r="H179" i="30"/>
  <c r="L178" i="30"/>
  <c r="H178" i="30"/>
  <c r="L177" i="30"/>
  <c r="H177" i="30"/>
  <c r="L176" i="30"/>
  <c r="H176" i="30"/>
  <c r="L175" i="30"/>
  <c r="H175" i="30"/>
  <c r="L174" i="30"/>
  <c r="H174" i="30"/>
  <c r="L173" i="30"/>
  <c r="H173" i="30"/>
  <c r="L172" i="30"/>
  <c r="H172" i="30"/>
  <c r="L171" i="30"/>
  <c r="H171" i="30"/>
  <c r="L170" i="30"/>
  <c r="H170" i="30"/>
  <c r="L169" i="30"/>
  <c r="H169" i="30"/>
  <c r="L168" i="30"/>
  <c r="H168" i="30"/>
  <c r="L167" i="30"/>
  <c r="H167" i="30"/>
  <c r="L166" i="30"/>
  <c r="H166" i="30"/>
  <c r="L165" i="30"/>
  <c r="H165" i="30"/>
  <c r="L164" i="30"/>
  <c r="H164" i="30"/>
  <c r="L163" i="30"/>
  <c r="H163" i="30"/>
  <c r="L162" i="30"/>
  <c r="H162" i="30"/>
  <c r="L161" i="30"/>
  <c r="H161" i="30"/>
  <c r="L160" i="30"/>
  <c r="H160" i="30"/>
  <c r="L159" i="30"/>
  <c r="H159" i="30"/>
  <c r="L158" i="30"/>
  <c r="H158" i="30"/>
  <c r="L157" i="30"/>
  <c r="H157" i="30"/>
  <c r="L156" i="30"/>
  <c r="H156" i="30"/>
  <c r="L155" i="30"/>
  <c r="H155" i="30"/>
  <c r="L154" i="30"/>
  <c r="H154" i="30"/>
  <c r="L153" i="30"/>
  <c r="H153" i="30"/>
  <c r="L152" i="30"/>
  <c r="H152" i="30"/>
  <c r="L151" i="30"/>
  <c r="H151" i="30"/>
  <c r="L150" i="30"/>
  <c r="H150" i="30"/>
  <c r="H149" i="30"/>
  <c r="L148" i="30"/>
  <c r="H148" i="30"/>
  <c r="L147" i="30"/>
  <c r="H147" i="30"/>
  <c r="H146" i="30"/>
  <c r="L145" i="30"/>
  <c r="H145" i="30"/>
  <c r="L144" i="30"/>
  <c r="H144" i="30"/>
  <c r="L143" i="30"/>
  <c r="H143" i="30"/>
  <c r="H142" i="30"/>
  <c r="L141" i="30"/>
  <c r="H141" i="30"/>
  <c r="L140" i="30"/>
  <c r="H140" i="30"/>
  <c r="L139" i="30"/>
  <c r="H139" i="30"/>
  <c r="L138" i="30"/>
  <c r="H138" i="30"/>
  <c r="L137" i="30"/>
  <c r="H137" i="30"/>
  <c r="L136" i="30"/>
  <c r="H136" i="30"/>
  <c r="H135" i="30"/>
  <c r="H134" i="30"/>
  <c r="L133" i="30"/>
  <c r="H133" i="30"/>
  <c r="L132" i="30"/>
  <c r="H132" i="30"/>
  <c r="H131" i="30"/>
  <c r="L130" i="30"/>
  <c r="H130" i="30"/>
  <c r="L129" i="30"/>
  <c r="H129" i="30"/>
  <c r="L128" i="30"/>
  <c r="H128" i="30"/>
  <c r="L127" i="30"/>
  <c r="H127" i="30"/>
  <c r="L126" i="30"/>
  <c r="H126" i="30"/>
  <c r="L125" i="30"/>
  <c r="H125" i="30"/>
  <c r="L124" i="30"/>
  <c r="H124" i="30"/>
  <c r="L123" i="30"/>
  <c r="H123" i="30"/>
  <c r="L122" i="30"/>
  <c r="H122" i="30"/>
  <c r="L121" i="30"/>
  <c r="H121" i="30"/>
  <c r="L120" i="30"/>
  <c r="H120" i="30"/>
  <c r="L119" i="30"/>
  <c r="H119" i="30"/>
  <c r="L118" i="30"/>
  <c r="H118" i="30"/>
  <c r="L117" i="30"/>
  <c r="H117" i="30"/>
  <c r="L116" i="30"/>
  <c r="H116" i="30"/>
  <c r="L115" i="30"/>
  <c r="H115" i="30"/>
  <c r="L114" i="30"/>
  <c r="H114" i="30"/>
  <c r="L113" i="30"/>
  <c r="H113" i="30"/>
  <c r="L112" i="30"/>
  <c r="H112" i="30"/>
  <c r="L111" i="30"/>
  <c r="H111" i="30"/>
  <c r="H110" i="30"/>
  <c r="H109" i="30"/>
  <c r="L108" i="30"/>
  <c r="H108" i="30"/>
  <c r="L107" i="30"/>
  <c r="H107" i="30"/>
  <c r="L106" i="30"/>
  <c r="H106" i="30"/>
  <c r="L105" i="30"/>
  <c r="H105" i="30"/>
  <c r="L104" i="30"/>
  <c r="H104" i="30"/>
  <c r="L103" i="30"/>
  <c r="H103" i="30"/>
  <c r="L102" i="30"/>
  <c r="H102" i="30"/>
  <c r="L101" i="30"/>
  <c r="H101" i="30"/>
  <c r="L100" i="30"/>
  <c r="H100" i="30"/>
  <c r="H99" i="30"/>
  <c r="L98" i="30"/>
  <c r="H98" i="30"/>
  <c r="L97" i="30"/>
  <c r="H97" i="30"/>
  <c r="L96" i="30"/>
  <c r="H96" i="30"/>
  <c r="L95" i="30"/>
  <c r="H95" i="30"/>
  <c r="L93" i="30"/>
  <c r="H93" i="30"/>
  <c r="L91" i="30"/>
  <c r="H91" i="30"/>
  <c r="L90" i="30"/>
  <c r="H90" i="30"/>
  <c r="L89" i="30"/>
  <c r="H89" i="30"/>
  <c r="L88" i="30"/>
  <c r="H88" i="30"/>
  <c r="L87" i="30"/>
  <c r="H87" i="30"/>
  <c r="L86" i="30"/>
  <c r="H86" i="30"/>
  <c r="H85" i="30"/>
  <c r="L84" i="30"/>
  <c r="H84" i="30"/>
  <c r="L83" i="30"/>
  <c r="H83" i="30"/>
  <c r="L82" i="30"/>
  <c r="H82" i="30"/>
  <c r="H81" i="30"/>
  <c r="L80" i="30"/>
  <c r="H80" i="30"/>
  <c r="L79" i="30"/>
  <c r="H79" i="30"/>
  <c r="L78" i="30"/>
  <c r="H78" i="30"/>
  <c r="L77" i="30"/>
  <c r="H77" i="30"/>
  <c r="L76" i="30"/>
  <c r="H76" i="30"/>
  <c r="L75" i="30"/>
  <c r="H75" i="30"/>
  <c r="L74" i="30"/>
  <c r="H74" i="30"/>
  <c r="H73" i="30"/>
  <c r="L72" i="30"/>
  <c r="H72" i="30"/>
  <c r="L71" i="30"/>
  <c r="H71" i="30"/>
  <c r="L70" i="30"/>
  <c r="H70" i="30"/>
  <c r="L69" i="30"/>
  <c r="H69" i="30"/>
  <c r="L68" i="30"/>
  <c r="H68" i="30"/>
  <c r="L67" i="30"/>
  <c r="H67" i="30"/>
  <c r="L66" i="30"/>
  <c r="H66" i="30"/>
  <c r="L65" i="30"/>
  <c r="H65" i="30"/>
  <c r="L64" i="30"/>
  <c r="H64" i="30"/>
  <c r="L63" i="30"/>
  <c r="H63" i="30"/>
  <c r="L62" i="30"/>
  <c r="H62" i="30"/>
  <c r="L61" i="30"/>
  <c r="H61" i="30"/>
  <c r="L60" i="30"/>
  <c r="H60" i="30"/>
  <c r="L59" i="30"/>
  <c r="H59" i="30"/>
  <c r="L58" i="30"/>
  <c r="H58" i="30"/>
  <c r="L57" i="30"/>
  <c r="H57" i="30"/>
  <c r="L56" i="30"/>
  <c r="H56" i="30"/>
  <c r="L55" i="30"/>
  <c r="H55" i="30"/>
  <c r="L54" i="30"/>
  <c r="H54" i="30"/>
  <c r="L53" i="30"/>
  <c r="H53" i="30"/>
  <c r="L52" i="30"/>
  <c r="H52" i="30"/>
  <c r="L51" i="30"/>
  <c r="H51" i="30"/>
  <c r="L50" i="30"/>
  <c r="H50" i="30"/>
  <c r="L49" i="30"/>
  <c r="H49" i="30"/>
  <c r="L48" i="30"/>
  <c r="H48" i="30"/>
  <c r="L47" i="30"/>
  <c r="H47" i="30"/>
  <c r="L46" i="30"/>
  <c r="H46" i="30"/>
  <c r="L45" i="30"/>
  <c r="H45" i="30"/>
  <c r="L44" i="30"/>
  <c r="H44" i="30"/>
  <c r="H43" i="30"/>
  <c r="L42" i="30"/>
  <c r="H42" i="30"/>
  <c r="L41" i="30"/>
  <c r="H41" i="30"/>
  <c r="L40" i="30"/>
  <c r="H40" i="30"/>
  <c r="H39" i="30"/>
  <c r="L38" i="30"/>
  <c r="H38" i="30"/>
  <c r="L37" i="30"/>
  <c r="H37" i="30"/>
  <c r="L36" i="30"/>
  <c r="H36" i="30"/>
  <c r="L35" i="30"/>
  <c r="H35" i="30"/>
  <c r="L34" i="30"/>
  <c r="H34" i="30"/>
  <c r="L33" i="30"/>
  <c r="H33" i="30"/>
  <c r="L32" i="30"/>
  <c r="H32" i="30"/>
  <c r="L31" i="30"/>
  <c r="H31" i="30"/>
  <c r="L30" i="30"/>
  <c r="H30" i="30"/>
  <c r="L29" i="30"/>
  <c r="H29" i="30"/>
  <c r="L28" i="30"/>
  <c r="H28" i="30"/>
  <c r="L27" i="30"/>
  <c r="H27" i="30"/>
  <c r="L26" i="30"/>
  <c r="H26" i="30"/>
  <c r="L25" i="30"/>
  <c r="H25" i="30"/>
  <c r="H24" i="30"/>
  <c r="H23" i="30"/>
  <c r="H22" i="30"/>
  <c r="L21" i="30"/>
  <c r="H21" i="30"/>
  <c r="L20" i="30"/>
  <c r="H20" i="30"/>
  <c r="L19" i="30"/>
  <c r="H19" i="30"/>
  <c r="H18" i="30"/>
  <c r="H17" i="30"/>
  <c r="L16" i="30"/>
  <c r="H16" i="30"/>
  <c r="H15" i="30"/>
  <c r="L14" i="30"/>
  <c r="H14" i="30"/>
  <c r="L13" i="30"/>
  <c r="H13" i="30"/>
  <c r="L12" i="30"/>
  <c r="H12" i="30"/>
  <c r="L11" i="30"/>
  <c r="H11" i="30"/>
  <c r="L10" i="30"/>
  <c r="H10" i="30"/>
  <c r="L9" i="30"/>
  <c r="H9" i="30"/>
  <c r="L8" i="30"/>
  <c r="H8" i="30"/>
  <c r="L7" i="30"/>
  <c r="H7" i="30"/>
  <c r="L6" i="30"/>
  <c r="H6" i="30"/>
  <c r="L93" i="29"/>
  <c r="H93" i="29"/>
  <c r="S6" i="29"/>
  <c r="M6" i="29"/>
  <c r="N6" i="29" s="1"/>
  <c r="M7" i="29"/>
  <c r="N7" i="29"/>
  <c r="O7" i="29" s="1"/>
  <c r="T6" i="29"/>
  <c r="T410" i="29" s="1"/>
  <c r="L410" i="29" s="1"/>
  <c r="C410" i="29"/>
  <c r="K410" i="29"/>
  <c r="G410" i="29"/>
  <c r="H409" i="29"/>
  <c r="L408" i="29"/>
  <c r="H408" i="29"/>
  <c r="H407" i="29"/>
  <c r="L406" i="29"/>
  <c r="H406" i="29"/>
  <c r="H405" i="29"/>
  <c r="H404" i="29"/>
  <c r="L403" i="29"/>
  <c r="H403" i="29"/>
  <c r="L402" i="29"/>
  <c r="H402" i="29"/>
  <c r="H400" i="29"/>
  <c r="L401" i="29"/>
  <c r="H401" i="29"/>
  <c r="L399" i="29"/>
  <c r="H399" i="29"/>
  <c r="L398" i="29"/>
  <c r="H398" i="29"/>
  <c r="L397" i="29"/>
  <c r="H397" i="29"/>
  <c r="L396" i="29"/>
  <c r="H396" i="29"/>
  <c r="L395" i="29"/>
  <c r="H395" i="29"/>
  <c r="L394" i="29"/>
  <c r="H394" i="29"/>
  <c r="L393" i="29"/>
  <c r="H393" i="29"/>
  <c r="L392" i="29"/>
  <c r="H392" i="29"/>
  <c r="L391" i="29"/>
  <c r="H391" i="29"/>
  <c r="L390" i="29"/>
  <c r="H390" i="29"/>
  <c r="L389" i="29"/>
  <c r="H389" i="29"/>
  <c r="L388" i="29"/>
  <c r="H388" i="29"/>
  <c r="L387" i="29"/>
  <c r="H387" i="29"/>
  <c r="L386" i="29"/>
  <c r="H386" i="29"/>
  <c r="L385" i="29"/>
  <c r="H385" i="29"/>
  <c r="L384" i="29"/>
  <c r="H384" i="29"/>
  <c r="L383" i="29"/>
  <c r="H383" i="29"/>
  <c r="H382" i="29"/>
  <c r="L381" i="29"/>
  <c r="H381" i="29"/>
  <c r="L380" i="29"/>
  <c r="H380" i="29"/>
  <c r="L379" i="29"/>
  <c r="H379" i="29"/>
  <c r="L378" i="29"/>
  <c r="H378" i="29"/>
  <c r="L377" i="29"/>
  <c r="H377" i="29"/>
  <c r="L376" i="29"/>
  <c r="H376" i="29"/>
  <c r="H375" i="29"/>
  <c r="L374" i="29"/>
  <c r="H374" i="29"/>
  <c r="L373" i="29"/>
  <c r="H373" i="29"/>
  <c r="L366" i="29"/>
  <c r="H366" i="29"/>
  <c r="L365" i="29"/>
  <c r="H365" i="29"/>
  <c r="L364" i="29"/>
  <c r="H364" i="29"/>
  <c r="L363" i="29"/>
  <c r="H363" i="29"/>
  <c r="L362" i="29"/>
  <c r="H362" i="29"/>
  <c r="L361" i="29"/>
  <c r="H361" i="29"/>
  <c r="L360" i="29"/>
  <c r="H360" i="29"/>
  <c r="L356" i="29"/>
  <c r="H356" i="29"/>
  <c r="L359" i="29"/>
  <c r="H359" i="29"/>
  <c r="L358" i="29"/>
  <c r="H358" i="29"/>
  <c r="L357" i="29"/>
  <c r="H357" i="29"/>
  <c r="L355" i="29"/>
  <c r="H355" i="29"/>
  <c r="L354" i="29"/>
  <c r="H354" i="29"/>
  <c r="L353" i="29"/>
  <c r="H353" i="29"/>
  <c r="L372" i="29"/>
  <c r="H372" i="29"/>
  <c r="L371" i="29"/>
  <c r="H371" i="29"/>
  <c r="L370" i="29"/>
  <c r="H370" i="29"/>
  <c r="L369" i="29"/>
  <c r="H369" i="29"/>
  <c r="L368" i="29"/>
  <c r="H368" i="29"/>
  <c r="L367" i="29"/>
  <c r="H367" i="29"/>
  <c r="L352" i="29"/>
  <c r="H352" i="29"/>
  <c r="L351" i="29"/>
  <c r="H351" i="29"/>
  <c r="L350" i="29"/>
  <c r="H350" i="29"/>
  <c r="L349" i="29"/>
  <c r="H349" i="29"/>
  <c r="L348" i="29"/>
  <c r="H348" i="29"/>
  <c r="L347" i="29"/>
  <c r="H347" i="29"/>
  <c r="L346" i="29"/>
  <c r="H346" i="29"/>
  <c r="L345" i="29"/>
  <c r="H345" i="29"/>
  <c r="L344" i="29"/>
  <c r="H344" i="29"/>
  <c r="L343" i="29"/>
  <c r="H343" i="29"/>
  <c r="L342" i="29"/>
  <c r="H342" i="29"/>
  <c r="L341" i="29"/>
  <c r="H341" i="29"/>
  <c r="L340" i="29"/>
  <c r="H340" i="29"/>
  <c r="L339" i="29"/>
  <c r="H339" i="29"/>
  <c r="L338" i="29"/>
  <c r="H338" i="29"/>
  <c r="L337" i="29"/>
  <c r="H337" i="29"/>
  <c r="H336" i="29"/>
  <c r="L335" i="29"/>
  <c r="H335" i="29"/>
  <c r="L334" i="29"/>
  <c r="H334" i="29"/>
  <c r="L333" i="29"/>
  <c r="H333" i="29"/>
  <c r="L332" i="29"/>
  <c r="H332" i="29"/>
  <c r="L331" i="29"/>
  <c r="H331" i="29"/>
  <c r="L330" i="29"/>
  <c r="H330" i="29"/>
  <c r="L329" i="29"/>
  <c r="H329" i="29"/>
  <c r="L326" i="29"/>
  <c r="H326" i="29"/>
  <c r="L325" i="29"/>
  <c r="H325" i="29"/>
  <c r="L327" i="29"/>
  <c r="H327" i="29"/>
  <c r="L328" i="29"/>
  <c r="H328" i="29"/>
  <c r="L324" i="29"/>
  <c r="H324" i="29"/>
  <c r="L323" i="29"/>
  <c r="H323" i="29"/>
  <c r="L322" i="29"/>
  <c r="H322" i="29"/>
  <c r="L321" i="29"/>
  <c r="H321" i="29"/>
  <c r="L320" i="29"/>
  <c r="H320" i="29"/>
  <c r="L319" i="29"/>
  <c r="H319" i="29"/>
  <c r="L318" i="29"/>
  <c r="H318" i="29"/>
  <c r="L317" i="29"/>
  <c r="H317" i="29"/>
  <c r="L316" i="29"/>
  <c r="H316" i="29"/>
  <c r="L315" i="29"/>
  <c r="H315" i="29"/>
  <c r="L314" i="29"/>
  <c r="H314" i="29"/>
  <c r="L313" i="29"/>
  <c r="H313" i="29"/>
  <c r="L312" i="29"/>
  <c r="H312" i="29"/>
  <c r="L311" i="29"/>
  <c r="H311" i="29"/>
  <c r="L310" i="29"/>
  <c r="H310" i="29"/>
  <c r="L309" i="29"/>
  <c r="H309" i="29"/>
  <c r="L308" i="29"/>
  <c r="H308" i="29"/>
  <c r="L307" i="29"/>
  <c r="H307" i="29"/>
  <c r="L306" i="29"/>
  <c r="H306" i="29"/>
  <c r="L304" i="29"/>
  <c r="H304" i="29"/>
  <c r="L305" i="29"/>
  <c r="H305" i="29"/>
  <c r="L303" i="29"/>
  <c r="H303" i="29"/>
  <c r="L302" i="29"/>
  <c r="H302" i="29"/>
  <c r="L301" i="29"/>
  <c r="H301" i="29"/>
  <c r="L300" i="29"/>
  <c r="H300" i="29"/>
  <c r="L299" i="29"/>
  <c r="H299" i="29"/>
  <c r="L298" i="29"/>
  <c r="H298" i="29"/>
  <c r="L297" i="29"/>
  <c r="H297" i="29"/>
  <c r="L296" i="29"/>
  <c r="H296" i="29"/>
  <c r="L295" i="29"/>
  <c r="H295" i="29"/>
  <c r="L294" i="29"/>
  <c r="H294" i="29"/>
  <c r="L293" i="29"/>
  <c r="H293" i="29"/>
  <c r="L292" i="29"/>
  <c r="H292" i="29"/>
  <c r="L291" i="29"/>
  <c r="H291" i="29"/>
  <c r="L290" i="29"/>
  <c r="H290" i="29"/>
  <c r="L289" i="29"/>
  <c r="H289" i="29"/>
  <c r="L288" i="29"/>
  <c r="H288" i="29"/>
  <c r="L287" i="29"/>
  <c r="H287" i="29"/>
  <c r="L286" i="29"/>
  <c r="H286" i="29"/>
  <c r="L285" i="29"/>
  <c r="H285" i="29"/>
  <c r="L284" i="29"/>
  <c r="H284" i="29"/>
  <c r="L283" i="29"/>
  <c r="H283" i="29"/>
  <c r="L282" i="29"/>
  <c r="H282" i="29"/>
  <c r="L281" i="29"/>
  <c r="H281" i="29"/>
  <c r="L280" i="29"/>
  <c r="H280" i="29"/>
  <c r="L279" i="29"/>
  <c r="H279" i="29"/>
  <c r="L278" i="29"/>
  <c r="H278" i="29"/>
  <c r="L277" i="29"/>
  <c r="H277" i="29"/>
  <c r="L276" i="29"/>
  <c r="H276" i="29"/>
  <c r="L275" i="29"/>
  <c r="H275" i="29"/>
  <c r="L274" i="29"/>
  <c r="H274" i="29"/>
  <c r="L273" i="29"/>
  <c r="H273" i="29"/>
  <c r="L272" i="29"/>
  <c r="H272" i="29"/>
  <c r="H271" i="29"/>
  <c r="L270" i="29"/>
  <c r="H270" i="29"/>
  <c r="H269" i="29"/>
  <c r="L268" i="29"/>
  <c r="H268" i="29"/>
  <c r="L267" i="29"/>
  <c r="H267" i="29"/>
  <c r="L266" i="29"/>
  <c r="H266" i="29"/>
  <c r="L265" i="29"/>
  <c r="H265" i="29"/>
  <c r="L264" i="29"/>
  <c r="H264" i="29"/>
  <c r="L263" i="29"/>
  <c r="H263" i="29"/>
  <c r="L262" i="29"/>
  <c r="H262" i="29"/>
  <c r="L261" i="29"/>
  <c r="H261" i="29"/>
  <c r="L260" i="29"/>
  <c r="H260" i="29"/>
  <c r="L259" i="29"/>
  <c r="H259" i="29"/>
  <c r="L258" i="29"/>
  <c r="H258" i="29"/>
  <c r="L257" i="29"/>
  <c r="H257" i="29"/>
  <c r="L256" i="29"/>
  <c r="H256" i="29"/>
  <c r="L255" i="29"/>
  <c r="H255" i="29"/>
  <c r="L254" i="29"/>
  <c r="H254" i="29"/>
  <c r="L253" i="29"/>
  <c r="H253" i="29"/>
  <c r="L252" i="29"/>
  <c r="H252" i="29"/>
  <c r="L251" i="29"/>
  <c r="H251" i="29"/>
  <c r="L250" i="29"/>
  <c r="H250" i="29"/>
  <c r="L249" i="29"/>
  <c r="H249" i="29"/>
  <c r="L248" i="29"/>
  <c r="H248" i="29"/>
  <c r="L247" i="29"/>
  <c r="H247" i="29"/>
  <c r="L246" i="29"/>
  <c r="H246" i="29"/>
  <c r="L245" i="29"/>
  <c r="H245" i="29"/>
  <c r="L244" i="29"/>
  <c r="H244" i="29"/>
  <c r="H243" i="29"/>
  <c r="L242" i="29"/>
  <c r="H242" i="29"/>
  <c r="L241" i="29"/>
  <c r="H241" i="29"/>
  <c r="L240" i="29"/>
  <c r="H240" i="29"/>
  <c r="L239" i="29"/>
  <c r="H239" i="29"/>
  <c r="L238" i="29"/>
  <c r="H238" i="29"/>
  <c r="L237" i="29"/>
  <c r="H237" i="29"/>
  <c r="L236" i="29"/>
  <c r="H236" i="29"/>
  <c r="L235" i="29"/>
  <c r="H235" i="29"/>
  <c r="L234" i="29"/>
  <c r="H234" i="29"/>
  <c r="L233" i="29"/>
  <c r="H233" i="29"/>
  <c r="L232" i="29"/>
  <c r="H232" i="29"/>
  <c r="L231" i="29"/>
  <c r="H231" i="29"/>
  <c r="L230" i="29"/>
  <c r="H230" i="29"/>
  <c r="L229" i="29"/>
  <c r="H229" i="29"/>
  <c r="L228" i="29"/>
  <c r="H228" i="29"/>
  <c r="L227" i="29"/>
  <c r="H227" i="29"/>
  <c r="L226" i="29"/>
  <c r="H226" i="29"/>
  <c r="L225" i="29"/>
  <c r="H225" i="29"/>
  <c r="L224" i="29"/>
  <c r="H224" i="29"/>
  <c r="L223" i="29"/>
  <c r="H223" i="29"/>
  <c r="L222" i="29"/>
  <c r="H222" i="29"/>
  <c r="L221" i="29"/>
  <c r="H221" i="29"/>
  <c r="L220" i="29"/>
  <c r="H220" i="29"/>
  <c r="L219" i="29"/>
  <c r="H219" i="29"/>
  <c r="L218" i="29"/>
  <c r="H218" i="29"/>
  <c r="L217" i="29"/>
  <c r="H217" i="29"/>
  <c r="L216" i="29"/>
  <c r="H216" i="29"/>
  <c r="L215" i="29"/>
  <c r="H215" i="29"/>
  <c r="L214" i="29"/>
  <c r="H214" i="29"/>
  <c r="L213" i="29"/>
  <c r="H213" i="29"/>
  <c r="L212" i="29"/>
  <c r="H212" i="29"/>
  <c r="L211" i="29"/>
  <c r="H211" i="29"/>
  <c r="L210" i="29"/>
  <c r="H210" i="29"/>
  <c r="L209" i="29"/>
  <c r="H209" i="29"/>
  <c r="L208" i="29"/>
  <c r="H208" i="29"/>
  <c r="L207" i="29"/>
  <c r="H207" i="29"/>
  <c r="L206" i="29"/>
  <c r="H206" i="29"/>
  <c r="L205" i="29"/>
  <c r="H205" i="29"/>
  <c r="L204" i="29"/>
  <c r="H204" i="29"/>
  <c r="L203" i="29"/>
  <c r="H203" i="29"/>
  <c r="L202" i="29"/>
  <c r="H202" i="29"/>
  <c r="L201" i="29"/>
  <c r="H201" i="29"/>
  <c r="L200" i="29"/>
  <c r="H200" i="29"/>
  <c r="L199" i="29"/>
  <c r="H199" i="29"/>
  <c r="H198" i="29"/>
  <c r="L197" i="29"/>
  <c r="H197" i="29"/>
  <c r="H196" i="29"/>
  <c r="L195" i="29"/>
  <c r="H195" i="29"/>
  <c r="L194" i="29"/>
  <c r="H194" i="29"/>
  <c r="L193" i="29"/>
  <c r="H193" i="29"/>
  <c r="L192" i="29"/>
  <c r="H192" i="29"/>
  <c r="L190" i="29"/>
  <c r="H190" i="29"/>
  <c r="L191" i="29"/>
  <c r="H191" i="29"/>
  <c r="L189" i="29"/>
  <c r="H189" i="29"/>
  <c r="L188" i="29"/>
  <c r="H188" i="29"/>
  <c r="L187" i="29"/>
  <c r="H187" i="29"/>
  <c r="L186" i="29"/>
  <c r="H186" i="29"/>
  <c r="L185" i="29"/>
  <c r="H185" i="29"/>
  <c r="L184" i="29"/>
  <c r="H184" i="29"/>
  <c r="L183" i="29"/>
  <c r="H183" i="29"/>
  <c r="L182" i="29"/>
  <c r="H182" i="29"/>
  <c r="L181" i="29"/>
  <c r="H181" i="29"/>
  <c r="L180" i="29"/>
  <c r="H180" i="29"/>
  <c r="L179" i="29"/>
  <c r="H179" i="29"/>
  <c r="L178" i="29"/>
  <c r="H178" i="29"/>
  <c r="L177" i="29"/>
  <c r="H177" i="29"/>
  <c r="L176" i="29"/>
  <c r="H176" i="29"/>
  <c r="L175" i="29"/>
  <c r="H175" i="29"/>
  <c r="L174" i="29"/>
  <c r="H174" i="29"/>
  <c r="L173" i="29"/>
  <c r="H173" i="29"/>
  <c r="L172" i="29"/>
  <c r="H172" i="29"/>
  <c r="L171" i="29"/>
  <c r="H171" i="29"/>
  <c r="L170" i="29"/>
  <c r="H170" i="29"/>
  <c r="L169" i="29"/>
  <c r="H169" i="29"/>
  <c r="L168" i="29"/>
  <c r="H168" i="29"/>
  <c r="L167" i="29"/>
  <c r="H167" i="29"/>
  <c r="L166" i="29"/>
  <c r="H166" i="29"/>
  <c r="L165" i="29"/>
  <c r="H165" i="29"/>
  <c r="L164" i="29"/>
  <c r="H164" i="29"/>
  <c r="L163" i="29"/>
  <c r="H163" i="29"/>
  <c r="L162" i="29"/>
  <c r="H162" i="29"/>
  <c r="L161" i="29"/>
  <c r="H161" i="29"/>
  <c r="L160" i="29"/>
  <c r="H160" i="29"/>
  <c r="L159" i="29"/>
  <c r="H159" i="29"/>
  <c r="L158" i="29"/>
  <c r="H158" i="29"/>
  <c r="L157" i="29"/>
  <c r="H157" i="29"/>
  <c r="L156" i="29"/>
  <c r="H156" i="29"/>
  <c r="L155" i="29"/>
  <c r="H155" i="29"/>
  <c r="L154" i="29"/>
  <c r="H154" i="29"/>
  <c r="L153" i="29"/>
  <c r="H153" i="29"/>
  <c r="L152" i="29"/>
  <c r="H152" i="29"/>
  <c r="L151" i="29"/>
  <c r="H151" i="29"/>
  <c r="H150" i="29"/>
  <c r="L149" i="29"/>
  <c r="H149" i="29"/>
  <c r="L148" i="29"/>
  <c r="H148" i="29"/>
  <c r="H147" i="29"/>
  <c r="L146" i="29"/>
  <c r="H146" i="29"/>
  <c r="L145" i="29"/>
  <c r="H145" i="29"/>
  <c r="L144" i="29"/>
  <c r="H144" i="29"/>
  <c r="H143" i="29"/>
  <c r="L142" i="29"/>
  <c r="H142" i="29"/>
  <c r="L141" i="29"/>
  <c r="H141" i="29"/>
  <c r="L140" i="29"/>
  <c r="H140" i="29"/>
  <c r="L139" i="29"/>
  <c r="H139" i="29"/>
  <c r="L138" i="29"/>
  <c r="H138" i="29"/>
  <c r="L137" i="29"/>
  <c r="H137" i="29"/>
  <c r="H136" i="29"/>
  <c r="H135" i="29"/>
  <c r="L134" i="29"/>
  <c r="H134" i="29"/>
  <c r="L133" i="29"/>
  <c r="H133" i="29"/>
  <c r="H132" i="29"/>
  <c r="L131" i="29"/>
  <c r="H131" i="29"/>
  <c r="L130" i="29"/>
  <c r="H130" i="29"/>
  <c r="L129" i="29"/>
  <c r="H129" i="29"/>
  <c r="L128" i="29"/>
  <c r="H128" i="29"/>
  <c r="L127" i="29"/>
  <c r="H127" i="29"/>
  <c r="L126" i="29"/>
  <c r="H126" i="29"/>
  <c r="L125" i="29"/>
  <c r="H125" i="29"/>
  <c r="L124" i="29"/>
  <c r="H124" i="29"/>
  <c r="L123" i="29"/>
  <c r="H123" i="29"/>
  <c r="L122" i="29"/>
  <c r="H122" i="29"/>
  <c r="L121" i="29"/>
  <c r="H121" i="29"/>
  <c r="L120" i="29"/>
  <c r="H120" i="29"/>
  <c r="L119" i="29"/>
  <c r="H119" i="29"/>
  <c r="L118" i="29"/>
  <c r="H118" i="29"/>
  <c r="L117" i="29"/>
  <c r="H117" i="29"/>
  <c r="L116" i="29"/>
  <c r="H116" i="29"/>
  <c r="L115" i="29"/>
  <c r="H115" i="29"/>
  <c r="L114" i="29"/>
  <c r="H114" i="29"/>
  <c r="L113" i="29"/>
  <c r="H113" i="29"/>
  <c r="L112" i="29"/>
  <c r="H112" i="29"/>
  <c r="H111" i="29"/>
  <c r="H110" i="29"/>
  <c r="L109" i="29"/>
  <c r="H109" i="29"/>
  <c r="L108" i="29"/>
  <c r="H108" i="29"/>
  <c r="L107" i="29"/>
  <c r="H107" i="29"/>
  <c r="L106" i="29"/>
  <c r="H106" i="29"/>
  <c r="L105" i="29"/>
  <c r="H105" i="29"/>
  <c r="L104" i="29"/>
  <c r="H104" i="29"/>
  <c r="L103" i="29"/>
  <c r="H103" i="29"/>
  <c r="L102" i="29"/>
  <c r="H102" i="29"/>
  <c r="L101" i="29"/>
  <c r="H101" i="29"/>
  <c r="H100" i="29"/>
  <c r="L99" i="29"/>
  <c r="H99" i="29"/>
  <c r="L98" i="29"/>
  <c r="H98" i="29"/>
  <c r="L97" i="29"/>
  <c r="H97" i="29"/>
  <c r="L96" i="29"/>
  <c r="H96" i="29"/>
  <c r="L95" i="29"/>
  <c r="H95" i="29"/>
  <c r="L94" i="29"/>
  <c r="H94" i="29"/>
  <c r="L91" i="29"/>
  <c r="H91" i="29"/>
  <c r="L90" i="29"/>
  <c r="H90" i="29"/>
  <c r="L89" i="29"/>
  <c r="H89" i="29"/>
  <c r="L88" i="29"/>
  <c r="H88" i="29"/>
  <c r="L87" i="29"/>
  <c r="H87" i="29"/>
  <c r="L86" i="29"/>
  <c r="H86" i="29"/>
  <c r="H85" i="29"/>
  <c r="L84" i="29"/>
  <c r="H84" i="29"/>
  <c r="L83" i="29"/>
  <c r="H83" i="29"/>
  <c r="L82" i="29"/>
  <c r="H82" i="29"/>
  <c r="H81" i="29"/>
  <c r="L80" i="29"/>
  <c r="H80" i="29"/>
  <c r="L79" i="29"/>
  <c r="H79" i="29"/>
  <c r="L78" i="29"/>
  <c r="H78" i="29"/>
  <c r="L77" i="29"/>
  <c r="H77" i="29"/>
  <c r="L76" i="29"/>
  <c r="H76" i="29"/>
  <c r="L75" i="29"/>
  <c r="H75" i="29"/>
  <c r="L74" i="29"/>
  <c r="H74" i="29"/>
  <c r="H73" i="29"/>
  <c r="L72" i="29"/>
  <c r="H72" i="29"/>
  <c r="L71" i="29"/>
  <c r="H71" i="29"/>
  <c r="L70" i="29"/>
  <c r="H70" i="29"/>
  <c r="L69" i="29"/>
  <c r="H69" i="29"/>
  <c r="L68" i="29"/>
  <c r="H68" i="29"/>
  <c r="L67" i="29"/>
  <c r="H67" i="29"/>
  <c r="L66" i="29"/>
  <c r="H66" i="29"/>
  <c r="L65" i="29"/>
  <c r="H65" i="29"/>
  <c r="L64" i="29"/>
  <c r="H64" i="29"/>
  <c r="L63" i="29"/>
  <c r="H63" i="29"/>
  <c r="L62" i="29"/>
  <c r="H62" i="29"/>
  <c r="L61" i="29"/>
  <c r="H61" i="29"/>
  <c r="L60" i="29"/>
  <c r="H60" i="29"/>
  <c r="L59" i="29"/>
  <c r="H59" i="29"/>
  <c r="L58" i="29"/>
  <c r="H58" i="29"/>
  <c r="L57" i="29"/>
  <c r="H57" i="29"/>
  <c r="L56" i="29"/>
  <c r="H56" i="29"/>
  <c r="L55" i="29"/>
  <c r="H55" i="29"/>
  <c r="L54" i="29"/>
  <c r="H54" i="29"/>
  <c r="L53" i="29"/>
  <c r="H53" i="29"/>
  <c r="L52" i="29"/>
  <c r="H52" i="29"/>
  <c r="L51" i="29"/>
  <c r="H51" i="29"/>
  <c r="L50" i="29"/>
  <c r="H50" i="29"/>
  <c r="L49" i="29"/>
  <c r="H49" i="29"/>
  <c r="L48" i="29"/>
  <c r="H48" i="29"/>
  <c r="L47" i="29"/>
  <c r="H47" i="29"/>
  <c r="L46" i="29"/>
  <c r="H46" i="29"/>
  <c r="L45" i="29"/>
  <c r="H45" i="29"/>
  <c r="L44" i="29"/>
  <c r="H44" i="29"/>
  <c r="H43" i="29"/>
  <c r="L42" i="29"/>
  <c r="H42" i="29"/>
  <c r="L41" i="29"/>
  <c r="H41" i="29"/>
  <c r="L40" i="29"/>
  <c r="H40" i="29"/>
  <c r="H39" i="29"/>
  <c r="L38" i="29"/>
  <c r="H38" i="29"/>
  <c r="L37" i="29"/>
  <c r="H37" i="29"/>
  <c r="L36" i="29"/>
  <c r="H36" i="29"/>
  <c r="L35" i="29"/>
  <c r="H35" i="29"/>
  <c r="L34" i="29"/>
  <c r="H34" i="29"/>
  <c r="L33" i="29"/>
  <c r="H33" i="29"/>
  <c r="L32" i="29"/>
  <c r="H32" i="29"/>
  <c r="L31" i="29"/>
  <c r="H31" i="29"/>
  <c r="L30" i="29"/>
  <c r="H30" i="29"/>
  <c r="L29" i="29"/>
  <c r="H29" i="29"/>
  <c r="L28" i="29"/>
  <c r="H28" i="29"/>
  <c r="L27" i="29"/>
  <c r="H27" i="29"/>
  <c r="L26" i="29"/>
  <c r="H26" i="29"/>
  <c r="L25" i="29"/>
  <c r="H25" i="29"/>
  <c r="H24" i="29"/>
  <c r="H23" i="29"/>
  <c r="H22" i="29"/>
  <c r="L21" i="29"/>
  <c r="H21" i="29"/>
  <c r="L20" i="29"/>
  <c r="H20" i="29"/>
  <c r="L19" i="29"/>
  <c r="H19" i="29"/>
  <c r="H18" i="29"/>
  <c r="H17" i="29"/>
  <c r="L16" i="29"/>
  <c r="H16" i="29"/>
  <c r="H15" i="29"/>
  <c r="L14" i="29"/>
  <c r="H14" i="29"/>
  <c r="L13" i="29"/>
  <c r="H13" i="29"/>
  <c r="L12" i="29"/>
  <c r="H12" i="29"/>
  <c r="L11" i="29"/>
  <c r="H11" i="29"/>
  <c r="L10" i="29"/>
  <c r="H10" i="29"/>
  <c r="L9" i="29"/>
  <c r="H9" i="29"/>
  <c r="L8" i="29"/>
  <c r="H8" i="29"/>
  <c r="L7" i="29"/>
  <c r="H7" i="29"/>
  <c r="L6" i="29"/>
  <c r="H6" i="29"/>
  <c r="H94" i="28"/>
  <c r="H95" i="28"/>
  <c r="H96" i="28"/>
  <c r="H97" i="28"/>
  <c r="H98" i="28"/>
  <c r="H99" i="28"/>
  <c r="H100"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H243" i="28"/>
  <c r="H244" i="28"/>
  <c r="H245" i="28"/>
  <c r="H246" i="28"/>
  <c r="H247" i="28"/>
  <c r="H248" i="28"/>
  <c r="H249" i="28"/>
  <c r="H250" i="28"/>
  <c r="H251" i="28"/>
  <c r="H252" i="28"/>
  <c r="H253" i="28"/>
  <c r="H254" i="28"/>
  <c r="H255" i="28"/>
  <c r="H256" i="28"/>
  <c r="H257" i="28"/>
  <c r="H258" i="28"/>
  <c r="H259" i="28"/>
  <c r="H260" i="28"/>
  <c r="H261" i="28"/>
  <c r="H262" i="28"/>
  <c r="H263" i="28"/>
  <c r="H264" i="28"/>
  <c r="H265" i="28"/>
  <c r="H266" i="28"/>
  <c r="H267" i="28"/>
  <c r="H268" i="28"/>
  <c r="H269" i="28"/>
  <c r="H270" i="28"/>
  <c r="H271" i="28"/>
  <c r="H272" i="28"/>
  <c r="H273" i="28"/>
  <c r="H274" i="28"/>
  <c r="H275" i="28"/>
  <c r="H276" i="28"/>
  <c r="H277" i="28"/>
  <c r="H278" i="28"/>
  <c r="H279" i="28"/>
  <c r="H280" i="28"/>
  <c r="H281" i="28"/>
  <c r="H282" i="28"/>
  <c r="H283" i="28"/>
  <c r="H284" i="28"/>
  <c r="H285" i="28"/>
  <c r="H286" i="28"/>
  <c r="H287" i="28"/>
  <c r="H288" i="28"/>
  <c r="H289" i="28"/>
  <c r="H290" i="28"/>
  <c r="H291" i="28"/>
  <c r="H292" i="28"/>
  <c r="H293" i="28"/>
  <c r="H294" i="28"/>
  <c r="H295" i="28"/>
  <c r="H296" i="28"/>
  <c r="H297" i="28"/>
  <c r="H298" i="28"/>
  <c r="H299" i="28"/>
  <c r="H300" i="28"/>
  <c r="H301" i="28"/>
  <c r="H302" i="28"/>
  <c r="H303" i="28"/>
  <c r="H304" i="28"/>
  <c r="H305" i="28"/>
  <c r="H307" i="28"/>
  <c r="H306" i="28"/>
  <c r="H308" i="28"/>
  <c r="H309" i="28"/>
  <c r="H310" i="28"/>
  <c r="H311" i="28"/>
  <c r="H312" i="28"/>
  <c r="H313" i="28"/>
  <c r="H314" i="28"/>
  <c r="H315" i="28"/>
  <c r="H316" i="28"/>
  <c r="H317" i="28"/>
  <c r="H318" i="28"/>
  <c r="H319" i="28"/>
  <c r="H320" i="28"/>
  <c r="H321" i="28"/>
  <c r="H322" i="28"/>
  <c r="H323" i="28"/>
  <c r="H324" i="28"/>
  <c r="H325" i="28"/>
  <c r="H326" i="28"/>
  <c r="H330" i="28"/>
  <c r="H329" i="28"/>
  <c r="H327" i="28"/>
  <c r="H328" i="28"/>
  <c r="H331" i="28"/>
  <c r="H332" i="28"/>
  <c r="H333" i="28"/>
  <c r="H334" i="28"/>
  <c r="H335" i="28"/>
  <c r="H336" i="28"/>
  <c r="H337" i="28"/>
  <c r="H338" i="28"/>
  <c r="H339" i="28"/>
  <c r="H340" i="28"/>
  <c r="H341" i="28"/>
  <c r="H342" i="28"/>
  <c r="H343" i="28"/>
  <c r="H344" i="28"/>
  <c r="H345" i="28"/>
  <c r="H346" i="28"/>
  <c r="H347" i="28"/>
  <c r="H348" i="28"/>
  <c r="H349" i="28"/>
  <c r="H350" i="28"/>
  <c r="H351" i="28"/>
  <c r="H352" i="28"/>
  <c r="H353" i="28"/>
  <c r="H354" i="28"/>
  <c r="H368" i="28"/>
  <c r="H369" i="28"/>
  <c r="H370" i="28"/>
  <c r="H371" i="28"/>
  <c r="H372" i="28"/>
  <c r="H373" i="28"/>
  <c r="H355" i="28"/>
  <c r="H356" i="28"/>
  <c r="H357" i="28"/>
  <c r="H358" i="28"/>
  <c r="H359" i="28"/>
  <c r="H360" i="28"/>
  <c r="H361" i="28"/>
  <c r="H362" i="28"/>
  <c r="H363" i="28"/>
  <c r="H364" i="28"/>
  <c r="H365" i="28"/>
  <c r="H366" i="28"/>
  <c r="H367" i="28"/>
  <c r="H374" i="28"/>
  <c r="H375" i="28"/>
  <c r="H376" i="28"/>
  <c r="H377" i="28"/>
  <c r="H378" i="28"/>
  <c r="H379" i="28"/>
  <c r="H380" i="28"/>
  <c r="H381" i="28"/>
  <c r="H382" i="28"/>
  <c r="H383" i="28"/>
  <c r="H384" i="28"/>
  <c r="H385" i="28"/>
  <c r="H386" i="28"/>
  <c r="H387" i="28"/>
  <c r="H388" i="28"/>
  <c r="H389" i="28"/>
  <c r="H390" i="28"/>
  <c r="H391" i="28"/>
  <c r="H392" i="28"/>
  <c r="H393" i="28"/>
  <c r="H394" i="28"/>
  <c r="H395" i="28"/>
  <c r="H396" i="28"/>
  <c r="H397" i="28"/>
  <c r="H398" i="28"/>
  <c r="H399" i="28"/>
  <c r="H400" i="28"/>
  <c r="H402" i="28"/>
  <c r="H401" i="28"/>
  <c r="H403" i="28"/>
  <c r="H404" i="28"/>
  <c r="H405" i="28"/>
  <c r="H406" i="28"/>
  <c r="H407" i="28"/>
  <c r="H408" i="28"/>
  <c r="H409" i="28"/>
  <c r="S6" i="28"/>
  <c r="M122" i="28"/>
  <c r="N122" i="28" s="1"/>
  <c r="O122" i="28" s="1"/>
  <c r="M184" i="28"/>
  <c r="N184" i="28" s="1"/>
  <c r="O184" i="28" s="1"/>
  <c r="M225" i="28"/>
  <c r="N225" i="28" s="1"/>
  <c r="O225" i="28" s="1"/>
  <c r="M296" i="28"/>
  <c r="N296" i="28" s="1"/>
  <c r="O296" i="28" s="1"/>
  <c r="M298" i="28"/>
  <c r="N298" i="28" s="1"/>
  <c r="O298" i="28" s="1"/>
  <c r="M64" i="28"/>
  <c r="N64" i="28"/>
  <c r="O64" i="28"/>
  <c r="M88" i="28"/>
  <c r="N88" i="28" s="1"/>
  <c r="O88" i="28" s="1"/>
  <c r="M104" i="28"/>
  <c r="N104" i="28" s="1"/>
  <c r="O104" i="28" s="1"/>
  <c r="M125" i="28"/>
  <c r="N125" i="28" s="1"/>
  <c r="O125" i="28" s="1"/>
  <c r="M205" i="28"/>
  <c r="N205" i="28"/>
  <c r="O205" i="28"/>
  <c r="M207" i="28"/>
  <c r="N207" i="28" s="1"/>
  <c r="O207" i="28" s="1"/>
  <c r="M208" i="28"/>
  <c r="N208" i="28" s="1"/>
  <c r="O208" i="28" s="1"/>
  <c r="M209" i="28"/>
  <c r="N209" i="28" s="1"/>
  <c r="O209" i="28" s="1"/>
  <c r="M212" i="28"/>
  <c r="N212" i="28"/>
  <c r="O212" i="28"/>
  <c r="M213" i="28"/>
  <c r="N213" i="28" s="1"/>
  <c r="O213" i="28" s="1"/>
  <c r="M217" i="28"/>
  <c r="N217" i="28" s="1"/>
  <c r="O217" i="28" s="1"/>
  <c r="M220" i="28"/>
  <c r="N220" i="28" s="1"/>
  <c r="O220" i="28" s="1"/>
  <c r="M223" i="28"/>
  <c r="N223" i="28" s="1"/>
  <c r="O223" i="28" s="1"/>
  <c r="M232" i="28"/>
  <c r="N232" i="28" s="1"/>
  <c r="O232" i="28" s="1"/>
  <c r="M267" i="28"/>
  <c r="N267" i="28" s="1"/>
  <c r="O267" i="28" s="1"/>
  <c r="M284" i="28"/>
  <c r="N284" i="28" s="1"/>
  <c r="O284" i="28" s="1"/>
  <c r="M285" i="28"/>
  <c r="N285" i="28"/>
  <c r="O285" i="28" s="1"/>
  <c r="M345" i="28"/>
  <c r="N345" i="28" s="1"/>
  <c r="O345" i="28" s="1"/>
  <c r="M347" i="28"/>
  <c r="N347" i="28" s="1"/>
  <c r="O347" i="28" s="1"/>
  <c r="M350" i="28"/>
  <c r="N350" i="28" s="1"/>
  <c r="O350" i="28" s="1"/>
  <c r="M351" i="28"/>
  <c r="N351" i="28" s="1"/>
  <c r="O351" i="28" s="1"/>
  <c r="M368" i="28"/>
  <c r="N368" i="28" s="1"/>
  <c r="O368" i="28" s="1"/>
  <c r="M57" i="28"/>
  <c r="N57" i="28" s="1"/>
  <c r="O57" i="28" s="1"/>
  <c r="M59" i="28"/>
  <c r="N59" i="28" s="1"/>
  <c r="O59" i="28" s="1"/>
  <c r="M103" i="28"/>
  <c r="N103" i="28"/>
  <c r="O103" i="28"/>
  <c r="M127" i="28"/>
  <c r="N127" i="28" s="1"/>
  <c r="O127" i="28" s="1"/>
  <c r="M154" i="28"/>
  <c r="N154" i="28" s="1"/>
  <c r="O154" i="28" s="1"/>
  <c r="M172" i="28"/>
  <c r="N172" i="28" s="1"/>
  <c r="O172" i="28" s="1"/>
  <c r="M210" i="28"/>
  <c r="N210" i="28" s="1"/>
  <c r="O210" i="28" s="1"/>
  <c r="M216" i="28"/>
  <c r="N216" i="28" s="1"/>
  <c r="O216" i="28" s="1"/>
  <c r="M218" i="28"/>
  <c r="N218" i="28" s="1"/>
  <c r="O218" i="28" s="1"/>
  <c r="M221" i="28"/>
  <c r="N221" i="28" s="1"/>
  <c r="O221" i="28" s="1"/>
  <c r="M224" i="28"/>
  <c r="N224" i="28" s="1"/>
  <c r="O224" i="28" s="1"/>
  <c r="M266" i="28"/>
  <c r="N266" i="28" s="1"/>
  <c r="O266" i="28" s="1"/>
  <c r="M269" i="28"/>
  <c r="N269" i="28" s="1"/>
  <c r="O269" i="28" s="1"/>
  <c r="M272" i="28"/>
  <c r="N272" i="28" s="1"/>
  <c r="O272" i="28" s="1"/>
  <c r="M286" i="28"/>
  <c r="N286" i="28" s="1"/>
  <c r="O286" i="28" s="1"/>
  <c r="M288" i="28"/>
  <c r="N288" i="28" s="1"/>
  <c r="O288" i="28" s="1"/>
  <c r="M291" i="28"/>
  <c r="N291" i="28" s="1"/>
  <c r="O291" i="28" s="1"/>
  <c r="M302" i="28"/>
  <c r="N302" i="28" s="1"/>
  <c r="O302" i="28" s="1"/>
  <c r="M303" i="28"/>
  <c r="N303" i="28"/>
  <c r="O303" i="28"/>
  <c r="M330" i="28"/>
  <c r="N330" i="28" s="1"/>
  <c r="O330" i="28" s="1"/>
  <c r="M336" i="28"/>
  <c r="N336" i="28" s="1"/>
  <c r="O336" i="28" s="1"/>
  <c r="M337" i="28"/>
  <c r="N337" i="28" s="1"/>
  <c r="O337" i="28" s="1"/>
  <c r="M339" i="28"/>
  <c r="N339" i="28"/>
  <c r="O339" i="28"/>
  <c r="M343" i="28"/>
  <c r="N343" i="28" s="1"/>
  <c r="O343" i="28" s="1"/>
  <c r="M352" i="28"/>
  <c r="N352" i="28" s="1"/>
  <c r="O352" i="28" s="1"/>
  <c r="M354" i="28"/>
  <c r="N354" i="28" s="1"/>
  <c r="O354" i="28" s="1"/>
  <c r="M371" i="28"/>
  <c r="N371" i="28"/>
  <c r="O371" i="28"/>
  <c r="M10" i="28"/>
  <c r="N10" i="28" s="1"/>
  <c r="O10" i="28" s="1"/>
  <c r="M12" i="28"/>
  <c r="N12" i="28" s="1"/>
  <c r="O12" i="28" s="1"/>
  <c r="M38" i="28"/>
  <c r="N38" i="28" s="1"/>
  <c r="O38" i="28" s="1"/>
  <c r="M41" i="28"/>
  <c r="N41" i="28"/>
  <c r="O41" i="28"/>
  <c r="M47" i="28"/>
  <c r="N47" i="28" s="1"/>
  <c r="O47" i="28" s="1"/>
  <c r="M49" i="28"/>
  <c r="N49" i="28" s="1"/>
  <c r="O49" i="28" s="1"/>
  <c r="M51" i="28"/>
  <c r="N51" i="28" s="1"/>
  <c r="O51" i="28" s="1"/>
  <c r="M53" i="28"/>
  <c r="N53" i="28" s="1"/>
  <c r="O53" i="28" s="1"/>
  <c r="M60" i="28"/>
  <c r="N60" i="28" s="1"/>
  <c r="O60" i="28" s="1"/>
  <c r="M68" i="28"/>
  <c r="N68" i="28" s="1"/>
  <c r="O68" i="28" s="1"/>
  <c r="M70" i="28"/>
  <c r="N70" i="28" s="1"/>
  <c r="O70" i="28" s="1"/>
  <c r="M73" i="28"/>
  <c r="N73" i="28" s="1"/>
  <c r="O73" i="28" s="1"/>
  <c r="M78" i="28"/>
  <c r="N78" i="28" s="1"/>
  <c r="O78" i="28" s="1"/>
  <c r="M115" i="28"/>
  <c r="N115" i="28" s="1"/>
  <c r="O115" i="28" s="1"/>
  <c r="M120" i="28"/>
  <c r="N120" i="28" s="1"/>
  <c r="O120" i="28" s="1"/>
  <c r="M129" i="28"/>
  <c r="N129" i="28"/>
  <c r="O129" i="28"/>
  <c r="M131" i="28"/>
  <c r="N131" i="28" s="1"/>
  <c r="O131" i="28" s="1"/>
  <c r="M160" i="28"/>
  <c r="N160" i="28" s="1"/>
  <c r="O160" i="28" s="1"/>
  <c r="M167" i="28"/>
  <c r="N167" i="28" s="1"/>
  <c r="O167" i="28" s="1"/>
  <c r="M185" i="28"/>
  <c r="N185" i="28"/>
  <c r="O185" i="28"/>
  <c r="M186" i="28"/>
  <c r="N186" i="28" s="1"/>
  <c r="O186" i="28" s="1"/>
  <c r="M194" i="28"/>
  <c r="N194" i="28" s="1"/>
  <c r="O194" i="28" s="1"/>
  <c r="M211" i="28"/>
  <c r="N211" i="28" s="1"/>
  <c r="O211" i="28" s="1"/>
  <c r="M227" i="28"/>
  <c r="N227" i="28" s="1"/>
  <c r="O227" i="28" s="1"/>
  <c r="M239" i="28"/>
  <c r="N239" i="28" s="1"/>
  <c r="O239" i="28" s="1"/>
  <c r="M242" i="28"/>
  <c r="N242" i="28" s="1"/>
  <c r="O242" i="28" s="1"/>
  <c r="M250" i="28"/>
  <c r="N250" i="28" s="1"/>
  <c r="O250" i="28" s="1"/>
  <c r="M254" i="28"/>
  <c r="N254" i="28" s="1"/>
  <c r="O254" i="28" s="1"/>
  <c r="M294" i="28"/>
  <c r="N294" i="28" s="1"/>
  <c r="O294" i="28" s="1"/>
  <c r="M297" i="28"/>
  <c r="N297" i="28" s="1"/>
  <c r="O297" i="28" s="1"/>
  <c r="M299" i="28"/>
  <c r="N299" i="28" s="1"/>
  <c r="O299" i="28" s="1"/>
  <c r="M300" i="28"/>
  <c r="N300" i="28"/>
  <c r="O300" i="28" s="1"/>
  <c r="M304" i="28"/>
  <c r="N304" i="28" s="1"/>
  <c r="O304" i="28" s="1"/>
  <c r="M308" i="28"/>
  <c r="N308" i="28" s="1"/>
  <c r="O308" i="28" s="1"/>
  <c r="M335" i="28"/>
  <c r="N335" i="28" s="1"/>
  <c r="O335" i="28" s="1"/>
  <c r="M340" i="28"/>
  <c r="N340" i="28"/>
  <c r="O340" i="28"/>
  <c r="M341" i="28"/>
  <c r="N341" i="28" s="1"/>
  <c r="O341" i="28" s="1"/>
  <c r="M344" i="28"/>
  <c r="N344" i="28" s="1"/>
  <c r="O344" i="28" s="1"/>
  <c r="M349" i="28"/>
  <c r="N349" i="28" s="1"/>
  <c r="O349" i="28" s="1"/>
  <c r="M353" i="28"/>
  <c r="N353" i="28"/>
  <c r="O353" i="28"/>
  <c r="M369" i="28"/>
  <c r="N369" i="28" s="1"/>
  <c r="O369" i="28" s="1"/>
  <c r="M366" i="28"/>
  <c r="N366" i="28" s="1"/>
  <c r="O366" i="28" s="1"/>
  <c r="M407" i="28"/>
  <c r="N407" i="28" s="1"/>
  <c r="O407" i="28" s="1"/>
  <c r="M6" i="28"/>
  <c r="N6" i="28"/>
  <c r="M9" i="28"/>
  <c r="N9" i="28" s="1"/>
  <c r="O9" i="28" s="1"/>
  <c r="M14" i="28"/>
  <c r="N14" i="28" s="1"/>
  <c r="O14" i="28" s="1"/>
  <c r="M21" i="28"/>
  <c r="N21" i="28"/>
  <c r="O21" i="28" s="1"/>
  <c r="M31" i="28"/>
  <c r="N31" i="28" s="1"/>
  <c r="O31" i="28" s="1"/>
  <c r="M40" i="28"/>
  <c r="N40" i="28" s="1"/>
  <c r="O40" i="28" s="1"/>
  <c r="M42" i="28"/>
  <c r="N42" i="28"/>
  <c r="O42" i="28" s="1"/>
  <c r="M44" i="28"/>
  <c r="N44" i="28"/>
  <c r="O44" i="28" s="1"/>
  <c r="M45" i="28"/>
  <c r="N45" i="28" s="1"/>
  <c r="O45" i="28" s="1"/>
  <c r="M48" i="28"/>
  <c r="N48" i="28" s="1"/>
  <c r="O48" i="28" s="1"/>
  <c r="M56" i="28"/>
  <c r="N56" i="28"/>
  <c r="O56" i="28" s="1"/>
  <c r="M61" i="28"/>
  <c r="N61" i="28"/>
  <c r="O61" i="28" s="1"/>
  <c r="M62" i="28"/>
  <c r="N62" i="28" s="1"/>
  <c r="O62" i="28" s="1"/>
  <c r="M71" i="28"/>
  <c r="N71" i="28" s="1"/>
  <c r="O71" i="28" s="1"/>
  <c r="M77" i="28"/>
  <c r="N77" i="28" s="1"/>
  <c r="O77" i="28" s="1"/>
  <c r="M81" i="28"/>
  <c r="N81" i="28" s="1"/>
  <c r="O81" i="28" s="1"/>
  <c r="M97" i="28"/>
  <c r="N97" i="28" s="1"/>
  <c r="O97" i="28" s="1"/>
  <c r="M99" i="28"/>
  <c r="N99" i="28" s="1"/>
  <c r="O99" i="28" s="1"/>
  <c r="M109" i="28"/>
  <c r="N109" i="28" s="1"/>
  <c r="O109" i="28" s="1"/>
  <c r="M121" i="28"/>
  <c r="N121" i="28"/>
  <c r="O121" i="28" s="1"/>
  <c r="M123" i="28"/>
  <c r="N123" i="28" s="1"/>
  <c r="O123" i="28" s="1"/>
  <c r="M128" i="28"/>
  <c r="N128" i="28" s="1"/>
  <c r="O128" i="28" s="1"/>
  <c r="M138" i="28"/>
  <c r="N138" i="28" s="1"/>
  <c r="O138" i="28" s="1"/>
  <c r="M158" i="28"/>
  <c r="N158" i="28"/>
  <c r="O158" i="28" s="1"/>
  <c r="M161" i="28"/>
  <c r="N161" i="28" s="1"/>
  <c r="O161" i="28" s="1"/>
  <c r="M164" i="28"/>
  <c r="N164" i="28" s="1"/>
  <c r="O164" i="28" s="1"/>
  <c r="M169" i="28"/>
  <c r="N169" i="28"/>
  <c r="O169" i="28" s="1"/>
  <c r="M171" i="28"/>
  <c r="N171" i="28"/>
  <c r="O171" i="28" s="1"/>
  <c r="M196" i="28"/>
  <c r="N196" i="28" s="1"/>
  <c r="O196" i="28" s="1"/>
  <c r="M204" i="28"/>
  <c r="N204" i="28" s="1"/>
  <c r="O204" i="28" s="1"/>
  <c r="M206" i="28"/>
  <c r="N206" i="28" s="1"/>
  <c r="O206" i="28" s="1"/>
  <c r="M222" i="28"/>
  <c r="N222" i="28" s="1"/>
  <c r="O222" i="28" s="1"/>
  <c r="M229" i="28"/>
  <c r="N229" i="28" s="1"/>
  <c r="O229" i="28" s="1"/>
  <c r="M260" i="28"/>
  <c r="N260" i="28" s="1"/>
  <c r="O260" i="28" s="1"/>
  <c r="M274" i="28"/>
  <c r="N274" i="28"/>
  <c r="O274" i="28" s="1"/>
  <c r="M275" i="28"/>
  <c r="N275" i="28" s="1"/>
  <c r="O275" i="28" s="1"/>
  <c r="M277" i="28"/>
  <c r="N277" i="28" s="1"/>
  <c r="O277" i="28" s="1"/>
  <c r="M282" i="28"/>
  <c r="N282" i="28" s="1"/>
  <c r="O282" i="28" s="1"/>
  <c r="M283" i="28"/>
  <c r="N283" i="28"/>
  <c r="O283" i="28" s="1"/>
  <c r="M289" i="28"/>
  <c r="N289" i="28"/>
  <c r="O289" i="28" s="1"/>
  <c r="M293" i="28"/>
  <c r="N293" i="28" s="1"/>
  <c r="O293" i="28" s="1"/>
  <c r="M305" i="28"/>
  <c r="N305" i="28" s="1"/>
  <c r="O305" i="28" s="1"/>
  <c r="M313" i="28"/>
  <c r="N313" i="28"/>
  <c r="O313" i="28" s="1"/>
  <c r="M323" i="28"/>
  <c r="N323" i="28" s="1"/>
  <c r="O323" i="28" s="1"/>
  <c r="M348" i="28"/>
  <c r="N348" i="28" s="1"/>
  <c r="O348" i="28" s="1"/>
  <c r="M365" i="28"/>
  <c r="N365" i="28" s="1"/>
  <c r="O365" i="28" s="1"/>
  <c r="M380" i="28"/>
  <c r="N380" i="28"/>
  <c r="O380" i="28" s="1"/>
  <c r="M385" i="28"/>
  <c r="N385" i="28"/>
  <c r="O385" i="28" s="1"/>
  <c r="M388" i="28"/>
  <c r="N388" i="28" s="1"/>
  <c r="O388" i="28" s="1"/>
  <c r="M390" i="28"/>
  <c r="N390" i="28" s="1"/>
  <c r="O390" i="28" s="1"/>
  <c r="M392" i="28"/>
  <c r="N392" i="28"/>
  <c r="O392" i="28" s="1"/>
  <c r="M395" i="28"/>
  <c r="N395" i="28"/>
  <c r="O395" i="28" s="1"/>
  <c r="M397" i="28"/>
  <c r="N397" i="28" s="1"/>
  <c r="O397" i="28" s="1"/>
  <c r="M7" i="28"/>
  <c r="M8" i="28"/>
  <c r="N8" i="28"/>
  <c r="O8" i="28" s="1"/>
  <c r="M11" i="28"/>
  <c r="N11" i="28"/>
  <c r="O11" i="28" s="1"/>
  <c r="M13" i="28"/>
  <c r="N13" i="28" s="1"/>
  <c r="O13" i="28" s="1"/>
  <c r="M16" i="28"/>
  <c r="N16" i="28" s="1"/>
  <c r="O16" i="28" s="1"/>
  <c r="M19" i="28"/>
  <c r="N19" i="28" s="1"/>
  <c r="O19" i="28" s="1"/>
  <c r="M20" i="28"/>
  <c r="N20" i="28"/>
  <c r="O20" i="28" s="1"/>
  <c r="M25" i="28"/>
  <c r="N25" i="28" s="1"/>
  <c r="O25" i="28" s="1"/>
  <c r="M26" i="28"/>
  <c r="N26" i="28" s="1"/>
  <c r="O26" i="28" s="1"/>
  <c r="M27" i="28"/>
  <c r="N27" i="28" s="1"/>
  <c r="O27" i="28" s="1"/>
  <c r="M28" i="28"/>
  <c r="N28" i="28"/>
  <c r="O28" i="28" s="1"/>
  <c r="M29" i="28"/>
  <c r="N29" i="28" s="1"/>
  <c r="O29" i="28" s="1"/>
  <c r="M30" i="28"/>
  <c r="N30" i="28" s="1"/>
  <c r="O30" i="28" s="1"/>
  <c r="M32" i="28"/>
  <c r="N32" i="28"/>
  <c r="O32" i="28" s="1"/>
  <c r="M33" i="28"/>
  <c r="N33" i="28" s="1"/>
  <c r="O33" i="28" s="1"/>
  <c r="M34" i="28"/>
  <c r="N34" i="28" s="1"/>
  <c r="O34" i="28" s="1"/>
  <c r="M35" i="28"/>
  <c r="N35" i="28" s="1"/>
  <c r="O35" i="28" s="1"/>
  <c r="M36" i="28"/>
  <c r="N36" i="28"/>
  <c r="O36" i="28" s="1"/>
  <c r="M37" i="28"/>
  <c r="N37" i="28" s="1"/>
  <c r="O37" i="28" s="1"/>
  <c r="M46" i="28"/>
  <c r="N46" i="28" s="1"/>
  <c r="O46" i="28" s="1"/>
  <c r="M50" i="28"/>
  <c r="N50" i="28" s="1"/>
  <c r="O50" i="28" s="1"/>
  <c r="M52" i="28"/>
  <c r="N52" i="28"/>
  <c r="O52" i="28" s="1"/>
  <c r="M54" i="28"/>
  <c r="N54" i="28" s="1"/>
  <c r="O54" i="28" s="1"/>
  <c r="M55" i="28"/>
  <c r="N55" i="28" s="1"/>
  <c r="O55" i="28" s="1"/>
  <c r="M58" i="28"/>
  <c r="N58" i="28" s="1"/>
  <c r="O58" i="28" s="1"/>
  <c r="M63" i="28"/>
  <c r="N63" i="28"/>
  <c r="O63" i="28" s="1"/>
  <c r="M65" i="28"/>
  <c r="N65" i="28"/>
  <c r="O65" i="28" s="1"/>
  <c r="M66" i="28"/>
  <c r="N66" i="28" s="1"/>
  <c r="O66" i="28" s="1"/>
  <c r="M67" i="28"/>
  <c r="N67" i="28" s="1"/>
  <c r="O67" i="28" s="1"/>
  <c r="M69" i="28"/>
  <c r="N69" i="28" s="1"/>
  <c r="O69" i="28" s="1"/>
  <c r="M72" i="28"/>
  <c r="N72" i="28"/>
  <c r="O72" i="28" s="1"/>
  <c r="M75" i="28"/>
  <c r="N75" i="28" s="1"/>
  <c r="O75" i="28" s="1"/>
  <c r="M76" i="28"/>
  <c r="N76" i="28" s="1"/>
  <c r="O76" i="28" s="1"/>
  <c r="M79" i="28"/>
  <c r="N79" i="28"/>
  <c r="O79" i="28" s="1"/>
  <c r="M80" i="28"/>
  <c r="N80" i="28"/>
  <c r="O80" i="28" s="1"/>
  <c r="M83" i="28"/>
  <c r="N83" i="28" s="1"/>
  <c r="O83" i="28" s="1"/>
  <c r="M84" i="28"/>
  <c r="N84" i="28" s="1"/>
  <c r="O84" i="28" s="1"/>
  <c r="M85" i="28"/>
  <c r="N85" i="28"/>
  <c r="O85" i="28" s="1"/>
  <c r="M87" i="28"/>
  <c r="N87" i="28"/>
  <c r="O87" i="28" s="1"/>
  <c r="M89" i="28"/>
  <c r="N89" i="28" s="1"/>
  <c r="O89" i="28" s="1"/>
  <c r="M90" i="28"/>
  <c r="N90" i="28" s="1"/>
  <c r="O90" i="28" s="1"/>
  <c r="M91" i="28"/>
  <c r="N91" i="28" s="1"/>
  <c r="O91" i="28" s="1"/>
  <c r="M92" i="28"/>
  <c r="N92" i="28" s="1"/>
  <c r="O92" i="28" s="1"/>
  <c r="M95" i="28"/>
  <c r="N95" i="28" s="1"/>
  <c r="O95" i="28" s="1"/>
  <c r="M96" i="28"/>
  <c r="N96" i="28" s="1"/>
  <c r="O96" i="28" s="1"/>
  <c r="M98" i="28"/>
  <c r="N98" i="28" s="1"/>
  <c r="O98" i="28" s="1"/>
  <c r="M100" i="28"/>
  <c r="N100" i="28"/>
  <c r="O100" i="28" s="1"/>
  <c r="M102" i="28"/>
  <c r="N102" i="28" s="1"/>
  <c r="O102" i="28" s="1"/>
  <c r="M105" i="28"/>
  <c r="N105" i="28" s="1"/>
  <c r="O105" i="28" s="1"/>
  <c r="M106" i="28"/>
  <c r="N106" i="28" s="1"/>
  <c r="O106" i="28" s="1"/>
  <c r="M107" i="28"/>
  <c r="N107" i="28"/>
  <c r="O107" i="28" s="1"/>
  <c r="M108" i="28"/>
  <c r="N108" i="28" s="1"/>
  <c r="O108" i="28" s="1"/>
  <c r="M110" i="28"/>
  <c r="N110" i="28" s="1"/>
  <c r="O110" i="28" s="1"/>
  <c r="M113" i="28"/>
  <c r="N113" i="28"/>
  <c r="O113" i="28" s="1"/>
  <c r="M114" i="28"/>
  <c r="N114" i="28"/>
  <c r="O114" i="28" s="1"/>
  <c r="M116" i="28"/>
  <c r="N116" i="28" s="1"/>
  <c r="O116" i="28" s="1"/>
  <c r="M117" i="28"/>
  <c r="N117" i="28" s="1"/>
  <c r="O117" i="28" s="1"/>
  <c r="M118" i="28"/>
  <c r="N118" i="28" s="1"/>
  <c r="O118" i="28" s="1"/>
  <c r="M119" i="28"/>
  <c r="N119" i="28" s="1"/>
  <c r="O119" i="28" s="1"/>
  <c r="M124" i="28"/>
  <c r="N124" i="28" s="1"/>
  <c r="O124" i="28" s="1"/>
  <c r="M126" i="28"/>
  <c r="N126" i="28" s="1"/>
  <c r="O126" i="28" s="1"/>
  <c r="M130" i="28"/>
  <c r="N130" i="28"/>
  <c r="O130" i="28" s="1"/>
  <c r="M132" i="28"/>
  <c r="N132" i="28" s="1"/>
  <c r="O132" i="28" s="1"/>
  <c r="M134" i="28"/>
  <c r="N134" i="28" s="1"/>
  <c r="O134" i="28" s="1"/>
  <c r="M135" i="28"/>
  <c r="N135" i="28" s="1"/>
  <c r="O135" i="28" s="1"/>
  <c r="M139" i="28"/>
  <c r="N139" i="28"/>
  <c r="O139" i="28" s="1"/>
  <c r="M140" i="28"/>
  <c r="N140" i="28"/>
  <c r="O140" i="28" s="1"/>
  <c r="M141" i="28"/>
  <c r="N141" i="28" s="1"/>
  <c r="O141" i="28" s="1"/>
  <c r="M142" i="28"/>
  <c r="N142" i="28" s="1"/>
  <c r="O142" i="28" s="1"/>
  <c r="M143" i="28"/>
  <c r="N143" i="28"/>
  <c r="O143" i="28" s="1"/>
  <c r="M145" i="28"/>
  <c r="N145" i="28" s="1"/>
  <c r="O145" i="28" s="1"/>
  <c r="M146" i="28"/>
  <c r="N146" i="28" s="1"/>
  <c r="O146" i="28" s="1"/>
  <c r="M147" i="28"/>
  <c r="N147" i="28" s="1"/>
  <c r="O147" i="28" s="1"/>
  <c r="M149" i="28"/>
  <c r="N149" i="28"/>
  <c r="O149" i="28" s="1"/>
  <c r="M150" i="28"/>
  <c r="N150" i="28"/>
  <c r="O150" i="28" s="1"/>
  <c r="M152" i="28"/>
  <c r="N152" i="28" s="1"/>
  <c r="O152" i="28" s="1"/>
  <c r="M153" i="28"/>
  <c r="N153" i="28" s="1"/>
  <c r="O153" i="28" s="1"/>
  <c r="M155" i="28"/>
  <c r="N155" i="28"/>
  <c r="O155" i="28" s="1"/>
  <c r="M156" i="28"/>
  <c r="N156" i="28"/>
  <c r="O156" i="28" s="1"/>
  <c r="M157" i="28"/>
  <c r="N157" i="28" s="1"/>
  <c r="O157" i="28" s="1"/>
  <c r="M159" i="28"/>
  <c r="N159" i="28" s="1"/>
  <c r="O159" i="28" s="1"/>
  <c r="M162" i="28"/>
  <c r="N162" i="28"/>
  <c r="O162" i="28" s="1"/>
  <c r="M163" i="28"/>
  <c r="N163" i="28"/>
  <c r="O163" i="28" s="1"/>
  <c r="M165" i="28"/>
  <c r="N165" i="28" s="1"/>
  <c r="O165" i="28" s="1"/>
  <c r="M166" i="28"/>
  <c r="N166" i="28" s="1"/>
  <c r="O166" i="28" s="1"/>
  <c r="M168" i="28"/>
  <c r="N168" i="28" s="1"/>
  <c r="O168" i="28" s="1"/>
  <c r="M170" i="28"/>
  <c r="N170" i="28"/>
  <c r="O170" i="28" s="1"/>
  <c r="M173" i="28"/>
  <c r="N173" i="28" s="1"/>
  <c r="O173" i="28" s="1"/>
  <c r="M174" i="28"/>
  <c r="N174" i="28" s="1"/>
  <c r="O174" i="28" s="1"/>
  <c r="M175" i="28"/>
  <c r="N175" i="28" s="1"/>
  <c r="O175" i="28" s="1"/>
  <c r="M176" i="28"/>
  <c r="N176" i="28"/>
  <c r="O176" i="28" s="1"/>
  <c r="M177" i="28"/>
  <c r="N177" i="28" s="1"/>
  <c r="O177" i="28" s="1"/>
  <c r="M178" i="28"/>
  <c r="N178" i="28" s="1"/>
  <c r="O178" i="28" s="1"/>
  <c r="M179" i="28"/>
  <c r="N179" i="28"/>
  <c r="O179" i="28" s="1"/>
  <c r="M180" i="28"/>
  <c r="N180" i="28"/>
  <c r="O180" i="28" s="1"/>
  <c r="M181" i="28"/>
  <c r="N181" i="28" s="1"/>
  <c r="O181" i="28" s="1"/>
  <c r="M182" i="28"/>
  <c r="N182" i="28" s="1"/>
  <c r="O182" i="28" s="1"/>
  <c r="M183" i="28"/>
  <c r="N183" i="28"/>
  <c r="O183" i="28" s="1"/>
  <c r="M187" i="28"/>
  <c r="N187" i="28" s="1"/>
  <c r="O187" i="28" s="1"/>
  <c r="M188" i="28"/>
  <c r="N188" i="28" s="1"/>
  <c r="O188" i="28" s="1"/>
  <c r="M189" i="28"/>
  <c r="N189" i="28" s="1"/>
  <c r="O189" i="28" s="1"/>
  <c r="M190" i="28"/>
  <c r="N190" i="28"/>
  <c r="O190" i="28" s="1"/>
  <c r="M191" i="28"/>
  <c r="N191" i="28" s="1"/>
  <c r="O191" i="28" s="1"/>
  <c r="M192" i="28"/>
  <c r="N192" i="28" s="1"/>
  <c r="O192" i="28" s="1"/>
  <c r="M193" i="28"/>
  <c r="N193" i="28" s="1"/>
  <c r="O193" i="28" s="1"/>
  <c r="M195" i="28"/>
  <c r="N195" i="28"/>
  <c r="O195" i="28" s="1"/>
  <c r="M198" i="28"/>
  <c r="N198" i="28"/>
  <c r="O198" i="28" s="1"/>
  <c r="M200" i="28"/>
  <c r="N200" i="28" s="1"/>
  <c r="O200" i="28" s="1"/>
  <c r="M201" i="28"/>
  <c r="N201" i="28" s="1"/>
  <c r="O201" i="28" s="1"/>
  <c r="M202" i="28"/>
  <c r="N202" i="28"/>
  <c r="O202" i="28" s="1"/>
  <c r="M203" i="28"/>
  <c r="N203" i="28"/>
  <c r="O203" i="28" s="1"/>
  <c r="M215" i="28"/>
  <c r="N215" i="28" s="1"/>
  <c r="O215" i="28" s="1"/>
  <c r="M219" i="28"/>
  <c r="N219" i="28" s="1"/>
  <c r="O219" i="28" s="1"/>
  <c r="M226" i="28"/>
  <c r="N226" i="28"/>
  <c r="O226" i="28" s="1"/>
  <c r="M228" i="28"/>
  <c r="N228" i="28"/>
  <c r="O228" i="28" s="1"/>
  <c r="M230" i="28"/>
  <c r="N230" i="28" s="1"/>
  <c r="O230" i="28" s="1"/>
  <c r="M231" i="28"/>
  <c r="N231" i="28" s="1"/>
  <c r="O231" i="28" s="1"/>
  <c r="M233" i="28"/>
  <c r="N233" i="28"/>
  <c r="O233" i="28" s="1"/>
  <c r="M234" i="28"/>
  <c r="N234" i="28"/>
  <c r="O234" i="28" s="1"/>
  <c r="M235" i="28"/>
  <c r="N235" i="28" s="1"/>
  <c r="O235" i="28" s="1"/>
  <c r="M236" i="28"/>
  <c r="N236" i="28" s="1"/>
  <c r="O236" i="28" s="1"/>
  <c r="M237" i="28"/>
  <c r="N237" i="28"/>
  <c r="O237" i="28" s="1"/>
  <c r="M238" i="28"/>
  <c r="N238" i="28"/>
  <c r="O238" i="28" s="1"/>
  <c r="M240" i="28"/>
  <c r="N240" i="28" s="1"/>
  <c r="O240" i="28" s="1"/>
  <c r="M241" i="28"/>
  <c r="N241" i="28" s="1"/>
  <c r="O241" i="28" s="1"/>
  <c r="M243" i="28"/>
  <c r="N243" i="28" s="1"/>
  <c r="O243" i="28" s="1"/>
  <c r="M244" i="28"/>
  <c r="N244" i="28"/>
  <c r="O244" i="28" s="1"/>
  <c r="M246" i="28"/>
  <c r="N246" i="28" s="1"/>
  <c r="O246" i="28" s="1"/>
  <c r="M247" i="28"/>
  <c r="N247" i="28" s="1"/>
  <c r="O247" i="28" s="1"/>
  <c r="M248" i="28"/>
  <c r="N248" i="28" s="1"/>
  <c r="O248" i="28" s="1"/>
  <c r="M249" i="28"/>
  <c r="N249" i="28"/>
  <c r="O249" i="28" s="1"/>
  <c r="M251" i="28"/>
  <c r="N251" i="28" s="1"/>
  <c r="O251" i="28" s="1"/>
  <c r="M252" i="28"/>
  <c r="N252" i="28" s="1"/>
  <c r="O252" i="28" s="1"/>
  <c r="M253" i="28"/>
  <c r="N253" i="28"/>
  <c r="O253" i="28" s="1"/>
  <c r="M255" i="28"/>
  <c r="N255" i="28" s="1"/>
  <c r="O255" i="28" s="1"/>
  <c r="M256" i="28"/>
  <c r="N256" i="28" s="1"/>
  <c r="O256" i="28" s="1"/>
  <c r="M257" i="28"/>
  <c r="N257" i="28" s="1"/>
  <c r="O257" i="28" s="1"/>
  <c r="M258" i="28"/>
  <c r="N258" i="28"/>
  <c r="O258" i="28" s="1"/>
  <c r="M259" i="28"/>
  <c r="N259" i="28" s="1"/>
  <c r="O259" i="28" s="1"/>
  <c r="M261" i="28"/>
  <c r="N261" i="28" s="1"/>
  <c r="O261" i="28" s="1"/>
  <c r="M262" i="28"/>
  <c r="N262" i="28" s="1"/>
  <c r="O262" i="28" s="1"/>
  <c r="M263" i="28"/>
  <c r="N263" i="28"/>
  <c r="O263" i="28" s="1"/>
  <c r="M264" i="28"/>
  <c r="N264" i="28" s="1"/>
  <c r="O264" i="28" s="1"/>
  <c r="M265" i="28"/>
  <c r="N265" i="28" s="1"/>
  <c r="O265" i="28" s="1"/>
  <c r="M268" i="28"/>
  <c r="N268" i="28" s="1"/>
  <c r="O268" i="28" s="1"/>
  <c r="M270" i="28"/>
  <c r="N270" i="28"/>
  <c r="O270" i="28" s="1"/>
  <c r="M276" i="28"/>
  <c r="N276" i="28"/>
  <c r="O276" i="28" s="1"/>
  <c r="M278" i="28"/>
  <c r="N278" i="28" s="1"/>
  <c r="O278" i="28" s="1"/>
  <c r="M279" i="28"/>
  <c r="N279" i="28" s="1"/>
  <c r="O279" i="28" s="1"/>
  <c r="M280" i="28"/>
  <c r="N280" i="28" s="1"/>
  <c r="O280" i="28" s="1"/>
  <c r="M281" i="28"/>
  <c r="N281" i="28"/>
  <c r="O281" i="28" s="1"/>
  <c r="M287" i="28"/>
  <c r="N287" i="28" s="1"/>
  <c r="O287" i="28" s="1"/>
  <c r="M290" i="28"/>
  <c r="N290" i="28" s="1"/>
  <c r="O290" i="28" s="1"/>
  <c r="M292" i="28"/>
  <c r="N292" i="28"/>
  <c r="O292" i="28" s="1"/>
  <c r="M295" i="28"/>
  <c r="N295" i="28"/>
  <c r="O295" i="28" s="1"/>
  <c r="M301" i="28"/>
  <c r="N301" i="28" s="1"/>
  <c r="O301" i="28" s="1"/>
  <c r="M307" i="28"/>
  <c r="N307" i="28" s="1"/>
  <c r="O307" i="28" s="1"/>
  <c r="M306" i="28"/>
  <c r="N306" i="28"/>
  <c r="O306" i="28" s="1"/>
  <c r="M309" i="28"/>
  <c r="N309" i="28"/>
  <c r="O309" i="28" s="1"/>
  <c r="M310" i="28"/>
  <c r="N310" i="28" s="1"/>
  <c r="O310" i="28" s="1"/>
  <c r="M311" i="28"/>
  <c r="N311" i="28" s="1"/>
  <c r="O311" i="28" s="1"/>
  <c r="M312" i="28"/>
  <c r="N312" i="28" s="1"/>
  <c r="O312" i="28" s="1"/>
  <c r="M314" i="28"/>
  <c r="N314" i="28" s="1"/>
  <c r="O314" i="28" s="1"/>
  <c r="M315" i="28"/>
  <c r="N315" i="28" s="1"/>
  <c r="O315" i="28" s="1"/>
  <c r="M316" i="28"/>
  <c r="N316" i="28" s="1"/>
  <c r="O316" i="28" s="1"/>
  <c r="M317" i="28"/>
  <c r="N317" i="28" s="1"/>
  <c r="O317" i="28" s="1"/>
  <c r="M318" i="28"/>
  <c r="N318" i="28"/>
  <c r="O318" i="28" s="1"/>
  <c r="M319" i="28"/>
  <c r="N319" i="28" s="1"/>
  <c r="O319" i="28" s="1"/>
  <c r="M320" i="28"/>
  <c r="N320" i="28" s="1"/>
  <c r="O320" i="28" s="1"/>
  <c r="M321" i="28"/>
  <c r="N321" i="28" s="1"/>
  <c r="O321" i="28" s="1"/>
  <c r="M322" i="28"/>
  <c r="N322" i="28"/>
  <c r="O322" i="28" s="1"/>
  <c r="M324" i="28"/>
  <c r="N324" i="28" s="1"/>
  <c r="O324" i="28" s="1"/>
  <c r="M325" i="28"/>
  <c r="N325" i="28" s="1"/>
  <c r="O325" i="28" s="1"/>
  <c r="M326" i="28"/>
  <c r="N326" i="28"/>
  <c r="O326" i="28" s="1"/>
  <c r="M329" i="28"/>
  <c r="N329" i="28"/>
  <c r="O329" i="28" s="1"/>
  <c r="M327" i="28"/>
  <c r="N327" i="28" s="1"/>
  <c r="O327" i="28" s="1"/>
  <c r="M328" i="28"/>
  <c r="N328" i="28" s="1"/>
  <c r="O328" i="28" s="1"/>
  <c r="M331" i="28"/>
  <c r="N331" i="28" s="1"/>
  <c r="O331" i="28" s="1"/>
  <c r="M332" i="28"/>
  <c r="N332" i="28" s="1"/>
  <c r="O332" i="28" s="1"/>
  <c r="M333" i="28"/>
  <c r="N333" i="28" s="1"/>
  <c r="O333" i="28" s="1"/>
  <c r="M334" i="28"/>
  <c r="N334" i="28" s="1"/>
  <c r="O334" i="28" s="1"/>
  <c r="M338" i="28"/>
  <c r="N338" i="28"/>
  <c r="O338" i="28" s="1"/>
  <c r="M342" i="28"/>
  <c r="N342" i="28" s="1"/>
  <c r="O342" i="28" s="1"/>
  <c r="M346" i="28"/>
  <c r="N346" i="28" s="1"/>
  <c r="O346" i="28" s="1"/>
  <c r="M370" i="28"/>
  <c r="N370" i="28" s="1"/>
  <c r="O370" i="28" s="1"/>
  <c r="M372" i="28"/>
  <c r="N372" i="28"/>
  <c r="O372" i="28" s="1"/>
  <c r="M373" i="28"/>
  <c r="N373" i="28"/>
  <c r="O373" i="28" s="1"/>
  <c r="M355" i="28"/>
  <c r="N355" i="28" s="1"/>
  <c r="O355" i="28" s="1"/>
  <c r="M356" i="28"/>
  <c r="N356" i="28" s="1"/>
  <c r="O356" i="28" s="1"/>
  <c r="M357" i="28"/>
  <c r="N357" i="28"/>
  <c r="O357" i="28" s="1"/>
  <c r="M358" i="28"/>
  <c r="N358" i="28" s="1"/>
  <c r="O358" i="28" s="1"/>
  <c r="M359" i="28"/>
  <c r="N359" i="28" s="1"/>
  <c r="O359" i="28" s="1"/>
  <c r="M360" i="28"/>
  <c r="N360" i="28" s="1"/>
  <c r="O360" i="28" s="1"/>
  <c r="M361" i="28"/>
  <c r="N361" i="28"/>
  <c r="O361" i="28" s="1"/>
  <c r="M362" i="28"/>
  <c r="N362" i="28"/>
  <c r="O362" i="28" s="1"/>
  <c r="M363" i="28"/>
  <c r="N363" i="28" s="1"/>
  <c r="O363" i="28" s="1"/>
  <c r="M364" i="28"/>
  <c r="N364" i="28" s="1"/>
  <c r="O364" i="28" s="1"/>
  <c r="M367" i="28"/>
  <c r="N367" i="28"/>
  <c r="O367" i="28" s="1"/>
  <c r="M374" i="28"/>
  <c r="N374" i="28"/>
  <c r="O374" i="28" s="1"/>
  <c r="M375" i="28"/>
  <c r="N375" i="28" s="1"/>
  <c r="O375" i="28" s="1"/>
  <c r="M377" i="28"/>
  <c r="N377" i="28" s="1"/>
  <c r="O377" i="28" s="1"/>
  <c r="M378" i="28"/>
  <c r="N378" i="28"/>
  <c r="O378" i="28" s="1"/>
  <c r="M379" i="28"/>
  <c r="N379" i="28"/>
  <c r="O379" i="28" s="1"/>
  <c r="M381" i="28"/>
  <c r="N381" i="28" s="1"/>
  <c r="O381" i="28" s="1"/>
  <c r="M382" i="28"/>
  <c r="N382" i="28" s="1"/>
  <c r="O382" i="28" s="1"/>
  <c r="M384" i="28"/>
  <c r="N384" i="28" s="1"/>
  <c r="O384" i="28" s="1"/>
  <c r="M386" i="28"/>
  <c r="N386" i="28"/>
  <c r="O386" i="28" s="1"/>
  <c r="M387" i="28"/>
  <c r="N387" i="28" s="1"/>
  <c r="O387" i="28" s="1"/>
  <c r="M389" i="28"/>
  <c r="N389" i="28" s="1"/>
  <c r="O389" i="28" s="1"/>
  <c r="M391" i="28"/>
  <c r="N391" i="28" s="1"/>
  <c r="O391" i="28" s="1"/>
  <c r="M393" i="28"/>
  <c r="N393" i="28"/>
  <c r="O393" i="28" s="1"/>
  <c r="M394" i="28"/>
  <c r="N394" i="28" s="1"/>
  <c r="O394" i="28" s="1"/>
  <c r="M396" i="28"/>
  <c r="N396" i="28" s="1"/>
  <c r="O396" i="28" s="1"/>
  <c r="M398" i="28"/>
  <c r="N398" i="28"/>
  <c r="O398" i="28" s="1"/>
  <c r="M399" i="28"/>
  <c r="N399" i="28" s="1"/>
  <c r="O399" i="28" s="1"/>
  <c r="M400" i="28"/>
  <c r="N400" i="28" s="1"/>
  <c r="O400" i="28" s="1"/>
  <c r="M402" i="28"/>
  <c r="N402" i="28" s="1"/>
  <c r="O402" i="28" s="1"/>
  <c r="M403" i="28"/>
  <c r="N403" i="28"/>
  <c r="O403" i="28" s="1"/>
  <c r="M404" i="28"/>
  <c r="N404" i="28" s="1"/>
  <c r="O404" i="28" s="1"/>
  <c r="M409" i="28"/>
  <c r="N409" i="28" s="1"/>
  <c r="O409" i="28" s="1"/>
  <c r="M15" i="28"/>
  <c r="N15" i="28" s="1"/>
  <c r="O15" i="28" s="1"/>
  <c r="M17" i="28"/>
  <c r="N17" i="28"/>
  <c r="O17" i="28" s="1"/>
  <c r="M18" i="28"/>
  <c r="N18" i="28" s="1"/>
  <c r="O18" i="28" s="1"/>
  <c r="M22" i="28"/>
  <c r="N22" i="28" s="1"/>
  <c r="O22" i="28" s="1"/>
  <c r="M23" i="28"/>
  <c r="N23" i="28" s="1"/>
  <c r="O23" i="28" s="1"/>
  <c r="M24" i="28"/>
  <c r="N24" i="28"/>
  <c r="O24" i="28" s="1"/>
  <c r="M39" i="28"/>
  <c r="N39" i="28"/>
  <c r="O39" i="28" s="1"/>
  <c r="M43" i="28"/>
  <c r="N43" i="28" s="1"/>
  <c r="O43" i="28" s="1"/>
  <c r="M74" i="28"/>
  <c r="N74" i="28" s="1"/>
  <c r="O74" i="28" s="1"/>
  <c r="M82" i="28"/>
  <c r="N82" i="28" s="1"/>
  <c r="O82" i="28" s="1"/>
  <c r="M86" i="28"/>
  <c r="N86" i="28"/>
  <c r="O86" i="28" s="1"/>
  <c r="M101" i="28"/>
  <c r="N101" i="28" s="1"/>
  <c r="O101" i="28" s="1"/>
  <c r="M111" i="28"/>
  <c r="N111" i="28" s="1"/>
  <c r="O111" i="28" s="1"/>
  <c r="M112" i="28"/>
  <c r="N112" i="28"/>
  <c r="O112" i="28" s="1"/>
  <c r="M133" i="28"/>
  <c r="N133" i="28"/>
  <c r="O133" i="28" s="1"/>
  <c r="M136" i="28"/>
  <c r="N136" i="28" s="1"/>
  <c r="O136" i="28" s="1"/>
  <c r="M137" i="28"/>
  <c r="N137" i="28" s="1"/>
  <c r="O137" i="28" s="1"/>
  <c r="M144" i="28"/>
  <c r="N144" i="28"/>
  <c r="O144" i="28" s="1"/>
  <c r="M148" i="28"/>
  <c r="N148" i="28"/>
  <c r="O148" i="28" s="1"/>
  <c r="M151" i="28"/>
  <c r="N151" i="28" s="1"/>
  <c r="O151" i="28" s="1"/>
  <c r="M197" i="28"/>
  <c r="N197" i="28" s="1"/>
  <c r="O197" i="28" s="1"/>
  <c r="M199" i="28"/>
  <c r="N199" i="28" s="1"/>
  <c r="O199" i="28" s="1"/>
  <c r="M214" i="28"/>
  <c r="N214" i="28" s="1"/>
  <c r="O214" i="28" s="1"/>
  <c r="M245" i="28"/>
  <c r="N245" i="28" s="1"/>
  <c r="O245" i="28" s="1"/>
  <c r="M271" i="28"/>
  <c r="N271" i="28" s="1"/>
  <c r="O271" i="28" s="1"/>
  <c r="M273" i="28"/>
  <c r="N273" i="28" s="1"/>
  <c r="O273" i="28" s="1"/>
  <c r="M376" i="28"/>
  <c r="N376" i="28"/>
  <c r="O376" i="28" s="1"/>
  <c r="M383" i="28"/>
  <c r="N383" i="28" s="1"/>
  <c r="O383" i="28" s="1"/>
  <c r="M401" i="28"/>
  <c r="N401" i="28" s="1"/>
  <c r="O401" i="28" s="1"/>
  <c r="M405" i="28"/>
  <c r="N405" i="28" s="1"/>
  <c r="O405" i="28" s="1"/>
  <c r="M406" i="28"/>
  <c r="N406" i="28"/>
  <c r="O406" i="28" s="1"/>
  <c r="M408" i="28"/>
  <c r="N408" i="28" s="1"/>
  <c r="O408" i="28" s="1"/>
  <c r="M410" i="28"/>
  <c r="N410" i="28" s="1"/>
  <c r="O410" i="28" s="1"/>
  <c r="T6" i="28"/>
  <c r="T411" i="28"/>
  <c r="C411" i="28"/>
  <c r="K411" i="28"/>
  <c r="L411" i="28" s="1"/>
  <c r="G411" i="28"/>
  <c r="H410" i="28"/>
  <c r="L409" i="28"/>
  <c r="L407" i="28"/>
  <c r="L404" i="28"/>
  <c r="L403" i="28"/>
  <c r="L402" i="28"/>
  <c r="L400" i="28"/>
  <c r="L399" i="28"/>
  <c r="L398" i="28"/>
  <c r="L397" i="28"/>
  <c r="L396" i="28"/>
  <c r="L395" i="28"/>
  <c r="L394" i="28"/>
  <c r="L393" i="28"/>
  <c r="L392" i="28"/>
  <c r="L391" i="28"/>
  <c r="L390" i="28"/>
  <c r="L389" i="28"/>
  <c r="L388" i="28"/>
  <c r="L387" i="28"/>
  <c r="L386" i="28"/>
  <c r="L385" i="28"/>
  <c r="L384" i="28"/>
  <c r="L382" i="28"/>
  <c r="L381" i="28"/>
  <c r="L380" i="28"/>
  <c r="L379" i="28"/>
  <c r="L378" i="28"/>
  <c r="L377" i="28"/>
  <c r="L375" i="28"/>
  <c r="L374" i="28"/>
  <c r="L367" i="28"/>
  <c r="L366" i="28"/>
  <c r="L365" i="28"/>
  <c r="L364" i="28"/>
  <c r="L363" i="28"/>
  <c r="L362" i="28"/>
  <c r="L361" i="28"/>
  <c r="L360" i="28"/>
  <c r="L359" i="28"/>
  <c r="L358" i="28"/>
  <c r="L357" i="28"/>
  <c r="L356" i="28"/>
  <c r="L355" i="28"/>
  <c r="L373" i="28"/>
  <c r="L372" i="28"/>
  <c r="L371" i="28"/>
  <c r="L370" i="28"/>
  <c r="L369" i="28"/>
  <c r="L368"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28" i="28"/>
  <c r="L327" i="28"/>
  <c r="L329" i="28"/>
  <c r="L330" i="28"/>
  <c r="L326" i="28"/>
  <c r="L325" i="28"/>
  <c r="L324" i="28"/>
  <c r="L323" i="28"/>
  <c r="L322" i="28"/>
  <c r="L321" i="28"/>
  <c r="L320" i="28"/>
  <c r="L319" i="28"/>
  <c r="L318" i="28"/>
  <c r="L317" i="28"/>
  <c r="L316" i="28"/>
  <c r="L315" i="28"/>
  <c r="L314" i="28"/>
  <c r="L313" i="28"/>
  <c r="L312" i="28"/>
  <c r="L311" i="28"/>
  <c r="L310" i="28"/>
  <c r="L309" i="28"/>
  <c r="L308" i="28"/>
  <c r="L306" i="28"/>
  <c r="L307"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2"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8"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0" i="28"/>
  <c r="L149" i="28"/>
  <c r="L147" i="28"/>
  <c r="L146" i="28"/>
  <c r="L145" i="28"/>
  <c r="L143" i="28"/>
  <c r="L142" i="28"/>
  <c r="L141" i="28"/>
  <c r="L140" i="28"/>
  <c r="L139" i="28"/>
  <c r="L138" i="28"/>
  <c r="L135" i="28"/>
  <c r="L134" i="28"/>
  <c r="L132" i="28"/>
  <c r="L131" i="28"/>
  <c r="L130" i="28"/>
  <c r="L129" i="28"/>
  <c r="L128" i="28"/>
  <c r="L127" i="28"/>
  <c r="L126" i="28"/>
  <c r="L125" i="28"/>
  <c r="L124" i="28"/>
  <c r="L123" i="28"/>
  <c r="L122" i="28"/>
  <c r="L121" i="28"/>
  <c r="L120" i="28"/>
  <c r="L119" i="28"/>
  <c r="L118" i="28"/>
  <c r="L117" i="28"/>
  <c r="L116" i="28"/>
  <c r="L115" i="28"/>
  <c r="L114" i="28"/>
  <c r="L113" i="28"/>
  <c r="L110" i="28"/>
  <c r="L109" i="28"/>
  <c r="L108" i="28"/>
  <c r="L107" i="28"/>
  <c r="L106" i="28"/>
  <c r="L105" i="28"/>
  <c r="L104" i="28"/>
  <c r="L103" i="28"/>
  <c r="L102" i="28"/>
  <c r="L100" i="28"/>
  <c r="L99" i="28"/>
  <c r="L98" i="28"/>
  <c r="L97" i="28"/>
  <c r="L96" i="28"/>
  <c r="L95" i="28"/>
  <c r="L92" i="28"/>
  <c r="H92" i="28"/>
  <c r="L91" i="28"/>
  <c r="H91" i="28"/>
  <c r="L90" i="28"/>
  <c r="H90" i="28"/>
  <c r="L89" i="28"/>
  <c r="H89" i="28"/>
  <c r="L88" i="28"/>
  <c r="H88" i="28"/>
  <c r="L87" i="28"/>
  <c r="H87" i="28"/>
  <c r="H86" i="28"/>
  <c r="L85" i="28"/>
  <c r="H85" i="28"/>
  <c r="L84" i="28"/>
  <c r="H84" i="28"/>
  <c r="L83" i="28"/>
  <c r="H83" i="28"/>
  <c r="H82" i="28"/>
  <c r="L81" i="28"/>
  <c r="H81" i="28"/>
  <c r="L80" i="28"/>
  <c r="H80" i="28"/>
  <c r="L79" i="28"/>
  <c r="H79" i="28"/>
  <c r="L78" i="28"/>
  <c r="H78" i="28"/>
  <c r="L77" i="28"/>
  <c r="H77" i="28"/>
  <c r="L76" i="28"/>
  <c r="H76" i="28"/>
  <c r="L75" i="28"/>
  <c r="H75" i="28"/>
  <c r="H74" i="28"/>
  <c r="L73" i="28"/>
  <c r="H73" i="28"/>
  <c r="L72" i="28"/>
  <c r="H72" i="28"/>
  <c r="L71" i="28"/>
  <c r="H71" i="28"/>
  <c r="L70" i="28"/>
  <c r="H70" i="28"/>
  <c r="L69" i="28"/>
  <c r="H69" i="28"/>
  <c r="L68" i="28"/>
  <c r="H68" i="28"/>
  <c r="L67" i="28"/>
  <c r="H67" i="28"/>
  <c r="L66" i="28"/>
  <c r="H66" i="28"/>
  <c r="L65" i="28"/>
  <c r="H65" i="28"/>
  <c r="L64" i="28"/>
  <c r="H64" i="28"/>
  <c r="L63" i="28"/>
  <c r="H63" i="28"/>
  <c r="L62" i="28"/>
  <c r="H62" i="28"/>
  <c r="L61" i="28"/>
  <c r="H61" i="28"/>
  <c r="L60" i="28"/>
  <c r="H60" i="28"/>
  <c r="L59" i="28"/>
  <c r="H59" i="28"/>
  <c r="L58" i="28"/>
  <c r="H58" i="28"/>
  <c r="L57" i="28"/>
  <c r="H57" i="28"/>
  <c r="L56" i="28"/>
  <c r="H56" i="28"/>
  <c r="L55" i="28"/>
  <c r="H55" i="28"/>
  <c r="L54" i="28"/>
  <c r="H54" i="28"/>
  <c r="L53" i="28"/>
  <c r="H53" i="28"/>
  <c r="L52" i="28"/>
  <c r="H52" i="28"/>
  <c r="L51" i="28"/>
  <c r="H51" i="28"/>
  <c r="L50" i="28"/>
  <c r="H50" i="28"/>
  <c r="L49" i="28"/>
  <c r="H49" i="28"/>
  <c r="L48" i="28"/>
  <c r="H48" i="28"/>
  <c r="L47" i="28"/>
  <c r="H47" i="28"/>
  <c r="L46" i="28"/>
  <c r="H46" i="28"/>
  <c r="L45" i="28"/>
  <c r="H45" i="28"/>
  <c r="L44" i="28"/>
  <c r="H44" i="28"/>
  <c r="H43" i="28"/>
  <c r="L42" i="28"/>
  <c r="H42" i="28"/>
  <c r="L41" i="28"/>
  <c r="H41" i="28"/>
  <c r="L40" i="28"/>
  <c r="H40" i="28"/>
  <c r="H39" i="28"/>
  <c r="L38" i="28"/>
  <c r="H38" i="28"/>
  <c r="L37" i="28"/>
  <c r="H37" i="28"/>
  <c r="L36" i="28"/>
  <c r="H36" i="28"/>
  <c r="L35" i="28"/>
  <c r="H35" i="28"/>
  <c r="L34" i="28"/>
  <c r="H34" i="28"/>
  <c r="L33" i="28"/>
  <c r="H33" i="28"/>
  <c r="L32" i="28"/>
  <c r="H32" i="28"/>
  <c r="L31" i="28"/>
  <c r="H31" i="28"/>
  <c r="L30" i="28"/>
  <c r="H30" i="28"/>
  <c r="L29" i="28"/>
  <c r="H29" i="28"/>
  <c r="L28" i="28"/>
  <c r="H28" i="28"/>
  <c r="L27" i="28"/>
  <c r="H27" i="28"/>
  <c r="L26" i="28"/>
  <c r="H26" i="28"/>
  <c r="L25" i="28"/>
  <c r="H25" i="28"/>
  <c r="H24" i="28"/>
  <c r="H23" i="28"/>
  <c r="H22" i="28"/>
  <c r="L21" i="28"/>
  <c r="H21" i="28"/>
  <c r="L20" i="28"/>
  <c r="H20" i="28"/>
  <c r="L19" i="28"/>
  <c r="H19" i="28"/>
  <c r="H18" i="28"/>
  <c r="H17" i="28"/>
  <c r="L16" i="28"/>
  <c r="H16" i="28"/>
  <c r="L14" i="28"/>
  <c r="H14" i="28"/>
  <c r="L13" i="28"/>
  <c r="H13" i="28"/>
  <c r="L12" i="28"/>
  <c r="H12" i="28"/>
  <c r="L11" i="28"/>
  <c r="H11" i="28"/>
  <c r="L10" i="28"/>
  <c r="H10" i="28"/>
  <c r="L9" i="28"/>
  <c r="H9" i="28"/>
  <c r="L8" i="28"/>
  <c r="H8" i="28"/>
  <c r="L7" i="28"/>
  <c r="H7" i="28"/>
  <c r="L6" i="28"/>
  <c r="H6" i="28"/>
  <c r="S6" i="27"/>
  <c r="S411" i="27" s="1"/>
  <c r="C412" i="27" s="1"/>
  <c r="M6" i="27"/>
  <c r="M411" i="27" s="1"/>
  <c r="M7" i="27"/>
  <c r="N7" i="27" s="1"/>
  <c r="O7" i="27" s="1"/>
  <c r="T6" i="27"/>
  <c r="C411" i="27"/>
  <c r="K411" i="27"/>
  <c r="G411" i="27"/>
  <c r="H410" i="27"/>
  <c r="L409" i="27"/>
  <c r="H409" i="27"/>
  <c r="H408" i="27"/>
  <c r="L407" i="27"/>
  <c r="H407" i="27"/>
  <c r="H406" i="27"/>
  <c r="H405" i="27"/>
  <c r="L404" i="27"/>
  <c r="H404" i="27"/>
  <c r="L403" i="27"/>
  <c r="H403" i="27"/>
  <c r="H401" i="27"/>
  <c r="L402" i="27"/>
  <c r="H402" i="27"/>
  <c r="L400" i="27"/>
  <c r="H400" i="27"/>
  <c r="L399" i="27"/>
  <c r="H399" i="27"/>
  <c r="L398" i="27"/>
  <c r="H398" i="27"/>
  <c r="L397" i="27"/>
  <c r="H397" i="27"/>
  <c r="L396" i="27"/>
  <c r="H396" i="27"/>
  <c r="L395" i="27"/>
  <c r="H395" i="27"/>
  <c r="L394" i="27"/>
  <c r="H394" i="27"/>
  <c r="L393" i="27"/>
  <c r="H393" i="27"/>
  <c r="L392" i="27"/>
  <c r="H392" i="27"/>
  <c r="L391" i="27"/>
  <c r="H391" i="27"/>
  <c r="L390" i="27"/>
  <c r="H390" i="27"/>
  <c r="L389" i="27"/>
  <c r="H389" i="27"/>
  <c r="L388" i="27"/>
  <c r="H388" i="27"/>
  <c r="L387" i="27"/>
  <c r="H387" i="27"/>
  <c r="L386" i="27"/>
  <c r="H386" i="27"/>
  <c r="L385" i="27"/>
  <c r="H385" i="27"/>
  <c r="L384" i="27"/>
  <c r="H384" i="27"/>
  <c r="H383" i="27"/>
  <c r="L382" i="27"/>
  <c r="H382" i="27"/>
  <c r="L381" i="27"/>
  <c r="H381" i="27"/>
  <c r="L380" i="27"/>
  <c r="H380" i="27"/>
  <c r="L379" i="27"/>
  <c r="H379" i="27"/>
  <c r="L378" i="27"/>
  <c r="H378" i="27"/>
  <c r="L377" i="27"/>
  <c r="H377" i="27"/>
  <c r="H376" i="27"/>
  <c r="L375" i="27"/>
  <c r="H375" i="27"/>
  <c r="L374" i="27"/>
  <c r="H374" i="27"/>
  <c r="L367" i="27"/>
  <c r="H367" i="27"/>
  <c r="L366" i="27"/>
  <c r="H366" i="27"/>
  <c r="L365" i="27"/>
  <c r="H365" i="27"/>
  <c r="L364" i="27"/>
  <c r="H364" i="27"/>
  <c r="L363" i="27"/>
  <c r="H363" i="27"/>
  <c r="L362" i="27"/>
  <c r="H362" i="27"/>
  <c r="L361" i="27"/>
  <c r="H361" i="27"/>
  <c r="L360" i="27"/>
  <c r="H360" i="27"/>
  <c r="L359" i="27"/>
  <c r="H359" i="27"/>
  <c r="L358" i="27"/>
  <c r="H358" i="27"/>
  <c r="L357" i="27"/>
  <c r="H357" i="27"/>
  <c r="L356" i="27"/>
  <c r="H356" i="27"/>
  <c r="L355" i="27"/>
  <c r="H355" i="27"/>
  <c r="L373" i="27"/>
  <c r="H373" i="27"/>
  <c r="L372" i="27"/>
  <c r="H372" i="27"/>
  <c r="L371" i="27"/>
  <c r="H371" i="27"/>
  <c r="L370" i="27"/>
  <c r="H370" i="27"/>
  <c r="L369" i="27"/>
  <c r="H369" i="27"/>
  <c r="L368" i="27"/>
  <c r="H368" i="27"/>
  <c r="L354" i="27"/>
  <c r="H354" i="27"/>
  <c r="L353" i="27"/>
  <c r="H353" i="27"/>
  <c r="L352" i="27"/>
  <c r="H352" i="27"/>
  <c r="L351" i="27"/>
  <c r="H351" i="27"/>
  <c r="L350" i="27"/>
  <c r="H350" i="27"/>
  <c r="L349" i="27"/>
  <c r="H349" i="27"/>
  <c r="L348" i="27"/>
  <c r="H348" i="27"/>
  <c r="L347" i="27"/>
  <c r="H347" i="27"/>
  <c r="L346" i="27"/>
  <c r="H346" i="27"/>
  <c r="L345" i="27"/>
  <c r="H345" i="27"/>
  <c r="L344" i="27"/>
  <c r="H344" i="27"/>
  <c r="L343" i="27"/>
  <c r="H343" i="27"/>
  <c r="L342" i="27"/>
  <c r="H342" i="27"/>
  <c r="L341" i="27"/>
  <c r="H341" i="27"/>
  <c r="L340" i="27"/>
  <c r="H340" i="27"/>
  <c r="L339" i="27"/>
  <c r="H339" i="27"/>
  <c r="L338" i="27"/>
  <c r="H338" i="27"/>
  <c r="L337" i="27"/>
  <c r="H337" i="27"/>
  <c r="L336" i="27"/>
  <c r="H336" i="27"/>
  <c r="L335" i="27"/>
  <c r="H335" i="27"/>
  <c r="L334" i="27"/>
  <c r="H334" i="27"/>
  <c r="L333" i="27"/>
  <c r="H333" i="27"/>
  <c r="L332" i="27"/>
  <c r="H332" i="27"/>
  <c r="L331" i="27"/>
  <c r="H331" i="27"/>
  <c r="L328" i="27"/>
  <c r="H328" i="27"/>
  <c r="L327" i="27"/>
  <c r="H327" i="27"/>
  <c r="L329" i="27"/>
  <c r="H329" i="27"/>
  <c r="L330" i="27"/>
  <c r="H330" i="27"/>
  <c r="L326" i="27"/>
  <c r="H326" i="27"/>
  <c r="L325" i="27"/>
  <c r="H325" i="27"/>
  <c r="L324" i="27"/>
  <c r="H324" i="27"/>
  <c r="L323" i="27"/>
  <c r="H323" i="27"/>
  <c r="L322" i="27"/>
  <c r="H322" i="27"/>
  <c r="L321" i="27"/>
  <c r="H321" i="27"/>
  <c r="L320" i="27"/>
  <c r="H320" i="27"/>
  <c r="L319" i="27"/>
  <c r="H319" i="27"/>
  <c r="L318" i="27"/>
  <c r="H318" i="27"/>
  <c r="L317" i="27"/>
  <c r="H317" i="27"/>
  <c r="L316" i="27"/>
  <c r="H316" i="27"/>
  <c r="L315" i="27"/>
  <c r="H315" i="27"/>
  <c r="L314" i="27"/>
  <c r="H314" i="27"/>
  <c r="L313" i="27"/>
  <c r="H313" i="27"/>
  <c r="L312" i="27"/>
  <c r="H312" i="27"/>
  <c r="L311" i="27"/>
  <c r="H311" i="27"/>
  <c r="L310" i="27"/>
  <c r="H310" i="27"/>
  <c r="L309" i="27"/>
  <c r="H309" i="27"/>
  <c r="L308" i="27"/>
  <c r="H308" i="27"/>
  <c r="L306" i="27"/>
  <c r="H306" i="27"/>
  <c r="L307" i="27"/>
  <c r="H307" i="27"/>
  <c r="L305" i="27"/>
  <c r="H305" i="27"/>
  <c r="L304" i="27"/>
  <c r="H304" i="27"/>
  <c r="L303" i="27"/>
  <c r="H303" i="27"/>
  <c r="L302" i="27"/>
  <c r="H302" i="27"/>
  <c r="L301" i="27"/>
  <c r="H301" i="27"/>
  <c r="L300" i="27"/>
  <c r="H300" i="27"/>
  <c r="L299" i="27"/>
  <c r="H299" i="27"/>
  <c r="L298" i="27"/>
  <c r="H298" i="27"/>
  <c r="L297" i="27"/>
  <c r="H297" i="27"/>
  <c r="L296" i="27"/>
  <c r="H296" i="27"/>
  <c r="L295" i="27"/>
  <c r="H295" i="27"/>
  <c r="L294" i="27"/>
  <c r="H294" i="27"/>
  <c r="L293" i="27"/>
  <c r="H293" i="27"/>
  <c r="L292" i="27"/>
  <c r="H292" i="27"/>
  <c r="L291" i="27"/>
  <c r="H291" i="27"/>
  <c r="L290" i="27"/>
  <c r="H290" i="27"/>
  <c r="L289" i="27"/>
  <c r="H289" i="27"/>
  <c r="L288" i="27"/>
  <c r="H288" i="27"/>
  <c r="L287" i="27"/>
  <c r="H287" i="27"/>
  <c r="L286" i="27"/>
  <c r="H286" i="27"/>
  <c r="L285" i="27"/>
  <c r="H285" i="27"/>
  <c r="L284" i="27"/>
  <c r="H284" i="27"/>
  <c r="L283" i="27"/>
  <c r="H283" i="27"/>
  <c r="L282" i="27"/>
  <c r="H282" i="27"/>
  <c r="L281" i="27"/>
  <c r="H281" i="27"/>
  <c r="L280" i="27"/>
  <c r="H280" i="27"/>
  <c r="L279" i="27"/>
  <c r="H279" i="27"/>
  <c r="L278" i="27"/>
  <c r="H278" i="27"/>
  <c r="L277" i="27"/>
  <c r="H277" i="27"/>
  <c r="L276" i="27"/>
  <c r="H276" i="27"/>
  <c r="L275" i="27"/>
  <c r="H275" i="27"/>
  <c r="L274" i="27"/>
  <c r="H274" i="27"/>
  <c r="H273" i="27"/>
  <c r="L272" i="27"/>
  <c r="H272" i="27"/>
  <c r="H271" i="27"/>
  <c r="L270" i="27"/>
  <c r="H270" i="27"/>
  <c r="L269" i="27"/>
  <c r="H269" i="27"/>
  <c r="L268" i="27"/>
  <c r="H268" i="27"/>
  <c r="L267" i="27"/>
  <c r="H267" i="27"/>
  <c r="L266" i="27"/>
  <c r="H266" i="27"/>
  <c r="L265" i="27"/>
  <c r="H265" i="27"/>
  <c r="L264" i="27"/>
  <c r="H264" i="27"/>
  <c r="L263" i="27"/>
  <c r="H263" i="27"/>
  <c r="L262" i="27"/>
  <c r="H262" i="27"/>
  <c r="L261" i="27"/>
  <c r="H261" i="27"/>
  <c r="L260" i="27"/>
  <c r="H260" i="27"/>
  <c r="L259" i="27"/>
  <c r="H259" i="27"/>
  <c r="L258" i="27"/>
  <c r="H258" i="27"/>
  <c r="L257" i="27"/>
  <c r="H257" i="27"/>
  <c r="L256" i="27"/>
  <c r="H256" i="27"/>
  <c r="L255" i="27"/>
  <c r="H255" i="27"/>
  <c r="L254" i="27"/>
  <c r="H254" i="27"/>
  <c r="L253" i="27"/>
  <c r="H253" i="27"/>
  <c r="L252" i="27"/>
  <c r="H252" i="27"/>
  <c r="L251" i="27"/>
  <c r="H251" i="27"/>
  <c r="L250" i="27"/>
  <c r="H250" i="27"/>
  <c r="L249" i="27"/>
  <c r="H249" i="27"/>
  <c r="L248" i="27"/>
  <c r="H248" i="27"/>
  <c r="L247" i="27"/>
  <c r="H247" i="27"/>
  <c r="L246" i="27"/>
  <c r="H246" i="27"/>
  <c r="H245" i="27"/>
  <c r="L244" i="27"/>
  <c r="H244" i="27"/>
  <c r="L243" i="27"/>
  <c r="H243" i="27"/>
  <c r="L242" i="27"/>
  <c r="H242" i="27"/>
  <c r="L241" i="27"/>
  <c r="H241" i="27"/>
  <c r="L240" i="27"/>
  <c r="H240" i="27"/>
  <c r="L239" i="27"/>
  <c r="H239" i="27"/>
  <c r="L238" i="27"/>
  <c r="H238" i="27"/>
  <c r="L237" i="27"/>
  <c r="H237" i="27"/>
  <c r="L236" i="27"/>
  <c r="H236" i="27"/>
  <c r="L235" i="27"/>
  <c r="H235" i="27"/>
  <c r="L234" i="27"/>
  <c r="H234" i="27"/>
  <c r="L233" i="27"/>
  <c r="H233" i="27"/>
  <c r="L232" i="27"/>
  <c r="H232" i="27"/>
  <c r="L231" i="27"/>
  <c r="H231" i="27"/>
  <c r="L230" i="27"/>
  <c r="H230" i="27"/>
  <c r="L229" i="27"/>
  <c r="H229" i="27"/>
  <c r="L228" i="27"/>
  <c r="H228" i="27"/>
  <c r="L227" i="27"/>
  <c r="H227" i="27"/>
  <c r="L226" i="27"/>
  <c r="H226" i="27"/>
  <c r="L225" i="27"/>
  <c r="H225" i="27"/>
  <c r="L224" i="27"/>
  <c r="H224" i="27"/>
  <c r="L223" i="27"/>
  <c r="H223" i="27"/>
  <c r="L222" i="27"/>
  <c r="H222" i="27"/>
  <c r="L221" i="27"/>
  <c r="H221" i="27"/>
  <c r="L220" i="27"/>
  <c r="H220" i="27"/>
  <c r="L219" i="27"/>
  <c r="H219" i="27"/>
  <c r="L218" i="27"/>
  <c r="H218" i="27"/>
  <c r="L217" i="27"/>
  <c r="H217" i="27"/>
  <c r="L216" i="27"/>
  <c r="H216" i="27"/>
  <c r="L215" i="27"/>
  <c r="H215" i="27"/>
  <c r="L214" i="27"/>
  <c r="H214" i="27"/>
  <c r="L213" i="27"/>
  <c r="H213" i="27"/>
  <c r="L212" i="27"/>
  <c r="H212" i="27"/>
  <c r="L211" i="27"/>
  <c r="H211" i="27"/>
  <c r="L210" i="27"/>
  <c r="H210" i="27"/>
  <c r="L209" i="27"/>
  <c r="H209" i="27"/>
  <c r="L208" i="27"/>
  <c r="H208" i="27"/>
  <c r="L207" i="27"/>
  <c r="H207" i="27"/>
  <c r="L206" i="27"/>
  <c r="H206" i="27"/>
  <c r="L205" i="27"/>
  <c r="H205" i="27"/>
  <c r="L204" i="27"/>
  <c r="H204" i="27"/>
  <c r="L203" i="27"/>
  <c r="H203" i="27"/>
  <c r="L202" i="27"/>
  <c r="H202" i="27"/>
  <c r="L201" i="27"/>
  <c r="H201" i="27"/>
  <c r="L200" i="27"/>
  <c r="H200" i="27"/>
  <c r="H199" i="27"/>
  <c r="L198" i="27"/>
  <c r="H198" i="27"/>
  <c r="H197" i="27"/>
  <c r="L196" i="27"/>
  <c r="H196" i="27"/>
  <c r="L195" i="27"/>
  <c r="H195" i="27"/>
  <c r="L194" i="27"/>
  <c r="H194" i="27"/>
  <c r="L193" i="27"/>
  <c r="H193" i="27"/>
  <c r="L192" i="27"/>
  <c r="H192" i="27"/>
  <c r="L191" i="27"/>
  <c r="H191" i="27"/>
  <c r="L190" i="27"/>
  <c r="H190" i="27"/>
  <c r="L189" i="27"/>
  <c r="H189" i="27"/>
  <c r="L188" i="27"/>
  <c r="H188" i="27"/>
  <c r="L187" i="27"/>
  <c r="H187" i="27"/>
  <c r="L186" i="27"/>
  <c r="H186" i="27"/>
  <c r="L185" i="27"/>
  <c r="H185" i="27"/>
  <c r="L184" i="27"/>
  <c r="H184" i="27"/>
  <c r="L183" i="27"/>
  <c r="H183" i="27"/>
  <c r="L182" i="27"/>
  <c r="H182" i="27"/>
  <c r="L181" i="27"/>
  <c r="H181" i="27"/>
  <c r="L180" i="27"/>
  <c r="H180" i="27"/>
  <c r="L179" i="27"/>
  <c r="H179" i="27"/>
  <c r="L178" i="27"/>
  <c r="H178" i="27"/>
  <c r="L177" i="27"/>
  <c r="H177" i="27"/>
  <c r="L176" i="27"/>
  <c r="H176" i="27"/>
  <c r="L175" i="27"/>
  <c r="H175" i="27"/>
  <c r="L174" i="27"/>
  <c r="H174" i="27"/>
  <c r="L173" i="27"/>
  <c r="H173" i="27"/>
  <c r="L172" i="27"/>
  <c r="H172" i="27"/>
  <c r="L171" i="27"/>
  <c r="H171" i="27"/>
  <c r="L170" i="27"/>
  <c r="H170" i="27"/>
  <c r="L169" i="27"/>
  <c r="H169" i="27"/>
  <c r="L168" i="27"/>
  <c r="H168" i="27"/>
  <c r="L167" i="27"/>
  <c r="H167" i="27"/>
  <c r="L166" i="27"/>
  <c r="H166" i="27"/>
  <c r="L165" i="27"/>
  <c r="H165" i="27"/>
  <c r="L164" i="27"/>
  <c r="H164" i="27"/>
  <c r="L163" i="27"/>
  <c r="H163" i="27"/>
  <c r="L162" i="27"/>
  <c r="H162" i="27"/>
  <c r="L161" i="27"/>
  <c r="H161" i="27"/>
  <c r="L160" i="27"/>
  <c r="H160" i="27"/>
  <c r="L159" i="27"/>
  <c r="H159" i="27"/>
  <c r="L158" i="27"/>
  <c r="H158" i="27"/>
  <c r="L157" i="27"/>
  <c r="H157" i="27"/>
  <c r="L156" i="27"/>
  <c r="H156" i="27"/>
  <c r="L155" i="27"/>
  <c r="H155" i="27"/>
  <c r="L154" i="27"/>
  <c r="H154" i="27"/>
  <c r="L153" i="27"/>
  <c r="H153" i="27"/>
  <c r="L152" i="27"/>
  <c r="H152" i="27"/>
  <c r="H151" i="27"/>
  <c r="L150" i="27"/>
  <c r="H150" i="27"/>
  <c r="L149" i="27"/>
  <c r="H149" i="27"/>
  <c r="H148" i="27"/>
  <c r="L147" i="27"/>
  <c r="H147" i="27"/>
  <c r="L146" i="27"/>
  <c r="H146" i="27"/>
  <c r="L145" i="27"/>
  <c r="H145" i="27"/>
  <c r="H144" i="27"/>
  <c r="L143" i="27"/>
  <c r="H143" i="27"/>
  <c r="L142" i="27"/>
  <c r="H142" i="27"/>
  <c r="L141" i="27"/>
  <c r="H141" i="27"/>
  <c r="L140" i="27"/>
  <c r="H140" i="27"/>
  <c r="L139" i="27"/>
  <c r="H139" i="27"/>
  <c r="L138" i="27"/>
  <c r="H138" i="27"/>
  <c r="H137" i="27"/>
  <c r="H136" i="27"/>
  <c r="L135" i="27"/>
  <c r="H135" i="27"/>
  <c r="L134" i="27"/>
  <c r="H134" i="27"/>
  <c r="H133" i="27"/>
  <c r="L132" i="27"/>
  <c r="H132" i="27"/>
  <c r="L131" i="27"/>
  <c r="H131" i="27"/>
  <c r="L130" i="27"/>
  <c r="H130" i="27"/>
  <c r="L129" i="27"/>
  <c r="H129" i="27"/>
  <c r="L128" i="27"/>
  <c r="H128" i="27"/>
  <c r="L127" i="27"/>
  <c r="H127" i="27"/>
  <c r="L126" i="27"/>
  <c r="H126" i="27"/>
  <c r="L125" i="27"/>
  <c r="H125" i="27"/>
  <c r="L124" i="27"/>
  <c r="H124" i="27"/>
  <c r="L123" i="27"/>
  <c r="H123" i="27"/>
  <c r="L122" i="27"/>
  <c r="H122" i="27"/>
  <c r="L121" i="27"/>
  <c r="H121" i="27"/>
  <c r="L120" i="27"/>
  <c r="H120" i="27"/>
  <c r="L119" i="27"/>
  <c r="H119" i="27"/>
  <c r="L118" i="27"/>
  <c r="H118" i="27"/>
  <c r="L117" i="27"/>
  <c r="H117" i="27"/>
  <c r="L116" i="27"/>
  <c r="H116" i="27"/>
  <c r="L115" i="27"/>
  <c r="H115" i="27"/>
  <c r="L114" i="27"/>
  <c r="H114" i="27"/>
  <c r="L113" i="27"/>
  <c r="H113" i="27"/>
  <c r="H112" i="27"/>
  <c r="H111" i="27"/>
  <c r="L110" i="27"/>
  <c r="H110" i="27"/>
  <c r="L109" i="27"/>
  <c r="H109" i="27"/>
  <c r="L108" i="27"/>
  <c r="H108" i="27"/>
  <c r="L107" i="27"/>
  <c r="H107" i="27"/>
  <c r="L106" i="27"/>
  <c r="H106" i="27"/>
  <c r="L105" i="27"/>
  <c r="H105" i="27"/>
  <c r="L104" i="27"/>
  <c r="H104" i="27"/>
  <c r="L103" i="27"/>
  <c r="H103" i="27"/>
  <c r="L102" i="27"/>
  <c r="H102" i="27"/>
  <c r="H101" i="27"/>
  <c r="L100" i="27"/>
  <c r="H100" i="27"/>
  <c r="L99" i="27"/>
  <c r="H99" i="27"/>
  <c r="L98" i="27"/>
  <c r="H98" i="27"/>
  <c r="L97" i="27"/>
  <c r="H97" i="27"/>
  <c r="L96" i="27"/>
  <c r="H96" i="27"/>
  <c r="L95" i="27"/>
  <c r="H95" i="27"/>
  <c r="L94" i="27"/>
  <c r="H94" i="27"/>
  <c r="L92" i="27"/>
  <c r="H92" i="27"/>
  <c r="L91" i="27"/>
  <c r="H91" i="27"/>
  <c r="L90" i="27"/>
  <c r="H90" i="27"/>
  <c r="L89" i="27"/>
  <c r="H89" i="27"/>
  <c r="L88" i="27"/>
  <c r="H88" i="27"/>
  <c r="L87" i="27"/>
  <c r="H87" i="27"/>
  <c r="H86" i="27"/>
  <c r="L85" i="27"/>
  <c r="H85" i="27"/>
  <c r="L84" i="27"/>
  <c r="H84" i="27"/>
  <c r="L83" i="27"/>
  <c r="H83" i="27"/>
  <c r="H82" i="27"/>
  <c r="L81" i="27"/>
  <c r="H81" i="27"/>
  <c r="L80" i="27"/>
  <c r="H80" i="27"/>
  <c r="L79" i="27"/>
  <c r="H79" i="27"/>
  <c r="L78" i="27"/>
  <c r="H78" i="27"/>
  <c r="L77" i="27"/>
  <c r="H77" i="27"/>
  <c r="L76" i="27"/>
  <c r="H76" i="27"/>
  <c r="L75" i="27"/>
  <c r="H75" i="27"/>
  <c r="H74" i="27"/>
  <c r="L73" i="27"/>
  <c r="H73" i="27"/>
  <c r="L72" i="27"/>
  <c r="H72" i="27"/>
  <c r="L71" i="27"/>
  <c r="H71" i="27"/>
  <c r="L70" i="27"/>
  <c r="H70" i="27"/>
  <c r="L69" i="27"/>
  <c r="H69" i="27"/>
  <c r="L68" i="27"/>
  <c r="H68" i="27"/>
  <c r="L67" i="27"/>
  <c r="H67" i="27"/>
  <c r="L66" i="27"/>
  <c r="H66" i="27"/>
  <c r="L65" i="27"/>
  <c r="H65" i="27"/>
  <c r="L64" i="27"/>
  <c r="H64" i="27"/>
  <c r="L63" i="27"/>
  <c r="H63" i="27"/>
  <c r="L62" i="27"/>
  <c r="H62" i="27"/>
  <c r="L61" i="27"/>
  <c r="H61" i="27"/>
  <c r="L60" i="27"/>
  <c r="H60" i="27"/>
  <c r="L59" i="27"/>
  <c r="H59" i="27"/>
  <c r="L58" i="27"/>
  <c r="H58" i="27"/>
  <c r="L57" i="27"/>
  <c r="H57" i="27"/>
  <c r="L56" i="27"/>
  <c r="H56" i="27"/>
  <c r="L55" i="27"/>
  <c r="H55" i="27"/>
  <c r="L54" i="27"/>
  <c r="H54" i="27"/>
  <c r="L53" i="27"/>
  <c r="H53" i="27"/>
  <c r="L52" i="27"/>
  <c r="H52" i="27"/>
  <c r="L51" i="27"/>
  <c r="H51" i="27"/>
  <c r="L50" i="27"/>
  <c r="H50" i="27"/>
  <c r="L49" i="27"/>
  <c r="H49" i="27"/>
  <c r="L48" i="27"/>
  <c r="H48" i="27"/>
  <c r="L47" i="27"/>
  <c r="H47" i="27"/>
  <c r="L46" i="27"/>
  <c r="H46" i="27"/>
  <c r="L45" i="27"/>
  <c r="H45" i="27"/>
  <c r="L44" i="27"/>
  <c r="H44" i="27"/>
  <c r="H43" i="27"/>
  <c r="L42" i="27"/>
  <c r="H42" i="27"/>
  <c r="L41" i="27"/>
  <c r="H41" i="27"/>
  <c r="L40" i="27"/>
  <c r="H40" i="27"/>
  <c r="H39" i="27"/>
  <c r="L38" i="27"/>
  <c r="H38" i="27"/>
  <c r="L37" i="27"/>
  <c r="H37" i="27"/>
  <c r="L36" i="27"/>
  <c r="H36" i="27"/>
  <c r="L35" i="27"/>
  <c r="H35" i="27"/>
  <c r="L34" i="27"/>
  <c r="H34" i="27"/>
  <c r="L33" i="27"/>
  <c r="H33" i="27"/>
  <c r="L32" i="27"/>
  <c r="H32" i="27"/>
  <c r="L31" i="27"/>
  <c r="H31" i="27"/>
  <c r="L30" i="27"/>
  <c r="H30" i="27"/>
  <c r="L29" i="27"/>
  <c r="H29" i="27"/>
  <c r="L28" i="27"/>
  <c r="H28" i="27"/>
  <c r="L27" i="27"/>
  <c r="H27" i="27"/>
  <c r="L26" i="27"/>
  <c r="H26" i="27"/>
  <c r="L25" i="27"/>
  <c r="H25" i="27"/>
  <c r="H24" i="27"/>
  <c r="H23" i="27"/>
  <c r="H22" i="27"/>
  <c r="L21" i="27"/>
  <c r="H21" i="27"/>
  <c r="L20" i="27"/>
  <c r="H20" i="27"/>
  <c r="L19" i="27"/>
  <c r="H19" i="27"/>
  <c r="H18" i="27"/>
  <c r="H17" i="27"/>
  <c r="L16" i="27"/>
  <c r="H16" i="27"/>
  <c r="L14" i="27"/>
  <c r="H14" i="27"/>
  <c r="L13" i="27"/>
  <c r="H13" i="27"/>
  <c r="L12" i="27"/>
  <c r="H12" i="27"/>
  <c r="L11" i="27"/>
  <c r="H11" i="27"/>
  <c r="L10" i="27"/>
  <c r="H10" i="27"/>
  <c r="L9" i="27"/>
  <c r="H9" i="27"/>
  <c r="L8" i="27"/>
  <c r="H8" i="27"/>
  <c r="L7" i="27"/>
  <c r="H7" i="27"/>
  <c r="L6" i="27"/>
  <c r="H6" i="27"/>
  <c r="L8" i="25"/>
  <c r="L9" i="25"/>
  <c r="L10" i="25"/>
  <c r="L11" i="25"/>
  <c r="L12" i="25"/>
  <c r="L13" i="25"/>
  <c r="L14" i="25"/>
  <c r="L16" i="25"/>
  <c r="L17" i="25"/>
  <c r="L18" i="25"/>
  <c r="L19" i="25"/>
  <c r="L20" i="25"/>
  <c r="L21" i="25"/>
  <c r="L25" i="25"/>
  <c r="L26" i="25"/>
  <c r="L27" i="25"/>
  <c r="L28" i="25"/>
  <c r="L29" i="25"/>
  <c r="L30" i="25"/>
  <c r="L31" i="25"/>
  <c r="L32" i="25"/>
  <c r="L33" i="25"/>
  <c r="L34" i="25"/>
  <c r="L35" i="25"/>
  <c r="L36" i="25"/>
  <c r="L37" i="25"/>
  <c r="L38" i="25"/>
  <c r="L40" i="25"/>
  <c r="L41" i="25"/>
  <c r="L42" i="25"/>
  <c r="L44" i="25"/>
  <c r="L45" i="25"/>
  <c r="L46" i="25"/>
  <c r="L47" i="25"/>
  <c r="L48" i="25"/>
  <c r="L49" i="25"/>
  <c r="L50" i="25"/>
  <c r="L51" i="25"/>
  <c r="L52" i="25"/>
  <c r="L53" i="25"/>
  <c r="L54" i="25"/>
  <c r="L55" i="25"/>
  <c r="L56" i="25"/>
  <c r="L57" i="25"/>
  <c r="L58" i="25"/>
  <c r="L59" i="25"/>
  <c r="L60" i="25"/>
  <c r="L61" i="25"/>
  <c r="L62" i="25"/>
  <c r="L63" i="25"/>
  <c r="L64" i="25"/>
  <c r="L65" i="25"/>
  <c r="L66" i="25"/>
  <c r="L67" i="25"/>
  <c r="L68" i="25"/>
  <c r="L69" i="25"/>
  <c r="L70" i="25"/>
  <c r="L71" i="25"/>
  <c r="L73" i="25"/>
  <c r="L74" i="25"/>
  <c r="L76" i="25"/>
  <c r="L77" i="25"/>
  <c r="L78" i="25"/>
  <c r="L79" i="25"/>
  <c r="L80" i="25"/>
  <c r="L81" i="25"/>
  <c r="L82" i="25"/>
  <c r="L84" i="25"/>
  <c r="L85" i="25"/>
  <c r="L86" i="25"/>
  <c r="L88" i="25"/>
  <c r="L89" i="25"/>
  <c r="L90" i="25"/>
  <c r="L91" i="25"/>
  <c r="L92" i="25"/>
  <c r="L93" i="25"/>
  <c r="L95" i="25"/>
  <c r="L96" i="25"/>
  <c r="L97" i="25"/>
  <c r="L98" i="25"/>
  <c r="L99" i="25"/>
  <c r="L100" i="25"/>
  <c r="L101" i="25"/>
  <c r="L102" i="25"/>
  <c r="L103" i="25"/>
  <c r="L104" i="25"/>
  <c r="L105" i="25"/>
  <c r="L106" i="25"/>
  <c r="L107" i="25"/>
  <c r="L108" i="25"/>
  <c r="L109" i="25"/>
  <c r="L110" i="25"/>
  <c r="L111" i="25"/>
  <c r="L114" i="25"/>
  <c r="L115" i="25"/>
  <c r="L116" i="25"/>
  <c r="L117" i="25"/>
  <c r="L118" i="25"/>
  <c r="L119" i="25"/>
  <c r="L120" i="25"/>
  <c r="L121" i="25"/>
  <c r="L122" i="25"/>
  <c r="L123" i="25"/>
  <c r="L124" i="25"/>
  <c r="L125" i="25"/>
  <c r="L126" i="25"/>
  <c r="L127" i="25"/>
  <c r="L128" i="25"/>
  <c r="L129" i="25"/>
  <c r="L130" i="25"/>
  <c r="L131" i="25"/>
  <c r="L132" i="25"/>
  <c r="L133" i="25"/>
  <c r="L135" i="25"/>
  <c r="L136" i="25"/>
  <c r="L139" i="25"/>
  <c r="L140" i="25"/>
  <c r="L141" i="25"/>
  <c r="L142" i="25"/>
  <c r="L143" i="25"/>
  <c r="L144" i="25"/>
  <c r="L146" i="25"/>
  <c r="L147" i="25"/>
  <c r="L148" i="25"/>
  <c r="L150" i="25"/>
  <c r="L151"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6"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1" i="25"/>
  <c r="L310" i="25"/>
  <c r="L312" i="25"/>
  <c r="L313" i="25"/>
  <c r="L314" i="25"/>
  <c r="L315" i="25"/>
  <c r="L316" i="25"/>
  <c r="L317" i="25"/>
  <c r="L318" i="25"/>
  <c r="L319" i="25"/>
  <c r="L320" i="25"/>
  <c r="L321" i="25"/>
  <c r="L322" i="25"/>
  <c r="L323" i="25"/>
  <c r="L324" i="25"/>
  <c r="L325" i="25"/>
  <c r="L326" i="25"/>
  <c r="L327" i="25"/>
  <c r="L328" i="25"/>
  <c r="L329" i="25"/>
  <c r="L330" i="25"/>
  <c r="L334" i="25"/>
  <c r="L333" i="25"/>
  <c r="L331" i="25"/>
  <c r="L332"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72" i="25"/>
  <c r="L373" i="25"/>
  <c r="L374" i="25"/>
  <c r="L375" i="25"/>
  <c r="L376" i="25"/>
  <c r="L377" i="25"/>
  <c r="L359" i="25"/>
  <c r="L360" i="25"/>
  <c r="L361" i="25"/>
  <c r="L362" i="25"/>
  <c r="L363" i="25"/>
  <c r="L364" i="25"/>
  <c r="L365" i="25"/>
  <c r="L366" i="25"/>
  <c r="L367" i="25"/>
  <c r="L368" i="25"/>
  <c r="L369" i="25"/>
  <c r="L370" i="25"/>
  <c r="L371" i="25"/>
  <c r="L378" i="25"/>
  <c r="L379" i="25"/>
  <c r="L381" i="25"/>
  <c r="L382" i="25"/>
  <c r="L383" i="25"/>
  <c r="L384" i="25"/>
  <c r="L385" i="25"/>
  <c r="L386" i="25"/>
  <c r="L388" i="25"/>
  <c r="L389" i="25"/>
  <c r="L390" i="25"/>
  <c r="L391" i="25"/>
  <c r="L392" i="25"/>
  <c r="L393" i="25"/>
  <c r="L394" i="25"/>
  <c r="L395" i="25"/>
  <c r="L396" i="25"/>
  <c r="L397" i="25"/>
  <c r="L398" i="25"/>
  <c r="L399" i="25"/>
  <c r="L400" i="25"/>
  <c r="L401" i="25"/>
  <c r="L402" i="25"/>
  <c r="L403" i="25"/>
  <c r="L404" i="25"/>
  <c r="L406" i="25"/>
  <c r="L407" i="25"/>
  <c r="L408" i="25"/>
  <c r="L411" i="25"/>
  <c r="L413" i="25"/>
  <c r="H14"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3" i="25"/>
  <c r="H72" i="25"/>
  <c r="H74" i="25"/>
  <c r="H75" i="25"/>
  <c r="H76" i="25"/>
  <c r="H77" i="25"/>
  <c r="H78" i="25"/>
  <c r="H79" i="25"/>
  <c r="H80" i="25"/>
  <c r="H81" i="25"/>
  <c r="H82" i="25"/>
  <c r="H83" i="25"/>
  <c r="H84" i="25"/>
  <c r="H85" i="25"/>
  <c r="H86" i="25"/>
  <c r="H87" i="25"/>
  <c r="H88" i="25"/>
  <c r="H89" i="25"/>
  <c r="H90" i="25"/>
  <c r="H91" i="25"/>
  <c r="H92" i="25"/>
  <c r="H93"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1" i="25"/>
  <c r="H310" i="25"/>
  <c r="H312" i="25"/>
  <c r="H313" i="25"/>
  <c r="H314" i="25"/>
  <c r="H315" i="25"/>
  <c r="H316" i="25"/>
  <c r="H317" i="25"/>
  <c r="H318" i="25"/>
  <c r="H319" i="25"/>
  <c r="H320" i="25"/>
  <c r="H321" i="25"/>
  <c r="H322" i="25"/>
  <c r="H323" i="25"/>
  <c r="H324" i="25"/>
  <c r="H325" i="25"/>
  <c r="H326" i="25"/>
  <c r="H327" i="25"/>
  <c r="H328" i="25"/>
  <c r="H329" i="25"/>
  <c r="H330" i="25"/>
  <c r="H334" i="25"/>
  <c r="H333" i="25"/>
  <c r="H331" i="25"/>
  <c r="H332"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72" i="25"/>
  <c r="H373" i="25"/>
  <c r="H374" i="25"/>
  <c r="H375" i="25"/>
  <c r="H376" i="25"/>
  <c r="H377" i="25"/>
  <c r="H359" i="25"/>
  <c r="H360" i="25"/>
  <c r="H361" i="25"/>
  <c r="H362" i="25"/>
  <c r="H363" i="25"/>
  <c r="H364" i="25"/>
  <c r="H365" i="25"/>
  <c r="H366" i="25"/>
  <c r="H367" i="25"/>
  <c r="H368" i="25"/>
  <c r="H369" i="25"/>
  <c r="H370" i="25"/>
  <c r="H371"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6" i="25"/>
  <c r="H405" i="25"/>
  <c r="H407" i="25"/>
  <c r="H408" i="25"/>
  <c r="H409" i="25"/>
  <c r="H410" i="25"/>
  <c r="H411" i="25"/>
  <c r="H412" i="25"/>
  <c r="H413" i="25"/>
  <c r="H414" i="25"/>
  <c r="L16" i="26"/>
  <c r="L19" i="26"/>
  <c r="L20" i="26"/>
  <c r="L21" i="26"/>
  <c r="L25" i="26"/>
  <c r="L26" i="26"/>
  <c r="L27" i="26"/>
  <c r="L28" i="26"/>
  <c r="L29" i="26"/>
  <c r="L30" i="26"/>
  <c r="L31" i="26"/>
  <c r="L32" i="26"/>
  <c r="L33" i="26"/>
  <c r="L34" i="26"/>
  <c r="L35" i="26"/>
  <c r="L36" i="26"/>
  <c r="L37" i="26"/>
  <c r="L38" i="26"/>
  <c r="L40" i="26"/>
  <c r="L41" i="26"/>
  <c r="L42"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5" i="26"/>
  <c r="L76" i="26"/>
  <c r="L77" i="26"/>
  <c r="L78" i="26"/>
  <c r="L79" i="26"/>
  <c r="L80" i="26"/>
  <c r="L81" i="26"/>
  <c r="L83" i="26"/>
  <c r="L84" i="26"/>
  <c r="L85" i="26"/>
  <c r="L87" i="26"/>
  <c r="L88" i="26"/>
  <c r="L89" i="26"/>
  <c r="L90" i="26"/>
  <c r="L91" i="26"/>
  <c r="L92" i="26"/>
  <c r="L94" i="26"/>
  <c r="L95" i="26"/>
  <c r="L96" i="26"/>
  <c r="L97" i="26"/>
  <c r="L98" i="26"/>
  <c r="L99" i="26"/>
  <c r="L100" i="26"/>
  <c r="L102" i="26"/>
  <c r="L103" i="26"/>
  <c r="L104" i="26"/>
  <c r="L105" i="26"/>
  <c r="L106" i="26"/>
  <c r="L107" i="26"/>
  <c r="L108" i="26"/>
  <c r="L109" i="26"/>
  <c r="L110" i="26"/>
  <c r="L113" i="26"/>
  <c r="L114" i="26"/>
  <c r="L115" i="26"/>
  <c r="L116" i="26"/>
  <c r="L117" i="26"/>
  <c r="L118" i="26"/>
  <c r="L119" i="26"/>
  <c r="L120" i="26"/>
  <c r="L121" i="26"/>
  <c r="L122" i="26"/>
  <c r="L123" i="26"/>
  <c r="L124" i="26"/>
  <c r="L125" i="26"/>
  <c r="L126" i="26"/>
  <c r="L127" i="26"/>
  <c r="L128" i="26"/>
  <c r="L129" i="26"/>
  <c r="L130" i="26"/>
  <c r="L131" i="26"/>
  <c r="L132" i="26"/>
  <c r="L134" i="26"/>
  <c r="L135" i="26"/>
  <c r="L138" i="26"/>
  <c r="L139" i="26"/>
  <c r="L140" i="26"/>
  <c r="L141" i="26"/>
  <c r="L142" i="26"/>
  <c r="L143" i="26"/>
  <c r="L145" i="26"/>
  <c r="L146" i="26"/>
  <c r="L147" i="26"/>
  <c r="L149" i="26"/>
  <c r="L150" i="26"/>
  <c r="L152" i="26"/>
  <c r="L153" i="26"/>
  <c r="L154" i="26"/>
  <c r="L155" i="26"/>
  <c r="L156" i="26"/>
  <c r="L157" i="26"/>
  <c r="L158" i="26"/>
  <c r="L159" i="26"/>
  <c r="L160" i="26"/>
  <c r="L161" i="26"/>
  <c r="L162" i="26"/>
  <c r="L163" i="26"/>
  <c r="L164" i="26"/>
  <c r="L165" i="26"/>
  <c r="L166" i="26"/>
  <c r="L167" i="26"/>
  <c r="L168" i="26"/>
  <c r="L169" i="26"/>
  <c r="L170" i="26"/>
  <c r="L171" i="26"/>
  <c r="L172" i="26"/>
  <c r="L173" i="26"/>
  <c r="L174" i="26"/>
  <c r="L175" i="26"/>
  <c r="L176" i="26"/>
  <c r="L177" i="26"/>
  <c r="L178" i="26"/>
  <c r="L179" i="26"/>
  <c r="L180" i="26"/>
  <c r="L181" i="26"/>
  <c r="L182" i="26"/>
  <c r="L183" i="26"/>
  <c r="L184" i="26"/>
  <c r="L185" i="26"/>
  <c r="L186" i="26"/>
  <c r="L187" i="26"/>
  <c r="L188" i="26"/>
  <c r="L189" i="26"/>
  <c r="L190" i="26"/>
  <c r="L191" i="26"/>
  <c r="L192" i="26"/>
  <c r="L193" i="26"/>
  <c r="L194" i="26"/>
  <c r="L195" i="26"/>
  <c r="L196" i="26"/>
  <c r="L198" i="26"/>
  <c r="L200" i="26"/>
  <c r="L201" i="26"/>
  <c r="L202" i="26"/>
  <c r="L203" i="26"/>
  <c r="L204" i="26"/>
  <c r="L205" i="26"/>
  <c r="L206" i="26"/>
  <c r="L207" i="26"/>
  <c r="L208" i="26"/>
  <c r="L209" i="26"/>
  <c r="L210" i="26"/>
  <c r="L211" i="26"/>
  <c r="L212" i="26"/>
  <c r="L213" i="26"/>
  <c r="L214" i="26"/>
  <c r="L215" i="26"/>
  <c r="L216" i="26"/>
  <c r="L217" i="26"/>
  <c r="L218" i="26"/>
  <c r="L219" i="26"/>
  <c r="L220" i="26"/>
  <c r="L221" i="26"/>
  <c r="L222" i="26"/>
  <c r="L223" i="26"/>
  <c r="L224" i="26"/>
  <c r="L225" i="26"/>
  <c r="L226" i="26"/>
  <c r="L227" i="26"/>
  <c r="L228" i="26"/>
  <c r="L229" i="26"/>
  <c r="L230" i="26"/>
  <c r="L231" i="26"/>
  <c r="L232" i="26"/>
  <c r="L233" i="26"/>
  <c r="L234" i="26"/>
  <c r="L235" i="26"/>
  <c r="L236" i="26"/>
  <c r="L237" i="26"/>
  <c r="L238" i="26"/>
  <c r="L239" i="26"/>
  <c r="L240" i="26"/>
  <c r="L241" i="26"/>
  <c r="L242" i="26"/>
  <c r="L243" i="26"/>
  <c r="L244" i="26"/>
  <c r="L245" i="26"/>
  <c r="L247" i="26"/>
  <c r="L248" i="26"/>
  <c r="L249" i="26"/>
  <c r="L250" i="26"/>
  <c r="L251" i="26"/>
  <c r="L252" i="26"/>
  <c r="L253" i="26"/>
  <c r="L254" i="26"/>
  <c r="L255" i="26"/>
  <c r="L256" i="26"/>
  <c r="L257" i="26"/>
  <c r="L258" i="26"/>
  <c r="L259" i="26"/>
  <c r="L260" i="26"/>
  <c r="L261" i="26"/>
  <c r="L262" i="26"/>
  <c r="L263" i="26"/>
  <c r="L264" i="26"/>
  <c r="L265" i="26"/>
  <c r="L266" i="26"/>
  <c r="L267" i="26"/>
  <c r="L268" i="26"/>
  <c r="L269" i="26"/>
  <c r="L270" i="26"/>
  <c r="L271" i="26"/>
  <c r="L273" i="26"/>
  <c r="L275" i="26"/>
  <c r="L276" i="26"/>
  <c r="L277" i="26"/>
  <c r="L278" i="26"/>
  <c r="L279" i="26"/>
  <c r="L280" i="26"/>
  <c r="L281" i="26"/>
  <c r="L282" i="26"/>
  <c r="L283" i="26"/>
  <c r="L284" i="26"/>
  <c r="L285" i="26"/>
  <c r="L286" i="26"/>
  <c r="L287" i="26"/>
  <c r="L288" i="26"/>
  <c r="L289" i="26"/>
  <c r="L290" i="26"/>
  <c r="L291" i="26"/>
  <c r="L292" i="26"/>
  <c r="L293" i="26"/>
  <c r="L294" i="26"/>
  <c r="L295" i="26"/>
  <c r="L296" i="26"/>
  <c r="L297" i="26"/>
  <c r="L298" i="26"/>
  <c r="L299" i="26"/>
  <c r="L300" i="26"/>
  <c r="L301" i="26"/>
  <c r="L302" i="26"/>
  <c r="L303" i="26"/>
  <c r="L304" i="26"/>
  <c r="L305" i="26"/>
  <c r="L306" i="26"/>
  <c r="L308" i="26"/>
  <c r="L307" i="26"/>
  <c r="L309" i="26"/>
  <c r="L310" i="26"/>
  <c r="L311" i="26"/>
  <c r="L312" i="26"/>
  <c r="L313" i="26"/>
  <c r="L314" i="26"/>
  <c r="L315" i="26"/>
  <c r="L316" i="26"/>
  <c r="L317" i="26"/>
  <c r="L318" i="26"/>
  <c r="L319" i="26"/>
  <c r="L320" i="26"/>
  <c r="L321" i="26"/>
  <c r="L322" i="26"/>
  <c r="L323" i="26"/>
  <c r="L324" i="26"/>
  <c r="L325" i="26"/>
  <c r="L326" i="26"/>
  <c r="L327" i="26"/>
  <c r="L331" i="26"/>
  <c r="L330" i="26"/>
  <c r="L328" i="26"/>
  <c r="L329" i="26"/>
  <c r="L332" i="26"/>
  <c r="L333" i="26"/>
  <c r="L334" i="26"/>
  <c r="L335" i="26"/>
  <c r="L336" i="26"/>
  <c r="L337" i="26"/>
  <c r="L338" i="26"/>
  <c r="L339" i="26"/>
  <c r="L340" i="26"/>
  <c r="L341" i="26"/>
  <c r="L342" i="26"/>
  <c r="L343" i="26"/>
  <c r="L344" i="26"/>
  <c r="L345" i="26"/>
  <c r="L346" i="26"/>
  <c r="L347" i="26"/>
  <c r="L348" i="26"/>
  <c r="L349" i="26"/>
  <c r="L350" i="26"/>
  <c r="L351" i="26"/>
  <c r="L352" i="26"/>
  <c r="L353" i="26"/>
  <c r="L354" i="26"/>
  <c r="L355" i="26"/>
  <c r="L369" i="26"/>
  <c r="L370" i="26"/>
  <c r="L371" i="26"/>
  <c r="L372" i="26"/>
  <c r="L373" i="26"/>
  <c r="L374" i="26"/>
  <c r="L356" i="26"/>
  <c r="L357" i="26"/>
  <c r="L358" i="26"/>
  <c r="L359" i="26"/>
  <c r="L360" i="26"/>
  <c r="L361" i="26"/>
  <c r="L362" i="26"/>
  <c r="L363" i="26"/>
  <c r="L364" i="26"/>
  <c r="L365" i="26"/>
  <c r="L366" i="26"/>
  <c r="L367" i="26"/>
  <c r="L368" i="26"/>
  <c r="L375" i="26"/>
  <c r="L376" i="26"/>
  <c r="L378" i="26"/>
  <c r="L379" i="26"/>
  <c r="L380" i="26"/>
  <c r="L381" i="26"/>
  <c r="L382" i="26"/>
  <c r="L383" i="26"/>
  <c r="L385" i="26"/>
  <c r="L386" i="26"/>
  <c r="L387" i="26"/>
  <c r="L388" i="26"/>
  <c r="L389" i="26"/>
  <c r="L390" i="26"/>
  <c r="L391" i="26"/>
  <c r="L392" i="26"/>
  <c r="L393" i="26"/>
  <c r="L394" i="26"/>
  <c r="L395" i="26"/>
  <c r="L396" i="26"/>
  <c r="L397" i="26"/>
  <c r="L398" i="26"/>
  <c r="L399" i="26"/>
  <c r="L400" i="26"/>
  <c r="L401" i="26"/>
  <c r="L403" i="26"/>
  <c r="L404" i="26"/>
  <c r="L405" i="26"/>
  <c r="L408" i="26"/>
  <c r="L410" i="26"/>
  <c r="H15" i="26"/>
  <c r="H16" i="26"/>
  <c r="H17" i="26"/>
  <c r="H18" i="26"/>
  <c r="H19" i="26"/>
  <c r="H20" i="26"/>
  <c r="H21" i="26"/>
  <c r="H22" i="26"/>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H170" i="26"/>
  <c r="H171" i="26"/>
  <c r="H172" i="26"/>
  <c r="H173" i="26"/>
  <c r="H174" i="26"/>
  <c r="H175" i="26"/>
  <c r="H176" i="26"/>
  <c r="H177" i="26"/>
  <c r="H178" i="26"/>
  <c r="H179" i="26"/>
  <c r="H180" i="26"/>
  <c r="H181" i="26"/>
  <c r="H182" i="26"/>
  <c r="H183" i="26"/>
  <c r="H184" i="26"/>
  <c r="H185" i="26"/>
  <c r="H186" i="26"/>
  <c r="H187" i="26"/>
  <c r="H188" i="26"/>
  <c r="H189" i="26"/>
  <c r="H190" i="26"/>
  <c r="H191" i="26"/>
  <c r="H192" i="26"/>
  <c r="H193" i="26"/>
  <c r="H194" i="26"/>
  <c r="H195" i="26"/>
  <c r="H196" i="26"/>
  <c r="H197" i="26"/>
  <c r="H198" i="26"/>
  <c r="H199" i="26"/>
  <c r="H200" i="26"/>
  <c r="H201" i="26"/>
  <c r="H202" i="26"/>
  <c r="H203" i="26"/>
  <c r="H204" i="26"/>
  <c r="H205" i="26"/>
  <c r="H206" i="26"/>
  <c r="H207" i="26"/>
  <c r="H208" i="26"/>
  <c r="H209" i="26"/>
  <c r="H210" i="26"/>
  <c r="H211" i="26"/>
  <c r="H212" i="26"/>
  <c r="H213" i="26"/>
  <c r="H214" i="26"/>
  <c r="H215" i="26"/>
  <c r="H216" i="26"/>
  <c r="H217" i="26"/>
  <c r="H218" i="26"/>
  <c r="H219" i="26"/>
  <c r="H220" i="26"/>
  <c r="H221" i="26"/>
  <c r="H222" i="26"/>
  <c r="H223" i="26"/>
  <c r="H224" i="26"/>
  <c r="H225" i="26"/>
  <c r="H226" i="26"/>
  <c r="H227" i="26"/>
  <c r="H228" i="26"/>
  <c r="H229" i="26"/>
  <c r="H230" i="26"/>
  <c r="H231" i="26"/>
  <c r="H232" i="26"/>
  <c r="H233" i="26"/>
  <c r="H234" i="26"/>
  <c r="H235" i="26"/>
  <c r="H236" i="26"/>
  <c r="H237" i="26"/>
  <c r="H238" i="26"/>
  <c r="H239" i="26"/>
  <c r="H240" i="26"/>
  <c r="H241" i="26"/>
  <c r="H242" i="26"/>
  <c r="H243" i="26"/>
  <c r="H244" i="26"/>
  <c r="H245" i="26"/>
  <c r="H246" i="26"/>
  <c r="H247" i="26"/>
  <c r="H248" i="26"/>
  <c r="H249" i="26"/>
  <c r="H250" i="26"/>
  <c r="H251" i="26"/>
  <c r="H252" i="26"/>
  <c r="H253" i="26"/>
  <c r="H254" i="26"/>
  <c r="H255" i="26"/>
  <c r="H256" i="26"/>
  <c r="H257" i="26"/>
  <c r="H258" i="26"/>
  <c r="H259" i="26"/>
  <c r="H260" i="26"/>
  <c r="H261" i="26"/>
  <c r="H262" i="26"/>
  <c r="H263" i="26"/>
  <c r="H264" i="26"/>
  <c r="H265" i="26"/>
  <c r="H266" i="26"/>
  <c r="H267" i="26"/>
  <c r="H268" i="26"/>
  <c r="H269" i="26"/>
  <c r="H270" i="26"/>
  <c r="H271" i="26"/>
  <c r="H272" i="26"/>
  <c r="H273" i="26"/>
  <c r="H274" i="26"/>
  <c r="H275" i="26"/>
  <c r="H276" i="26"/>
  <c r="H277" i="26"/>
  <c r="H278" i="26"/>
  <c r="H279" i="26"/>
  <c r="H280" i="26"/>
  <c r="H281" i="26"/>
  <c r="H282" i="26"/>
  <c r="H283" i="26"/>
  <c r="H284" i="26"/>
  <c r="H285" i="26"/>
  <c r="H286" i="26"/>
  <c r="H287" i="26"/>
  <c r="H288" i="26"/>
  <c r="H289" i="26"/>
  <c r="H290" i="26"/>
  <c r="H291" i="26"/>
  <c r="H292" i="26"/>
  <c r="H293" i="26"/>
  <c r="H294" i="26"/>
  <c r="H295" i="26"/>
  <c r="H296" i="26"/>
  <c r="H297" i="26"/>
  <c r="H298" i="26"/>
  <c r="H299" i="26"/>
  <c r="H300" i="26"/>
  <c r="H301" i="26"/>
  <c r="H302" i="26"/>
  <c r="H303" i="26"/>
  <c r="H304" i="26"/>
  <c r="H305" i="26"/>
  <c r="H306" i="26"/>
  <c r="H308" i="26"/>
  <c r="H307" i="26"/>
  <c r="H309" i="26"/>
  <c r="H310" i="26"/>
  <c r="H311" i="26"/>
  <c r="H312" i="26"/>
  <c r="H313" i="26"/>
  <c r="H314" i="26"/>
  <c r="H315" i="26"/>
  <c r="H316" i="26"/>
  <c r="H317" i="26"/>
  <c r="H318" i="26"/>
  <c r="H319" i="26"/>
  <c r="H320" i="26"/>
  <c r="H321" i="26"/>
  <c r="H322" i="26"/>
  <c r="H323" i="26"/>
  <c r="H324" i="26"/>
  <c r="H325" i="26"/>
  <c r="H326" i="26"/>
  <c r="H327" i="26"/>
  <c r="H331" i="26"/>
  <c r="H330" i="26"/>
  <c r="H328" i="26"/>
  <c r="H329" i="26"/>
  <c r="H332" i="26"/>
  <c r="H333" i="26"/>
  <c r="H334" i="26"/>
  <c r="H335" i="26"/>
  <c r="H336" i="26"/>
  <c r="H337" i="26"/>
  <c r="H338" i="26"/>
  <c r="H339" i="26"/>
  <c r="H340" i="26"/>
  <c r="H341" i="26"/>
  <c r="H342" i="26"/>
  <c r="H343" i="26"/>
  <c r="H344" i="26"/>
  <c r="H345" i="26"/>
  <c r="H346" i="26"/>
  <c r="H347" i="26"/>
  <c r="H348" i="26"/>
  <c r="H349" i="26"/>
  <c r="H350" i="26"/>
  <c r="H351" i="26"/>
  <c r="H352" i="26"/>
  <c r="H353" i="26"/>
  <c r="H354" i="26"/>
  <c r="H355" i="26"/>
  <c r="H369" i="26"/>
  <c r="H370" i="26"/>
  <c r="H371" i="26"/>
  <c r="H372" i="26"/>
  <c r="H373" i="26"/>
  <c r="H374" i="26"/>
  <c r="H356" i="26"/>
  <c r="H357" i="26"/>
  <c r="H358" i="26"/>
  <c r="H359" i="26"/>
  <c r="H360" i="26"/>
  <c r="H361" i="26"/>
  <c r="H362" i="26"/>
  <c r="H363" i="26"/>
  <c r="H364" i="26"/>
  <c r="H365" i="26"/>
  <c r="H366" i="26"/>
  <c r="H367" i="26"/>
  <c r="H368" i="26"/>
  <c r="H375" i="26"/>
  <c r="H376" i="26"/>
  <c r="H377" i="26"/>
  <c r="H378" i="26"/>
  <c r="H379" i="26"/>
  <c r="H380" i="26"/>
  <c r="H381" i="26"/>
  <c r="H382" i="26"/>
  <c r="H383" i="26"/>
  <c r="H384" i="26"/>
  <c r="H385" i="26"/>
  <c r="H386" i="26"/>
  <c r="H387" i="26"/>
  <c r="H388" i="26"/>
  <c r="H389" i="26"/>
  <c r="H390" i="26"/>
  <c r="H391" i="26"/>
  <c r="H392" i="26"/>
  <c r="H393" i="26"/>
  <c r="H394" i="26"/>
  <c r="H395" i="26"/>
  <c r="H396" i="26"/>
  <c r="H397" i="26"/>
  <c r="H398" i="26"/>
  <c r="H399" i="26"/>
  <c r="H400" i="26"/>
  <c r="H401" i="26"/>
  <c r="H403" i="26"/>
  <c r="H402" i="26"/>
  <c r="H404" i="26"/>
  <c r="H405" i="26"/>
  <c r="H406" i="26"/>
  <c r="H407" i="26"/>
  <c r="H408" i="26"/>
  <c r="H409" i="26"/>
  <c r="H410" i="26"/>
  <c r="H411" i="26"/>
  <c r="S6" i="26"/>
  <c r="S412" i="26" s="1"/>
  <c r="C413" i="26" s="1"/>
  <c r="M6" i="26"/>
  <c r="M7" i="26"/>
  <c r="N7" i="26" s="1"/>
  <c r="O7" i="26" s="1"/>
  <c r="T6" i="26"/>
  <c r="C412" i="26"/>
  <c r="K412" i="26"/>
  <c r="G412" i="26"/>
  <c r="L14" i="26"/>
  <c r="H14" i="26"/>
  <c r="L13" i="26"/>
  <c r="H13" i="26"/>
  <c r="L12" i="26"/>
  <c r="H12" i="26"/>
  <c r="L11" i="26"/>
  <c r="H11" i="26"/>
  <c r="L10" i="26"/>
  <c r="H10" i="26"/>
  <c r="L9" i="26"/>
  <c r="H9" i="26"/>
  <c r="L8" i="26"/>
  <c r="H8" i="26"/>
  <c r="L7" i="26"/>
  <c r="H7" i="26"/>
  <c r="L6" i="26"/>
  <c r="H6" i="26"/>
  <c r="S412" i="25"/>
  <c r="T412" i="25"/>
  <c r="S6" i="25"/>
  <c r="S7" i="25"/>
  <c r="S8"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3" i="25"/>
  <c r="S414" i="25"/>
  <c r="T6" i="25"/>
  <c r="T7" i="25"/>
  <c r="T8" i="25"/>
  <c r="T9" i="25"/>
  <c r="T10" i="25"/>
  <c r="T11" i="25"/>
  <c r="T12" i="25"/>
  <c r="T13" i="25"/>
  <c r="T14" i="25"/>
  <c r="T15" i="25"/>
  <c r="T16" i="25"/>
  <c r="T17" i="25"/>
  <c r="T18" i="25"/>
  <c r="T19" i="25"/>
  <c r="T20" i="25"/>
  <c r="T21" i="25"/>
  <c r="T22" i="25"/>
  <c r="T23" i="25"/>
  <c r="T24" i="25"/>
  <c r="T25" i="25"/>
  <c r="T26" i="25"/>
  <c r="T27" i="25"/>
  <c r="T28" i="25"/>
  <c r="T29" i="25"/>
  <c r="T30" i="25"/>
  <c r="T31" i="25"/>
  <c r="T32" i="25"/>
  <c r="T33" i="25"/>
  <c r="T34" i="25"/>
  <c r="T35" i="25"/>
  <c r="T36" i="25"/>
  <c r="T37" i="25"/>
  <c r="T38" i="25"/>
  <c r="T39" i="25"/>
  <c r="T40" i="25"/>
  <c r="T41" i="25"/>
  <c r="T42" i="25"/>
  <c r="T43" i="25"/>
  <c r="T44" i="25"/>
  <c r="T45" i="25"/>
  <c r="T46" i="25"/>
  <c r="T47" i="25"/>
  <c r="T48" i="25"/>
  <c r="T49" i="25"/>
  <c r="T50" i="25"/>
  <c r="T51" i="25"/>
  <c r="T52" i="25"/>
  <c r="T53" i="25"/>
  <c r="T54" i="25"/>
  <c r="T55" i="25"/>
  <c r="T56" i="25"/>
  <c r="T57" i="25"/>
  <c r="T58" i="25"/>
  <c r="T59" i="25"/>
  <c r="T60" i="25"/>
  <c r="T61" i="25"/>
  <c r="T62" i="25"/>
  <c r="T63" i="25"/>
  <c r="T64" i="25"/>
  <c r="T65" i="25"/>
  <c r="T66" i="25"/>
  <c r="T67" i="25"/>
  <c r="T68" i="25"/>
  <c r="T69" i="25"/>
  <c r="T70" i="25"/>
  <c r="T71" i="25"/>
  <c r="T72" i="25"/>
  <c r="T73" i="25"/>
  <c r="T74" i="25"/>
  <c r="T75" i="25"/>
  <c r="T76" i="25"/>
  <c r="T77" i="25"/>
  <c r="T78" i="25"/>
  <c r="T79" i="25"/>
  <c r="T80" i="25"/>
  <c r="T81" i="25"/>
  <c r="T82" i="25"/>
  <c r="T83" i="25"/>
  <c r="T84" i="25"/>
  <c r="T85" i="25"/>
  <c r="T86" i="25"/>
  <c r="T87" i="25"/>
  <c r="T88" i="25"/>
  <c r="T89" i="25"/>
  <c r="T90" i="25"/>
  <c r="T91" i="25"/>
  <c r="T92" i="25"/>
  <c r="T93" i="25"/>
  <c r="T94" i="25"/>
  <c r="T95" i="25"/>
  <c r="T96" i="25"/>
  <c r="T97" i="25"/>
  <c r="T98" i="25"/>
  <c r="T99" i="25"/>
  <c r="T100" i="25"/>
  <c r="T101" i="25"/>
  <c r="T102" i="25"/>
  <c r="T103" i="25"/>
  <c r="T104" i="25"/>
  <c r="T105" i="25"/>
  <c r="T106" i="25"/>
  <c r="T107" i="25"/>
  <c r="T108" i="25"/>
  <c r="T109" i="25"/>
  <c r="T110" i="25"/>
  <c r="T111" i="25"/>
  <c r="T112" i="25"/>
  <c r="T113" i="25"/>
  <c r="T114" i="25"/>
  <c r="T115" i="25"/>
  <c r="T116" i="25"/>
  <c r="T117" i="25"/>
  <c r="T118" i="25"/>
  <c r="T119" i="25"/>
  <c r="T120" i="25"/>
  <c r="T121" i="25"/>
  <c r="T122" i="25"/>
  <c r="T123" i="25"/>
  <c r="T124" i="25"/>
  <c r="T125" i="25"/>
  <c r="T126" i="25"/>
  <c r="T127" i="25"/>
  <c r="T128" i="25"/>
  <c r="T129" i="25"/>
  <c r="T130" i="25"/>
  <c r="T131" i="25"/>
  <c r="T132" i="25"/>
  <c r="T133" i="25"/>
  <c r="T134" i="25"/>
  <c r="T135" i="25"/>
  <c r="T136" i="25"/>
  <c r="T137" i="25"/>
  <c r="T138" i="25"/>
  <c r="T139" i="25"/>
  <c r="T140" i="25"/>
  <c r="T141" i="25"/>
  <c r="T142" i="25"/>
  <c r="T143" i="25"/>
  <c r="T144" i="25"/>
  <c r="T145" i="25"/>
  <c r="T146" i="25"/>
  <c r="T147" i="25"/>
  <c r="T148" i="25"/>
  <c r="T149" i="25"/>
  <c r="T150" i="25"/>
  <c r="T151" i="25"/>
  <c r="T152" i="25"/>
  <c r="T153" i="25"/>
  <c r="T154" i="25"/>
  <c r="T155" i="25"/>
  <c r="T156" i="25"/>
  <c r="T157" i="25"/>
  <c r="T158" i="25"/>
  <c r="T159" i="25"/>
  <c r="T160" i="25"/>
  <c r="T161" i="25"/>
  <c r="T162" i="25"/>
  <c r="T163" i="25"/>
  <c r="T164" i="25"/>
  <c r="T165" i="25"/>
  <c r="T166" i="25"/>
  <c r="T167" i="25"/>
  <c r="T168" i="25"/>
  <c r="T169" i="25"/>
  <c r="T170" i="25"/>
  <c r="T171" i="25"/>
  <c r="T172" i="25"/>
  <c r="T173" i="25"/>
  <c r="T174" i="25"/>
  <c r="T175" i="25"/>
  <c r="T176" i="25"/>
  <c r="T177" i="25"/>
  <c r="T178" i="25"/>
  <c r="T179" i="25"/>
  <c r="T180" i="25"/>
  <c r="T181" i="25"/>
  <c r="T182" i="25"/>
  <c r="T183" i="25"/>
  <c r="T184" i="25"/>
  <c r="T185" i="25"/>
  <c r="T186" i="25"/>
  <c r="T187" i="25"/>
  <c r="T188" i="25"/>
  <c r="T189" i="25"/>
  <c r="T190" i="25"/>
  <c r="T191" i="25"/>
  <c r="T192" i="25"/>
  <c r="T193" i="25"/>
  <c r="T194" i="25"/>
  <c r="T195" i="25"/>
  <c r="T196" i="25"/>
  <c r="T197" i="25"/>
  <c r="T198" i="25"/>
  <c r="T199" i="25"/>
  <c r="T200" i="25"/>
  <c r="T201" i="25"/>
  <c r="T202" i="25"/>
  <c r="T203" i="25"/>
  <c r="T204" i="25"/>
  <c r="T205" i="25"/>
  <c r="T206" i="25"/>
  <c r="T207" i="25"/>
  <c r="T208" i="25"/>
  <c r="T209" i="25"/>
  <c r="T210" i="25"/>
  <c r="T211" i="25"/>
  <c r="T212" i="25"/>
  <c r="T213" i="25"/>
  <c r="T214" i="25"/>
  <c r="T215" i="25"/>
  <c r="T216" i="25"/>
  <c r="T217" i="25"/>
  <c r="T218" i="25"/>
  <c r="T219" i="25"/>
  <c r="T220" i="25"/>
  <c r="T221" i="25"/>
  <c r="T222" i="25"/>
  <c r="T223" i="25"/>
  <c r="T224" i="25"/>
  <c r="T225" i="25"/>
  <c r="T226" i="25"/>
  <c r="T227" i="25"/>
  <c r="T228" i="25"/>
  <c r="T229" i="25"/>
  <c r="T230" i="25"/>
  <c r="T231" i="25"/>
  <c r="T232" i="25"/>
  <c r="T233" i="25"/>
  <c r="T234" i="25"/>
  <c r="T235" i="25"/>
  <c r="T236" i="25"/>
  <c r="T237" i="25"/>
  <c r="T238" i="25"/>
  <c r="T239" i="25"/>
  <c r="T240" i="25"/>
  <c r="T241" i="25"/>
  <c r="T242" i="25"/>
  <c r="T243" i="25"/>
  <c r="T244" i="25"/>
  <c r="T245" i="25"/>
  <c r="T246" i="25"/>
  <c r="T247" i="25"/>
  <c r="T248" i="25"/>
  <c r="T249" i="25"/>
  <c r="T250" i="25"/>
  <c r="T251" i="25"/>
  <c r="T252" i="25"/>
  <c r="T253" i="25"/>
  <c r="T254" i="25"/>
  <c r="T255" i="25"/>
  <c r="T256" i="25"/>
  <c r="T257" i="25"/>
  <c r="T258" i="25"/>
  <c r="T259" i="25"/>
  <c r="T260" i="25"/>
  <c r="T261" i="25"/>
  <c r="T262" i="25"/>
  <c r="T263" i="25"/>
  <c r="T264" i="25"/>
  <c r="T265" i="25"/>
  <c r="T266" i="25"/>
  <c r="T267" i="25"/>
  <c r="T268" i="25"/>
  <c r="T269" i="25"/>
  <c r="T270" i="25"/>
  <c r="T271" i="25"/>
  <c r="T272" i="25"/>
  <c r="T273" i="25"/>
  <c r="T274" i="25"/>
  <c r="T275" i="25"/>
  <c r="T276" i="25"/>
  <c r="T277" i="25"/>
  <c r="T278" i="25"/>
  <c r="T279" i="25"/>
  <c r="T280" i="25"/>
  <c r="T281" i="25"/>
  <c r="T282" i="25"/>
  <c r="T283" i="25"/>
  <c r="T284" i="25"/>
  <c r="T285" i="25"/>
  <c r="T286" i="25"/>
  <c r="T287" i="25"/>
  <c r="T288" i="25"/>
  <c r="T289" i="25"/>
  <c r="T290" i="25"/>
  <c r="T291" i="25"/>
  <c r="T292" i="25"/>
  <c r="T293" i="25"/>
  <c r="T294" i="25"/>
  <c r="T295" i="25"/>
  <c r="T296" i="25"/>
  <c r="T297" i="25"/>
  <c r="T298" i="25"/>
  <c r="T299" i="25"/>
  <c r="T300" i="25"/>
  <c r="T301" i="25"/>
  <c r="T302" i="25"/>
  <c r="T303" i="25"/>
  <c r="T304" i="25"/>
  <c r="T305" i="25"/>
  <c r="T306" i="25"/>
  <c r="T307" i="25"/>
  <c r="T308" i="25"/>
  <c r="T309" i="25"/>
  <c r="T310" i="25"/>
  <c r="T311" i="25"/>
  <c r="T312" i="25"/>
  <c r="T313" i="25"/>
  <c r="T314" i="25"/>
  <c r="T315" i="25"/>
  <c r="T316" i="25"/>
  <c r="T317" i="25"/>
  <c r="T318" i="25"/>
  <c r="T319" i="25"/>
  <c r="T320" i="25"/>
  <c r="T321" i="25"/>
  <c r="T322" i="25"/>
  <c r="T323" i="25"/>
  <c r="T324" i="25"/>
  <c r="T325" i="25"/>
  <c r="T326" i="25"/>
  <c r="T327" i="25"/>
  <c r="T328" i="25"/>
  <c r="T329" i="25"/>
  <c r="T330" i="25"/>
  <c r="T331" i="25"/>
  <c r="T332" i="25"/>
  <c r="T333" i="25"/>
  <c r="T334" i="25"/>
  <c r="T335" i="25"/>
  <c r="T336" i="25"/>
  <c r="T337" i="25"/>
  <c r="T338" i="25"/>
  <c r="T339" i="25"/>
  <c r="T340" i="25"/>
  <c r="T341" i="25"/>
  <c r="T342" i="25"/>
  <c r="T343" i="25"/>
  <c r="T344" i="25"/>
  <c r="T345" i="25"/>
  <c r="T346" i="25"/>
  <c r="T347" i="25"/>
  <c r="T348" i="25"/>
  <c r="T349" i="25"/>
  <c r="T350" i="25"/>
  <c r="T351" i="25"/>
  <c r="T352" i="25"/>
  <c r="T353" i="25"/>
  <c r="T354" i="25"/>
  <c r="T355" i="25"/>
  <c r="T356" i="25"/>
  <c r="T357" i="25"/>
  <c r="T358" i="25"/>
  <c r="T359" i="25"/>
  <c r="T360" i="25"/>
  <c r="T361" i="25"/>
  <c r="T362" i="25"/>
  <c r="T363" i="25"/>
  <c r="T364" i="25"/>
  <c r="T365" i="25"/>
  <c r="T366" i="25"/>
  <c r="T367" i="25"/>
  <c r="T368" i="25"/>
  <c r="T369" i="25"/>
  <c r="T370" i="25"/>
  <c r="T371" i="25"/>
  <c r="T372" i="25"/>
  <c r="T373" i="25"/>
  <c r="T374" i="25"/>
  <c r="T375" i="25"/>
  <c r="T376" i="25"/>
  <c r="T377" i="25"/>
  <c r="T378" i="25"/>
  <c r="T379" i="25"/>
  <c r="T380" i="25"/>
  <c r="T381" i="25"/>
  <c r="T382" i="25"/>
  <c r="T383" i="25"/>
  <c r="T384" i="25"/>
  <c r="T385" i="25"/>
  <c r="T386" i="25"/>
  <c r="T387" i="25"/>
  <c r="T388" i="25"/>
  <c r="T389" i="25"/>
  <c r="T390" i="25"/>
  <c r="T391" i="25"/>
  <c r="T392" i="25"/>
  <c r="T393" i="25"/>
  <c r="T394" i="25"/>
  <c r="T395" i="25"/>
  <c r="T396" i="25"/>
  <c r="T397" i="25"/>
  <c r="T398" i="25"/>
  <c r="T399" i="25"/>
  <c r="T400" i="25"/>
  <c r="T401" i="25"/>
  <c r="T402" i="25"/>
  <c r="T403" i="25"/>
  <c r="T404" i="25"/>
  <c r="T405" i="25"/>
  <c r="T406" i="25"/>
  <c r="T407" i="25"/>
  <c r="T408" i="25"/>
  <c r="T409" i="25"/>
  <c r="T410" i="25"/>
  <c r="T411" i="25"/>
  <c r="T413" i="25"/>
  <c r="T414" i="25"/>
  <c r="C415" i="25"/>
  <c r="K415" i="25"/>
  <c r="G415" i="25"/>
  <c r="H13" i="25"/>
  <c r="H12" i="25"/>
  <c r="H11" i="25"/>
  <c r="H10" i="25"/>
  <c r="H9" i="25"/>
  <c r="H8" i="25"/>
  <c r="L7" i="25"/>
  <c r="H7" i="25"/>
  <c r="L6" i="25"/>
  <c r="H6" i="25"/>
  <c r="K102" i="24"/>
  <c r="L102" i="24" s="1"/>
  <c r="G102" i="24"/>
  <c r="K192" i="24"/>
  <c r="L192" i="24" s="1"/>
  <c r="G192" i="24"/>
  <c r="H192" i="24" s="1"/>
  <c r="K113" i="24"/>
  <c r="L113" i="24"/>
  <c r="G113" i="24"/>
  <c r="M113" i="24" s="1"/>
  <c r="M6" i="24"/>
  <c r="N6" i="24"/>
  <c r="O6" i="24" s="1"/>
  <c r="M7" i="24"/>
  <c r="N7" i="24" s="1"/>
  <c r="O7" i="24" s="1"/>
  <c r="C414" i="24"/>
  <c r="T6" i="24"/>
  <c r="H207" i="24"/>
  <c r="L207" i="24"/>
  <c r="H220" i="24"/>
  <c r="L220" i="24"/>
  <c r="S6" i="24"/>
  <c r="H413" i="24"/>
  <c r="L412" i="24"/>
  <c r="H412" i="24"/>
  <c r="H411" i="24"/>
  <c r="L410" i="24"/>
  <c r="H410" i="24"/>
  <c r="H409" i="24"/>
  <c r="H408" i="24"/>
  <c r="L407" i="24"/>
  <c r="H407" i="24"/>
  <c r="L406" i="24"/>
  <c r="H406" i="24"/>
  <c r="H404" i="24"/>
  <c r="L405" i="24"/>
  <c r="H405" i="24"/>
  <c r="L403" i="24"/>
  <c r="H403" i="24"/>
  <c r="L402" i="24"/>
  <c r="H402" i="24"/>
  <c r="L401" i="24"/>
  <c r="H401" i="24"/>
  <c r="L400" i="24"/>
  <c r="H400" i="24"/>
  <c r="L399" i="24"/>
  <c r="H399" i="24"/>
  <c r="L398" i="24"/>
  <c r="H398" i="24"/>
  <c r="L397" i="24"/>
  <c r="H397" i="24"/>
  <c r="L396" i="24"/>
  <c r="H396" i="24"/>
  <c r="L395" i="24"/>
  <c r="H395" i="24"/>
  <c r="L394" i="24"/>
  <c r="H394" i="24"/>
  <c r="L393" i="24"/>
  <c r="H393" i="24"/>
  <c r="L392" i="24"/>
  <c r="H392" i="24"/>
  <c r="L391" i="24"/>
  <c r="H391" i="24"/>
  <c r="L390" i="24"/>
  <c r="H390" i="24"/>
  <c r="L389" i="24"/>
  <c r="H389" i="24"/>
  <c r="L388" i="24"/>
  <c r="H388" i="24"/>
  <c r="L387" i="24"/>
  <c r="H387" i="24"/>
  <c r="H386" i="24"/>
  <c r="L385" i="24"/>
  <c r="H385" i="24"/>
  <c r="L384" i="24"/>
  <c r="H384" i="24"/>
  <c r="L383" i="24"/>
  <c r="H383" i="24"/>
  <c r="L382" i="24"/>
  <c r="H382" i="24"/>
  <c r="L381" i="24"/>
  <c r="H381" i="24"/>
  <c r="L380" i="24"/>
  <c r="H380" i="24"/>
  <c r="H379" i="24"/>
  <c r="L378" i="24"/>
  <c r="H378" i="24"/>
  <c r="L377" i="24"/>
  <c r="H377" i="24"/>
  <c r="L370" i="24"/>
  <c r="H370" i="24"/>
  <c r="L369" i="24"/>
  <c r="H369" i="24"/>
  <c r="L368" i="24"/>
  <c r="H368" i="24"/>
  <c r="L367" i="24"/>
  <c r="H367" i="24"/>
  <c r="L366" i="24"/>
  <c r="H366" i="24"/>
  <c r="L365" i="24"/>
  <c r="H365" i="24"/>
  <c r="L364" i="24"/>
  <c r="H364" i="24"/>
  <c r="L363" i="24"/>
  <c r="H363" i="24"/>
  <c r="L362" i="24"/>
  <c r="H362" i="24"/>
  <c r="L361" i="24"/>
  <c r="H361" i="24"/>
  <c r="L360" i="24"/>
  <c r="H360" i="24"/>
  <c r="L359" i="24"/>
  <c r="H359" i="24"/>
  <c r="L358" i="24"/>
  <c r="H358" i="24"/>
  <c r="L376" i="24"/>
  <c r="H376" i="24"/>
  <c r="L375" i="24"/>
  <c r="H375" i="24"/>
  <c r="L374" i="24"/>
  <c r="H374" i="24"/>
  <c r="L373" i="24"/>
  <c r="H373" i="24"/>
  <c r="L372" i="24"/>
  <c r="H372" i="24"/>
  <c r="L371" i="24"/>
  <c r="H371" i="24"/>
  <c r="L357" i="24"/>
  <c r="H357" i="24"/>
  <c r="L356" i="24"/>
  <c r="H356" i="24"/>
  <c r="L355" i="24"/>
  <c r="H355" i="24"/>
  <c r="L354" i="24"/>
  <c r="H354" i="24"/>
  <c r="L353" i="24"/>
  <c r="H353" i="24"/>
  <c r="L352" i="24"/>
  <c r="H352" i="24"/>
  <c r="L351" i="24"/>
  <c r="H351" i="24"/>
  <c r="L350" i="24"/>
  <c r="H350" i="24"/>
  <c r="L349" i="24"/>
  <c r="H349" i="24"/>
  <c r="L348" i="24"/>
  <c r="H348" i="24"/>
  <c r="L347" i="24"/>
  <c r="H347" i="24"/>
  <c r="L346" i="24"/>
  <c r="H346" i="24"/>
  <c r="L345" i="24"/>
  <c r="H345" i="24"/>
  <c r="L344" i="24"/>
  <c r="H344" i="24"/>
  <c r="L343" i="24"/>
  <c r="H343" i="24"/>
  <c r="L342" i="24"/>
  <c r="H342" i="24"/>
  <c r="L341" i="24"/>
  <c r="H341" i="24"/>
  <c r="L340" i="24"/>
  <c r="H340" i="24"/>
  <c r="L339" i="24"/>
  <c r="H339" i="24"/>
  <c r="L338" i="24"/>
  <c r="H338" i="24"/>
  <c r="L337" i="24"/>
  <c r="H337" i="24"/>
  <c r="L336" i="24"/>
  <c r="H336" i="24"/>
  <c r="L335" i="24"/>
  <c r="H335" i="24"/>
  <c r="L334" i="24"/>
  <c r="H334" i="24"/>
  <c r="L331" i="24"/>
  <c r="H331" i="24"/>
  <c r="L330" i="24"/>
  <c r="H330" i="24"/>
  <c r="L332" i="24"/>
  <c r="H332" i="24"/>
  <c r="L333" i="24"/>
  <c r="H333" i="24"/>
  <c r="L329" i="24"/>
  <c r="H329" i="24"/>
  <c r="L328" i="24"/>
  <c r="H328" i="24"/>
  <c r="L327" i="24"/>
  <c r="H327" i="24"/>
  <c r="L326" i="24"/>
  <c r="H326" i="24"/>
  <c r="L325" i="24"/>
  <c r="H325" i="24"/>
  <c r="L324" i="24"/>
  <c r="H324" i="24"/>
  <c r="L323" i="24"/>
  <c r="H323" i="24"/>
  <c r="L322" i="24"/>
  <c r="H322" i="24"/>
  <c r="L321" i="24"/>
  <c r="H321" i="24"/>
  <c r="L320" i="24"/>
  <c r="H320" i="24"/>
  <c r="L319" i="24"/>
  <c r="H319" i="24"/>
  <c r="L318" i="24"/>
  <c r="H318" i="24"/>
  <c r="L317" i="24"/>
  <c r="H317" i="24"/>
  <c r="L316" i="24"/>
  <c r="H316" i="24"/>
  <c r="L315" i="24"/>
  <c r="H315" i="24"/>
  <c r="L314" i="24"/>
  <c r="H314" i="24"/>
  <c r="L313" i="24"/>
  <c r="H313" i="24"/>
  <c r="L312" i="24"/>
  <c r="H312" i="24"/>
  <c r="L311" i="24"/>
  <c r="H311" i="24"/>
  <c r="L309" i="24"/>
  <c r="H309" i="24"/>
  <c r="L310" i="24"/>
  <c r="H310" i="24"/>
  <c r="L308" i="24"/>
  <c r="H308" i="24"/>
  <c r="L307" i="24"/>
  <c r="H307" i="24"/>
  <c r="L306" i="24"/>
  <c r="H306" i="24"/>
  <c r="L305" i="24"/>
  <c r="H305" i="24"/>
  <c r="L304" i="24"/>
  <c r="H304" i="24"/>
  <c r="L303" i="24"/>
  <c r="H303" i="24"/>
  <c r="L302" i="24"/>
  <c r="H302" i="24"/>
  <c r="L301" i="24"/>
  <c r="H301" i="24"/>
  <c r="L300" i="24"/>
  <c r="H300" i="24"/>
  <c r="L299" i="24"/>
  <c r="H299" i="24"/>
  <c r="L298" i="24"/>
  <c r="H298" i="24"/>
  <c r="L297" i="24"/>
  <c r="H297" i="24"/>
  <c r="L296" i="24"/>
  <c r="H296" i="24"/>
  <c r="L295" i="24"/>
  <c r="H295" i="24"/>
  <c r="L294" i="24"/>
  <c r="H294" i="24"/>
  <c r="L293" i="24"/>
  <c r="H293" i="24"/>
  <c r="L292" i="24"/>
  <c r="H292" i="24"/>
  <c r="L291" i="24"/>
  <c r="H291" i="24"/>
  <c r="L290" i="24"/>
  <c r="H290" i="24"/>
  <c r="L289" i="24"/>
  <c r="H289" i="24"/>
  <c r="L288" i="24"/>
  <c r="H288" i="24"/>
  <c r="L287" i="24"/>
  <c r="H287" i="24"/>
  <c r="L286" i="24"/>
  <c r="H286" i="24"/>
  <c r="L285" i="24"/>
  <c r="H285" i="24"/>
  <c r="L284" i="24"/>
  <c r="H284" i="24"/>
  <c r="L283" i="24"/>
  <c r="H283" i="24"/>
  <c r="L282" i="24"/>
  <c r="H282" i="24"/>
  <c r="L281" i="24"/>
  <c r="H281" i="24"/>
  <c r="L280" i="24"/>
  <c r="H280" i="24"/>
  <c r="L279" i="24"/>
  <c r="H279" i="24"/>
  <c r="L278" i="24"/>
  <c r="H278" i="24"/>
  <c r="L277" i="24"/>
  <c r="H277" i="24"/>
  <c r="H276" i="24"/>
  <c r="L275" i="24"/>
  <c r="H275" i="24"/>
  <c r="H274" i="24"/>
  <c r="L273" i="24"/>
  <c r="H273" i="24"/>
  <c r="L272" i="24"/>
  <c r="H272" i="24"/>
  <c r="L271" i="24"/>
  <c r="H271" i="24"/>
  <c r="L270" i="24"/>
  <c r="H270" i="24"/>
  <c r="L269" i="24"/>
  <c r="H269" i="24"/>
  <c r="L268" i="24"/>
  <c r="H268" i="24"/>
  <c r="L267" i="24"/>
  <c r="H267" i="24"/>
  <c r="L266" i="24"/>
  <c r="H266" i="24"/>
  <c r="L265" i="24"/>
  <c r="H265" i="24"/>
  <c r="L264" i="24"/>
  <c r="H264" i="24"/>
  <c r="L263" i="24"/>
  <c r="H263" i="24"/>
  <c r="L262" i="24"/>
  <c r="H262" i="24"/>
  <c r="L261" i="24"/>
  <c r="H261" i="24"/>
  <c r="L260" i="24"/>
  <c r="H260" i="24"/>
  <c r="L259" i="24"/>
  <c r="H259" i="24"/>
  <c r="L258" i="24"/>
  <c r="H258" i="24"/>
  <c r="L257" i="24"/>
  <c r="H257" i="24"/>
  <c r="L256" i="24"/>
  <c r="H256" i="24"/>
  <c r="L255" i="24"/>
  <c r="H255" i="24"/>
  <c r="L254" i="24"/>
  <c r="H254" i="24"/>
  <c r="L253" i="24"/>
  <c r="H253" i="24"/>
  <c r="L252" i="24"/>
  <c r="H252" i="24"/>
  <c r="L251" i="24"/>
  <c r="H251" i="24"/>
  <c r="L250" i="24"/>
  <c r="H250" i="24"/>
  <c r="L249" i="24"/>
  <c r="H249" i="24"/>
  <c r="H248" i="24"/>
  <c r="L247" i="24"/>
  <c r="H247" i="24"/>
  <c r="L246" i="24"/>
  <c r="H246" i="24"/>
  <c r="L245" i="24"/>
  <c r="H245" i="24"/>
  <c r="L244" i="24"/>
  <c r="H244" i="24"/>
  <c r="L243" i="24"/>
  <c r="H243" i="24"/>
  <c r="L242" i="24"/>
  <c r="H242" i="24"/>
  <c r="L241" i="24"/>
  <c r="H241" i="24"/>
  <c r="L240" i="24"/>
  <c r="H240" i="24"/>
  <c r="L239" i="24"/>
  <c r="H239" i="24"/>
  <c r="L238" i="24"/>
  <c r="H238" i="24"/>
  <c r="L237" i="24"/>
  <c r="H237" i="24"/>
  <c r="L236" i="24"/>
  <c r="H236" i="24"/>
  <c r="L235" i="24"/>
  <c r="H235" i="24"/>
  <c r="L234" i="24"/>
  <c r="H234" i="24"/>
  <c r="L233" i="24"/>
  <c r="H233" i="24"/>
  <c r="L232" i="24"/>
  <c r="H232" i="24"/>
  <c r="L231" i="24"/>
  <c r="H231" i="24"/>
  <c r="L230" i="24"/>
  <c r="H230" i="24"/>
  <c r="L229" i="24"/>
  <c r="H229" i="24"/>
  <c r="L228" i="24"/>
  <c r="H228" i="24"/>
  <c r="L227" i="24"/>
  <c r="H227" i="24"/>
  <c r="L226" i="24"/>
  <c r="H226" i="24"/>
  <c r="L225" i="24"/>
  <c r="H225" i="24"/>
  <c r="L224" i="24"/>
  <c r="H224" i="24"/>
  <c r="L223" i="24"/>
  <c r="H223" i="24"/>
  <c r="L222" i="24"/>
  <c r="H222" i="24"/>
  <c r="L221" i="24"/>
  <c r="H221" i="24"/>
  <c r="L219" i="24"/>
  <c r="H219" i="24"/>
  <c r="L218" i="24"/>
  <c r="H218" i="24"/>
  <c r="L217" i="24"/>
  <c r="H217" i="24"/>
  <c r="L216" i="24"/>
  <c r="H216" i="24"/>
  <c r="L215" i="24"/>
  <c r="H215" i="24"/>
  <c r="L214" i="24"/>
  <c r="H214" i="24"/>
  <c r="L213" i="24"/>
  <c r="H213" i="24"/>
  <c r="L212" i="24"/>
  <c r="H212" i="24"/>
  <c r="L211" i="24"/>
  <c r="H211" i="24"/>
  <c r="L210" i="24"/>
  <c r="H210" i="24"/>
  <c r="L209" i="24"/>
  <c r="H209" i="24"/>
  <c r="L208" i="24"/>
  <c r="H208" i="24"/>
  <c r="L206" i="24"/>
  <c r="H206" i="24"/>
  <c r="L205" i="24"/>
  <c r="H205" i="24"/>
  <c r="L204" i="24"/>
  <c r="H204" i="24"/>
  <c r="L203" i="24"/>
  <c r="H203" i="24"/>
  <c r="L202" i="24"/>
  <c r="H202" i="24"/>
  <c r="L201" i="24"/>
  <c r="H201" i="24"/>
  <c r="L200" i="24"/>
  <c r="H200" i="24"/>
  <c r="L199" i="24"/>
  <c r="H199" i="24"/>
  <c r="L198" i="24"/>
  <c r="H198" i="24"/>
  <c r="H197" i="24"/>
  <c r="L196" i="24"/>
  <c r="H196" i="24"/>
  <c r="L195" i="24"/>
  <c r="H195" i="24"/>
  <c r="L194" i="24"/>
  <c r="H194" i="24"/>
  <c r="L193" i="24"/>
  <c r="H193" i="24"/>
  <c r="L191" i="24"/>
  <c r="H191" i="24"/>
  <c r="L190" i="24"/>
  <c r="H190" i="24"/>
  <c r="L189" i="24"/>
  <c r="H189" i="24"/>
  <c r="L188" i="24"/>
  <c r="H188" i="24"/>
  <c r="L187" i="24"/>
  <c r="H187" i="24"/>
  <c r="L186" i="24"/>
  <c r="H186" i="24"/>
  <c r="L185" i="24"/>
  <c r="H185" i="24"/>
  <c r="L184" i="24"/>
  <c r="H184" i="24"/>
  <c r="L183" i="24"/>
  <c r="H183" i="24"/>
  <c r="L182" i="24"/>
  <c r="H182" i="24"/>
  <c r="L181" i="24"/>
  <c r="H181" i="24"/>
  <c r="L180" i="24"/>
  <c r="H180" i="24"/>
  <c r="L179" i="24"/>
  <c r="H179" i="24"/>
  <c r="L178" i="24"/>
  <c r="H178" i="24"/>
  <c r="L177" i="24"/>
  <c r="H177" i="24"/>
  <c r="L176" i="24"/>
  <c r="H176" i="24"/>
  <c r="L175" i="24"/>
  <c r="H175" i="24"/>
  <c r="L174" i="24"/>
  <c r="H174" i="24"/>
  <c r="L173" i="24"/>
  <c r="H173" i="24"/>
  <c r="L172" i="24"/>
  <c r="H172" i="24"/>
  <c r="L171" i="24"/>
  <c r="H171" i="24"/>
  <c r="L170" i="24"/>
  <c r="H170" i="24"/>
  <c r="L169" i="24"/>
  <c r="H169" i="24"/>
  <c r="L168" i="24"/>
  <c r="H168" i="24"/>
  <c r="L167" i="24"/>
  <c r="H167" i="24"/>
  <c r="L166" i="24"/>
  <c r="H166" i="24"/>
  <c r="L165" i="24"/>
  <c r="H165" i="24"/>
  <c r="L164" i="24"/>
  <c r="H164" i="24"/>
  <c r="L163" i="24"/>
  <c r="H163" i="24"/>
  <c r="L162" i="24"/>
  <c r="H162" i="24"/>
  <c r="L161" i="24"/>
  <c r="H161" i="24"/>
  <c r="L160" i="24"/>
  <c r="H160" i="24"/>
  <c r="L159" i="24"/>
  <c r="H159" i="24"/>
  <c r="L158" i="24"/>
  <c r="H158" i="24"/>
  <c r="L157" i="24"/>
  <c r="H157" i="24"/>
  <c r="L156" i="24"/>
  <c r="H156" i="24"/>
  <c r="L155" i="24"/>
  <c r="H155" i="24"/>
  <c r="L154" i="24"/>
  <c r="H154" i="24"/>
  <c r="L153" i="24"/>
  <c r="H153" i="24"/>
  <c r="L152" i="24"/>
  <c r="H152" i="24"/>
  <c r="H151" i="24"/>
  <c r="L150" i="24"/>
  <c r="H150" i="24"/>
  <c r="L149" i="24"/>
  <c r="H149" i="24"/>
  <c r="H148" i="24"/>
  <c r="L147" i="24"/>
  <c r="H147" i="24"/>
  <c r="L146" i="24"/>
  <c r="H146" i="24"/>
  <c r="L145" i="24"/>
  <c r="H145" i="24"/>
  <c r="H144" i="24"/>
  <c r="L143" i="24"/>
  <c r="H143" i="24"/>
  <c r="L142" i="24"/>
  <c r="H142" i="24"/>
  <c r="L141" i="24"/>
  <c r="H141" i="24"/>
  <c r="L140" i="24"/>
  <c r="H140" i="24"/>
  <c r="L139" i="24"/>
  <c r="H139" i="24"/>
  <c r="L138" i="24"/>
  <c r="H138" i="24"/>
  <c r="H137" i="24"/>
  <c r="H136" i="24"/>
  <c r="L135" i="24"/>
  <c r="H135" i="24"/>
  <c r="L134" i="24"/>
  <c r="H134" i="24"/>
  <c r="H133" i="24"/>
  <c r="L132" i="24"/>
  <c r="H132" i="24"/>
  <c r="L131" i="24"/>
  <c r="H131" i="24"/>
  <c r="L130" i="24"/>
  <c r="H130" i="24"/>
  <c r="L129" i="24"/>
  <c r="H129" i="24"/>
  <c r="L128" i="24"/>
  <c r="H128" i="24"/>
  <c r="L127" i="24"/>
  <c r="H127" i="24"/>
  <c r="L126" i="24"/>
  <c r="H126" i="24"/>
  <c r="L125" i="24"/>
  <c r="H125" i="24"/>
  <c r="L124" i="24"/>
  <c r="H124" i="24"/>
  <c r="L123" i="24"/>
  <c r="H123" i="24"/>
  <c r="L122" i="24"/>
  <c r="H122" i="24"/>
  <c r="L121" i="24"/>
  <c r="H121" i="24"/>
  <c r="L120" i="24"/>
  <c r="H120" i="24"/>
  <c r="L119" i="24"/>
  <c r="H119" i="24"/>
  <c r="L118" i="24"/>
  <c r="H118" i="24"/>
  <c r="L117" i="24"/>
  <c r="H117" i="24"/>
  <c r="L116" i="24"/>
  <c r="H116" i="24"/>
  <c r="L115" i="24"/>
  <c r="H115" i="24"/>
  <c r="L114" i="24"/>
  <c r="H114" i="24"/>
  <c r="H113" i="24"/>
  <c r="H112" i="24"/>
  <c r="H111" i="24"/>
  <c r="L110" i="24"/>
  <c r="H110" i="24"/>
  <c r="L109" i="24"/>
  <c r="H109" i="24"/>
  <c r="L108" i="24"/>
  <c r="H108" i="24"/>
  <c r="L107" i="24"/>
  <c r="H107" i="24"/>
  <c r="L106" i="24"/>
  <c r="H106" i="24"/>
  <c r="L105" i="24"/>
  <c r="H105" i="24"/>
  <c r="L104" i="24"/>
  <c r="H104" i="24"/>
  <c r="L103" i="24"/>
  <c r="H103" i="24"/>
  <c r="H101" i="24"/>
  <c r="L100" i="24"/>
  <c r="H100" i="24"/>
  <c r="L99" i="24"/>
  <c r="H99" i="24"/>
  <c r="L98" i="24"/>
  <c r="H98" i="24"/>
  <c r="L97" i="24"/>
  <c r="H97" i="24"/>
  <c r="L96" i="24"/>
  <c r="H96" i="24"/>
  <c r="L95" i="24"/>
  <c r="H95" i="24"/>
  <c r="L94" i="24"/>
  <c r="H94" i="24"/>
  <c r="L92" i="24"/>
  <c r="H92" i="24"/>
  <c r="L91" i="24"/>
  <c r="H91" i="24"/>
  <c r="L90" i="24"/>
  <c r="H90" i="24"/>
  <c r="L89" i="24"/>
  <c r="H89" i="24"/>
  <c r="L88" i="24"/>
  <c r="H88" i="24"/>
  <c r="L87" i="24"/>
  <c r="H87" i="24"/>
  <c r="H86" i="24"/>
  <c r="L85" i="24"/>
  <c r="H85" i="24"/>
  <c r="L84" i="24"/>
  <c r="H84" i="24"/>
  <c r="L83" i="24"/>
  <c r="H83" i="24"/>
  <c r="H82" i="24"/>
  <c r="L81" i="24"/>
  <c r="H81" i="24"/>
  <c r="L80" i="24"/>
  <c r="H80" i="24"/>
  <c r="L79" i="24"/>
  <c r="H79" i="24"/>
  <c r="L78" i="24"/>
  <c r="H78" i="24"/>
  <c r="L77" i="24"/>
  <c r="H77" i="24"/>
  <c r="L76" i="24"/>
  <c r="H76" i="24"/>
  <c r="L75" i="24"/>
  <c r="H75" i="24"/>
  <c r="H74" i="24"/>
  <c r="L73" i="24"/>
  <c r="H73" i="24"/>
  <c r="L72" i="24"/>
  <c r="H72" i="24"/>
  <c r="L71" i="24"/>
  <c r="H71" i="24"/>
  <c r="L70" i="24"/>
  <c r="H70" i="24"/>
  <c r="L69" i="24"/>
  <c r="H69" i="24"/>
  <c r="L68" i="24"/>
  <c r="H68" i="24"/>
  <c r="L67" i="24"/>
  <c r="H67" i="24"/>
  <c r="L66" i="24"/>
  <c r="H66" i="24"/>
  <c r="L65" i="24"/>
  <c r="H65" i="24"/>
  <c r="L64" i="24"/>
  <c r="H64" i="24"/>
  <c r="L63" i="24"/>
  <c r="H63" i="24"/>
  <c r="L62" i="24"/>
  <c r="H62" i="24"/>
  <c r="L61" i="24"/>
  <c r="H61" i="24"/>
  <c r="L60" i="24"/>
  <c r="H60" i="24"/>
  <c r="L59" i="24"/>
  <c r="H59" i="24"/>
  <c r="L58" i="24"/>
  <c r="H58" i="24"/>
  <c r="L57" i="24"/>
  <c r="H57" i="24"/>
  <c r="L56" i="24"/>
  <c r="H56" i="24"/>
  <c r="L55" i="24"/>
  <c r="H55" i="24"/>
  <c r="L54" i="24"/>
  <c r="H54" i="24"/>
  <c r="L53" i="24"/>
  <c r="H53" i="24"/>
  <c r="L52" i="24"/>
  <c r="H52" i="24"/>
  <c r="L51" i="24"/>
  <c r="H51" i="24"/>
  <c r="L50" i="24"/>
  <c r="H50" i="24"/>
  <c r="L49" i="24"/>
  <c r="H49" i="24"/>
  <c r="L48" i="24"/>
  <c r="H48" i="24"/>
  <c r="L47" i="24"/>
  <c r="H47" i="24"/>
  <c r="L46" i="24"/>
  <c r="H46" i="24"/>
  <c r="L45" i="24"/>
  <c r="H45" i="24"/>
  <c r="L44" i="24"/>
  <c r="H44" i="24"/>
  <c r="H43" i="24"/>
  <c r="L42" i="24"/>
  <c r="H42" i="24"/>
  <c r="L41" i="24"/>
  <c r="H41" i="24"/>
  <c r="L40" i="24"/>
  <c r="H40" i="24"/>
  <c r="H39" i="24"/>
  <c r="L38" i="24"/>
  <c r="H38" i="24"/>
  <c r="L37" i="24"/>
  <c r="H37" i="24"/>
  <c r="L36" i="24"/>
  <c r="H36" i="24"/>
  <c r="L35" i="24"/>
  <c r="H35" i="24"/>
  <c r="L34" i="24"/>
  <c r="H34" i="24"/>
  <c r="L33" i="24"/>
  <c r="H33" i="24"/>
  <c r="L32" i="24"/>
  <c r="H32" i="24"/>
  <c r="L31" i="24"/>
  <c r="H31" i="24"/>
  <c r="L30" i="24"/>
  <c r="H30" i="24"/>
  <c r="L29" i="24"/>
  <c r="H29" i="24"/>
  <c r="L28" i="24"/>
  <c r="H28" i="24"/>
  <c r="L27" i="24"/>
  <c r="H27" i="24"/>
  <c r="L26" i="24"/>
  <c r="H26" i="24"/>
  <c r="L25" i="24"/>
  <c r="H25" i="24"/>
  <c r="H24" i="24"/>
  <c r="H23" i="24"/>
  <c r="H22" i="24"/>
  <c r="L21" i="24"/>
  <c r="H21" i="24"/>
  <c r="L20" i="24"/>
  <c r="H20" i="24"/>
  <c r="L19" i="24"/>
  <c r="H19" i="24"/>
  <c r="H18" i="24"/>
  <c r="L17" i="24"/>
  <c r="H17" i="24"/>
  <c r="L16" i="24"/>
  <c r="H16" i="24"/>
  <c r="L14" i="24"/>
  <c r="H14" i="24"/>
  <c r="L13" i="24"/>
  <c r="H13" i="24"/>
  <c r="L12" i="24"/>
  <c r="H12" i="24"/>
  <c r="L11" i="24"/>
  <c r="H11" i="24"/>
  <c r="L10" i="24"/>
  <c r="H10" i="24"/>
  <c r="L9" i="24"/>
  <c r="H9" i="24"/>
  <c r="L8" i="24"/>
  <c r="H8" i="24"/>
  <c r="L7" i="24"/>
  <c r="H7" i="24"/>
  <c r="L6" i="24"/>
  <c r="H6" i="24"/>
  <c r="H104" i="37"/>
  <c r="L104" i="37"/>
  <c r="M104" i="37"/>
  <c r="N104" i="37" s="1"/>
  <c r="O104" i="37" s="1"/>
  <c r="H194" i="37"/>
  <c r="M6" i="38"/>
  <c r="N6" i="38" s="1"/>
  <c r="G103" i="38"/>
  <c r="G114" i="38"/>
  <c r="K114" i="38"/>
  <c r="G193" i="38"/>
  <c r="M6" i="39"/>
  <c r="N6" i="39" s="1"/>
  <c r="E103" i="39"/>
  <c r="G193" i="39"/>
  <c r="M6" i="40"/>
  <c r="N6" i="40"/>
  <c r="E103" i="40"/>
  <c r="G103" i="40"/>
  <c r="K103" i="40"/>
  <c r="L103" i="40"/>
  <c r="M103" i="40" s="1"/>
  <c r="N103" i="40" s="1"/>
  <c r="G114" i="40"/>
  <c r="G193" i="40"/>
  <c r="N301" i="40"/>
  <c r="N357" i="40"/>
  <c r="J417" i="40"/>
  <c r="L103" i="41"/>
  <c r="M103" i="41" s="1"/>
  <c r="M6" i="41"/>
  <c r="N6" i="41" s="1"/>
  <c r="L193" i="41"/>
  <c r="M193" i="41" s="1"/>
  <c r="N193" i="41" s="1"/>
  <c r="D416" i="41"/>
  <c r="J416" i="41"/>
  <c r="E418" i="37"/>
  <c r="Q115" i="37"/>
  <c r="F104" i="37"/>
  <c r="F194" i="36"/>
  <c r="Q115" i="36"/>
  <c r="R104" i="37"/>
  <c r="F115" i="37"/>
  <c r="R104" i="36"/>
  <c r="Q194" i="37"/>
  <c r="F104" i="36"/>
  <c r="R398" i="34"/>
  <c r="H398" i="34" s="1"/>
  <c r="F398" i="34"/>
  <c r="M35" i="40"/>
  <c r="N35" i="40" s="1"/>
  <c r="M304" i="40"/>
  <c r="N304" i="40" s="1"/>
  <c r="N238" i="40"/>
  <c r="N203" i="41"/>
  <c r="N373" i="41"/>
  <c r="N21" i="41"/>
  <c r="F416" i="42"/>
  <c r="L103" i="42"/>
  <c r="M103" i="42" s="1"/>
  <c r="G114" i="42"/>
  <c r="J416" i="42"/>
  <c r="N8" i="41"/>
  <c r="M27" i="42"/>
  <c r="N27" i="42" s="1"/>
  <c r="N17" i="41"/>
  <c r="E114" i="42"/>
  <c r="M129" i="41"/>
  <c r="N129" i="41"/>
  <c r="N125" i="41"/>
  <c r="N118" i="42"/>
  <c r="N270" i="41"/>
  <c r="N366" i="41"/>
  <c r="F416" i="43"/>
  <c r="T103" i="43"/>
  <c r="L103" i="43"/>
  <c r="N6" i="43"/>
  <c r="G103" i="43"/>
  <c r="D416" i="43"/>
  <c r="E103" i="43"/>
  <c r="T114" i="43"/>
  <c r="T193" i="43"/>
  <c r="D416" i="42"/>
  <c r="S103" i="42"/>
  <c r="N7" i="42"/>
  <c r="N360" i="43"/>
  <c r="N319" i="43"/>
  <c r="N171" i="42"/>
  <c r="M103" i="43"/>
  <c r="N103" i="43" s="1"/>
  <c r="F115" i="36"/>
  <c r="E418" i="36"/>
  <c r="R115" i="36"/>
  <c r="R194" i="37"/>
  <c r="F194" i="37"/>
  <c r="R192" i="24"/>
  <c r="M80" i="43"/>
  <c r="N80" i="43"/>
  <c r="N77" i="43"/>
  <c r="N140" i="43"/>
  <c r="N189" i="43"/>
  <c r="O6" i="36"/>
  <c r="N7" i="32"/>
  <c r="O7" i="32"/>
  <c r="N7" i="33"/>
  <c r="O7" i="33"/>
  <c r="M398" i="34"/>
  <c r="M115" i="36"/>
  <c r="N115" i="36" s="1"/>
  <c r="O115" i="36" s="1"/>
  <c r="L194" i="36"/>
  <c r="L114" i="42"/>
  <c r="T114" i="42"/>
  <c r="M114" i="42"/>
  <c r="N114" i="42"/>
  <c r="M44" i="44"/>
  <c r="N44" i="44"/>
  <c r="N318" i="44"/>
  <c r="N15" i="44"/>
  <c r="O6" i="28"/>
  <c r="O7" i="31"/>
  <c r="M6" i="46"/>
  <c r="N6" i="46" s="1"/>
  <c r="N28" i="46"/>
  <c r="M197" i="46"/>
  <c r="N197" i="46" s="1"/>
  <c r="P417" i="45"/>
  <c r="C418" i="45" s="1"/>
  <c r="Q417" i="45"/>
  <c r="E417" i="45" s="1"/>
  <c r="N380" i="45"/>
  <c r="M20" i="46"/>
  <c r="M6" i="47"/>
  <c r="N10" i="46"/>
  <c r="N29" i="46"/>
  <c r="N76" i="46"/>
  <c r="N97" i="46"/>
  <c r="M100" i="46"/>
  <c r="N100" i="46" s="1"/>
  <c r="M141" i="46"/>
  <c r="N141" i="46"/>
  <c r="N124" i="46"/>
  <c r="M182" i="47"/>
  <c r="N182" i="47" s="1"/>
  <c r="Q418" i="46"/>
  <c r="E418" i="46" s="1"/>
  <c r="P418" i="46"/>
  <c r="C419" i="46" s="1"/>
  <c r="M25" i="47"/>
  <c r="N25" i="47"/>
  <c r="N6" i="47"/>
  <c r="M27" i="48"/>
  <c r="N27" i="48"/>
  <c r="M24" i="47"/>
  <c r="N24" i="47" s="1"/>
  <c r="M95" i="48"/>
  <c r="N95" i="48"/>
  <c r="M119" i="47"/>
  <c r="N119" i="47" s="1"/>
  <c r="N118" i="47"/>
  <c r="N6" i="48"/>
  <c r="L193" i="49"/>
  <c r="M193" i="49" s="1"/>
  <c r="N193" i="49" s="1"/>
  <c r="F417" i="49"/>
  <c r="T114" i="49"/>
  <c r="T193" i="49"/>
  <c r="N45" i="48"/>
  <c r="N171" i="48"/>
  <c r="X103" i="49"/>
  <c r="M378" i="49"/>
  <c r="N378" i="49" s="1"/>
  <c r="M376" i="48"/>
  <c r="N376" i="48"/>
  <c r="X114" i="49"/>
  <c r="K176" i="50"/>
  <c r="M176" i="50"/>
  <c r="N176" i="50"/>
  <c r="M29" i="49"/>
  <c r="N29" i="49" s="1"/>
  <c r="N6" i="49"/>
  <c r="X7" i="49"/>
  <c r="M114" i="50"/>
  <c r="N114" i="50"/>
  <c r="U114" i="50"/>
  <c r="S193" i="50"/>
  <c r="T114" i="50"/>
  <c r="L193" i="50"/>
  <c r="E114" i="50"/>
  <c r="G114" i="50"/>
  <c r="K114" i="50"/>
  <c r="T193" i="50"/>
  <c r="U193" i="50"/>
  <c r="N8" i="39"/>
  <c r="K103" i="39"/>
  <c r="G103" i="39"/>
  <c r="X193" i="49"/>
  <c r="N238" i="49"/>
  <c r="M206" i="50"/>
  <c r="N206" i="50"/>
  <c r="K114" i="51"/>
  <c r="U114" i="51"/>
  <c r="T114" i="51"/>
  <c r="G103" i="51"/>
  <c r="F417" i="51"/>
  <c r="J417" i="51"/>
  <c r="K103" i="51"/>
  <c r="L193" i="51"/>
  <c r="M193" i="51" s="1"/>
  <c r="N193" i="51" s="1"/>
  <c r="T193" i="51"/>
  <c r="N6" i="50"/>
  <c r="X7" i="51"/>
  <c r="N7" i="50"/>
  <c r="Q417" i="49"/>
  <c r="N195" i="50"/>
  <c r="K417" i="44" l="1"/>
  <c r="E417" i="44"/>
  <c r="F403" i="33"/>
  <c r="H403" i="33"/>
  <c r="K416" i="42"/>
  <c r="G416" i="42"/>
  <c r="M192" i="24"/>
  <c r="N192" i="24" s="1"/>
  <c r="O192" i="24" s="1"/>
  <c r="N6" i="27"/>
  <c r="Q417" i="38"/>
  <c r="E417" i="38" s="1"/>
  <c r="F417" i="38"/>
  <c r="G417" i="38" s="1"/>
  <c r="L103" i="38"/>
  <c r="Q406" i="31"/>
  <c r="P417" i="50"/>
  <c r="C418" i="50" s="1"/>
  <c r="N15" i="50"/>
  <c r="K193" i="50"/>
  <c r="M193" i="50"/>
  <c r="N193" i="50" s="1"/>
  <c r="U103" i="50"/>
  <c r="K103" i="50"/>
  <c r="J417" i="50"/>
  <c r="K417" i="50" s="1"/>
  <c r="P418" i="47"/>
  <c r="C419" i="47" s="1"/>
  <c r="T418" i="36"/>
  <c r="L418" i="36" s="1"/>
  <c r="H411" i="28"/>
  <c r="S103" i="50"/>
  <c r="D417" i="50"/>
  <c r="E417" i="50" s="1"/>
  <c r="E103" i="50"/>
  <c r="H102" i="24"/>
  <c r="G414" i="24"/>
  <c r="M102" i="24"/>
  <c r="M414" i="24" s="1"/>
  <c r="E103" i="38"/>
  <c r="T415" i="25"/>
  <c r="N7" i="44"/>
  <c r="M417" i="44"/>
  <c r="N417" i="44" s="1"/>
  <c r="X193" i="50"/>
  <c r="L418" i="46"/>
  <c r="Q416" i="41"/>
  <c r="E416" i="41" s="1"/>
  <c r="L406" i="30"/>
  <c r="H115" i="36"/>
  <c r="G418" i="36"/>
  <c r="G417" i="49"/>
  <c r="N406" i="30"/>
  <c r="Q416" i="43"/>
  <c r="K416" i="43" s="1"/>
  <c r="N17" i="40"/>
  <c r="P416" i="43"/>
  <c r="C417" i="43" s="1"/>
  <c r="L403" i="33"/>
  <c r="N6" i="25"/>
  <c r="M415" i="25"/>
  <c r="F102" i="24"/>
  <c r="Q102" i="24"/>
  <c r="R102" i="24"/>
  <c r="R414" i="24" s="1"/>
  <c r="F414" i="24" s="1"/>
  <c r="E414" i="24"/>
  <c r="J417" i="38"/>
  <c r="K417" i="38" s="1"/>
  <c r="K103" i="38"/>
  <c r="L417" i="45"/>
  <c r="S404" i="32"/>
  <c r="C405" i="32" s="1"/>
  <c r="T416" i="35"/>
  <c r="L416" i="35" s="1"/>
  <c r="N8" i="35"/>
  <c r="O8" i="35" s="1"/>
  <c r="M416" i="35"/>
  <c r="Q417" i="40"/>
  <c r="G417" i="40" s="1"/>
  <c r="R113" i="24"/>
  <c r="Q113" i="24"/>
  <c r="W103" i="50"/>
  <c r="X103" i="50" s="1"/>
  <c r="X417" i="50" s="1"/>
  <c r="G103" i="50"/>
  <c r="L103" i="50"/>
  <c r="M103" i="50" s="1"/>
  <c r="N103" i="50" s="1"/>
  <c r="T103" i="50"/>
  <c r="F417" i="50"/>
  <c r="G417" i="50" s="1"/>
  <c r="Q415" i="25"/>
  <c r="Q192" i="24"/>
  <c r="F410" i="29"/>
  <c r="M418" i="46"/>
  <c r="N418" i="46" s="1"/>
  <c r="R415" i="25"/>
  <c r="H415" i="25" s="1"/>
  <c r="Q418" i="37"/>
  <c r="K418" i="36"/>
  <c r="L104" i="36"/>
  <c r="M26" i="42"/>
  <c r="N26" i="42" s="1"/>
  <c r="L416" i="42"/>
  <c r="Q418" i="47"/>
  <c r="E418" i="47" s="1"/>
  <c r="M406" i="30"/>
  <c r="N6" i="30"/>
  <c r="O6" i="30" s="1"/>
  <c r="K417" i="45"/>
  <c r="X417" i="49"/>
  <c r="M417" i="45"/>
  <c r="N417" i="45" s="1"/>
  <c r="M412" i="26"/>
  <c r="N6" i="26"/>
  <c r="O6" i="26" s="1"/>
  <c r="M411" i="28"/>
  <c r="M410" i="29"/>
  <c r="E416" i="42"/>
  <c r="T414" i="24"/>
  <c r="Q406" i="30"/>
  <c r="S418" i="36"/>
  <c r="C419" i="36" s="1"/>
  <c r="L103" i="47"/>
  <c r="M103" i="47" s="1"/>
  <c r="N103" i="47" s="1"/>
  <c r="G103" i="47"/>
  <c r="T103" i="47"/>
  <c r="S403" i="33"/>
  <c r="C404" i="33" s="1"/>
  <c r="T418" i="37"/>
  <c r="J418" i="47"/>
  <c r="U103" i="47"/>
  <c r="K103" i="47"/>
  <c r="H406" i="31"/>
  <c r="S418" i="37"/>
  <c r="C419" i="37" s="1"/>
  <c r="R418" i="36"/>
  <c r="H418" i="36" s="1"/>
  <c r="N416" i="35"/>
  <c r="O416" i="35" s="1"/>
  <c r="L418" i="47"/>
  <c r="R406" i="30"/>
  <c r="F406" i="30" s="1"/>
  <c r="S416" i="35"/>
  <c r="C417" i="35" s="1"/>
  <c r="W417" i="50"/>
  <c r="E416" i="43"/>
  <c r="S411" i="28"/>
  <c r="C412" i="28" s="1"/>
  <c r="T406" i="31"/>
  <c r="L406" i="31" s="1"/>
  <c r="Q194" i="36"/>
  <c r="Q418" i="36" s="1"/>
  <c r="F417" i="40"/>
  <c r="T103" i="40"/>
  <c r="L416" i="43"/>
  <c r="S415" i="25"/>
  <c r="C416" i="25" s="1"/>
  <c r="T398" i="34"/>
  <c r="L398" i="34" s="1"/>
  <c r="W417" i="49"/>
  <c r="S406" i="31"/>
  <c r="C407" i="31" s="1"/>
  <c r="H404" i="32"/>
  <c r="M416" i="43"/>
  <c r="N416" i="43" s="1"/>
  <c r="L417" i="49"/>
  <c r="T412" i="26"/>
  <c r="L412" i="26" s="1"/>
  <c r="T411" i="27"/>
  <c r="L411" i="27" s="1"/>
  <c r="P417" i="38"/>
  <c r="C418" i="38" s="1"/>
  <c r="M193" i="38"/>
  <c r="N193" i="38" s="1"/>
  <c r="R406" i="31"/>
  <c r="F406" i="31" s="1"/>
  <c r="Q411" i="27"/>
  <c r="T193" i="40"/>
  <c r="L193" i="40"/>
  <c r="U193" i="40"/>
  <c r="K193" i="40"/>
  <c r="R404" i="32"/>
  <c r="F404" i="32" s="1"/>
  <c r="R410" i="29"/>
  <c r="H410" i="29" s="1"/>
  <c r="S103" i="40"/>
  <c r="D417" i="40"/>
  <c r="E417" i="40" s="1"/>
  <c r="Q398" i="34"/>
  <c r="M103" i="39"/>
  <c r="N103" i="39" s="1"/>
  <c r="Q410" i="29"/>
  <c r="U193" i="42"/>
  <c r="M193" i="42"/>
  <c r="N193" i="42" s="1"/>
  <c r="P417" i="40"/>
  <c r="C418" i="40" s="1"/>
  <c r="S194" i="48"/>
  <c r="E194" i="48"/>
  <c r="G194" i="48"/>
  <c r="T194" i="48"/>
  <c r="L194" i="48"/>
  <c r="M194" i="48" s="1"/>
  <c r="N194" i="48" s="1"/>
  <c r="U194" i="48"/>
  <c r="J418" i="48"/>
  <c r="K418" i="48" s="1"/>
  <c r="K194" i="48"/>
  <c r="E114" i="47"/>
  <c r="S114" i="47"/>
  <c r="D418" i="47"/>
  <c r="U194" i="47"/>
  <c r="K194" i="47"/>
  <c r="F417" i="39"/>
  <c r="J417" i="39"/>
  <c r="M194" i="47"/>
  <c r="N194" i="47" s="1"/>
  <c r="D418" i="48"/>
  <c r="E418" i="48" s="1"/>
  <c r="S103" i="48"/>
  <c r="F418" i="48"/>
  <c r="G418" i="48" s="1"/>
  <c r="W103" i="48"/>
  <c r="T103" i="48"/>
  <c r="L103" i="48"/>
  <c r="M103" i="48" s="1"/>
  <c r="N103" i="48" s="1"/>
  <c r="E114" i="49"/>
  <c r="D417" i="49"/>
  <c r="E417" i="49" s="1"/>
  <c r="G114" i="49"/>
  <c r="L114" i="49"/>
  <c r="M114" i="49" s="1"/>
  <c r="N114" i="49" s="1"/>
  <c r="K114" i="49"/>
  <c r="J417" i="49"/>
  <c r="K417" i="49" s="1"/>
  <c r="F418" i="47"/>
  <c r="G114" i="47"/>
  <c r="Q417" i="51"/>
  <c r="K417" i="51" s="1"/>
  <c r="P417" i="51"/>
  <c r="C418" i="51" s="1"/>
  <c r="L417" i="52"/>
  <c r="K417" i="52"/>
  <c r="M417" i="52"/>
  <c r="N417" i="52" s="1"/>
  <c r="N6" i="52"/>
  <c r="G417" i="52"/>
  <c r="E417" i="52"/>
  <c r="W417" i="52"/>
  <c r="G114" i="39"/>
  <c r="L114" i="39"/>
  <c r="M114" i="39" s="1"/>
  <c r="N114" i="39" s="1"/>
  <c r="F418" i="36"/>
  <c r="O6" i="34"/>
  <c r="N398" i="34"/>
  <c r="O398" i="34" s="1"/>
  <c r="N103" i="41"/>
  <c r="N418" i="37"/>
  <c r="O418" i="37" s="1"/>
  <c r="O7" i="36"/>
  <c r="N418" i="36"/>
  <c r="M418" i="37"/>
  <c r="N403" i="33"/>
  <c r="O403" i="33" s="1"/>
  <c r="O6" i="33"/>
  <c r="N415" i="25"/>
  <c r="O6" i="25"/>
  <c r="L415" i="25"/>
  <c r="N103" i="42"/>
  <c r="M416" i="42"/>
  <c r="N416" i="42" s="1"/>
  <c r="N410" i="29"/>
  <c r="O410" i="29" s="1"/>
  <c r="O6" i="29"/>
  <c r="N404" i="32"/>
  <c r="O6" i="32"/>
  <c r="N113" i="24"/>
  <c r="O113" i="24" s="1"/>
  <c r="N406" i="31"/>
  <c r="O406" i="31" s="1"/>
  <c r="O6" i="31"/>
  <c r="G418" i="46"/>
  <c r="N20" i="46"/>
  <c r="O6" i="35"/>
  <c r="N102" i="24"/>
  <c r="L417" i="38"/>
  <c r="H416" i="35"/>
  <c r="O6" i="37"/>
  <c r="K414" i="24"/>
  <c r="N7" i="28"/>
  <c r="O7" i="30"/>
  <c r="M406" i="31"/>
  <c r="G418" i="37"/>
  <c r="H418" i="37" s="1"/>
  <c r="G418" i="47"/>
  <c r="G417" i="44"/>
  <c r="M404" i="32"/>
  <c r="M403" i="33"/>
  <c r="M417" i="49"/>
  <c r="N417" i="49" s="1"/>
  <c r="G417" i="45"/>
  <c r="M115" i="37"/>
  <c r="N115" i="37" s="1"/>
  <c r="O115" i="37" s="1"/>
  <c r="K418" i="46"/>
  <c r="L115" i="37"/>
  <c r="K418" i="37"/>
  <c r="L418" i="37" s="1"/>
  <c r="M418" i="36"/>
  <c r="M103" i="38"/>
  <c r="N103" i="38" s="1"/>
  <c r="P417" i="39"/>
  <c r="C418" i="39" s="1"/>
  <c r="N412" i="26"/>
  <c r="Q417" i="39"/>
  <c r="G417" i="39" s="1"/>
  <c r="R411" i="27"/>
  <c r="F411" i="27" s="1"/>
  <c r="R412" i="26"/>
  <c r="F412" i="26" s="1"/>
  <c r="Q412" i="26"/>
  <c r="Q411" i="28"/>
  <c r="F411" i="28"/>
  <c r="Q404" i="32"/>
  <c r="G114" i="41"/>
  <c r="L114" i="41"/>
  <c r="T114" i="41"/>
  <c r="F416" i="41"/>
  <c r="P416" i="41"/>
  <c r="C417" i="41" s="1"/>
  <c r="T103" i="51"/>
  <c r="W103" i="51"/>
  <c r="L103" i="51"/>
  <c r="M418" i="48" l="1"/>
  <c r="N418" i="48" s="1"/>
  <c r="K416" i="41"/>
  <c r="Q414" i="24"/>
  <c r="L417" i="50"/>
  <c r="H414" i="24"/>
  <c r="K417" i="40"/>
  <c r="N411" i="27"/>
  <c r="O411" i="27" s="1"/>
  <c r="O6" i="27"/>
  <c r="L418" i="48"/>
  <c r="F415" i="25"/>
  <c r="M418" i="47"/>
  <c r="N418" i="47" s="1"/>
  <c r="K418" i="47"/>
  <c r="G416" i="43"/>
  <c r="X103" i="48"/>
  <c r="X417" i="48" s="1"/>
  <c r="W417" i="48"/>
  <c r="L414" i="24"/>
  <c r="O412" i="26"/>
  <c r="M193" i="40"/>
  <c r="L417" i="40"/>
  <c r="M417" i="50"/>
  <c r="N417" i="50" s="1"/>
  <c r="O415" i="25"/>
  <c r="O418" i="36"/>
  <c r="O406" i="30"/>
  <c r="O404" i="32"/>
  <c r="H406" i="30"/>
  <c r="G416" i="41"/>
  <c r="E417" i="51"/>
  <c r="G417" i="51"/>
  <c r="M417" i="39"/>
  <c r="N417" i="39" s="1"/>
  <c r="L417" i="39"/>
  <c r="M103" i="51"/>
  <c r="L417" i="51"/>
  <c r="M417" i="38"/>
  <c r="N417" i="38" s="1"/>
  <c r="E417" i="39"/>
  <c r="O7" i="28"/>
  <c r="N411" i="28"/>
  <c r="O411" i="28" s="1"/>
  <c r="X103" i="51"/>
  <c r="X417" i="51" s="1"/>
  <c r="W417" i="51"/>
  <c r="H412" i="26"/>
  <c r="M114" i="41"/>
  <c r="L416" i="41"/>
  <c r="K417" i="39"/>
  <c r="O102" i="24"/>
  <c r="N414" i="24"/>
  <c r="O414" i="24" s="1"/>
  <c r="H411" i="27"/>
  <c r="N193" i="40" l="1"/>
  <c r="M417" i="40"/>
  <c r="N417" i="40" s="1"/>
  <c r="N103" i="51"/>
  <c r="M417" i="51"/>
  <c r="N417" i="51" s="1"/>
  <c r="N114" i="41"/>
  <c r="M416" i="41"/>
  <c r="N416" i="41" s="1"/>
</calcChain>
</file>

<file path=xl/sharedStrings.xml><?xml version="1.0" encoding="utf-8"?>
<sst xmlns="http://schemas.openxmlformats.org/spreadsheetml/2006/main" count="27061" uniqueCount="650">
  <si>
    <t>Operating</t>
  </si>
  <si>
    <t>Per Capita</t>
  </si>
  <si>
    <t>Taxable</t>
  </si>
  <si>
    <t>Population</t>
  </si>
  <si>
    <t>Millage</t>
  </si>
  <si>
    <t>Municipality</t>
  </si>
  <si>
    <t>County</t>
  </si>
  <si>
    <t>Value</t>
  </si>
  <si>
    <t>Alachua</t>
  </si>
  <si>
    <t>Archer</t>
  </si>
  <si>
    <t>Gainesville</t>
  </si>
  <si>
    <t>Hawthorne</t>
  </si>
  <si>
    <t>High Springs</t>
  </si>
  <si>
    <t>Micanopy</t>
  </si>
  <si>
    <t>Newberry</t>
  </si>
  <si>
    <t>Waldo</t>
  </si>
  <si>
    <t>Baker</t>
  </si>
  <si>
    <t>Macclenny</t>
  </si>
  <si>
    <t>Callaway</t>
  </si>
  <si>
    <t>Bay</t>
  </si>
  <si>
    <t>Cedar Grove</t>
  </si>
  <si>
    <t>Lynn Haven</t>
  </si>
  <si>
    <t>Mexico Beach</t>
  </si>
  <si>
    <t>Panama City</t>
  </si>
  <si>
    <t>Panama City Beach</t>
  </si>
  <si>
    <t>Parker</t>
  </si>
  <si>
    <t>Springfield</t>
  </si>
  <si>
    <t>Brooker</t>
  </si>
  <si>
    <t>Bradford</t>
  </si>
  <si>
    <t>Hampton</t>
  </si>
  <si>
    <t>Lawtey</t>
  </si>
  <si>
    <t>Starke</t>
  </si>
  <si>
    <t>Cape Canaveral</t>
  </si>
  <si>
    <t>Brevard</t>
  </si>
  <si>
    <t>Cocoa</t>
  </si>
  <si>
    <t>Cocoa Beach</t>
  </si>
  <si>
    <t>Indialantic</t>
  </si>
  <si>
    <t>Indian Harbour Beach</t>
  </si>
  <si>
    <t>Malabar</t>
  </si>
  <si>
    <t>Melbourne</t>
  </si>
  <si>
    <t>Melbourne Beach</t>
  </si>
  <si>
    <t>Melbourne Village</t>
  </si>
  <si>
    <t>Palm Bay</t>
  </si>
  <si>
    <t>Palm Shores</t>
  </si>
  <si>
    <t>Rockledge</t>
  </si>
  <si>
    <t>Satellite Beach</t>
  </si>
  <si>
    <t>Titusville</t>
  </si>
  <si>
    <t>West Melbourne</t>
  </si>
  <si>
    <t>Coconut Creek</t>
  </si>
  <si>
    <t>Broward</t>
  </si>
  <si>
    <t>Cooper City</t>
  </si>
  <si>
    <t>Coral Springs</t>
  </si>
  <si>
    <t>Davie</t>
  </si>
  <si>
    <t>Deerfield Beach</t>
  </si>
  <si>
    <t>Fort Lauderdale</t>
  </si>
  <si>
    <t>Hillsboro Beach</t>
  </si>
  <si>
    <t>Hollywood</t>
  </si>
  <si>
    <t>Lauderdale Lakes</t>
  </si>
  <si>
    <t>Lauderhill</t>
  </si>
  <si>
    <t>Lazy Lake</t>
  </si>
  <si>
    <t>Lighthouse Point</t>
  </si>
  <si>
    <t>Margate</t>
  </si>
  <si>
    <t>Miramar</t>
  </si>
  <si>
    <t>North Lauderdale</t>
  </si>
  <si>
    <t>Oakland Park</t>
  </si>
  <si>
    <t>Parkland</t>
  </si>
  <si>
    <t>Pembroke Park</t>
  </si>
  <si>
    <t>Pembroke Pines</t>
  </si>
  <si>
    <t>Plantation</t>
  </si>
  <si>
    <t>Pompano Beach</t>
  </si>
  <si>
    <t>Sea Ranch Lakes</t>
  </si>
  <si>
    <t>Sunrise</t>
  </si>
  <si>
    <t>Tamarac</t>
  </si>
  <si>
    <t>Weston</t>
  </si>
  <si>
    <t>Wilton Manors</t>
  </si>
  <si>
    <t>Altha</t>
  </si>
  <si>
    <t>Calhoun</t>
  </si>
  <si>
    <t>Blountstown</t>
  </si>
  <si>
    <t>Punta Gorda</t>
  </si>
  <si>
    <t>Charlotte</t>
  </si>
  <si>
    <t>Crystal River</t>
  </si>
  <si>
    <t>Citrus</t>
  </si>
  <si>
    <t>Inverness</t>
  </si>
  <si>
    <t>Green Cove Springs</t>
  </si>
  <si>
    <t>Clay</t>
  </si>
  <si>
    <t>Keystone Heights</t>
  </si>
  <si>
    <t>Orange Park</t>
  </si>
  <si>
    <t>Penney Farms</t>
  </si>
  <si>
    <t>Everglades</t>
  </si>
  <si>
    <t>Collier</t>
  </si>
  <si>
    <t>Marco Island</t>
  </si>
  <si>
    <t>Naples</t>
  </si>
  <si>
    <t>Fort White</t>
  </si>
  <si>
    <t>Columbia</t>
  </si>
  <si>
    <t>Lake City</t>
  </si>
  <si>
    <t>Arcadia</t>
  </si>
  <si>
    <t>Cross City</t>
  </si>
  <si>
    <t>Dixie</t>
  </si>
  <si>
    <t>Horseshoe Beach</t>
  </si>
  <si>
    <t>Atlantic Beach</t>
  </si>
  <si>
    <t>Duval</t>
  </si>
  <si>
    <t>Baldwin</t>
  </si>
  <si>
    <t>Jacksonville</t>
  </si>
  <si>
    <t>Jacksonville Beach</t>
  </si>
  <si>
    <t>Neptune Beach</t>
  </si>
  <si>
    <t>Century</t>
  </si>
  <si>
    <t>Escambia</t>
  </si>
  <si>
    <t>Pensacola</t>
  </si>
  <si>
    <t>Beverly Beach</t>
  </si>
  <si>
    <t>Flagler</t>
  </si>
  <si>
    <t>Bunnell</t>
  </si>
  <si>
    <t>Marineland</t>
  </si>
  <si>
    <t>Flagler Beach</t>
  </si>
  <si>
    <t>Flagler/Volusia</t>
  </si>
  <si>
    <t>Apalachicola</t>
  </si>
  <si>
    <t>Franklin</t>
  </si>
  <si>
    <t>Carrabelle</t>
  </si>
  <si>
    <t>Chattahoochee</t>
  </si>
  <si>
    <t>Gadsden</t>
  </si>
  <si>
    <t>Greensboro</t>
  </si>
  <si>
    <t>Gretna</t>
  </si>
  <si>
    <t>Havana</t>
  </si>
  <si>
    <t>Midway</t>
  </si>
  <si>
    <t>Quincy</t>
  </si>
  <si>
    <t>Bell</t>
  </si>
  <si>
    <t>Gilchrist</t>
  </si>
  <si>
    <t>Trenton</t>
  </si>
  <si>
    <t>Fanning Springs</t>
  </si>
  <si>
    <t>Gilchrist/Levy</t>
  </si>
  <si>
    <t>Moore Haven</t>
  </si>
  <si>
    <t>Glades</t>
  </si>
  <si>
    <t>Gulf</t>
  </si>
  <si>
    <t>Wewahitchka</t>
  </si>
  <si>
    <t>Jasper</t>
  </si>
  <si>
    <t>Hamilton</t>
  </si>
  <si>
    <t>Jennings</t>
  </si>
  <si>
    <t>White Springs</t>
  </si>
  <si>
    <t>Bowling Green</t>
  </si>
  <si>
    <t>Hardee</t>
  </si>
  <si>
    <t>Wauchula</t>
  </si>
  <si>
    <t>Zolfo Springs</t>
  </si>
  <si>
    <t>Clewiston</t>
  </si>
  <si>
    <t>Hendry</t>
  </si>
  <si>
    <t>Brooksville</t>
  </si>
  <si>
    <t>Hernando</t>
  </si>
  <si>
    <t>Weeki Wachee</t>
  </si>
  <si>
    <t>Avon Park</t>
  </si>
  <si>
    <t>Highlands</t>
  </si>
  <si>
    <t>Lake Placid</t>
  </si>
  <si>
    <t>Sebring</t>
  </si>
  <si>
    <t>Plant City</t>
  </si>
  <si>
    <t>Hillsborough</t>
  </si>
  <si>
    <t>Tampa</t>
  </si>
  <si>
    <t>Temple Terrace</t>
  </si>
  <si>
    <t>Bonifay</t>
  </si>
  <si>
    <t>Holmes</t>
  </si>
  <si>
    <t>Esto</t>
  </si>
  <si>
    <t>Noma</t>
  </si>
  <si>
    <t>Ponce de Leon</t>
  </si>
  <si>
    <t>Westville</t>
  </si>
  <si>
    <t>Fellsmere</t>
  </si>
  <si>
    <t>Indian River</t>
  </si>
  <si>
    <t>Indian River Shores</t>
  </si>
  <si>
    <t>Orchid</t>
  </si>
  <si>
    <t>Sebastian</t>
  </si>
  <si>
    <t>Vero Beach</t>
  </si>
  <si>
    <t>Alford</t>
  </si>
  <si>
    <t>Jackson</t>
  </si>
  <si>
    <t>Bascom</t>
  </si>
  <si>
    <t>Campbellton</t>
  </si>
  <si>
    <t>Cottondale</t>
  </si>
  <si>
    <t>Graceville</t>
  </si>
  <si>
    <t>Grand Ridge</t>
  </si>
  <si>
    <t>Greenwood</t>
  </si>
  <si>
    <t>Jacob</t>
  </si>
  <si>
    <t>Malone</t>
  </si>
  <si>
    <t>Marianna</t>
  </si>
  <si>
    <t>Sneads</t>
  </si>
  <si>
    <t>Monticello</t>
  </si>
  <si>
    <t>Jefferson</t>
  </si>
  <si>
    <t>Mayo</t>
  </si>
  <si>
    <t>Lafayette</t>
  </si>
  <si>
    <t>Astatula</t>
  </si>
  <si>
    <t>Lake</t>
  </si>
  <si>
    <t>Clermont</t>
  </si>
  <si>
    <t>Eustis</t>
  </si>
  <si>
    <t>Fruitland Park</t>
  </si>
  <si>
    <t>Groveland</t>
  </si>
  <si>
    <t>Howey-in-the-Hills</t>
  </si>
  <si>
    <t>Lady Lake</t>
  </si>
  <si>
    <t>Leesburg</t>
  </si>
  <si>
    <t>Mascotte</t>
  </si>
  <si>
    <t>Minneola</t>
  </si>
  <si>
    <t>Montverde</t>
  </si>
  <si>
    <t>Mount Dora</t>
  </si>
  <si>
    <t>Tavares</t>
  </si>
  <si>
    <t>Umatilla</t>
  </si>
  <si>
    <t>Cape Coral</t>
  </si>
  <si>
    <t>Lee</t>
  </si>
  <si>
    <t>Fort Myers</t>
  </si>
  <si>
    <t>Fort Myers Beach</t>
  </si>
  <si>
    <t>Sanibel</t>
  </si>
  <si>
    <t>Tallahassee</t>
  </si>
  <si>
    <t>Leon</t>
  </si>
  <si>
    <t>Bronson</t>
  </si>
  <si>
    <t>Levy</t>
  </si>
  <si>
    <t>Cedar Key</t>
  </si>
  <si>
    <t>Chiefland</t>
  </si>
  <si>
    <t>Inglis</t>
  </si>
  <si>
    <t>Otter Creek</t>
  </si>
  <si>
    <t>Williston</t>
  </si>
  <si>
    <t>Yankeetown</t>
  </si>
  <si>
    <t>Bristol</t>
  </si>
  <si>
    <t>Liberty</t>
  </si>
  <si>
    <t>Greenville</t>
  </si>
  <si>
    <t>Madison</t>
  </si>
  <si>
    <t>Anna Maria</t>
  </si>
  <si>
    <t>Manatee</t>
  </si>
  <si>
    <t>Bradenton</t>
  </si>
  <si>
    <t>Bradenton Beach</t>
  </si>
  <si>
    <t>Holmes Beach</t>
  </si>
  <si>
    <t>Palmetto</t>
  </si>
  <si>
    <t>Manatee/Sarasota</t>
  </si>
  <si>
    <t>Belleview</t>
  </si>
  <si>
    <t>Marion</t>
  </si>
  <si>
    <t>Dunnellon</t>
  </si>
  <si>
    <t>McIntosh</t>
  </si>
  <si>
    <t>Ocala</t>
  </si>
  <si>
    <t>Reddick</t>
  </si>
  <si>
    <t>Jupiter Island</t>
  </si>
  <si>
    <t>Martin</t>
  </si>
  <si>
    <t>Stuart</t>
  </si>
  <si>
    <t>Aventura</t>
  </si>
  <si>
    <t>Miami-Dade</t>
  </si>
  <si>
    <t>Bal Harbour</t>
  </si>
  <si>
    <t>Bay Harbor Islands</t>
  </si>
  <si>
    <t>Biscayne Park</t>
  </si>
  <si>
    <t>Coral Gables</t>
  </si>
  <si>
    <t>El Portal</t>
  </si>
  <si>
    <t>Florida City</t>
  </si>
  <si>
    <t>Golden Beach</t>
  </si>
  <si>
    <t>Hialeah</t>
  </si>
  <si>
    <t>Hialeah Gardens</t>
  </si>
  <si>
    <t>Homestead</t>
  </si>
  <si>
    <t>Indian Creek</t>
  </si>
  <si>
    <t>Islandia</t>
  </si>
  <si>
    <t>Key Biscayne</t>
  </si>
  <si>
    <t>Medley</t>
  </si>
  <si>
    <t>Miami</t>
  </si>
  <si>
    <t>Miami Beach</t>
  </si>
  <si>
    <t>Miami Shores</t>
  </si>
  <si>
    <t>Miami Springs</t>
  </si>
  <si>
    <t>North Bay</t>
  </si>
  <si>
    <t>North Miami</t>
  </si>
  <si>
    <t>North Miami Beach</t>
  </si>
  <si>
    <t>Opa-locka</t>
  </si>
  <si>
    <t>Pinecrest</t>
  </si>
  <si>
    <t>South Miami</t>
  </si>
  <si>
    <t>Sunny Isles Beach</t>
  </si>
  <si>
    <t>Surfside</t>
  </si>
  <si>
    <t>Sweetwater</t>
  </si>
  <si>
    <t>Virginia Gardens</t>
  </si>
  <si>
    <t>West Miami</t>
  </si>
  <si>
    <t>Islamorada</t>
  </si>
  <si>
    <t>Monroe</t>
  </si>
  <si>
    <t>Key Colony Beach</t>
  </si>
  <si>
    <t>Key West</t>
  </si>
  <si>
    <t>Layton</t>
  </si>
  <si>
    <t>Callahan</t>
  </si>
  <si>
    <t>Nassau</t>
  </si>
  <si>
    <t>Fernandina Beach</t>
  </si>
  <si>
    <t>Hilliard</t>
  </si>
  <si>
    <t>Cinco Bayou</t>
  </si>
  <si>
    <t>Okaloosa</t>
  </si>
  <si>
    <t>Crestview</t>
  </si>
  <si>
    <t>Destin</t>
  </si>
  <si>
    <t>Fort Walton Beach</t>
  </si>
  <si>
    <t>Laurel Hill</t>
  </si>
  <si>
    <t>Mary Esther</t>
  </si>
  <si>
    <t>Niceville</t>
  </si>
  <si>
    <t>Shalimar</t>
  </si>
  <si>
    <t>Valparaiso</t>
  </si>
  <si>
    <t>Okeechobee</t>
  </si>
  <si>
    <t>Apopka</t>
  </si>
  <si>
    <t>Orange</t>
  </si>
  <si>
    <t>Bay Lake</t>
  </si>
  <si>
    <t>Belle Isle</t>
  </si>
  <si>
    <t>Eatonville</t>
  </si>
  <si>
    <t>Edgewood</t>
  </si>
  <si>
    <t>Lake Buena Vista</t>
  </si>
  <si>
    <t>Maitland</t>
  </si>
  <si>
    <t>Oakland</t>
  </si>
  <si>
    <t>Ocoee</t>
  </si>
  <si>
    <t>Orlando</t>
  </si>
  <si>
    <t>Windermere</t>
  </si>
  <si>
    <t>Winter Garden</t>
  </si>
  <si>
    <t>Winter Park</t>
  </si>
  <si>
    <t>Kissimmee</t>
  </si>
  <si>
    <t>Osceola</t>
  </si>
  <si>
    <t>Atlantis</t>
  </si>
  <si>
    <t>Palm Beach</t>
  </si>
  <si>
    <t>Belle Glade</t>
  </si>
  <si>
    <t>Boca Raton</t>
  </si>
  <si>
    <t>Boynton Beach</t>
  </si>
  <si>
    <t>Briny Breezes</t>
  </si>
  <si>
    <t>Cloud Lake</t>
  </si>
  <si>
    <t>Delray Beach</t>
  </si>
  <si>
    <t>Glen Ridge</t>
  </si>
  <si>
    <t>Golf</t>
  </si>
  <si>
    <t>Greenacres</t>
  </si>
  <si>
    <t>Gulf Stream</t>
  </si>
  <si>
    <t>Haverhill</t>
  </si>
  <si>
    <t>Highland Beach</t>
  </si>
  <si>
    <t>Hypoluxo</t>
  </si>
  <si>
    <t>Juno Beach</t>
  </si>
  <si>
    <t>Jupiter</t>
  </si>
  <si>
    <t>Jupiter Inlet Colony</t>
  </si>
  <si>
    <t>Lake Clarke Shores</t>
  </si>
  <si>
    <t>Lake Park</t>
  </si>
  <si>
    <t>Lantana</t>
  </si>
  <si>
    <t>Manalapan</t>
  </si>
  <si>
    <t>Mangonia Park</t>
  </si>
  <si>
    <t>North Palm Beach</t>
  </si>
  <si>
    <t>Ocean Ridge</t>
  </si>
  <si>
    <t>Pahokee</t>
  </si>
  <si>
    <t>Palm Beach Gardens</t>
  </si>
  <si>
    <t>Palm Beach Shores</t>
  </si>
  <si>
    <t>Palm Springs</t>
  </si>
  <si>
    <t>Riviera Beach</t>
  </si>
  <si>
    <t>Royal Palm Beach</t>
  </si>
  <si>
    <t>South Bay</t>
  </si>
  <si>
    <t>South Palm Beach</t>
  </si>
  <si>
    <t>Tequesta</t>
  </si>
  <si>
    <t>Wellington</t>
  </si>
  <si>
    <t>West Palm Beach</t>
  </si>
  <si>
    <t>Dade City</t>
  </si>
  <si>
    <t>Pasco</t>
  </si>
  <si>
    <t>New Port Richey</t>
  </si>
  <si>
    <t>Port Richey</t>
  </si>
  <si>
    <t>San Antonio</t>
  </si>
  <si>
    <t>Zephyrhills</t>
  </si>
  <si>
    <t>Belleair</t>
  </si>
  <si>
    <t>Pinellas</t>
  </si>
  <si>
    <t>Belleair Beach</t>
  </si>
  <si>
    <t>Belleair Bluffs</t>
  </si>
  <si>
    <t>Belleair Shore</t>
  </si>
  <si>
    <t>Clearwater</t>
  </si>
  <si>
    <t>Dunedin</t>
  </si>
  <si>
    <t>Gulfport</t>
  </si>
  <si>
    <t>Indian Rocks Beach</t>
  </si>
  <si>
    <t>Indian Shores</t>
  </si>
  <si>
    <t>Kenneth City</t>
  </si>
  <si>
    <t>Largo</t>
  </si>
  <si>
    <t>Madeira Beach</t>
  </si>
  <si>
    <t>North Redington Beach</t>
  </si>
  <si>
    <t>Oldsmar</t>
  </si>
  <si>
    <t>Pinellas Park</t>
  </si>
  <si>
    <t>Redington Beach</t>
  </si>
  <si>
    <t>Redington Shores</t>
  </si>
  <si>
    <t>Safety Harbor</t>
  </si>
  <si>
    <t>Seminole</t>
  </si>
  <si>
    <t>South Pasadena</t>
  </si>
  <si>
    <t>Tarpon Springs</t>
  </si>
  <si>
    <t>Treasure Island</t>
  </si>
  <si>
    <t>Auburndale</t>
  </si>
  <si>
    <t>Polk</t>
  </si>
  <si>
    <t>Bartow</t>
  </si>
  <si>
    <t>Davenport</t>
  </si>
  <si>
    <t>Dundee</t>
  </si>
  <si>
    <t>Eagle Lake</t>
  </si>
  <si>
    <t>Fort Meade</t>
  </si>
  <si>
    <t>Frostproof</t>
  </si>
  <si>
    <t>Haines City</t>
  </si>
  <si>
    <t>Highland Park</t>
  </si>
  <si>
    <t>Hillcrest Heights</t>
  </si>
  <si>
    <t>Lake Alfred</t>
  </si>
  <si>
    <t>Lake Hamilton</t>
  </si>
  <si>
    <t>Lake Wales</t>
  </si>
  <si>
    <t>Lakeland</t>
  </si>
  <si>
    <t>Mulberry</t>
  </si>
  <si>
    <t>Polk City</t>
  </si>
  <si>
    <t>Winter Haven</t>
  </si>
  <si>
    <t>Crescent City</t>
  </si>
  <si>
    <t>Putnam</t>
  </si>
  <si>
    <t>Interlachen</t>
  </si>
  <si>
    <t>Palatka</t>
  </si>
  <si>
    <t>Pomona Park</t>
  </si>
  <si>
    <t>Welaka</t>
  </si>
  <si>
    <t>Hastings</t>
  </si>
  <si>
    <t>Fort Pierce</t>
  </si>
  <si>
    <t>Gulf Breeze</t>
  </si>
  <si>
    <t>Santa Rosa</t>
  </si>
  <si>
    <t>Jay</t>
  </si>
  <si>
    <t>Milton</t>
  </si>
  <si>
    <t>North Port</t>
  </si>
  <si>
    <t>Sarasota</t>
  </si>
  <si>
    <t>Venice</t>
  </si>
  <si>
    <t>Altamonte Springs</t>
  </si>
  <si>
    <t>Casselberry</t>
  </si>
  <si>
    <t>Lake Mary</t>
  </si>
  <si>
    <t>Longwood</t>
  </si>
  <si>
    <t>Oviedo</t>
  </si>
  <si>
    <t>Sanford</t>
  </si>
  <si>
    <t>Winter Springs</t>
  </si>
  <si>
    <t>Bushnell</t>
  </si>
  <si>
    <t>Sumter</t>
  </si>
  <si>
    <t>Center Hill</t>
  </si>
  <si>
    <t>Coleman</t>
  </si>
  <si>
    <t>Webster</t>
  </si>
  <si>
    <t>Wildwood</t>
  </si>
  <si>
    <t>Branford</t>
  </si>
  <si>
    <t>Suwannee</t>
  </si>
  <si>
    <t>Live Oak</t>
  </si>
  <si>
    <t>Perry</t>
  </si>
  <si>
    <t>Taylor</t>
  </si>
  <si>
    <t>Lake Butler</t>
  </si>
  <si>
    <t>Union</t>
  </si>
  <si>
    <t>Raiford</t>
  </si>
  <si>
    <t>Worthington Springs</t>
  </si>
  <si>
    <t>Daytona Beach</t>
  </si>
  <si>
    <t>Volusia</t>
  </si>
  <si>
    <t>Daytona Beach Shores</t>
  </si>
  <si>
    <t>Deltona</t>
  </si>
  <si>
    <t>Edgewater</t>
  </si>
  <si>
    <t>Holly Hill</t>
  </si>
  <si>
    <t>Lake Helen</t>
  </si>
  <si>
    <t>New Smyrna Beach</t>
  </si>
  <si>
    <t>Oak Hill</t>
  </si>
  <si>
    <t>Orange City</t>
  </si>
  <si>
    <t>Ormond Beach</t>
  </si>
  <si>
    <t>Pierson</t>
  </si>
  <si>
    <t>Ponce Inlet</t>
  </si>
  <si>
    <t>Port Orange</t>
  </si>
  <si>
    <t>South Daytona</t>
  </si>
  <si>
    <t>Wakulla</t>
  </si>
  <si>
    <t>Sopchoppy</t>
  </si>
  <si>
    <t>DeFuniak Springs</t>
  </si>
  <si>
    <t>Walton</t>
  </si>
  <si>
    <t>Freeport</t>
  </si>
  <si>
    <t>Paxton</t>
  </si>
  <si>
    <t>Caryville</t>
  </si>
  <si>
    <t>Washington</t>
  </si>
  <si>
    <t>Chipley</t>
  </si>
  <si>
    <t>Ebro</t>
  </si>
  <si>
    <t>Vernon</t>
  </si>
  <si>
    <t>Wausau</t>
  </si>
  <si>
    <t>Sewall's Point</t>
  </si>
  <si>
    <t>Palm Coast</t>
  </si>
  <si>
    <t>Bonita Springs</t>
  </si>
  <si>
    <t>Marathon</t>
  </si>
  <si>
    <t>Southwest Ranches</t>
  </si>
  <si>
    <t>Statewide:</t>
  </si>
  <si>
    <t>Longboat Key (part)</t>
  </si>
  <si>
    <t># Reporting an Operating Millage Rate:</t>
  </si>
  <si>
    <t>Taxes Levied</t>
  </si>
  <si>
    <t>Total</t>
  </si>
  <si>
    <t>Municipal Government Levies</t>
  </si>
  <si>
    <t>2001 Florida Municipal Ad Valorem Tax Profile</t>
  </si>
  <si>
    <t>Estimates</t>
  </si>
  <si>
    <t>Miami Lakes</t>
  </si>
  <si>
    <t>Population Estimates: Bureau of Economic and Business Research, University of Florida; "Florida Estimates of Population 2001".</t>
  </si>
  <si>
    <t>2000 Florida Municipal Ad Valorem Tax Profile</t>
  </si>
  <si>
    <t>DeBary</t>
  </si>
  <si>
    <t>DeLand</t>
  </si>
  <si>
    <t>Dania Beach</t>
  </si>
  <si>
    <t>Hallandale Beach</t>
  </si>
  <si>
    <t>1999 Florida Municipal Ad Valorem Tax Profile</t>
  </si>
  <si>
    <t>Population Estimates: Bureau of Economic and Business Research, University of Florida; "Florida Estimates of Population 1999".</t>
  </si>
  <si>
    <t>De Soto</t>
  </si>
  <si>
    <t>Census 2000 Population Counts: U.S. Bureau of the Census. (Population counts include census corrections made through October 1, 2002.)</t>
  </si>
  <si>
    <t>1998 Florida Municipal Ad Valorem Tax Profile</t>
  </si>
  <si>
    <t>Population Estimates: Bureau of Economic and Business Research, University of Florida; "Florida Estimates of Population 1998".</t>
  </si>
  <si>
    <t>1997 Florida Municipal Ad Valorem Tax Profile</t>
  </si>
  <si>
    <t>Population Estimates: Bureau of Economic and Business Research, University of Florida; "Florida Estimates of Population 1997".</t>
  </si>
  <si>
    <t>1996 Florida Municipal Ad Valorem Tax Profile</t>
  </si>
  <si>
    <t>Population Estimates: Bureau of Economic and Business Research, University of Florida; "Florida Estimates of Population 1996".</t>
  </si>
  <si>
    <t>1995 Florida Municipal Ad Valorem Tax Profile</t>
  </si>
  <si>
    <t>Population Estimates: Bureau of Economic and Business Research, University of Florida; "Florida Estimates of Population 1995".</t>
  </si>
  <si>
    <t>Longboat Key</t>
  </si>
  <si>
    <t>2002 Florida Municipal Ad Valorem Tax Profile</t>
  </si>
  <si>
    <t>Population Estimates: Bureau of Economic and Business Research, University of Florida; "Florida Estimates of Population 2002".</t>
  </si>
  <si>
    <t>Golfview</t>
  </si>
  <si>
    <t>Assessed</t>
  </si>
  <si>
    <t>Municipal Assessed and Taxable Values</t>
  </si>
  <si>
    <t>Ad Valorem Data: Florida Department of Revenue, "Florida Property Valuations &amp; Tax Data 2002".  The 2001 values represent those reported in the 2002 edition.</t>
  </si>
  <si>
    <t>Ad Valorem Data: Florida Department of Revenue, "Florida Property Valuations &amp; Tax Data 2001".  The 2000 values represent those reported in the 2001 edition.</t>
  </si>
  <si>
    <t>Ad Valorem Data: Florida Department of Revenue, "Florida Property Valuations &amp; Tax Data 2000".  The 1999 values represent those reported in the 2000 edition.</t>
  </si>
  <si>
    <t>Ad Valorem Data: Florida Department of Revenue, "Florida Property Valuations &amp; Tax Data 1999".  The 1998 values represent those reported in the 1999 edition.</t>
  </si>
  <si>
    <t>Ad Valorem Data: Florida Department of Revenue, "Florida Property Valuations &amp; Tax Data 1998".  The 1997 values represent those reported in the 1998 edition.</t>
  </si>
  <si>
    <t>Ad Valorem Data: Florida Department of Revenue, "Florida Property Valuations &amp; Tax Data 1997".  The 1996 values represent those reported in the 1997 edition.</t>
  </si>
  <si>
    <t>Ad Valorem Data: Florida Department of Revenue, "Florida Property Valuations &amp; Tax Data 1996".  The 1995 values represent those reported in the 1996 edition.</t>
  </si>
  <si>
    <t>2003 Florida Municipal Ad Valorem Tax Profile</t>
  </si>
  <si>
    <t>Population Estimates: Bureau of Economic and Business Research, University of Florida; "Florida Estimates of Population 2003".</t>
  </si>
  <si>
    <t>Palmetto Bay</t>
  </si>
  <si>
    <t>Ad Valorem Data: Florida Department of Revenue, "Florida Property Valuations &amp; Tax Data 2003".  The 2002 values represent those reported in the 2003 edition.</t>
  </si>
  <si>
    <t>Unrealized</t>
  </si>
  <si>
    <t>Tax Revenues</t>
  </si>
  <si>
    <t>2004 Florida Municipal Ad Valorem Tax Profile</t>
  </si>
  <si>
    <t>Notes:</t>
  </si>
  <si>
    <t>Population Estimates: Bureau of Economic and Business Research, University of Florida; "Florida Estimates of Population 2004".</t>
  </si>
  <si>
    <t>Miami Gardens</t>
  </si>
  <si>
    <t>Doral</t>
  </si>
  <si>
    <t>@ 10 Mills</t>
  </si>
  <si>
    <t>Estimates of Unrealized Tax Revenues</t>
  </si>
  <si>
    <t>PLEASE REFER TO THE 2004 FLORIDA COUNTY AD VALOREM TAX PROFILE</t>
  </si>
  <si>
    <t xml:space="preserve">      Second, the Unrealized Tax Revenue was calculated by subtracting the municipality's Total Taxes Levied figure from the Total Taxes Levied @ 10 Mills figure.</t>
  </si>
  <si>
    <t>2005 Florida Municipal Ad Valorem Tax Profile</t>
  </si>
  <si>
    <t>West Park</t>
  </si>
  <si>
    <t>Jacob City</t>
  </si>
  <si>
    <t>Population Estimates: Bureau of Economic and Business Research, University of Florida; "Florida Estimates of Population 2005".</t>
  </si>
  <si>
    <t>Ad Valorem Data: Florida Department of Revenue, "Florida Property Valuations &amp; Tax Data 2004".  The 2003 values represent those reported in the 2004 edition.</t>
  </si>
  <si>
    <t>PLEASE REFER TO THE 2003 FLORIDA COUNTY AD VALOREM TAX PROFILE</t>
  </si>
  <si>
    <t>PLEASE REFER TO THE 2005 FLORIDA COUNTY AD VALOREM TAX PROFILE</t>
  </si>
  <si>
    <t>PLEASE REFER TO THE 2002 FLORIDA COUNTY AD VALOREM TAX PROFILE</t>
  </si>
  <si>
    <t>Ad Valorem Data: Florida Department of Revenue, "Florida Property Valuations &amp; Tax Data 2005".  The 2004 values represent those reported in the 2005 edition.</t>
  </si>
  <si>
    <t>PLEASE REFER TO THE 2001 FLORIDA COUNTY AD VALOREM TAX PROFILE</t>
  </si>
  <si>
    <t>PLEASE REFER TO THE 2000 FLORIDA COUNTY AD VALOREM TAX PROFILE</t>
  </si>
  <si>
    <t>PLEASE REFER TO THE 1999 FLORIDA COUNTY AD VALOREM TAX PROFILE</t>
  </si>
  <si>
    <t>PLEASE REFER TO THE 1998 FLORIDA COUNTY AD VALOREM TAX PROFILE</t>
  </si>
  <si>
    <t>PLEASE REFER TO THE 1997 FLORIDA COUNTY AD VALOREM TAX PROFILE</t>
  </si>
  <si>
    <t>PLEASE REFER TO THE 1996 FLORIDA COUNTY AD VALOREM TAX PROFILE</t>
  </si>
  <si>
    <t>PLEASE REFER TO THE 1995 FLORIDA COUNTY AD VALOREM TAX PROFILE</t>
  </si>
  <si>
    <t>Ad Valorem Data: Florida Department of Revenue, "2006 Florida Property Valuations &amp; Tax Data" (June 2007).  The 2005 values represent those reported in the 2006 edition.</t>
  </si>
  <si>
    <t>2006 Florida Municipal Ad Valorem Tax Profile</t>
  </si>
  <si>
    <t>Cutler Bay</t>
  </si>
  <si>
    <t>PLEASE REFER TO THE 2006 FLORIDA COUNTY AD VALOREM TAX PROFILE</t>
  </si>
  <si>
    <t>Population Estimates: Bureau of Economic and Business Research, University of Florida; "Florida Estimates of Population 2006".</t>
  </si>
  <si>
    <t>NO ASSESSED OR TAXABLE VALUES REPORTED</t>
  </si>
  <si>
    <t>NO OPERATING MILLAGE REPORTED</t>
  </si>
  <si>
    <t>Population Estimates: "Florida Estimates of Population 2007" Bureau of Economic and Business Research, University of Florida (2008).</t>
  </si>
  <si>
    <t>Grant-Valkaria</t>
  </si>
  <si>
    <t>Loxahatchee Groves</t>
  </si>
  <si>
    <t>PLEASE REFER TO THE 2007 FLORIDA COUNTY AD VALOREM TAX PROFILE</t>
  </si>
  <si>
    <t>2007 Florida Municipal Ad Valorem Tax Profile</t>
  </si>
  <si>
    <t>Ad Valorem Data: Florida Department of Revenue, "2007 Florida Property Valuations &amp; Tax Data" (June 2008).  The 2006 values represent those reported in the 2007 edition.</t>
  </si>
  <si>
    <t>Population Estimates: "Florida Estimates of Population 2008" Bureau of Economic and Business Research, University of Florida (2009).</t>
  </si>
  <si>
    <t>PLEASE REFER TO THE 2008 FLORIDA COUNTY AD VALOREM TAX PROFILE</t>
  </si>
  <si>
    <t>2008 Florida Municipal Ad Valorem Tax Profile</t>
  </si>
  <si>
    <t>2009 Florida Municipal Ad Valorem Tax Profile</t>
  </si>
  <si>
    <t>PLEASE REFER TO THE 2009 FLORIDA COUNTY AD VALOREM TAX PROFILE</t>
  </si>
  <si>
    <t>Population Estimates: "Florida Estimates of Population 2009" Bureau of Economic and Business Research, University of Florida (2010).</t>
  </si>
  <si>
    <t>Ad Valorem Data: Florida Department of Revenue, "2009 Florida Property Valuations &amp; Tax Data" (April 2010).  The 2008 values represent those reported in the 2009 edition.</t>
  </si>
  <si>
    <t>Ad Valorem Data: Florida Department of Revenue, "2008 Florida Property Valuations &amp; Tax Data" (April 2009).  The 2007 values represent those reported in the 2008 edition.</t>
  </si>
  <si>
    <t>2010 Florida Municipal Ad Valorem Tax Profile</t>
  </si>
  <si>
    <t>Glen St. Mary</t>
  </si>
  <si>
    <t>Port St. Joe</t>
  </si>
  <si>
    <t>St. Cloud</t>
  </si>
  <si>
    <t>St. Leo</t>
  </si>
  <si>
    <t>St. Petersburg</t>
  </si>
  <si>
    <t>St. Augustine</t>
  </si>
  <si>
    <t>St. Augustine Beach</t>
  </si>
  <si>
    <t>St. Johns</t>
  </si>
  <si>
    <t>St. Lucie</t>
  </si>
  <si>
    <t>Port St. Lucie</t>
  </si>
  <si>
    <t>St. Lucie Village</t>
  </si>
  <si>
    <t>St. Marks</t>
  </si>
  <si>
    <t>PLEASE REFER TO THE 2010 FLORIDA COUNTY AD VALOREM TAX PROFILE</t>
  </si>
  <si>
    <t>Flagler/St. Johns</t>
  </si>
  <si>
    <t>LaBelle</t>
  </si>
  <si>
    <t>La Crosse</t>
  </si>
  <si>
    <t>Lauderdale-By-The-Sea</t>
  </si>
  <si>
    <t>St. Pete Beach</t>
  </si>
  <si>
    <t>Municipal Just and Taxable Values</t>
  </si>
  <si>
    <t>Just</t>
  </si>
  <si>
    <t>NO JUST OR TAXABLE VALUES REPORTED</t>
  </si>
  <si>
    <t>1)  This table does not include data for the consolidated City of Jacksonville/Duval County government. Refer to the separate county ad valorem tax profile.</t>
  </si>
  <si>
    <t>1)  This table does not include data for the consolidated City of Jacksonville/Duval County government.  Refer to the separate county ad valorem tax profile.</t>
  </si>
  <si>
    <t xml:space="preserve">      jurisdiction minus the amount of any applicable exemptions provided under s. 3 or s. 6, Art. VII of the State Constitution and Chapter 196, F.S.</t>
  </si>
  <si>
    <t>2)  The term, Just Value, means the market value of real, personal, and railroad properties within the municipal jurisdiction. The term, Taxable Value, means the assessed value of real, personal, and railroad property within the municipal</t>
  </si>
  <si>
    <t>3)  Each municipality's Estimate of Unrealized Tax Revenues was calculated using the following methodology. First, the total possible ad valorem tax revenue was calculated by multiplying each municipality's Taxable Value by 10 mills.</t>
  </si>
  <si>
    <t>2)  The term, Assessed Value, refers to the determined fair market or classified use value of real, personal, and railroad property within the municipal jurisdiction. The term, Taxable Value, refers to the total assessed value of real, personal,</t>
  </si>
  <si>
    <t xml:space="preserve">      and railroad property within the municipal jurisdiction less the value of all applicable ad valorem tax exemptions.</t>
  </si>
  <si>
    <t xml:space="preserve">3)  Each municipality's Estimate of Unrealized Tax Revenues was calculated using the following methodology.  First, the total possible ad valorem tax revenue was calculated by multiplying each municipality's Taxable Value by 10 mills.  </t>
  </si>
  <si>
    <t>2011 Florida Municipal Ad Valorem Tax Profile</t>
  </si>
  <si>
    <t>Census</t>
  </si>
  <si>
    <t>DeSoto</t>
  </si>
  <si>
    <t>PLEASE REFER TO THE 2011 FLORIDA COUNTY AD VALOREM TAX PROFILE</t>
  </si>
  <si>
    <t>2)  The term, Just Value, means the market value of real, personal, and railroad properties within the municipal jurisdiction. The term, Taxable Value, means the assessed value of real, personal, and railroad property within the municipal jurisdiction minus the amount of any applicable exemptions provided under s. 3 or s. 6, Art. VII of the State Constitution and Chapter 196, F.S.</t>
  </si>
  <si>
    <t>3)  Each municipality's Estimate of Unrealized Tax Revenues was calculated using the following methodology. First, the total possible ad valorem tax revenue was calculated by multiplying each municipality's Taxable Value by 10 mills. Second, the Unrealized Tax Revenue was calculated by subtracting the municipality's Total Taxes Levied figure from the Total Taxes Levied @ 10 Mills figure.</t>
  </si>
  <si>
    <t>Data Sources:</t>
  </si>
  <si>
    <t>2012 Florida Municipal Ad Valorem Tax Profile</t>
  </si>
  <si>
    <t>PLEASE REFER TO THE 2012 FLORIDA COUNTY AD VALOREM TAX PROFILE</t>
  </si>
  <si>
    <t>Ocean Breeze</t>
  </si>
  <si>
    <t>Statewide Municipal Population</t>
  </si>
  <si>
    <t>Population Estimates: "Florida Estimates of Population 2012" Bureau of Economic and Business Research, University of Florida (2012), which includes all revisions resulting from the U.S. Census Bureau's 2010 Census Count Question Resolution Program received as of January 22, 2013.</t>
  </si>
  <si>
    <t>2013 Florida Municipal Ad Valorem Tax Profile</t>
  </si>
  <si>
    <t>PLEASE REFER TO THE 2013 FLORIDA COUNTY AD VALOREM TAX PROFILE</t>
  </si>
  <si>
    <t>Rate</t>
  </si>
  <si>
    <t>NO MILLAGE RATE REPORTED</t>
  </si>
  <si>
    <t>Population Estimates: "Florida Estimates of Population 2012" Bureau of Economic and Business Research, University of Florida (2012), which includes all official revisions as of early January 2014.</t>
  </si>
  <si>
    <t>Population Estimates: "Florida Estimates of Population 2013" Bureau of Economic and Business Research, University of Florida (2013), which includes all official revisions as of early January 2014.</t>
  </si>
  <si>
    <t>Subtotals - Math Check</t>
  </si>
  <si>
    <t>2014 Florida Municipal Ad Valorem Tax Profile</t>
  </si>
  <si>
    <t>Population Estimates: "Florida Estimates of Population 2014" Bureau of Economic and Business Research, University of Florida (2014).</t>
  </si>
  <si>
    <t>PLEASE REFER TO THE 2014 FLORIDA COUNTY AD VALOREM TAX PROFILE</t>
  </si>
  <si>
    <t>2015 Florida Municipal Ad Valorem Tax Profile</t>
  </si>
  <si>
    <t>Population Estimates: "Florida Estimates of Population 2015" Bureau of Economic and Business Research, University of Florida (2015).</t>
  </si>
  <si>
    <t>PLEASE REFER TO THE 2015 FLORIDA COUNTY AD VALOREM TAX PROFILE</t>
  </si>
  <si>
    <t>Estero</t>
  </si>
  <si>
    <t>North Bay Village</t>
  </si>
  <si>
    <t>Ad Valorem Data: Florida Department of Revenue, Florida Property Tax Data Portal, 2015 Florida Ad Valorem Valuation and Tax Data, http://floridarevenue.com/dor/property/resources/data.html.</t>
  </si>
  <si>
    <t>Ad Valorem Data: Florida Department of Revenue, Florida Property Tax Data Portal, 2014 Florida Ad Valorem Valuation and Tax Data, http://floridarevenue.com/dor/property/resources/data.html.</t>
  </si>
  <si>
    <t>Ad Valorem Data: Florida Department of Revenue, Florida Property Tax Data Portal, 2013 Florida Ad Valorem Valuation and Tax Data, http://floridarevenue.com/dor/property/resources/data.html.</t>
  </si>
  <si>
    <t>Ad Valorem Data: Florida Department of Revenue, Florida Property Tax Data Portal, 2012 Florida Ad Valorem Valuation and Tax Data, http://floridarevenue.com/dor/property/resources/data.html.</t>
  </si>
  <si>
    <t>Ad Valorem Data: Florida Department of Revenue, Florida Property Tax Data Portal, 2011 Florida Ad Valorem Valuation and Tax Data, http://floridarevenue.com/dor/property/resources/data.html.</t>
  </si>
  <si>
    <t>Ad Valorem Data: Florida Department of Revenue, Florida Property Tax Data Portal, 2010 Florida Ad Valorem Valuation and Tax Data, http://floridarevenue.com/dor/property/resources/data.html.</t>
  </si>
  <si>
    <t>2016 Florida Municipal Ad Valorem Tax Profile</t>
  </si>
  <si>
    <t>Ad Valorem Data: Florida Department of Revenue, Florida Property Tax Data Portal, 2016 Florida Ad Valorem Valuation and Tax Data, http://floridarevenue.com/dor/property/resources/data.html.</t>
  </si>
  <si>
    <t>Population Estimates: "Florida Estimates of Population 2016" Bureau of Economic and Business Research, University of Florida (2016).</t>
  </si>
  <si>
    <t>PLEASE REFER TO THE 2016 FLORIDA COUNTY AD VALOREM TAX PROFILE</t>
  </si>
  <si>
    <t>2017 Florida Municipal Ad Valorem Tax Profile</t>
  </si>
  <si>
    <t>Ad Valorem Data: Florida Department of Revenue, Florida Property Tax Data Portal, 2017 Florida Ad Valorem Valuation and Tax Data, http://floridarevenue.com/dor/property/resources/data.html.</t>
  </si>
  <si>
    <t>Population Estimates: "Florida Estimates of Population 2017" Bureau of Economic and Business Research, University of Florida (2017).</t>
  </si>
  <si>
    <t>PLEASE REFER TO THE 2017 FLORIDA COUNTY AD VALOREM TAX PROFILE</t>
  </si>
  <si>
    <t>Westlake</t>
  </si>
  <si>
    <t>2018 Florida Municipal Ad Valorem Tax Profile</t>
  </si>
  <si>
    <t>Indiantown</t>
  </si>
  <si>
    <t>Population Estimates: "Florida Estimates of Population 2018" Bureau of Economic and Business Research, University of Florida (2018).</t>
  </si>
  <si>
    <t>PLEASE REFER TO THE 2018 FLORIDA COUNTY AD VALOREM TAX PROFILE</t>
  </si>
  <si>
    <t>Ad Valorem Data: Florida Department of Revenue, Florida Property Tax Data Portal, 2018 Florida Ad Valorem Valuation and Tax Data, http://floridarevenue.com/property/Pages/DataPortal_DataBook.aspx.</t>
  </si>
  <si>
    <t>2019 Florida Municipal Ad Valorem Tax Profile</t>
  </si>
  <si>
    <t>Ad Valorem Data: Florida Department of Revenue, Florida Property Tax Data Portal, 2019 Florida Ad Valorem Valuation and Tax Data, http://floridarevenue.com/property/Pages/DataPortal_DataBook.aspx.</t>
  </si>
  <si>
    <t>Population Estimates: "Florida Estimates of Population 2019" Bureau of Economic and Business Research, University of Florida (2019).</t>
  </si>
  <si>
    <t>PLEASE REFER TO THE 2019 FLORIDA COUNTY AD VALOREM TAX PROFILE</t>
  </si>
  <si>
    <t>2020 Florida Municipal Ad Valorem Tax Profile</t>
  </si>
  <si>
    <t>Ad Valorem Data: Florida Department of Revenue, Florida Property Tax Data Portal, 2020 Florida Ad Valorem Valuation and Tax Data, http://floridarevenue.com/property/Pages/DataPortal_DataBook.aspx.</t>
  </si>
  <si>
    <t>PLEASE REFER TO THE 2020 FLORIDA COUNTY AD VALOREM TAX PROFILE</t>
  </si>
  <si>
    <t>2021 Florida Municipal Ad Valorem Tax Profile</t>
  </si>
  <si>
    <t>Lake Worth Beach</t>
  </si>
  <si>
    <t>PLEASE REFER TO THE 2021 FLORIDA COUNTY AD VALOREM TAX PROFILE</t>
  </si>
  <si>
    <t>Ad Valorem Data: Florida Department of Revenue, Florida Property Tax Data Portal, 2021 Florida Ad Valorem Valuation and Tax Data, http://floridarevenue.com/property/Pages/DataPortal_DataBook.aspx.</t>
  </si>
  <si>
    <t>Population Estimates: "Florida Estimates of Population 2021" Bureau of Economic and Business Research, University of Florida (2021).</t>
  </si>
  <si>
    <t>2022 Florida Municipal Ad Valorem Tax Profile</t>
  </si>
  <si>
    <t>Population Estimates: "Florida Estimates of Population 2022" Bureau of Economic and Business Research, University of Florida (2022).</t>
  </si>
  <si>
    <t>PLEASE REFER TO THE 2022 FLORIDA COUNTY AD VALOREM TAX PROFILE</t>
  </si>
  <si>
    <t>Population Estimates: "Florida Estimates of Population 2022" Bureau of Economic and Business Research, University of Florida (2022), which includes the U.S. Census Bureau's 2020 population census counts.</t>
  </si>
  <si>
    <t>4)  This table does not include data for the City of Weeki Wachee, which was disincorporated on June 9, 2020.</t>
  </si>
  <si>
    <t>Ad Valorem Data: Florida Department of Revenue, Florida Property Tax Data Portal, Florida Ad Valorem Valuation and Tax Data: reported 2021 data as of January 19, 2023, downloaded from https://floridarevenue.com/property/Pages/DataPortal_DataBook.aspx</t>
  </si>
  <si>
    <t>2023 Florida Municipal Ad Valorem Tax Profile</t>
  </si>
  <si>
    <t>Population Estimates: "Florida Estimates of Population 2023" Bureau of Economic and Business Research, University of Florida (2023).</t>
  </si>
  <si>
    <t>Ad Valorem Data: Florida Department of Revenue, Florida Property Tax Data Portal, Florida Ad Valorem Valuation and Tax Data: reported 2022 data as of January 11, 2024, downloaded from https://floridarevenue.com/property/Pages/DataPortal_DataBook.aspx</t>
  </si>
  <si>
    <t>PLEASE REFER TO THE 2023 FLORIDA COUNTY AD VALOREM TAX PROFILE</t>
  </si>
  <si>
    <t>2)  The term, Just Value, refers to the value of the property without regard to a possible agricultural classification or Save Our Homes (SOH) deferred amount. Just Value is the reflection of the value of land if it were not classified as agricultural and had no SOH deferred amount.</t>
  </si>
  <si>
    <t>3)  The term, Taxable Value, refers to the value of the property that is subject to taxes. Taxable Value is the assessed value minus all exemption amounts.</t>
  </si>
  <si>
    <t>4)  Each municipality's Estimate of Unrealized Tax Revenues was calculated using the following methodology. First, the total possible ad valorem tax revenue was calculated by multiplying each municipality's Taxable Value by 10 mills. Second, the Unrealized Tax Revenue was calculated by subtracting the municipality's Total Taxes Levied figure from the Total Taxes Levied @ 10 Mills figure.</t>
  </si>
  <si>
    <t>2024 Florida Municipal Ad Valorem Tax Profile</t>
  </si>
  <si>
    <t>Ad Valorem Data: Florida Department of Revenue, Florida Property Tax Data Portal, Florida Ad Valorem Valuation and Tax Data: reported 2024 data as of December 11, 2024, downloaded from https://floridarevenue.com/property/Pages/DataPortal_DataBook.aspx</t>
  </si>
  <si>
    <t>Population Estimates: "Florida Estimates of Population 2024" Bureau of Economic and Business Research, University of Florida (2024).</t>
  </si>
  <si>
    <t>PLEASE REFER TO THE 2024 FLORIDA COUNTY AD VALOREM TAX PROFILE</t>
  </si>
  <si>
    <t>Ad Valorem Data: Florida Department of Revenue, Florida Property Tax Data Portal, Florida Ad Valorem Valuation and Tax Data: reported 2023 data as of December 11, 2024, downloaded from https://floridarevenue.com/property/Pages/DataPortal_DataBook.aspx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</si>
</sst>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0.00000"/>
    <numFmt numFmtId="167" formatCode="0.0000_)"/>
    <numFmt numFmtId="168" formatCode="0_)"/>
  </numFmts>
  <fonts count="14">
    <font>
      <sz val="10"/>
      <name val="Arial"/>
    </font>
    <font>
      <b/>
      <sz val="10"/>
      <name val="Arial"/>
      <family val="2"/>
    </font>
    <font>
      <sz val="10"/>
      <name val="Arial"/>
      <family val="2"/>
    </font>
    <font>
      <b/>
      <sz val="12"/>
      <name val="Arial MT"/>
    </font>
    <font>
      <b/>
      <sz val="14"/>
      <name val="Arial MT"/>
    </font>
    <font>
      <b/>
      <sz val="10"/>
      <name val="Arial"/>
      <family val="2"/>
    </font>
    <font>
      <sz val="10"/>
      <name val="Arial"/>
      <family val="2"/>
    </font>
    <font>
      <b/>
      <sz val="20"/>
      <name val="Arial MT"/>
    </font>
    <font>
      <sz val="8"/>
      <name val="Arial"/>
      <family val="2"/>
    </font>
    <font>
      <b/>
      <sz val="12"/>
      <name val="Arial"/>
      <family val="2"/>
    </font>
    <font>
      <sz val="11"/>
      <color indexed="8"/>
      <name val="Calibri"/>
      <family val="2"/>
    </font>
    <font>
      <sz val="10"/>
      <name val="Calibri"/>
      <family val="2"/>
    </font>
    <font>
      <u/>
      <sz val="11"/>
      <color indexed="12"/>
      <name val="Calibri"/>
      <family val="2"/>
    </font>
    <font>
      <sz val="11"/>
      <color theme="1"/>
      <name val="Calibri"/>
      <family val="2"/>
      <scheme val="minor"/>
    </font>
  </fonts>
  <fills count="5">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rgb="FFFFFF00"/>
        <bgColor indexed="64"/>
      </patternFill>
    </fill>
  </fills>
  <borders count="32">
    <border>
      <left/>
      <right/>
      <top/>
      <bottom/>
      <diagonal/>
    </border>
    <border>
      <left/>
      <right/>
      <top style="thin">
        <color indexed="64"/>
      </top>
      <bottom style="thin">
        <color indexed="64"/>
      </bottom>
      <diagonal/>
    </border>
    <border>
      <left/>
      <right/>
      <top/>
      <bottom style="thin">
        <color indexed="8"/>
      </bottom>
      <diagonal/>
    </border>
    <border>
      <left/>
      <right/>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bottom style="thin">
        <color indexed="8"/>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medium">
        <color indexed="64"/>
      </right>
      <top/>
      <bottom/>
      <diagonal/>
    </border>
    <border>
      <left style="thin">
        <color indexed="8"/>
      </left>
      <right style="thin">
        <color indexed="8"/>
      </right>
      <top style="thin">
        <color indexed="64"/>
      </top>
      <bottom style="thin">
        <color indexed="8"/>
      </bottom>
      <diagonal/>
    </border>
    <border>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bottom style="thin">
        <color indexed="8"/>
      </bottom>
      <diagonal/>
    </border>
    <border>
      <left/>
      <right style="thin">
        <color indexed="64"/>
      </right>
      <top/>
      <bottom style="thin">
        <color indexed="8"/>
      </bottom>
      <diagonal/>
    </border>
    <border>
      <left/>
      <right style="medium">
        <color indexed="64"/>
      </right>
      <top/>
      <bottom style="thin">
        <color indexed="8"/>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s>
  <cellStyleXfs count="11">
    <xf numFmtId="0" fontId="0" fillId="0" borderId="0"/>
    <xf numFmtId="43" fontId="2" fillId="0" borderId="0" applyFont="0" applyFill="0" applyBorder="0" applyAlignment="0" applyProtection="0"/>
    <xf numFmtId="0" fontId="2" fillId="0" borderId="0" applyNumberForma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alignment vertical="top"/>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13" fillId="0" borderId="0"/>
    <xf numFmtId="9" fontId="10" fillId="0" borderId="0" applyFont="0" applyFill="0" applyBorder="0" applyAlignment="0" applyProtection="0"/>
    <xf numFmtId="0" fontId="11" fillId="0" borderId="0">
      <alignment horizontal="left" indent="1"/>
    </xf>
  </cellStyleXfs>
  <cellXfs count="205">
    <xf numFmtId="0" fontId="0" fillId="0" borderId="0" xfId="0"/>
    <xf numFmtId="0" fontId="5" fillId="0" borderId="0" xfId="0" applyFont="1"/>
    <xf numFmtId="0" fontId="6" fillId="0" borderId="0" xfId="0" applyFont="1"/>
    <xf numFmtId="167" fontId="5" fillId="0" borderId="0" xfId="0" applyNumberFormat="1" applyFont="1" applyProtection="1"/>
    <xf numFmtId="0" fontId="5" fillId="0" borderId="0" xfId="0" applyFont="1" applyAlignment="1">
      <alignment horizontal="left"/>
    </xf>
    <xf numFmtId="0" fontId="6" fillId="0" borderId="1" xfId="0" applyFont="1" applyBorder="1"/>
    <xf numFmtId="41" fontId="6" fillId="0" borderId="1" xfId="0" applyNumberFormat="1" applyFont="1" applyBorder="1"/>
    <xf numFmtId="164" fontId="6" fillId="0" borderId="1" xfId="1" applyNumberFormat="1" applyFont="1" applyBorder="1"/>
    <xf numFmtId="164" fontId="6" fillId="0" borderId="1" xfId="1" applyNumberFormat="1" applyFont="1" applyBorder="1" applyAlignment="1"/>
    <xf numFmtId="164" fontId="6" fillId="0" borderId="1" xfId="1" applyNumberFormat="1" applyFont="1" applyBorder="1" applyAlignment="1">
      <alignment horizontal="left"/>
    </xf>
    <xf numFmtId="167" fontId="6" fillId="0" borderId="1" xfId="0" applyNumberFormat="1" applyFont="1" applyBorder="1" applyProtection="1"/>
    <xf numFmtId="167" fontId="6" fillId="0" borderId="1" xfId="0" applyNumberFormat="1" applyFont="1" applyBorder="1" applyAlignment="1" applyProtection="1">
      <alignment horizontal="right"/>
    </xf>
    <xf numFmtId="167" fontId="6" fillId="0" borderId="1" xfId="0" applyNumberFormat="1" applyFont="1" applyBorder="1" applyAlignment="1" applyProtection="1"/>
    <xf numFmtId="0" fontId="6" fillId="0" borderId="2" xfId="0" applyFont="1" applyBorder="1"/>
    <xf numFmtId="168" fontId="6" fillId="0" borderId="0" xfId="0" applyNumberFormat="1" applyFont="1" applyBorder="1" applyProtection="1"/>
    <xf numFmtId="164" fontId="6" fillId="0" borderId="0" xfId="1" applyNumberFormat="1" applyFont="1" applyBorder="1"/>
    <xf numFmtId="0" fontId="6" fillId="0" borderId="0" xfId="0" applyFont="1" applyBorder="1"/>
    <xf numFmtId="167" fontId="6" fillId="0" borderId="0" xfId="0" applyNumberFormat="1" applyFont="1" applyBorder="1" applyProtection="1"/>
    <xf numFmtId="42" fontId="6" fillId="0" borderId="0" xfId="0" applyNumberFormat="1" applyFont="1" applyBorder="1"/>
    <xf numFmtId="0" fontId="0" fillId="0" borderId="3" xfId="0" applyBorder="1"/>
    <xf numFmtId="0" fontId="6" fillId="0" borderId="3" xfId="0" applyFont="1" applyBorder="1"/>
    <xf numFmtId="164" fontId="6" fillId="0" borderId="3" xfId="1" applyNumberFormat="1" applyFont="1" applyBorder="1"/>
    <xf numFmtId="0" fontId="6" fillId="0" borderId="4" xfId="0" applyFont="1" applyBorder="1"/>
    <xf numFmtId="0" fontId="6" fillId="0" borderId="5" xfId="0" applyFont="1" applyBorder="1"/>
    <xf numFmtId="0" fontId="2" fillId="0" borderId="5" xfId="0" applyFont="1" applyBorder="1"/>
    <xf numFmtId="0" fontId="5" fillId="0" borderId="0" xfId="0" applyFont="1" applyBorder="1"/>
    <xf numFmtId="167" fontId="5" fillId="0" borderId="0" xfId="0" applyNumberFormat="1" applyFont="1" applyBorder="1" applyProtection="1"/>
    <xf numFmtId="0" fontId="6" fillId="0" borderId="6" xfId="0" applyFont="1" applyBorder="1" applyAlignment="1">
      <alignment horizontal="left"/>
    </xf>
    <xf numFmtId="0" fontId="6" fillId="0" borderId="4" xfId="0" applyFont="1" applyBorder="1" applyAlignment="1">
      <alignment horizontal="left"/>
    </xf>
    <xf numFmtId="0" fontId="0" fillId="0" borderId="4" xfId="0" applyBorder="1"/>
    <xf numFmtId="0" fontId="6" fillId="0" borderId="7" xfId="0" applyFont="1" applyBorder="1" applyAlignment="1">
      <alignment horizontal="left"/>
    </xf>
    <xf numFmtId="0" fontId="5" fillId="0" borderId="8" xfId="0" applyFont="1" applyBorder="1"/>
    <xf numFmtId="167" fontId="5" fillId="0" borderId="8" xfId="0" applyNumberFormat="1" applyFont="1" applyBorder="1" applyProtection="1"/>
    <xf numFmtId="0" fontId="6" fillId="0" borderId="9" xfId="0" applyFont="1" applyBorder="1" applyAlignment="1">
      <alignment horizontal="left"/>
    </xf>
    <xf numFmtId="41" fontId="6" fillId="0" borderId="9" xfId="0" applyNumberFormat="1" applyFont="1" applyBorder="1"/>
    <xf numFmtId="0" fontId="6" fillId="0" borderId="10" xfId="0" applyFont="1" applyBorder="1" applyAlignment="1">
      <alignment horizontal="left"/>
    </xf>
    <xf numFmtId="41" fontId="6" fillId="0" borderId="10" xfId="0" applyNumberFormat="1" applyFont="1" applyBorder="1"/>
    <xf numFmtId="0" fontId="2" fillId="0" borderId="10" xfId="0" applyFont="1" applyBorder="1" applyAlignment="1">
      <alignment horizontal="left"/>
    </xf>
    <xf numFmtId="42" fontId="6" fillId="0" borderId="9" xfId="0" applyNumberFormat="1" applyFont="1" applyBorder="1"/>
    <xf numFmtId="42" fontId="6" fillId="0" borderId="9" xfId="0" applyNumberFormat="1" applyFont="1" applyBorder="1" applyProtection="1"/>
    <xf numFmtId="42" fontId="6" fillId="0" borderId="9" xfId="3" applyNumberFormat="1" applyFont="1" applyBorder="1" applyProtection="1"/>
    <xf numFmtId="0" fontId="3" fillId="2" borderId="11" xfId="0" applyFont="1" applyFill="1" applyBorder="1" applyAlignment="1">
      <alignment horizontal="centerContinuous"/>
    </xf>
    <xf numFmtId="0" fontId="0" fillId="2" borderId="12" xfId="0" applyFill="1" applyBorder="1" applyAlignment="1">
      <alignment horizontal="centerContinuous"/>
    </xf>
    <xf numFmtId="0" fontId="4" fillId="2" borderId="12" xfId="0" applyFont="1" applyFill="1" applyBorder="1" applyAlignment="1">
      <alignment horizontal="centerContinuous"/>
    </xf>
    <xf numFmtId="0" fontId="4" fillId="2" borderId="1" xfId="0" applyFont="1" applyFill="1" applyBorder="1" applyAlignment="1">
      <alignment horizontal="centerContinuous"/>
    </xf>
    <xf numFmtId="167" fontId="5" fillId="2" borderId="1" xfId="0" applyNumberFormat="1" applyFont="1" applyFill="1" applyBorder="1" applyAlignment="1" applyProtection="1">
      <alignment horizontal="centerContinuous"/>
    </xf>
    <xf numFmtId="0" fontId="1" fillId="2" borderId="4" xfId="0" applyFont="1" applyFill="1" applyBorder="1"/>
    <xf numFmtId="0" fontId="1" fillId="2" borderId="9" xfId="0" applyFont="1" applyFill="1" applyBorder="1"/>
    <xf numFmtId="0" fontId="1" fillId="2" borderId="9" xfId="0" applyFont="1" applyFill="1" applyBorder="1" applyAlignment="1">
      <alignment horizontal="center"/>
    </xf>
    <xf numFmtId="0" fontId="1" fillId="2" borderId="0" xfId="0" applyFont="1" applyFill="1" applyBorder="1" applyAlignment="1">
      <alignment horizontal="center"/>
    </xf>
    <xf numFmtId="0" fontId="5" fillId="2" borderId="12" xfId="0" applyFont="1" applyFill="1" applyBorder="1" applyAlignment="1">
      <alignment horizontal="center"/>
    </xf>
    <xf numFmtId="0" fontId="1" fillId="2" borderId="12" xfId="0" applyFont="1" applyFill="1" applyBorder="1" applyAlignment="1">
      <alignment horizontal="center"/>
    </xf>
    <xf numFmtId="0" fontId="1" fillId="2" borderId="0" xfId="0" applyFont="1" applyFill="1" applyBorder="1" applyAlignment="1">
      <alignment horizontal="right"/>
    </xf>
    <xf numFmtId="167" fontId="1" fillId="2" borderId="0" xfId="0" applyNumberFormat="1" applyFont="1" applyFill="1" applyBorder="1" applyAlignment="1" applyProtection="1">
      <alignment horizontal="right"/>
    </xf>
    <xf numFmtId="167" fontId="1" fillId="2" borderId="12" xfId="0" applyNumberFormat="1" applyFont="1" applyFill="1" applyBorder="1" applyAlignment="1" applyProtection="1">
      <alignment horizontal="center"/>
    </xf>
    <xf numFmtId="167" fontId="1" fillId="2" borderId="13" xfId="0" applyNumberFormat="1" applyFont="1" applyFill="1" applyBorder="1" applyAlignment="1" applyProtection="1">
      <alignment horizontal="center"/>
    </xf>
    <xf numFmtId="5" fontId="1" fillId="2" borderId="9" xfId="0" applyNumberFormat="1" applyFont="1" applyFill="1" applyBorder="1" applyAlignment="1" applyProtection="1">
      <alignment horizontal="center"/>
    </xf>
    <xf numFmtId="167" fontId="1" fillId="2" borderId="0" xfId="0" applyNumberFormat="1" applyFont="1" applyFill="1" applyBorder="1" applyAlignment="1" applyProtection="1">
      <alignment horizontal="center"/>
    </xf>
    <xf numFmtId="0" fontId="5" fillId="2" borderId="9" xfId="0" applyFont="1" applyFill="1" applyBorder="1" applyAlignment="1">
      <alignment horizontal="center"/>
    </xf>
    <xf numFmtId="0" fontId="5" fillId="2" borderId="13" xfId="0" applyFont="1" applyFill="1" applyBorder="1" applyAlignment="1">
      <alignment horizontal="center"/>
    </xf>
    <xf numFmtId="168" fontId="6" fillId="0" borderId="14" xfId="0" applyNumberFormat="1" applyFont="1" applyBorder="1" applyProtection="1"/>
    <xf numFmtId="167" fontId="9" fillId="2" borderId="1" xfId="0" applyNumberFormat="1" applyFont="1" applyFill="1" applyBorder="1" applyAlignment="1" applyProtection="1">
      <alignment horizontal="centerContinuous"/>
    </xf>
    <xf numFmtId="42" fontId="6" fillId="0" borderId="15" xfId="0" applyNumberFormat="1" applyFont="1" applyBorder="1"/>
    <xf numFmtId="0" fontId="6" fillId="0" borderId="13" xfId="0" applyFont="1" applyBorder="1"/>
    <xf numFmtId="0" fontId="5" fillId="0" borderId="13" xfId="0" applyFont="1" applyBorder="1"/>
    <xf numFmtId="42" fontId="6" fillId="0" borderId="16" xfId="0" applyNumberFormat="1" applyFont="1" applyBorder="1"/>
    <xf numFmtId="0" fontId="5" fillId="2" borderId="17" xfId="0" applyFont="1" applyFill="1" applyBorder="1" applyAlignment="1">
      <alignment horizontal="center"/>
    </xf>
    <xf numFmtId="167" fontId="1" fillId="2" borderId="18" xfId="0" applyNumberFormat="1" applyFont="1" applyFill="1" applyBorder="1" applyAlignment="1" applyProtection="1">
      <alignment horizontal="center"/>
    </xf>
    <xf numFmtId="167" fontId="5" fillId="2" borderId="19" xfId="0" applyNumberFormat="1" applyFont="1" applyFill="1" applyBorder="1" applyAlignment="1" applyProtection="1">
      <alignment horizontal="centerContinuous"/>
    </xf>
    <xf numFmtId="0" fontId="5" fillId="2" borderId="18" xfId="0" applyFont="1" applyFill="1" applyBorder="1" applyAlignment="1">
      <alignment horizontal="center"/>
    </xf>
    <xf numFmtId="0" fontId="5" fillId="0" borderId="6" xfId="0" applyFont="1" applyBorder="1" applyAlignment="1">
      <alignment horizontal="left"/>
    </xf>
    <xf numFmtId="0" fontId="5" fillId="0" borderId="2" xfId="0" applyFont="1" applyBorder="1"/>
    <xf numFmtId="164" fontId="5" fillId="0" borderId="20" xfId="0" applyNumberFormat="1" applyFont="1" applyBorder="1"/>
    <xf numFmtId="42" fontId="5" fillId="0" borderId="2" xfId="3" applyNumberFormat="1" applyFont="1" applyBorder="1" applyProtection="1"/>
    <xf numFmtId="42" fontId="5" fillId="0" borderId="21" xfId="0" applyNumberFormat="1" applyFont="1" applyBorder="1"/>
    <xf numFmtId="42" fontId="5" fillId="0" borderId="21" xfId="3" applyNumberFormat="1" applyFont="1" applyBorder="1" applyProtection="1"/>
    <xf numFmtId="42" fontId="5" fillId="0" borderId="21" xfId="1" applyNumberFormat="1" applyFont="1" applyBorder="1" applyProtection="1"/>
    <xf numFmtId="167" fontId="5" fillId="0" borderId="2" xfId="0" applyNumberFormat="1" applyFont="1" applyBorder="1" applyProtection="1"/>
    <xf numFmtId="42" fontId="5" fillId="0" borderId="21" xfId="0" applyNumberFormat="1" applyFont="1" applyBorder="1" applyProtection="1"/>
    <xf numFmtId="42" fontId="5" fillId="0" borderId="22" xfId="0" applyNumberFormat="1" applyFont="1" applyBorder="1" applyProtection="1"/>
    <xf numFmtId="42" fontId="5" fillId="0" borderId="23" xfId="0" applyNumberFormat="1" applyFont="1" applyBorder="1" applyProtection="1"/>
    <xf numFmtId="0" fontId="5" fillId="0" borderId="24" xfId="0" applyFont="1" applyBorder="1"/>
    <xf numFmtId="167" fontId="1" fillId="2" borderId="9" xfId="0" applyNumberFormat="1" applyFont="1" applyFill="1" applyBorder="1" applyAlignment="1" applyProtection="1">
      <alignment horizontal="center"/>
    </xf>
    <xf numFmtId="42" fontId="6" fillId="0" borderId="25" xfId="0" applyNumberFormat="1" applyFont="1" applyBorder="1"/>
    <xf numFmtId="42" fontId="6" fillId="0" borderId="18" xfId="3" applyNumberFormat="1" applyFont="1" applyBorder="1" applyProtection="1"/>
    <xf numFmtId="0" fontId="1" fillId="2" borderId="26" xfId="0" applyFont="1" applyFill="1" applyBorder="1" applyAlignment="1">
      <alignment horizontal="left"/>
    </xf>
    <xf numFmtId="0" fontId="1" fillId="2" borderId="25" xfId="0" applyFont="1" applyFill="1" applyBorder="1" applyAlignment="1">
      <alignment horizontal="left"/>
    </xf>
    <xf numFmtId="0" fontId="1" fillId="2" borderId="25" xfId="0" applyFont="1" applyFill="1" applyBorder="1" applyAlignment="1">
      <alignment horizontal="center"/>
    </xf>
    <xf numFmtId="0" fontId="1" fillId="2" borderId="3" xfId="0" applyFont="1" applyFill="1" applyBorder="1" applyAlignment="1">
      <alignment horizontal="center"/>
    </xf>
    <xf numFmtId="5" fontId="1" fillId="2" borderId="25" xfId="0" applyNumberFormat="1" applyFont="1" applyFill="1" applyBorder="1" applyAlignment="1" applyProtection="1">
      <alignment horizontal="center"/>
    </xf>
    <xf numFmtId="167" fontId="1" fillId="2" borderId="25" xfId="0" applyNumberFormat="1" applyFont="1" applyFill="1" applyBorder="1" applyAlignment="1" applyProtection="1">
      <alignment horizontal="center"/>
    </xf>
    <xf numFmtId="0" fontId="1" fillId="2" borderId="3" xfId="0" applyFont="1" applyFill="1" applyBorder="1" applyAlignment="1">
      <alignment horizontal="right"/>
    </xf>
    <xf numFmtId="167" fontId="1" fillId="2" borderId="3" xfId="0" applyNumberFormat="1" applyFont="1" applyFill="1" applyBorder="1" applyAlignment="1" applyProtection="1">
      <alignment horizontal="center"/>
    </xf>
    <xf numFmtId="167" fontId="1" fillId="2" borderId="16" xfId="0" quotePrefix="1" applyNumberFormat="1" applyFont="1" applyFill="1" applyBorder="1" applyAlignment="1" applyProtection="1">
      <alignment horizontal="center"/>
    </xf>
    <xf numFmtId="0" fontId="5" fillId="2" borderId="25" xfId="0" applyFont="1" applyFill="1" applyBorder="1" applyAlignment="1">
      <alignment horizontal="center"/>
    </xf>
    <xf numFmtId="0" fontId="5" fillId="2" borderId="15" xfId="0" applyFont="1" applyFill="1" applyBorder="1" applyAlignment="1">
      <alignment horizontal="center"/>
    </xf>
    <xf numFmtId="0" fontId="2" fillId="0" borderId="4" xfId="0" applyFont="1" applyBorder="1" applyAlignment="1">
      <alignment horizontal="left"/>
    </xf>
    <xf numFmtId="41" fontId="2" fillId="0" borderId="10" xfId="0" applyNumberFormat="1" applyFont="1" applyBorder="1"/>
    <xf numFmtId="164" fontId="2" fillId="0" borderId="1" xfId="1" applyNumberFormat="1" applyFont="1" applyBorder="1" applyAlignment="1">
      <alignment horizontal="left"/>
    </xf>
    <xf numFmtId="0" fontId="2" fillId="0" borderId="7" xfId="0" applyFont="1" applyBorder="1" applyAlignment="1">
      <alignment horizontal="left"/>
    </xf>
    <xf numFmtId="166" fontId="6" fillId="0" borderId="0" xfId="0" applyNumberFormat="1" applyFont="1" applyBorder="1" applyProtection="1"/>
    <xf numFmtId="166" fontId="6" fillId="0" borderId="1" xfId="0" applyNumberFormat="1" applyFont="1" applyBorder="1" applyProtection="1"/>
    <xf numFmtId="166" fontId="6" fillId="0" borderId="1" xfId="0" applyNumberFormat="1" applyFont="1" applyBorder="1" applyAlignment="1" applyProtection="1">
      <alignment horizontal="right"/>
    </xf>
    <xf numFmtId="166" fontId="6" fillId="0" borderId="1" xfId="0" applyNumberFormat="1" applyFont="1" applyBorder="1" applyAlignment="1" applyProtection="1"/>
    <xf numFmtId="166" fontId="5" fillId="0" borderId="2" xfId="0" applyNumberFormat="1" applyFont="1" applyBorder="1" applyProtection="1"/>
    <xf numFmtId="0" fontId="2" fillId="0" borderId="4" xfId="0" applyFont="1" applyBorder="1"/>
    <xf numFmtId="41" fontId="2" fillId="0" borderId="0" xfId="0" applyNumberFormat="1" applyFont="1" applyBorder="1"/>
    <xf numFmtId="164" fontId="6" fillId="0" borderId="0" xfId="1" applyNumberFormat="1" applyFont="1" applyBorder="1" applyAlignment="1">
      <alignment horizontal="left"/>
    </xf>
    <xf numFmtId="165" fontId="6" fillId="0" borderId="0" xfId="0" applyNumberFormat="1" applyFont="1" applyBorder="1" applyProtection="1"/>
    <xf numFmtId="165" fontId="6" fillId="0" borderId="1" xfId="0" applyNumberFormat="1" applyFont="1" applyBorder="1" applyProtection="1"/>
    <xf numFmtId="165" fontId="6" fillId="0" borderId="1" xfId="0" applyNumberFormat="1" applyFont="1" applyBorder="1" applyAlignment="1" applyProtection="1">
      <alignment horizontal="right"/>
    </xf>
    <xf numFmtId="165" fontId="6" fillId="0" borderId="1" xfId="0" applyNumberFormat="1" applyFont="1" applyBorder="1" applyAlignment="1" applyProtection="1"/>
    <xf numFmtId="165" fontId="5" fillId="0" borderId="2" xfId="0" applyNumberFormat="1" applyFont="1" applyBorder="1" applyProtection="1"/>
    <xf numFmtId="42" fontId="6" fillId="0" borderId="1" xfId="0" applyNumberFormat="1" applyFont="1" applyBorder="1"/>
    <xf numFmtId="42" fontId="2" fillId="0" borderId="1" xfId="0" applyNumberFormat="1" applyFont="1" applyBorder="1"/>
    <xf numFmtId="42" fontId="2" fillId="0" borderId="10" xfId="0" applyNumberFormat="1" applyFont="1" applyBorder="1"/>
    <xf numFmtId="42" fontId="6" fillId="0" borderId="10" xfId="0" applyNumberFormat="1" applyFont="1" applyBorder="1"/>
    <xf numFmtId="42" fontId="6" fillId="0" borderId="10" xfId="1" applyNumberFormat="1" applyFont="1" applyBorder="1" applyProtection="1"/>
    <xf numFmtId="42" fontId="2" fillId="0" borderId="10" xfId="1" applyNumberFormat="1" applyFont="1" applyBorder="1" applyProtection="1"/>
    <xf numFmtId="42" fontId="0" fillId="0" borderId="0" xfId="0" applyNumberFormat="1" applyBorder="1"/>
    <xf numFmtId="42" fontId="6" fillId="0" borderId="19" xfId="3" applyNumberFormat="1" applyFont="1" applyBorder="1" applyProtection="1"/>
    <xf numFmtId="42" fontId="6" fillId="0" borderId="10" xfId="1" applyNumberFormat="1" applyFont="1" applyBorder="1"/>
    <xf numFmtId="42" fontId="6" fillId="0" borderId="19" xfId="0" applyNumberFormat="1" applyFont="1" applyBorder="1"/>
    <xf numFmtId="42" fontId="6" fillId="0" borderId="27" xfId="0" applyNumberFormat="1" applyFont="1" applyBorder="1"/>
    <xf numFmtId="42" fontId="0" fillId="0" borderId="0" xfId="0" applyNumberFormat="1"/>
    <xf numFmtId="41" fontId="2" fillId="0" borderId="10" xfId="5" applyNumberFormat="1" applyFont="1" applyBorder="1"/>
    <xf numFmtId="42" fontId="2" fillId="0" borderId="19" xfId="0" applyNumberFormat="1" applyFont="1" applyBorder="1"/>
    <xf numFmtId="165" fontId="2" fillId="0" borderId="1" xfId="0" applyNumberFormat="1" applyFont="1" applyBorder="1" applyProtection="1"/>
    <xf numFmtId="42" fontId="6" fillId="0" borderId="0" xfId="0" applyNumberFormat="1" applyFont="1" applyBorder="1" applyProtection="1"/>
    <xf numFmtId="0" fontId="6" fillId="0" borderId="5" xfId="0" applyFont="1" applyFill="1" applyBorder="1"/>
    <xf numFmtId="0" fontId="6" fillId="0" borderId="10" xfId="0" applyFont="1" applyFill="1" applyBorder="1" applyAlignment="1">
      <alignment horizontal="left"/>
    </xf>
    <xf numFmtId="41" fontId="2" fillId="0" borderId="10" xfId="5" applyNumberFormat="1" applyFont="1" applyFill="1" applyBorder="1"/>
    <xf numFmtId="42" fontId="6" fillId="0" borderId="1" xfId="0" applyNumberFormat="1" applyFont="1" applyFill="1" applyBorder="1"/>
    <xf numFmtId="42" fontId="6" fillId="0" borderId="10" xfId="0" applyNumberFormat="1" applyFont="1" applyFill="1" applyBorder="1"/>
    <xf numFmtId="42" fontId="6" fillId="0" borderId="10" xfId="1" applyNumberFormat="1" applyFont="1" applyFill="1" applyBorder="1" applyProtection="1"/>
    <xf numFmtId="164" fontId="6" fillId="0" borderId="1" xfId="1" applyNumberFormat="1" applyFont="1" applyFill="1" applyBorder="1"/>
    <xf numFmtId="165" fontId="6" fillId="0" borderId="1" xfId="0" applyNumberFormat="1" applyFont="1" applyFill="1" applyBorder="1" applyProtection="1"/>
    <xf numFmtId="42" fontId="6" fillId="0" borderId="19" xfId="3" applyNumberFormat="1" applyFont="1" applyFill="1" applyBorder="1" applyProtection="1"/>
    <xf numFmtId="42" fontId="6" fillId="0" borderId="19" xfId="0" applyNumberFormat="1" applyFont="1" applyFill="1" applyBorder="1"/>
    <xf numFmtId="42" fontId="6" fillId="0" borderId="27" xfId="0" applyNumberFormat="1" applyFont="1" applyFill="1" applyBorder="1"/>
    <xf numFmtId="0" fontId="2" fillId="0" borderId="5" xfId="0" applyFont="1" applyFill="1" applyBorder="1"/>
    <xf numFmtId="42" fontId="6" fillId="0" borderId="0" xfId="0" applyNumberFormat="1" applyFont="1" applyFill="1" applyBorder="1"/>
    <xf numFmtId="42" fontId="6" fillId="0" borderId="9" xfId="0" applyNumberFormat="1" applyFont="1" applyFill="1" applyBorder="1"/>
    <xf numFmtId="42" fontId="6" fillId="0" borderId="9" xfId="0" applyNumberFormat="1" applyFont="1" applyFill="1" applyBorder="1" applyProtection="1"/>
    <xf numFmtId="164" fontId="6" fillId="0" borderId="0" xfId="1" applyNumberFormat="1" applyFont="1" applyFill="1" applyBorder="1"/>
    <xf numFmtId="165" fontId="6" fillId="0" borderId="0" xfId="0" applyNumberFormat="1" applyFont="1" applyFill="1" applyBorder="1" applyProtection="1"/>
    <xf numFmtId="42" fontId="6" fillId="0" borderId="9" xfId="3" applyNumberFormat="1" applyFont="1" applyFill="1" applyBorder="1" applyProtection="1"/>
    <xf numFmtId="42" fontId="2" fillId="0" borderId="1" xfId="0" applyNumberFormat="1" applyFont="1" applyFill="1" applyBorder="1"/>
    <xf numFmtId="164" fontId="2" fillId="0" borderId="1" xfId="1" applyNumberFormat="1" applyFont="1" applyFill="1" applyBorder="1" applyAlignment="1">
      <alignment horizontal="left"/>
    </xf>
    <xf numFmtId="164" fontId="6" fillId="0" borderId="1" xfId="1" applyNumberFormat="1" applyFont="1" applyFill="1" applyBorder="1" applyAlignment="1"/>
    <xf numFmtId="165" fontId="6" fillId="0" borderId="1" xfId="0" applyNumberFormat="1" applyFont="1" applyFill="1" applyBorder="1" applyAlignment="1" applyProtection="1">
      <alignment horizontal="right"/>
    </xf>
    <xf numFmtId="165" fontId="6" fillId="0" borderId="1" xfId="0" applyNumberFormat="1" applyFont="1" applyFill="1" applyBorder="1" applyAlignment="1" applyProtection="1"/>
    <xf numFmtId="164" fontId="6" fillId="0" borderId="1" xfId="1" applyNumberFormat="1" applyFont="1" applyFill="1" applyBorder="1" applyAlignment="1">
      <alignment horizontal="left"/>
    </xf>
    <xf numFmtId="42" fontId="6" fillId="0" borderId="10" xfId="1" applyNumberFormat="1" applyFont="1" applyFill="1" applyBorder="1"/>
    <xf numFmtId="42" fontId="2" fillId="0" borderId="10" xfId="1" applyNumberFormat="1" applyFont="1" applyFill="1" applyBorder="1" applyProtection="1"/>
    <xf numFmtId="42" fontId="2" fillId="0" borderId="19" xfId="0" applyNumberFormat="1" applyFont="1" applyFill="1" applyBorder="1"/>
    <xf numFmtId="42" fontId="0" fillId="0" borderId="0" xfId="0" applyNumberFormat="1" applyFill="1" applyBorder="1"/>
    <xf numFmtId="165" fontId="2" fillId="0" borderId="1" xfId="0" applyNumberFormat="1" applyFont="1" applyFill="1" applyBorder="1" applyProtection="1"/>
    <xf numFmtId="42" fontId="5" fillId="0" borderId="2" xfId="3" applyNumberFormat="1" applyFont="1" applyFill="1" applyBorder="1" applyProtection="1"/>
    <xf numFmtId="42" fontId="6" fillId="0" borderId="0" xfId="0" applyNumberFormat="1" applyFont="1" applyFill="1" applyBorder="1" applyProtection="1"/>
    <xf numFmtId="41" fontId="2" fillId="0" borderId="0" xfId="0" applyNumberFormat="1" applyFont="1" applyFill="1" applyBorder="1"/>
    <xf numFmtId="0" fontId="5" fillId="0" borderId="0" xfId="0" applyFont="1" applyFill="1"/>
    <xf numFmtId="0" fontId="6" fillId="0" borderId="0" xfId="0" applyFont="1" applyFill="1"/>
    <xf numFmtId="0" fontId="0" fillId="0" borderId="0" xfId="0" applyFill="1"/>
    <xf numFmtId="0" fontId="4" fillId="3" borderId="12" xfId="0" applyFont="1" applyFill="1" applyBorder="1" applyAlignment="1">
      <alignment horizontal="centerContinuous"/>
    </xf>
    <xf numFmtId="0" fontId="1" fillId="3" borderId="0" xfId="0" applyFont="1" applyFill="1" applyBorder="1" applyAlignment="1">
      <alignment horizontal="center"/>
    </xf>
    <xf numFmtId="0" fontId="1" fillId="3" borderId="3" xfId="0" applyFont="1" applyFill="1" applyBorder="1" applyAlignment="1">
      <alignment horizontal="center"/>
    </xf>
    <xf numFmtId="42" fontId="5" fillId="0" borderId="21" xfId="3" applyNumberFormat="1" applyFont="1" applyFill="1" applyBorder="1" applyProtection="1"/>
    <xf numFmtId="165" fontId="5" fillId="0" borderId="2" xfId="0" applyNumberFormat="1" applyFont="1" applyFill="1" applyBorder="1" applyProtection="1"/>
    <xf numFmtId="42" fontId="5" fillId="0" borderId="21" xfId="0" applyNumberFormat="1" applyFont="1" applyFill="1" applyBorder="1" applyProtection="1"/>
    <xf numFmtId="168" fontId="6" fillId="0" borderId="0" xfId="0" applyNumberFormat="1" applyFont="1" applyFill="1" applyBorder="1" applyProtection="1"/>
    <xf numFmtId="167" fontId="6" fillId="0" borderId="0" xfId="0" applyNumberFormat="1" applyFont="1" applyFill="1" applyBorder="1" applyProtection="1"/>
    <xf numFmtId="167" fontId="5" fillId="0" borderId="0" xfId="0" applyNumberFormat="1" applyFont="1" applyFill="1" applyProtection="1"/>
    <xf numFmtId="0" fontId="1" fillId="3" borderId="12" xfId="0" applyFont="1" applyFill="1" applyBorder="1" applyAlignment="1">
      <alignment horizontal="center"/>
    </xf>
    <xf numFmtId="5" fontId="1" fillId="3" borderId="9" xfId="0" applyNumberFormat="1" applyFont="1" applyFill="1" applyBorder="1" applyAlignment="1" applyProtection="1">
      <alignment horizontal="center"/>
    </xf>
    <xf numFmtId="167" fontId="1" fillId="3" borderId="25" xfId="0" applyNumberFormat="1" applyFont="1" applyFill="1" applyBorder="1" applyAlignment="1" applyProtection="1">
      <alignment horizontal="center"/>
    </xf>
    <xf numFmtId="167" fontId="9" fillId="3" borderId="1" xfId="0" applyNumberFormat="1" applyFont="1" applyFill="1" applyBorder="1" applyAlignment="1" applyProtection="1">
      <alignment horizontal="centerContinuous"/>
    </xf>
    <xf numFmtId="167" fontId="5" fillId="3" borderId="1" xfId="0" applyNumberFormat="1" applyFont="1" applyFill="1" applyBorder="1" applyAlignment="1" applyProtection="1">
      <alignment horizontal="centerContinuous"/>
    </xf>
    <xf numFmtId="167" fontId="1" fillId="3" borderId="0" xfId="0" applyNumberFormat="1" applyFont="1" applyFill="1" applyBorder="1" applyAlignment="1" applyProtection="1">
      <alignment horizontal="right"/>
    </xf>
    <xf numFmtId="167" fontId="1" fillId="3" borderId="12" xfId="0" applyNumberFormat="1" applyFont="1" applyFill="1" applyBorder="1" applyAlignment="1" applyProtection="1">
      <alignment horizontal="center"/>
    </xf>
    <xf numFmtId="167" fontId="1" fillId="3" borderId="0" xfId="0" applyNumberFormat="1" applyFont="1" applyFill="1" applyBorder="1" applyAlignment="1" applyProtection="1">
      <alignment horizontal="center"/>
    </xf>
    <xf numFmtId="0" fontId="5" fillId="3" borderId="9" xfId="0" applyFont="1" applyFill="1" applyBorder="1" applyAlignment="1">
      <alignment horizontal="center"/>
    </xf>
    <xf numFmtId="167" fontId="1" fillId="3" borderId="3" xfId="0" applyNumberFormat="1" applyFont="1" applyFill="1" applyBorder="1" applyAlignment="1" applyProtection="1">
      <alignment horizontal="center"/>
    </xf>
    <xf numFmtId="42" fontId="0" fillId="4" borderId="0" xfId="0" applyNumberFormat="1" applyFill="1"/>
    <xf numFmtId="42" fontId="0" fillId="0" borderId="0" xfId="0" applyNumberFormat="1" applyFill="1"/>
    <xf numFmtId="44" fontId="6" fillId="0" borderId="10" xfId="1" applyNumberFormat="1" applyFont="1" applyFill="1" applyBorder="1" applyProtection="1"/>
    <xf numFmtId="164" fontId="5" fillId="0" borderId="0" xfId="0" applyNumberFormat="1" applyFont="1"/>
    <xf numFmtId="42" fontId="0" fillId="0" borderId="1" xfId="0" applyNumberFormat="1" applyFill="1" applyBorder="1"/>
    <xf numFmtId="0" fontId="2" fillId="0" borderId="7" xfId="0" applyFont="1" applyBorder="1" applyAlignment="1">
      <alignment horizontal="left" wrapText="1"/>
    </xf>
    <xf numFmtId="0" fontId="0" fillId="0" borderId="8" xfId="0" applyBorder="1" applyAlignment="1">
      <alignment wrapText="1"/>
    </xf>
    <xf numFmtId="0" fontId="0" fillId="0" borderId="24" xfId="0" applyBorder="1" applyAlignment="1">
      <alignment wrapText="1"/>
    </xf>
    <xf numFmtId="0" fontId="2" fillId="0" borderId="4" xfId="0" applyFont="1" applyBorder="1" applyAlignment="1">
      <alignment horizontal="left" wrapText="1"/>
    </xf>
    <xf numFmtId="0" fontId="0" fillId="0" borderId="0" xfId="0" applyAlignment="1">
      <alignment wrapText="1"/>
    </xf>
    <xf numFmtId="0" fontId="0" fillId="0" borderId="13" xfId="0" applyBorder="1" applyAlignment="1">
      <alignment wrapText="1"/>
    </xf>
    <xf numFmtId="0" fontId="0" fillId="0" borderId="4" xfId="0" applyBorder="1" applyAlignment="1">
      <alignment wrapText="1"/>
    </xf>
    <xf numFmtId="0" fontId="2" fillId="0" borderId="0" xfId="0" applyFont="1" applyBorder="1" applyAlignment="1">
      <alignment horizontal="left" wrapText="1"/>
    </xf>
    <xf numFmtId="0" fontId="2" fillId="0" borderId="13" xfId="0" applyFont="1" applyBorder="1" applyAlignment="1">
      <alignment horizontal="left" wrapText="1"/>
    </xf>
    <xf numFmtId="0" fontId="7" fillId="2" borderId="28" xfId="0" applyFont="1" applyFill="1" applyBorder="1" applyAlignment="1">
      <alignment horizontal="center"/>
    </xf>
    <xf numFmtId="0" fontId="7" fillId="2" borderId="29" xfId="0" applyFont="1" applyFill="1" applyBorder="1" applyAlignment="1">
      <alignment horizontal="center"/>
    </xf>
    <xf numFmtId="0" fontId="7" fillId="2" borderId="30" xfId="0" applyFont="1" applyFill="1" applyBorder="1" applyAlignment="1">
      <alignment horizontal="center"/>
    </xf>
    <xf numFmtId="0" fontId="9" fillId="3" borderId="31" xfId="0" applyFont="1" applyFill="1" applyBorder="1" applyAlignment="1">
      <alignment horizontal="center"/>
    </xf>
    <xf numFmtId="0" fontId="9" fillId="3" borderId="1" xfId="0" applyFont="1" applyFill="1" applyBorder="1" applyAlignment="1">
      <alignment horizontal="center"/>
    </xf>
    <xf numFmtId="0" fontId="9" fillId="3" borderId="19" xfId="0" applyFont="1" applyFill="1" applyBorder="1" applyAlignment="1">
      <alignment horizontal="center"/>
    </xf>
    <xf numFmtId="0" fontId="9" fillId="2" borderId="27" xfId="0" applyFont="1" applyFill="1" applyBorder="1" applyAlignment="1">
      <alignment horizontal="center"/>
    </xf>
    <xf numFmtId="0" fontId="6" fillId="0" borderId="4" xfId="0" applyFont="1" applyBorder="1" applyAlignment="1">
      <alignment horizontal="left" wrapText="1"/>
    </xf>
  </cellXfs>
  <cellStyles count="11">
    <cellStyle name="Comma" xfId="1" builtinId="3"/>
    <cellStyle name="Comma 2" xfId="2" xr:uid="{00000000-0005-0000-0000-000001000000}"/>
    <cellStyle name="Currency" xfId="3" builtinId="4"/>
    <cellStyle name="Hyperlink 2" xfId="4" xr:uid="{00000000-0005-0000-0000-000003000000}"/>
    <cellStyle name="Normal" xfId="0" builtinId="0"/>
    <cellStyle name="Normal 2" xfId="5" xr:uid="{00000000-0005-0000-0000-000005000000}"/>
    <cellStyle name="Normal 3" xfId="6" xr:uid="{00000000-0005-0000-0000-000006000000}"/>
    <cellStyle name="Normal 4" xfId="7" xr:uid="{00000000-0005-0000-0000-000007000000}"/>
    <cellStyle name="Normal 5" xfId="8" xr:uid="{00000000-0005-0000-0000-000008000000}"/>
    <cellStyle name="Percent 2" xfId="9" xr:uid="{00000000-0005-0000-0000-000009000000}"/>
    <cellStyle name="Style 1" xfId="10" xr:uid="{00000000-0005-0000-0000-00000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145EF-FBA0-41A7-BE6A-3789FF0871FF}">
  <sheetPr>
    <pageSetUpPr fitToPage="1"/>
  </sheetPr>
  <dimension ref="A1:X431"/>
  <sheetViews>
    <sheetView tabSelected="1" workbookViewId="0">
      <selection sqref="A1:N1"/>
    </sheetView>
  </sheetViews>
  <sheetFormatPr defaultRowHeight="12.75"/>
  <cols>
    <col min="1" max="1" width="25.7109375" customWidth="1"/>
    <col min="2" max="2" width="16.7109375" customWidth="1"/>
    <col min="3" max="3" width="11.7109375" customWidth="1"/>
    <col min="4" max="4" width="19.7109375" style="163" customWidth="1"/>
    <col min="5" max="5" width="13.7109375" customWidth="1"/>
    <col min="6" max="6" width="19.7109375" style="163" customWidth="1"/>
    <col min="7" max="7" width="13.7109375" customWidth="1"/>
    <col min="8" max="8" width="1.7109375" customWidth="1"/>
    <col min="9" max="9" width="10.7109375" style="163" customWidth="1"/>
    <col min="10" max="10" width="15.7109375" style="163" customWidth="1"/>
    <col min="11" max="11" width="13.7109375" customWidth="1"/>
    <col min="12" max="12" width="16.7109375" customWidth="1"/>
    <col min="13" max="13" width="15.7109375" customWidth="1"/>
    <col min="14" max="14" width="14.7109375" customWidth="1"/>
    <col min="15" max="15" width="2.7109375" customWidth="1"/>
    <col min="16" max="16" width="4.5703125" customWidth="1"/>
    <col min="17" max="17" width="11.7109375" customWidth="1"/>
    <col min="19" max="20" width="17.7109375" customWidth="1"/>
    <col min="21" max="21" width="16.7109375" customWidth="1"/>
    <col min="23" max="23" width="15.7109375" customWidth="1"/>
  </cols>
  <sheetData>
    <row r="1" spans="1:24" ht="26.25">
      <c r="A1" s="197" t="s">
        <v>645</v>
      </c>
      <c r="B1" s="198"/>
      <c r="C1" s="198"/>
      <c r="D1" s="198"/>
      <c r="E1" s="198"/>
      <c r="F1" s="198"/>
      <c r="G1" s="198"/>
      <c r="H1" s="198"/>
      <c r="I1" s="198"/>
      <c r="J1" s="198"/>
      <c r="K1" s="198"/>
      <c r="L1" s="198"/>
      <c r="M1" s="198"/>
      <c r="N1" s="199"/>
    </row>
    <row r="2" spans="1:24" ht="18">
      <c r="A2" s="41"/>
      <c r="B2" s="42"/>
      <c r="C2" s="164"/>
      <c r="D2" s="200" t="s">
        <v>562</v>
      </c>
      <c r="E2" s="201"/>
      <c r="F2" s="201"/>
      <c r="G2" s="202"/>
      <c r="H2" s="44"/>
      <c r="I2" s="176" t="s">
        <v>456</v>
      </c>
      <c r="J2" s="177"/>
      <c r="K2" s="68"/>
      <c r="L2" s="201" t="s">
        <v>503</v>
      </c>
      <c r="M2" s="201"/>
      <c r="N2" s="203"/>
      <c r="S2" s="200" t="s">
        <v>591</v>
      </c>
      <c r="T2" s="201"/>
      <c r="U2" s="202"/>
    </row>
    <row r="3" spans="1:24" ht="12.75" customHeight="1">
      <c r="A3" s="46"/>
      <c r="B3" s="47"/>
      <c r="C3" s="48">
        <v>2024</v>
      </c>
      <c r="D3" s="165"/>
      <c r="E3" s="50" t="s">
        <v>1</v>
      </c>
      <c r="F3" s="173"/>
      <c r="G3" s="50" t="s">
        <v>1</v>
      </c>
      <c r="H3" s="52"/>
      <c r="I3" s="178"/>
      <c r="J3" s="179"/>
      <c r="K3" s="67" t="s">
        <v>1</v>
      </c>
      <c r="L3" s="66" t="s">
        <v>455</v>
      </c>
      <c r="M3" s="50" t="s">
        <v>455</v>
      </c>
      <c r="N3" s="59" t="s">
        <v>1</v>
      </c>
      <c r="S3" s="51"/>
      <c r="T3" s="51"/>
      <c r="U3" s="54"/>
    </row>
    <row r="4" spans="1:24">
      <c r="A4" s="46"/>
      <c r="B4" s="47"/>
      <c r="C4" s="48" t="s">
        <v>3</v>
      </c>
      <c r="D4" s="165" t="s">
        <v>563</v>
      </c>
      <c r="E4" s="56" t="s">
        <v>563</v>
      </c>
      <c r="F4" s="174" t="s">
        <v>2</v>
      </c>
      <c r="G4" s="56" t="s">
        <v>2</v>
      </c>
      <c r="H4" s="52"/>
      <c r="I4" s="180" t="s">
        <v>4</v>
      </c>
      <c r="J4" s="181" t="s">
        <v>455</v>
      </c>
      <c r="K4" s="69" t="s">
        <v>455</v>
      </c>
      <c r="L4" s="67" t="s">
        <v>454</v>
      </c>
      <c r="M4" s="82" t="s">
        <v>495</v>
      </c>
      <c r="N4" s="55" t="s">
        <v>495</v>
      </c>
      <c r="S4" s="48" t="s">
        <v>563</v>
      </c>
      <c r="T4" s="56" t="s">
        <v>2</v>
      </c>
      <c r="U4" s="58" t="s">
        <v>455</v>
      </c>
    </row>
    <row r="5" spans="1:24">
      <c r="A5" s="85" t="s">
        <v>5</v>
      </c>
      <c r="B5" s="86" t="s">
        <v>6</v>
      </c>
      <c r="C5" s="48" t="s">
        <v>458</v>
      </c>
      <c r="D5" s="166" t="s">
        <v>7</v>
      </c>
      <c r="E5" s="89" t="s">
        <v>7</v>
      </c>
      <c r="F5" s="175" t="s">
        <v>7</v>
      </c>
      <c r="G5" s="89" t="s">
        <v>7</v>
      </c>
      <c r="H5" s="91"/>
      <c r="I5" s="182" t="s">
        <v>587</v>
      </c>
      <c r="J5" s="175" t="s">
        <v>454</v>
      </c>
      <c r="K5" s="90" t="s">
        <v>454</v>
      </c>
      <c r="L5" s="93" t="s">
        <v>502</v>
      </c>
      <c r="M5" s="94" t="s">
        <v>496</v>
      </c>
      <c r="N5" s="95" t="s">
        <v>496</v>
      </c>
      <c r="O5" s="19"/>
      <c r="P5" s="19"/>
      <c r="Q5" s="19"/>
      <c r="S5" s="87" t="s">
        <v>7</v>
      </c>
      <c r="T5" s="90" t="s">
        <v>7</v>
      </c>
      <c r="U5" s="90" t="s">
        <v>454</v>
      </c>
    </row>
    <row r="6" spans="1:24">
      <c r="A6" s="22" t="s">
        <v>8</v>
      </c>
      <c r="B6" s="33" t="s">
        <v>8</v>
      </c>
      <c r="C6" s="97">
        <v>11296</v>
      </c>
      <c r="D6" s="141">
        <v>2240651836</v>
      </c>
      <c r="E6" s="38">
        <f t="shared" ref="E6:E14" si="0">(D6/C6)</f>
        <v>198357.9883144476</v>
      </c>
      <c r="F6" s="141">
        <v>1356484439</v>
      </c>
      <c r="G6" s="39">
        <f t="shared" ref="G6:G14" si="1">(F6/C6)</f>
        <v>120085.37880665723</v>
      </c>
      <c r="H6" s="15"/>
      <c r="I6" s="145">
        <v>5.95</v>
      </c>
      <c r="J6" s="146">
        <v>8071082.4120500004</v>
      </c>
      <c r="K6" s="84">
        <f t="shared" ref="K6:K14" si="2">(J6/C6)</f>
        <v>714.50800389961057</v>
      </c>
      <c r="L6" s="65">
        <f t="shared" ref="L6:L69" si="3">(F6*0.01)</f>
        <v>13564844.390000001</v>
      </c>
      <c r="M6" s="83">
        <f t="shared" ref="M6:M69" si="4">(L6-J6)</f>
        <v>5493761.9779500002</v>
      </c>
      <c r="N6" s="62">
        <f t="shared" ref="N6:N69" si="5">(M6/C6)</f>
        <v>486.34578416696178</v>
      </c>
      <c r="O6" s="5"/>
      <c r="P6" s="5">
        <f t="shared" ref="P6:P69" si="6">IF(I6&gt;0,1,0)</f>
        <v>1</v>
      </c>
      <c r="Q6" s="7">
        <f t="shared" ref="Q6:Q69" si="7">IF(I6&gt;0,C6,0)</f>
        <v>11296</v>
      </c>
      <c r="S6" s="124"/>
      <c r="W6" s="124">
        <f>F6*(I6/1000)</f>
        <v>8071082.4120500004</v>
      </c>
      <c r="X6">
        <f>IF(W6=J6,0,1)</f>
        <v>0</v>
      </c>
    </row>
    <row r="7" spans="1:24">
      <c r="A7" s="23" t="s">
        <v>9</v>
      </c>
      <c r="B7" s="35" t="s">
        <v>8</v>
      </c>
      <c r="C7" s="97">
        <v>1165</v>
      </c>
      <c r="D7" s="132">
        <v>133201673</v>
      </c>
      <c r="E7" s="116">
        <f t="shared" si="0"/>
        <v>114336.2</v>
      </c>
      <c r="F7" s="132">
        <v>55773643</v>
      </c>
      <c r="G7" s="117">
        <f t="shared" si="1"/>
        <v>47874.37167381974</v>
      </c>
      <c r="H7" s="7"/>
      <c r="I7" s="136">
        <v>5.5479000000000003</v>
      </c>
      <c r="J7" s="134">
        <v>309426.59399970004</v>
      </c>
      <c r="K7" s="120">
        <f t="shared" si="2"/>
        <v>265.60222660918458</v>
      </c>
      <c r="L7" s="122">
        <f t="shared" si="3"/>
        <v>557736.43000000005</v>
      </c>
      <c r="M7" s="116">
        <f t="shared" si="4"/>
        <v>248309.83600030001</v>
      </c>
      <c r="N7" s="123">
        <f t="shared" si="5"/>
        <v>213.14149012901288</v>
      </c>
      <c r="O7" s="5"/>
      <c r="P7" s="5">
        <f t="shared" si="6"/>
        <v>1</v>
      </c>
      <c r="Q7" s="7">
        <f t="shared" si="7"/>
        <v>1165</v>
      </c>
      <c r="S7" s="124"/>
      <c r="W7" s="124">
        <f t="shared" ref="W7:W70" si="8">F7*(I7/1000)</f>
        <v>309426.59399970004</v>
      </c>
      <c r="X7">
        <f t="shared" ref="X7:X70" si="9">IF(W7=J7,0,1)</f>
        <v>0</v>
      </c>
    </row>
    <row r="8" spans="1:24">
      <c r="A8" s="23" t="s">
        <v>10</v>
      </c>
      <c r="B8" s="35" t="s">
        <v>8</v>
      </c>
      <c r="C8" s="97">
        <v>150120</v>
      </c>
      <c r="D8" s="132">
        <v>22907038963</v>
      </c>
      <c r="E8" s="116">
        <f t="shared" si="0"/>
        <v>152591.51987077005</v>
      </c>
      <c r="F8" s="132">
        <v>11035618173</v>
      </c>
      <c r="G8" s="117">
        <f t="shared" si="1"/>
        <v>73511.978237410076</v>
      </c>
      <c r="H8" s="7"/>
      <c r="I8" s="136">
        <v>6.4297000000000004</v>
      </c>
      <c r="J8" s="134">
        <v>70955714.166938111</v>
      </c>
      <c r="K8" s="120">
        <f t="shared" si="2"/>
        <v>472.6599664730756</v>
      </c>
      <c r="L8" s="122">
        <f t="shared" si="3"/>
        <v>110356181.73</v>
      </c>
      <c r="M8" s="116">
        <f t="shared" si="4"/>
        <v>39400467.563061893</v>
      </c>
      <c r="N8" s="123">
        <f t="shared" si="5"/>
        <v>262.45981590102514</v>
      </c>
      <c r="O8" s="5"/>
      <c r="P8" s="5">
        <f t="shared" si="6"/>
        <v>1</v>
      </c>
      <c r="Q8" s="7">
        <f t="shared" si="7"/>
        <v>150120</v>
      </c>
      <c r="S8" s="124"/>
      <c r="W8" s="124">
        <f t="shared" si="8"/>
        <v>70955714.166938096</v>
      </c>
      <c r="X8">
        <f t="shared" si="9"/>
        <v>0</v>
      </c>
    </row>
    <row r="9" spans="1:24">
      <c r="A9" s="23" t="s">
        <v>11</v>
      </c>
      <c r="B9" s="35" t="s">
        <v>8</v>
      </c>
      <c r="C9" s="97">
        <v>1485</v>
      </c>
      <c r="D9" s="132">
        <v>183216674</v>
      </c>
      <c r="E9" s="116">
        <f t="shared" si="0"/>
        <v>123378.23164983165</v>
      </c>
      <c r="F9" s="134">
        <v>77727424</v>
      </c>
      <c r="G9" s="117">
        <f t="shared" si="1"/>
        <v>52341.69966329966</v>
      </c>
      <c r="H9" s="7"/>
      <c r="I9" s="136">
        <v>6.4321999999999999</v>
      </c>
      <c r="J9" s="134">
        <v>499958.33665279998</v>
      </c>
      <c r="K9" s="120">
        <f t="shared" si="2"/>
        <v>336.6722805742761</v>
      </c>
      <c r="L9" s="122">
        <f t="shared" si="3"/>
        <v>777274.24</v>
      </c>
      <c r="M9" s="116">
        <f t="shared" si="4"/>
        <v>277315.90334720002</v>
      </c>
      <c r="N9" s="123">
        <f t="shared" si="5"/>
        <v>186.74471605872054</v>
      </c>
      <c r="O9" s="5"/>
      <c r="P9" s="5">
        <f t="shared" si="6"/>
        <v>1</v>
      </c>
      <c r="Q9" s="7">
        <f t="shared" si="7"/>
        <v>1485</v>
      </c>
      <c r="S9" s="124"/>
      <c r="W9" s="124">
        <f t="shared" si="8"/>
        <v>499958.33665279998</v>
      </c>
      <c r="X9">
        <f t="shared" si="9"/>
        <v>0</v>
      </c>
    </row>
    <row r="10" spans="1:24">
      <c r="A10" s="23" t="s">
        <v>12</v>
      </c>
      <c r="B10" s="35" t="s">
        <v>8</v>
      </c>
      <c r="C10" s="97">
        <v>7118</v>
      </c>
      <c r="D10" s="132">
        <v>995123931</v>
      </c>
      <c r="E10" s="116">
        <f t="shared" si="0"/>
        <v>139803.86779994381</v>
      </c>
      <c r="F10" s="134">
        <v>541324932</v>
      </c>
      <c r="G10" s="117">
        <f t="shared" si="1"/>
        <v>76050.144984546219</v>
      </c>
      <c r="H10" s="7"/>
      <c r="I10" s="136">
        <v>6.74</v>
      </c>
      <c r="J10" s="134">
        <v>3648530.0416800003</v>
      </c>
      <c r="K10" s="120">
        <f t="shared" si="2"/>
        <v>512.57797719584153</v>
      </c>
      <c r="L10" s="122">
        <f t="shared" si="3"/>
        <v>5413249.3200000003</v>
      </c>
      <c r="M10" s="116">
        <f t="shared" si="4"/>
        <v>1764719.27832</v>
      </c>
      <c r="N10" s="123">
        <f t="shared" si="5"/>
        <v>247.92347264962069</v>
      </c>
      <c r="O10" s="5"/>
      <c r="P10" s="5">
        <f t="shared" si="6"/>
        <v>1</v>
      </c>
      <c r="Q10" s="7">
        <f t="shared" si="7"/>
        <v>7118</v>
      </c>
      <c r="S10" s="124"/>
      <c r="W10" s="124">
        <f t="shared" si="8"/>
        <v>3648530.0416800003</v>
      </c>
      <c r="X10">
        <f t="shared" si="9"/>
        <v>0</v>
      </c>
    </row>
    <row r="11" spans="1:24">
      <c r="A11" s="23" t="s">
        <v>559</v>
      </c>
      <c r="B11" s="35" t="s">
        <v>8</v>
      </c>
      <c r="C11" s="97">
        <v>304</v>
      </c>
      <c r="D11" s="132">
        <v>35472375</v>
      </c>
      <c r="E11" s="116">
        <f t="shared" si="0"/>
        <v>116685.44407894737</v>
      </c>
      <c r="F11" s="134">
        <v>15126571</v>
      </c>
      <c r="G11" s="117">
        <f t="shared" si="1"/>
        <v>49758.457236842107</v>
      </c>
      <c r="H11" s="7"/>
      <c r="I11" s="136">
        <v>6.5410000000000004</v>
      </c>
      <c r="J11" s="134">
        <v>98942.900911000004</v>
      </c>
      <c r="K11" s="120">
        <f t="shared" si="2"/>
        <v>325.47006878618424</v>
      </c>
      <c r="L11" s="122">
        <f t="shared" si="3"/>
        <v>151265.71</v>
      </c>
      <c r="M11" s="116">
        <f t="shared" si="4"/>
        <v>52322.809088999988</v>
      </c>
      <c r="N11" s="123">
        <f t="shared" si="5"/>
        <v>172.11450358223681</v>
      </c>
      <c r="O11" s="5"/>
      <c r="P11" s="5">
        <f t="shared" si="6"/>
        <v>1</v>
      </c>
      <c r="Q11" s="7">
        <f t="shared" si="7"/>
        <v>304</v>
      </c>
      <c r="S11" s="124"/>
      <c r="W11" s="124">
        <f t="shared" si="8"/>
        <v>98942.900911000004</v>
      </c>
      <c r="X11">
        <f t="shared" si="9"/>
        <v>0</v>
      </c>
    </row>
    <row r="12" spans="1:24">
      <c r="A12" s="23" t="s">
        <v>13</v>
      </c>
      <c r="B12" s="35" t="s">
        <v>8</v>
      </c>
      <c r="C12" s="97">
        <v>653</v>
      </c>
      <c r="D12" s="132">
        <v>82506921</v>
      </c>
      <c r="E12" s="116">
        <f t="shared" si="0"/>
        <v>126350.56814701378</v>
      </c>
      <c r="F12" s="134">
        <v>45850662</v>
      </c>
      <c r="G12" s="117">
        <f t="shared" si="1"/>
        <v>70215.408882082702</v>
      </c>
      <c r="H12" s="7"/>
      <c r="I12" s="136">
        <v>5.2</v>
      </c>
      <c r="J12" s="134">
        <v>238423.4424</v>
      </c>
      <c r="K12" s="120">
        <f t="shared" si="2"/>
        <v>365.12012618683002</v>
      </c>
      <c r="L12" s="122">
        <f t="shared" si="3"/>
        <v>458506.62</v>
      </c>
      <c r="M12" s="116">
        <f t="shared" si="4"/>
        <v>220083.1776</v>
      </c>
      <c r="N12" s="123">
        <f t="shared" si="5"/>
        <v>337.03396263399691</v>
      </c>
      <c r="O12" s="5"/>
      <c r="P12" s="5">
        <f t="shared" si="6"/>
        <v>1</v>
      </c>
      <c r="Q12" s="7">
        <f t="shared" si="7"/>
        <v>653</v>
      </c>
      <c r="S12" s="124"/>
      <c r="W12" s="124">
        <f t="shared" si="8"/>
        <v>238423.4424</v>
      </c>
      <c r="X12">
        <f t="shared" si="9"/>
        <v>0</v>
      </c>
    </row>
    <row r="13" spans="1:24">
      <c r="A13" s="23" t="s">
        <v>14</v>
      </c>
      <c r="B13" s="35" t="s">
        <v>8</v>
      </c>
      <c r="C13" s="97">
        <v>9096</v>
      </c>
      <c r="D13" s="132">
        <v>1624170021</v>
      </c>
      <c r="E13" s="116">
        <f t="shared" si="0"/>
        <v>178558.70943271767</v>
      </c>
      <c r="F13" s="134">
        <v>794515978</v>
      </c>
      <c r="G13" s="117">
        <f t="shared" si="1"/>
        <v>87347.842788038703</v>
      </c>
      <c r="H13" s="7"/>
      <c r="I13" s="136">
        <v>5.9</v>
      </c>
      <c r="J13" s="134">
        <v>4687644.2702000001</v>
      </c>
      <c r="K13" s="120">
        <f t="shared" si="2"/>
        <v>515.35227244942837</v>
      </c>
      <c r="L13" s="122">
        <f t="shared" si="3"/>
        <v>7945159.7800000003</v>
      </c>
      <c r="M13" s="116">
        <f t="shared" si="4"/>
        <v>3257515.5098000001</v>
      </c>
      <c r="N13" s="123">
        <f t="shared" si="5"/>
        <v>358.1261554309587</v>
      </c>
      <c r="O13" s="5"/>
      <c r="P13" s="5">
        <f t="shared" si="6"/>
        <v>1</v>
      </c>
      <c r="Q13" s="7">
        <f t="shared" si="7"/>
        <v>9096</v>
      </c>
      <c r="S13" s="124"/>
      <c r="W13" s="124">
        <f t="shared" si="8"/>
        <v>4687644.2702000001</v>
      </c>
      <c r="X13">
        <f t="shared" si="9"/>
        <v>0</v>
      </c>
    </row>
    <row r="14" spans="1:24">
      <c r="A14" s="23" t="s">
        <v>15</v>
      </c>
      <c r="B14" s="35" t="s">
        <v>8</v>
      </c>
      <c r="C14" s="97">
        <v>869</v>
      </c>
      <c r="D14" s="132">
        <v>81221188</v>
      </c>
      <c r="E14" s="116">
        <f t="shared" si="0"/>
        <v>93465.118527042578</v>
      </c>
      <c r="F14" s="134">
        <v>40931519</v>
      </c>
      <c r="G14" s="117">
        <f t="shared" si="1"/>
        <v>47101.863060989643</v>
      </c>
      <c r="H14" s="7"/>
      <c r="I14" s="136">
        <v>6.4</v>
      </c>
      <c r="J14" s="134">
        <v>261961.72160000002</v>
      </c>
      <c r="K14" s="120">
        <f t="shared" si="2"/>
        <v>301.45192359033376</v>
      </c>
      <c r="L14" s="122">
        <f t="shared" si="3"/>
        <v>409315.19</v>
      </c>
      <c r="M14" s="116">
        <f t="shared" si="4"/>
        <v>147353.46839999998</v>
      </c>
      <c r="N14" s="123">
        <f t="shared" si="5"/>
        <v>169.5667070195627</v>
      </c>
      <c r="O14" s="5"/>
      <c r="P14" s="5">
        <f t="shared" si="6"/>
        <v>1</v>
      </c>
      <c r="Q14" s="7">
        <f t="shared" si="7"/>
        <v>869</v>
      </c>
      <c r="S14" s="124">
        <f>SUM(D6:D14)</f>
        <v>28282603582</v>
      </c>
      <c r="T14" s="184">
        <f>SUM(F6:F14)</f>
        <v>13963353341</v>
      </c>
      <c r="U14" s="184">
        <f>SUM(J6:J14)</f>
        <v>88771683.886431605</v>
      </c>
      <c r="W14" s="124">
        <f t="shared" si="8"/>
        <v>261961.72160000002</v>
      </c>
      <c r="X14">
        <f t="shared" si="9"/>
        <v>0</v>
      </c>
    </row>
    <row r="15" spans="1:24">
      <c r="A15" s="24" t="s">
        <v>544</v>
      </c>
      <c r="B15" s="35" t="s">
        <v>16</v>
      </c>
      <c r="C15" s="97">
        <v>491</v>
      </c>
      <c r="D15" s="147" t="s">
        <v>564</v>
      </c>
      <c r="E15" s="116"/>
      <c r="F15" s="134"/>
      <c r="G15" s="117"/>
      <c r="H15" s="98" t="s">
        <v>588</v>
      </c>
      <c r="I15" s="136"/>
      <c r="J15" s="134"/>
      <c r="K15" s="120"/>
      <c r="L15" s="122">
        <f t="shared" si="3"/>
        <v>0</v>
      </c>
      <c r="M15" s="116">
        <f t="shared" si="4"/>
        <v>0</v>
      </c>
      <c r="N15" s="123">
        <f t="shared" si="5"/>
        <v>0</v>
      </c>
      <c r="O15" s="5"/>
      <c r="P15" s="5">
        <f t="shared" si="6"/>
        <v>0</v>
      </c>
      <c r="Q15" s="7">
        <f t="shared" si="7"/>
        <v>0</v>
      </c>
      <c r="W15" s="124">
        <f t="shared" si="8"/>
        <v>0</v>
      </c>
      <c r="X15">
        <f t="shared" si="9"/>
        <v>0</v>
      </c>
    </row>
    <row r="16" spans="1:24">
      <c r="A16" s="23" t="s">
        <v>17</v>
      </c>
      <c r="B16" s="35" t="s">
        <v>16</v>
      </c>
      <c r="C16" s="97">
        <v>8113</v>
      </c>
      <c r="D16" s="132">
        <v>721542768</v>
      </c>
      <c r="E16" s="116">
        <f>(D16/C16)</f>
        <v>88936.616294835447</v>
      </c>
      <c r="F16" s="134">
        <v>417113118</v>
      </c>
      <c r="G16" s="117">
        <f>(F16/C16)</f>
        <v>51412.932084309134</v>
      </c>
      <c r="H16" s="7"/>
      <c r="I16" s="136">
        <v>3.6</v>
      </c>
      <c r="J16" s="134">
        <v>1501607.2248</v>
      </c>
      <c r="K16" s="120">
        <f>(J16/C16)</f>
        <v>185.08655550351287</v>
      </c>
      <c r="L16" s="122">
        <f t="shared" si="3"/>
        <v>4171131.18</v>
      </c>
      <c r="M16" s="116">
        <f t="shared" si="4"/>
        <v>2669523.9552000002</v>
      </c>
      <c r="N16" s="123">
        <f t="shared" si="5"/>
        <v>329.04276533957847</v>
      </c>
      <c r="O16" s="5"/>
      <c r="P16" s="5">
        <f t="shared" si="6"/>
        <v>1</v>
      </c>
      <c r="Q16" s="7">
        <f t="shared" si="7"/>
        <v>8113</v>
      </c>
      <c r="S16" s="124">
        <f>SUM(D15:D16)</f>
        <v>721542768</v>
      </c>
      <c r="T16" s="124">
        <f>SUM(F15:F16)</f>
        <v>417113118</v>
      </c>
      <c r="U16" s="124">
        <f>SUM(J15:J16)</f>
        <v>1501607.2248</v>
      </c>
      <c r="W16" s="124">
        <f t="shared" si="8"/>
        <v>1501607.2248</v>
      </c>
      <c r="X16">
        <f t="shared" si="9"/>
        <v>0</v>
      </c>
    </row>
    <row r="17" spans="1:24">
      <c r="A17" s="23" t="s">
        <v>18</v>
      </c>
      <c r="B17" s="35" t="s">
        <v>19</v>
      </c>
      <c r="C17" s="97">
        <v>14835</v>
      </c>
      <c r="D17" s="132">
        <v>1340006866</v>
      </c>
      <c r="E17" s="116">
        <f>(D17/C17)</f>
        <v>90327.39238287833</v>
      </c>
      <c r="F17" s="134">
        <v>954973011</v>
      </c>
      <c r="G17" s="117">
        <f>(F17/C17)</f>
        <v>64372.970070778567</v>
      </c>
      <c r="H17" s="8"/>
      <c r="I17" s="136">
        <v>2.75</v>
      </c>
      <c r="J17" s="134">
        <v>2343320.5207500001</v>
      </c>
      <c r="K17" s="120">
        <f>(J17/C17)</f>
        <v>157.95891612740144</v>
      </c>
      <c r="L17" s="122">
        <f t="shared" si="3"/>
        <v>9549730.1099999994</v>
      </c>
      <c r="M17" s="116">
        <f t="shared" si="4"/>
        <v>7206409.5892499993</v>
      </c>
      <c r="N17" s="123">
        <f t="shared" si="5"/>
        <v>485.7707845803842</v>
      </c>
      <c r="O17" s="5"/>
      <c r="P17" s="5">
        <f t="shared" si="6"/>
        <v>1</v>
      </c>
      <c r="Q17" s="7">
        <f t="shared" si="7"/>
        <v>14835</v>
      </c>
      <c r="W17" s="124">
        <f t="shared" si="8"/>
        <v>2626175.7802499998</v>
      </c>
      <c r="X17">
        <f t="shared" si="9"/>
        <v>1</v>
      </c>
    </row>
    <row r="18" spans="1:24">
      <c r="A18" s="23" t="s">
        <v>21</v>
      </c>
      <c r="B18" s="35" t="s">
        <v>19</v>
      </c>
      <c r="C18" s="97">
        <v>20469</v>
      </c>
      <c r="D18" s="132">
        <v>2576808644</v>
      </c>
      <c r="E18" s="116">
        <f>(D18/C18)</f>
        <v>125888.35038350677</v>
      </c>
      <c r="F18" s="134">
        <v>1777750055</v>
      </c>
      <c r="G18" s="117">
        <f>(F18/C18)</f>
        <v>86850.850310225214</v>
      </c>
      <c r="H18" s="7"/>
      <c r="I18" s="136">
        <v>4.05</v>
      </c>
      <c r="J18" s="134">
        <v>6466314.5159999998</v>
      </c>
      <c r="K18" s="120">
        <f>(J18/C18)</f>
        <v>315.90769045874248</v>
      </c>
      <c r="L18" s="122">
        <f t="shared" si="3"/>
        <v>17777500.550000001</v>
      </c>
      <c r="M18" s="116">
        <f t="shared" si="4"/>
        <v>11311186.034000002</v>
      </c>
      <c r="N18" s="123">
        <f t="shared" si="5"/>
        <v>552.60081264350981</v>
      </c>
      <c r="O18" s="5"/>
      <c r="P18" s="5">
        <f t="shared" si="6"/>
        <v>1</v>
      </c>
      <c r="Q18" s="7">
        <f t="shared" si="7"/>
        <v>20469</v>
      </c>
      <c r="W18" s="124">
        <f t="shared" si="8"/>
        <v>7199887.7227499997</v>
      </c>
      <c r="X18">
        <f t="shared" si="9"/>
        <v>1</v>
      </c>
    </row>
    <row r="19" spans="1:24">
      <c r="A19" s="23" t="s">
        <v>22</v>
      </c>
      <c r="B19" s="35" t="s">
        <v>19</v>
      </c>
      <c r="C19" s="97">
        <v>1416</v>
      </c>
      <c r="D19" s="132">
        <v>1088378645</v>
      </c>
      <c r="E19" s="116">
        <f>(D19/C19)</f>
        <v>768628.98658192088</v>
      </c>
      <c r="F19" s="134">
        <v>761549014</v>
      </c>
      <c r="G19" s="117">
        <f>(F19/C19)</f>
        <v>537817.10028248583</v>
      </c>
      <c r="H19" s="7"/>
      <c r="I19" s="150">
        <v>5.75</v>
      </c>
      <c r="J19" s="134">
        <v>3857356.5956519004</v>
      </c>
      <c r="K19" s="120">
        <f>(J19/C19)</f>
        <v>2724.1218895846755</v>
      </c>
      <c r="L19" s="122">
        <f t="shared" si="3"/>
        <v>7615490.1400000006</v>
      </c>
      <c r="M19" s="116">
        <f t="shared" si="4"/>
        <v>3758133.5443481002</v>
      </c>
      <c r="N19" s="123">
        <f t="shared" si="5"/>
        <v>2654.0491132401839</v>
      </c>
      <c r="O19" s="5"/>
      <c r="P19" s="5">
        <f t="shared" si="6"/>
        <v>1</v>
      </c>
      <c r="Q19" s="7">
        <f t="shared" si="7"/>
        <v>1416</v>
      </c>
      <c r="W19" s="124">
        <f t="shared" si="8"/>
        <v>4378906.8305000002</v>
      </c>
      <c r="X19">
        <f t="shared" si="9"/>
        <v>1</v>
      </c>
    </row>
    <row r="20" spans="1:24">
      <c r="A20" s="23" t="s">
        <v>23</v>
      </c>
      <c r="B20" s="35" t="s">
        <v>19</v>
      </c>
      <c r="C20" s="97">
        <v>37909</v>
      </c>
      <c r="D20" s="132">
        <v>5480606367</v>
      </c>
      <c r="E20" s="116">
        <f>(D20/C20)</f>
        <v>144572.69690574799</v>
      </c>
      <c r="F20" s="134">
        <v>3661356670</v>
      </c>
      <c r="G20" s="117">
        <f>(F20/C20)</f>
        <v>96582.781661346904</v>
      </c>
      <c r="H20" s="7"/>
      <c r="I20" s="136">
        <v>4.7999000000000001</v>
      </c>
      <c r="J20" s="134">
        <v>15753608.378587801</v>
      </c>
      <c r="K20" s="120">
        <f>(J20/C20)</f>
        <v>415.56380750185446</v>
      </c>
      <c r="L20" s="122">
        <f t="shared" si="3"/>
        <v>36613566.700000003</v>
      </c>
      <c r="M20" s="116">
        <f t="shared" si="4"/>
        <v>20859958.321412202</v>
      </c>
      <c r="N20" s="123">
        <f t="shared" si="5"/>
        <v>550.26400911161466</v>
      </c>
      <c r="O20" s="5"/>
      <c r="P20" s="5">
        <f t="shared" si="6"/>
        <v>1</v>
      </c>
      <c r="Q20" s="7">
        <f t="shared" si="7"/>
        <v>37909</v>
      </c>
      <c r="W20" s="124">
        <f t="shared" si="8"/>
        <v>17574145.880332999</v>
      </c>
      <c r="X20">
        <f t="shared" si="9"/>
        <v>1</v>
      </c>
    </row>
    <row r="21" spans="1:24">
      <c r="A21" s="23" t="s">
        <v>24</v>
      </c>
      <c r="B21" s="35" t="s">
        <v>19</v>
      </c>
      <c r="C21" s="97">
        <v>19549</v>
      </c>
      <c r="D21" s="147" t="s">
        <v>564</v>
      </c>
      <c r="E21" s="116"/>
      <c r="F21" s="134"/>
      <c r="G21" s="117"/>
      <c r="H21" s="98" t="s">
        <v>588</v>
      </c>
      <c r="I21" s="151"/>
      <c r="J21" s="134"/>
      <c r="K21" s="120"/>
      <c r="L21" s="122">
        <f t="shared" si="3"/>
        <v>0</v>
      </c>
      <c r="M21" s="116">
        <f t="shared" si="4"/>
        <v>0</v>
      </c>
      <c r="N21" s="123">
        <f t="shared" si="5"/>
        <v>0</v>
      </c>
      <c r="O21" s="5"/>
      <c r="P21" s="5">
        <f t="shared" si="6"/>
        <v>0</v>
      </c>
      <c r="Q21" s="7">
        <f t="shared" si="7"/>
        <v>0</v>
      </c>
      <c r="W21" s="124">
        <f t="shared" si="8"/>
        <v>0</v>
      </c>
      <c r="X21">
        <f t="shared" si="9"/>
        <v>0</v>
      </c>
    </row>
    <row r="22" spans="1:24">
      <c r="A22" s="23" t="s">
        <v>25</v>
      </c>
      <c r="B22" s="35" t="s">
        <v>19</v>
      </c>
      <c r="C22" s="97">
        <v>4427</v>
      </c>
      <c r="D22" s="147" t="s">
        <v>564</v>
      </c>
      <c r="E22" s="116"/>
      <c r="F22" s="134"/>
      <c r="G22" s="117"/>
      <c r="H22" s="98" t="s">
        <v>588</v>
      </c>
      <c r="I22" s="151"/>
      <c r="J22" s="134"/>
      <c r="K22" s="120"/>
      <c r="L22" s="122">
        <f t="shared" si="3"/>
        <v>0</v>
      </c>
      <c r="M22" s="116">
        <f t="shared" si="4"/>
        <v>0</v>
      </c>
      <c r="N22" s="123">
        <f t="shared" si="5"/>
        <v>0</v>
      </c>
      <c r="O22" s="5"/>
      <c r="P22" s="5">
        <f t="shared" si="6"/>
        <v>0</v>
      </c>
      <c r="Q22" s="7">
        <f t="shared" si="7"/>
        <v>0</v>
      </c>
      <c r="W22" s="124">
        <f t="shared" si="8"/>
        <v>0</v>
      </c>
      <c r="X22">
        <f t="shared" si="9"/>
        <v>0</v>
      </c>
    </row>
    <row r="23" spans="1:24">
      <c r="A23" s="23" t="s">
        <v>26</v>
      </c>
      <c r="B23" s="35" t="s">
        <v>19</v>
      </c>
      <c r="C23" s="97">
        <v>9010</v>
      </c>
      <c r="D23" s="147">
        <v>609287840</v>
      </c>
      <c r="E23" s="116">
        <f t="shared" ref="E23:E38" si="10">(D23/C23)</f>
        <v>67623.511653718087</v>
      </c>
      <c r="F23" s="134">
        <v>393171665</v>
      </c>
      <c r="G23" s="117">
        <f t="shared" ref="G23:G38" si="11">(F23/C23)</f>
        <v>43637.25471698113</v>
      </c>
      <c r="H23" s="98"/>
      <c r="I23" s="136">
        <v>4.8650000000000002</v>
      </c>
      <c r="J23" s="134">
        <v>1712278.2922350001</v>
      </c>
      <c r="K23" s="120">
        <f t="shared" ref="K23:K38" si="12">(J23/C23)</f>
        <v>190.04198581964485</v>
      </c>
      <c r="L23" s="122">
        <f t="shared" si="3"/>
        <v>3931716.65</v>
      </c>
      <c r="M23" s="116">
        <f t="shared" si="4"/>
        <v>2219438.3577649998</v>
      </c>
      <c r="N23" s="123">
        <f t="shared" si="5"/>
        <v>246.33056135016648</v>
      </c>
      <c r="O23" s="5"/>
      <c r="P23" s="5">
        <f t="shared" si="6"/>
        <v>1</v>
      </c>
      <c r="Q23" s="7">
        <f t="shared" si="7"/>
        <v>9010</v>
      </c>
      <c r="S23" s="124">
        <f>SUM(D17:D23)</f>
        <v>11095088362</v>
      </c>
      <c r="T23" s="124">
        <f>SUM(F17:F23)</f>
        <v>7548800415</v>
      </c>
      <c r="U23" s="124">
        <f>SUM(J17:J23)</f>
        <v>30132878.303224705</v>
      </c>
      <c r="W23" s="124">
        <f t="shared" si="8"/>
        <v>1912780.1502250002</v>
      </c>
      <c r="X23">
        <f t="shared" si="9"/>
        <v>1</v>
      </c>
    </row>
    <row r="24" spans="1:24">
      <c r="A24" s="23" t="s">
        <v>27</v>
      </c>
      <c r="B24" s="35" t="s">
        <v>28</v>
      </c>
      <c r="C24" s="97">
        <v>313</v>
      </c>
      <c r="D24" s="132">
        <v>25779315</v>
      </c>
      <c r="E24" s="116">
        <f t="shared" si="10"/>
        <v>82362.028753993611</v>
      </c>
      <c r="F24" s="134">
        <v>13020636</v>
      </c>
      <c r="G24" s="117">
        <f t="shared" si="11"/>
        <v>41599.47603833866</v>
      </c>
      <c r="H24" s="7"/>
      <c r="I24" s="136">
        <v>0.25030000000000002</v>
      </c>
      <c r="J24" s="134">
        <v>3259.0651908000004</v>
      </c>
      <c r="K24" s="120">
        <f t="shared" si="12"/>
        <v>10.412348852396168</v>
      </c>
      <c r="L24" s="122">
        <f t="shared" si="3"/>
        <v>130206.36</v>
      </c>
      <c r="M24" s="116">
        <f t="shared" si="4"/>
        <v>126947.2948092</v>
      </c>
      <c r="N24" s="123">
        <f t="shared" si="5"/>
        <v>405.58241153099044</v>
      </c>
      <c r="O24" s="5"/>
      <c r="P24" s="5">
        <f t="shared" si="6"/>
        <v>1</v>
      </c>
      <c r="Q24" s="7">
        <f t="shared" si="7"/>
        <v>313</v>
      </c>
      <c r="W24" s="124">
        <f t="shared" si="8"/>
        <v>3259.0651908</v>
      </c>
      <c r="X24">
        <f t="shared" si="9"/>
        <v>0</v>
      </c>
    </row>
    <row r="25" spans="1:24">
      <c r="A25" s="23" t="s">
        <v>29</v>
      </c>
      <c r="B25" s="35" t="s">
        <v>28</v>
      </c>
      <c r="C25" s="97">
        <v>483</v>
      </c>
      <c r="D25" s="132">
        <v>25501783</v>
      </c>
      <c r="E25" s="116">
        <f t="shared" si="10"/>
        <v>52798.722567287783</v>
      </c>
      <c r="F25" s="134">
        <v>14288764</v>
      </c>
      <c r="G25" s="117">
        <f t="shared" si="11"/>
        <v>29583.36231884058</v>
      </c>
      <c r="H25" s="7"/>
      <c r="I25" s="136">
        <v>2</v>
      </c>
      <c r="J25" s="134">
        <v>28577.527999999998</v>
      </c>
      <c r="K25" s="120">
        <f t="shared" si="12"/>
        <v>59.166724637681156</v>
      </c>
      <c r="L25" s="122">
        <f t="shared" si="3"/>
        <v>142887.64000000001</v>
      </c>
      <c r="M25" s="116">
        <f t="shared" si="4"/>
        <v>114310.11200000002</v>
      </c>
      <c r="N25" s="123">
        <f t="shared" si="5"/>
        <v>236.66689855072468</v>
      </c>
      <c r="O25" s="5"/>
      <c r="P25" s="5">
        <f t="shared" si="6"/>
        <v>1</v>
      </c>
      <c r="Q25" s="7">
        <f t="shared" si="7"/>
        <v>483</v>
      </c>
      <c r="W25" s="124">
        <f t="shared" si="8"/>
        <v>28577.528000000002</v>
      </c>
      <c r="X25">
        <f t="shared" si="9"/>
        <v>0</v>
      </c>
    </row>
    <row r="26" spans="1:24">
      <c r="A26" s="23" t="s">
        <v>30</v>
      </c>
      <c r="B26" s="35" t="s">
        <v>28</v>
      </c>
      <c r="C26" s="97">
        <v>658</v>
      </c>
      <c r="D26" s="132">
        <v>42485919</v>
      </c>
      <c r="E26" s="116">
        <f t="shared" si="10"/>
        <v>64568.265957446805</v>
      </c>
      <c r="F26" s="134">
        <v>22526762</v>
      </c>
      <c r="G26" s="117">
        <f t="shared" si="11"/>
        <v>34235.200607902734</v>
      </c>
      <c r="H26" s="7"/>
      <c r="I26" s="150">
        <v>2.2498</v>
      </c>
      <c r="J26" s="134">
        <v>50680.709147600006</v>
      </c>
      <c r="K26" s="120">
        <f t="shared" si="12"/>
        <v>77.022354327659585</v>
      </c>
      <c r="L26" s="122">
        <f t="shared" si="3"/>
        <v>225267.62</v>
      </c>
      <c r="M26" s="116">
        <f t="shared" si="4"/>
        <v>174586.9108524</v>
      </c>
      <c r="N26" s="123">
        <f t="shared" si="5"/>
        <v>265.32965175136781</v>
      </c>
      <c r="O26" s="5"/>
      <c r="P26" s="5">
        <f t="shared" si="6"/>
        <v>1</v>
      </c>
      <c r="Q26" s="7">
        <f t="shared" si="7"/>
        <v>658</v>
      </c>
      <c r="W26" s="124">
        <f t="shared" si="8"/>
        <v>50680.709147600006</v>
      </c>
      <c r="X26">
        <f t="shared" si="9"/>
        <v>0</v>
      </c>
    </row>
    <row r="27" spans="1:24">
      <c r="A27" s="23" t="s">
        <v>31</v>
      </c>
      <c r="B27" s="35" t="s">
        <v>28</v>
      </c>
      <c r="C27" s="97">
        <v>5893</v>
      </c>
      <c r="D27" s="132">
        <v>464667886</v>
      </c>
      <c r="E27" s="116">
        <f t="shared" si="10"/>
        <v>78850.820634651274</v>
      </c>
      <c r="F27" s="134">
        <v>286002212</v>
      </c>
      <c r="G27" s="117">
        <f t="shared" si="11"/>
        <v>48532.532156796202</v>
      </c>
      <c r="H27" s="7"/>
      <c r="I27" s="150">
        <v>4.3879000000000001</v>
      </c>
      <c r="J27" s="134">
        <v>1254949.1060347999</v>
      </c>
      <c r="K27" s="120">
        <f t="shared" si="12"/>
        <v>212.95589785080602</v>
      </c>
      <c r="L27" s="122">
        <f t="shared" si="3"/>
        <v>2860022.12</v>
      </c>
      <c r="M27" s="116">
        <f t="shared" si="4"/>
        <v>1605073.0139652002</v>
      </c>
      <c r="N27" s="123">
        <f t="shared" si="5"/>
        <v>272.369423717156</v>
      </c>
      <c r="O27" s="5"/>
      <c r="P27" s="5">
        <f t="shared" si="6"/>
        <v>1</v>
      </c>
      <c r="Q27" s="7">
        <f t="shared" si="7"/>
        <v>5893</v>
      </c>
      <c r="S27" s="124">
        <f>SUM(D24:D27)</f>
        <v>558434903</v>
      </c>
      <c r="T27" s="124">
        <f>SUM(F24:F27)</f>
        <v>335838374</v>
      </c>
      <c r="U27" s="124">
        <f>SUM(J24:J27)</f>
        <v>1337466.4083731999</v>
      </c>
      <c r="W27" s="124">
        <f t="shared" si="8"/>
        <v>1254949.1060347999</v>
      </c>
      <c r="X27">
        <f t="shared" si="9"/>
        <v>0</v>
      </c>
    </row>
    <row r="28" spans="1:24">
      <c r="A28" s="23" t="s">
        <v>32</v>
      </c>
      <c r="B28" s="35" t="s">
        <v>33</v>
      </c>
      <c r="C28" s="97">
        <v>10002</v>
      </c>
      <c r="D28" s="132">
        <v>2853422598</v>
      </c>
      <c r="E28" s="116">
        <f t="shared" si="10"/>
        <v>285285.20275944809</v>
      </c>
      <c r="F28" s="134">
        <v>2077522057</v>
      </c>
      <c r="G28" s="117">
        <f t="shared" si="11"/>
        <v>207710.66356728654</v>
      </c>
      <c r="H28" s="7"/>
      <c r="I28" s="150">
        <v>3.2</v>
      </c>
      <c r="J28" s="134">
        <v>6648070.5824000007</v>
      </c>
      <c r="K28" s="120">
        <f t="shared" si="12"/>
        <v>664.67412341531701</v>
      </c>
      <c r="L28" s="122">
        <f t="shared" si="3"/>
        <v>20775220.57</v>
      </c>
      <c r="M28" s="116">
        <f t="shared" si="4"/>
        <v>14127149.987599999</v>
      </c>
      <c r="N28" s="123">
        <f t="shared" si="5"/>
        <v>1412.4325122575483</v>
      </c>
      <c r="O28" s="5"/>
      <c r="P28" s="5">
        <f t="shared" si="6"/>
        <v>1</v>
      </c>
      <c r="Q28" s="7">
        <f t="shared" si="7"/>
        <v>10002</v>
      </c>
      <c r="W28" s="124">
        <f t="shared" si="8"/>
        <v>6648070.5824000007</v>
      </c>
      <c r="X28">
        <f t="shared" si="9"/>
        <v>0</v>
      </c>
    </row>
    <row r="29" spans="1:24">
      <c r="A29" s="23" t="s">
        <v>34</v>
      </c>
      <c r="B29" s="35" t="s">
        <v>33</v>
      </c>
      <c r="C29" s="97">
        <v>21123</v>
      </c>
      <c r="D29" s="132">
        <v>2946181527</v>
      </c>
      <c r="E29" s="116">
        <f t="shared" si="10"/>
        <v>139477.41925862804</v>
      </c>
      <c r="F29" s="134">
        <v>1841253674</v>
      </c>
      <c r="G29" s="117">
        <f t="shared" si="11"/>
        <v>87168.189840458275</v>
      </c>
      <c r="H29" s="7"/>
      <c r="I29" s="136">
        <v>6.9531999999999998</v>
      </c>
      <c r="J29" s="134">
        <v>12802605.0460568</v>
      </c>
      <c r="K29" s="120">
        <f t="shared" si="12"/>
        <v>606.09785759867441</v>
      </c>
      <c r="L29" s="122">
        <f t="shared" si="3"/>
        <v>18412536.740000002</v>
      </c>
      <c r="M29" s="116">
        <f t="shared" si="4"/>
        <v>5609931.6939432025</v>
      </c>
      <c r="N29" s="123">
        <f t="shared" si="5"/>
        <v>265.58404080590839</v>
      </c>
      <c r="O29" s="5"/>
      <c r="P29" s="5">
        <f t="shared" si="6"/>
        <v>1</v>
      </c>
      <c r="Q29" s="7">
        <f t="shared" si="7"/>
        <v>21123</v>
      </c>
      <c r="W29" s="124">
        <f t="shared" si="8"/>
        <v>12802605.0460568</v>
      </c>
      <c r="X29">
        <f t="shared" si="9"/>
        <v>0</v>
      </c>
    </row>
    <row r="30" spans="1:24">
      <c r="A30" s="23" t="s">
        <v>35</v>
      </c>
      <c r="B30" s="35" t="s">
        <v>33</v>
      </c>
      <c r="C30" s="97">
        <v>11349</v>
      </c>
      <c r="D30" s="132">
        <v>4963684492</v>
      </c>
      <c r="E30" s="116">
        <f t="shared" si="10"/>
        <v>437367.56471935852</v>
      </c>
      <c r="F30" s="134">
        <v>3164605821</v>
      </c>
      <c r="G30" s="117">
        <f t="shared" si="11"/>
        <v>278844.46391752578</v>
      </c>
      <c r="H30" s="7"/>
      <c r="I30" s="136">
        <v>6.1643999999999997</v>
      </c>
      <c r="J30" s="134">
        <v>19507896.122972399</v>
      </c>
      <c r="K30" s="120">
        <f t="shared" si="12"/>
        <v>1718.9088133731957</v>
      </c>
      <c r="L30" s="122">
        <f t="shared" si="3"/>
        <v>31646058.210000001</v>
      </c>
      <c r="M30" s="116">
        <f t="shared" si="4"/>
        <v>12138162.087027602</v>
      </c>
      <c r="N30" s="123">
        <f t="shared" si="5"/>
        <v>1069.5358258020619</v>
      </c>
      <c r="O30" s="5"/>
      <c r="P30" s="5">
        <f t="shared" si="6"/>
        <v>1</v>
      </c>
      <c r="Q30" s="7">
        <f t="shared" si="7"/>
        <v>11349</v>
      </c>
      <c r="W30" s="124">
        <f t="shared" si="8"/>
        <v>19507896.122972399</v>
      </c>
      <c r="X30">
        <f t="shared" si="9"/>
        <v>0</v>
      </c>
    </row>
    <row r="31" spans="1:24">
      <c r="A31" s="23" t="s">
        <v>530</v>
      </c>
      <c r="B31" s="35" t="s">
        <v>33</v>
      </c>
      <c r="C31" s="97">
        <v>5441</v>
      </c>
      <c r="D31" s="132">
        <v>1294835730</v>
      </c>
      <c r="E31" s="116">
        <f t="shared" si="10"/>
        <v>237977.52802793603</v>
      </c>
      <c r="F31" s="134">
        <v>737728773</v>
      </c>
      <c r="G31" s="117">
        <f t="shared" si="11"/>
        <v>135586.98272376403</v>
      </c>
      <c r="H31" s="9"/>
      <c r="I31" s="136">
        <v>1.3038000000000001</v>
      </c>
      <c r="J31" s="134">
        <v>961850.77423740004</v>
      </c>
      <c r="K31" s="120">
        <f t="shared" si="12"/>
        <v>176.77830807524353</v>
      </c>
      <c r="L31" s="122">
        <f t="shared" si="3"/>
        <v>7377287.7300000004</v>
      </c>
      <c r="M31" s="116">
        <f t="shared" si="4"/>
        <v>6415436.9557626005</v>
      </c>
      <c r="N31" s="123">
        <f t="shared" si="5"/>
        <v>1179.0915191623967</v>
      </c>
      <c r="O31" s="5"/>
      <c r="P31" s="5">
        <f t="shared" si="6"/>
        <v>1</v>
      </c>
      <c r="Q31" s="7">
        <f t="shared" si="7"/>
        <v>5441</v>
      </c>
      <c r="W31" s="124">
        <f t="shared" si="8"/>
        <v>961850.77423740015</v>
      </c>
      <c r="X31">
        <f t="shared" si="9"/>
        <v>0</v>
      </c>
    </row>
    <row r="32" spans="1:24">
      <c r="A32" s="23" t="s">
        <v>36</v>
      </c>
      <c r="B32" s="35" t="s">
        <v>33</v>
      </c>
      <c r="C32" s="97">
        <v>3009</v>
      </c>
      <c r="D32" s="132">
        <v>1027122555</v>
      </c>
      <c r="E32" s="116">
        <f t="shared" si="10"/>
        <v>341350.13459621137</v>
      </c>
      <c r="F32" s="134">
        <v>652633495</v>
      </c>
      <c r="G32" s="117">
        <f t="shared" si="11"/>
        <v>216893.81688268526</v>
      </c>
      <c r="H32" s="7"/>
      <c r="I32" s="136">
        <v>5.9999000000000002</v>
      </c>
      <c r="J32" s="134">
        <v>3915735.7066505002</v>
      </c>
      <c r="K32" s="120">
        <f t="shared" si="12"/>
        <v>1301.3412119144234</v>
      </c>
      <c r="L32" s="122">
        <f t="shared" si="3"/>
        <v>6526334.9500000002</v>
      </c>
      <c r="M32" s="116">
        <f t="shared" si="4"/>
        <v>2610599.2433495</v>
      </c>
      <c r="N32" s="123">
        <f t="shared" si="5"/>
        <v>867.59695691242939</v>
      </c>
      <c r="O32" s="5"/>
      <c r="P32" s="5">
        <f t="shared" si="6"/>
        <v>1</v>
      </c>
      <c r="Q32" s="7">
        <f t="shared" si="7"/>
        <v>3009</v>
      </c>
      <c r="W32" s="124">
        <f t="shared" si="8"/>
        <v>3915735.7066504997</v>
      </c>
      <c r="X32">
        <f t="shared" si="9"/>
        <v>0</v>
      </c>
    </row>
    <row r="33" spans="1:24">
      <c r="A33" s="23" t="s">
        <v>37</v>
      </c>
      <c r="B33" s="35" t="s">
        <v>33</v>
      </c>
      <c r="C33" s="97">
        <v>8984</v>
      </c>
      <c r="D33" s="132">
        <v>2266359980</v>
      </c>
      <c r="E33" s="116">
        <f t="shared" si="10"/>
        <v>252266.24888691006</v>
      </c>
      <c r="F33" s="134">
        <v>1420779611</v>
      </c>
      <c r="G33" s="117">
        <f t="shared" si="11"/>
        <v>158145.54886464827</v>
      </c>
      <c r="H33" s="7"/>
      <c r="I33" s="136">
        <v>5.5167999999999999</v>
      </c>
      <c r="J33" s="134">
        <v>7838156.9579648003</v>
      </c>
      <c r="K33" s="120">
        <f t="shared" si="12"/>
        <v>872.45736397649159</v>
      </c>
      <c r="L33" s="122">
        <f t="shared" si="3"/>
        <v>14207796.109999999</v>
      </c>
      <c r="M33" s="116">
        <f t="shared" si="4"/>
        <v>6369639.1520351991</v>
      </c>
      <c r="N33" s="123">
        <f t="shared" si="5"/>
        <v>708.99812466999094</v>
      </c>
      <c r="O33" s="5"/>
      <c r="P33" s="5">
        <f t="shared" si="6"/>
        <v>1</v>
      </c>
      <c r="Q33" s="7">
        <f t="shared" si="7"/>
        <v>8984</v>
      </c>
      <c r="W33" s="124">
        <f t="shared" si="8"/>
        <v>7838156.9579647994</v>
      </c>
      <c r="X33">
        <f t="shared" si="9"/>
        <v>0</v>
      </c>
    </row>
    <row r="34" spans="1:24">
      <c r="A34" s="23" t="s">
        <v>38</v>
      </c>
      <c r="B34" s="35" t="s">
        <v>33</v>
      </c>
      <c r="C34" s="97">
        <v>3118</v>
      </c>
      <c r="D34" s="132">
        <v>748984435</v>
      </c>
      <c r="E34" s="116">
        <f t="shared" si="10"/>
        <v>240213.09653624118</v>
      </c>
      <c r="F34" s="134">
        <v>442582853</v>
      </c>
      <c r="G34" s="117">
        <f t="shared" si="11"/>
        <v>141944.46856959589</v>
      </c>
      <c r="H34" s="7"/>
      <c r="I34" s="136">
        <v>4.5</v>
      </c>
      <c r="J34" s="134">
        <v>1991622.8385000001</v>
      </c>
      <c r="K34" s="120">
        <f t="shared" si="12"/>
        <v>638.75010856318158</v>
      </c>
      <c r="L34" s="122">
        <f t="shared" si="3"/>
        <v>4425828.53</v>
      </c>
      <c r="M34" s="116">
        <f t="shared" si="4"/>
        <v>2434205.6915000002</v>
      </c>
      <c r="N34" s="123">
        <f t="shared" si="5"/>
        <v>780.69457713277745</v>
      </c>
      <c r="O34" s="5"/>
      <c r="P34" s="5">
        <f t="shared" si="6"/>
        <v>1</v>
      </c>
      <c r="Q34" s="7">
        <f t="shared" si="7"/>
        <v>3118</v>
      </c>
      <c r="W34" s="124">
        <f t="shared" si="8"/>
        <v>1991622.8384999998</v>
      </c>
      <c r="X34">
        <f t="shared" si="9"/>
        <v>0</v>
      </c>
    </row>
    <row r="35" spans="1:24">
      <c r="A35" s="23" t="s">
        <v>39</v>
      </c>
      <c r="B35" s="35" t="s">
        <v>33</v>
      </c>
      <c r="C35" s="97">
        <v>87846</v>
      </c>
      <c r="D35" s="132">
        <v>14728145408</v>
      </c>
      <c r="E35" s="116">
        <f t="shared" si="10"/>
        <v>167658.69143728798</v>
      </c>
      <c r="F35" s="134">
        <v>8444232139</v>
      </c>
      <c r="G35" s="117">
        <f t="shared" si="11"/>
        <v>96125.402852719533</v>
      </c>
      <c r="H35" s="7"/>
      <c r="I35" s="136">
        <v>6.5465999999999998</v>
      </c>
      <c r="J35" s="134">
        <v>55281010.121177398</v>
      </c>
      <c r="K35" s="120">
        <f t="shared" si="12"/>
        <v>629.29456231561369</v>
      </c>
      <c r="L35" s="122">
        <f t="shared" si="3"/>
        <v>84442321.390000001</v>
      </c>
      <c r="M35" s="116">
        <f t="shared" si="4"/>
        <v>29161311.268822603</v>
      </c>
      <c r="N35" s="123">
        <f t="shared" si="5"/>
        <v>331.95946621158168</v>
      </c>
      <c r="O35" s="5"/>
      <c r="P35" s="5">
        <f t="shared" si="6"/>
        <v>1</v>
      </c>
      <c r="Q35" s="7">
        <f t="shared" si="7"/>
        <v>87846</v>
      </c>
      <c r="W35" s="124">
        <f t="shared" si="8"/>
        <v>55281010.121177398</v>
      </c>
      <c r="X35">
        <f t="shared" si="9"/>
        <v>0</v>
      </c>
    </row>
    <row r="36" spans="1:24">
      <c r="A36" s="23" t="s">
        <v>40</v>
      </c>
      <c r="B36" s="35" t="s">
        <v>33</v>
      </c>
      <c r="C36" s="97">
        <v>3306</v>
      </c>
      <c r="D36" s="132">
        <v>1148895515</v>
      </c>
      <c r="E36" s="116">
        <f t="shared" si="10"/>
        <v>347518.30459770112</v>
      </c>
      <c r="F36" s="134">
        <v>652190456</v>
      </c>
      <c r="G36" s="117">
        <f t="shared" si="11"/>
        <v>197274.79007864487</v>
      </c>
      <c r="H36" s="7"/>
      <c r="I36" s="136">
        <v>4.4770000000000003</v>
      </c>
      <c r="J36" s="134">
        <v>2919856.6715120003</v>
      </c>
      <c r="K36" s="120">
        <f t="shared" si="12"/>
        <v>883.19923518209328</v>
      </c>
      <c r="L36" s="122">
        <f t="shared" si="3"/>
        <v>6521904.5600000005</v>
      </c>
      <c r="M36" s="116">
        <f t="shared" si="4"/>
        <v>3602047.8884880003</v>
      </c>
      <c r="N36" s="123">
        <f t="shared" si="5"/>
        <v>1089.5486656043558</v>
      </c>
      <c r="O36" s="5"/>
      <c r="P36" s="5">
        <f t="shared" si="6"/>
        <v>1</v>
      </c>
      <c r="Q36" s="7">
        <f t="shared" si="7"/>
        <v>3306</v>
      </c>
      <c r="W36" s="124">
        <f t="shared" si="8"/>
        <v>2919856.6715120003</v>
      </c>
      <c r="X36">
        <f t="shared" si="9"/>
        <v>0</v>
      </c>
    </row>
    <row r="37" spans="1:24">
      <c r="A37" s="23" t="s">
        <v>41</v>
      </c>
      <c r="B37" s="35" t="s">
        <v>33</v>
      </c>
      <c r="C37" s="97">
        <v>684</v>
      </c>
      <c r="D37" s="132">
        <v>135827104</v>
      </c>
      <c r="E37" s="116">
        <f t="shared" si="10"/>
        <v>198577.63742690059</v>
      </c>
      <c r="F37" s="134">
        <v>74205897</v>
      </c>
      <c r="G37" s="117">
        <f t="shared" si="11"/>
        <v>108488.15350877192</v>
      </c>
      <c r="H37" s="7"/>
      <c r="I37" s="136">
        <v>6.85</v>
      </c>
      <c r="J37" s="134">
        <v>508310.39444999996</v>
      </c>
      <c r="K37" s="120">
        <f t="shared" si="12"/>
        <v>743.14385153508772</v>
      </c>
      <c r="L37" s="122">
        <f t="shared" si="3"/>
        <v>742058.97</v>
      </c>
      <c r="M37" s="116">
        <f t="shared" si="4"/>
        <v>233748.57555000001</v>
      </c>
      <c r="N37" s="123">
        <f t="shared" si="5"/>
        <v>341.73768355263161</v>
      </c>
      <c r="O37" s="5"/>
      <c r="P37" s="5">
        <f t="shared" si="6"/>
        <v>1</v>
      </c>
      <c r="Q37" s="7">
        <f t="shared" si="7"/>
        <v>684</v>
      </c>
      <c r="W37" s="124">
        <f t="shared" si="8"/>
        <v>508310.39444999996</v>
      </c>
      <c r="X37">
        <f t="shared" si="9"/>
        <v>0</v>
      </c>
    </row>
    <row r="38" spans="1:24">
      <c r="A38" s="23" t="s">
        <v>42</v>
      </c>
      <c r="B38" s="35" t="s">
        <v>33</v>
      </c>
      <c r="C38" s="97">
        <v>140199</v>
      </c>
      <c r="D38" s="132">
        <v>17147355912</v>
      </c>
      <c r="E38" s="116">
        <f t="shared" si="10"/>
        <v>122307.2626195622</v>
      </c>
      <c r="F38" s="134">
        <v>9277239800</v>
      </c>
      <c r="G38" s="117">
        <f t="shared" si="11"/>
        <v>66171.939885448548</v>
      </c>
      <c r="H38" s="7"/>
      <c r="I38" s="136">
        <v>6.7339000000000002</v>
      </c>
      <c r="J38" s="134">
        <v>62472005.089220002</v>
      </c>
      <c r="K38" s="120">
        <f t="shared" si="12"/>
        <v>445.59522599462196</v>
      </c>
      <c r="L38" s="122">
        <f t="shared" si="3"/>
        <v>92772398</v>
      </c>
      <c r="M38" s="116">
        <f t="shared" si="4"/>
        <v>30300392.910779998</v>
      </c>
      <c r="N38" s="123">
        <f t="shared" si="5"/>
        <v>216.12417285986345</v>
      </c>
      <c r="O38" s="5"/>
      <c r="P38" s="5">
        <f t="shared" si="6"/>
        <v>1</v>
      </c>
      <c r="Q38" s="7">
        <f t="shared" si="7"/>
        <v>140199</v>
      </c>
      <c r="W38" s="124">
        <f t="shared" si="8"/>
        <v>62472005.089220002</v>
      </c>
      <c r="X38">
        <f t="shared" si="9"/>
        <v>0</v>
      </c>
    </row>
    <row r="39" spans="1:24">
      <c r="A39" s="23" t="s">
        <v>43</v>
      </c>
      <c r="B39" s="35" t="s">
        <v>33</v>
      </c>
      <c r="C39" s="97">
        <v>1197</v>
      </c>
      <c r="D39" s="147" t="s">
        <v>564</v>
      </c>
      <c r="E39" s="116"/>
      <c r="F39" s="134"/>
      <c r="G39" s="117"/>
      <c r="H39" s="98" t="s">
        <v>588</v>
      </c>
      <c r="I39" s="136"/>
      <c r="J39" s="134"/>
      <c r="K39" s="120"/>
      <c r="L39" s="122">
        <f t="shared" si="3"/>
        <v>0</v>
      </c>
      <c r="M39" s="116">
        <f t="shared" si="4"/>
        <v>0</v>
      </c>
      <c r="N39" s="123">
        <f t="shared" si="5"/>
        <v>0</v>
      </c>
      <c r="O39" s="5"/>
      <c r="P39" s="5">
        <f t="shared" si="6"/>
        <v>0</v>
      </c>
      <c r="Q39" s="7">
        <f t="shared" si="7"/>
        <v>0</v>
      </c>
      <c r="W39" s="124">
        <f t="shared" si="8"/>
        <v>0</v>
      </c>
      <c r="X39">
        <f t="shared" si="9"/>
        <v>0</v>
      </c>
    </row>
    <row r="40" spans="1:24">
      <c r="A40" s="23" t="s">
        <v>44</v>
      </c>
      <c r="B40" s="35" t="s">
        <v>33</v>
      </c>
      <c r="C40" s="97">
        <v>29134</v>
      </c>
      <c r="D40" s="132">
        <v>4574068626</v>
      </c>
      <c r="E40" s="116">
        <f t="shared" ref="E40:E74" si="13">(D40/C40)</f>
        <v>157001.05121164274</v>
      </c>
      <c r="F40" s="134">
        <v>2571699021</v>
      </c>
      <c r="G40" s="117">
        <f t="shared" ref="G40:G74" si="14">(F40/C40)</f>
        <v>88271.401832910007</v>
      </c>
      <c r="H40" s="7"/>
      <c r="I40" s="136">
        <v>5.38</v>
      </c>
      <c r="J40" s="134">
        <v>13835740.73298</v>
      </c>
      <c r="K40" s="120">
        <f t="shared" ref="K40:K74" si="15">(J40/C40)</f>
        <v>474.90014186105583</v>
      </c>
      <c r="L40" s="122">
        <f t="shared" si="3"/>
        <v>25716990.210000001</v>
      </c>
      <c r="M40" s="116">
        <f t="shared" si="4"/>
        <v>11881249.477020001</v>
      </c>
      <c r="N40" s="123">
        <f t="shared" si="5"/>
        <v>407.81387646804427</v>
      </c>
      <c r="O40" s="5"/>
      <c r="P40" s="5">
        <f t="shared" si="6"/>
        <v>1</v>
      </c>
      <c r="Q40" s="7">
        <f t="shared" si="7"/>
        <v>29134</v>
      </c>
      <c r="W40" s="124">
        <f t="shared" si="8"/>
        <v>13835740.73298</v>
      </c>
      <c r="X40">
        <f t="shared" si="9"/>
        <v>0</v>
      </c>
    </row>
    <row r="41" spans="1:24">
      <c r="A41" s="23" t="s">
        <v>45</v>
      </c>
      <c r="B41" s="35" t="s">
        <v>33</v>
      </c>
      <c r="C41" s="97">
        <v>11453</v>
      </c>
      <c r="D41" s="132">
        <v>2834009683</v>
      </c>
      <c r="E41" s="116">
        <f t="shared" si="13"/>
        <v>247446.92945079893</v>
      </c>
      <c r="F41" s="134">
        <v>1547730731</v>
      </c>
      <c r="G41" s="117">
        <f t="shared" si="14"/>
        <v>135137.58238016241</v>
      </c>
      <c r="H41" s="7"/>
      <c r="I41" s="136">
        <v>7.9812000000000003</v>
      </c>
      <c r="J41" s="153">
        <v>12352748.510257199</v>
      </c>
      <c r="K41" s="120">
        <f t="shared" si="15"/>
        <v>1078.5600724925521</v>
      </c>
      <c r="L41" s="122">
        <f t="shared" si="3"/>
        <v>15477307.310000001</v>
      </c>
      <c r="M41" s="116">
        <f t="shared" si="4"/>
        <v>3124558.7997428011</v>
      </c>
      <c r="N41" s="123">
        <f t="shared" si="5"/>
        <v>272.81575130907197</v>
      </c>
      <c r="O41" s="5"/>
      <c r="P41" s="5">
        <f t="shared" si="6"/>
        <v>1</v>
      </c>
      <c r="Q41" s="7">
        <f t="shared" si="7"/>
        <v>11453</v>
      </c>
      <c r="W41" s="124">
        <f t="shared" si="8"/>
        <v>12352748.510257201</v>
      </c>
      <c r="X41">
        <f t="shared" si="9"/>
        <v>0</v>
      </c>
    </row>
    <row r="42" spans="1:24">
      <c r="A42" s="23" t="s">
        <v>46</v>
      </c>
      <c r="B42" s="35" t="s">
        <v>33</v>
      </c>
      <c r="C42" s="97">
        <v>50547</v>
      </c>
      <c r="D42" s="132">
        <v>6441650923</v>
      </c>
      <c r="E42" s="116">
        <f t="shared" si="13"/>
        <v>127438.83757690863</v>
      </c>
      <c r="F42" s="134">
        <v>3523703738</v>
      </c>
      <c r="G42" s="117">
        <f t="shared" si="14"/>
        <v>69711.431697232285</v>
      </c>
      <c r="H42" s="7"/>
      <c r="I42" s="136">
        <v>6.5816999999999997</v>
      </c>
      <c r="J42" s="134">
        <v>23191960.892394599</v>
      </c>
      <c r="K42" s="120">
        <f t="shared" si="15"/>
        <v>458.81973000167363</v>
      </c>
      <c r="L42" s="122">
        <f t="shared" si="3"/>
        <v>35237037.380000003</v>
      </c>
      <c r="M42" s="116">
        <f t="shared" si="4"/>
        <v>12045076.487605404</v>
      </c>
      <c r="N42" s="123">
        <f t="shared" si="5"/>
        <v>238.29458697064919</v>
      </c>
      <c r="O42" s="5"/>
      <c r="P42" s="5">
        <f t="shared" si="6"/>
        <v>1</v>
      </c>
      <c r="Q42" s="7">
        <f t="shared" si="7"/>
        <v>50547</v>
      </c>
      <c r="W42" s="124">
        <f t="shared" si="8"/>
        <v>23191960.892394599</v>
      </c>
      <c r="X42">
        <f t="shared" si="9"/>
        <v>0</v>
      </c>
    </row>
    <row r="43" spans="1:24">
      <c r="A43" s="23" t="s">
        <v>47</v>
      </c>
      <c r="B43" s="35" t="s">
        <v>33</v>
      </c>
      <c r="C43" s="97">
        <v>30443</v>
      </c>
      <c r="D43" s="132">
        <v>4801783951</v>
      </c>
      <c r="E43" s="116">
        <f t="shared" si="13"/>
        <v>157730.31406234603</v>
      </c>
      <c r="F43" s="134">
        <v>3070702661</v>
      </c>
      <c r="G43" s="117">
        <f t="shared" si="14"/>
        <v>100867.2818381894</v>
      </c>
      <c r="H43" s="98"/>
      <c r="I43" s="136">
        <v>1.8843000000000001</v>
      </c>
      <c r="J43" s="134">
        <v>5786125.0241223006</v>
      </c>
      <c r="K43" s="120">
        <f t="shared" si="15"/>
        <v>190.06421916770032</v>
      </c>
      <c r="L43" s="122">
        <f t="shared" si="3"/>
        <v>30707026.609999999</v>
      </c>
      <c r="M43" s="116">
        <f t="shared" si="4"/>
        <v>24920901.585877698</v>
      </c>
      <c r="N43" s="123">
        <f t="shared" si="5"/>
        <v>818.60859921419365</v>
      </c>
      <c r="O43" s="5"/>
      <c r="P43" s="5">
        <f t="shared" si="6"/>
        <v>1</v>
      </c>
      <c r="Q43" s="7">
        <f t="shared" si="7"/>
        <v>30443</v>
      </c>
      <c r="S43" s="124">
        <f>SUM(D28:D43)</f>
        <v>67912328439</v>
      </c>
      <c r="T43" s="124">
        <f>SUM(F28:F43)</f>
        <v>39498810727</v>
      </c>
      <c r="U43" s="124">
        <f>SUM(J28:J43)</f>
        <v>230013695.46489543</v>
      </c>
      <c r="W43" s="124">
        <f t="shared" si="8"/>
        <v>5786125.0241222996</v>
      </c>
      <c r="X43">
        <f t="shared" si="9"/>
        <v>0</v>
      </c>
    </row>
    <row r="44" spans="1:24">
      <c r="A44" s="23" t="s">
        <v>48</v>
      </c>
      <c r="B44" s="35" t="s">
        <v>49</v>
      </c>
      <c r="C44" s="97">
        <v>57702</v>
      </c>
      <c r="D44" s="132">
        <v>10431638703</v>
      </c>
      <c r="E44" s="116">
        <f t="shared" si="13"/>
        <v>180784.69902256422</v>
      </c>
      <c r="F44" s="134">
        <v>6103341186</v>
      </c>
      <c r="G44" s="117">
        <f t="shared" si="14"/>
        <v>105773.47727981699</v>
      </c>
      <c r="H44" s="98"/>
      <c r="I44" s="150">
        <v>6.8987999999999996</v>
      </c>
      <c r="J44" s="134">
        <v>42105730.173976801</v>
      </c>
      <c r="K44" s="120">
        <f t="shared" si="15"/>
        <v>729.71006505800153</v>
      </c>
      <c r="L44" s="122">
        <f t="shared" si="3"/>
        <v>61033411.859999999</v>
      </c>
      <c r="M44" s="116">
        <f t="shared" si="4"/>
        <v>18927681.686023198</v>
      </c>
      <c r="N44" s="123">
        <f t="shared" si="5"/>
        <v>328.02470774016842</v>
      </c>
      <c r="O44" s="5"/>
      <c r="P44" s="5">
        <f t="shared" si="6"/>
        <v>1</v>
      </c>
      <c r="Q44" s="7">
        <f t="shared" si="7"/>
        <v>57702</v>
      </c>
      <c r="W44" s="124">
        <f t="shared" si="8"/>
        <v>42105730.173976794</v>
      </c>
      <c r="X44">
        <f t="shared" si="9"/>
        <v>0</v>
      </c>
    </row>
    <row r="45" spans="1:24">
      <c r="A45" s="23" t="s">
        <v>50</v>
      </c>
      <c r="B45" s="35" t="s">
        <v>49</v>
      </c>
      <c r="C45" s="97">
        <v>35024</v>
      </c>
      <c r="D45" s="132">
        <v>8190188178</v>
      </c>
      <c r="E45" s="116">
        <f t="shared" si="13"/>
        <v>233845.02563956144</v>
      </c>
      <c r="F45" s="134">
        <v>4394536498</v>
      </c>
      <c r="G45" s="117">
        <f t="shared" si="14"/>
        <v>125472.14761306533</v>
      </c>
      <c r="H45" s="98"/>
      <c r="I45" s="136">
        <v>5.8550000000000004</v>
      </c>
      <c r="J45" s="134">
        <v>25730011.19579</v>
      </c>
      <c r="K45" s="120">
        <f t="shared" si="15"/>
        <v>734.63942427449751</v>
      </c>
      <c r="L45" s="122">
        <f t="shared" si="3"/>
        <v>43945364.980000004</v>
      </c>
      <c r="M45" s="116">
        <f t="shared" si="4"/>
        <v>18215353.784210004</v>
      </c>
      <c r="N45" s="123">
        <f t="shared" si="5"/>
        <v>520.08205185615589</v>
      </c>
      <c r="O45" s="5"/>
      <c r="P45" s="5">
        <f t="shared" si="6"/>
        <v>1</v>
      </c>
      <c r="Q45" s="7">
        <f t="shared" si="7"/>
        <v>35024</v>
      </c>
      <c r="W45" s="124">
        <f t="shared" si="8"/>
        <v>25730011.195790004</v>
      </c>
      <c r="X45">
        <f t="shared" si="9"/>
        <v>0</v>
      </c>
    </row>
    <row r="46" spans="1:24">
      <c r="A46" s="23" t="s">
        <v>51</v>
      </c>
      <c r="B46" s="35" t="s">
        <v>49</v>
      </c>
      <c r="C46" s="97">
        <v>135191</v>
      </c>
      <c r="D46" s="132">
        <v>24769474248</v>
      </c>
      <c r="E46" s="116">
        <f t="shared" si="13"/>
        <v>183218.36696229779</v>
      </c>
      <c r="F46" s="134">
        <v>15138332782</v>
      </c>
      <c r="G46" s="117">
        <f t="shared" si="14"/>
        <v>111977.37114157008</v>
      </c>
      <c r="H46" s="98"/>
      <c r="I46" s="136">
        <v>6.0232000000000001</v>
      </c>
      <c r="J46" s="134">
        <v>91181206.012542397</v>
      </c>
      <c r="K46" s="120">
        <f t="shared" si="15"/>
        <v>674.46210185990481</v>
      </c>
      <c r="L46" s="122">
        <f t="shared" si="3"/>
        <v>151383327.81999999</v>
      </c>
      <c r="M46" s="116">
        <f t="shared" si="4"/>
        <v>60202121.807457596</v>
      </c>
      <c r="N46" s="123">
        <f t="shared" si="5"/>
        <v>445.31160955579583</v>
      </c>
      <c r="O46" s="5"/>
      <c r="P46" s="5">
        <f t="shared" si="6"/>
        <v>1</v>
      </c>
      <c r="Q46" s="7">
        <f t="shared" si="7"/>
        <v>135191</v>
      </c>
      <c r="W46" s="124">
        <f t="shared" si="8"/>
        <v>91181206.012542397</v>
      </c>
      <c r="X46">
        <f t="shared" si="9"/>
        <v>0</v>
      </c>
    </row>
    <row r="47" spans="1:24">
      <c r="A47" s="23" t="s">
        <v>464</v>
      </c>
      <c r="B47" s="35" t="s">
        <v>49</v>
      </c>
      <c r="C47" s="97">
        <v>33746</v>
      </c>
      <c r="D47" s="132">
        <v>9451622657</v>
      </c>
      <c r="E47" s="116">
        <f t="shared" si="13"/>
        <v>280081.27354353108</v>
      </c>
      <c r="F47" s="134">
        <v>7010906938</v>
      </c>
      <c r="G47" s="117">
        <f t="shared" si="14"/>
        <v>207755.19877911455</v>
      </c>
      <c r="H47" s="98"/>
      <c r="I47" s="136">
        <v>5.9997999999999996</v>
      </c>
      <c r="J47" s="134">
        <v>42064039.446612395</v>
      </c>
      <c r="K47" s="120">
        <f t="shared" si="15"/>
        <v>1246.4896416349313</v>
      </c>
      <c r="L47" s="122">
        <f t="shared" si="3"/>
        <v>70109069.379999995</v>
      </c>
      <c r="M47" s="116">
        <f t="shared" si="4"/>
        <v>28045029.9333876</v>
      </c>
      <c r="N47" s="123">
        <f t="shared" si="5"/>
        <v>831.06234615621406</v>
      </c>
      <c r="O47" s="5"/>
      <c r="P47" s="5">
        <f t="shared" si="6"/>
        <v>1</v>
      </c>
      <c r="Q47" s="7">
        <f t="shared" si="7"/>
        <v>33746</v>
      </c>
      <c r="W47" s="124">
        <f t="shared" si="8"/>
        <v>42064039.446612395</v>
      </c>
      <c r="X47">
        <f t="shared" si="9"/>
        <v>0</v>
      </c>
    </row>
    <row r="48" spans="1:24">
      <c r="A48" s="23" t="s">
        <v>52</v>
      </c>
      <c r="B48" s="35" t="s">
        <v>49</v>
      </c>
      <c r="C48" s="97">
        <v>107410</v>
      </c>
      <c r="D48" s="132">
        <v>24932426068</v>
      </c>
      <c r="E48" s="116">
        <f t="shared" si="13"/>
        <v>232123.88109114609</v>
      </c>
      <c r="F48" s="134">
        <v>14891796458</v>
      </c>
      <c r="G48" s="117">
        <f t="shared" si="14"/>
        <v>138644.41353691462</v>
      </c>
      <c r="H48" s="98"/>
      <c r="I48" s="150">
        <v>5.625</v>
      </c>
      <c r="J48" s="134">
        <v>83766355.076250002</v>
      </c>
      <c r="K48" s="120">
        <f t="shared" si="15"/>
        <v>779.87482614514477</v>
      </c>
      <c r="L48" s="122">
        <f t="shared" si="3"/>
        <v>148917964.58000001</v>
      </c>
      <c r="M48" s="116">
        <f t="shared" si="4"/>
        <v>65151609.503750011</v>
      </c>
      <c r="N48" s="123">
        <f t="shared" si="5"/>
        <v>606.56930922400159</v>
      </c>
      <c r="O48" s="5"/>
      <c r="P48" s="5">
        <f t="shared" si="6"/>
        <v>1</v>
      </c>
      <c r="Q48" s="7">
        <f t="shared" si="7"/>
        <v>107410</v>
      </c>
      <c r="W48" s="124">
        <f t="shared" si="8"/>
        <v>83766355.076250002</v>
      </c>
      <c r="X48">
        <f t="shared" si="9"/>
        <v>0</v>
      </c>
    </row>
    <row r="49" spans="1:24">
      <c r="A49" s="23" t="s">
        <v>53</v>
      </c>
      <c r="B49" s="35" t="s">
        <v>49</v>
      </c>
      <c r="C49" s="97">
        <v>87402</v>
      </c>
      <c r="D49" s="132">
        <v>17305864657</v>
      </c>
      <c r="E49" s="116">
        <f t="shared" si="13"/>
        <v>198003.07380837968</v>
      </c>
      <c r="F49" s="134">
        <v>11329786079</v>
      </c>
      <c r="G49" s="117">
        <f t="shared" si="14"/>
        <v>129628.45334202879</v>
      </c>
      <c r="H49" s="98"/>
      <c r="I49" s="136">
        <v>6.0018000000000002</v>
      </c>
      <c r="J49" s="134">
        <v>67999110.0889422</v>
      </c>
      <c r="K49" s="120">
        <f t="shared" si="15"/>
        <v>778.00405126818839</v>
      </c>
      <c r="L49" s="122">
        <f t="shared" si="3"/>
        <v>113297860.79000001</v>
      </c>
      <c r="M49" s="116">
        <f t="shared" si="4"/>
        <v>45298750.701057807</v>
      </c>
      <c r="N49" s="123">
        <f t="shared" si="5"/>
        <v>518.28048215209958</v>
      </c>
      <c r="O49" s="5"/>
      <c r="P49" s="5">
        <f t="shared" si="6"/>
        <v>1</v>
      </c>
      <c r="Q49" s="7">
        <f t="shared" si="7"/>
        <v>87402</v>
      </c>
      <c r="W49" s="124">
        <f t="shared" si="8"/>
        <v>67999110.0889422</v>
      </c>
      <c r="X49">
        <f t="shared" si="9"/>
        <v>0</v>
      </c>
    </row>
    <row r="50" spans="1:24">
      <c r="A50" s="23" t="s">
        <v>54</v>
      </c>
      <c r="B50" s="35" t="s">
        <v>49</v>
      </c>
      <c r="C50" s="97">
        <v>189583</v>
      </c>
      <c r="D50" s="132">
        <v>84532371341</v>
      </c>
      <c r="E50" s="116">
        <f t="shared" si="13"/>
        <v>445885.81961990264</v>
      </c>
      <c r="F50" s="134">
        <v>59027765094</v>
      </c>
      <c r="G50" s="117">
        <f t="shared" si="14"/>
        <v>311355.79189062311</v>
      </c>
      <c r="H50" s="98"/>
      <c r="I50" s="136">
        <v>4.1193</v>
      </c>
      <c r="J50" s="134">
        <v>243153072.7517142</v>
      </c>
      <c r="K50" s="120">
        <f t="shared" si="15"/>
        <v>1282.5679135350438</v>
      </c>
      <c r="L50" s="122">
        <f t="shared" si="3"/>
        <v>590277650.94000006</v>
      </c>
      <c r="M50" s="116">
        <f t="shared" si="4"/>
        <v>347124578.18828583</v>
      </c>
      <c r="N50" s="123">
        <f t="shared" si="5"/>
        <v>1830.9900053711874</v>
      </c>
      <c r="O50" s="5"/>
      <c r="P50" s="5">
        <f t="shared" si="6"/>
        <v>1</v>
      </c>
      <c r="Q50" s="7">
        <f t="shared" si="7"/>
        <v>189583</v>
      </c>
      <c r="W50" s="124">
        <f t="shared" si="8"/>
        <v>243153072.7517142</v>
      </c>
      <c r="X50">
        <f t="shared" si="9"/>
        <v>0</v>
      </c>
    </row>
    <row r="51" spans="1:24">
      <c r="A51" s="23" t="s">
        <v>465</v>
      </c>
      <c r="B51" s="35" t="s">
        <v>49</v>
      </c>
      <c r="C51" s="97">
        <v>41771</v>
      </c>
      <c r="D51" s="132">
        <v>11757023361</v>
      </c>
      <c r="E51" s="116">
        <f t="shared" si="13"/>
        <v>281463.77537047234</v>
      </c>
      <c r="F51" s="134">
        <v>8469296842</v>
      </c>
      <c r="G51" s="117">
        <f t="shared" si="14"/>
        <v>202755.42462473965</v>
      </c>
      <c r="H51" s="98"/>
      <c r="I51" s="136">
        <v>7.5884</v>
      </c>
      <c r="J51" s="134">
        <v>64268412.155832805</v>
      </c>
      <c r="K51" s="120">
        <f t="shared" si="15"/>
        <v>1538.5892642223746</v>
      </c>
      <c r="L51" s="122">
        <f t="shared" si="3"/>
        <v>84692968.420000002</v>
      </c>
      <c r="M51" s="116">
        <f t="shared" si="4"/>
        <v>20424556.264167197</v>
      </c>
      <c r="N51" s="123">
        <f t="shared" si="5"/>
        <v>488.9649820250221</v>
      </c>
      <c r="O51" s="5"/>
      <c r="P51" s="5">
        <f t="shared" si="6"/>
        <v>1</v>
      </c>
      <c r="Q51" s="7">
        <f t="shared" si="7"/>
        <v>41771</v>
      </c>
      <c r="W51" s="124">
        <f t="shared" si="8"/>
        <v>64268412.155832805</v>
      </c>
      <c r="X51">
        <f t="shared" si="9"/>
        <v>0</v>
      </c>
    </row>
    <row r="52" spans="1:24">
      <c r="A52" s="23" t="s">
        <v>55</v>
      </c>
      <c r="B52" s="35" t="s">
        <v>49</v>
      </c>
      <c r="C52" s="97">
        <v>1971</v>
      </c>
      <c r="D52" s="132">
        <v>2449217489</v>
      </c>
      <c r="E52" s="116">
        <f t="shared" si="13"/>
        <v>1242626.8335870116</v>
      </c>
      <c r="F52" s="134">
        <v>1906864273</v>
      </c>
      <c r="G52" s="117">
        <f t="shared" si="14"/>
        <v>967460.31100963976</v>
      </c>
      <c r="H52" s="98"/>
      <c r="I52" s="136">
        <v>3.5</v>
      </c>
      <c r="J52" s="134">
        <v>6674024.9555000002</v>
      </c>
      <c r="K52" s="120">
        <f t="shared" si="15"/>
        <v>3386.1110885337393</v>
      </c>
      <c r="L52" s="122">
        <f t="shared" si="3"/>
        <v>19068642.73</v>
      </c>
      <c r="M52" s="116">
        <f t="shared" si="4"/>
        <v>12394617.774500001</v>
      </c>
      <c r="N52" s="123">
        <f t="shared" si="5"/>
        <v>6288.4920215626589</v>
      </c>
      <c r="O52" s="5"/>
      <c r="P52" s="5">
        <f t="shared" si="6"/>
        <v>1</v>
      </c>
      <c r="Q52" s="7">
        <f t="shared" si="7"/>
        <v>1971</v>
      </c>
      <c r="W52" s="124">
        <f t="shared" si="8"/>
        <v>6674024.9555000002</v>
      </c>
      <c r="X52">
        <f t="shared" si="9"/>
        <v>0</v>
      </c>
    </row>
    <row r="53" spans="1:24">
      <c r="A53" s="23" t="s">
        <v>56</v>
      </c>
      <c r="B53" s="35" t="s">
        <v>49</v>
      </c>
      <c r="C53" s="97">
        <v>155038</v>
      </c>
      <c r="D53" s="132">
        <v>39975781672</v>
      </c>
      <c r="E53" s="116">
        <f t="shared" si="13"/>
        <v>257845.0552251706</v>
      </c>
      <c r="F53" s="134">
        <v>25476407533</v>
      </c>
      <c r="G53" s="117">
        <f t="shared" si="14"/>
        <v>164323.63377365549</v>
      </c>
      <c r="H53" s="98"/>
      <c r="I53" s="136">
        <v>7.4478999999999997</v>
      </c>
      <c r="J53" s="134">
        <v>189745735.66503069</v>
      </c>
      <c r="K53" s="120">
        <f t="shared" si="15"/>
        <v>1223.8659919828087</v>
      </c>
      <c r="L53" s="122">
        <f t="shared" si="3"/>
        <v>254764075.33000001</v>
      </c>
      <c r="M53" s="116">
        <f t="shared" si="4"/>
        <v>65018339.664969325</v>
      </c>
      <c r="N53" s="123">
        <f t="shared" si="5"/>
        <v>419.37034575374634</v>
      </c>
      <c r="O53" s="5"/>
      <c r="P53" s="5">
        <f t="shared" si="6"/>
        <v>1</v>
      </c>
      <c r="Q53" s="7">
        <f t="shared" si="7"/>
        <v>155038</v>
      </c>
      <c r="W53" s="124">
        <f t="shared" si="8"/>
        <v>189745735.66503069</v>
      </c>
      <c r="X53">
        <f t="shared" si="9"/>
        <v>0</v>
      </c>
    </row>
    <row r="54" spans="1:24">
      <c r="A54" s="23" t="s">
        <v>57</v>
      </c>
      <c r="B54" s="35" t="s">
        <v>49</v>
      </c>
      <c r="C54" s="97">
        <v>36659</v>
      </c>
      <c r="D54" s="132">
        <v>3853468738</v>
      </c>
      <c r="E54" s="116">
        <f t="shared" si="13"/>
        <v>105116.58086690854</v>
      </c>
      <c r="F54" s="134">
        <v>2004470728</v>
      </c>
      <c r="G54" s="117">
        <f t="shared" si="14"/>
        <v>54678.816334324452</v>
      </c>
      <c r="H54" s="98"/>
      <c r="I54" s="136">
        <v>8.6</v>
      </c>
      <c r="J54" s="134">
        <v>17238448.2608</v>
      </c>
      <c r="K54" s="120">
        <f t="shared" si="15"/>
        <v>470.23782047519029</v>
      </c>
      <c r="L54" s="122">
        <f t="shared" si="3"/>
        <v>20044707.280000001</v>
      </c>
      <c r="M54" s="116">
        <f t="shared" si="4"/>
        <v>2806259.0192000009</v>
      </c>
      <c r="N54" s="123">
        <f t="shared" si="5"/>
        <v>76.550342868054258</v>
      </c>
      <c r="O54" s="5"/>
      <c r="P54" s="5">
        <f t="shared" si="6"/>
        <v>1</v>
      </c>
      <c r="Q54" s="7">
        <f t="shared" si="7"/>
        <v>36659</v>
      </c>
      <c r="W54" s="124">
        <f t="shared" si="8"/>
        <v>17238448.2608</v>
      </c>
      <c r="X54">
        <f t="shared" si="9"/>
        <v>0</v>
      </c>
    </row>
    <row r="55" spans="1:24">
      <c r="A55" s="23" t="s">
        <v>560</v>
      </c>
      <c r="B55" s="35" t="s">
        <v>49</v>
      </c>
      <c r="C55" s="97">
        <v>6181</v>
      </c>
      <c r="D55" s="132">
        <v>4948808201</v>
      </c>
      <c r="E55" s="116">
        <f t="shared" si="13"/>
        <v>800648.47128296387</v>
      </c>
      <c r="F55" s="134">
        <v>3632819912</v>
      </c>
      <c r="G55" s="117">
        <f t="shared" si="14"/>
        <v>587739.83368386992</v>
      </c>
      <c r="H55" s="98"/>
      <c r="I55" s="136">
        <v>3.9235000000000002</v>
      </c>
      <c r="J55" s="134">
        <v>14253368.924732</v>
      </c>
      <c r="K55" s="120">
        <f t="shared" si="15"/>
        <v>2305.9972374586637</v>
      </c>
      <c r="L55" s="122">
        <f t="shared" si="3"/>
        <v>36328199.119999997</v>
      </c>
      <c r="M55" s="116">
        <f t="shared" si="4"/>
        <v>22074830.195267998</v>
      </c>
      <c r="N55" s="123">
        <f t="shared" si="5"/>
        <v>3571.4010993800352</v>
      </c>
      <c r="O55" s="5"/>
      <c r="P55" s="5">
        <f t="shared" si="6"/>
        <v>1</v>
      </c>
      <c r="Q55" s="7">
        <f t="shared" si="7"/>
        <v>6181</v>
      </c>
      <c r="W55" s="124">
        <f t="shared" si="8"/>
        <v>14253368.924732</v>
      </c>
      <c r="X55">
        <f t="shared" si="9"/>
        <v>0</v>
      </c>
    </row>
    <row r="56" spans="1:24">
      <c r="A56" s="23" t="s">
        <v>58</v>
      </c>
      <c r="B56" s="35" t="s">
        <v>49</v>
      </c>
      <c r="C56" s="97">
        <v>74751</v>
      </c>
      <c r="D56" s="132">
        <v>8161483228</v>
      </c>
      <c r="E56" s="116">
        <f t="shared" si="13"/>
        <v>109182.26148145176</v>
      </c>
      <c r="F56" s="134">
        <v>4401934728</v>
      </c>
      <c r="G56" s="117">
        <f t="shared" si="14"/>
        <v>58887.971104065495</v>
      </c>
      <c r="H56" s="98"/>
      <c r="I56" s="136">
        <v>7.9997999999999996</v>
      </c>
      <c r="J56" s="134">
        <v>35214597.437054396</v>
      </c>
      <c r="K56" s="120">
        <f t="shared" si="15"/>
        <v>471.09199123830308</v>
      </c>
      <c r="L56" s="122">
        <f t="shared" si="3"/>
        <v>44019347.280000001</v>
      </c>
      <c r="M56" s="116">
        <f t="shared" si="4"/>
        <v>8804749.8429456055</v>
      </c>
      <c r="N56" s="123">
        <f t="shared" si="5"/>
        <v>117.78771980235189</v>
      </c>
      <c r="O56" s="5"/>
      <c r="P56" s="5">
        <f t="shared" si="6"/>
        <v>1</v>
      </c>
      <c r="Q56" s="7">
        <f t="shared" si="7"/>
        <v>74751</v>
      </c>
      <c r="W56" s="124">
        <f t="shared" si="8"/>
        <v>35214597.437054396</v>
      </c>
      <c r="X56">
        <f t="shared" si="9"/>
        <v>0</v>
      </c>
    </row>
    <row r="57" spans="1:24">
      <c r="A57" s="23" t="s">
        <v>59</v>
      </c>
      <c r="B57" s="35" t="s">
        <v>49</v>
      </c>
      <c r="C57" s="97">
        <v>33</v>
      </c>
      <c r="D57" s="147">
        <v>13686404</v>
      </c>
      <c r="E57" s="116">
        <f t="shared" si="13"/>
        <v>414739.51515151514</v>
      </c>
      <c r="F57" s="134">
        <v>10923779</v>
      </c>
      <c r="G57" s="117">
        <f t="shared" si="14"/>
        <v>331023.60606060608</v>
      </c>
      <c r="H57" s="98"/>
      <c r="I57" s="136">
        <v>6.5</v>
      </c>
      <c r="J57" s="134">
        <v>71004.563500000004</v>
      </c>
      <c r="K57" s="120">
        <f t="shared" si="15"/>
        <v>2151.6534393939396</v>
      </c>
      <c r="L57" s="122">
        <f t="shared" si="3"/>
        <v>109237.79000000001</v>
      </c>
      <c r="M57" s="116">
        <f t="shared" si="4"/>
        <v>38233.226500000004</v>
      </c>
      <c r="N57" s="123">
        <f t="shared" si="5"/>
        <v>1158.5826212121212</v>
      </c>
      <c r="O57" s="5"/>
      <c r="P57" s="5">
        <f t="shared" si="6"/>
        <v>1</v>
      </c>
      <c r="Q57" s="7">
        <f t="shared" si="7"/>
        <v>33</v>
      </c>
      <c r="W57" s="124">
        <f t="shared" si="8"/>
        <v>71004.563500000004</v>
      </c>
      <c r="X57">
        <f t="shared" si="9"/>
        <v>0</v>
      </c>
    </row>
    <row r="58" spans="1:24">
      <c r="A58" s="23" t="s">
        <v>60</v>
      </c>
      <c r="B58" s="35" t="s">
        <v>49</v>
      </c>
      <c r="C58" s="97">
        <v>10462</v>
      </c>
      <c r="D58" s="132">
        <v>6207481069</v>
      </c>
      <c r="E58" s="116">
        <f t="shared" si="13"/>
        <v>593335.984419805</v>
      </c>
      <c r="F58" s="134">
        <v>3789502251</v>
      </c>
      <c r="G58" s="117">
        <f t="shared" si="14"/>
        <v>362215.85270502773</v>
      </c>
      <c r="H58" s="98"/>
      <c r="I58" s="136">
        <v>4.1329000000000002</v>
      </c>
      <c r="J58" s="134">
        <v>15661633.853157902</v>
      </c>
      <c r="K58" s="120">
        <f t="shared" si="15"/>
        <v>1497.0018976446092</v>
      </c>
      <c r="L58" s="122">
        <f t="shared" si="3"/>
        <v>37895022.509999998</v>
      </c>
      <c r="M58" s="116">
        <f t="shared" si="4"/>
        <v>22233388.656842098</v>
      </c>
      <c r="N58" s="123">
        <f t="shared" si="5"/>
        <v>2125.1566294056679</v>
      </c>
      <c r="O58" s="5"/>
      <c r="P58" s="5">
        <f t="shared" si="6"/>
        <v>1</v>
      </c>
      <c r="Q58" s="7">
        <f t="shared" si="7"/>
        <v>10462</v>
      </c>
      <c r="W58" s="124">
        <f t="shared" si="8"/>
        <v>15661633.8531579</v>
      </c>
      <c r="X58">
        <f t="shared" si="9"/>
        <v>0</v>
      </c>
    </row>
    <row r="59" spans="1:24">
      <c r="A59" s="23" t="s">
        <v>61</v>
      </c>
      <c r="B59" s="35" t="s">
        <v>49</v>
      </c>
      <c r="C59" s="97">
        <v>58544</v>
      </c>
      <c r="D59" s="132">
        <v>8682411957</v>
      </c>
      <c r="E59" s="116">
        <f t="shared" si="13"/>
        <v>148305.75220347088</v>
      </c>
      <c r="F59" s="134">
        <v>4989146607</v>
      </c>
      <c r="G59" s="117">
        <f t="shared" si="14"/>
        <v>85220.459944657006</v>
      </c>
      <c r="H59" s="98"/>
      <c r="I59" s="136">
        <v>7.1170999999999998</v>
      </c>
      <c r="J59" s="134">
        <v>35508255.316679694</v>
      </c>
      <c r="K59" s="120">
        <f t="shared" si="15"/>
        <v>606.52253547211831</v>
      </c>
      <c r="L59" s="122">
        <f t="shared" si="3"/>
        <v>49891466.07</v>
      </c>
      <c r="M59" s="116">
        <f t="shared" si="4"/>
        <v>14383210.753320307</v>
      </c>
      <c r="N59" s="123">
        <f t="shared" si="5"/>
        <v>245.68206397445181</v>
      </c>
      <c r="O59" s="5"/>
      <c r="P59" s="5">
        <f t="shared" si="6"/>
        <v>1</v>
      </c>
      <c r="Q59" s="7">
        <f t="shared" si="7"/>
        <v>58544</v>
      </c>
      <c r="W59" s="124">
        <f t="shared" si="8"/>
        <v>35508255.316679694</v>
      </c>
      <c r="X59">
        <f t="shared" si="9"/>
        <v>0</v>
      </c>
    </row>
    <row r="60" spans="1:24">
      <c r="A60" s="23" t="s">
        <v>62</v>
      </c>
      <c r="B60" s="35" t="s">
        <v>49</v>
      </c>
      <c r="C60" s="97">
        <v>139500</v>
      </c>
      <c r="D60" s="132">
        <v>25486282160</v>
      </c>
      <c r="E60" s="116">
        <f t="shared" si="13"/>
        <v>182697.36315412188</v>
      </c>
      <c r="F60" s="134">
        <v>15178264207</v>
      </c>
      <c r="G60" s="117">
        <f t="shared" si="14"/>
        <v>108804.76134050179</v>
      </c>
      <c r="H60" s="98"/>
      <c r="I60" s="136">
        <v>7.1172000000000004</v>
      </c>
      <c r="J60" s="134">
        <v>108026742.01406041</v>
      </c>
      <c r="K60" s="120">
        <f t="shared" si="15"/>
        <v>774.38524741261938</v>
      </c>
      <c r="L60" s="122">
        <f t="shared" si="3"/>
        <v>151782642.06999999</v>
      </c>
      <c r="M60" s="116">
        <f t="shared" si="4"/>
        <v>43755900.055939585</v>
      </c>
      <c r="N60" s="123">
        <f t="shared" si="5"/>
        <v>313.66236599239846</v>
      </c>
      <c r="O60" s="5"/>
      <c r="P60" s="5">
        <f t="shared" si="6"/>
        <v>1</v>
      </c>
      <c r="Q60" s="7">
        <f t="shared" si="7"/>
        <v>139500</v>
      </c>
      <c r="W60" s="124">
        <f t="shared" si="8"/>
        <v>108026742.01406041</v>
      </c>
      <c r="X60">
        <f t="shared" si="9"/>
        <v>0</v>
      </c>
    </row>
    <row r="61" spans="1:24">
      <c r="A61" s="23" t="s">
        <v>63</v>
      </c>
      <c r="B61" s="35" t="s">
        <v>49</v>
      </c>
      <c r="C61" s="97">
        <v>44853</v>
      </c>
      <c r="D61" s="132">
        <v>4625731436</v>
      </c>
      <c r="E61" s="116">
        <f t="shared" si="13"/>
        <v>103130.92627026064</v>
      </c>
      <c r="F61" s="134">
        <v>2499219705</v>
      </c>
      <c r="G61" s="117">
        <f t="shared" si="14"/>
        <v>55720.235101331018</v>
      </c>
      <c r="H61" s="98"/>
      <c r="I61" s="136">
        <v>7.4</v>
      </c>
      <c r="J61" s="134">
        <v>18494225.817000002</v>
      </c>
      <c r="K61" s="120">
        <f t="shared" si="15"/>
        <v>412.32973974984952</v>
      </c>
      <c r="L61" s="122">
        <f t="shared" si="3"/>
        <v>24992197.050000001</v>
      </c>
      <c r="M61" s="116">
        <f t="shared" si="4"/>
        <v>6497971.2329999991</v>
      </c>
      <c r="N61" s="123">
        <f t="shared" si="5"/>
        <v>144.87261126346061</v>
      </c>
      <c r="O61" s="5"/>
      <c r="P61" s="5">
        <f t="shared" si="6"/>
        <v>1</v>
      </c>
      <c r="Q61" s="7">
        <f t="shared" si="7"/>
        <v>44853</v>
      </c>
      <c r="W61" s="124">
        <f t="shared" si="8"/>
        <v>18494225.817000002</v>
      </c>
      <c r="X61">
        <f t="shared" si="9"/>
        <v>0</v>
      </c>
    </row>
    <row r="62" spans="1:24">
      <c r="A62" s="23" t="s">
        <v>64</v>
      </c>
      <c r="B62" s="35" t="s">
        <v>49</v>
      </c>
      <c r="C62" s="97">
        <v>46039</v>
      </c>
      <c r="D62" s="132">
        <v>9252348332</v>
      </c>
      <c r="E62" s="116">
        <f t="shared" si="13"/>
        <v>200967.62162514389</v>
      </c>
      <c r="F62" s="134">
        <v>5794935190</v>
      </c>
      <c r="G62" s="117">
        <f t="shared" si="14"/>
        <v>125870.13597167619</v>
      </c>
      <c r="H62" s="98"/>
      <c r="I62" s="136">
        <v>5.7243000000000004</v>
      </c>
      <c r="J62" s="134">
        <v>33171947.508117002</v>
      </c>
      <c r="K62" s="120">
        <f t="shared" si="15"/>
        <v>720.51841934266599</v>
      </c>
      <c r="L62" s="122">
        <f t="shared" si="3"/>
        <v>57949351.899999999</v>
      </c>
      <c r="M62" s="116">
        <f t="shared" si="4"/>
        <v>24777404.391882997</v>
      </c>
      <c r="N62" s="123">
        <f t="shared" si="5"/>
        <v>538.18294037409578</v>
      </c>
      <c r="O62" s="5"/>
      <c r="P62" s="5">
        <f t="shared" si="6"/>
        <v>1</v>
      </c>
      <c r="Q62" s="7">
        <f t="shared" si="7"/>
        <v>46039</v>
      </c>
      <c r="W62" s="124">
        <f t="shared" si="8"/>
        <v>33171947.508117005</v>
      </c>
      <c r="X62">
        <f t="shared" si="9"/>
        <v>0</v>
      </c>
    </row>
    <row r="63" spans="1:24">
      <c r="A63" s="23" t="s">
        <v>65</v>
      </c>
      <c r="B63" s="35" t="s">
        <v>49</v>
      </c>
      <c r="C63" s="97">
        <v>38342</v>
      </c>
      <c r="D63" s="132">
        <v>12918816145</v>
      </c>
      <c r="E63" s="116">
        <f t="shared" si="13"/>
        <v>336936.41815763392</v>
      </c>
      <c r="F63" s="134">
        <v>8202865821</v>
      </c>
      <c r="G63" s="117">
        <f t="shared" si="14"/>
        <v>213939.43511032287</v>
      </c>
      <c r="H63" s="98"/>
      <c r="I63" s="136">
        <v>4.2979000000000003</v>
      </c>
      <c r="J63" s="134">
        <v>35255097.012075908</v>
      </c>
      <c r="K63" s="120">
        <f t="shared" si="15"/>
        <v>919.49029816065695</v>
      </c>
      <c r="L63" s="122">
        <f t="shared" si="3"/>
        <v>82028658.210000008</v>
      </c>
      <c r="M63" s="116">
        <f t="shared" si="4"/>
        <v>46773561.1979241</v>
      </c>
      <c r="N63" s="123">
        <f t="shared" si="5"/>
        <v>1219.9040529425722</v>
      </c>
      <c r="O63" s="5"/>
      <c r="P63" s="5">
        <f t="shared" si="6"/>
        <v>1</v>
      </c>
      <c r="Q63" s="7">
        <f t="shared" si="7"/>
        <v>38342</v>
      </c>
      <c r="W63" s="124">
        <f t="shared" si="8"/>
        <v>35255097.012075901</v>
      </c>
      <c r="X63">
        <f t="shared" si="9"/>
        <v>0</v>
      </c>
    </row>
    <row r="64" spans="1:24">
      <c r="A64" s="23" t="s">
        <v>66</v>
      </c>
      <c r="B64" s="35" t="s">
        <v>49</v>
      </c>
      <c r="C64" s="97">
        <v>6105</v>
      </c>
      <c r="D64" s="132">
        <v>1426634926</v>
      </c>
      <c r="E64" s="116">
        <f t="shared" si="13"/>
        <v>233683.03456183456</v>
      </c>
      <c r="F64" s="134">
        <v>1183273516</v>
      </c>
      <c r="G64" s="117">
        <f t="shared" si="14"/>
        <v>193820.39574119574</v>
      </c>
      <c r="H64" s="98"/>
      <c r="I64" s="136">
        <v>8.5</v>
      </c>
      <c r="J64" s="134">
        <v>10057824.886</v>
      </c>
      <c r="K64" s="120">
        <f t="shared" si="15"/>
        <v>1647.4733638001637</v>
      </c>
      <c r="L64" s="122">
        <f t="shared" si="3"/>
        <v>11832735.16</v>
      </c>
      <c r="M64" s="116">
        <f t="shared" si="4"/>
        <v>1774910.2740000002</v>
      </c>
      <c r="N64" s="123">
        <f t="shared" si="5"/>
        <v>290.73059361179367</v>
      </c>
      <c r="O64" s="5"/>
      <c r="P64" s="5">
        <f t="shared" si="6"/>
        <v>1</v>
      </c>
      <c r="Q64" s="7">
        <f t="shared" si="7"/>
        <v>6105</v>
      </c>
      <c r="W64" s="124">
        <f t="shared" si="8"/>
        <v>10057824.886</v>
      </c>
      <c r="X64">
        <f t="shared" si="9"/>
        <v>0</v>
      </c>
    </row>
    <row r="65" spans="1:24">
      <c r="A65" s="23" t="s">
        <v>67</v>
      </c>
      <c r="B65" s="35" t="s">
        <v>49</v>
      </c>
      <c r="C65" s="97">
        <v>170892</v>
      </c>
      <c r="D65" s="132">
        <v>32730768318</v>
      </c>
      <c r="E65" s="116">
        <f t="shared" si="13"/>
        <v>191528.96752334808</v>
      </c>
      <c r="F65" s="134">
        <v>18867232218</v>
      </c>
      <c r="G65" s="117">
        <f t="shared" si="14"/>
        <v>110404.42044098026</v>
      </c>
      <c r="H65" s="98"/>
      <c r="I65" s="136">
        <v>5.6689999999999996</v>
      </c>
      <c r="J65" s="134">
        <v>106958339.44384199</v>
      </c>
      <c r="K65" s="120">
        <f t="shared" si="15"/>
        <v>625.88265947991715</v>
      </c>
      <c r="L65" s="122">
        <f t="shared" si="3"/>
        <v>188672322.18000001</v>
      </c>
      <c r="M65" s="116">
        <f t="shared" si="4"/>
        <v>81713982.736158013</v>
      </c>
      <c r="N65" s="123">
        <f t="shared" si="5"/>
        <v>478.16154492988562</v>
      </c>
      <c r="O65" s="5"/>
      <c r="P65" s="5">
        <f t="shared" si="6"/>
        <v>1</v>
      </c>
      <c r="Q65" s="7">
        <f t="shared" si="7"/>
        <v>170892</v>
      </c>
      <c r="W65" s="124">
        <f t="shared" si="8"/>
        <v>106958339.44384199</v>
      </c>
      <c r="X65">
        <f t="shared" si="9"/>
        <v>0</v>
      </c>
    </row>
    <row r="66" spans="1:24">
      <c r="A66" s="23" t="s">
        <v>68</v>
      </c>
      <c r="B66" s="35" t="s">
        <v>49</v>
      </c>
      <c r="C66" s="97">
        <v>98431</v>
      </c>
      <c r="D66" s="132">
        <v>22225481327</v>
      </c>
      <c r="E66" s="116">
        <f t="shared" si="13"/>
        <v>225797.57725716493</v>
      </c>
      <c r="F66" s="134">
        <v>14010220830</v>
      </c>
      <c r="G66" s="117">
        <f t="shared" si="14"/>
        <v>142335.45153457753</v>
      </c>
      <c r="H66" s="98"/>
      <c r="I66" s="136">
        <v>5.8</v>
      </c>
      <c r="J66" s="134">
        <v>81259280.813999996</v>
      </c>
      <c r="K66" s="120">
        <f t="shared" si="15"/>
        <v>825.54561890054958</v>
      </c>
      <c r="L66" s="122">
        <f t="shared" si="3"/>
        <v>140102208.30000001</v>
      </c>
      <c r="M66" s="116">
        <f t="shared" si="4"/>
        <v>58842927.486000016</v>
      </c>
      <c r="N66" s="123">
        <f t="shared" si="5"/>
        <v>597.80889644522574</v>
      </c>
      <c r="O66" s="5"/>
      <c r="P66" s="5">
        <f t="shared" si="6"/>
        <v>1</v>
      </c>
      <c r="Q66" s="7">
        <f t="shared" si="7"/>
        <v>98431</v>
      </c>
      <c r="W66" s="124">
        <f t="shared" si="8"/>
        <v>81259280.813999996</v>
      </c>
      <c r="X66">
        <f t="shared" si="9"/>
        <v>0</v>
      </c>
    </row>
    <row r="67" spans="1:24">
      <c r="A67" s="23" t="s">
        <v>69</v>
      </c>
      <c r="B67" s="35" t="s">
        <v>49</v>
      </c>
      <c r="C67" s="97">
        <v>114703</v>
      </c>
      <c r="D67" s="132">
        <v>30968360317</v>
      </c>
      <c r="E67" s="116">
        <f t="shared" si="13"/>
        <v>269987.36142036389</v>
      </c>
      <c r="F67" s="154">
        <v>21114492676</v>
      </c>
      <c r="G67" s="117">
        <f t="shared" si="14"/>
        <v>184079.68994708071</v>
      </c>
      <c r="H67" s="98"/>
      <c r="I67" s="136">
        <v>5.2443</v>
      </c>
      <c r="J67" s="154">
        <v>110730733.9407468</v>
      </c>
      <c r="K67" s="120">
        <f t="shared" ref="K67" si="16">(J67/C67)</f>
        <v>965.3691179894754</v>
      </c>
      <c r="L67" s="122">
        <f t="shared" ref="L67" si="17">(F67*0.01)</f>
        <v>211144926.75999999</v>
      </c>
      <c r="M67" s="116">
        <f t="shared" ref="M67" si="18">(L67-J67)</f>
        <v>100414192.81925319</v>
      </c>
      <c r="N67" s="123">
        <f t="shared" ref="N67" si="19">(M67/C67)</f>
        <v>875.42778148133175</v>
      </c>
      <c r="O67" s="5"/>
      <c r="P67" s="5">
        <f t="shared" ref="P67" si="20">IF(I67&gt;0,1,0)</f>
        <v>1</v>
      </c>
      <c r="Q67" s="7">
        <f t="shared" ref="Q67" si="21">IF(I67&gt;0,C67,0)</f>
        <v>114703</v>
      </c>
      <c r="W67" s="124">
        <f t="shared" si="8"/>
        <v>110730733.94074681</v>
      </c>
      <c r="X67">
        <f t="shared" si="9"/>
        <v>0</v>
      </c>
    </row>
    <row r="68" spans="1:24">
      <c r="A68" s="23" t="s">
        <v>70</v>
      </c>
      <c r="B68" s="35" t="s">
        <v>49</v>
      </c>
      <c r="C68" s="97">
        <v>535</v>
      </c>
      <c r="D68" s="132">
        <v>643703487</v>
      </c>
      <c r="E68" s="116">
        <f t="shared" si="13"/>
        <v>1203184.0878504673</v>
      </c>
      <c r="F68" s="134">
        <v>362644295</v>
      </c>
      <c r="G68" s="117">
        <f t="shared" si="14"/>
        <v>677839.8037383178</v>
      </c>
      <c r="H68" s="98"/>
      <c r="I68" s="136">
        <v>6.5</v>
      </c>
      <c r="J68" s="134">
        <v>2357187.9175</v>
      </c>
      <c r="K68" s="120">
        <f t="shared" si="15"/>
        <v>4405.9587242990656</v>
      </c>
      <c r="L68" s="122">
        <f t="shared" si="3"/>
        <v>3626442.95</v>
      </c>
      <c r="M68" s="116">
        <f t="shared" si="4"/>
        <v>1269255.0325000002</v>
      </c>
      <c r="N68" s="123">
        <f t="shared" si="5"/>
        <v>2372.4393130841127</v>
      </c>
      <c r="O68" s="5"/>
      <c r="P68" s="5">
        <f t="shared" si="6"/>
        <v>1</v>
      </c>
      <c r="Q68" s="7">
        <f t="shared" si="7"/>
        <v>535</v>
      </c>
      <c r="W68" s="124">
        <f t="shared" si="8"/>
        <v>2357187.9175</v>
      </c>
      <c r="X68">
        <f t="shared" si="9"/>
        <v>0</v>
      </c>
    </row>
    <row r="69" spans="1:24">
      <c r="A69" s="23" t="s">
        <v>450</v>
      </c>
      <c r="B69" s="35" t="s">
        <v>49</v>
      </c>
      <c r="C69" s="97">
        <v>7796</v>
      </c>
      <c r="D69" s="132">
        <v>4697362820</v>
      </c>
      <c r="E69" s="116">
        <f t="shared" si="13"/>
        <v>602534.99486916373</v>
      </c>
      <c r="F69" s="134">
        <v>2468660772</v>
      </c>
      <c r="G69" s="117">
        <f t="shared" si="14"/>
        <v>316657.35915854282</v>
      </c>
      <c r="H69" s="98"/>
      <c r="I69" s="136">
        <v>3.9</v>
      </c>
      <c r="J69" s="134">
        <v>9627777.0107999984</v>
      </c>
      <c r="K69" s="120">
        <f t="shared" si="15"/>
        <v>1234.9637007183169</v>
      </c>
      <c r="L69" s="122">
        <f t="shared" si="3"/>
        <v>24686607.719999999</v>
      </c>
      <c r="M69" s="116">
        <f t="shared" si="4"/>
        <v>15058830.7092</v>
      </c>
      <c r="N69" s="123">
        <f t="shared" si="5"/>
        <v>1931.6098908671113</v>
      </c>
      <c r="O69" s="5"/>
      <c r="P69" s="5">
        <f t="shared" si="6"/>
        <v>1</v>
      </c>
      <c r="Q69" s="7">
        <f t="shared" si="7"/>
        <v>7796</v>
      </c>
      <c r="W69" s="124">
        <f t="shared" si="8"/>
        <v>9627777.0108000003</v>
      </c>
      <c r="X69">
        <f t="shared" si="9"/>
        <v>0</v>
      </c>
    </row>
    <row r="70" spans="1:24">
      <c r="A70" s="23" t="s">
        <v>71</v>
      </c>
      <c r="B70" s="35" t="s">
        <v>49</v>
      </c>
      <c r="C70" s="97">
        <v>97899</v>
      </c>
      <c r="D70" s="132">
        <v>17996750109</v>
      </c>
      <c r="E70" s="116">
        <f t="shared" si="13"/>
        <v>183829.76444090338</v>
      </c>
      <c r="F70" s="134">
        <v>10899172746</v>
      </c>
      <c r="G70" s="117">
        <f t="shared" si="14"/>
        <v>111330.78730119817</v>
      </c>
      <c r="H70" s="98"/>
      <c r="I70" s="136">
        <v>6.0542999999999996</v>
      </c>
      <c r="J70" s="134">
        <v>65986861.556107797</v>
      </c>
      <c r="K70" s="120">
        <f t="shared" si="15"/>
        <v>674.02998555764407</v>
      </c>
      <c r="L70" s="122">
        <f t="shared" ref="L70:L133" si="22">(F70*0.01)</f>
        <v>108991727.46000001</v>
      </c>
      <c r="M70" s="116">
        <f t="shared" ref="M70:M133" si="23">(L70-J70)</f>
        <v>43004865.903892212</v>
      </c>
      <c r="N70" s="123">
        <f t="shared" ref="N70:N133" si="24">(M70/C70)</f>
        <v>439.27788745433776</v>
      </c>
      <c r="O70" s="5"/>
      <c r="P70" s="5">
        <f t="shared" ref="P70:P133" si="25">IF(I70&gt;0,1,0)</f>
        <v>1</v>
      </c>
      <c r="Q70" s="7">
        <f t="shared" ref="Q70:Q133" si="26">IF(I70&gt;0,C70,0)</f>
        <v>97899</v>
      </c>
      <c r="W70" s="124">
        <f t="shared" si="8"/>
        <v>65986861.556107797</v>
      </c>
      <c r="X70">
        <f t="shared" si="9"/>
        <v>0</v>
      </c>
    </row>
    <row r="71" spans="1:24">
      <c r="A71" s="23" t="s">
        <v>72</v>
      </c>
      <c r="B71" s="35" t="s">
        <v>49</v>
      </c>
      <c r="C71" s="97">
        <v>73130</v>
      </c>
      <c r="D71" s="132">
        <v>11487573263</v>
      </c>
      <c r="E71" s="116">
        <f t="shared" si="13"/>
        <v>157084.27817585121</v>
      </c>
      <c r="F71" s="154">
        <v>6558716942</v>
      </c>
      <c r="G71" s="117">
        <f t="shared" si="14"/>
        <v>89685.723259948034</v>
      </c>
      <c r="H71" s="98"/>
      <c r="I71" s="136">
        <v>7</v>
      </c>
      <c r="J71" s="134">
        <v>45911018.593999997</v>
      </c>
      <c r="K71" s="120">
        <f t="shared" si="15"/>
        <v>627.8000628196362</v>
      </c>
      <c r="L71" s="122">
        <f t="shared" si="22"/>
        <v>65587169.420000002</v>
      </c>
      <c r="M71" s="116">
        <f t="shared" si="23"/>
        <v>19676150.826000005</v>
      </c>
      <c r="N71" s="123">
        <f t="shared" si="24"/>
        <v>269.05716977984417</v>
      </c>
      <c r="O71" s="5"/>
      <c r="P71" s="5">
        <f t="shared" si="25"/>
        <v>1</v>
      </c>
      <c r="Q71" s="7">
        <f t="shared" si="26"/>
        <v>73130</v>
      </c>
      <c r="W71" s="124">
        <f t="shared" ref="W71:W134" si="27">F71*(I71/1000)</f>
        <v>45911018.594000004</v>
      </c>
      <c r="X71">
        <f t="shared" ref="X71:X134" si="28">IF(W71=J71,0,1)</f>
        <v>0</v>
      </c>
    </row>
    <row r="72" spans="1:24">
      <c r="A72" s="23" t="s">
        <v>507</v>
      </c>
      <c r="B72" s="35" t="s">
        <v>49</v>
      </c>
      <c r="C72" s="97">
        <v>15218</v>
      </c>
      <c r="D72" s="132">
        <v>2054617242</v>
      </c>
      <c r="E72" s="116">
        <f t="shared" si="13"/>
        <v>135012.30398212644</v>
      </c>
      <c r="F72" s="134">
        <v>1046147342</v>
      </c>
      <c r="G72" s="117">
        <f t="shared" si="14"/>
        <v>68744.075568405839</v>
      </c>
      <c r="H72" s="98"/>
      <c r="I72" s="136">
        <v>8.1999999999999993</v>
      </c>
      <c r="J72" s="134">
        <v>8578408.2043999992</v>
      </c>
      <c r="K72" s="120">
        <f t="shared" si="15"/>
        <v>563.70141966092785</v>
      </c>
      <c r="L72" s="122">
        <f t="shared" si="22"/>
        <v>10461473.42</v>
      </c>
      <c r="M72" s="116">
        <f t="shared" si="23"/>
        <v>1883065.2156000007</v>
      </c>
      <c r="N72" s="123">
        <f t="shared" si="24"/>
        <v>123.73933602313055</v>
      </c>
      <c r="O72" s="5"/>
      <c r="P72" s="5">
        <f t="shared" si="25"/>
        <v>1</v>
      </c>
      <c r="Q72" s="7">
        <f t="shared" si="26"/>
        <v>15218</v>
      </c>
      <c r="W72" s="124">
        <f t="shared" si="27"/>
        <v>8578408.2043999992</v>
      </c>
      <c r="X72">
        <f t="shared" si="28"/>
        <v>0</v>
      </c>
    </row>
    <row r="73" spans="1:24">
      <c r="A73" s="23" t="s">
        <v>73</v>
      </c>
      <c r="B73" s="35" t="s">
        <v>49</v>
      </c>
      <c r="C73" s="97">
        <v>68249</v>
      </c>
      <c r="D73" s="132">
        <v>19259438762</v>
      </c>
      <c r="E73" s="116">
        <f t="shared" si="13"/>
        <v>282193.71363682987</v>
      </c>
      <c r="F73" s="134">
        <v>12208323024</v>
      </c>
      <c r="G73" s="117">
        <f t="shared" si="14"/>
        <v>178879.14876408444</v>
      </c>
      <c r="H73" s="98"/>
      <c r="I73" s="136">
        <v>3.3464</v>
      </c>
      <c r="J73" s="134">
        <v>40853932.167513601</v>
      </c>
      <c r="K73" s="120">
        <f t="shared" si="15"/>
        <v>598.60118342413227</v>
      </c>
      <c r="L73" s="122">
        <f t="shared" si="22"/>
        <v>122083230.24000001</v>
      </c>
      <c r="M73" s="116">
        <f t="shared" si="23"/>
        <v>81229298.072486401</v>
      </c>
      <c r="N73" s="123">
        <f t="shared" si="24"/>
        <v>1190.1903042167123</v>
      </c>
      <c r="O73" s="5"/>
      <c r="P73" s="5">
        <f t="shared" si="25"/>
        <v>1</v>
      </c>
      <c r="Q73" s="7">
        <f t="shared" si="26"/>
        <v>68249</v>
      </c>
      <c r="W73" s="124">
        <f t="shared" si="27"/>
        <v>40853932.167513601</v>
      </c>
      <c r="X73">
        <f t="shared" si="28"/>
        <v>0</v>
      </c>
    </row>
    <row r="74" spans="1:24">
      <c r="A74" s="23" t="s">
        <v>74</v>
      </c>
      <c r="B74" s="35" t="s">
        <v>49</v>
      </c>
      <c r="C74" s="97">
        <v>11495</v>
      </c>
      <c r="D74" s="132">
        <v>3674591026</v>
      </c>
      <c r="E74" s="116">
        <f t="shared" si="13"/>
        <v>319668.64080034796</v>
      </c>
      <c r="F74" s="134">
        <v>2316704495</v>
      </c>
      <c r="G74" s="117">
        <f t="shared" si="14"/>
        <v>201540.19095258808</v>
      </c>
      <c r="H74" s="98"/>
      <c r="I74" s="136">
        <v>6.4196</v>
      </c>
      <c r="J74" s="134">
        <v>14872316.176101999</v>
      </c>
      <c r="K74" s="120">
        <f t="shared" si="15"/>
        <v>1293.8074098392344</v>
      </c>
      <c r="L74" s="122">
        <f t="shared" si="22"/>
        <v>23167044.949999999</v>
      </c>
      <c r="M74" s="116">
        <f t="shared" si="23"/>
        <v>8294728.7738979999</v>
      </c>
      <c r="N74" s="123">
        <f t="shared" si="24"/>
        <v>721.59449968664637</v>
      </c>
      <c r="O74" s="5"/>
      <c r="P74" s="5">
        <f t="shared" si="25"/>
        <v>1</v>
      </c>
      <c r="Q74" s="7">
        <f t="shared" si="26"/>
        <v>11495</v>
      </c>
      <c r="S74" s="124">
        <f>SUM(D44:D74)</f>
        <v>465111407641</v>
      </c>
      <c r="T74" s="124">
        <f>SUM(F44:F74)</f>
        <v>295288705467</v>
      </c>
      <c r="U74" s="124">
        <f>SUM(J44:J74)</f>
        <v>1666776698.9403806</v>
      </c>
      <c r="W74" s="124">
        <f t="shared" si="27"/>
        <v>14872316.176102001</v>
      </c>
      <c r="X74">
        <f t="shared" si="28"/>
        <v>0</v>
      </c>
    </row>
    <row r="75" spans="1:24">
      <c r="A75" s="23" t="s">
        <v>75</v>
      </c>
      <c r="B75" s="35" t="s">
        <v>76</v>
      </c>
      <c r="C75" s="97">
        <v>487</v>
      </c>
      <c r="D75" s="147" t="s">
        <v>564</v>
      </c>
      <c r="E75" s="116"/>
      <c r="F75" s="134"/>
      <c r="G75" s="117"/>
      <c r="H75" s="98" t="s">
        <v>588</v>
      </c>
      <c r="I75" s="136"/>
      <c r="J75" s="134"/>
      <c r="K75" s="120"/>
      <c r="L75" s="122">
        <f t="shared" si="22"/>
        <v>0</v>
      </c>
      <c r="M75" s="116">
        <f t="shared" si="23"/>
        <v>0</v>
      </c>
      <c r="N75" s="123">
        <f t="shared" si="24"/>
        <v>0</v>
      </c>
      <c r="O75" s="5"/>
      <c r="P75" s="5">
        <f t="shared" si="25"/>
        <v>0</v>
      </c>
      <c r="Q75" s="7">
        <f t="shared" si="26"/>
        <v>0</v>
      </c>
      <c r="W75" s="124">
        <f t="shared" si="27"/>
        <v>0</v>
      </c>
      <c r="X75">
        <f t="shared" si="28"/>
        <v>0</v>
      </c>
    </row>
    <row r="76" spans="1:24">
      <c r="A76" s="23" t="s">
        <v>77</v>
      </c>
      <c r="B76" s="35" t="s">
        <v>76</v>
      </c>
      <c r="C76" s="97">
        <v>2262</v>
      </c>
      <c r="D76" s="132">
        <v>153507405</v>
      </c>
      <c r="E76" s="116">
        <f t="shared" ref="E76:E86" si="29">(D76/C76)</f>
        <v>67863.57427055703</v>
      </c>
      <c r="F76" s="134">
        <v>83879259</v>
      </c>
      <c r="G76" s="117">
        <f t="shared" ref="G76:G86" si="30">(F76/C76)</f>
        <v>37081.900530503975</v>
      </c>
      <c r="H76" s="7"/>
      <c r="I76" s="136">
        <v>1.5</v>
      </c>
      <c r="J76" s="134">
        <v>125818.8885</v>
      </c>
      <c r="K76" s="120">
        <f t="shared" ref="K76:K86" si="31">(J76/C76)</f>
        <v>55.622850795755966</v>
      </c>
      <c r="L76" s="122">
        <f t="shared" si="22"/>
        <v>838792.59</v>
      </c>
      <c r="M76" s="116">
        <f t="shared" si="23"/>
        <v>712973.70149999997</v>
      </c>
      <c r="N76" s="123">
        <f t="shared" si="24"/>
        <v>315.19615450928382</v>
      </c>
      <c r="O76" s="5"/>
      <c r="P76" s="5">
        <f t="shared" si="25"/>
        <v>1</v>
      </c>
      <c r="Q76" s="7">
        <f t="shared" si="26"/>
        <v>2262</v>
      </c>
      <c r="S76" s="124">
        <f>SUM(D75:D76)</f>
        <v>153507405</v>
      </c>
      <c r="T76" s="124">
        <f>SUM(F75:F76)</f>
        <v>83879259</v>
      </c>
      <c r="U76" s="124">
        <f>SUM(J75:J76)</f>
        <v>125818.8885</v>
      </c>
      <c r="W76" s="124">
        <f t="shared" si="27"/>
        <v>125818.8885</v>
      </c>
      <c r="X76">
        <f t="shared" si="28"/>
        <v>0</v>
      </c>
    </row>
    <row r="77" spans="1:24">
      <c r="A77" s="23" t="s">
        <v>78</v>
      </c>
      <c r="B77" s="35" t="s">
        <v>79</v>
      </c>
      <c r="C77" s="97">
        <v>20443</v>
      </c>
      <c r="D77" s="132">
        <v>7964789900</v>
      </c>
      <c r="E77" s="116">
        <f t="shared" si="29"/>
        <v>389609.64144205843</v>
      </c>
      <c r="F77" s="134">
        <v>5091913506</v>
      </c>
      <c r="G77" s="117">
        <f t="shared" si="30"/>
        <v>249078.58465000245</v>
      </c>
      <c r="H77" s="7"/>
      <c r="I77" s="136">
        <v>3.95</v>
      </c>
      <c r="J77" s="134">
        <v>20113058.348700002</v>
      </c>
      <c r="K77" s="120">
        <f t="shared" si="31"/>
        <v>983.86040936750976</v>
      </c>
      <c r="L77" s="122">
        <f t="shared" si="22"/>
        <v>50919135.060000002</v>
      </c>
      <c r="M77" s="116">
        <f t="shared" si="23"/>
        <v>30806076.711300001</v>
      </c>
      <c r="N77" s="123">
        <f t="shared" si="24"/>
        <v>1506.9254371325148</v>
      </c>
      <c r="O77" s="5"/>
      <c r="P77" s="5">
        <f t="shared" si="25"/>
        <v>1</v>
      </c>
      <c r="Q77" s="7">
        <f t="shared" si="26"/>
        <v>20443</v>
      </c>
      <c r="S77" s="124">
        <f>SUM(D77)</f>
        <v>7964789900</v>
      </c>
      <c r="T77" s="124">
        <f>SUM(F77)</f>
        <v>5091913506</v>
      </c>
      <c r="U77" s="124">
        <f>SUM(J77)</f>
        <v>20113058.348700002</v>
      </c>
      <c r="W77" s="124">
        <f t="shared" si="27"/>
        <v>20113058.348700002</v>
      </c>
      <c r="X77">
        <f t="shared" si="28"/>
        <v>0</v>
      </c>
    </row>
    <row r="78" spans="1:24">
      <c r="A78" s="23" t="s">
        <v>80</v>
      </c>
      <c r="B78" s="35" t="s">
        <v>81</v>
      </c>
      <c r="C78" s="97">
        <v>3516</v>
      </c>
      <c r="D78" s="132">
        <v>1044862829</v>
      </c>
      <c r="E78" s="116">
        <f t="shared" si="29"/>
        <v>297173.7283845279</v>
      </c>
      <c r="F78" s="134">
        <v>704723881</v>
      </c>
      <c r="G78" s="117">
        <f t="shared" si="30"/>
        <v>200433.41325369739</v>
      </c>
      <c r="H78" s="7"/>
      <c r="I78" s="150">
        <v>6.59</v>
      </c>
      <c r="J78" s="134">
        <v>4644130.37579</v>
      </c>
      <c r="K78" s="120">
        <f t="shared" si="31"/>
        <v>1320.8561933418657</v>
      </c>
      <c r="L78" s="122">
        <f t="shared" si="22"/>
        <v>7047238.8100000005</v>
      </c>
      <c r="M78" s="116">
        <f t="shared" si="23"/>
        <v>2403108.4342100006</v>
      </c>
      <c r="N78" s="123">
        <f t="shared" si="24"/>
        <v>683.47793919510821</v>
      </c>
      <c r="O78" s="5"/>
      <c r="P78" s="5">
        <f t="shared" si="25"/>
        <v>1</v>
      </c>
      <c r="Q78" s="7">
        <f t="shared" si="26"/>
        <v>3516</v>
      </c>
      <c r="W78" s="124">
        <f t="shared" si="27"/>
        <v>4644130.37579</v>
      </c>
      <c r="X78">
        <f t="shared" si="28"/>
        <v>0</v>
      </c>
    </row>
    <row r="79" spans="1:24">
      <c r="A79" s="23" t="s">
        <v>82</v>
      </c>
      <c r="B79" s="35" t="s">
        <v>81</v>
      </c>
      <c r="C79" s="97">
        <v>7922</v>
      </c>
      <c r="D79" s="132">
        <v>963359640</v>
      </c>
      <c r="E79" s="116">
        <f t="shared" si="29"/>
        <v>121605.60969452158</v>
      </c>
      <c r="F79" s="134">
        <v>683907527</v>
      </c>
      <c r="G79" s="117">
        <f t="shared" si="30"/>
        <v>86330.15993436001</v>
      </c>
      <c r="H79" s="7"/>
      <c r="I79" s="136">
        <v>7.66</v>
      </c>
      <c r="J79" s="134">
        <v>5238731.6568200001</v>
      </c>
      <c r="K79" s="120">
        <f t="shared" si="31"/>
        <v>661.28902509719774</v>
      </c>
      <c r="L79" s="122">
        <f t="shared" si="22"/>
        <v>6839075.2700000005</v>
      </c>
      <c r="M79" s="116">
        <f t="shared" si="23"/>
        <v>1600343.6131800003</v>
      </c>
      <c r="N79" s="123">
        <f t="shared" si="24"/>
        <v>202.01257424640247</v>
      </c>
      <c r="O79" s="5"/>
      <c r="P79" s="5">
        <f t="shared" si="25"/>
        <v>1</v>
      </c>
      <c r="Q79" s="7">
        <f t="shared" si="26"/>
        <v>7922</v>
      </c>
      <c r="S79" s="124">
        <f>SUM(D78:D79)</f>
        <v>2008222469</v>
      </c>
      <c r="T79" s="124">
        <f>SUM(F78:F79)</f>
        <v>1388631408</v>
      </c>
      <c r="U79" s="124">
        <f>SUM(J78:J79)</f>
        <v>9882862.0326099992</v>
      </c>
      <c r="W79" s="124">
        <f t="shared" si="27"/>
        <v>5238731.6568200001</v>
      </c>
      <c r="X79">
        <f t="shared" si="28"/>
        <v>0</v>
      </c>
    </row>
    <row r="80" spans="1:24">
      <c r="A80" s="23" t="s">
        <v>83</v>
      </c>
      <c r="B80" s="35" t="s">
        <v>84</v>
      </c>
      <c r="C80" s="97">
        <v>10270</v>
      </c>
      <c r="D80" s="132">
        <v>1184772977</v>
      </c>
      <c r="E80" s="116">
        <f t="shared" si="29"/>
        <v>115362.50993184031</v>
      </c>
      <c r="F80" s="134">
        <v>691669379</v>
      </c>
      <c r="G80" s="117">
        <f t="shared" si="30"/>
        <v>67348.527653359299</v>
      </c>
      <c r="H80" s="98"/>
      <c r="I80" s="136">
        <v>5.3</v>
      </c>
      <c r="J80" s="134">
        <v>3665847.7086999998</v>
      </c>
      <c r="K80" s="120">
        <f t="shared" si="31"/>
        <v>356.94719656280427</v>
      </c>
      <c r="L80" s="122">
        <f t="shared" si="22"/>
        <v>6916693.79</v>
      </c>
      <c r="M80" s="116">
        <f t="shared" si="23"/>
        <v>3250846.0813000002</v>
      </c>
      <c r="N80" s="123">
        <f t="shared" si="24"/>
        <v>316.53807997078871</v>
      </c>
      <c r="O80" s="5"/>
      <c r="P80" s="5">
        <f t="shared" si="25"/>
        <v>1</v>
      </c>
      <c r="Q80" s="7">
        <f t="shared" si="26"/>
        <v>10270</v>
      </c>
      <c r="W80" s="124">
        <f t="shared" si="27"/>
        <v>3665847.7086999998</v>
      </c>
      <c r="X80">
        <f t="shared" si="28"/>
        <v>0</v>
      </c>
    </row>
    <row r="81" spans="1:24">
      <c r="A81" s="23" t="s">
        <v>85</v>
      </c>
      <c r="B81" s="35" t="s">
        <v>84</v>
      </c>
      <c r="C81" s="97">
        <v>1473</v>
      </c>
      <c r="D81" s="132">
        <v>148642340</v>
      </c>
      <c r="E81" s="116">
        <f t="shared" si="29"/>
        <v>100911.29667345554</v>
      </c>
      <c r="F81" s="134">
        <v>71926844</v>
      </c>
      <c r="G81" s="117">
        <f t="shared" si="30"/>
        <v>48830.172437202986</v>
      </c>
      <c r="H81" s="7"/>
      <c r="I81" s="136">
        <v>3.8847</v>
      </c>
      <c r="J81" s="134">
        <v>279414.21088679996</v>
      </c>
      <c r="K81" s="120">
        <f t="shared" si="31"/>
        <v>189.69057086680243</v>
      </c>
      <c r="L81" s="122">
        <f t="shared" si="22"/>
        <v>719268.44000000006</v>
      </c>
      <c r="M81" s="116">
        <f t="shared" si="23"/>
        <v>439854.2291132001</v>
      </c>
      <c r="N81" s="123">
        <f t="shared" si="24"/>
        <v>298.61115350522749</v>
      </c>
      <c r="O81" s="5"/>
      <c r="P81" s="5">
        <f t="shared" si="25"/>
        <v>1</v>
      </c>
      <c r="Q81" s="7">
        <f t="shared" si="26"/>
        <v>1473</v>
      </c>
      <c r="W81" s="124">
        <f t="shared" si="27"/>
        <v>279414.21088680002</v>
      </c>
      <c r="X81">
        <f t="shared" si="28"/>
        <v>0</v>
      </c>
    </row>
    <row r="82" spans="1:24">
      <c r="A82" s="23" t="s">
        <v>86</v>
      </c>
      <c r="B82" s="35" t="s">
        <v>84</v>
      </c>
      <c r="C82" s="97">
        <v>9171</v>
      </c>
      <c r="D82" s="132">
        <v>1391291680</v>
      </c>
      <c r="E82" s="116">
        <f t="shared" si="29"/>
        <v>151705.55882673647</v>
      </c>
      <c r="F82" s="134">
        <v>856572762</v>
      </c>
      <c r="G82" s="117">
        <f t="shared" si="30"/>
        <v>93400.148511612686</v>
      </c>
      <c r="H82" s="9"/>
      <c r="I82" s="136">
        <v>5.7</v>
      </c>
      <c r="J82" s="134">
        <v>4882464.743400001</v>
      </c>
      <c r="K82" s="120">
        <f t="shared" si="31"/>
        <v>532.38084651619249</v>
      </c>
      <c r="L82" s="122">
        <f t="shared" si="22"/>
        <v>8565727.620000001</v>
      </c>
      <c r="M82" s="116">
        <f t="shared" si="23"/>
        <v>3683262.8766000001</v>
      </c>
      <c r="N82" s="123">
        <f t="shared" si="24"/>
        <v>401.62063859993458</v>
      </c>
      <c r="O82" s="5"/>
      <c r="P82" s="5">
        <f t="shared" si="25"/>
        <v>1</v>
      </c>
      <c r="Q82" s="7">
        <f t="shared" si="26"/>
        <v>9171</v>
      </c>
      <c r="W82" s="124">
        <f t="shared" si="27"/>
        <v>4882464.7434</v>
      </c>
      <c r="X82">
        <f t="shared" si="28"/>
        <v>0</v>
      </c>
    </row>
    <row r="83" spans="1:24">
      <c r="A83" s="23" t="s">
        <v>87</v>
      </c>
      <c r="B83" s="35" t="s">
        <v>84</v>
      </c>
      <c r="C83" s="97">
        <v>835</v>
      </c>
      <c r="D83" s="147">
        <v>64781220</v>
      </c>
      <c r="E83" s="116">
        <f t="shared" si="29"/>
        <v>77582.299401197612</v>
      </c>
      <c r="F83" s="134">
        <v>26373729</v>
      </c>
      <c r="G83" s="117">
        <f t="shared" si="30"/>
        <v>31585.304191616768</v>
      </c>
      <c r="H83" s="98"/>
      <c r="I83" s="136">
        <v>4.4535</v>
      </c>
      <c r="J83" s="134">
        <v>117455.4021015</v>
      </c>
      <c r="K83" s="120">
        <f t="shared" si="31"/>
        <v>140.66515221736526</v>
      </c>
      <c r="L83" s="122">
        <f t="shared" si="22"/>
        <v>263737.28999999998</v>
      </c>
      <c r="M83" s="116">
        <f t="shared" si="23"/>
        <v>146281.88789849996</v>
      </c>
      <c r="N83" s="123">
        <f t="shared" si="24"/>
        <v>175.18788969880234</v>
      </c>
      <c r="O83" s="5"/>
      <c r="P83" s="5">
        <f t="shared" si="25"/>
        <v>1</v>
      </c>
      <c r="Q83" s="7">
        <f t="shared" si="26"/>
        <v>835</v>
      </c>
      <c r="S83" s="124">
        <f>SUM(D80:D83)</f>
        <v>2789488217</v>
      </c>
      <c r="T83" s="124">
        <f>SUM(F80:F83)</f>
        <v>1646542714</v>
      </c>
      <c r="U83" s="124">
        <f>SUM(J80:J83)</f>
        <v>8945182.0650883</v>
      </c>
      <c r="W83" s="124">
        <f t="shared" si="27"/>
        <v>117455.4021015</v>
      </c>
      <c r="X83">
        <f t="shared" si="28"/>
        <v>0</v>
      </c>
    </row>
    <row r="84" spans="1:24">
      <c r="A84" s="23" t="s">
        <v>88</v>
      </c>
      <c r="B84" s="35" t="s">
        <v>89</v>
      </c>
      <c r="C84" s="97">
        <v>381</v>
      </c>
      <c r="D84" s="132">
        <v>192236302</v>
      </c>
      <c r="E84" s="116">
        <f t="shared" si="29"/>
        <v>504557.22309711284</v>
      </c>
      <c r="F84" s="134">
        <v>131251142</v>
      </c>
      <c r="G84" s="117">
        <f t="shared" si="30"/>
        <v>344491.18635170604</v>
      </c>
      <c r="H84" s="7"/>
      <c r="I84" s="136">
        <v>6.9333</v>
      </c>
      <c r="J84" s="134">
        <v>910003.54282860004</v>
      </c>
      <c r="K84" s="120">
        <f t="shared" si="31"/>
        <v>2388.4607423322836</v>
      </c>
      <c r="L84" s="122">
        <f t="shared" si="22"/>
        <v>1312511.42</v>
      </c>
      <c r="M84" s="116">
        <f t="shared" si="23"/>
        <v>402507.87717139989</v>
      </c>
      <c r="N84" s="123">
        <f t="shared" si="24"/>
        <v>1056.4511211847766</v>
      </c>
      <c r="O84" s="5"/>
      <c r="P84" s="5">
        <f t="shared" si="25"/>
        <v>1</v>
      </c>
      <c r="Q84" s="7">
        <f t="shared" si="26"/>
        <v>381</v>
      </c>
      <c r="W84" s="124">
        <f t="shared" si="27"/>
        <v>910003.54282860004</v>
      </c>
      <c r="X84">
        <f t="shared" si="28"/>
        <v>0</v>
      </c>
    </row>
    <row r="85" spans="1:24">
      <c r="A85" s="23" t="s">
        <v>90</v>
      </c>
      <c r="B85" s="35" t="s">
        <v>89</v>
      </c>
      <c r="C85" s="97">
        <v>16288</v>
      </c>
      <c r="D85" s="132">
        <v>23785582824</v>
      </c>
      <c r="E85" s="116">
        <f t="shared" si="29"/>
        <v>1460313.2873280942</v>
      </c>
      <c r="F85" s="134">
        <v>17108037365</v>
      </c>
      <c r="G85" s="117">
        <f t="shared" si="30"/>
        <v>1050346.1054150295</v>
      </c>
      <c r="H85" s="7"/>
      <c r="I85" s="136">
        <v>1.24</v>
      </c>
      <c r="J85" s="134">
        <v>21213966.332599998</v>
      </c>
      <c r="K85" s="120">
        <f t="shared" si="31"/>
        <v>1302.4291707146365</v>
      </c>
      <c r="L85" s="122">
        <f t="shared" si="22"/>
        <v>171080373.65000001</v>
      </c>
      <c r="M85" s="116">
        <f t="shared" si="23"/>
        <v>149866407.31740001</v>
      </c>
      <c r="N85" s="123">
        <f t="shared" si="24"/>
        <v>9201.0318834356585</v>
      </c>
      <c r="O85" s="5"/>
      <c r="P85" s="5">
        <f t="shared" si="25"/>
        <v>1</v>
      </c>
      <c r="Q85" s="7">
        <f t="shared" si="26"/>
        <v>16288</v>
      </c>
      <c r="W85" s="124">
        <f t="shared" si="27"/>
        <v>21213966.332600001</v>
      </c>
      <c r="X85">
        <f t="shared" si="28"/>
        <v>0</v>
      </c>
    </row>
    <row r="86" spans="1:24">
      <c r="A86" s="23" t="s">
        <v>91</v>
      </c>
      <c r="B86" s="35" t="s">
        <v>89</v>
      </c>
      <c r="C86" s="97">
        <v>19390</v>
      </c>
      <c r="D86" s="132">
        <v>54645319380</v>
      </c>
      <c r="E86" s="116">
        <f t="shared" si="29"/>
        <v>2818221.7318205261</v>
      </c>
      <c r="F86" s="134">
        <v>38413157291</v>
      </c>
      <c r="G86" s="117">
        <f t="shared" si="30"/>
        <v>1981080.8298607529</v>
      </c>
      <c r="H86" s="9"/>
      <c r="I86" s="150">
        <v>1.23</v>
      </c>
      <c r="J86" s="134">
        <v>47248183.467930004</v>
      </c>
      <c r="K86" s="120">
        <f t="shared" si="31"/>
        <v>2436.7294207287264</v>
      </c>
      <c r="L86" s="122">
        <f t="shared" si="22"/>
        <v>384131572.91000003</v>
      </c>
      <c r="M86" s="116">
        <f t="shared" si="23"/>
        <v>336883389.44207001</v>
      </c>
      <c r="N86" s="123">
        <f t="shared" si="24"/>
        <v>17374.078877878805</v>
      </c>
      <c r="O86" s="5"/>
      <c r="P86" s="5">
        <f t="shared" si="25"/>
        <v>1</v>
      </c>
      <c r="Q86" s="7">
        <f t="shared" si="26"/>
        <v>19390</v>
      </c>
      <c r="S86" s="124">
        <f>SUM(D84:D86)</f>
        <v>78623138506</v>
      </c>
      <c r="T86" s="124">
        <f>SUM(F84:F86)</f>
        <v>55652445798</v>
      </c>
      <c r="U86" s="124">
        <f>SUM(J84:J86)</f>
        <v>69372153.343358606</v>
      </c>
      <c r="W86" s="124">
        <f t="shared" si="27"/>
        <v>47248183.467929997</v>
      </c>
      <c r="X86">
        <f t="shared" si="28"/>
        <v>0</v>
      </c>
    </row>
    <row r="87" spans="1:24">
      <c r="A87" s="23" t="s">
        <v>92</v>
      </c>
      <c r="B87" s="35" t="s">
        <v>93</v>
      </c>
      <c r="C87" s="97">
        <v>667</v>
      </c>
      <c r="D87" s="147" t="s">
        <v>564</v>
      </c>
      <c r="E87" s="116"/>
      <c r="F87" s="134"/>
      <c r="G87" s="117"/>
      <c r="H87" s="98" t="s">
        <v>588</v>
      </c>
      <c r="I87" s="136"/>
      <c r="J87" s="134"/>
      <c r="K87" s="120"/>
      <c r="L87" s="122">
        <f t="shared" si="22"/>
        <v>0</v>
      </c>
      <c r="M87" s="116">
        <f t="shared" si="23"/>
        <v>0</v>
      </c>
      <c r="N87" s="123">
        <f t="shared" si="24"/>
        <v>0</v>
      </c>
      <c r="O87" s="5"/>
      <c r="P87" s="5">
        <f t="shared" si="25"/>
        <v>0</v>
      </c>
      <c r="Q87" s="7">
        <f t="shared" si="26"/>
        <v>0</v>
      </c>
      <c r="W87" s="124">
        <f t="shared" si="27"/>
        <v>0</v>
      </c>
      <c r="X87">
        <f t="shared" si="28"/>
        <v>0</v>
      </c>
    </row>
    <row r="88" spans="1:24">
      <c r="A88" s="23" t="s">
        <v>94</v>
      </c>
      <c r="B88" s="35" t="s">
        <v>93</v>
      </c>
      <c r="C88" s="97">
        <v>12494</v>
      </c>
      <c r="D88" s="132">
        <v>1643985814</v>
      </c>
      <c r="E88" s="116">
        <f t="shared" ref="E88:E93" si="32">(D88/C88)</f>
        <v>131582.02449175605</v>
      </c>
      <c r="F88" s="134">
        <v>1118270954</v>
      </c>
      <c r="G88" s="117">
        <f t="shared" ref="G88:G93" si="33">(F88/C88)</f>
        <v>89504.63854650232</v>
      </c>
      <c r="H88" s="7"/>
      <c r="I88" s="136">
        <v>4.9000000000000004</v>
      </c>
      <c r="J88" s="134">
        <v>5479527.6746000005</v>
      </c>
      <c r="K88" s="120">
        <f t="shared" ref="K88:K93" si="34">(J88/C88)</f>
        <v>438.57272887786144</v>
      </c>
      <c r="L88" s="122">
        <f t="shared" si="22"/>
        <v>11182709.540000001</v>
      </c>
      <c r="M88" s="116">
        <f t="shared" si="23"/>
        <v>5703181.8654000005</v>
      </c>
      <c r="N88" s="123">
        <f t="shared" si="24"/>
        <v>456.47365658716188</v>
      </c>
      <c r="O88" s="5"/>
      <c r="P88" s="5">
        <f t="shared" si="25"/>
        <v>1</v>
      </c>
      <c r="Q88" s="7">
        <f t="shared" si="26"/>
        <v>12494</v>
      </c>
      <c r="S88" s="124">
        <f>SUM(D87:D88)</f>
        <v>1643985814</v>
      </c>
      <c r="T88" s="124">
        <f>SUM(F87:F88)</f>
        <v>1118270954</v>
      </c>
      <c r="U88" s="124">
        <f>SUM(J87:J88)</f>
        <v>5479527.6746000005</v>
      </c>
      <c r="W88" s="124">
        <f t="shared" si="27"/>
        <v>5479527.6746000005</v>
      </c>
      <c r="X88">
        <f t="shared" si="28"/>
        <v>0</v>
      </c>
    </row>
    <row r="89" spans="1:24">
      <c r="A89" s="23" t="s">
        <v>95</v>
      </c>
      <c r="B89" s="37" t="s">
        <v>575</v>
      </c>
      <c r="C89" s="97">
        <v>7702</v>
      </c>
      <c r="D89" s="132">
        <v>609102018</v>
      </c>
      <c r="E89" s="116">
        <f t="shared" si="32"/>
        <v>79083.616982601918</v>
      </c>
      <c r="F89" s="134">
        <v>329515702</v>
      </c>
      <c r="G89" s="117">
        <f t="shared" si="33"/>
        <v>42783.134510516749</v>
      </c>
      <c r="H89" s="8"/>
      <c r="I89" s="136">
        <v>7.9</v>
      </c>
      <c r="J89" s="134">
        <v>2603174.0458</v>
      </c>
      <c r="K89" s="120">
        <f t="shared" si="34"/>
        <v>337.98676263308232</v>
      </c>
      <c r="L89" s="122">
        <f t="shared" si="22"/>
        <v>3295157.02</v>
      </c>
      <c r="M89" s="116">
        <f t="shared" si="23"/>
        <v>691982.97420000006</v>
      </c>
      <c r="N89" s="123">
        <f t="shared" si="24"/>
        <v>89.844582472085179</v>
      </c>
      <c r="O89" s="5"/>
      <c r="P89" s="5">
        <f t="shared" si="25"/>
        <v>1</v>
      </c>
      <c r="Q89" s="7">
        <f t="shared" si="26"/>
        <v>7702</v>
      </c>
      <c r="S89" s="124">
        <f>SUM(D89)</f>
        <v>609102018</v>
      </c>
      <c r="T89" s="124">
        <f>SUM(F89)</f>
        <v>329515702</v>
      </c>
      <c r="U89" s="124">
        <f>SUM(J89)</f>
        <v>2603174.0458</v>
      </c>
      <c r="W89" s="124">
        <f t="shared" si="27"/>
        <v>2603174.0458000004</v>
      </c>
      <c r="X89">
        <f t="shared" si="28"/>
        <v>0</v>
      </c>
    </row>
    <row r="90" spans="1:24">
      <c r="A90" s="23" t="s">
        <v>96</v>
      </c>
      <c r="B90" s="35" t="s">
        <v>97</v>
      </c>
      <c r="C90" s="97">
        <v>1698</v>
      </c>
      <c r="D90" s="132">
        <v>99052809</v>
      </c>
      <c r="E90" s="116">
        <f t="shared" si="32"/>
        <v>58334.987632508833</v>
      </c>
      <c r="F90" s="134">
        <v>46897444</v>
      </c>
      <c r="G90" s="117">
        <f t="shared" si="33"/>
        <v>27619.224970553594</v>
      </c>
      <c r="H90" s="8"/>
      <c r="I90" s="136">
        <v>5.3498000000000001</v>
      </c>
      <c r="J90" s="134">
        <v>250891.94591120002</v>
      </c>
      <c r="K90" s="120">
        <f t="shared" si="34"/>
        <v>147.75732974746762</v>
      </c>
      <c r="L90" s="122">
        <f t="shared" si="22"/>
        <v>468974.44</v>
      </c>
      <c r="M90" s="116">
        <f t="shared" si="23"/>
        <v>218082.49408879998</v>
      </c>
      <c r="N90" s="123">
        <f t="shared" si="24"/>
        <v>128.43491995806829</v>
      </c>
      <c r="O90" s="5"/>
      <c r="P90" s="5">
        <f t="shared" si="25"/>
        <v>1</v>
      </c>
      <c r="Q90" s="7">
        <f t="shared" si="26"/>
        <v>1698</v>
      </c>
      <c r="W90" s="124">
        <f t="shared" si="27"/>
        <v>250891.94591119999</v>
      </c>
      <c r="X90">
        <f t="shared" si="28"/>
        <v>0</v>
      </c>
    </row>
    <row r="91" spans="1:24">
      <c r="A91" s="23" t="s">
        <v>98</v>
      </c>
      <c r="B91" s="35" t="s">
        <v>97</v>
      </c>
      <c r="C91" s="97">
        <v>153</v>
      </c>
      <c r="D91" s="132">
        <v>81432388</v>
      </c>
      <c r="E91" s="116">
        <f t="shared" si="32"/>
        <v>532237.83006535948</v>
      </c>
      <c r="F91" s="134">
        <v>68285047</v>
      </c>
      <c r="G91" s="117">
        <f t="shared" si="33"/>
        <v>446307.49673202616</v>
      </c>
      <c r="H91" s="9"/>
      <c r="I91" s="150">
        <v>2</v>
      </c>
      <c r="J91" s="134">
        <v>136570.09400000001</v>
      </c>
      <c r="K91" s="120">
        <f t="shared" si="34"/>
        <v>892.61499346405242</v>
      </c>
      <c r="L91" s="122">
        <f t="shared" si="22"/>
        <v>682850.47</v>
      </c>
      <c r="M91" s="116">
        <f t="shared" si="23"/>
        <v>546280.37599999993</v>
      </c>
      <c r="N91" s="123">
        <f t="shared" si="24"/>
        <v>3570.4599738562088</v>
      </c>
      <c r="O91" s="5"/>
      <c r="P91" s="5">
        <f t="shared" si="25"/>
        <v>1</v>
      </c>
      <c r="Q91" s="7">
        <f t="shared" si="26"/>
        <v>153</v>
      </c>
      <c r="S91" s="124">
        <f>SUM(D90:D91)</f>
        <v>180485197</v>
      </c>
      <c r="T91" s="124">
        <f>SUM(F90:F91)</f>
        <v>115182491</v>
      </c>
      <c r="U91" s="124">
        <f>SUM(J90:J91)</f>
        <v>387462.03991120006</v>
      </c>
      <c r="W91" s="124">
        <f t="shared" si="27"/>
        <v>136570.09400000001</v>
      </c>
      <c r="X91">
        <f t="shared" si="28"/>
        <v>0</v>
      </c>
    </row>
    <row r="92" spans="1:24">
      <c r="A92" s="23" t="s">
        <v>99</v>
      </c>
      <c r="B92" s="35" t="s">
        <v>100</v>
      </c>
      <c r="C92" s="97">
        <v>13517</v>
      </c>
      <c r="D92" s="132">
        <v>5104341390</v>
      </c>
      <c r="E92" s="116">
        <f t="shared" si="32"/>
        <v>377623.83591033512</v>
      </c>
      <c r="F92" s="134">
        <v>2913053436</v>
      </c>
      <c r="G92" s="117">
        <f t="shared" si="33"/>
        <v>215510.35259303098</v>
      </c>
      <c r="H92" s="9"/>
      <c r="I92" s="136">
        <v>2.8410000000000002</v>
      </c>
      <c r="J92" s="134">
        <v>8275984.8116760002</v>
      </c>
      <c r="K92" s="120">
        <f t="shared" si="34"/>
        <v>612.26491171680107</v>
      </c>
      <c r="L92" s="122">
        <f t="shared" si="22"/>
        <v>29130534.359999999</v>
      </c>
      <c r="M92" s="116">
        <f t="shared" si="23"/>
        <v>20854549.548324</v>
      </c>
      <c r="N92" s="123">
        <f t="shared" si="24"/>
        <v>1542.8386142135089</v>
      </c>
      <c r="O92" s="5"/>
      <c r="P92" s="5">
        <f t="shared" si="25"/>
        <v>1</v>
      </c>
      <c r="Q92" s="7">
        <f t="shared" si="26"/>
        <v>13517</v>
      </c>
      <c r="W92" s="124">
        <f t="shared" si="27"/>
        <v>8275984.8116760002</v>
      </c>
      <c r="X92">
        <f t="shared" si="28"/>
        <v>0</v>
      </c>
    </row>
    <row r="93" spans="1:24">
      <c r="A93" s="23" t="s">
        <v>101</v>
      </c>
      <c r="B93" s="35" t="s">
        <v>100</v>
      </c>
      <c r="C93" s="97">
        <v>1426</v>
      </c>
      <c r="D93" s="132">
        <v>140408927</v>
      </c>
      <c r="E93" s="116">
        <f t="shared" si="32"/>
        <v>98463.483169705476</v>
      </c>
      <c r="F93" s="134">
        <v>76546495</v>
      </c>
      <c r="G93" s="117">
        <f t="shared" si="33"/>
        <v>53679.169004207572</v>
      </c>
      <c r="H93" s="9"/>
      <c r="I93" s="136">
        <v>1.962</v>
      </c>
      <c r="J93" s="134">
        <v>150184.22318999999</v>
      </c>
      <c r="K93" s="120">
        <f t="shared" si="34"/>
        <v>105.31852958625525</v>
      </c>
      <c r="L93" s="122">
        <f t="shared" si="22"/>
        <v>765464.95000000007</v>
      </c>
      <c r="M93" s="116">
        <f t="shared" si="23"/>
        <v>615280.72681000014</v>
      </c>
      <c r="N93" s="123">
        <f t="shared" si="24"/>
        <v>431.47316045582056</v>
      </c>
      <c r="O93" s="5"/>
      <c r="P93" s="5">
        <f t="shared" si="25"/>
        <v>1</v>
      </c>
      <c r="Q93" s="7">
        <f t="shared" si="26"/>
        <v>1426</v>
      </c>
      <c r="W93" s="124">
        <f t="shared" si="27"/>
        <v>150184.22318999999</v>
      </c>
      <c r="X93">
        <f t="shared" si="28"/>
        <v>0</v>
      </c>
    </row>
    <row r="94" spans="1:24">
      <c r="A94" s="23" t="s">
        <v>102</v>
      </c>
      <c r="B94" s="35" t="s">
        <v>100</v>
      </c>
      <c r="C94" s="97">
        <v>1016103</v>
      </c>
      <c r="D94" s="155" t="s">
        <v>648</v>
      </c>
      <c r="E94" s="116"/>
      <c r="F94" s="134"/>
      <c r="G94" s="117"/>
      <c r="H94" s="9"/>
      <c r="I94" s="136"/>
      <c r="J94" s="134"/>
      <c r="K94" s="120"/>
      <c r="L94" s="122">
        <f t="shared" si="22"/>
        <v>0</v>
      </c>
      <c r="M94" s="116">
        <f t="shared" si="23"/>
        <v>0</v>
      </c>
      <c r="N94" s="123">
        <f t="shared" si="24"/>
        <v>0</v>
      </c>
      <c r="O94" s="5"/>
      <c r="P94" s="5">
        <f t="shared" si="25"/>
        <v>0</v>
      </c>
      <c r="Q94" s="7">
        <f t="shared" si="26"/>
        <v>0</v>
      </c>
      <c r="W94" s="124">
        <f t="shared" si="27"/>
        <v>0</v>
      </c>
      <c r="X94">
        <f t="shared" si="28"/>
        <v>0</v>
      </c>
    </row>
    <row r="95" spans="1:24">
      <c r="A95" s="23" t="s">
        <v>103</v>
      </c>
      <c r="B95" s="35" t="s">
        <v>100</v>
      </c>
      <c r="C95" s="97">
        <v>24309</v>
      </c>
      <c r="D95" s="132">
        <v>9363198812</v>
      </c>
      <c r="E95" s="116">
        <f t="shared" ref="E95:E132" si="35">(D95/C95)</f>
        <v>385174.16644041304</v>
      </c>
      <c r="F95" s="134">
        <v>5775157460</v>
      </c>
      <c r="G95" s="117">
        <f t="shared" ref="G95:G132" si="36">(F95/C95)</f>
        <v>237572.81089308485</v>
      </c>
      <c r="H95" s="9"/>
      <c r="I95" s="136">
        <v>3.9946999999999999</v>
      </c>
      <c r="J95" s="134">
        <v>23070021.505461998</v>
      </c>
      <c r="K95" s="120">
        <f t="shared" ref="K95:K132" si="37">(J95/C95)</f>
        <v>949.0321076746061</v>
      </c>
      <c r="L95" s="122">
        <f t="shared" si="22"/>
        <v>57751574.600000001</v>
      </c>
      <c r="M95" s="116">
        <f t="shared" si="23"/>
        <v>34681553.094538003</v>
      </c>
      <c r="N95" s="123">
        <f t="shared" si="24"/>
        <v>1426.6960012562427</v>
      </c>
      <c r="O95" s="5"/>
      <c r="P95" s="5">
        <f t="shared" si="25"/>
        <v>1</v>
      </c>
      <c r="Q95" s="7">
        <f t="shared" si="26"/>
        <v>24309</v>
      </c>
      <c r="W95" s="124">
        <f t="shared" si="27"/>
        <v>23070021.505462002</v>
      </c>
      <c r="X95">
        <f t="shared" si="28"/>
        <v>0</v>
      </c>
    </row>
    <row r="96" spans="1:24">
      <c r="A96" s="23" t="s">
        <v>104</v>
      </c>
      <c r="B96" s="35" t="s">
        <v>100</v>
      </c>
      <c r="C96" s="97">
        <v>7238</v>
      </c>
      <c r="D96" s="132">
        <v>2410722521</v>
      </c>
      <c r="E96" s="116">
        <f t="shared" si="35"/>
        <v>333064.73072672007</v>
      </c>
      <c r="F96" s="134">
        <v>1378222039</v>
      </c>
      <c r="G96" s="117">
        <f t="shared" si="36"/>
        <v>190414.76084553744</v>
      </c>
      <c r="H96" s="7"/>
      <c r="I96" s="136">
        <v>3.3656000000000001</v>
      </c>
      <c r="J96" s="134">
        <v>4638544.0944583993</v>
      </c>
      <c r="K96" s="120">
        <f t="shared" si="37"/>
        <v>640.85991910174073</v>
      </c>
      <c r="L96" s="122">
        <f t="shared" si="22"/>
        <v>13782220.390000001</v>
      </c>
      <c r="M96" s="116">
        <f t="shared" si="23"/>
        <v>9143676.2955416013</v>
      </c>
      <c r="N96" s="123">
        <f t="shared" si="24"/>
        <v>1263.2876893536338</v>
      </c>
      <c r="O96" s="5"/>
      <c r="P96" s="5">
        <f t="shared" si="25"/>
        <v>1</v>
      </c>
      <c r="Q96" s="7">
        <f t="shared" si="26"/>
        <v>7238</v>
      </c>
      <c r="S96" s="124">
        <f>SUM(D92:D96)</f>
        <v>17018671650</v>
      </c>
      <c r="T96" s="124">
        <f>SUM(F92:F96)</f>
        <v>10142979430</v>
      </c>
      <c r="U96" s="124">
        <f>SUM(J92:J96)</f>
        <v>36134734.634786397</v>
      </c>
      <c r="W96" s="124">
        <f t="shared" si="27"/>
        <v>4638544.0944584003</v>
      </c>
      <c r="X96">
        <f t="shared" si="28"/>
        <v>0</v>
      </c>
    </row>
    <row r="97" spans="1:24">
      <c r="A97" s="23" t="s">
        <v>105</v>
      </c>
      <c r="B97" s="35" t="s">
        <v>106</v>
      </c>
      <c r="C97" s="97">
        <v>1638</v>
      </c>
      <c r="D97" s="132">
        <v>99678112</v>
      </c>
      <c r="E97" s="116">
        <f t="shared" si="35"/>
        <v>60853.548229548229</v>
      </c>
      <c r="F97" s="134">
        <v>59539112</v>
      </c>
      <c r="G97" s="117">
        <f t="shared" si="36"/>
        <v>36348.664224664222</v>
      </c>
      <c r="H97" s="7"/>
      <c r="I97" s="136">
        <v>0.9204</v>
      </c>
      <c r="J97" s="134">
        <v>54799.7986848</v>
      </c>
      <c r="K97" s="120">
        <f t="shared" si="37"/>
        <v>33.455310552380951</v>
      </c>
      <c r="L97" s="122">
        <f t="shared" si="22"/>
        <v>595391.12</v>
      </c>
      <c r="M97" s="116">
        <f t="shared" si="23"/>
        <v>540591.32131519995</v>
      </c>
      <c r="N97" s="123">
        <f t="shared" si="24"/>
        <v>330.03133169426127</v>
      </c>
      <c r="O97" s="5"/>
      <c r="P97" s="5">
        <f t="shared" si="25"/>
        <v>1</v>
      </c>
      <c r="Q97" s="7">
        <f t="shared" si="26"/>
        <v>1638</v>
      </c>
      <c r="W97" s="124">
        <f t="shared" si="27"/>
        <v>54799.7986848</v>
      </c>
      <c r="X97">
        <f t="shared" si="28"/>
        <v>0</v>
      </c>
    </row>
    <row r="98" spans="1:24">
      <c r="A98" s="23" t="s">
        <v>107</v>
      </c>
      <c r="B98" s="35" t="s">
        <v>106</v>
      </c>
      <c r="C98" s="97">
        <v>55152</v>
      </c>
      <c r="D98" s="132">
        <v>10698820410</v>
      </c>
      <c r="E98" s="116">
        <f t="shared" si="35"/>
        <v>193987.89545256746</v>
      </c>
      <c r="F98" s="134">
        <v>6392840518</v>
      </c>
      <c r="G98" s="117">
        <f t="shared" si="36"/>
        <v>115913.12224398027</v>
      </c>
      <c r="H98" s="7"/>
      <c r="I98" s="136">
        <v>4.2895000000000003</v>
      </c>
      <c r="J98" s="134">
        <v>27422089.401961002</v>
      </c>
      <c r="K98" s="120">
        <f t="shared" si="37"/>
        <v>497.20933786555344</v>
      </c>
      <c r="L98" s="122">
        <f t="shared" si="22"/>
        <v>63928405.18</v>
      </c>
      <c r="M98" s="116">
        <f t="shared" si="23"/>
        <v>36506315.778038993</v>
      </c>
      <c r="N98" s="123">
        <f t="shared" si="24"/>
        <v>661.92188457424925</v>
      </c>
      <c r="O98" s="5"/>
      <c r="P98" s="5">
        <f t="shared" si="25"/>
        <v>1</v>
      </c>
      <c r="Q98" s="7">
        <f t="shared" si="26"/>
        <v>55152</v>
      </c>
      <c r="S98" s="124">
        <f>SUM(D97:D98)</f>
        <v>10798498522</v>
      </c>
      <c r="T98" s="124">
        <f>SUM(F97:F98)</f>
        <v>6452379630</v>
      </c>
      <c r="U98" s="124">
        <f>SUM(J97:J98)</f>
        <v>27476889.200645801</v>
      </c>
      <c r="W98" s="124">
        <f t="shared" si="27"/>
        <v>27422089.401960999</v>
      </c>
      <c r="X98">
        <f t="shared" si="28"/>
        <v>0</v>
      </c>
    </row>
    <row r="99" spans="1:24">
      <c r="A99" s="23" t="s">
        <v>108</v>
      </c>
      <c r="B99" s="35" t="s">
        <v>109</v>
      </c>
      <c r="C99" s="97">
        <v>503</v>
      </c>
      <c r="D99" s="132">
        <v>176919041</v>
      </c>
      <c r="E99" s="116">
        <f t="shared" si="35"/>
        <v>351727.71570576541</v>
      </c>
      <c r="F99" s="134">
        <v>122281427</v>
      </c>
      <c r="G99" s="117">
        <f t="shared" si="36"/>
        <v>243104.22862823063</v>
      </c>
      <c r="H99" s="7"/>
      <c r="I99" s="136">
        <v>1.08</v>
      </c>
      <c r="J99" s="134">
        <v>132063.94116000002</v>
      </c>
      <c r="K99" s="120">
        <f t="shared" si="37"/>
        <v>262.55256691848911</v>
      </c>
      <c r="L99" s="122">
        <f t="shared" si="22"/>
        <v>1222814.27</v>
      </c>
      <c r="M99" s="116">
        <f t="shared" si="23"/>
        <v>1090750.3288400001</v>
      </c>
      <c r="N99" s="123">
        <f t="shared" si="24"/>
        <v>2168.4897193638171</v>
      </c>
      <c r="O99" s="5"/>
      <c r="P99" s="5">
        <f t="shared" si="25"/>
        <v>1</v>
      </c>
      <c r="Q99" s="7">
        <f t="shared" si="26"/>
        <v>503</v>
      </c>
      <c r="W99" s="124">
        <f t="shared" si="27"/>
        <v>132063.94115999999</v>
      </c>
      <c r="X99">
        <f t="shared" si="28"/>
        <v>0</v>
      </c>
    </row>
    <row r="100" spans="1:24">
      <c r="A100" s="23" t="s">
        <v>110</v>
      </c>
      <c r="B100" s="35" t="s">
        <v>109</v>
      </c>
      <c r="C100" s="97">
        <v>4149</v>
      </c>
      <c r="D100" s="132">
        <v>787554062</v>
      </c>
      <c r="E100" s="116">
        <f t="shared" si="35"/>
        <v>189817.80236201495</v>
      </c>
      <c r="F100" s="134">
        <v>398183871</v>
      </c>
      <c r="G100" s="117">
        <f t="shared" si="36"/>
        <v>95971.046276211142</v>
      </c>
      <c r="H100" s="7"/>
      <c r="I100" s="136">
        <v>7.93</v>
      </c>
      <c r="J100" s="134">
        <v>3157598.0970299998</v>
      </c>
      <c r="K100" s="120">
        <f t="shared" si="37"/>
        <v>761.05039697035431</v>
      </c>
      <c r="L100" s="122">
        <f t="shared" si="22"/>
        <v>3981838.71</v>
      </c>
      <c r="M100" s="116">
        <f t="shared" si="23"/>
        <v>824240.61297000013</v>
      </c>
      <c r="N100" s="123">
        <f t="shared" si="24"/>
        <v>198.66006579175709</v>
      </c>
      <c r="O100" s="5"/>
      <c r="P100" s="5">
        <f t="shared" si="25"/>
        <v>1</v>
      </c>
      <c r="Q100" s="7">
        <f t="shared" si="26"/>
        <v>4149</v>
      </c>
      <c r="W100" s="124">
        <f t="shared" si="27"/>
        <v>3157598.0970299998</v>
      </c>
      <c r="X100">
        <f t="shared" si="28"/>
        <v>0</v>
      </c>
    </row>
    <row r="101" spans="1:24">
      <c r="A101" s="23" t="s">
        <v>447</v>
      </c>
      <c r="B101" s="35" t="s">
        <v>109</v>
      </c>
      <c r="C101" s="97">
        <v>106193</v>
      </c>
      <c r="D101" s="132">
        <v>16620065317</v>
      </c>
      <c r="E101" s="116">
        <f t="shared" si="35"/>
        <v>156508.10615577298</v>
      </c>
      <c r="F101" s="134">
        <v>9984760290</v>
      </c>
      <c r="G101" s="117">
        <f t="shared" si="36"/>
        <v>94024.655956607312</v>
      </c>
      <c r="H101" s="9"/>
      <c r="I101" s="136">
        <v>4.1893000000000002</v>
      </c>
      <c r="J101" s="134">
        <v>41829156.282897003</v>
      </c>
      <c r="K101" s="120">
        <f t="shared" si="37"/>
        <v>393.89749119901501</v>
      </c>
      <c r="L101" s="122">
        <f t="shared" si="22"/>
        <v>99847602.900000006</v>
      </c>
      <c r="M101" s="116">
        <f t="shared" si="23"/>
        <v>58018446.617103003</v>
      </c>
      <c r="N101" s="123">
        <f t="shared" si="24"/>
        <v>546.34906836705807</v>
      </c>
      <c r="O101" s="5"/>
      <c r="P101" s="5">
        <f t="shared" si="25"/>
        <v>1</v>
      </c>
      <c r="Q101" s="7">
        <f t="shared" si="26"/>
        <v>106193</v>
      </c>
      <c r="W101" s="124">
        <f t="shared" si="27"/>
        <v>41829156.282897003</v>
      </c>
      <c r="X101">
        <f t="shared" si="28"/>
        <v>0</v>
      </c>
    </row>
    <row r="102" spans="1:24">
      <c r="A102" s="23" t="s">
        <v>111</v>
      </c>
      <c r="B102" s="35" t="s">
        <v>557</v>
      </c>
      <c r="C102" s="97">
        <v>15</v>
      </c>
      <c r="D102" s="132">
        <v>19650020</v>
      </c>
      <c r="E102" s="116">
        <f t="shared" si="35"/>
        <v>1310001.3333333333</v>
      </c>
      <c r="F102" s="134">
        <v>13874378</v>
      </c>
      <c r="G102" s="117">
        <f t="shared" si="36"/>
        <v>924958.53333333333</v>
      </c>
      <c r="H102" s="7"/>
      <c r="I102" s="136">
        <v>10</v>
      </c>
      <c r="J102" s="134">
        <v>138743.78</v>
      </c>
      <c r="K102" s="120">
        <f t="shared" si="37"/>
        <v>9249.5853333333325</v>
      </c>
      <c r="L102" s="122">
        <f t="shared" si="22"/>
        <v>138743.78</v>
      </c>
      <c r="M102" s="116">
        <f t="shared" si="23"/>
        <v>0</v>
      </c>
      <c r="N102" s="123">
        <f t="shared" si="24"/>
        <v>0</v>
      </c>
      <c r="O102" s="5"/>
      <c r="P102" s="5">
        <f t="shared" si="25"/>
        <v>1</v>
      </c>
      <c r="Q102" s="7">
        <f t="shared" si="26"/>
        <v>15</v>
      </c>
      <c r="W102" s="124">
        <f t="shared" si="27"/>
        <v>138743.78</v>
      </c>
      <c r="X102">
        <f t="shared" si="28"/>
        <v>0</v>
      </c>
    </row>
    <row r="103" spans="1:24">
      <c r="A103" s="23" t="s">
        <v>112</v>
      </c>
      <c r="B103" s="35" t="s">
        <v>113</v>
      </c>
      <c r="C103" s="97">
        <v>5622</v>
      </c>
      <c r="D103" s="132">
        <v>1849964750</v>
      </c>
      <c r="E103" s="116">
        <f t="shared" si="35"/>
        <v>329058.11988616153</v>
      </c>
      <c r="F103" s="134">
        <v>1208868312</v>
      </c>
      <c r="G103" s="117">
        <f t="shared" si="36"/>
        <v>215024.60192102456</v>
      </c>
      <c r="H103" s="7"/>
      <c r="I103" s="136">
        <v>5.45</v>
      </c>
      <c r="J103" s="134">
        <v>6588332.300400001</v>
      </c>
      <c r="K103" s="120">
        <f t="shared" si="37"/>
        <v>1171.884080469584</v>
      </c>
      <c r="L103" s="122">
        <f t="shared" si="22"/>
        <v>12088683.120000001</v>
      </c>
      <c r="M103" s="116">
        <f t="shared" si="23"/>
        <v>5500350.8196</v>
      </c>
      <c r="N103" s="123">
        <f t="shared" si="24"/>
        <v>978.36193874066169</v>
      </c>
      <c r="O103" s="5"/>
      <c r="P103" s="5">
        <f t="shared" si="25"/>
        <v>1</v>
      </c>
      <c r="Q103" s="7">
        <f t="shared" si="26"/>
        <v>5622</v>
      </c>
      <c r="S103" s="124">
        <f>SUM(D99:D103)</f>
        <v>19454153190</v>
      </c>
      <c r="T103" s="124">
        <f>SUM(F99:F103)</f>
        <v>11727968278</v>
      </c>
      <c r="U103" s="124">
        <f>SUM(J99:J103)</f>
        <v>51845894.401487008</v>
      </c>
      <c r="W103" s="124">
        <f t="shared" si="27"/>
        <v>6588332.3004000001</v>
      </c>
      <c r="X103">
        <f t="shared" si="28"/>
        <v>0</v>
      </c>
    </row>
    <row r="104" spans="1:24">
      <c r="A104" s="23" t="s">
        <v>114</v>
      </c>
      <c r="B104" s="35" t="s">
        <v>115</v>
      </c>
      <c r="C104" s="97">
        <v>2470</v>
      </c>
      <c r="D104" s="132">
        <v>544884630</v>
      </c>
      <c r="E104" s="116">
        <f t="shared" si="35"/>
        <v>220601.06477732793</v>
      </c>
      <c r="F104" s="134">
        <v>278045367</v>
      </c>
      <c r="G104" s="117">
        <f t="shared" si="36"/>
        <v>112568.97449392712</v>
      </c>
      <c r="H104" s="9"/>
      <c r="I104" s="150">
        <v>8.3457000000000008</v>
      </c>
      <c r="J104" s="134">
        <v>2320483.2193719</v>
      </c>
      <c r="K104" s="120">
        <f t="shared" si="37"/>
        <v>939.46689043396759</v>
      </c>
      <c r="L104" s="122">
        <f t="shared" si="22"/>
        <v>2780453.67</v>
      </c>
      <c r="M104" s="116">
        <f t="shared" si="23"/>
        <v>459970.45062809996</v>
      </c>
      <c r="N104" s="123">
        <f t="shared" si="24"/>
        <v>186.22285450530362</v>
      </c>
      <c r="O104" s="5"/>
      <c r="P104" s="5">
        <f t="shared" si="25"/>
        <v>1</v>
      </c>
      <c r="Q104" s="7">
        <f t="shared" si="26"/>
        <v>2470</v>
      </c>
      <c r="W104" s="124">
        <f t="shared" si="27"/>
        <v>2320483.2193719004</v>
      </c>
      <c r="X104">
        <f t="shared" si="28"/>
        <v>0</v>
      </c>
    </row>
    <row r="105" spans="1:24">
      <c r="A105" s="23" t="s">
        <v>116</v>
      </c>
      <c r="B105" s="35" t="s">
        <v>115</v>
      </c>
      <c r="C105" s="97">
        <v>3073</v>
      </c>
      <c r="D105" s="132">
        <v>297231133</v>
      </c>
      <c r="E105" s="116">
        <f t="shared" si="35"/>
        <v>96723.440611780024</v>
      </c>
      <c r="F105" s="134">
        <v>191240677</v>
      </c>
      <c r="G105" s="117">
        <f t="shared" si="36"/>
        <v>62232.566547347866</v>
      </c>
      <c r="H105" s="9"/>
      <c r="I105" s="136">
        <v>7.25</v>
      </c>
      <c r="J105" s="134">
        <v>1386494.9082500001</v>
      </c>
      <c r="K105" s="120">
        <f t="shared" si="37"/>
        <v>451.1861074682721</v>
      </c>
      <c r="L105" s="122">
        <f t="shared" si="22"/>
        <v>1912406.77</v>
      </c>
      <c r="M105" s="116">
        <f t="shared" si="23"/>
        <v>525911.86174999992</v>
      </c>
      <c r="N105" s="123">
        <f t="shared" si="24"/>
        <v>171.13955800520662</v>
      </c>
      <c r="O105" s="5"/>
      <c r="P105" s="5">
        <f t="shared" si="25"/>
        <v>1</v>
      </c>
      <c r="Q105" s="7">
        <f t="shared" si="26"/>
        <v>3073</v>
      </c>
      <c r="S105" s="124">
        <f>SUM(D104:D105)</f>
        <v>842115763</v>
      </c>
      <c r="T105" s="124">
        <f>SUM(F104:F105)</f>
        <v>469286044</v>
      </c>
      <c r="U105" s="124">
        <f>SUM(J104:J105)</f>
        <v>3706978.1276219003</v>
      </c>
      <c r="W105" s="124">
        <f t="shared" si="27"/>
        <v>1386494.9082500001</v>
      </c>
      <c r="X105">
        <f t="shared" si="28"/>
        <v>0</v>
      </c>
    </row>
    <row r="106" spans="1:24">
      <c r="A106" s="23" t="s">
        <v>117</v>
      </c>
      <c r="B106" s="35" t="s">
        <v>118</v>
      </c>
      <c r="C106" s="97">
        <v>2974</v>
      </c>
      <c r="D106" s="132">
        <v>252137232</v>
      </c>
      <c r="E106" s="116">
        <f t="shared" si="35"/>
        <v>84780.508406186957</v>
      </c>
      <c r="F106" s="134">
        <v>43278906</v>
      </c>
      <c r="G106" s="117">
        <f t="shared" si="36"/>
        <v>14552.422999327506</v>
      </c>
      <c r="H106" s="7"/>
      <c r="I106" s="136">
        <v>3</v>
      </c>
      <c r="J106" s="134">
        <v>129836.71799999999</v>
      </c>
      <c r="K106" s="120">
        <f t="shared" si="37"/>
        <v>43.657268997982513</v>
      </c>
      <c r="L106" s="122">
        <f t="shared" si="22"/>
        <v>432789.06</v>
      </c>
      <c r="M106" s="116">
        <f t="shared" si="23"/>
        <v>302952.342</v>
      </c>
      <c r="N106" s="123">
        <f t="shared" si="24"/>
        <v>101.86696099529253</v>
      </c>
      <c r="O106" s="5"/>
      <c r="P106" s="5">
        <f t="shared" si="25"/>
        <v>1</v>
      </c>
      <c r="Q106" s="7">
        <f t="shared" si="26"/>
        <v>2974</v>
      </c>
      <c r="W106" s="124">
        <f t="shared" si="27"/>
        <v>129836.71800000001</v>
      </c>
      <c r="X106">
        <f t="shared" si="28"/>
        <v>0</v>
      </c>
    </row>
    <row r="107" spans="1:24">
      <c r="A107" s="23" t="s">
        <v>119</v>
      </c>
      <c r="B107" s="35" t="s">
        <v>118</v>
      </c>
      <c r="C107" s="97">
        <v>444</v>
      </c>
      <c r="D107" s="132">
        <v>33516057</v>
      </c>
      <c r="E107" s="116">
        <f t="shared" si="35"/>
        <v>75486.614864864867</v>
      </c>
      <c r="F107" s="134">
        <v>11534029</v>
      </c>
      <c r="G107" s="117">
        <f t="shared" si="36"/>
        <v>25977.542792792792</v>
      </c>
      <c r="H107" s="7"/>
      <c r="I107" s="136">
        <v>5</v>
      </c>
      <c r="J107" s="134">
        <v>57670.144999999997</v>
      </c>
      <c r="K107" s="120">
        <f t="shared" si="37"/>
        <v>129.88771396396396</v>
      </c>
      <c r="L107" s="122">
        <f t="shared" si="22"/>
        <v>115340.29000000001</v>
      </c>
      <c r="M107" s="116">
        <f t="shared" si="23"/>
        <v>57670.145000000011</v>
      </c>
      <c r="N107" s="123">
        <f t="shared" si="24"/>
        <v>129.88771396396399</v>
      </c>
      <c r="O107" s="5"/>
      <c r="P107" s="5">
        <f t="shared" si="25"/>
        <v>1</v>
      </c>
      <c r="Q107" s="7">
        <f t="shared" si="26"/>
        <v>444</v>
      </c>
      <c r="W107" s="124">
        <f t="shared" si="27"/>
        <v>57670.145000000004</v>
      </c>
      <c r="X107">
        <f t="shared" si="28"/>
        <v>0</v>
      </c>
    </row>
    <row r="108" spans="1:24">
      <c r="A108" s="23" t="s">
        <v>120</v>
      </c>
      <c r="B108" s="35" t="s">
        <v>118</v>
      </c>
      <c r="C108" s="97">
        <v>1355</v>
      </c>
      <c r="D108" s="132">
        <v>85803406</v>
      </c>
      <c r="E108" s="116">
        <f t="shared" si="35"/>
        <v>63323.546863468633</v>
      </c>
      <c r="F108" s="134">
        <v>40067806</v>
      </c>
      <c r="G108" s="117">
        <f t="shared" si="36"/>
        <v>29570.336531365312</v>
      </c>
      <c r="H108" s="7"/>
      <c r="I108" s="136">
        <v>5.1653000000000002</v>
      </c>
      <c r="J108" s="134">
        <v>206962.23833180001</v>
      </c>
      <c r="K108" s="120">
        <f t="shared" si="37"/>
        <v>152.73965928546127</v>
      </c>
      <c r="L108" s="122">
        <f t="shared" si="22"/>
        <v>400678.06</v>
      </c>
      <c r="M108" s="116">
        <f t="shared" si="23"/>
        <v>193715.82166819999</v>
      </c>
      <c r="N108" s="123">
        <f t="shared" si="24"/>
        <v>142.96370602819187</v>
      </c>
      <c r="O108" s="5"/>
      <c r="P108" s="5">
        <f t="shared" si="25"/>
        <v>1</v>
      </c>
      <c r="Q108" s="7">
        <f t="shared" si="26"/>
        <v>1355</v>
      </c>
      <c r="W108" s="124">
        <f t="shared" si="27"/>
        <v>206962.23833180001</v>
      </c>
      <c r="X108">
        <f t="shared" si="28"/>
        <v>0</v>
      </c>
    </row>
    <row r="109" spans="1:24">
      <c r="A109" s="23" t="s">
        <v>121</v>
      </c>
      <c r="B109" s="35" t="s">
        <v>118</v>
      </c>
      <c r="C109" s="97">
        <v>1797</v>
      </c>
      <c r="D109" s="132">
        <v>184429701</v>
      </c>
      <c r="E109" s="116">
        <f t="shared" si="35"/>
        <v>102631.99833055092</v>
      </c>
      <c r="F109" s="134">
        <v>106285558</v>
      </c>
      <c r="G109" s="117">
        <f t="shared" si="36"/>
        <v>59146.109070673345</v>
      </c>
      <c r="H109" s="7"/>
      <c r="I109" s="136">
        <v>3</v>
      </c>
      <c r="J109" s="134">
        <v>318856.674</v>
      </c>
      <c r="K109" s="120">
        <f t="shared" si="37"/>
        <v>177.43832721202003</v>
      </c>
      <c r="L109" s="122">
        <f t="shared" si="22"/>
        <v>1062855.58</v>
      </c>
      <c r="M109" s="116">
        <f t="shared" si="23"/>
        <v>743998.90600000008</v>
      </c>
      <c r="N109" s="123">
        <f t="shared" si="24"/>
        <v>414.02276349471344</v>
      </c>
      <c r="O109" s="5"/>
      <c r="P109" s="5">
        <f t="shared" si="25"/>
        <v>1</v>
      </c>
      <c r="Q109" s="7">
        <f t="shared" si="26"/>
        <v>1797</v>
      </c>
      <c r="W109" s="124">
        <f t="shared" si="27"/>
        <v>318856.674</v>
      </c>
      <c r="X109">
        <f t="shared" si="28"/>
        <v>0</v>
      </c>
    </row>
    <row r="110" spans="1:24">
      <c r="A110" s="23" t="s">
        <v>122</v>
      </c>
      <c r="B110" s="35" t="s">
        <v>118</v>
      </c>
      <c r="C110" s="97">
        <v>3683</v>
      </c>
      <c r="D110" s="132">
        <v>440226690</v>
      </c>
      <c r="E110" s="116">
        <f t="shared" si="35"/>
        <v>119529.37550909584</v>
      </c>
      <c r="F110" s="134">
        <v>288190268</v>
      </c>
      <c r="G110" s="117">
        <f t="shared" si="36"/>
        <v>78248.783057290246</v>
      </c>
      <c r="H110" s="7"/>
      <c r="I110" s="136">
        <v>4.4946999999999999</v>
      </c>
      <c r="J110" s="134">
        <v>1295328.7975795998</v>
      </c>
      <c r="K110" s="120">
        <f t="shared" si="37"/>
        <v>351.70480520760242</v>
      </c>
      <c r="L110" s="122">
        <f t="shared" si="22"/>
        <v>2881902.68</v>
      </c>
      <c r="M110" s="116">
        <f t="shared" si="23"/>
        <v>1586573.8824204004</v>
      </c>
      <c r="N110" s="123">
        <f t="shared" si="24"/>
        <v>430.78302536530015</v>
      </c>
      <c r="O110" s="5"/>
      <c r="P110" s="5">
        <f t="shared" si="25"/>
        <v>1</v>
      </c>
      <c r="Q110" s="7">
        <f t="shared" si="26"/>
        <v>3683</v>
      </c>
      <c r="W110" s="124">
        <f t="shared" si="27"/>
        <v>1295328.7975796</v>
      </c>
      <c r="X110">
        <f t="shared" si="28"/>
        <v>0</v>
      </c>
    </row>
    <row r="111" spans="1:24">
      <c r="A111" s="23" t="s">
        <v>123</v>
      </c>
      <c r="B111" s="35" t="s">
        <v>118</v>
      </c>
      <c r="C111" s="97">
        <v>8124</v>
      </c>
      <c r="D111" s="132">
        <v>731639145</v>
      </c>
      <c r="E111" s="116">
        <f t="shared" si="35"/>
        <v>90058.978951255544</v>
      </c>
      <c r="F111" s="134">
        <v>327650542</v>
      </c>
      <c r="G111" s="117">
        <f t="shared" si="36"/>
        <v>40331.184391925162</v>
      </c>
      <c r="H111" s="9"/>
      <c r="I111" s="136">
        <v>6.8</v>
      </c>
      <c r="J111" s="134">
        <v>2228023.6856</v>
      </c>
      <c r="K111" s="120">
        <f t="shared" si="37"/>
        <v>274.25205386509106</v>
      </c>
      <c r="L111" s="122">
        <f t="shared" si="22"/>
        <v>3276505.42</v>
      </c>
      <c r="M111" s="116">
        <f t="shared" si="23"/>
        <v>1048481.7344</v>
      </c>
      <c r="N111" s="123">
        <f t="shared" si="24"/>
        <v>129.05979005416052</v>
      </c>
      <c r="O111" s="5"/>
      <c r="P111" s="5">
        <f t="shared" si="25"/>
        <v>1</v>
      </c>
      <c r="Q111" s="7">
        <f t="shared" si="26"/>
        <v>8124</v>
      </c>
      <c r="S111" s="124">
        <f>SUM(D106:D111)</f>
        <v>1727752231</v>
      </c>
      <c r="T111" s="124">
        <f>SUM(F106:F111)</f>
        <v>817007109</v>
      </c>
      <c r="U111" s="124">
        <f>SUM(J106:J111)</f>
        <v>4236678.2585113999</v>
      </c>
      <c r="W111" s="124">
        <f t="shared" si="27"/>
        <v>2228023.6856</v>
      </c>
      <c r="X111">
        <f t="shared" si="28"/>
        <v>0</v>
      </c>
    </row>
    <row r="112" spans="1:24">
      <c r="A112" s="23" t="s">
        <v>124</v>
      </c>
      <c r="B112" s="35" t="s">
        <v>125</v>
      </c>
      <c r="C112" s="97">
        <v>521</v>
      </c>
      <c r="D112" s="132">
        <v>63952628</v>
      </c>
      <c r="E112" s="116">
        <f t="shared" si="35"/>
        <v>122749.76583493283</v>
      </c>
      <c r="F112" s="134">
        <v>29785340</v>
      </c>
      <c r="G112" s="117">
        <f t="shared" si="36"/>
        <v>57169.558541266793</v>
      </c>
      <c r="H112" s="9"/>
      <c r="I112" s="136">
        <v>3</v>
      </c>
      <c r="J112" s="134">
        <v>89356.02</v>
      </c>
      <c r="K112" s="120">
        <f t="shared" si="37"/>
        <v>171.5086756238004</v>
      </c>
      <c r="L112" s="122">
        <f t="shared" si="22"/>
        <v>297853.40000000002</v>
      </c>
      <c r="M112" s="116">
        <f t="shared" si="23"/>
        <v>208497.38</v>
      </c>
      <c r="N112" s="123">
        <f t="shared" si="24"/>
        <v>400.18690978886758</v>
      </c>
      <c r="O112" s="5"/>
      <c r="P112" s="5">
        <f t="shared" si="25"/>
        <v>1</v>
      </c>
      <c r="Q112" s="7">
        <f t="shared" si="26"/>
        <v>521</v>
      </c>
      <c r="W112" s="124">
        <f t="shared" si="27"/>
        <v>89356.02</v>
      </c>
      <c r="X112">
        <f t="shared" si="28"/>
        <v>0</v>
      </c>
    </row>
    <row r="113" spans="1:24">
      <c r="A113" s="23" t="s">
        <v>126</v>
      </c>
      <c r="B113" s="35" t="s">
        <v>125</v>
      </c>
      <c r="C113" s="97">
        <v>2173</v>
      </c>
      <c r="D113" s="132">
        <v>203153692</v>
      </c>
      <c r="E113" s="116">
        <f t="shared" si="35"/>
        <v>93489.964104924074</v>
      </c>
      <c r="F113" s="134">
        <v>109714660</v>
      </c>
      <c r="G113" s="117">
        <f t="shared" si="36"/>
        <v>50489.949378739067</v>
      </c>
      <c r="H113" s="9"/>
      <c r="I113" s="150">
        <v>3.5</v>
      </c>
      <c r="J113" s="134">
        <v>384001.31</v>
      </c>
      <c r="K113" s="120">
        <f t="shared" si="37"/>
        <v>176.71482282558674</v>
      </c>
      <c r="L113" s="122">
        <f t="shared" si="22"/>
        <v>1097146.6000000001</v>
      </c>
      <c r="M113" s="116">
        <f t="shared" si="23"/>
        <v>713145.29</v>
      </c>
      <c r="N113" s="123">
        <f t="shared" si="24"/>
        <v>328.18467096180399</v>
      </c>
      <c r="O113" s="5"/>
      <c r="P113" s="5">
        <f t="shared" si="25"/>
        <v>1</v>
      </c>
      <c r="Q113" s="7">
        <f t="shared" si="26"/>
        <v>2173</v>
      </c>
      <c r="W113" s="124">
        <f t="shared" si="27"/>
        <v>384001.31</v>
      </c>
      <c r="X113">
        <f t="shared" si="28"/>
        <v>0</v>
      </c>
    </row>
    <row r="114" spans="1:24">
      <c r="A114" s="23" t="s">
        <v>127</v>
      </c>
      <c r="B114" s="35" t="s">
        <v>128</v>
      </c>
      <c r="C114" s="97">
        <v>1310</v>
      </c>
      <c r="D114" s="132">
        <f>(70738505+68098557)</f>
        <v>138837062</v>
      </c>
      <c r="E114" s="116">
        <f t="shared" si="35"/>
        <v>105982.49007633587</v>
      </c>
      <c r="F114" s="134">
        <f>(38832980+32979228)</f>
        <v>71812208</v>
      </c>
      <c r="G114" s="117">
        <f t="shared" si="36"/>
        <v>54818.479389312975</v>
      </c>
      <c r="H114" s="7"/>
      <c r="I114" s="150">
        <v>3</v>
      </c>
      <c r="J114" s="134">
        <f>(116498.94+98938)</f>
        <v>215436.94</v>
      </c>
      <c r="K114" s="120">
        <f t="shared" si="37"/>
        <v>164.45567938931299</v>
      </c>
      <c r="L114" s="122">
        <f t="shared" si="22"/>
        <v>718122.08</v>
      </c>
      <c r="M114" s="116">
        <f t="shared" si="23"/>
        <v>502685.13999999996</v>
      </c>
      <c r="N114" s="123">
        <f t="shared" si="24"/>
        <v>383.72911450381679</v>
      </c>
      <c r="O114" s="5"/>
      <c r="P114" s="5">
        <f t="shared" si="25"/>
        <v>1</v>
      </c>
      <c r="Q114" s="7">
        <f t="shared" si="26"/>
        <v>1310</v>
      </c>
      <c r="S114" s="124">
        <f>SUM(D112:D114)</f>
        <v>405943382</v>
      </c>
      <c r="T114" s="124">
        <f>SUM(F112:F114)</f>
        <v>211312208</v>
      </c>
      <c r="U114" s="124">
        <f>SUM(J112:J114)</f>
        <v>688794.27</v>
      </c>
      <c r="W114" s="124">
        <f t="shared" si="27"/>
        <v>215436.62400000001</v>
      </c>
      <c r="X114">
        <f t="shared" si="28"/>
        <v>1</v>
      </c>
    </row>
    <row r="115" spans="1:24">
      <c r="A115" s="23" t="s">
        <v>129</v>
      </c>
      <c r="B115" s="35" t="s">
        <v>130</v>
      </c>
      <c r="C115" s="97">
        <v>1533</v>
      </c>
      <c r="D115" s="132">
        <v>165174039</v>
      </c>
      <c r="E115" s="116">
        <f t="shared" si="35"/>
        <v>107745.62230919766</v>
      </c>
      <c r="F115" s="134">
        <v>62988878</v>
      </c>
      <c r="G115" s="117">
        <f t="shared" si="36"/>
        <v>41088.635355512066</v>
      </c>
      <c r="H115" s="9"/>
      <c r="I115" s="136">
        <v>4.45</v>
      </c>
      <c r="J115" s="134">
        <v>280300.50710000005</v>
      </c>
      <c r="K115" s="120">
        <f t="shared" si="37"/>
        <v>182.84442733202874</v>
      </c>
      <c r="L115" s="122">
        <f t="shared" si="22"/>
        <v>629888.78</v>
      </c>
      <c r="M115" s="116">
        <f t="shared" si="23"/>
        <v>349588.27289999998</v>
      </c>
      <c r="N115" s="123">
        <f t="shared" si="24"/>
        <v>228.04192622309196</v>
      </c>
      <c r="O115" s="5"/>
      <c r="P115" s="5">
        <f t="shared" si="25"/>
        <v>1</v>
      </c>
      <c r="Q115" s="7">
        <f t="shared" si="26"/>
        <v>1533</v>
      </c>
      <c r="S115" s="124">
        <f>SUM(D115)</f>
        <v>165174039</v>
      </c>
      <c r="T115" s="124">
        <f>SUM(F115)</f>
        <v>62988878</v>
      </c>
      <c r="U115" s="124">
        <f>SUM(J115)</f>
        <v>280300.50710000005</v>
      </c>
      <c r="W115" s="124">
        <f t="shared" si="27"/>
        <v>280300.50709999999</v>
      </c>
      <c r="X115">
        <f t="shared" si="28"/>
        <v>0</v>
      </c>
    </row>
    <row r="116" spans="1:24">
      <c r="A116" s="24" t="s">
        <v>545</v>
      </c>
      <c r="B116" s="35" t="s">
        <v>131</v>
      </c>
      <c r="C116" s="97">
        <v>3912</v>
      </c>
      <c r="D116" s="132">
        <v>1166401775</v>
      </c>
      <c r="E116" s="116">
        <f t="shared" si="35"/>
        <v>298159.96293456032</v>
      </c>
      <c r="F116" s="134">
        <v>723111910</v>
      </c>
      <c r="G116" s="117">
        <f t="shared" si="36"/>
        <v>184844.55777096114</v>
      </c>
      <c r="H116" s="9"/>
      <c r="I116" s="136">
        <v>3.5914000000000001</v>
      </c>
      <c r="J116" s="134">
        <v>2596984.1135740001</v>
      </c>
      <c r="K116" s="120">
        <f t="shared" si="37"/>
        <v>663.85074477862986</v>
      </c>
      <c r="L116" s="122">
        <f t="shared" si="22"/>
        <v>7231119.1000000006</v>
      </c>
      <c r="M116" s="116">
        <f t="shared" si="23"/>
        <v>4634134.9864260005</v>
      </c>
      <c r="N116" s="123">
        <f t="shared" si="24"/>
        <v>1184.5948329309817</v>
      </c>
      <c r="O116" s="5"/>
      <c r="P116" s="5">
        <f t="shared" si="25"/>
        <v>1</v>
      </c>
      <c r="Q116" s="7">
        <f t="shared" si="26"/>
        <v>3912</v>
      </c>
      <c r="W116" s="124">
        <f t="shared" si="27"/>
        <v>2596984.1135740001</v>
      </c>
      <c r="X116">
        <f t="shared" si="28"/>
        <v>0</v>
      </c>
    </row>
    <row r="117" spans="1:24">
      <c r="A117" s="23" t="s">
        <v>132</v>
      </c>
      <c r="B117" s="35" t="s">
        <v>131</v>
      </c>
      <c r="C117" s="97">
        <v>2292</v>
      </c>
      <c r="D117" s="132">
        <v>212899165</v>
      </c>
      <c r="E117" s="116">
        <f t="shared" si="35"/>
        <v>92887.942844677134</v>
      </c>
      <c r="F117" s="134">
        <v>96985071</v>
      </c>
      <c r="G117" s="117">
        <f t="shared" si="36"/>
        <v>42314.603403141358</v>
      </c>
      <c r="H117" s="9"/>
      <c r="I117" s="136">
        <v>6.1132999999999997</v>
      </c>
      <c r="J117" s="134">
        <v>592898.83454429999</v>
      </c>
      <c r="K117" s="120">
        <f t="shared" si="37"/>
        <v>258.68186498442407</v>
      </c>
      <c r="L117" s="122">
        <f t="shared" si="22"/>
        <v>969850.71</v>
      </c>
      <c r="M117" s="116">
        <f t="shared" si="23"/>
        <v>376951.87545569998</v>
      </c>
      <c r="N117" s="123">
        <f t="shared" si="24"/>
        <v>164.46416904698953</v>
      </c>
      <c r="O117" s="5"/>
      <c r="P117" s="5">
        <f t="shared" si="25"/>
        <v>1</v>
      </c>
      <c r="Q117" s="7">
        <f t="shared" si="26"/>
        <v>2292</v>
      </c>
      <c r="S117" s="124">
        <f>SUM(D116:D117)</f>
        <v>1379300940</v>
      </c>
      <c r="T117" s="124">
        <f>SUM(F116:F117)</f>
        <v>820096981</v>
      </c>
      <c r="U117" s="124">
        <f>SUM(J116:J117)</f>
        <v>3189882.9481183002</v>
      </c>
      <c r="W117" s="124">
        <f t="shared" si="27"/>
        <v>592898.83454429999</v>
      </c>
      <c r="X117">
        <f t="shared" si="28"/>
        <v>0</v>
      </c>
    </row>
    <row r="118" spans="1:24">
      <c r="A118" s="23" t="s">
        <v>133</v>
      </c>
      <c r="B118" s="35" t="s">
        <v>134</v>
      </c>
      <c r="C118" s="97">
        <v>4008</v>
      </c>
      <c r="D118" s="132">
        <v>166611371</v>
      </c>
      <c r="E118" s="116">
        <f t="shared" si="35"/>
        <v>41569.703343313377</v>
      </c>
      <c r="F118" s="134">
        <v>86088343</v>
      </c>
      <c r="G118" s="117">
        <f t="shared" si="36"/>
        <v>21479.12749500998</v>
      </c>
      <c r="H118" s="7"/>
      <c r="I118" s="136">
        <v>7.9489999999999998</v>
      </c>
      <c r="J118" s="134">
        <v>684316.23850699991</v>
      </c>
      <c r="K118" s="120">
        <f t="shared" si="37"/>
        <v>170.73758445783432</v>
      </c>
      <c r="L118" s="122">
        <f t="shared" si="22"/>
        <v>860883.43</v>
      </c>
      <c r="M118" s="116">
        <f t="shared" si="23"/>
        <v>176567.19149300014</v>
      </c>
      <c r="N118" s="123">
        <f t="shared" si="24"/>
        <v>44.053690492265503</v>
      </c>
      <c r="O118" s="5"/>
      <c r="P118" s="5">
        <f t="shared" si="25"/>
        <v>1</v>
      </c>
      <c r="Q118" s="7">
        <f t="shared" si="26"/>
        <v>4008</v>
      </c>
      <c r="W118" s="124">
        <f t="shared" si="27"/>
        <v>684316.23850699991</v>
      </c>
      <c r="X118">
        <f t="shared" si="28"/>
        <v>0</v>
      </c>
    </row>
    <row r="119" spans="1:24">
      <c r="A119" s="23" t="s">
        <v>135</v>
      </c>
      <c r="B119" s="35" t="s">
        <v>134</v>
      </c>
      <c r="C119" s="97">
        <v>721</v>
      </c>
      <c r="D119" s="132">
        <v>41215211</v>
      </c>
      <c r="E119" s="116">
        <f t="shared" si="35"/>
        <v>57163.95423023578</v>
      </c>
      <c r="F119" s="134">
        <v>23379462</v>
      </c>
      <c r="G119" s="117">
        <f t="shared" si="36"/>
        <v>32426.438280166436</v>
      </c>
      <c r="H119" s="7"/>
      <c r="I119" s="136">
        <v>6</v>
      </c>
      <c r="J119" s="134">
        <v>140276.772</v>
      </c>
      <c r="K119" s="120">
        <f t="shared" si="37"/>
        <v>194.55862968099862</v>
      </c>
      <c r="L119" s="122">
        <f t="shared" si="22"/>
        <v>233794.62</v>
      </c>
      <c r="M119" s="116">
        <f t="shared" si="23"/>
        <v>93517.847999999998</v>
      </c>
      <c r="N119" s="123">
        <f t="shared" si="24"/>
        <v>129.70575312066575</v>
      </c>
      <c r="O119" s="5"/>
      <c r="P119" s="5">
        <f t="shared" si="25"/>
        <v>1</v>
      </c>
      <c r="Q119" s="7">
        <f t="shared" si="26"/>
        <v>721</v>
      </c>
      <c r="W119" s="124">
        <f t="shared" si="27"/>
        <v>140276.772</v>
      </c>
      <c r="X119">
        <f t="shared" si="28"/>
        <v>0</v>
      </c>
    </row>
    <row r="120" spans="1:24">
      <c r="A120" s="23" t="s">
        <v>136</v>
      </c>
      <c r="B120" s="35" t="s">
        <v>134</v>
      </c>
      <c r="C120" s="97">
        <v>731</v>
      </c>
      <c r="D120" s="132">
        <v>54131086</v>
      </c>
      <c r="E120" s="116">
        <f t="shared" si="35"/>
        <v>74050.733242134069</v>
      </c>
      <c r="F120" s="134">
        <v>27042495</v>
      </c>
      <c r="G120" s="117">
        <f t="shared" si="36"/>
        <v>36993.837209302328</v>
      </c>
      <c r="H120" s="7"/>
      <c r="I120" s="136">
        <v>6</v>
      </c>
      <c r="J120" s="134">
        <v>162254.97</v>
      </c>
      <c r="K120" s="120">
        <f t="shared" si="37"/>
        <v>221.96302325581397</v>
      </c>
      <c r="L120" s="122">
        <f t="shared" si="22"/>
        <v>270424.95</v>
      </c>
      <c r="M120" s="116">
        <f t="shared" si="23"/>
        <v>108169.98000000001</v>
      </c>
      <c r="N120" s="123">
        <f t="shared" si="24"/>
        <v>147.97534883720931</v>
      </c>
      <c r="O120" s="5"/>
      <c r="P120" s="5">
        <f t="shared" si="25"/>
        <v>1</v>
      </c>
      <c r="Q120" s="7">
        <f t="shared" si="26"/>
        <v>731</v>
      </c>
      <c r="S120" s="124">
        <f>SUM(D118:D120)</f>
        <v>261957668</v>
      </c>
      <c r="T120" s="124">
        <f>SUM(F118:F120)</f>
        <v>136510300</v>
      </c>
      <c r="U120" s="124">
        <f>SUM(J118:J120)</f>
        <v>986847.98050699988</v>
      </c>
      <c r="W120" s="124">
        <f t="shared" si="27"/>
        <v>162254.97</v>
      </c>
      <c r="X120">
        <f t="shared" si="28"/>
        <v>0</v>
      </c>
    </row>
    <row r="121" spans="1:24">
      <c r="A121" s="23" t="s">
        <v>137</v>
      </c>
      <c r="B121" s="35" t="s">
        <v>138</v>
      </c>
      <c r="C121" s="97">
        <v>2462</v>
      </c>
      <c r="D121" s="132">
        <v>148628677</v>
      </c>
      <c r="E121" s="116">
        <f t="shared" si="35"/>
        <v>60369.08082859464</v>
      </c>
      <c r="F121" s="134">
        <v>70091327</v>
      </c>
      <c r="G121" s="117">
        <f t="shared" si="36"/>
        <v>28469.263606823719</v>
      </c>
      <c r="H121" s="7"/>
      <c r="I121" s="136">
        <v>7.25</v>
      </c>
      <c r="J121" s="134">
        <v>508162.12075</v>
      </c>
      <c r="K121" s="120">
        <f t="shared" si="37"/>
        <v>206.40216114947197</v>
      </c>
      <c r="L121" s="122">
        <f t="shared" si="22"/>
        <v>700913.27</v>
      </c>
      <c r="M121" s="116">
        <f t="shared" si="23"/>
        <v>192751.14925000002</v>
      </c>
      <c r="N121" s="123">
        <f t="shared" si="24"/>
        <v>78.290474918765241</v>
      </c>
      <c r="O121" s="5"/>
      <c r="P121" s="5">
        <f t="shared" si="25"/>
        <v>1</v>
      </c>
      <c r="Q121" s="7">
        <f t="shared" si="26"/>
        <v>2462</v>
      </c>
      <c r="W121" s="124">
        <f t="shared" si="27"/>
        <v>508162.12075</v>
      </c>
      <c r="X121">
        <f t="shared" si="28"/>
        <v>0</v>
      </c>
    </row>
    <row r="122" spans="1:24">
      <c r="A122" s="23" t="s">
        <v>139</v>
      </c>
      <c r="B122" s="35" t="s">
        <v>138</v>
      </c>
      <c r="C122" s="97">
        <v>4905</v>
      </c>
      <c r="D122" s="132">
        <v>423998168</v>
      </c>
      <c r="E122" s="116">
        <f t="shared" si="35"/>
        <v>86442.032212028542</v>
      </c>
      <c r="F122" s="134">
        <v>199363525</v>
      </c>
      <c r="G122" s="117">
        <f t="shared" si="36"/>
        <v>40644.959225280327</v>
      </c>
      <c r="H122" s="7"/>
      <c r="I122" s="136">
        <v>5.1859999999999999</v>
      </c>
      <c r="J122" s="134">
        <v>1033899.2406499999</v>
      </c>
      <c r="K122" s="120">
        <f t="shared" si="37"/>
        <v>210.78475854230376</v>
      </c>
      <c r="L122" s="122">
        <f t="shared" si="22"/>
        <v>1993635.25</v>
      </c>
      <c r="M122" s="116">
        <f t="shared" si="23"/>
        <v>959736.00935000007</v>
      </c>
      <c r="N122" s="123">
        <f t="shared" si="24"/>
        <v>195.66483371049949</v>
      </c>
      <c r="O122" s="5"/>
      <c r="P122" s="5">
        <f t="shared" si="25"/>
        <v>1</v>
      </c>
      <c r="Q122" s="7">
        <f t="shared" si="26"/>
        <v>4905</v>
      </c>
      <c r="W122" s="124">
        <f t="shared" si="27"/>
        <v>1033899.2406499999</v>
      </c>
      <c r="X122">
        <f t="shared" si="28"/>
        <v>0</v>
      </c>
    </row>
    <row r="123" spans="1:24">
      <c r="A123" s="23" t="s">
        <v>140</v>
      </c>
      <c r="B123" s="35" t="s">
        <v>138</v>
      </c>
      <c r="C123" s="97">
        <v>1836</v>
      </c>
      <c r="D123" s="132">
        <v>108512922</v>
      </c>
      <c r="E123" s="116">
        <f t="shared" si="35"/>
        <v>59102.898692810457</v>
      </c>
      <c r="F123" s="134">
        <v>49029947</v>
      </c>
      <c r="G123" s="117">
        <f t="shared" si="36"/>
        <v>26704.764161220042</v>
      </c>
      <c r="H123" s="7"/>
      <c r="I123" s="136">
        <v>8.5540000000000003</v>
      </c>
      <c r="J123" s="134">
        <v>419402.166638</v>
      </c>
      <c r="K123" s="120">
        <f t="shared" si="37"/>
        <v>228.43255263507626</v>
      </c>
      <c r="L123" s="122">
        <f t="shared" si="22"/>
        <v>490299.47000000003</v>
      </c>
      <c r="M123" s="116">
        <f t="shared" si="23"/>
        <v>70897.303362000035</v>
      </c>
      <c r="N123" s="123">
        <f t="shared" si="24"/>
        <v>38.615088977124202</v>
      </c>
      <c r="O123" s="5"/>
      <c r="P123" s="5">
        <f t="shared" si="25"/>
        <v>1</v>
      </c>
      <c r="Q123" s="7">
        <f t="shared" si="26"/>
        <v>1836</v>
      </c>
      <c r="S123" s="124">
        <f>SUM(D121:D123)</f>
        <v>681139767</v>
      </c>
      <c r="T123" s="124">
        <f>SUM(F121:F123)</f>
        <v>318484799</v>
      </c>
      <c r="U123" s="124">
        <f>SUM(J121:J123)</f>
        <v>1961463.5280379998</v>
      </c>
      <c r="W123" s="124">
        <f t="shared" si="27"/>
        <v>419402.16663800005</v>
      </c>
      <c r="X123">
        <f t="shared" si="28"/>
        <v>0</v>
      </c>
    </row>
    <row r="124" spans="1:24">
      <c r="A124" s="23" t="s">
        <v>141</v>
      </c>
      <c r="B124" s="35" t="s">
        <v>142</v>
      </c>
      <c r="C124" s="97">
        <v>7336</v>
      </c>
      <c r="D124" s="132">
        <v>876331645</v>
      </c>
      <c r="E124" s="116">
        <f t="shared" si="35"/>
        <v>119456.33110687023</v>
      </c>
      <c r="F124" s="134">
        <v>378673712</v>
      </c>
      <c r="G124" s="117">
        <f t="shared" si="36"/>
        <v>51618.553980370772</v>
      </c>
      <c r="H124" s="7"/>
      <c r="I124" s="136">
        <v>6.3742999999999999</v>
      </c>
      <c r="J124" s="134">
        <v>2413779.8424016</v>
      </c>
      <c r="K124" s="120">
        <f t="shared" si="37"/>
        <v>329.0321486370774</v>
      </c>
      <c r="L124" s="122">
        <f t="shared" si="22"/>
        <v>3786737.12</v>
      </c>
      <c r="M124" s="116">
        <f t="shared" si="23"/>
        <v>1372957.2775984001</v>
      </c>
      <c r="N124" s="123">
        <f t="shared" si="24"/>
        <v>187.15339116663034</v>
      </c>
      <c r="O124" s="5"/>
      <c r="P124" s="5">
        <f t="shared" si="25"/>
        <v>1</v>
      </c>
      <c r="Q124" s="7">
        <f t="shared" si="26"/>
        <v>7336</v>
      </c>
      <c r="W124" s="124">
        <f t="shared" si="27"/>
        <v>2413779.8424016</v>
      </c>
      <c r="X124">
        <f t="shared" si="28"/>
        <v>0</v>
      </c>
    </row>
    <row r="125" spans="1:24">
      <c r="A125" s="23" t="s">
        <v>558</v>
      </c>
      <c r="B125" s="35" t="s">
        <v>142</v>
      </c>
      <c r="C125" s="97">
        <v>5480</v>
      </c>
      <c r="D125" s="132">
        <v>790073800</v>
      </c>
      <c r="E125" s="116">
        <f t="shared" si="35"/>
        <v>144174.05109489051</v>
      </c>
      <c r="F125" s="134">
        <v>379643456</v>
      </c>
      <c r="G125" s="117">
        <f t="shared" si="36"/>
        <v>69278.002919708029</v>
      </c>
      <c r="H125" s="7"/>
      <c r="I125" s="136">
        <v>5.1414</v>
      </c>
      <c r="J125" s="134">
        <v>1951898.8646784001</v>
      </c>
      <c r="K125" s="120">
        <f t="shared" si="37"/>
        <v>356.18592421138686</v>
      </c>
      <c r="L125" s="122">
        <f t="shared" si="22"/>
        <v>3796434.56</v>
      </c>
      <c r="M125" s="116">
        <f t="shared" si="23"/>
        <v>1844535.6953216</v>
      </c>
      <c r="N125" s="123">
        <f t="shared" si="24"/>
        <v>336.59410498569343</v>
      </c>
      <c r="O125" s="5"/>
      <c r="P125" s="5">
        <f t="shared" si="25"/>
        <v>1</v>
      </c>
      <c r="Q125" s="7">
        <f t="shared" si="26"/>
        <v>5480</v>
      </c>
      <c r="S125" s="124">
        <f>SUM(D124:D125)</f>
        <v>1666405445</v>
      </c>
      <c r="T125" s="124">
        <f>SUM(F124:F125)</f>
        <v>758317168</v>
      </c>
      <c r="U125" s="124">
        <f>SUM(J124:J125)</f>
        <v>4365678.7070800001</v>
      </c>
      <c r="W125" s="124">
        <f t="shared" si="27"/>
        <v>1951898.8646783999</v>
      </c>
      <c r="X125">
        <f t="shared" si="28"/>
        <v>0</v>
      </c>
    </row>
    <row r="126" spans="1:24">
      <c r="A126" s="23" t="s">
        <v>143</v>
      </c>
      <c r="B126" s="35" t="s">
        <v>144</v>
      </c>
      <c r="C126" s="97">
        <v>9752</v>
      </c>
      <c r="D126" s="132">
        <v>1661451250</v>
      </c>
      <c r="E126" s="116">
        <f t="shared" si="35"/>
        <v>170370.30865463495</v>
      </c>
      <c r="F126" s="134">
        <v>755386076</v>
      </c>
      <c r="G126" s="117">
        <f t="shared" si="36"/>
        <v>77459.605824446262</v>
      </c>
      <c r="H126" s="7"/>
      <c r="I126" s="136">
        <v>5.9</v>
      </c>
      <c r="J126" s="134">
        <v>4456777.8484000005</v>
      </c>
      <c r="K126" s="120">
        <f t="shared" si="37"/>
        <v>457.01167436423304</v>
      </c>
      <c r="L126" s="122">
        <f t="shared" si="22"/>
        <v>7553860.7599999998</v>
      </c>
      <c r="M126" s="116">
        <f t="shared" si="23"/>
        <v>3097082.9115999993</v>
      </c>
      <c r="N126" s="123">
        <f t="shared" si="24"/>
        <v>317.58438388022961</v>
      </c>
      <c r="O126" s="5"/>
      <c r="P126" s="5">
        <f t="shared" si="25"/>
        <v>1</v>
      </c>
      <c r="Q126" s="7">
        <f t="shared" si="26"/>
        <v>9752</v>
      </c>
      <c r="S126" s="124">
        <f>D126</f>
        <v>1661451250</v>
      </c>
      <c r="T126" s="124">
        <f>F126</f>
        <v>755386076</v>
      </c>
      <c r="U126" s="124">
        <f>J126</f>
        <v>4456777.8484000005</v>
      </c>
      <c r="W126" s="124">
        <f t="shared" si="27"/>
        <v>4456777.8484000005</v>
      </c>
      <c r="X126">
        <f t="shared" si="28"/>
        <v>0</v>
      </c>
    </row>
    <row r="127" spans="1:24">
      <c r="A127" s="23" t="s">
        <v>146</v>
      </c>
      <c r="B127" s="35" t="s">
        <v>147</v>
      </c>
      <c r="C127" s="97">
        <v>9814</v>
      </c>
      <c r="D127" s="132">
        <v>974301964</v>
      </c>
      <c r="E127" s="116">
        <f t="shared" si="35"/>
        <v>99276.743835337271</v>
      </c>
      <c r="F127" s="134">
        <v>470540568</v>
      </c>
      <c r="G127" s="117">
        <f t="shared" si="36"/>
        <v>47945.849602608519</v>
      </c>
      <c r="H127" s="7"/>
      <c r="I127" s="136">
        <v>5</v>
      </c>
      <c r="J127" s="134">
        <v>2352702.84</v>
      </c>
      <c r="K127" s="120">
        <f t="shared" si="37"/>
        <v>239.72924801304256</v>
      </c>
      <c r="L127" s="122">
        <f t="shared" si="22"/>
        <v>4705405.68</v>
      </c>
      <c r="M127" s="116">
        <f t="shared" si="23"/>
        <v>2352702.84</v>
      </c>
      <c r="N127" s="123">
        <f t="shared" si="24"/>
        <v>239.72924801304256</v>
      </c>
      <c r="O127" s="5"/>
      <c r="P127" s="5">
        <f t="shared" si="25"/>
        <v>1</v>
      </c>
      <c r="Q127" s="7">
        <f t="shared" si="26"/>
        <v>9814</v>
      </c>
      <c r="W127" s="124">
        <f t="shared" si="27"/>
        <v>2352702.84</v>
      </c>
      <c r="X127">
        <f t="shared" si="28"/>
        <v>0</v>
      </c>
    </row>
    <row r="128" spans="1:24">
      <c r="A128" s="23" t="s">
        <v>148</v>
      </c>
      <c r="B128" s="35" t="s">
        <v>147</v>
      </c>
      <c r="C128" s="97">
        <v>2453</v>
      </c>
      <c r="D128" s="132">
        <v>551926660</v>
      </c>
      <c r="E128" s="116">
        <f t="shared" si="35"/>
        <v>225000.67672238077</v>
      </c>
      <c r="F128" s="134">
        <v>345058725</v>
      </c>
      <c r="G128" s="117">
        <f t="shared" si="36"/>
        <v>140668.04932735427</v>
      </c>
      <c r="H128" s="7"/>
      <c r="I128" s="136">
        <v>3.1</v>
      </c>
      <c r="J128" s="134">
        <v>1069682.0475000001</v>
      </c>
      <c r="K128" s="120">
        <f t="shared" si="37"/>
        <v>436.07095291479823</v>
      </c>
      <c r="L128" s="122">
        <f t="shared" si="22"/>
        <v>3450587.25</v>
      </c>
      <c r="M128" s="116">
        <f t="shared" si="23"/>
        <v>2380905.2024999997</v>
      </c>
      <c r="N128" s="123">
        <f t="shared" si="24"/>
        <v>970.60954035874431</v>
      </c>
      <c r="O128" s="5"/>
      <c r="P128" s="5">
        <f t="shared" si="25"/>
        <v>1</v>
      </c>
      <c r="Q128" s="7">
        <f t="shared" si="26"/>
        <v>2453</v>
      </c>
      <c r="W128" s="124">
        <f t="shared" si="27"/>
        <v>1069682.0474999999</v>
      </c>
      <c r="X128">
        <f t="shared" si="28"/>
        <v>0</v>
      </c>
    </row>
    <row r="129" spans="1:24">
      <c r="A129" s="23" t="s">
        <v>149</v>
      </c>
      <c r="B129" s="35" t="s">
        <v>147</v>
      </c>
      <c r="C129" s="97">
        <v>11687</v>
      </c>
      <c r="D129" s="132">
        <v>1668156802</v>
      </c>
      <c r="E129" s="116">
        <f t="shared" si="35"/>
        <v>142736.1001112347</v>
      </c>
      <c r="F129" s="134">
        <v>1058838389</v>
      </c>
      <c r="G129" s="117">
        <f t="shared" si="36"/>
        <v>90599.673911183359</v>
      </c>
      <c r="H129" s="7"/>
      <c r="I129" s="136">
        <v>6.3183999999999996</v>
      </c>
      <c r="J129" s="134">
        <v>6690164.4770576004</v>
      </c>
      <c r="K129" s="120">
        <f t="shared" si="37"/>
        <v>572.44497964042102</v>
      </c>
      <c r="L129" s="122">
        <f t="shared" si="22"/>
        <v>10588383.890000001</v>
      </c>
      <c r="M129" s="116">
        <f t="shared" si="23"/>
        <v>3898219.4129424002</v>
      </c>
      <c r="N129" s="123">
        <f t="shared" si="24"/>
        <v>333.55175947141271</v>
      </c>
      <c r="O129" s="5"/>
      <c r="P129" s="5">
        <f t="shared" si="25"/>
        <v>1</v>
      </c>
      <c r="Q129" s="7">
        <f t="shared" si="26"/>
        <v>11687</v>
      </c>
      <c r="S129" s="124">
        <f>SUM(D127:D129)</f>
        <v>3194385426</v>
      </c>
      <c r="T129" s="124">
        <f>SUM(F127:F129)</f>
        <v>1874437682</v>
      </c>
      <c r="U129" s="124">
        <f>SUM(J127:J129)</f>
        <v>10112549.364557602</v>
      </c>
      <c r="W129" s="124">
        <f t="shared" si="27"/>
        <v>6690164.4770575995</v>
      </c>
      <c r="X129">
        <f t="shared" si="28"/>
        <v>0</v>
      </c>
    </row>
    <row r="130" spans="1:24">
      <c r="A130" s="23" t="s">
        <v>150</v>
      </c>
      <c r="B130" s="35" t="s">
        <v>151</v>
      </c>
      <c r="C130" s="97">
        <v>42141</v>
      </c>
      <c r="D130" s="132">
        <v>6892512892</v>
      </c>
      <c r="E130" s="116">
        <f t="shared" si="35"/>
        <v>163558.3610260791</v>
      </c>
      <c r="F130" s="134">
        <v>4726118975</v>
      </c>
      <c r="G130" s="117">
        <f t="shared" si="36"/>
        <v>112150.13822643031</v>
      </c>
      <c r="H130" s="7"/>
      <c r="I130" s="136">
        <v>6</v>
      </c>
      <c r="J130" s="134">
        <v>28356713.850000001</v>
      </c>
      <c r="K130" s="120">
        <f t="shared" si="37"/>
        <v>672.90082935858197</v>
      </c>
      <c r="L130" s="122">
        <f t="shared" si="22"/>
        <v>47261189.75</v>
      </c>
      <c r="M130" s="116">
        <f t="shared" si="23"/>
        <v>18904475.899999999</v>
      </c>
      <c r="N130" s="123">
        <f t="shared" si="24"/>
        <v>448.60055290572126</v>
      </c>
      <c r="O130" s="5"/>
      <c r="P130" s="5">
        <f t="shared" si="25"/>
        <v>1</v>
      </c>
      <c r="Q130" s="7">
        <f t="shared" si="26"/>
        <v>42141</v>
      </c>
      <c r="W130" s="124">
        <f t="shared" si="27"/>
        <v>28356713.850000001</v>
      </c>
      <c r="X130">
        <f t="shared" si="28"/>
        <v>0</v>
      </c>
    </row>
    <row r="131" spans="1:24">
      <c r="A131" s="23" t="s">
        <v>152</v>
      </c>
      <c r="B131" s="35" t="s">
        <v>151</v>
      </c>
      <c r="C131" s="97">
        <v>409458</v>
      </c>
      <c r="D131" s="132">
        <v>97184061843</v>
      </c>
      <c r="E131" s="116">
        <f t="shared" si="35"/>
        <v>237348.05973506439</v>
      </c>
      <c r="F131" s="134">
        <v>60236578002</v>
      </c>
      <c r="G131" s="117">
        <f t="shared" si="36"/>
        <v>147112.95908737893</v>
      </c>
      <c r="H131" s="7"/>
      <c r="I131" s="136">
        <v>6.2076000000000002</v>
      </c>
      <c r="J131" s="134">
        <v>373924581.60521519</v>
      </c>
      <c r="K131" s="120">
        <f t="shared" si="37"/>
        <v>913.21840483081337</v>
      </c>
      <c r="L131" s="122">
        <f t="shared" si="22"/>
        <v>602365780.01999998</v>
      </c>
      <c r="M131" s="116">
        <f t="shared" si="23"/>
        <v>228441198.41478479</v>
      </c>
      <c r="N131" s="123">
        <f t="shared" si="24"/>
        <v>557.91118604297583</v>
      </c>
      <c r="O131" s="5"/>
      <c r="P131" s="5">
        <f t="shared" si="25"/>
        <v>1</v>
      </c>
      <c r="Q131" s="7">
        <f t="shared" si="26"/>
        <v>409458</v>
      </c>
      <c r="W131" s="124">
        <f t="shared" si="27"/>
        <v>373924581.60521525</v>
      </c>
      <c r="X131">
        <f t="shared" si="28"/>
        <v>0</v>
      </c>
    </row>
    <row r="132" spans="1:24">
      <c r="A132" s="23" t="s">
        <v>153</v>
      </c>
      <c r="B132" s="35" t="s">
        <v>151</v>
      </c>
      <c r="C132" s="97">
        <v>27469</v>
      </c>
      <c r="D132" s="132">
        <v>4484358524</v>
      </c>
      <c r="E132" s="116">
        <f t="shared" si="35"/>
        <v>163251.61178055263</v>
      </c>
      <c r="F132" s="134">
        <v>3115941260</v>
      </c>
      <c r="G132" s="117">
        <f t="shared" si="36"/>
        <v>113434.82689577341</v>
      </c>
      <c r="H132" s="9"/>
      <c r="I132" s="136">
        <v>6</v>
      </c>
      <c r="J132" s="134">
        <v>18695647.559999999</v>
      </c>
      <c r="K132" s="120">
        <f t="shared" si="37"/>
        <v>680.60896137464044</v>
      </c>
      <c r="L132" s="122">
        <f t="shared" si="22"/>
        <v>31159412.600000001</v>
      </c>
      <c r="M132" s="116">
        <f t="shared" si="23"/>
        <v>12463765.040000003</v>
      </c>
      <c r="N132" s="123">
        <f t="shared" si="24"/>
        <v>453.73930758309376</v>
      </c>
      <c r="O132" s="5"/>
      <c r="P132" s="5">
        <f t="shared" si="25"/>
        <v>1</v>
      </c>
      <c r="Q132" s="7">
        <f t="shared" si="26"/>
        <v>27469</v>
      </c>
      <c r="S132" s="124">
        <f>SUM(D130:D132)</f>
        <v>108560933259</v>
      </c>
      <c r="T132" s="124">
        <f>SUM(F130:F132)</f>
        <v>68078638237</v>
      </c>
      <c r="U132" s="124">
        <f>SUM(J130:J132)</f>
        <v>420976943.01521522</v>
      </c>
      <c r="W132" s="124">
        <f t="shared" si="27"/>
        <v>18695647.559999999</v>
      </c>
      <c r="X132">
        <f t="shared" si="28"/>
        <v>0</v>
      </c>
    </row>
    <row r="133" spans="1:24">
      <c r="A133" s="23" t="s">
        <v>154</v>
      </c>
      <c r="B133" s="35" t="s">
        <v>155</v>
      </c>
      <c r="C133" s="97">
        <v>2838</v>
      </c>
      <c r="D133" s="147" t="s">
        <v>564</v>
      </c>
      <c r="E133" s="116"/>
      <c r="F133" s="134"/>
      <c r="G133" s="117"/>
      <c r="H133" s="98" t="s">
        <v>588</v>
      </c>
      <c r="I133" s="136"/>
      <c r="J133" s="134"/>
      <c r="K133" s="120"/>
      <c r="L133" s="122">
        <f t="shared" si="22"/>
        <v>0</v>
      </c>
      <c r="M133" s="116">
        <f t="shared" si="23"/>
        <v>0</v>
      </c>
      <c r="N133" s="123">
        <f t="shared" si="24"/>
        <v>0</v>
      </c>
      <c r="O133" s="5"/>
      <c r="P133" s="5">
        <f t="shared" si="25"/>
        <v>0</v>
      </c>
      <c r="Q133" s="7">
        <f t="shared" si="26"/>
        <v>0</v>
      </c>
      <c r="W133" s="124">
        <f t="shared" si="27"/>
        <v>0</v>
      </c>
      <c r="X133">
        <f t="shared" si="28"/>
        <v>0</v>
      </c>
    </row>
    <row r="134" spans="1:24">
      <c r="A134" s="23" t="s">
        <v>156</v>
      </c>
      <c r="B134" s="35" t="s">
        <v>155</v>
      </c>
      <c r="C134" s="97">
        <v>352</v>
      </c>
      <c r="D134" s="132">
        <v>17070162</v>
      </c>
      <c r="E134" s="116">
        <f>(D134/C134)</f>
        <v>48494.778409090912</v>
      </c>
      <c r="F134" s="134">
        <v>9797856</v>
      </c>
      <c r="G134" s="117">
        <f>(F134/C134)</f>
        <v>27834.81818181818</v>
      </c>
      <c r="H134" s="7"/>
      <c r="I134" s="151">
        <v>2.5</v>
      </c>
      <c r="J134" s="134">
        <v>24494.639999999999</v>
      </c>
      <c r="K134" s="120">
        <f>(J134/C134)</f>
        <v>69.587045454545446</v>
      </c>
      <c r="L134" s="122">
        <f t="shared" ref="L134:L197" si="38">(F134*0.01)</f>
        <v>97978.559999999998</v>
      </c>
      <c r="M134" s="116">
        <f t="shared" ref="M134:M197" si="39">(L134-J134)</f>
        <v>73483.92</v>
      </c>
      <c r="N134" s="123">
        <f t="shared" ref="N134:N197" si="40">(M134/C134)</f>
        <v>208.76113636363635</v>
      </c>
      <c r="O134" s="5"/>
      <c r="P134" s="5">
        <f t="shared" ref="P134:P198" si="41">IF(I134&gt;0,1,0)</f>
        <v>1</v>
      </c>
      <c r="Q134" s="7">
        <f t="shared" ref="Q134:Q198" si="42">IF(I134&gt;0,C134,0)</f>
        <v>352</v>
      </c>
      <c r="W134" s="124">
        <f t="shared" si="27"/>
        <v>24494.639999999999</v>
      </c>
      <c r="X134">
        <f t="shared" si="28"/>
        <v>0</v>
      </c>
    </row>
    <row r="135" spans="1:24">
      <c r="A135" s="23" t="s">
        <v>157</v>
      </c>
      <c r="B135" s="35" t="s">
        <v>155</v>
      </c>
      <c r="C135" s="97">
        <v>216</v>
      </c>
      <c r="D135" s="132">
        <v>5758894</v>
      </c>
      <c r="E135" s="116">
        <f>(D135/C135)</f>
        <v>26661.546296296296</v>
      </c>
      <c r="F135" s="134">
        <v>2983759</v>
      </c>
      <c r="G135" s="117">
        <f>(F135/C135)</f>
        <v>13813.699074074075</v>
      </c>
      <c r="H135" s="9"/>
      <c r="I135" s="136">
        <v>0.95130000000000003</v>
      </c>
      <c r="J135" s="134">
        <v>2838.4499366999999</v>
      </c>
      <c r="K135" s="120">
        <f>(J135/C135)</f>
        <v>13.140971929166666</v>
      </c>
      <c r="L135" s="122">
        <f t="shared" si="38"/>
        <v>29837.59</v>
      </c>
      <c r="M135" s="116">
        <f t="shared" si="39"/>
        <v>26999.140063300001</v>
      </c>
      <c r="N135" s="123">
        <f t="shared" si="40"/>
        <v>124.99601881157407</v>
      </c>
      <c r="O135" s="5"/>
      <c r="P135" s="5">
        <f t="shared" si="41"/>
        <v>1</v>
      </c>
      <c r="Q135" s="7">
        <f t="shared" si="42"/>
        <v>216</v>
      </c>
      <c r="W135" s="124">
        <f t="shared" ref="W135:W198" si="43">F135*(I135/1000)</f>
        <v>2838.4499367000003</v>
      </c>
      <c r="X135">
        <f t="shared" ref="X135:X198" si="44">IF(W135=J135,0,1)</f>
        <v>0</v>
      </c>
    </row>
    <row r="136" spans="1:24">
      <c r="A136" s="23" t="s">
        <v>158</v>
      </c>
      <c r="B136" s="35" t="s">
        <v>155</v>
      </c>
      <c r="C136" s="97">
        <v>511</v>
      </c>
      <c r="D136" s="147">
        <v>39072770</v>
      </c>
      <c r="E136" s="116">
        <f>(D136/C136)</f>
        <v>76463.346379647744</v>
      </c>
      <c r="F136" s="134">
        <v>22851328</v>
      </c>
      <c r="G136" s="117">
        <f>(F136/C136)</f>
        <v>44718.841487279846</v>
      </c>
      <c r="H136" s="98"/>
      <c r="I136" s="136">
        <v>2</v>
      </c>
      <c r="J136" s="134">
        <v>45702.656000000003</v>
      </c>
      <c r="K136" s="120">
        <f>(J136/C136)</f>
        <v>89.437682974559692</v>
      </c>
      <c r="L136" s="122">
        <f t="shared" si="38"/>
        <v>228513.28</v>
      </c>
      <c r="M136" s="116">
        <f t="shared" si="39"/>
        <v>182810.62400000001</v>
      </c>
      <c r="N136" s="123">
        <f t="shared" si="40"/>
        <v>357.75073189823877</v>
      </c>
      <c r="O136" s="5"/>
      <c r="P136" s="5">
        <f t="shared" si="41"/>
        <v>1</v>
      </c>
      <c r="Q136" s="7">
        <f t="shared" si="42"/>
        <v>511</v>
      </c>
      <c r="W136" s="124">
        <f t="shared" si="43"/>
        <v>45702.656000000003</v>
      </c>
      <c r="X136">
        <f t="shared" si="44"/>
        <v>0</v>
      </c>
    </row>
    <row r="137" spans="1:24">
      <c r="A137" s="23" t="s">
        <v>159</v>
      </c>
      <c r="B137" s="35" t="s">
        <v>155</v>
      </c>
      <c r="C137" s="97">
        <v>269</v>
      </c>
      <c r="D137" s="147" t="s">
        <v>564</v>
      </c>
      <c r="E137" s="116"/>
      <c r="F137" s="134"/>
      <c r="G137" s="117"/>
      <c r="H137" s="98" t="s">
        <v>588</v>
      </c>
      <c r="I137" s="136"/>
      <c r="J137" s="134"/>
      <c r="K137" s="120"/>
      <c r="L137" s="122">
        <f t="shared" si="38"/>
        <v>0</v>
      </c>
      <c r="M137" s="116">
        <f t="shared" si="39"/>
        <v>0</v>
      </c>
      <c r="N137" s="123">
        <f t="shared" si="40"/>
        <v>0</v>
      </c>
      <c r="O137" s="5"/>
      <c r="P137" s="5">
        <f t="shared" si="41"/>
        <v>0</v>
      </c>
      <c r="Q137" s="7">
        <f t="shared" si="42"/>
        <v>0</v>
      </c>
      <c r="S137" s="184">
        <f>SUM(D133:D137)</f>
        <v>61901826</v>
      </c>
      <c r="T137" s="184">
        <f>SUM(F133:F137)</f>
        <v>35632943</v>
      </c>
      <c r="U137" s="184">
        <f>SUM(J133:J137)</f>
        <v>73035.745936699997</v>
      </c>
      <c r="W137" s="124">
        <f t="shared" si="43"/>
        <v>0</v>
      </c>
      <c r="X137">
        <f t="shared" si="44"/>
        <v>0</v>
      </c>
    </row>
    <row r="138" spans="1:24">
      <c r="A138" s="23" t="s">
        <v>160</v>
      </c>
      <c r="B138" s="35" t="s">
        <v>161</v>
      </c>
      <c r="C138" s="97">
        <v>4990</v>
      </c>
      <c r="D138" s="132">
        <v>593536162</v>
      </c>
      <c r="E138" s="116">
        <f t="shared" ref="E138:E143" si="45">(D138/C138)</f>
        <v>118945.12264529058</v>
      </c>
      <c r="F138" s="134">
        <v>168117336</v>
      </c>
      <c r="G138" s="117">
        <f t="shared" ref="G138:G143" si="46">(F138/C138)</f>
        <v>33690.848897795593</v>
      </c>
      <c r="H138" s="7"/>
      <c r="I138" s="150">
        <v>5</v>
      </c>
      <c r="J138" s="134">
        <v>840586.68</v>
      </c>
      <c r="K138" s="120">
        <f t="shared" ref="K138:K143" si="47">(J138/C138)</f>
        <v>168.45424448897796</v>
      </c>
      <c r="L138" s="122">
        <f t="shared" si="38"/>
        <v>1681173.36</v>
      </c>
      <c r="M138" s="116">
        <f t="shared" si="39"/>
        <v>840586.68</v>
      </c>
      <c r="N138" s="123">
        <f t="shared" si="40"/>
        <v>168.45424448897796</v>
      </c>
      <c r="O138" s="5"/>
      <c r="P138" s="5">
        <f t="shared" si="41"/>
        <v>1</v>
      </c>
      <c r="Q138" s="7">
        <f t="shared" si="42"/>
        <v>4990</v>
      </c>
      <c r="W138" s="124">
        <f t="shared" si="43"/>
        <v>840586.68</v>
      </c>
      <c r="X138">
        <f t="shared" si="44"/>
        <v>0</v>
      </c>
    </row>
    <row r="139" spans="1:24">
      <c r="A139" s="23" t="s">
        <v>162</v>
      </c>
      <c r="B139" s="35" t="s">
        <v>161</v>
      </c>
      <c r="C139" s="97">
        <v>4553</v>
      </c>
      <c r="D139" s="132">
        <v>8264034483</v>
      </c>
      <c r="E139" s="116">
        <f t="shared" si="45"/>
        <v>1815074.5624862728</v>
      </c>
      <c r="F139" s="134">
        <v>5266999717</v>
      </c>
      <c r="G139" s="117">
        <f t="shared" si="46"/>
        <v>1156819.6171754887</v>
      </c>
      <c r="H139" s="7"/>
      <c r="I139" s="136">
        <v>1.3349</v>
      </c>
      <c r="J139" s="134">
        <v>7030917.9222232997</v>
      </c>
      <c r="K139" s="120">
        <f t="shared" si="47"/>
        <v>1544.2385069675597</v>
      </c>
      <c r="L139" s="122">
        <f t="shared" si="38"/>
        <v>52669997.170000002</v>
      </c>
      <c r="M139" s="116">
        <f t="shared" si="39"/>
        <v>45639079.247776702</v>
      </c>
      <c r="N139" s="123">
        <f t="shared" si="40"/>
        <v>10023.957664787327</v>
      </c>
      <c r="O139" s="5"/>
      <c r="P139" s="5">
        <f t="shared" si="41"/>
        <v>1</v>
      </c>
      <c r="Q139" s="7">
        <f t="shared" si="42"/>
        <v>4553</v>
      </c>
      <c r="W139" s="124">
        <f t="shared" si="43"/>
        <v>7030917.9222232997</v>
      </c>
      <c r="X139">
        <f t="shared" si="44"/>
        <v>0</v>
      </c>
    </row>
    <row r="140" spans="1:24">
      <c r="A140" s="23" t="s">
        <v>163</v>
      </c>
      <c r="B140" s="35" t="s">
        <v>161</v>
      </c>
      <c r="C140" s="97">
        <v>548</v>
      </c>
      <c r="D140" s="132">
        <v>1032456067</v>
      </c>
      <c r="E140" s="116">
        <f t="shared" si="45"/>
        <v>1884043.9178832117</v>
      </c>
      <c r="F140" s="134">
        <v>623191631</v>
      </c>
      <c r="G140" s="117">
        <f t="shared" si="46"/>
        <v>1137211.0054744526</v>
      </c>
      <c r="H140" s="7"/>
      <c r="I140" s="136">
        <v>0.7</v>
      </c>
      <c r="J140" s="134">
        <v>436234.14169999998</v>
      </c>
      <c r="K140" s="120">
        <f t="shared" si="47"/>
        <v>796.04770383211678</v>
      </c>
      <c r="L140" s="122">
        <f t="shared" si="38"/>
        <v>6231916.3100000005</v>
      </c>
      <c r="M140" s="116">
        <f t="shared" si="39"/>
        <v>5795682.168300001</v>
      </c>
      <c r="N140" s="123">
        <f t="shared" si="40"/>
        <v>10576.062350912411</v>
      </c>
      <c r="O140" s="5"/>
      <c r="P140" s="5">
        <f t="shared" si="41"/>
        <v>1</v>
      </c>
      <c r="Q140" s="7">
        <f t="shared" si="42"/>
        <v>548</v>
      </c>
      <c r="W140" s="124">
        <f t="shared" si="43"/>
        <v>436234.14169999998</v>
      </c>
      <c r="X140">
        <f t="shared" si="44"/>
        <v>0</v>
      </c>
    </row>
    <row r="141" spans="1:24">
      <c r="A141" s="23" t="s">
        <v>164</v>
      </c>
      <c r="B141" s="35" t="s">
        <v>161</v>
      </c>
      <c r="C141" s="97">
        <v>26907</v>
      </c>
      <c r="D141" s="132">
        <v>4320038009</v>
      </c>
      <c r="E141" s="116">
        <f t="shared" si="45"/>
        <v>160554.4285501914</v>
      </c>
      <c r="F141" s="134">
        <v>2300949862</v>
      </c>
      <c r="G141" s="117">
        <f t="shared" si="46"/>
        <v>85514.916638792885</v>
      </c>
      <c r="H141" s="7"/>
      <c r="I141" s="136">
        <v>3.1955</v>
      </c>
      <c r="J141" s="134">
        <v>7352685.2840209994</v>
      </c>
      <c r="K141" s="120">
        <f t="shared" si="47"/>
        <v>273.26291611926263</v>
      </c>
      <c r="L141" s="122">
        <f t="shared" si="38"/>
        <v>23009498.620000001</v>
      </c>
      <c r="M141" s="116">
        <f t="shared" si="39"/>
        <v>15656813.335979002</v>
      </c>
      <c r="N141" s="123">
        <f t="shared" si="40"/>
        <v>581.88625026866623</v>
      </c>
      <c r="O141" s="5"/>
      <c r="P141" s="5">
        <f t="shared" si="41"/>
        <v>1</v>
      </c>
      <c r="Q141" s="7">
        <f t="shared" si="42"/>
        <v>26907</v>
      </c>
      <c r="W141" s="124">
        <f t="shared" si="43"/>
        <v>7352685.2840210004</v>
      </c>
      <c r="X141">
        <f t="shared" si="44"/>
        <v>0</v>
      </c>
    </row>
    <row r="142" spans="1:24">
      <c r="A142" s="23" t="s">
        <v>165</v>
      </c>
      <c r="B142" s="35" t="s">
        <v>161</v>
      </c>
      <c r="C142" s="97">
        <v>16805</v>
      </c>
      <c r="D142" s="132">
        <v>7071335548</v>
      </c>
      <c r="E142" s="116">
        <f t="shared" si="45"/>
        <v>420787.59583457303</v>
      </c>
      <c r="F142" s="134">
        <v>4565615851</v>
      </c>
      <c r="G142" s="117">
        <f t="shared" si="46"/>
        <v>271681.99053853023</v>
      </c>
      <c r="H142" s="7"/>
      <c r="I142" s="136">
        <v>2.7679999999999998</v>
      </c>
      <c r="J142" s="134">
        <v>12637624.675567999</v>
      </c>
      <c r="K142" s="120">
        <f t="shared" si="47"/>
        <v>752.01574981065153</v>
      </c>
      <c r="L142" s="122">
        <f t="shared" si="38"/>
        <v>45656158.509999998</v>
      </c>
      <c r="M142" s="116">
        <f t="shared" si="39"/>
        <v>33018533.834431998</v>
      </c>
      <c r="N142" s="123">
        <f t="shared" si="40"/>
        <v>1964.8041555746504</v>
      </c>
      <c r="O142" s="5"/>
      <c r="P142" s="5">
        <f t="shared" si="41"/>
        <v>1</v>
      </c>
      <c r="Q142" s="7">
        <f t="shared" si="42"/>
        <v>16805</v>
      </c>
      <c r="S142" s="124">
        <f>SUM(D138:D142)</f>
        <v>21281400269</v>
      </c>
      <c r="T142" s="124">
        <f>SUM(F138:F142)</f>
        <v>12924874397</v>
      </c>
      <c r="U142" s="124">
        <f>SUM(J138:J142)</f>
        <v>28298048.703512296</v>
      </c>
      <c r="W142" s="124">
        <f t="shared" si="43"/>
        <v>12637624.675567998</v>
      </c>
      <c r="X142">
        <f t="shared" si="44"/>
        <v>0</v>
      </c>
    </row>
    <row r="143" spans="1:24">
      <c r="A143" s="23" t="s">
        <v>166</v>
      </c>
      <c r="B143" s="35" t="s">
        <v>167</v>
      </c>
      <c r="C143" s="97">
        <v>474</v>
      </c>
      <c r="D143" s="132">
        <v>28882814</v>
      </c>
      <c r="E143" s="116">
        <f t="shared" si="45"/>
        <v>60934.206751054851</v>
      </c>
      <c r="F143" s="134">
        <v>15360210</v>
      </c>
      <c r="G143" s="117">
        <f t="shared" si="46"/>
        <v>32405.506329113923</v>
      </c>
      <c r="H143" s="9"/>
      <c r="I143" s="136">
        <v>1.5389999999999999</v>
      </c>
      <c r="J143" s="134">
        <v>23639.363189999996</v>
      </c>
      <c r="K143" s="120">
        <f t="shared" si="47"/>
        <v>49.872074240506322</v>
      </c>
      <c r="L143" s="122">
        <f t="shared" si="38"/>
        <v>153602.1</v>
      </c>
      <c r="M143" s="116">
        <f t="shared" si="39"/>
        <v>129962.73681</v>
      </c>
      <c r="N143" s="123">
        <f t="shared" si="40"/>
        <v>274.1829890506329</v>
      </c>
      <c r="O143" s="5"/>
      <c r="P143" s="5">
        <f t="shared" si="41"/>
        <v>1</v>
      </c>
      <c r="Q143" s="7">
        <f t="shared" si="42"/>
        <v>474</v>
      </c>
      <c r="W143" s="124">
        <f t="shared" si="43"/>
        <v>23639.36319</v>
      </c>
      <c r="X143">
        <f t="shared" si="44"/>
        <v>0</v>
      </c>
    </row>
    <row r="144" spans="1:24">
      <c r="A144" s="23" t="s">
        <v>168</v>
      </c>
      <c r="B144" s="35" t="s">
        <v>167</v>
      </c>
      <c r="C144" s="97">
        <v>82</v>
      </c>
      <c r="D144" s="147" t="s">
        <v>564</v>
      </c>
      <c r="E144" s="116"/>
      <c r="F144" s="134"/>
      <c r="G144" s="117"/>
      <c r="H144" s="98" t="s">
        <v>588</v>
      </c>
      <c r="I144" s="136"/>
      <c r="J144" s="134"/>
      <c r="K144" s="120"/>
      <c r="L144" s="122">
        <f t="shared" si="38"/>
        <v>0</v>
      </c>
      <c r="M144" s="116">
        <f t="shared" si="39"/>
        <v>0</v>
      </c>
      <c r="N144" s="123">
        <f t="shared" si="40"/>
        <v>0</v>
      </c>
      <c r="O144" s="5"/>
      <c r="P144" s="5">
        <f t="shared" si="41"/>
        <v>0</v>
      </c>
      <c r="Q144" s="7">
        <f t="shared" si="42"/>
        <v>0</v>
      </c>
      <c r="W144" s="124">
        <f t="shared" si="43"/>
        <v>0</v>
      </c>
      <c r="X144">
        <f t="shared" si="44"/>
        <v>0</v>
      </c>
    </row>
    <row r="145" spans="1:24">
      <c r="A145" s="23" t="s">
        <v>169</v>
      </c>
      <c r="B145" s="35" t="s">
        <v>167</v>
      </c>
      <c r="C145" s="97">
        <v>197</v>
      </c>
      <c r="D145" s="132">
        <v>21108179</v>
      </c>
      <c r="E145" s="116">
        <f>(D145/C145)</f>
        <v>107148.11675126903</v>
      </c>
      <c r="F145" s="134">
        <v>12541537</v>
      </c>
      <c r="G145" s="117">
        <f>(F145/C145)</f>
        <v>63662.624365482232</v>
      </c>
      <c r="H145" s="7"/>
      <c r="I145" s="151">
        <v>2.9399000000000002</v>
      </c>
      <c r="J145" s="134">
        <v>36870.864626299997</v>
      </c>
      <c r="K145" s="120">
        <f>(J145/C145)</f>
        <v>187.1617493720812</v>
      </c>
      <c r="L145" s="122">
        <f t="shared" si="38"/>
        <v>125415.37</v>
      </c>
      <c r="M145" s="116">
        <f t="shared" si="39"/>
        <v>88544.505373699998</v>
      </c>
      <c r="N145" s="123">
        <f t="shared" si="40"/>
        <v>449.4644942827411</v>
      </c>
      <c r="O145" s="5"/>
      <c r="P145" s="5">
        <f t="shared" si="41"/>
        <v>1</v>
      </c>
      <c r="Q145" s="7">
        <f t="shared" si="42"/>
        <v>197</v>
      </c>
      <c r="W145" s="124">
        <f t="shared" si="43"/>
        <v>36870.864626299997</v>
      </c>
      <c r="X145">
        <f t="shared" si="44"/>
        <v>0</v>
      </c>
    </row>
    <row r="146" spans="1:24">
      <c r="A146" s="23" t="s">
        <v>170</v>
      </c>
      <c r="B146" s="35" t="s">
        <v>167</v>
      </c>
      <c r="C146" s="97">
        <v>823</v>
      </c>
      <c r="D146" s="132">
        <v>47734680</v>
      </c>
      <c r="E146" s="116">
        <f>(D146/C146)</f>
        <v>58000.826245443503</v>
      </c>
      <c r="F146" s="134">
        <v>22305305</v>
      </c>
      <c r="G146" s="117">
        <f>(F146/C146)</f>
        <v>27102.436208991494</v>
      </c>
      <c r="H146" s="7"/>
      <c r="I146" s="136">
        <v>4.53</v>
      </c>
      <c r="J146" s="134">
        <v>101043.03165</v>
      </c>
      <c r="K146" s="120">
        <f>(J146/C146)</f>
        <v>122.77403602673148</v>
      </c>
      <c r="L146" s="122">
        <f t="shared" si="38"/>
        <v>223053.05000000002</v>
      </c>
      <c r="M146" s="116">
        <f t="shared" si="39"/>
        <v>122010.01835000001</v>
      </c>
      <c r="N146" s="123">
        <f t="shared" si="40"/>
        <v>148.25032606318348</v>
      </c>
      <c r="O146" s="5"/>
      <c r="P146" s="5">
        <f t="shared" si="41"/>
        <v>1</v>
      </c>
      <c r="Q146" s="7">
        <f t="shared" si="42"/>
        <v>823</v>
      </c>
      <c r="W146" s="124">
        <f t="shared" si="43"/>
        <v>101043.03165</v>
      </c>
      <c r="X146">
        <f t="shared" si="44"/>
        <v>0</v>
      </c>
    </row>
    <row r="147" spans="1:24">
      <c r="A147" s="23" t="s">
        <v>171</v>
      </c>
      <c r="B147" s="35" t="s">
        <v>167</v>
      </c>
      <c r="C147" s="97">
        <v>2045</v>
      </c>
      <c r="D147" s="132">
        <v>179384825</v>
      </c>
      <c r="E147" s="116">
        <f>(D147/C147)</f>
        <v>87718.740831295843</v>
      </c>
      <c r="F147" s="134">
        <v>110918359</v>
      </c>
      <c r="G147" s="117">
        <f>(F147/C147)</f>
        <v>54238.806356968213</v>
      </c>
      <c r="H147" s="9"/>
      <c r="I147" s="136">
        <v>4</v>
      </c>
      <c r="J147" s="134">
        <v>443673.43599999999</v>
      </c>
      <c r="K147" s="120">
        <f>(J147/C147)</f>
        <v>216.95522542787285</v>
      </c>
      <c r="L147" s="122">
        <f t="shared" si="38"/>
        <v>1109183.5900000001</v>
      </c>
      <c r="M147" s="116">
        <f t="shared" si="39"/>
        <v>665510.1540000001</v>
      </c>
      <c r="N147" s="123">
        <f t="shared" si="40"/>
        <v>325.43283814180933</v>
      </c>
      <c r="O147" s="5"/>
      <c r="P147" s="5">
        <f t="shared" si="41"/>
        <v>1</v>
      </c>
      <c r="Q147" s="7">
        <f t="shared" si="42"/>
        <v>2045</v>
      </c>
      <c r="W147" s="124">
        <f t="shared" si="43"/>
        <v>443673.43599999999</v>
      </c>
      <c r="X147">
        <f t="shared" si="44"/>
        <v>0</v>
      </c>
    </row>
    <row r="148" spans="1:24">
      <c r="A148" s="23" t="s">
        <v>172</v>
      </c>
      <c r="B148" s="35" t="s">
        <v>167</v>
      </c>
      <c r="C148" s="97">
        <v>942</v>
      </c>
      <c r="D148" s="147" t="s">
        <v>564</v>
      </c>
      <c r="E148" s="116"/>
      <c r="F148" s="134"/>
      <c r="G148" s="117"/>
      <c r="H148" s="98" t="s">
        <v>588</v>
      </c>
      <c r="I148" s="136"/>
      <c r="J148" s="134"/>
      <c r="K148" s="120"/>
      <c r="L148" s="122">
        <f t="shared" si="38"/>
        <v>0</v>
      </c>
      <c r="M148" s="116">
        <f t="shared" si="39"/>
        <v>0</v>
      </c>
      <c r="N148" s="123">
        <f t="shared" si="40"/>
        <v>0</v>
      </c>
      <c r="O148" s="5"/>
      <c r="P148" s="5">
        <f t="shared" si="41"/>
        <v>0</v>
      </c>
      <c r="Q148" s="7">
        <f t="shared" si="42"/>
        <v>0</v>
      </c>
      <c r="W148" s="124">
        <f t="shared" si="43"/>
        <v>0</v>
      </c>
      <c r="X148">
        <f t="shared" si="44"/>
        <v>0</v>
      </c>
    </row>
    <row r="149" spans="1:24">
      <c r="A149" s="23" t="s">
        <v>173</v>
      </c>
      <c r="B149" s="35" t="s">
        <v>167</v>
      </c>
      <c r="C149" s="97">
        <v>527</v>
      </c>
      <c r="D149" s="132">
        <v>39823334</v>
      </c>
      <c r="E149" s="116">
        <f t="shared" ref="E149:E197" si="48">(D149/C149)</f>
        <v>75566.098671726751</v>
      </c>
      <c r="F149" s="134">
        <v>19007991</v>
      </c>
      <c r="G149" s="117">
        <f t="shared" ref="G149:G197" si="49">(F149/C149)</f>
        <v>36068.294117647056</v>
      </c>
      <c r="H149" s="7"/>
      <c r="I149" s="150">
        <v>1</v>
      </c>
      <c r="J149" s="134">
        <v>19007.991000000002</v>
      </c>
      <c r="K149" s="120">
        <f t="shared" ref="K149:K197" si="50">(J149/C149)</f>
        <v>36.068294117647064</v>
      </c>
      <c r="L149" s="122">
        <f t="shared" si="38"/>
        <v>190079.91</v>
      </c>
      <c r="M149" s="116">
        <f t="shared" si="39"/>
        <v>171071.91899999999</v>
      </c>
      <c r="N149" s="123">
        <f t="shared" si="40"/>
        <v>324.61464705882349</v>
      </c>
      <c r="O149" s="5"/>
      <c r="P149" s="5">
        <f t="shared" si="41"/>
        <v>1</v>
      </c>
      <c r="Q149" s="7">
        <f t="shared" si="42"/>
        <v>527</v>
      </c>
      <c r="W149" s="124">
        <f t="shared" si="43"/>
        <v>19007.991000000002</v>
      </c>
      <c r="X149">
        <f t="shared" si="44"/>
        <v>0</v>
      </c>
    </row>
    <row r="150" spans="1:24">
      <c r="A150" s="23" t="s">
        <v>508</v>
      </c>
      <c r="B150" s="35" t="s">
        <v>167</v>
      </c>
      <c r="C150" s="97">
        <v>235</v>
      </c>
      <c r="D150" s="132">
        <v>13678983</v>
      </c>
      <c r="E150" s="116">
        <f t="shared" si="48"/>
        <v>58208.438297872337</v>
      </c>
      <c r="F150" s="134">
        <v>5864199</v>
      </c>
      <c r="G150" s="117">
        <f t="shared" si="49"/>
        <v>24954.038297872339</v>
      </c>
      <c r="H150" s="9"/>
      <c r="I150" s="136">
        <v>4.0860000000000003</v>
      </c>
      <c r="J150" s="134">
        <v>23961.117114000001</v>
      </c>
      <c r="K150" s="120">
        <f t="shared" si="50"/>
        <v>101.96220048510638</v>
      </c>
      <c r="L150" s="122">
        <f t="shared" si="38"/>
        <v>58641.99</v>
      </c>
      <c r="M150" s="116">
        <f t="shared" si="39"/>
        <v>34680.872885999997</v>
      </c>
      <c r="N150" s="123">
        <f t="shared" si="40"/>
        <v>147.57818249361702</v>
      </c>
      <c r="O150" s="5"/>
      <c r="P150" s="5">
        <f t="shared" si="41"/>
        <v>1</v>
      </c>
      <c r="Q150" s="7">
        <f t="shared" si="42"/>
        <v>235</v>
      </c>
      <c r="W150" s="124">
        <f t="shared" si="43"/>
        <v>23961.117114000001</v>
      </c>
      <c r="X150">
        <f t="shared" si="44"/>
        <v>0</v>
      </c>
    </row>
    <row r="151" spans="1:24">
      <c r="A151" s="23" t="s">
        <v>175</v>
      </c>
      <c r="B151" s="35" t="s">
        <v>167</v>
      </c>
      <c r="C151" s="97">
        <v>1734</v>
      </c>
      <c r="D151" s="147">
        <v>62027847</v>
      </c>
      <c r="E151" s="116">
        <f t="shared" si="48"/>
        <v>35771.53806228374</v>
      </c>
      <c r="F151" s="134">
        <v>19514396</v>
      </c>
      <c r="G151" s="117">
        <f t="shared" si="49"/>
        <v>11253.97693194925</v>
      </c>
      <c r="H151" s="98"/>
      <c r="I151" s="136">
        <v>1</v>
      </c>
      <c r="J151" s="134">
        <v>19514.396000000001</v>
      </c>
      <c r="K151" s="120">
        <f t="shared" si="50"/>
        <v>11.25397693194925</v>
      </c>
      <c r="L151" s="122">
        <f t="shared" si="38"/>
        <v>195143.96</v>
      </c>
      <c r="M151" s="116">
        <f t="shared" si="39"/>
        <v>175629.56399999998</v>
      </c>
      <c r="N151" s="123">
        <f t="shared" si="40"/>
        <v>101.28579238754324</v>
      </c>
      <c r="O151" s="5"/>
      <c r="P151" s="5">
        <f t="shared" si="41"/>
        <v>1</v>
      </c>
      <c r="Q151" s="7">
        <f t="shared" si="42"/>
        <v>1734</v>
      </c>
      <c r="W151" s="124">
        <f t="shared" si="43"/>
        <v>19514.396000000001</v>
      </c>
      <c r="X151">
        <f t="shared" si="44"/>
        <v>0</v>
      </c>
    </row>
    <row r="152" spans="1:24">
      <c r="A152" s="23" t="s">
        <v>176</v>
      </c>
      <c r="B152" s="35" t="s">
        <v>167</v>
      </c>
      <c r="C152" s="97">
        <v>7132</v>
      </c>
      <c r="D152" s="132">
        <v>613560820</v>
      </c>
      <c r="E152" s="116">
        <f t="shared" si="48"/>
        <v>86029.279304542899</v>
      </c>
      <c r="F152" s="134">
        <v>318278233</v>
      </c>
      <c r="G152" s="117">
        <f t="shared" si="49"/>
        <v>44626.785333707237</v>
      </c>
      <c r="H152" s="7"/>
      <c r="I152" s="150">
        <v>3.4984999999999999</v>
      </c>
      <c r="J152" s="134">
        <v>1113496.3981505001</v>
      </c>
      <c r="K152" s="120">
        <f t="shared" si="50"/>
        <v>156.12680848997479</v>
      </c>
      <c r="L152" s="122">
        <f t="shared" si="38"/>
        <v>3182782.33</v>
      </c>
      <c r="M152" s="116">
        <f t="shared" si="39"/>
        <v>2069285.9318494999</v>
      </c>
      <c r="N152" s="123">
        <f t="shared" si="40"/>
        <v>290.14104484709759</v>
      </c>
      <c r="O152" s="5"/>
      <c r="P152" s="5">
        <f t="shared" si="41"/>
        <v>1</v>
      </c>
      <c r="Q152" s="7">
        <f t="shared" si="42"/>
        <v>7132</v>
      </c>
      <c r="W152" s="124">
        <f t="shared" si="43"/>
        <v>1113496.3981504999</v>
      </c>
      <c r="X152">
        <f t="shared" si="44"/>
        <v>0</v>
      </c>
    </row>
    <row r="153" spans="1:24">
      <c r="A153" s="23" t="s">
        <v>177</v>
      </c>
      <c r="B153" s="35" t="s">
        <v>167</v>
      </c>
      <c r="C153" s="97">
        <v>1678</v>
      </c>
      <c r="D153" s="132">
        <v>97231954</v>
      </c>
      <c r="E153" s="116">
        <f t="shared" si="48"/>
        <v>57945.145411203812</v>
      </c>
      <c r="F153" s="134">
        <v>47868927</v>
      </c>
      <c r="G153" s="117">
        <f t="shared" si="49"/>
        <v>28527.370083432659</v>
      </c>
      <c r="H153" s="7"/>
      <c r="I153" s="136">
        <v>4.0883000000000003</v>
      </c>
      <c r="J153" s="134">
        <v>195702.53425410003</v>
      </c>
      <c r="K153" s="120">
        <f t="shared" si="50"/>
        <v>116.62844711209775</v>
      </c>
      <c r="L153" s="122">
        <f t="shared" si="38"/>
        <v>478689.27</v>
      </c>
      <c r="M153" s="116">
        <f t="shared" si="39"/>
        <v>282986.73574589996</v>
      </c>
      <c r="N153" s="123">
        <f t="shared" si="40"/>
        <v>168.64525372222883</v>
      </c>
      <c r="O153" s="5"/>
      <c r="P153" s="5">
        <f t="shared" si="41"/>
        <v>1</v>
      </c>
      <c r="Q153" s="7">
        <f t="shared" si="42"/>
        <v>1678</v>
      </c>
      <c r="S153" s="124">
        <f>SUM(D143:D153)</f>
        <v>1103433436</v>
      </c>
      <c r="T153" s="124">
        <f>SUM(F143:F153)</f>
        <v>571659157</v>
      </c>
      <c r="U153" s="124">
        <f>SUM(J143:J153)</f>
        <v>1976909.1319849</v>
      </c>
      <c r="W153" s="124">
        <f t="shared" si="43"/>
        <v>195702.53425410003</v>
      </c>
      <c r="X153">
        <f t="shared" si="44"/>
        <v>0</v>
      </c>
    </row>
    <row r="154" spans="1:24">
      <c r="A154" s="23" t="s">
        <v>178</v>
      </c>
      <c r="B154" s="35" t="s">
        <v>179</v>
      </c>
      <c r="C154" s="97">
        <v>2788</v>
      </c>
      <c r="D154" s="132">
        <v>257501509</v>
      </c>
      <c r="E154" s="116">
        <f t="shared" si="48"/>
        <v>92360.656025824966</v>
      </c>
      <c r="F154" s="134">
        <v>149432693</v>
      </c>
      <c r="G154" s="117">
        <f t="shared" si="49"/>
        <v>53598.526901004305</v>
      </c>
      <c r="H154" s="7"/>
      <c r="I154" s="136">
        <v>6.8501000000000003</v>
      </c>
      <c r="J154" s="134">
        <v>1023628.8903193</v>
      </c>
      <c r="K154" s="120">
        <f t="shared" si="50"/>
        <v>367.1552691245696</v>
      </c>
      <c r="L154" s="122">
        <f t="shared" si="38"/>
        <v>1494326.93</v>
      </c>
      <c r="M154" s="116">
        <f t="shared" si="39"/>
        <v>470698.03968069993</v>
      </c>
      <c r="N154" s="123">
        <f t="shared" si="40"/>
        <v>168.82999988547343</v>
      </c>
      <c r="O154" s="5"/>
      <c r="P154" s="5">
        <f t="shared" si="41"/>
        <v>1</v>
      </c>
      <c r="Q154" s="7">
        <f t="shared" si="42"/>
        <v>2788</v>
      </c>
      <c r="S154" s="124">
        <f>SUM(D154)</f>
        <v>257501509</v>
      </c>
      <c r="T154" s="124">
        <f>SUM(F154)</f>
        <v>149432693</v>
      </c>
      <c r="U154" s="124">
        <f>SUM(J154)</f>
        <v>1023628.8903193</v>
      </c>
      <c r="W154" s="124">
        <f t="shared" si="43"/>
        <v>1023628.8903193001</v>
      </c>
      <c r="X154">
        <f t="shared" si="44"/>
        <v>0</v>
      </c>
    </row>
    <row r="155" spans="1:24">
      <c r="A155" s="23" t="s">
        <v>180</v>
      </c>
      <c r="B155" s="35" t="s">
        <v>181</v>
      </c>
      <c r="C155" s="97">
        <v>1081</v>
      </c>
      <c r="D155" s="132">
        <v>57672706</v>
      </c>
      <c r="E155" s="116">
        <f t="shared" si="48"/>
        <v>53351.254394079559</v>
      </c>
      <c r="F155" s="134">
        <v>29928257</v>
      </c>
      <c r="G155" s="117">
        <f t="shared" si="49"/>
        <v>27685.714153561516</v>
      </c>
      <c r="H155" s="7"/>
      <c r="I155" s="136">
        <v>7</v>
      </c>
      <c r="J155" s="134">
        <v>209497.799</v>
      </c>
      <c r="K155" s="120">
        <f t="shared" si="50"/>
        <v>193.79999907493061</v>
      </c>
      <c r="L155" s="122">
        <f t="shared" si="38"/>
        <v>299282.57</v>
      </c>
      <c r="M155" s="116">
        <f t="shared" si="39"/>
        <v>89784.771000000008</v>
      </c>
      <c r="N155" s="123">
        <f t="shared" si="40"/>
        <v>83.05714246068456</v>
      </c>
      <c r="O155" s="5"/>
      <c r="P155" s="5">
        <f t="shared" si="41"/>
        <v>1</v>
      </c>
      <c r="Q155" s="7">
        <f t="shared" si="42"/>
        <v>1081</v>
      </c>
      <c r="S155" s="124">
        <f>SUM(D155)</f>
        <v>57672706</v>
      </c>
      <c r="T155" s="124">
        <f>SUM(F155)</f>
        <v>29928257</v>
      </c>
      <c r="U155" s="124">
        <f>SUM(J155)</f>
        <v>209497.799</v>
      </c>
      <c r="W155" s="124">
        <f t="shared" si="43"/>
        <v>209497.799</v>
      </c>
      <c r="X155">
        <f t="shared" si="44"/>
        <v>0</v>
      </c>
    </row>
    <row r="156" spans="1:24">
      <c r="A156" s="23" t="s">
        <v>182</v>
      </c>
      <c r="B156" s="35" t="s">
        <v>183</v>
      </c>
      <c r="C156" s="97">
        <v>2205</v>
      </c>
      <c r="D156" s="147">
        <v>229048411</v>
      </c>
      <c r="E156" s="116">
        <f t="shared" si="48"/>
        <v>103876.83038548753</v>
      </c>
      <c r="F156" s="134">
        <v>141264216</v>
      </c>
      <c r="G156" s="117">
        <f t="shared" si="49"/>
        <v>64065.404081632652</v>
      </c>
      <c r="H156" s="9"/>
      <c r="I156" s="136">
        <v>7</v>
      </c>
      <c r="J156" s="134">
        <v>988849.51199999999</v>
      </c>
      <c r="K156" s="120">
        <f t="shared" si="50"/>
        <v>448.45782857142859</v>
      </c>
      <c r="L156" s="122">
        <f t="shared" si="38"/>
        <v>1412642.16</v>
      </c>
      <c r="M156" s="116">
        <f t="shared" si="39"/>
        <v>423792.64799999993</v>
      </c>
      <c r="N156" s="123">
        <f t="shared" si="40"/>
        <v>192.19621224489794</v>
      </c>
      <c r="O156" s="5"/>
      <c r="P156" s="5">
        <f t="shared" si="41"/>
        <v>1</v>
      </c>
      <c r="Q156" s="7">
        <f t="shared" si="42"/>
        <v>2205</v>
      </c>
      <c r="W156" s="124">
        <f t="shared" si="43"/>
        <v>988849.51199999999</v>
      </c>
      <c r="X156">
        <f t="shared" si="44"/>
        <v>0</v>
      </c>
    </row>
    <row r="157" spans="1:24">
      <c r="A157" s="23" t="s">
        <v>184</v>
      </c>
      <c r="B157" s="35" t="s">
        <v>183</v>
      </c>
      <c r="C157" s="97">
        <v>48988</v>
      </c>
      <c r="D157" s="147">
        <v>8594929415</v>
      </c>
      <c r="E157" s="116">
        <f t="shared" si="48"/>
        <v>175449.69002612884</v>
      </c>
      <c r="F157" s="134">
        <v>5693181798</v>
      </c>
      <c r="G157" s="117">
        <f t="shared" si="49"/>
        <v>116215.84465583408</v>
      </c>
      <c r="H157" s="9"/>
      <c r="I157" s="136">
        <v>4.88</v>
      </c>
      <c r="J157" s="134">
        <v>27782727.174239997</v>
      </c>
      <c r="K157" s="120">
        <f t="shared" si="50"/>
        <v>567.13332192047028</v>
      </c>
      <c r="L157" s="122">
        <f t="shared" si="38"/>
        <v>56931817.980000004</v>
      </c>
      <c r="M157" s="116">
        <f t="shared" si="39"/>
        <v>29149090.805760007</v>
      </c>
      <c r="N157" s="123">
        <f t="shared" si="40"/>
        <v>595.0251246378707</v>
      </c>
      <c r="O157" s="5"/>
      <c r="P157" s="5">
        <f t="shared" si="41"/>
        <v>1</v>
      </c>
      <c r="Q157" s="7">
        <f t="shared" si="42"/>
        <v>48988</v>
      </c>
      <c r="W157" s="124">
        <f t="shared" si="43"/>
        <v>27782727.174240001</v>
      </c>
      <c r="X157">
        <f t="shared" si="44"/>
        <v>0</v>
      </c>
    </row>
    <row r="158" spans="1:24">
      <c r="A158" s="23" t="s">
        <v>185</v>
      </c>
      <c r="B158" s="35" t="s">
        <v>183</v>
      </c>
      <c r="C158" s="97">
        <v>24180</v>
      </c>
      <c r="D158" s="132">
        <v>2723952076</v>
      </c>
      <c r="E158" s="116">
        <f t="shared" si="48"/>
        <v>112653.10488006617</v>
      </c>
      <c r="F158" s="134">
        <v>1680329807</v>
      </c>
      <c r="G158" s="117">
        <f t="shared" si="49"/>
        <v>69492.547849462368</v>
      </c>
      <c r="H158" s="7"/>
      <c r="I158" s="136">
        <v>7.5810000000000004</v>
      </c>
      <c r="J158" s="134">
        <v>12738580.266867001</v>
      </c>
      <c r="K158" s="120">
        <f t="shared" si="50"/>
        <v>526.82300524677419</v>
      </c>
      <c r="L158" s="122">
        <f t="shared" si="38"/>
        <v>16803298.07</v>
      </c>
      <c r="M158" s="116">
        <f t="shared" si="39"/>
        <v>4064717.8031329997</v>
      </c>
      <c r="N158" s="123">
        <f t="shared" si="40"/>
        <v>168.10247324784945</v>
      </c>
      <c r="O158" s="5"/>
      <c r="P158" s="5">
        <f t="shared" si="41"/>
        <v>1</v>
      </c>
      <c r="Q158" s="7">
        <f t="shared" si="42"/>
        <v>24180</v>
      </c>
      <c r="W158" s="124">
        <f t="shared" si="43"/>
        <v>12738580.266867001</v>
      </c>
      <c r="X158">
        <f t="shared" si="44"/>
        <v>0</v>
      </c>
    </row>
    <row r="159" spans="1:24">
      <c r="A159" s="23" t="s">
        <v>186</v>
      </c>
      <c r="B159" s="35" t="s">
        <v>183</v>
      </c>
      <c r="C159" s="97">
        <v>8634</v>
      </c>
      <c r="D159" s="132">
        <v>1730793299</v>
      </c>
      <c r="E159" s="116">
        <f t="shared" si="48"/>
        <v>200462.50857076675</v>
      </c>
      <c r="F159" s="134">
        <v>1104462047</v>
      </c>
      <c r="G159" s="117">
        <f t="shared" si="49"/>
        <v>127920.08883483901</v>
      </c>
      <c r="H159" s="7"/>
      <c r="I159" s="136">
        <v>3.9134000000000002</v>
      </c>
      <c r="J159" s="134">
        <v>4322201.7747298004</v>
      </c>
      <c r="K159" s="120">
        <f t="shared" si="50"/>
        <v>500.60247564625905</v>
      </c>
      <c r="L159" s="122">
        <f t="shared" si="38"/>
        <v>11044620.470000001</v>
      </c>
      <c r="M159" s="116">
        <f t="shared" si="39"/>
        <v>6722418.6952702003</v>
      </c>
      <c r="N159" s="123">
        <f t="shared" si="40"/>
        <v>778.5984127021311</v>
      </c>
      <c r="O159" s="5"/>
      <c r="P159" s="5">
        <f t="shared" si="41"/>
        <v>1</v>
      </c>
      <c r="Q159" s="7">
        <f t="shared" si="42"/>
        <v>8634</v>
      </c>
      <c r="W159" s="124">
        <f t="shared" si="43"/>
        <v>4322201.7747298004</v>
      </c>
      <c r="X159">
        <f t="shared" si="44"/>
        <v>0</v>
      </c>
    </row>
    <row r="160" spans="1:24">
      <c r="A160" s="23" t="s">
        <v>187</v>
      </c>
      <c r="B160" s="35" t="s">
        <v>183</v>
      </c>
      <c r="C160" s="97">
        <v>23697</v>
      </c>
      <c r="D160" s="132">
        <v>3497342529</v>
      </c>
      <c r="E160" s="116">
        <f t="shared" si="48"/>
        <v>147585.87707304722</v>
      </c>
      <c r="F160" s="134">
        <v>2347858764</v>
      </c>
      <c r="G160" s="117">
        <f t="shared" si="49"/>
        <v>99078.31219141664</v>
      </c>
      <c r="H160" s="7"/>
      <c r="I160" s="136">
        <v>5.5</v>
      </c>
      <c r="J160" s="134">
        <v>12913223.202</v>
      </c>
      <c r="K160" s="120">
        <f t="shared" si="50"/>
        <v>544.93071705279146</v>
      </c>
      <c r="L160" s="122">
        <f t="shared" si="38"/>
        <v>23478587.640000001</v>
      </c>
      <c r="M160" s="116">
        <f t="shared" si="39"/>
        <v>10565364.438000001</v>
      </c>
      <c r="N160" s="123">
        <f t="shared" si="40"/>
        <v>445.85240486137491</v>
      </c>
      <c r="O160" s="5"/>
      <c r="P160" s="5">
        <f t="shared" si="41"/>
        <v>1</v>
      </c>
      <c r="Q160" s="7">
        <f t="shared" si="42"/>
        <v>23697</v>
      </c>
      <c r="W160" s="124">
        <f t="shared" si="43"/>
        <v>12913223.202</v>
      </c>
      <c r="X160">
        <f t="shared" si="44"/>
        <v>0</v>
      </c>
    </row>
    <row r="161" spans="1:24">
      <c r="A161" s="23" t="s">
        <v>188</v>
      </c>
      <c r="B161" s="35" t="s">
        <v>183</v>
      </c>
      <c r="C161" s="97">
        <v>1934</v>
      </c>
      <c r="D161" s="132">
        <v>356003218</v>
      </c>
      <c r="E161" s="116">
        <f t="shared" si="48"/>
        <v>184076.12099276111</v>
      </c>
      <c r="F161" s="134">
        <v>224657675</v>
      </c>
      <c r="G161" s="117">
        <f t="shared" si="49"/>
        <v>116162.18976215099</v>
      </c>
      <c r="H161" s="7"/>
      <c r="I161" s="136">
        <v>7.5</v>
      </c>
      <c r="J161" s="134">
        <v>1684932.5625</v>
      </c>
      <c r="K161" s="120">
        <f t="shared" si="50"/>
        <v>871.2164232161324</v>
      </c>
      <c r="L161" s="122">
        <f t="shared" si="38"/>
        <v>2246576.75</v>
      </c>
      <c r="M161" s="116">
        <f t="shared" si="39"/>
        <v>561644.1875</v>
      </c>
      <c r="N161" s="123">
        <f t="shared" si="40"/>
        <v>290.40547440537745</v>
      </c>
      <c r="O161" s="5"/>
      <c r="P161" s="5">
        <f t="shared" si="41"/>
        <v>1</v>
      </c>
      <c r="Q161" s="7">
        <f t="shared" si="42"/>
        <v>1934</v>
      </c>
      <c r="W161" s="124">
        <f t="shared" si="43"/>
        <v>1684932.5625</v>
      </c>
      <c r="X161">
        <f t="shared" si="44"/>
        <v>0</v>
      </c>
    </row>
    <row r="162" spans="1:24">
      <c r="A162" s="23" t="s">
        <v>189</v>
      </c>
      <c r="B162" s="35" t="s">
        <v>183</v>
      </c>
      <c r="C162" s="97">
        <v>16352</v>
      </c>
      <c r="D162" s="132">
        <v>2593548815</v>
      </c>
      <c r="E162" s="116">
        <f t="shared" si="48"/>
        <v>158607.4373165362</v>
      </c>
      <c r="F162" s="134">
        <v>1816379607</v>
      </c>
      <c r="G162" s="117">
        <f t="shared" si="49"/>
        <v>111079.96618150685</v>
      </c>
      <c r="H162" s="7"/>
      <c r="I162" s="136">
        <v>3.6509999999999998</v>
      </c>
      <c r="J162" s="134">
        <v>6631601.9451569999</v>
      </c>
      <c r="K162" s="120">
        <f t="shared" si="50"/>
        <v>405.55295652868148</v>
      </c>
      <c r="L162" s="122">
        <f t="shared" si="38"/>
        <v>18163796.07</v>
      </c>
      <c r="M162" s="116">
        <f t="shared" si="39"/>
        <v>11532194.124843001</v>
      </c>
      <c r="N162" s="123">
        <f t="shared" si="40"/>
        <v>705.24670528638705</v>
      </c>
      <c r="O162" s="5"/>
      <c r="P162" s="5">
        <f t="shared" si="41"/>
        <v>1</v>
      </c>
      <c r="Q162" s="7">
        <f t="shared" si="42"/>
        <v>16352</v>
      </c>
      <c r="W162" s="124">
        <f t="shared" si="43"/>
        <v>6631601.9451569999</v>
      </c>
      <c r="X162">
        <f t="shared" si="44"/>
        <v>0</v>
      </c>
    </row>
    <row r="163" spans="1:24">
      <c r="A163" s="23" t="s">
        <v>190</v>
      </c>
      <c r="B163" s="35" t="s">
        <v>183</v>
      </c>
      <c r="C163" s="97">
        <v>33344</v>
      </c>
      <c r="D163" s="132">
        <v>5179410801</v>
      </c>
      <c r="E163" s="116">
        <f t="shared" si="48"/>
        <v>155332.61759237043</v>
      </c>
      <c r="F163" s="134">
        <v>3504654852</v>
      </c>
      <c r="G163" s="117">
        <f t="shared" si="49"/>
        <v>105106.01163627639</v>
      </c>
      <c r="H163" s="98"/>
      <c r="I163" s="136">
        <v>3.4752000000000001</v>
      </c>
      <c r="J163" s="134">
        <v>12179376.541670401</v>
      </c>
      <c r="K163" s="120">
        <f t="shared" si="50"/>
        <v>365.26441163838774</v>
      </c>
      <c r="L163" s="122">
        <f t="shared" si="38"/>
        <v>35046548.520000003</v>
      </c>
      <c r="M163" s="116">
        <f t="shared" si="39"/>
        <v>22867171.978329603</v>
      </c>
      <c r="N163" s="123">
        <f t="shared" si="40"/>
        <v>685.79570472437626</v>
      </c>
      <c r="O163" s="5"/>
      <c r="P163" s="5">
        <f t="shared" si="41"/>
        <v>1</v>
      </c>
      <c r="Q163" s="7">
        <f t="shared" si="42"/>
        <v>33344</v>
      </c>
      <c r="W163" s="124">
        <f t="shared" si="43"/>
        <v>12179376.541670399</v>
      </c>
      <c r="X163">
        <f t="shared" si="44"/>
        <v>0</v>
      </c>
    </row>
    <row r="164" spans="1:24">
      <c r="A164" s="23" t="s">
        <v>191</v>
      </c>
      <c r="B164" s="35" t="s">
        <v>183</v>
      </c>
      <c r="C164" s="97">
        <v>9215</v>
      </c>
      <c r="D164" s="132">
        <v>822199006</v>
      </c>
      <c r="E164" s="116">
        <f t="shared" si="48"/>
        <v>89223.983288117204</v>
      </c>
      <c r="F164" s="134">
        <v>494084539</v>
      </c>
      <c r="G164" s="117">
        <f t="shared" si="49"/>
        <v>53617.421486706458</v>
      </c>
      <c r="H164" s="98"/>
      <c r="I164" s="136">
        <v>4.7549000000000001</v>
      </c>
      <c r="J164" s="134">
        <v>2349322.5744910999</v>
      </c>
      <c r="K164" s="120">
        <f t="shared" si="50"/>
        <v>254.94547742714053</v>
      </c>
      <c r="L164" s="122">
        <f t="shared" si="38"/>
        <v>4940845.3899999997</v>
      </c>
      <c r="M164" s="116">
        <f t="shared" si="39"/>
        <v>2591522.8155088997</v>
      </c>
      <c r="N164" s="123">
        <f t="shared" si="40"/>
        <v>281.22873743992403</v>
      </c>
      <c r="O164" s="5"/>
      <c r="P164" s="5">
        <f t="shared" si="41"/>
        <v>1</v>
      </c>
      <c r="Q164" s="7">
        <f t="shared" si="42"/>
        <v>9215</v>
      </c>
      <c r="W164" s="124">
        <f t="shared" si="43"/>
        <v>2349322.5744910999</v>
      </c>
      <c r="X164">
        <f t="shared" si="44"/>
        <v>0</v>
      </c>
    </row>
    <row r="165" spans="1:24">
      <c r="A165" s="23" t="s">
        <v>192</v>
      </c>
      <c r="B165" s="35" t="s">
        <v>183</v>
      </c>
      <c r="C165" s="97">
        <v>19893</v>
      </c>
      <c r="D165" s="147">
        <v>2695445139</v>
      </c>
      <c r="E165" s="116">
        <f t="shared" si="48"/>
        <v>135497.16679233901</v>
      </c>
      <c r="F165" s="134">
        <v>1765510444</v>
      </c>
      <c r="G165" s="117">
        <f t="shared" si="49"/>
        <v>88750.336500276477</v>
      </c>
      <c r="H165" s="98"/>
      <c r="I165" s="136">
        <v>5.6</v>
      </c>
      <c r="J165" s="134">
        <v>9886858.4863999989</v>
      </c>
      <c r="K165" s="120">
        <f t="shared" si="50"/>
        <v>497.00188440154824</v>
      </c>
      <c r="L165" s="122">
        <f t="shared" si="38"/>
        <v>17655104.440000001</v>
      </c>
      <c r="M165" s="116">
        <f t="shared" si="39"/>
        <v>7768245.9536000025</v>
      </c>
      <c r="N165" s="123">
        <f t="shared" si="40"/>
        <v>390.50148060121666</v>
      </c>
      <c r="O165" s="5"/>
      <c r="P165" s="5">
        <f t="shared" si="41"/>
        <v>1</v>
      </c>
      <c r="Q165" s="7">
        <f t="shared" si="42"/>
        <v>19893</v>
      </c>
      <c r="W165" s="124">
        <f t="shared" si="43"/>
        <v>9886858.4864000008</v>
      </c>
      <c r="X165">
        <f t="shared" si="44"/>
        <v>0</v>
      </c>
    </row>
    <row r="166" spans="1:24">
      <c r="A166" s="23" t="s">
        <v>193</v>
      </c>
      <c r="B166" s="35" t="s">
        <v>183</v>
      </c>
      <c r="C166" s="97">
        <v>2191</v>
      </c>
      <c r="D166" s="132">
        <v>383250888</v>
      </c>
      <c r="E166" s="116">
        <f t="shared" si="48"/>
        <v>174920.53308991328</v>
      </c>
      <c r="F166" s="134">
        <v>211966718</v>
      </c>
      <c r="G166" s="117">
        <f t="shared" si="49"/>
        <v>96744.280237334548</v>
      </c>
      <c r="H166" s="7"/>
      <c r="I166" s="136">
        <v>2.83</v>
      </c>
      <c r="J166" s="134">
        <v>599865.81194000004</v>
      </c>
      <c r="K166" s="120">
        <f t="shared" si="50"/>
        <v>273.78631307165682</v>
      </c>
      <c r="L166" s="122">
        <f t="shared" si="38"/>
        <v>2119667.1800000002</v>
      </c>
      <c r="M166" s="116">
        <f t="shared" si="39"/>
        <v>1519801.3680600002</v>
      </c>
      <c r="N166" s="123">
        <f t="shared" si="40"/>
        <v>693.65648930168879</v>
      </c>
      <c r="O166" s="5"/>
      <c r="P166" s="5">
        <f t="shared" si="41"/>
        <v>1</v>
      </c>
      <c r="Q166" s="7">
        <f t="shared" si="42"/>
        <v>2191</v>
      </c>
      <c r="W166" s="124">
        <f t="shared" si="43"/>
        <v>599865.81194000004</v>
      </c>
      <c r="X166">
        <f t="shared" si="44"/>
        <v>0</v>
      </c>
    </row>
    <row r="167" spans="1:24">
      <c r="A167" s="23" t="s">
        <v>194</v>
      </c>
      <c r="B167" s="35" t="s">
        <v>183</v>
      </c>
      <c r="C167" s="97">
        <v>18227</v>
      </c>
      <c r="D167" s="132">
        <v>2990308680</v>
      </c>
      <c r="E167" s="116">
        <f t="shared" si="48"/>
        <v>164059.29006419049</v>
      </c>
      <c r="F167" s="134">
        <v>1977027110</v>
      </c>
      <c r="G167" s="117">
        <f t="shared" si="49"/>
        <v>108466.95067756624</v>
      </c>
      <c r="H167" s="7"/>
      <c r="I167" s="136">
        <v>6.3</v>
      </c>
      <c r="J167" s="134">
        <v>12455270.793</v>
      </c>
      <c r="K167" s="120">
        <f t="shared" si="50"/>
        <v>683.3417892686673</v>
      </c>
      <c r="L167" s="122">
        <f t="shared" si="38"/>
        <v>19770271.100000001</v>
      </c>
      <c r="M167" s="116">
        <f t="shared" si="39"/>
        <v>7315000.3070000019</v>
      </c>
      <c r="N167" s="123">
        <f t="shared" si="40"/>
        <v>401.32771750699521</v>
      </c>
      <c r="O167" s="5"/>
      <c r="P167" s="5">
        <f t="shared" si="41"/>
        <v>1</v>
      </c>
      <c r="Q167" s="7">
        <f t="shared" si="42"/>
        <v>18227</v>
      </c>
      <c r="W167" s="124">
        <f t="shared" si="43"/>
        <v>12455270.793</v>
      </c>
      <c r="X167">
        <f t="shared" si="44"/>
        <v>0</v>
      </c>
    </row>
    <row r="168" spans="1:24">
      <c r="A168" s="23" t="s">
        <v>195</v>
      </c>
      <c r="B168" s="35" t="s">
        <v>183</v>
      </c>
      <c r="C168" s="97">
        <v>21530</v>
      </c>
      <c r="D168" s="132">
        <v>2996116346</v>
      </c>
      <c r="E168" s="116">
        <f t="shared" si="48"/>
        <v>139160.07180678123</v>
      </c>
      <c r="F168" s="134">
        <v>1729095305</v>
      </c>
      <c r="G168" s="117">
        <f t="shared" si="49"/>
        <v>80310.97561542035</v>
      </c>
      <c r="H168" s="7"/>
      <c r="I168" s="136">
        <v>6.7755999999999998</v>
      </c>
      <c r="J168" s="134">
        <v>11715658.148558</v>
      </c>
      <c r="K168" s="120">
        <f t="shared" si="50"/>
        <v>544.15504637984213</v>
      </c>
      <c r="L168" s="122">
        <f t="shared" si="38"/>
        <v>17290953.050000001</v>
      </c>
      <c r="M168" s="116">
        <f t="shared" si="39"/>
        <v>5575294.9014420006</v>
      </c>
      <c r="N168" s="123">
        <f t="shared" si="40"/>
        <v>258.95470977436139</v>
      </c>
      <c r="O168" s="5"/>
      <c r="P168" s="5">
        <f t="shared" si="41"/>
        <v>1</v>
      </c>
      <c r="Q168" s="7">
        <f t="shared" si="42"/>
        <v>21530</v>
      </c>
      <c r="W168" s="124">
        <f t="shared" si="43"/>
        <v>11715658.148558</v>
      </c>
      <c r="X168">
        <f t="shared" si="44"/>
        <v>0</v>
      </c>
    </row>
    <row r="169" spans="1:24">
      <c r="A169" s="23" t="s">
        <v>196</v>
      </c>
      <c r="B169" s="35" t="s">
        <v>183</v>
      </c>
      <c r="C169" s="97">
        <v>3885</v>
      </c>
      <c r="D169" s="132">
        <v>477852995</v>
      </c>
      <c r="E169" s="116">
        <f t="shared" si="48"/>
        <v>122999.48391248391</v>
      </c>
      <c r="F169" s="134">
        <v>281480816</v>
      </c>
      <c r="G169" s="117">
        <f t="shared" si="49"/>
        <v>72453.234491634488</v>
      </c>
      <c r="H169" s="7"/>
      <c r="I169" s="136">
        <v>7.1089000000000002</v>
      </c>
      <c r="J169" s="134">
        <v>2001018.9728624001</v>
      </c>
      <c r="K169" s="120">
        <f t="shared" si="50"/>
        <v>515.06279867758042</v>
      </c>
      <c r="L169" s="122">
        <f t="shared" si="38"/>
        <v>2814808.16</v>
      </c>
      <c r="M169" s="116">
        <f t="shared" si="39"/>
        <v>813789.18713760003</v>
      </c>
      <c r="N169" s="123">
        <f t="shared" si="40"/>
        <v>209.46954623876448</v>
      </c>
      <c r="O169" s="5"/>
      <c r="P169" s="5">
        <f t="shared" si="41"/>
        <v>1</v>
      </c>
      <c r="Q169" s="7">
        <f t="shared" si="42"/>
        <v>3885</v>
      </c>
      <c r="S169" s="124">
        <f>SUM(D156:D169)</f>
        <v>35270201618</v>
      </c>
      <c r="T169" s="124">
        <f>SUM(F156:F169)</f>
        <v>22971953698</v>
      </c>
      <c r="U169" s="124">
        <f>SUM(J156:J169)</f>
        <v>118249487.76641569</v>
      </c>
      <c r="W169" s="124">
        <f t="shared" si="43"/>
        <v>2001018.9728624001</v>
      </c>
      <c r="X169">
        <f t="shared" si="44"/>
        <v>0</v>
      </c>
    </row>
    <row r="170" spans="1:24">
      <c r="A170" s="23" t="s">
        <v>448</v>
      </c>
      <c r="B170" s="35" t="s">
        <v>198</v>
      </c>
      <c r="C170" s="97">
        <v>56066</v>
      </c>
      <c r="D170" s="132">
        <v>26563930119</v>
      </c>
      <c r="E170" s="116">
        <f t="shared" si="48"/>
        <v>473797.49079656118</v>
      </c>
      <c r="F170" s="134">
        <v>17656809262</v>
      </c>
      <c r="G170" s="117">
        <f t="shared" si="49"/>
        <v>314928.99907252169</v>
      </c>
      <c r="H170" s="7"/>
      <c r="I170" s="136">
        <v>0.84699999999999998</v>
      </c>
      <c r="J170" s="134">
        <v>14955317.444914</v>
      </c>
      <c r="K170" s="120">
        <f t="shared" si="50"/>
        <v>266.74486221442584</v>
      </c>
      <c r="L170" s="122">
        <f t="shared" si="38"/>
        <v>176568092.62</v>
      </c>
      <c r="M170" s="116">
        <f t="shared" si="39"/>
        <v>161612775.17508599</v>
      </c>
      <c r="N170" s="123">
        <f t="shared" si="40"/>
        <v>2882.5451285107906</v>
      </c>
      <c r="O170" s="5"/>
      <c r="P170" s="5">
        <f t="shared" si="41"/>
        <v>1</v>
      </c>
      <c r="Q170" s="7">
        <f t="shared" si="42"/>
        <v>56066</v>
      </c>
      <c r="W170" s="124">
        <f t="shared" si="43"/>
        <v>14955317.444914</v>
      </c>
      <c r="X170">
        <f t="shared" si="44"/>
        <v>0</v>
      </c>
    </row>
    <row r="171" spans="1:24">
      <c r="A171" s="23" t="s">
        <v>197</v>
      </c>
      <c r="B171" s="35" t="s">
        <v>198</v>
      </c>
      <c r="C171" s="97">
        <v>220236</v>
      </c>
      <c r="D171" s="132">
        <v>46894835109</v>
      </c>
      <c r="E171" s="116">
        <f t="shared" si="48"/>
        <v>212929.92566610363</v>
      </c>
      <c r="F171" s="134">
        <v>29773066334</v>
      </c>
      <c r="G171" s="117">
        <f t="shared" si="49"/>
        <v>135187.10081004014</v>
      </c>
      <c r="H171" s="7"/>
      <c r="I171" s="136">
        <v>5.2187999999999999</v>
      </c>
      <c r="J171" s="134">
        <v>155379678.5838792</v>
      </c>
      <c r="K171" s="120">
        <f t="shared" si="50"/>
        <v>705.51444170743753</v>
      </c>
      <c r="L171" s="122">
        <f t="shared" si="38"/>
        <v>297730663.34000003</v>
      </c>
      <c r="M171" s="116">
        <f t="shared" si="39"/>
        <v>142350984.75612083</v>
      </c>
      <c r="N171" s="123">
        <f t="shared" si="40"/>
        <v>646.35656639296406</v>
      </c>
      <c r="O171" s="5"/>
      <c r="P171" s="5">
        <f t="shared" si="41"/>
        <v>1</v>
      </c>
      <c r="Q171" s="7">
        <f t="shared" si="42"/>
        <v>220236</v>
      </c>
      <c r="W171" s="124">
        <f t="shared" si="43"/>
        <v>155379678.5838792</v>
      </c>
      <c r="X171">
        <f t="shared" si="44"/>
        <v>0</v>
      </c>
    </row>
    <row r="172" spans="1:24">
      <c r="A172" s="24" t="s">
        <v>598</v>
      </c>
      <c r="B172" s="37" t="s">
        <v>198</v>
      </c>
      <c r="C172" s="97">
        <v>37993</v>
      </c>
      <c r="D172" s="147">
        <v>14664894580</v>
      </c>
      <c r="E172" s="116">
        <f t="shared" si="48"/>
        <v>385989.38172821311</v>
      </c>
      <c r="F172" s="134">
        <v>9580656300</v>
      </c>
      <c r="G172" s="117">
        <f t="shared" si="49"/>
        <v>252168.98639223014</v>
      </c>
      <c r="H172" s="98"/>
      <c r="I172" s="136">
        <v>0.73</v>
      </c>
      <c r="J172" s="134">
        <v>6993879.0990000004</v>
      </c>
      <c r="K172" s="120">
        <f t="shared" si="50"/>
        <v>184.08336006632803</v>
      </c>
      <c r="L172" s="122">
        <f t="shared" si="38"/>
        <v>95806563</v>
      </c>
      <c r="M172" s="116">
        <f t="shared" si="39"/>
        <v>88812683.900999993</v>
      </c>
      <c r="N172" s="123">
        <f t="shared" si="40"/>
        <v>2337.6065038559732</v>
      </c>
      <c r="O172" s="5"/>
      <c r="P172" s="5">
        <f>IF(I172&gt;0,1,0)</f>
        <v>1</v>
      </c>
      <c r="Q172" s="7">
        <f>IF(I172&gt;0,C172,0)</f>
        <v>37993</v>
      </c>
      <c r="W172" s="124">
        <f t="shared" si="43"/>
        <v>6993879.0989999995</v>
      </c>
      <c r="X172">
        <f t="shared" si="44"/>
        <v>0</v>
      </c>
    </row>
    <row r="173" spans="1:24">
      <c r="A173" s="23" t="s">
        <v>199</v>
      </c>
      <c r="B173" s="35" t="s">
        <v>198</v>
      </c>
      <c r="C173" s="97">
        <v>100780</v>
      </c>
      <c r="D173" s="132">
        <v>20596933382</v>
      </c>
      <c r="E173" s="116">
        <f t="shared" si="48"/>
        <v>204375.20720381028</v>
      </c>
      <c r="F173" s="134">
        <v>12972182804</v>
      </c>
      <c r="G173" s="117">
        <f t="shared" si="49"/>
        <v>128717.82897400278</v>
      </c>
      <c r="H173" s="7"/>
      <c r="I173" s="136">
        <v>6.5255000000000001</v>
      </c>
      <c r="J173" s="134">
        <v>84649978.887502</v>
      </c>
      <c r="K173" s="120">
        <f t="shared" si="50"/>
        <v>839.94819296985509</v>
      </c>
      <c r="L173" s="122">
        <f t="shared" si="38"/>
        <v>129721828.04000001</v>
      </c>
      <c r="M173" s="116">
        <f t="shared" si="39"/>
        <v>45071849.152498007</v>
      </c>
      <c r="N173" s="123">
        <f t="shared" si="40"/>
        <v>447.23009677017274</v>
      </c>
      <c r="O173" s="5"/>
      <c r="P173" s="5">
        <f t="shared" si="41"/>
        <v>1</v>
      </c>
      <c r="Q173" s="7">
        <f t="shared" si="42"/>
        <v>100780</v>
      </c>
      <c r="W173" s="124">
        <f t="shared" si="43"/>
        <v>84649978.887502</v>
      </c>
      <c r="X173">
        <f t="shared" si="44"/>
        <v>0</v>
      </c>
    </row>
    <row r="174" spans="1:24">
      <c r="A174" s="23" t="s">
        <v>200</v>
      </c>
      <c r="B174" s="35" t="s">
        <v>198</v>
      </c>
      <c r="C174" s="97">
        <v>3665</v>
      </c>
      <c r="D174" s="132">
        <v>5905405933</v>
      </c>
      <c r="E174" s="116">
        <f t="shared" si="48"/>
        <v>1611297.6624829469</v>
      </c>
      <c r="F174" s="134">
        <v>4170953389</v>
      </c>
      <c r="G174" s="117">
        <f t="shared" si="49"/>
        <v>1138050.0379263302</v>
      </c>
      <c r="H174" s="7"/>
      <c r="I174" s="136">
        <v>0.99</v>
      </c>
      <c r="J174" s="134">
        <v>4129243.8551100004</v>
      </c>
      <c r="K174" s="120">
        <f t="shared" si="50"/>
        <v>1126.669537547067</v>
      </c>
      <c r="L174" s="122">
        <f t="shared" si="38"/>
        <v>41709533.890000001</v>
      </c>
      <c r="M174" s="116">
        <f t="shared" si="39"/>
        <v>37580290.034890004</v>
      </c>
      <c r="N174" s="123">
        <f t="shared" si="40"/>
        <v>10253.830841716235</v>
      </c>
      <c r="O174" s="5"/>
      <c r="P174" s="5">
        <f t="shared" si="41"/>
        <v>1</v>
      </c>
      <c r="Q174" s="7">
        <f t="shared" si="42"/>
        <v>3665</v>
      </c>
      <c r="W174" s="124">
        <f t="shared" si="43"/>
        <v>4129243.8551099999</v>
      </c>
      <c r="X174">
        <f t="shared" si="44"/>
        <v>0</v>
      </c>
    </row>
    <row r="175" spans="1:24">
      <c r="A175" s="23" t="s">
        <v>201</v>
      </c>
      <c r="B175" s="35" t="s">
        <v>198</v>
      </c>
      <c r="C175" s="97">
        <v>5971</v>
      </c>
      <c r="D175" s="132">
        <v>6066656725</v>
      </c>
      <c r="E175" s="116">
        <f t="shared" si="48"/>
        <v>1016020.2185563557</v>
      </c>
      <c r="F175" s="134">
        <v>4688433315</v>
      </c>
      <c r="G175" s="117">
        <f t="shared" si="49"/>
        <v>785200.68916429405</v>
      </c>
      <c r="H175" s="98"/>
      <c r="I175" s="136">
        <v>2.5</v>
      </c>
      <c r="J175" s="134">
        <v>11721083.2875</v>
      </c>
      <c r="K175" s="120">
        <f t="shared" si="50"/>
        <v>1963.0017229107352</v>
      </c>
      <c r="L175" s="122">
        <f t="shared" si="38"/>
        <v>46884333.149999999</v>
      </c>
      <c r="M175" s="116">
        <f t="shared" si="39"/>
        <v>35163249.862499997</v>
      </c>
      <c r="N175" s="123">
        <f t="shared" si="40"/>
        <v>5889.0051687322048</v>
      </c>
      <c r="O175" s="5"/>
      <c r="P175" s="5">
        <f t="shared" si="41"/>
        <v>1</v>
      </c>
      <c r="Q175" s="7">
        <f t="shared" si="42"/>
        <v>5971</v>
      </c>
      <c r="S175" s="184">
        <f>SUM(D170:D175)</f>
        <v>120692655848</v>
      </c>
      <c r="T175" s="184">
        <f>SUM(F170:F175)</f>
        <v>78842101404</v>
      </c>
      <c r="U175" s="184">
        <f>SUM(J170:J175)</f>
        <v>277829181.15790522</v>
      </c>
      <c r="W175" s="124">
        <f t="shared" si="43"/>
        <v>11721083.2875</v>
      </c>
      <c r="X175">
        <f t="shared" si="44"/>
        <v>0</v>
      </c>
    </row>
    <row r="176" spans="1:24">
      <c r="A176" s="23" t="s">
        <v>202</v>
      </c>
      <c r="B176" s="35" t="s">
        <v>203</v>
      </c>
      <c r="C176" s="97">
        <v>202203</v>
      </c>
      <c r="D176" s="132">
        <v>29721238732</v>
      </c>
      <c r="E176" s="116">
        <f t="shared" si="48"/>
        <v>146987.13041844088</v>
      </c>
      <c r="F176" s="134">
        <v>17059259098</v>
      </c>
      <c r="G176" s="117">
        <f t="shared" si="49"/>
        <v>84366.993061428366</v>
      </c>
      <c r="H176" s="7"/>
      <c r="I176" s="136">
        <v>4.42</v>
      </c>
      <c r="J176" s="185">
        <v>75401925.213160008</v>
      </c>
      <c r="K176" s="120">
        <f t="shared" si="50"/>
        <v>372.90210933151343</v>
      </c>
      <c r="L176" s="122">
        <f t="shared" si="38"/>
        <v>170592590.97999999</v>
      </c>
      <c r="M176" s="116">
        <f t="shared" si="39"/>
        <v>95190665.766839981</v>
      </c>
      <c r="N176" s="123">
        <f t="shared" si="40"/>
        <v>470.76782128277017</v>
      </c>
      <c r="O176" s="5"/>
      <c r="P176" s="5">
        <f t="shared" si="41"/>
        <v>1</v>
      </c>
      <c r="Q176" s="7">
        <f t="shared" si="42"/>
        <v>202203</v>
      </c>
      <c r="S176" s="124">
        <f>SUM(D176)</f>
        <v>29721238732</v>
      </c>
      <c r="T176" s="124">
        <f>SUM(F176)</f>
        <v>17059259098</v>
      </c>
      <c r="U176" s="124">
        <f>SUM(J176)</f>
        <v>75401925.213160008</v>
      </c>
      <c r="W176" s="124">
        <f t="shared" si="43"/>
        <v>75401925.213160008</v>
      </c>
      <c r="X176">
        <f t="shared" si="44"/>
        <v>0</v>
      </c>
    </row>
    <row r="177" spans="1:24">
      <c r="A177" s="23" t="s">
        <v>204</v>
      </c>
      <c r="B177" s="35" t="s">
        <v>205</v>
      </c>
      <c r="C177" s="97">
        <v>1156</v>
      </c>
      <c r="D177" s="132">
        <v>132441149</v>
      </c>
      <c r="E177" s="116">
        <f t="shared" si="48"/>
        <v>114568.46799307958</v>
      </c>
      <c r="F177" s="134">
        <v>63197800</v>
      </c>
      <c r="G177" s="117">
        <f t="shared" si="49"/>
        <v>54669.37716262976</v>
      </c>
      <c r="H177" s="7"/>
      <c r="I177" s="136">
        <v>5.5370999999999997</v>
      </c>
      <c r="J177" s="134">
        <v>349932.53837999998</v>
      </c>
      <c r="K177" s="120">
        <f t="shared" si="50"/>
        <v>302.70980828719723</v>
      </c>
      <c r="L177" s="122">
        <f t="shared" si="38"/>
        <v>631978</v>
      </c>
      <c r="M177" s="116">
        <f t="shared" si="39"/>
        <v>282045.46162000002</v>
      </c>
      <c r="N177" s="123">
        <f t="shared" si="40"/>
        <v>243.98396333910037</v>
      </c>
      <c r="O177" s="5"/>
      <c r="P177" s="5">
        <f t="shared" si="41"/>
        <v>1</v>
      </c>
      <c r="Q177" s="7">
        <f t="shared" si="42"/>
        <v>1156</v>
      </c>
      <c r="W177" s="124">
        <f t="shared" si="43"/>
        <v>349932.53837999998</v>
      </c>
      <c r="X177">
        <f t="shared" si="44"/>
        <v>0</v>
      </c>
    </row>
    <row r="178" spans="1:24">
      <c r="A178" s="23" t="s">
        <v>206</v>
      </c>
      <c r="B178" s="35" t="s">
        <v>205</v>
      </c>
      <c r="C178" s="97">
        <v>684</v>
      </c>
      <c r="D178" s="132">
        <v>321998393</v>
      </c>
      <c r="E178" s="116">
        <f t="shared" si="48"/>
        <v>470757.88450292399</v>
      </c>
      <c r="F178" s="134">
        <v>224252156</v>
      </c>
      <c r="G178" s="117">
        <f t="shared" si="49"/>
        <v>327854.02923976607</v>
      </c>
      <c r="H178" s="7"/>
      <c r="I178" s="136">
        <v>4.4935999999999998</v>
      </c>
      <c r="J178" s="134">
        <v>1007699.4882015999</v>
      </c>
      <c r="K178" s="120">
        <f t="shared" si="50"/>
        <v>1473.2448657918128</v>
      </c>
      <c r="L178" s="122">
        <f t="shared" si="38"/>
        <v>2242521.56</v>
      </c>
      <c r="M178" s="116">
        <f t="shared" si="39"/>
        <v>1234822.0717984</v>
      </c>
      <c r="N178" s="123">
        <f t="shared" si="40"/>
        <v>1805.295426605848</v>
      </c>
      <c r="O178" s="5"/>
      <c r="P178" s="5">
        <f t="shared" si="41"/>
        <v>1</v>
      </c>
      <c r="Q178" s="7">
        <f t="shared" si="42"/>
        <v>684</v>
      </c>
      <c r="W178" s="124">
        <f t="shared" si="43"/>
        <v>1007699.4882015999</v>
      </c>
      <c r="X178">
        <f t="shared" si="44"/>
        <v>0</v>
      </c>
    </row>
    <row r="179" spans="1:24">
      <c r="A179" s="23" t="s">
        <v>207</v>
      </c>
      <c r="B179" s="35" t="s">
        <v>205</v>
      </c>
      <c r="C179" s="97">
        <v>2318</v>
      </c>
      <c r="D179" s="132">
        <v>290554841</v>
      </c>
      <c r="E179" s="116">
        <f t="shared" si="48"/>
        <v>125347.21354616048</v>
      </c>
      <c r="F179" s="134">
        <v>189263603</v>
      </c>
      <c r="G179" s="117">
        <f t="shared" si="49"/>
        <v>81649.526747195865</v>
      </c>
      <c r="H179" s="7"/>
      <c r="I179" s="136">
        <v>8.5493000000000006</v>
      </c>
      <c r="J179" s="134">
        <v>1618071.3211279002</v>
      </c>
      <c r="K179" s="120">
        <f t="shared" si="50"/>
        <v>698.04629901980161</v>
      </c>
      <c r="L179" s="122">
        <f t="shared" si="38"/>
        <v>1892636.03</v>
      </c>
      <c r="M179" s="116">
        <f t="shared" si="39"/>
        <v>274564.70887209987</v>
      </c>
      <c r="N179" s="123">
        <f t="shared" si="40"/>
        <v>118.44896845215698</v>
      </c>
      <c r="O179" s="5"/>
      <c r="P179" s="5">
        <f t="shared" si="41"/>
        <v>1</v>
      </c>
      <c r="Q179" s="7">
        <f t="shared" si="42"/>
        <v>2318</v>
      </c>
      <c r="W179" s="124">
        <f t="shared" si="43"/>
        <v>1618071.3211279002</v>
      </c>
      <c r="X179">
        <f t="shared" si="44"/>
        <v>0</v>
      </c>
    </row>
    <row r="180" spans="1:24">
      <c r="A180" s="23" t="s">
        <v>208</v>
      </c>
      <c r="B180" s="35" t="s">
        <v>205</v>
      </c>
      <c r="C180" s="97">
        <v>1499</v>
      </c>
      <c r="D180" s="132">
        <v>175190236</v>
      </c>
      <c r="E180" s="116">
        <f t="shared" si="48"/>
        <v>116871.40493662441</v>
      </c>
      <c r="F180" s="134">
        <v>99355778</v>
      </c>
      <c r="G180" s="117">
        <f t="shared" si="49"/>
        <v>66281.37291527685</v>
      </c>
      <c r="H180" s="7"/>
      <c r="I180" s="136">
        <v>4.5312000000000001</v>
      </c>
      <c r="J180" s="134">
        <v>450200.9012736</v>
      </c>
      <c r="K180" s="120">
        <f t="shared" si="50"/>
        <v>300.33415695370246</v>
      </c>
      <c r="L180" s="122">
        <f t="shared" si="38"/>
        <v>993557.78</v>
      </c>
      <c r="M180" s="116">
        <f t="shared" si="39"/>
        <v>543356.87872639997</v>
      </c>
      <c r="N180" s="123">
        <f t="shared" si="40"/>
        <v>362.47957219906601</v>
      </c>
      <c r="O180" s="5"/>
      <c r="P180" s="5">
        <f t="shared" si="41"/>
        <v>1</v>
      </c>
      <c r="Q180" s="7">
        <f t="shared" si="42"/>
        <v>1499</v>
      </c>
      <c r="W180" s="124">
        <f t="shared" si="43"/>
        <v>450200.9012736</v>
      </c>
      <c r="X180">
        <f t="shared" si="44"/>
        <v>0</v>
      </c>
    </row>
    <row r="181" spans="1:24">
      <c r="A181" s="23" t="s">
        <v>209</v>
      </c>
      <c r="B181" s="35" t="s">
        <v>205</v>
      </c>
      <c r="C181" s="97">
        <v>111</v>
      </c>
      <c r="D181" s="132">
        <v>16493208</v>
      </c>
      <c r="E181" s="116">
        <f t="shared" si="48"/>
        <v>148587.45945945947</v>
      </c>
      <c r="F181" s="134">
        <v>9158469</v>
      </c>
      <c r="G181" s="117">
        <f t="shared" si="49"/>
        <v>82508.729729729734</v>
      </c>
      <c r="H181" s="7"/>
      <c r="I181" s="136">
        <v>9.7661999999999995</v>
      </c>
      <c r="J181" s="134">
        <v>450200.9012736</v>
      </c>
      <c r="K181" s="120">
        <f t="shared" si="50"/>
        <v>4055.8639754378378</v>
      </c>
      <c r="L181" s="122">
        <f t="shared" si="38"/>
        <v>91584.69</v>
      </c>
      <c r="M181" s="116">
        <f t="shared" si="39"/>
        <v>-358616.2112736</v>
      </c>
      <c r="N181" s="123">
        <f t="shared" si="40"/>
        <v>-3230.7766781405403</v>
      </c>
      <c r="O181" s="5"/>
      <c r="P181" s="5">
        <f t="shared" si="41"/>
        <v>1</v>
      </c>
      <c r="Q181" s="7">
        <f t="shared" si="42"/>
        <v>111</v>
      </c>
      <c r="W181" s="124">
        <f t="shared" si="43"/>
        <v>89443.439947799998</v>
      </c>
      <c r="X181">
        <f t="shared" si="44"/>
        <v>1</v>
      </c>
    </row>
    <row r="182" spans="1:24">
      <c r="A182" s="23" t="s">
        <v>210</v>
      </c>
      <c r="B182" s="35" t="s">
        <v>205</v>
      </c>
      <c r="C182" s="97">
        <v>3205</v>
      </c>
      <c r="D182" s="132">
        <v>318994642</v>
      </c>
      <c r="E182" s="116">
        <f t="shared" si="48"/>
        <v>99530.309516380657</v>
      </c>
      <c r="F182" s="134">
        <v>167124862</v>
      </c>
      <c r="G182" s="117">
        <f t="shared" si="49"/>
        <v>52145.042745709827</v>
      </c>
      <c r="H182" s="7"/>
      <c r="I182" s="136">
        <v>6.75</v>
      </c>
      <c r="J182" s="134">
        <v>1128092.8185000001</v>
      </c>
      <c r="K182" s="120">
        <f t="shared" si="50"/>
        <v>351.97903853354137</v>
      </c>
      <c r="L182" s="122">
        <f t="shared" si="38"/>
        <v>1671248.62</v>
      </c>
      <c r="M182" s="116">
        <f t="shared" si="39"/>
        <v>543155.80150000006</v>
      </c>
      <c r="N182" s="123">
        <f t="shared" si="40"/>
        <v>169.47138892355696</v>
      </c>
      <c r="O182" s="5"/>
      <c r="P182" s="5">
        <f t="shared" si="41"/>
        <v>1</v>
      </c>
      <c r="Q182" s="7">
        <f t="shared" si="42"/>
        <v>3205</v>
      </c>
      <c r="W182" s="124">
        <f t="shared" si="43"/>
        <v>1128092.8185000001</v>
      </c>
      <c r="X182">
        <f t="shared" si="44"/>
        <v>0</v>
      </c>
    </row>
    <row r="183" spans="1:24">
      <c r="A183" s="23" t="s">
        <v>211</v>
      </c>
      <c r="B183" s="35" t="s">
        <v>205</v>
      </c>
      <c r="C183" s="97">
        <v>575</v>
      </c>
      <c r="D183" s="132">
        <v>151745880</v>
      </c>
      <c r="E183" s="116">
        <f t="shared" si="48"/>
        <v>263905.87826086959</v>
      </c>
      <c r="F183" s="134">
        <v>92095519</v>
      </c>
      <c r="G183" s="117">
        <f t="shared" si="49"/>
        <v>160166.12</v>
      </c>
      <c r="H183" s="7"/>
      <c r="I183" s="136">
        <v>3.1193</v>
      </c>
      <c r="J183" s="134">
        <v>287273.5524167</v>
      </c>
      <c r="K183" s="120">
        <f t="shared" si="50"/>
        <v>499.60617811599997</v>
      </c>
      <c r="L183" s="122">
        <f t="shared" si="38"/>
        <v>920955.19000000006</v>
      </c>
      <c r="M183" s="116">
        <f t="shared" si="39"/>
        <v>633681.63758330001</v>
      </c>
      <c r="N183" s="123">
        <f t="shared" si="40"/>
        <v>1102.0550218840001</v>
      </c>
      <c r="O183" s="5"/>
      <c r="P183" s="5">
        <f t="shared" si="41"/>
        <v>1</v>
      </c>
      <c r="Q183" s="7">
        <f t="shared" si="42"/>
        <v>575</v>
      </c>
      <c r="S183" s="124">
        <f>SUM(D177:D183)</f>
        <v>1407418349</v>
      </c>
      <c r="T183" s="124">
        <f>SUM(F177:F183)</f>
        <v>844448187</v>
      </c>
      <c r="U183" s="124">
        <f>SUM(J177:J183)</f>
        <v>5291471.5211733999</v>
      </c>
      <c r="W183" s="124">
        <f t="shared" si="43"/>
        <v>287273.5524167</v>
      </c>
      <c r="X183">
        <f t="shared" si="44"/>
        <v>0</v>
      </c>
    </row>
    <row r="184" spans="1:24">
      <c r="A184" s="23" t="s">
        <v>212</v>
      </c>
      <c r="B184" s="35" t="s">
        <v>213</v>
      </c>
      <c r="C184" s="97">
        <v>961</v>
      </c>
      <c r="D184" s="132">
        <v>68754404</v>
      </c>
      <c r="E184" s="116">
        <f t="shared" si="48"/>
        <v>71544.645161290318</v>
      </c>
      <c r="F184" s="134">
        <v>31520527</v>
      </c>
      <c r="G184" s="117">
        <f t="shared" si="49"/>
        <v>32799.715920915711</v>
      </c>
      <c r="H184" s="7"/>
      <c r="I184" s="136">
        <v>6.5567000000000002</v>
      </c>
      <c r="J184" s="134">
        <v>206670.63938089999</v>
      </c>
      <c r="K184" s="120">
        <f t="shared" si="50"/>
        <v>215.05789737866803</v>
      </c>
      <c r="L184" s="122">
        <f t="shared" si="38"/>
        <v>315205.27</v>
      </c>
      <c r="M184" s="116">
        <f t="shared" si="39"/>
        <v>108534.63061910003</v>
      </c>
      <c r="N184" s="123">
        <f t="shared" si="40"/>
        <v>112.9392618304891</v>
      </c>
      <c r="O184" s="5"/>
      <c r="P184" s="5">
        <f t="shared" si="41"/>
        <v>1</v>
      </c>
      <c r="Q184" s="7">
        <f t="shared" si="42"/>
        <v>961</v>
      </c>
      <c r="S184" s="124">
        <f>SUM(D184)</f>
        <v>68754404</v>
      </c>
      <c r="T184" s="124">
        <f>SUM(F184)</f>
        <v>31520527</v>
      </c>
      <c r="U184" s="124">
        <f>SUM(J184)</f>
        <v>206670.63938089999</v>
      </c>
      <c r="W184" s="124">
        <f t="shared" si="43"/>
        <v>206670.63938090001</v>
      </c>
      <c r="X184">
        <f t="shared" si="44"/>
        <v>0</v>
      </c>
    </row>
    <row r="185" spans="1:24">
      <c r="A185" s="23" t="s">
        <v>214</v>
      </c>
      <c r="B185" s="35" t="s">
        <v>215</v>
      </c>
      <c r="C185" s="97">
        <v>754</v>
      </c>
      <c r="D185" s="132">
        <v>32626737</v>
      </c>
      <c r="E185" s="116">
        <f t="shared" si="48"/>
        <v>43271.534482758623</v>
      </c>
      <c r="F185" s="134">
        <v>16068434</v>
      </c>
      <c r="G185" s="117">
        <f t="shared" si="49"/>
        <v>21310.920424403183</v>
      </c>
      <c r="H185" s="7"/>
      <c r="I185" s="136">
        <v>9.0771999999999995</v>
      </c>
      <c r="J185" s="134">
        <v>145856.38910479998</v>
      </c>
      <c r="K185" s="120">
        <f t="shared" si="50"/>
        <v>193.44348687639254</v>
      </c>
      <c r="L185" s="122">
        <f t="shared" si="38"/>
        <v>160684.34</v>
      </c>
      <c r="M185" s="116">
        <f t="shared" si="39"/>
        <v>14827.950895200018</v>
      </c>
      <c r="N185" s="123">
        <f t="shared" si="40"/>
        <v>19.665717367639282</v>
      </c>
      <c r="O185" s="5"/>
      <c r="P185" s="5">
        <f t="shared" si="41"/>
        <v>1</v>
      </c>
      <c r="Q185" s="7">
        <f t="shared" si="42"/>
        <v>754</v>
      </c>
      <c r="W185" s="124">
        <f t="shared" si="43"/>
        <v>145856.38910479998</v>
      </c>
      <c r="X185">
        <f t="shared" si="44"/>
        <v>0</v>
      </c>
    </row>
    <row r="186" spans="1:24">
      <c r="A186" s="23" t="s">
        <v>198</v>
      </c>
      <c r="B186" s="35" t="s">
        <v>215</v>
      </c>
      <c r="C186" s="97">
        <v>395</v>
      </c>
      <c r="D186" s="132">
        <v>34645913</v>
      </c>
      <c r="E186" s="116">
        <f t="shared" si="48"/>
        <v>87711.172151898732</v>
      </c>
      <c r="F186" s="134">
        <v>15489369</v>
      </c>
      <c r="G186" s="117">
        <f t="shared" si="49"/>
        <v>39213.592405063289</v>
      </c>
      <c r="H186" s="7"/>
      <c r="I186" s="136">
        <v>8.5</v>
      </c>
      <c r="J186" s="134">
        <v>131659.63649999999</v>
      </c>
      <c r="K186" s="120">
        <f t="shared" si="50"/>
        <v>333.31553544303796</v>
      </c>
      <c r="L186" s="122">
        <f t="shared" si="38"/>
        <v>154893.69</v>
      </c>
      <c r="M186" s="116">
        <f t="shared" si="39"/>
        <v>23234.053500000009</v>
      </c>
      <c r="N186" s="123">
        <f t="shared" si="40"/>
        <v>58.820388607594957</v>
      </c>
      <c r="O186" s="5"/>
      <c r="P186" s="5">
        <f t="shared" si="41"/>
        <v>1</v>
      </c>
      <c r="Q186" s="7">
        <f t="shared" si="42"/>
        <v>395</v>
      </c>
      <c r="W186" s="124">
        <f t="shared" si="43"/>
        <v>131659.63650000002</v>
      </c>
      <c r="X186">
        <f t="shared" si="44"/>
        <v>0</v>
      </c>
    </row>
    <row r="187" spans="1:24">
      <c r="A187" s="23" t="s">
        <v>215</v>
      </c>
      <c r="B187" s="35" t="s">
        <v>215</v>
      </c>
      <c r="C187" s="97">
        <v>2880</v>
      </c>
      <c r="D187" s="132">
        <v>231098503</v>
      </c>
      <c r="E187" s="116">
        <f t="shared" si="48"/>
        <v>80242.535763888882</v>
      </c>
      <c r="F187" s="134">
        <v>118576026</v>
      </c>
      <c r="G187" s="117">
        <f t="shared" si="49"/>
        <v>41172.231249999997</v>
      </c>
      <c r="H187" s="7"/>
      <c r="I187" s="136">
        <v>7</v>
      </c>
      <c r="J187" s="134">
        <v>830032.18200000003</v>
      </c>
      <c r="K187" s="120">
        <f t="shared" si="50"/>
        <v>288.20561874999999</v>
      </c>
      <c r="L187" s="122">
        <f t="shared" si="38"/>
        <v>1185760.26</v>
      </c>
      <c r="M187" s="116">
        <f t="shared" si="39"/>
        <v>355728.07799999998</v>
      </c>
      <c r="N187" s="123">
        <f t="shared" si="40"/>
        <v>123.51669374999999</v>
      </c>
      <c r="O187" s="5"/>
      <c r="P187" s="5">
        <f t="shared" si="41"/>
        <v>1</v>
      </c>
      <c r="Q187" s="7">
        <f t="shared" si="42"/>
        <v>2880</v>
      </c>
      <c r="S187" s="124">
        <f>SUM(D185:D187)</f>
        <v>298371153</v>
      </c>
      <c r="T187" s="124">
        <f>SUM(F185:F187)</f>
        <v>150133829</v>
      </c>
      <c r="U187" s="124">
        <f>SUM(J185:J187)</f>
        <v>1107548.2076047999</v>
      </c>
      <c r="W187" s="124">
        <f t="shared" si="43"/>
        <v>830032.18200000003</v>
      </c>
      <c r="X187">
        <f t="shared" si="44"/>
        <v>0</v>
      </c>
    </row>
    <row r="188" spans="1:24">
      <c r="A188" s="23" t="s">
        <v>216</v>
      </c>
      <c r="B188" s="35" t="s">
        <v>217</v>
      </c>
      <c r="C188" s="97">
        <v>957</v>
      </c>
      <c r="D188" s="132">
        <v>3565710313</v>
      </c>
      <c r="E188" s="116">
        <f t="shared" si="48"/>
        <v>3725925.0919540231</v>
      </c>
      <c r="F188" s="134">
        <v>2336677707</v>
      </c>
      <c r="G188" s="117">
        <f t="shared" si="49"/>
        <v>2441669.4952978059</v>
      </c>
      <c r="H188" s="7"/>
      <c r="I188" s="136">
        <v>1.65</v>
      </c>
      <c r="J188" s="134">
        <v>3855518.2165499995</v>
      </c>
      <c r="K188" s="120">
        <f t="shared" si="50"/>
        <v>4028.7546672413787</v>
      </c>
      <c r="L188" s="122">
        <f t="shared" si="38"/>
        <v>23366777.07</v>
      </c>
      <c r="M188" s="116">
        <f t="shared" si="39"/>
        <v>19511258.85345</v>
      </c>
      <c r="N188" s="123">
        <f t="shared" si="40"/>
        <v>20387.940285736677</v>
      </c>
      <c r="O188" s="5"/>
      <c r="P188" s="5">
        <f t="shared" si="41"/>
        <v>1</v>
      </c>
      <c r="Q188" s="7">
        <f t="shared" si="42"/>
        <v>957</v>
      </c>
      <c r="W188" s="124">
        <f t="shared" si="43"/>
        <v>3855518.21655</v>
      </c>
      <c r="X188">
        <f t="shared" si="44"/>
        <v>0</v>
      </c>
    </row>
    <row r="189" spans="1:24">
      <c r="A189" s="23" t="s">
        <v>218</v>
      </c>
      <c r="B189" s="35" t="s">
        <v>217</v>
      </c>
      <c r="C189" s="97">
        <v>57474</v>
      </c>
      <c r="D189" s="132">
        <v>9892854886</v>
      </c>
      <c r="E189" s="116">
        <f t="shared" si="48"/>
        <v>172127.48174826879</v>
      </c>
      <c r="F189" s="134">
        <v>6428127480</v>
      </c>
      <c r="G189" s="117">
        <f t="shared" si="49"/>
        <v>111844.09437310784</v>
      </c>
      <c r="H189" s="7"/>
      <c r="I189" s="136">
        <v>5.7100999999999997</v>
      </c>
      <c r="J189" s="134">
        <v>36705250.723547995</v>
      </c>
      <c r="K189" s="120">
        <f t="shared" si="50"/>
        <v>638.64096327988295</v>
      </c>
      <c r="L189" s="122">
        <f t="shared" si="38"/>
        <v>64281274.800000004</v>
      </c>
      <c r="M189" s="116">
        <f t="shared" si="39"/>
        <v>27576024.076452009</v>
      </c>
      <c r="N189" s="123">
        <f t="shared" si="40"/>
        <v>479.79998045119549</v>
      </c>
      <c r="O189" s="5"/>
      <c r="P189" s="5">
        <f t="shared" si="41"/>
        <v>1</v>
      </c>
      <c r="Q189" s="7">
        <f t="shared" si="42"/>
        <v>57474</v>
      </c>
      <c r="W189" s="124">
        <f t="shared" si="43"/>
        <v>36705250.723548003</v>
      </c>
      <c r="X189">
        <f t="shared" si="44"/>
        <v>0</v>
      </c>
    </row>
    <row r="190" spans="1:24">
      <c r="A190" s="23" t="s">
        <v>219</v>
      </c>
      <c r="B190" s="35" t="s">
        <v>217</v>
      </c>
      <c r="C190" s="97">
        <v>902</v>
      </c>
      <c r="D190" s="132">
        <v>1500595735</v>
      </c>
      <c r="E190" s="116">
        <f t="shared" si="48"/>
        <v>1663631.6352549889</v>
      </c>
      <c r="F190" s="134">
        <v>1088287681</v>
      </c>
      <c r="G190" s="117">
        <f t="shared" si="49"/>
        <v>1206527.3625277162</v>
      </c>
      <c r="H190" s="7"/>
      <c r="I190" s="136">
        <v>2.3329</v>
      </c>
      <c r="J190" s="134">
        <v>2538866.3310048999</v>
      </c>
      <c r="K190" s="120">
        <f t="shared" si="50"/>
        <v>2814.707684040909</v>
      </c>
      <c r="L190" s="122">
        <f t="shared" si="38"/>
        <v>10882876.810000001</v>
      </c>
      <c r="M190" s="116">
        <f t="shared" si="39"/>
        <v>8344010.4789951006</v>
      </c>
      <c r="N190" s="123">
        <f t="shared" si="40"/>
        <v>9250.5659412362529</v>
      </c>
      <c r="O190" s="5"/>
      <c r="P190" s="5">
        <f t="shared" si="41"/>
        <v>1</v>
      </c>
      <c r="Q190" s="7">
        <f t="shared" si="42"/>
        <v>902</v>
      </c>
      <c r="W190" s="124">
        <f t="shared" si="43"/>
        <v>2538866.3310049004</v>
      </c>
      <c r="X190">
        <f t="shared" si="44"/>
        <v>0</v>
      </c>
    </row>
    <row r="191" spans="1:24">
      <c r="A191" s="23" t="s">
        <v>220</v>
      </c>
      <c r="B191" s="35" t="s">
        <v>217</v>
      </c>
      <c r="C191" s="97">
        <v>3018</v>
      </c>
      <c r="D191" s="132">
        <v>5089492620</v>
      </c>
      <c r="E191" s="116">
        <f t="shared" si="48"/>
        <v>1686379.2644135188</v>
      </c>
      <c r="F191" s="134">
        <v>3544500323</v>
      </c>
      <c r="G191" s="117">
        <f t="shared" si="49"/>
        <v>1174453.3873426111</v>
      </c>
      <c r="H191" s="7"/>
      <c r="I191" s="136">
        <v>1.99</v>
      </c>
      <c r="J191" s="134">
        <v>7053555.6427699998</v>
      </c>
      <c r="K191" s="120">
        <f t="shared" si="50"/>
        <v>2337.162240811796</v>
      </c>
      <c r="L191" s="122">
        <f t="shared" si="38"/>
        <v>35445003.230000004</v>
      </c>
      <c r="M191" s="116">
        <f t="shared" si="39"/>
        <v>28391447.587230004</v>
      </c>
      <c r="N191" s="123">
        <f t="shared" si="40"/>
        <v>9407.3716326143149</v>
      </c>
      <c r="O191" s="5"/>
      <c r="P191" s="5">
        <f t="shared" si="41"/>
        <v>1</v>
      </c>
      <c r="Q191" s="7">
        <f t="shared" si="42"/>
        <v>3018</v>
      </c>
      <c r="W191" s="124">
        <f t="shared" si="43"/>
        <v>7053555.6427699998</v>
      </c>
      <c r="X191">
        <f t="shared" si="44"/>
        <v>0</v>
      </c>
    </row>
    <row r="192" spans="1:24">
      <c r="A192" s="23" t="s">
        <v>221</v>
      </c>
      <c r="B192" s="35" t="s">
        <v>217</v>
      </c>
      <c r="C192" s="97">
        <v>13948</v>
      </c>
      <c r="D192" s="132">
        <v>2510353439</v>
      </c>
      <c r="E192" s="116">
        <f t="shared" si="48"/>
        <v>179979.45504731862</v>
      </c>
      <c r="F192" s="134">
        <v>1498720159</v>
      </c>
      <c r="G192" s="117">
        <f t="shared" si="49"/>
        <v>107450.54194149699</v>
      </c>
      <c r="H192" s="7"/>
      <c r="I192" s="136">
        <v>5.9671000000000003</v>
      </c>
      <c r="J192" s="134">
        <v>8943013.0607689004</v>
      </c>
      <c r="K192" s="120">
        <f t="shared" si="50"/>
        <v>641.16812881910676</v>
      </c>
      <c r="L192" s="122">
        <f t="shared" si="38"/>
        <v>14987201.59</v>
      </c>
      <c r="M192" s="116">
        <f t="shared" si="39"/>
        <v>6044188.5292310994</v>
      </c>
      <c r="N192" s="123">
        <f t="shared" si="40"/>
        <v>433.33729059586318</v>
      </c>
      <c r="O192" s="5"/>
      <c r="P192" s="5">
        <f t="shared" si="41"/>
        <v>1</v>
      </c>
      <c r="Q192" s="7">
        <f t="shared" si="42"/>
        <v>13948</v>
      </c>
      <c r="W192" s="124">
        <f t="shared" si="43"/>
        <v>8943013.0607689004</v>
      </c>
      <c r="X192">
        <f t="shared" si="44"/>
        <v>0</v>
      </c>
    </row>
    <row r="193" spans="1:24">
      <c r="A193" s="23" t="s">
        <v>478</v>
      </c>
      <c r="B193" s="35" t="s">
        <v>222</v>
      </c>
      <c r="C193" s="97">
        <v>7532</v>
      </c>
      <c r="D193" s="132">
        <f>(4188447250+8319795522)</f>
        <v>12508242772</v>
      </c>
      <c r="E193" s="116">
        <f t="shared" si="48"/>
        <v>1660680.1343600638</v>
      </c>
      <c r="F193" s="134">
        <f>(2953674471+6229783879)</f>
        <v>9183458350</v>
      </c>
      <c r="G193" s="117">
        <f t="shared" si="49"/>
        <v>1219258.9418481146</v>
      </c>
      <c r="H193" s="7"/>
      <c r="I193" s="136">
        <v>1.96</v>
      </c>
      <c r="J193" s="134">
        <f>+(5789201.96316+12210376)</f>
        <v>17999577.963160001</v>
      </c>
      <c r="K193" s="120">
        <f t="shared" si="50"/>
        <v>2389.7474725385023</v>
      </c>
      <c r="L193" s="122">
        <f t="shared" si="38"/>
        <v>91834583.5</v>
      </c>
      <c r="M193" s="116">
        <f t="shared" si="39"/>
        <v>73835005.536839992</v>
      </c>
      <c r="N193" s="123">
        <f t="shared" si="40"/>
        <v>9802.8419459426441</v>
      </c>
      <c r="O193" s="5"/>
      <c r="P193" s="5">
        <f t="shared" si="41"/>
        <v>1</v>
      </c>
      <c r="Q193" s="7">
        <f t="shared" si="42"/>
        <v>7532</v>
      </c>
      <c r="S193" s="124">
        <f>SUM(D188:D193)</f>
        <v>35067249765</v>
      </c>
      <c r="T193" s="124">
        <f>SUM(F188:F193)</f>
        <v>24079771700</v>
      </c>
      <c r="U193" s="124">
        <f>SUM(J188:J193)</f>
        <v>77095781.937801808</v>
      </c>
      <c r="W193" s="124">
        <f t="shared" si="43"/>
        <v>17999578.366</v>
      </c>
      <c r="X193">
        <f t="shared" si="44"/>
        <v>1</v>
      </c>
    </row>
    <row r="194" spans="1:24">
      <c r="A194" s="23" t="s">
        <v>223</v>
      </c>
      <c r="B194" s="35" t="s">
        <v>224</v>
      </c>
      <c r="C194" s="97">
        <v>5941</v>
      </c>
      <c r="D194" s="132">
        <v>653788838</v>
      </c>
      <c r="E194" s="116">
        <f t="shared" si="48"/>
        <v>110046.93452280761</v>
      </c>
      <c r="F194" s="134">
        <v>411552525</v>
      </c>
      <c r="G194" s="117">
        <f t="shared" si="49"/>
        <v>69273.274701228744</v>
      </c>
      <c r="H194" s="7"/>
      <c r="I194" s="136">
        <v>5</v>
      </c>
      <c r="J194" s="134">
        <v>2057762.625</v>
      </c>
      <c r="K194" s="120">
        <f t="shared" si="50"/>
        <v>346.36637350614376</v>
      </c>
      <c r="L194" s="122">
        <f t="shared" si="38"/>
        <v>4115525.25</v>
      </c>
      <c r="M194" s="116">
        <f t="shared" si="39"/>
        <v>2057762.625</v>
      </c>
      <c r="N194" s="123">
        <f t="shared" si="40"/>
        <v>346.36637350614376</v>
      </c>
      <c r="O194" s="5"/>
      <c r="P194" s="5">
        <f t="shared" si="41"/>
        <v>1</v>
      </c>
      <c r="Q194" s="7">
        <f t="shared" si="42"/>
        <v>5941</v>
      </c>
      <c r="W194" s="124">
        <f t="shared" si="43"/>
        <v>2057762.625</v>
      </c>
      <c r="X194">
        <f t="shared" si="44"/>
        <v>0</v>
      </c>
    </row>
    <row r="195" spans="1:24">
      <c r="A195" s="23" t="s">
        <v>225</v>
      </c>
      <c r="B195" s="35" t="s">
        <v>224</v>
      </c>
      <c r="C195" s="97">
        <v>2015</v>
      </c>
      <c r="D195" s="132">
        <v>419078315</v>
      </c>
      <c r="E195" s="116">
        <f t="shared" si="48"/>
        <v>207979.31265508686</v>
      </c>
      <c r="F195" s="134">
        <v>263684495</v>
      </c>
      <c r="G195" s="117">
        <f t="shared" si="49"/>
        <v>130860.79156327543</v>
      </c>
      <c r="H195" s="7"/>
      <c r="I195" s="136">
        <v>5.3556999999999997</v>
      </c>
      <c r="J195" s="134">
        <v>1412215.0498715001</v>
      </c>
      <c r="K195" s="120">
        <f t="shared" si="50"/>
        <v>700.85114137543428</v>
      </c>
      <c r="L195" s="122">
        <f t="shared" si="38"/>
        <v>2636844.9500000002</v>
      </c>
      <c r="M195" s="116">
        <f t="shared" si="39"/>
        <v>1224629.9001285001</v>
      </c>
      <c r="N195" s="123">
        <f t="shared" si="40"/>
        <v>607.7567742573201</v>
      </c>
      <c r="O195" s="5"/>
      <c r="P195" s="5">
        <f t="shared" si="41"/>
        <v>1</v>
      </c>
      <c r="Q195" s="7">
        <f t="shared" si="42"/>
        <v>2015</v>
      </c>
      <c r="W195" s="124">
        <f t="shared" si="43"/>
        <v>1412215.0498714999</v>
      </c>
      <c r="X195">
        <f t="shared" si="44"/>
        <v>0</v>
      </c>
    </row>
    <row r="196" spans="1:24">
      <c r="A196" s="23" t="s">
        <v>226</v>
      </c>
      <c r="B196" s="35" t="s">
        <v>224</v>
      </c>
      <c r="C196" s="97">
        <v>470</v>
      </c>
      <c r="D196" s="132">
        <v>56244085</v>
      </c>
      <c r="E196" s="116">
        <f t="shared" si="48"/>
        <v>119668.26595744681</v>
      </c>
      <c r="F196" s="134">
        <v>30542853</v>
      </c>
      <c r="G196" s="117">
        <f t="shared" si="49"/>
        <v>64984.793617021278</v>
      </c>
      <c r="H196" s="7"/>
      <c r="I196" s="136">
        <v>1.9908999999999999</v>
      </c>
      <c r="J196" s="134">
        <v>60807.766037699999</v>
      </c>
      <c r="K196" s="120">
        <f t="shared" si="50"/>
        <v>129.37822561212766</v>
      </c>
      <c r="L196" s="122">
        <f t="shared" si="38"/>
        <v>305428.53000000003</v>
      </c>
      <c r="M196" s="116">
        <f t="shared" si="39"/>
        <v>244620.76396230003</v>
      </c>
      <c r="N196" s="123">
        <f t="shared" si="40"/>
        <v>520.46971055808513</v>
      </c>
      <c r="O196" s="5"/>
      <c r="P196" s="5">
        <f t="shared" si="41"/>
        <v>1</v>
      </c>
      <c r="Q196" s="7">
        <f t="shared" si="42"/>
        <v>470</v>
      </c>
      <c r="W196" s="124">
        <f t="shared" si="43"/>
        <v>60807.766037699999</v>
      </c>
      <c r="X196">
        <f t="shared" si="44"/>
        <v>0</v>
      </c>
    </row>
    <row r="197" spans="1:24">
      <c r="A197" s="23" t="s">
        <v>227</v>
      </c>
      <c r="B197" s="35" t="s">
        <v>224</v>
      </c>
      <c r="C197" s="97">
        <v>69556</v>
      </c>
      <c r="D197" s="132">
        <v>11395064990</v>
      </c>
      <c r="E197" s="116">
        <f t="shared" si="48"/>
        <v>163825.76614526424</v>
      </c>
      <c r="F197" s="134">
        <v>7777876610</v>
      </c>
      <c r="G197" s="117">
        <f t="shared" si="49"/>
        <v>111821.79265627696</v>
      </c>
      <c r="H197" s="9"/>
      <c r="I197" s="136">
        <v>6.6177000000000001</v>
      </c>
      <c r="J197" s="134">
        <v>51471654.041997001</v>
      </c>
      <c r="K197" s="120">
        <f t="shared" si="50"/>
        <v>740.00307726144399</v>
      </c>
      <c r="L197" s="122">
        <f t="shared" si="38"/>
        <v>77778766.100000009</v>
      </c>
      <c r="M197" s="116">
        <f t="shared" si="39"/>
        <v>26307112.058003008</v>
      </c>
      <c r="N197" s="123">
        <f t="shared" si="40"/>
        <v>378.21484930132567</v>
      </c>
      <c r="O197" s="5"/>
      <c r="P197" s="5">
        <f t="shared" si="41"/>
        <v>1</v>
      </c>
      <c r="Q197" s="7">
        <f t="shared" si="42"/>
        <v>69556</v>
      </c>
      <c r="W197" s="124">
        <f t="shared" si="43"/>
        <v>51471654.041997001</v>
      </c>
      <c r="X197">
        <f t="shared" si="44"/>
        <v>0</v>
      </c>
    </row>
    <row r="198" spans="1:24">
      <c r="A198" s="23" t="s">
        <v>228</v>
      </c>
      <c r="B198" s="35" t="s">
        <v>224</v>
      </c>
      <c r="C198" s="97">
        <v>465</v>
      </c>
      <c r="D198" s="147" t="s">
        <v>564</v>
      </c>
      <c r="E198" s="116"/>
      <c r="F198" s="134"/>
      <c r="G198" s="117"/>
      <c r="H198" s="98" t="s">
        <v>588</v>
      </c>
      <c r="I198" s="136"/>
      <c r="J198" s="134"/>
      <c r="K198" s="120"/>
      <c r="L198" s="122">
        <f t="shared" ref="L198:L261" si="51">(F198*0.01)</f>
        <v>0</v>
      </c>
      <c r="M198" s="116">
        <f t="shared" ref="M198:M261" si="52">(L198-J198)</f>
        <v>0</v>
      </c>
      <c r="N198" s="123">
        <f t="shared" ref="N198:N261" si="53">(M198/C198)</f>
        <v>0</v>
      </c>
      <c r="O198" s="5"/>
      <c r="P198" s="5">
        <f t="shared" si="41"/>
        <v>0</v>
      </c>
      <c r="Q198" s="7">
        <f t="shared" si="42"/>
        <v>0</v>
      </c>
      <c r="S198" s="124">
        <f>SUM(D194:D198)</f>
        <v>12524176228</v>
      </c>
      <c r="T198" s="124">
        <f>SUM(F194:F198)</f>
        <v>8483656483</v>
      </c>
      <c r="U198" s="124">
        <f>SUM(J194:J198)</f>
        <v>55002439.4829062</v>
      </c>
      <c r="W198" s="124">
        <f t="shared" si="43"/>
        <v>0</v>
      </c>
      <c r="X198">
        <f t="shared" si="44"/>
        <v>0</v>
      </c>
    </row>
    <row r="199" spans="1:24">
      <c r="A199" s="23" t="s">
        <v>616</v>
      </c>
      <c r="B199" s="35" t="s">
        <v>230</v>
      </c>
      <c r="C199" s="97">
        <v>6700</v>
      </c>
      <c r="D199" s="132">
        <v>2876669523</v>
      </c>
      <c r="E199" s="116">
        <f t="shared" ref="E199:E262" si="54">(D199/C199)</f>
        <v>429353.66014925373</v>
      </c>
      <c r="F199" s="134">
        <v>2473949709</v>
      </c>
      <c r="G199" s="117">
        <f t="shared" ref="G199:G262" si="55">(F199/C199)</f>
        <v>369246.22522388061</v>
      </c>
      <c r="H199" s="9"/>
      <c r="I199" s="136">
        <v>1.825</v>
      </c>
      <c r="J199" s="134">
        <v>4514958.2189250002</v>
      </c>
      <c r="K199" s="120">
        <f t="shared" ref="K199:K262" si="56">(J199/C199)</f>
        <v>673.87436103358209</v>
      </c>
      <c r="L199" s="122">
        <f t="shared" si="51"/>
        <v>24739497.09</v>
      </c>
      <c r="M199" s="116">
        <f t="shared" si="52"/>
        <v>20224538.871075001</v>
      </c>
      <c r="N199" s="123">
        <f t="shared" si="53"/>
        <v>3018.587891205224</v>
      </c>
      <c r="O199" s="5"/>
      <c r="P199" s="5">
        <f t="shared" ref="P199:P262" si="57">IF(I199&gt;0,1,0)</f>
        <v>1</v>
      </c>
      <c r="Q199" s="7">
        <f t="shared" ref="Q199:Q262" si="58">IF(I199&gt;0,C199,0)</f>
        <v>6700</v>
      </c>
      <c r="W199" s="124">
        <f t="shared" ref="W199:W261" si="59">F199*(I199/1000)</f>
        <v>4514958.2189250002</v>
      </c>
      <c r="X199">
        <f t="shared" ref="X199:X262" si="60">IF(W199=J199,0,1)</f>
        <v>0</v>
      </c>
    </row>
    <row r="200" spans="1:24">
      <c r="A200" s="24" t="s">
        <v>229</v>
      </c>
      <c r="B200" s="35" t="s">
        <v>230</v>
      </c>
      <c r="C200" s="97">
        <v>814</v>
      </c>
      <c r="D200" s="132">
        <v>5473138880</v>
      </c>
      <c r="E200" s="116">
        <f t="shared" si="54"/>
        <v>6723757.8378378376</v>
      </c>
      <c r="F200" s="134">
        <v>3666453717</v>
      </c>
      <c r="G200" s="117">
        <f t="shared" si="55"/>
        <v>4504242.8955773953</v>
      </c>
      <c r="H200" s="9"/>
      <c r="I200" s="150">
        <v>2.8086000000000002</v>
      </c>
      <c r="J200" s="134">
        <v>10297601.909566199</v>
      </c>
      <c r="K200" s="120">
        <f t="shared" si="56"/>
        <v>12650.616596518672</v>
      </c>
      <c r="L200" s="122">
        <f t="shared" si="51"/>
        <v>36664537.170000002</v>
      </c>
      <c r="M200" s="116">
        <f t="shared" si="52"/>
        <v>26366935.260433801</v>
      </c>
      <c r="N200" s="123">
        <f t="shared" si="53"/>
        <v>32391.812359255284</v>
      </c>
      <c r="O200" s="5"/>
      <c r="P200" s="5">
        <f t="shared" si="57"/>
        <v>1</v>
      </c>
      <c r="Q200" s="7">
        <f t="shared" si="58"/>
        <v>814</v>
      </c>
      <c r="W200" s="124">
        <f t="shared" si="59"/>
        <v>10297601.909566199</v>
      </c>
      <c r="X200">
        <f t="shared" si="60"/>
        <v>0</v>
      </c>
    </row>
    <row r="201" spans="1:24">
      <c r="A201" s="23" t="s">
        <v>582</v>
      </c>
      <c r="B201" s="35" t="s">
        <v>230</v>
      </c>
      <c r="C201" s="97">
        <v>608</v>
      </c>
      <c r="D201" s="132">
        <v>114029925</v>
      </c>
      <c r="E201" s="116">
        <f t="shared" si="54"/>
        <v>187549.21875</v>
      </c>
      <c r="F201" s="134">
        <v>90674630</v>
      </c>
      <c r="G201" s="117">
        <f t="shared" si="55"/>
        <v>149135.90460526315</v>
      </c>
      <c r="H201" s="9"/>
      <c r="I201" s="136">
        <v>0.8</v>
      </c>
      <c r="J201" s="134">
        <v>72539.703999999998</v>
      </c>
      <c r="K201" s="120">
        <f t="shared" si="56"/>
        <v>119.30872368421052</v>
      </c>
      <c r="L201" s="122">
        <f t="shared" si="51"/>
        <v>906746.3</v>
      </c>
      <c r="M201" s="116">
        <f t="shared" si="52"/>
        <v>834206.59600000002</v>
      </c>
      <c r="N201" s="123">
        <f t="shared" si="53"/>
        <v>1372.0503223684211</v>
      </c>
      <c r="O201" s="5"/>
      <c r="P201" s="5">
        <f t="shared" si="57"/>
        <v>1</v>
      </c>
      <c r="Q201" s="7">
        <f t="shared" si="58"/>
        <v>608</v>
      </c>
      <c r="W201" s="124">
        <f t="shared" si="59"/>
        <v>72539.703999999998</v>
      </c>
      <c r="X201">
        <f t="shared" si="60"/>
        <v>0</v>
      </c>
    </row>
    <row r="202" spans="1:24">
      <c r="A202" s="24" t="s">
        <v>446</v>
      </c>
      <c r="B202" s="37" t="s">
        <v>230</v>
      </c>
      <c r="C202" s="97">
        <v>2057</v>
      </c>
      <c r="D202" s="132">
        <v>1498397698</v>
      </c>
      <c r="E202" s="116">
        <f t="shared" si="54"/>
        <v>728438.35585804575</v>
      </c>
      <c r="F202" s="134">
        <v>1011349550</v>
      </c>
      <c r="G202" s="117">
        <f t="shared" si="55"/>
        <v>491662.3966942149</v>
      </c>
      <c r="H202" s="9"/>
      <c r="I202" s="136">
        <v>3.27</v>
      </c>
      <c r="J202" s="134">
        <v>3307113.0285</v>
      </c>
      <c r="K202" s="120">
        <f t="shared" si="56"/>
        <v>1607.7360371900827</v>
      </c>
      <c r="L202" s="122">
        <f t="shared" si="51"/>
        <v>10113495.5</v>
      </c>
      <c r="M202" s="116">
        <f t="shared" si="52"/>
        <v>6806382.4715</v>
      </c>
      <c r="N202" s="123">
        <f t="shared" si="53"/>
        <v>3308.8879297520662</v>
      </c>
      <c r="O202" s="5"/>
      <c r="P202" s="5">
        <f t="shared" si="57"/>
        <v>1</v>
      </c>
      <c r="Q202" s="7">
        <f t="shared" si="58"/>
        <v>2057</v>
      </c>
      <c r="S202" s="124"/>
      <c r="T202" s="124"/>
      <c r="U202" s="124"/>
      <c r="W202" s="124">
        <f t="shared" si="59"/>
        <v>3307113.0285</v>
      </c>
      <c r="X202">
        <f t="shared" si="60"/>
        <v>0</v>
      </c>
    </row>
    <row r="203" spans="1:24">
      <c r="A203" s="23" t="s">
        <v>231</v>
      </c>
      <c r="B203" s="37" t="s">
        <v>230</v>
      </c>
      <c r="C203" s="97">
        <v>20191</v>
      </c>
      <c r="D203" s="132">
        <v>5348591627</v>
      </c>
      <c r="E203" s="116">
        <f t="shared" si="54"/>
        <v>264899.78837105643</v>
      </c>
      <c r="F203" s="134">
        <v>3589633470</v>
      </c>
      <c r="G203" s="117">
        <f t="shared" si="55"/>
        <v>177783.83784854639</v>
      </c>
      <c r="H203" s="9"/>
      <c r="I203" s="150">
        <v>5</v>
      </c>
      <c r="J203" s="134">
        <v>17948167.350000001</v>
      </c>
      <c r="K203" s="120">
        <f t="shared" si="56"/>
        <v>888.91918924273193</v>
      </c>
      <c r="L203" s="122">
        <f t="shared" si="51"/>
        <v>35896334.700000003</v>
      </c>
      <c r="M203" s="116">
        <f t="shared" si="52"/>
        <v>17948167.350000001</v>
      </c>
      <c r="N203" s="123">
        <f t="shared" si="53"/>
        <v>888.91918924273193</v>
      </c>
      <c r="O203" s="5"/>
      <c r="P203" s="5">
        <f t="shared" si="57"/>
        <v>1</v>
      </c>
      <c r="Q203" s="7">
        <f t="shared" si="58"/>
        <v>20191</v>
      </c>
      <c r="S203" s="124">
        <f>SUM(D199:D203)</f>
        <v>15310827653</v>
      </c>
      <c r="T203" s="124">
        <f>SUM(F199:F203)</f>
        <v>10832061076</v>
      </c>
      <c r="U203" s="124">
        <f>SUM(J199:J203)</f>
        <v>36140380.210991204</v>
      </c>
      <c r="W203" s="124">
        <f t="shared" si="59"/>
        <v>17948167.350000001</v>
      </c>
      <c r="X203">
        <f t="shared" si="60"/>
        <v>0</v>
      </c>
    </row>
    <row r="204" spans="1:24">
      <c r="A204" s="23" t="s">
        <v>232</v>
      </c>
      <c r="B204" s="37" t="s">
        <v>233</v>
      </c>
      <c r="C204" s="97">
        <v>40104</v>
      </c>
      <c r="D204" s="132">
        <v>17847356778</v>
      </c>
      <c r="E204" s="116">
        <f t="shared" si="54"/>
        <v>445026.84964093356</v>
      </c>
      <c r="F204" s="134">
        <v>13581378533</v>
      </c>
      <c r="G204" s="117">
        <f t="shared" si="55"/>
        <v>338653.96302114503</v>
      </c>
      <c r="H204" s="9"/>
      <c r="I204" s="136">
        <v>1.7261</v>
      </c>
      <c r="J204" s="134">
        <v>23442817.485811297</v>
      </c>
      <c r="K204" s="120">
        <f t="shared" si="56"/>
        <v>584.55060557079833</v>
      </c>
      <c r="L204" s="122">
        <f t="shared" si="51"/>
        <v>135813785.33000001</v>
      </c>
      <c r="M204" s="116">
        <f t="shared" si="52"/>
        <v>112370967.84418872</v>
      </c>
      <c r="N204" s="123">
        <f t="shared" si="53"/>
        <v>2801.9890246406521</v>
      </c>
      <c r="O204" s="5"/>
      <c r="P204" s="5">
        <f t="shared" si="57"/>
        <v>1</v>
      </c>
      <c r="Q204" s="7">
        <f t="shared" si="58"/>
        <v>40104</v>
      </c>
      <c r="W204" s="124">
        <f t="shared" si="59"/>
        <v>23442817.485811301</v>
      </c>
      <c r="X204">
        <f t="shared" si="60"/>
        <v>0</v>
      </c>
    </row>
    <row r="205" spans="1:24">
      <c r="A205" s="23" t="s">
        <v>234</v>
      </c>
      <c r="B205" s="37" t="s">
        <v>233</v>
      </c>
      <c r="C205" s="97">
        <v>3010</v>
      </c>
      <c r="D205" s="132">
        <v>9274785232</v>
      </c>
      <c r="E205" s="116">
        <f t="shared" si="54"/>
        <v>3081323.9973421926</v>
      </c>
      <c r="F205" s="134">
        <v>6935418939</v>
      </c>
      <c r="G205" s="117">
        <f t="shared" si="55"/>
        <v>2304125.8933554818</v>
      </c>
      <c r="H205" s="9"/>
      <c r="I205" s="136">
        <v>2.1438999999999999</v>
      </c>
      <c r="J205" s="134">
        <v>14868844.6633221</v>
      </c>
      <c r="K205" s="120">
        <f t="shared" si="56"/>
        <v>4939.8155027648172</v>
      </c>
      <c r="L205" s="122">
        <f t="shared" si="51"/>
        <v>69354189.390000001</v>
      </c>
      <c r="M205" s="116">
        <f t="shared" si="52"/>
        <v>54485344.726677902</v>
      </c>
      <c r="N205" s="123">
        <f t="shared" si="53"/>
        <v>18101.443430790001</v>
      </c>
      <c r="O205" s="5"/>
      <c r="P205" s="5">
        <f t="shared" si="57"/>
        <v>1</v>
      </c>
      <c r="Q205" s="7">
        <f t="shared" si="58"/>
        <v>3010</v>
      </c>
      <c r="W205" s="124">
        <f t="shared" si="59"/>
        <v>14868844.663322099</v>
      </c>
      <c r="X205">
        <f t="shared" si="60"/>
        <v>0</v>
      </c>
    </row>
    <row r="206" spans="1:24">
      <c r="A206" s="23" t="s">
        <v>235</v>
      </c>
      <c r="B206" s="37" t="s">
        <v>233</v>
      </c>
      <c r="C206" s="97">
        <v>5793</v>
      </c>
      <c r="D206" s="132">
        <v>3327192013</v>
      </c>
      <c r="E206" s="116">
        <f t="shared" si="54"/>
        <v>574346.97272570338</v>
      </c>
      <c r="F206" s="134">
        <v>2101411536</v>
      </c>
      <c r="G206" s="117">
        <f t="shared" si="55"/>
        <v>362750.13568099431</v>
      </c>
      <c r="H206" s="9"/>
      <c r="I206" s="136">
        <v>3.1728000000000001</v>
      </c>
      <c r="J206" s="134">
        <v>6667358.5214208001</v>
      </c>
      <c r="K206" s="120">
        <f t="shared" si="56"/>
        <v>1150.9336304886588</v>
      </c>
      <c r="L206" s="122">
        <f t="shared" si="51"/>
        <v>21014115.359999999</v>
      </c>
      <c r="M206" s="116">
        <f t="shared" si="52"/>
        <v>14346756.8385792</v>
      </c>
      <c r="N206" s="123">
        <f t="shared" si="53"/>
        <v>2476.5677263212842</v>
      </c>
      <c r="O206" s="5"/>
      <c r="P206" s="5">
        <f t="shared" si="57"/>
        <v>1</v>
      </c>
      <c r="Q206" s="7">
        <f t="shared" si="58"/>
        <v>5793</v>
      </c>
      <c r="W206" s="124">
        <f t="shared" si="59"/>
        <v>6667358.5214208001</v>
      </c>
      <c r="X206">
        <f t="shared" si="60"/>
        <v>0</v>
      </c>
    </row>
    <row r="207" spans="1:24">
      <c r="A207" s="23" t="s">
        <v>236</v>
      </c>
      <c r="B207" s="37" t="s">
        <v>233</v>
      </c>
      <c r="C207" s="97">
        <v>3030</v>
      </c>
      <c r="D207" s="132">
        <v>872016603</v>
      </c>
      <c r="E207" s="116">
        <f t="shared" si="54"/>
        <v>287794.25841584156</v>
      </c>
      <c r="F207" s="134">
        <v>414813294</v>
      </c>
      <c r="G207" s="117">
        <f t="shared" si="55"/>
        <v>136902.07722772277</v>
      </c>
      <c r="H207" s="9"/>
      <c r="I207" s="136">
        <v>9.4</v>
      </c>
      <c r="J207" s="134">
        <v>3899244.9636000004</v>
      </c>
      <c r="K207" s="120">
        <f t="shared" si="56"/>
        <v>1286.8795259405942</v>
      </c>
      <c r="L207" s="122">
        <f t="shared" si="51"/>
        <v>4148132.94</v>
      </c>
      <c r="M207" s="116">
        <f t="shared" si="52"/>
        <v>248887.97639999958</v>
      </c>
      <c r="N207" s="123">
        <f t="shared" si="53"/>
        <v>82.141246336633529</v>
      </c>
      <c r="O207" s="5"/>
      <c r="P207" s="5">
        <f t="shared" si="57"/>
        <v>1</v>
      </c>
      <c r="Q207" s="7">
        <f t="shared" si="58"/>
        <v>3030</v>
      </c>
      <c r="W207" s="124">
        <f t="shared" si="59"/>
        <v>3899244.9636000004</v>
      </c>
      <c r="X207">
        <f t="shared" si="60"/>
        <v>0</v>
      </c>
    </row>
    <row r="208" spans="1:24">
      <c r="A208" s="23" t="s">
        <v>237</v>
      </c>
      <c r="B208" s="37" t="s">
        <v>233</v>
      </c>
      <c r="C208" s="97">
        <v>50813</v>
      </c>
      <c r="D208" s="132">
        <v>40587064424</v>
      </c>
      <c r="E208" s="116">
        <f t="shared" si="54"/>
        <v>798753.55566488893</v>
      </c>
      <c r="F208" s="134">
        <v>24691287120</v>
      </c>
      <c r="G208" s="117">
        <f t="shared" si="55"/>
        <v>485924.60826953733</v>
      </c>
      <c r="H208" s="9"/>
      <c r="I208" s="136">
        <v>5.5590000000000002</v>
      </c>
      <c r="J208" s="134">
        <v>137258865.10008001</v>
      </c>
      <c r="K208" s="120">
        <f t="shared" si="56"/>
        <v>2701.2548973703583</v>
      </c>
      <c r="L208" s="122">
        <f t="shared" si="51"/>
        <v>246912871.20000002</v>
      </c>
      <c r="M208" s="116">
        <f t="shared" si="52"/>
        <v>109654006.09992</v>
      </c>
      <c r="N208" s="123">
        <f t="shared" si="53"/>
        <v>2157.9911853250155</v>
      </c>
      <c r="O208" s="5"/>
      <c r="P208" s="5">
        <f t="shared" si="57"/>
        <v>1</v>
      </c>
      <c r="Q208" s="7">
        <f t="shared" si="58"/>
        <v>50813</v>
      </c>
      <c r="W208" s="124">
        <f t="shared" si="59"/>
        <v>137258865.10008001</v>
      </c>
      <c r="X208">
        <f t="shared" si="60"/>
        <v>0</v>
      </c>
    </row>
    <row r="209" spans="1:24">
      <c r="A209" s="23" t="s">
        <v>524</v>
      </c>
      <c r="B209" s="37" t="s">
        <v>233</v>
      </c>
      <c r="C209" s="97">
        <v>45026</v>
      </c>
      <c r="D209" s="132">
        <v>7797654229</v>
      </c>
      <c r="E209" s="116">
        <f t="shared" si="54"/>
        <v>173181.14487185181</v>
      </c>
      <c r="F209" s="134">
        <v>4059745731</v>
      </c>
      <c r="G209" s="117">
        <f t="shared" si="55"/>
        <v>90164.476768977926</v>
      </c>
      <c r="H209" s="9"/>
      <c r="I209" s="136">
        <v>2.8332000000000002</v>
      </c>
      <c r="J209" s="134">
        <v>11502071.605069201</v>
      </c>
      <c r="K209" s="120">
        <f t="shared" si="56"/>
        <v>255.4539955818683</v>
      </c>
      <c r="L209" s="122">
        <f t="shared" si="51"/>
        <v>40597457.310000002</v>
      </c>
      <c r="M209" s="116">
        <f t="shared" si="52"/>
        <v>29095385.704930801</v>
      </c>
      <c r="N209" s="123">
        <f t="shared" si="53"/>
        <v>646.19077210791102</v>
      </c>
      <c r="O209" s="5"/>
      <c r="P209" s="5">
        <f t="shared" si="57"/>
        <v>1</v>
      </c>
      <c r="Q209" s="7">
        <f t="shared" si="58"/>
        <v>45026</v>
      </c>
      <c r="W209" s="124">
        <f t="shared" si="59"/>
        <v>11502071.605069201</v>
      </c>
      <c r="X209">
        <f t="shared" si="60"/>
        <v>0</v>
      </c>
    </row>
    <row r="210" spans="1:24">
      <c r="A210" s="23" t="s">
        <v>501</v>
      </c>
      <c r="B210" s="37" t="s">
        <v>233</v>
      </c>
      <c r="C210" s="97">
        <v>82175</v>
      </c>
      <c r="D210" s="132">
        <v>27854133337</v>
      </c>
      <c r="E210" s="116">
        <f t="shared" si="54"/>
        <v>338961.16017036809</v>
      </c>
      <c r="F210" s="134">
        <v>20220814602</v>
      </c>
      <c r="G210" s="117">
        <f t="shared" si="55"/>
        <v>246070.15031335564</v>
      </c>
      <c r="H210" s="9"/>
      <c r="I210" s="136">
        <v>1.7165999999999999</v>
      </c>
      <c r="J210" s="134">
        <v>34711050.345793195</v>
      </c>
      <c r="K210" s="120">
        <f t="shared" si="56"/>
        <v>422.40402002790626</v>
      </c>
      <c r="L210" s="122">
        <f t="shared" si="51"/>
        <v>202208146.02000001</v>
      </c>
      <c r="M210" s="116">
        <f t="shared" si="52"/>
        <v>167497095.67420682</v>
      </c>
      <c r="N210" s="123">
        <f t="shared" si="53"/>
        <v>2038.2974831056504</v>
      </c>
      <c r="O210" s="5"/>
      <c r="P210" s="5">
        <f t="shared" si="57"/>
        <v>1</v>
      </c>
      <c r="Q210" s="7">
        <f t="shared" si="58"/>
        <v>82175</v>
      </c>
      <c r="W210" s="124">
        <f t="shared" si="59"/>
        <v>34711050.345793203</v>
      </c>
      <c r="X210">
        <f t="shared" si="60"/>
        <v>0</v>
      </c>
    </row>
    <row r="211" spans="1:24">
      <c r="A211" s="23" t="s">
        <v>238</v>
      </c>
      <c r="B211" s="37" t="s">
        <v>233</v>
      </c>
      <c r="C211" s="97">
        <v>2236</v>
      </c>
      <c r="D211" s="132">
        <v>668953341</v>
      </c>
      <c r="E211" s="116">
        <f t="shared" si="54"/>
        <v>299174.123881932</v>
      </c>
      <c r="F211" s="134">
        <v>312685961</v>
      </c>
      <c r="G211" s="117">
        <f t="shared" si="55"/>
        <v>139841.66413237926</v>
      </c>
      <c r="H211" s="9"/>
      <c r="I211" s="136">
        <v>8.3000000000000007</v>
      </c>
      <c r="J211" s="134">
        <v>2595293.4763000002</v>
      </c>
      <c r="K211" s="120">
        <f t="shared" si="56"/>
        <v>1160.6858122987478</v>
      </c>
      <c r="L211" s="122">
        <f t="shared" si="51"/>
        <v>3126859.61</v>
      </c>
      <c r="M211" s="116">
        <f t="shared" si="52"/>
        <v>531566.13369999966</v>
      </c>
      <c r="N211" s="123">
        <f t="shared" si="53"/>
        <v>237.73082902504456</v>
      </c>
      <c r="O211" s="5"/>
      <c r="P211" s="5">
        <f t="shared" si="57"/>
        <v>1</v>
      </c>
      <c r="Q211" s="7">
        <f t="shared" si="58"/>
        <v>2236</v>
      </c>
      <c r="W211" s="124">
        <f t="shared" si="59"/>
        <v>2595293.4763000002</v>
      </c>
      <c r="X211">
        <f t="shared" si="60"/>
        <v>0</v>
      </c>
    </row>
    <row r="212" spans="1:24">
      <c r="A212" s="23" t="s">
        <v>239</v>
      </c>
      <c r="B212" s="37" t="s">
        <v>233</v>
      </c>
      <c r="C212" s="97">
        <v>17173</v>
      </c>
      <c r="D212" s="132">
        <v>2155979825</v>
      </c>
      <c r="E212" s="116">
        <f t="shared" si="54"/>
        <v>125544.74028999011</v>
      </c>
      <c r="F212" s="134">
        <v>1326383179</v>
      </c>
      <c r="G212" s="117">
        <f t="shared" si="55"/>
        <v>77236.544517556627</v>
      </c>
      <c r="H212" s="9"/>
      <c r="I212" s="136">
        <v>6.3079999999999998</v>
      </c>
      <c r="J212" s="134">
        <v>8366825.0931320004</v>
      </c>
      <c r="K212" s="120">
        <f t="shared" si="56"/>
        <v>487.20812281674722</v>
      </c>
      <c r="L212" s="122">
        <f t="shared" si="51"/>
        <v>13263831.790000001</v>
      </c>
      <c r="M212" s="116">
        <f t="shared" si="52"/>
        <v>4897006.6968680006</v>
      </c>
      <c r="N212" s="123">
        <f t="shared" si="53"/>
        <v>285.1573223588191</v>
      </c>
      <c r="O212" s="5"/>
      <c r="P212" s="5">
        <f t="shared" si="57"/>
        <v>1</v>
      </c>
      <c r="Q212" s="7">
        <f t="shared" si="58"/>
        <v>17173</v>
      </c>
      <c r="W212" s="124">
        <f t="shared" si="59"/>
        <v>8366825.0931320004</v>
      </c>
      <c r="X212">
        <f t="shared" si="60"/>
        <v>0</v>
      </c>
    </row>
    <row r="213" spans="1:24">
      <c r="A213" s="23" t="s">
        <v>240</v>
      </c>
      <c r="B213" s="37" t="s">
        <v>233</v>
      </c>
      <c r="C213" s="97">
        <v>981</v>
      </c>
      <c r="D213" s="132">
        <v>3439219187</v>
      </c>
      <c r="E213" s="116">
        <f t="shared" si="54"/>
        <v>3505829.9561671764</v>
      </c>
      <c r="F213" s="134">
        <v>1889827948</v>
      </c>
      <c r="G213" s="117">
        <f t="shared" si="55"/>
        <v>1926430.120285423</v>
      </c>
      <c r="H213" s="9"/>
      <c r="I213" s="136">
        <v>7.6630000000000003</v>
      </c>
      <c r="J213" s="134">
        <v>14481751.565524001</v>
      </c>
      <c r="K213" s="120">
        <f t="shared" si="56"/>
        <v>14762.234011747198</v>
      </c>
      <c r="L213" s="122">
        <f t="shared" si="51"/>
        <v>18898279.48</v>
      </c>
      <c r="M213" s="116">
        <f t="shared" si="52"/>
        <v>4416527.9144759998</v>
      </c>
      <c r="N213" s="123">
        <f t="shared" si="53"/>
        <v>4502.0671911070331</v>
      </c>
      <c r="O213" s="5"/>
      <c r="P213" s="5">
        <f t="shared" si="57"/>
        <v>1</v>
      </c>
      <c r="Q213" s="7">
        <f t="shared" si="58"/>
        <v>981</v>
      </c>
      <c r="W213" s="124">
        <f t="shared" si="59"/>
        <v>14481751.565524001</v>
      </c>
      <c r="X213">
        <f t="shared" si="60"/>
        <v>0</v>
      </c>
    </row>
    <row r="214" spans="1:24">
      <c r="A214" s="23" t="s">
        <v>241</v>
      </c>
      <c r="B214" s="37" t="s">
        <v>233</v>
      </c>
      <c r="C214" s="97">
        <v>230575</v>
      </c>
      <c r="D214" s="132">
        <v>35127677020</v>
      </c>
      <c r="E214" s="116">
        <f t="shared" si="54"/>
        <v>152348.16012143553</v>
      </c>
      <c r="F214" s="134">
        <v>20126030939</v>
      </c>
      <c r="G214" s="117">
        <f t="shared" si="55"/>
        <v>87286.266676786297</v>
      </c>
      <c r="H214" s="9"/>
      <c r="I214" s="136">
        <v>6.3018000000000001</v>
      </c>
      <c r="J214" s="134">
        <v>126830221.7713902</v>
      </c>
      <c r="K214" s="120">
        <f t="shared" si="56"/>
        <v>550.06059534377187</v>
      </c>
      <c r="L214" s="122">
        <f t="shared" si="51"/>
        <v>201260309.39000002</v>
      </c>
      <c r="M214" s="116">
        <f t="shared" si="52"/>
        <v>74430087.618609816</v>
      </c>
      <c r="N214" s="123">
        <f t="shared" si="53"/>
        <v>322.80207142409114</v>
      </c>
      <c r="O214" s="5"/>
      <c r="P214" s="5">
        <f t="shared" si="57"/>
        <v>1</v>
      </c>
      <c r="Q214" s="7">
        <f t="shared" si="58"/>
        <v>230575</v>
      </c>
      <c r="W214" s="124">
        <f t="shared" si="59"/>
        <v>126830221.7713902</v>
      </c>
      <c r="X214">
        <f t="shared" si="60"/>
        <v>0</v>
      </c>
    </row>
    <row r="215" spans="1:24">
      <c r="A215" s="23" t="s">
        <v>242</v>
      </c>
      <c r="B215" s="37" t="s">
        <v>233</v>
      </c>
      <c r="C215" s="97">
        <v>22303</v>
      </c>
      <c r="D215" s="132">
        <v>4295652052</v>
      </c>
      <c r="E215" s="116">
        <f t="shared" si="54"/>
        <v>192604.22597856791</v>
      </c>
      <c r="F215" s="134">
        <v>2323693247</v>
      </c>
      <c r="G215" s="117">
        <f t="shared" si="55"/>
        <v>104187.47464466664</v>
      </c>
      <c r="H215" s="9"/>
      <c r="I215" s="136">
        <v>4.6782000000000004</v>
      </c>
      <c r="J215" s="134">
        <v>10870701.7481154</v>
      </c>
      <c r="K215" s="120">
        <f t="shared" si="56"/>
        <v>487.40984388267947</v>
      </c>
      <c r="L215" s="122">
        <f t="shared" si="51"/>
        <v>23236932.469999999</v>
      </c>
      <c r="M215" s="116">
        <f t="shared" si="52"/>
        <v>12366230.721884599</v>
      </c>
      <c r="N215" s="123">
        <f t="shared" si="53"/>
        <v>554.46490256398681</v>
      </c>
      <c r="O215" s="5"/>
      <c r="P215" s="5">
        <f t="shared" si="57"/>
        <v>1</v>
      </c>
      <c r="Q215" s="7">
        <f t="shared" si="58"/>
        <v>22303</v>
      </c>
      <c r="W215" s="124">
        <f t="shared" si="59"/>
        <v>10870701.748115402</v>
      </c>
      <c r="X215">
        <f t="shared" si="60"/>
        <v>0</v>
      </c>
    </row>
    <row r="216" spans="1:24">
      <c r="A216" s="23" t="s">
        <v>243</v>
      </c>
      <c r="B216" s="37" t="s">
        <v>233</v>
      </c>
      <c r="C216" s="97">
        <v>84014</v>
      </c>
      <c r="D216" s="132">
        <v>9925656285</v>
      </c>
      <c r="E216" s="116">
        <f t="shared" si="54"/>
        <v>118142.88434070512</v>
      </c>
      <c r="F216" s="134">
        <v>5642498510</v>
      </c>
      <c r="G216" s="117">
        <f t="shared" si="55"/>
        <v>67161.407741566887</v>
      </c>
      <c r="H216" s="9"/>
      <c r="I216" s="136">
        <v>5.9603999999999999</v>
      </c>
      <c r="J216" s="134">
        <v>33631548.119003996</v>
      </c>
      <c r="K216" s="120">
        <f t="shared" si="56"/>
        <v>400.30885470283522</v>
      </c>
      <c r="L216" s="122">
        <f t="shared" si="51"/>
        <v>56424985.100000001</v>
      </c>
      <c r="M216" s="116">
        <f t="shared" si="52"/>
        <v>22793436.980996005</v>
      </c>
      <c r="N216" s="123">
        <f t="shared" si="53"/>
        <v>271.30522271283365</v>
      </c>
      <c r="O216" s="5"/>
      <c r="P216" s="5">
        <f t="shared" si="57"/>
        <v>1</v>
      </c>
      <c r="Q216" s="7">
        <f t="shared" si="58"/>
        <v>84014</v>
      </c>
      <c r="W216" s="124">
        <f t="shared" si="59"/>
        <v>33631548.119004004</v>
      </c>
      <c r="X216">
        <f t="shared" si="60"/>
        <v>0</v>
      </c>
    </row>
    <row r="217" spans="1:24">
      <c r="A217" s="23" t="s">
        <v>244</v>
      </c>
      <c r="B217" s="37" t="s">
        <v>233</v>
      </c>
      <c r="C217" s="97">
        <v>89</v>
      </c>
      <c r="D217" s="132">
        <v>1632804180</v>
      </c>
      <c r="E217" s="116">
        <f t="shared" si="54"/>
        <v>18346114.38202247</v>
      </c>
      <c r="F217" s="134">
        <v>1004495383</v>
      </c>
      <c r="G217" s="117">
        <f t="shared" si="55"/>
        <v>11286464.97752809</v>
      </c>
      <c r="H217" s="9"/>
      <c r="I217" s="136">
        <v>5.9</v>
      </c>
      <c r="J217" s="134">
        <v>5926522.7597000012</v>
      </c>
      <c r="K217" s="120">
        <f t="shared" si="56"/>
        <v>66590.143367415745</v>
      </c>
      <c r="L217" s="122">
        <f t="shared" si="51"/>
        <v>10044953.83</v>
      </c>
      <c r="M217" s="116">
        <f t="shared" si="52"/>
        <v>4118431.0702999989</v>
      </c>
      <c r="N217" s="123">
        <f t="shared" si="53"/>
        <v>46274.506407865156</v>
      </c>
      <c r="O217" s="5"/>
      <c r="P217" s="5">
        <f t="shared" si="57"/>
        <v>1</v>
      </c>
      <c r="Q217" s="7">
        <f t="shared" si="58"/>
        <v>89</v>
      </c>
      <c r="W217" s="124">
        <f t="shared" si="59"/>
        <v>5926522.7597000003</v>
      </c>
      <c r="X217">
        <f t="shared" si="60"/>
        <v>0</v>
      </c>
    </row>
    <row r="218" spans="1:24">
      <c r="A218" s="23" t="s">
        <v>246</v>
      </c>
      <c r="B218" s="37" t="s">
        <v>233</v>
      </c>
      <c r="C218" s="97">
        <v>14603</v>
      </c>
      <c r="D218" s="132">
        <v>14616616780</v>
      </c>
      <c r="E218" s="116">
        <f t="shared" si="54"/>
        <v>1000932.4645620763</v>
      </c>
      <c r="F218" s="134">
        <v>11019363501</v>
      </c>
      <c r="G218" s="117">
        <f t="shared" si="55"/>
        <v>754595.87077997671</v>
      </c>
      <c r="H218" s="9"/>
      <c r="I218" s="136">
        <v>2.9794</v>
      </c>
      <c r="J218" s="134">
        <v>32831091.614879403</v>
      </c>
      <c r="K218" s="120">
        <f t="shared" si="56"/>
        <v>2248.2429374018629</v>
      </c>
      <c r="L218" s="122">
        <f t="shared" si="51"/>
        <v>110193635.01000001</v>
      </c>
      <c r="M218" s="116">
        <f t="shared" si="52"/>
        <v>77362543.395120606</v>
      </c>
      <c r="N218" s="123">
        <f t="shared" si="53"/>
        <v>5297.7157703979046</v>
      </c>
      <c r="O218" s="5"/>
      <c r="P218" s="5">
        <f t="shared" si="57"/>
        <v>1</v>
      </c>
      <c r="Q218" s="7">
        <f t="shared" si="58"/>
        <v>14603</v>
      </c>
      <c r="W218" s="124">
        <f t="shared" si="59"/>
        <v>32831091.6148794</v>
      </c>
      <c r="X218">
        <f t="shared" si="60"/>
        <v>0</v>
      </c>
    </row>
    <row r="219" spans="1:24">
      <c r="A219" s="23" t="s">
        <v>247</v>
      </c>
      <c r="B219" s="37" t="s">
        <v>233</v>
      </c>
      <c r="C219" s="97">
        <v>1050</v>
      </c>
      <c r="D219" s="132">
        <v>8428969103</v>
      </c>
      <c r="E219" s="116">
        <f t="shared" si="54"/>
        <v>8027589.6219047615</v>
      </c>
      <c r="F219" s="134">
        <v>5787409370</v>
      </c>
      <c r="G219" s="117">
        <f t="shared" si="55"/>
        <v>5511818.4476190479</v>
      </c>
      <c r="H219" s="9"/>
      <c r="I219" s="136">
        <v>3.2</v>
      </c>
      <c r="J219" s="134">
        <v>18519709.984000001</v>
      </c>
      <c r="K219" s="120">
        <f t="shared" si="56"/>
        <v>17637.819032380954</v>
      </c>
      <c r="L219" s="122">
        <f t="shared" si="51"/>
        <v>57874093.700000003</v>
      </c>
      <c r="M219" s="116">
        <f t="shared" si="52"/>
        <v>39354383.716000006</v>
      </c>
      <c r="N219" s="123">
        <f t="shared" si="53"/>
        <v>37480.365443809533</v>
      </c>
      <c r="O219" s="5"/>
      <c r="P219" s="5">
        <f t="shared" si="57"/>
        <v>1</v>
      </c>
      <c r="Q219" s="7">
        <f t="shared" si="58"/>
        <v>1050</v>
      </c>
      <c r="W219" s="124">
        <f t="shared" si="59"/>
        <v>18519709.984000001</v>
      </c>
      <c r="X219">
        <f t="shared" si="60"/>
        <v>0</v>
      </c>
    </row>
    <row r="220" spans="1:24">
      <c r="A220" s="23" t="s">
        <v>248</v>
      </c>
      <c r="B220" s="37" t="s">
        <v>233</v>
      </c>
      <c r="C220" s="97">
        <v>467171</v>
      </c>
      <c r="D220" s="132">
        <v>146950247765</v>
      </c>
      <c r="E220" s="116">
        <f t="shared" si="54"/>
        <v>314553.44566550577</v>
      </c>
      <c r="F220" s="134">
        <v>94622341540</v>
      </c>
      <c r="G220" s="117">
        <f t="shared" si="55"/>
        <v>202543.26903853193</v>
      </c>
      <c r="H220" s="9"/>
      <c r="I220" s="136">
        <v>7.1364000000000001</v>
      </c>
      <c r="J220" s="134">
        <v>675262878.16605604</v>
      </c>
      <c r="K220" s="120">
        <f t="shared" si="56"/>
        <v>1445.4297851665794</v>
      </c>
      <c r="L220" s="122">
        <f t="shared" si="51"/>
        <v>946223415.39999998</v>
      </c>
      <c r="M220" s="116">
        <f t="shared" si="52"/>
        <v>270960537.23394394</v>
      </c>
      <c r="N220" s="123">
        <f t="shared" si="53"/>
        <v>580.0029052187399</v>
      </c>
      <c r="O220" s="5"/>
      <c r="P220" s="5">
        <f t="shared" si="57"/>
        <v>1</v>
      </c>
      <c r="Q220" s="7">
        <f t="shared" si="58"/>
        <v>467171</v>
      </c>
      <c r="W220" s="124">
        <f t="shared" si="59"/>
        <v>675262878.16605604</v>
      </c>
      <c r="X220">
        <f t="shared" si="60"/>
        <v>0</v>
      </c>
    </row>
    <row r="221" spans="1:24">
      <c r="A221" s="23" t="s">
        <v>249</v>
      </c>
      <c r="B221" s="37" t="s">
        <v>233</v>
      </c>
      <c r="C221" s="97">
        <v>83230</v>
      </c>
      <c r="D221" s="132">
        <v>81740375315</v>
      </c>
      <c r="E221" s="116">
        <f t="shared" si="54"/>
        <v>982102.31064520008</v>
      </c>
      <c r="F221" s="134">
        <v>56728324199</v>
      </c>
      <c r="G221" s="117">
        <f t="shared" si="55"/>
        <v>681585.05585726304</v>
      </c>
      <c r="H221" s="9"/>
      <c r="I221" s="136">
        <v>5.8521999999999998</v>
      </c>
      <c r="J221" s="134">
        <v>331985498.87738782</v>
      </c>
      <c r="K221" s="120">
        <f t="shared" si="56"/>
        <v>3988.772063887875</v>
      </c>
      <c r="L221" s="122">
        <f t="shared" si="51"/>
        <v>567283241.99000001</v>
      </c>
      <c r="M221" s="116">
        <f t="shared" si="52"/>
        <v>235297743.11261219</v>
      </c>
      <c r="N221" s="123">
        <f t="shared" si="53"/>
        <v>2827.0784946847552</v>
      </c>
      <c r="O221" s="5"/>
      <c r="P221" s="5">
        <f t="shared" si="57"/>
        <v>1</v>
      </c>
      <c r="Q221" s="7">
        <f t="shared" si="58"/>
        <v>83230</v>
      </c>
      <c r="W221" s="124">
        <f t="shared" si="59"/>
        <v>331985498.87738782</v>
      </c>
      <c r="X221">
        <f t="shared" si="60"/>
        <v>0</v>
      </c>
    </row>
    <row r="222" spans="1:24">
      <c r="A222" s="23" t="s">
        <v>500</v>
      </c>
      <c r="B222" s="37" t="s">
        <v>233</v>
      </c>
      <c r="C222" s="97">
        <v>115364</v>
      </c>
      <c r="D222" s="132">
        <v>16981423668</v>
      </c>
      <c r="E222" s="116">
        <f t="shared" si="54"/>
        <v>147198.63794597969</v>
      </c>
      <c r="F222" s="134">
        <v>8809459179</v>
      </c>
      <c r="G222" s="117">
        <f t="shared" si="55"/>
        <v>76362.289613744317</v>
      </c>
      <c r="H222" s="9"/>
      <c r="I222" s="136">
        <v>6.9363000000000001</v>
      </c>
      <c r="J222" s="134">
        <v>61105051.703297697</v>
      </c>
      <c r="K222" s="120">
        <f t="shared" si="56"/>
        <v>529.6717494478147</v>
      </c>
      <c r="L222" s="122">
        <f t="shared" si="51"/>
        <v>88094591.790000007</v>
      </c>
      <c r="M222" s="116">
        <f t="shared" si="52"/>
        <v>26989540.08670231</v>
      </c>
      <c r="N222" s="123">
        <f t="shared" si="53"/>
        <v>233.95114668962856</v>
      </c>
      <c r="O222" s="5"/>
      <c r="P222" s="5">
        <f t="shared" si="57"/>
        <v>1</v>
      </c>
      <c r="Q222" s="7">
        <f t="shared" si="58"/>
        <v>115364</v>
      </c>
      <c r="W222" s="124">
        <f t="shared" si="59"/>
        <v>61105051.703297704</v>
      </c>
      <c r="X222">
        <f t="shared" si="60"/>
        <v>0</v>
      </c>
    </row>
    <row r="223" spans="1:24">
      <c r="A223" s="23" t="s">
        <v>459</v>
      </c>
      <c r="B223" s="37" t="s">
        <v>233</v>
      </c>
      <c r="C223" s="97">
        <v>30856</v>
      </c>
      <c r="D223" s="132">
        <v>7825419540</v>
      </c>
      <c r="E223" s="116">
        <f t="shared" si="54"/>
        <v>253610.95216489499</v>
      </c>
      <c r="F223" s="134">
        <v>4907419157</v>
      </c>
      <c r="G223" s="117">
        <f t="shared" si="55"/>
        <v>159042.62240731137</v>
      </c>
      <c r="H223" s="9"/>
      <c r="I223" s="136">
        <v>2.0731999999999999</v>
      </c>
      <c r="J223" s="134">
        <v>10174061.3962924</v>
      </c>
      <c r="K223" s="120">
        <f t="shared" si="56"/>
        <v>329.72716477483795</v>
      </c>
      <c r="L223" s="122">
        <f t="shared" si="51"/>
        <v>49074191.57</v>
      </c>
      <c r="M223" s="116">
        <f t="shared" si="52"/>
        <v>38900130.173707604</v>
      </c>
      <c r="N223" s="123">
        <f t="shared" si="53"/>
        <v>1260.6990592982761</v>
      </c>
      <c r="O223" s="5"/>
      <c r="P223" s="5">
        <f t="shared" si="57"/>
        <v>1</v>
      </c>
      <c r="Q223" s="7">
        <f t="shared" si="58"/>
        <v>30856</v>
      </c>
      <c r="W223" s="124">
        <f t="shared" si="59"/>
        <v>10174061.3962924</v>
      </c>
      <c r="X223">
        <f t="shared" si="60"/>
        <v>0</v>
      </c>
    </row>
    <row r="224" spans="1:24">
      <c r="A224" s="23" t="s">
        <v>250</v>
      </c>
      <c r="B224" s="37" t="s">
        <v>233</v>
      </c>
      <c r="C224" s="97">
        <v>11553</v>
      </c>
      <c r="D224" s="132">
        <v>4192175801</v>
      </c>
      <c r="E224" s="116">
        <f t="shared" si="54"/>
        <v>362864.6932398511</v>
      </c>
      <c r="F224" s="134">
        <v>1989351937</v>
      </c>
      <c r="G224" s="117">
        <f t="shared" si="55"/>
        <v>172193.53734960617</v>
      </c>
      <c r="H224" s="9"/>
      <c r="I224" s="136">
        <v>7.8</v>
      </c>
      <c r="J224" s="134">
        <v>15516945.1086</v>
      </c>
      <c r="K224" s="120">
        <f t="shared" si="56"/>
        <v>1343.109591326928</v>
      </c>
      <c r="L224" s="122">
        <f t="shared" si="51"/>
        <v>19893519.370000001</v>
      </c>
      <c r="M224" s="116">
        <f t="shared" si="52"/>
        <v>4376574.2614000011</v>
      </c>
      <c r="N224" s="123">
        <f t="shared" si="53"/>
        <v>378.82578216913367</v>
      </c>
      <c r="O224" s="5"/>
      <c r="P224" s="5">
        <f t="shared" si="57"/>
        <v>1</v>
      </c>
      <c r="Q224" s="7">
        <f t="shared" si="58"/>
        <v>11553</v>
      </c>
      <c r="W224" s="124">
        <f t="shared" si="59"/>
        <v>15516945.1086</v>
      </c>
      <c r="X224">
        <f t="shared" si="60"/>
        <v>0</v>
      </c>
    </row>
    <row r="225" spans="1:24">
      <c r="A225" s="24" t="s">
        <v>251</v>
      </c>
      <c r="B225" s="37" t="s">
        <v>233</v>
      </c>
      <c r="C225" s="97">
        <v>13866</v>
      </c>
      <c r="D225" s="132">
        <v>3163463857</v>
      </c>
      <c r="E225" s="116">
        <f t="shared" si="54"/>
        <v>228145.38129236983</v>
      </c>
      <c r="F225" s="134">
        <v>1753846446</v>
      </c>
      <c r="G225" s="117">
        <f t="shared" si="55"/>
        <v>126485.39203807876</v>
      </c>
      <c r="H225" s="9"/>
      <c r="I225" s="136">
        <v>6.86</v>
      </c>
      <c r="J225" s="134">
        <v>12031386.619560001</v>
      </c>
      <c r="K225" s="120">
        <f t="shared" si="56"/>
        <v>867.68978938122041</v>
      </c>
      <c r="L225" s="122">
        <f t="shared" si="51"/>
        <v>17538464.460000001</v>
      </c>
      <c r="M225" s="116">
        <f t="shared" si="52"/>
        <v>5507077.8404399995</v>
      </c>
      <c r="N225" s="123">
        <f t="shared" si="53"/>
        <v>397.16413099956725</v>
      </c>
      <c r="O225" s="5"/>
      <c r="P225" s="5">
        <f t="shared" si="57"/>
        <v>1</v>
      </c>
      <c r="Q225" s="7">
        <f t="shared" si="58"/>
        <v>13866</v>
      </c>
      <c r="W225" s="124">
        <f t="shared" si="59"/>
        <v>12031386.619560001</v>
      </c>
      <c r="X225">
        <f t="shared" si="60"/>
        <v>0</v>
      </c>
    </row>
    <row r="226" spans="1:24">
      <c r="A226" s="23" t="s">
        <v>599</v>
      </c>
      <c r="B226" s="37" t="s">
        <v>233</v>
      </c>
      <c r="C226" s="97">
        <v>7977</v>
      </c>
      <c r="D226" s="132">
        <v>2339658630</v>
      </c>
      <c r="E226" s="116">
        <f t="shared" si="54"/>
        <v>293300.56788266264</v>
      </c>
      <c r="F226" s="134">
        <v>1625565338</v>
      </c>
      <c r="G226" s="117">
        <f t="shared" si="55"/>
        <v>203781.53917512851</v>
      </c>
      <c r="H226" s="9"/>
      <c r="I226" s="136">
        <v>5.7061999999999999</v>
      </c>
      <c r="J226" s="134">
        <v>9275800.931695601</v>
      </c>
      <c r="K226" s="120">
        <f t="shared" si="56"/>
        <v>1162.8182188411183</v>
      </c>
      <c r="L226" s="122">
        <f t="shared" si="51"/>
        <v>16255653.380000001</v>
      </c>
      <c r="M226" s="116">
        <f t="shared" si="52"/>
        <v>6979852.4483043998</v>
      </c>
      <c r="N226" s="123">
        <f t="shared" si="53"/>
        <v>874.99717291016668</v>
      </c>
      <c r="O226" s="5"/>
      <c r="P226" s="5">
        <f t="shared" si="57"/>
        <v>1</v>
      </c>
      <c r="Q226" s="7">
        <f t="shared" si="58"/>
        <v>7977</v>
      </c>
      <c r="W226" s="124">
        <f t="shared" si="59"/>
        <v>9275800.9316955991</v>
      </c>
      <c r="X226">
        <f t="shared" si="60"/>
        <v>0</v>
      </c>
    </row>
    <row r="227" spans="1:24">
      <c r="A227" s="23" t="s">
        <v>253</v>
      </c>
      <c r="B227" s="37" t="s">
        <v>233</v>
      </c>
      <c r="C227" s="97">
        <v>59955</v>
      </c>
      <c r="D227" s="132">
        <v>10847837515</v>
      </c>
      <c r="E227" s="116">
        <f t="shared" si="54"/>
        <v>180932.99166041196</v>
      </c>
      <c r="F227" s="134">
        <v>5892301861</v>
      </c>
      <c r="G227" s="117">
        <f t="shared" si="55"/>
        <v>98278.740071720458</v>
      </c>
      <c r="H227" s="9"/>
      <c r="I227" s="136">
        <v>7.4</v>
      </c>
      <c r="J227" s="134">
        <v>43603033.771400005</v>
      </c>
      <c r="K227" s="120">
        <f t="shared" si="56"/>
        <v>727.26267653073148</v>
      </c>
      <c r="L227" s="122">
        <f t="shared" si="51"/>
        <v>58923018.609999999</v>
      </c>
      <c r="M227" s="116">
        <f t="shared" si="52"/>
        <v>15319984.838599995</v>
      </c>
      <c r="N227" s="123">
        <f t="shared" si="53"/>
        <v>255.52472418647309</v>
      </c>
      <c r="O227" s="5"/>
      <c r="P227" s="5">
        <f t="shared" si="57"/>
        <v>1</v>
      </c>
      <c r="Q227" s="7">
        <f t="shared" si="58"/>
        <v>59955</v>
      </c>
      <c r="W227" s="124">
        <f t="shared" si="59"/>
        <v>43603033.771400005</v>
      </c>
      <c r="X227">
        <f t="shared" si="60"/>
        <v>0</v>
      </c>
    </row>
    <row r="228" spans="1:24">
      <c r="A228" s="23" t="s">
        <v>254</v>
      </c>
      <c r="B228" s="37" t="s">
        <v>233</v>
      </c>
      <c r="C228" s="97">
        <v>43575</v>
      </c>
      <c r="D228" s="132">
        <v>8882390906</v>
      </c>
      <c r="E228" s="116">
        <f t="shared" si="54"/>
        <v>203841.4436259323</v>
      </c>
      <c r="F228" s="134">
        <v>5366521145</v>
      </c>
      <c r="G228" s="117">
        <f t="shared" si="55"/>
        <v>123155.96431440047</v>
      </c>
      <c r="H228" s="9"/>
      <c r="I228" s="136">
        <v>6.1</v>
      </c>
      <c r="J228" s="134">
        <v>32735778.984499998</v>
      </c>
      <c r="K228" s="120">
        <f t="shared" si="56"/>
        <v>751.25138231784274</v>
      </c>
      <c r="L228" s="122">
        <f t="shared" si="51"/>
        <v>53665211.450000003</v>
      </c>
      <c r="M228" s="116">
        <f t="shared" si="52"/>
        <v>20929432.465500005</v>
      </c>
      <c r="N228" s="123">
        <f t="shared" si="53"/>
        <v>480.30826082616187</v>
      </c>
      <c r="O228" s="5"/>
      <c r="P228" s="5">
        <f t="shared" si="57"/>
        <v>1</v>
      </c>
      <c r="Q228" s="7">
        <f t="shared" si="58"/>
        <v>43575</v>
      </c>
      <c r="W228" s="124">
        <f t="shared" si="59"/>
        <v>32735778.984499998</v>
      </c>
      <c r="X228">
        <f t="shared" si="60"/>
        <v>0</v>
      </c>
    </row>
    <row r="229" spans="1:24">
      <c r="A229" s="23" t="s">
        <v>255</v>
      </c>
      <c r="B229" s="37" t="s">
        <v>233</v>
      </c>
      <c r="C229" s="97">
        <v>16560</v>
      </c>
      <c r="D229" s="132">
        <v>3515886077</v>
      </c>
      <c r="E229" s="116">
        <f t="shared" si="54"/>
        <v>212311.96117149759</v>
      </c>
      <c r="F229" s="134">
        <v>1871986580</v>
      </c>
      <c r="G229" s="117">
        <f t="shared" si="55"/>
        <v>113042.66787439614</v>
      </c>
      <c r="H229" s="9"/>
      <c r="I229" s="136">
        <v>9.1630000000000003</v>
      </c>
      <c r="J229" s="134">
        <v>17153013.032540001</v>
      </c>
      <c r="K229" s="120">
        <f t="shared" si="56"/>
        <v>1035.8099657330918</v>
      </c>
      <c r="L229" s="122">
        <f t="shared" si="51"/>
        <v>18719865.800000001</v>
      </c>
      <c r="M229" s="116">
        <f t="shared" si="52"/>
        <v>1566852.7674599998</v>
      </c>
      <c r="N229" s="123">
        <f t="shared" si="53"/>
        <v>94.616713010869546</v>
      </c>
      <c r="O229" s="5"/>
      <c r="P229" s="5">
        <f t="shared" si="57"/>
        <v>1</v>
      </c>
      <c r="Q229" s="7">
        <f t="shared" si="58"/>
        <v>16560</v>
      </c>
      <c r="W229" s="124">
        <f t="shared" si="59"/>
        <v>17153013.032540001</v>
      </c>
      <c r="X229">
        <f t="shared" si="60"/>
        <v>0</v>
      </c>
    </row>
    <row r="230" spans="1:24">
      <c r="A230" s="23" t="s">
        <v>493</v>
      </c>
      <c r="B230" s="37" t="s">
        <v>233</v>
      </c>
      <c r="C230" s="97">
        <v>25091</v>
      </c>
      <c r="D230" s="132">
        <v>8550698342</v>
      </c>
      <c r="E230" s="116">
        <f t="shared" si="54"/>
        <v>340787.4672990315</v>
      </c>
      <c r="F230" s="134">
        <v>4586495479</v>
      </c>
      <c r="G230" s="117">
        <f t="shared" si="55"/>
        <v>182794.44737156748</v>
      </c>
      <c r="H230" s="9"/>
      <c r="I230" s="136">
        <v>2.35</v>
      </c>
      <c r="J230" s="134">
        <v>10778264.37565</v>
      </c>
      <c r="K230" s="120">
        <f t="shared" si="56"/>
        <v>429.56695132318362</v>
      </c>
      <c r="L230" s="122">
        <f t="shared" si="51"/>
        <v>45864954.789999999</v>
      </c>
      <c r="M230" s="116">
        <f t="shared" si="52"/>
        <v>35086690.414350003</v>
      </c>
      <c r="N230" s="123">
        <f t="shared" si="53"/>
        <v>1398.3775223924915</v>
      </c>
      <c r="O230" s="5"/>
      <c r="P230" s="5">
        <f t="shared" si="57"/>
        <v>1</v>
      </c>
      <c r="Q230" s="7">
        <f t="shared" si="58"/>
        <v>25091</v>
      </c>
      <c r="W230" s="124">
        <f t="shared" si="59"/>
        <v>10778264.37565</v>
      </c>
      <c r="X230">
        <f t="shared" si="60"/>
        <v>0</v>
      </c>
    </row>
    <row r="231" spans="1:24">
      <c r="A231" s="23" t="s">
        <v>256</v>
      </c>
      <c r="B231" s="37" t="s">
        <v>233</v>
      </c>
      <c r="C231" s="97">
        <v>18304</v>
      </c>
      <c r="D231" s="132">
        <v>13100709343</v>
      </c>
      <c r="E231" s="116">
        <f t="shared" si="54"/>
        <v>715729.31288243004</v>
      </c>
      <c r="F231" s="134">
        <v>7625387379</v>
      </c>
      <c r="G231" s="117">
        <f t="shared" si="55"/>
        <v>416596.77551354893</v>
      </c>
      <c r="H231" s="9"/>
      <c r="I231" s="150">
        <v>2.35</v>
      </c>
      <c r="J231" s="134">
        <v>17919660.34065</v>
      </c>
      <c r="K231" s="120">
        <f t="shared" si="56"/>
        <v>979.00242245684001</v>
      </c>
      <c r="L231" s="122">
        <f t="shared" si="51"/>
        <v>76253873.790000007</v>
      </c>
      <c r="M231" s="116">
        <f t="shared" si="52"/>
        <v>58334213.449350007</v>
      </c>
      <c r="N231" s="123">
        <f t="shared" si="53"/>
        <v>3186.9653326786497</v>
      </c>
      <c r="O231" s="5"/>
      <c r="P231" s="5">
        <f t="shared" si="57"/>
        <v>1</v>
      </c>
      <c r="Q231" s="7">
        <f t="shared" si="58"/>
        <v>18304</v>
      </c>
      <c r="W231" s="124">
        <f t="shared" si="59"/>
        <v>17919660.34065</v>
      </c>
      <c r="X231">
        <f t="shared" si="60"/>
        <v>0</v>
      </c>
    </row>
    <row r="232" spans="1:24">
      <c r="A232" s="23" t="s">
        <v>257</v>
      </c>
      <c r="B232" s="37" t="s">
        <v>233</v>
      </c>
      <c r="C232" s="97">
        <v>12018</v>
      </c>
      <c r="D232" s="132">
        <v>4782691154</v>
      </c>
      <c r="E232" s="116">
        <f t="shared" si="54"/>
        <v>397960.65518389083</v>
      </c>
      <c r="F232" s="134">
        <v>2850641765</v>
      </c>
      <c r="G232" s="117">
        <f t="shared" si="55"/>
        <v>237197.68389083043</v>
      </c>
      <c r="H232" s="9"/>
      <c r="I232" s="136">
        <v>3.95</v>
      </c>
      <c r="J232" s="134">
        <v>11260034.97175</v>
      </c>
      <c r="K232" s="120">
        <f t="shared" si="56"/>
        <v>936.93085136878017</v>
      </c>
      <c r="L232" s="122">
        <f t="shared" si="51"/>
        <v>28506417.650000002</v>
      </c>
      <c r="M232" s="116">
        <f t="shared" si="52"/>
        <v>17246382.67825</v>
      </c>
      <c r="N232" s="123">
        <f t="shared" si="53"/>
        <v>1435.045987539524</v>
      </c>
      <c r="O232" s="5"/>
      <c r="P232" s="5">
        <f t="shared" si="57"/>
        <v>1</v>
      </c>
      <c r="Q232" s="7">
        <f t="shared" si="58"/>
        <v>12018</v>
      </c>
      <c r="W232" s="124">
        <f t="shared" si="59"/>
        <v>11260034.97175</v>
      </c>
      <c r="X232">
        <f t="shared" si="60"/>
        <v>0</v>
      </c>
    </row>
    <row r="233" spans="1:24">
      <c r="A233" s="23" t="s">
        <v>258</v>
      </c>
      <c r="B233" s="37" t="s">
        <v>233</v>
      </c>
      <c r="C233" s="97">
        <v>22788</v>
      </c>
      <c r="D233" s="132">
        <v>22620659049</v>
      </c>
      <c r="E233" s="116">
        <f t="shared" si="54"/>
        <v>992656.61966824648</v>
      </c>
      <c r="F233" s="134">
        <v>17872722846</v>
      </c>
      <c r="G233" s="117">
        <f t="shared" si="55"/>
        <v>784304.14454976306</v>
      </c>
      <c r="H233" s="9"/>
      <c r="I233" s="136">
        <v>1.8</v>
      </c>
      <c r="J233" s="134">
        <v>32170901.1228</v>
      </c>
      <c r="K233" s="120">
        <f t="shared" si="56"/>
        <v>1411.7474601895735</v>
      </c>
      <c r="L233" s="122">
        <f t="shared" si="51"/>
        <v>178727228.46000001</v>
      </c>
      <c r="M233" s="116">
        <f t="shared" si="52"/>
        <v>146556327.33720002</v>
      </c>
      <c r="N233" s="123">
        <f t="shared" si="53"/>
        <v>6431.2939853080579</v>
      </c>
      <c r="O233" s="5"/>
      <c r="P233" s="5">
        <f t="shared" si="57"/>
        <v>1</v>
      </c>
      <c r="Q233" s="7">
        <f t="shared" si="58"/>
        <v>22788</v>
      </c>
      <c r="W233" s="124">
        <f t="shared" si="59"/>
        <v>32170901.1228</v>
      </c>
      <c r="X233">
        <f t="shared" si="60"/>
        <v>0</v>
      </c>
    </row>
    <row r="234" spans="1:24">
      <c r="A234" s="23" t="s">
        <v>259</v>
      </c>
      <c r="B234" s="37" t="s">
        <v>233</v>
      </c>
      <c r="C234" s="97">
        <v>5401</v>
      </c>
      <c r="D234" s="132">
        <v>7366455276</v>
      </c>
      <c r="E234" s="116">
        <f t="shared" si="54"/>
        <v>1363905.8092945751</v>
      </c>
      <c r="F234" s="134">
        <v>4766559663</v>
      </c>
      <c r="G234" s="117">
        <f t="shared" si="55"/>
        <v>882532.80188853911</v>
      </c>
      <c r="H234" s="9"/>
      <c r="I234" s="136">
        <v>4</v>
      </c>
      <c r="J234" s="134">
        <v>19066238.651999999</v>
      </c>
      <c r="K234" s="120">
        <f t="shared" si="56"/>
        <v>3530.1312075541564</v>
      </c>
      <c r="L234" s="122">
        <f t="shared" si="51"/>
        <v>47665596.630000003</v>
      </c>
      <c r="M234" s="116">
        <f t="shared" si="52"/>
        <v>28599357.978000004</v>
      </c>
      <c r="N234" s="123">
        <f t="shared" si="53"/>
        <v>5295.1968113312359</v>
      </c>
      <c r="O234" s="5"/>
      <c r="P234" s="5">
        <f t="shared" si="57"/>
        <v>1</v>
      </c>
      <c r="Q234" s="7">
        <f t="shared" si="58"/>
        <v>5401</v>
      </c>
      <c r="W234" s="124">
        <f t="shared" si="59"/>
        <v>19066238.651999999</v>
      </c>
      <c r="X234">
        <f t="shared" si="60"/>
        <v>0</v>
      </c>
    </row>
    <row r="235" spans="1:24">
      <c r="A235" s="23" t="s">
        <v>260</v>
      </c>
      <c r="B235" s="35" t="s">
        <v>233</v>
      </c>
      <c r="C235" s="97">
        <v>21393</v>
      </c>
      <c r="D235" s="132">
        <v>5946366070</v>
      </c>
      <c r="E235" s="116">
        <f t="shared" si="54"/>
        <v>277958.49436731642</v>
      </c>
      <c r="F235" s="134">
        <v>4143470090</v>
      </c>
      <c r="G235" s="117">
        <f t="shared" si="55"/>
        <v>193683.45206375918</v>
      </c>
      <c r="H235" s="9"/>
      <c r="I235" s="150">
        <v>3.5634000000000001</v>
      </c>
      <c r="J235" s="134">
        <v>14764841.318706002</v>
      </c>
      <c r="K235" s="120">
        <f t="shared" si="56"/>
        <v>690.17161308399955</v>
      </c>
      <c r="L235" s="122">
        <f t="shared" si="51"/>
        <v>41434700.899999999</v>
      </c>
      <c r="M235" s="116">
        <f t="shared" si="52"/>
        <v>26669859.581293996</v>
      </c>
      <c r="N235" s="123">
        <f t="shared" si="53"/>
        <v>1246.662907553592</v>
      </c>
      <c r="O235" s="5"/>
      <c r="P235" s="5">
        <f t="shared" si="57"/>
        <v>1</v>
      </c>
      <c r="Q235" s="7">
        <f t="shared" si="58"/>
        <v>21393</v>
      </c>
      <c r="W235" s="124">
        <f t="shared" si="59"/>
        <v>14764841.318706</v>
      </c>
      <c r="X235">
        <f t="shared" si="60"/>
        <v>0</v>
      </c>
    </row>
    <row r="236" spans="1:24">
      <c r="A236" s="23" t="s">
        <v>261</v>
      </c>
      <c r="B236" s="35" t="s">
        <v>233</v>
      </c>
      <c r="C236" s="97">
        <v>2374</v>
      </c>
      <c r="D236" s="132">
        <v>607237307</v>
      </c>
      <c r="E236" s="116">
        <f t="shared" si="54"/>
        <v>255786.56571187868</v>
      </c>
      <c r="F236" s="134">
        <v>408786521</v>
      </c>
      <c r="G236" s="117">
        <f t="shared" si="55"/>
        <v>172193.14279696715</v>
      </c>
      <c r="H236" s="9"/>
      <c r="I236" s="136">
        <v>4.8499999999999996</v>
      </c>
      <c r="J236" s="134">
        <v>1982614.6268499999</v>
      </c>
      <c r="K236" s="120">
        <f t="shared" si="56"/>
        <v>835.13674256529055</v>
      </c>
      <c r="L236" s="122">
        <f t="shared" si="51"/>
        <v>4087865.21</v>
      </c>
      <c r="M236" s="116">
        <f t="shared" si="52"/>
        <v>2105250.5831500003</v>
      </c>
      <c r="N236" s="123">
        <f t="shared" si="53"/>
        <v>886.79468540438097</v>
      </c>
      <c r="O236" s="5"/>
      <c r="P236" s="5">
        <f t="shared" si="57"/>
        <v>1</v>
      </c>
      <c r="Q236" s="7">
        <f t="shared" si="58"/>
        <v>2374</v>
      </c>
      <c r="S236" s="124"/>
      <c r="T236" s="124"/>
      <c r="U236" s="124"/>
      <c r="W236" s="124">
        <f t="shared" si="59"/>
        <v>1982614.6268499997</v>
      </c>
      <c r="X236">
        <f t="shared" si="60"/>
        <v>0</v>
      </c>
    </row>
    <row r="237" spans="1:24">
      <c r="A237" s="23" t="s">
        <v>262</v>
      </c>
      <c r="B237" s="35" t="s">
        <v>233</v>
      </c>
      <c r="C237" s="97">
        <v>7257</v>
      </c>
      <c r="D237" s="132">
        <v>1406716552</v>
      </c>
      <c r="E237" s="116">
        <f t="shared" si="54"/>
        <v>193842.71076202288</v>
      </c>
      <c r="F237" s="134">
        <v>970809495</v>
      </c>
      <c r="G237" s="117">
        <f t="shared" si="55"/>
        <v>133775.5952873088</v>
      </c>
      <c r="H237" s="7"/>
      <c r="I237" s="136">
        <v>5.92</v>
      </c>
      <c r="J237" s="134">
        <v>5747192.2103999993</v>
      </c>
      <c r="K237" s="120">
        <f t="shared" si="56"/>
        <v>791.95152410086803</v>
      </c>
      <c r="L237" s="122">
        <f t="shared" si="51"/>
        <v>9708094.9500000011</v>
      </c>
      <c r="M237" s="116">
        <f t="shared" si="52"/>
        <v>3960902.7396000018</v>
      </c>
      <c r="N237" s="123">
        <f t="shared" si="53"/>
        <v>545.80442877222015</v>
      </c>
      <c r="O237" s="5"/>
      <c r="P237" s="5">
        <f t="shared" si="57"/>
        <v>1</v>
      </c>
      <c r="Q237" s="7">
        <f t="shared" si="58"/>
        <v>7257</v>
      </c>
      <c r="S237" s="124">
        <f>SUM(D204:D237)</f>
        <v>538672142556</v>
      </c>
      <c r="T237" s="124">
        <f>SUM(F204:F237)</f>
        <v>348229248413</v>
      </c>
      <c r="U237" s="124">
        <f>SUM(J204:J237)</f>
        <v>1808937115.0272772</v>
      </c>
      <c r="W237" s="124">
        <f t="shared" si="59"/>
        <v>5747192.2104000002</v>
      </c>
      <c r="X237">
        <f t="shared" si="60"/>
        <v>0</v>
      </c>
    </row>
    <row r="238" spans="1:24">
      <c r="A238" s="23" t="s">
        <v>263</v>
      </c>
      <c r="B238" s="35" t="s">
        <v>264</v>
      </c>
      <c r="C238" s="97">
        <v>7342</v>
      </c>
      <c r="D238" s="132">
        <v>9450345108</v>
      </c>
      <c r="E238" s="116">
        <f t="shared" si="54"/>
        <v>1287162.2320893488</v>
      </c>
      <c r="F238" s="134">
        <v>6507558996</v>
      </c>
      <c r="G238" s="117">
        <f t="shared" si="55"/>
        <v>886346.90765458997</v>
      </c>
      <c r="H238" s="7"/>
      <c r="I238" s="136">
        <v>2.65</v>
      </c>
      <c r="J238" s="134">
        <v>17245031.339399997</v>
      </c>
      <c r="K238" s="120">
        <f t="shared" si="56"/>
        <v>2348.8193052846632</v>
      </c>
      <c r="L238" s="122">
        <f t="shared" si="51"/>
        <v>65075589.960000001</v>
      </c>
      <c r="M238" s="116">
        <f t="shared" si="52"/>
        <v>47830558.6206</v>
      </c>
      <c r="N238" s="123">
        <f t="shared" si="53"/>
        <v>6514.6497712612363</v>
      </c>
      <c r="O238" s="5"/>
      <c r="P238" s="5">
        <f t="shared" si="57"/>
        <v>1</v>
      </c>
      <c r="Q238" s="7">
        <f t="shared" si="58"/>
        <v>7342</v>
      </c>
      <c r="W238" s="124">
        <f t="shared" si="59"/>
        <v>17245031.339400001</v>
      </c>
      <c r="X238">
        <f t="shared" si="60"/>
        <v>0</v>
      </c>
    </row>
    <row r="239" spans="1:24">
      <c r="A239" s="23" t="s">
        <v>265</v>
      </c>
      <c r="B239" s="35" t="s">
        <v>264</v>
      </c>
      <c r="C239" s="97">
        <v>796</v>
      </c>
      <c r="D239" s="132">
        <v>1518797580</v>
      </c>
      <c r="E239" s="116">
        <f t="shared" si="54"/>
        <v>1908037.16080402</v>
      </c>
      <c r="F239" s="134">
        <v>1211741870</v>
      </c>
      <c r="G239" s="117">
        <f t="shared" si="55"/>
        <v>1522288.7814070352</v>
      </c>
      <c r="H239" s="7"/>
      <c r="I239" s="136">
        <v>2.76</v>
      </c>
      <c r="J239" s="134">
        <v>3344407.5611999999</v>
      </c>
      <c r="K239" s="120">
        <f t="shared" si="56"/>
        <v>4201.5170366834172</v>
      </c>
      <c r="L239" s="122">
        <f t="shared" si="51"/>
        <v>12117418.700000001</v>
      </c>
      <c r="M239" s="116">
        <f t="shared" si="52"/>
        <v>8773011.1388000008</v>
      </c>
      <c r="N239" s="123">
        <f t="shared" si="53"/>
        <v>11021.370777386936</v>
      </c>
      <c r="O239" s="5"/>
      <c r="P239" s="5">
        <f t="shared" si="57"/>
        <v>1</v>
      </c>
      <c r="Q239" s="7">
        <f t="shared" si="58"/>
        <v>796</v>
      </c>
      <c r="W239" s="124">
        <f t="shared" si="59"/>
        <v>3344407.5611999999</v>
      </c>
      <c r="X239">
        <f t="shared" si="60"/>
        <v>0</v>
      </c>
    </row>
    <row r="240" spans="1:24">
      <c r="A240" s="23" t="s">
        <v>266</v>
      </c>
      <c r="B240" s="35" t="s">
        <v>264</v>
      </c>
      <c r="C240" s="97">
        <v>26327</v>
      </c>
      <c r="D240" s="132">
        <v>18820716072</v>
      </c>
      <c r="E240" s="116">
        <f t="shared" si="54"/>
        <v>714882.67071827396</v>
      </c>
      <c r="F240" s="134">
        <v>11262290081</v>
      </c>
      <c r="G240" s="117">
        <f t="shared" si="55"/>
        <v>427784.78675884072</v>
      </c>
      <c r="H240" s="7"/>
      <c r="I240" s="136">
        <v>2.0133999999999999</v>
      </c>
      <c r="J240" s="134">
        <v>22675494.849085398</v>
      </c>
      <c r="K240" s="120">
        <f t="shared" si="56"/>
        <v>861.30188966024991</v>
      </c>
      <c r="L240" s="122">
        <f t="shared" si="51"/>
        <v>112622900.81</v>
      </c>
      <c r="M240" s="116">
        <f t="shared" si="52"/>
        <v>89947405.960914612</v>
      </c>
      <c r="N240" s="123">
        <f t="shared" si="53"/>
        <v>3416.5459779281578</v>
      </c>
      <c r="O240" s="5"/>
      <c r="P240" s="5">
        <f t="shared" si="57"/>
        <v>1</v>
      </c>
      <c r="Q240" s="7">
        <f t="shared" si="58"/>
        <v>26327</v>
      </c>
      <c r="W240" s="124">
        <f t="shared" si="59"/>
        <v>22675494.849085398</v>
      </c>
      <c r="X240">
        <f t="shared" si="60"/>
        <v>0</v>
      </c>
    </row>
    <row r="241" spans="1:24">
      <c r="A241" s="23" t="s">
        <v>267</v>
      </c>
      <c r="B241" s="35" t="s">
        <v>264</v>
      </c>
      <c r="C241" s="97">
        <v>216</v>
      </c>
      <c r="D241" s="132">
        <v>165768355</v>
      </c>
      <c r="E241" s="116">
        <f t="shared" si="54"/>
        <v>767446.08796296292</v>
      </c>
      <c r="F241" s="134">
        <v>107594394</v>
      </c>
      <c r="G241" s="117">
        <f t="shared" si="55"/>
        <v>498122.19444444444</v>
      </c>
      <c r="H241" s="7"/>
      <c r="I241" s="136">
        <v>2.8336999999999999</v>
      </c>
      <c r="J241" s="134">
        <v>304890.23427779996</v>
      </c>
      <c r="K241" s="120">
        <f t="shared" si="56"/>
        <v>1411.5288623972219</v>
      </c>
      <c r="L241" s="122">
        <f t="shared" si="51"/>
        <v>1075943.94</v>
      </c>
      <c r="M241" s="116">
        <f t="shared" si="52"/>
        <v>771053.70572219999</v>
      </c>
      <c r="N241" s="123">
        <f t="shared" si="53"/>
        <v>3569.6930820472221</v>
      </c>
      <c r="O241" s="5"/>
      <c r="P241" s="5">
        <f t="shared" si="57"/>
        <v>1</v>
      </c>
      <c r="Q241" s="7">
        <f t="shared" si="58"/>
        <v>216</v>
      </c>
      <c r="W241" s="124">
        <f t="shared" si="59"/>
        <v>304890.23427779996</v>
      </c>
      <c r="X241">
        <f t="shared" si="60"/>
        <v>0</v>
      </c>
    </row>
    <row r="242" spans="1:24">
      <c r="A242" s="23" t="s">
        <v>449</v>
      </c>
      <c r="B242" s="35" t="s">
        <v>264</v>
      </c>
      <c r="C242" s="97">
        <v>9920</v>
      </c>
      <c r="D242" s="132">
        <v>6813874209</v>
      </c>
      <c r="E242" s="116">
        <f t="shared" si="54"/>
        <v>686882.48074596771</v>
      </c>
      <c r="F242" s="134">
        <v>4709598147</v>
      </c>
      <c r="G242" s="117">
        <f t="shared" si="55"/>
        <v>474757.87772177422</v>
      </c>
      <c r="H242" s="7"/>
      <c r="I242" s="136">
        <v>2.2235</v>
      </c>
      <c r="J242" s="134">
        <v>10471791.4798545</v>
      </c>
      <c r="K242" s="120">
        <f t="shared" si="56"/>
        <v>1055.6241411143649</v>
      </c>
      <c r="L242" s="122">
        <f t="shared" si="51"/>
        <v>47095981.469999999</v>
      </c>
      <c r="M242" s="116">
        <f t="shared" si="52"/>
        <v>36624189.990145497</v>
      </c>
      <c r="N242" s="123">
        <f t="shared" si="53"/>
        <v>3691.9546361033767</v>
      </c>
      <c r="O242" s="5"/>
      <c r="P242" s="5">
        <f t="shared" si="57"/>
        <v>1</v>
      </c>
      <c r="Q242" s="7">
        <f t="shared" si="58"/>
        <v>9920</v>
      </c>
      <c r="S242" s="124">
        <f>SUM(D238:D242)</f>
        <v>36769501324</v>
      </c>
      <c r="T242" s="124">
        <f>SUM(F238:F242)</f>
        <v>23798783488</v>
      </c>
      <c r="U242" s="124">
        <f>SUM(J238:J242)</f>
        <v>54041615.463817693</v>
      </c>
      <c r="W242" s="124">
        <f t="shared" si="59"/>
        <v>10471791.479854502</v>
      </c>
      <c r="X242">
        <f t="shared" si="60"/>
        <v>0</v>
      </c>
    </row>
    <row r="243" spans="1:24">
      <c r="A243" s="23" t="s">
        <v>268</v>
      </c>
      <c r="B243" s="35" t="s">
        <v>269</v>
      </c>
      <c r="C243" s="97">
        <v>1733</v>
      </c>
      <c r="D243" s="132">
        <v>334071383</v>
      </c>
      <c r="E243" s="116">
        <f t="shared" si="54"/>
        <v>192770.5614541258</v>
      </c>
      <c r="F243" s="134">
        <v>188681253</v>
      </c>
      <c r="G243" s="117">
        <f t="shared" si="55"/>
        <v>108875.50663589152</v>
      </c>
      <c r="H243" s="7"/>
      <c r="I243" s="136">
        <v>1.7814000000000001</v>
      </c>
      <c r="J243" s="134">
        <v>336116.7840942</v>
      </c>
      <c r="K243" s="120">
        <f t="shared" si="56"/>
        <v>193.95082752117716</v>
      </c>
      <c r="L243" s="122">
        <f t="shared" si="51"/>
        <v>1886812.53</v>
      </c>
      <c r="M243" s="116">
        <f t="shared" si="52"/>
        <v>1550695.7459058</v>
      </c>
      <c r="N243" s="123">
        <f t="shared" si="53"/>
        <v>894.80423883773801</v>
      </c>
      <c r="O243" s="5"/>
      <c r="P243" s="5">
        <f t="shared" si="57"/>
        <v>1</v>
      </c>
      <c r="Q243" s="7">
        <f t="shared" si="58"/>
        <v>1733</v>
      </c>
      <c r="W243" s="124">
        <f t="shared" si="59"/>
        <v>336116.7840942</v>
      </c>
      <c r="X243">
        <f t="shared" si="60"/>
        <v>0</v>
      </c>
    </row>
    <row r="244" spans="1:24">
      <c r="A244" s="23" t="s">
        <v>270</v>
      </c>
      <c r="B244" s="35" t="s">
        <v>269</v>
      </c>
      <c r="C244" s="97">
        <v>13648</v>
      </c>
      <c r="D244" s="132">
        <v>6858126121</v>
      </c>
      <c r="E244" s="116">
        <f t="shared" si="54"/>
        <v>502500.44849062135</v>
      </c>
      <c r="F244" s="134">
        <v>4338751958</v>
      </c>
      <c r="G244" s="117">
        <f t="shared" si="55"/>
        <v>317903.86562133644</v>
      </c>
      <c r="H244" s="7"/>
      <c r="I244" s="136">
        <v>4.6848999999999998</v>
      </c>
      <c r="J244" s="134">
        <v>20326619.048034199</v>
      </c>
      <c r="K244" s="120">
        <f t="shared" si="56"/>
        <v>1489.3478200493992</v>
      </c>
      <c r="L244" s="122">
        <f t="shared" si="51"/>
        <v>43387519.579999998</v>
      </c>
      <c r="M244" s="116">
        <f t="shared" si="52"/>
        <v>23060900.5319658</v>
      </c>
      <c r="N244" s="123">
        <f t="shared" si="53"/>
        <v>1689.6908361639653</v>
      </c>
      <c r="O244" s="5"/>
      <c r="P244" s="5">
        <f t="shared" si="57"/>
        <v>1</v>
      </c>
      <c r="Q244" s="7">
        <f t="shared" si="58"/>
        <v>13648</v>
      </c>
      <c r="S244" s="124"/>
      <c r="T244" s="124"/>
      <c r="U244" s="124"/>
      <c r="W244" s="124">
        <f t="shared" si="59"/>
        <v>20326619.048034199</v>
      </c>
      <c r="X244">
        <f t="shared" si="60"/>
        <v>0</v>
      </c>
    </row>
    <row r="245" spans="1:24">
      <c r="A245" s="23" t="s">
        <v>271</v>
      </c>
      <c r="B245" s="35" t="s">
        <v>269</v>
      </c>
      <c r="C245" s="97">
        <v>3114</v>
      </c>
      <c r="D245" s="132">
        <v>511540771</v>
      </c>
      <c r="E245" s="116">
        <f t="shared" si="54"/>
        <v>164271.28163134234</v>
      </c>
      <c r="F245" s="187">
        <v>175385415</v>
      </c>
      <c r="G245" s="117">
        <f t="shared" si="55"/>
        <v>56321.584778420038</v>
      </c>
      <c r="H245" s="7"/>
      <c r="I245" s="136">
        <v>3.25</v>
      </c>
      <c r="J245" s="134">
        <v>570002.59875</v>
      </c>
      <c r="K245" s="120">
        <f t="shared" si="56"/>
        <v>183.04515052986514</v>
      </c>
      <c r="L245" s="122">
        <f t="shared" si="51"/>
        <v>1753854.1500000001</v>
      </c>
      <c r="M245" s="116">
        <f t="shared" si="52"/>
        <v>1183851.55125</v>
      </c>
      <c r="N245" s="123">
        <f t="shared" si="53"/>
        <v>380.17069725433527</v>
      </c>
      <c r="O245" s="5"/>
      <c r="P245" s="5">
        <f t="shared" si="57"/>
        <v>1</v>
      </c>
      <c r="Q245" s="7">
        <f t="shared" si="58"/>
        <v>3114</v>
      </c>
      <c r="S245" s="124">
        <f>SUM(D243:D245)</f>
        <v>7703738275</v>
      </c>
      <c r="T245" s="124">
        <f>SUM(F243:F245)</f>
        <v>4702818626</v>
      </c>
      <c r="U245" s="124">
        <f>SUM(J243:J245)</f>
        <v>21232738.430878397</v>
      </c>
      <c r="W245" s="124">
        <f t="shared" si="59"/>
        <v>570002.59875</v>
      </c>
      <c r="X245">
        <f t="shared" si="60"/>
        <v>0</v>
      </c>
    </row>
    <row r="246" spans="1:24">
      <c r="A246" s="23" t="s">
        <v>272</v>
      </c>
      <c r="B246" s="35" t="s">
        <v>273</v>
      </c>
      <c r="C246" s="97">
        <v>466</v>
      </c>
      <c r="D246" s="132">
        <v>105209607</v>
      </c>
      <c r="E246" s="116">
        <f t="shared" si="54"/>
        <v>225771.68884120171</v>
      </c>
      <c r="F246" s="134">
        <v>78796709</v>
      </c>
      <c r="G246" s="117">
        <f t="shared" si="55"/>
        <v>169091.65021459229</v>
      </c>
      <c r="H246" s="7"/>
      <c r="I246" s="136">
        <v>3</v>
      </c>
      <c r="J246" s="134">
        <v>236390.12700000001</v>
      </c>
      <c r="K246" s="120">
        <f t="shared" si="56"/>
        <v>507.27495064377683</v>
      </c>
      <c r="L246" s="122">
        <f t="shared" si="51"/>
        <v>787967.09</v>
      </c>
      <c r="M246" s="116">
        <f t="shared" si="52"/>
        <v>551576.96299999999</v>
      </c>
      <c r="N246" s="123">
        <f t="shared" si="53"/>
        <v>1183.6415515021458</v>
      </c>
      <c r="O246" s="5"/>
      <c r="P246" s="5">
        <f t="shared" si="57"/>
        <v>1</v>
      </c>
      <c r="Q246" s="7">
        <f t="shared" si="58"/>
        <v>466</v>
      </c>
      <c r="W246" s="124">
        <f t="shared" si="59"/>
        <v>236390.12700000001</v>
      </c>
      <c r="X246">
        <f t="shared" si="60"/>
        <v>0</v>
      </c>
    </row>
    <row r="247" spans="1:24">
      <c r="A247" s="23" t="s">
        <v>274</v>
      </c>
      <c r="B247" s="35" t="s">
        <v>273</v>
      </c>
      <c r="C247" s="97">
        <v>29872</v>
      </c>
      <c r="D247" s="132">
        <v>2957782935</v>
      </c>
      <c r="E247" s="116">
        <f t="shared" si="54"/>
        <v>99015.229479110872</v>
      </c>
      <c r="F247" s="134">
        <v>1994431983</v>
      </c>
      <c r="G247" s="117">
        <f t="shared" si="55"/>
        <v>66765.934085431174</v>
      </c>
      <c r="H247" s="9"/>
      <c r="I247" s="136">
        <v>6.7465999999999999</v>
      </c>
      <c r="J247" s="134">
        <v>13455634.8165078</v>
      </c>
      <c r="K247" s="120">
        <f t="shared" si="56"/>
        <v>450.44305090076995</v>
      </c>
      <c r="L247" s="122">
        <f t="shared" si="51"/>
        <v>19944319.830000002</v>
      </c>
      <c r="M247" s="116">
        <f t="shared" si="52"/>
        <v>6488685.0134922024</v>
      </c>
      <c r="N247" s="123">
        <f t="shared" si="53"/>
        <v>217.21628995354186</v>
      </c>
      <c r="O247" s="5"/>
      <c r="P247" s="5">
        <f t="shared" si="57"/>
        <v>1</v>
      </c>
      <c r="Q247" s="7">
        <f t="shared" si="58"/>
        <v>29872</v>
      </c>
      <c r="W247" s="124">
        <f t="shared" si="59"/>
        <v>13455634.8165078</v>
      </c>
      <c r="X247">
        <f t="shared" si="60"/>
        <v>0</v>
      </c>
    </row>
    <row r="248" spans="1:24">
      <c r="A248" s="23" t="s">
        <v>275</v>
      </c>
      <c r="B248" s="35" t="s">
        <v>273</v>
      </c>
      <c r="C248" s="97">
        <v>14608</v>
      </c>
      <c r="D248" s="132">
        <v>11101948541</v>
      </c>
      <c r="E248" s="116">
        <f t="shared" si="54"/>
        <v>759991.00088992331</v>
      </c>
      <c r="F248" s="134">
        <v>8730330298</v>
      </c>
      <c r="G248" s="117">
        <f t="shared" si="55"/>
        <v>597640.35446330777</v>
      </c>
      <c r="H248" s="9"/>
      <c r="I248" s="136">
        <v>1.615</v>
      </c>
      <c r="J248" s="134">
        <v>14099483.43127</v>
      </c>
      <c r="K248" s="120">
        <f t="shared" si="56"/>
        <v>965.18917245824207</v>
      </c>
      <c r="L248" s="122">
        <f t="shared" si="51"/>
        <v>87303302.980000004</v>
      </c>
      <c r="M248" s="116">
        <f t="shared" si="52"/>
        <v>73203819.548730001</v>
      </c>
      <c r="N248" s="123">
        <f t="shared" si="53"/>
        <v>5011.2143721748362</v>
      </c>
      <c r="O248" s="5"/>
      <c r="P248" s="5">
        <f t="shared" si="57"/>
        <v>1</v>
      </c>
      <c r="Q248" s="7">
        <f t="shared" si="58"/>
        <v>14608</v>
      </c>
      <c r="W248" s="124">
        <f t="shared" si="59"/>
        <v>14099483.43127</v>
      </c>
      <c r="X248">
        <f t="shared" si="60"/>
        <v>0</v>
      </c>
    </row>
    <row r="249" spans="1:24">
      <c r="A249" s="23" t="s">
        <v>276</v>
      </c>
      <c r="B249" s="35" t="s">
        <v>273</v>
      </c>
      <c r="C249" s="97">
        <v>21090</v>
      </c>
      <c r="D249" s="132">
        <v>3441405964</v>
      </c>
      <c r="E249" s="116">
        <f t="shared" si="54"/>
        <v>163177.14385964914</v>
      </c>
      <c r="F249" s="134">
        <v>2200245994</v>
      </c>
      <c r="G249" s="117">
        <f t="shared" si="55"/>
        <v>104326.50516832623</v>
      </c>
      <c r="H249" s="7"/>
      <c r="I249" s="150">
        <v>4.3281999999999998</v>
      </c>
      <c r="J249" s="134">
        <v>9523104.7112307996</v>
      </c>
      <c r="K249" s="120">
        <f t="shared" si="56"/>
        <v>451.54597966954952</v>
      </c>
      <c r="L249" s="122">
        <f t="shared" si="51"/>
        <v>22002459.940000001</v>
      </c>
      <c r="M249" s="116">
        <f t="shared" si="52"/>
        <v>12479355.228769202</v>
      </c>
      <c r="N249" s="123">
        <f t="shared" si="53"/>
        <v>591.71907201371278</v>
      </c>
      <c r="O249" s="5"/>
      <c r="P249" s="5">
        <f t="shared" si="57"/>
        <v>1</v>
      </c>
      <c r="Q249" s="7">
        <f t="shared" si="58"/>
        <v>21090</v>
      </c>
      <c r="W249" s="124">
        <f t="shared" si="59"/>
        <v>9523104.7112307996</v>
      </c>
      <c r="X249">
        <f t="shared" si="60"/>
        <v>0</v>
      </c>
    </row>
    <row r="250" spans="1:24">
      <c r="A250" s="23" t="s">
        <v>277</v>
      </c>
      <c r="B250" s="35" t="s">
        <v>273</v>
      </c>
      <c r="C250" s="97">
        <v>685</v>
      </c>
      <c r="D250" s="132">
        <v>54461230</v>
      </c>
      <c r="E250" s="116">
        <f t="shared" si="54"/>
        <v>79505.445255474449</v>
      </c>
      <c r="F250" s="134">
        <v>29430915</v>
      </c>
      <c r="G250" s="117">
        <f t="shared" si="55"/>
        <v>42964.839416058392</v>
      </c>
      <c r="H250" s="7"/>
      <c r="I250" s="136">
        <v>3.5</v>
      </c>
      <c r="J250" s="134">
        <v>103008.2025</v>
      </c>
      <c r="K250" s="120">
        <f t="shared" si="56"/>
        <v>150.37693795620439</v>
      </c>
      <c r="L250" s="122">
        <f t="shared" si="51"/>
        <v>294309.15000000002</v>
      </c>
      <c r="M250" s="116">
        <f t="shared" si="52"/>
        <v>191300.94750000001</v>
      </c>
      <c r="N250" s="123">
        <f t="shared" si="53"/>
        <v>279.2714562043796</v>
      </c>
      <c r="O250" s="5"/>
      <c r="P250" s="5">
        <f t="shared" si="57"/>
        <v>1</v>
      </c>
      <c r="Q250" s="7">
        <f t="shared" si="58"/>
        <v>685</v>
      </c>
      <c r="W250" s="124">
        <f t="shared" si="59"/>
        <v>103008.2025</v>
      </c>
      <c r="X250">
        <f t="shared" si="60"/>
        <v>0</v>
      </c>
    </row>
    <row r="251" spans="1:24">
      <c r="A251" s="23" t="s">
        <v>278</v>
      </c>
      <c r="B251" s="35" t="s">
        <v>273</v>
      </c>
      <c r="C251" s="97">
        <v>4493</v>
      </c>
      <c r="D251" s="132">
        <v>704709946</v>
      </c>
      <c r="E251" s="116">
        <f t="shared" si="54"/>
        <v>156846.19318940575</v>
      </c>
      <c r="F251" s="134">
        <v>463979543</v>
      </c>
      <c r="G251" s="117">
        <f t="shared" si="55"/>
        <v>103267.20298241709</v>
      </c>
      <c r="H251" s="7"/>
      <c r="I251" s="136">
        <v>5.0260999999999996</v>
      </c>
      <c r="J251" s="134">
        <v>2332007.5810722997</v>
      </c>
      <c r="K251" s="120">
        <f t="shared" si="56"/>
        <v>519.0312889099265</v>
      </c>
      <c r="L251" s="122">
        <f t="shared" si="51"/>
        <v>4639795.43</v>
      </c>
      <c r="M251" s="116">
        <f t="shared" si="52"/>
        <v>2307787.8489277</v>
      </c>
      <c r="N251" s="123">
        <f t="shared" si="53"/>
        <v>513.64074091424436</v>
      </c>
      <c r="O251" s="5"/>
      <c r="P251" s="5">
        <f t="shared" si="57"/>
        <v>1</v>
      </c>
      <c r="Q251" s="7">
        <f t="shared" si="58"/>
        <v>4493</v>
      </c>
      <c r="W251" s="124">
        <f t="shared" si="59"/>
        <v>2332007.5810722997</v>
      </c>
      <c r="X251">
        <f t="shared" si="60"/>
        <v>0</v>
      </c>
    </row>
    <row r="252" spans="1:24">
      <c r="A252" s="23" t="s">
        <v>279</v>
      </c>
      <c r="B252" s="35" t="s">
        <v>273</v>
      </c>
      <c r="C252" s="97">
        <v>16594</v>
      </c>
      <c r="D252" s="132">
        <v>2890276564</v>
      </c>
      <c r="E252" s="116">
        <f t="shared" si="54"/>
        <v>174176.0012052549</v>
      </c>
      <c r="F252" s="134">
        <v>1775300789</v>
      </c>
      <c r="G252" s="117">
        <f t="shared" si="55"/>
        <v>106984.49975894902</v>
      </c>
      <c r="H252" s="7"/>
      <c r="I252" s="136">
        <v>4</v>
      </c>
      <c r="J252" s="134">
        <v>7101203.1560000004</v>
      </c>
      <c r="K252" s="120">
        <f t="shared" si="56"/>
        <v>427.93799903579611</v>
      </c>
      <c r="L252" s="122">
        <f t="shared" si="51"/>
        <v>17753007.890000001</v>
      </c>
      <c r="M252" s="116">
        <f t="shared" si="52"/>
        <v>10651804.734000001</v>
      </c>
      <c r="N252" s="123">
        <f t="shared" si="53"/>
        <v>641.90699855369417</v>
      </c>
      <c r="O252" s="5"/>
      <c r="P252" s="5">
        <f t="shared" si="57"/>
        <v>1</v>
      </c>
      <c r="Q252" s="7">
        <f t="shared" si="58"/>
        <v>16594</v>
      </c>
      <c r="W252" s="124">
        <f t="shared" si="59"/>
        <v>7101203.1560000004</v>
      </c>
      <c r="X252">
        <f t="shared" si="60"/>
        <v>0</v>
      </c>
    </row>
    <row r="253" spans="1:24">
      <c r="A253" s="23" t="s">
        <v>280</v>
      </c>
      <c r="B253" s="35" t="s">
        <v>273</v>
      </c>
      <c r="C253" s="97">
        <v>756</v>
      </c>
      <c r="D253" s="132">
        <v>211528628</v>
      </c>
      <c r="E253" s="116">
        <f t="shared" si="54"/>
        <v>279799.7724867725</v>
      </c>
      <c r="F253" s="134">
        <v>135843868</v>
      </c>
      <c r="G253" s="117">
        <f t="shared" si="55"/>
        <v>179687.65608465608</v>
      </c>
      <c r="H253" s="7"/>
      <c r="I253" s="136">
        <v>2</v>
      </c>
      <c r="J253" s="134">
        <v>271687.73599999998</v>
      </c>
      <c r="K253" s="120">
        <f t="shared" si="56"/>
        <v>359.37531216931211</v>
      </c>
      <c r="L253" s="122">
        <f t="shared" si="51"/>
        <v>1358438.68</v>
      </c>
      <c r="M253" s="116">
        <f t="shared" si="52"/>
        <v>1086750.9439999999</v>
      </c>
      <c r="N253" s="123">
        <f t="shared" si="53"/>
        <v>1437.5012486772484</v>
      </c>
      <c r="O253" s="5"/>
      <c r="P253" s="5">
        <f t="shared" si="57"/>
        <v>1</v>
      </c>
      <c r="Q253" s="7">
        <f t="shared" si="58"/>
        <v>756</v>
      </c>
      <c r="S253" s="124"/>
      <c r="T253" s="124"/>
      <c r="U253" s="124"/>
      <c r="W253" s="124">
        <f t="shared" si="59"/>
        <v>271687.73600000003</v>
      </c>
      <c r="X253">
        <f t="shared" si="60"/>
        <v>0</v>
      </c>
    </row>
    <row r="254" spans="1:24">
      <c r="A254" s="23" t="s">
        <v>281</v>
      </c>
      <c r="B254" s="35" t="s">
        <v>273</v>
      </c>
      <c r="C254" s="97">
        <v>5050</v>
      </c>
      <c r="D254" s="132">
        <v>746644252</v>
      </c>
      <c r="E254" s="116">
        <f t="shared" si="54"/>
        <v>147850.34693069308</v>
      </c>
      <c r="F254" s="134">
        <v>420056366</v>
      </c>
      <c r="G254" s="117">
        <f t="shared" si="55"/>
        <v>83179.478415841586</v>
      </c>
      <c r="H254" s="7"/>
      <c r="I254" s="136">
        <v>5.6504000000000003</v>
      </c>
      <c r="J254" s="134">
        <v>2373486.4904464004</v>
      </c>
      <c r="K254" s="120">
        <f t="shared" si="56"/>
        <v>469.99732484087139</v>
      </c>
      <c r="L254" s="122">
        <f t="shared" si="51"/>
        <v>4200563.66</v>
      </c>
      <c r="M254" s="116">
        <f t="shared" si="52"/>
        <v>1827077.1695535998</v>
      </c>
      <c r="N254" s="123">
        <f t="shared" si="53"/>
        <v>361.79745931754451</v>
      </c>
      <c r="O254" s="5"/>
      <c r="P254" s="5">
        <f t="shared" si="57"/>
        <v>1</v>
      </c>
      <c r="Q254" s="7">
        <f t="shared" si="58"/>
        <v>5050</v>
      </c>
      <c r="S254" s="124">
        <f>SUM(D246:D254)</f>
        <v>22213967667</v>
      </c>
      <c r="T254" s="124">
        <f>SUM(F246:F254)</f>
        <v>15828416465</v>
      </c>
      <c r="U254" s="124">
        <f>SUM(J246:J254)</f>
        <v>49496006.25202731</v>
      </c>
      <c r="W254" s="124">
        <f t="shared" si="59"/>
        <v>2373486.4904464004</v>
      </c>
      <c r="X254">
        <f t="shared" si="60"/>
        <v>0</v>
      </c>
    </row>
    <row r="255" spans="1:24">
      <c r="A255" s="23" t="s">
        <v>282</v>
      </c>
      <c r="B255" s="35" t="s">
        <v>282</v>
      </c>
      <c r="C255" s="97">
        <v>5452</v>
      </c>
      <c r="D255" s="132">
        <v>796355860</v>
      </c>
      <c r="E255" s="116">
        <f t="shared" si="54"/>
        <v>146066.73881144534</v>
      </c>
      <c r="F255" s="134">
        <v>494865581</v>
      </c>
      <c r="G255" s="117">
        <f t="shared" si="55"/>
        <v>90767.714783565665</v>
      </c>
      <c r="H255" s="7"/>
      <c r="I255" s="136">
        <v>6.1601999999999997</v>
      </c>
      <c r="J255" s="134">
        <v>3048470.9520761999</v>
      </c>
      <c r="K255" s="120">
        <f t="shared" si="56"/>
        <v>559.14727660972119</v>
      </c>
      <c r="L255" s="122">
        <f t="shared" si="51"/>
        <v>4948655.8100000005</v>
      </c>
      <c r="M255" s="116">
        <f t="shared" si="52"/>
        <v>1900184.8579238006</v>
      </c>
      <c r="N255" s="123">
        <f t="shared" si="53"/>
        <v>348.52987122593555</v>
      </c>
      <c r="O255" s="5"/>
      <c r="P255" s="5">
        <f t="shared" si="57"/>
        <v>1</v>
      </c>
      <c r="Q255" s="7">
        <f t="shared" si="58"/>
        <v>5452</v>
      </c>
      <c r="S255" s="124">
        <f>SUM(D255)</f>
        <v>796355860</v>
      </c>
      <c r="T255" s="124">
        <f>SUM(F255)</f>
        <v>494865581</v>
      </c>
      <c r="U255" s="124">
        <f>SUM(J255)</f>
        <v>3048470.9520761999</v>
      </c>
      <c r="W255" s="124">
        <f t="shared" si="59"/>
        <v>3048470.9520761995</v>
      </c>
      <c r="X255">
        <f t="shared" si="60"/>
        <v>0</v>
      </c>
    </row>
    <row r="256" spans="1:24">
      <c r="A256" s="23" t="s">
        <v>283</v>
      </c>
      <c r="B256" s="35" t="s">
        <v>284</v>
      </c>
      <c r="C256" s="97">
        <v>61820</v>
      </c>
      <c r="D256" s="132">
        <v>10862198076</v>
      </c>
      <c r="E256" s="116">
        <f t="shared" si="54"/>
        <v>175706.85985118084</v>
      </c>
      <c r="F256" s="134">
        <v>7189466559</v>
      </c>
      <c r="G256" s="117">
        <f t="shared" si="55"/>
        <v>116296.77384341638</v>
      </c>
      <c r="H256" s="7"/>
      <c r="I256" s="136">
        <v>4.6875999999999998</v>
      </c>
      <c r="J256" s="134">
        <v>33701343.441968396</v>
      </c>
      <c r="K256" s="120">
        <f t="shared" si="56"/>
        <v>545.1527570683985</v>
      </c>
      <c r="L256" s="122">
        <f t="shared" si="51"/>
        <v>71894665.590000004</v>
      </c>
      <c r="M256" s="116">
        <f t="shared" si="52"/>
        <v>38193322.148031607</v>
      </c>
      <c r="N256" s="123">
        <f t="shared" si="53"/>
        <v>617.81498136576522</v>
      </c>
      <c r="O256" s="5"/>
      <c r="P256" s="5">
        <f t="shared" si="57"/>
        <v>1</v>
      </c>
      <c r="Q256" s="7">
        <f t="shared" si="58"/>
        <v>61820</v>
      </c>
      <c r="W256" s="124">
        <f t="shared" si="59"/>
        <v>33701343.441968404</v>
      </c>
      <c r="X256">
        <f t="shared" si="60"/>
        <v>0</v>
      </c>
    </row>
    <row r="257" spans="1:24">
      <c r="A257" s="23" t="s">
        <v>285</v>
      </c>
      <c r="B257" s="35" t="s">
        <v>284</v>
      </c>
      <c r="C257" s="97">
        <v>14</v>
      </c>
      <c r="D257" s="132">
        <v>13953279086</v>
      </c>
      <c r="E257" s="116">
        <f t="shared" si="54"/>
        <v>996662791.85714281</v>
      </c>
      <c r="F257" s="134">
        <v>12184658491</v>
      </c>
      <c r="G257" s="117">
        <f t="shared" si="55"/>
        <v>870332749.35714281</v>
      </c>
      <c r="H257" s="7"/>
      <c r="I257" s="136">
        <v>1.885</v>
      </c>
      <c r="J257" s="134">
        <v>22968081.255534999</v>
      </c>
      <c r="K257" s="120">
        <f t="shared" si="56"/>
        <v>1640577.2325382142</v>
      </c>
      <c r="L257" s="122">
        <f t="shared" si="51"/>
        <v>121846584.91</v>
      </c>
      <c r="M257" s="116">
        <f t="shared" si="52"/>
        <v>98878503.65446499</v>
      </c>
      <c r="N257" s="123">
        <f t="shared" si="53"/>
        <v>7062750.2610332137</v>
      </c>
      <c r="O257" s="5"/>
      <c r="P257" s="5">
        <f t="shared" si="57"/>
        <v>1</v>
      </c>
      <c r="Q257" s="7">
        <f t="shared" si="58"/>
        <v>14</v>
      </c>
      <c r="W257" s="124">
        <f t="shared" si="59"/>
        <v>22968081.255534999</v>
      </c>
      <c r="X257">
        <f t="shared" si="60"/>
        <v>0</v>
      </c>
    </row>
    <row r="258" spans="1:24">
      <c r="A258" s="23" t="s">
        <v>286</v>
      </c>
      <c r="B258" s="35" t="s">
        <v>284</v>
      </c>
      <c r="C258" s="97">
        <v>7293</v>
      </c>
      <c r="D258" s="132">
        <v>1820397238</v>
      </c>
      <c r="E258" s="116">
        <f t="shared" si="54"/>
        <v>249608.83559577676</v>
      </c>
      <c r="F258" s="134">
        <v>1107701336</v>
      </c>
      <c r="G258" s="117">
        <f t="shared" si="55"/>
        <v>151885.55272178803</v>
      </c>
      <c r="H258" s="7"/>
      <c r="I258" s="136">
        <v>4.4017999999999997</v>
      </c>
      <c r="J258" s="134">
        <v>4875879.7408047998</v>
      </c>
      <c r="K258" s="120">
        <f t="shared" si="56"/>
        <v>668.56982597076649</v>
      </c>
      <c r="L258" s="122">
        <f t="shared" si="51"/>
        <v>11077013.359999999</v>
      </c>
      <c r="M258" s="116">
        <f t="shared" si="52"/>
        <v>6201133.6191951996</v>
      </c>
      <c r="N258" s="123">
        <f t="shared" si="53"/>
        <v>850.28570124711359</v>
      </c>
      <c r="O258" s="5"/>
      <c r="P258" s="5">
        <f t="shared" si="57"/>
        <v>1</v>
      </c>
      <c r="Q258" s="7">
        <f t="shared" si="58"/>
        <v>7293</v>
      </c>
      <c r="W258" s="124">
        <f t="shared" si="59"/>
        <v>4875879.7408047998</v>
      </c>
      <c r="X258">
        <f t="shared" si="60"/>
        <v>0</v>
      </c>
    </row>
    <row r="259" spans="1:24">
      <c r="A259" s="23" t="s">
        <v>287</v>
      </c>
      <c r="B259" s="35" t="s">
        <v>284</v>
      </c>
      <c r="C259" s="97">
        <v>2464</v>
      </c>
      <c r="D259" s="132">
        <v>545247172</v>
      </c>
      <c r="E259" s="116">
        <f t="shared" si="54"/>
        <v>221285.37824675324</v>
      </c>
      <c r="F259" s="134">
        <v>381349602</v>
      </c>
      <c r="G259" s="117">
        <f t="shared" si="55"/>
        <v>154768.5073051948</v>
      </c>
      <c r="H259" s="7"/>
      <c r="I259" s="136">
        <v>7.2938000000000001</v>
      </c>
      <c r="J259" s="134">
        <v>2781487.7270676005</v>
      </c>
      <c r="K259" s="120">
        <f t="shared" si="56"/>
        <v>1128.85053858263</v>
      </c>
      <c r="L259" s="122">
        <f t="shared" si="51"/>
        <v>3813496.02</v>
      </c>
      <c r="M259" s="116">
        <f t="shared" si="52"/>
        <v>1032008.2929323995</v>
      </c>
      <c r="N259" s="123">
        <f t="shared" si="53"/>
        <v>418.83453446931799</v>
      </c>
      <c r="O259" s="5"/>
      <c r="P259" s="5">
        <f t="shared" si="57"/>
        <v>1</v>
      </c>
      <c r="Q259" s="7">
        <f t="shared" si="58"/>
        <v>2464</v>
      </c>
      <c r="W259" s="124">
        <f t="shared" si="59"/>
        <v>2781487.7270676</v>
      </c>
      <c r="X259">
        <f t="shared" si="60"/>
        <v>0</v>
      </c>
    </row>
    <row r="260" spans="1:24">
      <c r="A260" s="23" t="s">
        <v>288</v>
      </c>
      <c r="B260" s="35" t="s">
        <v>284</v>
      </c>
      <c r="C260" s="97">
        <v>2553</v>
      </c>
      <c r="D260" s="132">
        <v>807467648</v>
      </c>
      <c r="E260" s="116">
        <f t="shared" si="54"/>
        <v>316281.88327457896</v>
      </c>
      <c r="F260" s="134">
        <v>541679351</v>
      </c>
      <c r="G260" s="117">
        <f t="shared" si="55"/>
        <v>212173.6588327458</v>
      </c>
      <c r="H260" s="7"/>
      <c r="I260" s="136">
        <v>5.25</v>
      </c>
      <c r="J260" s="134">
        <v>2843816.5927499998</v>
      </c>
      <c r="K260" s="120">
        <f t="shared" si="56"/>
        <v>1113.9117088719154</v>
      </c>
      <c r="L260" s="122">
        <f t="shared" si="51"/>
        <v>5416793.5099999998</v>
      </c>
      <c r="M260" s="116">
        <f t="shared" si="52"/>
        <v>2572976.9172499999</v>
      </c>
      <c r="N260" s="123">
        <f t="shared" si="53"/>
        <v>1007.8248794555425</v>
      </c>
      <c r="O260" s="5"/>
      <c r="P260" s="5">
        <f t="shared" si="57"/>
        <v>1</v>
      </c>
      <c r="Q260" s="7">
        <f t="shared" si="58"/>
        <v>2553</v>
      </c>
      <c r="W260" s="124">
        <f t="shared" si="59"/>
        <v>2843816.5927500003</v>
      </c>
      <c r="X260">
        <f t="shared" si="60"/>
        <v>0</v>
      </c>
    </row>
    <row r="261" spans="1:24">
      <c r="A261" s="23" t="s">
        <v>289</v>
      </c>
      <c r="B261" s="35" t="s">
        <v>284</v>
      </c>
      <c r="C261" s="97">
        <v>21</v>
      </c>
      <c r="D261" s="132">
        <v>4009124866</v>
      </c>
      <c r="E261" s="116">
        <f t="shared" si="54"/>
        <v>190910707.90476191</v>
      </c>
      <c r="F261" s="134">
        <v>3246793633</v>
      </c>
      <c r="G261" s="117">
        <f t="shared" si="55"/>
        <v>154609220.61904761</v>
      </c>
      <c r="H261" s="7"/>
      <c r="I261" s="136">
        <v>1.9242999999999999</v>
      </c>
      <c r="J261" s="134">
        <v>6247804.9879818996</v>
      </c>
      <c r="K261" s="120">
        <f t="shared" si="56"/>
        <v>297514.52323723334</v>
      </c>
      <c r="L261" s="122">
        <f t="shared" si="51"/>
        <v>32467936.330000002</v>
      </c>
      <c r="M261" s="116">
        <f t="shared" si="52"/>
        <v>26220131.342018101</v>
      </c>
      <c r="N261" s="123">
        <f t="shared" si="53"/>
        <v>1248577.6829532429</v>
      </c>
      <c r="O261" s="5"/>
      <c r="P261" s="5">
        <f t="shared" si="57"/>
        <v>1</v>
      </c>
      <c r="Q261" s="7">
        <f t="shared" si="58"/>
        <v>21</v>
      </c>
      <c r="W261" s="124">
        <f t="shared" si="59"/>
        <v>6247804.9879818996</v>
      </c>
      <c r="X261">
        <f t="shared" si="60"/>
        <v>0</v>
      </c>
    </row>
    <row r="262" spans="1:24">
      <c r="A262" s="23" t="s">
        <v>290</v>
      </c>
      <c r="B262" s="35" t="s">
        <v>284</v>
      </c>
      <c r="C262" s="97">
        <v>20042</v>
      </c>
      <c r="D262" s="132">
        <v>5683989680</v>
      </c>
      <c r="E262" s="116">
        <f t="shared" si="54"/>
        <v>283603.91577686858</v>
      </c>
      <c r="F262" s="134">
        <v>4023541828</v>
      </c>
      <c r="G262" s="117">
        <f t="shared" si="55"/>
        <v>200755.50483983636</v>
      </c>
      <c r="H262" s="7"/>
      <c r="I262" s="136">
        <v>5.0465</v>
      </c>
      <c r="J262" s="134">
        <v>20304803.835001998</v>
      </c>
      <c r="K262" s="120">
        <f t="shared" si="56"/>
        <v>1013.112655174234</v>
      </c>
      <c r="L262" s="122">
        <f t="shared" ref="L262:L325" si="61">(F262*0.01)</f>
        <v>40235418.280000001</v>
      </c>
      <c r="M262" s="116">
        <f t="shared" ref="M262:M325" si="62">(L262-J262)</f>
        <v>19930614.444998004</v>
      </c>
      <c r="N262" s="123">
        <f t="shared" ref="N262:N325" si="63">(M262/C262)</f>
        <v>994.44239322412955</v>
      </c>
      <c r="O262" s="5"/>
      <c r="P262" s="5">
        <f t="shared" si="57"/>
        <v>1</v>
      </c>
      <c r="Q262" s="7">
        <f t="shared" si="58"/>
        <v>20042</v>
      </c>
      <c r="W262" s="124">
        <f>F262*(I262/1000)</f>
        <v>20304803.835001998</v>
      </c>
      <c r="X262">
        <f t="shared" si="60"/>
        <v>0</v>
      </c>
    </row>
    <row r="263" spans="1:24">
      <c r="A263" s="23" t="s">
        <v>291</v>
      </c>
      <c r="B263" s="35" t="s">
        <v>284</v>
      </c>
      <c r="C263" s="97">
        <v>5402</v>
      </c>
      <c r="D263" s="132">
        <v>1216679904</v>
      </c>
      <c r="E263" s="116">
        <f t="shared" ref="E263:E275" si="64">(D263/C263)</f>
        <v>225227.67567567568</v>
      </c>
      <c r="F263" s="134">
        <v>846938763</v>
      </c>
      <c r="G263" s="117">
        <f t="shared" ref="G263:G275" si="65">(F263/C263)</f>
        <v>156782.4440947797</v>
      </c>
      <c r="H263" s="7"/>
      <c r="I263" s="136">
        <v>6.7</v>
      </c>
      <c r="J263" s="134">
        <v>5674489.7121000001</v>
      </c>
      <c r="K263" s="120">
        <f t="shared" ref="K263:K275" si="66">(J263/C263)</f>
        <v>1050.4423754350241</v>
      </c>
      <c r="L263" s="122">
        <f t="shared" si="61"/>
        <v>8469387.6300000008</v>
      </c>
      <c r="M263" s="116">
        <f t="shared" si="62"/>
        <v>2794897.9179000007</v>
      </c>
      <c r="N263" s="123">
        <f t="shared" si="63"/>
        <v>517.38206551277312</v>
      </c>
      <c r="O263" s="5"/>
      <c r="P263" s="5">
        <f t="shared" ref="P263:P327" si="67">IF(I263&gt;0,1,0)</f>
        <v>1</v>
      </c>
      <c r="Q263" s="7">
        <f t="shared" ref="Q263:Q327" si="68">IF(I263&gt;0,C263,0)</f>
        <v>5402</v>
      </c>
      <c r="W263" s="124">
        <f>F263*(I263/1000)</f>
        <v>5674489.7121000001</v>
      </c>
      <c r="X263">
        <f t="shared" ref="X263:X326" si="69">IF(W263=J263,0,1)</f>
        <v>0</v>
      </c>
    </row>
    <row r="264" spans="1:24">
      <c r="A264" s="23" t="s">
        <v>292</v>
      </c>
      <c r="B264" s="35" t="s">
        <v>284</v>
      </c>
      <c r="C264" s="97">
        <v>51186</v>
      </c>
      <c r="D264" s="132">
        <v>7971252349</v>
      </c>
      <c r="E264" s="116">
        <f t="shared" si="64"/>
        <v>155731.10516547493</v>
      </c>
      <c r="F264" s="134">
        <v>5025640264</v>
      </c>
      <c r="G264" s="117">
        <f t="shared" si="65"/>
        <v>98183.883561911454</v>
      </c>
      <c r="H264" s="7"/>
      <c r="I264" s="136">
        <v>4.95</v>
      </c>
      <c r="J264" s="134">
        <v>24876919.3068</v>
      </c>
      <c r="K264" s="120">
        <f t="shared" si="66"/>
        <v>486.01022363146171</v>
      </c>
      <c r="L264" s="122">
        <f t="shared" si="61"/>
        <v>50256402.640000001</v>
      </c>
      <c r="M264" s="116">
        <f t="shared" si="62"/>
        <v>25379483.3332</v>
      </c>
      <c r="N264" s="123">
        <f t="shared" si="63"/>
        <v>495.82861198765289</v>
      </c>
      <c r="O264" s="5"/>
      <c r="P264" s="5">
        <f t="shared" si="67"/>
        <v>1</v>
      </c>
      <c r="Q264" s="7">
        <f t="shared" si="68"/>
        <v>51186</v>
      </c>
      <c r="W264" s="124">
        <f t="shared" ref="W264:W327" si="70">F264*(I264/1000)</f>
        <v>24876919.3068</v>
      </c>
      <c r="X264">
        <f t="shared" si="69"/>
        <v>0</v>
      </c>
    </row>
    <row r="265" spans="1:24">
      <c r="A265" s="23" t="s">
        <v>293</v>
      </c>
      <c r="B265" s="35" t="s">
        <v>284</v>
      </c>
      <c r="C265" s="97">
        <v>335066</v>
      </c>
      <c r="D265" s="132">
        <v>88062519778</v>
      </c>
      <c r="E265" s="116">
        <f t="shared" si="64"/>
        <v>262821.41362597217</v>
      </c>
      <c r="F265" s="134">
        <v>53035046889</v>
      </c>
      <c r="G265" s="117">
        <f t="shared" si="65"/>
        <v>158282.38880996581</v>
      </c>
      <c r="H265" s="7"/>
      <c r="I265" s="136">
        <v>6.65</v>
      </c>
      <c r="J265" s="134">
        <v>352683061.81185001</v>
      </c>
      <c r="K265" s="120">
        <f t="shared" si="66"/>
        <v>1052.5778855862725</v>
      </c>
      <c r="L265" s="122">
        <f t="shared" si="61"/>
        <v>530350468.88999999</v>
      </c>
      <c r="M265" s="116">
        <f t="shared" si="62"/>
        <v>177667407.07814997</v>
      </c>
      <c r="N265" s="123">
        <f t="shared" si="63"/>
        <v>530.24600251338529</v>
      </c>
      <c r="O265" s="5"/>
      <c r="P265" s="5">
        <f t="shared" si="67"/>
        <v>1</v>
      </c>
      <c r="Q265" s="7">
        <f t="shared" si="68"/>
        <v>335066</v>
      </c>
      <c r="W265" s="124">
        <f t="shared" si="70"/>
        <v>352683061.81185001</v>
      </c>
      <c r="X265">
        <f t="shared" si="69"/>
        <v>0</v>
      </c>
    </row>
    <row r="266" spans="1:24">
      <c r="A266" s="23" t="s">
        <v>294</v>
      </c>
      <c r="B266" s="35" t="s">
        <v>284</v>
      </c>
      <c r="C266" s="97">
        <v>3044</v>
      </c>
      <c r="D266" s="132">
        <v>1513553669</v>
      </c>
      <c r="E266" s="116">
        <f t="shared" si="64"/>
        <v>497225.25262812088</v>
      </c>
      <c r="F266" s="134">
        <v>1029813203</v>
      </c>
      <c r="G266" s="117">
        <f t="shared" si="65"/>
        <v>338309.19940867281</v>
      </c>
      <c r="H266" s="7"/>
      <c r="I266" s="136">
        <v>3.7425000000000002</v>
      </c>
      <c r="J266" s="134">
        <v>3854075.9122274998</v>
      </c>
      <c r="K266" s="120">
        <f t="shared" si="66"/>
        <v>1266.1221787869579</v>
      </c>
      <c r="L266" s="122">
        <f t="shared" si="61"/>
        <v>10298132.029999999</v>
      </c>
      <c r="M266" s="116">
        <f t="shared" si="62"/>
        <v>6444056.1177724991</v>
      </c>
      <c r="N266" s="123">
        <f t="shared" si="63"/>
        <v>2116.9698152997698</v>
      </c>
      <c r="O266" s="5"/>
      <c r="P266" s="5">
        <f t="shared" si="67"/>
        <v>1</v>
      </c>
      <c r="Q266" s="7">
        <f t="shared" si="68"/>
        <v>3044</v>
      </c>
      <c r="W266" s="124">
        <f t="shared" si="70"/>
        <v>3854075.9122275002</v>
      </c>
      <c r="X266">
        <f t="shared" si="69"/>
        <v>0</v>
      </c>
    </row>
    <row r="267" spans="1:24">
      <c r="A267" s="23" t="s">
        <v>295</v>
      </c>
      <c r="B267" s="35" t="s">
        <v>284</v>
      </c>
      <c r="C267" s="97">
        <v>51495</v>
      </c>
      <c r="D267" s="132">
        <v>10036729710</v>
      </c>
      <c r="E267" s="116">
        <f t="shared" si="64"/>
        <v>194906.87853189631</v>
      </c>
      <c r="F267" s="134">
        <v>6095403078</v>
      </c>
      <c r="G267" s="117">
        <f t="shared" si="65"/>
        <v>118368.83344013982</v>
      </c>
      <c r="H267" s="7"/>
      <c r="I267" s="136">
        <v>4.5</v>
      </c>
      <c r="J267" s="134">
        <v>27429313.851</v>
      </c>
      <c r="K267" s="120">
        <f t="shared" si="66"/>
        <v>532.65975048062921</v>
      </c>
      <c r="L267" s="122">
        <f t="shared" si="61"/>
        <v>60954030.780000001</v>
      </c>
      <c r="M267" s="116">
        <f t="shared" si="62"/>
        <v>33524716.929000001</v>
      </c>
      <c r="N267" s="123">
        <f t="shared" si="63"/>
        <v>651.02858392076905</v>
      </c>
      <c r="O267" s="5"/>
      <c r="P267" s="5">
        <f t="shared" si="67"/>
        <v>1</v>
      </c>
      <c r="Q267" s="7">
        <f t="shared" si="68"/>
        <v>51495</v>
      </c>
      <c r="S267" s="124"/>
      <c r="T267" s="124"/>
      <c r="U267" s="124"/>
      <c r="W267" s="124">
        <f t="shared" si="70"/>
        <v>27429313.850999996</v>
      </c>
      <c r="X267">
        <f t="shared" si="69"/>
        <v>0</v>
      </c>
    </row>
    <row r="268" spans="1:24">
      <c r="A268" s="23" t="s">
        <v>296</v>
      </c>
      <c r="B268" s="35" t="s">
        <v>284</v>
      </c>
      <c r="C268" s="97">
        <v>30565</v>
      </c>
      <c r="D268" s="132">
        <v>14242814123</v>
      </c>
      <c r="E268" s="116">
        <f t="shared" si="64"/>
        <v>465984.43065597909</v>
      </c>
      <c r="F268" s="134">
        <v>9148934854</v>
      </c>
      <c r="G268" s="117">
        <f t="shared" si="65"/>
        <v>299327.16682479961</v>
      </c>
      <c r="H268" s="7"/>
      <c r="I268" s="136">
        <v>4.0922999999999998</v>
      </c>
      <c r="J268" s="134">
        <v>37440186.1030242</v>
      </c>
      <c r="K268" s="120">
        <f t="shared" si="66"/>
        <v>1224.9365647971274</v>
      </c>
      <c r="L268" s="122">
        <f t="shared" si="61"/>
        <v>91489348.540000007</v>
      </c>
      <c r="M268" s="116">
        <f t="shared" si="62"/>
        <v>54049162.436975807</v>
      </c>
      <c r="N268" s="123">
        <f t="shared" si="63"/>
        <v>1768.3351034508689</v>
      </c>
      <c r="O268" s="5"/>
      <c r="P268" s="5">
        <f t="shared" si="67"/>
        <v>1</v>
      </c>
      <c r="Q268" s="7">
        <f t="shared" si="68"/>
        <v>30565</v>
      </c>
      <c r="S268" s="124">
        <f>SUM(D256:D268)</f>
        <v>160725253299</v>
      </c>
      <c r="T268" s="124">
        <f>SUM(F256:F268)</f>
        <v>103856967851</v>
      </c>
      <c r="U268" s="124">
        <f>SUM(J256:J268)</f>
        <v>545681264.27811146</v>
      </c>
      <c r="W268" s="124">
        <f t="shared" si="70"/>
        <v>37440186.1030242</v>
      </c>
      <c r="X268">
        <f t="shared" si="69"/>
        <v>0</v>
      </c>
    </row>
    <row r="269" spans="1:24">
      <c r="A269" s="24" t="s">
        <v>297</v>
      </c>
      <c r="B269" s="35" t="s">
        <v>298</v>
      </c>
      <c r="C269" s="97">
        <v>85141</v>
      </c>
      <c r="D269" s="132">
        <v>10509585779</v>
      </c>
      <c r="E269" s="116">
        <f t="shared" si="64"/>
        <v>123437.42473074076</v>
      </c>
      <c r="F269" s="134">
        <v>6332330300</v>
      </c>
      <c r="G269" s="117">
        <f t="shared" si="65"/>
        <v>74374.629144595441</v>
      </c>
      <c r="H269" s="7"/>
      <c r="I269" s="136">
        <v>4.6253000000000002</v>
      </c>
      <c r="J269" s="134">
        <v>29288927.336589999</v>
      </c>
      <c r="K269" s="120">
        <f t="shared" si="66"/>
        <v>344.00497218249728</v>
      </c>
      <c r="L269" s="122">
        <f t="shared" si="61"/>
        <v>63323303</v>
      </c>
      <c r="M269" s="116">
        <f t="shared" si="62"/>
        <v>34034375.663410001</v>
      </c>
      <c r="N269" s="123">
        <f t="shared" si="63"/>
        <v>399.74131926345711</v>
      </c>
      <c r="O269" s="5"/>
      <c r="P269" s="5">
        <f t="shared" si="67"/>
        <v>1</v>
      </c>
      <c r="Q269" s="7">
        <f t="shared" si="68"/>
        <v>85141</v>
      </c>
      <c r="S269" s="124"/>
      <c r="T269" s="124"/>
      <c r="U269" s="124"/>
      <c r="W269" s="124">
        <f t="shared" si="70"/>
        <v>29288927.336590003</v>
      </c>
      <c r="X269">
        <f t="shared" si="69"/>
        <v>0</v>
      </c>
    </row>
    <row r="270" spans="1:24">
      <c r="A270" s="23" t="s">
        <v>546</v>
      </c>
      <c r="B270" s="35" t="s">
        <v>298</v>
      </c>
      <c r="C270" s="97">
        <v>65974</v>
      </c>
      <c r="D270" s="132">
        <v>9099995121</v>
      </c>
      <c r="E270" s="116">
        <f t="shared" si="64"/>
        <v>137933.05121714616</v>
      </c>
      <c r="F270" s="134">
        <v>5241390478</v>
      </c>
      <c r="G270" s="117">
        <f t="shared" si="65"/>
        <v>79446.304271379631</v>
      </c>
      <c r="H270" s="7"/>
      <c r="I270" s="136">
        <v>5.1128</v>
      </c>
      <c r="J270" s="134">
        <v>26798181.235918399</v>
      </c>
      <c r="K270" s="120">
        <f t="shared" si="66"/>
        <v>406.1930644787098</v>
      </c>
      <c r="L270" s="122">
        <f t="shared" si="61"/>
        <v>52413904.780000001</v>
      </c>
      <c r="M270" s="116">
        <f t="shared" si="62"/>
        <v>25615723.544081602</v>
      </c>
      <c r="N270" s="123">
        <f t="shared" si="63"/>
        <v>388.26997823508657</v>
      </c>
      <c r="O270" s="5"/>
      <c r="P270" s="5">
        <f t="shared" si="67"/>
        <v>1</v>
      </c>
      <c r="Q270" s="7">
        <f t="shared" si="68"/>
        <v>65974</v>
      </c>
      <c r="S270" s="124">
        <f>SUM(D269:D270)</f>
        <v>19609580900</v>
      </c>
      <c r="T270" s="124">
        <f>SUM(F269:F270)</f>
        <v>11573720778</v>
      </c>
      <c r="U270" s="124">
        <f>SUM(J269:J270)</f>
        <v>56087108.572508395</v>
      </c>
      <c r="W270" s="124">
        <f t="shared" si="70"/>
        <v>26798181.235918399</v>
      </c>
      <c r="X270">
        <f t="shared" si="69"/>
        <v>0</v>
      </c>
    </row>
    <row r="271" spans="1:24">
      <c r="A271" s="23" t="s">
        <v>299</v>
      </c>
      <c r="B271" s="35" t="s">
        <v>300</v>
      </c>
      <c r="C271" s="97">
        <v>2135</v>
      </c>
      <c r="D271" s="132">
        <v>1009507362</v>
      </c>
      <c r="E271" s="116">
        <f t="shared" si="64"/>
        <v>472837.17189695552</v>
      </c>
      <c r="F271" s="134">
        <v>758626125</v>
      </c>
      <c r="G271" s="117">
        <f t="shared" si="65"/>
        <v>355328.3957845433</v>
      </c>
      <c r="H271" s="7"/>
      <c r="I271" s="136">
        <v>5.86</v>
      </c>
      <c r="J271" s="134">
        <v>4445549.0925000003</v>
      </c>
      <c r="K271" s="120">
        <f t="shared" si="66"/>
        <v>2082.224399297424</v>
      </c>
      <c r="L271" s="122">
        <f t="shared" si="61"/>
        <v>7586261.25</v>
      </c>
      <c r="M271" s="116">
        <f t="shared" si="62"/>
        <v>3140712.1574999997</v>
      </c>
      <c r="N271" s="123">
        <f t="shared" si="63"/>
        <v>1471.0595585480091</v>
      </c>
      <c r="O271" s="5"/>
      <c r="P271" s="5">
        <f t="shared" si="67"/>
        <v>1</v>
      </c>
      <c r="Q271" s="7">
        <f t="shared" si="68"/>
        <v>2135</v>
      </c>
      <c r="W271" s="124">
        <f t="shared" si="70"/>
        <v>4445549.0925000003</v>
      </c>
      <c r="X271">
        <f t="shared" si="69"/>
        <v>0</v>
      </c>
    </row>
    <row r="272" spans="1:24">
      <c r="A272" s="23" t="s">
        <v>301</v>
      </c>
      <c r="B272" s="35" t="s">
        <v>300</v>
      </c>
      <c r="C272" s="97">
        <v>17468</v>
      </c>
      <c r="D272" s="132">
        <v>1173815641</v>
      </c>
      <c r="E272" s="116">
        <f t="shared" si="64"/>
        <v>67198.055930844974</v>
      </c>
      <c r="F272" s="134">
        <v>617139902</v>
      </c>
      <c r="G272" s="117">
        <f t="shared" si="65"/>
        <v>35329.740210670941</v>
      </c>
      <c r="H272" s="9"/>
      <c r="I272" s="136">
        <v>6.5419</v>
      </c>
      <c r="J272" s="134">
        <v>4037267.5248938003</v>
      </c>
      <c r="K272" s="120">
        <f t="shared" si="66"/>
        <v>231.12362748418823</v>
      </c>
      <c r="L272" s="122">
        <f t="shared" si="61"/>
        <v>6171399.0200000005</v>
      </c>
      <c r="M272" s="116">
        <f t="shared" si="62"/>
        <v>2134131.4951062002</v>
      </c>
      <c r="N272" s="123">
        <f t="shared" si="63"/>
        <v>122.17377462252119</v>
      </c>
      <c r="O272" s="5"/>
      <c r="P272" s="5">
        <f t="shared" si="67"/>
        <v>1</v>
      </c>
      <c r="Q272" s="7">
        <f t="shared" si="68"/>
        <v>17468</v>
      </c>
      <c r="W272" s="124">
        <f t="shared" si="70"/>
        <v>4037267.5248937998</v>
      </c>
      <c r="X272">
        <f t="shared" si="69"/>
        <v>0</v>
      </c>
    </row>
    <row r="273" spans="1:24">
      <c r="A273" s="23" t="s">
        <v>302</v>
      </c>
      <c r="B273" s="35" t="s">
        <v>300</v>
      </c>
      <c r="C273" s="97">
        <v>100560</v>
      </c>
      <c r="D273" s="132">
        <v>56870697980</v>
      </c>
      <c r="E273" s="116">
        <f t="shared" si="64"/>
        <v>565539.95604614157</v>
      </c>
      <c r="F273" s="134">
        <v>37554137872</v>
      </c>
      <c r="G273" s="117">
        <f t="shared" si="65"/>
        <v>373450.05839299923</v>
      </c>
      <c r="H273" s="9"/>
      <c r="I273" s="136">
        <v>3.6547999999999998</v>
      </c>
      <c r="J273" s="134">
        <v>137252863.0945856</v>
      </c>
      <c r="K273" s="120">
        <f t="shared" si="66"/>
        <v>1364.8852734147335</v>
      </c>
      <c r="L273" s="122">
        <f t="shared" si="61"/>
        <v>375541378.72000003</v>
      </c>
      <c r="M273" s="116">
        <f t="shared" si="62"/>
        <v>238288515.62541443</v>
      </c>
      <c r="N273" s="123">
        <f t="shared" si="63"/>
        <v>2369.6153105152589</v>
      </c>
      <c r="O273" s="5"/>
      <c r="P273" s="5">
        <f t="shared" si="67"/>
        <v>1</v>
      </c>
      <c r="Q273" s="7">
        <f t="shared" si="68"/>
        <v>100560</v>
      </c>
      <c r="W273" s="124">
        <f t="shared" si="70"/>
        <v>137252863.0945856</v>
      </c>
      <c r="X273">
        <f t="shared" si="69"/>
        <v>0</v>
      </c>
    </row>
    <row r="274" spans="1:24">
      <c r="A274" s="23" t="s">
        <v>303</v>
      </c>
      <c r="B274" s="35" t="s">
        <v>300</v>
      </c>
      <c r="C274" s="97">
        <v>82393</v>
      </c>
      <c r="D274" s="132">
        <v>15445725809</v>
      </c>
      <c r="E274" s="116">
        <f t="shared" si="64"/>
        <v>187464.05409440122</v>
      </c>
      <c r="F274" s="134">
        <v>9867713843</v>
      </c>
      <c r="G274" s="117">
        <f t="shared" si="65"/>
        <v>119763.98289903268</v>
      </c>
      <c r="H274" s="9"/>
      <c r="I274" s="136">
        <v>7.8</v>
      </c>
      <c r="J274" s="134">
        <v>76968167.975400001</v>
      </c>
      <c r="K274" s="120">
        <f t="shared" si="66"/>
        <v>934.15906661245492</v>
      </c>
      <c r="L274" s="122">
        <f t="shared" si="61"/>
        <v>98677138.430000007</v>
      </c>
      <c r="M274" s="116">
        <f t="shared" si="62"/>
        <v>21708970.454600006</v>
      </c>
      <c r="N274" s="123">
        <f t="shared" si="63"/>
        <v>263.480762377872</v>
      </c>
      <c r="O274" s="5"/>
      <c r="P274" s="5">
        <f t="shared" si="67"/>
        <v>1</v>
      </c>
      <c r="Q274" s="7">
        <f t="shared" si="68"/>
        <v>82393</v>
      </c>
      <c r="W274" s="124">
        <f t="shared" si="70"/>
        <v>76968167.975400001</v>
      </c>
      <c r="X274">
        <f t="shared" si="69"/>
        <v>0</v>
      </c>
    </row>
    <row r="275" spans="1:24">
      <c r="A275" s="23" t="s">
        <v>304</v>
      </c>
      <c r="B275" s="35" t="s">
        <v>300</v>
      </c>
      <c r="C275" s="97">
        <v>498</v>
      </c>
      <c r="D275" s="147">
        <v>141839589</v>
      </c>
      <c r="E275" s="116">
        <f t="shared" si="64"/>
        <v>284818.45180722891</v>
      </c>
      <c r="F275" s="134">
        <v>95344492</v>
      </c>
      <c r="G275" s="117">
        <f t="shared" si="65"/>
        <v>191454.8032128514</v>
      </c>
      <c r="H275" s="98"/>
      <c r="I275" s="150">
        <v>3.75</v>
      </c>
      <c r="J275" s="134">
        <v>357541.84499999997</v>
      </c>
      <c r="K275" s="120">
        <f t="shared" si="66"/>
        <v>717.95551204819276</v>
      </c>
      <c r="L275" s="122">
        <f t="shared" si="61"/>
        <v>953444.92</v>
      </c>
      <c r="M275" s="116">
        <f t="shared" si="62"/>
        <v>595903.07500000007</v>
      </c>
      <c r="N275" s="123">
        <f t="shared" si="63"/>
        <v>1196.5925200803215</v>
      </c>
      <c r="O275" s="5"/>
      <c r="P275" s="5">
        <f t="shared" si="67"/>
        <v>1</v>
      </c>
      <c r="Q275" s="7">
        <f t="shared" si="68"/>
        <v>498</v>
      </c>
      <c r="W275" s="124">
        <f t="shared" si="70"/>
        <v>357541.84499999997</v>
      </c>
      <c r="X275">
        <f t="shared" si="69"/>
        <v>0</v>
      </c>
    </row>
    <row r="276" spans="1:24">
      <c r="A276" s="23" t="s">
        <v>305</v>
      </c>
      <c r="B276" s="35" t="s">
        <v>300</v>
      </c>
      <c r="C276" s="97">
        <v>137</v>
      </c>
      <c r="D276" s="132" t="s">
        <v>564</v>
      </c>
      <c r="E276" s="116"/>
      <c r="F276" s="134"/>
      <c r="G276" s="117"/>
      <c r="H276" s="9" t="s">
        <v>588</v>
      </c>
      <c r="I276" s="136"/>
      <c r="J276" s="134"/>
      <c r="K276" s="120"/>
      <c r="L276" s="122">
        <f t="shared" si="61"/>
        <v>0</v>
      </c>
      <c r="M276" s="116">
        <f t="shared" si="62"/>
        <v>0</v>
      </c>
      <c r="N276" s="123">
        <f t="shared" si="63"/>
        <v>0</v>
      </c>
      <c r="O276" s="5"/>
      <c r="P276" s="5">
        <f t="shared" si="67"/>
        <v>0</v>
      </c>
      <c r="Q276" s="7">
        <f t="shared" si="68"/>
        <v>0</v>
      </c>
      <c r="W276" s="124">
        <f t="shared" si="70"/>
        <v>0</v>
      </c>
      <c r="X276">
        <f t="shared" si="69"/>
        <v>0</v>
      </c>
    </row>
    <row r="277" spans="1:24">
      <c r="A277" s="23" t="s">
        <v>306</v>
      </c>
      <c r="B277" s="35" t="s">
        <v>300</v>
      </c>
      <c r="C277" s="97">
        <v>68096</v>
      </c>
      <c r="D277" s="147">
        <v>27670723355</v>
      </c>
      <c r="E277" s="116">
        <f>(D277/C277)</f>
        <v>406348.73347920581</v>
      </c>
      <c r="F277" s="134">
        <v>18087681415</v>
      </c>
      <c r="G277" s="117">
        <f>(F277/C277)</f>
        <v>265620.32153136749</v>
      </c>
      <c r="H277" s="98"/>
      <c r="I277" s="151">
        <v>5.9062999999999999</v>
      </c>
      <c r="J277" s="134">
        <v>106831272.7414145</v>
      </c>
      <c r="K277" s="120">
        <f>(J277/C277)</f>
        <v>1568.8333050607157</v>
      </c>
      <c r="L277" s="122">
        <f t="shared" si="61"/>
        <v>180876814.15000001</v>
      </c>
      <c r="M277" s="116">
        <f t="shared" si="62"/>
        <v>74045541.408585504</v>
      </c>
      <c r="N277" s="123">
        <f t="shared" si="63"/>
        <v>1087.369910252959</v>
      </c>
      <c r="O277" s="5"/>
      <c r="P277" s="5">
        <f t="shared" si="67"/>
        <v>1</v>
      </c>
      <c r="Q277" s="7">
        <f t="shared" si="68"/>
        <v>68096</v>
      </c>
      <c r="W277" s="124">
        <f t="shared" si="70"/>
        <v>106831272.7414145</v>
      </c>
      <c r="X277">
        <f t="shared" si="69"/>
        <v>0</v>
      </c>
    </row>
    <row r="278" spans="1:24">
      <c r="A278" s="23" t="s">
        <v>307</v>
      </c>
      <c r="B278" s="35" t="s">
        <v>300</v>
      </c>
      <c r="C278" s="97">
        <v>214</v>
      </c>
      <c r="D278" s="132" t="s">
        <v>564</v>
      </c>
      <c r="E278" s="116"/>
      <c r="F278" s="134"/>
      <c r="G278" s="117"/>
      <c r="H278" s="9" t="s">
        <v>588</v>
      </c>
      <c r="I278" s="136"/>
      <c r="J278" s="134"/>
      <c r="K278" s="120"/>
      <c r="L278" s="122">
        <f t="shared" si="61"/>
        <v>0</v>
      </c>
      <c r="M278" s="116">
        <f t="shared" si="62"/>
        <v>0</v>
      </c>
      <c r="N278" s="123">
        <f t="shared" si="63"/>
        <v>0</v>
      </c>
      <c r="O278" s="5"/>
      <c r="P278" s="5">
        <f t="shared" si="67"/>
        <v>0</v>
      </c>
      <c r="Q278" s="7">
        <f t="shared" si="68"/>
        <v>0</v>
      </c>
      <c r="W278" s="124">
        <f t="shared" si="70"/>
        <v>0</v>
      </c>
      <c r="X278">
        <f t="shared" si="69"/>
        <v>0</v>
      </c>
    </row>
    <row r="279" spans="1:24">
      <c r="A279" s="23" t="s">
        <v>308</v>
      </c>
      <c r="B279" s="35" t="s">
        <v>300</v>
      </c>
      <c r="C279" s="97">
        <v>287</v>
      </c>
      <c r="D279" s="132">
        <v>642071814</v>
      </c>
      <c r="E279" s="116">
        <f t="shared" ref="E279:E342" si="71">(D279/C279)</f>
        <v>2237184.0209059236</v>
      </c>
      <c r="F279" s="134">
        <v>371422240</v>
      </c>
      <c r="G279" s="117">
        <f t="shared" ref="G279:G342" si="72">(F279/C279)</f>
        <v>1294154.1463414633</v>
      </c>
      <c r="H279" s="7"/>
      <c r="I279" s="136">
        <v>6.5452000000000004</v>
      </c>
      <c r="J279" s="134">
        <v>2431032.8452480002</v>
      </c>
      <c r="K279" s="120">
        <f t="shared" ref="K279:K342" si="73">(J279/C279)</f>
        <v>8470.4977186341475</v>
      </c>
      <c r="L279" s="122">
        <f t="shared" si="61"/>
        <v>3714222.4</v>
      </c>
      <c r="M279" s="116">
        <f t="shared" si="62"/>
        <v>1283189.5547519997</v>
      </c>
      <c r="N279" s="123">
        <f t="shared" si="63"/>
        <v>4471.043744780487</v>
      </c>
      <c r="O279" s="5"/>
      <c r="P279" s="5">
        <f t="shared" si="67"/>
        <v>1</v>
      </c>
      <c r="Q279" s="7">
        <f t="shared" si="68"/>
        <v>287</v>
      </c>
      <c r="W279" s="124">
        <f t="shared" si="70"/>
        <v>2431032.8452480002</v>
      </c>
      <c r="X279">
        <f t="shared" si="69"/>
        <v>0</v>
      </c>
    </row>
    <row r="280" spans="1:24">
      <c r="A280" s="23" t="s">
        <v>309</v>
      </c>
      <c r="B280" s="35" t="s">
        <v>300</v>
      </c>
      <c r="C280" s="97">
        <v>45439</v>
      </c>
      <c r="D280" s="132">
        <v>5368155447</v>
      </c>
      <c r="E280" s="116">
        <f t="shared" si="71"/>
        <v>118139.82365368956</v>
      </c>
      <c r="F280" s="134">
        <v>3142483728</v>
      </c>
      <c r="G280" s="117">
        <f t="shared" si="72"/>
        <v>69158.294152600196</v>
      </c>
      <c r="H280" s="7"/>
      <c r="I280" s="136">
        <v>6.3</v>
      </c>
      <c r="J280" s="134">
        <v>19797647.486399997</v>
      </c>
      <c r="K280" s="120">
        <f t="shared" si="73"/>
        <v>435.69725316138113</v>
      </c>
      <c r="L280" s="122">
        <f t="shared" si="61"/>
        <v>31424837.280000001</v>
      </c>
      <c r="M280" s="116">
        <f t="shared" si="62"/>
        <v>11627189.793600004</v>
      </c>
      <c r="N280" s="123">
        <f t="shared" si="63"/>
        <v>255.88568836462079</v>
      </c>
      <c r="O280" s="5"/>
      <c r="P280" s="5">
        <f t="shared" si="67"/>
        <v>1</v>
      </c>
      <c r="Q280" s="7">
        <f t="shared" si="68"/>
        <v>45439</v>
      </c>
      <c r="W280" s="124">
        <f t="shared" si="70"/>
        <v>19797647.486400001</v>
      </c>
      <c r="X280">
        <f t="shared" si="69"/>
        <v>0</v>
      </c>
    </row>
    <row r="281" spans="1:24">
      <c r="A281" s="23" t="s">
        <v>310</v>
      </c>
      <c r="B281" s="35" t="s">
        <v>300</v>
      </c>
      <c r="C281" s="97">
        <v>956</v>
      </c>
      <c r="D281" s="132">
        <v>2811568127</v>
      </c>
      <c r="E281" s="116">
        <f t="shared" si="71"/>
        <v>2940970.8441422596</v>
      </c>
      <c r="F281" s="134">
        <v>1752892743</v>
      </c>
      <c r="G281" s="117">
        <f t="shared" si="72"/>
        <v>1833569.8148535565</v>
      </c>
      <c r="H281" s="7"/>
      <c r="I281" s="136">
        <v>3.6724000000000001</v>
      </c>
      <c r="J281" s="134">
        <v>6437323.3093932001</v>
      </c>
      <c r="K281" s="120">
        <f t="shared" si="73"/>
        <v>6733.6017880682011</v>
      </c>
      <c r="L281" s="122">
        <f t="shared" si="61"/>
        <v>17528927.43</v>
      </c>
      <c r="M281" s="116">
        <f t="shared" si="62"/>
        <v>11091604.120606799</v>
      </c>
      <c r="N281" s="123">
        <f t="shared" si="63"/>
        <v>11602.096360467363</v>
      </c>
      <c r="O281" s="5"/>
      <c r="P281" s="5">
        <f t="shared" si="67"/>
        <v>1</v>
      </c>
      <c r="Q281" s="7">
        <f t="shared" si="68"/>
        <v>956</v>
      </c>
      <c r="W281" s="124">
        <f t="shared" si="70"/>
        <v>6437323.3093932001</v>
      </c>
      <c r="X281">
        <f t="shared" si="69"/>
        <v>0</v>
      </c>
    </row>
    <row r="282" spans="1:24">
      <c r="A282" s="23" t="s">
        <v>311</v>
      </c>
      <c r="B282" s="35" t="s">
        <v>300</v>
      </c>
      <c r="C282" s="97">
        <v>2188</v>
      </c>
      <c r="D282" s="132">
        <v>301019879</v>
      </c>
      <c r="E282" s="116">
        <f t="shared" si="71"/>
        <v>137577.64122486289</v>
      </c>
      <c r="F282" s="134">
        <v>167898854</v>
      </c>
      <c r="G282" s="117">
        <f t="shared" si="72"/>
        <v>76736.222120658131</v>
      </c>
      <c r="H282" s="7"/>
      <c r="I282" s="136">
        <v>4.05</v>
      </c>
      <c r="J282" s="134">
        <v>679990.35869999998</v>
      </c>
      <c r="K282" s="120">
        <f t="shared" si="73"/>
        <v>310.78169958866545</v>
      </c>
      <c r="L282" s="122">
        <f t="shared" si="61"/>
        <v>1678988.54</v>
      </c>
      <c r="M282" s="116">
        <f t="shared" si="62"/>
        <v>998998.18130000005</v>
      </c>
      <c r="N282" s="123">
        <f t="shared" si="63"/>
        <v>456.58052161791591</v>
      </c>
      <c r="O282" s="5"/>
      <c r="P282" s="5">
        <f t="shared" si="67"/>
        <v>1</v>
      </c>
      <c r="Q282" s="7">
        <f t="shared" si="68"/>
        <v>2188</v>
      </c>
      <c r="W282" s="124">
        <f t="shared" si="70"/>
        <v>679990.35869999998</v>
      </c>
      <c r="X282">
        <f t="shared" si="69"/>
        <v>0</v>
      </c>
    </row>
    <row r="283" spans="1:24">
      <c r="A283" s="23" t="s">
        <v>312</v>
      </c>
      <c r="B283" s="35" t="s">
        <v>300</v>
      </c>
      <c r="C283" s="97">
        <v>4287</v>
      </c>
      <c r="D283" s="132">
        <v>5331428024</v>
      </c>
      <c r="E283" s="116">
        <f t="shared" si="71"/>
        <v>1243626.7842313973</v>
      </c>
      <c r="F283" s="134">
        <v>3850343828</v>
      </c>
      <c r="G283" s="117">
        <f t="shared" si="72"/>
        <v>898144.11663167714</v>
      </c>
      <c r="H283" s="7"/>
      <c r="I283" s="136">
        <v>3.4039999999999999</v>
      </c>
      <c r="J283" s="134">
        <v>13106570.390511999</v>
      </c>
      <c r="K283" s="120">
        <f t="shared" si="73"/>
        <v>3057.282573014229</v>
      </c>
      <c r="L283" s="122">
        <f t="shared" si="61"/>
        <v>38503438.280000001</v>
      </c>
      <c r="M283" s="116">
        <f t="shared" si="62"/>
        <v>25396867.889488004</v>
      </c>
      <c r="N283" s="123">
        <f t="shared" si="63"/>
        <v>5924.1585933025435</v>
      </c>
      <c r="O283" s="5"/>
      <c r="P283" s="5">
        <f t="shared" si="67"/>
        <v>1</v>
      </c>
      <c r="Q283" s="7">
        <f t="shared" si="68"/>
        <v>4287</v>
      </c>
      <c r="W283" s="124">
        <f t="shared" si="70"/>
        <v>13106570.390511999</v>
      </c>
      <c r="X283">
        <f t="shared" si="69"/>
        <v>0</v>
      </c>
    </row>
    <row r="284" spans="1:24">
      <c r="A284" s="23" t="s">
        <v>313</v>
      </c>
      <c r="B284" s="35" t="s">
        <v>300</v>
      </c>
      <c r="C284" s="97">
        <v>2672</v>
      </c>
      <c r="D284" s="132">
        <v>819158769</v>
      </c>
      <c r="E284" s="116">
        <f t="shared" si="71"/>
        <v>306571.39558383235</v>
      </c>
      <c r="F284" s="134">
        <v>559323162</v>
      </c>
      <c r="G284" s="117">
        <f t="shared" si="72"/>
        <v>209327.53068862276</v>
      </c>
      <c r="H284" s="7"/>
      <c r="I284" s="136">
        <v>3.2</v>
      </c>
      <c r="J284" s="134">
        <v>1789834.1184</v>
      </c>
      <c r="K284" s="120">
        <f t="shared" si="73"/>
        <v>669.84809820359283</v>
      </c>
      <c r="L284" s="122">
        <f t="shared" si="61"/>
        <v>5593231.6200000001</v>
      </c>
      <c r="M284" s="116">
        <f t="shared" si="62"/>
        <v>3803397.5016000001</v>
      </c>
      <c r="N284" s="123">
        <f t="shared" si="63"/>
        <v>1423.4272086826347</v>
      </c>
      <c r="O284" s="5"/>
      <c r="P284" s="5">
        <f t="shared" si="67"/>
        <v>1</v>
      </c>
      <c r="Q284" s="7">
        <f t="shared" si="68"/>
        <v>2672</v>
      </c>
      <c r="W284" s="124">
        <f t="shared" si="70"/>
        <v>1789834.1184</v>
      </c>
      <c r="X284">
        <f t="shared" si="69"/>
        <v>0</v>
      </c>
    </row>
    <row r="285" spans="1:24">
      <c r="A285" s="23" t="s">
        <v>314</v>
      </c>
      <c r="B285" s="35" t="s">
        <v>300</v>
      </c>
      <c r="C285" s="97">
        <v>3871</v>
      </c>
      <c r="D285" s="132">
        <v>3344357971</v>
      </c>
      <c r="E285" s="116">
        <f t="shared" si="71"/>
        <v>863951.94290880905</v>
      </c>
      <c r="F285" s="134">
        <v>2417496633</v>
      </c>
      <c r="G285" s="117">
        <f t="shared" si="72"/>
        <v>624514.7592353397</v>
      </c>
      <c r="H285" s="7"/>
      <c r="I285" s="136">
        <v>1.8194999999999999</v>
      </c>
      <c r="J285" s="134">
        <v>4398635.1237434996</v>
      </c>
      <c r="K285" s="120">
        <f t="shared" si="73"/>
        <v>1136.3046044287005</v>
      </c>
      <c r="L285" s="122">
        <f t="shared" si="61"/>
        <v>24174966.330000002</v>
      </c>
      <c r="M285" s="116">
        <f t="shared" si="62"/>
        <v>19776331.206256501</v>
      </c>
      <c r="N285" s="123">
        <f t="shared" si="63"/>
        <v>5108.8429879246969</v>
      </c>
      <c r="O285" s="5"/>
      <c r="P285" s="5">
        <f t="shared" si="67"/>
        <v>1</v>
      </c>
      <c r="Q285" s="7">
        <f t="shared" si="68"/>
        <v>3871</v>
      </c>
      <c r="W285" s="124">
        <f t="shared" si="70"/>
        <v>4398635.1237434996</v>
      </c>
      <c r="X285">
        <f t="shared" si="69"/>
        <v>0</v>
      </c>
    </row>
    <row r="286" spans="1:24">
      <c r="A286" s="23" t="s">
        <v>315</v>
      </c>
      <c r="B286" s="35" t="s">
        <v>300</v>
      </c>
      <c r="C286" s="97">
        <v>61215</v>
      </c>
      <c r="D286" s="132">
        <v>27617372956</v>
      </c>
      <c r="E286" s="116">
        <f t="shared" si="71"/>
        <v>451153.68710283429</v>
      </c>
      <c r="F286" s="134">
        <v>17255841219</v>
      </c>
      <c r="G286" s="117">
        <f t="shared" si="72"/>
        <v>281889.09938740503</v>
      </c>
      <c r="H286" s="7"/>
      <c r="I286" s="136">
        <v>2.3894000000000002</v>
      </c>
      <c r="J286" s="134">
        <v>41231107.008678608</v>
      </c>
      <c r="K286" s="120">
        <f t="shared" si="73"/>
        <v>673.54581407626574</v>
      </c>
      <c r="L286" s="122">
        <f t="shared" si="61"/>
        <v>172558412.19</v>
      </c>
      <c r="M286" s="116">
        <f t="shared" si="62"/>
        <v>131327305.18132138</v>
      </c>
      <c r="N286" s="123">
        <f t="shared" si="63"/>
        <v>2145.3451797977846</v>
      </c>
      <c r="O286" s="5"/>
      <c r="P286" s="5">
        <f t="shared" si="67"/>
        <v>1</v>
      </c>
      <c r="Q286" s="7">
        <f t="shared" si="68"/>
        <v>61215</v>
      </c>
      <c r="W286" s="124">
        <f t="shared" si="70"/>
        <v>41231107.008678608</v>
      </c>
      <c r="X286">
        <f t="shared" si="69"/>
        <v>0</v>
      </c>
    </row>
    <row r="287" spans="1:24">
      <c r="A287" s="23" t="s">
        <v>316</v>
      </c>
      <c r="B287" s="35" t="s">
        <v>300</v>
      </c>
      <c r="C287" s="97">
        <v>412</v>
      </c>
      <c r="D287" s="132">
        <v>1128783623</v>
      </c>
      <c r="E287" s="116">
        <f t="shared" si="71"/>
        <v>2739766.0752427182</v>
      </c>
      <c r="F287" s="134">
        <v>641207368</v>
      </c>
      <c r="G287" s="117">
        <f t="shared" si="72"/>
        <v>1556328.563106796</v>
      </c>
      <c r="H287" s="9"/>
      <c r="I287" s="136">
        <v>5.56</v>
      </c>
      <c r="J287" s="134">
        <v>3565112.9660799997</v>
      </c>
      <c r="K287" s="120">
        <f t="shared" si="73"/>
        <v>8653.1868108737854</v>
      </c>
      <c r="L287" s="122">
        <f t="shared" si="61"/>
        <v>6412073.6799999997</v>
      </c>
      <c r="M287" s="116">
        <f t="shared" si="62"/>
        <v>2846960.71392</v>
      </c>
      <c r="N287" s="123">
        <f t="shared" si="63"/>
        <v>6910.0988201941746</v>
      </c>
      <c r="O287" s="5"/>
      <c r="P287" s="5">
        <f t="shared" si="67"/>
        <v>1</v>
      </c>
      <c r="Q287" s="7">
        <f t="shared" si="68"/>
        <v>412</v>
      </c>
      <c r="W287" s="124">
        <f t="shared" si="70"/>
        <v>3565112.9660799997</v>
      </c>
      <c r="X287">
        <f t="shared" si="69"/>
        <v>0</v>
      </c>
    </row>
    <row r="288" spans="1:24">
      <c r="A288" s="23" t="s">
        <v>317</v>
      </c>
      <c r="B288" s="35" t="s">
        <v>300</v>
      </c>
      <c r="C288" s="97">
        <v>3545</v>
      </c>
      <c r="D288" s="132">
        <v>836608346</v>
      </c>
      <c r="E288" s="116">
        <f t="shared" si="71"/>
        <v>235996.7125528914</v>
      </c>
      <c r="F288" s="134">
        <v>409749250</v>
      </c>
      <c r="G288" s="117">
        <f t="shared" si="72"/>
        <v>115585.11988716503</v>
      </c>
      <c r="H288" s="7"/>
      <c r="I288" s="136">
        <v>5.9950000000000001</v>
      </c>
      <c r="J288" s="134">
        <v>2456446.7537500001</v>
      </c>
      <c r="K288" s="120">
        <f t="shared" si="73"/>
        <v>692.93279372355437</v>
      </c>
      <c r="L288" s="122">
        <f t="shared" si="61"/>
        <v>4097492.5</v>
      </c>
      <c r="M288" s="116">
        <f t="shared" si="62"/>
        <v>1641045.7462499999</v>
      </c>
      <c r="N288" s="123">
        <f t="shared" si="63"/>
        <v>462.91840514809587</v>
      </c>
      <c r="O288" s="5"/>
      <c r="P288" s="5">
        <f t="shared" si="67"/>
        <v>1</v>
      </c>
      <c r="Q288" s="7">
        <f t="shared" si="68"/>
        <v>3545</v>
      </c>
      <c r="W288" s="124">
        <f t="shared" si="70"/>
        <v>2456446.7537500001</v>
      </c>
      <c r="X288">
        <f t="shared" si="69"/>
        <v>0</v>
      </c>
    </row>
    <row r="289" spans="1:24">
      <c r="A289" s="23" t="s">
        <v>318</v>
      </c>
      <c r="B289" s="35" t="s">
        <v>300</v>
      </c>
      <c r="C289" s="97">
        <v>9014</v>
      </c>
      <c r="D289" s="132">
        <v>1708170744</v>
      </c>
      <c r="E289" s="116">
        <f t="shared" si="71"/>
        <v>189501.96849345462</v>
      </c>
      <c r="F289" s="134">
        <v>1195637605</v>
      </c>
      <c r="G289" s="117">
        <f t="shared" si="72"/>
        <v>132642.2903261593</v>
      </c>
      <c r="H289" s="7"/>
      <c r="I289" s="136">
        <v>5.0999999999999996</v>
      </c>
      <c r="J289" s="134">
        <v>6097751.7855000002</v>
      </c>
      <c r="K289" s="120">
        <f t="shared" si="73"/>
        <v>676.4756806634125</v>
      </c>
      <c r="L289" s="122">
        <f t="shared" si="61"/>
        <v>11956376.050000001</v>
      </c>
      <c r="M289" s="116">
        <f t="shared" si="62"/>
        <v>5858624.2645000005</v>
      </c>
      <c r="N289" s="123">
        <f t="shared" si="63"/>
        <v>649.9472225981807</v>
      </c>
      <c r="O289" s="5"/>
      <c r="P289" s="5">
        <f t="shared" si="67"/>
        <v>1</v>
      </c>
      <c r="Q289" s="7">
        <f t="shared" si="68"/>
        <v>9014</v>
      </c>
      <c r="W289" s="124">
        <f t="shared" si="70"/>
        <v>6097751.7854999993</v>
      </c>
      <c r="X289">
        <f t="shared" si="69"/>
        <v>0</v>
      </c>
    </row>
    <row r="290" spans="1:24">
      <c r="A290" s="23" t="s">
        <v>628</v>
      </c>
      <c r="B290" s="35" t="s">
        <v>300</v>
      </c>
      <c r="C290" s="97">
        <v>43472</v>
      </c>
      <c r="D290" s="132">
        <v>5640187275</v>
      </c>
      <c r="E290" s="116">
        <f t="shared" si="71"/>
        <v>129742.99031560545</v>
      </c>
      <c r="F290" s="134">
        <v>3395754558</v>
      </c>
      <c r="G290" s="117">
        <f t="shared" si="72"/>
        <v>78113.603192859766</v>
      </c>
      <c r="H290" s="7"/>
      <c r="I290" s="136">
        <v>5.4945000000000004</v>
      </c>
      <c r="J290" s="134">
        <v>18657973.418931</v>
      </c>
      <c r="K290" s="120">
        <f t="shared" si="73"/>
        <v>429.19519274316804</v>
      </c>
      <c r="L290" s="122">
        <f t="shared" si="61"/>
        <v>33957545.579999998</v>
      </c>
      <c r="M290" s="116">
        <f t="shared" si="62"/>
        <v>15299572.161068998</v>
      </c>
      <c r="N290" s="123">
        <f t="shared" si="63"/>
        <v>351.94083918542964</v>
      </c>
      <c r="O290" s="5"/>
      <c r="P290" s="5">
        <f t="shared" si="67"/>
        <v>1</v>
      </c>
      <c r="Q290" s="7">
        <f t="shared" si="68"/>
        <v>43472</v>
      </c>
      <c r="W290" s="124">
        <f t="shared" si="70"/>
        <v>18657973.418931</v>
      </c>
      <c r="X290">
        <f t="shared" si="69"/>
        <v>0</v>
      </c>
    </row>
    <row r="291" spans="1:24">
      <c r="A291" s="23" t="s">
        <v>319</v>
      </c>
      <c r="B291" s="35" t="s">
        <v>300</v>
      </c>
      <c r="C291" s="97">
        <v>12239</v>
      </c>
      <c r="D291" s="132">
        <v>2984285025</v>
      </c>
      <c r="E291" s="116">
        <f t="shared" si="71"/>
        <v>243834.05711250918</v>
      </c>
      <c r="F291" s="134">
        <v>1951203195</v>
      </c>
      <c r="G291" s="117">
        <f t="shared" si="72"/>
        <v>159425.05065773349</v>
      </c>
      <c r="H291" s="9"/>
      <c r="I291" s="136">
        <v>3.75</v>
      </c>
      <c r="J291" s="134">
        <v>7317011.9812500002</v>
      </c>
      <c r="K291" s="120">
        <f t="shared" si="73"/>
        <v>597.84393996650056</v>
      </c>
      <c r="L291" s="122">
        <f t="shared" si="61"/>
        <v>19512031.949999999</v>
      </c>
      <c r="M291" s="116">
        <f t="shared" si="62"/>
        <v>12195019.96875</v>
      </c>
      <c r="N291" s="123">
        <f t="shared" si="63"/>
        <v>996.40656661083426</v>
      </c>
      <c r="O291" s="5"/>
      <c r="P291" s="5">
        <f t="shared" si="67"/>
        <v>1</v>
      </c>
      <c r="Q291" s="7">
        <f t="shared" si="68"/>
        <v>12239</v>
      </c>
      <c r="W291" s="124">
        <f t="shared" si="70"/>
        <v>7317011.9812500002</v>
      </c>
      <c r="X291">
        <f t="shared" si="69"/>
        <v>0</v>
      </c>
    </row>
    <row r="292" spans="1:24">
      <c r="A292" s="23" t="s">
        <v>531</v>
      </c>
      <c r="B292" s="35" t="s">
        <v>300</v>
      </c>
      <c r="C292" s="97">
        <v>3374</v>
      </c>
      <c r="D292" s="132">
        <v>1304021318</v>
      </c>
      <c r="E292" s="116">
        <f t="shared" si="71"/>
        <v>386491.20272673387</v>
      </c>
      <c r="F292" s="134">
        <v>613281229</v>
      </c>
      <c r="G292" s="117">
        <f t="shared" si="72"/>
        <v>181766.81357439241</v>
      </c>
      <c r="H292" s="7"/>
      <c r="I292" s="136">
        <v>3</v>
      </c>
      <c r="J292" s="134">
        <v>1839843.6869999999</v>
      </c>
      <c r="K292" s="120">
        <f t="shared" si="73"/>
        <v>545.30044072317719</v>
      </c>
      <c r="L292" s="122">
        <f t="shared" si="61"/>
        <v>6132812.29</v>
      </c>
      <c r="M292" s="116">
        <f t="shared" si="62"/>
        <v>4292968.6030000001</v>
      </c>
      <c r="N292" s="123">
        <f t="shared" si="63"/>
        <v>1272.3676950207469</v>
      </c>
      <c r="O292" s="5"/>
      <c r="P292" s="5">
        <f t="shared" si="67"/>
        <v>1</v>
      </c>
      <c r="Q292" s="7">
        <f t="shared" si="68"/>
        <v>3374</v>
      </c>
      <c r="W292" s="124">
        <f t="shared" si="70"/>
        <v>1839843.6870000002</v>
      </c>
      <c r="X292">
        <f t="shared" si="69"/>
        <v>0</v>
      </c>
    </row>
    <row r="293" spans="1:24">
      <c r="A293" s="23" t="s">
        <v>320</v>
      </c>
      <c r="B293" s="35" t="s">
        <v>300</v>
      </c>
      <c r="C293" s="97">
        <v>416</v>
      </c>
      <c r="D293" s="132">
        <v>3457063804</v>
      </c>
      <c r="E293" s="116">
        <f t="shared" si="71"/>
        <v>8310249.528846154</v>
      </c>
      <c r="F293" s="134">
        <v>2258492942</v>
      </c>
      <c r="G293" s="117">
        <f t="shared" si="72"/>
        <v>5429069.572115385</v>
      </c>
      <c r="H293" s="7"/>
      <c r="I293" s="157">
        <v>3</v>
      </c>
      <c r="J293" s="134">
        <v>6775478.8260000004</v>
      </c>
      <c r="K293" s="120">
        <f t="shared" si="73"/>
        <v>16287.208716346155</v>
      </c>
      <c r="L293" s="122">
        <f t="shared" si="61"/>
        <v>22584929.420000002</v>
      </c>
      <c r="M293" s="116">
        <f t="shared" si="62"/>
        <v>15809450.594000001</v>
      </c>
      <c r="N293" s="123">
        <f t="shared" si="63"/>
        <v>38003.487004807692</v>
      </c>
      <c r="O293" s="5"/>
      <c r="P293" s="5">
        <f t="shared" si="67"/>
        <v>1</v>
      </c>
      <c r="Q293" s="7">
        <f t="shared" si="68"/>
        <v>416</v>
      </c>
      <c r="W293" s="124">
        <f t="shared" si="70"/>
        <v>6775478.8260000004</v>
      </c>
      <c r="X293">
        <f t="shared" si="69"/>
        <v>0</v>
      </c>
    </row>
    <row r="294" spans="1:24">
      <c r="A294" s="23" t="s">
        <v>321</v>
      </c>
      <c r="B294" s="35" t="s">
        <v>300</v>
      </c>
      <c r="C294" s="97">
        <v>2511</v>
      </c>
      <c r="D294" s="132">
        <v>510675536</v>
      </c>
      <c r="E294" s="116">
        <f t="shared" si="71"/>
        <v>203375.36280366388</v>
      </c>
      <c r="F294" s="134">
        <v>386344982</v>
      </c>
      <c r="G294" s="117">
        <f t="shared" si="72"/>
        <v>153861.0043807248</v>
      </c>
      <c r="H294" s="7"/>
      <c r="I294" s="136">
        <v>9.9</v>
      </c>
      <c r="J294" s="134">
        <v>3824815.3218</v>
      </c>
      <c r="K294" s="120">
        <f t="shared" si="73"/>
        <v>1523.2239433691757</v>
      </c>
      <c r="L294" s="122">
        <f t="shared" si="61"/>
        <v>3863449.8200000003</v>
      </c>
      <c r="M294" s="116">
        <f t="shared" si="62"/>
        <v>38634.498200000264</v>
      </c>
      <c r="N294" s="123">
        <f t="shared" si="63"/>
        <v>15.386100438072587</v>
      </c>
      <c r="O294" s="5"/>
      <c r="P294" s="5">
        <f t="shared" si="67"/>
        <v>1</v>
      </c>
      <c r="Q294" s="7">
        <f t="shared" si="68"/>
        <v>2511</v>
      </c>
      <c r="W294" s="124">
        <f t="shared" si="70"/>
        <v>3824815.3218000005</v>
      </c>
      <c r="X294">
        <f t="shared" si="69"/>
        <v>0</v>
      </c>
    </row>
    <row r="295" spans="1:24">
      <c r="A295" s="23" t="s">
        <v>322</v>
      </c>
      <c r="B295" s="35" t="s">
        <v>300</v>
      </c>
      <c r="C295" s="97">
        <v>13101</v>
      </c>
      <c r="D295" s="132">
        <v>6074028127</v>
      </c>
      <c r="E295" s="116">
        <f t="shared" si="71"/>
        <v>463630.87756659795</v>
      </c>
      <c r="F295" s="134">
        <v>3640035028</v>
      </c>
      <c r="G295" s="117">
        <f t="shared" si="72"/>
        <v>277844.05984276009</v>
      </c>
      <c r="H295" s="9"/>
      <c r="I295" s="136">
        <v>7.4</v>
      </c>
      <c r="J295" s="134">
        <v>26936259.207200002</v>
      </c>
      <c r="K295" s="120">
        <f t="shared" si="73"/>
        <v>2056.0460428364249</v>
      </c>
      <c r="L295" s="122">
        <f t="shared" si="61"/>
        <v>36400350.280000001</v>
      </c>
      <c r="M295" s="116">
        <f t="shared" si="62"/>
        <v>9464091.0727999993</v>
      </c>
      <c r="N295" s="123">
        <f t="shared" si="63"/>
        <v>722.39455559117619</v>
      </c>
      <c r="O295" s="5"/>
      <c r="P295" s="5">
        <f t="shared" si="67"/>
        <v>1</v>
      </c>
      <c r="Q295" s="7">
        <f t="shared" si="68"/>
        <v>13101</v>
      </c>
      <c r="W295" s="124">
        <f t="shared" si="70"/>
        <v>26936259.207200002</v>
      </c>
      <c r="X295">
        <f t="shared" si="69"/>
        <v>0</v>
      </c>
    </row>
    <row r="296" spans="1:24">
      <c r="A296" s="23" t="s">
        <v>323</v>
      </c>
      <c r="B296" s="35" t="s">
        <v>300</v>
      </c>
      <c r="C296" s="97">
        <v>1810</v>
      </c>
      <c r="D296" s="132">
        <v>2714531958</v>
      </c>
      <c r="E296" s="116">
        <f t="shared" si="71"/>
        <v>1499741.4132596685</v>
      </c>
      <c r="F296" s="134">
        <v>1678098943</v>
      </c>
      <c r="G296" s="117">
        <f t="shared" si="72"/>
        <v>927126.48784530384</v>
      </c>
      <c r="H296" s="9"/>
      <c r="I296" s="136">
        <v>5.4</v>
      </c>
      <c r="J296" s="134">
        <v>9061734.292200001</v>
      </c>
      <c r="K296" s="120">
        <f t="shared" si="73"/>
        <v>5006.4830343646418</v>
      </c>
      <c r="L296" s="122">
        <f t="shared" si="61"/>
        <v>16780989.43</v>
      </c>
      <c r="M296" s="116">
        <f t="shared" si="62"/>
        <v>7719255.1377999987</v>
      </c>
      <c r="N296" s="123">
        <f t="shared" si="63"/>
        <v>4264.7818440883975</v>
      </c>
      <c r="O296" s="5"/>
      <c r="P296" s="5">
        <f t="shared" si="67"/>
        <v>1</v>
      </c>
      <c r="Q296" s="7">
        <f t="shared" si="68"/>
        <v>1810</v>
      </c>
      <c r="W296" s="124">
        <f t="shared" si="70"/>
        <v>9061734.292200001</v>
      </c>
      <c r="X296">
        <f t="shared" si="69"/>
        <v>0</v>
      </c>
    </row>
    <row r="297" spans="1:24">
      <c r="A297" s="23" t="s">
        <v>324</v>
      </c>
      <c r="B297" s="35" t="s">
        <v>300</v>
      </c>
      <c r="C297" s="97">
        <v>5666</v>
      </c>
      <c r="D297" s="132">
        <v>365200271</v>
      </c>
      <c r="E297" s="116">
        <f t="shared" si="71"/>
        <v>64454.689551711963</v>
      </c>
      <c r="F297" s="134">
        <v>127295887</v>
      </c>
      <c r="G297" s="117">
        <f t="shared" si="72"/>
        <v>22466.623190963644</v>
      </c>
      <c r="H297" s="7"/>
      <c r="I297" s="136">
        <v>6.5419</v>
      </c>
      <c r="J297" s="134">
        <v>832756.96316529997</v>
      </c>
      <c r="K297" s="120">
        <f t="shared" si="73"/>
        <v>146.97440225296504</v>
      </c>
      <c r="L297" s="122">
        <f t="shared" si="61"/>
        <v>1272958.8700000001</v>
      </c>
      <c r="M297" s="116">
        <f t="shared" si="62"/>
        <v>440201.90683470014</v>
      </c>
      <c r="N297" s="123">
        <f t="shared" si="63"/>
        <v>77.691829656671402</v>
      </c>
      <c r="O297" s="5"/>
      <c r="P297" s="5">
        <f t="shared" si="67"/>
        <v>1</v>
      </c>
      <c r="Q297" s="7">
        <f t="shared" si="68"/>
        <v>5666</v>
      </c>
      <c r="W297" s="124">
        <f t="shared" si="70"/>
        <v>832756.96316529997</v>
      </c>
      <c r="X297">
        <f t="shared" si="69"/>
        <v>0</v>
      </c>
    </row>
    <row r="298" spans="1:24">
      <c r="A298" s="23" t="s">
        <v>300</v>
      </c>
      <c r="B298" s="35" t="s">
        <v>300</v>
      </c>
      <c r="C298" s="97">
        <v>9212</v>
      </c>
      <c r="D298" s="132">
        <v>54917272743</v>
      </c>
      <c r="E298" s="116">
        <f t="shared" si="71"/>
        <v>5961492.9160877112</v>
      </c>
      <c r="F298" s="134">
        <v>32139837543</v>
      </c>
      <c r="G298" s="117">
        <f t="shared" si="72"/>
        <v>3488909.8505210597</v>
      </c>
      <c r="H298" s="7"/>
      <c r="I298" s="136">
        <v>2.6110000000000002</v>
      </c>
      <c r="J298" s="134">
        <v>83917115.824773014</v>
      </c>
      <c r="K298" s="120">
        <f t="shared" si="73"/>
        <v>9109.5436197104882</v>
      </c>
      <c r="L298" s="122">
        <f t="shared" si="61"/>
        <v>321398375.43000001</v>
      </c>
      <c r="M298" s="116">
        <f t="shared" si="62"/>
        <v>237481259.60522699</v>
      </c>
      <c r="N298" s="123">
        <f t="shared" si="63"/>
        <v>25779.554885500107</v>
      </c>
      <c r="O298" s="5"/>
      <c r="P298" s="5">
        <f t="shared" si="67"/>
        <v>1</v>
      </c>
      <c r="Q298" s="7">
        <f t="shared" si="68"/>
        <v>9212</v>
      </c>
      <c r="W298" s="124">
        <f t="shared" si="70"/>
        <v>83917115.824772999</v>
      </c>
      <c r="X298">
        <f t="shared" si="69"/>
        <v>0</v>
      </c>
    </row>
    <row r="299" spans="1:24">
      <c r="A299" s="23" t="s">
        <v>325</v>
      </c>
      <c r="B299" s="35" t="s">
        <v>300</v>
      </c>
      <c r="C299" s="97">
        <v>62469</v>
      </c>
      <c r="D299" s="132">
        <v>30186270096</v>
      </c>
      <c r="E299" s="116">
        <f t="shared" si="71"/>
        <v>483219.99865533307</v>
      </c>
      <c r="F299" s="134">
        <v>19885691998</v>
      </c>
      <c r="G299" s="117">
        <f t="shared" si="72"/>
        <v>318328.96313371434</v>
      </c>
      <c r="H299" s="7"/>
      <c r="I299" s="136">
        <v>5.0537000000000001</v>
      </c>
      <c r="J299" s="134">
        <v>100496321.65029261</v>
      </c>
      <c r="K299" s="120">
        <f t="shared" si="73"/>
        <v>1608.7390809888523</v>
      </c>
      <c r="L299" s="122">
        <f t="shared" si="61"/>
        <v>198856919.97999999</v>
      </c>
      <c r="M299" s="116">
        <f t="shared" si="62"/>
        <v>98360598.329707384</v>
      </c>
      <c r="N299" s="123">
        <f t="shared" si="63"/>
        <v>1574.5505503482909</v>
      </c>
      <c r="O299" s="5"/>
      <c r="P299" s="5">
        <f t="shared" si="67"/>
        <v>1</v>
      </c>
      <c r="Q299" s="7">
        <f t="shared" si="68"/>
        <v>62469</v>
      </c>
      <c r="W299" s="124">
        <f t="shared" si="70"/>
        <v>100496321.65029261</v>
      </c>
      <c r="X299">
        <f t="shared" si="69"/>
        <v>0</v>
      </c>
    </row>
    <row r="300" spans="1:24">
      <c r="A300" s="23" t="s">
        <v>326</v>
      </c>
      <c r="B300" s="35" t="s">
        <v>300</v>
      </c>
      <c r="C300" s="97">
        <v>1283</v>
      </c>
      <c r="D300" s="132">
        <v>1140122908</v>
      </c>
      <c r="E300" s="116">
        <f t="shared" si="71"/>
        <v>888638.27591582225</v>
      </c>
      <c r="F300" s="134">
        <v>841586848</v>
      </c>
      <c r="G300" s="117">
        <f t="shared" si="72"/>
        <v>655952.33671083394</v>
      </c>
      <c r="H300" s="9"/>
      <c r="I300" s="136">
        <v>6.35</v>
      </c>
      <c r="J300" s="134">
        <v>5344076.4847999988</v>
      </c>
      <c r="K300" s="120">
        <f t="shared" si="73"/>
        <v>4165.2973381137945</v>
      </c>
      <c r="L300" s="122">
        <f t="shared" si="61"/>
        <v>8415868.4800000004</v>
      </c>
      <c r="M300" s="116">
        <f t="shared" si="62"/>
        <v>3071791.9952000016</v>
      </c>
      <c r="N300" s="123">
        <f t="shared" si="63"/>
        <v>2394.2260289945452</v>
      </c>
      <c r="O300" s="5"/>
      <c r="P300" s="5">
        <f t="shared" si="67"/>
        <v>1</v>
      </c>
      <c r="Q300" s="7">
        <f t="shared" si="68"/>
        <v>1283</v>
      </c>
      <c r="W300" s="124">
        <f t="shared" si="70"/>
        <v>5344076.4847999997</v>
      </c>
      <c r="X300">
        <f t="shared" si="69"/>
        <v>0</v>
      </c>
    </row>
    <row r="301" spans="1:24">
      <c r="A301" s="23" t="s">
        <v>327</v>
      </c>
      <c r="B301" s="35" t="s">
        <v>300</v>
      </c>
      <c r="C301" s="97">
        <v>27312</v>
      </c>
      <c r="D301" s="132">
        <v>3248926196</v>
      </c>
      <c r="E301" s="116">
        <f t="shared" si="71"/>
        <v>118955.99721734037</v>
      </c>
      <c r="F301" s="134">
        <v>2073376340</v>
      </c>
      <c r="G301" s="117">
        <f t="shared" si="72"/>
        <v>75914.482278851792</v>
      </c>
      <c r="H301" s="9"/>
      <c r="I301" s="136">
        <v>3.5</v>
      </c>
      <c r="J301" s="134">
        <v>7256817.1900000004</v>
      </c>
      <c r="K301" s="120">
        <f t="shared" si="73"/>
        <v>265.70068797598128</v>
      </c>
      <c r="L301" s="122">
        <f t="shared" si="61"/>
        <v>20733763.400000002</v>
      </c>
      <c r="M301" s="116">
        <f t="shared" si="62"/>
        <v>13476946.210000001</v>
      </c>
      <c r="N301" s="123">
        <f t="shared" si="63"/>
        <v>493.44413481253667</v>
      </c>
      <c r="O301" s="5"/>
      <c r="P301" s="5">
        <f t="shared" si="67"/>
        <v>1</v>
      </c>
      <c r="Q301" s="7">
        <f t="shared" si="68"/>
        <v>27312</v>
      </c>
      <c r="W301" s="124">
        <f t="shared" si="70"/>
        <v>7256817.1900000004</v>
      </c>
      <c r="X301">
        <f t="shared" si="69"/>
        <v>0</v>
      </c>
    </row>
    <row r="302" spans="1:24">
      <c r="A302" s="23" t="s">
        <v>328</v>
      </c>
      <c r="B302" s="35" t="s">
        <v>300</v>
      </c>
      <c r="C302" s="97">
        <v>39390</v>
      </c>
      <c r="D302" s="132">
        <v>12566205588</v>
      </c>
      <c r="E302" s="116">
        <f t="shared" si="71"/>
        <v>319020.19771515613</v>
      </c>
      <c r="F302" s="134">
        <v>8809796595</v>
      </c>
      <c r="G302" s="117">
        <f t="shared" si="72"/>
        <v>223655.66374714393</v>
      </c>
      <c r="H302" s="7"/>
      <c r="I302" s="136">
        <v>8.35</v>
      </c>
      <c r="J302" s="134">
        <v>73561801.56825</v>
      </c>
      <c r="K302" s="120">
        <f t="shared" si="73"/>
        <v>1867.524792288652</v>
      </c>
      <c r="L302" s="122">
        <f t="shared" si="61"/>
        <v>88097965.950000003</v>
      </c>
      <c r="M302" s="116">
        <f t="shared" si="62"/>
        <v>14536164.381750003</v>
      </c>
      <c r="N302" s="123">
        <f t="shared" si="63"/>
        <v>369.03184518278755</v>
      </c>
      <c r="O302" s="5"/>
      <c r="P302" s="5">
        <f t="shared" si="67"/>
        <v>1</v>
      </c>
      <c r="Q302" s="7">
        <f t="shared" si="68"/>
        <v>39390</v>
      </c>
      <c r="W302" s="124">
        <f t="shared" si="70"/>
        <v>73561801.56825</v>
      </c>
      <c r="X302">
        <f t="shared" si="69"/>
        <v>0</v>
      </c>
    </row>
    <row r="303" spans="1:24">
      <c r="A303" s="23" t="s">
        <v>329</v>
      </c>
      <c r="B303" s="35" t="s">
        <v>300</v>
      </c>
      <c r="C303" s="97">
        <v>40430</v>
      </c>
      <c r="D303" s="132">
        <v>7444720307</v>
      </c>
      <c r="E303" s="116">
        <f t="shared" si="71"/>
        <v>184138.51860004946</v>
      </c>
      <c r="F303" s="134">
        <v>4603640688</v>
      </c>
      <c r="G303" s="117">
        <f t="shared" si="72"/>
        <v>113866.94751422211</v>
      </c>
      <c r="H303" s="7"/>
      <c r="I303" s="136">
        <v>1.92</v>
      </c>
      <c r="J303" s="134">
        <v>8838990.120959999</v>
      </c>
      <c r="K303" s="120">
        <f t="shared" si="73"/>
        <v>218.62453922730643</v>
      </c>
      <c r="L303" s="122">
        <f t="shared" si="61"/>
        <v>46036406.880000003</v>
      </c>
      <c r="M303" s="116">
        <f t="shared" si="62"/>
        <v>37197416.759040006</v>
      </c>
      <c r="N303" s="123">
        <f t="shared" si="63"/>
        <v>920.04493591491484</v>
      </c>
      <c r="O303" s="5"/>
      <c r="P303" s="5">
        <f t="shared" si="67"/>
        <v>1</v>
      </c>
      <c r="Q303" s="7">
        <f t="shared" si="68"/>
        <v>40430</v>
      </c>
      <c r="W303" s="124">
        <f t="shared" si="70"/>
        <v>8838990.120959999</v>
      </c>
      <c r="X303">
        <f t="shared" si="69"/>
        <v>0</v>
      </c>
    </row>
    <row r="304" spans="1:24">
      <c r="A304" s="23" t="s">
        <v>330</v>
      </c>
      <c r="B304" s="35" t="s">
        <v>300</v>
      </c>
      <c r="C304" s="97">
        <v>4984</v>
      </c>
      <c r="D304" s="132">
        <v>310559479</v>
      </c>
      <c r="E304" s="116">
        <f t="shared" si="71"/>
        <v>62311.291934189408</v>
      </c>
      <c r="F304" s="134">
        <v>112043887</v>
      </c>
      <c r="G304" s="117">
        <f t="shared" si="72"/>
        <v>22480.715690208668</v>
      </c>
      <c r="H304" s="7"/>
      <c r="I304" s="136">
        <v>6.3089000000000004</v>
      </c>
      <c r="J304" s="134">
        <v>706873.6786943</v>
      </c>
      <c r="K304" s="120">
        <f t="shared" si="73"/>
        <v>141.82858721795748</v>
      </c>
      <c r="L304" s="122">
        <f t="shared" si="61"/>
        <v>1120438.8700000001</v>
      </c>
      <c r="M304" s="116">
        <f t="shared" si="62"/>
        <v>413565.19130570011</v>
      </c>
      <c r="N304" s="123">
        <f t="shared" si="63"/>
        <v>82.978569684129241</v>
      </c>
      <c r="O304" s="5"/>
      <c r="P304" s="5">
        <f t="shared" si="67"/>
        <v>1</v>
      </c>
      <c r="Q304" s="7">
        <f t="shared" si="68"/>
        <v>4984</v>
      </c>
      <c r="W304" s="124">
        <f t="shared" si="70"/>
        <v>706873.6786943</v>
      </c>
      <c r="X304">
        <f t="shared" si="69"/>
        <v>0</v>
      </c>
    </row>
    <row r="305" spans="1:24">
      <c r="A305" s="23" t="s">
        <v>331</v>
      </c>
      <c r="B305" s="35" t="s">
        <v>300</v>
      </c>
      <c r="C305" s="97">
        <v>1465</v>
      </c>
      <c r="D305" s="132">
        <v>891102906</v>
      </c>
      <c r="E305" s="116">
        <f t="shared" si="71"/>
        <v>608261.36928327649</v>
      </c>
      <c r="F305" s="134">
        <v>642298708</v>
      </c>
      <c r="G305" s="117">
        <f t="shared" si="72"/>
        <v>438429.15221843001</v>
      </c>
      <c r="H305" s="7"/>
      <c r="I305" s="136">
        <v>3.4</v>
      </c>
      <c r="J305" s="134">
        <v>2183815.6072</v>
      </c>
      <c r="K305" s="120">
        <f t="shared" si="73"/>
        <v>1490.659117542662</v>
      </c>
      <c r="L305" s="122">
        <f t="shared" si="61"/>
        <v>6422987.0800000001</v>
      </c>
      <c r="M305" s="116">
        <f t="shared" si="62"/>
        <v>4239171.4727999996</v>
      </c>
      <c r="N305" s="123">
        <f t="shared" si="63"/>
        <v>2893.632404641638</v>
      </c>
      <c r="O305" s="5"/>
      <c r="P305" s="5">
        <f t="shared" si="67"/>
        <v>1</v>
      </c>
      <c r="Q305" s="7">
        <f t="shared" si="68"/>
        <v>1465</v>
      </c>
      <c r="W305" s="124">
        <f t="shared" si="70"/>
        <v>2183815.6072</v>
      </c>
      <c r="X305">
        <f t="shared" si="69"/>
        <v>0</v>
      </c>
    </row>
    <row r="306" spans="1:24">
      <c r="A306" s="23" t="s">
        <v>332</v>
      </c>
      <c r="B306" s="35" t="s">
        <v>300</v>
      </c>
      <c r="C306" s="97">
        <v>6093</v>
      </c>
      <c r="D306" s="132">
        <v>3347222825</v>
      </c>
      <c r="E306" s="116">
        <f t="shared" si="71"/>
        <v>549355.46118496638</v>
      </c>
      <c r="F306" s="134">
        <v>2052400145</v>
      </c>
      <c r="G306" s="117">
        <f t="shared" si="72"/>
        <v>336845.58427703922</v>
      </c>
      <c r="H306" s="7"/>
      <c r="I306" s="136">
        <v>6.4595000000000002</v>
      </c>
      <c r="J306" s="134">
        <v>13257478.736627501</v>
      </c>
      <c r="K306" s="120">
        <f t="shared" si="73"/>
        <v>2175.8540516375351</v>
      </c>
      <c r="L306" s="122">
        <f t="shared" si="61"/>
        <v>20524001.449999999</v>
      </c>
      <c r="M306" s="116">
        <f t="shared" si="62"/>
        <v>7266522.7133724988</v>
      </c>
      <c r="N306" s="123">
        <f t="shared" si="63"/>
        <v>1192.6017911328572</v>
      </c>
      <c r="O306" s="5"/>
      <c r="P306" s="5">
        <f t="shared" si="67"/>
        <v>1</v>
      </c>
      <c r="Q306" s="7">
        <f t="shared" si="68"/>
        <v>6093</v>
      </c>
      <c r="W306" s="124">
        <f t="shared" si="70"/>
        <v>13257478.736627501</v>
      </c>
      <c r="X306">
        <f t="shared" si="69"/>
        <v>0</v>
      </c>
    </row>
    <row r="307" spans="1:24">
      <c r="A307" s="23" t="s">
        <v>333</v>
      </c>
      <c r="B307" s="35" t="s">
        <v>300</v>
      </c>
      <c r="C307" s="97">
        <v>61794</v>
      </c>
      <c r="D307" s="132">
        <v>21128795260</v>
      </c>
      <c r="E307" s="116">
        <f t="shared" si="71"/>
        <v>341923.08735475934</v>
      </c>
      <c r="F307" s="134">
        <v>12484419124</v>
      </c>
      <c r="G307" s="117">
        <f t="shared" si="72"/>
        <v>202032.86927533417</v>
      </c>
      <c r="H307" s="7"/>
      <c r="I307" s="136">
        <v>2.4700000000000002</v>
      </c>
      <c r="J307" s="134">
        <v>30836515.236280002</v>
      </c>
      <c r="K307" s="120">
        <f t="shared" si="73"/>
        <v>499.02118711007546</v>
      </c>
      <c r="L307" s="122">
        <f t="shared" si="61"/>
        <v>124844191.24000001</v>
      </c>
      <c r="M307" s="116">
        <f t="shared" si="62"/>
        <v>94007676.003720015</v>
      </c>
      <c r="N307" s="123">
        <f t="shared" si="63"/>
        <v>1521.3075056432665</v>
      </c>
      <c r="O307" s="5"/>
      <c r="P307" s="5">
        <f t="shared" si="67"/>
        <v>1</v>
      </c>
      <c r="Q307" s="7">
        <f t="shared" si="68"/>
        <v>61794</v>
      </c>
      <c r="W307" s="124">
        <f t="shared" si="70"/>
        <v>30836515.236280005</v>
      </c>
      <c r="X307">
        <f t="shared" si="69"/>
        <v>0</v>
      </c>
    </row>
    <row r="308" spans="1:24">
      <c r="A308" s="24" t="s">
        <v>334</v>
      </c>
      <c r="B308" s="35" t="s">
        <v>300</v>
      </c>
      <c r="C308" s="97">
        <v>125401</v>
      </c>
      <c r="D308" s="132">
        <v>37419053907</v>
      </c>
      <c r="E308" s="116">
        <f t="shared" si="71"/>
        <v>298395.17952009954</v>
      </c>
      <c r="F308" s="134">
        <v>23359211801</v>
      </c>
      <c r="G308" s="117">
        <f t="shared" si="72"/>
        <v>186276.12061307326</v>
      </c>
      <c r="H308" s="7"/>
      <c r="I308" s="136">
        <v>8.1308000000000007</v>
      </c>
      <c r="J308" s="134">
        <v>189929079.31157082</v>
      </c>
      <c r="K308" s="120">
        <f t="shared" si="73"/>
        <v>1514.5738814807762</v>
      </c>
      <c r="L308" s="122">
        <f t="shared" si="61"/>
        <v>233592118.00999999</v>
      </c>
      <c r="M308" s="116">
        <f t="shared" si="62"/>
        <v>43663038.698429167</v>
      </c>
      <c r="N308" s="123">
        <f t="shared" si="63"/>
        <v>348.18732464995628</v>
      </c>
      <c r="O308" s="5"/>
      <c r="P308" s="5">
        <f>IF(I308&gt;0,1,0)</f>
        <v>1</v>
      </c>
      <c r="Q308" s="7">
        <f>IF(I308&gt;0,C308,0)</f>
        <v>125401</v>
      </c>
      <c r="S308" s="124"/>
      <c r="T308" s="124"/>
      <c r="U308" s="124"/>
      <c r="W308" s="124">
        <f t="shared" si="70"/>
        <v>189929079.31157082</v>
      </c>
      <c r="X308">
        <f t="shared" si="69"/>
        <v>0</v>
      </c>
    </row>
    <row r="309" spans="1:24">
      <c r="A309" s="23" t="s">
        <v>614</v>
      </c>
      <c r="B309" s="35" t="s">
        <v>300</v>
      </c>
      <c r="C309" s="97">
        <v>6419</v>
      </c>
      <c r="D309" s="132">
        <v>2007253792</v>
      </c>
      <c r="E309" s="116">
        <f t="shared" si="71"/>
        <v>312705.06184763979</v>
      </c>
      <c r="F309" s="134">
        <v>1286833096</v>
      </c>
      <c r="G309" s="117">
        <f t="shared" si="72"/>
        <v>200472.51846081944</v>
      </c>
      <c r="H309" s="7"/>
      <c r="I309" s="136">
        <v>4.7</v>
      </c>
      <c r="J309" s="134">
        <v>6048115.5511999996</v>
      </c>
      <c r="K309" s="120">
        <f t="shared" si="73"/>
        <v>942.22083676585135</v>
      </c>
      <c r="L309" s="122">
        <f t="shared" si="61"/>
        <v>12868330.960000001</v>
      </c>
      <c r="M309" s="116">
        <f t="shared" si="62"/>
        <v>6820215.4088000013</v>
      </c>
      <c r="N309" s="123">
        <f t="shared" si="63"/>
        <v>1062.5043478423433</v>
      </c>
      <c r="O309" s="5"/>
      <c r="P309" s="5">
        <f t="shared" si="67"/>
        <v>1</v>
      </c>
      <c r="Q309" s="7">
        <f t="shared" si="68"/>
        <v>6419</v>
      </c>
      <c r="S309" s="124">
        <f>SUM(D271:D309)</f>
        <v>349878504757</v>
      </c>
      <c r="T309" s="124">
        <f>SUM(F271:F309)</f>
        <v>221086583816</v>
      </c>
      <c r="U309" s="124">
        <f>SUM(J271:J309)</f>
        <v>1029506989.0783938</v>
      </c>
      <c r="W309" s="124">
        <f t="shared" si="70"/>
        <v>6048115.5512000006</v>
      </c>
      <c r="X309">
        <f t="shared" si="69"/>
        <v>0</v>
      </c>
    </row>
    <row r="310" spans="1:24">
      <c r="A310" s="23" t="s">
        <v>335</v>
      </c>
      <c r="B310" s="35" t="s">
        <v>336</v>
      </c>
      <c r="C310" s="97">
        <v>9382</v>
      </c>
      <c r="D310" s="132">
        <v>1235447600</v>
      </c>
      <c r="E310" s="116">
        <f t="shared" si="71"/>
        <v>131682.75421018971</v>
      </c>
      <c r="F310" s="134">
        <v>683909601</v>
      </c>
      <c r="G310" s="117">
        <f t="shared" si="72"/>
        <v>72895.928480068222</v>
      </c>
      <c r="H310" s="7"/>
      <c r="I310" s="136">
        <v>6.93</v>
      </c>
      <c r="J310" s="134">
        <v>4739493.5349299992</v>
      </c>
      <c r="K310" s="120">
        <f t="shared" si="73"/>
        <v>505.16878436687267</v>
      </c>
      <c r="L310" s="122">
        <f t="shared" si="61"/>
        <v>6839096.0099999998</v>
      </c>
      <c r="M310" s="116">
        <f t="shared" si="62"/>
        <v>2099602.4750700006</v>
      </c>
      <c r="N310" s="123">
        <f t="shared" si="63"/>
        <v>223.79050043380948</v>
      </c>
      <c r="O310" s="5"/>
      <c r="P310" s="5">
        <f t="shared" si="67"/>
        <v>1</v>
      </c>
      <c r="Q310" s="7">
        <f t="shared" si="68"/>
        <v>9382</v>
      </c>
      <c r="W310" s="124">
        <f t="shared" si="70"/>
        <v>4739493.5349300001</v>
      </c>
      <c r="X310">
        <f t="shared" si="69"/>
        <v>0</v>
      </c>
    </row>
    <row r="311" spans="1:24">
      <c r="A311" s="23" t="s">
        <v>337</v>
      </c>
      <c r="B311" s="35" t="s">
        <v>336</v>
      </c>
      <c r="C311" s="97">
        <v>17270</v>
      </c>
      <c r="D311" s="132">
        <v>2031811647</v>
      </c>
      <c r="E311" s="116">
        <f t="shared" si="71"/>
        <v>117649.77689635205</v>
      </c>
      <c r="F311" s="134">
        <v>1062967928</v>
      </c>
      <c r="G311" s="117">
        <f t="shared" si="72"/>
        <v>61549.966878980893</v>
      </c>
      <c r="H311" s="7"/>
      <c r="I311" s="136">
        <v>8.3000000000000007</v>
      </c>
      <c r="J311" s="134">
        <v>8822633.8024000023</v>
      </c>
      <c r="K311" s="120">
        <f t="shared" si="73"/>
        <v>510.86472509554153</v>
      </c>
      <c r="L311" s="122">
        <f t="shared" si="61"/>
        <v>10629679.279999999</v>
      </c>
      <c r="M311" s="116">
        <f t="shared" si="62"/>
        <v>1807045.4775999971</v>
      </c>
      <c r="N311" s="123">
        <f t="shared" si="63"/>
        <v>104.63494369426735</v>
      </c>
      <c r="O311" s="5"/>
      <c r="P311" s="5">
        <f t="shared" si="67"/>
        <v>1</v>
      </c>
      <c r="Q311" s="7">
        <f t="shared" si="68"/>
        <v>17270</v>
      </c>
      <c r="W311" s="124">
        <f t="shared" si="70"/>
        <v>8822633.8024000004</v>
      </c>
      <c r="X311">
        <f t="shared" si="69"/>
        <v>0</v>
      </c>
    </row>
    <row r="312" spans="1:24">
      <c r="A312" s="23" t="s">
        <v>338</v>
      </c>
      <c r="B312" s="35" t="s">
        <v>336</v>
      </c>
      <c r="C312" s="97">
        <v>3251</v>
      </c>
      <c r="D312" s="132">
        <v>664212889</v>
      </c>
      <c r="E312" s="116">
        <f t="shared" si="71"/>
        <v>204310.33189787756</v>
      </c>
      <c r="F312" s="134">
        <v>446440847</v>
      </c>
      <c r="G312" s="117">
        <f t="shared" si="72"/>
        <v>137324.16087357735</v>
      </c>
      <c r="H312" s="7"/>
      <c r="I312" s="136">
        <v>6.35</v>
      </c>
      <c r="J312" s="134">
        <v>2834899.3784499997</v>
      </c>
      <c r="K312" s="120">
        <f t="shared" si="73"/>
        <v>872.00842154721613</v>
      </c>
      <c r="L312" s="122">
        <f t="shared" si="61"/>
        <v>4464408.47</v>
      </c>
      <c r="M312" s="116">
        <f t="shared" si="62"/>
        <v>1629509.09155</v>
      </c>
      <c r="N312" s="123">
        <f t="shared" si="63"/>
        <v>501.23318718855739</v>
      </c>
      <c r="O312" s="5"/>
      <c r="P312" s="5">
        <f t="shared" si="67"/>
        <v>1</v>
      </c>
      <c r="Q312" s="7">
        <f t="shared" si="68"/>
        <v>3251</v>
      </c>
      <c r="W312" s="124">
        <f t="shared" si="70"/>
        <v>2834899.3784499997</v>
      </c>
      <c r="X312">
        <f t="shared" si="69"/>
        <v>0</v>
      </c>
    </row>
    <row r="313" spans="1:24">
      <c r="A313" s="24" t="s">
        <v>339</v>
      </c>
      <c r="B313" s="35" t="s">
        <v>336</v>
      </c>
      <c r="C313" s="97">
        <v>1403</v>
      </c>
      <c r="D313" s="132">
        <v>254300033</v>
      </c>
      <c r="E313" s="116">
        <f t="shared" si="71"/>
        <v>181254.47826086957</v>
      </c>
      <c r="F313" s="134">
        <v>136698293</v>
      </c>
      <c r="G313" s="117">
        <f t="shared" si="72"/>
        <v>97432.853171774768</v>
      </c>
      <c r="H313" s="9"/>
      <c r="I313" s="136">
        <v>3.7</v>
      </c>
      <c r="J313" s="134">
        <v>505783.68410000001</v>
      </c>
      <c r="K313" s="120">
        <f t="shared" si="73"/>
        <v>360.50155673556668</v>
      </c>
      <c r="L313" s="122">
        <f t="shared" si="61"/>
        <v>1366982.93</v>
      </c>
      <c r="M313" s="116">
        <f t="shared" si="62"/>
        <v>861199.24589999998</v>
      </c>
      <c r="N313" s="123">
        <f t="shared" si="63"/>
        <v>613.82697498218101</v>
      </c>
      <c r="O313" s="5"/>
      <c r="P313" s="5">
        <f t="shared" si="67"/>
        <v>1</v>
      </c>
      <c r="Q313" s="7">
        <f t="shared" si="68"/>
        <v>1403</v>
      </c>
      <c r="W313" s="124">
        <f t="shared" si="70"/>
        <v>505783.68410000001</v>
      </c>
      <c r="X313">
        <f t="shared" si="69"/>
        <v>0</v>
      </c>
    </row>
    <row r="314" spans="1:24">
      <c r="A314" s="23" t="s">
        <v>547</v>
      </c>
      <c r="B314" s="35" t="s">
        <v>336</v>
      </c>
      <c r="C314" s="97">
        <v>2282</v>
      </c>
      <c r="D314" s="132">
        <v>101345438</v>
      </c>
      <c r="E314" s="116">
        <f t="shared" si="71"/>
        <v>44410.796669588082</v>
      </c>
      <c r="F314" s="134">
        <v>12507547</v>
      </c>
      <c r="G314" s="117">
        <f t="shared" si="72"/>
        <v>5480.9583698510078</v>
      </c>
      <c r="H314" s="7"/>
      <c r="I314" s="136">
        <v>0.86650000000000005</v>
      </c>
      <c r="J314" s="134">
        <v>10837.7894755</v>
      </c>
      <c r="K314" s="120">
        <f t="shared" si="73"/>
        <v>4.7492504274758982</v>
      </c>
      <c r="L314" s="122">
        <f t="shared" si="61"/>
        <v>125075.47</v>
      </c>
      <c r="M314" s="116">
        <f t="shared" si="62"/>
        <v>114237.6805245</v>
      </c>
      <c r="N314" s="123">
        <f t="shared" si="63"/>
        <v>50.060333271034182</v>
      </c>
      <c r="O314" s="5"/>
      <c r="P314" s="5">
        <f t="shared" si="67"/>
        <v>1</v>
      </c>
      <c r="Q314" s="7">
        <f t="shared" si="68"/>
        <v>2282</v>
      </c>
      <c r="S314" s="124"/>
      <c r="T314" s="124"/>
      <c r="U314" s="124"/>
      <c r="W314" s="124">
        <f t="shared" si="70"/>
        <v>10837.789475500002</v>
      </c>
      <c r="X314">
        <f t="shared" si="69"/>
        <v>0</v>
      </c>
    </row>
    <row r="315" spans="1:24">
      <c r="A315" s="23" t="s">
        <v>340</v>
      </c>
      <c r="B315" s="35" t="s">
        <v>336</v>
      </c>
      <c r="C315" s="97">
        <v>19666</v>
      </c>
      <c r="D315" s="132">
        <v>2522052431</v>
      </c>
      <c r="E315" s="116">
        <f t="shared" si="71"/>
        <v>128244.30138309773</v>
      </c>
      <c r="F315" s="134">
        <v>1574329562</v>
      </c>
      <c r="G315" s="117">
        <f t="shared" si="72"/>
        <v>80053.369368453161</v>
      </c>
      <c r="H315" s="7"/>
      <c r="I315" s="136">
        <v>6.25</v>
      </c>
      <c r="J315" s="134">
        <v>9839559.7624999993</v>
      </c>
      <c r="K315" s="120">
        <f t="shared" si="73"/>
        <v>500.33355855283224</v>
      </c>
      <c r="L315" s="122">
        <f t="shared" si="61"/>
        <v>15743295.620000001</v>
      </c>
      <c r="M315" s="116">
        <f t="shared" si="62"/>
        <v>5903735.8575000018</v>
      </c>
      <c r="N315" s="123">
        <f t="shared" si="63"/>
        <v>300.20013513169948</v>
      </c>
      <c r="O315" s="5"/>
      <c r="P315" s="5">
        <f t="shared" si="67"/>
        <v>1</v>
      </c>
      <c r="Q315" s="7">
        <f t="shared" si="68"/>
        <v>19666</v>
      </c>
      <c r="S315" s="124">
        <f>SUM(D310:D315)</f>
        <v>6809170038</v>
      </c>
      <c r="T315" s="124">
        <f>SUM(F310:F315)</f>
        <v>3916853778</v>
      </c>
      <c r="U315" s="124">
        <f>SUM(J310:J315)</f>
        <v>26753207.951855499</v>
      </c>
      <c r="W315" s="124">
        <f t="shared" si="70"/>
        <v>9839559.7625000011</v>
      </c>
      <c r="X315">
        <f t="shared" si="69"/>
        <v>0</v>
      </c>
    </row>
    <row r="316" spans="1:24">
      <c r="A316" s="23" t="s">
        <v>341</v>
      </c>
      <c r="B316" s="35" t="s">
        <v>342</v>
      </c>
      <c r="C316" s="97">
        <v>4310</v>
      </c>
      <c r="D316" s="132">
        <v>2233718756</v>
      </c>
      <c r="E316" s="116">
        <f t="shared" si="71"/>
        <v>518264.21252900234</v>
      </c>
      <c r="F316" s="134">
        <v>1296263679</v>
      </c>
      <c r="G316" s="117">
        <f t="shared" si="72"/>
        <v>300757.23410672852</v>
      </c>
      <c r="H316" s="7"/>
      <c r="I316" s="136">
        <v>6.9776999999999996</v>
      </c>
      <c r="J316" s="134">
        <v>9044939.0729582999</v>
      </c>
      <c r="K316" s="120">
        <f t="shared" si="73"/>
        <v>2098.5937524265196</v>
      </c>
      <c r="L316" s="122">
        <f t="shared" si="61"/>
        <v>12962636.790000001</v>
      </c>
      <c r="M316" s="116">
        <f t="shared" si="62"/>
        <v>3917697.7170417011</v>
      </c>
      <c r="N316" s="123">
        <f t="shared" si="63"/>
        <v>908.97858864076591</v>
      </c>
      <c r="O316" s="5"/>
      <c r="P316" s="5">
        <f t="shared" si="67"/>
        <v>1</v>
      </c>
      <c r="Q316" s="7">
        <f t="shared" si="68"/>
        <v>4310</v>
      </c>
      <c r="W316" s="124">
        <f t="shared" si="70"/>
        <v>9044939.0729582999</v>
      </c>
      <c r="X316">
        <f t="shared" si="69"/>
        <v>0</v>
      </c>
    </row>
    <row r="317" spans="1:24">
      <c r="A317" s="23" t="s">
        <v>343</v>
      </c>
      <c r="B317" s="35" t="s">
        <v>342</v>
      </c>
      <c r="C317" s="97">
        <v>1633</v>
      </c>
      <c r="D317" s="132">
        <v>1478613506</v>
      </c>
      <c r="E317" s="116">
        <f t="shared" si="71"/>
        <v>905458.3625229639</v>
      </c>
      <c r="F317" s="134">
        <v>894591893</v>
      </c>
      <c r="G317" s="117">
        <f t="shared" si="72"/>
        <v>547821.12247397425</v>
      </c>
      <c r="H317" s="7"/>
      <c r="I317" s="136">
        <v>2.0394000000000001</v>
      </c>
      <c r="J317" s="134">
        <v>1824430.7065842</v>
      </c>
      <c r="K317" s="120">
        <f t="shared" si="73"/>
        <v>1117.2263971734233</v>
      </c>
      <c r="L317" s="122">
        <f t="shared" si="61"/>
        <v>8945918.9299999997</v>
      </c>
      <c r="M317" s="116">
        <f t="shared" si="62"/>
        <v>7121488.2234157994</v>
      </c>
      <c r="N317" s="123">
        <f t="shared" si="63"/>
        <v>4360.9848275663189</v>
      </c>
      <c r="O317" s="5"/>
      <c r="P317" s="5">
        <f t="shared" si="67"/>
        <v>1</v>
      </c>
      <c r="Q317" s="7">
        <f t="shared" si="68"/>
        <v>1633</v>
      </c>
      <c r="W317" s="124">
        <f t="shared" si="70"/>
        <v>1824430.7065842003</v>
      </c>
      <c r="X317">
        <f t="shared" si="69"/>
        <v>0</v>
      </c>
    </row>
    <row r="318" spans="1:24">
      <c r="A318" s="23" t="s">
        <v>344</v>
      </c>
      <c r="B318" s="35" t="s">
        <v>342</v>
      </c>
      <c r="C318" s="97">
        <v>2312</v>
      </c>
      <c r="D318" s="132">
        <v>597965626</v>
      </c>
      <c r="E318" s="116">
        <f t="shared" si="71"/>
        <v>258635.65138408306</v>
      </c>
      <c r="F318" s="134">
        <v>385474883</v>
      </c>
      <c r="G318" s="117">
        <f t="shared" si="72"/>
        <v>166727.89057093425</v>
      </c>
      <c r="H318" s="7"/>
      <c r="I318" s="136">
        <v>5.35</v>
      </c>
      <c r="J318" s="134">
        <v>2062290.62405</v>
      </c>
      <c r="K318" s="120">
        <f t="shared" si="73"/>
        <v>891.99421455449828</v>
      </c>
      <c r="L318" s="122">
        <f t="shared" si="61"/>
        <v>3854748.83</v>
      </c>
      <c r="M318" s="116">
        <f t="shared" si="62"/>
        <v>1792458.2059500001</v>
      </c>
      <c r="N318" s="123">
        <f t="shared" si="63"/>
        <v>775.28469115484438</v>
      </c>
      <c r="O318" s="5"/>
      <c r="P318" s="5">
        <f t="shared" si="67"/>
        <v>1</v>
      </c>
      <c r="Q318" s="7">
        <f t="shared" si="68"/>
        <v>2312</v>
      </c>
      <c r="W318" s="124">
        <f t="shared" si="70"/>
        <v>2062290.62405</v>
      </c>
      <c r="X318">
        <f t="shared" si="69"/>
        <v>0</v>
      </c>
    </row>
    <row r="319" spans="1:24">
      <c r="A319" s="23" t="s">
        <v>345</v>
      </c>
      <c r="B319" s="35" t="s">
        <v>342</v>
      </c>
      <c r="C319" s="97">
        <v>70</v>
      </c>
      <c r="D319" s="132">
        <v>345199669</v>
      </c>
      <c r="E319" s="116">
        <f t="shared" si="71"/>
        <v>4931423.8428571429</v>
      </c>
      <c r="F319" s="134">
        <v>256280051</v>
      </c>
      <c r="G319" s="117">
        <f t="shared" si="72"/>
        <v>3661143.5857142857</v>
      </c>
      <c r="H319" s="7"/>
      <c r="I319" s="136">
        <v>0.53449999999999998</v>
      </c>
      <c r="J319" s="134">
        <v>136981.6872595</v>
      </c>
      <c r="K319" s="120">
        <f t="shared" si="73"/>
        <v>1956.8812465642857</v>
      </c>
      <c r="L319" s="122">
        <f t="shared" si="61"/>
        <v>2562800.5100000002</v>
      </c>
      <c r="M319" s="116">
        <f t="shared" si="62"/>
        <v>2425818.8227405003</v>
      </c>
      <c r="N319" s="123">
        <f t="shared" si="63"/>
        <v>34654.554610578576</v>
      </c>
      <c r="O319" s="5"/>
      <c r="P319" s="5">
        <f t="shared" si="67"/>
        <v>1</v>
      </c>
      <c r="Q319" s="7">
        <f t="shared" si="68"/>
        <v>70</v>
      </c>
      <c r="W319" s="124">
        <f t="shared" si="70"/>
        <v>136981.68725949997</v>
      </c>
      <c r="X319">
        <f t="shared" si="69"/>
        <v>0</v>
      </c>
    </row>
    <row r="320" spans="1:24">
      <c r="A320" s="129" t="s">
        <v>346</v>
      </c>
      <c r="B320" s="130" t="s">
        <v>342</v>
      </c>
      <c r="C320" s="97">
        <v>118463</v>
      </c>
      <c r="D320" s="132">
        <v>29331099994</v>
      </c>
      <c r="E320" s="133">
        <f t="shared" si="71"/>
        <v>247597.13998463657</v>
      </c>
      <c r="F320" s="134">
        <v>18455276281</v>
      </c>
      <c r="G320" s="134">
        <f t="shared" si="72"/>
        <v>155789.37120451112</v>
      </c>
      <c r="H320" s="135"/>
      <c r="I320" s="136">
        <v>5.8849999999999998</v>
      </c>
      <c r="J320" s="134">
        <v>108609300.91368499</v>
      </c>
      <c r="K320" s="137">
        <f t="shared" si="73"/>
        <v>916.8204495385479</v>
      </c>
      <c r="L320" s="138">
        <f t="shared" si="61"/>
        <v>184552762.81</v>
      </c>
      <c r="M320" s="133">
        <f t="shared" si="62"/>
        <v>75943461.896315008</v>
      </c>
      <c r="N320" s="139">
        <f t="shared" si="63"/>
        <v>641.07326250656331</v>
      </c>
      <c r="O320" s="5"/>
      <c r="P320" s="5">
        <f t="shared" si="67"/>
        <v>1</v>
      </c>
      <c r="Q320" s="7">
        <f t="shared" si="68"/>
        <v>118463</v>
      </c>
      <c r="W320" s="124">
        <f t="shared" si="70"/>
        <v>108609300.91368499</v>
      </c>
      <c r="X320">
        <f t="shared" si="69"/>
        <v>0</v>
      </c>
    </row>
    <row r="321" spans="1:24">
      <c r="A321" s="23" t="s">
        <v>347</v>
      </c>
      <c r="B321" s="35" t="s">
        <v>342</v>
      </c>
      <c r="C321" s="97">
        <v>35606</v>
      </c>
      <c r="D321" s="132">
        <v>8599324989</v>
      </c>
      <c r="E321" s="116">
        <f t="shared" si="71"/>
        <v>241513.36822445656</v>
      </c>
      <c r="F321" s="134">
        <v>4595227402</v>
      </c>
      <c r="G321" s="117">
        <f t="shared" si="72"/>
        <v>129057.67011177892</v>
      </c>
      <c r="H321" s="7"/>
      <c r="I321" s="136">
        <v>4.1345000000000001</v>
      </c>
      <c r="J321" s="134">
        <v>18998967.693569001</v>
      </c>
      <c r="K321" s="120">
        <f t="shared" si="73"/>
        <v>533.58893707714992</v>
      </c>
      <c r="L321" s="122">
        <f t="shared" si="61"/>
        <v>45952274.020000003</v>
      </c>
      <c r="M321" s="116">
        <f t="shared" si="62"/>
        <v>26953306.326431002</v>
      </c>
      <c r="N321" s="123">
        <f t="shared" si="63"/>
        <v>756.98776404063926</v>
      </c>
      <c r="O321" s="5"/>
      <c r="P321" s="5">
        <f t="shared" si="67"/>
        <v>1</v>
      </c>
      <c r="Q321" s="7">
        <f t="shared" si="68"/>
        <v>35606</v>
      </c>
      <c r="W321" s="124">
        <f t="shared" si="70"/>
        <v>18998967.693569001</v>
      </c>
      <c r="X321">
        <f t="shared" si="69"/>
        <v>0</v>
      </c>
    </row>
    <row r="322" spans="1:24">
      <c r="A322" s="23" t="s">
        <v>348</v>
      </c>
      <c r="B322" s="35" t="s">
        <v>342</v>
      </c>
      <c r="C322" s="97">
        <v>11757</v>
      </c>
      <c r="D322" s="132">
        <v>3119840024</v>
      </c>
      <c r="E322" s="116">
        <f t="shared" si="71"/>
        <v>265360.21297950158</v>
      </c>
      <c r="F322" s="134">
        <v>1721689213</v>
      </c>
      <c r="G322" s="117">
        <f t="shared" si="72"/>
        <v>146439.50097814068</v>
      </c>
      <c r="H322" s="7"/>
      <c r="I322" s="136">
        <v>4.0258000000000003</v>
      </c>
      <c r="J322" s="134">
        <v>6931176.4336954001</v>
      </c>
      <c r="K322" s="120">
        <f t="shared" si="73"/>
        <v>589.53614303779875</v>
      </c>
      <c r="L322" s="122">
        <f t="shared" si="61"/>
        <v>17216892.129999999</v>
      </c>
      <c r="M322" s="116">
        <f t="shared" si="62"/>
        <v>10285715.696304599</v>
      </c>
      <c r="N322" s="123">
        <f t="shared" si="63"/>
        <v>874.85886674360802</v>
      </c>
      <c r="O322" s="5"/>
      <c r="P322" s="5">
        <f t="shared" si="67"/>
        <v>1</v>
      </c>
      <c r="Q322" s="7">
        <f t="shared" si="68"/>
        <v>11757</v>
      </c>
      <c r="W322" s="124">
        <f t="shared" si="70"/>
        <v>6931176.4336954011</v>
      </c>
      <c r="X322">
        <f t="shared" si="69"/>
        <v>0</v>
      </c>
    </row>
    <row r="323" spans="1:24">
      <c r="A323" s="23" t="s">
        <v>349</v>
      </c>
      <c r="B323" s="35" t="s">
        <v>342</v>
      </c>
      <c r="C323" s="97">
        <v>3702</v>
      </c>
      <c r="D323" s="132">
        <v>3213008656</v>
      </c>
      <c r="E323" s="116">
        <f t="shared" si="71"/>
        <v>867911.57644516474</v>
      </c>
      <c r="F323" s="134">
        <v>2113777961</v>
      </c>
      <c r="G323" s="117">
        <f t="shared" si="72"/>
        <v>570982.70151269587</v>
      </c>
      <c r="H323" s="98"/>
      <c r="I323" s="136">
        <v>1.73</v>
      </c>
      <c r="J323" s="134">
        <v>3656835.8725299998</v>
      </c>
      <c r="K323" s="120">
        <f t="shared" si="73"/>
        <v>987.8000736169638</v>
      </c>
      <c r="L323" s="122">
        <f t="shared" si="61"/>
        <v>21137779.609999999</v>
      </c>
      <c r="M323" s="116">
        <f t="shared" si="62"/>
        <v>17480943.737470001</v>
      </c>
      <c r="N323" s="123">
        <f t="shared" si="63"/>
        <v>4722.0269415099947</v>
      </c>
      <c r="O323" s="5"/>
      <c r="P323" s="5">
        <f t="shared" si="67"/>
        <v>1</v>
      </c>
      <c r="Q323" s="7">
        <f t="shared" si="68"/>
        <v>3702</v>
      </c>
      <c r="W323" s="124">
        <f t="shared" si="70"/>
        <v>3656835.8725299998</v>
      </c>
      <c r="X323">
        <f t="shared" si="69"/>
        <v>0</v>
      </c>
    </row>
    <row r="324" spans="1:24">
      <c r="A324" s="23" t="s">
        <v>350</v>
      </c>
      <c r="B324" s="35" t="s">
        <v>342</v>
      </c>
      <c r="C324" s="97">
        <v>1206</v>
      </c>
      <c r="D324" s="132">
        <v>2181098553</v>
      </c>
      <c r="E324" s="116">
        <f t="shared" si="71"/>
        <v>1808539.4303482587</v>
      </c>
      <c r="F324" s="134">
        <v>1628135138</v>
      </c>
      <c r="G324" s="117">
        <f t="shared" si="72"/>
        <v>1350029.135986733</v>
      </c>
      <c r="H324" s="7"/>
      <c r="I324" s="136">
        <v>1.87</v>
      </c>
      <c r="J324" s="134">
        <v>3044612.7080600001</v>
      </c>
      <c r="K324" s="120">
        <f t="shared" si="73"/>
        <v>2524.5544842951908</v>
      </c>
      <c r="L324" s="122">
        <f t="shared" si="61"/>
        <v>16281351.380000001</v>
      </c>
      <c r="M324" s="116">
        <f t="shared" si="62"/>
        <v>13236738.671940001</v>
      </c>
      <c r="N324" s="123">
        <f t="shared" si="63"/>
        <v>10975.73687557214</v>
      </c>
      <c r="O324" s="5"/>
      <c r="P324" s="5">
        <f t="shared" si="67"/>
        <v>1</v>
      </c>
      <c r="Q324" s="7">
        <f t="shared" si="68"/>
        <v>1206</v>
      </c>
      <c r="W324" s="124">
        <f t="shared" si="70"/>
        <v>3044612.7080600001</v>
      </c>
      <c r="X324">
        <f t="shared" si="69"/>
        <v>0</v>
      </c>
    </row>
    <row r="325" spans="1:24">
      <c r="A325" s="23" t="s">
        <v>351</v>
      </c>
      <c r="B325" s="35" t="s">
        <v>342</v>
      </c>
      <c r="C325" s="97">
        <v>4943</v>
      </c>
      <c r="D325" s="132">
        <v>579965627</v>
      </c>
      <c r="E325" s="116">
        <f t="shared" si="71"/>
        <v>117330.69532672466</v>
      </c>
      <c r="F325" s="134">
        <v>303231564</v>
      </c>
      <c r="G325" s="117">
        <f t="shared" si="72"/>
        <v>61345.65324701598</v>
      </c>
      <c r="H325" s="7"/>
      <c r="I325" s="136">
        <v>5.4372999999999996</v>
      </c>
      <c r="J325" s="134">
        <v>1648760.9829371998</v>
      </c>
      <c r="K325" s="120">
        <f t="shared" si="73"/>
        <v>333.55472039999995</v>
      </c>
      <c r="L325" s="122">
        <f t="shared" si="61"/>
        <v>3032315.64</v>
      </c>
      <c r="M325" s="116">
        <f t="shared" si="62"/>
        <v>1383554.6570628004</v>
      </c>
      <c r="N325" s="123">
        <f t="shared" si="63"/>
        <v>279.90181207015991</v>
      </c>
      <c r="O325" s="5"/>
      <c r="P325" s="5">
        <f t="shared" si="67"/>
        <v>1</v>
      </c>
      <c r="Q325" s="7">
        <f t="shared" si="68"/>
        <v>4943</v>
      </c>
      <c r="W325" s="124">
        <f t="shared" si="70"/>
        <v>1648760.9829372</v>
      </c>
      <c r="X325">
        <f t="shared" si="69"/>
        <v>0</v>
      </c>
    </row>
    <row r="326" spans="1:24">
      <c r="A326" s="23" t="s">
        <v>352</v>
      </c>
      <c r="B326" s="35" t="s">
        <v>342</v>
      </c>
      <c r="C326" s="97">
        <v>83950</v>
      </c>
      <c r="D326" s="132">
        <v>12598170233</v>
      </c>
      <c r="E326" s="116">
        <f t="shared" si="71"/>
        <v>150067.54297796308</v>
      </c>
      <c r="F326" s="134">
        <v>8036771288</v>
      </c>
      <c r="G326" s="117">
        <f t="shared" si="72"/>
        <v>95732.832495533061</v>
      </c>
      <c r="H326" s="7"/>
      <c r="I326" s="136">
        <v>5.52</v>
      </c>
      <c r="J326" s="134">
        <v>44362977.509759992</v>
      </c>
      <c r="K326" s="120">
        <f t="shared" si="73"/>
        <v>528.44523537534235</v>
      </c>
      <c r="L326" s="122">
        <f t="shared" ref="L326:L389" si="74">(F326*0.01)</f>
        <v>80367712.879999995</v>
      </c>
      <c r="M326" s="116">
        <f t="shared" ref="M326:M389" si="75">(L326-J326)</f>
        <v>36004735.370240003</v>
      </c>
      <c r="N326" s="123">
        <f t="shared" ref="N326:N389" si="76">(M326/C326)</f>
        <v>428.88308957998811</v>
      </c>
      <c r="O326" s="5"/>
      <c r="P326" s="5">
        <f t="shared" si="67"/>
        <v>1</v>
      </c>
      <c r="Q326" s="7">
        <f t="shared" si="68"/>
        <v>83950</v>
      </c>
      <c r="W326" s="124">
        <f t="shared" si="70"/>
        <v>44362977.50976</v>
      </c>
      <c r="X326">
        <f t="shared" si="69"/>
        <v>0</v>
      </c>
    </row>
    <row r="327" spans="1:24">
      <c r="A327" s="23" t="s">
        <v>353</v>
      </c>
      <c r="B327" s="35" t="s">
        <v>342</v>
      </c>
      <c r="C327" s="97">
        <v>4006</v>
      </c>
      <c r="D327" s="132">
        <v>3221542894</v>
      </c>
      <c r="E327" s="116">
        <f t="shared" si="71"/>
        <v>804179.45431852224</v>
      </c>
      <c r="F327" s="134">
        <v>2212880808</v>
      </c>
      <c r="G327" s="117">
        <f t="shared" si="72"/>
        <v>552391.61457813275</v>
      </c>
      <c r="H327" s="7"/>
      <c r="I327" s="136">
        <v>2.75</v>
      </c>
      <c r="J327" s="134">
        <v>6085422.2220000001</v>
      </c>
      <c r="K327" s="120">
        <f t="shared" si="73"/>
        <v>1519.0769400898653</v>
      </c>
      <c r="L327" s="122">
        <f t="shared" si="74"/>
        <v>22128808.080000002</v>
      </c>
      <c r="M327" s="116">
        <f t="shared" si="75"/>
        <v>16043385.858000003</v>
      </c>
      <c r="N327" s="123">
        <f t="shared" si="76"/>
        <v>4004.8392056914636</v>
      </c>
      <c r="O327" s="5"/>
      <c r="P327" s="5">
        <f t="shared" si="67"/>
        <v>1</v>
      </c>
      <c r="Q327" s="7">
        <f t="shared" si="68"/>
        <v>4006</v>
      </c>
      <c r="W327" s="124">
        <f t="shared" si="70"/>
        <v>6085422.2220000001</v>
      </c>
      <c r="X327">
        <f t="shared" ref="X327:X390" si="77">IF(W327=J327,0,1)</f>
        <v>0</v>
      </c>
    </row>
    <row r="328" spans="1:24">
      <c r="A328" s="23" t="s">
        <v>354</v>
      </c>
      <c r="B328" s="35" t="s">
        <v>342</v>
      </c>
      <c r="C328" s="97">
        <v>1472</v>
      </c>
      <c r="D328" s="132">
        <v>1256242414</v>
      </c>
      <c r="E328" s="116">
        <f t="shared" si="71"/>
        <v>853425.55298913049</v>
      </c>
      <c r="F328" s="134">
        <v>855118071</v>
      </c>
      <c r="G328" s="117">
        <f t="shared" si="72"/>
        <v>580922.60258152173</v>
      </c>
      <c r="H328" s="7"/>
      <c r="I328" s="136">
        <v>1</v>
      </c>
      <c r="J328" s="134">
        <v>855118.071</v>
      </c>
      <c r="K328" s="120">
        <f t="shared" si="73"/>
        <v>580.92260258152169</v>
      </c>
      <c r="L328" s="122">
        <f t="shared" si="74"/>
        <v>8551180.7100000009</v>
      </c>
      <c r="M328" s="116">
        <f t="shared" si="75"/>
        <v>7696062.6390000004</v>
      </c>
      <c r="N328" s="123">
        <f t="shared" si="76"/>
        <v>5228.3034232336959</v>
      </c>
      <c r="O328" s="5"/>
      <c r="P328" s="5">
        <f t="shared" ref="P328:P391" si="78">IF(I328&gt;0,1,0)</f>
        <v>1</v>
      </c>
      <c r="Q328" s="7">
        <f t="shared" ref="Q328:Q391" si="79">IF(I328&gt;0,C328,0)</f>
        <v>1472</v>
      </c>
      <c r="W328" s="124">
        <f t="shared" ref="W328:W391" si="80">F328*(I328/1000)</f>
        <v>855118.071</v>
      </c>
      <c r="X328">
        <f t="shared" si="77"/>
        <v>0</v>
      </c>
    </row>
    <row r="329" spans="1:24">
      <c r="A329" s="23" t="s">
        <v>355</v>
      </c>
      <c r="B329" s="35" t="s">
        <v>342</v>
      </c>
      <c r="C329" s="97">
        <v>14888</v>
      </c>
      <c r="D329" s="132">
        <v>3251544335</v>
      </c>
      <c r="E329" s="116">
        <f t="shared" si="71"/>
        <v>218400.34490865126</v>
      </c>
      <c r="F329" s="134">
        <v>2091591731</v>
      </c>
      <c r="G329" s="117">
        <f t="shared" si="72"/>
        <v>140488.42900322407</v>
      </c>
      <c r="H329" s="7"/>
      <c r="I329" s="136">
        <v>4.05</v>
      </c>
      <c r="J329" s="134">
        <v>8470946.5105499998</v>
      </c>
      <c r="K329" s="120">
        <f t="shared" si="73"/>
        <v>568.97813746305746</v>
      </c>
      <c r="L329" s="122">
        <f t="shared" si="74"/>
        <v>20915917.309999999</v>
      </c>
      <c r="M329" s="116">
        <f t="shared" si="75"/>
        <v>12444970.799449999</v>
      </c>
      <c r="N329" s="123">
        <f t="shared" si="76"/>
        <v>835.90615256918318</v>
      </c>
      <c r="O329" s="5"/>
      <c r="P329" s="5">
        <f t="shared" si="78"/>
        <v>1</v>
      </c>
      <c r="Q329" s="7">
        <f t="shared" si="79"/>
        <v>14888</v>
      </c>
      <c r="W329" s="124">
        <f t="shared" si="80"/>
        <v>8470946.5105499998</v>
      </c>
      <c r="X329">
        <f t="shared" si="77"/>
        <v>0</v>
      </c>
    </row>
    <row r="330" spans="1:24">
      <c r="A330" s="23" t="s">
        <v>356</v>
      </c>
      <c r="B330" s="35" t="s">
        <v>342</v>
      </c>
      <c r="C330" s="97">
        <v>54952</v>
      </c>
      <c r="D330" s="132">
        <v>9654435674</v>
      </c>
      <c r="E330" s="116">
        <f t="shared" si="71"/>
        <v>175688.52223758918</v>
      </c>
      <c r="F330" s="134">
        <v>6239363779</v>
      </c>
      <c r="G330" s="117">
        <f t="shared" si="72"/>
        <v>113542.06906027078</v>
      </c>
      <c r="H330" s="7"/>
      <c r="I330" s="136">
        <v>5.65</v>
      </c>
      <c r="J330" s="134">
        <v>35252405.351350002</v>
      </c>
      <c r="K330" s="120">
        <f t="shared" si="73"/>
        <v>641.51269019052995</v>
      </c>
      <c r="L330" s="122">
        <f t="shared" si="74"/>
        <v>62393637.789999999</v>
      </c>
      <c r="M330" s="116">
        <f t="shared" si="75"/>
        <v>27141232.438649997</v>
      </c>
      <c r="N330" s="123">
        <f t="shared" si="76"/>
        <v>493.90800041217784</v>
      </c>
      <c r="O330" s="5"/>
      <c r="P330" s="5">
        <f t="shared" si="78"/>
        <v>1</v>
      </c>
      <c r="Q330" s="7">
        <f t="shared" si="79"/>
        <v>54952</v>
      </c>
      <c r="W330" s="124">
        <f t="shared" si="80"/>
        <v>35252405.351350002</v>
      </c>
      <c r="X330">
        <f t="shared" si="77"/>
        <v>0</v>
      </c>
    </row>
    <row r="331" spans="1:24">
      <c r="A331" s="23" t="s">
        <v>357</v>
      </c>
      <c r="B331" s="35" t="s">
        <v>342</v>
      </c>
      <c r="C331" s="97">
        <v>1346</v>
      </c>
      <c r="D331" s="132">
        <v>1253926378</v>
      </c>
      <c r="E331" s="116">
        <f t="shared" si="71"/>
        <v>931594.63447251113</v>
      </c>
      <c r="F331" s="134">
        <v>827731318</v>
      </c>
      <c r="G331" s="117">
        <f t="shared" si="72"/>
        <v>614956.4026745914</v>
      </c>
      <c r="H331" s="7"/>
      <c r="I331" s="136">
        <v>1.8149</v>
      </c>
      <c r="J331" s="134">
        <v>1502249.5690382</v>
      </c>
      <c r="K331" s="120">
        <f t="shared" si="73"/>
        <v>1116.0843752141159</v>
      </c>
      <c r="L331" s="122">
        <f t="shared" si="74"/>
        <v>8277313.1800000006</v>
      </c>
      <c r="M331" s="116">
        <f t="shared" si="75"/>
        <v>6775063.6109618004</v>
      </c>
      <c r="N331" s="123">
        <f t="shared" si="76"/>
        <v>5033.4796515317985</v>
      </c>
      <c r="O331" s="5"/>
      <c r="P331" s="5">
        <f t="shared" si="78"/>
        <v>1</v>
      </c>
      <c r="Q331" s="7">
        <f t="shared" si="79"/>
        <v>1346</v>
      </c>
      <c r="W331" s="124">
        <f t="shared" si="80"/>
        <v>1502249.5690382</v>
      </c>
      <c r="X331">
        <f t="shared" si="77"/>
        <v>0</v>
      </c>
    </row>
    <row r="332" spans="1:24">
      <c r="A332" s="23" t="s">
        <v>358</v>
      </c>
      <c r="B332" s="35" t="s">
        <v>342</v>
      </c>
      <c r="C332" s="97">
        <v>2154</v>
      </c>
      <c r="D332" s="132">
        <v>1708094091</v>
      </c>
      <c r="E332" s="116">
        <f t="shared" si="71"/>
        <v>792987.04317548743</v>
      </c>
      <c r="F332" s="134">
        <v>1173705988</v>
      </c>
      <c r="G332" s="117">
        <f t="shared" si="72"/>
        <v>544896.00185701018</v>
      </c>
      <c r="H332" s="7"/>
      <c r="I332" s="136">
        <v>1.6896</v>
      </c>
      <c r="J332" s="134">
        <v>1983093.6373248</v>
      </c>
      <c r="K332" s="120">
        <f t="shared" si="73"/>
        <v>920.65628473760444</v>
      </c>
      <c r="L332" s="122">
        <f t="shared" si="74"/>
        <v>11737059.880000001</v>
      </c>
      <c r="M332" s="116">
        <f t="shared" si="75"/>
        <v>9753966.2426752001</v>
      </c>
      <c r="N332" s="123">
        <f t="shared" si="76"/>
        <v>4528.3037338324975</v>
      </c>
      <c r="O332" s="5"/>
      <c r="P332" s="5">
        <f t="shared" si="78"/>
        <v>1</v>
      </c>
      <c r="Q332" s="7">
        <f t="shared" si="79"/>
        <v>2154</v>
      </c>
      <c r="W332" s="124">
        <f t="shared" si="80"/>
        <v>1983093.6373248</v>
      </c>
      <c r="X332">
        <f t="shared" si="77"/>
        <v>0</v>
      </c>
    </row>
    <row r="333" spans="1:24">
      <c r="A333" s="23" t="s">
        <v>359</v>
      </c>
      <c r="B333" s="35" t="s">
        <v>342</v>
      </c>
      <c r="C333" s="97">
        <v>16762</v>
      </c>
      <c r="D333" s="132">
        <v>4194920627</v>
      </c>
      <c r="E333" s="116">
        <f t="shared" si="71"/>
        <v>250263.72908960746</v>
      </c>
      <c r="F333" s="134">
        <v>2071157939</v>
      </c>
      <c r="G333" s="117">
        <f t="shared" si="72"/>
        <v>123562.69770910393</v>
      </c>
      <c r="H333" s="7"/>
      <c r="I333" s="136">
        <v>3.95</v>
      </c>
      <c r="J333" s="134">
        <v>8181073.8590500001</v>
      </c>
      <c r="K333" s="120">
        <f t="shared" si="73"/>
        <v>488.0726559509605</v>
      </c>
      <c r="L333" s="122">
        <f t="shared" si="74"/>
        <v>20711579.390000001</v>
      </c>
      <c r="M333" s="116">
        <f t="shared" si="75"/>
        <v>12530505.530950001</v>
      </c>
      <c r="N333" s="123">
        <f t="shared" si="76"/>
        <v>747.55432114007874</v>
      </c>
      <c r="O333" s="5"/>
      <c r="P333" s="5">
        <f t="shared" si="78"/>
        <v>1</v>
      </c>
      <c r="Q333" s="7">
        <f t="shared" si="79"/>
        <v>16762</v>
      </c>
      <c r="W333" s="124">
        <f t="shared" si="80"/>
        <v>8181073.859050001</v>
      </c>
      <c r="X333">
        <f t="shared" si="77"/>
        <v>0</v>
      </c>
    </row>
    <row r="334" spans="1:24">
      <c r="A334" s="23" t="s">
        <v>360</v>
      </c>
      <c r="B334" s="35" t="s">
        <v>342</v>
      </c>
      <c r="C334" s="97">
        <v>19338</v>
      </c>
      <c r="D334" s="132">
        <v>3912915188</v>
      </c>
      <c r="E334" s="116">
        <f t="shared" si="71"/>
        <v>202343.32340469543</v>
      </c>
      <c r="F334" s="134">
        <v>2294598887</v>
      </c>
      <c r="G334" s="117">
        <f t="shared" si="72"/>
        <v>118657.50786017168</v>
      </c>
      <c r="H334" s="7"/>
      <c r="I334" s="136">
        <v>2.4792999999999998</v>
      </c>
      <c r="J334" s="134">
        <v>5688999.0205390994</v>
      </c>
      <c r="K334" s="120">
        <f t="shared" si="73"/>
        <v>294.18755923772363</v>
      </c>
      <c r="L334" s="122">
        <f t="shared" si="74"/>
        <v>22945988.870000001</v>
      </c>
      <c r="M334" s="116">
        <f t="shared" si="75"/>
        <v>17256989.8494609</v>
      </c>
      <c r="N334" s="123">
        <f t="shared" si="76"/>
        <v>892.38751936399319</v>
      </c>
      <c r="O334" s="5"/>
      <c r="P334" s="5">
        <f t="shared" si="78"/>
        <v>1</v>
      </c>
      <c r="Q334" s="7">
        <f t="shared" si="79"/>
        <v>19338</v>
      </c>
      <c r="W334" s="124">
        <f t="shared" si="80"/>
        <v>5688999.0205390994</v>
      </c>
      <c r="X334">
        <f t="shared" si="77"/>
        <v>0</v>
      </c>
    </row>
    <row r="335" spans="1:24">
      <c r="A335" s="24" t="s">
        <v>361</v>
      </c>
      <c r="B335" s="35" t="s">
        <v>342</v>
      </c>
      <c r="C335" s="97">
        <v>5403</v>
      </c>
      <c r="D335" s="132">
        <v>1393536209</v>
      </c>
      <c r="E335" s="116">
        <f t="shared" si="71"/>
        <v>257918.97260781049</v>
      </c>
      <c r="F335" s="134">
        <v>972509867</v>
      </c>
      <c r="G335" s="117">
        <f t="shared" si="72"/>
        <v>179994.42291319638</v>
      </c>
      <c r="H335" s="7"/>
      <c r="I335" s="136">
        <v>5.1749999999999998</v>
      </c>
      <c r="J335" s="134">
        <v>5032738.561724999</v>
      </c>
      <c r="K335" s="120">
        <f t="shared" si="73"/>
        <v>931.47113857579109</v>
      </c>
      <c r="L335" s="122">
        <f t="shared" si="74"/>
        <v>9725098.6699999999</v>
      </c>
      <c r="M335" s="116">
        <f t="shared" si="75"/>
        <v>4692360.1082750009</v>
      </c>
      <c r="N335" s="123">
        <f t="shared" si="76"/>
        <v>868.47309055617268</v>
      </c>
      <c r="O335" s="5"/>
      <c r="P335" s="5">
        <f t="shared" si="78"/>
        <v>1</v>
      </c>
      <c r="Q335" s="7">
        <f t="shared" si="79"/>
        <v>5403</v>
      </c>
      <c r="W335" s="124">
        <f t="shared" si="80"/>
        <v>5032738.5617249999</v>
      </c>
      <c r="X335">
        <f t="shared" si="77"/>
        <v>0</v>
      </c>
    </row>
    <row r="336" spans="1:24">
      <c r="A336" s="24" t="s">
        <v>561</v>
      </c>
      <c r="B336" s="35" t="s">
        <v>342</v>
      </c>
      <c r="C336" s="97">
        <v>8765</v>
      </c>
      <c r="D336" s="132">
        <v>7662567806</v>
      </c>
      <c r="E336" s="116">
        <f t="shared" si="71"/>
        <v>874223.36634341127</v>
      </c>
      <c r="F336" s="134">
        <v>5215218007</v>
      </c>
      <c r="G336" s="117">
        <f t="shared" si="72"/>
        <v>595004.90667427273</v>
      </c>
      <c r="H336" s="7"/>
      <c r="I336" s="136">
        <v>3.0912999999999999</v>
      </c>
      <c r="J336" s="134">
        <v>16121803.4250391</v>
      </c>
      <c r="K336" s="120">
        <f t="shared" si="73"/>
        <v>1839.338668002179</v>
      </c>
      <c r="L336" s="122">
        <f t="shared" si="74"/>
        <v>52152180.07</v>
      </c>
      <c r="M336" s="116">
        <f t="shared" si="75"/>
        <v>36030376.644960903</v>
      </c>
      <c r="N336" s="123">
        <f t="shared" si="76"/>
        <v>4110.710398740548</v>
      </c>
      <c r="O336" s="5"/>
      <c r="P336" s="5">
        <f t="shared" si="78"/>
        <v>1</v>
      </c>
      <c r="Q336" s="7">
        <f t="shared" si="79"/>
        <v>8765</v>
      </c>
      <c r="W336" s="124">
        <f t="shared" si="80"/>
        <v>16121803.4250391</v>
      </c>
      <c r="X336">
        <f t="shared" si="77"/>
        <v>0</v>
      </c>
    </row>
    <row r="337" spans="1:24">
      <c r="A337" s="23" t="s">
        <v>548</v>
      </c>
      <c r="B337" s="35" t="s">
        <v>342</v>
      </c>
      <c r="C337" s="97">
        <v>267031</v>
      </c>
      <c r="D337" s="132">
        <v>62487706229</v>
      </c>
      <c r="E337" s="116">
        <f t="shared" si="71"/>
        <v>234009.18331204992</v>
      </c>
      <c r="F337" s="134">
        <v>35224832539</v>
      </c>
      <c r="G337" s="117">
        <f t="shared" si="72"/>
        <v>131912.89602705304</v>
      </c>
      <c r="H337" s="7"/>
      <c r="I337" s="136">
        <v>6.4524999999999997</v>
      </c>
      <c r="J337" s="134">
        <v>227288231.95789748</v>
      </c>
      <c r="K337" s="120">
        <f t="shared" si="73"/>
        <v>851.16796161455966</v>
      </c>
      <c r="L337" s="122">
        <f t="shared" si="74"/>
        <v>352248325.38999999</v>
      </c>
      <c r="M337" s="116">
        <f t="shared" si="75"/>
        <v>124960093.4321025</v>
      </c>
      <c r="N337" s="123">
        <f t="shared" si="76"/>
        <v>467.96099865597068</v>
      </c>
      <c r="O337" s="5"/>
      <c r="P337" s="5">
        <f t="shared" si="78"/>
        <v>1</v>
      </c>
      <c r="Q337" s="7">
        <f t="shared" si="79"/>
        <v>267031</v>
      </c>
      <c r="W337" s="124">
        <f t="shared" si="80"/>
        <v>227288231.95789748</v>
      </c>
      <c r="X337">
        <f t="shared" si="77"/>
        <v>0</v>
      </c>
    </row>
    <row r="338" spans="1:24">
      <c r="A338" s="23" t="s">
        <v>362</v>
      </c>
      <c r="B338" s="35" t="s">
        <v>342</v>
      </c>
      <c r="C338" s="97">
        <v>25949</v>
      </c>
      <c r="D338" s="132">
        <v>5428900309</v>
      </c>
      <c r="E338" s="116">
        <f t="shared" si="71"/>
        <v>209214.23981656326</v>
      </c>
      <c r="F338" s="134">
        <v>3025311284</v>
      </c>
      <c r="G338" s="117">
        <f t="shared" si="72"/>
        <v>116586.81583105322</v>
      </c>
      <c r="H338" s="7"/>
      <c r="I338" s="136">
        <v>5.37</v>
      </c>
      <c r="J338" s="134">
        <v>16245921.595079999</v>
      </c>
      <c r="K338" s="120">
        <f t="shared" si="73"/>
        <v>626.07120101275575</v>
      </c>
      <c r="L338" s="122">
        <f t="shared" si="74"/>
        <v>30253112.84</v>
      </c>
      <c r="M338" s="116">
        <f t="shared" si="75"/>
        <v>14007191.24492</v>
      </c>
      <c r="N338" s="123">
        <f t="shared" si="76"/>
        <v>539.79695729777643</v>
      </c>
      <c r="O338" s="5"/>
      <c r="P338" s="5">
        <f t="shared" si="78"/>
        <v>1</v>
      </c>
      <c r="Q338" s="7">
        <f t="shared" si="79"/>
        <v>25949</v>
      </c>
      <c r="S338" s="124"/>
      <c r="T338" s="124"/>
      <c r="U338" s="124"/>
      <c r="W338" s="124">
        <f t="shared" si="80"/>
        <v>16245921.595079999</v>
      </c>
      <c r="X338">
        <f t="shared" si="77"/>
        <v>0</v>
      </c>
    </row>
    <row r="339" spans="1:24">
      <c r="A339" s="23" t="s">
        <v>363</v>
      </c>
      <c r="B339" s="35" t="s">
        <v>342</v>
      </c>
      <c r="C339" s="97">
        <v>6510</v>
      </c>
      <c r="D339" s="132">
        <v>4738501869</v>
      </c>
      <c r="E339" s="116">
        <f t="shared" si="71"/>
        <v>727880.47142857139</v>
      </c>
      <c r="F339" s="134">
        <v>3153023289</v>
      </c>
      <c r="G339" s="117">
        <f t="shared" si="72"/>
        <v>484335.37465437787</v>
      </c>
      <c r="H339" s="7"/>
      <c r="I339" s="136">
        <v>3.8129</v>
      </c>
      <c r="J339" s="134">
        <v>12022162.498628099</v>
      </c>
      <c r="K339" s="120">
        <f t="shared" si="73"/>
        <v>1846.7223500196772</v>
      </c>
      <c r="L339" s="122">
        <f t="shared" si="74"/>
        <v>31530232.890000001</v>
      </c>
      <c r="M339" s="116">
        <f t="shared" si="75"/>
        <v>19508070.391371902</v>
      </c>
      <c r="N339" s="123">
        <f t="shared" si="76"/>
        <v>2996.6313965241015</v>
      </c>
      <c r="O339" s="5"/>
      <c r="P339" s="5">
        <f t="shared" si="78"/>
        <v>1</v>
      </c>
      <c r="Q339" s="7">
        <f t="shared" si="79"/>
        <v>6510</v>
      </c>
      <c r="S339" s="124">
        <f>SUM(D316:D339)</f>
        <v>174442839656</v>
      </c>
      <c r="T339" s="124">
        <f>SUM(F316:F339)</f>
        <v>105043762860</v>
      </c>
      <c r="U339" s="124">
        <f>SUM(J316:J339)</f>
        <v>545051440.48431051</v>
      </c>
      <c r="W339" s="124">
        <f t="shared" si="80"/>
        <v>12022162.4986281</v>
      </c>
      <c r="X339">
        <f t="shared" si="77"/>
        <v>0</v>
      </c>
    </row>
    <row r="340" spans="1:24">
      <c r="A340" s="23" t="s">
        <v>364</v>
      </c>
      <c r="B340" s="35" t="s">
        <v>365</v>
      </c>
      <c r="C340" s="97">
        <v>20186</v>
      </c>
      <c r="D340" s="132">
        <v>3765288375</v>
      </c>
      <c r="E340" s="116">
        <f t="shared" si="71"/>
        <v>186529.69260873873</v>
      </c>
      <c r="F340" s="134">
        <v>2601277587</v>
      </c>
      <c r="G340" s="117">
        <f t="shared" si="72"/>
        <v>128865.43084315863</v>
      </c>
      <c r="H340" s="7"/>
      <c r="I340" s="136">
        <v>4.2515000000000001</v>
      </c>
      <c r="J340" s="134">
        <v>11059331.661130501</v>
      </c>
      <c r="K340" s="120">
        <f t="shared" si="73"/>
        <v>547.87137922968896</v>
      </c>
      <c r="L340" s="122">
        <f t="shared" si="74"/>
        <v>26012775.870000001</v>
      </c>
      <c r="M340" s="116">
        <f t="shared" si="75"/>
        <v>14953444.2088695</v>
      </c>
      <c r="N340" s="123">
        <f t="shared" si="76"/>
        <v>740.78292920189733</v>
      </c>
      <c r="O340" s="5"/>
      <c r="P340" s="5">
        <f t="shared" si="78"/>
        <v>1</v>
      </c>
      <c r="Q340" s="7">
        <f t="shared" si="79"/>
        <v>20186</v>
      </c>
      <c r="W340" s="124">
        <f t="shared" si="80"/>
        <v>11059331.661130501</v>
      </c>
      <c r="X340">
        <f t="shared" si="77"/>
        <v>0</v>
      </c>
    </row>
    <row r="341" spans="1:24">
      <c r="A341" s="23" t="s">
        <v>366</v>
      </c>
      <c r="B341" s="35" t="s">
        <v>365</v>
      </c>
      <c r="C341" s="97">
        <v>20502</v>
      </c>
      <c r="D341" s="132">
        <v>2576563311</v>
      </c>
      <c r="E341" s="116">
        <f t="shared" si="71"/>
        <v>125673.75431665203</v>
      </c>
      <c r="F341" s="134">
        <v>1339383515</v>
      </c>
      <c r="G341" s="117">
        <f t="shared" si="72"/>
        <v>65329.407618768899</v>
      </c>
      <c r="H341" s="7"/>
      <c r="I341" s="136">
        <v>6.1079999999999997</v>
      </c>
      <c r="J341" s="134">
        <v>8180954.5096199997</v>
      </c>
      <c r="K341" s="120">
        <f t="shared" si="73"/>
        <v>399.03202173544042</v>
      </c>
      <c r="L341" s="122">
        <f t="shared" si="74"/>
        <v>13393835.15</v>
      </c>
      <c r="M341" s="116">
        <f t="shared" si="75"/>
        <v>5212880.6403800007</v>
      </c>
      <c r="N341" s="123">
        <f t="shared" si="76"/>
        <v>254.26205445224861</v>
      </c>
      <c r="O341" s="5"/>
      <c r="P341" s="5">
        <f t="shared" si="78"/>
        <v>1</v>
      </c>
      <c r="Q341" s="7">
        <f t="shared" si="79"/>
        <v>20502</v>
      </c>
      <c r="W341" s="124">
        <f t="shared" si="80"/>
        <v>8180954.5096199997</v>
      </c>
      <c r="X341">
        <f t="shared" si="77"/>
        <v>0</v>
      </c>
    </row>
    <row r="342" spans="1:24">
      <c r="A342" s="23" t="s">
        <v>367</v>
      </c>
      <c r="B342" s="35" t="s">
        <v>365</v>
      </c>
      <c r="C342" s="97">
        <v>13630</v>
      </c>
      <c r="D342" s="132">
        <v>1751161710</v>
      </c>
      <c r="E342" s="116">
        <f t="shared" si="71"/>
        <v>128478.48202494497</v>
      </c>
      <c r="F342" s="134">
        <v>1234308675</v>
      </c>
      <c r="G342" s="117">
        <f t="shared" si="72"/>
        <v>90558.230007336751</v>
      </c>
      <c r="H342" s="9"/>
      <c r="I342" s="136">
        <v>7.25</v>
      </c>
      <c r="J342" s="134">
        <v>8948737.8937500007</v>
      </c>
      <c r="K342" s="120">
        <f t="shared" si="73"/>
        <v>656.54716755319157</v>
      </c>
      <c r="L342" s="122">
        <f t="shared" si="74"/>
        <v>12343086.75</v>
      </c>
      <c r="M342" s="116">
        <f t="shared" si="75"/>
        <v>3394348.8562499993</v>
      </c>
      <c r="N342" s="123">
        <f t="shared" si="76"/>
        <v>249.03513252017603</v>
      </c>
      <c r="O342" s="5"/>
      <c r="P342" s="5">
        <f t="shared" si="78"/>
        <v>1</v>
      </c>
      <c r="Q342" s="7">
        <f t="shared" si="79"/>
        <v>13630</v>
      </c>
      <c r="W342" s="124">
        <f t="shared" si="80"/>
        <v>8948737.8937500007</v>
      </c>
      <c r="X342">
        <f t="shared" si="77"/>
        <v>0</v>
      </c>
    </row>
    <row r="343" spans="1:24">
      <c r="A343" s="23" t="s">
        <v>368</v>
      </c>
      <c r="B343" s="35" t="s">
        <v>365</v>
      </c>
      <c r="C343" s="97">
        <v>5762</v>
      </c>
      <c r="D343" s="132">
        <v>664586998</v>
      </c>
      <c r="E343" s="116">
        <f t="shared" ref="E343:E388" si="81">(D343/C343)</f>
        <v>115339.63866712947</v>
      </c>
      <c r="F343" s="134">
        <v>381788234</v>
      </c>
      <c r="G343" s="117">
        <f t="shared" ref="G343:G388" si="82">(F343/C343)</f>
        <v>66259.672683096142</v>
      </c>
      <c r="H343" s="7"/>
      <c r="I343" s="136">
        <v>7.9</v>
      </c>
      <c r="J343" s="134">
        <v>3016127.0485999999</v>
      </c>
      <c r="K343" s="120">
        <f t="shared" ref="K343:K390" si="83">(J343/C343)</f>
        <v>523.4514141964595</v>
      </c>
      <c r="L343" s="122">
        <f t="shared" si="74"/>
        <v>3817882.34</v>
      </c>
      <c r="M343" s="116">
        <f t="shared" si="75"/>
        <v>801755.29139999999</v>
      </c>
      <c r="N343" s="123">
        <f t="shared" si="76"/>
        <v>139.14531263450192</v>
      </c>
      <c r="O343" s="5"/>
      <c r="P343" s="5">
        <f t="shared" si="78"/>
        <v>1</v>
      </c>
      <c r="Q343" s="7">
        <f t="shared" si="79"/>
        <v>5762</v>
      </c>
      <c r="W343" s="124">
        <f t="shared" si="80"/>
        <v>3016127.0486000003</v>
      </c>
      <c r="X343">
        <f t="shared" si="77"/>
        <v>0</v>
      </c>
    </row>
    <row r="344" spans="1:24">
      <c r="A344" s="23" t="s">
        <v>369</v>
      </c>
      <c r="B344" s="35" t="s">
        <v>365</v>
      </c>
      <c r="C344" s="97">
        <v>4902</v>
      </c>
      <c r="D344" s="132">
        <v>534266531</v>
      </c>
      <c r="E344" s="116">
        <f t="shared" si="81"/>
        <v>108989.50040799673</v>
      </c>
      <c r="F344" s="134">
        <v>362129032</v>
      </c>
      <c r="G344" s="117">
        <f t="shared" si="82"/>
        <v>73873.731538147695</v>
      </c>
      <c r="H344" s="7"/>
      <c r="I344" s="136">
        <v>7.6516000000000002</v>
      </c>
      <c r="J344" s="134">
        <v>2770866.5012512002</v>
      </c>
      <c r="K344" s="120">
        <f t="shared" si="83"/>
        <v>565.25224423729094</v>
      </c>
      <c r="L344" s="122">
        <f t="shared" si="74"/>
        <v>3621290.3200000003</v>
      </c>
      <c r="M344" s="116">
        <f t="shared" si="75"/>
        <v>850423.81874880008</v>
      </c>
      <c r="N344" s="123">
        <f t="shared" si="76"/>
        <v>173.48507114418607</v>
      </c>
      <c r="O344" s="5"/>
      <c r="P344" s="5">
        <f t="shared" si="78"/>
        <v>1</v>
      </c>
      <c r="Q344" s="7">
        <f t="shared" si="79"/>
        <v>4902</v>
      </c>
      <c r="W344" s="124">
        <f t="shared" si="80"/>
        <v>2770866.5012512002</v>
      </c>
      <c r="X344">
        <f t="shared" si="77"/>
        <v>0</v>
      </c>
    </row>
    <row r="345" spans="1:24">
      <c r="A345" s="23" t="s">
        <v>370</v>
      </c>
      <c r="B345" s="35" t="s">
        <v>365</v>
      </c>
      <c r="C345" s="97">
        <v>5219</v>
      </c>
      <c r="D345" s="132">
        <v>435931644</v>
      </c>
      <c r="E345" s="116">
        <f t="shared" si="81"/>
        <v>83527.810691703387</v>
      </c>
      <c r="F345" s="134">
        <v>202778389</v>
      </c>
      <c r="G345" s="117">
        <f t="shared" si="82"/>
        <v>38853.877945966662</v>
      </c>
      <c r="H345" s="7"/>
      <c r="I345" s="150">
        <v>8.5</v>
      </c>
      <c r="J345" s="134">
        <v>1723616.3064999999</v>
      </c>
      <c r="K345" s="120">
        <f t="shared" si="83"/>
        <v>330.25796254071662</v>
      </c>
      <c r="L345" s="122">
        <f t="shared" si="74"/>
        <v>2027783.8900000001</v>
      </c>
      <c r="M345" s="116">
        <f t="shared" si="75"/>
        <v>304167.58350000018</v>
      </c>
      <c r="N345" s="123">
        <f t="shared" si="76"/>
        <v>58.280816918950023</v>
      </c>
      <c r="O345" s="5"/>
      <c r="P345" s="5">
        <f t="shared" si="78"/>
        <v>1</v>
      </c>
      <c r="Q345" s="7">
        <f t="shared" si="79"/>
        <v>5219</v>
      </c>
      <c r="W345" s="124">
        <f t="shared" si="80"/>
        <v>1723616.3065000002</v>
      </c>
      <c r="X345">
        <f t="shared" si="77"/>
        <v>0</v>
      </c>
    </row>
    <row r="346" spans="1:24">
      <c r="A346" s="23" t="s">
        <v>371</v>
      </c>
      <c r="B346" s="35" t="s">
        <v>365</v>
      </c>
      <c r="C346" s="97">
        <v>3032</v>
      </c>
      <c r="D346" s="132">
        <v>435251368</v>
      </c>
      <c r="E346" s="116">
        <f t="shared" si="81"/>
        <v>143552.56200527705</v>
      </c>
      <c r="F346" s="134">
        <v>226933092</v>
      </c>
      <c r="G346" s="117">
        <f t="shared" si="82"/>
        <v>74846.006596306062</v>
      </c>
      <c r="H346" s="7"/>
      <c r="I346" s="136">
        <v>6.5529999999999999</v>
      </c>
      <c r="J346" s="134">
        <v>1487092.5518759999</v>
      </c>
      <c r="K346" s="120">
        <f t="shared" si="83"/>
        <v>490.46588122559365</v>
      </c>
      <c r="L346" s="122">
        <f t="shared" si="74"/>
        <v>2269330.92</v>
      </c>
      <c r="M346" s="116">
        <f t="shared" si="75"/>
        <v>782238.36812400003</v>
      </c>
      <c r="N346" s="123">
        <f t="shared" si="76"/>
        <v>257.99418473746704</v>
      </c>
      <c r="O346" s="5"/>
      <c r="P346" s="5">
        <f t="shared" si="78"/>
        <v>1</v>
      </c>
      <c r="Q346" s="7">
        <f t="shared" si="79"/>
        <v>3032</v>
      </c>
      <c r="W346" s="124">
        <f t="shared" si="80"/>
        <v>1487092.5518759999</v>
      </c>
      <c r="X346">
        <f t="shared" si="77"/>
        <v>0</v>
      </c>
    </row>
    <row r="347" spans="1:24">
      <c r="A347" s="23" t="s">
        <v>372</v>
      </c>
      <c r="B347" s="35" t="s">
        <v>365</v>
      </c>
      <c r="C347" s="97">
        <v>39514</v>
      </c>
      <c r="D347" s="132">
        <v>4778181344</v>
      </c>
      <c r="E347" s="116">
        <f t="shared" si="81"/>
        <v>120923.75725059473</v>
      </c>
      <c r="F347" s="134">
        <v>3386716473</v>
      </c>
      <c r="G347" s="117">
        <f t="shared" si="82"/>
        <v>85709.279571797335</v>
      </c>
      <c r="H347" s="7"/>
      <c r="I347" s="136">
        <v>7.5895000000000001</v>
      </c>
      <c r="J347" s="134">
        <v>25703484.6718335</v>
      </c>
      <c r="K347" s="120">
        <f t="shared" si="83"/>
        <v>650.49057731015591</v>
      </c>
      <c r="L347" s="122">
        <f t="shared" si="74"/>
        <v>33867164.730000004</v>
      </c>
      <c r="M347" s="116">
        <f t="shared" si="75"/>
        <v>8163680.0581665039</v>
      </c>
      <c r="N347" s="123">
        <f t="shared" si="76"/>
        <v>206.60221840781759</v>
      </c>
      <c r="O347" s="5"/>
      <c r="P347" s="5">
        <f t="shared" si="78"/>
        <v>1</v>
      </c>
      <c r="Q347" s="7">
        <f t="shared" si="79"/>
        <v>39514</v>
      </c>
      <c r="W347" s="124">
        <f t="shared" si="80"/>
        <v>25703484.6718335</v>
      </c>
      <c r="X347">
        <f t="shared" si="77"/>
        <v>0</v>
      </c>
    </row>
    <row r="348" spans="1:24">
      <c r="A348" s="23" t="s">
        <v>373</v>
      </c>
      <c r="B348" s="35" t="s">
        <v>365</v>
      </c>
      <c r="C348" s="97">
        <v>245</v>
      </c>
      <c r="D348" s="132">
        <v>32493174</v>
      </c>
      <c r="E348" s="116">
        <f t="shared" si="81"/>
        <v>132625.20000000001</v>
      </c>
      <c r="F348" s="134">
        <v>18937650</v>
      </c>
      <c r="G348" s="117">
        <f t="shared" si="82"/>
        <v>77296.530612244896</v>
      </c>
      <c r="H348" s="7"/>
      <c r="I348" s="136">
        <v>9.9758999999999993</v>
      </c>
      <c r="J348" s="134">
        <v>188920.10263499999</v>
      </c>
      <c r="K348" s="120">
        <f t="shared" si="83"/>
        <v>771.10245973469387</v>
      </c>
      <c r="L348" s="122">
        <f t="shared" si="74"/>
        <v>189376.5</v>
      </c>
      <c r="M348" s="116">
        <f t="shared" si="75"/>
        <v>456.39736500001163</v>
      </c>
      <c r="N348" s="123">
        <f t="shared" si="76"/>
        <v>1.8628463877551495</v>
      </c>
      <c r="O348" s="5"/>
      <c r="P348" s="5">
        <f t="shared" si="78"/>
        <v>1</v>
      </c>
      <c r="Q348" s="7">
        <f t="shared" si="79"/>
        <v>245</v>
      </c>
      <c r="W348" s="124">
        <f t="shared" si="80"/>
        <v>188920.10263499999</v>
      </c>
      <c r="X348">
        <f t="shared" si="77"/>
        <v>0</v>
      </c>
    </row>
    <row r="349" spans="1:24">
      <c r="A349" s="23" t="s">
        <v>374</v>
      </c>
      <c r="B349" s="35" t="s">
        <v>365</v>
      </c>
      <c r="C349" s="97">
        <v>234</v>
      </c>
      <c r="D349" s="132">
        <v>31986784</v>
      </c>
      <c r="E349" s="116">
        <f t="shared" si="81"/>
        <v>136695.65811965812</v>
      </c>
      <c r="F349" s="134">
        <v>20850613</v>
      </c>
      <c r="G349" s="117">
        <f t="shared" si="82"/>
        <v>89105.183760683765</v>
      </c>
      <c r="H349" s="7"/>
      <c r="I349" s="136">
        <v>0.71819999999999995</v>
      </c>
      <c r="J349" s="134">
        <v>14974.910256599998</v>
      </c>
      <c r="K349" s="120">
        <f t="shared" si="83"/>
        <v>63.99534297692307</v>
      </c>
      <c r="L349" s="122">
        <f t="shared" si="74"/>
        <v>208506.13</v>
      </c>
      <c r="M349" s="116">
        <f t="shared" si="75"/>
        <v>193531.2197434</v>
      </c>
      <c r="N349" s="123">
        <f t="shared" si="76"/>
        <v>827.05649462991448</v>
      </c>
      <c r="O349" s="5"/>
      <c r="P349" s="5">
        <f t="shared" si="78"/>
        <v>1</v>
      </c>
      <c r="Q349" s="7">
        <f t="shared" si="79"/>
        <v>234</v>
      </c>
      <c r="W349" s="124">
        <f t="shared" si="80"/>
        <v>14974.9102566</v>
      </c>
      <c r="X349">
        <f t="shared" si="77"/>
        <v>0</v>
      </c>
    </row>
    <row r="350" spans="1:24">
      <c r="A350" s="23" t="s">
        <v>375</v>
      </c>
      <c r="B350" s="35" t="s">
        <v>365</v>
      </c>
      <c r="C350" s="97">
        <v>8037</v>
      </c>
      <c r="D350" s="132">
        <v>916096059</v>
      </c>
      <c r="E350" s="116">
        <f t="shared" si="81"/>
        <v>113984.82754759239</v>
      </c>
      <c r="F350" s="134">
        <v>568693473</v>
      </c>
      <c r="G350" s="117">
        <f t="shared" si="82"/>
        <v>70759.421799178803</v>
      </c>
      <c r="H350" s="7"/>
      <c r="I350" s="136">
        <v>6.75</v>
      </c>
      <c r="J350" s="134">
        <v>3838680.9427499999</v>
      </c>
      <c r="K350" s="120">
        <f t="shared" si="83"/>
        <v>477.62609714445688</v>
      </c>
      <c r="L350" s="122">
        <f t="shared" si="74"/>
        <v>5686934.7300000004</v>
      </c>
      <c r="M350" s="116">
        <f t="shared" si="75"/>
        <v>1848253.7872500005</v>
      </c>
      <c r="N350" s="123">
        <f t="shared" si="76"/>
        <v>229.96812084733116</v>
      </c>
      <c r="O350" s="5"/>
      <c r="P350" s="5">
        <f t="shared" si="78"/>
        <v>1</v>
      </c>
      <c r="Q350" s="7">
        <f t="shared" si="79"/>
        <v>8037</v>
      </c>
      <c r="W350" s="124">
        <f t="shared" si="80"/>
        <v>3838680.9427499999</v>
      </c>
      <c r="X350">
        <f t="shared" si="77"/>
        <v>0</v>
      </c>
    </row>
    <row r="351" spans="1:24">
      <c r="A351" s="23" t="s">
        <v>376</v>
      </c>
      <c r="B351" s="35" t="s">
        <v>365</v>
      </c>
      <c r="C351" s="97">
        <v>1702</v>
      </c>
      <c r="D351" s="132">
        <v>302646736</v>
      </c>
      <c r="E351" s="116">
        <f t="shared" si="81"/>
        <v>177818.29377203289</v>
      </c>
      <c r="F351" s="134">
        <v>184757397</v>
      </c>
      <c r="G351" s="117">
        <f t="shared" si="82"/>
        <v>108553.11222091656</v>
      </c>
      <c r="H351" s="9"/>
      <c r="I351" s="136">
        <v>8.4276</v>
      </c>
      <c r="J351" s="134">
        <v>1557061.4389572002</v>
      </c>
      <c r="K351" s="120">
        <f t="shared" si="83"/>
        <v>914.84220855299657</v>
      </c>
      <c r="L351" s="122">
        <f t="shared" si="74"/>
        <v>1847573.97</v>
      </c>
      <c r="M351" s="116">
        <f t="shared" si="75"/>
        <v>290512.53104279982</v>
      </c>
      <c r="N351" s="123">
        <f t="shared" si="76"/>
        <v>170.68891365616912</v>
      </c>
      <c r="O351" s="5"/>
      <c r="P351" s="5">
        <f t="shared" si="78"/>
        <v>1</v>
      </c>
      <c r="Q351" s="7">
        <f t="shared" si="79"/>
        <v>1702</v>
      </c>
      <c r="W351" s="124">
        <f t="shared" si="80"/>
        <v>1557061.4389572002</v>
      </c>
      <c r="X351">
        <f t="shared" si="77"/>
        <v>0</v>
      </c>
    </row>
    <row r="352" spans="1:24">
      <c r="A352" s="23" t="s">
        <v>377</v>
      </c>
      <c r="B352" s="35" t="s">
        <v>365</v>
      </c>
      <c r="C352" s="97">
        <v>17558</v>
      </c>
      <c r="D352" s="132">
        <v>2180617685</v>
      </c>
      <c r="E352" s="116">
        <f t="shared" si="81"/>
        <v>124195.10678892813</v>
      </c>
      <c r="F352" s="134">
        <v>1239724687</v>
      </c>
      <c r="G352" s="117">
        <f t="shared" si="82"/>
        <v>70607.397596537194</v>
      </c>
      <c r="H352" s="9"/>
      <c r="I352" s="136">
        <v>7.0461999999999998</v>
      </c>
      <c r="J352" s="134">
        <v>8735348.0895393994</v>
      </c>
      <c r="K352" s="120">
        <f t="shared" si="83"/>
        <v>497.51384494472035</v>
      </c>
      <c r="L352" s="122">
        <f t="shared" si="74"/>
        <v>12397246.870000001</v>
      </c>
      <c r="M352" s="116">
        <f t="shared" si="75"/>
        <v>3661898.7804606017</v>
      </c>
      <c r="N352" s="123">
        <f t="shared" si="76"/>
        <v>208.56013102065165</v>
      </c>
      <c r="O352" s="5"/>
      <c r="P352" s="5">
        <f t="shared" si="78"/>
        <v>1</v>
      </c>
      <c r="Q352" s="7">
        <f t="shared" si="79"/>
        <v>17558</v>
      </c>
      <c r="W352" s="124">
        <f t="shared" si="80"/>
        <v>8735348.0895393994</v>
      </c>
      <c r="X352">
        <f t="shared" si="77"/>
        <v>0</v>
      </c>
    </row>
    <row r="353" spans="1:24">
      <c r="A353" s="23" t="s">
        <v>378</v>
      </c>
      <c r="B353" s="35" t="s">
        <v>365</v>
      </c>
      <c r="C353" s="97">
        <v>123760</v>
      </c>
      <c r="D353" s="132">
        <v>17884359659</v>
      </c>
      <c r="E353" s="116">
        <f t="shared" si="81"/>
        <v>144508.40060601162</v>
      </c>
      <c r="F353" s="134">
        <v>11251808774</v>
      </c>
      <c r="G353" s="117">
        <f t="shared" si="82"/>
        <v>90916.360488041377</v>
      </c>
      <c r="H353" s="9"/>
      <c r="I353" s="136">
        <v>5.4322999999999997</v>
      </c>
      <c r="J353" s="134">
        <v>61123200.803000197</v>
      </c>
      <c r="K353" s="120">
        <f t="shared" si="83"/>
        <v>493.8849450791871</v>
      </c>
      <c r="L353" s="122">
        <f t="shared" si="74"/>
        <v>112518087.74000001</v>
      </c>
      <c r="M353" s="116">
        <f t="shared" si="75"/>
        <v>51394886.936999813</v>
      </c>
      <c r="N353" s="123">
        <f t="shared" si="76"/>
        <v>415.27865980122669</v>
      </c>
      <c r="O353" s="5"/>
      <c r="P353" s="5">
        <f t="shared" si="78"/>
        <v>1</v>
      </c>
      <c r="Q353" s="7">
        <f t="shared" si="79"/>
        <v>123760</v>
      </c>
      <c r="W353" s="124">
        <f t="shared" si="80"/>
        <v>61123200.803000189</v>
      </c>
      <c r="X353">
        <f t="shared" si="77"/>
        <v>0</v>
      </c>
    </row>
    <row r="354" spans="1:24">
      <c r="A354" s="23" t="s">
        <v>379</v>
      </c>
      <c r="B354" s="35" t="s">
        <v>365</v>
      </c>
      <c r="C354" s="97">
        <v>4483</v>
      </c>
      <c r="D354" s="132">
        <v>586348142</v>
      </c>
      <c r="E354" s="116">
        <f t="shared" si="81"/>
        <v>130793.69663171982</v>
      </c>
      <c r="F354" s="134">
        <v>403750926</v>
      </c>
      <c r="G354" s="117">
        <f t="shared" si="82"/>
        <v>90062.664733437428</v>
      </c>
      <c r="H354" s="7"/>
      <c r="I354" s="136">
        <v>6.39</v>
      </c>
      <c r="J354" s="134">
        <v>2579968.41714</v>
      </c>
      <c r="K354" s="120">
        <f t="shared" si="83"/>
        <v>575.50042764666523</v>
      </c>
      <c r="L354" s="122">
        <f t="shared" si="74"/>
        <v>4037509.2600000002</v>
      </c>
      <c r="M354" s="116">
        <f t="shared" si="75"/>
        <v>1457540.8428600002</v>
      </c>
      <c r="N354" s="123">
        <f t="shared" si="76"/>
        <v>325.12621968770918</v>
      </c>
      <c r="O354" s="5"/>
      <c r="P354" s="5">
        <f t="shared" si="78"/>
        <v>1</v>
      </c>
      <c r="Q354" s="7">
        <f t="shared" si="79"/>
        <v>4483</v>
      </c>
      <c r="W354" s="124">
        <f t="shared" si="80"/>
        <v>2579968.41714</v>
      </c>
      <c r="X354">
        <f t="shared" si="77"/>
        <v>0</v>
      </c>
    </row>
    <row r="355" spans="1:24">
      <c r="A355" s="23" t="s">
        <v>380</v>
      </c>
      <c r="B355" s="35" t="s">
        <v>365</v>
      </c>
      <c r="C355" s="97">
        <v>3049</v>
      </c>
      <c r="D355" s="132">
        <v>428427524</v>
      </c>
      <c r="E355" s="116">
        <f t="shared" si="81"/>
        <v>140514.11085601838</v>
      </c>
      <c r="F355" s="134">
        <v>280925490</v>
      </c>
      <c r="G355" s="117">
        <f t="shared" si="82"/>
        <v>92136.926861265994</v>
      </c>
      <c r="H355" s="7"/>
      <c r="I355" s="136">
        <v>5.25</v>
      </c>
      <c r="J355" s="134">
        <v>1474858.8225</v>
      </c>
      <c r="K355" s="120">
        <f t="shared" si="83"/>
        <v>483.71886602164642</v>
      </c>
      <c r="L355" s="122">
        <f t="shared" si="74"/>
        <v>2809254.9</v>
      </c>
      <c r="M355" s="116">
        <f t="shared" si="75"/>
        <v>1334396.0774999999</v>
      </c>
      <c r="N355" s="123">
        <f t="shared" si="76"/>
        <v>437.6504025910134</v>
      </c>
      <c r="O355" s="5"/>
      <c r="P355" s="5">
        <f t="shared" si="78"/>
        <v>1</v>
      </c>
      <c r="Q355" s="7">
        <f t="shared" si="79"/>
        <v>3049</v>
      </c>
      <c r="S355" s="124"/>
      <c r="T355" s="124"/>
      <c r="U355" s="124"/>
      <c r="W355" s="124">
        <f t="shared" si="80"/>
        <v>1474858.8225</v>
      </c>
      <c r="X355">
        <f t="shared" si="77"/>
        <v>0</v>
      </c>
    </row>
    <row r="356" spans="1:24">
      <c r="A356" s="23" t="s">
        <v>381</v>
      </c>
      <c r="B356" s="35" t="s">
        <v>365</v>
      </c>
      <c r="C356" s="97">
        <v>57923</v>
      </c>
      <c r="D356" s="132">
        <v>7498286143</v>
      </c>
      <c r="E356" s="116">
        <f t="shared" si="81"/>
        <v>129452.65512836007</v>
      </c>
      <c r="F356" s="134">
        <v>4762900996</v>
      </c>
      <c r="G356" s="117">
        <f t="shared" si="82"/>
        <v>82228.147644286379</v>
      </c>
      <c r="H356" s="7"/>
      <c r="I356" s="136">
        <v>6.59</v>
      </c>
      <c r="J356" s="134">
        <v>31387517.563639998</v>
      </c>
      <c r="K356" s="120">
        <f t="shared" si="83"/>
        <v>541.88349297584716</v>
      </c>
      <c r="L356" s="122">
        <f t="shared" si="74"/>
        <v>47629009.960000001</v>
      </c>
      <c r="M356" s="116">
        <f t="shared" si="75"/>
        <v>16241492.396360002</v>
      </c>
      <c r="N356" s="123">
        <f t="shared" si="76"/>
        <v>280.39798346701662</v>
      </c>
      <c r="O356" s="5"/>
      <c r="P356" s="5">
        <f t="shared" si="78"/>
        <v>1</v>
      </c>
      <c r="Q356" s="7">
        <f t="shared" si="79"/>
        <v>57923</v>
      </c>
      <c r="S356" s="124">
        <f>SUM(D340:D356)</f>
        <v>44802493187</v>
      </c>
      <c r="T356" s="124">
        <f>SUM(F340:F356)</f>
        <v>28467665003</v>
      </c>
      <c r="U356" s="124">
        <f>SUM(J340:J356)</f>
        <v>173790742.2349796</v>
      </c>
      <c r="W356" s="124">
        <f t="shared" si="80"/>
        <v>31387517.563639998</v>
      </c>
      <c r="X356">
        <f t="shared" si="77"/>
        <v>0</v>
      </c>
    </row>
    <row r="357" spans="1:24">
      <c r="A357" s="23" t="s">
        <v>382</v>
      </c>
      <c r="B357" s="35" t="s">
        <v>383</v>
      </c>
      <c r="C357" s="97">
        <v>1702</v>
      </c>
      <c r="D357" s="132">
        <v>229633405</v>
      </c>
      <c r="E357" s="116">
        <f t="shared" si="81"/>
        <v>134919.74441833136</v>
      </c>
      <c r="F357" s="134">
        <v>124338688</v>
      </c>
      <c r="G357" s="117">
        <f t="shared" si="82"/>
        <v>73054.458284371329</v>
      </c>
      <c r="H357" s="7"/>
      <c r="I357" s="136">
        <v>8.4339999999999993</v>
      </c>
      <c r="J357" s="134">
        <v>1048672.4945919998</v>
      </c>
      <c r="K357" s="120">
        <f t="shared" si="83"/>
        <v>616.14130117038769</v>
      </c>
      <c r="L357" s="122">
        <f t="shared" si="74"/>
        <v>1243386.8800000001</v>
      </c>
      <c r="M357" s="116">
        <f t="shared" si="75"/>
        <v>194714.38540800032</v>
      </c>
      <c r="N357" s="123">
        <f t="shared" si="76"/>
        <v>114.40328167332569</v>
      </c>
      <c r="O357" s="5"/>
      <c r="P357" s="5">
        <f t="shared" si="78"/>
        <v>1</v>
      </c>
      <c r="Q357" s="7">
        <f t="shared" si="79"/>
        <v>1702</v>
      </c>
      <c r="W357" s="124">
        <f t="shared" si="80"/>
        <v>1048672.4945919998</v>
      </c>
      <c r="X357">
        <f t="shared" si="77"/>
        <v>0</v>
      </c>
    </row>
    <row r="358" spans="1:24">
      <c r="A358" s="23" t="s">
        <v>384</v>
      </c>
      <c r="B358" s="35" t="s">
        <v>383</v>
      </c>
      <c r="C358" s="97">
        <v>1495</v>
      </c>
      <c r="D358" s="132">
        <v>188433097</v>
      </c>
      <c r="E358" s="116">
        <f t="shared" si="81"/>
        <v>126042.20535117057</v>
      </c>
      <c r="F358" s="134">
        <v>87754499</v>
      </c>
      <c r="G358" s="117">
        <f t="shared" si="82"/>
        <v>58698.661538461536</v>
      </c>
      <c r="H358" s="7"/>
      <c r="I358" s="136">
        <v>6.9512999999999998</v>
      </c>
      <c r="J358" s="134">
        <v>610007.84889869997</v>
      </c>
      <c r="K358" s="120">
        <f t="shared" si="83"/>
        <v>408.03200595230766</v>
      </c>
      <c r="L358" s="122">
        <f t="shared" si="74"/>
        <v>877544.99</v>
      </c>
      <c r="M358" s="116">
        <f t="shared" si="75"/>
        <v>267537.14110130002</v>
      </c>
      <c r="N358" s="123">
        <f t="shared" si="76"/>
        <v>178.95460943230771</v>
      </c>
      <c r="O358" s="5"/>
      <c r="P358" s="5">
        <f t="shared" si="78"/>
        <v>1</v>
      </c>
      <c r="Q358" s="7">
        <f t="shared" si="79"/>
        <v>1495</v>
      </c>
      <c r="W358" s="124">
        <f t="shared" si="80"/>
        <v>610007.84889869997</v>
      </c>
      <c r="X358">
        <f t="shared" si="77"/>
        <v>0</v>
      </c>
    </row>
    <row r="359" spans="1:24">
      <c r="A359" s="23" t="s">
        <v>385</v>
      </c>
      <c r="B359" s="35" t="s">
        <v>383</v>
      </c>
      <c r="C359" s="97">
        <v>10503</v>
      </c>
      <c r="D359" s="132">
        <v>1457989934</v>
      </c>
      <c r="E359" s="116">
        <f t="shared" si="81"/>
        <v>138816.5223269542</v>
      </c>
      <c r="F359" s="134">
        <v>714626787</v>
      </c>
      <c r="G359" s="117">
        <f t="shared" si="82"/>
        <v>68040.253927449303</v>
      </c>
      <c r="H359" s="7"/>
      <c r="I359" s="136">
        <v>6.4</v>
      </c>
      <c r="J359" s="134">
        <v>4573611.4368000003</v>
      </c>
      <c r="K359" s="120">
        <f t="shared" si="83"/>
        <v>435.45762513567553</v>
      </c>
      <c r="L359" s="122">
        <f t="shared" si="74"/>
        <v>7146267.8700000001</v>
      </c>
      <c r="M359" s="116">
        <f t="shared" si="75"/>
        <v>2572656.4331999999</v>
      </c>
      <c r="N359" s="123">
        <f t="shared" si="76"/>
        <v>244.94491413881747</v>
      </c>
      <c r="O359" s="5"/>
      <c r="P359" s="5">
        <f t="shared" si="78"/>
        <v>1</v>
      </c>
      <c r="Q359" s="7">
        <f t="shared" si="79"/>
        <v>10503</v>
      </c>
      <c r="W359" s="124">
        <f t="shared" si="80"/>
        <v>4573611.4368000003</v>
      </c>
      <c r="X359">
        <f t="shared" si="77"/>
        <v>0</v>
      </c>
    </row>
    <row r="360" spans="1:24">
      <c r="A360" s="23" t="s">
        <v>386</v>
      </c>
      <c r="B360" s="35" t="s">
        <v>383</v>
      </c>
      <c r="C360" s="97">
        <v>801</v>
      </c>
      <c r="D360" s="132">
        <v>95616461</v>
      </c>
      <c r="E360" s="116">
        <f t="shared" si="81"/>
        <v>119371.36204744069</v>
      </c>
      <c r="F360" s="134">
        <v>53406160</v>
      </c>
      <c r="G360" s="117">
        <f t="shared" si="82"/>
        <v>66674.357053682892</v>
      </c>
      <c r="H360" s="7"/>
      <c r="I360" s="136">
        <v>5.5</v>
      </c>
      <c r="J360" s="134">
        <v>293733.88</v>
      </c>
      <c r="K360" s="120">
        <f t="shared" si="83"/>
        <v>366.70896379525595</v>
      </c>
      <c r="L360" s="122">
        <f t="shared" si="74"/>
        <v>534061.6</v>
      </c>
      <c r="M360" s="116">
        <f t="shared" si="75"/>
        <v>240327.71999999997</v>
      </c>
      <c r="N360" s="123">
        <f t="shared" si="76"/>
        <v>300.03460674157299</v>
      </c>
      <c r="O360" s="5"/>
      <c r="P360" s="5">
        <f t="shared" si="78"/>
        <v>1</v>
      </c>
      <c r="Q360" s="7">
        <f t="shared" si="79"/>
        <v>801</v>
      </c>
      <c r="S360" s="124"/>
      <c r="T360" s="124"/>
      <c r="U360" s="124"/>
      <c r="W360" s="124">
        <f t="shared" si="80"/>
        <v>293733.88</v>
      </c>
      <c r="X360">
        <f t="shared" si="77"/>
        <v>0</v>
      </c>
    </row>
    <row r="361" spans="1:24">
      <c r="A361" s="23" t="s">
        <v>387</v>
      </c>
      <c r="B361" s="35" t="s">
        <v>383</v>
      </c>
      <c r="C361" s="97">
        <v>815</v>
      </c>
      <c r="D361" s="132">
        <v>172440689</v>
      </c>
      <c r="E361" s="116">
        <f t="shared" si="81"/>
        <v>211583.66748466258</v>
      </c>
      <c r="F361" s="134">
        <v>107648157</v>
      </c>
      <c r="G361" s="117">
        <f t="shared" si="82"/>
        <v>132083.6282208589</v>
      </c>
      <c r="H361" s="9"/>
      <c r="I361" s="136">
        <v>5.1159999999999997</v>
      </c>
      <c r="J361" s="134">
        <v>550727.971212</v>
      </c>
      <c r="K361" s="120">
        <f t="shared" si="83"/>
        <v>675.73984197791412</v>
      </c>
      <c r="L361" s="122">
        <f t="shared" si="74"/>
        <v>1076481.57</v>
      </c>
      <c r="M361" s="116">
        <f t="shared" si="75"/>
        <v>525753.59878800006</v>
      </c>
      <c r="N361" s="123">
        <f t="shared" si="76"/>
        <v>645.09644023067494</v>
      </c>
      <c r="O361" s="5"/>
      <c r="P361" s="5">
        <f t="shared" si="78"/>
        <v>1</v>
      </c>
      <c r="Q361" s="7">
        <f t="shared" si="79"/>
        <v>815</v>
      </c>
      <c r="S361" s="124">
        <f>SUM(D357:D361)</f>
        <v>2144113586</v>
      </c>
      <c r="T361" s="124">
        <f>SUM(F357:F361)</f>
        <v>1087774291</v>
      </c>
      <c r="U361" s="124">
        <f>SUM(J357:J361)</f>
        <v>7076753.6315027</v>
      </c>
      <c r="W361" s="124">
        <f t="shared" si="80"/>
        <v>550727.971212</v>
      </c>
      <c r="X361">
        <f t="shared" si="77"/>
        <v>0</v>
      </c>
    </row>
    <row r="362" spans="1:24">
      <c r="A362" s="23" t="s">
        <v>390</v>
      </c>
      <c r="B362" s="35" t="s">
        <v>391</v>
      </c>
      <c r="C362" s="97">
        <v>6335</v>
      </c>
      <c r="D362" s="132">
        <v>2235373613</v>
      </c>
      <c r="E362" s="116">
        <f t="shared" si="81"/>
        <v>352860.87024467246</v>
      </c>
      <c r="F362" s="134">
        <v>1272120415</v>
      </c>
      <c r="G362" s="117">
        <f t="shared" si="82"/>
        <v>200808.27387529597</v>
      </c>
      <c r="H362" s="9"/>
      <c r="I362" s="136">
        <v>1.9722999999999999</v>
      </c>
      <c r="J362" s="134">
        <v>2509003.0945044998</v>
      </c>
      <c r="K362" s="120">
        <f t="shared" si="83"/>
        <v>396.05415856424622</v>
      </c>
      <c r="L362" s="122">
        <f t="shared" si="74"/>
        <v>12721204.15</v>
      </c>
      <c r="M362" s="116">
        <f t="shared" si="75"/>
        <v>10212201.055495501</v>
      </c>
      <c r="N362" s="123">
        <f t="shared" si="76"/>
        <v>1612.0285801887135</v>
      </c>
      <c r="O362" s="5"/>
      <c r="P362" s="5">
        <f t="shared" si="78"/>
        <v>1</v>
      </c>
      <c r="Q362" s="7">
        <f t="shared" si="79"/>
        <v>6335</v>
      </c>
      <c r="W362" s="124">
        <f t="shared" si="80"/>
        <v>2509003.0945044998</v>
      </c>
      <c r="X362">
        <f t="shared" si="77"/>
        <v>0</v>
      </c>
    </row>
    <row r="363" spans="1:24">
      <c r="A363" s="23" t="s">
        <v>392</v>
      </c>
      <c r="B363" s="35" t="s">
        <v>391</v>
      </c>
      <c r="C363" s="97">
        <v>526</v>
      </c>
      <c r="D363" s="132">
        <v>91530378</v>
      </c>
      <c r="E363" s="116">
        <f t="shared" si="81"/>
        <v>174012.12547528517</v>
      </c>
      <c r="F363" s="134">
        <v>56691057</v>
      </c>
      <c r="G363" s="117">
        <f t="shared" si="82"/>
        <v>107777.67490494296</v>
      </c>
      <c r="H363" s="9"/>
      <c r="I363" s="136">
        <v>3.8</v>
      </c>
      <c r="J363" s="134">
        <v>215426.0166</v>
      </c>
      <c r="K363" s="120">
        <f t="shared" si="83"/>
        <v>409.55516463878325</v>
      </c>
      <c r="L363" s="122">
        <f t="shared" si="74"/>
        <v>566910.57000000007</v>
      </c>
      <c r="M363" s="116">
        <f t="shared" si="75"/>
        <v>351484.55340000009</v>
      </c>
      <c r="N363" s="123">
        <f t="shared" si="76"/>
        <v>668.22158441064653</v>
      </c>
      <c r="O363" s="5"/>
      <c r="P363" s="5">
        <f t="shared" si="78"/>
        <v>1</v>
      </c>
      <c r="Q363" s="7">
        <f t="shared" si="79"/>
        <v>526</v>
      </c>
      <c r="S363" s="124"/>
      <c r="T363" s="124"/>
      <c r="U363" s="124"/>
      <c r="W363" s="124">
        <f t="shared" si="80"/>
        <v>215426.0166</v>
      </c>
      <c r="X363">
        <f t="shared" si="77"/>
        <v>0</v>
      </c>
    </row>
    <row r="364" spans="1:24">
      <c r="A364" s="23" t="s">
        <v>393</v>
      </c>
      <c r="B364" s="35" t="s">
        <v>391</v>
      </c>
      <c r="C364" s="97">
        <v>10300</v>
      </c>
      <c r="D364" s="132">
        <v>1043766315</v>
      </c>
      <c r="E364" s="116">
        <f t="shared" si="81"/>
        <v>101336.5354368932</v>
      </c>
      <c r="F364" s="134">
        <v>592689291</v>
      </c>
      <c r="G364" s="117">
        <f t="shared" si="82"/>
        <v>57542.649611650486</v>
      </c>
      <c r="H364" s="7"/>
      <c r="I364" s="136">
        <v>2.99</v>
      </c>
      <c r="J364" s="134">
        <v>1772140.9800900002</v>
      </c>
      <c r="K364" s="120">
        <f t="shared" si="83"/>
        <v>172.05252233883496</v>
      </c>
      <c r="L364" s="122">
        <f t="shared" si="74"/>
        <v>5926892.9100000001</v>
      </c>
      <c r="M364" s="116">
        <f t="shared" si="75"/>
        <v>4154751.9299099999</v>
      </c>
      <c r="N364" s="123">
        <f t="shared" si="76"/>
        <v>403.3739737776699</v>
      </c>
      <c r="O364" s="5"/>
      <c r="P364" s="5">
        <f t="shared" si="78"/>
        <v>1</v>
      </c>
      <c r="Q364" s="7">
        <f t="shared" si="79"/>
        <v>10300</v>
      </c>
      <c r="S364" s="124">
        <f>SUM(D362:D364)</f>
        <v>3370670306</v>
      </c>
      <c r="T364" s="184">
        <f>SUM(F362:F364)</f>
        <v>1921500763</v>
      </c>
      <c r="U364" s="124">
        <f>SUM(J362:J364)</f>
        <v>4496570.0911945002</v>
      </c>
      <c r="W364" s="124">
        <f t="shared" si="80"/>
        <v>1772140.98009</v>
      </c>
      <c r="X364">
        <f t="shared" si="77"/>
        <v>0</v>
      </c>
    </row>
    <row r="365" spans="1:24">
      <c r="A365" s="23" t="s">
        <v>394</v>
      </c>
      <c r="B365" s="35" t="s">
        <v>395</v>
      </c>
      <c r="C365" s="97">
        <v>92399</v>
      </c>
      <c r="D365" s="132">
        <v>15401589035</v>
      </c>
      <c r="E365" s="116">
        <f t="shared" si="81"/>
        <v>166685.66797259712</v>
      </c>
      <c r="F365" s="134">
        <v>9978666791</v>
      </c>
      <c r="G365" s="117">
        <f t="shared" si="82"/>
        <v>107995.39812119179</v>
      </c>
      <c r="H365" s="7"/>
      <c r="I365" s="136">
        <v>3.7667000000000002</v>
      </c>
      <c r="J365" s="134">
        <v>37586644.201659702</v>
      </c>
      <c r="K365" s="120">
        <f t="shared" si="83"/>
        <v>406.78626610309311</v>
      </c>
      <c r="L365" s="122">
        <f t="shared" si="74"/>
        <v>99786667.909999996</v>
      </c>
      <c r="M365" s="116">
        <f t="shared" si="75"/>
        <v>62200023.708340295</v>
      </c>
      <c r="N365" s="123">
        <f t="shared" si="76"/>
        <v>673.16771510882472</v>
      </c>
      <c r="O365" s="5"/>
      <c r="P365" s="5">
        <f t="shared" si="78"/>
        <v>1</v>
      </c>
      <c r="Q365" s="7">
        <f t="shared" si="79"/>
        <v>92399</v>
      </c>
      <c r="W365" s="124">
        <f t="shared" si="80"/>
        <v>37586644.201659702</v>
      </c>
      <c r="X365">
        <f t="shared" si="77"/>
        <v>0</v>
      </c>
    </row>
    <row r="366" spans="1:24">
      <c r="A366" s="23" t="s">
        <v>395</v>
      </c>
      <c r="B366" s="35" t="s">
        <v>395</v>
      </c>
      <c r="C366" s="97">
        <v>57943</v>
      </c>
      <c r="D366" s="132">
        <v>28853067113</v>
      </c>
      <c r="E366" s="116">
        <f t="shared" si="81"/>
        <v>497956.04495797592</v>
      </c>
      <c r="F366" s="134">
        <v>18338387230</v>
      </c>
      <c r="G366" s="117">
        <f t="shared" si="82"/>
        <v>316490.12356971507</v>
      </c>
      <c r="H366" s="7"/>
      <c r="I366" s="136">
        <v>3</v>
      </c>
      <c r="J366" s="134">
        <v>55015161.689999998</v>
      </c>
      <c r="K366" s="120">
        <f t="shared" si="83"/>
        <v>949.47037070914519</v>
      </c>
      <c r="L366" s="122">
        <f t="shared" si="74"/>
        <v>183383872.30000001</v>
      </c>
      <c r="M366" s="116">
        <f t="shared" si="75"/>
        <v>128368710.61000001</v>
      </c>
      <c r="N366" s="123">
        <f t="shared" si="76"/>
        <v>2215.4308649880059</v>
      </c>
      <c r="O366" s="5"/>
      <c r="P366" s="5">
        <f t="shared" si="78"/>
        <v>1</v>
      </c>
      <c r="Q366" s="7">
        <f t="shared" si="79"/>
        <v>57943</v>
      </c>
      <c r="S366" s="124"/>
      <c r="T366" s="124"/>
      <c r="U366" s="124"/>
      <c r="W366" s="124">
        <f t="shared" si="80"/>
        <v>55015161.689999998</v>
      </c>
      <c r="X366">
        <f t="shared" si="77"/>
        <v>0</v>
      </c>
    </row>
    <row r="367" spans="1:24">
      <c r="A367" s="23" t="s">
        <v>396</v>
      </c>
      <c r="B367" s="35" t="s">
        <v>395</v>
      </c>
      <c r="C367" s="97">
        <v>28967</v>
      </c>
      <c r="D367" s="132">
        <v>10558382758</v>
      </c>
      <c r="E367" s="116">
        <f t="shared" si="81"/>
        <v>364496.93644492008</v>
      </c>
      <c r="F367" s="134">
        <v>7354363449</v>
      </c>
      <c r="G367" s="117">
        <f t="shared" si="82"/>
        <v>253887.64625263232</v>
      </c>
      <c r="H367" s="7"/>
      <c r="I367" s="136">
        <v>3.9041000000000001</v>
      </c>
      <c r="J367" s="134">
        <v>28712170.341240901</v>
      </c>
      <c r="K367" s="120">
        <f t="shared" si="83"/>
        <v>991.20275973490186</v>
      </c>
      <c r="L367" s="122">
        <f t="shared" si="74"/>
        <v>73543634.489999995</v>
      </c>
      <c r="M367" s="116">
        <f t="shared" si="75"/>
        <v>44831464.148759097</v>
      </c>
      <c r="N367" s="123">
        <f t="shared" si="76"/>
        <v>1547.6737027914212</v>
      </c>
      <c r="O367" s="5"/>
      <c r="P367" s="5">
        <f t="shared" si="78"/>
        <v>1</v>
      </c>
      <c r="Q367" s="7">
        <f t="shared" si="79"/>
        <v>28967</v>
      </c>
      <c r="S367" s="124">
        <f>SUM(D365:D367)</f>
        <v>54813038906</v>
      </c>
      <c r="T367" s="124">
        <f>SUM(F365:F367)</f>
        <v>35671417470</v>
      </c>
      <c r="U367" s="124">
        <f>SUM(J365:J367)</f>
        <v>121313976.2329006</v>
      </c>
      <c r="W367" s="124">
        <f t="shared" si="80"/>
        <v>28712170.341240901</v>
      </c>
      <c r="X367">
        <f t="shared" si="77"/>
        <v>0</v>
      </c>
    </row>
    <row r="368" spans="1:24">
      <c r="A368" s="23" t="s">
        <v>397</v>
      </c>
      <c r="B368" s="35" t="s">
        <v>360</v>
      </c>
      <c r="C368" s="97">
        <v>47313</v>
      </c>
      <c r="D368" s="132">
        <v>7288342925</v>
      </c>
      <c r="E368" s="116">
        <f t="shared" si="81"/>
        <v>154045.25024834613</v>
      </c>
      <c r="F368" s="134">
        <v>5027116159</v>
      </c>
      <c r="G368" s="117">
        <f t="shared" si="82"/>
        <v>106252.3230190434</v>
      </c>
      <c r="H368" s="7"/>
      <c r="I368" s="136">
        <v>4</v>
      </c>
      <c r="J368" s="134">
        <v>20108464.636</v>
      </c>
      <c r="K368" s="120">
        <f t="shared" si="83"/>
        <v>425.00929207617355</v>
      </c>
      <c r="L368" s="122">
        <f t="shared" si="74"/>
        <v>50271161.590000004</v>
      </c>
      <c r="M368" s="116">
        <f t="shared" si="75"/>
        <v>30162696.954000004</v>
      </c>
      <c r="N368" s="123">
        <f t="shared" si="76"/>
        <v>637.51393811426044</v>
      </c>
      <c r="O368" s="5"/>
      <c r="P368" s="5">
        <f t="shared" si="78"/>
        <v>1</v>
      </c>
      <c r="Q368" s="7">
        <f t="shared" si="79"/>
        <v>47313</v>
      </c>
      <c r="W368" s="124">
        <f t="shared" si="80"/>
        <v>20108464.636</v>
      </c>
      <c r="X368">
        <f t="shared" si="77"/>
        <v>0</v>
      </c>
    </row>
    <row r="369" spans="1:24">
      <c r="A369" s="23" t="s">
        <v>398</v>
      </c>
      <c r="B369" s="35" t="s">
        <v>360</v>
      </c>
      <c r="C369" s="97">
        <v>30120</v>
      </c>
      <c r="D369" s="132">
        <v>3917335642</v>
      </c>
      <c r="E369" s="116">
        <f t="shared" si="81"/>
        <v>130057.62423638778</v>
      </c>
      <c r="F369" s="134">
        <v>2537682065</v>
      </c>
      <c r="G369" s="117">
        <f t="shared" si="82"/>
        <v>84252.392596281541</v>
      </c>
      <c r="H369" s="7"/>
      <c r="I369" s="136">
        <v>2.9</v>
      </c>
      <c r="J369" s="134">
        <v>7359277.9885</v>
      </c>
      <c r="K369" s="120">
        <f t="shared" si="83"/>
        <v>244.33193852921647</v>
      </c>
      <c r="L369" s="122">
        <f t="shared" si="74"/>
        <v>25376820.650000002</v>
      </c>
      <c r="M369" s="116">
        <f t="shared" si="75"/>
        <v>18017542.661500003</v>
      </c>
      <c r="N369" s="123">
        <f t="shared" si="76"/>
        <v>598.19198743359902</v>
      </c>
      <c r="O369" s="5"/>
      <c r="P369" s="5">
        <f t="shared" si="78"/>
        <v>1</v>
      </c>
      <c r="Q369" s="7">
        <f t="shared" si="79"/>
        <v>30120</v>
      </c>
      <c r="W369" s="124">
        <f t="shared" si="80"/>
        <v>7359277.988499999</v>
      </c>
      <c r="X369">
        <f t="shared" si="77"/>
        <v>0</v>
      </c>
    </row>
    <row r="370" spans="1:24">
      <c r="A370" s="23" t="s">
        <v>399</v>
      </c>
      <c r="B370" s="35" t="s">
        <v>360</v>
      </c>
      <c r="C370" s="97">
        <v>17423</v>
      </c>
      <c r="D370" s="132">
        <v>4977539423</v>
      </c>
      <c r="E370" s="116">
        <f t="shared" si="81"/>
        <v>285687.85071457271</v>
      </c>
      <c r="F370" s="134">
        <v>3671760421</v>
      </c>
      <c r="G370" s="117">
        <f t="shared" si="82"/>
        <v>210742.14664523906</v>
      </c>
      <c r="H370" s="7"/>
      <c r="I370" s="136">
        <v>3.5895000000000001</v>
      </c>
      <c r="J370" s="134">
        <v>13179784.031179501</v>
      </c>
      <c r="K370" s="120">
        <f t="shared" si="83"/>
        <v>756.45893538308565</v>
      </c>
      <c r="L370" s="122">
        <f t="shared" si="74"/>
        <v>36717604.210000001</v>
      </c>
      <c r="M370" s="116">
        <f t="shared" si="75"/>
        <v>23537820.178820498</v>
      </c>
      <c r="N370" s="123">
        <f t="shared" si="76"/>
        <v>1350.9625310693048</v>
      </c>
      <c r="O370" s="5"/>
      <c r="P370" s="5">
        <f t="shared" si="78"/>
        <v>1</v>
      </c>
      <c r="Q370" s="7">
        <f t="shared" si="79"/>
        <v>17423</v>
      </c>
      <c r="W370" s="124">
        <f t="shared" si="80"/>
        <v>13179784.031179501</v>
      </c>
      <c r="X370">
        <f t="shared" si="77"/>
        <v>0</v>
      </c>
    </row>
    <row r="371" spans="1:24">
      <c r="A371" s="23" t="s">
        <v>400</v>
      </c>
      <c r="B371" s="35" t="s">
        <v>360</v>
      </c>
      <c r="C371" s="97">
        <v>16617</v>
      </c>
      <c r="D371" s="147">
        <v>2994485204</v>
      </c>
      <c r="E371" s="116">
        <f t="shared" si="81"/>
        <v>180206.12649696093</v>
      </c>
      <c r="F371" s="134">
        <v>1985371023</v>
      </c>
      <c r="G371" s="117">
        <f t="shared" si="82"/>
        <v>119478.30673406752</v>
      </c>
      <c r="H371" s="7"/>
      <c r="I371" s="136">
        <v>5.5</v>
      </c>
      <c r="J371" s="134">
        <v>10919540.626499999</v>
      </c>
      <c r="K371" s="120">
        <f t="shared" si="83"/>
        <v>657.13068703737133</v>
      </c>
      <c r="L371" s="122">
        <f t="shared" si="74"/>
        <v>19853710.23</v>
      </c>
      <c r="M371" s="116">
        <f t="shared" si="75"/>
        <v>8934169.6035000011</v>
      </c>
      <c r="N371" s="123">
        <f t="shared" si="76"/>
        <v>537.65238030330386</v>
      </c>
      <c r="O371" s="5"/>
      <c r="P371" s="5">
        <f t="shared" si="78"/>
        <v>1</v>
      </c>
      <c r="Q371" s="7">
        <f t="shared" si="79"/>
        <v>16617</v>
      </c>
      <c r="W371" s="124">
        <f t="shared" si="80"/>
        <v>10919540.626499999</v>
      </c>
      <c r="X371">
        <f t="shared" si="77"/>
        <v>0</v>
      </c>
    </row>
    <row r="372" spans="1:24">
      <c r="A372" s="23" t="s">
        <v>401</v>
      </c>
      <c r="B372" s="35" t="s">
        <v>360</v>
      </c>
      <c r="C372" s="97">
        <v>41934</v>
      </c>
      <c r="D372" s="132">
        <v>6946158931</v>
      </c>
      <c r="E372" s="116">
        <f t="shared" si="81"/>
        <v>165645.03579434348</v>
      </c>
      <c r="F372" s="134">
        <v>4240740576</v>
      </c>
      <c r="G372" s="117">
        <f t="shared" si="82"/>
        <v>101128.9306052368</v>
      </c>
      <c r="H372" s="7"/>
      <c r="I372" s="136">
        <v>5.9539999999999997</v>
      </c>
      <c r="J372" s="134">
        <v>25249369.389503997</v>
      </c>
      <c r="K372" s="120">
        <f t="shared" si="83"/>
        <v>602.12165282357978</v>
      </c>
      <c r="L372" s="122">
        <f t="shared" si="74"/>
        <v>42407405.759999998</v>
      </c>
      <c r="M372" s="116">
        <f t="shared" si="75"/>
        <v>17158036.370496001</v>
      </c>
      <c r="N372" s="123">
        <f t="shared" si="76"/>
        <v>409.16765322878814</v>
      </c>
      <c r="O372" s="5"/>
      <c r="P372" s="5">
        <f t="shared" si="78"/>
        <v>1</v>
      </c>
      <c r="Q372" s="7">
        <f t="shared" si="79"/>
        <v>41934</v>
      </c>
      <c r="W372" s="124">
        <f t="shared" si="80"/>
        <v>25249369.389504001</v>
      </c>
      <c r="X372">
        <f t="shared" si="77"/>
        <v>0</v>
      </c>
    </row>
    <row r="373" spans="1:24">
      <c r="A373" s="23" t="s">
        <v>402</v>
      </c>
      <c r="B373" s="35" t="s">
        <v>360</v>
      </c>
      <c r="C373" s="97">
        <v>67897</v>
      </c>
      <c r="D373" s="132">
        <v>9340575662</v>
      </c>
      <c r="E373" s="116">
        <f t="shared" si="81"/>
        <v>137569.78455601868</v>
      </c>
      <c r="F373" s="134">
        <v>6048415767</v>
      </c>
      <c r="G373" s="117">
        <f t="shared" si="82"/>
        <v>89082.224059973189</v>
      </c>
      <c r="H373" s="7"/>
      <c r="I373" s="136">
        <v>7.3250000000000002</v>
      </c>
      <c r="J373" s="134">
        <v>44304645.493275002</v>
      </c>
      <c r="K373" s="120">
        <f t="shared" si="83"/>
        <v>652.52729123930362</v>
      </c>
      <c r="L373" s="122">
        <f t="shared" si="74"/>
        <v>60484157.670000002</v>
      </c>
      <c r="M373" s="116">
        <f t="shared" si="75"/>
        <v>16179512.176725</v>
      </c>
      <c r="N373" s="123">
        <f t="shared" si="76"/>
        <v>238.29494936042829</v>
      </c>
      <c r="O373" s="5"/>
      <c r="P373" s="5">
        <f t="shared" si="78"/>
        <v>1</v>
      </c>
      <c r="Q373" s="7">
        <f t="shared" si="79"/>
        <v>67897</v>
      </c>
      <c r="S373" s="124"/>
      <c r="T373" s="124"/>
      <c r="U373" s="124"/>
      <c r="W373" s="124">
        <f t="shared" si="80"/>
        <v>44304645.493275002</v>
      </c>
      <c r="X373">
        <f t="shared" si="77"/>
        <v>0</v>
      </c>
    </row>
    <row r="374" spans="1:24">
      <c r="A374" s="23" t="s">
        <v>403</v>
      </c>
      <c r="B374" s="37" t="s">
        <v>360</v>
      </c>
      <c r="C374" s="97">
        <v>39131</v>
      </c>
      <c r="D374" s="132">
        <v>6239460264</v>
      </c>
      <c r="E374" s="116">
        <f t="shared" si="81"/>
        <v>159450.57023842988</v>
      </c>
      <c r="F374" s="134">
        <v>3739223658</v>
      </c>
      <c r="G374" s="117">
        <f t="shared" si="82"/>
        <v>95556.557665278175</v>
      </c>
      <c r="H374" s="7"/>
      <c r="I374" s="136">
        <v>2.62</v>
      </c>
      <c r="J374" s="134">
        <v>9796765.9839600008</v>
      </c>
      <c r="K374" s="120">
        <f t="shared" si="83"/>
        <v>250.35818108302882</v>
      </c>
      <c r="L374" s="122">
        <f t="shared" si="74"/>
        <v>37392236.579999998</v>
      </c>
      <c r="M374" s="116">
        <f t="shared" si="75"/>
        <v>27595470.596039996</v>
      </c>
      <c r="N374" s="123">
        <f t="shared" si="76"/>
        <v>705.20739556975275</v>
      </c>
      <c r="O374" s="5"/>
      <c r="P374" s="5">
        <f t="shared" si="78"/>
        <v>1</v>
      </c>
      <c r="Q374" s="7">
        <f t="shared" si="79"/>
        <v>39131</v>
      </c>
      <c r="S374" s="124">
        <f>SUM(D368:D374)</f>
        <v>41703898051</v>
      </c>
      <c r="T374" s="124">
        <f>SUM(F368:F374)</f>
        <v>27250309669</v>
      </c>
      <c r="U374" s="124">
        <f>SUM(J368:J374)</f>
        <v>130917848.14891851</v>
      </c>
      <c r="W374" s="124">
        <f t="shared" si="80"/>
        <v>9796765.9839599989</v>
      </c>
      <c r="X374">
        <f t="shared" si="77"/>
        <v>0</v>
      </c>
    </row>
    <row r="375" spans="1:24">
      <c r="A375" s="24" t="s">
        <v>549</v>
      </c>
      <c r="B375" s="37" t="s">
        <v>551</v>
      </c>
      <c r="C375" s="97">
        <v>15684</v>
      </c>
      <c r="D375" s="132">
        <v>5615189761</v>
      </c>
      <c r="E375" s="116">
        <f t="shared" si="81"/>
        <v>358020.26020147919</v>
      </c>
      <c r="F375" s="134">
        <v>3287810642</v>
      </c>
      <c r="G375" s="117">
        <f t="shared" si="82"/>
        <v>209628.3245345575</v>
      </c>
      <c r="H375" s="7"/>
      <c r="I375" s="136">
        <v>7.5</v>
      </c>
      <c r="J375" s="134">
        <v>24658579.815000001</v>
      </c>
      <c r="K375" s="120">
        <f t="shared" si="83"/>
        <v>1572.2124340091814</v>
      </c>
      <c r="L375" s="122">
        <f t="shared" si="74"/>
        <v>32878106.420000002</v>
      </c>
      <c r="M375" s="116">
        <f t="shared" si="75"/>
        <v>8219526.6050000004</v>
      </c>
      <c r="N375" s="123">
        <f t="shared" si="76"/>
        <v>524.07081133639383</v>
      </c>
      <c r="O375" s="5"/>
      <c r="P375" s="5">
        <f t="shared" si="78"/>
        <v>1</v>
      </c>
      <c r="Q375" s="7">
        <f t="shared" si="79"/>
        <v>15684</v>
      </c>
      <c r="W375" s="124">
        <f t="shared" si="80"/>
        <v>24658579.814999998</v>
      </c>
      <c r="X375">
        <f t="shared" si="77"/>
        <v>0</v>
      </c>
    </row>
    <row r="376" spans="1:24">
      <c r="A376" s="24" t="s">
        <v>550</v>
      </c>
      <c r="B376" s="37" t="s">
        <v>551</v>
      </c>
      <c r="C376" s="97">
        <v>6972</v>
      </c>
      <c r="D376" s="132">
        <v>3103349145</v>
      </c>
      <c r="E376" s="116">
        <f t="shared" si="81"/>
        <v>445116.05636833049</v>
      </c>
      <c r="F376" s="134">
        <v>2119089900</v>
      </c>
      <c r="G376" s="117">
        <f t="shared" si="82"/>
        <v>303942.90017211705</v>
      </c>
      <c r="H376" s="7"/>
      <c r="I376" s="136">
        <v>2.5</v>
      </c>
      <c r="J376" s="134">
        <v>5297724.75</v>
      </c>
      <c r="K376" s="120">
        <f t="shared" si="83"/>
        <v>759.85725043029265</v>
      </c>
      <c r="L376" s="122">
        <f t="shared" si="74"/>
        <v>21190899</v>
      </c>
      <c r="M376" s="116">
        <f t="shared" si="75"/>
        <v>15893174.25</v>
      </c>
      <c r="N376" s="123">
        <f t="shared" si="76"/>
        <v>2279.5717512908777</v>
      </c>
      <c r="O376" s="5"/>
      <c r="P376" s="5">
        <f t="shared" si="78"/>
        <v>1</v>
      </c>
      <c r="Q376" s="7">
        <f t="shared" si="79"/>
        <v>6972</v>
      </c>
      <c r="S376" s="124">
        <f>SUM(D375:D376)</f>
        <v>8718538906</v>
      </c>
      <c r="T376" s="124">
        <f>SUM(F375:F376)</f>
        <v>5406900542</v>
      </c>
      <c r="U376" s="124">
        <f>SUM(J375:J376)</f>
        <v>29956304.565000001</v>
      </c>
      <c r="W376" s="124">
        <f t="shared" si="80"/>
        <v>5297724.75</v>
      </c>
      <c r="X376">
        <f t="shared" si="77"/>
        <v>0</v>
      </c>
    </row>
    <row r="377" spans="1:24">
      <c r="A377" s="23" t="s">
        <v>389</v>
      </c>
      <c r="B377" s="37" t="s">
        <v>552</v>
      </c>
      <c r="C377" s="97">
        <v>50823</v>
      </c>
      <c r="D377" s="132">
        <v>7811331396</v>
      </c>
      <c r="E377" s="116">
        <f t="shared" si="81"/>
        <v>153696.77893866951</v>
      </c>
      <c r="F377" s="134">
        <v>4447260781</v>
      </c>
      <c r="G377" s="117">
        <f t="shared" si="82"/>
        <v>87504.885209452419</v>
      </c>
      <c r="H377" s="7"/>
      <c r="I377" s="136">
        <v>6.9</v>
      </c>
      <c r="J377" s="134">
        <v>30686099.388900001</v>
      </c>
      <c r="K377" s="120">
        <f t="shared" si="83"/>
        <v>603.78370794522164</v>
      </c>
      <c r="L377" s="122">
        <f t="shared" si="74"/>
        <v>44472607.810000002</v>
      </c>
      <c r="M377" s="116">
        <f t="shared" si="75"/>
        <v>13786508.421100002</v>
      </c>
      <c r="N377" s="123">
        <f t="shared" si="76"/>
        <v>271.2651441493025</v>
      </c>
      <c r="O377" s="5"/>
      <c r="P377" s="5">
        <f t="shared" si="78"/>
        <v>1</v>
      </c>
      <c r="Q377" s="7">
        <f t="shared" si="79"/>
        <v>50823</v>
      </c>
      <c r="W377" s="124">
        <f t="shared" si="80"/>
        <v>30686099.388900004</v>
      </c>
      <c r="X377">
        <f t="shared" si="77"/>
        <v>0</v>
      </c>
    </row>
    <row r="378" spans="1:24">
      <c r="A378" s="24" t="s">
        <v>553</v>
      </c>
      <c r="B378" s="37" t="s">
        <v>552</v>
      </c>
      <c r="C378" s="97">
        <v>253959</v>
      </c>
      <c r="D378" s="132">
        <v>40438707907</v>
      </c>
      <c r="E378" s="116">
        <f>(D378/C378)</f>
        <v>159233.21444406381</v>
      </c>
      <c r="F378" s="134">
        <v>22769117061</v>
      </c>
      <c r="G378" s="117">
        <f t="shared" si="82"/>
        <v>89656.665292429097</v>
      </c>
      <c r="H378" s="7"/>
      <c r="I378" s="136">
        <v>4.6806999999999999</v>
      </c>
      <c r="J378" s="134">
        <v>106575406.2274227</v>
      </c>
      <c r="K378" s="120">
        <f t="shared" si="83"/>
        <v>419.65595323427283</v>
      </c>
      <c r="L378" s="122">
        <f t="shared" si="74"/>
        <v>227691170.61000001</v>
      </c>
      <c r="M378" s="116">
        <f t="shared" si="75"/>
        <v>121115764.38257731</v>
      </c>
      <c r="N378" s="123">
        <f t="shared" si="76"/>
        <v>476.91069969001813</v>
      </c>
      <c r="O378" s="5"/>
      <c r="P378" s="5">
        <f t="shared" si="78"/>
        <v>1</v>
      </c>
      <c r="Q378" s="7">
        <f t="shared" si="79"/>
        <v>253959</v>
      </c>
      <c r="W378" s="124">
        <f t="shared" si="80"/>
        <v>106575406.22742268</v>
      </c>
      <c r="X378">
        <f t="shared" si="77"/>
        <v>0</v>
      </c>
    </row>
    <row r="379" spans="1:24">
      <c r="A379" s="24" t="s">
        <v>554</v>
      </c>
      <c r="B379" s="37" t="s">
        <v>552</v>
      </c>
      <c r="C379" s="97">
        <v>624</v>
      </c>
      <c r="D379" s="132">
        <v>187018036</v>
      </c>
      <c r="E379" s="116">
        <f t="shared" si="81"/>
        <v>299708.391025641</v>
      </c>
      <c r="F379" s="134">
        <v>110473799</v>
      </c>
      <c r="G379" s="117">
        <f t="shared" si="82"/>
        <v>177041.34455128206</v>
      </c>
      <c r="H379" s="7"/>
      <c r="I379" s="136">
        <v>1.85</v>
      </c>
      <c r="J379" s="134">
        <v>204376.52815</v>
      </c>
      <c r="K379" s="120">
        <f t="shared" si="83"/>
        <v>327.52648741987178</v>
      </c>
      <c r="L379" s="122">
        <f t="shared" si="74"/>
        <v>1104737.99</v>
      </c>
      <c r="M379" s="116">
        <f t="shared" si="75"/>
        <v>900361.46184999996</v>
      </c>
      <c r="N379" s="123">
        <f t="shared" si="76"/>
        <v>1442.8869580929486</v>
      </c>
      <c r="O379" s="5"/>
      <c r="P379" s="5">
        <f t="shared" si="78"/>
        <v>1</v>
      </c>
      <c r="Q379" s="7">
        <f t="shared" si="79"/>
        <v>624</v>
      </c>
      <c r="S379" s="124">
        <f>SUM(D377:D379)</f>
        <v>48437057339</v>
      </c>
      <c r="T379" s="124">
        <f>SUM(F377:F379)</f>
        <v>27326851641</v>
      </c>
      <c r="U379" s="124">
        <f>SUM(J377:J379)</f>
        <v>137465882.14447269</v>
      </c>
      <c r="W379" s="124">
        <f t="shared" si="80"/>
        <v>204376.52815</v>
      </c>
      <c r="X379">
        <f t="shared" si="77"/>
        <v>0</v>
      </c>
    </row>
    <row r="380" spans="1:24">
      <c r="A380" s="23" t="s">
        <v>404</v>
      </c>
      <c r="B380" s="35" t="s">
        <v>405</v>
      </c>
      <c r="C380" s="97">
        <v>3760</v>
      </c>
      <c r="D380" s="132">
        <v>418019616</v>
      </c>
      <c r="E380" s="116">
        <f t="shared" si="81"/>
        <v>111175.42978723404</v>
      </c>
      <c r="F380" s="134">
        <v>264431315</v>
      </c>
      <c r="G380" s="117">
        <f t="shared" si="82"/>
        <v>70327.477393617024</v>
      </c>
      <c r="H380" s="9"/>
      <c r="I380" s="136">
        <v>3.3060999999999998</v>
      </c>
      <c r="J380" s="134">
        <v>874236.37052150001</v>
      </c>
      <c r="K380" s="120">
        <f t="shared" si="83"/>
        <v>232.50967301103722</v>
      </c>
      <c r="L380" s="122">
        <f t="shared" si="74"/>
        <v>2644313.15</v>
      </c>
      <c r="M380" s="116">
        <f t="shared" si="75"/>
        <v>1770076.7794784999</v>
      </c>
      <c r="N380" s="123">
        <f t="shared" si="76"/>
        <v>470.76510092513297</v>
      </c>
      <c r="O380" s="5"/>
      <c r="P380" s="5">
        <f t="shared" si="78"/>
        <v>1</v>
      </c>
      <c r="Q380" s="7">
        <f t="shared" si="79"/>
        <v>3760</v>
      </c>
      <c r="W380" s="124">
        <f t="shared" si="80"/>
        <v>874236.37052149989</v>
      </c>
      <c r="X380">
        <f t="shared" si="77"/>
        <v>0</v>
      </c>
    </row>
    <row r="381" spans="1:24">
      <c r="A381" s="23" t="s">
        <v>406</v>
      </c>
      <c r="B381" s="35" t="s">
        <v>405</v>
      </c>
      <c r="C381" s="97">
        <v>893</v>
      </c>
      <c r="D381" s="132">
        <v>84753804</v>
      </c>
      <c r="E381" s="116">
        <f t="shared" si="81"/>
        <v>94909.075027995525</v>
      </c>
      <c r="F381" s="134">
        <v>50016592</v>
      </c>
      <c r="G381" s="117">
        <f t="shared" si="82"/>
        <v>56009.621500559908</v>
      </c>
      <c r="H381" s="9"/>
      <c r="I381" s="136">
        <v>4.0999999999999996</v>
      </c>
      <c r="J381" s="134">
        <v>205068.02719999998</v>
      </c>
      <c r="K381" s="120">
        <f t="shared" si="83"/>
        <v>229.63944815229561</v>
      </c>
      <c r="L381" s="122">
        <f t="shared" si="74"/>
        <v>500165.92</v>
      </c>
      <c r="M381" s="116">
        <f t="shared" si="75"/>
        <v>295097.89280000003</v>
      </c>
      <c r="N381" s="123">
        <f t="shared" si="76"/>
        <v>330.45676685330352</v>
      </c>
      <c r="O381" s="5"/>
      <c r="P381" s="5">
        <f t="shared" si="78"/>
        <v>1</v>
      </c>
      <c r="Q381" s="7">
        <f t="shared" si="79"/>
        <v>893</v>
      </c>
      <c r="W381" s="124">
        <f t="shared" si="80"/>
        <v>205068.02719999998</v>
      </c>
      <c r="X381">
        <f t="shared" si="77"/>
        <v>0</v>
      </c>
    </row>
    <row r="382" spans="1:24">
      <c r="A382" s="23" t="s">
        <v>407</v>
      </c>
      <c r="B382" s="35" t="s">
        <v>405</v>
      </c>
      <c r="C382" s="97">
        <v>627</v>
      </c>
      <c r="D382" s="147">
        <v>56944733</v>
      </c>
      <c r="E382" s="116">
        <f t="shared" si="81"/>
        <v>90820.945773524727</v>
      </c>
      <c r="F382" s="134">
        <v>35789828</v>
      </c>
      <c r="G382" s="117">
        <f t="shared" si="82"/>
        <v>57081.065390749602</v>
      </c>
      <c r="H382" s="98"/>
      <c r="I382" s="136">
        <v>3.0324</v>
      </c>
      <c r="J382" s="134">
        <v>108529.0744272</v>
      </c>
      <c r="K382" s="120">
        <f t="shared" si="83"/>
        <v>173.09262269090908</v>
      </c>
      <c r="L382" s="122">
        <f t="shared" si="74"/>
        <v>357898.28</v>
      </c>
      <c r="M382" s="116">
        <f t="shared" si="75"/>
        <v>249369.20557280001</v>
      </c>
      <c r="N382" s="123">
        <f t="shared" si="76"/>
        <v>397.71803121658695</v>
      </c>
      <c r="O382" s="5"/>
      <c r="P382" s="5">
        <f t="shared" si="78"/>
        <v>1</v>
      </c>
      <c r="Q382" s="7">
        <f t="shared" si="79"/>
        <v>627</v>
      </c>
      <c r="W382" s="124">
        <f t="shared" si="80"/>
        <v>108529.0744272</v>
      </c>
      <c r="X382">
        <f t="shared" si="77"/>
        <v>0</v>
      </c>
    </row>
    <row r="383" spans="1:24">
      <c r="A383" s="23" t="s">
        <v>408</v>
      </c>
      <c r="B383" s="35" t="s">
        <v>405</v>
      </c>
      <c r="C383" s="97">
        <v>948</v>
      </c>
      <c r="D383" s="132">
        <v>64746030</v>
      </c>
      <c r="E383" s="116">
        <f t="shared" si="81"/>
        <v>68297.5</v>
      </c>
      <c r="F383" s="134">
        <v>46211164</v>
      </c>
      <c r="G383" s="117">
        <f t="shared" si="82"/>
        <v>48745.95358649789</v>
      </c>
      <c r="H383" s="7"/>
      <c r="I383" s="150">
        <v>8</v>
      </c>
      <c r="J383" s="134">
        <v>369689.31199999998</v>
      </c>
      <c r="K383" s="120">
        <f t="shared" si="83"/>
        <v>389.96762869198312</v>
      </c>
      <c r="L383" s="122">
        <f t="shared" si="74"/>
        <v>462111.64</v>
      </c>
      <c r="M383" s="116">
        <f t="shared" si="75"/>
        <v>92422.328000000038</v>
      </c>
      <c r="N383" s="123">
        <f t="shared" si="76"/>
        <v>97.491907172995823</v>
      </c>
      <c r="O383" s="5"/>
      <c r="P383" s="5">
        <f t="shared" si="78"/>
        <v>1</v>
      </c>
      <c r="Q383" s="7">
        <f t="shared" si="79"/>
        <v>948</v>
      </c>
      <c r="W383" s="124">
        <f t="shared" si="80"/>
        <v>369689.31200000003</v>
      </c>
      <c r="X383">
        <f t="shared" si="77"/>
        <v>0</v>
      </c>
    </row>
    <row r="384" spans="1:24">
      <c r="A384" s="23" t="s">
        <v>409</v>
      </c>
      <c r="B384" s="35" t="s">
        <v>405</v>
      </c>
      <c r="C384" s="97">
        <v>31337</v>
      </c>
      <c r="D384" s="132">
        <v>8960288501</v>
      </c>
      <c r="E384" s="116">
        <f t="shared" si="81"/>
        <v>285933.19401984871</v>
      </c>
      <c r="F384" s="134">
        <v>6900771752</v>
      </c>
      <c r="G384" s="117">
        <f t="shared" si="82"/>
        <v>220211.62689472508</v>
      </c>
      <c r="H384" s="7"/>
      <c r="I384" s="136">
        <v>2.8287</v>
      </c>
      <c r="J384" s="154">
        <v>19520213.0548824</v>
      </c>
      <c r="K384" s="120">
        <f t="shared" si="83"/>
        <v>622.91262899710887</v>
      </c>
      <c r="L384" s="122">
        <f t="shared" si="74"/>
        <v>69007717.519999996</v>
      </c>
      <c r="M384" s="116">
        <f t="shared" si="75"/>
        <v>49487504.465117596</v>
      </c>
      <c r="N384" s="123">
        <f t="shared" si="76"/>
        <v>1579.2036399501419</v>
      </c>
      <c r="O384" s="5"/>
      <c r="P384" s="5">
        <f t="shared" si="78"/>
        <v>1</v>
      </c>
      <c r="Q384" s="7">
        <f t="shared" si="79"/>
        <v>31337</v>
      </c>
      <c r="S384" s="124">
        <f>SUM(D380:D384)</f>
        <v>9584752684</v>
      </c>
      <c r="T384" s="124">
        <f>SUM(F380:F384)</f>
        <v>7297220651</v>
      </c>
      <c r="U384" s="124">
        <f>SUM(J380:J384)</f>
        <v>21077735.8390311</v>
      </c>
      <c r="W384" s="124">
        <f t="shared" si="80"/>
        <v>19520213.0548824</v>
      </c>
      <c r="X384">
        <f t="shared" si="77"/>
        <v>0</v>
      </c>
    </row>
    <row r="385" spans="1:24">
      <c r="A385" s="23" t="s">
        <v>410</v>
      </c>
      <c r="B385" s="35" t="s">
        <v>411</v>
      </c>
      <c r="C385" s="97">
        <v>758</v>
      </c>
      <c r="D385" s="132">
        <v>61650264</v>
      </c>
      <c r="E385" s="116">
        <f t="shared" si="81"/>
        <v>81332.802110817938</v>
      </c>
      <c r="F385" s="134">
        <v>36664528</v>
      </c>
      <c r="G385" s="117">
        <f t="shared" si="82"/>
        <v>48370.089709762535</v>
      </c>
      <c r="H385" s="7"/>
      <c r="I385" s="136">
        <v>7.5</v>
      </c>
      <c r="J385" s="134">
        <v>274983.96000000002</v>
      </c>
      <c r="K385" s="120">
        <f t="shared" si="83"/>
        <v>362.775672823219</v>
      </c>
      <c r="L385" s="122">
        <f t="shared" si="74"/>
        <v>366645.28</v>
      </c>
      <c r="M385" s="116">
        <f t="shared" si="75"/>
        <v>91661.32</v>
      </c>
      <c r="N385" s="123">
        <f t="shared" si="76"/>
        <v>120.92522427440635</v>
      </c>
      <c r="O385" s="5"/>
      <c r="P385" s="5">
        <f t="shared" si="78"/>
        <v>1</v>
      </c>
      <c r="Q385" s="7">
        <f t="shared" si="79"/>
        <v>758</v>
      </c>
      <c r="W385" s="124">
        <f t="shared" si="80"/>
        <v>274983.95999999996</v>
      </c>
      <c r="X385">
        <f t="shared" si="77"/>
        <v>0</v>
      </c>
    </row>
    <row r="386" spans="1:24">
      <c r="A386" s="23" t="s">
        <v>412</v>
      </c>
      <c r="B386" s="35" t="s">
        <v>411</v>
      </c>
      <c r="C386" s="97">
        <v>6962</v>
      </c>
      <c r="D386" s="132">
        <v>535200297</v>
      </c>
      <c r="E386" s="116">
        <f t="shared" si="81"/>
        <v>76874.504021832807</v>
      </c>
      <c r="F386" s="134">
        <v>347371351</v>
      </c>
      <c r="G386" s="117">
        <f t="shared" si="82"/>
        <v>49895.339126687737</v>
      </c>
      <c r="H386" s="7"/>
      <c r="I386" s="136">
        <v>9.2622999999999998</v>
      </c>
      <c r="J386" s="134">
        <v>3217457.6643673</v>
      </c>
      <c r="K386" s="120">
        <f t="shared" si="83"/>
        <v>462.14559959311981</v>
      </c>
      <c r="L386" s="122">
        <f t="shared" si="74"/>
        <v>3473713.5100000002</v>
      </c>
      <c r="M386" s="116">
        <f t="shared" si="75"/>
        <v>256255.84563270025</v>
      </c>
      <c r="N386" s="123">
        <f t="shared" si="76"/>
        <v>36.807791673757578</v>
      </c>
      <c r="O386" s="5"/>
      <c r="P386" s="5">
        <f t="shared" si="78"/>
        <v>1</v>
      </c>
      <c r="Q386" s="7">
        <f t="shared" si="79"/>
        <v>6962</v>
      </c>
      <c r="S386" s="124">
        <f>SUM(D385:D386)</f>
        <v>596850561</v>
      </c>
      <c r="T386" s="124">
        <f>SUM(F385:F386)</f>
        <v>384035879</v>
      </c>
      <c r="U386" s="124">
        <f>SUM(J385:J386)</f>
        <v>3492441.6243673</v>
      </c>
      <c r="W386" s="124">
        <f t="shared" si="80"/>
        <v>3217457.6643673</v>
      </c>
      <c r="X386">
        <f t="shared" si="77"/>
        <v>0</v>
      </c>
    </row>
    <row r="387" spans="1:24">
      <c r="A387" s="23" t="s">
        <v>413</v>
      </c>
      <c r="B387" s="35" t="s">
        <v>414</v>
      </c>
      <c r="C387" s="97">
        <v>7062</v>
      </c>
      <c r="D387" s="132">
        <v>658278955</v>
      </c>
      <c r="E387" s="116">
        <f t="shared" si="81"/>
        <v>93214.238884168793</v>
      </c>
      <c r="F387" s="134">
        <v>363071919</v>
      </c>
      <c r="G387" s="117">
        <f t="shared" si="82"/>
        <v>51412.053101104502</v>
      </c>
      <c r="H387" s="9"/>
      <c r="I387" s="136">
        <v>5.8335999999999997</v>
      </c>
      <c r="J387" s="134">
        <v>2118016.3466783999</v>
      </c>
      <c r="K387" s="120">
        <f t="shared" si="83"/>
        <v>299.91735297060325</v>
      </c>
      <c r="L387" s="122">
        <f t="shared" si="74"/>
        <v>3630719.19</v>
      </c>
      <c r="M387" s="116">
        <f t="shared" si="75"/>
        <v>1512702.8433216</v>
      </c>
      <c r="N387" s="123">
        <f t="shared" si="76"/>
        <v>214.2031780404418</v>
      </c>
      <c r="O387" s="5"/>
      <c r="P387" s="5">
        <f t="shared" si="78"/>
        <v>1</v>
      </c>
      <c r="Q387" s="7">
        <f t="shared" si="79"/>
        <v>7062</v>
      </c>
      <c r="S387" s="124">
        <f>SUM(D387)</f>
        <v>658278955</v>
      </c>
      <c r="T387" s="124">
        <f>SUM(F387)</f>
        <v>363071919</v>
      </c>
      <c r="U387" s="124">
        <f>SUM(J387)</f>
        <v>2118016.3466783999</v>
      </c>
      <c r="W387" s="124">
        <f t="shared" si="80"/>
        <v>2118016.3466783999</v>
      </c>
      <c r="X387">
        <f t="shared" si="77"/>
        <v>0</v>
      </c>
    </row>
    <row r="388" spans="1:24">
      <c r="A388" s="23" t="s">
        <v>415</v>
      </c>
      <c r="B388" s="35" t="s">
        <v>416</v>
      </c>
      <c r="C388" s="97">
        <v>1979</v>
      </c>
      <c r="D388" s="132">
        <v>105801634</v>
      </c>
      <c r="E388" s="116">
        <f t="shared" si="81"/>
        <v>53462.169782718542</v>
      </c>
      <c r="F388" s="134">
        <v>50421610</v>
      </c>
      <c r="G388" s="117">
        <f t="shared" si="82"/>
        <v>25478.327438100052</v>
      </c>
      <c r="H388" s="9"/>
      <c r="I388" s="136">
        <v>3.25</v>
      </c>
      <c r="J388" s="134">
        <v>163870.23250000001</v>
      </c>
      <c r="K388" s="120">
        <f t="shared" si="83"/>
        <v>82.80456417382517</v>
      </c>
      <c r="L388" s="122">
        <f t="shared" si="74"/>
        <v>504216.10000000003</v>
      </c>
      <c r="M388" s="116">
        <f t="shared" si="75"/>
        <v>340345.86750000005</v>
      </c>
      <c r="N388" s="123">
        <f t="shared" si="76"/>
        <v>171.97871020717537</v>
      </c>
      <c r="O388" s="5"/>
      <c r="P388" s="5">
        <f t="shared" si="78"/>
        <v>1</v>
      </c>
      <c r="Q388" s="7">
        <f t="shared" si="79"/>
        <v>1979</v>
      </c>
      <c r="W388" s="124">
        <f t="shared" si="80"/>
        <v>163870.23249999998</v>
      </c>
      <c r="X388">
        <f t="shared" si="77"/>
        <v>0</v>
      </c>
    </row>
    <row r="389" spans="1:24">
      <c r="A389" s="23" t="s">
        <v>417</v>
      </c>
      <c r="B389" s="35" t="s">
        <v>416</v>
      </c>
      <c r="C389" s="97">
        <v>236</v>
      </c>
      <c r="D389" s="147" t="s">
        <v>564</v>
      </c>
      <c r="E389" s="116"/>
      <c r="F389" s="134"/>
      <c r="G389" s="117"/>
      <c r="H389" s="98" t="s">
        <v>588</v>
      </c>
      <c r="I389" s="136"/>
      <c r="J389" s="134"/>
      <c r="K389" s="120"/>
      <c r="L389" s="122">
        <f t="shared" si="74"/>
        <v>0</v>
      </c>
      <c r="M389" s="116">
        <f t="shared" si="75"/>
        <v>0</v>
      </c>
      <c r="N389" s="123">
        <f t="shared" si="76"/>
        <v>0</v>
      </c>
      <c r="O389" s="5"/>
      <c r="P389" s="5">
        <f t="shared" si="78"/>
        <v>0</v>
      </c>
      <c r="Q389" s="7">
        <f t="shared" si="79"/>
        <v>0</v>
      </c>
      <c r="W389" s="124">
        <f t="shared" si="80"/>
        <v>0</v>
      </c>
      <c r="X389">
        <f t="shared" si="77"/>
        <v>0</v>
      </c>
    </row>
    <row r="390" spans="1:24">
      <c r="A390" s="23" t="s">
        <v>418</v>
      </c>
      <c r="B390" s="35" t="s">
        <v>416</v>
      </c>
      <c r="C390" s="97">
        <v>451</v>
      </c>
      <c r="D390" s="132">
        <v>19568665</v>
      </c>
      <c r="E390" s="116">
        <f t="shared" ref="E390:E406" si="84">(D390/C390)</f>
        <v>43389.501108647448</v>
      </c>
      <c r="F390" s="134">
        <v>11293099</v>
      </c>
      <c r="G390" s="117">
        <f t="shared" ref="G390:G406" si="85">(F390/C390)</f>
        <v>25040.130820399114</v>
      </c>
      <c r="H390" s="98"/>
      <c r="I390" s="150">
        <v>1.9235</v>
      </c>
      <c r="J390" s="134">
        <v>21722.275926499999</v>
      </c>
      <c r="K390" s="120">
        <f t="shared" si="83"/>
        <v>48.164691633037691</v>
      </c>
      <c r="L390" s="122">
        <f t="shared" ref="L390:L416" si="86">(F390*0.01)</f>
        <v>112930.99</v>
      </c>
      <c r="M390" s="116">
        <f t="shared" ref="M390:M416" si="87">(L390-J390)</f>
        <v>91208.714073500014</v>
      </c>
      <c r="N390" s="123">
        <f t="shared" ref="N390:N416" si="88">(M390/C390)</f>
        <v>202.23661657095346</v>
      </c>
      <c r="O390" s="5"/>
      <c r="P390" s="5">
        <f t="shared" si="78"/>
        <v>1</v>
      </c>
      <c r="Q390" s="7">
        <f t="shared" si="79"/>
        <v>451</v>
      </c>
      <c r="S390" s="124">
        <f>SUM(D388:D390)</f>
        <v>125370299</v>
      </c>
      <c r="T390" s="124">
        <f>SUM(F388:F390)</f>
        <v>61714709</v>
      </c>
      <c r="U390" s="124">
        <f>SUM(J388:J390)</f>
        <v>185592.50842650002</v>
      </c>
      <c r="W390" s="124">
        <f t="shared" si="80"/>
        <v>21722.275926500002</v>
      </c>
      <c r="X390">
        <f t="shared" si="77"/>
        <v>0</v>
      </c>
    </row>
    <row r="391" spans="1:24">
      <c r="A391" s="23" t="s">
        <v>419</v>
      </c>
      <c r="B391" s="35" t="s">
        <v>420</v>
      </c>
      <c r="C391" s="97">
        <v>84891</v>
      </c>
      <c r="D391" s="132">
        <v>15536089137</v>
      </c>
      <c r="E391" s="116">
        <f t="shared" si="84"/>
        <v>183012.20549881613</v>
      </c>
      <c r="F391" s="134">
        <v>9495072003</v>
      </c>
      <c r="G391" s="117">
        <f t="shared" si="85"/>
        <v>111850.16082976994</v>
      </c>
      <c r="H391" s="7"/>
      <c r="I391" s="136">
        <v>5.93</v>
      </c>
      <c r="J391" s="134">
        <v>56305776.977789998</v>
      </c>
      <c r="K391" s="120">
        <f t="shared" ref="K391:K406" si="89">(J391/C391)</f>
        <v>663.27145372053576</v>
      </c>
      <c r="L391" s="122">
        <f t="shared" si="86"/>
        <v>94950720.030000001</v>
      </c>
      <c r="M391" s="116">
        <f t="shared" si="87"/>
        <v>38644943.052210003</v>
      </c>
      <c r="N391" s="123">
        <f t="shared" si="88"/>
        <v>455.23015457716372</v>
      </c>
      <c r="O391" s="5"/>
      <c r="P391" s="5">
        <f t="shared" si="78"/>
        <v>1</v>
      </c>
      <c r="Q391" s="7">
        <f t="shared" si="79"/>
        <v>84891</v>
      </c>
      <c r="W391" s="124">
        <f t="shared" si="80"/>
        <v>56305776.977789998</v>
      </c>
      <c r="X391">
        <f t="shared" ref="X391:X416" si="90">IF(W391=J391,0,1)</f>
        <v>0</v>
      </c>
    </row>
    <row r="392" spans="1:24">
      <c r="A392" s="23" t="s">
        <v>421</v>
      </c>
      <c r="B392" s="35" t="s">
        <v>420</v>
      </c>
      <c r="C392" s="97">
        <v>5251</v>
      </c>
      <c r="D392" s="132">
        <v>2843517328</v>
      </c>
      <c r="E392" s="116">
        <f t="shared" si="84"/>
        <v>541519.20167587127</v>
      </c>
      <c r="F392" s="134">
        <v>2232243776</v>
      </c>
      <c r="G392" s="117">
        <f t="shared" si="85"/>
        <v>425108.31765378022</v>
      </c>
      <c r="H392" s="7"/>
      <c r="I392" s="136">
        <v>4.5880000000000001</v>
      </c>
      <c r="J392" s="134">
        <v>10241534.444288</v>
      </c>
      <c r="K392" s="120">
        <f t="shared" si="89"/>
        <v>1950.3969613955437</v>
      </c>
      <c r="L392" s="122">
        <f t="shared" si="86"/>
        <v>22322437.760000002</v>
      </c>
      <c r="M392" s="116">
        <f t="shared" si="87"/>
        <v>12080903.315712001</v>
      </c>
      <c r="N392" s="123">
        <f t="shared" si="88"/>
        <v>2300.6862151422588</v>
      </c>
      <c r="O392" s="5"/>
      <c r="P392" s="5">
        <f t="shared" ref="P392:P416" si="91">IF(I392&gt;0,1,0)</f>
        <v>1</v>
      </c>
      <c r="Q392" s="7">
        <f t="shared" ref="Q392:Q416" si="92">IF(I392&gt;0,C392,0)</f>
        <v>5251</v>
      </c>
      <c r="W392" s="124">
        <f t="shared" ref="W392:W416" si="93">F392*(I392/1000)</f>
        <v>10241534.444288</v>
      </c>
      <c r="X392">
        <f t="shared" si="90"/>
        <v>0</v>
      </c>
    </row>
    <row r="393" spans="1:24">
      <c r="A393" s="23" t="s">
        <v>462</v>
      </c>
      <c r="B393" s="35" t="s">
        <v>420</v>
      </c>
      <c r="C393" s="97">
        <v>24009</v>
      </c>
      <c r="D393" s="132">
        <v>5035455956</v>
      </c>
      <c r="E393" s="116">
        <f t="shared" si="84"/>
        <v>209732.01532758548</v>
      </c>
      <c r="F393" s="134">
        <v>3176978289</v>
      </c>
      <c r="G393" s="117">
        <f t="shared" si="85"/>
        <v>132324.47369736349</v>
      </c>
      <c r="H393" s="7"/>
      <c r="I393" s="136">
        <v>3.4</v>
      </c>
      <c r="J393" s="134">
        <v>10801726.182600001</v>
      </c>
      <c r="K393" s="120">
        <f t="shared" si="89"/>
        <v>449.90321057103591</v>
      </c>
      <c r="L393" s="122">
        <f t="shared" si="86"/>
        <v>31769782.890000001</v>
      </c>
      <c r="M393" s="116">
        <f t="shared" si="87"/>
        <v>20968056.707400002</v>
      </c>
      <c r="N393" s="123">
        <f t="shared" si="88"/>
        <v>873.34152640259913</v>
      </c>
      <c r="O393" s="5"/>
      <c r="P393" s="5">
        <f t="shared" si="91"/>
        <v>1</v>
      </c>
      <c r="Q393" s="7">
        <f t="shared" si="92"/>
        <v>24009</v>
      </c>
      <c r="W393" s="124">
        <f t="shared" si="93"/>
        <v>10801726.182599999</v>
      </c>
      <c r="X393">
        <f t="shared" si="90"/>
        <v>0</v>
      </c>
    </row>
    <row r="394" spans="1:24">
      <c r="A394" s="23" t="s">
        <v>463</v>
      </c>
      <c r="B394" s="35" t="s">
        <v>420</v>
      </c>
      <c r="C394" s="97">
        <v>43185</v>
      </c>
      <c r="D394" s="132">
        <v>6048658833</v>
      </c>
      <c r="E394" s="116">
        <f t="shared" si="84"/>
        <v>140063.88405696422</v>
      </c>
      <c r="F394" s="134">
        <v>3489511196</v>
      </c>
      <c r="G394" s="117">
        <f t="shared" si="85"/>
        <v>80803.778997337038</v>
      </c>
      <c r="H394" s="7"/>
      <c r="I394" s="136">
        <v>6.2840999999999996</v>
      </c>
      <c r="J394" s="134">
        <v>21928437.306783602</v>
      </c>
      <c r="K394" s="120">
        <f t="shared" si="89"/>
        <v>507.77902759716574</v>
      </c>
      <c r="L394" s="122">
        <f t="shared" si="86"/>
        <v>34895111.960000001</v>
      </c>
      <c r="M394" s="116">
        <f t="shared" si="87"/>
        <v>12966674.653216399</v>
      </c>
      <c r="N394" s="123">
        <f t="shared" si="88"/>
        <v>300.25876237620469</v>
      </c>
      <c r="O394" s="5"/>
      <c r="P394" s="5">
        <f t="shared" si="91"/>
        <v>1</v>
      </c>
      <c r="Q394" s="7">
        <f t="shared" si="92"/>
        <v>43185</v>
      </c>
      <c r="W394" s="124">
        <f t="shared" si="93"/>
        <v>21928437.306783598</v>
      </c>
      <c r="X394">
        <f t="shared" si="90"/>
        <v>0</v>
      </c>
    </row>
    <row r="395" spans="1:24">
      <c r="A395" s="23" t="s">
        <v>422</v>
      </c>
      <c r="B395" s="35" t="s">
        <v>420</v>
      </c>
      <c r="C395" s="97">
        <v>98312</v>
      </c>
      <c r="D395" s="132">
        <v>10911951568</v>
      </c>
      <c r="E395" s="116">
        <f t="shared" si="84"/>
        <v>110993.07885100496</v>
      </c>
      <c r="F395" s="134">
        <v>5145309869</v>
      </c>
      <c r="G395" s="117">
        <f t="shared" si="85"/>
        <v>52336.539476360973</v>
      </c>
      <c r="H395" s="7"/>
      <c r="I395" s="136">
        <v>7</v>
      </c>
      <c r="J395" s="134">
        <v>36017169.082999997</v>
      </c>
      <c r="K395" s="120">
        <f t="shared" si="89"/>
        <v>366.35577633452681</v>
      </c>
      <c r="L395" s="122">
        <f t="shared" si="86"/>
        <v>51453098.689999998</v>
      </c>
      <c r="M395" s="116">
        <f t="shared" si="87"/>
        <v>15435929.607000001</v>
      </c>
      <c r="N395" s="123">
        <f t="shared" si="88"/>
        <v>157.00961842908293</v>
      </c>
      <c r="O395" s="5"/>
      <c r="P395" s="5">
        <f t="shared" si="91"/>
        <v>1</v>
      </c>
      <c r="Q395" s="7">
        <f t="shared" si="92"/>
        <v>98312</v>
      </c>
      <c r="W395" s="124">
        <f t="shared" si="93"/>
        <v>36017169.083000004</v>
      </c>
      <c r="X395">
        <f t="shared" si="90"/>
        <v>0</v>
      </c>
    </row>
    <row r="396" spans="1:24">
      <c r="A396" s="23" t="s">
        <v>423</v>
      </c>
      <c r="B396" s="35" t="s">
        <v>420</v>
      </c>
      <c r="C396" s="97">
        <v>24981</v>
      </c>
      <c r="D396" s="132">
        <v>3573163967</v>
      </c>
      <c r="E396" s="116">
        <f t="shared" si="84"/>
        <v>143035.26548176614</v>
      </c>
      <c r="F396" s="134">
        <v>1978694706</v>
      </c>
      <c r="G396" s="117">
        <f t="shared" si="85"/>
        <v>79207.98630959529</v>
      </c>
      <c r="H396" s="7"/>
      <c r="I396" s="136">
        <v>6.33</v>
      </c>
      <c r="J396" s="134">
        <v>12525137.488979999</v>
      </c>
      <c r="K396" s="120">
        <f t="shared" si="89"/>
        <v>501.38655333973816</v>
      </c>
      <c r="L396" s="122">
        <f t="shared" si="86"/>
        <v>19786947.059999999</v>
      </c>
      <c r="M396" s="116">
        <f t="shared" si="87"/>
        <v>7261809.5710199997</v>
      </c>
      <c r="N396" s="123">
        <f t="shared" si="88"/>
        <v>290.69330975621472</v>
      </c>
      <c r="O396" s="5"/>
      <c r="P396" s="5">
        <f t="shared" si="91"/>
        <v>1</v>
      </c>
      <c r="Q396" s="7">
        <f t="shared" si="92"/>
        <v>24981</v>
      </c>
      <c r="W396" s="124">
        <f t="shared" si="93"/>
        <v>12525137.488979999</v>
      </c>
      <c r="X396">
        <f t="shared" si="90"/>
        <v>0</v>
      </c>
    </row>
    <row r="397" spans="1:24">
      <c r="A397" s="23" t="s">
        <v>424</v>
      </c>
      <c r="B397" s="35" t="s">
        <v>420</v>
      </c>
      <c r="C397" s="97">
        <v>13008</v>
      </c>
      <c r="D397" s="132">
        <v>1500719986</v>
      </c>
      <c r="E397" s="116">
        <f t="shared" si="84"/>
        <v>115369.00261377613</v>
      </c>
      <c r="F397" s="134">
        <v>997479729</v>
      </c>
      <c r="G397" s="117">
        <f t="shared" si="85"/>
        <v>76682.020987084878</v>
      </c>
      <c r="H397" s="7"/>
      <c r="I397" s="136">
        <v>5.8</v>
      </c>
      <c r="J397" s="134">
        <v>5785382.4282</v>
      </c>
      <c r="K397" s="120">
        <f t="shared" si="89"/>
        <v>444.75572172509226</v>
      </c>
      <c r="L397" s="122">
        <f t="shared" si="86"/>
        <v>9974797.290000001</v>
      </c>
      <c r="M397" s="116">
        <f t="shared" si="87"/>
        <v>4189414.861800001</v>
      </c>
      <c r="N397" s="123">
        <f t="shared" si="88"/>
        <v>322.06448814575651</v>
      </c>
      <c r="O397" s="5"/>
      <c r="P397" s="5">
        <f t="shared" si="91"/>
        <v>1</v>
      </c>
      <c r="Q397" s="7">
        <f t="shared" si="92"/>
        <v>13008</v>
      </c>
      <c r="W397" s="124">
        <f t="shared" si="93"/>
        <v>5785382.4282</v>
      </c>
      <c r="X397">
        <f t="shared" si="90"/>
        <v>0</v>
      </c>
    </row>
    <row r="398" spans="1:24">
      <c r="A398" s="23" t="s">
        <v>425</v>
      </c>
      <c r="B398" s="35" t="s">
        <v>420</v>
      </c>
      <c r="C398" s="97">
        <v>3034</v>
      </c>
      <c r="D398" s="132">
        <v>408372950</v>
      </c>
      <c r="E398" s="116">
        <f t="shared" si="84"/>
        <v>134598.86288727753</v>
      </c>
      <c r="F398" s="134">
        <v>196941102</v>
      </c>
      <c r="G398" s="117">
        <f t="shared" si="85"/>
        <v>64911.371786420568</v>
      </c>
      <c r="H398" s="7"/>
      <c r="I398" s="136">
        <v>7.25</v>
      </c>
      <c r="J398" s="134">
        <v>1427822.9894999999</v>
      </c>
      <c r="K398" s="120">
        <f t="shared" si="89"/>
        <v>470.6074454515491</v>
      </c>
      <c r="L398" s="122">
        <f t="shared" si="86"/>
        <v>1969411.02</v>
      </c>
      <c r="M398" s="116">
        <f t="shared" si="87"/>
        <v>541588.03050000011</v>
      </c>
      <c r="N398" s="123">
        <f t="shared" si="88"/>
        <v>178.50627241265659</v>
      </c>
      <c r="O398" s="5"/>
      <c r="P398" s="5">
        <f t="shared" si="91"/>
        <v>1</v>
      </c>
      <c r="Q398" s="7">
        <f t="shared" si="92"/>
        <v>3034</v>
      </c>
      <c r="W398" s="124">
        <f t="shared" si="93"/>
        <v>1427822.9895000001</v>
      </c>
      <c r="X398">
        <f t="shared" si="90"/>
        <v>0</v>
      </c>
    </row>
    <row r="399" spans="1:24">
      <c r="A399" s="23" t="s">
        <v>426</v>
      </c>
      <c r="B399" s="35" t="s">
        <v>420</v>
      </c>
      <c r="C399" s="97">
        <v>32542</v>
      </c>
      <c r="D399" s="132">
        <v>11274623893</v>
      </c>
      <c r="E399" s="116">
        <f t="shared" si="84"/>
        <v>346463.76660930488</v>
      </c>
      <c r="F399" s="134">
        <v>7024211214</v>
      </c>
      <c r="G399" s="117">
        <f t="shared" si="85"/>
        <v>215850.63038534817</v>
      </c>
      <c r="H399" s="7"/>
      <c r="I399" s="136">
        <v>4.6369999999999996</v>
      </c>
      <c r="J399" s="134">
        <v>32571267.399317998</v>
      </c>
      <c r="K399" s="120">
        <f t="shared" si="89"/>
        <v>1000.8993730968594</v>
      </c>
      <c r="L399" s="122">
        <f t="shared" si="86"/>
        <v>70242112.140000001</v>
      </c>
      <c r="M399" s="116">
        <f t="shared" si="87"/>
        <v>37670844.740682006</v>
      </c>
      <c r="N399" s="123">
        <f t="shared" si="88"/>
        <v>1157.6069307566224</v>
      </c>
      <c r="O399" s="5"/>
      <c r="P399" s="5">
        <f t="shared" si="91"/>
        <v>1</v>
      </c>
      <c r="Q399" s="7">
        <f t="shared" si="92"/>
        <v>32542</v>
      </c>
      <c r="W399" s="124">
        <f t="shared" si="93"/>
        <v>32571267.399317998</v>
      </c>
      <c r="X399">
        <f t="shared" si="90"/>
        <v>0</v>
      </c>
    </row>
    <row r="400" spans="1:24">
      <c r="A400" s="23" t="s">
        <v>427</v>
      </c>
      <c r="B400" s="35" t="s">
        <v>420</v>
      </c>
      <c r="C400" s="97">
        <v>2103</v>
      </c>
      <c r="D400" s="132">
        <v>423941035</v>
      </c>
      <c r="E400" s="116">
        <f t="shared" si="84"/>
        <v>201588.69947693771</v>
      </c>
      <c r="F400" s="134">
        <v>212992503</v>
      </c>
      <c r="G400" s="117">
        <f t="shared" si="85"/>
        <v>101280.31526390871</v>
      </c>
      <c r="H400" s="7"/>
      <c r="I400" s="136">
        <v>5.6820000000000004</v>
      </c>
      <c r="J400" s="134">
        <v>1210223.4020460001</v>
      </c>
      <c r="K400" s="120">
        <f t="shared" si="89"/>
        <v>575.47475132952934</v>
      </c>
      <c r="L400" s="122">
        <f t="shared" si="86"/>
        <v>2129925.0300000003</v>
      </c>
      <c r="M400" s="116">
        <f t="shared" si="87"/>
        <v>919701.62795400014</v>
      </c>
      <c r="N400" s="123">
        <f t="shared" si="88"/>
        <v>437.32840130955782</v>
      </c>
      <c r="O400" s="5"/>
      <c r="P400" s="5">
        <f t="shared" si="91"/>
        <v>1</v>
      </c>
      <c r="Q400" s="7">
        <f t="shared" si="92"/>
        <v>2103</v>
      </c>
      <c r="W400" s="124">
        <f t="shared" si="93"/>
        <v>1210223.4020460001</v>
      </c>
      <c r="X400">
        <f t="shared" si="90"/>
        <v>0</v>
      </c>
    </row>
    <row r="401" spans="1:24">
      <c r="A401" s="23" t="s">
        <v>428</v>
      </c>
      <c r="B401" s="35" t="s">
        <v>420</v>
      </c>
      <c r="C401" s="97">
        <v>14866</v>
      </c>
      <c r="D401" s="132">
        <v>2091783066</v>
      </c>
      <c r="E401" s="116">
        <f t="shared" si="84"/>
        <v>140709.20664603793</v>
      </c>
      <c r="F401" s="134">
        <v>1284077079</v>
      </c>
      <c r="G401" s="117">
        <f t="shared" si="85"/>
        <v>86376.771088389607</v>
      </c>
      <c r="H401" s="7"/>
      <c r="I401" s="136">
        <v>6.8691000000000004</v>
      </c>
      <c r="J401" s="134">
        <v>8820453.8633589</v>
      </c>
      <c r="K401" s="120">
        <f t="shared" si="89"/>
        <v>593.33067828325704</v>
      </c>
      <c r="L401" s="122">
        <f t="shared" si="86"/>
        <v>12840770.790000001</v>
      </c>
      <c r="M401" s="116">
        <f t="shared" si="87"/>
        <v>4020316.926641101</v>
      </c>
      <c r="N401" s="123">
        <f t="shared" si="88"/>
        <v>270.4370326006391</v>
      </c>
      <c r="O401" s="5"/>
      <c r="P401" s="5">
        <f t="shared" si="91"/>
        <v>1</v>
      </c>
      <c r="Q401" s="7">
        <f t="shared" si="92"/>
        <v>14866</v>
      </c>
      <c r="W401" s="124">
        <f t="shared" si="93"/>
        <v>8820453.8633589</v>
      </c>
      <c r="X401">
        <f t="shared" si="90"/>
        <v>0</v>
      </c>
    </row>
    <row r="402" spans="1:24">
      <c r="A402" s="23" t="s">
        <v>429</v>
      </c>
      <c r="B402" s="35" t="s">
        <v>420</v>
      </c>
      <c r="C402" s="97">
        <v>45140</v>
      </c>
      <c r="D402" s="132">
        <v>8788379132</v>
      </c>
      <c r="E402" s="116">
        <f t="shared" si="84"/>
        <v>194691.60682321666</v>
      </c>
      <c r="F402" s="134">
        <v>5516522611</v>
      </c>
      <c r="G402" s="117">
        <f t="shared" si="85"/>
        <v>122209.18500221532</v>
      </c>
      <c r="H402" s="7"/>
      <c r="I402" s="136">
        <v>4.0960000000000001</v>
      </c>
      <c r="J402" s="134">
        <v>22595676.614656001</v>
      </c>
      <c r="K402" s="120">
        <f t="shared" si="89"/>
        <v>500.56882176907402</v>
      </c>
      <c r="L402" s="122">
        <f t="shared" si="86"/>
        <v>55165226.109999999</v>
      </c>
      <c r="M402" s="116">
        <f t="shared" si="87"/>
        <v>32569549.495343998</v>
      </c>
      <c r="N402" s="123">
        <f t="shared" si="88"/>
        <v>721.52302825307925</v>
      </c>
      <c r="O402" s="5"/>
      <c r="P402" s="5">
        <f t="shared" si="91"/>
        <v>1</v>
      </c>
      <c r="Q402" s="7">
        <f t="shared" si="92"/>
        <v>45140</v>
      </c>
      <c r="W402" s="124">
        <f t="shared" si="93"/>
        <v>22595676.614655998</v>
      </c>
      <c r="X402">
        <f t="shared" si="90"/>
        <v>0</v>
      </c>
    </row>
    <row r="403" spans="1:24">
      <c r="A403" s="23" t="s">
        <v>430</v>
      </c>
      <c r="B403" s="35" t="s">
        <v>420</v>
      </c>
      <c r="C403" s="97">
        <v>1561</v>
      </c>
      <c r="D403" s="132">
        <v>234645517</v>
      </c>
      <c r="E403" s="116">
        <f t="shared" si="84"/>
        <v>150317.43561819347</v>
      </c>
      <c r="F403" s="134">
        <v>90112382</v>
      </c>
      <c r="G403" s="117">
        <f t="shared" si="85"/>
        <v>57727.34272901986</v>
      </c>
      <c r="H403" s="7"/>
      <c r="I403" s="136">
        <v>5.2439</v>
      </c>
      <c r="J403" s="134">
        <v>472540.31996980001</v>
      </c>
      <c r="K403" s="120">
        <f t="shared" si="89"/>
        <v>302.71641253670725</v>
      </c>
      <c r="L403" s="122">
        <f t="shared" si="86"/>
        <v>901123.82000000007</v>
      </c>
      <c r="M403" s="116">
        <f t="shared" si="87"/>
        <v>428583.50003020006</v>
      </c>
      <c r="N403" s="123">
        <f t="shared" si="88"/>
        <v>274.55701475349139</v>
      </c>
      <c r="O403" s="5"/>
      <c r="P403" s="5">
        <f t="shared" si="91"/>
        <v>1</v>
      </c>
      <c r="Q403" s="7">
        <f t="shared" si="92"/>
        <v>1561</v>
      </c>
      <c r="W403" s="124">
        <f t="shared" si="93"/>
        <v>472540.31996980001</v>
      </c>
      <c r="X403">
        <f t="shared" si="90"/>
        <v>0</v>
      </c>
    </row>
    <row r="404" spans="1:24">
      <c r="A404" s="23" t="s">
        <v>431</v>
      </c>
      <c r="B404" s="35" t="s">
        <v>420</v>
      </c>
      <c r="C404" s="97">
        <v>3428</v>
      </c>
      <c r="D404" s="132">
        <v>1958904371</v>
      </c>
      <c r="E404" s="116">
        <f t="shared" si="84"/>
        <v>571442.34859976661</v>
      </c>
      <c r="F404" s="134">
        <v>1334495234</v>
      </c>
      <c r="G404" s="117">
        <f t="shared" si="85"/>
        <v>389292.65869311552</v>
      </c>
      <c r="H404" s="7"/>
      <c r="I404" s="136">
        <v>6.4558999999999997</v>
      </c>
      <c r="J404" s="134">
        <v>8615367.7811805997</v>
      </c>
      <c r="K404" s="120">
        <f t="shared" si="89"/>
        <v>2513.2344752568843</v>
      </c>
      <c r="L404" s="122">
        <f t="shared" si="86"/>
        <v>13344952.34</v>
      </c>
      <c r="M404" s="116">
        <f t="shared" si="87"/>
        <v>4729584.5588194001</v>
      </c>
      <c r="N404" s="123">
        <f t="shared" si="88"/>
        <v>1379.6921116742708</v>
      </c>
      <c r="O404" s="5"/>
      <c r="P404" s="5">
        <f t="shared" si="91"/>
        <v>1</v>
      </c>
      <c r="Q404" s="7">
        <f t="shared" si="92"/>
        <v>3428</v>
      </c>
      <c r="W404" s="124">
        <f t="shared" si="93"/>
        <v>8615367.7811805997</v>
      </c>
      <c r="X404">
        <f t="shared" si="90"/>
        <v>0</v>
      </c>
    </row>
    <row r="405" spans="1:24">
      <c r="A405" s="23" t="s">
        <v>432</v>
      </c>
      <c r="B405" s="35" t="s">
        <v>420</v>
      </c>
      <c r="C405" s="97">
        <v>65670</v>
      </c>
      <c r="D405" s="132">
        <v>9331135305</v>
      </c>
      <c r="E405" s="116">
        <f t="shared" si="84"/>
        <v>142091.29442667885</v>
      </c>
      <c r="F405" s="134">
        <v>5512602467</v>
      </c>
      <c r="G405" s="117">
        <f t="shared" si="85"/>
        <v>83943.999802040504</v>
      </c>
      <c r="H405" s="7"/>
      <c r="I405" s="136">
        <v>4.9749999999999996</v>
      </c>
      <c r="J405" s="134">
        <v>27425197.273324996</v>
      </c>
      <c r="K405" s="120">
        <f t="shared" si="89"/>
        <v>417.62139901515144</v>
      </c>
      <c r="L405" s="122">
        <f t="shared" si="86"/>
        <v>55126024.670000002</v>
      </c>
      <c r="M405" s="116">
        <f t="shared" si="87"/>
        <v>27700827.396675006</v>
      </c>
      <c r="N405" s="123">
        <f t="shared" si="88"/>
        <v>421.81859900525365</v>
      </c>
      <c r="O405" s="5"/>
      <c r="P405" s="5">
        <f t="shared" si="91"/>
        <v>1</v>
      </c>
      <c r="Q405" s="7">
        <f t="shared" si="92"/>
        <v>65670</v>
      </c>
      <c r="W405" s="124">
        <f t="shared" si="93"/>
        <v>27425197.273324996</v>
      </c>
      <c r="X405">
        <f t="shared" si="90"/>
        <v>0</v>
      </c>
    </row>
    <row r="406" spans="1:24">
      <c r="A406" s="23" t="s">
        <v>433</v>
      </c>
      <c r="B406" s="35" t="s">
        <v>420</v>
      </c>
      <c r="C406" s="97">
        <v>13493</v>
      </c>
      <c r="D406" s="132">
        <v>1664434085</v>
      </c>
      <c r="E406" s="116">
        <f t="shared" si="84"/>
        <v>123355.3757503891</v>
      </c>
      <c r="F406" s="134">
        <v>1014636812</v>
      </c>
      <c r="G406" s="117">
        <f t="shared" si="85"/>
        <v>75197.273549247751</v>
      </c>
      <c r="H406" s="9"/>
      <c r="I406" s="136">
        <v>7.75</v>
      </c>
      <c r="J406" s="134">
        <v>7863435.2929999996</v>
      </c>
      <c r="K406" s="120">
        <f t="shared" si="89"/>
        <v>582.7788700066701</v>
      </c>
      <c r="L406" s="122">
        <f t="shared" si="86"/>
        <v>10146368.120000001</v>
      </c>
      <c r="M406" s="116">
        <f t="shared" si="87"/>
        <v>2282932.8270000014</v>
      </c>
      <c r="N406" s="123">
        <f t="shared" si="88"/>
        <v>169.19386548580755</v>
      </c>
      <c r="O406" s="5"/>
      <c r="P406" s="5">
        <f t="shared" si="91"/>
        <v>1</v>
      </c>
      <c r="Q406" s="7">
        <f t="shared" si="92"/>
        <v>13493</v>
      </c>
      <c r="S406" s="124">
        <f>SUM(D391:D406)</f>
        <v>81625776129</v>
      </c>
      <c r="T406" s="124">
        <f>SUM(F391:F406)</f>
        <v>48701880972</v>
      </c>
      <c r="U406" s="124">
        <f>SUM(J391:J406)</f>
        <v>264607148.84799591</v>
      </c>
      <c r="W406" s="124">
        <f t="shared" si="93"/>
        <v>7863435.2929999996</v>
      </c>
      <c r="X406">
        <f t="shared" si="90"/>
        <v>0</v>
      </c>
    </row>
    <row r="407" spans="1:24">
      <c r="A407" s="23" t="s">
        <v>435</v>
      </c>
      <c r="B407" s="35" t="s">
        <v>434</v>
      </c>
      <c r="C407" s="97">
        <v>485</v>
      </c>
      <c r="D407" s="147" t="s">
        <v>564</v>
      </c>
      <c r="E407" s="116"/>
      <c r="F407" s="134"/>
      <c r="G407" s="117"/>
      <c r="H407" s="98" t="s">
        <v>588</v>
      </c>
      <c r="I407" s="136"/>
      <c r="J407" s="134"/>
      <c r="K407" s="120"/>
      <c r="L407" s="122">
        <f t="shared" si="86"/>
        <v>0</v>
      </c>
      <c r="M407" s="116">
        <f t="shared" si="87"/>
        <v>0</v>
      </c>
      <c r="N407" s="123">
        <f t="shared" si="88"/>
        <v>0</v>
      </c>
      <c r="O407" s="5"/>
      <c r="P407" s="5">
        <f t="shared" si="91"/>
        <v>0</v>
      </c>
      <c r="Q407" s="7">
        <f t="shared" si="92"/>
        <v>0</v>
      </c>
      <c r="W407" s="124">
        <f t="shared" si="93"/>
        <v>0</v>
      </c>
      <c r="X407">
        <f t="shared" si="90"/>
        <v>0</v>
      </c>
    </row>
    <row r="408" spans="1:24">
      <c r="A408" s="24" t="s">
        <v>555</v>
      </c>
      <c r="B408" s="35" t="s">
        <v>434</v>
      </c>
      <c r="C408" s="97">
        <v>331</v>
      </c>
      <c r="D408" s="132">
        <v>76683317</v>
      </c>
      <c r="E408" s="116">
        <f>(D408/C408)</f>
        <v>231671.65256797583</v>
      </c>
      <c r="F408" s="134">
        <v>40860494</v>
      </c>
      <c r="G408" s="117">
        <f>(F408/C408)</f>
        <v>123445.60120845921</v>
      </c>
      <c r="H408" s="9"/>
      <c r="I408" s="136">
        <v>5.6186999999999996</v>
      </c>
      <c r="J408" s="134">
        <v>229582.85763779999</v>
      </c>
      <c r="K408" s="120">
        <f>(J408/C408)</f>
        <v>693.60379950996969</v>
      </c>
      <c r="L408" s="122">
        <f t="shared" si="86"/>
        <v>408604.94</v>
      </c>
      <c r="M408" s="116">
        <f t="shared" si="87"/>
        <v>179022.08236220002</v>
      </c>
      <c r="N408" s="123">
        <f t="shared" si="88"/>
        <v>540.8522125746224</v>
      </c>
      <c r="O408" s="5"/>
      <c r="P408" s="5">
        <f t="shared" si="91"/>
        <v>1</v>
      </c>
      <c r="Q408" s="7">
        <f t="shared" si="92"/>
        <v>331</v>
      </c>
      <c r="S408" s="124">
        <f>SUM(D407:D408)</f>
        <v>76683317</v>
      </c>
      <c r="T408" s="124">
        <f>SUM(F407:F408)</f>
        <v>40860494</v>
      </c>
      <c r="U408" s="124">
        <f>SUM(J407:J408)</f>
        <v>229582.85763779999</v>
      </c>
      <c r="W408" s="124">
        <f t="shared" si="93"/>
        <v>229582.85763779999</v>
      </c>
      <c r="X408">
        <f t="shared" si="90"/>
        <v>0</v>
      </c>
    </row>
    <row r="409" spans="1:24">
      <c r="A409" s="23" t="s">
        <v>436</v>
      </c>
      <c r="B409" s="35" t="s">
        <v>437</v>
      </c>
      <c r="C409" s="97">
        <v>6216</v>
      </c>
      <c r="D409" s="132">
        <v>750849956</v>
      </c>
      <c r="E409" s="116">
        <f>(D409/C409)</f>
        <v>120793.10746460747</v>
      </c>
      <c r="F409" s="134">
        <v>441022465</v>
      </c>
      <c r="G409" s="117">
        <f>(F409/C409)</f>
        <v>70949.560006435</v>
      </c>
      <c r="H409" s="9"/>
      <c r="I409" s="150">
        <v>5.5</v>
      </c>
      <c r="J409" s="134">
        <v>2425623.5575000001</v>
      </c>
      <c r="K409" s="120">
        <f>(J409/C409)</f>
        <v>390.22258003539253</v>
      </c>
      <c r="L409" s="122">
        <f t="shared" si="86"/>
        <v>4410224.6500000004</v>
      </c>
      <c r="M409" s="116">
        <f t="shared" si="87"/>
        <v>1984601.0925000003</v>
      </c>
      <c r="N409" s="123">
        <f t="shared" si="88"/>
        <v>319.27302002895755</v>
      </c>
      <c r="O409" s="5"/>
      <c r="P409" s="5">
        <f t="shared" si="91"/>
        <v>1</v>
      </c>
      <c r="Q409" s="7">
        <f t="shared" si="92"/>
        <v>6216</v>
      </c>
      <c r="W409" s="124">
        <f t="shared" si="93"/>
        <v>2425623.5574999996</v>
      </c>
      <c r="X409">
        <f t="shared" si="90"/>
        <v>0</v>
      </c>
    </row>
    <row r="410" spans="1:24">
      <c r="A410" s="23" t="s">
        <v>438</v>
      </c>
      <c r="B410" s="35" t="s">
        <v>437</v>
      </c>
      <c r="C410" s="97">
        <v>9857</v>
      </c>
      <c r="D410" s="132">
        <v>1788464209</v>
      </c>
      <c r="E410" s="116">
        <f>(D410/C410)</f>
        <v>181441.02759460281</v>
      </c>
      <c r="F410" s="134">
        <v>1296602399</v>
      </c>
      <c r="G410" s="117">
        <f>(F410/C410)</f>
        <v>131541.28020695952</v>
      </c>
      <c r="H410" s="9"/>
      <c r="I410" s="150">
        <v>4.7302</v>
      </c>
      <c r="J410" s="134">
        <v>6133188.6677497998</v>
      </c>
      <c r="K410" s="120">
        <f>(J410/C410)</f>
        <v>622.21656363495993</v>
      </c>
      <c r="L410" s="122">
        <f t="shared" si="86"/>
        <v>12966023.99</v>
      </c>
      <c r="M410" s="116">
        <f t="shared" si="87"/>
        <v>6832835.3222502004</v>
      </c>
      <c r="N410" s="123">
        <f t="shared" si="88"/>
        <v>693.19623843463535</v>
      </c>
      <c r="O410" s="5"/>
      <c r="P410" s="5">
        <f t="shared" si="91"/>
        <v>1</v>
      </c>
      <c r="Q410" s="7">
        <f t="shared" si="92"/>
        <v>9857</v>
      </c>
      <c r="W410" s="124">
        <f t="shared" si="93"/>
        <v>6133188.6677498007</v>
      </c>
      <c r="X410">
        <f t="shared" si="90"/>
        <v>0</v>
      </c>
    </row>
    <row r="411" spans="1:24">
      <c r="A411" s="23" t="s">
        <v>439</v>
      </c>
      <c r="B411" s="35" t="s">
        <v>437</v>
      </c>
      <c r="C411" s="97">
        <v>580</v>
      </c>
      <c r="D411" s="147" t="s">
        <v>564</v>
      </c>
      <c r="E411" s="116"/>
      <c r="F411" s="134"/>
      <c r="G411" s="117"/>
      <c r="H411" s="98" t="s">
        <v>588</v>
      </c>
      <c r="I411" s="136"/>
      <c r="J411" s="134"/>
      <c r="K411" s="120"/>
      <c r="L411" s="122">
        <f t="shared" si="86"/>
        <v>0</v>
      </c>
      <c r="M411" s="116">
        <f t="shared" si="87"/>
        <v>0</v>
      </c>
      <c r="N411" s="123">
        <f t="shared" si="88"/>
        <v>0</v>
      </c>
      <c r="O411" s="5"/>
      <c r="P411" s="5">
        <f t="shared" si="91"/>
        <v>0</v>
      </c>
      <c r="Q411" s="7">
        <f t="shared" si="92"/>
        <v>0</v>
      </c>
      <c r="S411" s="124">
        <f>SUM(D409:D411)</f>
        <v>2539314165</v>
      </c>
      <c r="T411" s="124">
        <f>SUM(F409:F411)</f>
        <v>1737624864</v>
      </c>
      <c r="U411" s="124">
        <f>SUM(J409:J411)</f>
        <v>8558812.2252498008</v>
      </c>
      <c r="W411" s="124">
        <f t="shared" si="93"/>
        <v>0</v>
      </c>
      <c r="X411">
        <f t="shared" si="90"/>
        <v>0</v>
      </c>
    </row>
    <row r="412" spans="1:24">
      <c r="A412" s="23" t="s">
        <v>440</v>
      </c>
      <c r="B412" s="35" t="s">
        <v>441</v>
      </c>
      <c r="C412" s="97">
        <v>279</v>
      </c>
      <c r="D412" s="147" t="s">
        <v>564</v>
      </c>
      <c r="E412" s="116"/>
      <c r="F412" s="134"/>
      <c r="G412" s="117"/>
      <c r="H412" s="98" t="s">
        <v>588</v>
      </c>
      <c r="I412" s="136"/>
      <c r="J412" s="134"/>
      <c r="K412" s="120"/>
      <c r="L412" s="122">
        <f t="shared" si="86"/>
        <v>0</v>
      </c>
      <c r="M412" s="116">
        <f t="shared" si="87"/>
        <v>0</v>
      </c>
      <c r="N412" s="123">
        <f t="shared" si="88"/>
        <v>0</v>
      </c>
      <c r="O412" s="5"/>
      <c r="P412" s="5">
        <f t="shared" si="91"/>
        <v>0</v>
      </c>
      <c r="Q412" s="7">
        <f t="shared" si="92"/>
        <v>0</v>
      </c>
      <c r="W412" s="124">
        <f t="shared" si="93"/>
        <v>0</v>
      </c>
      <c r="X412">
        <f t="shared" si="90"/>
        <v>0</v>
      </c>
    </row>
    <row r="413" spans="1:24">
      <c r="A413" s="23" t="s">
        <v>442</v>
      </c>
      <c r="B413" s="35" t="s">
        <v>441</v>
      </c>
      <c r="C413" s="97">
        <v>3613</v>
      </c>
      <c r="D413" s="132">
        <v>331223694</v>
      </c>
      <c r="E413" s="116">
        <f>(D413/C413)</f>
        <v>91675.531137558821</v>
      </c>
      <c r="F413" s="134">
        <v>193297795</v>
      </c>
      <c r="G413" s="117">
        <f>(F413/C413)</f>
        <v>53500.635206199833</v>
      </c>
      <c r="H413" s="9"/>
      <c r="I413" s="150">
        <v>7</v>
      </c>
      <c r="J413" s="134">
        <v>1353084.5649999999</v>
      </c>
      <c r="K413" s="120">
        <f>(J413/C413)</f>
        <v>374.50444644339882</v>
      </c>
      <c r="L413" s="122">
        <f t="shared" si="86"/>
        <v>1932977.95</v>
      </c>
      <c r="M413" s="116">
        <f t="shared" si="87"/>
        <v>579893.38500000001</v>
      </c>
      <c r="N413" s="123">
        <f t="shared" si="88"/>
        <v>160.50190561859949</v>
      </c>
      <c r="O413" s="5"/>
      <c r="P413" s="5">
        <f t="shared" si="91"/>
        <v>1</v>
      </c>
      <c r="Q413" s="7">
        <f t="shared" si="92"/>
        <v>3613</v>
      </c>
      <c r="W413" s="124">
        <f t="shared" si="93"/>
        <v>1353084.5649999999</v>
      </c>
      <c r="X413">
        <f t="shared" si="90"/>
        <v>0</v>
      </c>
    </row>
    <row r="414" spans="1:24">
      <c r="A414" s="23" t="s">
        <v>443</v>
      </c>
      <c r="B414" s="35" t="s">
        <v>441</v>
      </c>
      <c r="C414" s="97">
        <v>256</v>
      </c>
      <c r="D414" s="147" t="s">
        <v>564</v>
      </c>
      <c r="E414" s="116"/>
      <c r="F414" s="134"/>
      <c r="G414" s="117"/>
      <c r="H414" s="98" t="s">
        <v>588</v>
      </c>
      <c r="I414" s="136"/>
      <c r="J414" s="134"/>
      <c r="K414" s="120"/>
      <c r="L414" s="122">
        <f t="shared" si="86"/>
        <v>0</v>
      </c>
      <c r="M414" s="116">
        <f t="shared" si="87"/>
        <v>0</v>
      </c>
      <c r="N414" s="123">
        <f t="shared" si="88"/>
        <v>0</v>
      </c>
      <c r="O414" s="5"/>
      <c r="P414" s="5">
        <f t="shared" si="91"/>
        <v>0</v>
      </c>
      <c r="Q414" s="7">
        <f t="shared" si="92"/>
        <v>0</v>
      </c>
      <c r="W414" s="124">
        <f t="shared" si="93"/>
        <v>0</v>
      </c>
      <c r="X414">
        <f t="shared" si="90"/>
        <v>0</v>
      </c>
    </row>
    <row r="415" spans="1:24">
      <c r="A415" s="23" t="s">
        <v>444</v>
      </c>
      <c r="B415" s="35" t="s">
        <v>441</v>
      </c>
      <c r="C415" s="97">
        <v>772</v>
      </c>
      <c r="D415" s="132">
        <v>68514683</v>
      </c>
      <c r="E415" s="116">
        <f>(D415/C415)</f>
        <v>88749.589378238335</v>
      </c>
      <c r="F415" s="134">
        <v>29281716</v>
      </c>
      <c r="G415" s="117">
        <f>(F415/C415)</f>
        <v>37929.683937823836</v>
      </c>
      <c r="H415" s="9"/>
      <c r="I415" s="150">
        <v>4.6414</v>
      </c>
      <c r="J415" s="134">
        <v>135908.15664239999</v>
      </c>
      <c r="K415" s="120">
        <f>(J415/C415)</f>
        <v>176.04683502901554</v>
      </c>
      <c r="L415" s="122">
        <f t="shared" si="86"/>
        <v>292817.16000000003</v>
      </c>
      <c r="M415" s="116">
        <f t="shared" si="87"/>
        <v>156909.00335760004</v>
      </c>
      <c r="N415" s="123">
        <f t="shared" si="88"/>
        <v>203.25000434922285</v>
      </c>
      <c r="O415" s="5"/>
      <c r="P415" s="5">
        <f t="shared" si="91"/>
        <v>1</v>
      </c>
      <c r="Q415" s="7">
        <f t="shared" si="92"/>
        <v>772</v>
      </c>
      <c r="W415" s="124">
        <f t="shared" si="93"/>
        <v>135908.15664240002</v>
      </c>
      <c r="X415">
        <f t="shared" si="90"/>
        <v>0</v>
      </c>
    </row>
    <row r="416" spans="1:24">
      <c r="A416" s="23" t="s">
        <v>445</v>
      </c>
      <c r="B416" s="35" t="s">
        <v>441</v>
      </c>
      <c r="C416" s="97">
        <v>353</v>
      </c>
      <c r="D416" s="147" t="s">
        <v>564</v>
      </c>
      <c r="E416" s="116"/>
      <c r="F416" s="134"/>
      <c r="G416" s="117"/>
      <c r="H416" s="98" t="s">
        <v>588</v>
      </c>
      <c r="I416" s="136"/>
      <c r="J416" s="134"/>
      <c r="K416" s="120"/>
      <c r="L416" s="122">
        <f t="shared" si="86"/>
        <v>0</v>
      </c>
      <c r="M416" s="116">
        <f t="shared" si="87"/>
        <v>0</v>
      </c>
      <c r="N416" s="123">
        <f t="shared" si="88"/>
        <v>0</v>
      </c>
      <c r="O416" s="5"/>
      <c r="P416" s="5">
        <f t="shared" si="91"/>
        <v>0</v>
      </c>
      <c r="Q416" s="7">
        <f t="shared" si="92"/>
        <v>0</v>
      </c>
      <c r="S416" s="124">
        <f>SUM(D412:D416)</f>
        <v>399738377</v>
      </c>
      <c r="T416" s="124">
        <f>SUM(F412:F416)</f>
        <v>222579511</v>
      </c>
      <c r="U416" s="124">
        <f>SUM(J412:J416)</f>
        <v>1488992.7216423999</v>
      </c>
      <c r="W416" s="124">
        <f t="shared" si="93"/>
        <v>0</v>
      </c>
      <c r="X416">
        <f t="shared" si="90"/>
        <v>0</v>
      </c>
    </row>
    <row r="417" spans="1:24">
      <c r="A417" s="70" t="s">
        <v>583</v>
      </c>
      <c r="B417" s="71"/>
      <c r="C417" s="72">
        <f>SUM(C6:C416)</f>
        <v>11520405</v>
      </c>
      <c r="D417" s="158">
        <f>SUM(D6:D416)</f>
        <v>2725812440349</v>
      </c>
      <c r="E417" s="74">
        <f>(D417/Q417)</f>
        <v>260336.37471734465</v>
      </c>
      <c r="F417" s="167">
        <f>SUM(F6:F416)</f>
        <v>1726584659577</v>
      </c>
      <c r="G417" s="76">
        <f>(F417/Q417)</f>
        <v>164902.3183925692</v>
      </c>
      <c r="H417" s="71"/>
      <c r="I417" s="168"/>
      <c r="J417" s="169">
        <f>SUM(J6:J416)</f>
        <v>8430382044.3780861</v>
      </c>
      <c r="K417" s="79">
        <f>(J417/Q417)</f>
        <v>805.16732054923921</v>
      </c>
      <c r="L417" s="79">
        <f>SUM(L6:L416)</f>
        <v>17265846595.770004</v>
      </c>
      <c r="M417" s="78">
        <f>SUM(M6:M416)</f>
        <v>8835464551.3919125</v>
      </c>
      <c r="N417" s="80">
        <f>(M417/Q417)</f>
        <v>843.85586337645248</v>
      </c>
      <c r="O417" s="20"/>
      <c r="P417" s="20">
        <f>SUM(P6:P416)</f>
        <v>391</v>
      </c>
      <c r="Q417" s="21">
        <f>SUM(Q6:Q416)</f>
        <v>10470348</v>
      </c>
      <c r="S417" s="124"/>
      <c r="T417" s="124"/>
      <c r="U417" s="124"/>
      <c r="W417" s="124">
        <f>SUM(W6:W416)</f>
        <v>8433580305.0644331</v>
      </c>
      <c r="X417">
        <f>SUM(X6:X416)</f>
        <v>8</v>
      </c>
    </row>
    <row r="418" spans="1:24">
      <c r="A418" s="27" t="s">
        <v>453</v>
      </c>
      <c r="B418" s="13"/>
      <c r="C418" s="60">
        <f>(P417)</f>
        <v>391</v>
      </c>
      <c r="D418" s="159"/>
      <c r="E418" s="16"/>
      <c r="F418" s="141"/>
      <c r="G418" s="16"/>
      <c r="H418" s="16"/>
      <c r="I418" s="170"/>
      <c r="J418" s="159"/>
      <c r="K418" s="17"/>
      <c r="L418" s="2"/>
      <c r="M418" s="2"/>
      <c r="N418" s="63"/>
      <c r="O418" s="2"/>
      <c r="P418" s="2"/>
      <c r="Q418" s="2"/>
      <c r="S418" s="124"/>
      <c r="T418" s="124"/>
      <c r="U418" s="124"/>
    </row>
    <row r="419" spans="1:24">
      <c r="A419" s="22"/>
      <c r="B419" s="16"/>
      <c r="C419" s="16"/>
      <c r="D419" s="160"/>
      <c r="E419" s="16"/>
      <c r="F419" s="160"/>
      <c r="G419" s="16"/>
      <c r="H419" s="107"/>
      <c r="I419" s="171"/>
      <c r="J419" s="160"/>
      <c r="K419" s="17"/>
      <c r="L419" s="2"/>
      <c r="M419" s="2"/>
      <c r="N419" s="63"/>
      <c r="O419" s="2"/>
      <c r="P419" s="2"/>
      <c r="Q419" s="2"/>
      <c r="S419" s="124"/>
      <c r="T419" s="124"/>
      <c r="U419" s="124"/>
    </row>
    <row r="420" spans="1:24">
      <c r="A420" s="204" t="s">
        <v>498</v>
      </c>
      <c r="B420" s="192"/>
      <c r="C420" s="192"/>
      <c r="D420" s="192"/>
      <c r="E420" s="192"/>
      <c r="F420" s="192"/>
      <c r="G420" s="192"/>
      <c r="H420" s="192"/>
      <c r="I420" s="192"/>
      <c r="J420" s="192"/>
      <c r="K420" s="192"/>
      <c r="L420" s="192"/>
      <c r="M420" s="192"/>
      <c r="N420" s="193"/>
      <c r="O420" s="1"/>
      <c r="P420" s="1"/>
      <c r="Q420" s="1"/>
    </row>
    <row r="421" spans="1:24">
      <c r="A421" s="191" t="s">
        <v>565</v>
      </c>
      <c r="B421" s="192"/>
      <c r="C421" s="192"/>
      <c r="D421" s="192"/>
      <c r="E421" s="192"/>
      <c r="F421" s="192"/>
      <c r="G421" s="192"/>
      <c r="H421" s="192"/>
      <c r="I421" s="192"/>
      <c r="J421" s="192"/>
      <c r="K421" s="192"/>
      <c r="L421" s="192"/>
      <c r="M421" s="192"/>
      <c r="N421" s="193"/>
      <c r="O421" s="1"/>
      <c r="P421" s="1"/>
      <c r="Q421" s="1"/>
    </row>
    <row r="422" spans="1:24" ht="25.5" customHeight="1">
      <c r="A422" s="191" t="s">
        <v>642</v>
      </c>
      <c r="B422" s="192"/>
      <c r="C422" s="192"/>
      <c r="D422" s="192"/>
      <c r="E422" s="192"/>
      <c r="F422" s="192"/>
      <c r="G422" s="192"/>
      <c r="H422" s="192"/>
      <c r="I422" s="192"/>
      <c r="J422" s="192"/>
      <c r="K422" s="192"/>
      <c r="L422" s="192"/>
      <c r="M422" s="192"/>
      <c r="N422" s="193"/>
      <c r="O422" s="1"/>
      <c r="P422" s="1"/>
      <c r="Q422" s="1"/>
    </row>
    <row r="423" spans="1:24" ht="12.75" customHeight="1">
      <c r="A423" s="191" t="s">
        <v>643</v>
      </c>
      <c r="B423" s="192"/>
      <c r="C423" s="192"/>
      <c r="D423" s="192"/>
      <c r="E423" s="192"/>
      <c r="F423" s="192"/>
      <c r="G423" s="192"/>
      <c r="H423" s="192"/>
      <c r="I423" s="192"/>
      <c r="J423" s="192"/>
      <c r="K423" s="192"/>
      <c r="L423" s="192"/>
      <c r="M423" s="192"/>
      <c r="N423" s="193"/>
      <c r="O423" s="1"/>
      <c r="P423" s="1"/>
      <c r="Q423" s="1"/>
    </row>
    <row r="424" spans="1:24" ht="25.5" customHeight="1">
      <c r="A424" s="191" t="s">
        <v>644</v>
      </c>
      <c r="B424" s="192"/>
      <c r="C424" s="192"/>
      <c r="D424" s="192"/>
      <c r="E424" s="192"/>
      <c r="F424" s="192"/>
      <c r="G424" s="192"/>
      <c r="H424" s="192"/>
      <c r="I424" s="192"/>
      <c r="J424" s="192"/>
      <c r="K424" s="192"/>
      <c r="L424" s="192"/>
      <c r="M424" s="192"/>
      <c r="N424" s="193"/>
      <c r="O424" s="1"/>
      <c r="P424" s="1"/>
      <c r="Q424" s="1"/>
    </row>
    <row r="425" spans="1:24">
      <c r="A425" s="194"/>
      <c r="B425" s="192"/>
      <c r="C425" s="192"/>
      <c r="D425" s="192"/>
      <c r="E425" s="192"/>
      <c r="F425" s="192"/>
      <c r="G425" s="192"/>
      <c r="H425" s="192"/>
      <c r="I425" s="192"/>
      <c r="J425" s="192"/>
      <c r="K425" s="192"/>
      <c r="L425" s="192"/>
      <c r="M425" s="192"/>
      <c r="N425" s="193"/>
      <c r="O425" s="1"/>
      <c r="P425" s="1"/>
      <c r="Q425" s="1"/>
    </row>
    <row r="426" spans="1:24">
      <c r="A426" s="191" t="s">
        <v>579</v>
      </c>
      <c r="B426" s="192"/>
      <c r="C426" s="192"/>
      <c r="D426" s="192"/>
      <c r="E426" s="192"/>
      <c r="F426" s="192"/>
      <c r="G426" s="192"/>
      <c r="H426" s="192"/>
      <c r="I426" s="192"/>
      <c r="J426" s="192"/>
      <c r="K426" s="192"/>
      <c r="L426" s="192"/>
      <c r="M426" s="192"/>
      <c r="N426" s="193"/>
      <c r="O426" s="1"/>
      <c r="P426" s="1"/>
      <c r="Q426" s="1"/>
    </row>
    <row r="427" spans="1:24" ht="25.5" customHeight="1">
      <c r="A427" s="191" t="s">
        <v>646</v>
      </c>
      <c r="B427" s="195"/>
      <c r="C427" s="195"/>
      <c r="D427" s="195"/>
      <c r="E427" s="195"/>
      <c r="F427" s="195"/>
      <c r="G427" s="195"/>
      <c r="H427" s="195"/>
      <c r="I427" s="195"/>
      <c r="J427" s="195"/>
      <c r="K427" s="195"/>
      <c r="L427" s="195"/>
      <c r="M427" s="195"/>
      <c r="N427" s="196"/>
      <c r="O427" s="1"/>
      <c r="P427" s="1"/>
      <c r="Q427" s="1"/>
    </row>
    <row r="428" spans="1:24" ht="15" customHeight="1" thickBot="1">
      <c r="A428" s="188" t="s">
        <v>647</v>
      </c>
      <c r="B428" s="189"/>
      <c r="C428" s="189"/>
      <c r="D428" s="189"/>
      <c r="E428" s="189"/>
      <c r="F428" s="189"/>
      <c r="G428" s="189"/>
      <c r="H428" s="189"/>
      <c r="I428" s="189"/>
      <c r="J428" s="189"/>
      <c r="K428" s="189"/>
      <c r="L428" s="189"/>
      <c r="M428" s="189"/>
      <c r="N428" s="190"/>
      <c r="O428" s="1"/>
      <c r="P428" s="1"/>
      <c r="Q428" s="1"/>
    </row>
    <row r="429" spans="1:24">
      <c r="A429" s="4"/>
      <c r="B429" s="1"/>
      <c r="C429" s="1"/>
      <c r="D429" s="161"/>
      <c r="E429" s="1"/>
      <c r="F429" s="161"/>
      <c r="G429" s="1"/>
      <c r="H429" s="1"/>
      <c r="I429" s="172"/>
      <c r="J429" s="172"/>
      <c r="K429" s="3"/>
      <c r="L429" s="1"/>
      <c r="M429" s="1"/>
      <c r="N429" s="1"/>
      <c r="O429" s="1"/>
      <c r="P429" s="1"/>
      <c r="Q429" s="1"/>
    </row>
    <row r="430" spans="1:24">
      <c r="A430" s="4"/>
      <c r="B430" s="1"/>
      <c r="C430" s="1"/>
      <c r="D430" s="161"/>
      <c r="E430" s="1"/>
      <c r="F430" s="161"/>
      <c r="G430" s="1"/>
      <c r="H430" s="1"/>
      <c r="I430" s="172"/>
      <c r="J430" s="172"/>
      <c r="K430" s="3"/>
      <c r="L430" s="1"/>
      <c r="M430" s="1"/>
      <c r="N430" s="1"/>
      <c r="O430" s="1"/>
      <c r="P430" s="1"/>
      <c r="Q430" s="1"/>
    </row>
    <row r="431" spans="1:24">
      <c r="A431" s="2"/>
      <c r="B431" s="2"/>
      <c r="C431" s="2"/>
      <c r="D431" s="162"/>
      <c r="E431" s="2"/>
      <c r="F431" s="162"/>
      <c r="G431" s="2"/>
      <c r="H431" s="2"/>
      <c r="I431" s="162"/>
      <c r="J431" s="162"/>
      <c r="K431" s="2"/>
      <c r="L431" s="2"/>
      <c r="M431" s="2"/>
      <c r="N431" s="2"/>
      <c r="O431" s="2"/>
      <c r="P431" s="2"/>
      <c r="Q431" s="2"/>
    </row>
  </sheetData>
  <mergeCells count="13">
    <mergeCell ref="A421:N421"/>
    <mergeCell ref="A1:N1"/>
    <mergeCell ref="D2:G2"/>
    <mergeCell ref="L2:N2"/>
    <mergeCell ref="S2:U2"/>
    <mergeCell ref="A420:N420"/>
    <mergeCell ref="A428:N428"/>
    <mergeCell ref="A422:N422"/>
    <mergeCell ref="A423:N423"/>
    <mergeCell ref="A424:N424"/>
    <mergeCell ref="A425:N425"/>
    <mergeCell ref="A426:N426"/>
    <mergeCell ref="A427:N427"/>
  </mergeCells>
  <printOptions horizontalCentered="1"/>
  <pageMargins left="0.5" right="0.5" top="0.5" bottom="0.5" header="0.3" footer="0.3"/>
  <pageSetup paperSize="5" scale="80" fitToHeight="0" orientation="landscape" verticalDpi="0" r:id="rId1"/>
  <headerFooter>
    <oddFooter>&amp;LOffice of Economic and Demographic Research&amp;CPage &amp;P of &amp;N&amp;RDecember 18, 2024</oddFooter>
  </headerFooter>
  <ignoredErrors>
    <ignoredError sqref="E417 K417"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430"/>
  <sheetViews>
    <sheetView workbookViewId="0">
      <selection sqref="A1:N1"/>
    </sheetView>
  </sheetViews>
  <sheetFormatPr defaultRowHeight="12.75"/>
  <cols>
    <col min="1" max="1" width="25.7109375" customWidth="1"/>
    <col min="2" max="2" width="16.7109375" customWidth="1"/>
    <col min="3" max="3" width="11.7109375" customWidth="1"/>
    <col min="4" max="4" width="18.7109375" customWidth="1"/>
    <col min="5" max="5" width="13.7109375" customWidth="1"/>
    <col min="6" max="6" width="17.7109375" customWidth="1"/>
    <col min="7" max="7" width="13.7109375" customWidth="1"/>
    <col min="8" max="8" width="1.7109375" customWidth="1"/>
    <col min="9" max="9" width="10.7109375" customWidth="1"/>
    <col min="10" max="10" width="15.7109375" customWidth="1"/>
    <col min="11" max="11" width="13.7109375" customWidth="1"/>
    <col min="12" max="13" width="15.7109375" customWidth="1"/>
    <col min="14" max="14" width="14.7109375" customWidth="1"/>
    <col min="15" max="15" width="2.7109375" customWidth="1"/>
    <col min="16" max="16" width="4.5703125" customWidth="1"/>
    <col min="17" max="17" width="10.7109375" customWidth="1"/>
    <col min="19" max="20" width="17.7109375" customWidth="1"/>
    <col min="21" max="21" width="16.7109375" customWidth="1"/>
  </cols>
  <sheetData>
    <row r="1" spans="1:21" ht="26.25">
      <c r="A1" s="197" t="s">
        <v>595</v>
      </c>
      <c r="B1" s="198"/>
      <c r="C1" s="198"/>
      <c r="D1" s="198"/>
      <c r="E1" s="198"/>
      <c r="F1" s="198"/>
      <c r="G1" s="198"/>
      <c r="H1" s="198"/>
      <c r="I1" s="198"/>
      <c r="J1" s="198"/>
      <c r="K1" s="198"/>
      <c r="L1" s="198"/>
      <c r="M1" s="198"/>
      <c r="N1" s="199"/>
    </row>
    <row r="2" spans="1:21" ht="18">
      <c r="A2" s="41"/>
      <c r="B2" s="42"/>
      <c r="C2" s="43"/>
      <c r="D2" s="200" t="s">
        <v>562</v>
      </c>
      <c r="E2" s="201"/>
      <c r="F2" s="201"/>
      <c r="G2" s="202"/>
      <c r="H2" s="44"/>
      <c r="I2" s="61" t="s">
        <v>456</v>
      </c>
      <c r="J2" s="45"/>
      <c r="K2" s="68"/>
      <c r="L2" s="201" t="s">
        <v>503</v>
      </c>
      <c r="M2" s="201"/>
      <c r="N2" s="203"/>
      <c r="S2" s="200" t="s">
        <v>591</v>
      </c>
      <c r="T2" s="201"/>
      <c r="U2" s="202"/>
    </row>
    <row r="3" spans="1:21" ht="12.75" customHeight="1">
      <c r="A3" s="46"/>
      <c r="B3" s="47"/>
      <c r="C3" s="48">
        <v>2015</v>
      </c>
      <c r="D3" s="49"/>
      <c r="E3" s="50" t="s">
        <v>1</v>
      </c>
      <c r="F3" s="51"/>
      <c r="G3" s="50" t="s">
        <v>1</v>
      </c>
      <c r="H3" s="52"/>
      <c r="I3" s="53"/>
      <c r="J3" s="54"/>
      <c r="K3" s="67" t="s">
        <v>1</v>
      </c>
      <c r="L3" s="66" t="s">
        <v>455</v>
      </c>
      <c r="M3" s="50" t="s">
        <v>455</v>
      </c>
      <c r="N3" s="59" t="s">
        <v>1</v>
      </c>
      <c r="S3" s="51"/>
      <c r="T3" s="51"/>
      <c r="U3" s="54"/>
    </row>
    <row r="4" spans="1:21">
      <c r="A4" s="46"/>
      <c r="B4" s="47"/>
      <c r="C4" s="48" t="s">
        <v>3</v>
      </c>
      <c r="D4" s="49" t="s">
        <v>563</v>
      </c>
      <c r="E4" s="56" t="s">
        <v>563</v>
      </c>
      <c r="F4" s="56" t="s">
        <v>2</v>
      </c>
      <c r="G4" s="56" t="s">
        <v>2</v>
      </c>
      <c r="H4" s="52"/>
      <c r="I4" s="57" t="s">
        <v>4</v>
      </c>
      <c r="J4" s="58" t="s">
        <v>455</v>
      </c>
      <c r="K4" s="69" t="s">
        <v>455</v>
      </c>
      <c r="L4" s="67" t="s">
        <v>454</v>
      </c>
      <c r="M4" s="82" t="s">
        <v>495</v>
      </c>
      <c r="N4" s="55" t="s">
        <v>495</v>
      </c>
      <c r="S4" s="48" t="s">
        <v>563</v>
      </c>
      <c r="T4" s="56" t="s">
        <v>2</v>
      </c>
      <c r="U4" s="58" t="s">
        <v>455</v>
      </c>
    </row>
    <row r="5" spans="1:21">
      <c r="A5" s="85" t="s">
        <v>5</v>
      </c>
      <c r="B5" s="86" t="s">
        <v>6</v>
      </c>
      <c r="C5" s="48" t="s">
        <v>458</v>
      </c>
      <c r="D5" s="88" t="s">
        <v>7</v>
      </c>
      <c r="E5" s="89" t="s">
        <v>7</v>
      </c>
      <c r="F5" s="90" t="s">
        <v>7</v>
      </c>
      <c r="G5" s="89" t="s">
        <v>7</v>
      </c>
      <c r="H5" s="91"/>
      <c r="I5" s="92" t="s">
        <v>587</v>
      </c>
      <c r="J5" s="90" t="s">
        <v>454</v>
      </c>
      <c r="K5" s="90" t="s">
        <v>454</v>
      </c>
      <c r="L5" s="93" t="s">
        <v>502</v>
      </c>
      <c r="M5" s="94" t="s">
        <v>496</v>
      </c>
      <c r="N5" s="95" t="s">
        <v>496</v>
      </c>
      <c r="O5" s="19"/>
      <c r="P5" s="19"/>
      <c r="Q5" s="19"/>
      <c r="S5" s="87" t="s">
        <v>7</v>
      </c>
      <c r="T5" s="90" t="s">
        <v>7</v>
      </c>
      <c r="U5" s="90" t="s">
        <v>454</v>
      </c>
    </row>
    <row r="6" spans="1:21">
      <c r="A6" s="22" t="s">
        <v>8</v>
      </c>
      <c r="B6" s="33" t="s">
        <v>8</v>
      </c>
      <c r="C6" s="97">
        <v>9788</v>
      </c>
      <c r="D6" s="141">
        <v>1097822616</v>
      </c>
      <c r="E6" s="142">
        <f t="shared" ref="E6:E14" si="0">(D6/C6)</f>
        <v>112160.05476093176</v>
      </c>
      <c r="F6" s="141">
        <v>687760691</v>
      </c>
      <c r="G6" s="143">
        <f t="shared" ref="G6:G14" si="1">(F6/C6)</f>
        <v>70265.7019820188</v>
      </c>
      <c r="H6" s="144"/>
      <c r="I6" s="145">
        <v>5.99</v>
      </c>
      <c r="J6" s="146">
        <v>4119686.5390900001</v>
      </c>
      <c r="K6" s="84">
        <f t="shared" ref="K6:K14" si="2">(J6/C6)</f>
        <v>420.8915548722926</v>
      </c>
      <c r="L6" s="65">
        <f t="shared" ref="L6:L69" si="3">(F6*0.01)</f>
        <v>6877606.9100000001</v>
      </c>
      <c r="M6" s="83">
        <f t="shared" ref="M6:M69" si="4">(L6-J6)</f>
        <v>2757920.3709100001</v>
      </c>
      <c r="N6" s="62">
        <f t="shared" ref="N6:N69" si="5">(M6/C6)</f>
        <v>281.7654649478954</v>
      </c>
      <c r="O6" s="5"/>
      <c r="P6" s="5">
        <f t="shared" ref="P6:P69" si="6">IF(I6&gt;0,1,0)</f>
        <v>1</v>
      </c>
      <c r="Q6" s="7">
        <f t="shared" ref="Q6:Q69" si="7">IF(I6&gt;0,C6,0)</f>
        <v>9788</v>
      </c>
    </row>
    <row r="7" spans="1:21">
      <c r="A7" s="23" t="s">
        <v>9</v>
      </c>
      <c r="B7" s="35" t="s">
        <v>8</v>
      </c>
      <c r="C7" s="97">
        <v>1140</v>
      </c>
      <c r="D7" s="132">
        <v>64494181</v>
      </c>
      <c r="E7" s="133">
        <f t="shared" si="0"/>
        <v>56573.842982456139</v>
      </c>
      <c r="F7" s="132">
        <v>34891420</v>
      </c>
      <c r="G7" s="134">
        <f t="shared" si="1"/>
        <v>30606.508771929824</v>
      </c>
      <c r="H7" s="135"/>
      <c r="I7" s="136">
        <v>5.2549000000000001</v>
      </c>
      <c r="J7" s="134">
        <v>183351</v>
      </c>
      <c r="K7" s="120">
        <f t="shared" si="2"/>
        <v>160.83421052631579</v>
      </c>
      <c r="L7" s="122">
        <f t="shared" si="3"/>
        <v>348914.2</v>
      </c>
      <c r="M7" s="116">
        <f t="shared" si="4"/>
        <v>165563.20000000001</v>
      </c>
      <c r="N7" s="123">
        <f t="shared" si="5"/>
        <v>145.23087719298246</v>
      </c>
      <c r="O7" s="5"/>
      <c r="P7" s="5">
        <f t="shared" si="6"/>
        <v>1</v>
      </c>
      <c r="Q7" s="7">
        <f t="shared" si="7"/>
        <v>1140</v>
      </c>
    </row>
    <row r="8" spans="1:21">
      <c r="A8" s="23" t="s">
        <v>10</v>
      </c>
      <c r="B8" s="35" t="s">
        <v>8</v>
      </c>
      <c r="C8" s="97">
        <v>127955</v>
      </c>
      <c r="D8" s="132">
        <v>13730574509</v>
      </c>
      <c r="E8" s="133">
        <f t="shared" si="0"/>
        <v>107307.83876362783</v>
      </c>
      <c r="F8" s="132">
        <v>5769528673</v>
      </c>
      <c r="G8" s="134">
        <f t="shared" si="1"/>
        <v>45090.294814583249</v>
      </c>
      <c r="H8" s="135"/>
      <c r="I8" s="136">
        <v>4.5079000000000002</v>
      </c>
      <c r="J8" s="134">
        <v>26008458.3050167</v>
      </c>
      <c r="K8" s="120">
        <f t="shared" si="2"/>
        <v>203.26253999465985</v>
      </c>
      <c r="L8" s="122">
        <f t="shared" si="3"/>
        <v>57695286.730000004</v>
      </c>
      <c r="M8" s="116">
        <f t="shared" si="4"/>
        <v>31686828.424983304</v>
      </c>
      <c r="N8" s="123">
        <f t="shared" si="5"/>
        <v>247.64040815117272</v>
      </c>
      <c r="O8" s="5"/>
      <c r="P8" s="5">
        <f t="shared" si="6"/>
        <v>1</v>
      </c>
      <c r="Q8" s="7">
        <f t="shared" si="7"/>
        <v>127955</v>
      </c>
    </row>
    <row r="9" spans="1:21">
      <c r="A9" s="23" t="s">
        <v>11</v>
      </c>
      <c r="B9" s="35" t="s">
        <v>8</v>
      </c>
      <c r="C9" s="97">
        <v>1370</v>
      </c>
      <c r="D9" s="132">
        <v>97044216</v>
      </c>
      <c r="E9" s="133">
        <f t="shared" si="0"/>
        <v>70835.194160583938</v>
      </c>
      <c r="F9" s="134">
        <v>43922066</v>
      </c>
      <c r="G9" s="134">
        <f t="shared" si="1"/>
        <v>32059.902189781023</v>
      </c>
      <c r="H9" s="135"/>
      <c r="I9" s="136">
        <v>5.3193999999999999</v>
      </c>
      <c r="J9" s="134">
        <v>233639</v>
      </c>
      <c r="K9" s="120">
        <f t="shared" si="2"/>
        <v>170.53941605839415</v>
      </c>
      <c r="L9" s="122">
        <f t="shared" si="3"/>
        <v>439220.66000000003</v>
      </c>
      <c r="M9" s="116">
        <f t="shared" si="4"/>
        <v>205581.66000000003</v>
      </c>
      <c r="N9" s="123">
        <f t="shared" si="5"/>
        <v>150.05960583941609</v>
      </c>
      <c r="O9" s="5"/>
      <c r="P9" s="5">
        <f t="shared" si="6"/>
        <v>1</v>
      </c>
      <c r="Q9" s="7">
        <f t="shared" si="7"/>
        <v>1370</v>
      </c>
    </row>
    <row r="10" spans="1:21">
      <c r="A10" s="23" t="s">
        <v>12</v>
      </c>
      <c r="B10" s="35" t="s">
        <v>8</v>
      </c>
      <c r="C10" s="97">
        <v>5742</v>
      </c>
      <c r="D10" s="132">
        <v>390812925</v>
      </c>
      <c r="E10" s="133">
        <f t="shared" si="0"/>
        <v>68062.160397074185</v>
      </c>
      <c r="F10" s="134">
        <v>231867728</v>
      </c>
      <c r="G10" s="134">
        <f t="shared" si="1"/>
        <v>40381.004528039011</v>
      </c>
      <c r="H10" s="135"/>
      <c r="I10" s="136">
        <v>6.1326000000000001</v>
      </c>
      <c r="J10" s="134">
        <v>1421952</v>
      </c>
      <c r="K10" s="120">
        <f t="shared" si="2"/>
        <v>247.64054336468129</v>
      </c>
      <c r="L10" s="122">
        <f t="shared" si="3"/>
        <v>2318677.2800000003</v>
      </c>
      <c r="M10" s="116">
        <f t="shared" si="4"/>
        <v>896725.28000000026</v>
      </c>
      <c r="N10" s="123">
        <f t="shared" si="5"/>
        <v>156.16950191570885</v>
      </c>
      <c r="O10" s="5"/>
      <c r="P10" s="5">
        <f t="shared" si="6"/>
        <v>1</v>
      </c>
      <c r="Q10" s="7">
        <f t="shared" si="7"/>
        <v>5742</v>
      </c>
    </row>
    <row r="11" spans="1:21">
      <c r="A11" s="23" t="s">
        <v>559</v>
      </c>
      <c r="B11" s="35" t="s">
        <v>8</v>
      </c>
      <c r="C11" s="97">
        <v>373</v>
      </c>
      <c r="D11" s="132">
        <v>20693067</v>
      </c>
      <c r="E11" s="133">
        <f t="shared" si="0"/>
        <v>55477.391420911525</v>
      </c>
      <c r="F11" s="134">
        <v>10070968</v>
      </c>
      <c r="G11" s="134">
        <f t="shared" si="1"/>
        <v>26999.914209115283</v>
      </c>
      <c r="H11" s="135"/>
      <c r="I11" s="136">
        <v>5.7172999999999998</v>
      </c>
      <c r="J11" s="134">
        <v>57579</v>
      </c>
      <c r="K11" s="120">
        <f t="shared" si="2"/>
        <v>154.36729222520108</v>
      </c>
      <c r="L11" s="122">
        <f t="shared" si="3"/>
        <v>100709.68000000001</v>
      </c>
      <c r="M11" s="116">
        <f t="shared" si="4"/>
        <v>43130.680000000008</v>
      </c>
      <c r="N11" s="123">
        <f t="shared" si="5"/>
        <v>115.63184986595176</v>
      </c>
      <c r="O11" s="5"/>
      <c r="P11" s="5">
        <f t="shared" si="6"/>
        <v>1</v>
      </c>
      <c r="Q11" s="7">
        <f t="shared" si="7"/>
        <v>373</v>
      </c>
    </row>
    <row r="12" spans="1:21">
      <c r="A12" s="23" t="s">
        <v>13</v>
      </c>
      <c r="B12" s="35" t="s">
        <v>8</v>
      </c>
      <c r="C12" s="97">
        <v>593</v>
      </c>
      <c r="D12" s="132">
        <v>47025179</v>
      </c>
      <c r="E12" s="133">
        <f t="shared" si="0"/>
        <v>79300.47048903878</v>
      </c>
      <c r="F12" s="134">
        <v>28182437</v>
      </c>
      <c r="G12" s="134">
        <f t="shared" si="1"/>
        <v>47525.188870151767</v>
      </c>
      <c r="H12" s="135"/>
      <c r="I12" s="136">
        <v>5.9283000000000001</v>
      </c>
      <c r="J12" s="134">
        <v>167074</v>
      </c>
      <c r="K12" s="120">
        <f t="shared" si="2"/>
        <v>281.74367622259695</v>
      </c>
      <c r="L12" s="122">
        <f t="shared" si="3"/>
        <v>281824.37</v>
      </c>
      <c r="M12" s="116">
        <f t="shared" si="4"/>
        <v>114750.37</v>
      </c>
      <c r="N12" s="123">
        <f t="shared" si="5"/>
        <v>193.50821247892074</v>
      </c>
      <c r="O12" s="5"/>
      <c r="P12" s="5">
        <f t="shared" si="6"/>
        <v>1</v>
      </c>
      <c r="Q12" s="7">
        <f t="shared" si="7"/>
        <v>593</v>
      </c>
    </row>
    <row r="13" spans="1:21">
      <c r="A13" s="23" t="s">
        <v>14</v>
      </c>
      <c r="B13" s="35" t="s">
        <v>8</v>
      </c>
      <c r="C13" s="97">
        <v>5360</v>
      </c>
      <c r="D13" s="132">
        <v>589510793</v>
      </c>
      <c r="E13" s="133">
        <f t="shared" si="0"/>
        <v>109983.35690298508</v>
      </c>
      <c r="F13" s="134">
        <v>334295760</v>
      </c>
      <c r="G13" s="134">
        <f t="shared" si="1"/>
        <v>62368.611940298506</v>
      </c>
      <c r="H13" s="135"/>
      <c r="I13" s="136">
        <v>3.95</v>
      </c>
      <c r="J13" s="134">
        <v>1320468</v>
      </c>
      <c r="K13" s="120">
        <f t="shared" si="2"/>
        <v>246.35597014925372</v>
      </c>
      <c r="L13" s="122">
        <f t="shared" si="3"/>
        <v>3342957.6</v>
      </c>
      <c r="M13" s="116">
        <f t="shared" si="4"/>
        <v>2022489.6</v>
      </c>
      <c r="N13" s="123">
        <f t="shared" si="5"/>
        <v>377.33014925373135</v>
      </c>
      <c r="O13" s="5"/>
      <c r="P13" s="5">
        <f t="shared" si="6"/>
        <v>1</v>
      </c>
      <c r="Q13" s="7">
        <f t="shared" si="7"/>
        <v>5360</v>
      </c>
    </row>
    <row r="14" spans="1:21">
      <c r="A14" s="23" t="s">
        <v>15</v>
      </c>
      <c r="B14" s="35" t="s">
        <v>8</v>
      </c>
      <c r="C14" s="97">
        <v>951</v>
      </c>
      <c r="D14" s="132">
        <v>45990293</v>
      </c>
      <c r="E14" s="133">
        <f t="shared" si="0"/>
        <v>48359.929547844375</v>
      </c>
      <c r="F14" s="134">
        <v>24887759</v>
      </c>
      <c r="G14" s="134">
        <f t="shared" si="1"/>
        <v>26170.093585699266</v>
      </c>
      <c r="H14" s="135"/>
      <c r="I14" s="136">
        <v>7.5179999999999998</v>
      </c>
      <c r="J14" s="134">
        <v>187106</v>
      </c>
      <c r="K14" s="120">
        <f t="shared" si="2"/>
        <v>196.7465825446898</v>
      </c>
      <c r="L14" s="122">
        <f t="shared" si="3"/>
        <v>248877.59</v>
      </c>
      <c r="M14" s="116">
        <f t="shared" si="4"/>
        <v>61771.59</v>
      </c>
      <c r="N14" s="123">
        <f t="shared" si="5"/>
        <v>64.954353312302842</v>
      </c>
      <c r="O14" s="5"/>
      <c r="P14" s="5">
        <f t="shared" si="6"/>
        <v>1</v>
      </c>
      <c r="Q14" s="7">
        <f t="shared" si="7"/>
        <v>951</v>
      </c>
      <c r="S14" s="124">
        <f>SUM(D6:D14)</f>
        <v>16083967779</v>
      </c>
      <c r="T14" s="124">
        <f>SUM(F6:F14)</f>
        <v>7165407502</v>
      </c>
      <c r="U14" s="124">
        <f>SUM(J6:J14)</f>
        <v>33699313.844106704</v>
      </c>
    </row>
    <row r="15" spans="1:21">
      <c r="A15" s="24" t="s">
        <v>544</v>
      </c>
      <c r="B15" s="35" t="s">
        <v>16</v>
      </c>
      <c r="C15" s="125">
        <v>435</v>
      </c>
      <c r="D15" s="147" t="s">
        <v>564</v>
      </c>
      <c r="E15" s="133"/>
      <c r="F15" s="134"/>
      <c r="G15" s="134"/>
      <c r="H15" s="148" t="s">
        <v>588</v>
      </c>
      <c r="I15" s="136"/>
      <c r="J15" s="134"/>
      <c r="K15" s="120"/>
      <c r="L15" s="122">
        <f t="shared" si="3"/>
        <v>0</v>
      </c>
      <c r="M15" s="116">
        <f t="shared" si="4"/>
        <v>0</v>
      </c>
      <c r="N15" s="123">
        <f t="shared" si="5"/>
        <v>0</v>
      </c>
      <c r="O15" s="5"/>
      <c r="P15" s="5">
        <f t="shared" si="6"/>
        <v>0</v>
      </c>
      <c r="Q15" s="7">
        <f t="shared" si="7"/>
        <v>0</v>
      </c>
    </row>
    <row r="16" spans="1:21">
      <c r="A16" s="23" t="s">
        <v>17</v>
      </c>
      <c r="B16" s="35" t="s">
        <v>16</v>
      </c>
      <c r="C16" s="125">
        <v>6430</v>
      </c>
      <c r="D16" s="132">
        <v>379991495</v>
      </c>
      <c r="E16" s="133">
        <f>(D16/C16)</f>
        <v>59096.655520995337</v>
      </c>
      <c r="F16" s="134">
        <v>225115351</v>
      </c>
      <c r="G16" s="134">
        <f>(F16/C16)</f>
        <v>35010.163452566099</v>
      </c>
      <c r="H16" s="135"/>
      <c r="I16" s="136">
        <v>3.6</v>
      </c>
      <c r="J16" s="134">
        <v>810415</v>
      </c>
      <c r="K16" s="120">
        <f>(J16/C16)</f>
        <v>126.03654743390358</v>
      </c>
      <c r="L16" s="122">
        <f t="shared" si="3"/>
        <v>2251153.5100000002</v>
      </c>
      <c r="M16" s="116">
        <f t="shared" si="4"/>
        <v>1440738.5100000002</v>
      </c>
      <c r="N16" s="123">
        <f t="shared" si="5"/>
        <v>224.06508709175742</v>
      </c>
      <c r="O16" s="5"/>
      <c r="P16" s="5">
        <f t="shared" si="6"/>
        <v>1</v>
      </c>
      <c r="Q16" s="7">
        <f t="shared" si="7"/>
        <v>6430</v>
      </c>
      <c r="S16" s="124">
        <f>SUM(D15:D16)</f>
        <v>379991495</v>
      </c>
      <c r="T16" s="124">
        <f>SUM(F15:F16)</f>
        <v>225115351</v>
      </c>
      <c r="U16" s="124">
        <f>SUM(J15:J16)</f>
        <v>810415</v>
      </c>
    </row>
    <row r="17" spans="1:21">
      <c r="A17" s="23" t="s">
        <v>18</v>
      </c>
      <c r="B17" s="35" t="s">
        <v>19</v>
      </c>
      <c r="C17" s="125">
        <v>14681</v>
      </c>
      <c r="D17" s="132">
        <v>701562824</v>
      </c>
      <c r="E17" s="133">
        <f>(D17/C17)</f>
        <v>47787.127852326135</v>
      </c>
      <c r="F17" s="134">
        <v>471513076</v>
      </c>
      <c r="G17" s="134">
        <f>(F17/C17)</f>
        <v>32117.231523738166</v>
      </c>
      <c r="H17" s="149"/>
      <c r="I17" s="136">
        <v>2.25</v>
      </c>
      <c r="J17" s="134">
        <v>1060904</v>
      </c>
      <c r="K17" s="120">
        <f>(J17/C17)</f>
        <v>72.263742251890193</v>
      </c>
      <c r="L17" s="122">
        <f t="shared" si="3"/>
        <v>4715130.76</v>
      </c>
      <c r="M17" s="116">
        <f t="shared" si="4"/>
        <v>3654226.76</v>
      </c>
      <c r="N17" s="123">
        <f t="shared" si="5"/>
        <v>248.90857298549145</v>
      </c>
      <c r="O17" s="5"/>
      <c r="P17" s="5">
        <f t="shared" si="6"/>
        <v>1</v>
      </c>
      <c r="Q17" s="7">
        <f t="shared" si="7"/>
        <v>14681</v>
      </c>
    </row>
    <row r="18" spans="1:21">
      <c r="A18" s="23" t="s">
        <v>21</v>
      </c>
      <c r="B18" s="35" t="s">
        <v>19</v>
      </c>
      <c r="C18" s="125">
        <v>19287</v>
      </c>
      <c r="D18" s="132">
        <v>1453407818</v>
      </c>
      <c r="E18" s="133">
        <f>(D18/C18)</f>
        <v>75356.863068388033</v>
      </c>
      <c r="F18" s="134">
        <v>1005448829</v>
      </c>
      <c r="G18" s="134">
        <f>(F18/C18)</f>
        <v>52130.908332037121</v>
      </c>
      <c r="H18" s="135"/>
      <c r="I18" s="136">
        <v>3.9</v>
      </c>
      <c r="J18" s="134">
        <v>3921250</v>
      </c>
      <c r="K18" s="120">
        <f>(J18/C18)</f>
        <v>203.31052003940479</v>
      </c>
      <c r="L18" s="122">
        <f t="shared" si="3"/>
        <v>10054488.290000001</v>
      </c>
      <c r="M18" s="116">
        <f t="shared" si="4"/>
        <v>6133238.290000001</v>
      </c>
      <c r="N18" s="123">
        <f t="shared" si="5"/>
        <v>317.99856328096649</v>
      </c>
      <c r="O18" s="5"/>
      <c r="P18" s="5">
        <f t="shared" si="6"/>
        <v>1</v>
      </c>
      <c r="Q18" s="7">
        <f t="shared" si="7"/>
        <v>19287</v>
      </c>
    </row>
    <row r="19" spans="1:21">
      <c r="A19" s="23" t="s">
        <v>22</v>
      </c>
      <c r="B19" s="35" t="s">
        <v>19</v>
      </c>
      <c r="C19" s="125">
        <v>1136</v>
      </c>
      <c r="D19" s="132">
        <v>415841964</v>
      </c>
      <c r="E19" s="133">
        <f>(D19/C19)</f>
        <v>366058.06690140843</v>
      </c>
      <c r="F19" s="134">
        <v>349797066</v>
      </c>
      <c r="G19" s="134">
        <f>(F19/C19)</f>
        <v>307919.95246478874</v>
      </c>
      <c r="H19" s="135"/>
      <c r="I19" s="150">
        <v>4.9269999999999996</v>
      </c>
      <c r="J19" s="134">
        <v>1723450</v>
      </c>
      <c r="K19" s="120">
        <f>(J19/C19)</f>
        <v>1517.1214788732395</v>
      </c>
      <c r="L19" s="122">
        <f t="shared" si="3"/>
        <v>3497970.66</v>
      </c>
      <c r="M19" s="116">
        <f t="shared" si="4"/>
        <v>1774520.6600000001</v>
      </c>
      <c r="N19" s="123">
        <f t="shared" si="5"/>
        <v>1562.078045774648</v>
      </c>
      <c r="O19" s="5"/>
      <c r="P19" s="5">
        <f t="shared" si="6"/>
        <v>1</v>
      </c>
      <c r="Q19" s="7">
        <f t="shared" si="7"/>
        <v>1136</v>
      </c>
    </row>
    <row r="20" spans="1:21">
      <c r="A20" s="23" t="s">
        <v>23</v>
      </c>
      <c r="B20" s="35" t="s">
        <v>19</v>
      </c>
      <c r="C20" s="125">
        <v>35835</v>
      </c>
      <c r="D20" s="132">
        <v>3312222097</v>
      </c>
      <c r="E20" s="133">
        <f>(D20/C20)</f>
        <v>92429.805971815265</v>
      </c>
      <c r="F20" s="134">
        <v>2302225691</v>
      </c>
      <c r="G20" s="134">
        <f>(F20/C20)</f>
        <v>64245.170671131578</v>
      </c>
      <c r="H20" s="135"/>
      <c r="I20" s="136">
        <v>3.9740000000000002</v>
      </c>
      <c r="J20" s="134">
        <v>9149045</v>
      </c>
      <c r="K20" s="120">
        <f>(J20/C20)</f>
        <v>255.31031114831868</v>
      </c>
      <c r="L20" s="122">
        <f t="shared" si="3"/>
        <v>23022256.91</v>
      </c>
      <c r="M20" s="116">
        <f t="shared" si="4"/>
        <v>13873211.91</v>
      </c>
      <c r="N20" s="123">
        <f t="shared" si="5"/>
        <v>387.14139556299705</v>
      </c>
      <c r="O20" s="5"/>
      <c r="P20" s="5">
        <f t="shared" si="6"/>
        <v>1</v>
      </c>
      <c r="Q20" s="7">
        <f t="shared" si="7"/>
        <v>35835</v>
      </c>
    </row>
    <row r="21" spans="1:21">
      <c r="A21" s="23" t="s">
        <v>24</v>
      </c>
      <c r="B21" s="35" t="s">
        <v>19</v>
      </c>
      <c r="C21" s="125">
        <v>12467</v>
      </c>
      <c r="D21" s="147" t="s">
        <v>564</v>
      </c>
      <c r="E21" s="133"/>
      <c r="F21" s="134"/>
      <c r="G21" s="134"/>
      <c r="H21" s="148" t="s">
        <v>588</v>
      </c>
      <c r="I21" s="151"/>
      <c r="J21" s="134"/>
      <c r="K21" s="120"/>
      <c r="L21" s="122">
        <f t="shared" si="3"/>
        <v>0</v>
      </c>
      <c r="M21" s="116">
        <f t="shared" si="4"/>
        <v>0</v>
      </c>
      <c r="N21" s="123">
        <f t="shared" si="5"/>
        <v>0</v>
      </c>
      <c r="O21" s="5"/>
      <c r="P21" s="5">
        <f t="shared" si="6"/>
        <v>0</v>
      </c>
      <c r="Q21" s="7">
        <f t="shared" si="7"/>
        <v>0</v>
      </c>
    </row>
    <row r="22" spans="1:21">
      <c r="A22" s="23" t="s">
        <v>25</v>
      </c>
      <c r="B22" s="35" t="s">
        <v>19</v>
      </c>
      <c r="C22" s="125">
        <v>4409</v>
      </c>
      <c r="D22" s="147" t="s">
        <v>564</v>
      </c>
      <c r="E22" s="133"/>
      <c r="F22" s="134"/>
      <c r="G22" s="134"/>
      <c r="H22" s="148" t="s">
        <v>588</v>
      </c>
      <c r="I22" s="151"/>
      <c r="J22" s="134"/>
      <c r="K22" s="120"/>
      <c r="L22" s="122">
        <f t="shared" si="3"/>
        <v>0</v>
      </c>
      <c r="M22" s="116">
        <f t="shared" si="4"/>
        <v>0</v>
      </c>
      <c r="N22" s="123">
        <f t="shared" si="5"/>
        <v>0</v>
      </c>
      <c r="O22" s="5"/>
      <c r="P22" s="5">
        <f t="shared" si="6"/>
        <v>0</v>
      </c>
      <c r="Q22" s="7">
        <f t="shared" si="7"/>
        <v>0</v>
      </c>
    </row>
    <row r="23" spans="1:21">
      <c r="A23" s="23" t="s">
        <v>26</v>
      </c>
      <c r="B23" s="35" t="s">
        <v>19</v>
      </c>
      <c r="C23" s="125">
        <v>9097</v>
      </c>
      <c r="D23" s="147">
        <v>353410715</v>
      </c>
      <c r="E23" s="133">
        <f t="shared" ref="E23:E38" si="8">(D23/C23)</f>
        <v>38849.149719687812</v>
      </c>
      <c r="F23" s="134">
        <v>191217368</v>
      </c>
      <c r="G23" s="134">
        <f t="shared" ref="G23:G38" si="9">(F23/C23)</f>
        <v>21019.827195778827</v>
      </c>
      <c r="H23" s="148"/>
      <c r="I23" s="136">
        <v>3.4649999999999999</v>
      </c>
      <c r="J23" s="134">
        <v>662568</v>
      </c>
      <c r="K23" s="120">
        <f>(J23/C23)</f>
        <v>72.833681433439594</v>
      </c>
      <c r="L23" s="122">
        <f t="shared" si="3"/>
        <v>1912173.68</v>
      </c>
      <c r="M23" s="116">
        <f t="shared" si="4"/>
        <v>1249605.68</v>
      </c>
      <c r="N23" s="123">
        <f t="shared" si="5"/>
        <v>137.36459052434867</v>
      </c>
      <c r="O23" s="5"/>
      <c r="P23" s="5">
        <f t="shared" si="6"/>
        <v>1</v>
      </c>
      <c r="Q23" s="7">
        <f t="shared" si="7"/>
        <v>9097</v>
      </c>
      <c r="S23" s="124">
        <f>SUM(D17:D23)</f>
        <v>6236445418</v>
      </c>
      <c r="T23" s="124">
        <f>SUM(F17:F23)</f>
        <v>4320202030</v>
      </c>
      <c r="U23" s="124">
        <f>SUM(J17:J23)</f>
        <v>16517217</v>
      </c>
    </row>
    <row r="24" spans="1:21">
      <c r="A24" s="23" t="s">
        <v>27</v>
      </c>
      <c r="B24" s="35" t="s">
        <v>28</v>
      </c>
      <c r="C24" s="125">
        <v>322</v>
      </c>
      <c r="D24" s="132">
        <v>14319047</v>
      </c>
      <c r="E24" s="133">
        <f t="shared" si="8"/>
        <v>44469.090062111798</v>
      </c>
      <c r="F24" s="134">
        <v>7953633</v>
      </c>
      <c r="G24" s="134">
        <f t="shared" si="9"/>
        <v>24700.723602484471</v>
      </c>
      <c r="H24" s="135"/>
      <c r="I24" s="136">
        <v>0.3301</v>
      </c>
      <c r="J24" s="134">
        <v>2625</v>
      </c>
      <c r="K24" s="120">
        <f t="shared" ref="K24:K38" si="10">(J24/C24)</f>
        <v>8.1521739130434785</v>
      </c>
      <c r="L24" s="122">
        <f t="shared" si="3"/>
        <v>79536.33</v>
      </c>
      <c r="M24" s="116">
        <f t="shared" si="4"/>
        <v>76911.33</v>
      </c>
      <c r="N24" s="123">
        <f t="shared" si="5"/>
        <v>238.85506211180126</v>
      </c>
      <c r="O24" s="5"/>
      <c r="P24" s="5">
        <f t="shared" si="6"/>
        <v>1</v>
      </c>
      <c r="Q24" s="7">
        <f t="shared" si="7"/>
        <v>322</v>
      </c>
    </row>
    <row r="25" spans="1:21">
      <c r="A25" s="23" t="s">
        <v>29</v>
      </c>
      <c r="B25" s="35" t="s">
        <v>28</v>
      </c>
      <c r="C25" s="125">
        <v>477</v>
      </c>
      <c r="D25" s="132">
        <v>12262227</v>
      </c>
      <c r="E25" s="133">
        <f t="shared" si="8"/>
        <v>25706.974842767297</v>
      </c>
      <c r="F25" s="134">
        <v>7233385</v>
      </c>
      <c r="G25" s="134">
        <f t="shared" si="9"/>
        <v>15164.329140461216</v>
      </c>
      <c r="H25" s="135"/>
      <c r="I25" s="136">
        <v>0.33879999999999999</v>
      </c>
      <c r="J25" s="134">
        <v>2451</v>
      </c>
      <c r="K25" s="120">
        <f t="shared" si="10"/>
        <v>5.1383647798742142</v>
      </c>
      <c r="L25" s="122">
        <f t="shared" si="3"/>
        <v>72333.850000000006</v>
      </c>
      <c r="M25" s="116">
        <f t="shared" si="4"/>
        <v>69882.850000000006</v>
      </c>
      <c r="N25" s="123">
        <f t="shared" si="5"/>
        <v>146.50492662473795</v>
      </c>
      <c r="O25" s="5"/>
      <c r="P25" s="5">
        <f t="shared" si="6"/>
        <v>1</v>
      </c>
      <c r="Q25" s="7">
        <f t="shared" si="7"/>
        <v>477</v>
      </c>
    </row>
    <row r="26" spans="1:21">
      <c r="A26" s="23" t="s">
        <v>30</v>
      </c>
      <c r="B26" s="35" t="s">
        <v>28</v>
      </c>
      <c r="C26" s="125">
        <v>711</v>
      </c>
      <c r="D26" s="132">
        <v>25390530</v>
      </c>
      <c r="E26" s="133">
        <f t="shared" si="8"/>
        <v>35711.012658227846</v>
      </c>
      <c r="F26" s="134">
        <v>14766842</v>
      </c>
      <c r="G26" s="134">
        <f t="shared" si="9"/>
        <v>20769.116736990156</v>
      </c>
      <c r="H26" s="135"/>
      <c r="I26" s="150">
        <v>1.6786000000000001</v>
      </c>
      <c r="J26" s="134">
        <v>24788</v>
      </c>
      <c r="K26" s="120">
        <f t="shared" si="10"/>
        <v>34.863572433192687</v>
      </c>
      <c r="L26" s="122">
        <f t="shared" si="3"/>
        <v>147668.42000000001</v>
      </c>
      <c r="M26" s="116">
        <f t="shared" si="4"/>
        <v>122880.42000000001</v>
      </c>
      <c r="N26" s="123">
        <f t="shared" si="5"/>
        <v>172.82759493670889</v>
      </c>
      <c r="O26" s="5"/>
      <c r="P26" s="5">
        <f t="shared" si="6"/>
        <v>1</v>
      </c>
      <c r="Q26" s="7">
        <f t="shared" si="7"/>
        <v>711</v>
      </c>
    </row>
    <row r="27" spans="1:21">
      <c r="A27" s="23" t="s">
        <v>31</v>
      </c>
      <c r="B27" s="35" t="s">
        <v>28</v>
      </c>
      <c r="C27" s="125">
        <v>5442</v>
      </c>
      <c r="D27" s="132">
        <v>284239659</v>
      </c>
      <c r="E27" s="133">
        <f t="shared" si="8"/>
        <v>52230.734840132303</v>
      </c>
      <c r="F27" s="134">
        <v>193485997</v>
      </c>
      <c r="G27" s="134">
        <f t="shared" si="9"/>
        <v>35554.207460492464</v>
      </c>
      <c r="H27" s="135"/>
      <c r="I27" s="150">
        <v>4.1784999999999997</v>
      </c>
      <c r="J27" s="134">
        <v>808481</v>
      </c>
      <c r="K27" s="120">
        <f t="shared" si="10"/>
        <v>148.56321205439176</v>
      </c>
      <c r="L27" s="122">
        <f t="shared" si="3"/>
        <v>1934859.97</v>
      </c>
      <c r="M27" s="116">
        <f t="shared" si="4"/>
        <v>1126378.97</v>
      </c>
      <c r="N27" s="123">
        <f t="shared" si="5"/>
        <v>206.97886255053288</v>
      </c>
      <c r="O27" s="5"/>
      <c r="P27" s="5">
        <f t="shared" si="6"/>
        <v>1</v>
      </c>
      <c r="Q27" s="7">
        <f t="shared" si="7"/>
        <v>5442</v>
      </c>
      <c r="S27" s="124">
        <f>SUM(D24:D27)</f>
        <v>336211463</v>
      </c>
      <c r="T27" s="124">
        <f>SUM(F24:F27)</f>
        <v>223439857</v>
      </c>
      <c r="U27" s="124">
        <f>SUM(J24:J27)</f>
        <v>838345</v>
      </c>
    </row>
    <row r="28" spans="1:21">
      <c r="A28" s="23" t="s">
        <v>32</v>
      </c>
      <c r="B28" s="35" t="s">
        <v>33</v>
      </c>
      <c r="C28" s="125">
        <v>10084</v>
      </c>
      <c r="D28" s="132">
        <v>1247844362</v>
      </c>
      <c r="E28" s="133">
        <f t="shared" si="8"/>
        <v>123744.9783815946</v>
      </c>
      <c r="F28" s="134">
        <v>976396896</v>
      </c>
      <c r="G28" s="134">
        <f t="shared" si="9"/>
        <v>96826.348274494245</v>
      </c>
      <c r="H28" s="135"/>
      <c r="I28" s="150">
        <v>3.4796999999999998</v>
      </c>
      <c r="J28" s="134">
        <v>3397568.2790112002</v>
      </c>
      <c r="K28" s="120">
        <f t="shared" si="10"/>
        <v>336.92664409075763</v>
      </c>
      <c r="L28" s="122">
        <f t="shared" si="3"/>
        <v>9763968.9600000009</v>
      </c>
      <c r="M28" s="116">
        <f t="shared" si="4"/>
        <v>6366400.6809888007</v>
      </c>
      <c r="N28" s="123">
        <f t="shared" si="5"/>
        <v>631.33683865418493</v>
      </c>
      <c r="O28" s="5"/>
      <c r="P28" s="5">
        <f t="shared" si="6"/>
        <v>1</v>
      </c>
      <c r="Q28" s="7">
        <f t="shared" si="7"/>
        <v>10084</v>
      </c>
    </row>
    <row r="29" spans="1:21">
      <c r="A29" s="23" t="s">
        <v>34</v>
      </c>
      <c r="B29" s="35" t="s">
        <v>33</v>
      </c>
      <c r="C29" s="125">
        <v>18313</v>
      </c>
      <c r="D29" s="132">
        <v>1209825656</v>
      </c>
      <c r="E29" s="133">
        <f t="shared" si="8"/>
        <v>66063.761044067054</v>
      </c>
      <c r="F29" s="134">
        <v>812882670</v>
      </c>
      <c r="G29" s="134">
        <f t="shared" si="9"/>
        <v>44388.285371047888</v>
      </c>
      <c r="H29" s="135"/>
      <c r="I29" s="136">
        <v>5.9790000000000001</v>
      </c>
      <c r="J29" s="134">
        <v>4860225.4839300001</v>
      </c>
      <c r="K29" s="120">
        <f t="shared" si="10"/>
        <v>265.39755823349532</v>
      </c>
      <c r="L29" s="122">
        <f t="shared" si="3"/>
        <v>8128826.7000000002</v>
      </c>
      <c r="M29" s="116">
        <f t="shared" si="4"/>
        <v>3268601.2160700001</v>
      </c>
      <c r="N29" s="123">
        <f t="shared" si="5"/>
        <v>178.48529547698357</v>
      </c>
      <c r="O29" s="5"/>
      <c r="P29" s="5">
        <f t="shared" si="6"/>
        <v>1</v>
      </c>
      <c r="Q29" s="7">
        <f t="shared" si="7"/>
        <v>18313</v>
      </c>
    </row>
    <row r="30" spans="1:21">
      <c r="A30" s="23" t="s">
        <v>35</v>
      </c>
      <c r="B30" s="35" t="s">
        <v>33</v>
      </c>
      <c r="C30" s="125">
        <v>11182</v>
      </c>
      <c r="D30" s="132">
        <v>2278041820</v>
      </c>
      <c r="E30" s="133">
        <f t="shared" si="8"/>
        <v>203724.0046503309</v>
      </c>
      <c r="F30" s="134">
        <v>1570025655</v>
      </c>
      <c r="G30" s="134">
        <f t="shared" si="9"/>
        <v>140406.51538186372</v>
      </c>
      <c r="H30" s="135"/>
      <c r="I30" s="136">
        <v>4.9798</v>
      </c>
      <c r="J30" s="134">
        <v>7818413.7567689996</v>
      </c>
      <c r="K30" s="120">
        <f t="shared" si="10"/>
        <v>699.19636529860486</v>
      </c>
      <c r="L30" s="122">
        <f t="shared" si="3"/>
        <v>15700256.550000001</v>
      </c>
      <c r="M30" s="116">
        <f t="shared" si="4"/>
        <v>7881842.7932310011</v>
      </c>
      <c r="N30" s="123">
        <f t="shared" si="5"/>
        <v>704.86878852003224</v>
      </c>
      <c r="O30" s="5"/>
      <c r="P30" s="5">
        <f t="shared" si="6"/>
        <v>1</v>
      </c>
      <c r="Q30" s="7">
        <f t="shared" si="7"/>
        <v>11182</v>
      </c>
    </row>
    <row r="31" spans="1:21">
      <c r="A31" s="23" t="s">
        <v>530</v>
      </c>
      <c r="B31" s="35" t="s">
        <v>33</v>
      </c>
      <c r="C31" s="125">
        <v>3949</v>
      </c>
      <c r="D31" s="132">
        <v>477154491</v>
      </c>
      <c r="E31" s="133">
        <f t="shared" si="8"/>
        <v>120829.19498607243</v>
      </c>
      <c r="F31" s="134">
        <v>314870323</v>
      </c>
      <c r="G31" s="134">
        <f t="shared" si="9"/>
        <v>79734.191694099776</v>
      </c>
      <c r="H31" s="152"/>
      <c r="I31" s="136">
        <v>1.0603</v>
      </c>
      <c r="J31" s="134">
        <v>333857.00347689999</v>
      </c>
      <c r="K31" s="120">
        <f t="shared" si="10"/>
        <v>84.542163453253991</v>
      </c>
      <c r="L31" s="122">
        <f t="shared" si="3"/>
        <v>3148703.23</v>
      </c>
      <c r="M31" s="116">
        <f t="shared" si="4"/>
        <v>2814846.2265230999</v>
      </c>
      <c r="N31" s="123">
        <f t="shared" si="5"/>
        <v>712.79975348774371</v>
      </c>
      <c r="O31" s="5"/>
      <c r="P31" s="5">
        <f t="shared" si="6"/>
        <v>1</v>
      </c>
      <c r="Q31" s="7">
        <f t="shared" si="7"/>
        <v>3949</v>
      </c>
    </row>
    <row r="32" spans="1:21">
      <c r="A32" s="23" t="s">
        <v>36</v>
      </c>
      <c r="B32" s="35" t="s">
        <v>33</v>
      </c>
      <c r="C32" s="125">
        <v>2787</v>
      </c>
      <c r="D32" s="132">
        <v>489703309</v>
      </c>
      <c r="E32" s="133">
        <f t="shared" si="8"/>
        <v>175709.83458916398</v>
      </c>
      <c r="F32" s="134">
        <v>326891307</v>
      </c>
      <c r="G32" s="134">
        <f t="shared" si="9"/>
        <v>117291.46286329387</v>
      </c>
      <c r="H32" s="135"/>
      <c r="I32" s="136">
        <v>6.4695</v>
      </c>
      <c r="J32" s="134">
        <v>2114823.3106364999</v>
      </c>
      <c r="K32" s="120">
        <f t="shared" si="10"/>
        <v>758.81711899407958</v>
      </c>
      <c r="L32" s="122">
        <f t="shared" si="3"/>
        <v>3268913.0700000003</v>
      </c>
      <c r="M32" s="116">
        <f t="shared" si="4"/>
        <v>1154089.7593635004</v>
      </c>
      <c r="N32" s="123">
        <f t="shared" si="5"/>
        <v>414.09750963885915</v>
      </c>
      <c r="O32" s="5"/>
      <c r="P32" s="5">
        <f t="shared" si="6"/>
        <v>1</v>
      </c>
      <c r="Q32" s="7">
        <f t="shared" si="7"/>
        <v>2787</v>
      </c>
    </row>
    <row r="33" spans="1:21">
      <c r="A33" s="23" t="s">
        <v>37</v>
      </c>
      <c r="B33" s="35" t="s">
        <v>33</v>
      </c>
      <c r="C33" s="125">
        <v>8386</v>
      </c>
      <c r="D33" s="132">
        <v>1034580229</v>
      </c>
      <c r="E33" s="133">
        <f t="shared" si="8"/>
        <v>123369.92952539948</v>
      </c>
      <c r="F33" s="134">
        <v>739984903</v>
      </c>
      <c r="G33" s="134">
        <f t="shared" si="9"/>
        <v>88240.508347245413</v>
      </c>
      <c r="H33" s="135"/>
      <c r="I33" s="136">
        <v>5.4802</v>
      </c>
      <c r="J33" s="134">
        <v>4055265.2654205998</v>
      </c>
      <c r="K33" s="120">
        <f t="shared" si="10"/>
        <v>483.57563384457427</v>
      </c>
      <c r="L33" s="122">
        <f t="shared" si="3"/>
        <v>7399849.0300000003</v>
      </c>
      <c r="M33" s="116">
        <f t="shared" si="4"/>
        <v>3344583.7645794004</v>
      </c>
      <c r="N33" s="123">
        <f t="shared" si="5"/>
        <v>398.82944962787985</v>
      </c>
      <c r="O33" s="5"/>
      <c r="P33" s="5">
        <f t="shared" si="6"/>
        <v>1</v>
      </c>
      <c r="Q33" s="7">
        <f t="shared" si="7"/>
        <v>8386</v>
      </c>
    </row>
    <row r="34" spans="1:21">
      <c r="A34" s="23" t="s">
        <v>38</v>
      </c>
      <c r="B34" s="35" t="s">
        <v>33</v>
      </c>
      <c r="C34" s="125">
        <v>2796</v>
      </c>
      <c r="D34" s="132">
        <v>294171091</v>
      </c>
      <c r="E34" s="133">
        <f t="shared" si="8"/>
        <v>105211.40593705293</v>
      </c>
      <c r="F34" s="134">
        <v>199635132</v>
      </c>
      <c r="G34" s="134">
        <f t="shared" si="9"/>
        <v>71400.261802575114</v>
      </c>
      <c r="H34" s="135"/>
      <c r="I34" s="136">
        <v>1.9256</v>
      </c>
      <c r="J34" s="134">
        <v>384417.4101792</v>
      </c>
      <c r="K34" s="120">
        <f t="shared" si="10"/>
        <v>137.48834412703863</v>
      </c>
      <c r="L34" s="122">
        <f t="shared" si="3"/>
        <v>1996351.32</v>
      </c>
      <c r="M34" s="116">
        <f t="shared" si="4"/>
        <v>1611933.9098208002</v>
      </c>
      <c r="N34" s="123">
        <f t="shared" si="5"/>
        <v>576.51427389871253</v>
      </c>
      <c r="O34" s="5"/>
      <c r="P34" s="5">
        <f t="shared" si="6"/>
        <v>1</v>
      </c>
      <c r="Q34" s="7">
        <f t="shared" si="7"/>
        <v>2796</v>
      </c>
    </row>
    <row r="35" spans="1:21">
      <c r="A35" s="23" t="s">
        <v>39</v>
      </c>
      <c r="B35" s="35" t="s">
        <v>33</v>
      </c>
      <c r="C35" s="125">
        <v>79600</v>
      </c>
      <c r="D35" s="132">
        <v>6112728127</v>
      </c>
      <c r="E35" s="133">
        <f t="shared" si="8"/>
        <v>76793.066922110549</v>
      </c>
      <c r="F35" s="134">
        <v>3864857035</v>
      </c>
      <c r="G35" s="134">
        <f t="shared" si="9"/>
        <v>48553.480339195979</v>
      </c>
      <c r="H35" s="135"/>
      <c r="I35" s="136">
        <v>7.6886000000000001</v>
      </c>
      <c r="J35" s="134">
        <v>29715339.799300998</v>
      </c>
      <c r="K35" s="120">
        <f t="shared" si="10"/>
        <v>373.30828893594219</v>
      </c>
      <c r="L35" s="122">
        <f t="shared" si="3"/>
        <v>38648570.350000001</v>
      </c>
      <c r="M35" s="116">
        <f t="shared" si="4"/>
        <v>8933230.550699003</v>
      </c>
      <c r="N35" s="123">
        <f t="shared" si="5"/>
        <v>112.22651445601763</v>
      </c>
      <c r="O35" s="5"/>
      <c r="P35" s="5">
        <f t="shared" si="6"/>
        <v>1</v>
      </c>
      <c r="Q35" s="7">
        <f t="shared" si="7"/>
        <v>79600</v>
      </c>
    </row>
    <row r="36" spans="1:21">
      <c r="A36" s="23" t="s">
        <v>40</v>
      </c>
      <c r="B36" s="35" t="s">
        <v>33</v>
      </c>
      <c r="C36" s="125">
        <v>3078</v>
      </c>
      <c r="D36" s="132">
        <v>520589127</v>
      </c>
      <c r="E36" s="133">
        <f t="shared" si="8"/>
        <v>169132.26998050683</v>
      </c>
      <c r="F36" s="134">
        <v>333865577</v>
      </c>
      <c r="G36" s="134">
        <f t="shared" si="9"/>
        <v>108468.34860298896</v>
      </c>
      <c r="H36" s="135"/>
      <c r="I36" s="136">
        <v>4.1105</v>
      </c>
      <c r="J36" s="134">
        <v>1372354.4542585001</v>
      </c>
      <c r="K36" s="120">
        <f t="shared" si="10"/>
        <v>445.85914693258616</v>
      </c>
      <c r="L36" s="122">
        <f t="shared" si="3"/>
        <v>3338655.77</v>
      </c>
      <c r="M36" s="116">
        <f t="shared" si="4"/>
        <v>1966301.3157414999</v>
      </c>
      <c r="N36" s="123">
        <f t="shared" si="5"/>
        <v>638.82433909730344</v>
      </c>
      <c r="O36" s="5"/>
      <c r="P36" s="5">
        <f t="shared" si="6"/>
        <v>1</v>
      </c>
      <c r="Q36" s="7">
        <f t="shared" si="7"/>
        <v>3078</v>
      </c>
    </row>
    <row r="37" spans="1:21">
      <c r="A37" s="23" t="s">
        <v>41</v>
      </c>
      <c r="B37" s="35" t="s">
        <v>33</v>
      </c>
      <c r="C37" s="125">
        <v>664</v>
      </c>
      <c r="D37" s="132">
        <v>61509118</v>
      </c>
      <c r="E37" s="133">
        <f t="shared" si="8"/>
        <v>92634.21385542168</v>
      </c>
      <c r="F37" s="134">
        <v>36808825</v>
      </c>
      <c r="G37" s="134">
        <f t="shared" si="9"/>
        <v>55434.977409638552</v>
      </c>
      <c r="H37" s="135"/>
      <c r="I37" s="136">
        <v>9.8134999999999994</v>
      </c>
      <c r="J37" s="134">
        <v>361223.40413749998</v>
      </c>
      <c r="K37" s="120">
        <f t="shared" si="10"/>
        <v>544.01115080948796</v>
      </c>
      <c r="L37" s="122">
        <f t="shared" si="3"/>
        <v>368088.25</v>
      </c>
      <c r="M37" s="116">
        <f t="shared" si="4"/>
        <v>6864.8458625000203</v>
      </c>
      <c r="N37" s="123">
        <f t="shared" si="5"/>
        <v>10.33862328689762</v>
      </c>
      <c r="O37" s="5"/>
      <c r="P37" s="5">
        <f t="shared" si="6"/>
        <v>1</v>
      </c>
      <c r="Q37" s="7">
        <f t="shared" si="7"/>
        <v>664</v>
      </c>
    </row>
    <row r="38" spans="1:21">
      <c r="A38" s="23" t="s">
        <v>42</v>
      </c>
      <c r="B38" s="35" t="s">
        <v>33</v>
      </c>
      <c r="C38" s="125">
        <v>107481</v>
      </c>
      <c r="D38" s="132">
        <v>5292799370</v>
      </c>
      <c r="E38" s="133">
        <f t="shared" si="8"/>
        <v>49244.046575673841</v>
      </c>
      <c r="F38" s="134">
        <v>2966274539</v>
      </c>
      <c r="G38" s="134">
        <f t="shared" si="9"/>
        <v>27598.129334487025</v>
      </c>
      <c r="H38" s="135"/>
      <c r="I38" s="136">
        <v>8.5</v>
      </c>
      <c r="J38" s="134">
        <v>25213333.581500001</v>
      </c>
      <c r="K38" s="120">
        <f t="shared" si="10"/>
        <v>234.58409934313974</v>
      </c>
      <c r="L38" s="122">
        <f t="shared" si="3"/>
        <v>29662745.390000001</v>
      </c>
      <c r="M38" s="116">
        <f t="shared" si="4"/>
        <v>4449411.8084999993</v>
      </c>
      <c r="N38" s="123">
        <f t="shared" si="5"/>
        <v>41.397194001730533</v>
      </c>
      <c r="O38" s="5"/>
      <c r="P38" s="5">
        <f t="shared" si="6"/>
        <v>1</v>
      </c>
      <c r="Q38" s="7">
        <f t="shared" si="7"/>
        <v>107481</v>
      </c>
    </row>
    <row r="39" spans="1:21">
      <c r="A39" s="23" t="s">
        <v>43</v>
      </c>
      <c r="B39" s="35" t="s">
        <v>33</v>
      </c>
      <c r="C39" s="125">
        <v>975</v>
      </c>
      <c r="D39" s="147" t="s">
        <v>564</v>
      </c>
      <c r="E39" s="133"/>
      <c r="F39" s="134"/>
      <c r="G39" s="134"/>
      <c r="H39" s="148" t="s">
        <v>588</v>
      </c>
      <c r="I39" s="136"/>
      <c r="J39" s="134"/>
      <c r="K39" s="120"/>
      <c r="L39" s="122">
        <f t="shared" si="3"/>
        <v>0</v>
      </c>
      <c r="M39" s="116">
        <f t="shared" si="4"/>
        <v>0</v>
      </c>
      <c r="N39" s="123">
        <f t="shared" si="5"/>
        <v>0</v>
      </c>
      <c r="O39" s="5"/>
      <c r="P39" s="5">
        <f t="shared" si="6"/>
        <v>0</v>
      </c>
      <c r="Q39" s="7">
        <f t="shared" si="7"/>
        <v>0</v>
      </c>
    </row>
    <row r="40" spans="1:21">
      <c r="A40" s="23" t="s">
        <v>44</v>
      </c>
      <c r="B40" s="35" t="s">
        <v>33</v>
      </c>
      <c r="C40" s="125">
        <v>26165</v>
      </c>
      <c r="D40" s="132">
        <v>1960568150</v>
      </c>
      <c r="E40" s="133">
        <f t="shared" ref="E40:E74" si="11">(D40/C40)</f>
        <v>74930.944009172556</v>
      </c>
      <c r="F40" s="134">
        <v>1177107782</v>
      </c>
      <c r="G40" s="134">
        <f t="shared" ref="G40:G74" si="12">(F40/C40)</f>
        <v>44987.87624689471</v>
      </c>
      <c r="H40" s="135"/>
      <c r="I40" s="136">
        <v>6.34</v>
      </c>
      <c r="J40" s="134">
        <v>7462863.3378800005</v>
      </c>
      <c r="K40" s="120">
        <f t="shared" ref="K40:K74" si="13">(J40/C40)</f>
        <v>285.22313540531246</v>
      </c>
      <c r="L40" s="122">
        <f t="shared" si="3"/>
        <v>11771077.82</v>
      </c>
      <c r="M40" s="116">
        <f t="shared" si="4"/>
        <v>4308214.4821199998</v>
      </c>
      <c r="N40" s="123">
        <f t="shared" si="5"/>
        <v>164.65562706363463</v>
      </c>
      <c r="O40" s="5"/>
      <c r="P40" s="5">
        <f t="shared" si="6"/>
        <v>1</v>
      </c>
      <c r="Q40" s="7">
        <f t="shared" si="7"/>
        <v>26165</v>
      </c>
    </row>
    <row r="41" spans="1:21">
      <c r="A41" s="23" t="s">
        <v>45</v>
      </c>
      <c r="B41" s="35" t="s">
        <v>33</v>
      </c>
      <c r="C41" s="125">
        <v>10403</v>
      </c>
      <c r="D41" s="132">
        <v>1192252187</v>
      </c>
      <c r="E41" s="133">
        <f t="shared" si="11"/>
        <v>114606.57377679515</v>
      </c>
      <c r="F41" s="134">
        <v>732126873</v>
      </c>
      <c r="G41" s="134">
        <f t="shared" si="12"/>
        <v>70376.51379409786</v>
      </c>
      <c r="H41" s="135"/>
      <c r="I41" s="136">
        <v>8.2899999999999991</v>
      </c>
      <c r="J41" s="153">
        <v>6069331.7771699987</v>
      </c>
      <c r="K41" s="120">
        <f t="shared" si="13"/>
        <v>583.42129935307116</v>
      </c>
      <c r="L41" s="122">
        <f t="shared" si="3"/>
        <v>7321268.7300000004</v>
      </c>
      <c r="M41" s="116">
        <f t="shared" si="4"/>
        <v>1251936.9528300017</v>
      </c>
      <c r="N41" s="123">
        <f t="shared" si="5"/>
        <v>120.3438385879075</v>
      </c>
      <c r="O41" s="5"/>
      <c r="P41" s="5">
        <f t="shared" si="6"/>
        <v>1</v>
      </c>
      <c r="Q41" s="7">
        <f t="shared" si="7"/>
        <v>10403</v>
      </c>
    </row>
    <row r="42" spans="1:21">
      <c r="A42" s="23" t="s">
        <v>46</v>
      </c>
      <c r="B42" s="35" t="s">
        <v>33</v>
      </c>
      <c r="C42" s="125">
        <v>45325</v>
      </c>
      <c r="D42" s="132">
        <v>2497975990</v>
      </c>
      <c r="E42" s="133">
        <f t="shared" si="11"/>
        <v>55112.542526199672</v>
      </c>
      <c r="F42" s="134">
        <v>1436366377</v>
      </c>
      <c r="G42" s="134">
        <f t="shared" si="12"/>
        <v>31690.377870932156</v>
      </c>
      <c r="H42" s="135"/>
      <c r="I42" s="136">
        <v>7.9010999999999996</v>
      </c>
      <c r="J42" s="134">
        <v>11348874.381314699</v>
      </c>
      <c r="K42" s="120">
        <f t="shared" si="13"/>
        <v>250.38884459602204</v>
      </c>
      <c r="L42" s="122">
        <f t="shared" si="3"/>
        <v>14363663.77</v>
      </c>
      <c r="M42" s="116">
        <f t="shared" si="4"/>
        <v>3014789.3886853009</v>
      </c>
      <c r="N42" s="123">
        <f t="shared" si="5"/>
        <v>66.514934113299518</v>
      </c>
      <c r="O42" s="5"/>
      <c r="P42" s="5">
        <f t="shared" si="6"/>
        <v>1</v>
      </c>
      <c r="Q42" s="7">
        <f t="shared" si="7"/>
        <v>45325</v>
      </c>
    </row>
    <row r="43" spans="1:21">
      <c r="A43" s="23" t="s">
        <v>47</v>
      </c>
      <c r="B43" s="35" t="s">
        <v>33</v>
      </c>
      <c r="C43" s="125">
        <v>20250</v>
      </c>
      <c r="D43" s="132">
        <v>1660132001</v>
      </c>
      <c r="E43" s="133">
        <f t="shared" si="11"/>
        <v>81981.827209876545</v>
      </c>
      <c r="F43" s="134">
        <v>1125293341</v>
      </c>
      <c r="G43" s="134">
        <f t="shared" si="12"/>
        <v>55570.041530864197</v>
      </c>
      <c r="H43" s="148"/>
      <c r="I43" s="136">
        <v>2.4632999999999998</v>
      </c>
      <c r="J43" s="134">
        <v>2771935.0868852995</v>
      </c>
      <c r="K43" s="120">
        <f t="shared" si="13"/>
        <v>136.88568330297775</v>
      </c>
      <c r="L43" s="122">
        <f t="shared" si="3"/>
        <v>11252933.41</v>
      </c>
      <c r="M43" s="116">
        <f t="shared" si="4"/>
        <v>8480998.3231147006</v>
      </c>
      <c r="N43" s="123">
        <f t="shared" si="5"/>
        <v>418.81473200566421</v>
      </c>
      <c r="O43" s="5"/>
      <c r="P43" s="5">
        <f t="shared" si="6"/>
        <v>1</v>
      </c>
      <c r="Q43" s="7">
        <f t="shared" si="7"/>
        <v>20250</v>
      </c>
      <c r="S43" s="124">
        <f>SUM(D28:D43)</f>
        <v>26329875028</v>
      </c>
      <c r="T43" s="124">
        <f>SUM(F28:F43)</f>
        <v>16613387235</v>
      </c>
      <c r="U43" s="124">
        <f>SUM(J28:J43)</f>
        <v>107279826.33187041</v>
      </c>
    </row>
    <row r="44" spans="1:21">
      <c r="A44" s="23" t="s">
        <v>48</v>
      </c>
      <c r="B44" s="35" t="s">
        <v>49</v>
      </c>
      <c r="C44" s="125">
        <v>56593</v>
      </c>
      <c r="D44" s="132">
        <v>5358377495</v>
      </c>
      <c r="E44" s="133">
        <f t="shared" si="11"/>
        <v>94682.69035039669</v>
      </c>
      <c r="F44" s="134">
        <v>3299462451</v>
      </c>
      <c r="G44" s="134">
        <f t="shared" si="12"/>
        <v>58301.600038874065</v>
      </c>
      <c r="H44" s="148"/>
      <c r="I44" s="150">
        <v>6.1802999999999999</v>
      </c>
      <c r="J44" s="134">
        <v>20391667.7859153</v>
      </c>
      <c r="K44" s="120">
        <f t="shared" si="13"/>
        <v>360.32137872025339</v>
      </c>
      <c r="L44" s="122">
        <f t="shared" si="3"/>
        <v>32994624.510000002</v>
      </c>
      <c r="M44" s="116">
        <f t="shared" si="4"/>
        <v>12602956.724084701</v>
      </c>
      <c r="N44" s="123">
        <f t="shared" si="5"/>
        <v>222.69462166848729</v>
      </c>
      <c r="O44" s="5"/>
      <c r="P44" s="5">
        <f t="shared" si="6"/>
        <v>1</v>
      </c>
      <c r="Q44" s="7">
        <f t="shared" si="7"/>
        <v>56593</v>
      </c>
    </row>
    <row r="45" spans="1:21">
      <c r="A45" s="23" t="s">
        <v>50</v>
      </c>
      <c r="B45" s="35" t="s">
        <v>49</v>
      </c>
      <c r="C45" s="125">
        <v>33176</v>
      </c>
      <c r="D45" s="132">
        <v>4096844356</v>
      </c>
      <c r="E45" s="133">
        <f t="shared" si="11"/>
        <v>123488.1949602122</v>
      </c>
      <c r="F45" s="134">
        <v>2523307452</v>
      </c>
      <c r="G45" s="134">
        <f t="shared" si="12"/>
        <v>76058.218350614901</v>
      </c>
      <c r="H45" s="148"/>
      <c r="I45" s="136">
        <v>5.9292999999999996</v>
      </c>
      <c r="J45" s="134">
        <v>14961446.875143599</v>
      </c>
      <c r="K45" s="120">
        <f t="shared" si="13"/>
        <v>450.97199406630091</v>
      </c>
      <c r="L45" s="122">
        <f t="shared" si="3"/>
        <v>25233074.52</v>
      </c>
      <c r="M45" s="116">
        <f t="shared" si="4"/>
        <v>10271627.644856401</v>
      </c>
      <c r="N45" s="123">
        <f t="shared" si="5"/>
        <v>309.61018943984811</v>
      </c>
      <c r="O45" s="5"/>
      <c r="P45" s="5">
        <f t="shared" si="6"/>
        <v>1</v>
      </c>
      <c r="Q45" s="7">
        <f t="shared" si="7"/>
        <v>33176</v>
      </c>
    </row>
    <row r="46" spans="1:21">
      <c r="A46" s="23" t="s">
        <v>51</v>
      </c>
      <c r="B46" s="35" t="s">
        <v>49</v>
      </c>
      <c r="C46" s="125">
        <v>124282</v>
      </c>
      <c r="D46" s="132">
        <v>12635463873</v>
      </c>
      <c r="E46" s="133">
        <f t="shared" si="11"/>
        <v>101667.69019648863</v>
      </c>
      <c r="F46" s="134">
        <v>8484200067</v>
      </c>
      <c r="G46" s="134">
        <f t="shared" si="12"/>
        <v>68265.718824930402</v>
      </c>
      <c r="H46" s="148"/>
      <c r="I46" s="136">
        <v>4.7981999999999996</v>
      </c>
      <c r="J46" s="134">
        <v>40708888.761479393</v>
      </c>
      <c r="K46" s="120">
        <f t="shared" si="13"/>
        <v>327.55257206578096</v>
      </c>
      <c r="L46" s="122">
        <f t="shared" si="3"/>
        <v>84842000.670000002</v>
      </c>
      <c r="M46" s="116">
        <f t="shared" si="4"/>
        <v>44133111.908520609</v>
      </c>
      <c r="N46" s="123">
        <f t="shared" si="5"/>
        <v>355.10461618352304</v>
      </c>
      <c r="O46" s="5"/>
      <c r="P46" s="5">
        <f t="shared" si="6"/>
        <v>1</v>
      </c>
      <c r="Q46" s="7">
        <f t="shared" si="7"/>
        <v>124282</v>
      </c>
    </row>
    <row r="47" spans="1:21">
      <c r="A47" s="23" t="s">
        <v>464</v>
      </c>
      <c r="B47" s="35" t="s">
        <v>49</v>
      </c>
      <c r="C47" s="125">
        <v>30644</v>
      </c>
      <c r="D47" s="132">
        <v>3926821129</v>
      </c>
      <c r="E47" s="133">
        <f t="shared" si="11"/>
        <v>128143.22963712309</v>
      </c>
      <c r="F47" s="134">
        <v>2935160822</v>
      </c>
      <c r="G47" s="134">
        <f t="shared" si="12"/>
        <v>95782.561741287034</v>
      </c>
      <c r="H47" s="148"/>
      <c r="I47" s="136">
        <v>5.9997999999999996</v>
      </c>
      <c r="J47" s="134">
        <v>17610377.899835598</v>
      </c>
      <c r="K47" s="120">
        <f t="shared" si="13"/>
        <v>574.67621393537388</v>
      </c>
      <c r="L47" s="122">
        <f t="shared" si="3"/>
        <v>29351608.219999999</v>
      </c>
      <c r="M47" s="116">
        <f t="shared" si="4"/>
        <v>11741230.320164401</v>
      </c>
      <c r="N47" s="123">
        <f t="shared" si="5"/>
        <v>383.14940347749643</v>
      </c>
      <c r="O47" s="5"/>
      <c r="P47" s="5">
        <f t="shared" si="6"/>
        <v>1</v>
      </c>
      <c r="Q47" s="7">
        <f t="shared" si="7"/>
        <v>30644</v>
      </c>
    </row>
    <row r="48" spans="1:21">
      <c r="A48" s="23" t="s">
        <v>52</v>
      </c>
      <c r="B48" s="35" t="s">
        <v>49</v>
      </c>
      <c r="C48" s="125">
        <v>96908</v>
      </c>
      <c r="D48" s="132">
        <v>11971863564</v>
      </c>
      <c r="E48" s="133">
        <f t="shared" si="11"/>
        <v>123538.44433896066</v>
      </c>
      <c r="F48" s="134">
        <v>7692403015</v>
      </c>
      <c r="G48" s="134">
        <f t="shared" si="12"/>
        <v>79378.410605935525</v>
      </c>
      <c r="H48" s="148"/>
      <c r="I48" s="150">
        <v>5.0819000000000001</v>
      </c>
      <c r="J48" s="134">
        <v>39092022.881928496</v>
      </c>
      <c r="K48" s="120">
        <f t="shared" si="13"/>
        <v>403.39314485830369</v>
      </c>
      <c r="L48" s="122">
        <f t="shared" si="3"/>
        <v>76924030.150000006</v>
      </c>
      <c r="M48" s="116">
        <f t="shared" si="4"/>
        <v>37832007.26807151</v>
      </c>
      <c r="N48" s="123">
        <f t="shared" si="5"/>
        <v>390.3909612010516</v>
      </c>
      <c r="O48" s="5"/>
      <c r="P48" s="5">
        <f t="shared" si="6"/>
        <v>1</v>
      </c>
      <c r="Q48" s="7">
        <f t="shared" si="7"/>
        <v>96908</v>
      </c>
    </row>
    <row r="49" spans="1:17">
      <c r="A49" s="23" t="s">
        <v>53</v>
      </c>
      <c r="B49" s="35" t="s">
        <v>49</v>
      </c>
      <c r="C49" s="125">
        <v>76662</v>
      </c>
      <c r="D49" s="132">
        <v>7958666400</v>
      </c>
      <c r="E49" s="133">
        <f t="shared" si="11"/>
        <v>103815.01134851687</v>
      </c>
      <c r="F49" s="134">
        <v>5617357270</v>
      </c>
      <c r="G49" s="134">
        <f t="shared" si="12"/>
        <v>73274.337611854629</v>
      </c>
      <c r="H49" s="148"/>
      <c r="I49" s="136">
        <v>6.1948999999999996</v>
      </c>
      <c r="J49" s="134">
        <v>34798966.551922999</v>
      </c>
      <c r="K49" s="120">
        <f t="shared" si="13"/>
        <v>453.92719407167829</v>
      </c>
      <c r="L49" s="122">
        <f t="shared" si="3"/>
        <v>56173572.700000003</v>
      </c>
      <c r="M49" s="116">
        <f t="shared" si="4"/>
        <v>21374606.148077004</v>
      </c>
      <c r="N49" s="123">
        <f t="shared" si="5"/>
        <v>278.81618204686811</v>
      </c>
      <c r="O49" s="5"/>
      <c r="P49" s="5">
        <f t="shared" si="6"/>
        <v>1</v>
      </c>
      <c r="Q49" s="7">
        <f t="shared" si="7"/>
        <v>76662</v>
      </c>
    </row>
    <row r="50" spans="1:17">
      <c r="A50" s="23" t="s">
        <v>54</v>
      </c>
      <c r="B50" s="35" t="s">
        <v>49</v>
      </c>
      <c r="C50" s="125">
        <v>175123</v>
      </c>
      <c r="D50" s="132">
        <v>40100748620</v>
      </c>
      <c r="E50" s="133">
        <f t="shared" si="11"/>
        <v>228986.19039189597</v>
      </c>
      <c r="F50" s="134">
        <v>28355522221</v>
      </c>
      <c r="G50" s="134">
        <f t="shared" si="12"/>
        <v>161917.7505010764</v>
      </c>
      <c r="H50" s="148"/>
      <c r="I50" s="136">
        <v>4.1193</v>
      </c>
      <c r="J50" s="134">
        <v>116804902.6849653</v>
      </c>
      <c r="K50" s="120">
        <f t="shared" si="13"/>
        <v>666.98778963908399</v>
      </c>
      <c r="L50" s="122">
        <f t="shared" si="3"/>
        <v>283555222.20999998</v>
      </c>
      <c r="M50" s="116">
        <f t="shared" si="4"/>
        <v>166750319.52503467</v>
      </c>
      <c r="N50" s="123">
        <f t="shared" si="5"/>
        <v>952.18971537167977</v>
      </c>
      <c r="O50" s="5"/>
      <c r="P50" s="5">
        <f t="shared" si="6"/>
        <v>1</v>
      </c>
      <c r="Q50" s="7">
        <f t="shared" si="7"/>
        <v>175123</v>
      </c>
    </row>
    <row r="51" spans="1:17">
      <c r="A51" s="23" t="s">
        <v>465</v>
      </c>
      <c r="B51" s="35" t="s">
        <v>49</v>
      </c>
      <c r="C51" s="125">
        <v>38424</v>
      </c>
      <c r="D51" s="132">
        <v>6137093258</v>
      </c>
      <c r="E51" s="133">
        <f t="shared" si="11"/>
        <v>159720.31173225067</v>
      </c>
      <c r="F51" s="134">
        <v>4604239098</v>
      </c>
      <c r="G51" s="134">
        <f t="shared" si="12"/>
        <v>119827.1678638351</v>
      </c>
      <c r="H51" s="148"/>
      <c r="I51" s="136">
        <v>5.1917999999999997</v>
      </c>
      <c r="J51" s="134">
        <v>23904288.5489964</v>
      </c>
      <c r="K51" s="120">
        <f t="shared" si="13"/>
        <v>622.11869011545912</v>
      </c>
      <c r="L51" s="122">
        <f t="shared" si="3"/>
        <v>46042390.980000004</v>
      </c>
      <c r="M51" s="116">
        <f t="shared" si="4"/>
        <v>22138102.431003604</v>
      </c>
      <c r="N51" s="123">
        <f t="shared" si="5"/>
        <v>576.15298852289209</v>
      </c>
      <c r="O51" s="5"/>
      <c r="P51" s="5">
        <f t="shared" si="6"/>
        <v>1</v>
      </c>
      <c r="Q51" s="7">
        <f t="shared" si="7"/>
        <v>38424</v>
      </c>
    </row>
    <row r="52" spans="1:17">
      <c r="A52" s="23" t="s">
        <v>55</v>
      </c>
      <c r="B52" s="35" t="s">
        <v>49</v>
      </c>
      <c r="C52" s="125">
        <v>1867</v>
      </c>
      <c r="D52" s="132">
        <v>1372693154</v>
      </c>
      <c r="E52" s="133">
        <f t="shared" si="11"/>
        <v>735240.03963577934</v>
      </c>
      <c r="F52" s="134">
        <v>1100662853</v>
      </c>
      <c r="G52" s="134">
        <f t="shared" si="12"/>
        <v>589535.53990358859</v>
      </c>
      <c r="H52" s="148"/>
      <c r="I52" s="136">
        <v>3.5</v>
      </c>
      <c r="J52" s="134">
        <v>3852319.9855</v>
      </c>
      <c r="K52" s="120">
        <f t="shared" si="13"/>
        <v>2063.3743896625601</v>
      </c>
      <c r="L52" s="122">
        <f t="shared" si="3"/>
        <v>11006628.529999999</v>
      </c>
      <c r="M52" s="116">
        <f t="shared" si="4"/>
        <v>7154308.5444999989</v>
      </c>
      <c r="N52" s="123">
        <f t="shared" si="5"/>
        <v>3831.9810093733258</v>
      </c>
      <c r="O52" s="5"/>
      <c r="P52" s="5">
        <f t="shared" si="6"/>
        <v>1</v>
      </c>
      <c r="Q52" s="7">
        <f t="shared" si="7"/>
        <v>1867</v>
      </c>
    </row>
    <row r="53" spans="1:17">
      <c r="A53" s="23" t="s">
        <v>56</v>
      </c>
      <c r="B53" s="35" t="s">
        <v>49</v>
      </c>
      <c r="C53" s="125">
        <v>144926</v>
      </c>
      <c r="D53" s="132">
        <v>18537052268</v>
      </c>
      <c r="E53" s="133">
        <f t="shared" si="11"/>
        <v>127907.01646357452</v>
      </c>
      <c r="F53" s="134">
        <v>12083491659</v>
      </c>
      <c r="G53" s="134">
        <f t="shared" si="12"/>
        <v>83376.976243048179</v>
      </c>
      <c r="H53" s="148"/>
      <c r="I53" s="136">
        <v>7.4478999999999997</v>
      </c>
      <c r="J53" s="134">
        <v>89996637.527066097</v>
      </c>
      <c r="K53" s="120">
        <f t="shared" si="13"/>
        <v>620.98338136059851</v>
      </c>
      <c r="L53" s="122">
        <f t="shared" si="3"/>
        <v>120834916.59</v>
      </c>
      <c r="M53" s="116">
        <f t="shared" si="4"/>
        <v>30838279.062933907</v>
      </c>
      <c r="N53" s="123">
        <f t="shared" si="5"/>
        <v>212.7863810698833</v>
      </c>
      <c r="O53" s="5"/>
      <c r="P53" s="5">
        <f t="shared" si="6"/>
        <v>1</v>
      </c>
      <c r="Q53" s="7">
        <f t="shared" si="7"/>
        <v>144926</v>
      </c>
    </row>
    <row r="54" spans="1:17">
      <c r="A54" s="23" t="s">
        <v>57</v>
      </c>
      <c r="B54" s="35" t="s">
        <v>49</v>
      </c>
      <c r="C54" s="125">
        <v>34201</v>
      </c>
      <c r="D54" s="132">
        <v>1557627818</v>
      </c>
      <c r="E54" s="133">
        <f t="shared" si="11"/>
        <v>45543.341364287597</v>
      </c>
      <c r="F54" s="134">
        <v>878276268</v>
      </c>
      <c r="G54" s="134">
        <f t="shared" si="12"/>
        <v>25679.841759012896</v>
      </c>
      <c r="H54" s="148"/>
      <c r="I54" s="136">
        <v>8.5</v>
      </c>
      <c r="J54" s="134">
        <v>7465348.2779999999</v>
      </c>
      <c r="K54" s="120">
        <f t="shared" si="13"/>
        <v>218.27865495160961</v>
      </c>
      <c r="L54" s="122">
        <f t="shared" si="3"/>
        <v>8782762.6799999997</v>
      </c>
      <c r="M54" s="116">
        <f t="shared" si="4"/>
        <v>1317414.4019999998</v>
      </c>
      <c r="N54" s="123">
        <f t="shared" si="5"/>
        <v>38.519762638519332</v>
      </c>
      <c r="O54" s="5"/>
      <c r="P54" s="5">
        <f t="shared" si="6"/>
        <v>1</v>
      </c>
      <c r="Q54" s="7">
        <f t="shared" si="7"/>
        <v>34201</v>
      </c>
    </row>
    <row r="55" spans="1:17">
      <c r="A55" s="23" t="s">
        <v>560</v>
      </c>
      <c r="B55" s="35" t="s">
        <v>49</v>
      </c>
      <c r="C55" s="125">
        <v>6056</v>
      </c>
      <c r="D55" s="132">
        <v>2590865295</v>
      </c>
      <c r="E55" s="133">
        <f t="shared" si="11"/>
        <v>427817.91529062088</v>
      </c>
      <c r="F55" s="134">
        <v>2073594801</v>
      </c>
      <c r="G55" s="134">
        <f t="shared" si="12"/>
        <v>342403.36872523115</v>
      </c>
      <c r="H55" s="148"/>
      <c r="I55" s="136">
        <v>3.7378999999999998</v>
      </c>
      <c r="J55" s="134">
        <v>7750890.0066579003</v>
      </c>
      <c r="K55" s="120">
        <f t="shared" si="13"/>
        <v>1279.8695519580417</v>
      </c>
      <c r="L55" s="122">
        <f t="shared" si="3"/>
        <v>20735948.010000002</v>
      </c>
      <c r="M55" s="116">
        <f t="shared" si="4"/>
        <v>12985058.003342101</v>
      </c>
      <c r="N55" s="123">
        <f t="shared" si="5"/>
        <v>2144.1641352942702</v>
      </c>
      <c r="O55" s="5"/>
      <c r="P55" s="5">
        <f t="shared" si="6"/>
        <v>1</v>
      </c>
      <c r="Q55" s="7">
        <f t="shared" si="7"/>
        <v>6056</v>
      </c>
    </row>
    <row r="56" spans="1:17">
      <c r="A56" s="23" t="s">
        <v>58</v>
      </c>
      <c r="B56" s="35" t="s">
        <v>49</v>
      </c>
      <c r="C56" s="125">
        <v>69651</v>
      </c>
      <c r="D56" s="132">
        <v>3419809704</v>
      </c>
      <c r="E56" s="133">
        <f t="shared" si="11"/>
        <v>49099.219020545293</v>
      </c>
      <c r="F56" s="134">
        <v>2095333376</v>
      </c>
      <c r="G56" s="134">
        <f t="shared" si="12"/>
        <v>30083.320785056927</v>
      </c>
      <c r="H56" s="148"/>
      <c r="I56" s="136">
        <v>7.5898000000000003</v>
      </c>
      <c r="J56" s="134">
        <v>15903161.257164801</v>
      </c>
      <c r="K56" s="120">
        <f t="shared" si="13"/>
        <v>228.32638809442506</v>
      </c>
      <c r="L56" s="122">
        <f t="shared" si="3"/>
        <v>20953333.760000002</v>
      </c>
      <c r="M56" s="116">
        <f t="shared" si="4"/>
        <v>5050172.5028352011</v>
      </c>
      <c r="N56" s="123">
        <f t="shared" si="5"/>
        <v>72.506819756144225</v>
      </c>
      <c r="O56" s="5"/>
      <c r="P56" s="5">
        <f t="shared" si="6"/>
        <v>1</v>
      </c>
      <c r="Q56" s="7">
        <f t="shared" si="7"/>
        <v>69651</v>
      </c>
    </row>
    <row r="57" spans="1:17">
      <c r="A57" s="23" t="s">
        <v>59</v>
      </c>
      <c r="B57" s="35" t="s">
        <v>49</v>
      </c>
      <c r="C57" s="125">
        <v>24</v>
      </c>
      <c r="D57" s="147">
        <v>8481669</v>
      </c>
      <c r="E57" s="133">
        <f t="shared" si="11"/>
        <v>353402.875</v>
      </c>
      <c r="F57" s="134">
        <v>5947776</v>
      </c>
      <c r="G57" s="134">
        <f t="shared" si="12"/>
        <v>247824</v>
      </c>
      <c r="H57" s="148"/>
      <c r="I57" s="136">
        <v>4.7930999999999999</v>
      </c>
      <c r="J57" s="134">
        <v>28508</v>
      </c>
      <c r="K57" s="120">
        <f t="shared" si="13"/>
        <v>1187.8333333333333</v>
      </c>
      <c r="L57" s="122">
        <f t="shared" si="3"/>
        <v>59477.760000000002</v>
      </c>
      <c r="M57" s="116">
        <f t="shared" si="4"/>
        <v>30969.760000000002</v>
      </c>
      <c r="N57" s="123">
        <f t="shared" si="5"/>
        <v>1290.4066666666668</v>
      </c>
      <c r="O57" s="5"/>
      <c r="P57" s="5">
        <f t="shared" si="6"/>
        <v>1</v>
      </c>
      <c r="Q57" s="7">
        <f t="shared" si="7"/>
        <v>24</v>
      </c>
    </row>
    <row r="58" spans="1:17">
      <c r="A58" s="23" t="s">
        <v>60</v>
      </c>
      <c r="B58" s="35" t="s">
        <v>49</v>
      </c>
      <c r="C58" s="125">
        <v>10358</v>
      </c>
      <c r="D58" s="132">
        <v>2824456713</v>
      </c>
      <c r="E58" s="133">
        <f t="shared" si="11"/>
        <v>272683.59847460903</v>
      </c>
      <c r="F58" s="134">
        <v>1975206254</v>
      </c>
      <c r="G58" s="134">
        <f t="shared" si="12"/>
        <v>190693.78779687197</v>
      </c>
      <c r="H58" s="148"/>
      <c r="I58" s="136">
        <v>3.5893000000000002</v>
      </c>
      <c r="J58" s="134">
        <v>7089607.8074822007</v>
      </c>
      <c r="K58" s="120">
        <f t="shared" si="13"/>
        <v>684.45721253931265</v>
      </c>
      <c r="L58" s="122">
        <f t="shared" si="3"/>
        <v>19752062.539999999</v>
      </c>
      <c r="M58" s="116">
        <f t="shared" si="4"/>
        <v>12662454.732517797</v>
      </c>
      <c r="N58" s="123">
        <f t="shared" si="5"/>
        <v>1222.4806654294071</v>
      </c>
      <c r="O58" s="5"/>
      <c r="P58" s="5">
        <f t="shared" si="6"/>
        <v>1</v>
      </c>
      <c r="Q58" s="7">
        <f t="shared" si="7"/>
        <v>10358</v>
      </c>
    </row>
    <row r="59" spans="1:17">
      <c r="A59" s="23" t="s">
        <v>61</v>
      </c>
      <c r="B59" s="35" t="s">
        <v>49</v>
      </c>
      <c r="C59" s="125">
        <v>55851</v>
      </c>
      <c r="D59" s="132">
        <v>3850969823</v>
      </c>
      <c r="E59" s="133">
        <f t="shared" si="11"/>
        <v>68950.776584125619</v>
      </c>
      <c r="F59" s="134">
        <v>2374644483</v>
      </c>
      <c r="G59" s="134">
        <f t="shared" si="12"/>
        <v>42517.492667991617</v>
      </c>
      <c r="H59" s="148"/>
      <c r="I59" s="136">
        <v>6.3402000000000003</v>
      </c>
      <c r="J59" s="134">
        <v>15055720.951116599</v>
      </c>
      <c r="K59" s="120">
        <f t="shared" si="13"/>
        <v>269.56940701360048</v>
      </c>
      <c r="L59" s="122">
        <f t="shared" si="3"/>
        <v>23746444.830000002</v>
      </c>
      <c r="M59" s="116">
        <f t="shared" si="4"/>
        <v>8690723.8788834028</v>
      </c>
      <c r="N59" s="123">
        <f t="shared" si="5"/>
        <v>155.60551966631579</v>
      </c>
      <c r="O59" s="5"/>
      <c r="P59" s="5">
        <f t="shared" si="6"/>
        <v>1</v>
      </c>
      <c r="Q59" s="7">
        <f t="shared" si="7"/>
        <v>55851</v>
      </c>
    </row>
    <row r="60" spans="1:17">
      <c r="A60" s="23" t="s">
        <v>62</v>
      </c>
      <c r="B60" s="35" t="s">
        <v>49</v>
      </c>
      <c r="C60" s="125">
        <v>132096</v>
      </c>
      <c r="D60" s="132">
        <v>11983333464</v>
      </c>
      <c r="E60" s="133">
        <f t="shared" si="11"/>
        <v>90716.853379360458</v>
      </c>
      <c r="F60" s="134">
        <v>7915342529</v>
      </c>
      <c r="G60" s="134">
        <f t="shared" si="12"/>
        <v>59921.137119973355</v>
      </c>
      <c r="H60" s="148"/>
      <c r="I60" s="136">
        <v>6.7653999999999996</v>
      </c>
      <c r="J60" s="134">
        <v>53550458.345696591</v>
      </c>
      <c r="K60" s="120">
        <f t="shared" si="13"/>
        <v>405.39046107146766</v>
      </c>
      <c r="L60" s="122">
        <f t="shared" si="3"/>
        <v>79153425.290000007</v>
      </c>
      <c r="M60" s="116">
        <f t="shared" si="4"/>
        <v>25602966.944303416</v>
      </c>
      <c r="N60" s="123">
        <f t="shared" si="5"/>
        <v>193.82091012826592</v>
      </c>
      <c r="O60" s="5"/>
      <c r="P60" s="5">
        <f t="shared" si="6"/>
        <v>1</v>
      </c>
      <c r="Q60" s="7">
        <f t="shared" si="7"/>
        <v>132096</v>
      </c>
    </row>
    <row r="61" spans="1:17">
      <c r="A61" s="23" t="s">
        <v>63</v>
      </c>
      <c r="B61" s="35" t="s">
        <v>49</v>
      </c>
      <c r="C61" s="125">
        <v>43232</v>
      </c>
      <c r="D61" s="132">
        <v>1864179457</v>
      </c>
      <c r="E61" s="133">
        <f t="shared" si="11"/>
        <v>43120.361237046629</v>
      </c>
      <c r="F61" s="134">
        <v>1121895126</v>
      </c>
      <c r="G61" s="134">
        <f t="shared" si="12"/>
        <v>25950.571937453737</v>
      </c>
      <c r="H61" s="148"/>
      <c r="I61" s="136">
        <v>7.5</v>
      </c>
      <c r="J61" s="134">
        <v>8414213.4450000003</v>
      </c>
      <c r="K61" s="120">
        <f t="shared" si="13"/>
        <v>194.62928953090304</v>
      </c>
      <c r="L61" s="122">
        <f t="shared" si="3"/>
        <v>11218951.26</v>
      </c>
      <c r="M61" s="116">
        <f t="shared" si="4"/>
        <v>2804737.8149999995</v>
      </c>
      <c r="N61" s="123">
        <f t="shared" si="5"/>
        <v>64.876429843634327</v>
      </c>
      <c r="O61" s="5"/>
      <c r="P61" s="5">
        <f t="shared" si="6"/>
        <v>1</v>
      </c>
      <c r="Q61" s="7">
        <f t="shared" si="7"/>
        <v>43232</v>
      </c>
    </row>
    <row r="62" spans="1:17">
      <c r="A62" s="23" t="s">
        <v>64</v>
      </c>
      <c r="B62" s="35" t="s">
        <v>49</v>
      </c>
      <c r="C62" s="125">
        <v>43390</v>
      </c>
      <c r="D62" s="132">
        <v>3844836571</v>
      </c>
      <c r="E62" s="133">
        <f t="shared" si="11"/>
        <v>88611.121710071442</v>
      </c>
      <c r="F62" s="134">
        <v>2509989679</v>
      </c>
      <c r="G62" s="134">
        <f t="shared" si="12"/>
        <v>57847.192417607745</v>
      </c>
      <c r="H62" s="148"/>
      <c r="I62" s="136">
        <v>6.1994999999999996</v>
      </c>
      <c r="J62" s="134">
        <v>15560681.014960499</v>
      </c>
      <c r="K62" s="120">
        <f t="shared" si="13"/>
        <v>358.62366939295919</v>
      </c>
      <c r="L62" s="122">
        <f t="shared" si="3"/>
        <v>25099896.789999999</v>
      </c>
      <c r="M62" s="116">
        <f t="shared" si="4"/>
        <v>9539215.7750394996</v>
      </c>
      <c r="N62" s="123">
        <f t="shared" si="5"/>
        <v>219.84825478311822</v>
      </c>
      <c r="O62" s="5"/>
      <c r="P62" s="5">
        <f t="shared" si="6"/>
        <v>1</v>
      </c>
      <c r="Q62" s="7">
        <f t="shared" si="7"/>
        <v>43390</v>
      </c>
    </row>
    <row r="63" spans="1:17">
      <c r="A63" s="23" t="s">
        <v>65</v>
      </c>
      <c r="B63" s="35" t="s">
        <v>49</v>
      </c>
      <c r="C63" s="125">
        <v>28128</v>
      </c>
      <c r="D63" s="132">
        <v>5106274924</v>
      </c>
      <c r="E63" s="133">
        <f t="shared" si="11"/>
        <v>181537.07778725825</v>
      </c>
      <c r="F63" s="134">
        <v>3798486862</v>
      </c>
      <c r="G63" s="134">
        <f t="shared" si="12"/>
        <v>135042.9060722412</v>
      </c>
      <c r="H63" s="148"/>
      <c r="I63" s="136">
        <v>3.9870000000000001</v>
      </c>
      <c r="J63" s="134">
        <v>15144567.118794</v>
      </c>
      <c r="K63" s="120">
        <f t="shared" si="13"/>
        <v>538.41606651002564</v>
      </c>
      <c r="L63" s="122">
        <f t="shared" si="3"/>
        <v>37984868.619999997</v>
      </c>
      <c r="M63" s="116">
        <f t="shared" si="4"/>
        <v>22840301.501205996</v>
      </c>
      <c r="N63" s="123">
        <f t="shared" si="5"/>
        <v>812.01299421238605</v>
      </c>
      <c r="O63" s="5"/>
      <c r="P63" s="5">
        <f t="shared" si="6"/>
        <v>1</v>
      </c>
      <c r="Q63" s="7">
        <f t="shared" si="7"/>
        <v>28128</v>
      </c>
    </row>
    <row r="64" spans="1:17">
      <c r="A64" s="23" t="s">
        <v>66</v>
      </c>
      <c r="B64" s="35" t="s">
        <v>49</v>
      </c>
      <c r="C64" s="125">
        <v>6236</v>
      </c>
      <c r="D64" s="132">
        <v>676066451</v>
      </c>
      <c r="E64" s="133">
        <f t="shared" si="11"/>
        <v>108413.47835150738</v>
      </c>
      <c r="F64" s="134">
        <v>579048945</v>
      </c>
      <c r="G64" s="134">
        <f t="shared" si="12"/>
        <v>92855.828255291854</v>
      </c>
      <c r="H64" s="148"/>
      <c r="I64" s="136">
        <v>8.5</v>
      </c>
      <c r="J64" s="134">
        <v>4921916.0324999997</v>
      </c>
      <c r="K64" s="120">
        <f t="shared" si="13"/>
        <v>789.2745401699807</v>
      </c>
      <c r="L64" s="122">
        <f t="shared" si="3"/>
        <v>5790489.4500000002</v>
      </c>
      <c r="M64" s="116">
        <f t="shared" si="4"/>
        <v>868573.41750000045</v>
      </c>
      <c r="N64" s="123">
        <f t="shared" si="5"/>
        <v>139.28374238293785</v>
      </c>
      <c r="O64" s="5"/>
      <c r="P64" s="5">
        <f t="shared" si="6"/>
        <v>1</v>
      </c>
      <c r="Q64" s="7">
        <f t="shared" si="7"/>
        <v>6236</v>
      </c>
    </row>
    <row r="65" spans="1:21">
      <c r="A65" s="23" t="s">
        <v>67</v>
      </c>
      <c r="B65" s="35" t="s">
        <v>49</v>
      </c>
      <c r="C65" s="125">
        <v>159922</v>
      </c>
      <c r="D65" s="132">
        <v>16015855557</v>
      </c>
      <c r="E65" s="133">
        <f t="shared" si="11"/>
        <v>100147.91934192918</v>
      </c>
      <c r="F65" s="134">
        <v>10165540888</v>
      </c>
      <c r="G65" s="134">
        <f t="shared" si="12"/>
        <v>63565.618789159715</v>
      </c>
      <c r="H65" s="148"/>
      <c r="I65" s="136">
        <v>5.6368</v>
      </c>
      <c r="J65" s="134">
        <v>57301120.877478398</v>
      </c>
      <c r="K65" s="120">
        <f t="shared" si="13"/>
        <v>358.30667999073546</v>
      </c>
      <c r="L65" s="122">
        <f t="shared" si="3"/>
        <v>101655408.88</v>
      </c>
      <c r="M65" s="116">
        <f t="shared" si="4"/>
        <v>44354288.002521597</v>
      </c>
      <c r="N65" s="123">
        <f t="shared" si="5"/>
        <v>277.34950790086162</v>
      </c>
      <c r="O65" s="5"/>
      <c r="P65" s="5">
        <f t="shared" si="6"/>
        <v>1</v>
      </c>
      <c r="Q65" s="7">
        <f t="shared" si="7"/>
        <v>159922</v>
      </c>
    </row>
    <row r="66" spans="1:21">
      <c r="A66" s="23" t="s">
        <v>68</v>
      </c>
      <c r="B66" s="35" t="s">
        <v>49</v>
      </c>
      <c r="C66" s="125">
        <v>87496</v>
      </c>
      <c r="D66" s="132">
        <v>11220715422</v>
      </c>
      <c r="E66" s="133">
        <f t="shared" si="11"/>
        <v>128242.6101993234</v>
      </c>
      <c r="F66" s="134">
        <v>7721044090</v>
      </c>
      <c r="G66" s="134">
        <f t="shared" si="12"/>
        <v>88244.537921733572</v>
      </c>
      <c r="H66" s="148"/>
      <c r="I66" s="136">
        <v>5.9</v>
      </c>
      <c r="J66" s="134">
        <v>45554160.130999997</v>
      </c>
      <c r="K66" s="120">
        <f t="shared" si="13"/>
        <v>520.64277373822802</v>
      </c>
      <c r="L66" s="122">
        <f t="shared" si="3"/>
        <v>77210440.900000006</v>
      </c>
      <c r="M66" s="116">
        <f t="shared" si="4"/>
        <v>31656280.769000009</v>
      </c>
      <c r="N66" s="123">
        <f t="shared" si="5"/>
        <v>361.80260547910774</v>
      </c>
      <c r="O66" s="5"/>
      <c r="P66" s="5">
        <f t="shared" si="6"/>
        <v>1</v>
      </c>
      <c r="Q66" s="7">
        <f t="shared" si="7"/>
        <v>87496</v>
      </c>
    </row>
    <row r="67" spans="1:21">
      <c r="A67" s="23" t="s">
        <v>69</v>
      </c>
      <c r="B67" s="35" t="s">
        <v>49</v>
      </c>
      <c r="C67" s="125">
        <v>106260</v>
      </c>
      <c r="D67" s="132">
        <v>14168964663</v>
      </c>
      <c r="E67" s="133">
        <f t="shared" si="11"/>
        <v>133342.41166007906</v>
      </c>
      <c r="F67" s="134">
        <v>10132160805</v>
      </c>
      <c r="G67" s="134">
        <f t="shared" si="12"/>
        <v>95352.53910220215</v>
      </c>
      <c r="H67" s="148"/>
      <c r="I67" s="136">
        <v>4.9865000000000004</v>
      </c>
      <c r="J67" s="134">
        <v>50524019.854132511</v>
      </c>
      <c r="K67" s="120">
        <f t="shared" si="13"/>
        <v>475.47543623313112</v>
      </c>
      <c r="L67" s="122">
        <f t="shared" si="3"/>
        <v>101321608.05</v>
      </c>
      <c r="M67" s="116">
        <f t="shared" si="4"/>
        <v>50797588.195867486</v>
      </c>
      <c r="N67" s="123">
        <f t="shared" si="5"/>
        <v>478.04995478889032</v>
      </c>
      <c r="O67" s="5"/>
      <c r="P67" s="5">
        <f t="shared" si="6"/>
        <v>1</v>
      </c>
      <c r="Q67" s="7">
        <f t="shared" si="7"/>
        <v>106260</v>
      </c>
    </row>
    <row r="68" spans="1:21">
      <c r="A68" s="23" t="s">
        <v>70</v>
      </c>
      <c r="B68" s="35" t="s">
        <v>49</v>
      </c>
      <c r="C68" s="125">
        <v>670</v>
      </c>
      <c r="D68" s="132">
        <v>246942052</v>
      </c>
      <c r="E68" s="133">
        <f t="shared" si="11"/>
        <v>368570.22686567163</v>
      </c>
      <c r="F68" s="134">
        <v>178295026</v>
      </c>
      <c r="G68" s="134">
        <f t="shared" si="12"/>
        <v>266111.97910447762</v>
      </c>
      <c r="H68" s="148"/>
      <c r="I68" s="136">
        <v>7.5</v>
      </c>
      <c r="J68" s="134">
        <v>1337212.6950000001</v>
      </c>
      <c r="K68" s="120">
        <f t="shared" si="13"/>
        <v>1995.8398432835822</v>
      </c>
      <c r="L68" s="122">
        <f t="shared" si="3"/>
        <v>1782950.26</v>
      </c>
      <c r="M68" s="116">
        <f t="shared" si="4"/>
        <v>445737.56499999994</v>
      </c>
      <c r="N68" s="123">
        <f t="shared" si="5"/>
        <v>665.27994776119397</v>
      </c>
      <c r="O68" s="5"/>
      <c r="P68" s="5">
        <f t="shared" si="6"/>
        <v>1</v>
      </c>
      <c r="Q68" s="7">
        <f t="shared" si="7"/>
        <v>670</v>
      </c>
    </row>
    <row r="69" spans="1:21">
      <c r="A69" s="23" t="s">
        <v>450</v>
      </c>
      <c r="B69" s="35" t="s">
        <v>49</v>
      </c>
      <c r="C69" s="125">
        <v>7389</v>
      </c>
      <c r="D69" s="132">
        <v>1921167841</v>
      </c>
      <c r="E69" s="133">
        <f t="shared" si="11"/>
        <v>260003.76789822709</v>
      </c>
      <c r="F69" s="134">
        <v>1214872530</v>
      </c>
      <c r="G69" s="134">
        <f t="shared" si="12"/>
        <v>164416.36622005684</v>
      </c>
      <c r="H69" s="148"/>
      <c r="I69" s="136">
        <v>4.3353999999999999</v>
      </c>
      <c r="J69" s="134">
        <v>5266958.3665620005</v>
      </c>
      <c r="K69" s="120">
        <f t="shared" si="13"/>
        <v>712.81071411043445</v>
      </c>
      <c r="L69" s="122">
        <f t="shared" si="3"/>
        <v>12148725.300000001</v>
      </c>
      <c r="M69" s="116">
        <f t="shared" si="4"/>
        <v>6881766.9334380003</v>
      </c>
      <c r="N69" s="123">
        <f t="shared" si="5"/>
        <v>931.35294809013396</v>
      </c>
      <c r="O69" s="5"/>
      <c r="P69" s="5">
        <f t="shared" si="6"/>
        <v>1</v>
      </c>
      <c r="Q69" s="7">
        <f t="shared" si="7"/>
        <v>7389</v>
      </c>
    </row>
    <row r="70" spans="1:21">
      <c r="A70" s="23" t="s">
        <v>71</v>
      </c>
      <c r="B70" s="35" t="s">
        <v>49</v>
      </c>
      <c r="C70" s="125">
        <v>88630</v>
      </c>
      <c r="D70" s="132">
        <v>8845758358</v>
      </c>
      <c r="E70" s="133">
        <f t="shared" si="11"/>
        <v>99805.464944149833</v>
      </c>
      <c r="F70" s="134">
        <v>5728928244</v>
      </c>
      <c r="G70" s="134">
        <f t="shared" si="12"/>
        <v>64638.702967392528</v>
      </c>
      <c r="H70" s="148"/>
      <c r="I70" s="136">
        <v>6.0542999999999996</v>
      </c>
      <c r="J70" s="134">
        <v>34684650.267649204</v>
      </c>
      <c r="K70" s="120">
        <f t="shared" si="13"/>
        <v>391.34209937548462</v>
      </c>
      <c r="L70" s="122">
        <f t="shared" ref="L70:L133" si="14">(F70*0.01)</f>
        <v>57289282.439999998</v>
      </c>
      <c r="M70" s="116">
        <f t="shared" ref="M70:M133" si="15">(L70-J70)</f>
        <v>22604632.172350794</v>
      </c>
      <c r="N70" s="123">
        <f t="shared" ref="N70:N133" si="16">(M70/C70)</f>
        <v>255.04493029844065</v>
      </c>
      <c r="O70" s="5"/>
      <c r="P70" s="5">
        <f t="shared" ref="P70:P133" si="17">IF(I70&gt;0,1,0)</f>
        <v>1</v>
      </c>
      <c r="Q70" s="7">
        <f t="shared" ref="Q70:Q133" si="18">IF(I70&gt;0,C70,0)</f>
        <v>88630</v>
      </c>
    </row>
    <row r="71" spans="1:21">
      <c r="A71" s="23" t="s">
        <v>72</v>
      </c>
      <c r="B71" s="35" t="s">
        <v>49</v>
      </c>
      <c r="C71" s="125">
        <v>62264</v>
      </c>
      <c r="D71" s="132">
        <v>4837294323</v>
      </c>
      <c r="E71" s="133">
        <f t="shared" si="11"/>
        <v>77690.066860465115</v>
      </c>
      <c r="F71" s="154">
        <v>2890121191</v>
      </c>
      <c r="G71" s="134">
        <f t="shared" si="12"/>
        <v>46417.210442631374</v>
      </c>
      <c r="H71" s="148"/>
      <c r="I71" s="136">
        <v>7.2899000000000003</v>
      </c>
      <c r="J71" s="134">
        <v>21068694.470270902</v>
      </c>
      <c r="K71" s="120">
        <f t="shared" si="13"/>
        <v>338.37682240573849</v>
      </c>
      <c r="L71" s="122">
        <f t="shared" si="14"/>
        <v>28901211.91</v>
      </c>
      <c r="M71" s="116">
        <f t="shared" si="15"/>
        <v>7832517.4397290982</v>
      </c>
      <c r="N71" s="123">
        <f t="shared" si="16"/>
        <v>125.79528202057526</v>
      </c>
      <c r="O71" s="5"/>
      <c r="P71" s="5">
        <f t="shared" si="17"/>
        <v>1</v>
      </c>
      <c r="Q71" s="7">
        <f t="shared" si="18"/>
        <v>62264</v>
      </c>
    </row>
    <row r="72" spans="1:21">
      <c r="A72" s="23" t="s">
        <v>507</v>
      </c>
      <c r="B72" s="35" t="s">
        <v>49</v>
      </c>
      <c r="C72" s="125">
        <v>14499</v>
      </c>
      <c r="D72" s="132">
        <v>674381986</v>
      </c>
      <c r="E72" s="133">
        <f t="shared" si="11"/>
        <v>46512.310228291608</v>
      </c>
      <c r="F72" s="134">
        <v>399839413</v>
      </c>
      <c r="G72" s="134">
        <f t="shared" si="12"/>
        <v>27577.033795434167</v>
      </c>
      <c r="H72" s="148"/>
      <c r="I72" s="136">
        <v>8.65</v>
      </c>
      <c r="J72" s="134">
        <v>3458610.9224500004</v>
      </c>
      <c r="K72" s="120">
        <f t="shared" si="13"/>
        <v>238.54134233050559</v>
      </c>
      <c r="L72" s="122">
        <f t="shared" si="14"/>
        <v>3998394.13</v>
      </c>
      <c r="M72" s="116">
        <f t="shared" si="15"/>
        <v>539783.20754999947</v>
      </c>
      <c r="N72" s="123">
        <f t="shared" si="16"/>
        <v>37.228995623836092</v>
      </c>
      <c r="O72" s="5"/>
      <c r="P72" s="5">
        <f t="shared" si="17"/>
        <v>1</v>
      </c>
      <c r="Q72" s="7">
        <f t="shared" si="18"/>
        <v>14499</v>
      </c>
    </row>
    <row r="73" spans="1:21">
      <c r="A73" s="23" t="s">
        <v>73</v>
      </c>
      <c r="B73" s="35" t="s">
        <v>49</v>
      </c>
      <c r="C73" s="125">
        <v>65734</v>
      </c>
      <c r="D73" s="132">
        <v>10583667138</v>
      </c>
      <c r="E73" s="133">
        <f t="shared" si="11"/>
        <v>161007.50202330606</v>
      </c>
      <c r="F73" s="134">
        <v>7437993866</v>
      </c>
      <c r="G73" s="134">
        <f t="shared" si="12"/>
        <v>113152.91730306995</v>
      </c>
      <c r="H73" s="148"/>
      <c r="I73" s="136">
        <v>2.39</v>
      </c>
      <c r="J73" s="134">
        <v>17776805.339740001</v>
      </c>
      <c r="K73" s="120">
        <f t="shared" si="13"/>
        <v>270.43547235433721</v>
      </c>
      <c r="L73" s="122">
        <f t="shared" si="14"/>
        <v>74379938.659999996</v>
      </c>
      <c r="M73" s="116">
        <f t="shared" si="15"/>
        <v>56603133.320259996</v>
      </c>
      <c r="N73" s="123">
        <f t="shared" si="16"/>
        <v>861.09370067636223</v>
      </c>
      <c r="O73" s="5"/>
      <c r="P73" s="5">
        <f t="shared" si="17"/>
        <v>1</v>
      </c>
      <c r="Q73" s="7">
        <f t="shared" si="18"/>
        <v>65734</v>
      </c>
    </row>
    <row r="74" spans="1:21">
      <c r="A74" s="23" t="s">
        <v>74</v>
      </c>
      <c r="B74" s="35" t="s">
        <v>49</v>
      </c>
      <c r="C74" s="125">
        <v>12160</v>
      </c>
      <c r="D74" s="132">
        <v>1672909337</v>
      </c>
      <c r="E74" s="133">
        <f t="shared" si="11"/>
        <v>137574.78100328948</v>
      </c>
      <c r="F74" s="134">
        <v>1085568456</v>
      </c>
      <c r="G74" s="134">
        <f t="shared" si="12"/>
        <v>89273.721710526312</v>
      </c>
      <c r="H74" s="148"/>
      <c r="I74" s="136">
        <v>6.0682999999999998</v>
      </c>
      <c r="J74" s="134">
        <v>6587555.0615448002</v>
      </c>
      <c r="K74" s="120">
        <f t="shared" si="13"/>
        <v>541.7397254559869</v>
      </c>
      <c r="L74" s="122">
        <f t="shared" si="14"/>
        <v>10855684.560000001</v>
      </c>
      <c r="M74" s="116">
        <f t="shared" si="15"/>
        <v>4268129.4984552003</v>
      </c>
      <c r="N74" s="123">
        <f t="shared" si="16"/>
        <v>350.99749164927636</v>
      </c>
      <c r="O74" s="5"/>
      <c r="P74" s="5">
        <f t="shared" si="17"/>
        <v>1</v>
      </c>
      <c r="Q74" s="7">
        <f t="shared" si="18"/>
        <v>12160</v>
      </c>
      <c r="S74" s="124">
        <f>SUM(D44:D74)</f>
        <v>220010182683</v>
      </c>
      <c r="T74" s="124">
        <f>SUM(F44:F74)</f>
        <v>148977937516</v>
      </c>
      <c r="U74" s="124">
        <f>SUM(J44:J74)</f>
        <v>796566379.74595356</v>
      </c>
    </row>
    <row r="75" spans="1:21">
      <c r="A75" s="23" t="s">
        <v>75</v>
      </c>
      <c r="B75" s="35" t="s">
        <v>76</v>
      </c>
      <c r="C75" s="125">
        <v>568</v>
      </c>
      <c r="D75" s="147" t="s">
        <v>564</v>
      </c>
      <c r="E75" s="133"/>
      <c r="F75" s="134"/>
      <c r="G75" s="134"/>
      <c r="H75" s="148" t="s">
        <v>588</v>
      </c>
      <c r="I75" s="136"/>
      <c r="J75" s="134"/>
      <c r="K75" s="120"/>
      <c r="L75" s="122">
        <f t="shared" si="14"/>
        <v>0</v>
      </c>
      <c r="M75" s="116">
        <f t="shared" si="15"/>
        <v>0</v>
      </c>
      <c r="N75" s="123">
        <f t="shared" si="16"/>
        <v>0</v>
      </c>
      <c r="O75" s="5"/>
      <c r="P75" s="5">
        <f t="shared" si="17"/>
        <v>0</v>
      </c>
      <c r="Q75" s="7">
        <f t="shared" si="18"/>
        <v>0</v>
      </c>
    </row>
    <row r="76" spans="1:21">
      <c r="A76" s="23" t="s">
        <v>77</v>
      </c>
      <c r="B76" s="35" t="s">
        <v>76</v>
      </c>
      <c r="C76" s="125">
        <v>2468</v>
      </c>
      <c r="D76" s="132">
        <v>106992046</v>
      </c>
      <c r="E76" s="133">
        <f t="shared" ref="E76:E82" si="19">(D76/C76)</f>
        <v>43351.720421393838</v>
      </c>
      <c r="F76" s="134">
        <v>62909223</v>
      </c>
      <c r="G76" s="134">
        <f t="shared" ref="G76:G82" si="20">(F76/C76)</f>
        <v>25489.960696920585</v>
      </c>
      <c r="H76" s="135"/>
      <c r="I76" s="136">
        <v>1.5</v>
      </c>
      <c r="J76" s="134">
        <v>94364</v>
      </c>
      <c r="K76" s="120">
        <f t="shared" ref="K76:K82" si="21">(J76/C76)</f>
        <v>38.235008103727715</v>
      </c>
      <c r="L76" s="122">
        <f t="shared" si="14"/>
        <v>629092.23</v>
      </c>
      <c r="M76" s="116">
        <f t="shared" si="15"/>
        <v>534728.23</v>
      </c>
      <c r="N76" s="123">
        <f t="shared" si="16"/>
        <v>216.66459886547813</v>
      </c>
      <c r="O76" s="5"/>
      <c r="P76" s="5">
        <f t="shared" si="17"/>
        <v>1</v>
      </c>
      <c r="Q76" s="7">
        <f t="shared" si="18"/>
        <v>2468</v>
      </c>
      <c r="S76" s="124">
        <f>SUM(D75:D76)</f>
        <v>106992046</v>
      </c>
      <c r="T76" s="124">
        <f>SUM(F75:F76)</f>
        <v>62909223</v>
      </c>
      <c r="U76" s="124">
        <f>SUM(J75:J76)</f>
        <v>94364</v>
      </c>
    </row>
    <row r="77" spans="1:21">
      <c r="A77" s="23" t="s">
        <v>78</v>
      </c>
      <c r="B77" s="35" t="s">
        <v>79</v>
      </c>
      <c r="C77" s="125">
        <v>17675</v>
      </c>
      <c r="D77" s="132">
        <v>3474561072</v>
      </c>
      <c r="E77" s="133">
        <f t="shared" si="19"/>
        <v>196580.54155586986</v>
      </c>
      <c r="F77" s="134">
        <v>2513363249</v>
      </c>
      <c r="G77" s="134">
        <f t="shared" si="20"/>
        <v>142198.76939179632</v>
      </c>
      <c r="H77" s="135"/>
      <c r="I77" s="136">
        <v>3.1968999999999999</v>
      </c>
      <c r="J77" s="134">
        <v>8034970.9707281003</v>
      </c>
      <c r="K77" s="120">
        <f t="shared" si="21"/>
        <v>454.5952458686337</v>
      </c>
      <c r="L77" s="122">
        <f t="shared" si="14"/>
        <v>25133632.490000002</v>
      </c>
      <c r="M77" s="116">
        <f t="shared" si="15"/>
        <v>17098661.519271903</v>
      </c>
      <c r="N77" s="123">
        <f t="shared" si="16"/>
        <v>967.39244804932969</v>
      </c>
      <c r="O77" s="5"/>
      <c r="P77" s="5">
        <f t="shared" si="17"/>
        <v>1</v>
      </c>
      <c r="Q77" s="7">
        <f t="shared" si="18"/>
        <v>17675</v>
      </c>
      <c r="S77" s="124">
        <f>SUM(D77)</f>
        <v>3474561072</v>
      </c>
      <c r="T77" s="124">
        <f>SUM(F77)</f>
        <v>2513363249</v>
      </c>
      <c r="U77" s="124">
        <f>SUM(J77)</f>
        <v>8034970.9707281003</v>
      </c>
    </row>
    <row r="78" spans="1:21">
      <c r="A78" s="23" t="s">
        <v>80</v>
      </c>
      <c r="B78" s="35" t="s">
        <v>81</v>
      </c>
      <c r="C78" s="125">
        <v>3112</v>
      </c>
      <c r="D78" s="132">
        <v>560323944</v>
      </c>
      <c r="E78" s="133">
        <f t="shared" si="19"/>
        <v>180052.68123393317</v>
      </c>
      <c r="F78" s="134">
        <v>420187748</v>
      </c>
      <c r="G78" s="134">
        <f t="shared" si="20"/>
        <v>135021.76992287918</v>
      </c>
      <c r="H78" s="135"/>
      <c r="I78" s="150">
        <v>4.2</v>
      </c>
      <c r="J78" s="134">
        <v>1764788.5416000001</v>
      </c>
      <c r="K78" s="120">
        <f t="shared" si="21"/>
        <v>567.09143367609261</v>
      </c>
      <c r="L78" s="122">
        <f t="shared" si="14"/>
        <v>4201877.4800000004</v>
      </c>
      <c r="M78" s="116">
        <f t="shared" si="15"/>
        <v>2437088.9384000003</v>
      </c>
      <c r="N78" s="123">
        <f t="shared" si="16"/>
        <v>783.12626555269935</v>
      </c>
      <c r="O78" s="5"/>
      <c r="P78" s="5">
        <f t="shared" si="17"/>
        <v>1</v>
      </c>
      <c r="Q78" s="7">
        <f t="shared" si="18"/>
        <v>3112</v>
      </c>
    </row>
    <row r="79" spans="1:21">
      <c r="A79" s="23" t="s">
        <v>82</v>
      </c>
      <c r="B79" s="35" t="s">
        <v>81</v>
      </c>
      <c r="C79" s="125">
        <v>7227</v>
      </c>
      <c r="D79" s="132">
        <v>671180514</v>
      </c>
      <c r="E79" s="133">
        <f t="shared" si="19"/>
        <v>92871.248650892492</v>
      </c>
      <c r="F79" s="134">
        <v>440829978</v>
      </c>
      <c r="G79" s="134">
        <f t="shared" si="20"/>
        <v>60997.644665836444</v>
      </c>
      <c r="H79" s="135"/>
      <c r="I79" s="136">
        <v>7.0728999999999997</v>
      </c>
      <c r="J79" s="134">
        <v>3117946.3513961998</v>
      </c>
      <c r="K79" s="120">
        <f t="shared" si="21"/>
        <v>431.43024095699457</v>
      </c>
      <c r="L79" s="122">
        <f t="shared" si="14"/>
        <v>4408299.78</v>
      </c>
      <c r="M79" s="116">
        <f t="shared" si="15"/>
        <v>1290353.4286038005</v>
      </c>
      <c r="N79" s="123">
        <f t="shared" si="16"/>
        <v>178.54620570136993</v>
      </c>
      <c r="O79" s="5"/>
      <c r="P79" s="5">
        <f t="shared" si="17"/>
        <v>1</v>
      </c>
      <c r="Q79" s="7">
        <f t="shared" si="18"/>
        <v>7227</v>
      </c>
      <c r="S79" s="124">
        <f>SUM(D78:D79)</f>
        <v>1231504458</v>
      </c>
      <c r="T79" s="124">
        <f>SUM(F78:F79)</f>
        <v>861017726</v>
      </c>
      <c r="U79" s="124">
        <f>SUM(J78:J79)</f>
        <v>4882734.8929961994</v>
      </c>
    </row>
    <row r="80" spans="1:21">
      <c r="A80" s="23" t="s">
        <v>83</v>
      </c>
      <c r="B80" s="35" t="s">
        <v>84</v>
      </c>
      <c r="C80" s="125">
        <v>7043</v>
      </c>
      <c r="D80" s="132">
        <v>516524610</v>
      </c>
      <c r="E80" s="133">
        <f t="shared" si="19"/>
        <v>73338.72071560414</v>
      </c>
      <c r="F80" s="134">
        <v>343385942</v>
      </c>
      <c r="G80" s="134">
        <f t="shared" si="20"/>
        <v>48755.635666619339</v>
      </c>
      <c r="H80" s="135"/>
      <c r="I80" s="136">
        <v>3.6</v>
      </c>
      <c r="J80" s="134">
        <v>1236189.3912</v>
      </c>
      <c r="K80" s="120">
        <f t="shared" si="21"/>
        <v>175.52028839982961</v>
      </c>
      <c r="L80" s="122">
        <f t="shared" si="14"/>
        <v>3433859.42</v>
      </c>
      <c r="M80" s="116">
        <f t="shared" si="15"/>
        <v>2197670.0288</v>
      </c>
      <c r="N80" s="123">
        <f t="shared" si="16"/>
        <v>312.03606826636377</v>
      </c>
      <c r="O80" s="5"/>
      <c r="P80" s="5">
        <f t="shared" si="17"/>
        <v>1</v>
      </c>
      <c r="Q80" s="7">
        <f t="shared" si="18"/>
        <v>7043</v>
      </c>
    </row>
    <row r="81" spans="1:21">
      <c r="A81" s="23" t="s">
        <v>85</v>
      </c>
      <c r="B81" s="35" t="s">
        <v>84</v>
      </c>
      <c r="C81" s="125">
        <v>1367</v>
      </c>
      <c r="D81" s="132">
        <v>94241521</v>
      </c>
      <c r="E81" s="133">
        <f t="shared" si="19"/>
        <v>68940.395757132414</v>
      </c>
      <c r="F81" s="134">
        <v>55043219</v>
      </c>
      <c r="G81" s="134">
        <f t="shared" si="20"/>
        <v>40265.705193855159</v>
      </c>
      <c r="H81" s="135"/>
      <c r="I81" s="136">
        <v>3.5</v>
      </c>
      <c r="J81" s="134">
        <v>192651.2665</v>
      </c>
      <c r="K81" s="120">
        <f t="shared" si="21"/>
        <v>140.92996817849306</v>
      </c>
      <c r="L81" s="122">
        <f t="shared" si="14"/>
        <v>550432.19000000006</v>
      </c>
      <c r="M81" s="116">
        <f t="shared" si="15"/>
        <v>357780.92350000003</v>
      </c>
      <c r="N81" s="123">
        <f t="shared" si="16"/>
        <v>261.72708376005852</v>
      </c>
      <c r="O81" s="5"/>
      <c r="P81" s="5">
        <f t="shared" si="17"/>
        <v>1</v>
      </c>
      <c r="Q81" s="7">
        <f t="shared" si="18"/>
        <v>1367</v>
      </c>
    </row>
    <row r="82" spans="1:21">
      <c r="A82" s="23" t="s">
        <v>86</v>
      </c>
      <c r="B82" s="35" t="s">
        <v>84</v>
      </c>
      <c r="C82" s="125">
        <v>8510</v>
      </c>
      <c r="D82" s="132">
        <v>748244886</v>
      </c>
      <c r="E82" s="133">
        <f t="shared" si="19"/>
        <v>87925.368507638079</v>
      </c>
      <c r="F82" s="134">
        <v>483510241</v>
      </c>
      <c r="G82" s="134">
        <f t="shared" si="20"/>
        <v>56816.714571092831</v>
      </c>
      <c r="H82" s="152"/>
      <c r="I82" s="136">
        <v>6.1818</v>
      </c>
      <c r="J82" s="134">
        <v>2988963.6078137998</v>
      </c>
      <c r="K82" s="120">
        <f t="shared" si="21"/>
        <v>351.22956613558165</v>
      </c>
      <c r="L82" s="122">
        <f t="shared" si="14"/>
        <v>4835102.41</v>
      </c>
      <c r="M82" s="116">
        <f t="shared" si="15"/>
        <v>1846138.8021862004</v>
      </c>
      <c r="N82" s="123">
        <f t="shared" si="16"/>
        <v>216.93757957534669</v>
      </c>
      <c r="O82" s="5"/>
      <c r="P82" s="5">
        <f t="shared" si="17"/>
        <v>1</v>
      </c>
      <c r="Q82" s="7">
        <f t="shared" si="18"/>
        <v>8510</v>
      </c>
    </row>
    <row r="83" spans="1:21">
      <c r="A83" s="23" t="s">
        <v>87</v>
      </c>
      <c r="B83" s="35" t="s">
        <v>84</v>
      </c>
      <c r="C83" s="125">
        <v>746</v>
      </c>
      <c r="D83" s="147" t="s">
        <v>564</v>
      </c>
      <c r="E83" s="133"/>
      <c r="F83" s="134"/>
      <c r="G83" s="134"/>
      <c r="H83" s="148" t="s">
        <v>588</v>
      </c>
      <c r="I83" s="136"/>
      <c r="J83" s="134"/>
      <c r="K83" s="120"/>
      <c r="L83" s="122">
        <f t="shared" si="14"/>
        <v>0</v>
      </c>
      <c r="M83" s="116">
        <f t="shared" si="15"/>
        <v>0</v>
      </c>
      <c r="N83" s="123">
        <f t="shared" si="16"/>
        <v>0</v>
      </c>
      <c r="O83" s="5"/>
      <c r="P83" s="5">
        <f t="shared" si="17"/>
        <v>0</v>
      </c>
      <c r="Q83" s="7">
        <f t="shared" si="18"/>
        <v>0</v>
      </c>
      <c r="S83" s="124">
        <f>SUM(D80:D83)</f>
        <v>1359011017</v>
      </c>
      <c r="T83" s="124">
        <f>SUM(F80:F83)</f>
        <v>881939402</v>
      </c>
      <c r="U83" s="124">
        <f>SUM(J80:J83)</f>
        <v>4417804.2655138001</v>
      </c>
    </row>
    <row r="84" spans="1:21">
      <c r="A84" s="23" t="s">
        <v>88</v>
      </c>
      <c r="B84" s="35" t="s">
        <v>89</v>
      </c>
      <c r="C84" s="125">
        <v>427</v>
      </c>
      <c r="D84" s="132">
        <v>128324020</v>
      </c>
      <c r="E84" s="133">
        <f>(D84/C84)</f>
        <v>300524.63700234191</v>
      </c>
      <c r="F84" s="134">
        <v>87543873</v>
      </c>
      <c r="G84" s="134">
        <f>(F84/C84)</f>
        <v>205020.77985948478</v>
      </c>
      <c r="H84" s="135"/>
      <c r="I84" s="136">
        <v>3.9672999999999998</v>
      </c>
      <c r="J84" s="134">
        <v>347313</v>
      </c>
      <c r="K84" s="120">
        <f>(J84/C84)</f>
        <v>813.37939110070261</v>
      </c>
      <c r="L84" s="122">
        <f t="shared" si="14"/>
        <v>875438.73</v>
      </c>
      <c r="M84" s="116">
        <f t="shared" si="15"/>
        <v>528125.73</v>
      </c>
      <c r="N84" s="123">
        <f t="shared" si="16"/>
        <v>1236.8284074941453</v>
      </c>
      <c r="O84" s="5"/>
      <c r="P84" s="5">
        <f t="shared" si="17"/>
        <v>1</v>
      </c>
      <c r="Q84" s="7">
        <f t="shared" si="18"/>
        <v>427</v>
      </c>
    </row>
    <row r="85" spans="1:21">
      <c r="A85" s="23" t="s">
        <v>90</v>
      </c>
      <c r="B85" s="35" t="s">
        <v>89</v>
      </c>
      <c r="C85" s="125">
        <v>16728</v>
      </c>
      <c r="D85" s="132">
        <v>10305141589</v>
      </c>
      <c r="E85" s="133">
        <f>(D85/C85)</f>
        <v>616041.46275705402</v>
      </c>
      <c r="F85" s="134">
        <v>8611101077</v>
      </c>
      <c r="G85" s="134">
        <f>(F85/C85)</f>
        <v>514771.70474653278</v>
      </c>
      <c r="H85" s="135"/>
      <c r="I85" s="136">
        <v>2.0466000000000002</v>
      </c>
      <c r="J85" s="134">
        <v>17623479.464188203</v>
      </c>
      <c r="K85" s="120">
        <f>(J85/C85)</f>
        <v>1053.5317709342542</v>
      </c>
      <c r="L85" s="122">
        <f t="shared" si="14"/>
        <v>86111010.769999996</v>
      </c>
      <c r="M85" s="116">
        <f t="shared" si="15"/>
        <v>68487531.305811793</v>
      </c>
      <c r="N85" s="123">
        <f t="shared" si="16"/>
        <v>4094.1852765310732</v>
      </c>
      <c r="O85" s="5"/>
      <c r="P85" s="5">
        <f t="shared" si="17"/>
        <v>1</v>
      </c>
      <c r="Q85" s="7">
        <f t="shared" si="18"/>
        <v>16728</v>
      </c>
    </row>
    <row r="86" spans="1:21">
      <c r="A86" s="23" t="s">
        <v>91</v>
      </c>
      <c r="B86" s="35" t="s">
        <v>89</v>
      </c>
      <c r="C86" s="125">
        <v>19527</v>
      </c>
      <c r="D86" s="132">
        <v>23245780687</v>
      </c>
      <c r="E86" s="133">
        <f>(D86/C86)</f>
        <v>1190443.0115737184</v>
      </c>
      <c r="F86" s="134">
        <v>18318100958</v>
      </c>
      <c r="G86" s="134">
        <f>(F86/C86)</f>
        <v>938090.89762892411</v>
      </c>
      <c r="H86" s="152"/>
      <c r="I86" s="150">
        <v>1.18</v>
      </c>
      <c r="J86" s="134">
        <v>21615359.13044</v>
      </c>
      <c r="K86" s="120">
        <f>(J86/C86)</f>
        <v>1106.9472592021305</v>
      </c>
      <c r="L86" s="122">
        <f t="shared" si="14"/>
        <v>183181009.58000001</v>
      </c>
      <c r="M86" s="116">
        <f t="shared" si="15"/>
        <v>161565650.44956002</v>
      </c>
      <c r="N86" s="123">
        <f t="shared" si="16"/>
        <v>8273.9617170871115</v>
      </c>
      <c r="O86" s="5"/>
      <c r="P86" s="5">
        <f t="shared" si="17"/>
        <v>1</v>
      </c>
      <c r="Q86" s="7">
        <f t="shared" si="18"/>
        <v>19527</v>
      </c>
      <c r="S86" s="124">
        <f>SUM(D84:D86)</f>
        <v>33679246296</v>
      </c>
      <c r="T86" s="124">
        <f>SUM(F84:F86)</f>
        <v>27016745908</v>
      </c>
      <c r="U86" s="124">
        <f>SUM(J84:J86)</f>
        <v>39586151.5946282</v>
      </c>
    </row>
    <row r="87" spans="1:21">
      <c r="A87" s="23" t="s">
        <v>92</v>
      </c>
      <c r="B87" s="35" t="s">
        <v>93</v>
      </c>
      <c r="C87" s="125">
        <v>560</v>
      </c>
      <c r="D87" s="147" t="s">
        <v>564</v>
      </c>
      <c r="E87" s="133"/>
      <c r="F87" s="134"/>
      <c r="G87" s="134"/>
      <c r="H87" s="148" t="s">
        <v>588</v>
      </c>
      <c r="I87" s="136"/>
      <c r="J87" s="134"/>
      <c r="K87" s="120"/>
      <c r="L87" s="122">
        <f t="shared" si="14"/>
        <v>0</v>
      </c>
      <c r="M87" s="116">
        <f t="shared" si="15"/>
        <v>0</v>
      </c>
      <c r="N87" s="123">
        <f t="shared" si="16"/>
        <v>0</v>
      </c>
      <c r="O87" s="5"/>
      <c r="P87" s="5">
        <f t="shared" si="17"/>
        <v>0</v>
      </c>
      <c r="Q87" s="7">
        <f t="shared" si="18"/>
        <v>0</v>
      </c>
    </row>
    <row r="88" spans="1:21">
      <c r="A88" s="23" t="s">
        <v>94</v>
      </c>
      <c r="B88" s="35" t="s">
        <v>93</v>
      </c>
      <c r="C88" s="125">
        <v>12000</v>
      </c>
      <c r="D88" s="132">
        <v>1027105886</v>
      </c>
      <c r="E88" s="133">
        <f t="shared" ref="E88:E93" si="22">(D88/C88)</f>
        <v>85592.157166666671</v>
      </c>
      <c r="F88" s="134">
        <v>715400616</v>
      </c>
      <c r="G88" s="134">
        <f t="shared" ref="G88:G93" si="23">(F88/C88)</f>
        <v>59616.718000000001</v>
      </c>
      <c r="H88" s="135"/>
      <c r="I88" s="136">
        <v>4.0444000000000004</v>
      </c>
      <c r="J88" s="134">
        <v>2893366</v>
      </c>
      <c r="K88" s="120">
        <f t="shared" ref="K88:K93" si="24">(J88/C88)</f>
        <v>241.11383333333333</v>
      </c>
      <c r="L88" s="122">
        <f t="shared" si="14"/>
        <v>7154006.1600000001</v>
      </c>
      <c r="M88" s="116">
        <f t="shared" si="15"/>
        <v>4260640.16</v>
      </c>
      <c r="N88" s="123">
        <f t="shared" si="16"/>
        <v>355.0533466666667</v>
      </c>
      <c r="O88" s="5"/>
      <c r="P88" s="5">
        <f t="shared" si="17"/>
        <v>1</v>
      </c>
      <c r="Q88" s="7">
        <f t="shared" si="18"/>
        <v>12000</v>
      </c>
      <c r="S88" s="124">
        <f>SUM(D87:D88)</f>
        <v>1027105886</v>
      </c>
      <c r="T88" s="124">
        <f>SUM(F87:F88)</f>
        <v>715400616</v>
      </c>
      <c r="U88" s="124">
        <f>SUM(J87:J88)</f>
        <v>2893366</v>
      </c>
    </row>
    <row r="89" spans="1:21">
      <c r="A89" s="23" t="s">
        <v>95</v>
      </c>
      <c r="B89" s="37" t="s">
        <v>575</v>
      </c>
      <c r="C89" s="125">
        <v>7610</v>
      </c>
      <c r="D89" s="132">
        <v>321203503</v>
      </c>
      <c r="E89" s="133">
        <f t="shared" si="22"/>
        <v>42208.081865965833</v>
      </c>
      <c r="F89" s="134">
        <v>177915511</v>
      </c>
      <c r="G89" s="134">
        <f t="shared" si="23"/>
        <v>23379.173587385019</v>
      </c>
      <c r="H89" s="149"/>
      <c r="I89" s="136">
        <v>8.8194999999999997</v>
      </c>
      <c r="J89" s="134">
        <v>1569125.8492645</v>
      </c>
      <c r="K89" s="120">
        <f t="shared" si="24"/>
        <v>206.19262145394217</v>
      </c>
      <c r="L89" s="122">
        <f t="shared" si="14"/>
        <v>1779155.11</v>
      </c>
      <c r="M89" s="116">
        <f t="shared" si="15"/>
        <v>210029.26073550014</v>
      </c>
      <c r="N89" s="123">
        <f t="shared" si="16"/>
        <v>27.599114419908034</v>
      </c>
      <c r="O89" s="5"/>
      <c r="P89" s="5">
        <f t="shared" si="17"/>
        <v>1</v>
      </c>
      <c r="Q89" s="7">
        <f t="shared" si="18"/>
        <v>7610</v>
      </c>
      <c r="S89" s="124">
        <f>SUM(D89)</f>
        <v>321203503</v>
      </c>
      <c r="T89" s="124">
        <f>SUM(F89)</f>
        <v>177915511</v>
      </c>
      <c r="U89" s="124">
        <f>SUM(J89)</f>
        <v>1569125.8492645</v>
      </c>
    </row>
    <row r="90" spans="1:21">
      <c r="A90" s="23" t="s">
        <v>96</v>
      </c>
      <c r="B90" s="35" t="s">
        <v>97</v>
      </c>
      <c r="C90" s="125">
        <v>1733</v>
      </c>
      <c r="D90" s="132">
        <v>71497643</v>
      </c>
      <c r="E90" s="133">
        <f t="shared" si="22"/>
        <v>41256.574148874781</v>
      </c>
      <c r="F90" s="134">
        <v>29143543</v>
      </c>
      <c r="G90" s="134">
        <f t="shared" si="23"/>
        <v>16816.816503173686</v>
      </c>
      <c r="H90" s="149"/>
      <c r="I90" s="136">
        <v>7</v>
      </c>
      <c r="J90" s="134">
        <v>204005</v>
      </c>
      <c r="K90" s="120">
        <f t="shared" si="24"/>
        <v>117.71783035199077</v>
      </c>
      <c r="L90" s="122">
        <f t="shared" si="14"/>
        <v>291435.43</v>
      </c>
      <c r="M90" s="116">
        <f t="shared" si="15"/>
        <v>87430.43</v>
      </c>
      <c r="N90" s="123">
        <f t="shared" si="16"/>
        <v>50.450334679746099</v>
      </c>
      <c r="O90" s="5"/>
      <c r="P90" s="5">
        <f t="shared" si="17"/>
        <v>1</v>
      </c>
      <c r="Q90" s="7">
        <f t="shared" si="18"/>
        <v>1733</v>
      </c>
    </row>
    <row r="91" spans="1:21">
      <c r="A91" s="23" t="s">
        <v>98</v>
      </c>
      <c r="B91" s="35" t="s">
        <v>97</v>
      </c>
      <c r="C91" s="125">
        <v>159</v>
      </c>
      <c r="D91" s="132">
        <v>48099525</v>
      </c>
      <c r="E91" s="133">
        <f t="shared" si="22"/>
        <v>302512.73584905663</v>
      </c>
      <c r="F91" s="134">
        <v>40877042</v>
      </c>
      <c r="G91" s="134">
        <f t="shared" si="23"/>
        <v>257088.3144654088</v>
      </c>
      <c r="H91" s="152"/>
      <c r="I91" s="150">
        <v>2.5</v>
      </c>
      <c r="J91" s="134">
        <v>102193</v>
      </c>
      <c r="K91" s="120">
        <f t="shared" si="24"/>
        <v>642.72327044025155</v>
      </c>
      <c r="L91" s="122">
        <f t="shared" si="14"/>
        <v>408770.42</v>
      </c>
      <c r="M91" s="116">
        <f t="shared" si="15"/>
        <v>306577.42</v>
      </c>
      <c r="N91" s="123">
        <f t="shared" si="16"/>
        <v>1928.1598742138365</v>
      </c>
      <c r="O91" s="5"/>
      <c r="P91" s="5">
        <f t="shared" si="17"/>
        <v>1</v>
      </c>
      <c r="Q91" s="7">
        <f t="shared" si="18"/>
        <v>159</v>
      </c>
      <c r="S91" s="124">
        <f>SUM(D90:D91)</f>
        <v>119597168</v>
      </c>
      <c r="T91" s="124">
        <f>SUM(F90:F91)</f>
        <v>70020585</v>
      </c>
      <c r="U91" s="124">
        <f>SUM(J90:J91)</f>
        <v>306198</v>
      </c>
    </row>
    <row r="92" spans="1:21">
      <c r="A92" s="23" t="s">
        <v>99</v>
      </c>
      <c r="B92" s="35" t="s">
        <v>100</v>
      </c>
      <c r="C92" s="125">
        <v>13012</v>
      </c>
      <c r="D92" s="132">
        <v>2098448561</v>
      </c>
      <c r="E92" s="133">
        <f t="shared" si="22"/>
        <v>161270.25522594529</v>
      </c>
      <c r="F92" s="134">
        <v>1366811248</v>
      </c>
      <c r="G92" s="134">
        <f t="shared" si="23"/>
        <v>105042.36458653551</v>
      </c>
      <c r="H92" s="152"/>
      <c r="I92" s="136">
        <v>3.3285</v>
      </c>
      <c r="J92" s="134">
        <v>4549431.2389680007</v>
      </c>
      <c r="K92" s="120">
        <f t="shared" si="24"/>
        <v>349.63351052628349</v>
      </c>
      <c r="L92" s="122">
        <f t="shared" si="14"/>
        <v>13668112.48</v>
      </c>
      <c r="M92" s="116">
        <f t="shared" si="15"/>
        <v>9118681.2410320006</v>
      </c>
      <c r="N92" s="123">
        <f t="shared" si="16"/>
        <v>700.79013533907164</v>
      </c>
      <c r="O92" s="5"/>
      <c r="P92" s="5">
        <f t="shared" si="17"/>
        <v>1</v>
      </c>
      <c r="Q92" s="7">
        <f t="shared" si="18"/>
        <v>13012</v>
      </c>
    </row>
    <row r="93" spans="1:21">
      <c r="A93" s="23" t="s">
        <v>101</v>
      </c>
      <c r="B93" s="35" t="s">
        <v>100</v>
      </c>
      <c r="C93" s="125">
        <v>1385</v>
      </c>
      <c r="D93" s="132">
        <v>80279808</v>
      </c>
      <c r="E93" s="133">
        <f t="shared" si="22"/>
        <v>57963.760288808662</v>
      </c>
      <c r="F93" s="134">
        <v>42754667</v>
      </c>
      <c r="G93" s="134">
        <f t="shared" si="23"/>
        <v>30869.795667870036</v>
      </c>
      <c r="H93" s="152"/>
      <c r="I93" s="136">
        <v>3.0379999999999998</v>
      </c>
      <c r="J93" s="134">
        <v>129888.67834599999</v>
      </c>
      <c r="K93" s="120">
        <f t="shared" si="24"/>
        <v>93.782439238989156</v>
      </c>
      <c r="L93" s="122">
        <f t="shared" si="14"/>
        <v>427546.67</v>
      </c>
      <c r="M93" s="116">
        <f t="shared" si="15"/>
        <v>297657.99165400001</v>
      </c>
      <c r="N93" s="123">
        <f t="shared" si="16"/>
        <v>214.91551743971121</v>
      </c>
      <c r="O93" s="5"/>
      <c r="P93" s="5">
        <f t="shared" si="17"/>
        <v>1</v>
      </c>
      <c r="Q93" s="7">
        <f t="shared" si="18"/>
        <v>1385</v>
      </c>
    </row>
    <row r="94" spans="1:21">
      <c r="A94" s="23" t="s">
        <v>102</v>
      </c>
      <c r="B94" s="35" t="s">
        <v>100</v>
      </c>
      <c r="C94" s="125">
        <v>861252</v>
      </c>
      <c r="D94" s="155" t="s">
        <v>597</v>
      </c>
      <c r="E94" s="133"/>
      <c r="F94" s="134"/>
      <c r="G94" s="134"/>
      <c r="H94" s="152"/>
      <c r="I94" s="136"/>
      <c r="J94" s="134"/>
      <c r="K94" s="120"/>
      <c r="L94" s="122">
        <f t="shared" si="14"/>
        <v>0</v>
      </c>
      <c r="M94" s="116">
        <f t="shared" si="15"/>
        <v>0</v>
      </c>
      <c r="N94" s="123">
        <f t="shared" si="16"/>
        <v>0</v>
      </c>
      <c r="O94" s="5"/>
      <c r="P94" s="5">
        <f t="shared" si="17"/>
        <v>0</v>
      </c>
      <c r="Q94" s="7">
        <f t="shared" si="18"/>
        <v>0</v>
      </c>
    </row>
    <row r="95" spans="1:21">
      <c r="A95" s="23" t="s">
        <v>103</v>
      </c>
      <c r="B95" s="35" t="s">
        <v>100</v>
      </c>
      <c r="C95" s="125">
        <v>22805</v>
      </c>
      <c r="D95" s="132">
        <v>4154313528</v>
      </c>
      <c r="E95" s="133">
        <f t="shared" ref="E95:E133" si="25">(D95/C95)</f>
        <v>182166.78482788862</v>
      </c>
      <c r="F95" s="134">
        <v>2894793718</v>
      </c>
      <c r="G95" s="134">
        <f t="shared" ref="G95:G133" si="26">(F95/C95)</f>
        <v>126936.7997368998</v>
      </c>
      <c r="H95" s="152"/>
      <c r="I95" s="136">
        <v>3.8946999999999998</v>
      </c>
      <c r="J95" s="134">
        <v>11274353.0934946</v>
      </c>
      <c r="K95" s="120">
        <f t="shared" ref="K95:K133" si="27">(J95/C95)</f>
        <v>494.38075393530363</v>
      </c>
      <c r="L95" s="122">
        <f t="shared" si="14"/>
        <v>28947937.18</v>
      </c>
      <c r="M95" s="116">
        <f t="shared" si="15"/>
        <v>17673584.086505398</v>
      </c>
      <c r="N95" s="123">
        <f t="shared" si="16"/>
        <v>774.98724343369429</v>
      </c>
      <c r="O95" s="5"/>
      <c r="P95" s="5">
        <f t="shared" si="17"/>
        <v>1</v>
      </c>
      <c r="Q95" s="7">
        <f t="shared" si="18"/>
        <v>22805</v>
      </c>
    </row>
    <row r="96" spans="1:21">
      <c r="A96" s="23" t="s">
        <v>104</v>
      </c>
      <c r="B96" s="35" t="s">
        <v>100</v>
      </c>
      <c r="C96" s="125">
        <v>7120</v>
      </c>
      <c r="D96" s="132">
        <v>1079361701</v>
      </c>
      <c r="E96" s="133">
        <f t="shared" si="25"/>
        <v>151595.74452247191</v>
      </c>
      <c r="F96" s="134">
        <v>700933000</v>
      </c>
      <c r="G96" s="134">
        <f t="shared" si="26"/>
        <v>98445.646067415728</v>
      </c>
      <c r="H96" s="135"/>
      <c r="I96" s="136">
        <v>3.3656000000000001</v>
      </c>
      <c r="J96" s="134">
        <v>2359060.1048000003</v>
      </c>
      <c r="K96" s="120">
        <f t="shared" si="27"/>
        <v>331.32866640449441</v>
      </c>
      <c r="L96" s="122">
        <f t="shared" si="14"/>
        <v>7009330</v>
      </c>
      <c r="M96" s="116">
        <f t="shared" si="15"/>
        <v>4650269.8951999992</v>
      </c>
      <c r="N96" s="123">
        <f t="shared" si="16"/>
        <v>653.12779426966279</v>
      </c>
      <c r="O96" s="5"/>
      <c r="P96" s="5">
        <f t="shared" si="17"/>
        <v>1</v>
      </c>
      <c r="Q96" s="7">
        <f t="shared" si="18"/>
        <v>7120</v>
      </c>
      <c r="S96" s="124">
        <f>SUM(D92:D96)</f>
        <v>7412403598</v>
      </c>
      <c r="T96" s="124">
        <f>SUM(F92:F96)</f>
        <v>5005292633</v>
      </c>
      <c r="U96" s="124">
        <f>SUM(J92:J96)</f>
        <v>18312733.115608599</v>
      </c>
    </row>
    <row r="97" spans="1:21">
      <c r="A97" s="23" t="s">
        <v>105</v>
      </c>
      <c r="B97" s="35" t="s">
        <v>106</v>
      </c>
      <c r="C97" s="125">
        <v>1578</v>
      </c>
      <c r="D97" s="132">
        <v>54923660</v>
      </c>
      <c r="E97" s="133">
        <f t="shared" si="25"/>
        <v>34805.868187579217</v>
      </c>
      <c r="F97" s="134">
        <v>32952745</v>
      </c>
      <c r="G97" s="134">
        <f t="shared" si="26"/>
        <v>20882.601394169837</v>
      </c>
      <c r="H97" s="135"/>
      <c r="I97" s="136">
        <v>0.90059999999999996</v>
      </c>
      <c r="J97" s="134">
        <v>29677</v>
      </c>
      <c r="K97" s="120">
        <f t="shared" si="27"/>
        <v>18.806717363751584</v>
      </c>
      <c r="L97" s="122">
        <f t="shared" si="14"/>
        <v>329527.45</v>
      </c>
      <c r="M97" s="116">
        <f t="shared" si="15"/>
        <v>299850.45</v>
      </c>
      <c r="N97" s="123">
        <f t="shared" si="16"/>
        <v>190.01929657794676</v>
      </c>
      <c r="O97" s="5"/>
      <c r="P97" s="5">
        <f t="shared" si="17"/>
        <v>1</v>
      </c>
      <c r="Q97" s="7">
        <f t="shared" si="18"/>
        <v>1578</v>
      </c>
    </row>
    <row r="98" spans="1:21">
      <c r="A98" s="23" t="s">
        <v>107</v>
      </c>
      <c r="B98" s="35" t="s">
        <v>106</v>
      </c>
      <c r="C98" s="125">
        <v>53058</v>
      </c>
      <c r="D98" s="132">
        <v>5296531528</v>
      </c>
      <c r="E98" s="133">
        <f t="shared" si="25"/>
        <v>99825.314335255753</v>
      </c>
      <c r="F98" s="134">
        <v>3186984136</v>
      </c>
      <c r="G98" s="134">
        <f t="shared" si="26"/>
        <v>60066.043499566513</v>
      </c>
      <c r="H98" s="135"/>
      <c r="I98" s="136">
        <v>4.2895000000000003</v>
      </c>
      <c r="J98" s="134">
        <v>13670568</v>
      </c>
      <c r="K98" s="120">
        <f t="shared" si="27"/>
        <v>257.65328508424744</v>
      </c>
      <c r="L98" s="122">
        <f t="shared" si="14"/>
        <v>31869841.359999999</v>
      </c>
      <c r="M98" s="116">
        <f t="shared" si="15"/>
        <v>18199273.359999999</v>
      </c>
      <c r="N98" s="123">
        <f t="shared" si="16"/>
        <v>343.00714991141768</v>
      </c>
      <c r="O98" s="5"/>
      <c r="P98" s="5">
        <f t="shared" si="17"/>
        <v>1</v>
      </c>
      <c r="Q98" s="7">
        <f t="shared" si="18"/>
        <v>53058</v>
      </c>
      <c r="S98" s="124">
        <f>SUM(D97:D98)</f>
        <v>5351455188</v>
      </c>
      <c r="T98" s="124">
        <f>SUM(F97:F98)</f>
        <v>3219936881</v>
      </c>
      <c r="U98" s="124">
        <f>SUM(J97:J98)</f>
        <v>13700245</v>
      </c>
    </row>
    <row r="99" spans="1:21">
      <c r="A99" s="23" t="s">
        <v>108</v>
      </c>
      <c r="B99" s="35" t="s">
        <v>109</v>
      </c>
      <c r="C99" s="125">
        <v>356</v>
      </c>
      <c r="D99" s="132">
        <v>70346284</v>
      </c>
      <c r="E99" s="133">
        <f t="shared" si="25"/>
        <v>197601.92134831462</v>
      </c>
      <c r="F99" s="134">
        <v>54164402</v>
      </c>
      <c r="G99" s="134">
        <f t="shared" si="26"/>
        <v>152147.19662921349</v>
      </c>
      <c r="H99" s="135"/>
      <c r="I99" s="136">
        <v>2.2999999999999998</v>
      </c>
      <c r="J99" s="134">
        <v>124578</v>
      </c>
      <c r="K99" s="120">
        <f t="shared" si="27"/>
        <v>349.93820224719099</v>
      </c>
      <c r="L99" s="122">
        <f t="shared" si="14"/>
        <v>541644.02</v>
      </c>
      <c r="M99" s="116">
        <f t="shared" si="15"/>
        <v>417066.02</v>
      </c>
      <c r="N99" s="123">
        <f t="shared" si="16"/>
        <v>1171.5337640449438</v>
      </c>
      <c r="O99" s="5"/>
      <c r="P99" s="5">
        <f t="shared" si="17"/>
        <v>1</v>
      </c>
      <c r="Q99" s="7">
        <f t="shared" si="18"/>
        <v>356</v>
      </c>
    </row>
    <row r="100" spans="1:21">
      <c r="A100" s="23" t="s">
        <v>110</v>
      </c>
      <c r="B100" s="35" t="s">
        <v>109</v>
      </c>
      <c r="C100" s="125">
        <v>2875</v>
      </c>
      <c r="D100" s="132">
        <v>448254020</v>
      </c>
      <c r="E100" s="133">
        <f t="shared" si="25"/>
        <v>155914.44173913045</v>
      </c>
      <c r="F100" s="134">
        <v>150592606</v>
      </c>
      <c r="G100" s="134">
        <f t="shared" si="26"/>
        <v>52380.036869565214</v>
      </c>
      <c r="H100" s="135"/>
      <c r="I100" s="136">
        <v>7.45</v>
      </c>
      <c r="J100" s="134">
        <v>1121915</v>
      </c>
      <c r="K100" s="120">
        <f t="shared" si="27"/>
        <v>390.2313043478261</v>
      </c>
      <c r="L100" s="122">
        <f t="shared" si="14"/>
        <v>1505926.06</v>
      </c>
      <c r="M100" s="116">
        <f t="shared" si="15"/>
        <v>384011.06000000006</v>
      </c>
      <c r="N100" s="123">
        <f t="shared" si="16"/>
        <v>133.5690643478261</v>
      </c>
      <c r="O100" s="5"/>
      <c r="P100" s="5">
        <f t="shared" si="17"/>
        <v>1</v>
      </c>
      <c r="Q100" s="7">
        <f t="shared" si="18"/>
        <v>2875</v>
      </c>
    </row>
    <row r="101" spans="1:21">
      <c r="A101" s="23" t="s">
        <v>447</v>
      </c>
      <c r="B101" s="35" t="s">
        <v>109</v>
      </c>
      <c r="C101" s="125">
        <v>79821</v>
      </c>
      <c r="D101" s="132">
        <v>6484923773</v>
      </c>
      <c r="E101" s="133">
        <f t="shared" si="25"/>
        <v>81243.329111386731</v>
      </c>
      <c r="F101" s="134">
        <v>4129619115</v>
      </c>
      <c r="G101" s="134">
        <f t="shared" si="26"/>
        <v>51735.998233547565</v>
      </c>
      <c r="H101" s="152"/>
      <c r="I101" s="136">
        <v>4.2450000000000001</v>
      </c>
      <c r="J101" s="134">
        <v>17530233</v>
      </c>
      <c r="K101" s="120">
        <f t="shared" si="27"/>
        <v>219.61931070770851</v>
      </c>
      <c r="L101" s="122">
        <f t="shared" si="14"/>
        <v>41296191.149999999</v>
      </c>
      <c r="M101" s="116">
        <f t="shared" si="15"/>
        <v>23765958.149999999</v>
      </c>
      <c r="N101" s="123">
        <f t="shared" si="16"/>
        <v>297.74067162776709</v>
      </c>
      <c r="O101" s="5"/>
      <c r="P101" s="5">
        <f t="shared" si="17"/>
        <v>1</v>
      </c>
      <c r="Q101" s="7">
        <f t="shared" si="18"/>
        <v>79821</v>
      </c>
    </row>
    <row r="102" spans="1:21">
      <c r="A102" s="23" t="s">
        <v>111</v>
      </c>
      <c r="B102" s="35" t="s">
        <v>557</v>
      </c>
      <c r="C102" s="125">
        <v>6</v>
      </c>
      <c r="D102" s="132">
        <v>14904992</v>
      </c>
      <c r="E102" s="133">
        <f t="shared" si="25"/>
        <v>2484165.3333333335</v>
      </c>
      <c r="F102" s="134">
        <v>3694290</v>
      </c>
      <c r="G102" s="134">
        <f t="shared" si="26"/>
        <v>615715</v>
      </c>
      <c r="H102" s="135"/>
      <c r="I102" s="136">
        <v>10</v>
      </c>
      <c r="J102" s="134">
        <v>36943</v>
      </c>
      <c r="K102" s="120">
        <f t="shared" si="27"/>
        <v>6157.166666666667</v>
      </c>
      <c r="L102" s="122">
        <f t="shared" si="14"/>
        <v>36942.9</v>
      </c>
      <c r="M102" s="116">
        <f t="shared" si="15"/>
        <v>-9.9999999998544808E-2</v>
      </c>
      <c r="N102" s="123">
        <f t="shared" si="16"/>
        <v>-1.6666666666424135E-2</v>
      </c>
      <c r="O102" s="5"/>
      <c r="P102" s="5">
        <f t="shared" si="17"/>
        <v>1</v>
      </c>
      <c r="Q102" s="7">
        <f t="shared" si="18"/>
        <v>6</v>
      </c>
    </row>
    <row r="103" spans="1:21">
      <c r="A103" s="23" t="s">
        <v>112</v>
      </c>
      <c r="B103" s="35" t="s">
        <v>113</v>
      </c>
      <c r="C103" s="125">
        <v>4563</v>
      </c>
      <c r="D103" s="132">
        <v>758689050</v>
      </c>
      <c r="E103" s="133">
        <f t="shared" si="25"/>
        <v>166269.78961209732</v>
      </c>
      <c r="F103" s="134">
        <v>539142709</v>
      </c>
      <c r="G103" s="134">
        <f t="shared" si="26"/>
        <v>118155.3164584703</v>
      </c>
      <c r="H103" s="135"/>
      <c r="I103" s="136">
        <v>4.7073999999999998</v>
      </c>
      <c r="J103" s="134">
        <v>2537960</v>
      </c>
      <c r="K103" s="120">
        <f t="shared" si="27"/>
        <v>556.20425158886701</v>
      </c>
      <c r="L103" s="122">
        <f t="shared" si="14"/>
        <v>5391427.0899999999</v>
      </c>
      <c r="M103" s="116">
        <f t="shared" si="15"/>
        <v>2853467.09</v>
      </c>
      <c r="N103" s="123">
        <f t="shared" si="16"/>
        <v>625.34891299583603</v>
      </c>
      <c r="O103" s="5"/>
      <c r="P103" s="5">
        <f t="shared" si="17"/>
        <v>1</v>
      </c>
      <c r="Q103" s="7">
        <f t="shared" si="18"/>
        <v>4563</v>
      </c>
      <c r="S103" s="124">
        <f>SUM(D99:D103)</f>
        <v>7777118119</v>
      </c>
      <c r="T103" s="124">
        <f>SUM(F99:F103)</f>
        <v>4877213122</v>
      </c>
      <c r="U103" s="124">
        <f>SUM(J99:J103)</f>
        <v>21351629</v>
      </c>
    </row>
    <row r="104" spans="1:21">
      <c r="A104" s="23" t="s">
        <v>114</v>
      </c>
      <c r="B104" s="35" t="s">
        <v>115</v>
      </c>
      <c r="C104" s="125">
        <v>2302</v>
      </c>
      <c r="D104" s="132">
        <v>223647199</v>
      </c>
      <c r="E104" s="133">
        <f t="shared" si="25"/>
        <v>97153.431364031276</v>
      </c>
      <c r="F104" s="134">
        <v>128508921</v>
      </c>
      <c r="G104" s="134">
        <f t="shared" si="26"/>
        <v>55824.900521285839</v>
      </c>
      <c r="H104" s="152"/>
      <c r="I104" s="150">
        <v>9.3543000000000003</v>
      </c>
      <c r="J104" s="134">
        <v>1202111</v>
      </c>
      <c r="K104" s="120">
        <f t="shared" si="27"/>
        <v>522.20286707211119</v>
      </c>
      <c r="L104" s="122">
        <f t="shared" si="14"/>
        <v>1285089.21</v>
      </c>
      <c r="M104" s="116">
        <f t="shared" si="15"/>
        <v>82978.209999999963</v>
      </c>
      <c r="N104" s="123">
        <f t="shared" si="16"/>
        <v>36.046138140747161</v>
      </c>
      <c r="O104" s="5"/>
      <c r="P104" s="5">
        <f t="shared" si="17"/>
        <v>1</v>
      </c>
      <c r="Q104" s="7">
        <f t="shared" si="18"/>
        <v>2302</v>
      </c>
    </row>
    <row r="105" spans="1:21">
      <c r="A105" s="23" t="s">
        <v>116</v>
      </c>
      <c r="B105" s="35" t="s">
        <v>115</v>
      </c>
      <c r="C105" s="125">
        <v>2765</v>
      </c>
      <c r="D105" s="132">
        <v>138770690</v>
      </c>
      <c r="E105" s="133">
        <f t="shared" si="25"/>
        <v>50188.314647377942</v>
      </c>
      <c r="F105" s="134">
        <v>98262941</v>
      </c>
      <c r="G105" s="134">
        <f t="shared" si="26"/>
        <v>35538.134177215186</v>
      </c>
      <c r="H105" s="152"/>
      <c r="I105" s="136">
        <v>9</v>
      </c>
      <c r="J105" s="134">
        <v>884366</v>
      </c>
      <c r="K105" s="120">
        <f t="shared" si="27"/>
        <v>319.84303797468357</v>
      </c>
      <c r="L105" s="122">
        <f t="shared" si="14"/>
        <v>982629.41</v>
      </c>
      <c r="M105" s="116">
        <f t="shared" si="15"/>
        <v>98263.410000000033</v>
      </c>
      <c r="N105" s="123">
        <f t="shared" si="16"/>
        <v>35.538303797468366</v>
      </c>
      <c r="O105" s="5"/>
      <c r="P105" s="5">
        <f t="shared" si="17"/>
        <v>1</v>
      </c>
      <c r="Q105" s="7">
        <f t="shared" si="18"/>
        <v>2765</v>
      </c>
      <c r="S105" s="124">
        <f>SUM(D104:D105)</f>
        <v>362417889</v>
      </c>
      <c r="T105" s="124">
        <f>SUM(F104:F105)</f>
        <v>226771862</v>
      </c>
      <c r="U105" s="124">
        <f>SUM(J104:J105)</f>
        <v>2086477</v>
      </c>
    </row>
    <row r="106" spans="1:21">
      <c r="A106" s="23" t="s">
        <v>117</v>
      </c>
      <c r="B106" s="35" t="s">
        <v>118</v>
      </c>
      <c r="C106" s="125">
        <v>3135</v>
      </c>
      <c r="D106" s="132">
        <v>224577096</v>
      </c>
      <c r="E106" s="133">
        <f t="shared" si="25"/>
        <v>71635.437320574158</v>
      </c>
      <c r="F106" s="134">
        <v>32747925</v>
      </c>
      <c r="G106" s="134">
        <f t="shared" si="26"/>
        <v>10445.90909090909</v>
      </c>
      <c r="H106" s="135"/>
      <c r="I106" s="136">
        <v>0.9032</v>
      </c>
      <c r="J106" s="134">
        <v>29578</v>
      </c>
      <c r="K106" s="120">
        <f t="shared" si="27"/>
        <v>9.4347687400318971</v>
      </c>
      <c r="L106" s="122">
        <f t="shared" si="14"/>
        <v>327479.25</v>
      </c>
      <c r="M106" s="116">
        <f t="shared" si="15"/>
        <v>297901.25</v>
      </c>
      <c r="N106" s="123">
        <f t="shared" si="16"/>
        <v>95.024322169059005</v>
      </c>
      <c r="O106" s="5"/>
      <c r="P106" s="5">
        <f t="shared" si="17"/>
        <v>1</v>
      </c>
      <c r="Q106" s="7">
        <f t="shared" si="18"/>
        <v>3135</v>
      </c>
    </row>
    <row r="107" spans="1:21">
      <c r="A107" s="23" t="s">
        <v>119</v>
      </c>
      <c r="B107" s="35" t="s">
        <v>118</v>
      </c>
      <c r="C107" s="125">
        <v>624</v>
      </c>
      <c r="D107" s="132">
        <v>23447957</v>
      </c>
      <c r="E107" s="133">
        <f t="shared" si="25"/>
        <v>37576.854166666664</v>
      </c>
      <c r="F107" s="134">
        <v>8257695</v>
      </c>
      <c r="G107" s="134">
        <f t="shared" si="26"/>
        <v>13233.485576923076</v>
      </c>
      <c r="H107" s="135"/>
      <c r="I107" s="136">
        <v>5</v>
      </c>
      <c r="J107" s="134">
        <v>41288</v>
      </c>
      <c r="K107" s="120">
        <f t="shared" si="27"/>
        <v>66.166666666666671</v>
      </c>
      <c r="L107" s="122">
        <f t="shared" si="14"/>
        <v>82576.95</v>
      </c>
      <c r="M107" s="116">
        <f t="shared" si="15"/>
        <v>41288.949999999997</v>
      </c>
      <c r="N107" s="123">
        <f t="shared" si="16"/>
        <v>66.168189102564099</v>
      </c>
      <c r="O107" s="5"/>
      <c r="P107" s="5">
        <f t="shared" si="17"/>
        <v>1</v>
      </c>
      <c r="Q107" s="7">
        <f t="shared" si="18"/>
        <v>624</v>
      </c>
    </row>
    <row r="108" spans="1:21">
      <c r="A108" s="23" t="s">
        <v>120</v>
      </c>
      <c r="B108" s="35" t="s">
        <v>118</v>
      </c>
      <c r="C108" s="125">
        <v>1556</v>
      </c>
      <c r="D108" s="132">
        <v>46277436</v>
      </c>
      <c r="E108" s="133">
        <f t="shared" si="25"/>
        <v>29741.282776349613</v>
      </c>
      <c r="F108" s="134">
        <v>24259806</v>
      </c>
      <c r="G108" s="134">
        <f t="shared" si="26"/>
        <v>15591.134961439589</v>
      </c>
      <c r="H108" s="135"/>
      <c r="I108" s="136">
        <v>4.7362000000000002</v>
      </c>
      <c r="J108" s="134">
        <v>114899</v>
      </c>
      <c r="K108" s="120">
        <f t="shared" si="27"/>
        <v>73.842544987146525</v>
      </c>
      <c r="L108" s="122">
        <f t="shared" si="14"/>
        <v>242598.06</v>
      </c>
      <c r="M108" s="116">
        <f t="shared" si="15"/>
        <v>127699.06</v>
      </c>
      <c r="N108" s="123">
        <f t="shared" si="16"/>
        <v>82.068804627249349</v>
      </c>
      <c r="O108" s="5"/>
      <c r="P108" s="5">
        <f t="shared" si="17"/>
        <v>1</v>
      </c>
      <c r="Q108" s="7">
        <f t="shared" si="18"/>
        <v>1556</v>
      </c>
    </row>
    <row r="109" spans="1:21">
      <c r="A109" s="23" t="s">
        <v>121</v>
      </c>
      <c r="B109" s="35" t="s">
        <v>118</v>
      </c>
      <c r="C109" s="125">
        <v>1767</v>
      </c>
      <c r="D109" s="132">
        <v>93516345</v>
      </c>
      <c r="E109" s="133">
        <f t="shared" si="25"/>
        <v>52923.794567062818</v>
      </c>
      <c r="F109" s="134">
        <v>60968142</v>
      </c>
      <c r="G109" s="134">
        <f t="shared" si="26"/>
        <v>34503.758913412566</v>
      </c>
      <c r="H109" s="135"/>
      <c r="I109" s="136">
        <v>1.823</v>
      </c>
      <c r="J109" s="134">
        <v>111145</v>
      </c>
      <c r="K109" s="120">
        <f t="shared" si="27"/>
        <v>62.900396151669497</v>
      </c>
      <c r="L109" s="122">
        <f t="shared" si="14"/>
        <v>609681.42000000004</v>
      </c>
      <c r="M109" s="116">
        <f t="shared" si="15"/>
        <v>498536.42000000004</v>
      </c>
      <c r="N109" s="123">
        <f t="shared" si="16"/>
        <v>282.13719298245616</v>
      </c>
      <c r="O109" s="5"/>
      <c r="P109" s="5">
        <f t="shared" si="17"/>
        <v>1</v>
      </c>
      <c r="Q109" s="7">
        <f t="shared" si="18"/>
        <v>1767</v>
      </c>
    </row>
    <row r="110" spans="1:21">
      <c r="A110" s="23" t="s">
        <v>122</v>
      </c>
      <c r="B110" s="35" t="s">
        <v>118</v>
      </c>
      <c r="C110" s="125">
        <v>3378</v>
      </c>
      <c r="D110" s="132">
        <v>192495121</v>
      </c>
      <c r="E110" s="133">
        <f t="shared" si="25"/>
        <v>56984.938129070455</v>
      </c>
      <c r="F110" s="134">
        <v>135562534</v>
      </c>
      <c r="G110" s="134">
        <f t="shared" si="26"/>
        <v>40131.004736530493</v>
      </c>
      <c r="H110" s="135"/>
      <c r="I110" s="136">
        <v>4.6201999999999996</v>
      </c>
      <c r="J110" s="134">
        <v>626326</v>
      </c>
      <c r="K110" s="120">
        <f t="shared" si="27"/>
        <v>185.41326228537596</v>
      </c>
      <c r="L110" s="122">
        <f t="shared" si="14"/>
        <v>1355625.34</v>
      </c>
      <c r="M110" s="116">
        <f t="shared" si="15"/>
        <v>729299.34000000008</v>
      </c>
      <c r="N110" s="123">
        <f t="shared" si="16"/>
        <v>215.89678507992897</v>
      </c>
      <c r="O110" s="5"/>
      <c r="P110" s="5">
        <f t="shared" si="17"/>
        <v>1</v>
      </c>
      <c r="Q110" s="7">
        <f t="shared" si="18"/>
        <v>3378</v>
      </c>
    </row>
    <row r="111" spans="1:21">
      <c r="A111" s="23" t="s">
        <v>123</v>
      </c>
      <c r="B111" s="35" t="s">
        <v>118</v>
      </c>
      <c r="C111" s="125">
        <v>7853</v>
      </c>
      <c r="D111" s="132">
        <v>487722699</v>
      </c>
      <c r="E111" s="133">
        <f t="shared" si="25"/>
        <v>62106.545141983952</v>
      </c>
      <c r="F111" s="134">
        <v>209856078</v>
      </c>
      <c r="G111" s="134">
        <f t="shared" si="26"/>
        <v>26723.04571501337</v>
      </c>
      <c r="H111" s="152"/>
      <c r="I111" s="136">
        <v>4.6230000000000002</v>
      </c>
      <c r="J111" s="134">
        <v>970165</v>
      </c>
      <c r="K111" s="120">
        <f t="shared" si="27"/>
        <v>123.54068508850121</v>
      </c>
      <c r="L111" s="122">
        <f t="shared" si="14"/>
        <v>2098560.7800000003</v>
      </c>
      <c r="M111" s="116">
        <f t="shared" si="15"/>
        <v>1128395.7800000003</v>
      </c>
      <c r="N111" s="123">
        <f t="shared" si="16"/>
        <v>143.68977206163254</v>
      </c>
      <c r="O111" s="5"/>
      <c r="P111" s="5">
        <f t="shared" si="17"/>
        <v>1</v>
      </c>
      <c r="Q111" s="7">
        <f t="shared" si="18"/>
        <v>7853</v>
      </c>
      <c r="S111" s="124">
        <f>SUM(D106:D111)</f>
        <v>1068036654</v>
      </c>
      <c r="T111" s="124">
        <f>SUM(F106:F111)</f>
        <v>471652180</v>
      </c>
      <c r="U111" s="124">
        <f>SUM(J106:J111)</f>
        <v>1893401</v>
      </c>
    </row>
    <row r="112" spans="1:21">
      <c r="A112" s="23" t="s">
        <v>124</v>
      </c>
      <c r="B112" s="35" t="s">
        <v>125</v>
      </c>
      <c r="C112" s="125">
        <v>537</v>
      </c>
      <c r="D112" s="132">
        <v>38446791</v>
      </c>
      <c r="E112" s="133">
        <f t="shared" si="25"/>
        <v>71595.513966480445</v>
      </c>
      <c r="F112" s="134">
        <v>16404495</v>
      </c>
      <c r="G112" s="134">
        <f t="shared" si="26"/>
        <v>30548.407821229051</v>
      </c>
      <c r="H112" s="152"/>
      <c r="I112" s="136">
        <v>2.9173</v>
      </c>
      <c r="J112" s="134">
        <v>47857</v>
      </c>
      <c r="K112" s="120">
        <f t="shared" si="27"/>
        <v>89.11918063314711</v>
      </c>
      <c r="L112" s="122">
        <f t="shared" si="14"/>
        <v>164044.95000000001</v>
      </c>
      <c r="M112" s="116">
        <f t="shared" si="15"/>
        <v>116187.95000000001</v>
      </c>
      <c r="N112" s="123">
        <f t="shared" si="16"/>
        <v>216.36489757914342</v>
      </c>
      <c r="O112" s="5"/>
      <c r="P112" s="5">
        <f t="shared" si="17"/>
        <v>1</v>
      </c>
      <c r="Q112" s="7">
        <f t="shared" si="18"/>
        <v>537</v>
      </c>
    </row>
    <row r="113" spans="1:21">
      <c r="A113" s="23" t="s">
        <v>126</v>
      </c>
      <c r="B113" s="35" t="s">
        <v>125</v>
      </c>
      <c r="C113" s="125">
        <v>2067</v>
      </c>
      <c r="D113" s="132">
        <v>103463342</v>
      </c>
      <c r="E113" s="133">
        <f t="shared" si="25"/>
        <v>50054.834059022738</v>
      </c>
      <c r="F113" s="134">
        <v>53355188</v>
      </c>
      <c r="G113" s="134">
        <f t="shared" si="26"/>
        <v>25812.863086598936</v>
      </c>
      <c r="H113" s="152"/>
      <c r="I113" s="150">
        <v>2</v>
      </c>
      <c r="J113" s="134">
        <v>106710</v>
      </c>
      <c r="K113" s="120">
        <f t="shared" si="27"/>
        <v>51.625544267053698</v>
      </c>
      <c r="L113" s="122">
        <f t="shared" si="14"/>
        <v>533551.88</v>
      </c>
      <c r="M113" s="116">
        <f t="shared" si="15"/>
        <v>426841.88</v>
      </c>
      <c r="N113" s="123">
        <f t="shared" si="16"/>
        <v>206.50308659893565</v>
      </c>
      <c r="O113" s="5"/>
      <c r="P113" s="5">
        <f t="shared" si="17"/>
        <v>1</v>
      </c>
      <c r="Q113" s="7">
        <f t="shared" si="18"/>
        <v>2067</v>
      </c>
    </row>
    <row r="114" spans="1:21">
      <c r="A114" s="23" t="s">
        <v>127</v>
      </c>
      <c r="B114" s="35" t="s">
        <v>128</v>
      </c>
      <c r="C114" s="125">
        <v>784</v>
      </c>
      <c r="D114" s="132">
        <v>62372953</v>
      </c>
      <c r="E114" s="133">
        <f t="shared" si="25"/>
        <v>79557.338010204083</v>
      </c>
      <c r="F114" s="134">
        <v>35825701</v>
      </c>
      <c r="G114" s="134">
        <f t="shared" si="26"/>
        <v>45696.047193877552</v>
      </c>
      <c r="H114" s="135"/>
      <c r="I114" s="150">
        <v>3</v>
      </c>
      <c r="J114" s="134">
        <v>107477</v>
      </c>
      <c r="K114" s="120">
        <f t="shared" si="27"/>
        <v>137.08801020408163</v>
      </c>
      <c r="L114" s="122">
        <f t="shared" si="14"/>
        <v>358257.01</v>
      </c>
      <c r="M114" s="116">
        <f t="shared" si="15"/>
        <v>250780.01</v>
      </c>
      <c r="N114" s="123">
        <f t="shared" si="16"/>
        <v>319.8724617346939</v>
      </c>
      <c r="O114" s="5"/>
      <c r="P114" s="5">
        <f t="shared" si="17"/>
        <v>1</v>
      </c>
      <c r="Q114" s="7">
        <f t="shared" si="18"/>
        <v>784</v>
      </c>
      <c r="S114" s="124">
        <f>SUM(D112:D114)</f>
        <v>204283086</v>
      </c>
      <c r="T114" s="124">
        <f>SUM(F112:F114)</f>
        <v>105585384</v>
      </c>
      <c r="U114" s="124">
        <f>SUM(J112:J114)</f>
        <v>262044</v>
      </c>
    </row>
    <row r="115" spans="1:21">
      <c r="A115" s="23" t="s">
        <v>129</v>
      </c>
      <c r="B115" s="35" t="s">
        <v>130</v>
      </c>
      <c r="C115" s="125">
        <v>1648</v>
      </c>
      <c r="D115" s="132">
        <v>87050338</v>
      </c>
      <c r="E115" s="133">
        <f t="shared" si="25"/>
        <v>52821.807038834952</v>
      </c>
      <c r="F115" s="134">
        <v>37623903</v>
      </c>
      <c r="G115" s="134">
        <f t="shared" si="26"/>
        <v>22830.038228155339</v>
      </c>
      <c r="H115" s="152"/>
      <c r="I115" s="136">
        <v>5.0541999999999998</v>
      </c>
      <c r="J115" s="134">
        <v>190159</v>
      </c>
      <c r="K115" s="120">
        <f t="shared" si="27"/>
        <v>115.3877427184466</v>
      </c>
      <c r="L115" s="122">
        <f t="shared" si="14"/>
        <v>376239.03</v>
      </c>
      <c r="M115" s="116">
        <f t="shared" si="15"/>
        <v>186080.03000000003</v>
      </c>
      <c r="N115" s="123">
        <f t="shared" si="16"/>
        <v>112.91263956310681</v>
      </c>
      <c r="O115" s="5"/>
      <c r="P115" s="5">
        <f t="shared" si="17"/>
        <v>1</v>
      </c>
      <c r="Q115" s="7">
        <f t="shared" si="18"/>
        <v>1648</v>
      </c>
      <c r="S115" s="124">
        <f>SUM(D115)</f>
        <v>87050338</v>
      </c>
      <c r="T115" s="124">
        <f>SUM(F115)</f>
        <v>37623903</v>
      </c>
      <c r="U115" s="124">
        <f>SUM(J115)</f>
        <v>190159</v>
      </c>
    </row>
    <row r="116" spans="1:21">
      <c r="A116" s="24" t="s">
        <v>545</v>
      </c>
      <c r="B116" s="35" t="s">
        <v>131</v>
      </c>
      <c r="C116" s="125">
        <v>3525</v>
      </c>
      <c r="D116" s="132">
        <v>413577609</v>
      </c>
      <c r="E116" s="133">
        <f t="shared" si="25"/>
        <v>117326.98127659575</v>
      </c>
      <c r="F116" s="134">
        <v>282160263</v>
      </c>
      <c r="G116" s="134">
        <f t="shared" si="26"/>
        <v>80045.464680851059</v>
      </c>
      <c r="H116" s="152"/>
      <c r="I116" s="136">
        <v>3.5914000000000001</v>
      </c>
      <c r="J116" s="134">
        <v>1013350</v>
      </c>
      <c r="K116" s="120">
        <f t="shared" si="27"/>
        <v>287.47517730496452</v>
      </c>
      <c r="L116" s="122">
        <f t="shared" si="14"/>
        <v>2821602.63</v>
      </c>
      <c r="M116" s="116">
        <f t="shared" si="15"/>
        <v>1808252.63</v>
      </c>
      <c r="N116" s="123">
        <f t="shared" si="16"/>
        <v>512.97946950354606</v>
      </c>
      <c r="O116" s="5"/>
      <c r="P116" s="5">
        <f t="shared" si="17"/>
        <v>1</v>
      </c>
      <c r="Q116" s="7">
        <f t="shared" si="18"/>
        <v>3525</v>
      </c>
    </row>
    <row r="117" spans="1:21">
      <c r="A117" s="23" t="s">
        <v>132</v>
      </c>
      <c r="B117" s="35" t="s">
        <v>131</v>
      </c>
      <c r="C117" s="125">
        <v>2126</v>
      </c>
      <c r="D117" s="132">
        <v>92549509</v>
      </c>
      <c r="E117" s="133">
        <f t="shared" si="25"/>
        <v>43532.224365004702</v>
      </c>
      <c r="F117" s="134">
        <v>54382004</v>
      </c>
      <c r="G117" s="134">
        <f t="shared" si="26"/>
        <v>25579.49388523048</v>
      </c>
      <c r="H117" s="152"/>
      <c r="I117" s="136">
        <v>5.9714</v>
      </c>
      <c r="J117" s="134">
        <v>324737</v>
      </c>
      <c r="K117" s="120">
        <f t="shared" si="27"/>
        <v>152.74553151458139</v>
      </c>
      <c r="L117" s="122">
        <f t="shared" si="14"/>
        <v>543820.04</v>
      </c>
      <c r="M117" s="116">
        <f t="shared" si="15"/>
        <v>219083.04000000004</v>
      </c>
      <c r="N117" s="123">
        <f t="shared" si="16"/>
        <v>103.04940733772344</v>
      </c>
      <c r="O117" s="5"/>
      <c r="P117" s="5">
        <f t="shared" si="17"/>
        <v>1</v>
      </c>
      <c r="Q117" s="7">
        <f t="shared" si="18"/>
        <v>2126</v>
      </c>
      <c r="S117" s="124">
        <f>SUM(D116:D117)</f>
        <v>506127118</v>
      </c>
      <c r="T117" s="124">
        <f>SUM(F116:F117)</f>
        <v>336542267</v>
      </c>
      <c r="U117" s="124">
        <f>SUM(J116:J117)</f>
        <v>1338087</v>
      </c>
    </row>
    <row r="118" spans="1:21">
      <c r="A118" s="23" t="s">
        <v>133</v>
      </c>
      <c r="B118" s="35" t="s">
        <v>134</v>
      </c>
      <c r="C118" s="125">
        <v>3083</v>
      </c>
      <c r="D118" s="132">
        <v>94704956</v>
      </c>
      <c r="E118" s="133">
        <f t="shared" si="25"/>
        <v>30718.441777489457</v>
      </c>
      <c r="F118" s="134">
        <v>45141896</v>
      </c>
      <c r="G118" s="134">
        <f t="shared" si="26"/>
        <v>14642.197859228025</v>
      </c>
      <c r="H118" s="135"/>
      <c r="I118" s="136">
        <v>7.1677</v>
      </c>
      <c r="J118" s="134">
        <v>323564</v>
      </c>
      <c r="K118" s="120">
        <f t="shared" si="27"/>
        <v>104.95102173207914</v>
      </c>
      <c r="L118" s="122">
        <f t="shared" si="14"/>
        <v>451418.96</v>
      </c>
      <c r="M118" s="116">
        <f t="shared" si="15"/>
        <v>127854.96000000002</v>
      </c>
      <c r="N118" s="123">
        <f t="shared" si="16"/>
        <v>41.470956860201113</v>
      </c>
      <c r="O118" s="5"/>
      <c r="P118" s="5">
        <f t="shared" si="17"/>
        <v>1</v>
      </c>
      <c r="Q118" s="7">
        <f t="shared" si="18"/>
        <v>3083</v>
      </c>
    </row>
    <row r="119" spans="1:21">
      <c r="A119" s="23" t="s">
        <v>135</v>
      </c>
      <c r="B119" s="35" t="s">
        <v>134</v>
      </c>
      <c r="C119" s="125">
        <v>871</v>
      </c>
      <c r="D119" s="132">
        <v>19001362</v>
      </c>
      <c r="E119" s="133">
        <f t="shared" si="25"/>
        <v>21815.570608495982</v>
      </c>
      <c r="F119" s="134">
        <v>11492065</v>
      </c>
      <c r="G119" s="134">
        <f t="shared" si="26"/>
        <v>13194.10447761194</v>
      </c>
      <c r="H119" s="135"/>
      <c r="I119" s="136">
        <v>4.5</v>
      </c>
      <c r="J119" s="134">
        <v>51714</v>
      </c>
      <c r="K119" s="120">
        <f t="shared" si="27"/>
        <v>59.373134328358212</v>
      </c>
      <c r="L119" s="122">
        <f t="shared" si="14"/>
        <v>114920.65000000001</v>
      </c>
      <c r="M119" s="116">
        <f t="shared" si="15"/>
        <v>63206.650000000009</v>
      </c>
      <c r="N119" s="123">
        <f t="shared" si="16"/>
        <v>72.567910447761207</v>
      </c>
      <c r="O119" s="5"/>
      <c r="P119" s="5">
        <f t="shared" si="17"/>
        <v>1</v>
      </c>
      <c r="Q119" s="7">
        <f t="shared" si="18"/>
        <v>871</v>
      </c>
    </row>
    <row r="120" spans="1:21">
      <c r="A120" s="23" t="s">
        <v>136</v>
      </c>
      <c r="B120" s="35" t="s">
        <v>134</v>
      </c>
      <c r="C120" s="125">
        <v>763</v>
      </c>
      <c r="D120" s="132">
        <v>33365458</v>
      </c>
      <c r="E120" s="133">
        <f t="shared" si="25"/>
        <v>43729.302752293581</v>
      </c>
      <c r="F120" s="134">
        <v>16318059</v>
      </c>
      <c r="G120" s="134">
        <f t="shared" si="26"/>
        <v>21386.709043250328</v>
      </c>
      <c r="H120" s="135"/>
      <c r="I120" s="136">
        <v>4.4081000000000001</v>
      </c>
      <c r="J120" s="134">
        <v>71932</v>
      </c>
      <c r="K120" s="120">
        <f t="shared" si="27"/>
        <v>94.275229357798167</v>
      </c>
      <c r="L120" s="122">
        <f t="shared" si="14"/>
        <v>163180.59</v>
      </c>
      <c r="M120" s="116">
        <f t="shared" si="15"/>
        <v>91248.59</v>
      </c>
      <c r="N120" s="123">
        <f t="shared" si="16"/>
        <v>119.59186107470511</v>
      </c>
      <c r="O120" s="5"/>
      <c r="P120" s="5">
        <f t="shared" si="17"/>
        <v>1</v>
      </c>
      <c r="Q120" s="7">
        <f t="shared" si="18"/>
        <v>763</v>
      </c>
      <c r="S120" s="124">
        <f>SUM(D118:D120)</f>
        <v>147071776</v>
      </c>
      <c r="T120" s="124">
        <f>SUM(F118:F120)</f>
        <v>72952020</v>
      </c>
      <c r="U120" s="124">
        <f>SUM(J118:J120)</f>
        <v>447210</v>
      </c>
    </row>
    <row r="121" spans="1:21">
      <c r="A121" s="23" t="s">
        <v>137</v>
      </c>
      <c r="B121" s="35" t="s">
        <v>138</v>
      </c>
      <c r="C121" s="125">
        <v>2894</v>
      </c>
      <c r="D121" s="132">
        <v>63964513</v>
      </c>
      <c r="E121" s="133">
        <f t="shared" si="25"/>
        <v>22102.457843814791</v>
      </c>
      <c r="F121" s="134">
        <v>30738731</v>
      </c>
      <c r="G121" s="134">
        <f t="shared" si="26"/>
        <v>10621.538009675191</v>
      </c>
      <c r="H121" s="135"/>
      <c r="I121" s="136">
        <v>7.25</v>
      </c>
      <c r="J121" s="134">
        <v>222856</v>
      </c>
      <c r="K121" s="120">
        <f t="shared" si="27"/>
        <v>77.006219765031105</v>
      </c>
      <c r="L121" s="122">
        <f t="shared" si="14"/>
        <v>307387.31</v>
      </c>
      <c r="M121" s="116">
        <f t="shared" si="15"/>
        <v>84531.31</v>
      </c>
      <c r="N121" s="123">
        <f t="shared" si="16"/>
        <v>29.209160331720803</v>
      </c>
      <c r="O121" s="5"/>
      <c r="P121" s="5">
        <f t="shared" si="17"/>
        <v>1</v>
      </c>
      <c r="Q121" s="7">
        <f t="shared" si="18"/>
        <v>2894</v>
      </c>
    </row>
    <row r="122" spans="1:21">
      <c r="A122" s="23" t="s">
        <v>139</v>
      </c>
      <c r="B122" s="35" t="s">
        <v>138</v>
      </c>
      <c r="C122" s="125">
        <v>5001</v>
      </c>
      <c r="D122" s="132">
        <v>212954250</v>
      </c>
      <c r="E122" s="133">
        <f t="shared" si="25"/>
        <v>42582.333533293342</v>
      </c>
      <c r="F122" s="134">
        <v>102944964</v>
      </c>
      <c r="G122" s="134">
        <f t="shared" si="26"/>
        <v>20584.875824835031</v>
      </c>
      <c r="H122" s="135"/>
      <c r="I122" s="136">
        <v>5.6485000000000003</v>
      </c>
      <c r="J122" s="134">
        <v>581485</v>
      </c>
      <c r="K122" s="120">
        <f t="shared" si="27"/>
        <v>116.27374525094982</v>
      </c>
      <c r="L122" s="122">
        <f t="shared" si="14"/>
        <v>1029449.64</v>
      </c>
      <c r="M122" s="116">
        <f t="shared" si="15"/>
        <v>447964.64</v>
      </c>
      <c r="N122" s="123">
        <f t="shared" si="16"/>
        <v>89.57501299740052</v>
      </c>
      <c r="O122" s="5"/>
      <c r="P122" s="5">
        <f t="shared" si="17"/>
        <v>1</v>
      </c>
      <c r="Q122" s="7">
        <f t="shared" si="18"/>
        <v>5001</v>
      </c>
    </row>
    <row r="123" spans="1:21">
      <c r="A123" s="23" t="s">
        <v>140</v>
      </c>
      <c r="B123" s="35" t="s">
        <v>138</v>
      </c>
      <c r="C123" s="125">
        <v>1803</v>
      </c>
      <c r="D123" s="132">
        <v>50248362</v>
      </c>
      <c r="E123" s="133">
        <f t="shared" si="25"/>
        <v>27869.307820299502</v>
      </c>
      <c r="F123" s="134">
        <v>22661317</v>
      </c>
      <c r="G123" s="134">
        <f t="shared" si="26"/>
        <v>12568.67276760954</v>
      </c>
      <c r="H123" s="135"/>
      <c r="I123" s="136">
        <v>8.5540000000000003</v>
      </c>
      <c r="J123" s="134">
        <v>193845</v>
      </c>
      <c r="K123" s="120">
        <f t="shared" si="27"/>
        <v>107.51247920133112</v>
      </c>
      <c r="L123" s="122">
        <f t="shared" si="14"/>
        <v>226613.17</v>
      </c>
      <c r="M123" s="116">
        <f t="shared" si="15"/>
        <v>32768.170000000013</v>
      </c>
      <c r="N123" s="123">
        <f t="shared" si="16"/>
        <v>18.174248474764291</v>
      </c>
      <c r="O123" s="5"/>
      <c r="P123" s="5">
        <f t="shared" si="17"/>
        <v>1</v>
      </c>
      <c r="Q123" s="7">
        <f t="shared" si="18"/>
        <v>1803</v>
      </c>
      <c r="S123" s="124">
        <f>SUM(D121:D123)</f>
        <v>327167125</v>
      </c>
      <c r="T123" s="124">
        <f>SUM(F121:F123)</f>
        <v>156345012</v>
      </c>
      <c r="U123" s="124">
        <f>SUM(J121:J123)</f>
        <v>998186</v>
      </c>
    </row>
    <row r="124" spans="1:21">
      <c r="A124" s="23" t="s">
        <v>141</v>
      </c>
      <c r="B124" s="35" t="s">
        <v>142</v>
      </c>
      <c r="C124" s="125">
        <v>7441</v>
      </c>
      <c r="D124" s="132">
        <v>448585591</v>
      </c>
      <c r="E124" s="133">
        <f t="shared" si="25"/>
        <v>60285.659319983875</v>
      </c>
      <c r="F124" s="134">
        <v>202119484</v>
      </c>
      <c r="G124" s="134">
        <f t="shared" si="26"/>
        <v>27162.946378174976</v>
      </c>
      <c r="H124" s="135"/>
      <c r="I124" s="136">
        <v>6.0313999999999997</v>
      </c>
      <c r="J124" s="134">
        <v>1219063</v>
      </c>
      <c r="K124" s="120">
        <f t="shared" si="27"/>
        <v>163.83053353043945</v>
      </c>
      <c r="L124" s="122">
        <f t="shared" si="14"/>
        <v>2021194.84</v>
      </c>
      <c r="M124" s="116">
        <f t="shared" si="15"/>
        <v>802131.84000000008</v>
      </c>
      <c r="N124" s="123">
        <f t="shared" si="16"/>
        <v>107.79893025131032</v>
      </c>
      <c r="O124" s="5"/>
      <c r="P124" s="5">
        <f t="shared" si="17"/>
        <v>1</v>
      </c>
      <c r="Q124" s="7">
        <f t="shared" si="18"/>
        <v>7441</v>
      </c>
    </row>
    <row r="125" spans="1:21">
      <c r="A125" s="23" t="s">
        <v>558</v>
      </c>
      <c r="B125" s="35" t="s">
        <v>142</v>
      </c>
      <c r="C125" s="125">
        <v>4792</v>
      </c>
      <c r="D125" s="132">
        <v>360855900</v>
      </c>
      <c r="E125" s="133">
        <f t="shared" si="25"/>
        <v>75303.818864774628</v>
      </c>
      <c r="F125" s="134">
        <v>177178735</v>
      </c>
      <c r="G125" s="134">
        <f t="shared" si="26"/>
        <v>36973.859557595992</v>
      </c>
      <c r="H125" s="135"/>
      <c r="I125" s="136">
        <v>3.6046</v>
      </c>
      <c r="J125" s="134">
        <v>638658</v>
      </c>
      <c r="K125" s="120">
        <f t="shared" si="27"/>
        <v>133.27587646076793</v>
      </c>
      <c r="L125" s="122">
        <f t="shared" si="14"/>
        <v>1771787.35</v>
      </c>
      <c r="M125" s="116">
        <f t="shared" si="15"/>
        <v>1133129.3500000001</v>
      </c>
      <c r="N125" s="123">
        <f t="shared" si="16"/>
        <v>236.46271911519202</v>
      </c>
      <c r="O125" s="5"/>
      <c r="P125" s="5">
        <f t="shared" si="17"/>
        <v>1</v>
      </c>
      <c r="Q125" s="7">
        <f t="shared" si="18"/>
        <v>4792</v>
      </c>
      <c r="S125" s="124">
        <f>SUM(D124:D125)</f>
        <v>809441491</v>
      </c>
      <c r="T125" s="124">
        <f>SUM(F124:F125)</f>
        <v>379298219</v>
      </c>
      <c r="U125" s="124">
        <f>SUM(J124:J125)</f>
        <v>1857721</v>
      </c>
    </row>
    <row r="126" spans="1:21">
      <c r="A126" s="23" t="s">
        <v>143</v>
      </c>
      <c r="B126" s="35" t="s">
        <v>144</v>
      </c>
      <c r="C126" s="125">
        <v>7780</v>
      </c>
      <c r="D126" s="132">
        <v>941243219</v>
      </c>
      <c r="E126" s="133">
        <f t="shared" si="25"/>
        <v>120982.41889460155</v>
      </c>
      <c r="F126" s="134">
        <v>383231221</v>
      </c>
      <c r="G126" s="134">
        <f t="shared" si="26"/>
        <v>49258.511696658097</v>
      </c>
      <c r="H126" s="135"/>
      <c r="I126" s="136">
        <v>6.6439000000000004</v>
      </c>
      <c r="J126" s="134">
        <v>2546149.9092019</v>
      </c>
      <c r="K126" s="120">
        <f t="shared" si="27"/>
        <v>327.26862586142676</v>
      </c>
      <c r="L126" s="122">
        <f t="shared" si="14"/>
        <v>3832312.21</v>
      </c>
      <c r="M126" s="116">
        <f t="shared" si="15"/>
        <v>1286162.3007981</v>
      </c>
      <c r="N126" s="123">
        <f t="shared" si="16"/>
        <v>165.31649110515423</v>
      </c>
      <c r="O126" s="5"/>
      <c r="P126" s="5">
        <f t="shared" si="17"/>
        <v>1</v>
      </c>
      <c r="Q126" s="7">
        <f t="shared" si="18"/>
        <v>7780</v>
      </c>
    </row>
    <row r="127" spans="1:21">
      <c r="A127" s="23" t="s">
        <v>145</v>
      </c>
      <c r="B127" s="35" t="s">
        <v>144</v>
      </c>
      <c r="C127" s="125">
        <v>5</v>
      </c>
      <c r="D127" s="132">
        <v>47491994</v>
      </c>
      <c r="E127" s="133">
        <f t="shared" si="25"/>
        <v>9498398.8000000007</v>
      </c>
      <c r="F127" s="134">
        <v>16767357</v>
      </c>
      <c r="G127" s="134">
        <f t="shared" si="26"/>
        <v>3353471.4</v>
      </c>
      <c r="H127" s="135"/>
      <c r="I127" s="136">
        <v>2.7622</v>
      </c>
      <c r="J127" s="134">
        <v>46314.793505400005</v>
      </c>
      <c r="K127" s="120">
        <f t="shared" si="27"/>
        <v>9262.9587010800005</v>
      </c>
      <c r="L127" s="122">
        <f t="shared" si="14"/>
        <v>167673.57</v>
      </c>
      <c r="M127" s="116">
        <f t="shared" si="15"/>
        <v>121358.7764946</v>
      </c>
      <c r="N127" s="123">
        <f t="shared" si="16"/>
        <v>24271.755298919998</v>
      </c>
      <c r="O127" s="5"/>
      <c r="P127" s="5">
        <f t="shared" si="17"/>
        <v>1</v>
      </c>
      <c r="Q127" s="7">
        <f t="shared" si="18"/>
        <v>5</v>
      </c>
      <c r="S127" s="124">
        <f>SUM(D126:D127)</f>
        <v>988735213</v>
      </c>
      <c r="T127" s="124">
        <f>SUM(F126:F127)</f>
        <v>399998578</v>
      </c>
      <c r="U127" s="124">
        <f>SUM(J126:J127)</f>
        <v>2592464.7027073</v>
      </c>
    </row>
    <row r="128" spans="1:21">
      <c r="A128" s="23" t="s">
        <v>146</v>
      </c>
      <c r="B128" s="35" t="s">
        <v>147</v>
      </c>
      <c r="C128" s="125">
        <v>10895</v>
      </c>
      <c r="D128" s="132">
        <v>515192480</v>
      </c>
      <c r="E128" s="133">
        <f t="shared" si="25"/>
        <v>47287.056447911884</v>
      </c>
      <c r="F128" s="134">
        <v>265487707</v>
      </c>
      <c r="G128" s="134">
        <f t="shared" si="26"/>
        <v>24367.848279027075</v>
      </c>
      <c r="H128" s="135"/>
      <c r="I128" s="136">
        <v>0.3</v>
      </c>
      <c r="J128" s="134">
        <v>79646.312099999996</v>
      </c>
      <c r="K128" s="120">
        <f t="shared" si="27"/>
        <v>7.3103544837081227</v>
      </c>
      <c r="L128" s="122">
        <f t="shared" si="14"/>
        <v>2654877.0699999998</v>
      </c>
      <c r="M128" s="116">
        <f t="shared" si="15"/>
        <v>2575230.7578999996</v>
      </c>
      <c r="N128" s="123">
        <f t="shared" si="16"/>
        <v>236.3681283065626</v>
      </c>
      <c r="O128" s="5"/>
      <c r="P128" s="5">
        <f t="shared" si="17"/>
        <v>1</v>
      </c>
      <c r="Q128" s="7">
        <f t="shared" si="18"/>
        <v>10895</v>
      </c>
    </row>
    <row r="129" spans="1:21">
      <c r="A129" s="23" t="s">
        <v>148</v>
      </c>
      <c r="B129" s="35" t="s">
        <v>147</v>
      </c>
      <c r="C129" s="125">
        <v>2415</v>
      </c>
      <c r="D129" s="132">
        <v>245214828</v>
      </c>
      <c r="E129" s="133">
        <f t="shared" si="25"/>
        <v>101538.23105590061</v>
      </c>
      <c r="F129" s="134">
        <v>166924249</v>
      </c>
      <c r="G129" s="134">
        <f t="shared" si="26"/>
        <v>69119.771842650109</v>
      </c>
      <c r="H129" s="135"/>
      <c r="I129" s="136">
        <v>3.65</v>
      </c>
      <c r="J129" s="134">
        <v>609273.50884999998</v>
      </c>
      <c r="K129" s="120">
        <f t="shared" si="27"/>
        <v>252.28716722567287</v>
      </c>
      <c r="L129" s="122">
        <f t="shared" si="14"/>
        <v>1669242.49</v>
      </c>
      <c r="M129" s="116">
        <f t="shared" si="15"/>
        <v>1059968.9811499999</v>
      </c>
      <c r="N129" s="123">
        <f t="shared" si="16"/>
        <v>438.91055120082814</v>
      </c>
      <c r="O129" s="5"/>
      <c r="P129" s="5">
        <f t="shared" si="17"/>
        <v>1</v>
      </c>
      <c r="Q129" s="7">
        <f t="shared" si="18"/>
        <v>2415</v>
      </c>
    </row>
    <row r="130" spans="1:21">
      <c r="A130" s="23" t="s">
        <v>149</v>
      </c>
      <c r="B130" s="35" t="s">
        <v>147</v>
      </c>
      <c r="C130" s="125">
        <v>10776</v>
      </c>
      <c r="D130" s="132">
        <v>790658369</v>
      </c>
      <c r="E130" s="133">
        <f t="shared" si="25"/>
        <v>73372.157479584261</v>
      </c>
      <c r="F130" s="134">
        <v>549655955</v>
      </c>
      <c r="G130" s="134">
        <f t="shared" si="26"/>
        <v>51007.419729027468</v>
      </c>
      <c r="H130" s="135"/>
      <c r="I130" s="136">
        <v>4.8183999999999996</v>
      </c>
      <c r="J130" s="134">
        <v>2648462.2535719997</v>
      </c>
      <c r="K130" s="120">
        <f t="shared" si="27"/>
        <v>245.77415122234592</v>
      </c>
      <c r="L130" s="122">
        <f t="shared" si="14"/>
        <v>5496559.5499999998</v>
      </c>
      <c r="M130" s="116">
        <f t="shared" si="15"/>
        <v>2848097.2964280001</v>
      </c>
      <c r="N130" s="123">
        <f t="shared" si="16"/>
        <v>264.30004606792875</v>
      </c>
      <c r="O130" s="5"/>
      <c r="P130" s="5">
        <f t="shared" si="17"/>
        <v>1</v>
      </c>
      <c r="Q130" s="7">
        <f t="shared" si="18"/>
        <v>10776</v>
      </c>
      <c r="S130" s="124">
        <f>SUM(D128:D130)</f>
        <v>1551065677</v>
      </c>
      <c r="T130" s="124">
        <f>SUM(F128:F130)</f>
        <v>982067911</v>
      </c>
      <c r="U130" s="124">
        <f>SUM(J128:J130)</f>
        <v>3337382.0745219998</v>
      </c>
    </row>
    <row r="131" spans="1:21">
      <c r="A131" s="23" t="s">
        <v>150</v>
      </c>
      <c r="B131" s="35" t="s">
        <v>151</v>
      </c>
      <c r="C131" s="125">
        <v>36710</v>
      </c>
      <c r="D131" s="132">
        <v>2479873391</v>
      </c>
      <c r="E131" s="133">
        <f t="shared" si="25"/>
        <v>67553.075211114134</v>
      </c>
      <c r="F131" s="134">
        <v>1691231845</v>
      </c>
      <c r="G131" s="134">
        <f t="shared" si="26"/>
        <v>46070.058430945246</v>
      </c>
      <c r="H131" s="135"/>
      <c r="I131" s="136">
        <v>4.7157</v>
      </c>
      <c r="J131" s="134">
        <v>7975342.0114665003</v>
      </c>
      <c r="K131" s="120">
        <f t="shared" si="27"/>
        <v>217.2525745428085</v>
      </c>
      <c r="L131" s="122">
        <f t="shared" si="14"/>
        <v>16912318.449999999</v>
      </c>
      <c r="M131" s="116">
        <f t="shared" si="15"/>
        <v>8936976.4385334998</v>
      </c>
      <c r="N131" s="123">
        <f t="shared" si="16"/>
        <v>243.44800976664396</v>
      </c>
      <c r="O131" s="5"/>
      <c r="P131" s="5">
        <f t="shared" si="17"/>
        <v>1</v>
      </c>
      <c r="Q131" s="7">
        <f t="shared" si="18"/>
        <v>36710</v>
      </c>
    </row>
    <row r="132" spans="1:21">
      <c r="A132" s="23" t="s">
        <v>152</v>
      </c>
      <c r="B132" s="35" t="s">
        <v>151</v>
      </c>
      <c r="C132" s="125">
        <v>358279</v>
      </c>
      <c r="D132" s="132">
        <v>40269875336</v>
      </c>
      <c r="E132" s="133">
        <f t="shared" si="25"/>
        <v>112398.0901364579</v>
      </c>
      <c r="F132" s="134">
        <v>26013110049</v>
      </c>
      <c r="G132" s="134">
        <f t="shared" si="26"/>
        <v>72605.734773737786</v>
      </c>
      <c r="H132" s="135"/>
      <c r="I132" s="136">
        <v>5.7325999999999997</v>
      </c>
      <c r="J132" s="134">
        <v>149122754.66689739</v>
      </c>
      <c r="K132" s="120">
        <f t="shared" si="27"/>
        <v>416.21963516392918</v>
      </c>
      <c r="L132" s="122">
        <f t="shared" si="14"/>
        <v>260131100.49000001</v>
      </c>
      <c r="M132" s="116">
        <f t="shared" si="15"/>
        <v>111008345.82310262</v>
      </c>
      <c r="N132" s="123">
        <f t="shared" si="16"/>
        <v>309.8377125734487</v>
      </c>
      <c r="O132" s="5"/>
      <c r="P132" s="5">
        <f t="shared" si="17"/>
        <v>1</v>
      </c>
      <c r="Q132" s="7">
        <f t="shared" si="18"/>
        <v>358279</v>
      </c>
    </row>
    <row r="133" spans="1:21">
      <c r="A133" s="23" t="s">
        <v>153</v>
      </c>
      <c r="B133" s="35" t="s">
        <v>151</v>
      </c>
      <c r="C133" s="125">
        <v>25567</v>
      </c>
      <c r="D133" s="132">
        <v>1715964587</v>
      </c>
      <c r="E133" s="133">
        <f t="shared" si="25"/>
        <v>67116.38389329995</v>
      </c>
      <c r="F133" s="134">
        <v>1262327626</v>
      </c>
      <c r="G133" s="134">
        <f t="shared" si="26"/>
        <v>49373.318183596042</v>
      </c>
      <c r="H133" s="152"/>
      <c r="I133" s="136">
        <v>6.9550000000000001</v>
      </c>
      <c r="J133" s="134">
        <v>8779488.6388300005</v>
      </c>
      <c r="K133" s="120">
        <f t="shared" si="27"/>
        <v>343.3914279669105</v>
      </c>
      <c r="L133" s="122">
        <f t="shared" si="14"/>
        <v>12623276.26</v>
      </c>
      <c r="M133" s="116">
        <f t="shared" si="15"/>
        <v>3843787.6211699992</v>
      </c>
      <c r="N133" s="123">
        <f t="shared" si="16"/>
        <v>150.34175386904991</v>
      </c>
      <c r="O133" s="5"/>
      <c r="P133" s="5">
        <f t="shared" si="17"/>
        <v>1</v>
      </c>
      <c r="Q133" s="7">
        <f t="shared" si="18"/>
        <v>25567</v>
      </c>
      <c r="S133" s="124">
        <f>SUM(D131:D133)</f>
        <v>44465713314</v>
      </c>
      <c r="T133" s="124">
        <f>SUM(F131:F133)</f>
        <v>28966669520</v>
      </c>
      <c r="U133" s="124">
        <f>SUM(J131:J133)</f>
        <v>165877585.3171939</v>
      </c>
    </row>
    <row r="134" spans="1:21">
      <c r="A134" s="23" t="s">
        <v>154</v>
      </c>
      <c r="B134" s="35" t="s">
        <v>155</v>
      </c>
      <c r="C134" s="125">
        <v>2665</v>
      </c>
      <c r="D134" s="147" t="s">
        <v>564</v>
      </c>
      <c r="E134" s="133"/>
      <c r="F134" s="134"/>
      <c r="G134" s="134"/>
      <c r="H134" s="148" t="s">
        <v>588</v>
      </c>
      <c r="I134" s="136"/>
      <c r="J134" s="134"/>
      <c r="K134" s="120"/>
      <c r="L134" s="122">
        <f t="shared" ref="L134:L197" si="28">(F134*0.01)</f>
        <v>0</v>
      </c>
      <c r="M134" s="116">
        <f t="shared" ref="M134:M197" si="29">(L134-J134)</f>
        <v>0</v>
      </c>
      <c r="N134" s="123">
        <f t="shared" ref="N134:N197" si="30">(M134/C134)</f>
        <v>0</v>
      </c>
      <c r="O134" s="5"/>
      <c r="P134" s="5">
        <f t="shared" ref="P134:P198" si="31">IF(I134&gt;0,1,0)</f>
        <v>0</v>
      </c>
      <c r="Q134" s="7">
        <f t="shared" ref="Q134:Q198" si="32">IF(I134&gt;0,C134,0)</f>
        <v>0</v>
      </c>
    </row>
    <row r="135" spans="1:21">
      <c r="A135" s="23" t="s">
        <v>156</v>
      </c>
      <c r="B135" s="35" t="s">
        <v>155</v>
      </c>
      <c r="C135" s="125">
        <v>364</v>
      </c>
      <c r="D135" s="132">
        <v>11345570</v>
      </c>
      <c r="E135" s="133">
        <f>(D135/C135)</f>
        <v>31169.148351648353</v>
      </c>
      <c r="F135" s="134">
        <v>5688585</v>
      </c>
      <c r="G135" s="134">
        <f>(F135/C135)</f>
        <v>15627.98076923077</v>
      </c>
      <c r="H135" s="135"/>
      <c r="I135" s="151">
        <v>0.4753</v>
      </c>
      <c r="J135" s="134">
        <v>2704</v>
      </c>
      <c r="K135" s="120">
        <f>(J135/C135)</f>
        <v>7.4285714285714288</v>
      </c>
      <c r="L135" s="122">
        <f t="shared" si="28"/>
        <v>56885.85</v>
      </c>
      <c r="M135" s="116">
        <f t="shared" si="29"/>
        <v>54181.85</v>
      </c>
      <c r="N135" s="123">
        <f t="shared" si="30"/>
        <v>148.85123626373627</v>
      </c>
      <c r="O135" s="5"/>
      <c r="P135" s="5">
        <f t="shared" si="31"/>
        <v>1</v>
      </c>
      <c r="Q135" s="7">
        <f t="shared" si="32"/>
        <v>364</v>
      </c>
    </row>
    <row r="136" spans="1:21">
      <c r="A136" s="23" t="s">
        <v>157</v>
      </c>
      <c r="B136" s="35" t="s">
        <v>155</v>
      </c>
      <c r="C136" s="125">
        <v>183</v>
      </c>
      <c r="D136" s="132">
        <v>4331863</v>
      </c>
      <c r="E136" s="133">
        <f>(D136/C136)</f>
        <v>23671.382513661203</v>
      </c>
      <c r="F136" s="134">
        <v>1858555</v>
      </c>
      <c r="G136" s="134">
        <f>(F136/C136)</f>
        <v>10156.038251366121</v>
      </c>
      <c r="H136" s="152"/>
      <c r="I136" s="136">
        <v>0.96</v>
      </c>
      <c r="J136" s="134">
        <v>1784</v>
      </c>
      <c r="K136" s="120">
        <f>(J136/C136)</f>
        <v>9.7486338797814209</v>
      </c>
      <c r="L136" s="122">
        <f t="shared" si="28"/>
        <v>18585.55</v>
      </c>
      <c r="M136" s="116">
        <f t="shared" si="29"/>
        <v>16801.55</v>
      </c>
      <c r="N136" s="123">
        <f t="shared" si="30"/>
        <v>91.811748633879773</v>
      </c>
      <c r="O136" s="5"/>
      <c r="P136" s="5">
        <f t="shared" si="31"/>
        <v>1</v>
      </c>
      <c r="Q136" s="7">
        <f t="shared" si="32"/>
        <v>183</v>
      </c>
    </row>
    <row r="137" spans="1:21">
      <c r="A137" s="23" t="s">
        <v>158</v>
      </c>
      <c r="B137" s="35" t="s">
        <v>155</v>
      </c>
      <c r="C137" s="125">
        <v>557</v>
      </c>
      <c r="D137" s="147" t="s">
        <v>564</v>
      </c>
      <c r="E137" s="133"/>
      <c r="F137" s="134"/>
      <c r="G137" s="134"/>
      <c r="H137" s="148" t="s">
        <v>588</v>
      </c>
      <c r="I137" s="136"/>
      <c r="J137" s="134"/>
      <c r="K137" s="120"/>
      <c r="L137" s="122">
        <f t="shared" si="28"/>
        <v>0</v>
      </c>
      <c r="M137" s="116">
        <f t="shared" si="29"/>
        <v>0</v>
      </c>
      <c r="N137" s="123">
        <f t="shared" si="30"/>
        <v>0</v>
      </c>
      <c r="O137" s="5"/>
      <c r="P137" s="5">
        <f t="shared" si="31"/>
        <v>0</v>
      </c>
      <c r="Q137" s="7">
        <f t="shared" si="32"/>
        <v>0</v>
      </c>
    </row>
    <row r="138" spans="1:21">
      <c r="A138" s="23" t="s">
        <v>159</v>
      </c>
      <c r="B138" s="35" t="s">
        <v>155</v>
      </c>
      <c r="C138" s="125">
        <v>299</v>
      </c>
      <c r="D138" s="147" t="s">
        <v>564</v>
      </c>
      <c r="E138" s="133"/>
      <c r="F138" s="134"/>
      <c r="G138" s="134"/>
      <c r="H138" s="148" t="s">
        <v>588</v>
      </c>
      <c r="I138" s="136"/>
      <c r="J138" s="134"/>
      <c r="K138" s="120"/>
      <c r="L138" s="122">
        <f t="shared" si="28"/>
        <v>0</v>
      </c>
      <c r="M138" s="116">
        <f t="shared" si="29"/>
        <v>0</v>
      </c>
      <c r="N138" s="123">
        <f t="shared" si="30"/>
        <v>0</v>
      </c>
      <c r="O138" s="5"/>
      <c r="P138" s="5">
        <f t="shared" si="31"/>
        <v>0</v>
      </c>
      <c r="Q138" s="7">
        <f t="shared" si="32"/>
        <v>0</v>
      </c>
      <c r="S138" s="124">
        <f>SUM(D134:D138)</f>
        <v>15677433</v>
      </c>
      <c r="T138" s="124">
        <f>SUM(F134:F138)</f>
        <v>7547140</v>
      </c>
      <c r="U138" s="124">
        <f>SUM(J134:J138)</f>
        <v>4488</v>
      </c>
    </row>
    <row r="139" spans="1:21">
      <c r="A139" s="23" t="s">
        <v>160</v>
      </c>
      <c r="B139" s="35" t="s">
        <v>161</v>
      </c>
      <c r="C139" s="125">
        <v>5355</v>
      </c>
      <c r="D139" s="132">
        <v>327981628</v>
      </c>
      <c r="E139" s="133">
        <f t="shared" ref="E139:E144" si="33">(D139/C139)</f>
        <v>61247.736321195145</v>
      </c>
      <c r="F139" s="134">
        <v>95357737</v>
      </c>
      <c r="G139" s="134">
        <f t="shared" ref="G139:G144" si="34">(F139/C139)</f>
        <v>17807.233800186743</v>
      </c>
      <c r="H139" s="135"/>
      <c r="I139" s="150">
        <v>5.2755999999999998</v>
      </c>
      <c r="J139" s="134">
        <v>503069</v>
      </c>
      <c r="K139" s="120">
        <f t="shared" ref="K139:K144" si="35">(J139/C139)</f>
        <v>93.943790849673206</v>
      </c>
      <c r="L139" s="122">
        <f t="shared" si="28"/>
        <v>953577.37</v>
      </c>
      <c r="M139" s="116">
        <f t="shared" si="29"/>
        <v>450508.37</v>
      </c>
      <c r="N139" s="123">
        <f t="shared" si="30"/>
        <v>84.128547152194216</v>
      </c>
      <c r="O139" s="5"/>
      <c r="P139" s="5">
        <f t="shared" si="31"/>
        <v>1</v>
      </c>
      <c r="Q139" s="7">
        <f t="shared" si="32"/>
        <v>5355</v>
      </c>
    </row>
    <row r="140" spans="1:21">
      <c r="A140" s="23" t="s">
        <v>162</v>
      </c>
      <c r="B140" s="35" t="s">
        <v>161</v>
      </c>
      <c r="C140" s="125">
        <v>3995</v>
      </c>
      <c r="D140" s="132">
        <v>3055209030</v>
      </c>
      <c r="E140" s="133">
        <f t="shared" si="33"/>
        <v>764758.20525657071</v>
      </c>
      <c r="F140" s="134">
        <v>2595827089</v>
      </c>
      <c r="G140" s="134">
        <f t="shared" si="34"/>
        <v>649768.98347934918</v>
      </c>
      <c r="H140" s="135"/>
      <c r="I140" s="136">
        <v>1.6786000000000001</v>
      </c>
      <c r="J140" s="134">
        <v>4357355.3515953999</v>
      </c>
      <c r="K140" s="120">
        <f t="shared" si="35"/>
        <v>1090.7022156684354</v>
      </c>
      <c r="L140" s="122">
        <f t="shared" si="28"/>
        <v>25958270.890000001</v>
      </c>
      <c r="M140" s="116">
        <f t="shared" si="29"/>
        <v>21600915.538404599</v>
      </c>
      <c r="N140" s="123">
        <f t="shared" si="30"/>
        <v>5406.987619125056</v>
      </c>
      <c r="O140" s="5"/>
      <c r="P140" s="5">
        <f t="shared" si="31"/>
        <v>1</v>
      </c>
      <c r="Q140" s="7">
        <f t="shared" si="32"/>
        <v>3995</v>
      </c>
    </row>
    <row r="141" spans="1:21">
      <c r="A141" s="23" t="s">
        <v>163</v>
      </c>
      <c r="B141" s="35" t="s">
        <v>161</v>
      </c>
      <c r="C141" s="125">
        <v>411</v>
      </c>
      <c r="D141" s="132">
        <v>434179169</v>
      </c>
      <c r="E141" s="133">
        <f t="shared" si="33"/>
        <v>1056397.00486618</v>
      </c>
      <c r="F141" s="134">
        <v>374820931</v>
      </c>
      <c r="G141" s="134">
        <f t="shared" si="34"/>
        <v>911973.06812652072</v>
      </c>
      <c r="H141" s="135"/>
      <c r="I141" s="136">
        <v>0.7</v>
      </c>
      <c r="J141" s="134">
        <v>262375</v>
      </c>
      <c r="K141" s="120">
        <f t="shared" si="35"/>
        <v>638.38199513381994</v>
      </c>
      <c r="L141" s="122">
        <f t="shared" si="28"/>
        <v>3748209.31</v>
      </c>
      <c r="M141" s="116">
        <f t="shared" si="29"/>
        <v>3485834.31</v>
      </c>
      <c r="N141" s="123">
        <f t="shared" si="30"/>
        <v>8481.3486861313868</v>
      </c>
      <c r="O141" s="5"/>
      <c r="P141" s="5">
        <f t="shared" si="31"/>
        <v>1</v>
      </c>
      <c r="Q141" s="7">
        <f t="shared" si="32"/>
        <v>411</v>
      </c>
    </row>
    <row r="142" spans="1:21">
      <c r="A142" s="23" t="s">
        <v>164</v>
      </c>
      <c r="B142" s="35" t="s">
        <v>161</v>
      </c>
      <c r="C142" s="125">
        <v>23137</v>
      </c>
      <c r="D142" s="132">
        <v>1623338626</v>
      </c>
      <c r="E142" s="133">
        <f t="shared" si="33"/>
        <v>70162.018671392143</v>
      </c>
      <c r="F142" s="134">
        <v>966812200</v>
      </c>
      <c r="G142" s="134">
        <f t="shared" si="34"/>
        <v>41786.411375718548</v>
      </c>
      <c r="H142" s="135"/>
      <c r="I142" s="136">
        <v>3.8555999999999999</v>
      </c>
      <c r="J142" s="134">
        <v>3727641</v>
      </c>
      <c r="K142" s="120">
        <f t="shared" si="35"/>
        <v>161.11168258633359</v>
      </c>
      <c r="L142" s="122">
        <f t="shared" si="28"/>
        <v>9668122</v>
      </c>
      <c r="M142" s="116">
        <f t="shared" si="29"/>
        <v>5940481</v>
      </c>
      <c r="N142" s="123">
        <f t="shared" si="30"/>
        <v>256.75243117085188</v>
      </c>
      <c r="O142" s="5"/>
      <c r="P142" s="5">
        <f t="shared" si="31"/>
        <v>1</v>
      </c>
      <c r="Q142" s="7">
        <f t="shared" si="32"/>
        <v>23137</v>
      </c>
    </row>
    <row r="143" spans="1:21">
      <c r="A143" s="23" t="s">
        <v>165</v>
      </c>
      <c r="B143" s="35" t="s">
        <v>161</v>
      </c>
      <c r="C143" s="125">
        <v>15608</v>
      </c>
      <c r="D143" s="132">
        <v>3271232561</v>
      </c>
      <c r="E143" s="133">
        <f t="shared" si="33"/>
        <v>209586.91446694004</v>
      </c>
      <c r="F143" s="134">
        <v>2370807216</v>
      </c>
      <c r="G143" s="134">
        <f t="shared" si="34"/>
        <v>151896.92567913889</v>
      </c>
      <c r="H143" s="135"/>
      <c r="I143" s="136">
        <v>2.38</v>
      </c>
      <c r="J143" s="134">
        <v>5642521.1740800003</v>
      </c>
      <c r="K143" s="120">
        <f t="shared" si="35"/>
        <v>361.51468311635062</v>
      </c>
      <c r="L143" s="122">
        <f t="shared" si="28"/>
        <v>23708072.16</v>
      </c>
      <c r="M143" s="116">
        <f t="shared" si="29"/>
        <v>18065550.985920001</v>
      </c>
      <c r="N143" s="123">
        <f t="shared" si="30"/>
        <v>1157.4545736750385</v>
      </c>
      <c r="O143" s="5"/>
      <c r="P143" s="5">
        <f t="shared" si="31"/>
        <v>1</v>
      </c>
      <c r="Q143" s="7">
        <f t="shared" si="32"/>
        <v>15608</v>
      </c>
      <c r="S143" s="124">
        <f>SUM(D139:D143)</f>
        <v>8711941014</v>
      </c>
      <c r="T143" s="124">
        <f>SUM(F139:F143)</f>
        <v>6403625173</v>
      </c>
      <c r="U143" s="124">
        <f>SUM(J139:J143)</f>
        <v>14492961.525675401</v>
      </c>
    </row>
    <row r="144" spans="1:21">
      <c r="A144" s="23" t="s">
        <v>166</v>
      </c>
      <c r="B144" s="35" t="s">
        <v>167</v>
      </c>
      <c r="C144" s="125">
        <v>491</v>
      </c>
      <c r="D144" s="132">
        <v>15016134</v>
      </c>
      <c r="E144" s="133">
        <f t="shared" si="33"/>
        <v>30582.75763747454</v>
      </c>
      <c r="F144" s="134">
        <v>9363200</v>
      </c>
      <c r="G144" s="134">
        <f t="shared" si="34"/>
        <v>19069.653767820775</v>
      </c>
      <c r="H144" s="152"/>
      <c r="I144" s="136">
        <v>1.3353999999999999</v>
      </c>
      <c r="J144" s="134">
        <v>12504</v>
      </c>
      <c r="K144" s="120">
        <f t="shared" si="35"/>
        <v>25.466395112016293</v>
      </c>
      <c r="L144" s="122">
        <f t="shared" si="28"/>
        <v>93632</v>
      </c>
      <c r="M144" s="116">
        <f t="shared" si="29"/>
        <v>81128</v>
      </c>
      <c r="N144" s="123">
        <f t="shared" si="30"/>
        <v>165.23014256619143</v>
      </c>
      <c r="O144" s="5"/>
      <c r="P144" s="5">
        <f t="shared" si="31"/>
        <v>1</v>
      </c>
      <c r="Q144" s="7">
        <f t="shared" si="32"/>
        <v>491</v>
      </c>
    </row>
    <row r="145" spans="1:21">
      <c r="A145" s="23" t="s">
        <v>168</v>
      </c>
      <c r="B145" s="35" t="s">
        <v>167</v>
      </c>
      <c r="C145" s="125">
        <v>128</v>
      </c>
      <c r="D145" s="147" t="s">
        <v>564</v>
      </c>
      <c r="E145" s="133"/>
      <c r="F145" s="134"/>
      <c r="G145" s="134"/>
      <c r="H145" s="148" t="s">
        <v>588</v>
      </c>
      <c r="I145" s="136"/>
      <c r="J145" s="134"/>
      <c r="K145" s="120"/>
      <c r="L145" s="122">
        <f t="shared" si="28"/>
        <v>0</v>
      </c>
      <c r="M145" s="116">
        <f t="shared" si="29"/>
        <v>0</v>
      </c>
      <c r="N145" s="123">
        <f t="shared" si="30"/>
        <v>0</v>
      </c>
      <c r="O145" s="5"/>
      <c r="P145" s="5">
        <f t="shared" si="31"/>
        <v>0</v>
      </c>
      <c r="Q145" s="7">
        <f t="shared" si="32"/>
        <v>0</v>
      </c>
    </row>
    <row r="146" spans="1:21">
      <c r="A146" s="23" t="s">
        <v>169</v>
      </c>
      <c r="B146" s="35" t="s">
        <v>167</v>
      </c>
      <c r="C146" s="125">
        <v>232</v>
      </c>
      <c r="D146" s="132">
        <v>14501958</v>
      </c>
      <c r="E146" s="133">
        <f>(D146/C146)</f>
        <v>62508.439655172413</v>
      </c>
      <c r="F146" s="134">
        <v>9170794</v>
      </c>
      <c r="G146" s="134">
        <f>(F146/C146)</f>
        <v>39529.284482758623</v>
      </c>
      <c r="H146" s="135"/>
      <c r="I146" s="151">
        <v>3</v>
      </c>
      <c r="J146" s="134">
        <v>27512</v>
      </c>
      <c r="K146" s="120">
        <f>(J146/C146)</f>
        <v>118.58620689655173</v>
      </c>
      <c r="L146" s="122">
        <f t="shared" si="28"/>
        <v>91707.94</v>
      </c>
      <c r="M146" s="116">
        <f t="shared" si="29"/>
        <v>64195.94</v>
      </c>
      <c r="N146" s="123">
        <f t="shared" si="30"/>
        <v>276.70663793103449</v>
      </c>
      <c r="O146" s="5"/>
      <c r="P146" s="5">
        <f t="shared" si="31"/>
        <v>1</v>
      </c>
      <c r="Q146" s="7">
        <f t="shared" si="32"/>
        <v>232</v>
      </c>
    </row>
    <row r="147" spans="1:21">
      <c r="A147" s="23" t="s">
        <v>170</v>
      </c>
      <c r="B147" s="35" t="s">
        <v>167</v>
      </c>
      <c r="C147" s="125">
        <v>907</v>
      </c>
      <c r="D147" s="132">
        <v>30897221</v>
      </c>
      <c r="E147" s="133">
        <f>(D147/C147)</f>
        <v>34065.293274531425</v>
      </c>
      <c r="F147" s="134">
        <v>17136581</v>
      </c>
      <c r="G147" s="134">
        <f>(F147/C147)</f>
        <v>18893.69459757442</v>
      </c>
      <c r="H147" s="135"/>
      <c r="I147" s="136">
        <v>3.8542000000000001</v>
      </c>
      <c r="J147" s="134">
        <v>66048</v>
      </c>
      <c r="K147" s="120">
        <f>(J147/C147)</f>
        <v>72.820286659316423</v>
      </c>
      <c r="L147" s="122">
        <f t="shared" si="28"/>
        <v>171365.81</v>
      </c>
      <c r="M147" s="116">
        <f t="shared" si="29"/>
        <v>105317.81</v>
      </c>
      <c r="N147" s="123">
        <f t="shared" si="30"/>
        <v>116.11665931642779</v>
      </c>
      <c r="O147" s="5"/>
      <c r="P147" s="5">
        <f t="shared" si="31"/>
        <v>1</v>
      </c>
      <c r="Q147" s="7">
        <f t="shared" si="32"/>
        <v>907</v>
      </c>
    </row>
    <row r="148" spans="1:21">
      <c r="A148" s="23" t="s">
        <v>171</v>
      </c>
      <c r="B148" s="35" t="s">
        <v>167</v>
      </c>
      <c r="C148" s="125">
        <v>2187</v>
      </c>
      <c r="D148" s="132">
        <v>115960887</v>
      </c>
      <c r="E148" s="133">
        <f>(D148/C148)</f>
        <v>53022.810699588481</v>
      </c>
      <c r="F148" s="134">
        <v>73084909</v>
      </c>
      <c r="G148" s="134">
        <f>(F148/C148)</f>
        <v>33417.882487425697</v>
      </c>
      <c r="H148" s="152"/>
      <c r="I148" s="136">
        <v>4</v>
      </c>
      <c r="J148" s="134">
        <v>292340</v>
      </c>
      <c r="K148" s="120">
        <f>(J148/C148)</f>
        <v>133.67169638774578</v>
      </c>
      <c r="L148" s="122">
        <f t="shared" si="28"/>
        <v>730849.09</v>
      </c>
      <c r="M148" s="116">
        <f t="shared" si="29"/>
        <v>438509.08999999997</v>
      </c>
      <c r="N148" s="123">
        <f t="shared" si="30"/>
        <v>200.50712848651119</v>
      </c>
      <c r="O148" s="5"/>
      <c r="P148" s="5">
        <f t="shared" si="31"/>
        <v>1</v>
      </c>
      <c r="Q148" s="7">
        <f t="shared" si="32"/>
        <v>2187</v>
      </c>
    </row>
    <row r="149" spans="1:21">
      <c r="A149" s="23" t="s">
        <v>172</v>
      </c>
      <c r="B149" s="35" t="s">
        <v>167</v>
      </c>
      <c r="C149" s="125">
        <v>936</v>
      </c>
      <c r="D149" s="147" t="s">
        <v>564</v>
      </c>
      <c r="E149" s="133"/>
      <c r="F149" s="134"/>
      <c r="G149" s="134"/>
      <c r="H149" s="148" t="s">
        <v>588</v>
      </c>
      <c r="I149" s="136"/>
      <c r="J149" s="134"/>
      <c r="K149" s="120"/>
      <c r="L149" s="122">
        <f t="shared" si="28"/>
        <v>0</v>
      </c>
      <c r="M149" s="116">
        <f t="shared" si="29"/>
        <v>0</v>
      </c>
      <c r="N149" s="123">
        <f t="shared" si="30"/>
        <v>0</v>
      </c>
      <c r="O149" s="5"/>
      <c r="P149" s="5">
        <f t="shared" si="31"/>
        <v>0</v>
      </c>
      <c r="Q149" s="7">
        <f t="shared" si="32"/>
        <v>0</v>
      </c>
    </row>
    <row r="150" spans="1:21">
      <c r="A150" s="23" t="s">
        <v>173</v>
      </c>
      <c r="B150" s="35" t="s">
        <v>167</v>
      </c>
      <c r="C150" s="125">
        <v>693</v>
      </c>
      <c r="D150" s="132">
        <v>24025422</v>
      </c>
      <c r="E150" s="133">
        <f t="shared" ref="E150:E181" si="36">(D150/C150)</f>
        <v>34668.718614718615</v>
      </c>
      <c r="F150" s="134">
        <v>13789711</v>
      </c>
      <c r="G150" s="134">
        <f t="shared" ref="G150:G181" si="37">(F150/C150)</f>
        <v>19898.572871572873</v>
      </c>
      <c r="H150" s="135"/>
      <c r="I150" s="150">
        <v>1</v>
      </c>
      <c r="J150" s="134">
        <v>13790</v>
      </c>
      <c r="K150" s="120">
        <f t="shared" ref="K150:K181" si="38">(J150/C150)</f>
        <v>19.8989898989899</v>
      </c>
      <c r="L150" s="122">
        <f t="shared" si="28"/>
        <v>137897.11000000002</v>
      </c>
      <c r="M150" s="116">
        <f t="shared" si="29"/>
        <v>124107.11000000002</v>
      </c>
      <c r="N150" s="123">
        <f t="shared" si="30"/>
        <v>179.08673881673883</v>
      </c>
      <c r="O150" s="5"/>
      <c r="P150" s="5">
        <f t="shared" si="31"/>
        <v>1</v>
      </c>
      <c r="Q150" s="7">
        <f t="shared" si="32"/>
        <v>693</v>
      </c>
    </row>
    <row r="151" spans="1:21">
      <c r="A151" s="23" t="s">
        <v>508</v>
      </c>
      <c r="B151" s="35" t="s">
        <v>167</v>
      </c>
      <c r="C151" s="125">
        <v>228</v>
      </c>
      <c r="D151" s="132">
        <v>7514907</v>
      </c>
      <c r="E151" s="133">
        <f t="shared" si="36"/>
        <v>32960.118421052633</v>
      </c>
      <c r="F151" s="134">
        <v>3814617</v>
      </c>
      <c r="G151" s="134">
        <f t="shared" si="37"/>
        <v>16730.776315789473</v>
      </c>
      <c r="H151" s="152"/>
      <c r="I151" s="136">
        <v>3</v>
      </c>
      <c r="J151" s="134">
        <v>11444</v>
      </c>
      <c r="K151" s="120">
        <f t="shared" si="38"/>
        <v>50.192982456140349</v>
      </c>
      <c r="L151" s="122">
        <f t="shared" si="28"/>
        <v>38146.17</v>
      </c>
      <c r="M151" s="116">
        <f t="shared" si="29"/>
        <v>26702.17</v>
      </c>
      <c r="N151" s="123">
        <f t="shared" si="30"/>
        <v>117.11478070175438</v>
      </c>
      <c r="O151" s="5"/>
      <c r="P151" s="5">
        <f t="shared" si="31"/>
        <v>1</v>
      </c>
      <c r="Q151" s="7">
        <f t="shared" si="32"/>
        <v>228</v>
      </c>
    </row>
    <row r="152" spans="1:21">
      <c r="A152" s="23" t="s">
        <v>175</v>
      </c>
      <c r="B152" s="35" t="s">
        <v>167</v>
      </c>
      <c r="C152" s="125">
        <v>2317</v>
      </c>
      <c r="D152" s="147">
        <v>46183842</v>
      </c>
      <c r="E152" s="133">
        <f t="shared" si="36"/>
        <v>19932.603366422096</v>
      </c>
      <c r="F152" s="134">
        <v>13601110</v>
      </c>
      <c r="G152" s="134">
        <f t="shared" si="37"/>
        <v>5870.1381096245141</v>
      </c>
      <c r="H152" s="148"/>
      <c r="I152" s="136">
        <v>1</v>
      </c>
      <c r="J152" s="134">
        <v>13601</v>
      </c>
      <c r="K152" s="120">
        <f t="shared" si="38"/>
        <v>5.8700906344410875</v>
      </c>
      <c r="L152" s="122">
        <f t="shared" si="28"/>
        <v>136011.1</v>
      </c>
      <c r="M152" s="116">
        <f t="shared" si="29"/>
        <v>122410.1</v>
      </c>
      <c r="N152" s="123">
        <f t="shared" si="30"/>
        <v>52.831290461804059</v>
      </c>
      <c r="O152" s="5"/>
      <c r="P152" s="5">
        <f t="shared" si="31"/>
        <v>1</v>
      </c>
      <c r="Q152" s="7">
        <f t="shared" si="32"/>
        <v>2317</v>
      </c>
    </row>
    <row r="153" spans="1:21">
      <c r="A153" s="23" t="s">
        <v>176</v>
      </c>
      <c r="B153" s="35" t="s">
        <v>167</v>
      </c>
      <c r="C153" s="125">
        <v>7727</v>
      </c>
      <c r="D153" s="132">
        <v>477401055</v>
      </c>
      <c r="E153" s="133">
        <f t="shared" si="36"/>
        <v>61783.493593891551</v>
      </c>
      <c r="F153" s="134">
        <v>248876996</v>
      </c>
      <c r="G153" s="134">
        <f t="shared" si="37"/>
        <v>32208.748026400932</v>
      </c>
      <c r="H153" s="135"/>
      <c r="I153" s="150">
        <v>2.8163999999999998</v>
      </c>
      <c r="J153" s="134">
        <v>700937</v>
      </c>
      <c r="K153" s="120">
        <f t="shared" si="38"/>
        <v>90.712695742202669</v>
      </c>
      <c r="L153" s="122">
        <f t="shared" si="28"/>
        <v>2488769.96</v>
      </c>
      <c r="M153" s="116">
        <f t="shared" si="29"/>
        <v>1787832.96</v>
      </c>
      <c r="N153" s="123">
        <f t="shared" si="30"/>
        <v>231.37478452180665</v>
      </c>
      <c r="O153" s="5"/>
      <c r="P153" s="5">
        <f t="shared" si="31"/>
        <v>1</v>
      </c>
      <c r="Q153" s="7">
        <f t="shared" si="32"/>
        <v>7727</v>
      </c>
    </row>
    <row r="154" spans="1:21">
      <c r="A154" s="23" t="s">
        <v>177</v>
      </c>
      <c r="B154" s="35" t="s">
        <v>167</v>
      </c>
      <c r="C154" s="125">
        <v>1909</v>
      </c>
      <c r="D154" s="132">
        <v>64016085</v>
      </c>
      <c r="E154" s="133">
        <f t="shared" si="36"/>
        <v>33533.831849135677</v>
      </c>
      <c r="F154" s="134">
        <v>35923628</v>
      </c>
      <c r="G154" s="134">
        <f t="shared" si="37"/>
        <v>18818.034573074907</v>
      </c>
      <c r="H154" s="135"/>
      <c r="I154" s="136">
        <v>0.59289999999999998</v>
      </c>
      <c r="J154" s="134">
        <v>21299</v>
      </c>
      <c r="K154" s="120">
        <f t="shared" si="38"/>
        <v>11.157150340492404</v>
      </c>
      <c r="L154" s="122">
        <f t="shared" si="28"/>
        <v>359236.28</v>
      </c>
      <c r="M154" s="116">
        <f t="shared" si="29"/>
        <v>337937.28</v>
      </c>
      <c r="N154" s="123">
        <f t="shared" si="30"/>
        <v>177.02319539025669</v>
      </c>
      <c r="O154" s="5"/>
      <c r="P154" s="5">
        <f t="shared" si="31"/>
        <v>1</v>
      </c>
      <c r="Q154" s="7">
        <f t="shared" si="32"/>
        <v>1909</v>
      </c>
      <c r="S154" s="124">
        <f>SUM(D144:D154)</f>
        <v>795517511</v>
      </c>
      <c r="T154" s="124">
        <f>SUM(F144:F154)</f>
        <v>424761546</v>
      </c>
      <c r="U154" s="124">
        <f>SUM(J144:J154)</f>
        <v>1159475</v>
      </c>
    </row>
    <row r="155" spans="1:21">
      <c r="A155" s="23" t="s">
        <v>178</v>
      </c>
      <c r="B155" s="35" t="s">
        <v>179</v>
      </c>
      <c r="C155" s="125">
        <v>2458</v>
      </c>
      <c r="D155" s="132">
        <v>150609246</v>
      </c>
      <c r="E155" s="133">
        <f t="shared" si="36"/>
        <v>61273.086248982916</v>
      </c>
      <c r="F155" s="134">
        <v>88263881</v>
      </c>
      <c r="G155" s="134">
        <f t="shared" si="37"/>
        <v>35908.82058584215</v>
      </c>
      <c r="H155" s="135"/>
      <c r="I155" s="136">
        <v>6.7458999999999998</v>
      </c>
      <c r="J155" s="134">
        <v>595419</v>
      </c>
      <c r="K155" s="120">
        <f t="shared" si="38"/>
        <v>242.23718470301057</v>
      </c>
      <c r="L155" s="122">
        <f t="shared" si="28"/>
        <v>882638.81</v>
      </c>
      <c r="M155" s="116">
        <f t="shared" si="29"/>
        <v>287219.81000000006</v>
      </c>
      <c r="N155" s="123">
        <f t="shared" si="30"/>
        <v>116.85102115541092</v>
      </c>
      <c r="O155" s="5"/>
      <c r="P155" s="5">
        <f t="shared" si="31"/>
        <v>1</v>
      </c>
      <c r="Q155" s="7">
        <f t="shared" si="32"/>
        <v>2458</v>
      </c>
      <c r="S155" s="124">
        <f>SUM(D155)</f>
        <v>150609246</v>
      </c>
      <c r="T155" s="124">
        <f>SUM(F155)</f>
        <v>88263881</v>
      </c>
      <c r="U155" s="124">
        <f>SUM(J155)</f>
        <v>595419</v>
      </c>
    </row>
    <row r="156" spans="1:21">
      <c r="A156" s="23" t="s">
        <v>180</v>
      </c>
      <c r="B156" s="35" t="s">
        <v>181</v>
      </c>
      <c r="C156" s="125">
        <v>1201</v>
      </c>
      <c r="D156" s="132">
        <v>43595896</v>
      </c>
      <c r="E156" s="133">
        <f t="shared" si="36"/>
        <v>36299.663613655284</v>
      </c>
      <c r="F156" s="134">
        <v>23361751</v>
      </c>
      <c r="G156" s="134">
        <f t="shared" si="37"/>
        <v>19451.915903413821</v>
      </c>
      <c r="H156" s="135"/>
      <c r="I156" s="136">
        <v>6</v>
      </c>
      <c r="J156" s="134">
        <v>140171</v>
      </c>
      <c r="K156" s="120">
        <f t="shared" si="38"/>
        <v>116.71190674437969</v>
      </c>
      <c r="L156" s="122">
        <f t="shared" si="28"/>
        <v>233617.51</v>
      </c>
      <c r="M156" s="116">
        <f t="shared" si="29"/>
        <v>93446.510000000009</v>
      </c>
      <c r="N156" s="123">
        <f t="shared" si="30"/>
        <v>77.807252289758537</v>
      </c>
      <c r="O156" s="5"/>
      <c r="P156" s="5">
        <f t="shared" si="31"/>
        <v>1</v>
      </c>
      <c r="Q156" s="7">
        <f t="shared" si="32"/>
        <v>1201</v>
      </c>
      <c r="S156" s="124">
        <f>SUM(D156)</f>
        <v>43595896</v>
      </c>
      <c r="T156" s="124">
        <f>SUM(F156)</f>
        <v>23361751</v>
      </c>
      <c r="U156" s="124">
        <f>SUM(J156)</f>
        <v>140171</v>
      </c>
    </row>
    <row r="157" spans="1:21">
      <c r="A157" s="23" t="s">
        <v>182</v>
      </c>
      <c r="B157" s="35" t="s">
        <v>183</v>
      </c>
      <c r="C157" s="125">
        <v>1824</v>
      </c>
      <c r="D157" s="147">
        <v>70460780</v>
      </c>
      <c r="E157" s="133">
        <f t="shared" si="36"/>
        <v>38629.813596491229</v>
      </c>
      <c r="F157" s="134">
        <v>46662054</v>
      </c>
      <c r="G157" s="134">
        <f t="shared" si="37"/>
        <v>25582.26644736842</v>
      </c>
      <c r="H157" s="152"/>
      <c r="I157" s="136">
        <v>7.5</v>
      </c>
      <c r="J157" s="134">
        <v>349965</v>
      </c>
      <c r="K157" s="120">
        <f t="shared" si="38"/>
        <v>191.86677631578948</v>
      </c>
      <c r="L157" s="122">
        <f t="shared" si="28"/>
        <v>466620.54000000004</v>
      </c>
      <c r="M157" s="116">
        <f t="shared" si="29"/>
        <v>116655.54000000004</v>
      </c>
      <c r="N157" s="123">
        <f t="shared" si="30"/>
        <v>63.955888157894755</v>
      </c>
      <c r="O157" s="5"/>
      <c r="P157" s="5">
        <f t="shared" si="31"/>
        <v>1</v>
      </c>
      <c r="Q157" s="7">
        <f t="shared" si="32"/>
        <v>1824</v>
      </c>
    </row>
    <row r="158" spans="1:21">
      <c r="A158" s="23" t="s">
        <v>184</v>
      </c>
      <c r="B158" s="35" t="s">
        <v>183</v>
      </c>
      <c r="C158" s="125">
        <v>32348</v>
      </c>
      <c r="D158" s="147">
        <v>2984890998</v>
      </c>
      <c r="E158" s="133">
        <f t="shared" si="36"/>
        <v>92274.360022257941</v>
      </c>
      <c r="F158" s="134">
        <v>2137342296</v>
      </c>
      <c r="G158" s="134">
        <f t="shared" si="37"/>
        <v>66073.39854086806</v>
      </c>
      <c r="H158" s="152"/>
      <c r="I158" s="136">
        <v>4.2061000000000002</v>
      </c>
      <c r="J158" s="134">
        <v>8989875</v>
      </c>
      <c r="K158" s="120">
        <f t="shared" si="38"/>
        <v>277.91130827253619</v>
      </c>
      <c r="L158" s="122">
        <f t="shared" si="28"/>
        <v>21373422.960000001</v>
      </c>
      <c r="M158" s="116">
        <f t="shared" si="29"/>
        <v>12383547.960000001</v>
      </c>
      <c r="N158" s="123">
        <f t="shared" si="30"/>
        <v>382.82267713614448</v>
      </c>
      <c r="O158" s="5"/>
      <c r="P158" s="5">
        <f t="shared" si="31"/>
        <v>1</v>
      </c>
      <c r="Q158" s="7">
        <f t="shared" si="32"/>
        <v>32348</v>
      </c>
    </row>
    <row r="159" spans="1:21">
      <c r="A159" s="23" t="s">
        <v>185</v>
      </c>
      <c r="B159" s="35" t="s">
        <v>183</v>
      </c>
      <c r="C159" s="125">
        <v>19432</v>
      </c>
      <c r="D159" s="132">
        <v>1142377992</v>
      </c>
      <c r="E159" s="133">
        <f t="shared" si="36"/>
        <v>58788.492795389051</v>
      </c>
      <c r="F159" s="134">
        <v>789822738</v>
      </c>
      <c r="G159" s="134">
        <f t="shared" si="37"/>
        <v>40645.468196788803</v>
      </c>
      <c r="H159" s="135"/>
      <c r="I159" s="136">
        <v>7.5810000000000004</v>
      </c>
      <c r="J159" s="134">
        <v>5987646</v>
      </c>
      <c r="K159" s="120">
        <f t="shared" si="38"/>
        <v>308.13328530259366</v>
      </c>
      <c r="L159" s="122">
        <f t="shared" si="28"/>
        <v>7898227.3799999999</v>
      </c>
      <c r="M159" s="116">
        <f t="shared" si="29"/>
        <v>1910581.38</v>
      </c>
      <c r="N159" s="123">
        <f t="shared" si="30"/>
        <v>98.321396665294358</v>
      </c>
      <c r="O159" s="5"/>
      <c r="P159" s="5">
        <f t="shared" si="31"/>
        <v>1</v>
      </c>
      <c r="Q159" s="7">
        <f t="shared" si="32"/>
        <v>19432</v>
      </c>
    </row>
    <row r="160" spans="1:21">
      <c r="A160" s="23" t="s">
        <v>186</v>
      </c>
      <c r="B160" s="35" t="s">
        <v>183</v>
      </c>
      <c r="C160" s="125">
        <v>4214</v>
      </c>
      <c r="D160" s="132">
        <v>238348322</v>
      </c>
      <c r="E160" s="133">
        <f t="shared" si="36"/>
        <v>56561.063597532033</v>
      </c>
      <c r="F160" s="134">
        <v>171725009</v>
      </c>
      <c r="G160" s="134">
        <f t="shared" si="37"/>
        <v>40751.070004746085</v>
      </c>
      <c r="H160" s="135"/>
      <c r="I160" s="136">
        <v>4.7370999999999999</v>
      </c>
      <c r="J160" s="134">
        <v>813479</v>
      </c>
      <c r="K160" s="120">
        <f t="shared" si="38"/>
        <v>193.04200284765068</v>
      </c>
      <c r="L160" s="122">
        <f t="shared" si="28"/>
        <v>1717250.09</v>
      </c>
      <c r="M160" s="116">
        <f t="shared" si="29"/>
        <v>903771.09000000008</v>
      </c>
      <c r="N160" s="123">
        <f t="shared" si="30"/>
        <v>214.46869719981018</v>
      </c>
      <c r="O160" s="5"/>
      <c r="P160" s="5">
        <f t="shared" si="31"/>
        <v>1</v>
      </c>
      <c r="Q160" s="7">
        <f t="shared" si="32"/>
        <v>4214</v>
      </c>
    </row>
    <row r="161" spans="1:21">
      <c r="A161" s="23" t="s">
        <v>187</v>
      </c>
      <c r="B161" s="35" t="s">
        <v>183</v>
      </c>
      <c r="C161" s="125">
        <v>12077</v>
      </c>
      <c r="D161" s="132">
        <v>734463466</v>
      </c>
      <c r="E161" s="133">
        <f t="shared" si="36"/>
        <v>60815.058872236485</v>
      </c>
      <c r="F161" s="134">
        <v>524853574</v>
      </c>
      <c r="G161" s="134">
        <f t="shared" si="37"/>
        <v>43458.936325246337</v>
      </c>
      <c r="H161" s="135"/>
      <c r="I161" s="136">
        <v>5.99</v>
      </c>
      <c r="J161" s="134">
        <v>3143873</v>
      </c>
      <c r="K161" s="120">
        <f t="shared" si="38"/>
        <v>260.31903618448291</v>
      </c>
      <c r="L161" s="122">
        <f t="shared" si="28"/>
        <v>5248535.74</v>
      </c>
      <c r="M161" s="116">
        <f t="shared" si="29"/>
        <v>2104662.7400000002</v>
      </c>
      <c r="N161" s="123">
        <f t="shared" si="30"/>
        <v>174.27032706798047</v>
      </c>
      <c r="O161" s="5"/>
      <c r="P161" s="5">
        <f t="shared" si="31"/>
        <v>1</v>
      </c>
      <c r="Q161" s="7">
        <f t="shared" si="32"/>
        <v>12077</v>
      </c>
    </row>
    <row r="162" spans="1:21">
      <c r="A162" s="23" t="s">
        <v>188</v>
      </c>
      <c r="B162" s="35" t="s">
        <v>183</v>
      </c>
      <c r="C162" s="125">
        <v>1106</v>
      </c>
      <c r="D162" s="132">
        <v>101622981</v>
      </c>
      <c r="E162" s="133">
        <f t="shared" si="36"/>
        <v>91883.346292947565</v>
      </c>
      <c r="F162" s="134">
        <v>73407900</v>
      </c>
      <c r="G162" s="134">
        <f t="shared" si="37"/>
        <v>66372.423146473782</v>
      </c>
      <c r="H162" s="135"/>
      <c r="I162" s="136">
        <v>9.5176999999999996</v>
      </c>
      <c r="J162" s="134">
        <v>698674</v>
      </c>
      <c r="K162" s="120">
        <f t="shared" si="38"/>
        <v>631.71247739602165</v>
      </c>
      <c r="L162" s="122">
        <f t="shared" si="28"/>
        <v>734079</v>
      </c>
      <c r="M162" s="116">
        <f t="shared" si="29"/>
        <v>35405</v>
      </c>
      <c r="N162" s="123">
        <f t="shared" si="30"/>
        <v>32.011754068716094</v>
      </c>
      <c r="O162" s="5"/>
      <c r="P162" s="5">
        <f t="shared" si="31"/>
        <v>1</v>
      </c>
      <c r="Q162" s="7">
        <f t="shared" si="32"/>
        <v>1106</v>
      </c>
    </row>
    <row r="163" spans="1:21">
      <c r="A163" s="23" t="s">
        <v>189</v>
      </c>
      <c r="B163" s="35" t="s">
        <v>183</v>
      </c>
      <c r="C163" s="125">
        <v>14207</v>
      </c>
      <c r="D163" s="132">
        <v>1358849625</v>
      </c>
      <c r="E163" s="133">
        <f t="shared" si="36"/>
        <v>95646.485887238683</v>
      </c>
      <c r="F163" s="134">
        <v>908771115</v>
      </c>
      <c r="G163" s="134">
        <f t="shared" si="37"/>
        <v>63966.433096360946</v>
      </c>
      <c r="H163" s="135"/>
      <c r="I163" s="136">
        <v>3.5510000000000002</v>
      </c>
      <c r="J163" s="134">
        <v>3227046</v>
      </c>
      <c r="K163" s="120">
        <f t="shared" si="38"/>
        <v>227.14478778067149</v>
      </c>
      <c r="L163" s="122">
        <f t="shared" si="28"/>
        <v>9087711.1500000004</v>
      </c>
      <c r="M163" s="116">
        <f t="shared" si="29"/>
        <v>5860665.1500000004</v>
      </c>
      <c r="N163" s="123">
        <f t="shared" si="30"/>
        <v>412.51954318293804</v>
      </c>
      <c r="O163" s="5"/>
      <c r="P163" s="5">
        <f t="shared" si="31"/>
        <v>1</v>
      </c>
      <c r="Q163" s="7">
        <f t="shared" si="32"/>
        <v>14207</v>
      </c>
    </row>
    <row r="164" spans="1:21">
      <c r="A164" s="23" t="s">
        <v>190</v>
      </c>
      <c r="B164" s="35" t="s">
        <v>183</v>
      </c>
      <c r="C164" s="125">
        <v>21547</v>
      </c>
      <c r="D164" s="132">
        <v>1648587605</v>
      </c>
      <c r="E164" s="133">
        <f t="shared" si="36"/>
        <v>76511.236134960782</v>
      </c>
      <c r="F164" s="134">
        <v>1137664888</v>
      </c>
      <c r="G164" s="134">
        <f t="shared" si="37"/>
        <v>52799.224393186989</v>
      </c>
      <c r="H164" s="135"/>
      <c r="I164" s="136">
        <v>4.2678000000000003</v>
      </c>
      <c r="J164" s="134">
        <v>4855326</v>
      </c>
      <c r="K164" s="120">
        <f t="shared" si="38"/>
        <v>225.33652016522021</v>
      </c>
      <c r="L164" s="122">
        <f t="shared" si="28"/>
        <v>11376648.880000001</v>
      </c>
      <c r="M164" s="116">
        <f t="shared" si="29"/>
        <v>6521322.8800000008</v>
      </c>
      <c r="N164" s="123">
        <f t="shared" si="30"/>
        <v>302.65572376664971</v>
      </c>
      <c r="O164" s="5"/>
      <c r="P164" s="5">
        <f t="shared" si="31"/>
        <v>1</v>
      </c>
      <c r="Q164" s="7">
        <f t="shared" si="32"/>
        <v>21547</v>
      </c>
    </row>
    <row r="165" spans="1:21">
      <c r="A165" s="23" t="s">
        <v>191</v>
      </c>
      <c r="B165" s="35" t="s">
        <v>183</v>
      </c>
      <c r="C165" s="125">
        <v>5401</v>
      </c>
      <c r="D165" s="132">
        <v>188640751</v>
      </c>
      <c r="E165" s="133">
        <f t="shared" si="36"/>
        <v>34927.004443621554</v>
      </c>
      <c r="F165" s="134">
        <v>106382600</v>
      </c>
      <c r="G165" s="134">
        <f t="shared" si="37"/>
        <v>19696.833919644509</v>
      </c>
      <c r="H165" s="135"/>
      <c r="I165" s="136">
        <v>8.8138000000000005</v>
      </c>
      <c r="J165" s="134">
        <v>937635</v>
      </c>
      <c r="K165" s="120">
        <f t="shared" si="38"/>
        <v>173.60396222921682</v>
      </c>
      <c r="L165" s="122">
        <f t="shared" si="28"/>
        <v>1063826</v>
      </c>
      <c r="M165" s="116">
        <f t="shared" si="29"/>
        <v>126191</v>
      </c>
      <c r="N165" s="123">
        <f t="shared" si="30"/>
        <v>23.364376967228292</v>
      </c>
      <c r="O165" s="5"/>
      <c r="P165" s="5">
        <f t="shared" si="31"/>
        <v>1</v>
      </c>
      <c r="Q165" s="7">
        <f t="shared" si="32"/>
        <v>5401</v>
      </c>
    </row>
    <row r="166" spans="1:21">
      <c r="A166" s="23" t="s">
        <v>192</v>
      </c>
      <c r="B166" s="35" t="s">
        <v>183</v>
      </c>
      <c r="C166" s="125">
        <v>10470</v>
      </c>
      <c r="D166" s="147">
        <v>605169914</v>
      </c>
      <c r="E166" s="133">
        <f t="shared" si="36"/>
        <v>57800.373829990451</v>
      </c>
      <c r="F166" s="134">
        <v>380294307</v>
      </c>
      <c r="G166" s="134">
        <f t="shared" si="37"/>
        <v>36322.283381088826</v>
      </c>
      <c r="H166" s="135"/>
      <c r="I166" s="136">
        <v>6.2069000000000001</v>
      </c>
      <c r="J166" s="134">
        <v>2360449</v>
      </c>
      <c r="K166" s="120">
        <f t="shared" si="38"/>
        <v>225.44880611270295</v>
      </c>
      <c r="L166" s="122">
        <f t="shared" si="28"/>
        <v>3802943.0700000003</v>
      </c>
      <c r="M166" s="116">
        <f t="shared" si="29"/>
        <v>1442494.0700000003</v>
      </c>
      <c r="N166" s="123">
        <f t="shared" si="30"/>
        <v>137.77402769818531</v>
      </c>
      <c r="O166" s="5"/>
      <c r="P166" s="5">
        <f t="shared" si="31"/>
        <v>1</v>
      </c>
      <c r="Q166" s="7">
        <f t="shared" si="32"/>
        <v>10470</v>
      </c>
    </row>
    <row r="167" spans="1:21">
      <c r="A167" s="23" t="s">
        <v>193</v>
      </c>
      <c r="B167" s="35" t="s">
        <v>183</v>
      </c>
      <c r="C167" s="125">
        <v>1472</v>
      </c>
      <c r="D167" s="132">
        <v>130073084</v>
      </c>
      <c r="E167" s="133">
        <f t="shared" si="36"/>
        <v>88364.866847826081</v>
      </c>
      <c r="F167" s="134">
        <v>80106931</v>
      </c>
      <c r="G167" s="134">
        <f t="shared" si="37"/>
        <v>54420.469429347824</v>
      </c>
      <c r="H167" s="135"/>
      <c r="I167" s="136">
        <v>2.83</v>
      </c>
      <c r="J167" s="134">
        <v>226703</v>
      </c>
      <c r="K167" s="120">
        <f t="shared" si="38"/>
        <v>154.01019021739131</v>
      </c>
      <c r="L167" s="122">
        <f t="shared" si="28"/>
        <v>801069.31</v>
      </c>
      <c r="M167" s="116">
        <f t="shared" si="29"/>
        <v>574366.31000000006</v>
      </c>
      <c r="N167" s="123">
        <f t="shared" si="30"/>
        <v>390.19450407608701</v>
      </c>
      <c r="O167" s="5"/>
      <c r="P167" s="5">
        <f t="shared" si="31"/>
        <v>1</v>
      </c>
      <c r="Q167" s="7">
        <f t="shared" si="32"/>
        <v>1472</v>
      </c>
    </row>
    <row r="168" spans="1:21">
      <c r="A168" s="23" t="s">
        <v>194</v>
      </c>
      <c r="B168" s="35" t="s">
        <v>183</v>
      </c>
      <c r="C168" s="125">
        <v>13167</v>
      </c>
      <c r="D168" s="132">
        <v>1204508819</v>
      </c>
      <c r="E168" s="133">
        <f t="shared" si="36"/>
        <v>91479.366522366516</v>
      </c>
      <c r="F168" s="134">
        <v>906012014</v>
      </c>
      <c r="G168" s="134">
        <f t="shared" si="37"/>
        <v>68809.297030454924</v>
      </c>
      <c r="H168" s="135"/>
      <c r="I168" s="136">
        <v>5.9969999999999999</v>
      </c>
      <c r="J168" s="134">
        <v>5433354</v>
      </c>
      <c r="K168" s="120">
        <f t="shared" si="38"/>
        <v>412.64935064935065</v>
      </c>
      <c r="L168" s="122">
        <f t="shared" si="28"/>
        <v>9060120.1400000006</v>
      </c>
      <c r="M168" s="116">
        <f t="shared" si="29"/>
        <v>3626766.1400000006</v>
      </c>
      <c r="N168" s="123">
        <f t="shared" si="30"/>
        <v>275.44361965519863</v>
      </c>
      <c r="O168" s="5"/>
      <c r="P168" s="5">
        <f t="shared" si="31"/>
        <v>1</v>
      </c>
      <c r="Q168" s="7">
        <f t="shared" si="32"/>
        <v>13167</v>
      </c>
    </row>
    <row r="169" spans="1:21">
      <c r="A169" s="23" t="s">
        <v>195</v>
      </c>
      <c r="B169" s="35" t="s">
        <v>183</v>
      </c>
      <c r="C169" s="125">
        <v>15106</v>
      </c>
      <c r="D169" s="132">
        <v>1227882775</v>
      </c>
      <c r="E169" s="133">
        <f t="shared" si="36"/>
        <v>81284.441612604263</v>
      </c>
      <c r="F169" s="134">
        <v>674603678</v>
      </c>
      <c r="G169" s="134">
        <f t="shared" si="37"/>
        <v>44657.995366079704</v>
      </c>
      <c r="H169" s="135"/>
      <c r="I169" s="136">
        <v>6.6166</v>
      </c>
      <c r="J169" s="134">
        <v>4463583</v>
      </c>
      <c r="K169" s="120">
        <f t="shared" si="38"/>
        <v>295.48411227326892</v>
      </c>
      <c r="L169" s="122">
        <f t="shared" si="28"/>
        <v>6746036.7800000003</v>
      </c>
      <c r="M169" s="116">
        <f t="shared" si="29"/>
        <v>2282453.7800000003</v>
      </c>
      <c r="N169" s="123">
        <f t="shared" si="30"/>
        <v>151.09584138752814</v>
      </c>
      <c r="O169" s="5"/>
      <c r="P169" s="5">
        <f t="shared" si="31"/>
        <v>1</v>
      </c>
      <c r="Q169" s="7">
        <f t="shared" si="32"/>
        <v>15106</v>
      </c>
    </row>
    <row r="170" spans="1:21">
      <c r="A170" s="23" t="s">
        <v>196</v>
      </c>
      <c r="B170" s="35" t="s">
        <v>183</v>
      </c>
      <c r="C170" s="125">
        <v>3798</v>
      </c>
      <c r="D170" s="132">
        <v>188018703</v>
      </c>
      <c r="E170" s="133">
        <f t="shared" si="36"/>
        <v>49504.661137440758</v>
      </c>
      <c r="F170" s="134">
        <v>119585864</v>
      </c>
      <c r="G170" s="134">
        <f t="shared" si="37"/>
        <v>31486.53607161664</v>
      </c>
      <c r="H170" s="135"/>
      <c r="I170" s="136">
        <v>7.298</v>
      </c>
      <c r="J170" s="134">
        <v>872738</v>
      </c>
      <c r="K170" s="120">
        <f t="shared" si="38"/>
        <v>229.78883622959452</v>
      </c>
      <c r="L170" s="122">
        <f t="shared" si="28"/>
        <v>1195858.6400000001</v>
      </c>
      <c r="M170" s="116">
        <f t="shared" si="29"/>
        <v>323120.64000000013</v>
      </c>
      <c r="N170" s="123">
        <f t="shared" si="30"/>
        <v>85.076524486571913</v>
      </c>
      <c r="O170" s="5"/>
      <c r="P170" s="5">
        <f t="shared" si="31"/>
        <v>1</v>
      </c>
      <c r="Q170" s="7">
        <f t="shared" si="32"/>
        <v>3798</v>
      </c>
      <c r="S170" s="124">
        <f>SUM(D157:D170)</f>
        <v>11823895815</v>
      </c>
      <c r="T170" s="124">
        <f>SUM(F157:F170)</f>
        <v>8057234968</v>
      </c>
      <c r="U170" s="124">
        <f>SUM(J157:J170)</f>
        <v>42360346</v>
      </c>
    </row>
    <row r="171" spans="1:21">
      <c r="A171" s="23" t="s">
        <v>448</v>
      </c>
      <c r="B171" s="35" t="s">
        <v>198</v>
      </c>
      <c r="C171" s="125">
        <v>46568</v>
      </c>
      <c r="D171" s="132">
        <v>10498552355</v>
      </c>
      <c r="E171" s="133">
        <f t="shared" si="36"/>
        <v>225445.63552224703</v>
      </c>
      <c r="F171" s="134">
        <v>8327151724</v>
      </c>
      <c r="G171" s="134">
        <f t="shared" si="37"/>
        <v>178817.03581858787</v>
      </c>
      <c r="H171" s="135"/>
      <c r="I171" s="136">
        <v>0.81730000000000003</v>
      </c>
      <c r="J171" s="134">
        <v>6805781.1040252</v>
      </c>
      <c r="K171" s="120">
        <f t="shared" si="38"/>
        <v>146.14716337453186</v>
      </c>
      <c r="L171" s="122">
        <f t="shared" si="28"/>
        <v>83271517.239999995</v>
      </c>
      <c r="M171" s="116">
        <f t="shared" si="29"/>
        <v>76465736.135974795</v>
      </c>
      <c r="N171" s="123">
        <f t="shared" si="30"/>
        <v>1642.0231948113467</v>
      </c>
      <c r="O171" s="5"/>
      <c r="P171" s="5">
        <f t="shared" si="31"/>
        <v>1</v>
      </c>
      <c r="Q171" s="7">
        <f t="shared" si="32"/>
        <v>46568</v>
      </c>
    </row>
    <row r="172" spans="1:21">
      <c r="A172" s="23" t="s">
        <v>197</v>
      </c>
      <c r="B172" s="35" t="s">
        <v>198</v>
      </c>
      <c r="C172" s="125">
        <v>166508</v>
      </c>
      <c r="D172" s="132">
        <v>16595833169</v>
      </c>
      <c r="E172" s="133">
        <f t="shared" si="36"/>
        <v>99669.884744276555</v>
      </c>
      <c r="F172" s="134">
        <v>11114752499</v>
      </c>
      <c r="G172" s="134">
        <f t="shared" si="37"/>
        <v>66752.062957935952</v>
      </c>
      <c r="H172" s="135"/>
      <c r="I172" s="136">
        <v>6.9569999999999999</v>
      </c>
      <c r="J172" s="134">
        <v>77325333.135543004</v>
      </c>
      <c r="K172" s="120">
        <f t="shared" si="38"/>
        <v>464.39410199836044</v>
      </c>
      <c r="L172" s="122">
        <f t="shared" si="28"/>
        <v>111147524.99000001</v>
      </c>
      <c r="M172" s="116">
        <f t="shared" si="29"/>
        <v>33822191.854457006</v>
      </c>
      <c r="N172" s="123">
        <f t="shared" si="30"/>
        <v>203.12652758099915</v>
      </c>
      <c r="O172" s="5"/>
      <c r="P172" s="5">
        <f t="shared" si="31"/>
        <v>1</v>
      </c>
      <c r="Q172" s="7">
        <f t="shared" si="32"/>
        <v>166508</v>
      </c>
    </row>
    <row r="173" spans="1:21">
      <c r="A173" s="24" t="s">
        <v>598</v>
      </c>
      <c r="B173" s="37" t="s">
        <v>198</v>
      </c>
      <c r="C173" s="125">
        <v>30118</v>
      </c>
      <c r="D173" s="147">
        <v>6960615458</v>
      </c>
      <c r="E173" s="133">
        <f t="shared" si="36"/>
        <v>231111.4767912876</v>
      </c>
      <c r="F173" s="134">
        <v>5675825842</v>
      </c>
      <c r="G173" s="134">
        <f t="shared" si="37"/>
        <v>188452.94647718972</v>
      </c>
      <c r="H173" s="148"/>
      <c r="I173" s="136">
        <v>0.83979999999999999</v>
      </c>
      <c r="J173" s="134">
        <v>4766558.5421115998</v>
      </c>
      <c r="K173" s="120">
        <f t="shared" si="38"/>
        <v>158.26278445154392</v>
      </c>
      <c r="L173" s="122">
        <f t="shared" si="28"/>
        <v>56758258.420000002</v>
      </c>
      <c r="M173" s="116">
        <f t="shared" si="29"/>
        <v>51991699.877888404</v>
      </c>
      <c r="N173" s="123">
        <f t="shared" si="30"/>
        <v>1726.2666803203533</v>
      </c>
      <c r="O173" s="5"/>
      <c r="P173" s="5">
        <f>IF(I173&gt;0,1,0)</f>
        <v>1</v>
      </c>
      <c r="Q173" s="7">
        <f>IF(I173&gt;0,C173,0)</f>
        <v>30118</v>
      </c>
    </row>
    <row r="174" spans="1:21">
      <c r="A174" s="23" t="s">
        <v>199</v>
      </c>
      <c r="B174" s="35" t="s">
        <v>198</v>
      </c>
      <c r="C174" s="125">
        <v>72395</v>
      </c>
      <c r="D174" s="132">
        <v>7278378361</v>
      </c>
      <c r="E174" s="133">
        <f t="shared" si="36"/>
        <v>100537.03102424201</v>
      </c>
      <c r="F174" s="134">
        <v>4976882235</v>
      </c>
      <c r="G174" s="134">
        <f t="shared" si="37"/>
        <v>68746.215001035976</v>
      </c>
      <c r="H174" s="135"/>
      <c r="I174" s="136">
        <v>8.7759999999999998</v>
      </c>
      <c r="J174" s="134">
        <v>43677118.4943</v>
      </c>
      <c r="K174" s="120">
        <f t="shared" si="38"/>
        <v>603.31678284826296</v>
      </c>
      <c r="L174" s="122">
        <f t="shared" si="28"/>
        <v>49768822.350000001</v>
      </c>
      <c r="M174" s="116">
        <f t="shared" si="29"/>
        <v>6091703.8557000011</v>
      </c>
      <c r="N174" s="123">
        <f t="shared" si="30"/>
        <v>84.145367162096846</v>
      </c>
      <c r="O174" s="5"/>
      <c r="P174" s="5">
        <f t="shared" si="31"/>
        <v>1</v>
      </c>
      <c r="Q174" s="7">
        <f t="shared" si="32"/>
        <v>72395</v>
      </c>
    </row>
    <row r="175" spans="1:21">
      <c r="A175" s="23" t="s">
        <v>200</v>
      </c>
      <c r="B175" s="35" t="s">
        <v>198</v>
      </c>
      <c r="C175" s="125">
        <v>6264</v>
      </c>
      <c r="D175" s="132">
        <v>3474498578</v>
      </c>
      <c r="E175" s="133">
        <f t="shared" si="36"/>
        <v>554677.29533844185</v>
      </c>
      <c r="F175" s="134">
        <v>2882627462</v>
      </c>
      <c r="G175" s="134">
        <f t="shared" si="37"/>
        <v>460189.56928480207</v>
      </c>
      <c r="H175" s="135"/>
      <c r="I175" s="136">
        <v>0.8</v>
      </c>
      <c r="J175" s="134">
        <v>2306101.9696</v>
      </c>
      <c r="K175" s="120">
        <f t="shared" si="38"/>
        <v>368.1516554278416</v>
      </c>
      <c r="L175" s="122">
        <f t="shared" si="28"/>
        <v>28826274.620000001</v>
      </c>
      <c r="M175" s="116">
        <f t="shared" si="29"/>
        <v>26520172.650400002</v>
      </c>
      <c r="N175" s="123">
        <f t="shared" si="30"/>
        <v>4233.7440374201788</v>
      </c>
      <c r="O175" s="5"/>
      <c r="P175" s="5">
        <f t="shared" si="31"/>
        <v>1</v>
      </c>
      <c r="Q175" s="7">
        <f t="shared" si="32"/>
        <v>6264</v>
      </c>
    </row>
    <row r="176" spans="1:21">
      <c r="A176" s="23" t="s">
        <v>201</v>
      </c>
      <c r="B176" s="35" t="s">
        <v>198</v>
      </c>
      <c r="C176" s="125">
        <v>6502</v>
      </c>
      <c r="D176" s="132">
        <v>5311939365</v>
      </c>
      <c r="E176" s="133">
        <f t="shared" si="36"/>
        <v>816970.06536450319</v>
      </c>
      <c r="F176" s="134">
        <v>4515744397</v>
      </c>
      <c r="G176" s="134">
        <f t="shared" si="37"/>
        <v>694516.20993540448</v>
      </c>
      <c r="H176" s="135"/>
      <c r="I176" s="136">
        <v>1.9138999999999999</v>
      </c>
      <c r="J176" s="134">
        <v>8642683.2014183011</v>
      </c>
      <c r="K176" s="120">
        <f t="shared" si="38"/>
        <v>1329.2345741953709</v>
      </c>
      <c r="L176" s="122">
        <f t="shared" si="28"/>
        <v>45157443.969999999</v>
      </c>
      <c r="M176" s="116">
        <f t="shared" si="29"/>
        <v>36514760.768581696</v>
      </c>
      <c r="N176" s="123">
        <f t="shared" si="30"/>
        <v>5615.9275251586732</v>
      </c>
      <c r="O176" s="5"/>
      <c r="P176" s="5">
        <f t="shared" si="31"/>
        <v>1</v>
      </c>
      <c r="Q176" s="7">
        <f t="shared" si="32"/>
        <v>6502</v>
      </c>
      <c r="S176" s="124">
        <f>SUM(D171:D176)</f>
        <v>50119817286</v>
      </c>
      <c r="T176" s="124">
        <f>SUM(F171:F176)</f>
        <v>37492984159</v>
      </c>
      <c r="U176" s="124">
        <f>SUM(J171:J176)</f>
        <v>143523576.44699812</v>
      </c>
    </row>
    <row r="177" spans="1:21">
      <c r="A177" s="23" t="s">
        <v>202</v>
      </c>
      <c r="B177" s="35" t="s">
        <v>203</v>
      </c>
      <c r="C177" s="125">
        <v>187996</v>
      </c>
      <c r="D177" s="132">
        <v>17451680853</v>
      </c>
      <c r="E177" s="133">
        <f t="shared" si="36"/>
        <v>92830.064751377693</v>
      </c>
      <c r="F177" s="134">
        <v>9594506138</v>
      </c>
      <c r="G177" s="134">
        <f t="shared" si="37"/>
        <v>51035.692982829423</v>
      </c>
      <c r="H177" s="135"/>
      <c r="I177" s="136">
        <v>4.2</v>
      </c>
      <c r="J177" s="134">
        <v>40296925.779600002</v>
      </c>
      <c r="K177" s="120">
        <f t="shared" si="38"/>
        <v>214.34991052788359</v>
      </c>
      <c r="L177" s="122">
        <f t="shared" si="28"/>
        <v>95945061.379999995</v>
      </c>
      <c r="M177" s="116">
        <f t="shared" si="29"/>
        <v>55648135.600399993</v>
      </c>
      <c r="N177" s="123">
        <f t="shared" si="30"/>
        <v>296.0070193004106</v>
      </c>
      <c r="O177" s="5"/>
      <c r="P177" s="5">
        <f t="shared" si="31"/>
        <v>1</v>
      </c>
      <c r="Q177" s="7">
        <f t="shared" si="32"/>
        <v>187996</v>
      </c>
      <c r="S177" s="124">
        <f>SUM(D177)</f>
        <v>17451680853</v>
      </c>
      <c r="T177" s="124">
        <f>SUM(F177)</f>
        <v>9594506138</v>
      </c>
      <c r="U177" s="124">
        <f>SUM(J177)</f>
        <v>40296925.779600002</v>
      </c>
    </row>
    <row r="178" spans="1:21">
      <c r="A178" s="23" t="s">
        <v>204</v>
      </c>
      <c r="B178" s="35" t="s">
        <v>205</v>
      </c>
      <c r="C178" s="125">
        <v>1187</v>
      </c>
      <c r="D178" s="132">
        <v>67103727</v>
      </c>
      <c r="E178" s="133">
        <f t="shared" si="36"/>
        <v>56532.204717775909</v>
      </c>
      <c r="F178" s="134">
        <v>33397210</v>
      </c>
      <c r="G178" s="134">
        <f t="shared" si="37"/>
        <v>28135.812973883742</v>
      </c>
      <c r="H178" s="135"/>
      <c r="I178" s="136">
        <v>5.0712000000000002</v>
      </c>
      <c r="J178" s="134">
        <v>169364</v>
      </c>
      <c r="K178" s="120">
        <f t="shared" si="38"/>
        <v>142.68239258635214</v>
      </c>
      <c r="L178" s="122">
        <f t="shared" si="28"/>
        <v>333972.10000000003</v>
      </c>
      <c r="M178" s="116">
        <f t="shared" si="29"/>
        <v>164608.10000000003</v>
      </c>
      <c r="N178" s="123">
        <f t="shared" si="30"/>
        <v>138.67573715248528</v>
      </c>
      <c r="O178" s="5"/>
      <c r="P178" s="5">
        <f t="shared" si="31"/>
        <v>1</v>
      </c>
      <c r="Q178" s="7">
        <f t="shared" si="32"/>
        <v>1187</v>
      </c>
    </row>
    <row r="179" spans="1:21">
      <c r="A179" s="23" t="s">
        <v>206</v>
      </c>
      <c r="B179" s="35" t="s">
        <v>205</v>
      </c>
      <c r="C179" s="125">
        <v>696</v>
      </c>
      <c r="D179" s="132">
        <v>174720348</v>
      </c>
      <c r="E179" s="133">
        <f t="shared" si="36"/>
        <v>251034.9827586207</v>
      </c>
      <c r="F179" s="134">
        <v>132533017</v>
      </c>
      <c r="G179" s="134">
        <f t="shared" si="37"/>
        <v>190421.0014367816</v>
      </c>
      <c r="H179" s="135"/>
      <c r="I179" s="136">
        <v>5.3410000000000002</v>
      </c>
      <c r="J179" s="134">
        <v>707859</v>
      </c>
      <c r="K179" s="120">
        <f t="shared" si="38"/>
        <v>1017.0387931034483</v>
      </c>
      <c r="L179" s="122">
        <f t="shared" si="28"/>
        <v>1325330.17</v>
      </c>
      <c r="M179" s="116">
        <f t="shared" si="29"/>
        <v>617471.16999999993</v>
      </c>
      <c r="N179" s="123">
        <f t="shared" si="30"/>
        <v>887.17122126436766</v>
      </c>
      <c r="O179" s="5"/>
      <c r="P179" s="5">
        <f t="shared" si="31"/>
        <v>1</v>
      </c>
      <c r="Q179" s="7">
        <f t="shared" si="32"/>
        <v>696</v>
      </c>
    </row>
    <row r="180" spans="1:21">
      <c r="A180" s="23" t="s">
        <v>207</v>
      </c>
      <c r="B180" s="35" t="s">
        <v>205</v>
      </c>
      <c r="C180" s="125">
        <v>2153</v>
      </c>
      <c r="D180" s="132">
        <v>166158101</v>
      </c>
      <c r="E180" s="133">
        <f t="shared" si="36"/>
        <v>77175.151416627967</v>
      </c>
      <c r="F180" s="134">
        <v>124712146</v>
      </c>
      <c r="G180" s="134">
        <f t="shared" si="37"/>
        <v>57924.823966558288</v>
      </c>
      <c r="H180" s="135"/>
      <c r="I180" s="136">
        <v>6</v>
      </c>
      <c r="J180" s="134">
        <v>748273</v>
      </c>
      <c r="K180" s="120">
        <f t="shared" si="38"/>
        <v>347.54900139340452</v>
      </c>
      <c r="L180" s="122">
        <f t="shared" si="28"/>
        <v>1247121.46</v>
      </c>
      <c r="M180" s="116">
        <f t="shared" si="29"/>
        <v>498848.45999999996</v>
      </c>
      <c r="N180" s="123">
        <f t="shared" si="30"/>
        <v>231.69923827217835</v>
      </c>
      <c r="O180" s="5"/>
      <c r="P180" s="5">
        <f t="shared" si="31"/>
        <v>1</v>
      </c>
      <c r="Q180" s="7">
        <f t="shared" si="32"/>
        <v>2153</v>
      </c>
    </row>
    <row r="181" spans="1:21">
      <c r="A181" s="23" t="s">
        <v>208</v>
      </c>
      <c r="B181" s="35" t="s">
        <v>205</v>
      </c>
      <c r="C181" s="125">
        <v>1301</v>
      </c>
      <c r="D181" s="132">
        <v>81986947</v>
      </c>
      <c r="E181" s="133">
        <f t="shared" si="36"/>
        <v>63018.406610299768</v>
      </c>
      <c r="F181" s="134">
        <v>61485096</v>
      </c>
      <c r="G181" s="134">
        <f t="shared" si="37"/>
        <v>47259.873943120678</v>
      </c>
      <c r="H181" s="135"/>
      <c r="I181" s="136">
        <v>5</v>
      </c>
      <c r="J181" s="134">
        <v>307425</v>
      </c>
      <c r="K181" s="120">
        <f t="shared" si="38"/>
        <v>236.2990007686395</v>
      </c>
      <c r="L181" s="122">
        <f t="shared" si="28"/>
        <v>614850.96</v>
      </c>
      <c r="M181" s="116">
        <f t="shared" si="29"/>
        <v>307425.95999999996</v>
      </c>
      <c r="N181" s="123">
        <f t="shared" si="30"/>
        <v>236.29973866256722</v>
      </c>
      <c r="O181" s="5"/>
      <c r="P181" s="5">
        <f t="shared" si="31"/>
        <v>1</v>
      </c>
      <c r="Q181" s="7">
        <f t="shared" si="32"/>
        <v>1301</v>
      </c>
    </row>
    <row r="182" spans="1:21">
      <c r="A182" s="23" t="s">
        <v>209</v>
      </c>
      <c r="B182" s="35" t="s">
        <v>205</v>
      </c>
      <c r="C182" s="125">
        <v>120</v>
      </c>
      <c r="D182" s="132">
        <v>10501542</v>
      </c>
      <c r="E182" s="133">
        <f t="shared" ref="E182:E198" si="39">(D182/C182)</f>
        <v>87512.85</v>
      </c>
      <c r="F182" s="134">
        <v>7572529</v>
      </c>
      <c r="G182" s="134">
        <f t="shared" ref="G182:G198" si="40">(F182/C182)</f>
        <v>63104.408333333333</v>
      </c>
      <c r="H182" s="135"/>
      <c r="I182" s="136">
        <v>7.3731</v>
      </c>
      <c r="J182" s="134">
        <v>55833</v>
      </c>
      <c r="K182" s="120">
        <f t="shared" ref="K182:K198" si="41">(J182/C182)</f>
        <v>465.27499999999998</v>
      </c>
      <c r="L182" s="122">
        <f t="shared" si="28"/>
        <v>75725.290000000008</v>
      </c>
      <c r="M182" s="116">
        <f t="shared" si="29"/>
        <v>19892.290000000008</v>
      </c>
      <c r="N182" s="123">
        <f t="shared" si="30"/>
        <v>165.76908333333341</v>
      </c>
      <c r="O182" s="5"/>
      <c r="P182" s="5">
        <f t="shared" si="31"/>
        <v>1</v>
      </c>
      <c r="Q182" s="7">
        <f t="shared" si="32"/>
        <v>120</v>
      </c>
    </row>
    <row r="183" spans="1:21">
      <c r="A183" s="23" t="s">
        <v>210</v>
      </c>
      <c r="B183" s="35" t="s">
        <v>205</v>
      </c>
      <c r="C183" s="125">
        <v>2848</v>
      </c>
      <c r="D183" s="132">
        <v>155992093</v>
      </c>
      <c r="E183" s="133">
        <f t="shared" si="39"/>
        <v>54772.504564606745</v>
      </c>
      <c r="F183" s="134">
        <v>92898940</v>
      </c>
      <c r="G183" s="134">
        <f t="shared" si="40"/>
        <v>32619.009831460673</v>
      </c>
      <c r="H183" s="135"/>
      <c r="I183" s="136">
        <v>5.8627000000000002</v>
      </c>
      <c r="J183" s="134">
        <v>544639</v>
      </c>
      <c r="K183" s="120">
        <f t="shared" si="41"/>
        <v>191.23560393258427</v>
      </c>
      <c r="L183" s="122">
        <f t="shared" si="28"/>
        <v>928989.4</v>
      </c>
      <c r="M183" s="116">
        <f t="shared" si="29"/>
        <v>384350.4</v>
      </c>
      <c r="N183" s="123">
        <f t="shared" si="30"/>
        <v>134.95449438202249</v>
      </c>
      <c r="O183" s="5"/>
      <c r="P183" s="5">
        <f t="shared" si="31"/>
        <v>1</v>
      </c>
      <c r="Q183" s="7">
        <f t="shared" si="32"/>
        <v>2848</v>
      </c>
    </row>
    <row r="184" spans="1:21">
      <c r="A184" s="23" t="s">
        <v>211</v>
      </c>
      <c r="B184" s="35" t="s">
        <v>205</v>
      </c>
      <c r="C184" s="125">
        <v>489</v>
      </c>
      <c r="D184" s="132">
        <v>68287411</v>
      </c>
      <c r="E184" s="133">
        <f t="shared" si="39"/>
        <v>139647.05725971371</v>
      </c>
      <c r="F184" s="134">
        <v>50739030</v>
      </c>
      <c r="G184" s="134">
        <f t="shared" si="40"/>
        <v>103760.79754601227</v>
      </c>
      <c r="H184" s="135"/>
      <c r="I184" s="136">
        <v>2.7972999999999999</v>
      </c>
      <c r="J184" s="134">
        <v>141932</v>
      </c>
      <c r="K184" s="120">
        <f t="shared" si="41"/>
        <v>290.24948875255626</v>
      </c>
      <c r="L184" s="122">
        <f t="shared" si="28"/>
        <v>507390.3</v>
      </c>
      <c r="M184" s="116">
        <f t="shared" si="29"/>
        <v>365458.3</v>
      </c>
      <c r="N184" s="123">
        <f t="shared" si="30"/>
        <v>747.35848670756639</v>
      </c>
      <c r="O184" s="5"/>
      <c r="P184" s="5">
        <f t="shared" si="31"/>
        <v>1</v>
      </c>
      <c r="Q184" s="7">
        <f t="shared" si="32"/>
        <v>489</v>
      </c>
      <c r="S184" s="124">
        <f>SUM(D178:D184)</f>
        <v>724750169</v>
      </c>
      <c r="T184" s="124">
        <f>SUM(F178:F184)</f>
        <v>503337968</v>
      </c>
      <c r="U184" s="124">
        <f>SUM(J178:J184)</f>
        <v>2675325</v>
      </c>
    </row>
    <row r="185" spans="1:21">
      <c r="A185" s="23" t="s">
        <v>212</v>
      </c>
      <c r="B185" s="35" t="s">
        <v>213</v>
      </c>
      <c r="C185" s="125">
        <v>958</v>
      </c>
      <c r="D185" s="132">
        <v>69609308</v>
      </c>
      <c r="E185" s="133">
        <f t="shared" si="39"/>
        <v>72661.073068893529</v>
      </c>
      <c r="F185" s="134">
        <v>19473279</v>
      </c>
      <c r="G185" s="134">
        <f t="shared" si="40"/>
        <v>20327.013569937368</v>
      </c>
      <c r="H185" s="135"/>
      <c r="I185" s="136">
        <v>5.1543000000000001</v>
      </c>
      <c r="J185" s="134">
        <v>100371</v>
      </c>
      <c r="K185" s="120">
        <f t="shared" si="41"/>
        <v>104.77139874739039</v>
      </c>
      <c r="L185" s="122">
        <f t="shared" si="28"/>
        <v>194732.79</v>
      </c>
      <c r="M185" s="116">
        <f t="shared" si="29"/>
        <v>94361.790000000008</v>
      </c>
      <c r="N185" s="123">
        <f t="shared" si="30"/>
        <v>98.498736951983304</v>
      </c>
      <c r="O185" s="5"/>
      <c r="P185" s="5">
        <f t="shared" si="31"/>
        <v>1</v>
      </c>
      <c r="Q185" s="7">
        <f t="shared" si="32"/>
        <v>958</v>
      </c>
      <c r="S185" s="124">
        <f>SUM(D185)</f>
        <v>69609308</v>
      </c>
      <c r="T185" s="124">
        <f>SUM(F185)</f>
        <v>19473279</v>
      </c>
      <c r="U185" s="124">
        <f>SUM(J185)</f>
        <v>100371</v>
      </c>
    </row>
    <row r="186" spans="1:21">
      <c r="A186" s="23" t="s">
        <v>214</v>
      </c>
      <c r="B186" s="35" t="s">
        <v>215</v>
      </c>
      <c r="C186" s="125">
        <v>766</v>
      </c>
      <c r="D186" s="132">
        <v>19281163</v>
      </c>
      <c r="E186" s="133">
        <f t="shared" si="39"/>
        <v>25171.231070496084</v>
      </c>
      <c r="F186" s="134">
        <v>10221140</v>
      </c>
      <c r="G186" s="134">
        <f t="shared" si="40"/>
        <v>13343.524804177545</v>
      </c>
      <c r="H186" s="135"/>
      <c r="I186" s="136">
        <v>9.0439000000000007</v>
      </c>
      <c r="J186" s="134">
        <v>92439</v>
      </c>
      <c r="K186" s="120">
        <f t="shared" si="41"/>
        <v>120.677545691906</v>
      </c>
      <c r="L186" s="122">
        <f t="shared" si="28"/>
        <v>102211.40000000001</v>
      </c>
      <c r="M186" s="116">
        <f t="shared" si="29"/>
        <v>9772.4000000000087</v>
      </c>
      <c r="N186" s="123">
        <f t="shared" si="30"/>
        <v>12.757702349869463</v>
      </c>
      <c r="O186" s="5"/>
      <c r="P186" s="5">
        <f t="shared" si="31"/>
        <v>1</v>
      </c>
      <c r="Q186" s="7">
        <f t="shared" si="32"/>
        <v>766</v>
      </c>
    </row>
    <row r="187" spans="1:21">
      <c r="A187" s="23" t="s">
        <v>198</v>
      </c>
      <c r="B187" s="35" t="s">
        <v>215</v>
      </c>
      <c r="C187" s="125">
        <v>332</v>
      </c>
      <c r="D187" s="132">
        <v>17746089</v>
      </c>
      <c r="E187" s="133">
        <f t="shared" si="39"/>
        <v>53452.075301204823</v>
      </c>
      <c r="F187" s="134">
        <v>7044403</v>
      </c>
      <c r="G187" s="134">
        <f t="shared" si="40"/>
        <v>21218.081325301206</v>
      </c>
      <c r="H187" s="135"/>
      <c r="I187" s="136">
        <v>6.4428999999999998</v>
      </c>
      <c r="J187" s="134">
        <v>45386</v>
      </c>
      <c r="K187" s="120">
        <f t="shared" si="41"/>
        <v>136.70481927710844</v>
      </c>
      <c r="L187" s="122">
        <f t="shared" si="28"/>
        <v>70444.03</v>
      </c>
      <c r="M187" s="116">
        <f t="shared" si="29"/>
        <v>25058.03</v>
      </c>
      <c r="N187" s="123">
        <f t="shared" si="30"/>
        <v>75.475993975903606</v>
      </c>
      <c r="O187" s="5"/>
      <c r="P187" s="5">
        <f t="shared" si="31"/>
        <v>1</v>
      </c>
      <c r="Q187" s="7">
        <f t="shared" si="32"/>
        <v>332</v>
      </c>
    </row>
    <row r="188" spans="1:21">
      <c r="A188" s="23" t="s">
        <v>215</v>
      </c>
      <c r="B188" s="35" t="s">
        <v>215</v>
      </c>
      <c r="C188" s="125">
        <v>3061</v>
      </c>
      <c r="D188" s="132">
        <v>147285453</v>
      </c>
      <c r="E188" s="133">
        <f t="shared" si="39"/>
        <v>48116.776543613196</v>
      </c>
      <c r="F188" s="134">
        <v>87204865</v>
      </c>
      <c r="G188" s="134">
        <f t="shared" si="40"/>
        <v>28489.011760862464</v>
      </c>
      <c r="H188" s="135"/>
      <c r="I188" s="136">
        <v>7</v>
      </c>
      <c r="J188" s="134">
        <v>610434</v>
      </c>
      <c r="K188" s="120">
        <f t="shared" si="41"/>
        <v>199.42306435805293</v>
      </c>
      <c r="L188" s="122">
        <f t="shared" si="28"/>
        <v>872048.65</v>
      </c>
      <c r="M188" s="116">
        <f t="shared" si="29"/>
        <v>261614.65000000002</v>
      </c>
      <c r="N188" s="123">
        <f t="shared" si="30"/>
        <v>85.467053250571709</v>
      </c>
      <c r="O188" s="5"/>
      <c r="P188" s="5">
        <f t="shared" si="31"/>
        <v>1</v>
      </c>
      <c r="Q188" s="7">
        <f t="shared" si="32"/>
        <v>3061</v>
      </c>
      <c r="S188" s="124">
        <f>SUM(D186:D188)</f>
        <v>184312705</v>
      </c>
      <c r="T188" s="124">
        <f>SUM(F186:F188)</f>
        <v>104470408</v>
      </c>
      <c r="U188" s="124">
        <f>SUM(J186:J188)</f>
        <v>748259</v>
      </c>
    </row>
    <row r="189" spans="1:21">
      <c r="A189" s="23" t="s">
        <v>216</v>
      </c>
      <c r="B189" s="35" t="s">
        <v>217</v>
      </c>
      <c r="C189" s="125">
        <v>1519</v>
      </c>
      <c r="D189" s="132">
        <v>1071330104</v>
      </c>
      <c r="E189" s="133">
        <f t="shared" si="39"/>
        <v>705286.44107965764</v>
      </c>
      <c r="F189" s="134">
        <v>794453764</v>
      </c>
      <c r="G189" s="134">
        <f t="shared" si="40"/>
        <v>523011.03620803158</v>
      </c>
      <c r="H189" s="135"/>
      <c r="I189" s="136">
        <v>2.0499999999999998</v>
      </c>
      <c r="J189" s="134">
        <v>1628630.2161999999</v>
      </c>
      <c r="K189" s="120">
        <f t="shared" si="41"/>
        <v>1072.1726242264647</v>
      </c>
      <c r="L189" s="122">
        <f t="shared" si="28"/>
        <v>7944537.6400000006</v>
      </c>
      <c r="M189" s="116">
        <f t="shared" si="29"/>
        <v>6315907.4238000009</v>
      </c>
      <c r="N189" s="123">
        <f t="shared" si="30"/>
        <v>4157.937737853852</v>
      </c>
      <c r="O189" s="5"/>
      <c r="P189" s="5">
        <f t="shared" si="31"/>
        <v>1</v>
      </c>
      <c r="Q189" s="7">
        <f t="shared" si="32"/>
        <v>1519</v>
      </c>
    </row>
    <row r="190" spans="1:21">
      <c r="A190" s="23" t="s">
        <v>218</v>
      </c>
      <c r="B190" s="35" t="s">
        <v>217</v>
      </c>
      <c r="C190" s="125">
        <v>52534</v>
      </c>
      <c r="D190" s="132">
        <v>3971111964</v>
      </c>
      <c r="E190" s="133">
        <f t="shared" si="39"/>
        <v>75591.273537137851</v>
      </c>
      <c r="F190" s="134">
        <v>2841943511</v>
      </c>
      <c r="G190" s="134">
        <f t="shared" si="40"/>
        <v>54097.222960368526</v>
      </c>
      <c r="H190" s="135"/>
      <c r="I190" s="136">
        <v>5.8975999999999997</v>
      </c>
      <c r="J190" s="134">
        <v>16760646.050473599</v>
      </c>
      <c r="K190" s="120">
        <f t="shared" si="41"/>
        <v>319.04378213106941</v>
      </c>
      <c r="L190" s="122">
        <f t="shared" si="28"/>
        <v>28419435.109999999</v>
      </c>
      <c r="M190" s="116">
        <f t="shared" si="29"/>
        <v>11658789.059526401</v>
      </c>
      <c r="N190" s="123">
        <f t="shared" si="30"/>
        <v>221.92844747261583</v>
      </c>
      <c r="O190" s="5"/>
      <c r="P190" s="5">
        <f t="shared" si="31"/>
        <v>1</v>
      </c>
      <c r="Q190" s="7">
        <f t="shared" si="32"/>
        <v>52534</v>
      </c>
    </row>
    <row r="191" spans="1:21">
      <c r="A191" s="23" t="s">
        <v>219</v>
      </c>
      <c r="B191" s="35" t="s">
        <v>217</v>
      </c>
      <c r="C191" s="125">
        <v>1178</v>
      </c>
      <c r="D191" s="132">
        <v>604517333</v>
      </c>
      <c r="E191" s="133">
        <f t="shared" si="39"/>
        <v>513172.60865874361</v>
      </c>
      <c r="F191" s="134">
        <v>467736000</v>
      </c>
      <c r="G191" s="134">
        <f t="shared" si="40"/>
        <v>397059.42275042448</v>
      </c>
      <c r="H191" s="135"/>
      <c r="I191" s="136">
        <v>2.3329</v>
      </c>
      <c r="J191" s="134">
        <v>1091181.3144</v>
      </c>
      <c r="K191" s="120">
        <f t="shared" si="41"/>
        <v>926.29992733446522</v>
      </c>
      <c r="L191" s="122">
        <f t="shared" si="28"/>
        <v>4677360</v>
      </c>
      <c r="M191" s="116">
        <f t="shared" si="29"/>
        <v>3586178.6856</v>
      </c>
      <c r="N191" s="123">
        <f t="shared" si="30"/>
        <v>3044.294300169779</v>
      </c>
      <c r="O191" s="5"/>
      <c r="P191" s="5">
        <f t="shared" si="31"/>
        <v>1</v>
      </c>
      <c r="Q191" s="7">
        <f t="shared" si="32"/>
        <v>1178</v>
      </c>
    </row>
    <row r="192" spans="1:21">
      <c r="A192" s="23" t="s">
        <v>220</v>
      </c>
      <c r="B192" s="35" t="s">
        <v>217</v>
      </c>
      <c r="C192" s="125">
        <v>3851</v>
      </c>
      <c r="D192" s="132">
        <v>1985895453</v>
      </c>
      <c r="E192" s="133">
        <f t="shared" si="39"/>
        <v>515683.0571280187</v>
      </c>
      <c r="F192" s="134">
        <v>1552856545</v>
      </c>
      <c r="G192" s="134">
        <f t="shared" si="40"/>
        <v>403234.62607115036</v>
      </c>
      <c r="H192" s="135"/>
      <c r="I192" s="136">
        <v>2.25</v>
      </c>
      <c r="J192" s="134">
        <v>3493927.2262499998</v>
      </c>
      <c r="K192" s="120">
        <f t="shared" si="41"/>
        <v>907.2779086600882</v>
      </c>
      <c r="L192" s="122">
        <f t="shared" si="28"/>
        <v>15528565.450000001</v>
      </c>
      <c r="M192" s="116">
        <f t="shared" si="29"/>
        <v>12034638.223750001</v>
      </c>
      <c r="N192" s="123">
        <f t="shared" si="30"/>
        <v>3125.0683520514153</v>
      </c>
      <c r="O192" s="5"/>
      <c r="P192" s="5">
        <f t="shared" si="31"/>
        <v>1</v>
      </c>
      <c r="Q192" s="7">
        <f t="shared" si="32"/>
        <v>3851</v>
      </c>
    </row>
    <row r="193" spans="1:21">
      <c r="A193" s="23" t="s">
        <v>221</v>
      </c>
      <c r="B193" s="35" t="s">
        <v>217</v>
      </c>
      <c r="C193" s="125">
        <v>13082</v>
      </c>
      <c r="D193" s="132">
        <v>1058353899</v>
      </c>
      <c r="E193" s="133">
        <f t="shared" si="39"/>
        <v>80901.536385873726</v>
      </c>
      <c r="F193" s="134">
        <v>716162293</v>
      </c>
      <c r="G193" s="134">
        <f t="shared" si="40"/>
        <v>54744.098226570859</v>
      </c>
      <c r="H193" s="135"/>
      <c r="I193" s="136">
        <v>5.9671000000000003</v>
      </c>
      <c r="J193" s="134">
        <v>4273412.0185603006</v>
      </c>
      <c r="K193" s="120">
        <f t="shared" si="41"/>
        <v>326.663508527771</v>
      </c>
      <c r="L193" s="122">
        <f t="shared" si="28"/>
        <v>7161622.9299999997</v>
      </c>
      <c r="M193" s="116">
        <f t="shared" si="29"/>
        <v>2888210.9114396991</v>
      </c>
      <c r="N193" s="123">
        <f t="shared" si="30"/>
        <v>220.77747373793756</v>
      </c>
      <c r="O193" s="5"/>
      <c r="P193" s="5">
        <f t="shared" si="31"/>
        <v>1</v>
      </c>
      <c r="Q193" s="7">
        <f t="shared" si="32"/>
        <v>13082</v>
      </c>
    </row>
    <row r="194" spans="1:21">
      <c r="A194" s="23" t="s">
        <v>478</v>
      </c>
      <c r="B194" s="35" t="s">
        <v>222</v>
      </c>
      <c r="C194" s="125">
        <v>6845</v>
      </c>
      <c r="D194" s="132">
        <v>5971767963</v>
      </c>
      <c r="E194" s="133">
        <f t="shared" si="39"/>
        <v>872427.75208181154</v>
      </c>
      <c r="F194" s="134">
        <v>5190471850</v>
      </c>
      <c r="G194" s="134">
        <f t="shared" si="40"/>
        <v>758286.61066471878</v>
      </c>
      <c r="H194" s="135"/>
      <c r="I194" s="136">
        <v>2.13</v>
      </c>
      <c r="J194" s="134">
        <v>11055705</v>
      </c>
      <c r="K194" s="120">
        <f t="shared" si="41"/>
        <v>1615.1504747991235</v>
      </c>
      <c r="L194" s="122">
        <f t="shared" si="28"/>
        <v>51904718.5</v>
      </c>
      <c r="M194" s="116">
        <f t="shared" si="29"/>
        <v>40849013.5</v>
      </c>
      <c r="N194" s="123">
        <f t="shared" si="30"/>
        <v>5967.7156318480647</v>
      </c>
      <c r="O194" s="5"/>
      <c r="P194" s="5">
        <f t="shared" si="31"/>
        <v>1</v>
      </c>
      <c r="Q194" s="7">
        <f t="shared" si="32"/>
        <v>6845</v>
      </c>
      <c r="S194" s="124">
        <f>SUM(D189:D194)</f>
        <v>14662976716</v>
      </c>
      <c r="T194" s="124">
        <f>SUM(F189:F194)</f>
        <v>11563623963</v>
      </c>
      <c r="U194" s="124">
        <f>SUM(J189:J194)</f>
        <v>38303501.825883895</v>
      </c>
    </row>
    <row r="195" spans="1:21">
      <c r="A195" s="23" t="s">
        <v>223</v>
      </c>
      <c r="B195" s="35" t="s">
        <v>224</v>
      </c>
      <c r="C195" s="125">
        <v>4746</v>
      </c>
      <c r="D195" s="132">
        <v>277486127</v>
      </c>
      <c r="E195" s="133">
        <f t="shared" si="39"/>
        <v>58467.367678044669</v>
      </c>
      <c r="F195" s="134">
        <v>198731320</v>
      </c>
      <c r="G195" s="134">
        <f t="shared" si="40"/>
        <v>41873.434471133587</v>
      </c>
      <c r="H195" s="135"/>
      <c r="I195" s="136">
        <v>4.5</v>
      </c>
      <c r="J195" s="134">
        <v>894290.94</v>
      </c>
      <c r="K195" s="120">
        <f t="shared" si="41"/>
        <v>188.43045512010113</v>
      </c>
      <c r="L195" s="122">
        <f t="shared" si="28"/>
        <v>1987313.2</v>
      </c>
      <c r="M195" s="116">
        <f t="shared" si="29"/>
        <v>1093022.26</v>
      </c>
      <c r="N195" s="123">
        <f t="shared" si="30"/>
        <v>230.30388959123474</v>
      </c>
      <c r="O195" s="5"/>
      <c r="P195" s="5">
        <f t="shared" si="31"/>
        <v>1</v>
      </c>
      <c r="Q195" s="7">
        <f t="shared" si="32"/>
        <v>4746</v>
      </c>
    </row>
    <row r="196" spans="1:21">
      <c r="A196" s="23" t="s">
        <v>225</v>
      </c>
      <c r="B196" s="35" t="s">
        <v>224</v>
      </c>
      <c r="C196" s="125">
        <v>1771</v>
      </c>
      <c r="D196" s="132">
        <v>206032961</v>
      </c>
      <c r="E196" s="133">
        <f t="shared" si="39"/>
        <v>116337.07566346697</v>
      </c>
      <c r="F196" s="134">
        <v>140827852</v>
      </c>
      <c r="G196" s="134">
        <f t="shared" si="40"/>
        <v>79518.832298136651</v>
      </c>
      <c r="H196" s="135"/>
      <c r="I196" s="136">
        <v>7.5</v>
      </c>
      <c r="J196" s="134">
        <v>1056208.8899999999</v>
      </c>
      <c r="K196" s="120">
        <f t="shared" si="41"/>
        <v>596.39124223602482</v>
      </c>
      <c r="L196" s="122">
        <f t="shared" si="28"/>
        <v>1408278.52</v>
      </c>
      <c r="M196" s="116">
        <f t="shared" si="29"/>
        <v>352069.63000000012</v>
      </c>
      <c r="N196" s="123">
        <f t="shared" si="30"/>
        <v>198.79708074534167</v>
      </c>
      <c r="O196" s="5"/>
      <c r="P196" s="5">
        <f t="shared" si="31"/>
        <v>1</v>
      </c>
      <c r="Q196" s="7">
        <f t="shared" si="32"/>
        <v>1771</v>
      </c>
    </row>
    <row r="197" spans="1:21">
      <c r="A197" s="23" t="s">
        <v>226</v>
      </c>
      <c r="B197" s="35" t="s">
        <v>224</v>
      </c>
      <c r="C197" s="125">
        <v>450</v>
      </c>
      <c r="D197" s="132">
        <v>30534629</v>
      </c>
      <c r="E197" s="133">
        <f t="shared" si="39"/>
        <v>67854.731111111105</v>
      </c>
      <c r="F197" s="134">
        <v>17152730</v>
      </c>
      <c r="G197" s="134">
        <f t="shared" si="40"/>
        <v>38117.177777777775</v>
      </c>
      <c r="H197" s="135"/>
      <c r="I197" s="136">
        <v>2.3174999999999999</v>
      </c>
      <c r="J197" s="134">
        <v>39751.451775000001</v>
      </c>
      <c r="K197" s="120">
        <f t="shared" si="41"/>
        <v>88.336559500000007</v>
      </c>
      <c r="L197" s="122">
        <f t="shared" si="28"/>
        <v>171527.30000000002</v>
      </c>
      <c r="M197" s="116">
        <f t="shared" si="29"/>
        <v>131775.84822500002</v>
      </c>
      <c r="N197" s="123">
        <f t="shared" si="30"/>
        <v>292.83521827777781</v>
      </c>
      <c r="O197" s="5"/>
      <c r="P197" s="5">
        <f t="shared" si="31"/>
        <v>1</v>
      </c>
      <c r="Q197" s="7">
        <f t="shared" si="32"/>
        <v>450</v>
      </c>
    </row>
    <row r="198" spans="1:21">
      <c r="A198" s="23" t="s">
        <v>227</v>
      </c>
      <c r="B198" s="35" t="s">
        <v>224</v>
      </c>
      <c r="C198" s="125">
        <v>58355</v>
      </c>
      <c r="D198" s="132">
        <v>5309298563</v>
      </c>
      <c r="E198" s="133">
        <f t="shared" si="39"/>
        <v>90982.753200239909</v>
      </c>
      <c r="F198" s="134">
        <v>3931773391</v>
      </c>
      <c r="G198" s="134">
        <f t="shared" si="40"/>
        <v>67376.803889983727</v>
      </c>
      <c r="H198" s="152"/>
      <c r="I198" s="136">
        <v>6.6177000000000001</v>
      </c>
      <c r="J198" s="134">
        <v>26019296.769620702</v>
      </c>
      <c r="K198" s="120">
        <f t="shared" si="41"/>
        <v>445.87947510274529</v>
      </c>
      <c r="L198" s="122">
        <f t="shared" ref="L198:L261" si="42">(F198*0.01)</f>
        <v>39317733.910000004</v>
      </c>
      <c r="M198" s="116">
        <f t="shared" ref="M198:M261" si="43">(L198-J198)</f>
        <v>13298437.140379302</v>
      </c>
      <c r="N198" s="123">
        <f t="shared" ref="N198:N261" si="44">(M198/C198)</f>
        <v>227.88856379709196</v>
      </c>
      <c r="O198" s="5"/>
      <c r="P198" s="5">
        <f t="shared" si="31"/>
        <v>1</v>
      </c>
      <c r="Q198" s="7">
        <f t="shared" si="32"/>
        <v>58355</v>
      </c>
    </row>
    <row r="199" spans="1:21">
      <c r="A199" s="23" t="s">
        <v>228</v>
      </c>
      <c r="B199" s="35" t="s">
        <v>224</v>
      </c>
      <c r="C199" s="125">
        <v>501</v>
      </c>
      <c r="D199" s="147" t="s">
        <v>564</v>
      </c>
      <c r="E199" s="133"/>
      <c r="F199" s="134"/>
      <c r="G199" s="134"/>
      <c r="H199" s="148" t="s">
        <v>588</v>
      </c>
      <c r="I199" s="136"/>
      <c r="J199" s="134"/>
      <c r="K199" s="120"/>
      <c r="L199" s="122">
        <f t="shared" si="42"/>
        <v>0</v>
      </c>
      <c r="M199" s="116">
        <f t="shared" si="43"/>
        <v>0</v>
      </c>
      <c r="N199" s="123">
        <f t="shared" si="44"/>
        <v>0</v>
      </c>
      <c r="O199" s="5"/>
      <c r="P199" s="5">
        <f t="shared" ref="P199:P262" si="45">IF(I199&gt;0,1,0)</f>
        <v>0</v>
      </c>
      <c r="Q199" s="7">
        <f t="shared" ref="Q199:Q262" si="46">IF(I199&gt;0,C199,0)</f>
        <v>0</v>
      </c>
      <c r="S199" s="124">
        <f>SUM(D195:D199)</f>
        <v>5823352280</v>
      </c>
      <c r="T199" s="124">
        <f>SUM(F195:F199)</f>
        <v>4288485293</v>
      </c>
      <c r="U199" s="124">
        <f>SUM(J195:J199)</f>
        <v>28009548.051395703</v>
      </c>
    </row>
    <row r="200" spans="1:21">
      <c r="A200" s="23" t="s">
        <v>229</v>
      </c>
      <c r="B200" s="35" t="s">
        <v>230</v>
      </c>
      <c r="C200" s="125">
        <v>810</v>
      </c>
      <c r="D200" s="132">
        <v>2459621511</v>
      </c>
      <c r="E200" s="133">
        <f t="shared" ref="E200:E231" si="47">(D200/C200)</f>
        <v>3036569.7666666666</v>
      </c>
      <c r="F200" s="134">
        <v>2086165883</v>
      </c>
      <c r="G200" s="134">
        <f t="shared" ref="G200:G231" si="48">(F200/C200)</f>
        <v>2575513.435802469</v>
      </c>
      <c r="H200" s="152"/>
      <c r="I200" s="136">
        <v>2.6126999999999998</v>
      </c>
      <c r="J200" s="134">
        <v>5450525.6025140993</v>
      </c>
      <c r="K200" s="120">
        <f t="shared" ref="K200:K231" si="49">(J200/C200)</f>
        <v>6729.0439537211105</v>
      </c>
      <c r="L200" s="122">
        <f t="shared" si="42"/>
        <v>20861658.830000002</v>
      </c>
      <c r="M200" s="116">
        <f t="shared" si="43"/>
        <v>15411133.227485903</v>
      </c>
      <c r="N200" s="123">
        <f t="shared" si="44"/>
        <v>19026.090404303584</v>
      </c>
      <c r="O200" s="5"/>
      <c r="P200" s="5">
        <f t="shared" si="45"/>
        <v>1</v>
      </c>
      <c r="Q200" s="7">
        <f t="shared" si="46"/>
        <v>810</v>
      </c>
    </row>
    <row r="201" spans="1:21">
      <c r="A201" s="24" t="s">
        <v>582</v>
      </c>
      <c r="B201" s="35" t="s">
        <v>230</v>
      </c>
      <c r="C201" s="125">
        <v>95</v>
      </c>
      <c r="D201" s="132">
        <v>26269201</v>
      </c>
      <c r="E201" s="133">
        <f t="shared" si="47"/>
        <v>276517.90526315791</v>
      </c>
      <c r="F201" s="134">
        <v>23251369</v>
      </c>
      <c r="G201" s="134">
        <f t="shared" si="48"/>
        <v>244751.25263157894</v>
      </c>
      <c r="H201" s="152"/>
      <c r="I201" s="150">
        <v>3.9813999999999998</v>
      </c>
      <c r="J201" s="134">
        <v>92573.000536599997</v>
      </c>
      <c r="K201" s="120">
        <f t="shared" si="49"/>
        <v>974.45263722736843</v>
      </c>
      <c r="L201" s="122">
        <f t="shared" si="42"/>
        <v>232513.69</v>
      </c>
      <c r="M201" s="116">
        <f t="shared" si="43"/>
        <v>139940.68946339999</v>
      </c>
      <c r="N201" s="123">
        <f t="shared" si="44"/>
        <v>1473.059889088421</v>
      </c>
      <c r="O201" s="5"/>
      <c r="P201" s="5">
        <f t="shared" si="45"/>
        <v>1</v>
      </c>
      <c r="Q201" s="7">
        <f t="shared" si="46"/>
        <v>95</v>
      </c>
    </row>
    <row r="202" spans="1:21">
      <c r="A202" s="23" t="s">
        <v>446</v>
      </c>
      <c r="B202" s="35" t="s">
        <v>230</v>
      </c>
      <c r="C202" s="125">
        <v>2000</v>
      </c>
      <c r="D202" s="132">
        <v>734234712</v>
      </c>
      <c r="E202" s="133">
        <f t="shared" si="47"/>
        <v>367117.35600000003</v>
      </c>
      <c r="F202" s="134">
        <v>598489099</v>
      </c>
      <c r="G202" s="134">
        <f t="shared" si="48"/>
        <v>299244.54950000002</v>
      </c>
      <c r="H202" s="152"/>
      <c r="I202" s="136">
        <v>2.87</v>
      </c>
      <c r="J202" s="134">
        <v>1717663.7141300002</v>
      </c>
      <c r="K202" s="120">
        <f t="shared" si="49"/>
        <v>858.83185706500012</v>
      </c>
      <c r="L202" s="122">
        <f t="shared" si="42"/>
        <v>5984890.9900000002</v>
      </c>
      <c r="M202" s="116">
        <f t="shared" si="43"/>
        <v>4267227.27587</v>
      </c>
      <c r="N202" s="123">
        <f t="shared" si="44"/>
        <v>2133.613637935</v>
      </c>
      <c r="O202" s="5"/>
      <c r="P202" s="5">
        <f t="shared" si="45"/>
        <v>1</v>
      </c>
      <c r="Q202" s="7">
        <f t="shared" si="46"/>
        <v>2000</v>
      </c>
    </row>
    <row r="203" spans="1:21">
      <c r="A203" s="24" t="s">
        <v>231</v>
      </c>
      <c r="B203" s="37" t="s">
        <v>230</v>
      </c>
      <c r="C203" s="125">
        <v>16110</v>
      </c>
      <c r="D203" s="132">
        <v>2437774256</v>
      </c>
      <c r="E203" s="133">
        <f t="shared" si="47"/>
        <v>151320.56213531969</v>
      </c>
      <c r="F203" s="134">
        <v>1627822090</v>
      </c>
      <c r="G203" s="134">
        <f t="shared" si="48"/>
        <v>101044.20173805091</v>
      </c>
      <c r="H203" s="152"/>
      <c r="I203" s="136">
        <v>4.5519999999999996</v>
      </c>
      <c r="J203" s="134">
        <v>7409846.1536799995</v>
      </c>
      <c r="K203" s="120">
        <f t="shared" si="49"/>
        <v>459.95320631160769</v>
      </c>
      <c r="L203" s="122">
        <f t="shared" si="42"/>
        <v>16278220.9</v>
      </c>
      <c r="M203" s="116">
        <f t="shared" si="43"/>
        <v>8868374.7463200018</v>
      </c>
      <c r="N203" s="123">
        <f t="shared" si="44"/>
        <v>550.48881106890144</v>
      </c>
      <c r="O203" s="5"/>
      <c r="P203" s="5">
        <f t="shared" si="45"/>
        <v>1</v>
      </c>
      <c r="Q203" s="7">
        <f t="shared" si="46"/>
        <v>16110</v>
      </c>
      <c r="S203" s="124">
        <f>SUM(D200:D203)</f>
        <v>5657899680</v>
      </c>
      <c r="T203" s="124">
        <f>SUM(F200:F203)</f>
        <v>4335728441</v>
      </c>
      <c r="U203" s="124">
        <f>SUM(J200:J203)</f>
        <v>14670608.470860699</v>
      </c>
    </row>
    <row r="204" spans="1:21">
      <c r="A204" s="23" t="s">
        <v>232</v>
      </c>
      <c r="B204" s="37" t="s">
        <v>233</v>
      </c>
      <c r="C204" s="125">
        <v>37473</v>
      </c>
      <c r="D204" s="132">
        <v>11069566462</v>
      </c>
      <c r="E204" s="133">
        <f t="shared" si="47"/>
        <v>295401.12779868173</v>
      </c>
      <c r="F204" s="134">
        <v>9009282682</v>
      </c>
      <c r="G204" s="134">
        <f t="shared" si="48"/>
        <v>240420.64104822138</v>
      </c>
      <c r="H204" s="152"/>
      <c r="I204" s="150">
        <v>1.7261</v>
      </c>
      <c r="J204" s="134">
        <v>15550922.8374002</v>
      </c>
      <c r="K204" s="120">
        <f t="shared" si="49"/>
        <v>414.9900685133349</v>
      </c>
      <c r="L204" s="122">
        <f t="shared" si="42"/>
        <v>90092826.820000008</v>
      </c>
      <c r="M204" s="116">
        <f t="shared" si="43"/>
        <v>74541903.98259981</v>
      </c>
      <c r="N204" s="123">
        <f t="shared" si="44"/>
        <v>1989.2163419688791</v>
      </c>
      <c r="O204" s="5"/>
      <c r="P204" s="5">
        <f t="shared" si="45"/>
        <v>1</v>
      </c>
      <c r="Q204" s="7">
        <f t="shared" si="46"/>
        <v>37473</v>
      </c>
    </row>
    <row r="205" spans="1:21">
      <c r="A205" s="23" t="s">
        <v>234</v>
      </c>
      <c r="B205" s="37" t="s">
        <v>233</v>
      </c>
      <c r="C205" s="125">
        <v>2778</v>
      </c>
      <c r="D205" s="132">
        <v>4835988137</v>
      </c>
      <c r="E205" s="133">
        <f t="shared" si="47"/>
        <v>1740816.4640028798</v>
      </c>
      <c r="F205" s="134">
        <v>4004652350</v>
      </c>
      <c r="G205" s="134">
        <f t="shared" si="48"/>
        <v>1441559.5212383009</v>
      </c>
      <c r="H205" s="152"/>
      <c r="I205" s="136">
        <v>1.9654</v>
      </c>
      <c r="J205" s="134">
        <v>7870743.7286900003</v>
      </c>
      <c r="K205" s="120">
        <f t="shared" si="49"/>
        <v>2833.2410830417566</v>
      </c>
      <c r="L205" s="122">
        <f t="shared" si="42"/>
        <v>40046523.5</v>
      </c>
      <c r="M205" s="116">
        <f t="shared" si="43"/>
        <v>32175779.771310002</v>
      </c>
      <c r="N205" s="123">
        <f t="shared" si="44"/>
        <v>11582.354129341253</v>
      </c>
      <c r="O205" s="5"/>
      <c r="P205" s="5">
        <f t="shared" si="45"/>
        <v>1</v>
      </c>
      <c r="Q205" s="7">
        <f t="shared" si="46"/>
        <v>2778</v>
      </c>
    </row>
    <row r="206" spans="1:21">
      <c r="A206" s="23" t="s">
        <v>235</v>
      </c>
      <c r="B206" s="37" t="s">
        <v>233</v>
      </c>
      <c r="C206" s="125">
        <v>5552</v>
      </c>
      <c r="D206" s="132">
        <v>1221533671</v>
      </c>
      <c r="E206" s="133">
        <f t="shared" si="47"/>
        <v>220016.8715778098</v>
      </c>
      <c r="F206" s="134">
        <v>772455773</v>
      </c>
      <c r="G206" s="134">
        <f t="shared" si="48"/>
        <v>139131.08303314121</v>
      </c>
      <c r="H206" s="152"/>
      <c r="I206" s="136">
        <v>4.55</v>
      </c>
      <c r="J206" s="134">
        <v>3514673.7671500002</v>
      </c>
      <c r="K206" s="120">
        <f t="shared" si="49"/>
        <v>633.04642780079257</v>
      </c>
      <c r="L206" s="122">
        <f t="shared" si="42"/>
        <v>7724557.7300000004</v>
      </c>
      <c r="M206" s="116">
        <f t="shared" si="43"/>
        <v>4209883.9628500007</v>
      </c>
      <c r="N206" s="123">
        <f t="shared" si="44"/>
        <v>758.26440253061969</v>
      </c>
      <c r="O206" s="5"/>
      <c r="P206" s="5">
        <f t="shared" si="45"/>
        <v>1</v>
      </c>
      <c r="Q206" s="7">
        <f t="shared" si="46"/>
        <v>5552</v>
      </c>
    </row>
    <row r="207" spans="1:21">
      <c r="A207" s="23" t="s">
        <v>236</v>
      </c>
      <c r="B207" s="37" t="s">
        <v>233</v>
      </c>
      <c r="C207" s="125">
        <v>3147</v>
      </c>
      <c r="D207" s="132">
        <v>291470756</v>
      </c>
      <c r="E207" s="133">
        <f t="shared" si="47"/>
        <v>92618.606927232278</v>
      </c>
      <c r="F207" s="134">
        <v>158735627</v>
      </c>
      <c r="G207" s="134">
        <f t="shared" si="48"/>
        <v>50440.300921512549</v>
      </c>
      <c r="H207" s="152"/>
      <c r="I207" s="136">
        <v>9.6999999999999993</v>
      </c>
      <c r="J207" s="134">
        <v>1539735.5818999999</v>
      </c>
      <c r="K207" s="120">
        <f t="shared" si="49"/>
        <v>489.27091893867168</v>
      </c>
      <c r="L207" s="122">
        <f t="shared" si="42"/>
        <v>1587356.27</v>
      </c>
      <c r="M207" s="116">
        <f t="shared" si="43"/>
        <v>47620.688100000145</v>
      </c>
      <c r="N207" s="123">
        <f t="shared" si="44"/>
        <v>15.132090276453811</v>
      </c>
      <c r="O207" s="5"/>
      <c r="P207" s="5">
        <f t="shared" si="45"/>
        <v>1</v>
      </c>
      <c r="Q207" s="7">
        <f t="shared" si="46"/>
        <v>3147</v>
      </c>
    </row>
    <row r="208" spans="1:21">
      <c r="A208" s="23" t="s">
        <v>237</v>
      </c>
      <c r="B208" s="37" t="s">
        <v>233</v>
      </c>
      <c r="C208" s="125">
        <v>49397</v>
      </c>
      <c r="D208" s="132">
        <v>19124490407</v>
      </c>
      <c r="E208" s="133">
        <f t="shared" si="47"/>
        <v>387158.94501690386</v>
      </c>
      <c r="F208" s="134">
        <v>13419426756</v>
      </c>
      <c r="G208" s="134">
        <f t="shared" si="48"/>
        <v>271664.81276190863</v>
      </c>
      <c r="H208" s="152"/>
      <c r="I208" s="136">
        <v>5.5590000000000002</v>
      </c>
      <c r="J208" s="134">
        <v>74598593.336603999</v>
      </c>
      <c r="K208" s="120">
        <f t="shared" si="49"/>
        <v>1510.1846941434501</v>
      </c>
      <c r="L208" s="122">
        <f t="shared" si="42"/>
        <v>134194267.56</v>
      </c>
      <c r="M208" s="116">
        <f t="shared" si="43"/>
        <v>59595674.223396003</v>
      </c>
      <c r="N208" s="123">
        <f t="shared" si="44"/>
        <v>1206.4634334756363</v>
      </c>
      <c r="O208" s="5"/>
      <c r="P208" s="5">
        <f t="shared" si="45"/>
        <v>1</v>
      </c>
      <c r="Q208" s="7">
        <f t="shared" si="46"/>
        <v>49397</v>
      </c>
    </row>
    <row r="209" spans="1:17">
      <c r="A209" s="23" t="s">
        <v>524</v>
      </c>
      <c r="B209" s="37" t="s">
        <v>233</v>
      </c>
      <c r="C209" s="125">
        <v>44109</v>
      </c>
      <c r="D209" s="132">
        <v>3299957804</v>
      </c>
      <c r="E209" s="133">
        <f t="shared" si="47"/>
        <v>74813.707043913935</v>
      </c>
      <c r="F209" s="134">
        <v>2048714043</v>
      </c>
      <c r="G209" s="134">
        <f t="shared" si="48"/>
        <v>46446.621845881789</v>
      </c>
      <c r="H209" s="152"/>
      <c r="I209" s="136">
        <v>2.3906999999999998</v>
      </c>
      <c r="J209" s="134">
        <v>4897860.6626000991</v>
      </c>
      <c r="K209" s="120">
        <f t="shared" si="49"/>
        <v>111.03993884694958</v>
      </c>
      <c r="L209" s="122">
        <f t="shared" si="42"/>
        <v>20487140.43</v>
      </c>
      <c r="M209" s="116">
        <f t="shared" si="43"/>
        <v>15589279.7673999</v>
      </c>
      <c r="N209" s="123">
        <f t="shared" si="44"/>
        <v>353.42627961186832</v>
      </c>
      <c r="O209" s="5"/>
      <c r="P209" s="5">
        <f t="shared" si="45"/>
        <v>1</v>
      </c>
      <c r="Q209" s="7">
        <f t="shared" si="46"/>
        <v>44109</v>
      </c>
    </row>
    <row r="210" spans="1:17">
      <c r="A210" s="23" t="s">
        <v>501</v>
      </c>
      <c r="B210" s="37" t="s">
        <v>233</v>
      </c>
      <c r="C210" s="125">
        <v>55660</v>
      </c>
      <c r="D210" s="132">
        <v>12192467394</v>
      </c>
      <c r="E210" s="133">
        <f t="shared" si="47"/>
        <v>219052.59421487604</v>
      </c>
      <c r="F210" s="134">
        <v>9884139731</v>
      </c>
      <c r="G210" s="134">
        <f t="shared" si="48"/>
        <v>177580.66351060008</v>
      </c>
      <c r="H210" s="152"/>
      <c r="I210" s="136">
        <v>1.9</v>
      </c>
      <c r="J210" s="134">
        <v>18779865.488899998</v>
      </c>
      <c r="K210" s="120">
        <f t="shared" si="49"/>
        <v>337.40326067014013</v>
      </c>
      <c r="L210" s="122">
        <f t="shared" si="42"/>
        <v>98841397.310000002</v>
      </c>
      <c r="M210" s="116">
        <f t="shared" si="43"/>
        <v>80061531.821099997</v>
      </c>
      <c r="N210" s="123">
        <f t="shared" si="44"/>
        <v>1438.4033744358605</v>
      </c>
      <c r="O210" s="5"/>
      <c r="P210" s="5">
        <f t="shared" si="45"/>
        <v>1</v>
      </c>
      <c r="Q210" s="7">
        <f t="shared" si="46"/>
        <v>55660</v>
      </c>
    </row>
    <row r="211" spans="1:17">
      <c r="A211" s="23" t="s">
        <v>238</v>
      </c>
      <c r="B211" s="37" t="s">
        <v>233</v>
      </c>
      <c r="C211" s="125">
        <v>2334</v>
      </c>
      <c r="D211" s="132">
        <v>212587227</v>
      </c>
      <c r="E211" s="133">
        <f t="shared" si="47"/>
        <v>91082.787917737791</v>
      </c>
      <c r="F211" s="134">
        <v>111402420</v>
      </c>
      <c r="G211" s="134">
        <f t="shared" si="48"/>
        <v>47730.257069408741</v>
      </c>
      <c r="H211" s="152"/>
      <c r="I211" s="136">
        <v>8.3000000000000007</v>
      </c>
      <c r="J211" s="134">
        <v>924640.08600000013</v>
      </c>
      <c r="K211" s="120">
        <f t="shared" si="49"/>
        <v>396.16113367609262</v>
      </c>
      <c r="L211" s="122">
        <f t="shared" si="42"/>
        <v>1114024.2</v>
      </c>
      <c r="M211" s="116">
        <f t="shared" si="43"/>
        <v>189384.11399999983</v>
      </c>
      <c r="N211" s="123">
        <f t="shared" si="44"/>
        <v>81.141437017994789</v>
      </c>
      <c r="O211" s="5"/>
      <c r="P211" s="5">
        <f t="shared" si="45"/>
        <v>1</v>
      </c>
      <c r="Q211" s="7">
        <f t="shared" si="46"/>
        <v>2334</v>
      </c>
    </row>
    <row r="212" spans="1:17">
      <c r="A212" s="23" t="s">
        <v>239</v>
      </c>
      <c r="B212" s="37" t="s">
        <v>233</v>
      </c>
      <c r="C212" s="125">
        <v>12577</v>
      </c>
      <c r="D212" s="132">
        <v>631885115</v>
      </c>
      <c r="E212" s="133">
        <f t="shared" si="47"/>
        <v>50241.32265246084</v>
      </c>
      <c r="F212" s="134">
        <v>415125488</v>
      </c>
      <c r="G212" s="134">
        <f t="shared" si="48"/>
        <v>33006.717659219212</v>
      </c>
      <c r="H212" s="152"/>
      <c r="I212" s="136">
        <v>7.1858000000000004</v>
      </c>
      <c r="J212" s="134">
        <v>2983008.7316704001</v>
      </c>
      <c r="K212" s="120">
        <f t="shared" si="49"/>
        <v>237.17967175561742</v>
      </c>
      <c r="L212" s="122">
        <f t="shared" si="42"/>
        <v>4151254.88</v>
      </c>
      <c r="M212" s="116">
        <f t="shared" si="43"/>
        <v>1168246.1483295998</v>
      </c>
      <c r="N212" s="123">
        <f t="shared" si="44"/>
        <v>92.887504836574678</v>
      </c>
      <c r="O212" s="5"/>
      <c r="P212" s="5">
        <f t="shared" si="45"/>
        <v>1</v>
      </c>
      <c r="Q212" s="7">
        <f t="shared" si="46"/>
        <v>12577</v>
      </c>
    </row>
    <row r="213" spans="1:17">
      <c r="A213" s="23" t="s">
        <v>240</v>
      </c>
      <c r="B213" s="37" t="s">
        <v>233</v>
      </c>
      <c r="C213" s="125">
        <v>928</v>
      </c>
      <c r="D213" s="132">
        <v>1221549682</v>
      </c>
      <c r="E213" s="133">
        <f t="shared" si="47"/>
        <v>1316325.0883620689</v>
      </c>
      <c r="F213" s="134">
        <v>838153380</v>
      </c>
      <c r="G213" s="134">
        <f t="shared" si="48"/>
        <v>903182.52155172417</v>
      </c>
      <c r="H213" s="152"/>
      <c r="I213" s="136">
        <v>7.2747999999999999</v>
      </c>
      <c r="J213" s="134">
        <v>6097398.2088240003</v>
      </c>
      <c r="K213" s="120">
        <f t="shared" si="49"/>
        <v>6570.4722077844835</v>
      </c>
      <c r="L213" s="122">
        <f t="shared" si="42"/>
        <v>8381533.7999999998</v>
      </c>
      <c r="M213" s="116">
        <f t="shared" si="43"/>
        <v>2284135.5911759995</v>
      </c>
      <c r="N213" s="123">
        <f t="shared" si="44"/>
        <v>2461.3530077327582</v>
      </c>
      <c r="O213" s="5"/>
      <c r="P213" s="5">
        <f t="shared" si="45"/>
        <v>1</v>
      </c>
      <c r="Q213" s="7">
        <f t="shared" si="46"/>
        <v>928</v>
      </c>
    </row>
    <row r="214" spans="1:17">
      <c r="A214" s="23" t="s">
        <v>241</v>
      </c>
      <c r="B214" s="37" t="s">
        <v>233</v>
      </c>
      <c r="C214" s="125">
        <v>233053</v>
      </c>
      <c r="D214" s="132">
        <v>12471075382</v>
      </c>
      <c r="E214" s="133">
        <f t="shared" si="47"/>
        <v>53511.756475994727</v>
      </c>
      <c r="F214" s="134">
        <v>7704740771</v>
      </c>
      <c r="G214" s="134">
        <f t="shared" si="48"/>
        <v>33060.036862859524</v>
      </c>
      <c r="H214" s="152"/>
      <c r="I214" s="136">
        <v>6.3018000000000001</v>
      </c>
      <c r="J214" s="134">
        <v>48553735.390687801</v>
      </c>
      <c r="K214" s="120">
        <f t="shared" si="49"/>
        <v>208.33774030236813</v>
      </c>
      <c r="L214" s="122">
        <f t="shared" si="42"/>
        <v>77047407.710000008</v>
      </c>
      <c r="M214" s="116">
        <f t="shared" si="43"/>
        <v>28493672.319312207</v>
      </c>
      <c r="N214" s="123">
        <f t="shared" si="44"/>
        <v>122.26262832622712</v>
      </c>
      <c r="O214" s="5"/>
      <c r="P214" s="5">
        <f t="shared" si="45"/>
        <v>1</v>
      </c>
      <c r="Q214" s="7">
        <f t="shared" si="46"/>
        <v>233053</v>
      </c>
    </row>
    <row r="215" spans="1:17">
      <c r="A215" s="23" t="s">
        <v>242</v>
      </c>
      <c r="B215" s="37" t="s">
        <v>233</v>
      </c>
      <c r="C215" s="125">
        <v>23004</v>
      </c>
      <c r="D215" s="132">
        <v>1694542224</v>
      </c>
      <c r="E215" s="133">
        <f t="shared" si="47"/>
        <v>73662.93792383933</v>
      </c>
      <c r="F215" s="134">
        <v>987105127</v>
      </c>
      <c r="G215" s="134">
        <f t="shared" si="48"/>
        <v>42910.151582333507</v>
      </c>
      <c r="H215" s="152"/>
      <c r="I215" s="136">
        <v>5.1612999999999998</v>
      </c>
      <c r="J215" s="134">
        <v>5094745.6919850996</v>
      </c>
      <c r="K215" s="120">
        <f t="shared" si="49"/>
        <v>221.47216536189791</v>
      </c>
      <c r="L215" s="122">
        <f t="shared" si="42"/>
        <v>9871051.2699999996</v>
      </c>
      <c r="M215" s="116">
        <f t="shared" si="43"/>
        <v>4776305.5780149</v>
      </c>
      <c r="N215" s="123">
        <f t="shared" si="44"/>
        <v>207.62935046143713</v>
      </c>
      <c r="O215" s="5"/>
      <c r="P215" s="5">
        <f t="shared" si="45"/>
        <v>1</v>
      </c>
      <c r="Q215" s="7">
        <f t="shared" si="46"/>
        <v>23004</v>
      </c>
    </row>
    <row r="216" spans="1:17">
      <c r="A216" s="23" t="s">
        <v>243</v>
      </c>
      <c r="B216" s="37" t="s">
        <v>233</v>
      </c>
      <c r="C216" s="125">
        <v>69533</v>
      </c>
      <c r="D216" s="132">
        <v>3424864296</v>
      </c>
      <c r="E216" s="133">
        <f t="shared" si="47"/>
        <v>49255.235585980758</v>
      </c>
      <c r="F216" s="134">
        <v>2103188251</v>
      </c>
      <c r="G216" s="134">
        <f t="shared" si="48"/>
        <v>30247.339407187956</v>
      </c>
      <c r="H216" s="152"/>
      <c r="I216" s="136">
        <v>5.9215</v>
      </c>
      <c r="J216" s="134">
        <v>12454029.2282965</v>
      </c>
      <c r="K216" s="120">
        <f t="shared" si="49"/>
        <v>179.10962029966348</v>
      </c>
      <c r="L216" s="122">
        <f t="shared" si="42"/>
        <v>21031882.510000002</v>
      </c>
      <c r="M216" s="116">
        <f t="shared" si="43"/>
        <v>8577853.2817035019</v>
      </c>
      <c r="N216" s="123">
        <f t="shared" si="44"/>
        <v>123.36377377221609</v>
      </c>
      <c r="O216" s="5"/>
      <c r="P216" s="5">
        <f t="shared" si="45"/>
        <v>1</v>
      </c>
      <c r="Q216" s="7">
        <f t="shared" si="46"/>
        <v>69533</v>
      </c>
    </row>
    <row r="217" spans="1:17">
      <c r="A217" s="23" t="s">
        <v>244</v>
      </c>
      <c r="B217" s="37" t="s">
        <v>233</v>
      </c>
      <c r="C217" s="125">
        <v>86</v>
      </c>
      <c r="D217" s="132">
        <v>779895812</v>
      </c>
      <c r="E217" s="133">
        <f t="shared" si="47"/>
        <v>9068555.9534883723</v>
      </c>
      <c r="F217" s="134">
        <v>494975882</v>
      </c>
      <c r="G217" s="134">
        <f t="shared" si="48"/>
        <v>5755533.5116279069</v>
      </c>
      <c r="H217" s="152"/>
      <c r="I217" s="136">
        <v>7.5</v>
      </c>
      <c r="J217" s="134">
        <v>3712319.1150000002</v>
      </c>
      <c r="K217" s="120">
        <f t="shared" si="49"/>
        <v>43166.501337209302</v>
      </c>
      <c r="L217" s="122">
        <f t="shared" si="42"/>
        <v>4949758.82</v>
      </c>
      <c r="M217" s="116">
        <f t="shared" si="43"/>
        <v>1237439.7050000001</v>
      </c>
      <c r="N217" s="123">
        <f t="shared" si="44"/>
        <v>14388.833779069768</v>
      </c>
      <c r="O217" s="5"/>
      <c r="P217" s="5">
        <f t="shared" si="45"/>
        <v>1</v>
      </c>
      <c r="Q217" s="7">
        <f t="shared" si="46"/>
        <v>86</v>
      </c>
    </row>
    <row r="218" spans="1:17">
      <c r="A218" s="23" t="s">
        <v>246</v>
      </c>
      <c r="B218" s="37" t="s">
        <v>233</v>
      </c>
      <c r="C218" s="125">
        <v>12684</v>
      </c>
      <c r="D218" s="132">
        <v>10065040928</v>
      </c>
      <c r="E218" s="133">
        <f t="shared" si="47"/>
        <v>793522.62125512457</v>
      </c>
      <c r="F218" s="134">
        <v>7674668645</v>
      </c>
      <c r="G218" s="134">
        <f t="shared" si="48"/>
        <v>605066.9067328918</v>
      </c>
      <c r="H218" s="152"/>
      <c r="I218" s="136">
        <v>3</v>
      </c>
      <c r="J218" s="134">
        <v>23024005.934999999</v>
      </c>
      <c r="K218" s="120">
        <f t="shared" si="49"/>
        <v>1815.2007201986753</v>
      </c>
      <c r="L218" s="122">
        <f t="shared" si="42"/>
        <v>76746686.450000003</v>
      </c>
      <c r="M218" s="116">
        <f t="shared" si="43"/>
        <v>53722680.515000001</v>
      </c>
      <c r="N218" s="123">
        <f t="shared" si="44"/>
        <v>4235.4683471302433</v>
      </c>
      <c r="O218" s="5"/>
      <c r="P218" s="5">
        <f t="shared" si="45"/>
        <v>1</v>
      </c>
      <c r="Q218" s="7">
        <f t="shared" si="46"/>
        <v>12684</v>
      </c>
    </row>
    <row r="219" spans="1:17">
      <c r="A219" s="23" t="s">
        <v>247</v>
      </c>
      <c r="B219" s="37" t="s">
        <v>233</v>
      </c>
      <c r="C219" s="125">
        <v>836</v>
      </c>
      <c r="D219" s="132">
        <v>1985849447</v>
      </c>
      <c r="E219" s="133">
        <f t="shared" si="47"/>
        <v>2375417.9988038279</v>
      </c>
      <c r="F219" s="134">
        <v>1797846651</v>
      </c>
      <c r="G219" s="134">
        <f t="shared" si="48"/>
        <v>2150534.2715311004</v>
      </c>
      <c r="H219" s="152"/>
      <c r="I219" s="136">
        <v>5.5791000000000004</v>
      </c>
      <c r="J219" s="134">
        <v>10030366.250594102</v>
      </c>
      <c r="K219" s="120">
        <f t="shared" si="49"/>
        <v>11998.045754299164</v>
      </c>
      <c r="L219" s="122">
        <f t="shared" si="42"/>
        <v>17978466.510000002</v>
      </c>
      <c r="M219" s="116">
        <f t="shared" si="43"/>
        <v>7948100.2594058998</v>
      </c>
      <c r="N219" s="123">
        <f t="shared" si="44"/>
        <v>9507.2969610118416</v>
      </c>
      <c r="O219" s="5"/>
      <c r="P219" s="5">
        <f t="shared" si="45"/>
        <v>1</v>
      </c>
      <c r="Q219" s="7">
        <f t="shared" si="46"/>
        <v>836</v>
      </c>
    </row>
    <row r="220" spans="1:17">
      <c r="A220" s="23" t="s">
        <v>248</v>
      </c>
      <c r="B220" s="37" t="s">
        <v>233</v>
      </c>
      <c r="C220" s="125">
        <v>439509</v>
      </c>
      <c r="D220" s="132">
        <v>60250044815</v>
      </c>
      <c r="E220" s="133">
        <f t="shared" si="47"/>
        <v>137084.89431388208</v>
      </c>
      <c r="F220" s="134">
        <v>38812457948</v>
      </c>
      <c r="G220" s="134">
        <f t="shared" si="48"/>
        <v>88308.676154526984</v>
      </c>
      <c r="H220" s="152"/>
      <c r="I220" s="136">
        <v>7.6464999999999996</v>
      </c>
      <c r="J220" s="134">
        <v>296779459.69938195</v>
      </c>
      <c r="K220" s="120">
        <f t="shared" si="49"/>
        <v>675.2522922155905</v>
      </c>
      <c r="L220" s="122">
        <f t="shared" si="42"/>
        <v>388124579.48000002</v>
      </c>
      <c r="M220" s="116">
        <f t="shared" si="43"/>
        <v>91345119.780618072</v>
      </c>
      <c r="N220" s="123">
        <f t="shared" si="44"/>
        <v>207.83446932967942</v>
      </c>
      <c r="O220" s="5"/>
      <c r="P220" s="5">
        <f t="shared" si="45"/>
        <v>1</v>
      </c>
      <c r="Q220" s="7">
        <f t="shared" si="46"/>
        <v>439509</v>
      </c>
    </row>
    <row r="221" spans="1:17">
      <c r="A221" s="23" t="s">
        <v>249</v>
      </c>
      <c r="B221" s="37" t="s">
        <v>233</v>
      </c>
      <c r="C221" s="125">
        <v>91714</v>
      </c>
      <c r="D221" s="132">
        <v>43094588545</v>
      </c>
      <c r="E221" s="133">
        <f t="shared" si="47"/>
        <v>469880.15510172927</v>
      </c>
      <c r="F221" s="134">
        <v>29885194492</v>
      </c>
      <c r="G221" s="134">
        <f t="shared" si="48"/>
        <v>325852.04540201061</v>
      </c>
      <c r="H221" s="152"/>
      <c r="I221" s="136">
        <v>5.7092000000000001</v>
      </c>
      <c r="J221" s="134">
        <v>170620552.39372641</v>
      </c>
      <c r="K221" s="120">
        <f t="shared" si="49"/>
        <v>1860.3544976091589</v>
      </c>
      <c r="L221" s="122">
        <f t="shared" si="42"/>
        <v>298851944.92000002</v>
      </c>
      <c r="M221" s="116">
        <f t="shared" si="43"/>
        <v>128231392.52627361</v>
      </c>
      <c r="N221" s="123">
        <f t="shared" si="44"/>
        <v>1398.1659564109473</v>
      </c>
      <c r="O221" s="5"/>
      <c r="P221" s="5">
        <f t="shared" si="45"/>
        <v>1</v>
      </c>
      <c r="Q221" s="7">
        <f t="shared" si="46"/>
        <v>91714</v>
      </c>
    </row>
    <row r="222" spans="1:17">
      <c r="A222" s="23" t="s">
        <v>500</v>
      </c>
      <c r="B222" s="37" t="s">
        <v>233</v>
      </c>
      <c r="C222" s="125">
        <v>109951</v>
      </c>
      <c r="D222" s="132">
        <v>5767647709</v>
      </c>
      <c r="E222" s="133">
        <f t="shared" si="47"/>
        <v>52456.527989740884</v>
      </c>
      <c r="F222" s="134">
        <v>3479258456</v>
      </c>
      <c r="G222" s="134">
        <f t="shared" si="48"/>
        <v>31643.718165364571</v>
      </c>
      <c r="H222" s="152"/>
      <c r="I222" s="136">
        <v>6.9363000000000001</v>
      </c>
      <c r="J222" s="134">
        <v>24133180.428352803</v>
      </c>
      <c r="K222" s="120">
        <f t="shared" si="49"/>
        <v>219.49032231041829</v>
      </c>
      <c r="L222" s="122">
        <f t="shared" si="42"/>
        <v>34792584.560000002</v>
      </c>
      <c r="M222" s="116">
        <f t="shared" si="43"/>
        <v>10659404.131647199</v>
      </c>
      <c r="N222" s="123">
        <f t="shared" si="44"/>
        <v>96.94685934322743</v>
      </c>
      <c r="O222" s="5"/>
      <c r="P222" s="5">
        <f t="shared" si="45"/>
        <v>1</v>
      </c>
      <c r="Q222" s="7">
        <f t="shared" si="46"/>
        <v>109951</v>
      </c>
    </row>
    <row r="223" spans="1:17">
      <c r="A223" s="23" t="s">
        <v>459</v>
      </c>
      <c r="B223" s="37" t="s">
        <v>233</v>
      </c>
      <c r="C223" s="125">
        <v>30209</v>
      </c>
      <c r="D223" s="132">
        <v>3899667697</v>
      </c>
      <c r="E223" s="133">
        <f t="shared" si="47"/>
        <v>129089.5990267801</v>
      </c>
      <c r="F223" s="134">
        <v>2641276279</v>
      </c>
      <c r="G223" s="134">
        <f t="shared" si="48"/>
        <v>87433.423118938066</v>
      </c>
      <c r="H223" s="152"/>
      <c r="I223" s="136">
        <v>2.3517999999999999</v>
      </c>
      <c r="J223" s="134">
        <v>6211753.5529522002</v>
      </c>
      <c r="K223" s="120">
        <f t="shared" si="49"/>
        <v>205.62592449111855</v>
      </c>
      <c r="L223" s="122">
        <f t="shared" si="42"/>
        <v>26412762.789999999</v>
      </c>
      <c r="M223" s="116">
        <f t="shared" si="43"/>
        <v>20201009.237047799</v>
      </c>
      <c r="N223" s="123">
        <f t="shared" si="44"/>
        <v>668.70830669826205</v>
      </c>
      <c r="O223" s="5"/>
      <c r="P223" s="5">
        <f t="shared" si="45"/>
        <v>1</v>
      </c>
      <c r="Q223" s="7">
        <f t="shared" si="46"/>
        <v>30209</v>
      </c>
    </row>
    <row r="224" spans="1:17">
      <c r="A224" s="23" t="s">
        <v>250</v>
      </c>
      <c r="B224" s="37" t="s">
        <v>233</v>
      </c>
      <c r="C224" s="125">
        <v>10806</v>
      </c>
      <c r="D224" s="132">
        <v>1686611719</v>
      </c>
      <c r="E224" s="133">
        <f t="shared" si="47"/>
        <v>156081.04007033131</v>
      </c>
      <c r="F224" s="134">
        <v>891028658</v>
      </c>
      <c r="G224" s="134">
        <f t="shared" si="48"/>
        <v>82456.844160651497</v>
      </c>
      <c r="H224" s="152"/>
      <c r="I224" s="136">
        <v>7.9</v>
      </c>
      <c r="J224" s="134">
        <v>7039126.3982000006</v>
      </c>
      <c r="K224" s="120">
        <f t="shared" si="49"/>
        <v>651.40906886914684</v>
      </c>
      <c r="L224" s="122">
        <f t="shared" si="42"/>
        <v>8910286.5800000001</v>
      </c>
      <c r="M224" s="116">
        <f t="shared" si="43"/>
        <v>1871160.1817999994</v>
      </c>
      <c r="N224" s="123">
        <f t="shared" si="44"/>
        <v>173.15937273736807</v>
      </c>
      <c r="O224" s="5"/>
      <c r="P224" s="5">
        <f t="shared" si="45"/>
        <v>1</v>
      </c>
      <c r="Q224" s="7">
        <f t="shared" si="46"/>
        <v>10806</v>
      </c>
    </row>
    <row r="225" spans="1:21">
      <c r="A225" s="23" t="s">
        <v>251</v>
      </c>
      <c r="B225" s="37" t="s">
        <v>233</v>
      </c>
      <c r="C225" s="125">
        <v>14089</v>
      </c>
      <c r="D225" s="132">
        <v>1453131770</v>
      </c>
      <c r="E225" s="133">
        <f t="shared" si="47"/>
        <v>103139.45418411527</v>
      </c>
      <c r="F225" s="134">
        <v>970949500</v>
      </c>
      <c r="G225" s="134">
        <f t="shared" si="48"/>
        <v>68915.430477677626</v>
      </c>
      <c r="H225" s="152"/>
      <c r="I225" s="136">
        <v>7.5</v>
      </c>
      <c r="J225" s="134">
        <v>7282121.25</v>
      </c>
      <c r="K225" s="120">
        <f t="shared" si="49"/>
        <v>516.86572858258216</v>
      </c>
      <c r="L225" s="122">
        <f t="shared" si="42"/>
        <v>9709495</v>
      </c>
      <c r="M225" s="116">
        <f t="shared" si="43"/>
        <v>2427373.75</v>
      </c>
      <c r="N225" s="123">
        <f t="shared" si="44"/>
        <v>172.28857619419406</v>
      </c>
      <c r="O225" s="5"/>
      <c r="P225" s="5">
        <f t="shared" si="45"/>
        <v>1</v>
      </c>
      <c r="Q225" s="7">
        <f t="shared" si="46"/>
        <v>14089</v>
      </c>
    </row>
    <row r="226" spans="1:21">
      <c r="A226" s="24" t="s">
        <v>599</v>
      </c>
      <c r="B226" s="37" t="s">
        <v>233</v>
      </c>
      <c r="C226" s="125">
        <v>8178</v>
      </c>
      <c r="D226" s="132">
        <v>1142264576</v>
      </c>
      <c r="E226" s="133">
        <f t="shared" si="47"/>
        <v>139675.29664954756</v>
      </c>
      <c r="F226" s="134">
        <v>824875351</v>
      </c>
      <c r="G226" s="134">
        <f t="shared" si="48"/>
        <v>100865.16886769381</v>
      </c>
      <c r="H226" s="152"/>
      <c r="I226" s="136">
        <v>5.3834</v>
      </c>
      <c r="J226" s="134">
        <v>4440633.9645733992</v>
      </c>
      <c r="K226" s="120">
        <f t="shared" si="49"/>
        <v>542.99755008234274</v>
      </c>
      <c r="L226" s="122">
        <f t="shared" si="42"/>
        <v>8248753.5099999998</v>
      </c>
      <c r="M226" s="116">
        <f t="shared" si="43"/>
        <v>3808119.5454266006</v>
      </c>
      <c r="N226" s="123">
        <f t="shared" si="44"/>
        <v>465.65413859459534</v>
      </c>
      <c r="O226" s="5"/>
      <c r="P226" s="5">
        <f t="shared" si="45"/>
        <v>1</v>
      </c>
      <c r="Q226" s="7">
        <f t="shared" si="46"/>
        <v>8178</v>
      </c>
    </row>
    <row r="227" spans="1:21">
      <c r="A227" s="23" t="s">
        <v>253</v>
      </c>
      <c r="B227" s="37" t="s">
        <v>233</v>
      </c>
      <c r="C227" s="125">
        <v>62380</v>
      </c>
      <c r="D227" s="132">
        <v>3880697919</v>
      </c>
      <c r="E227" s="133">
        <f t="shared" si="47"/>
        <v>62210.611077268353</v>
      </c>
      <c r="F227" s="134">
        <v>2356025708</v>
      </c>
      <c r="G227" s="134">
        <f t="shared" si="48"/>
        <v>37768.927669124721</v>
      </c>
      <c r="H227" s="152"/>
      <c r="I227" s="136">
        <v>7.9336000000000002</v>
      </c>
      <c r="J227" s="134">
        <v>18691765.556988802</v>
      </c>
      <c r="K227" s="120">
        <f t="shared" si="49"/>
        <v>299.64356455576791</v>
      </c>
      <c r="L227" s="122">
        <f t="shared" si="42"/>
        <v>23560257.080000002</v>
      </c>
      <c r="M227" s="116">
        <f t="shared" si="43"/>
        <v>4868491.5230112001</v>
      </c>
      <c r="N227" s="123">
        <f t="shared" si="44"/>
        <v>78.04571213547932</v>
      </c>
      <c r="O227" s="5"/>
      <c r="P227" s="5">
        <f t="shared" si="45"/>
        <v>1</v>
      </c>
      <c r="Q227" s="7">
        <f t="shared" si="46"/>
        <v>62380</v>
      </c>
    </row>
    <row r="228" spans="1:21">
      <c r="A228" s="23" t="s">
        <v>254</v>
      </c>
      <c r="B228" s="37" t="s">
        <v>233</v>
      </c>
      <c r="C228" s="125">
        <v>43533</v>
      </c>
      <c r="D228" s="132">
        <v>2885391053</v>
      </c>
      <c r="E228" s="133">
        <f t="shared" si="47"/>
        <v>66280.547010314011</v>
      </c>
      <c r="F228" s="134">
        <v>1942825797</v>
      </c>
      <c r="G228" s="134">
        <f t="shared" si="48"/>
        <v>44628.80566466818</v>
      </c>
      <c r="H228" s="152"/>
      <c r="I228" s="136">
        <v>6.6036000000000001</v>
      </c>
      <c r="J228" s="134">
        <v>12829644.433069201</v>
      </c>
      <c r="K228" s="120">
        <f t="shared" si="49"/>
        <v>294.71078108720286</v>
      </c>
      <c r="L228" s="122">
        <f t="shared" si="42"/>
        <v>19428257.969999999</v>
      </c>
      <c r="M228" s="116">
        <f t="shared" si="43"/>
        <v>6598613.5369307976</v>
      </c>
      <c r="N228" s="123">
        <f t="shared" si="44"/>
        <v>151.57727555947895</v>
      </c>
      <c r="O228" s="5"/>
      <c r="P228" s="5">
        <f t="shared" si="45"/>
        <v>1</v>
      </c>
      <c r="Q228" s="7">
        <f t="shared" si="46"/>
        <v>43533</v>
      </c>
    </row>
    <row r="229" spans="1:21">
      <c r="A229" s="23" t="s">
        <v>255</v>
      </c>
      <c r="B229" s="37" t="s">
        <v>233</v>
      </c>
      <c r="C229" s="125">
        <v>17528</v>
      </c>
      <c r="D229" s="132">
        <v>1022242565</v>
      </c>
      <c r="E229" s="133">
        <f t="shared" si="47"/>
        <v>58320.547980374256</v>
      </c>
      <c r="F229" s="134">
        <v>689327463</v>
      </c>
      <c r="G229" s="134">
        <f t="shared" si="48"/>
        <v>39327.217195344594</v>
      </c>
      <c r="H229" s="152"/>
      <c r="I229" s="136">
        <v>8.9</v>
      </c>
      <c r="J229" s="134">
        <v>6135014.4206999997</v>
      </c>
      <c r="K229" s="120">
        <f t="shared" si="49"/>
        <v>350.01223303856682</v>
      </c>
      <c r="L229" s="122">
        <f t="shared" si="42"/>
        <v>6893274.6299999999</v>
      </c>
      <c r="M229" s="116">
        <f t="shared" si="43"/>
        <v>758260.20930000022</v>
      </c>
      <c r="N229" s="123">
        <f t="shared" si="44"/>
        <v>43.259938914879065</v>
      </c>
      <c r="O229" s="5"/>
      <c r="P229" s="5">
        <f t="shared" si="45"/>
        <v>1</v>
      </c>
      <c r="Q229" s="7">
        <f t="shared" si="46"/>
        <v>17528</v>
      </c>
    </row>
    <row r="230" spans="1:21">
      <c r="A230" s="23" t="s">
        <v>493</v>
      </c>
      <c r="B230" s="37" t="s">
        <v>233</v>
      </c>
      <c r="C230" s="125">
        <v>23843</v>
      </c>
      <c r="D230" s="132">
        <v>3776314605</v>
      </c>
      <c r="E230" s="133">
        <f t="shared" si="47"/>
        <v>158382.52757622782</v>
      </c>
      <c r="F230" s="134">
        <v>2532599383</v>
      </c>
      <c r="G230" s="134">
        <f t="shared" si="48"/>
        <v>106219.82900641697</v>
      </c>
      <c r="H230" s="152"/>
      <c r="I230" s="136">
        <v>2.4470000000000001</v>
      </c>
      <c r="J230" s="134">
        <v>6197270.6902010003</v>
      </c>
      <c r="K230" s="120">
        <f t="shared" si="49"/>
        <v>259.91992157870237</v>
      </c>
      <c r="L230" s="122">
        <f t="shared" si="42"/>
        <v>25325993.830000002</v>
      </c>
      <c r="M230" s="116">
        <f t="shared" si="43"/>
        <v>19128723.139799003</v>
      </c>
      <c r="N230" s="123">
        <f t="shared" si="44"/>
        <v>802.27836848546758</v>
      </c>
      <c r="O230" s="5"/>
      <c r="P230" s="5">
        <f t="shared" si="45"/>
        <v>1</v>
      </c>
      <c r="Q230" s="7">
        <f t="shared" si="46"/>
        <v>23843</v>
      </c>
    </row>
    <row r="231" spans="1:21">
      <c r="A231" s="23" t="s">
        <v>256</v>
      </c>
      <c r="B231" s="37" t="s">
        <v>233</v>
      </c>
      <c r="C231" s="125">
        <v>18408</v>
      </c>
      <c r="D231" s="132">
        <v>5666572170</v>
      </c>
      <c r="E231" s="133">
        <f t="shared" si="47"/>
        <v>307832.0387874837</v>
      </c>
      <c r="F231" s="134">
        <v>4068760267</v>
      </c>
      <c r="G231" s="134">
        <f t="shared" si="48"/>
        <v>221032.17443502825</v>
      </c>
      <c r="H231" s="152"/>
      <c r="I231" s="136">
        <v>2.2999999999999998</v>
      </c>
      <c r="J231" s="134">
        <v>9358148.614099998</v>
      </c>
      <c r="K231" s="120">
        <f t="shared" si="49"/>
        <v>508.37400120056486</v>
      </c>
      <c r="L231" s="122">
        <f t="shared" si="42"/>
        <v>40687602.670000002</v>
      </c>
      <c r="M231" s="116">
        <f t="shared" si="43"/>
        <v>31329454.055900004</v>
      </c>
      <c r="N231" s="123">
        <f t="shared" si="44"/>
        <v>1701.9477431497178</v>
      </c>
      <c r="O231" s="5"/>
      <c r="P231" s="5">
        <f t="shared" si="45"/>
        <v>1</v>
      </c>
      <c r="Q231" s="7">
        <f t="shared" si="46"/>
        <v>18408</v>
      </c>
    </row>
    <row r="232" spans="1:21">
      <c r="A232" s="23" t="s">
        <v>257</v>
      </c>
      <c r="B232" s="37" t="s">
        <v>233</v>
      </c>
      <c r="C232" s="125">
        <v>13656</v>
      </c>
      <c r="D232" s="132">
        <v>2355163756</v>
      </c>
      <c r="E232" s="133">
        <f t="shared" ref="E232:E263" si="50">(D232/C232)</f>
        <v>172463.66110134739</v>
      </c>
      <c r="F232" s="134">
        <v>1548193418</v>
      </c>
      <c r="G232" s="134">
        <f t="shared" ref="G232:G263" si="51">(F232/C232)</f>
        <v>113370.929847686</v>
      </c>
      <c r="H232" s="152"/>
      <c r="I232" s="150">
        <v>4.3</v>
      </c>
      <c r="J232" s="134">
        <v>6657231.6973999999</v>
      </c>
      <c r="K232" s="120">
        <f t="shared" ref="K232:K263" si="52">(J232/C232)</f>
        <v>487.49499834504979</v>
      </c>
      <c r="L232" s="122">
        <f t="shared" si="42"/>
        <v>15481934.18</v>
      </c>
      <c r="M232" s="116">
        <f t="shared" si="43"/>
        <v>8824702.4825999998</v>
      </c>
      <c r="N232" s="123">
        <f t="shared" si="44"/>
        <v>646.21430013181021</v>
      </c>
      <c r="O232" s="5"/>
      <c r="P232" s="5">
        <f t="shared" si="45"/>
        <v>1</v>
      </c>
      <c r="Q232" s="7">
        <f t="shared" si="46"/>
        <v>13656</v>
      </c>
    </row>
    <row r="233" spans="1:21">
      <c r="A233" s="23" t="s">
        <v>258</v>
      </c>
      <c r="B233" s="37" t="s">
        <v>233</v>
      </c>
      <c r="C233" s="125">
        <v>21592</v>
      </c>
      <c r="D233" s="132">
        <v>10916487867</v>
      </c>
      <c r="E233" s="133">
        <f t="shared" si="50"/>
        <v>505580.20873471658</v>
      </c>
      <c r="F233" s="134">
        <v>8668688504</v>
      </c>
      <c r="G233" s="134">
        <f t="shared" si="51"/>
        <v>401476.86661726568</v>
      </c>
      <c r="H233" s="152"/>
      <c r="I233" s="136">
        <v>2.5</v>
      </c>
      <c r="J233" s="134">
        <v>21671721.260000002</v>
      </c>
      <c r="K233" s="120">
        <f t="shared" si="52"/>
        <v>1003.6921665431643</v>
      </c>
      <c r="L233" s="122">
        <f t="shared" si="42"/>
        <v>86686885.040000007</v>
      </c>
      <c r="M233" s="116">
        <f t="shared" si="43"/>
        <v>65015163.780000001</v>
      </c>
      <c r="N233" s="123">
        <f t="shared" si="44"/>
        <v>3011.0764996294924</v>
      </c>
      <c r="O233" s="5"/>
      <c r="P233" s="5">
        <f t="shared" si="45"/>
        <v>1</v>
      </c>
      <c r="Q233" s="7">
        <f t="shared" si="46"/>
        <v>21592</v>
      </c>
    </row>
    <row r="234" spans="1:21">
      <c r="A234" s="23" t="s">
        <v>259</v>
      </c>
      <c r="B234" s="37" t="s">
        <v>233</v>
      </c>
      <c r="C234" s="125">
        <v>5703</v>
      </c>
      <c r="D234" s="132">
        <v>2069175032</v>
      </c>
      <c r="E234" s="133">
        <f t="shared" si="50"/>
        <v>362822.20445379626</v>
      </c>
      <c r="F234" s="134">
        <v>1485151266</v>
      </c>
      <c r="G234" s="134">
        <f t="shared" si="51"/>
        <v>260415.79274066282</v>
      </c>
      <c r="H234" s="152"/>
      <c r="I234" s="136">
        <v>5.0293000000000001</v>
      </c>
      <c r="J234" s="134">
        <v>7469271.2620938001</v>
      </c>
      <c r="K234" s="120">
        <f t="shared" si="52"/>
        <v>1309.7091464306154</v>
      </c>
      <c r="L234" s="122">
        <f t="shared" si="42"/>
        <v>14851512.66</v>
      </c>
      <c r="M234" s="116">
        <f t="shared" si="43"/>
        <v>7382241.3979062</v>
      </c>
      <c r="N234" s="123">
        <f t="shared" si="44"/>
        <v>1294.4487809760126</v>
      </c>
      <c r="O234" s="5"/>
      <c r="P234" s="5">
        <f t="shared" si="45"/>
        <v>1</v>
      </c>
      <c r="Q234" s="7">
        <f t="shared" si="46"/>
        <v>5703</v>
      </c>
    </row>
    <row r="235" spans="1:21">
      <c r="A235" s="23" t="s">
        <v>260</v>
      </c>
      <c r="B235" s="37" t="s">
        <v>233</v>
      </c>
      <c r="C235" s="125">
        <v>20793</v>
      </c>
      <c r="D235" s="132">
        <v>1775602913</v>
      </c>
      <c r="E235" s="133">
        <f t="shared" si="50"/>
        <v>85394.263117395283</v>
      </c>
      <c r="F235" s="134">
        <v>1412715689</v>
      </c>
      <c r="G235" s="134">
        <f t="shared" si="51"/>
        <v>67941.888568268172</v>
      </c>
      <c r="H235" s="152"/>
      <c r="I235" s="136">
        <v>2.7492999999999999</v>
      </c>
      <c r="J235" s="134">
        <v>3883979.2437676997</v>
      </c>
      <c r="K235" s="120">
        <f t="shared" si="52"/>
        <v>186.79263424073966</v>
      </c>
      <c r="L235" s="122">
        <f t="shared" si="42"/>
        <v>14127156.890000001</v>
      </c>
      <c r="M235" s="116">
        <f t="shared" si="43"/>
        <v>10243177.646232301</v>
      </c>
      <c r="N235" s="123">
        <f t="shared" si="44"/>
        <v>492.62625144194209</v>
      </c>
      <c r="O235" s="5"/>
      <c r="P235" s="5">
        <f t="shared" si="45"/>
        <v>1</v>
      </c>
      <c r="Q235" s="7">
        <f t="shared" si="46"/>
        <v>20793</v>
      </c>
    </row>
    <row r="236" spans="1:21">
      <c r="A236" s="23" t="s">
        <v>261</v>
      </c>
      <c r="B236" s="35" t="s">
        <v>233</v>
      </c>
      <c r="C236" s="125">
        <v>2416</v>
      </c>
      <c r="D236" s="132">
        <v>300445003</v>
      </c>
      <c r="E236" s="133">
        <f t="shared" si="50"/>
        <v>124356.37541390728</v>
      </c>
      <c r="F236" s="134">
        <v>240624114</v>
      </c>
      <c r="G236" s="134">
        <f t="shared" si="51"/>
        <v>99596.073675496693</v>
      </c>
      <c r="H236" s="152"/>
      <c r="I236" s="150">
        <v>5.15</v>
      </c>
      <c r="J236" s="134">
        <v>1239214.1871000002</v>
      </c>
      <c r="K236" s="120">
        <f t="shared" si="52"/>
        <v>512.91977942880806</v>
      </c>
      <c r="L236" s="122">
        <f t="shared" si="42"/>
        <v>2406241.14</v>
      </c>
      <c r="M236" s="116">
        <f t="shared" si="43"/>
        <v>1167026.9528999999</v>
      </c>
      <c r="N236" s="123">
        <f t="shared" si="44"/>
        <v>483.04095732615889</v>
      </c>
      <c r="O236" s="5"/>
      <c r="P236" s="5">
        <f t="shared" si="45"/>
        <v>1</v>
      </c>
      <c r="Q236" s="7">
        <f t="shared" si="46"/>
        <v>2416</v>
      </c>
    </row>
    <row r="237" spans="1:21">
      <c r="A237" s="23" t="s">
        <v>262</v>
      </c>
      <c r="B237" s="35" t="s">
        <v>233</v>
      </c>
      <c r="C237" s="125">
        <v>6018</v>
      </c>
      <c r="D237" s="132">
        <v>496896596</v>
      </c>
      <c r="E237" s="133">
        <f t="shared" si="50"/>
        <v>82568.394150880689</v>
      </c>
      <c r="F237" s="134">
        <v>311815329</v>
      </c>
      <c r="G237" s="134">
        <f t="shared" si="51"/>
        <v>51813.780159521433</v>
      </c>
      <c r="H237" s="152"/>
      <c r="I237" s="136">
        <v>6.8857999999999997</v>
      </c>
      <c r="J237" s="134">
        <v>2147097.9924281999</v>
      </c>
      <c r="K237" s="120">
        <f t="shared" si="52"/>
        <v>356.77932742243269</v>
      </c>
      <c r="L237" s="122">
        <f t="shared" si="42"/>
        <v>3118153.29</v>
      </c>
      <c r="M237" s="116">
        <f t="shared" si="43"/>
        <v>971055.29757180018</v>
      </c>
      <c r="N237" s="123">
        <f t="shared" si="44"/>
        <v>161.35847417278168</v>
      </c>
      <c r="O237" s="5"/>
      <c r="P237" s="5">
        <f t="shared" si="45"/>
        <v>1</v>
      </c>
      <c r="Q237" s="7">
        <f t="shared" si="46"/>
        <v>6018</v>
      </c>
      <c r="S237" s="124">
        <f>SUM(D204:D237)</f>
        <v>236961711054</v>
      </c>
      <c r="T237" s="124">
        <f>SUM(F204:F237)</f>
        <v>164186381199</v>
      </c>
      <c r="U237" s="124">
        <f>SUM(J204:J237)</f>
        <v>852413831.0863378</v>
      </c>
    </row>
    <row r="238" spans="1:21">
      <c r="A238" s="23" t="s">
        <v>263</v>
      </c>
      <c r="B238" s="35" t="s">
        <v>264</v>
      </c>
      <c r="C238" s="125">
        <v>6199</v>
      </c>
      <c r="D238" s="132">
        <v>3652460517</v>
      </c>
      <c r="E238" s="133">
        <f t="shared" si="50"/>
        <v>589201.5675108888</v>
      </c>
      <c r="F238" s="134">
        <v>2842765711</v>
      </c>
      <c r="G238" s="134">
        <f t="shared" si="51"/>
        <v>458584.56380061299</v>
      </c>
      <c r="H238" s="135"/>
      <c r="I238" s="136">
        <v>2.6459000000000001</v>
      </c>
      <c r="J238" s="134">
        <v>7521673.7947349008</v>
      </c>
      <c r="K238" s="120">
        <f t="shared" si="52"/>
        <v>1213.3688973600422</v>
      </c>
      <c r="L238" s="122">
        <f t="shared" si="42"/>
        <v>28427657.109999999</v>
      </c>
      <c r="M238" s="116">
        <f t="shared" si="43"/>
        <v>20905983.315265097</v>
      </c>
      <c r="N238" s="123">
        <f t="shared" si="44"/>
        <v>3372.4767406460874</v>
      </c>
      <c r="O238" s="5"/>
      <c r="P238" s="5">
        <f t="shared" si="45"/>
        <v>1</v>
      </c>
      <c r="Q238" s="7">
        <f t="shared" si="46"/>
        <v>6199</v>
      </c>
    </row>
    <row r="239" spans="1:21">
      <c r="A239" s="23" t="s">
        <v>265</v>
      </c>
      <c r="B239" s="35" t="s">
        <v>264</v>
      </c>
      <c r="C239" s="125">
        <v>796</v>
      </c>
      <c r="D239" s="132">
        <v>693674533</v>
      </c>
      <c r="E239" s="133">
        <f t="shared" si="50"/>
        <v>871450.41834170849</v>
      </c>
      <c r="F239" s="134">
        <v>598209984</v>
      </c>
      <c r="G239" s="134">
        <f t="shared" si="51"/>
        <v>751520.08040201</v>
      </c>
      <c r="H239" s="135"/>
      <c r="I239" s="136">
        <v>2.2513000000000001</v>
      </c>
      <c r="J239" s="134">
        <v>1346750.1369792002</v>
      </c>
      <c r="K239" s="120">
        <f t="shared" si="52"/>
        <v>1691.8971570090455</v>
      </c>
      <c r="L239" s="122">
        <f t="shared" si="42"/>
        <v>5982099.8399999999</v>
      </c>
      <c r="M239" s="116">
        <f t="shared" si="43"/>
        <v>4635349.7030207999</v>
      </c>
      <c r="N239" s="123">
        <f t="shared" si="44"/>
        <v>5823.3036470110555</v>
      </c>
      <c r="O239" s="5"/>
      <c r="P239" s="5">
        <f t="shared" si="45"/>
        <v>1</v>
      </c>
      <c r="Q239" s="7">
        <f t="shared" si="46"/>
        <v>796</v>
      </c>
    </row>
    <row r="240" spans="1:21">
      <c r="A240" s="23" t="s">
        <v>266</v>
      </c>
      <c r="B240" s="35" t="s">
        <v>264</v>
      </c>
      <c r="C240" s="125">
        <v>24663</v>
      </c>
      <c r="D240" s="132">
        <v>10773131967</v>
      </c>
      <c r="E240" s="133">
        <f t="shared" si="50"/>
        <v>436813.52499695902</v>
      </c>
      <c r="F240" s="134">
        <v>5938794660</v>
      </c>
      <c r="G240" s="134">
        <f t="shared" si="51"/>
        <v>240797.73993431457</v>
      </c>
      <c r="H240" s="135"/>
      <c r="I240" s="136">
        <v>2.5908000000000002</v>
      </c>
      <c r="J240" s="134">
        <v>15386229.205128003</v>
      </c>
      <c r="K240" s="120">
        <f t="shared" si="52"/>
        <v>623.85878462182234</v>
      </c>
      <c r="L240" s="122">
        <f t="shared" si="42"/>
        <v>59387946.600000001</v>
      </c>
      <c r="M240" s="116">
        <f t="shared" si="43"/>
        <v>44001717.394871995</v>
      </c>
      <c r="N240" s="123">
        <f t="shared" si="44"/>
        <v>1784.1186147213232</v>
      </c>
      <c r="O240" s="5"/>
      <c r="P240" s="5">
        <f t="shared" si="45"/>
        <v>1</v>
      </c>
      <c r="Q240" s="7">
        <f t="shared" si="46"/>
        <v>24663</v>
      </c>
    </row>
    <row r="241" spans="1:21">
      <c r="A241" s="23" t="s">
        <v>267</v>
      </c>
      <c r="B241" s="35" t="s">
        <v>264</v>
      </c>
      <c r="C241" s="125">
        <v>183</v>
      </c>
      <c r="D241" s="132">
        <v>61284485</v>
      </c>
      <c r="E241" s="133">
        <f t="shared" si="50"/>
        <v>334887.89617486339</v>
      </c>
      <c r="F241" s="134">
        <v>49829480</v>
      </c>
      <c r="G241" s="134">
        <f t="shared" si="51"/>
        <v>272292.24043715844</v>
      </c>
      <c r="H241" s="135"/>
      <c r="I241" s="136">
        <v>2.5922999999999998</v>
      </c>
      <c r="J241" s="134">
        <v>129172.961004</v>
      </c>
      <c r="K241" s="120">
        <f t="shared" si="52"/>
        <v>705.86317488524594</v>
      </c>
      <c r="L241" s="122">
        <f t="shared" si="42"/>
        <v>498294.8</v>
      </c>
      <c r="M241" s="116">
        <f t="shared" si="43"/>
        <v>369121.83899600001</v>
      </c>
      <c r="N241" s="123">
        <f t="shared" si="44"/>
        <v>2017.0592294863388</v>
      </c>
      <c r="O241" s="5"/>
      <c r="P241" s="5">
        <f t="shared" si="45"/>
        <v>1</v>
      </c>
      <c r="Q241" s="7">
        <f t="shared" si="46"/>
        <v>183</v>
      </c>
    </row>
    <row r="242" spans="1:21">
      <c r="A242" s="23" t="s">
        <v>449</v>
      </c>
      <c r="B242" s="35" t="s">
        <v>264</v>
      </c>
      <c r="C242" s="125">
        <v>8439</v>
      </c>
      <c r="D242" s="132">
        <v>2677435774</v>
      </c>
      <c r="E242" s="133">
        <f t="shared" si="50"/>
        <v>317269.31792866456</v>
      </c>
      <c r="F242" s="134">
        <v>2003985004</v>
      </c>
      <c r="G242" s="134">
        <f t="shared" si="51"/>
        <v>237467.11743097522</v>
      </c>
      <c r="H242" s="135"/>
      <c r="I242" s="136">
        <v>2.2999999999999998</v>
      </c>
      <c r="J242" s="134">
        <v>4609165.5092000002</v>
      </c>
      <c r="K242" s="120">
        <f t="shared" si="52"/>
        <v>546.17437009124308</v>
      </c>
      <c r="L242" s="122">
        <f t="shared" si="42"/>
        <v>20039850.039999999</v>
      </c>
      <c r="M242" s="116">
        <f t="shared" si="43"/>
        <v>15430684.5308</v>
      </c>
      <c r="N242" s="123">
        <f t="shared" si="44"/>
        <v>1828.4968042185092</v>
      </c>
      <c r="O242" s="5"/>
      <c r="P242" s="5">
        <f t="shared" si="45"/>
        <v>1</v>
      </c>
      <c r="Q242" s="7">
        <f t="shared" si="46"/>
        <v>8439</v>
      </c>
      <c r="S242" s="124">
        <f>SUM(D238:D242)</f>
        <v>17857987276</v>
      </c>
      <c r="T242" s="124">
        <f>SUM(F238:F242)</f>
        <v>11433584839</v>
      </c>
      <c r="U242" s="124">
        <f>SUM(J238:J242)</f>
        <v>28992991.607046101</v>
      </c>
    </row>
    <row r="243" spans="1:21">
      <c r="A243" s="23" t="s">
        <v>268</v>
      </c>
      <c r="B243" s="35" t="s">
        <v>269</v>
      </c>
      <c r="C243" s="125">
        <v>1185</v>
      </c>
      <c r="D243" s="132">
        <v>116334613</v>
      </c>
      <c r="E243" s="133">
        <f t="shared" si="50"/>
        <v>98172.669198312229</v>
      </c>
      <c r="F243" s="134">
        <v>72537085</v>
      </c>
      <c r="G243" s="134">
        <f t="shared" si="51"/>
        <v>61212.72995780591</v>
      </c>
      <c r="H243" s="135"/>
      <c r="I243" s="136">
        <v>3.2151999999999998</v>
      </c>
      <c r="J243" s="134">
        <v>233221</v>
      </c>
      <c r="K243" s="120">
        <f t="shared" si="52"/>
        <v>196.81097046413501</v>
      </c>
      <c r="L243" s="122">
        <f t="shared" si="42"/>
        <v>725370.85</v>
      </c>
      <c r="M243" s="116">
        <f t="shared" si="43"/>
        <v>492149.85</v>
      </c>
      <c r="N243" s="123">
        <f t="shared" si="44"/>
        <v>415.31632911392404</v>
      </c>
      <c r="O243" s="5"/>
      <c r="P243" s="5">
        <f t="shared" si="45"/>
        <v>1</v>
      </c>
      <c r="Q243" s="7">
        <f t="shared" si="46"/>
        <v>1185</v>
      </c>
    </row>
    <row r="244" spans="1:21">
      <c r="A244" s="23" t="s">
        <v>270</v>
      </c>
      <c r="B244" s="35" t="s">
        <v>269</v>
      </c>
      <c r="C244" s="125">
        <v>11970</v>
      </c>
      <c r="D244" s="132">
        <v>2471332477</v>
      </c>
      <c r="E244" s="133">
        <f t="shared" si="50"/>
        <v>206460.52439431913</v>
      </c>
      <c r="F244" s="134">
        <v>1701526413</v>
      </c>
      <c r="G244" s="134">
        <f t="shared" si="51"/>
        <v>142149.24085213032</v>
      </c>
      <c r="H244" s="135"/>
      <c r="I244" s="136">
        <v>6.1021000000000001</v>
      </c>
      <c r="J244" s="134">
        <v>10382884.324767299</v>
      </c>
      <c r="K244" s="120">
        <f t="shared" si="52"/>
        <v>867.40888260378438</v>
      </c>
      <c r="L244" s="122">
        <f t="shared" si="42"/>
        <v>17015264.129999999</v>
      </c>
      <c r="M244" s="116">
        <f t="shared" si="43"/>
        <v>6632379.8052327</v>
      </c>
      <c r="N244" s="123">
        <f t="shared" si="44"/>
        <v>554.08352591751884</v>
      </c>
      <c r="O244" s="5"/>
      <c r="P244" s="5">
        <f t="shared" si="45"/>
        <v>1</v>
      </c>
      <c r="Q244" s="7">
        <f t="shared" si="46"/>
        <v>11970</v>
      </c>
    </row>
    <row r="245" spans="1:21">
      <c r="A245" s="23" t="s">
        <v>271</v>
      </c>
      <c r="B245" s="35" t="s">
        <v>269</v>
      </c>
      <c r="C245" s="125">
        <v>3032</v>
      </c>
      <c r="D245" s="132">
        <v>265780502</v>
      </c>
      <c r="E245" s="133">
        <f t="shared" si="50"/>
        <v>87658.47691292876</v>
      </c>
      <c r="F245" s="134">
        <v>78108089</v>
      </c>
      <c r="G245" s="134">
        <f t="shared" si="51"/>
        <v>25761.243073878628</v>
      </c>
      <c r="H245" s="135"/>
      <c r="I245" s="136">
        <v>0.54369999999999996</v>
      </c>
      <c r="J245" s="134">
        <v>42467</v>
      </c>
      <c r="K245" s="120">
        <f t="shared" si="52"/>
        <v>14.006266490765171</v>
      </c>
      <c r="L245" s="122">
        <f t="shared" si="42"/>
        <v>781080.89</v>
      </c>
      <c r="M245" s="116">
        <f t="shared" si="43"/>
        <v>738613.89</v>
      </c>
      <c r="N245" s="123">
        <f t="shared" si="44"/>
        <v>243.60616424802112</v>
      </c>
      <c r="O245" s="5"/>
      <c r="P245" s="5">
        <f t="shared" si="45"/>
        <v>1</v>
      </c>
      <c r="Q245" s="7">
        <f t="shared" si="46"/>
        <v>3032</v>
      </c>
      <c r="S245" s="124">
        <f>SUM(D243:D245)</f>
        <v>2853447592</v>
      </c>
      <c r="T245" s="124">
        <f>SUM(F243:F245)</f>
        <v>1852171587</v>
      </c>
      <c r="U245" s="124">
        <f>SUM(J243:J245)</f>
        <v>10658572.324767299</v>
      </c>
    </row>
    <row r="246" spans="1:21">
      <c r="A246" s="23" t="s">
        <v>272</v>
      </c>
      <c r="B246" s="35" t="s">
        <v>273</v>
      </c>
      <c r="C246" s="125">
        <v>397</v>
      </c>
      <c r="D246" s="132">
        <v>58478320</v>
      </c>
      <c r="E246" s="133">
        <f t="shared" si="50"/>
        <v>147300.55415617127</v>
      </c>
      <c r="F246" s="156">
        <v>48493246</v>
      </c>
      <c r="G246" s="134">
        <f t="shared" si="51"/>
        <v>122149.23425692695</v>
      </c>
      <c r="H246" s="135"/>
      <c r="I246" s="136">
        <v>3</v>
      </c>
      <c r="J246" s="134">
        <v>145480</v>
      </c>
      <c r="K246" s="120">
        <f t="shared" si="52"/>
        <v>366.448362720403</v>
      </c>
      <c r="L246" s="122">
        <f t="shared" si="42"/>
        <v>484932.46</v>
      </c>
      <c r="M246" s="116">
        <f t="shared" si="43"/>
        <v>339452.46</v>
      </c>
      <c r="N246" s="123">
        <f t="shared" si="44"/>
        <v>855.04397984886657</v>
      </c>
      <c r="O246" s="5"/>
      <c r="P246" s="5">
        <f t="shared" si="45"/>
        <v>1</v>
      </c>
      <c r="Q246" s="7">
        <f t="shared" si="46"/>
        <v>397</v>
      </c>
    </row>
    <row r="247" spans="1:21">
      <c r="A247" s="23" t="s">
        <v>274</v>
      </c>
      <c r="B247" s="35" t="s">
        <v>273</v>
      </c>
      <c r="C247" s="125">
        <v>23460</v>
      </c>
      <c r="D247" s="132">
        <v>1346156916</v>
      </c>
      <c r="E247" s="133">
        <f t="shared" si="50"/>
        <v>57380.942710997442</v>
      </c>
      <c r="F247" s="134">
        <v>953120230</v>
      </c>
      <c r="G247" s="134">
        <f t="shared" si="51"/>
        <v>40627.460784313727</v>
      </c>
      <c r="H247" s="135"/>
      <c r="I247" s="136">
        <v>6.9466000000000001</v>
      </c>
      <c r="J247" s="134">
        <v>6620944.9897180004</v>
      </c>
      <c r="K247" s="120">
        <f t="shared" si="52"/>
        <v>282.22271908431372</v>
      </c>
      <c r="L247" s="122">
        <f t="shared" si="42"/>
        <v>9531202.3000000007</v>
      </c>
      <c r="M247" s="116">
        <f t="shared" si="43"/>
        <v>2910257.3102820003</v>
      </c>
      <c r="N247" s="123">
        <f t="shared" si="44"/>
        <v>124.05188875882354</v>
      </c>
      <c r="O247" s="5"/>
      <c r="P247" s="5">
        <f t="shared" si="45"/>
        <v>1</v>
      </c>
      <c r="Q247" s="7">
        <f t="shared" si="46"/>
        <v>23460</v>
      </c>
    </row>
    <row r="248" spans="1:21">
      <c r="A248" s="23" t="s">
        <v>275</v>
      </c>
      <c r="B248" s="35" t="s">
        <v>273</v>
      </c>
      <c r="C248" s="125">
        <v>12730</v>
      </c>
      <c r="D248" s="132">
        <v>4895015435</v>
      </c>
      <c r="E248" s="133">
        <f t="shared" si="50"/>
        <v>384525.95718774549</v>
      </c>
      <c r="F248" s="134">
        <v>4285457573</v>
      </c>
      <c r="G248" s="134">
        <f t="shared" si="51"/>
        <v>336642.38593872741</v>
      </c>
      <c r="H248" s="152"/>
      <c r="I248" s="136">
        <v>1.5</v>
      </c>
      <c r="J248" s="134">
        <v>6428186.3595000003</v>
      </c>
      <c r="K248" s="120">
        <f t="shared" si="52"/>
        <v>504.96357890809116</v>
      </c>
      <c r="L248" s="122">
        <f t="shared" si="42"/>
        <v>42854575.730000004</v>
      </c>
      <c r="M248" s="116">
        <f t="shared" si="43"/>
        <v>36426389.370500006</v>
      </c>
      <c r="N248" s="123">
        <f t="shared" si="44"/>
        <v>2861.4602804791834</v>
      </c>
      <c r="O248" s="5"/>
      <c r="P248" s="5">
        <f t="shared" si="45"/>
        <v>1</v>
      </c>
      <c r="Q248" s="7">
        <f t="shared" si="46"/>
        <v>12730</v>
      </c>
    </row>
    <row r="249" spans="1:21">
      <c r="A249" s="23" t="s">
        <v>276</v>
      </c>
      <c r="B249" s="35" t="s">
        <v>273</v>
      </c>
      <c r="C249" s="125">
        <v>20869</v>
      </c>
      <c r="D249" s="132">
        <v>1739474102</v>
      </c>
      <c r="E249" s="133">
        <f t="shared" si="50"/>
        <v>83352.058172408841</v>
      </c>
      <c r="F249" s="134">
        <v>1185811078</v>
      </c>
      <c r="G249" s="134">
        <f t="shared" si="51"/>
        <v>56821.653073937421</v>
      </c>
      <c r="H249" s="152"/>
      <c r="I249" s="136">
        <v>5.7697000000000003</v>
      </c>
      <c r="J249" s="134">
        <v>6841774</v>
      </c>
      <c r="K249" s="120">
        <f t="shared" si="52"/>
        <v>327.84388327183859</v>
      </c>
      <c r="L249" s="122">
        <f t="shared" si="42"/>
        <v>11858110.779999999</v>
      </c>
      <c r="M249" s="116">
        <f t="shared" si="43"/>
        <v>5016336.7799999993</v>
      </c>
      <c r="N249" s="123">
        <f t="shared" si="44"/>
        <v>240.37264746753556</v>
      </c>
      <c r="O249" s="5"/>
      <c r="P249" s="5">
        <f t="shared" si="45"/>
        <v>1</v>
      </c>
      <c r="Q249" s="7">
        <f t="shared" si="46"/>
        <v>20869</v>
      </c>
    </row>
    <row r="250" spans="1:21">
      <c r="A250" s="23" t="s">
        <v>277</v>
      </c>
      <c r="B250" s="35" t="s">
        <v>273</v>
      </c>
      <c r="C250" s="125">
        <v>534</v>
      </c>
      <c r="D250" s="132">
        <v>28137248</v>
      </c>
      <c r="E250" s="133">
        <f t="shared" si="50"/>
        <v>52691.47565543071</v>
      </c>
      <c r="F250" s="134">
        <v>15111228</v>
      </c>
      <c r="G250" s="134">
        <f t="shared" si="51"/>
        <v>28298.1797752809</v>
      </c>
      <c r="H250" s="135"/>
      <c r="I250" s="150">
        <v>3.5</v>
      </c>
      <c r="J250" s="134">
        <v>52889</v>
      </c>
      <c r="K250" s="120">
        <f t="shared" si="52"/>
        <v>99.043071161048687</v>
      </c>
      <c r="L250" s="122">
        <f t="shared" si="42"/>
        <v>151112.28</v>
      </c>
      <c r="M250" s="116">
        <f t="shared" si="43"/>
        <v>98223.28</v>
      </c>
      <c r="N250" s="123">
        <f t="shared" si="44"/>
        <v>183.93872659176029</v>
      </c>
      <c r="O250" s="5"/>
      <c r="P250" s="5">
        <f t="shared" si="45"/>
        <v>1</v>
      </c>
      <c r="Q250" s="7">
        <f t="shared" si="46"/>
        <v>534</v>
      </c>
    </row>
    <row r="251" spans="1:21">
      <c r="A251" s="23" t="s">
        <v>278</v>
      </c>
      <c r="B251" s="35" t="s">
        <v>273</v>
      </c>
      <c r="C251" s="125">
        <v>3859</v>
      </c>
      <c r="D251" s="132">
        <v>376576793</v>
      </c>
      <c r="E251" s="133">
        <f t="shared" si="50"/>
        <v>97584.035501425242</v>
      </c>
      <c r="F251" s="134">
        <v>266854872</v>
      </c>
      <c r="G251" s="134">
        <f t="shared" si="51"/>
        <v>69151.301373412804</v>
      </c>
      <c r="H251" s="135"/>
      <c r="I251" s="136">
        <v>3.5</v>
      </c>
      <c r="J251" s="134">
        <v>933992</v>
      </c>
      <c r="K251" s="120">
        <f t="shared" si="52"/>
        <v>242.02954133195129</v>
      </c>
      <c r="L251" s="122">
        <f t="shared" si="42"/>
        <v>2668548.7200000002</v>
      </c>
      <c r="M251" s="116">
        <f t="shared" si="43"/>
        <v>1734556.7200000002</v>
      </c>
      <c r="N251" s="123">
        <f t="shared" si="44"/>
        <v>449.4834724021768</v>
      </c>
      <c r="O251" s="5"/>
      <c r="P251" s="5">
        <f t="shared" si="45"/>
        <v>1</v>
      </c>
      <c r="Q251" s="7">
        <f t="shared" si="46"/>
        <v>3859</v>
      </c>
    </row>
    <row r="252" spans="1:21">
      <c r="A252" s="23" t="s">
        <v>279</v>
      </c>
      <c r="B252" s="35" t="s">
        <v>273</v>
      </c>
      <c r="C252" s="125">
        <v>13774</v>
      </c>
      <c r="D252" s="132">
        <v>1352347374</v>
      </c>
      <c r="E252" s="133">
        <f t="shared" si="50"/>
        <v>98181.165529258025</v>
      </c>
      <c r="F252" s="134">
        <v>929684958</v>
      </c>
      <c r="G252" s="134">
        <f t="shared" si="51"/>
        <v>67495.640917670971</v>
      </c>
      <c r="H252" s="135"/>
      <c r="I252" s="136">
        <v>3.7</v>
      </c>
      <c r="J252" s="134">
        <v>3439834</v>
      </c>
      <c r="K252" s="120">
        <f t="shared" si="52"/>
        <v>249.73384637723245</v>
      </c>
      <c r="L252" s="122">
        <f t="shared" si="42"/>
        <v>9296849.5800000001</v>
      </c>
      <c r="M252" s="116">
        <f t="shared" si="43"/>
        <v>5857015.5800000001</v>
      </c>
      <c r="N252" s="123">
        <f t="shared" si="44"/>
        <v>425.22256279947726</v>
      </c>
      <c r="O252" s="5"/>
      <c r="P252" s="5">
        <f t="shared" si="45"/>
        <v>1</v>
      </c>
      <c r="Q252" s="7">
        <f t="shared" si="46"/>
        <v>13774</v>
      </c>
    </row>
    <row r="253" spans="1:21">
      <c r="A253" s="23" t="s">
        <v>280</v>
      </c>
      <c r="B253" s="35" t="s">
        <v>273</v>
      </c>
      <c r="C253" s="125">
        <v>741</v>
      </c>
      <c r="D253" s="132">
        <v>120288680</v>
      </c>
      <c r="E253" s="133">
        <f t="shared" si="50"/>
        <v>162332.90148448042</v>
      </c>
      <c r="F253" s="134">
        <v>90969339</v>
      </c>
      <c r="G253" s="134">
        <f t="shared" si="51"/>
        <v>122765.63967611337</v>
      </c>
      <c r="H253" s="135"/>
      <c r="I253" s="136">
        <v>2</v>
      </c>
      <c r="J253" s="134">
        <v>181939</v>
      </c>
      <c r="K253" s="120">
        <f t="shared" si="52"/>
        <v>245.53171390013495</v>
      </c>
      <c r="L253" s="122">
        <f t="shared" si="42"/>
        <v>909693.39</v>
      </c>
      <c r="M253" s="116">
        <f t="shared" si="43"/>
        <v>727754.39</v>
      </c>
      <c r="N253" s="123">
        <f t="shared" si="44"/>
        <v>982.12468286099863</v>
      </c>
      <c r="O253" s="5"/>
      <c r="P253" s="5">
        <f t="shared" si="45"/>
        <v>1</v>
      </c>
      <c r="Q253" s="7">
        <f t="shared" si="46"/>
        <v>741</v>
      </c>
    </row>
    <row r="254" spans="1:21">
      <c r="A254" s="23" t="s">
        <v>281</v>
      </c>
      <c r="B254" s="35" t="s">
        <v>273</v>
      </c>
      <c r="C254" s="125">
        <v>5254</v>
      </c>
      <c r="D254" s="132">
        <v>341243720</v>
      </c>
      <c r="E254" s="133">
        <f t="shared" si="50"/>
        <v>64949.318614389034</v>
      </c>
      <c r="F254" s="134">
        <v>197649757</v>
      </c>
      <c r="G254" s="134">
        <f t="shared" si="51"/>
        <v>37618.910734678342</v>
      </c>
      <c r="H254" s="135"/>
      <c r="I254" s="136">
        <v>5.024</v>
      </c>
      <c r="J254" s="134">
        <v>992992</v>
      </c>
      <c r="K254" s="120">
        <f t="shared" si="52"/>
        <v>188.99733536353256</v>
      </c>
      <c r="L254" s="122">
        <f t="shared" si="42"/>
        <v>1976497.57</v>
      </c>
      <c r="M254" s="116">
        <f t="shared" si="43"/>
        <v>983505.57000000007</v>
      </c>
      <c r="N254" s="123">
        <f t="shared" si="44"/>
        <v>187.19177198325087</v>
      </c>
      <c r="O254" s="5"/>
      <c r="P254" s="5">
        <f t="shared" si="45"/>
        <v>1</v>
      </c>
      <c r="Q254" s="7">
        <f t="shared" si="46"/>
        <v>5254</v>
      </c>
      <c r="S254" s="124">
        <f>SUM(D246:D254)</f>
        <v>10257718588</v>
      </c>
      <c r="T254" s="124">
        <f>SUM(F246:F254)</f>
        <v>7973152281</v>
      </c>
      <c r="U254" s="124">
        <f>SUM(J246:J254)</f>
        <v>25638031.349218</v>
      </c>
    </row>
    <row r="255" spans="1:21">
      <c r="A255" s="23" t="s">
        <v>282</v>
      </c>
      <c r="B255" s="35" t="s">
        <v>282</v>
      </c>
      <c r="C255" s="125">
        <v>5534</v>
      </c>
      <c r="D255" s="132">
        <v>355738748</v>
      </c>
      <c r="E255" s="133">
        <f t="shared" si="50"/>
        <v>64282.39031441995</v>
      </c>
      <c r="F255" s="134">
        <v>242725426</v>
      </c>
      <c r="G255" s="134">
        <f t="shared" si="51"/>
        <v>43860.756414889773</v>
      </c>
      <c r="H255" s="135"/>
      <c r="I255" s="136">
        <v>7.9931999999999999</v>
      </c>
      <c r="J255" s="134">
        <v>1940153</v>
      </c>
      <c r="K255" s="120">
        <f t="shared" si="52"/>
        <v>350.58782074448862</v>
      </c>
      <c r="L255" s="122">
        <f t="shared" si="42"/>
        <v>2427254.2600000002</v>
      </c>
      <c r="M255" s="116">
        <f t="shared" si="43"/>
        <v>487101.26000000024</v>
      </c>
      <c r="N255" s="123">
        <f t="shared" si="44"/>
        <v>88.019743404409155</v>
      </c>
      <c r="O255" s="5"/>
      <c r="P255" s="5">
        <f t="shared" si="45"/>
        <v>1</v>
      </c>
      <c r="Q255" s="7">
        <f t="shared" si="46"/>
        <v>5534</v>
      </c>
      <c r="S255" s="124">
        <f>SUM(D255)</f>
        <v>355738748</v>
      </c>
      <c r="T255" s="124">
        <f>SUM(F255)</f>
        <v>242725426</v>
      </c>
      <c r="U255" s="124">
        <f>SUM(J255)</f>
        <v>1940153</v>
      </c>
    </row>
    <row r="256" spans="1:21">
      <c r="A256" s="23" t="s">
        <v>283</v>
      </c>
      <c r="B256" s="35" t="s">
        <v>284</v>
      </c>
      <c r="C256" s="125">
        <v>46571</v>
      </c>
      <c r="D256" s="132">
        <v>3648882317</v>
      </c>
      <c r="E256" s="133">
        <f t="shared" si="50"/>
        <v>78350.954821670137</v>
      </c>
      <c r="F256" s="134">
        <v>2429479942</v>
      </c>
      <c r="G256" s="134">
        <f t="shared" si="51"/>
        <v>52167.227287367677</v>
      </c>
      <c r="H256" s="135"/>
      <c r="I256" s="136">
        <v>3.2875999999999999</v>
      </c>
      <c r="J256" s="134">
        <v>7987158.2573191999</v>
      </c>
      <c r="K256" s="120">
        <f t="shared" si="52"/>
        <v>171.50497642994998</v>
      </c>
      <c r="L256" s="122">
        <f t="shared" si="42"/>
        <v>24294799.420000002</v>
      </c>
      <c r="M256" s="116">
        <f t="shared" si="43"/>
        <v>16307641.162680801</v>
      </c>
      <c r="N256" s="123">
        <f t="shared" si="44"/>
        <v>350.1672964437268</v>
      </c>
      <c r="O256" s="5"/>
      <c r="P256" s="5">
        <f t="shared" si="45"/>
        <v>1</v>
      </c>
      <c r="Q256" s="7">
        <f t="shared" si="46"/>
        <v>46571</v>
      </c>
    </row>
    <row r="257" spans="1:21">
      <c r="A257" s="23" t="s">
        <v>285</v>
      </c>
      <c r="B257" s="35" t="s">
        <v>284</v>
      </c>
      <c r="C257" s="125">
        <v>15</v>
      </c>
      <c r="D257" s="132">
        <v>8720223370</v>
      </c>
      <c r="E257" s="133">
        <f t="shared" si="50"/>
        <v>581348224.66666663</v>
      </c>
      <c r="F257" s="134">
        <v>6755020166</v>
      </c>
      <c r="G257" s="134">
        <f t="shared" si="51"/>
        <v>450334677.73333335</v>
      </c>
      <c r="H257" s="135"/>
      <c r="I257" s="136">
        <v>1.0111000000000001</v>
      </c>
      <c r="J257" s="134">
        <v>6830000.8898426006</v>
      </c>
      <c r="K257" s="120">
        <f t="shared" si="52"/>
        <v>455333.39265617338</v>
      </c>
      <c r="L257" s="122">
        <f t="shared" si="42"/>
        <v>67550201.659999996</v>
      </c>
      <c r="M257" s="116">
        <f t="shared" si="43"/>
        <v>60720200.770157397</v>
      </c>
      <c r="N257" s="123">
        <f t="shared" si="44"/>
        <v>4048013.3846771596</v>
      </c>
      <c r="O257" s="5"/>
      <c r="P257" s="5">
        <f t="shared" si="45"/>
        <v>1</v>
      </c>
      <c r="Q257" s="7">
        <f t="shared" si="46"/>
        <v>15</v>
      </c>
    </row>
    <row r="258" spans="1:21">
      <c r="A258" s="23" t="s">
        <v>286</v>
      </c>
      <c r="B258" s="35" t="s">
        <v>284</v>
      </c>
      <c r="C258" s="125">
        <v>6464</v>
      </c>
      <c r="D258" s="132">
        <v>873093392</v>
      </c>
      <c r="E258" s="133">
        <f t="shared" si="50"/>
        <v>135070.14108910892</v>
      </c>
      <c r="F258" s="134">
        <v>613509013</v>
      </c>
      <c r="G258" s="134">
        <f t="shared" si="51"/>
        <v>94911.666615099006</v>
      </c>
      <c r="H258" s="135"/>
      <c r="I258" s="136">
        <v>4.4017999999999997</v>
      </c>
      <c r="J258" s="134">
        <v>2700543.9734234</v>
      </c>
      <c r="K258" s="120">
        <f t="shared" si="52"/>
        <v>417.78217410634284</v>
      </c>
      <c r="L258" s="122">
        <f t="shared" si="42"/>
        <v>6135090.1299999999</v>
      </c>
      <c r="M258" s="116">
        <f t="shared" si="43"/>
        <v>3434546.1565765999</v>
      </c>
      <c r="N258" s="123">
        <f t="shared" si="44"/>
        <v>531.33449204464728</v>
      </c>
      <c r="O258" s="5"/>
      <c r="P258" s="5">
        <f t="shared" si="45"/>
        <v>1</v>
      </c>
      <c r="Q258" s="7">
        <f t="shared" si="46"/>
        <v>6464</v>
      </c>
    </row>
    <row r="259" spans="1:21">
      <c r="A259" s="23" t="s">
        <v>287</v>
      </c>
      <c r="B259" s="35" t="s">
        <v>284</v>
      </c>
      <c r="C259" s="125">
        <v>2246</v>
      </c>
      <c r="D259" s="132">
        <v>255897698</v>
      </c>
      <c r="E259" s="133">
        <f t="shared" si="50"/>
        <v>113934.86108637578</v>
      </c>
      <c r="F259" s="134">
        <v>198395386</v>
      </c>
      <c r="G259" s="134">
        <f t="shared" si="51"/>
        <v>88332.76313446126</v>
      </c>
      <c r="H259" s="135"/>
      <c r="I259" s="136">
        <v>7.2938000000000001</v>
      </c>
      <c r="J259" s="134">
        <v>1447056.2664068001</v>
      </c>
      <c r="K259" s="120">
        <f t="shared" si="52"/>
        <v>644.28150775013364</v>
      </c>
      <c r="L259" s="122">
        <f t="shared" si="42"/>
        <v>1983953.86</v>
      </c>
      <c r="M259" s="116">
        <f t="shared" si="43"/>
        <v>536897.59359319997</v>
      </c>
      <c r="N259" s="123">
        <f t="shared" si="44"/>
        <v>239.04612359447907</v>
      </c>
      <c r="O259" s="5"/>
      <c r="P259" s="5">
        <f t="shared" si="45"/>
        <v>1</v>
      </c>
      <c r="Q259" s="7">
        <f t="shared" si="46"/>
        <v>2246</v>
      </c>
    </row>
    <row r="260" spans="1:21">
      <c r="A260" s="23" t="s">
        <v>288</v>
      </c>
      <c r="B260" s="35" t="s">
        <v>284</v>
      </c>
      <c r="C260" s="125">
        <v>2635</v>
      </c>
      <c r="D260" s="132">
        <v>387899552</v>
      </c>
      <c r="E260" s="133">
        <f t="shared" si="50"/>
        <v>147210.45616698291</v>
      </c>
      <c r="F260" s="134">
        <v>292198239</v>
      </c>
      <c r="G260" s="134">
        <f t="shared" si="51"/>
        <v>110891.17229601518</v>
      </c>
      <c r="H260" s="135"/>
      <c r="I260" s="136">
        <v>4.95</v>
      </c>
      <c r="J260" s="134">
        <v>1446381.28305</v>
      </c>
      <c r="K260" s="120">
        <f t="shared" si="52"/>
        <v>548.91130286527516</v>
      </c>
      <c r="L260" s="122">
        <f t="shared" si="42"/>
        <v>2921982.39</v>
      </c>
      <c r="M260" s="116">
        <f t="shared" si="43"/>
        <v>1475601.1069500002</v>
      </c>
      <c r="N260" s="123">
        <f t="shared" si="44"/>
        <v>560.00042009487674</v>
      </c>
      <c r="O260" s="5"/>
      <c r="P260" s="5">
        <f t="shared" si="45"/>
        <v>1</v>
      </c>
      <c r="Q260" s="7">
        <f t="shared" si="46"/>
        <v>2635</v>
      </c>
    </row>
    <row r="261" spans="1:21">
      <c r="A261" s="23" t="s">
        <v>289</v>
      </c>
      <c r="B261" s="35" t="s">
        <v>284</v>
      </c>
      <c r="C261" s="125">
        <v>22</v>
      </c>
      <c r="D261" s="132">
        <v>2454453423</v>
      </c>
      <c r="E261" s="133">
        <f t="shared" si="50"/>
        <v>111566064.68181819</v>
      </c>
      <c r="F261" s="134">
        <v>2071263651</v>
      </c>
      <c r="G261" s="134">
        <f t="shared" si="51"/>
        <v>94148347.772727266</v>
      </c>
      <c r="H261" s="135"/>
      <c r="I261" s="136">
        <v>1.1178999999999999</v>
      </c>
      <c r="J261" s="134">
        <v>2315465.6354529001</v>
      </c>
      <c r="K261" s="120">
        <f t="shared" si="52"/>
        <v>105248.43797513182</v>
      </c>
      <c r="L261" s="122">
        <f t="shared" si="42"/>
        <v>20712636.510000002</v>
      </c>
      <c r="M261" s="116">
        <f t="shared" si="43"/>
        <v>18397170.874547102</v>
      </c>
      <c r="N261" s="123">
        <f t="shared" si="44"/>
        <v>836235.03975214099</v>
      </c>
      <c r="O261" s="5"/>
      <c r="P261" s="5">
        <f t="shared" si="45"/>
        <v>1</v>
      </c>
      <c r="Q261" s="7">
        <f t="shared" si="46"/>
        <v>22</v>
      </c>
    </row>
    <row r="262" spans="1:21">
      <c r="A262" s="23" t="s">
        <v>290</v>
      </c>
      <c r="B262" s="35" t="s">
        <v>284</v>
      </c>
      <c r="C262" s="125">
        <v>17007</v>
      </c>
      <c r="D262" s="132">
        <v>2939923517</v>
      </c>
      <c r="E262" s="133">
        <f t="shared" si="50"/>
        <v>172865.49755982831</v>
      </c>
      <c r="F262" s="134">
        <v>2210503480</v>
      </c>
      <c r="G262" s="134">
        <f t="shared" si="51"/>
        <v>129976.09690127595</v>
      </c>
      <c r="H262" s="135"/>
      <c r="I262" s="136">
        <v>4.1500000000000004</v>
      </c>
      <c r="J262" s="134">
        <v>9173589.4419999998</v>
      </c>
      <c r="K262" s="120">
        <f t="shared" si="52"/>
        <v>539.40080214029513</v>
      </c>
      <c r="L262" s="122">
        <f t="shared" ref="L262:L325" si="53">(F262*0.01)</f>
        <v>22105034.800000001</v>
      </c>
      <c r="M262" s="116">
        <f t="shared" ref="M262:M325" si="54">(L262-J262)</f>
        <v>12931445.358000001</v>
      </c>
      <c r="N262" s="123">
        <f t="shared" ref="N262:N325" si="55">(M262/C262)</f>
        <v>760.36016687246433</v>
      </c>
      <c r="O262" s="5"/>
      <c r="P262" s="5">
        <f t="shared" si="45"/>
        <v>1</v>
      </c>
      <c r="Q262" s="7">
        <f t="shared" si="46"/>
        <v>17007</v>
      </c>
    </row>
    <row r="263" spans="1:21">
      <c r="A263" s="23" t="s">
        <v>291</v>
      </c>
      <c r="B263" s="35" t="s">
        <v>284</v>
      </c>
      <c r="C263" s="125">
        <v>2624</v>
      </c>
      <c r="D263" s="132">
        <v>300951822</v>
      </c>
      <c r="E263" s="133">
        <f t="shared" si="50"/>
        <v>114692.00533536586</v>
      </c>
      <c r="F263" s="134">
        <v>213507004</v>
      </c>
      <c r="G263" s="134">
        <f t="shared" si="51"/>
        <v>81366.998475609755</v>
      </c>
      <c r="H263" s="135"/>
      <c r="I263" s="136">
        <v>6.75</v>
      </c>
      <c r="J263" s="134">
        <v>1441172.277</v>
      </c>
      <c r="K263" s="120">
        <f t="shared" si="52"/>
        <v>549.22723971036589</v>
      </c>
      <c r="L263" s="122">
        <f t="shared" si="53"/>
        <v>2135070.04</v>
      </c>
      <c r="M263" s="116">
        <f t="shared" si="54"/>
        <v>693897.76300000004</v>
      </c>
      <c r="N263" s="123">
        <f t="shared" si="55"/>
        <v>264.44274504573173</v>
      </c>
      <c r="O263" s="5"/>
      <c r="P263" s="5">
        <f t="shared" ref="P263:P326" si="56">IF(I263&gt;0,1,0)</f>
        <v>1</v>
      </c>
      <c r="Q263" s="7">
        <f t="shared" ref="Q263:Q326" si="57">IF(I263&gt;0,C263,0)</f>
        <v>2624</v>
      </c>
    </row>
    <row r="264" spans="1:21">
      <c r="A264" s="23" t="s">
        <v>292</v>
      </c>
      <c r="B264" s="35" t="s">
        <v>284</v>
      </c>
      <c r="C264" s="125">
        <v>40171</v>
      </c>
      <c r="D264" s="132">
        <v>2980465443</v>
      </c>
      <c r="E264" s="133">
        <f t="shared" ref="E264:E275" si="58">(D264/C264)</f>
        <v>74194.454780812026</v>
      </c>
      <c r="F264" s="134">
        <v>1943220005</v>
      </c>
      <c r="G264" s="134">
        <f t="shared" ref="G264:G275" si="59">(F264/C264)</f>
        <v>48373.702546613225</v>
      </c>
      <c r="H264" s="135"/>
      <c r="I264" s="136">
        <v>5.9104000000000001</v>
      </c>
      <c r="J264" s="134">
        <v>11485207.517552</v>
      </c>
      <c r="K264" s="120">
        <f t="shared" ref="K264:K275" si="60">(J264/C264)</f>
        <v>285.90793153150281</v>
      </c>
      <c r="L264" s="122">
        <f t="shared" si="53"/>
        <v>19432200.050000001</v>
      </c>
      <c r="M264" s="116">
        <f t="shared" si="54"/>
        <v>7946992.5324480012</v>
      </c>
      <c r="N264" s="123">
        <f t="shared" si="55"/>
        <v>197.8290939346295</v>
      </c>
      <c r="O264" s="5"/>
      <c r="P264" s="5">
        <f t="shared" si="56"/>
        <v>1</v>
      </c>
      <c r="Q264" s="7">
        <f t="shared" si="57"/>
        <v>40171</v>
      </c>
    </row>
    <row r="265" spans="1:21">
      <c r="A265" s="23" t="s">
        <v>293</v>
      </c>
      <c r="B265" s="35" t="s">
        <v>284</v>
      </c>
      <c r="C265" s="125">
        <v>262949</v>
      </c>
      <c r="D265" s="132">
        <v>37961782032</v>
      </c>
      <c r="E265" s="133">
        <f t="shared" si="58"/>
        <v>144369.37212919616</v>
      </c>
      <c r="F265" s="134">
        <v>22676173745</v>
      </c>
      <c r="G265" s="134">
        <f t="shared" si="59"/>
        <v>86237.9158886324</v>
      </c>
      <c r="H265" s="135"/>
      <c r="I265" s="136">
        <v>6.65</v>
      </c>
      <c r="J265" s="134">
        <v>150796555.40425</v>
      </c>
      <c r="K265" s="120">
        <f t="shared" si="60"/>
        <v>573.48214065940545</v>
      </c>
      <c r="L265" s="122">
        <f t="shared" si="53"/>
        <v>226761737.45000002</v>
      </c>
      <c r="M265" s="116">
        <f t="shared" si="54"/>
        <v>75965182.045750022</v>
      </c>
      <c r="N265" s="123">
        <f t="shared" si="55"/>
        <v>288.89701822691859</v>
      </c>
      <c r="O265" s="5"/>
      <c r="P265" s="5">
        <f t="shared" si="56"/>
        <v>1</v>
      </c>
      <c r="Q265" s="7">
        <f t="shared" si="57"/>
        <v>262949</v>
      </c>
    </row>
    <row r="266" spans="1:21">
      <c r="A266" s="23" t="s">
        <v>294</v>
      </c>
      <c r="B266" s="35" t="s">
        <v>284</v>
      </c>
      <c r="C266" s="125">
        <v>2869</v>
      </c>
      <c r="D266" s="132">
        <v>776517410</v>
      </c>
      <c r="E266" s="133">
        <f t="shared" si="58"/>
        <v>270657.86336702685</v>
      </c>
      <c r="F266" s="134">
        <v>587688233</v>
      </c>
      <c r="G266" s="134">
        <f t="shared" si="59"/>
        <v>204840.79226211223</v>
      </c>
      <c r="H266" s="135"/>
      <c r="I266" s="136">
        <v>3.25</v>
      </c>
      <c r="J266" s="134">
        <v>1909986.75725</v>
      </c>
      <c r="K266" s="120">
        <f t="shared" si="60"/>
        <v>665.7325748518648</v>
      </c>
      <c r="L266" s="122">
        <f t="shared" si="53"/>
        <v>5876882.3300000001</v>
      </c>
      <c r="M266" s="116">
        <f t="shared" si="54"/>
        <v>3966895.5727500003</v>
      </c>
      <c r="N266" s="123">
        <f t="shared" si="55"/>
        <v>1382.6753477692578</v>
      </c>
      <c r="O266" s="5"/>
      <c r="P266" s="5">
        <f t="shared" si="56"/>
        <v>1</v>
      </c>
      <c r="Q266" s="7">
        <f t="shared" si="57"/>
        <v>2869</v>
      </c>
    </row>
    <row r="267" spans="1:21">
      <c r="A267" s="23" t="s">
        <v>295</v>
      </c>
      <c r="B267" s="35" t="s">
        <v>284</v>
      </c>
      <c r="C267" s="125">
        <v>39871</v>
      </c>
      <c r="D267" s="132">
        <v>3431108127</v>
      </c>
      <c r="E267" s="133">
        <f t="shared" si="58"/>
        <v>86055.231295929378</v>
      </c>
      <c r="F267" s="134">
        <v>2443009911</v>
      </c>
      <c r="G267" s="134">
        <f t="shared" si="59"/>
        <v>61272.852725038247</v>
      </c>
      <c r="H267" s="135"/>
      <c r="I267" s="136">
        <v>4.25</v>
      </c>
      <c r="J267" s="134">
        <v>10382792.121750001</v>
      </c>
      <c r="K267" s="120">
        <f t="shared" si="60"/>
        <v>260.40962408141257</v>
      </c>
      <c r="L267" s="122">
        <f t="shared" si="53"/>
        <v>24430099.109999999</v>
      </c>
      <c r="M267" s="116">
        <f t="shared" si="54"/>
        <v>14047306.988249999</v>
      </c>
      <c r="N267" s="123">
        <f t="shared" si="55"/>
        <v>352.31890316896988</v>
      </c>
      <c r="O267" s="5"/>
      <c r="P267" s="5">
        <f t="shared" si="56"/>
        <v>1</v>
      </c>
      <c r="Q267" s="7">
        <f t="shared" si="57"/>
        <v>39871</v>
      </c>
    </row>
    <row r="268" spans="1:21">
      <c r="A268" s="23" t="s">
        <v>296</v>
      </c>
      <c r="B268" s="35" t="s">
        <v>284</v>
      </c>
      <c r="C268" s="125">
        <v>28967</v>
      </c>
      <c r="D268" s="132">
        <v>6717600344</v>
      </c>
      <c r="E268" s="133">
        <f t="shared" si="58"/>
        <v>231905.28339144544</v>
      </c>
      <c r="F268" s="134">
        <v>4528431471</v>
      </c>
      <c r="G268" s="134">
        <f t="shared" si="59"/>
        <v>156330.70290330375</v>
      </c>
      <c r="H268" s="135"/>
      <c r="I268" s="136">
        <v>4.0922999999999998</v>
      </c>
      <c r="J268" s="134">
        <v>18531700.108773299</v>
      </c>
      <c r="K268" s="120">
        <f t="shared" si="60"/>
        <v>639.75213549118996</v>
      </c>
      <c r="L268" s="122">
        <f t="shared" si="53"/>
        <v>45284314.710000001</v>
      </c>
      <c r="M268" s="116">
        <f t="shared" si="54"/>
        <v>26752614.601226702</v>
      </c>
      <c r="N268" s="123">
        <f t="shared" si="55"/>
        <v>923.55489354184772</v>
      </c>
      <c r="O268" s="5"/>
      <c r="P268" s="5">
        <f t="shared" si="56"/>
        <v>1</v>
      </c>
      <c r="Q268" s="7">
        <f t="shared" si="57"/>
        <v>28967</v>
      </c>
      <c r="S268" s="124">
        <f>SUM(D256:D268)</f>
        <v>71448798447</v>
      </c>
      <c r="T268" s="124">
        <f>SUM(F256:F268)</f>
        <v>46962400246</v>
      </c>
      <c r="U268" s="124">
        <f>SUM(J256:J268)</f>
        <v>226447609.9340702</v>
      </c>
    </row>
    <row r="269" spans="1:21">
      <c r="A269" s="23" t="s">
        <v>297</v>
      </c>
      <c r="B269" s="35" t="s">
        <v>298</v>
      </c>
      <c r="C269" s="125">
        <v>66592</v>
      </c>
      <c r="D269" s="132">
        <v>3983667291</v>
      </c>
      <c r="E269" s="133">
        <f t="shared" si="58"/>
        <v>59822.010016218162</v>
      </c>
      <c r="F269" s="134">
        <v>2601797566</v>
      </c>
      <c r="G269" s="134">
        <f t="shared" si="59"/>
        <v>39070.722699423357</v>
      </c>
      <c r="H269" s="135"/>
      <c r="I269" s="136">
        <v>4.6253000000000002</v>
      </c>
      <c r="J269" s="134">
        <v>12034094.2820198</v>
      </c>
      <c r="K269" s="120">
        <f t="shared" si="60"/>
        <v>180.71381370164283</v>
      </c>
      <c r="L269" s="122">
        <f t="shared" si="53"/>
        <v>26017975.66</v>
      </c>
      <c r="M269" s="116">
        <f t="shared" si="54"/>
        <v>13983881.377980201</v>
      </c>
      <c r="N269" s="123">
        <f t="shared" si="55"/>
        <v>209.9934132925907</v>
      </c>
      <c r="O269" s="5"/>
      <c r="P269" s="5">
        <f t="shared" si="56"/>
        <v>1</v>
      </c>
      <c r="Q269" s="7">
        <f t="shared" si="57"/>
        <v>66592</v>
      </c>
    </row>
    <row r="270" spans="1:21">
      <c r="A270" s="24" t="s">
        <v>546</v>
      </c>
      <c r="B270" s="35" t="s">
        <v>298</v>
      </c>
      <c r="C270" s="125">
        <v>41316</v>
      </c>
      <c r="D270" s="132">
        <v>2656637212</v>
      </c>
      <c r="E270" s="133">
        <f t="shared" si="58"/>
        <v>64300.445638493562</v>
      </c>
      <c r="F270" s="134">
        <v>1470783214</v>
      </c>
      <c r="G270" s="134">
        <f t="shared" si="59"/>
        <v>35598.393213282987</v>
      </c>
      <c r="H270" s="135"/>
      <c r="I270" s="136">
        <v>5.1128</v>
      </c>
      <c r="J270" s="134">
        <v>7519820.4165391997</v>
      </c>
      <c r="K270" s="120">
        <f t="shared" si="60"/>
        <v>182.00746482087325</v>
      </c>
      <c r="L270" s="122">
        <f t="shared" si="53"/>
        <v>14707832.140000001</v>
      </c>
      <c r="M270" s="116">
        <f t="shared" si="54"/>
        <v>7188011.7234608009</v>
      </c>
      <c r="N270" s="123">
        <f t="shared" si="55"/>
        <v>173.97646731195664</v>
      </c>
      <c r="O270" s="5"/>
      <c r="P270" s="5">
        <f t="shared" si="56"/>
        <v>1</v>
      </c>
      <c r="Q270" s="7">
        <f t="shared" si="57"/>
        <v>41316</v>
      </c>
      <c r="S270" s="124">
        <f>SUM(D269:D270)</f>
        <v>6640304503</v>
      </c>
      <c r="T270" s="124">
        <f>SUM(F269:F270)</f>
        <v>4072580780</v>
      </c>
      <c r="U270" s="124">
        <f>SUM(J269:J270)</f>
        <v>19553914.698559001</v>
      </c>
    </row>
    <row r="271" spans="1:21">
      <c r="A271" s="23" t="s">
        <v>299</v>
      </c>
      <c r="B271" s="35" t="s">
        <v>300</v>
      </c>
      <c r="C271" s="125">
        <v>2001</v>
      </c>
      <c r="D271" s="132">
        <v>546965913</v>
      </c>
      <c r="E271" s="133">
        <f t="shared" si="58"/>
        <v>273346.28335832083</v>
      </c>
      <c r="F271" s="134">
        <v>446503171</v>
      </c>
      <c r="G271" s="134">
        <f t="shared" si="59"/>
        <v>223140.01549225388</v>
      </c>
      <c r="H271" s="135"/>
      <c r="I271" s="136">
        <v>7.9</v>
      </c>
      <c r="J271" s="134">
        <v>3527375.0509000001</v>
      </c>
      <c r="K271" s="120">
        <f t="shared" si="60"/>
        <v>1762.8061223888058</v>
      </c>
      <c r="L271" s="122">
        <f t="shared" si="53"/>
        <v>4465031.71</v>
      </c>
      <c r="M271" s="116">
        <f t="shared" si="54"/>
        <v>937656.65909999982</v>
      </c>
      <c r="N271" s="123">
        <f t="shared" si="55"/>
        <v>468.59403253373301</v>
      </c>
      <c r="O271" s="5"/>
      <c r="P271" s="5">
        <f t="shared" si="56"/>
        <v>1</v>
      </c>
      <c r="Q271" s="7">
        <f t="shared" si="57"/>
        <v>2001</v>
      </c>
    </row>
    <row r="272" spans="1:21">
      <c r="A272" s="23" t="s">
        <v>301</v>
      </c>
      <c r="B272" s="35" t="s">
        <v>300</v>
      </c>
      <c r="C272" s="125">
        <v>17448</v>
      </c>
      <c r="D272" s="132">
        <v>549209843</v>
      </c>
      <c r="E272" s="133">
        <f t="shared" si="58"/>
        <v>31476.951111875285</v>
      </c>
      <c r="F272" s="134">
        <v>295162553</v>
      </c>
      <c r="G272" s="134">
        <f t="shared" si="59"/>
        <v>16916.698360843649</v>
      </c>
      <c r="H272" s="135"/>
      <c r="I272" s="136">
        <v>6.5419</v>
      </c>
      <c r="J272" s="134">
        <v>1930923.9054707</v>
      </c>
      <c r="K272" s="120">
        <f t="shared" si="60"/>
        <v>110.66734900680308</v>
      </c>
      <c r="L272" s="122">
        <f t="shared" si="53"/>
        <v>2951625.5300000003</v>
      </c>
      <c r="M272" s="116">
        <f t="shared" si="54"/>
        <v>1020701.6245293003</v>
      </c>
      <c r="N272" s="123">
        <f t="shared" si="55"/>
        <v>58.499634601633439</v>
      </c>
      <c r="O272" s="5"/>
      <c r="P272" s="5">
        <f t="shared" si="56"/>
        <v>1</v>
      </c>
      <c r="Q272" s="7">
        <f t="shared" si="57"/>
        <v>17448</v>
      </c>
    </row>
    <row r="273" spans="1:17">
      <c r="A273" s="23" t="s">
        <v>302</v>
      </c>
      <c r="B273" s="35" t="s">
        <v>300</v>
      </c>
      <c r="C273" s="125">
        <v>87766</v>
      </c>
      <c r="D273" s="132">
        <v>25921918181</v>
      </c>
      <c r="E273" s="133">
        <f t="shared" si="58"/>
        <v>295352.62152769865</v>
      </c>
      <c r="F273" s="134">
        <v>19554448622</v>
      </c>
      <c r="G273" s="134">
        <f t="shared" si="59"/>
        <v>222802.09445571178</v>
      </c>
      <c r="H273" s="152"/>
      <c r="I273" s="136">
        <v>3.4216000000000002</v>
      </c>
      <c r="J273" s="134">
        <v>66907501.405035205</v>
      </c>
      <c r="K273" s="120">
        <f t="shared" si="60"/>
        <v>762.33964638966347</v>
      </c>
      <c r="L273" s="122">
        <f t="shared" si="53"/>
        <v>195544486.22</v>
      </c>
      <c r="M273" s="116">
        <f t="shared" si="54"/>
        <v>128636984.8149648</v>
      </c>
      <c r="N273" s="123">
        <f t="shared" si="55"/>
        <v>1465.6812981674543</v>
      </c>
      <c r="O273" s="5"/>
      <c r="P273" s="5">
        <f t="shared" si="56"/>
        <v>1</v>
      </c>
      <c r="Q273" s="7">
        <f t="shared" si="57"/>
        <v>87766</v>
      </c>
    </row>
    <row r="274" spans="1:17">
      <c r="A274" s="23" t="s">
        <v>303</v>
      </c>
      <c r="B274" s="35" t="s">
        <v>300</v>
      </c>
      <c r="C274" s="125">
        <v>72784</v>
      </c>
      <c r="D274" s="132">
        <v>6774286041</v>
      </c>
      <c r="E274" s="133">
        <f t="shared" si="58"/>
        <v>93073.835472081773</v>
      </c>
      <c r="F274" s="134">
        <v>4642286893</v>
      </c>
      <c r="G274" s="134">
        <f t="shared" si="59"/>
        <v>63781.695056605844</v>
      </c>
      <c r="H274" s="152"/>
      <c r="I274" s="136">
        <v>7.9</v>
      </c>
      <c r="J274" s="134">
        <v>36674066.454700008</v>
      </c>
      <c r="K274" s="120">
        <f t="shared" si="60"/>
        <v>503.8753909471863</v>
      </c>
      <c r="L274" s="122">
        <f t="shared" si="53"/>
        <v>46422868.93</v>
      </c>
      <c r="M274" s="116">
        <f t="shared" si="54"/>
        <v>9748802.4752999917</v>
      </c>
      <c r="N274" s="123">
        <f t="shared" si="55"/>
        <v>133.94155961887216</v>
      </c>
      <c r="O274" s="5"/>
      <c r="P274" s="5">
        <f t="shared" si="56"/>
        <v>1</v>
      </c>
      <c r="Q274" s="7">
        <f t="shared" si="57"/>
        <v>72784</v>
      </c>
    </row>
    <row r="275" spans="1:17">
      <c r="A275" s="23" t="s">
        <v>304</v>
      </c>
      <c r="B275" s="35" t="s">
        <v>300</v>
      </c>
      <c r="C275" s="125">
        <v>415</v>
      </c>
      <c r="D275" s="132">
        <v>54975801</v>
      </c>
      <c r="E275" s="133">
        <f t="shared" si="58"/>
        <v>132471.80963855423</v>
      </c>
      <c r="F275" s="134">
        <v>38563642</v>
      </c>
      <c r="G275" s="134">
        <f t="shared" si="59"/>
        <v>92924.43855421686</v>
      </c>
      <c r="H275" s="152"/>
      <c r="I275" s="136">
        <v>10</v>
      </c>
      <c r="J275" s="134">
        <v>385636</v>
      </c>
      <c r="K275" s="120">
        <f t="shared" si="60"/>
        <v>929.24337349397592</v>
      </c>
      <c r="L275" s="122">
        <f t="shared" si="53"/>
        <v>385636.42</v>
      </c>
      <c r="M275" s="116">
        <f t="shared" si="54"/>
        <v>0.41999999998370185</v>
      </c>
      <c r="N275" s="123">
        <f t="shared" si="55"/>
        <v>1.0120481927318116E-3</v>
      </c>
      <c r="O275" s="5"/>
      <c r="P275" s="5">
        <f t="shared" si="56"/>
        <v>1</v>
      </c>
      <c r="Q275" s="7">
        <f t="shared" si="57"/>
        <v>415</v>
      </c>
    </row>
    <row r="276" spans="1:17">
      <c r="A276" s="23" t="s">
        <v>305</v>
      </c>
      <c r="B276" s="35" t="s">
        <v>300</v>
      </c>
      <c r="C276" s="125">
        <v>133</v>
      </c>
      <c r="D276" s="147" t="s">
        <v>564</v>
      </c>
      <c r="E276" s="133"/>
      <c r="F276" s="134"/>
      <c r="G276" s="134"/>
      <c r="H276" s="148" t="s">
        <v>588</v>
      </c>
      <c r="I276" s="150"/>
      <c r="J276" s="134"/>
      <c r="K276" s="120"/>
      <c r="L276" s="122">
        <f t="shared" si="53"/>
        <v>0</v>
      </c>
      <c r="M276" s="116">
        <f t="shared" si="54"/>
        <v>0</v>
      </c>
      <c r="N276" s="123">
        <f t="shared" si="55"/>
        <v>0</v>
      </c>
      <c r="O276" s="5"/>
      <c r="P276" s="5">
        <f t="shared" si="56"/>
        <v>0</v>
      </c>
      <c r="Q276" s="7">
        <f t="shared" si="57"/>
        <v>0</v>
      </c>
    </row>
    <row r="277" spans="1:17">
      <c r="A277" s="23" t="s">
        <v>306</v>
      </c>
      <c r="B277" s="35" t="s">
        <v>300</v>
      </c>
      <c r="C277" s="125">
        <v>63175</v>
      </c>
      <c r="D277" s="132">
        <v>11131981084</v>
      </c>
      <c r="E277" s="133">
        <f>(D277/C277)</f>
        <v>176208.64398891968</v>
      </c>
      <c r="F277" s="134">
        <v>7975194271</v>
      </c>
      <c r="G277" s="134">
        <f>(F277/C277)</f>
        <v>126239.71936683815</v>
      </c>
      <c r="H277" s="152"/>
      <c r="I277" s="136">
        <v>7.0610999999999997</v>
      </c>
      <c r="J277" s="134">
        <v>56313644.266958103</v>
      </c>
      <c r="K277" s="120">
        <f>(J277/C277)</f>
        <v>891.3912824211809</v>
      </c>
      <c r="L277" s="122">
        <f t="shared" si="53"/>
        <v>79751942.710000008</v>
      </c>
      <c r="M277" s="116">
        <f t="shared" si="54"/>
        <v>23438298.443041906</v>
      </c>
      <c r="N277" s="123">
        <f t="shared" si="55"/>
        <v>371.00591124720074</v>
      </c>
      <c r="O277" s="5"/>
      <c r="P277" s="5">
        <f t="shared" si="56"/>
        <v>1</v>
      </c>
      <c r="Q277" s="7">
        <f t="shared" si="57"/>
        <v>63175</v>
      </c>
    </row>
    <row r="278" spans="1:17">
      <c r="A278" s="23" t="s">
        <v>307</v>
      </c>
      <c r="B278" s="35" t="s">
        <v>300</v>
      </c>
      <c r="C278" s="125">
        <v>215</v>
      </c>
      <c r="D278" s="147" t="s">
        <v>564</v>
      </c>
      <c r="E278" s="133"/>
      <c r="F278" s="134"/>
      <c r="G278" s="134"/>
      <c r="H278" s="148" t="s">
        <v>588</v>
      </c>
      <c r="I278" s="151"/>
      <c r="J278" s="134"/>
      <c r="K278" s="120"/>
      <c r="L278" s="122">
        <f t="shared" si="53"/>
        <v>0</v>
      </c>
      <c r="M278" s="116">
        <f t="shared" si="54"/>
        <v>0</v>
      </c>
      <c r="N278" s="123">
        <f t="shared" si="55"/>
        <v>0</v>
      </c>
      <c r="O278" s="5"/>
      <c r="P278" s="5">
        <f t="shared" si="56"/>
        <v>0</v>
      </c>
      <c r="Q278" s="7">
        <f t="shared" si="57"/>
        <v>0</v>
      </c>
    </row>
    <row r="279" spans="1:17">
      <c r="A279" s="23" t="s">
        <v>308</v>
      </c>
      <c r="B279" s="35" t="s">
        <v>300</v>
      </c>
      <c r="C279" s="125">
        <v>252</v>
      </c>
      <c r="D279" s="132">
        <v>191068291</v>
      </c>
      <c r="E279" s="133">
        <f t="shared" ref="E279:E310" si="61">(D279/C279)</f>
        <v>758207.50396825396</v>
      </c>
      <c r="F279" s="134">
        <v>140201662</v>
      </c>
      <c r="G279" s="134">
        <f t="shared" ref="G279:G310" si="62">(F279/C279)</f>
        <v>556355.80158730154</v>
      </c>
      <c r="H279" s="152"/>
      <c r="I279" s="136">
        <v>7.0063000000000004</v>
      </c>
      <c r="J279" s="134">
        <v>982294.90447059995</v>
      </c>
      <c r="K279" s="120">
        <f t="shared" ref="K279:K310" si="63">(J279/C279)</f>
        <v>3897.9956526611109</v>
      </c>
      <c r="L279" s="122">
        <f t="shared" si="53"/>
        <v>1402016.62</v>
      </c>
      <c r="M279" s="116">
        <f t="shared" si="54"/>
        <v>419721.71552940016</v>
      </c>
      <c r="N279" s="123">
        <f t="shared" si="55"/>
        <v>1665.5623632119054</v>
      </c>
      <c r="O279" s="5"/>
      <c r="P279" s="5">
        <f t="shared" si="56"/>
        <v>1</v>
      </c>
      <c r="Q279" s="7">
        <f t="shared" si="57"/>
        <v>252</v>
      </c>
    </row>
    <row r="280" spans="1:17">
      <c r="A280" s="23" t="s">
        <v>309</v>
      </c>
      <c r="B280" s="35" t="s">
        <v>300</v>
      </c>
      <c r="C280" s="125">
        <v>38943</v>
      </c>
      <c r="D280" s="132">
        <v>2272475532</v>
      </c>
      <c r="E280" s="133">
        <f t="shared" si="61"/>
        <v>58353.889838995456</v>
      </c>
      <c r="F280" s="134">
        <v>1400025067</v>
      </c>
      <c r="G280" s="134">
        <f t="shared" si="62"/>
        <v>35950.621857586731</v>
      </c>
      <c r="H280" s="135"/>
      <c r="I280" s="136">
        <v>6.0853999999999999</v>
      </c>
      <c r="J280" s="134">
        <v>8519712.5427218005</v>
      </c>
      <c r="K280" s="120">
        <f t="shared" si="63"/>
        <v>218.77391425215831</v>
      </c>
      <c r="L280" s="122">
        <f t="shared" si="53"/>
        <v>14000250.67</v>
      </c>
      <c r="M280" s="116">
        <f t="shared" si="54"/>
        <v>5480538.1272781994</v>
      </c>
      <c r="N280" s="123">
        <f t="shared" si="55"/>
        <v>140.732304323709</v>
      </c>
      <c r="O280" s="5"/>
      <c r="P280" s="5">
        <f t="shared" si="56"/>
        <v>1</v>
      </c>
      <c r="Q280" s="7">
        <f t="shared" si="57"/>
        <v>38943</v>
      </c>
    </row>
    <row r="281" spans="1:17">
      <c r="A281" s="23" t="s">
        <v>310</v>
      </c>
      <c r="B281" s="35" t="s">
        <v>300</v>
      </c>
      <c r="C281" s="125">
        <v>998</v>
      </c>
      <c r="D281" s="132">
        <v>1330560277</v>
      </c>
      <c r="E281" s="133">
        <f t="shared" si="61"/>
        <v>1333226.7304609218</v>
      </c>
      <c r="F281" s="134">
        <v>963779459</v>
      </c>
      <c r="G281" s="134">
        <f t="shared" si="62"/>
        <v>965710.88076152303</v>
      </c>
      <c r="H281" s="135"/>
      <c r="I281" s="136">
        <v>5</v>
      </c>
      <c r="J281" s="134">
        <v>4818897.2949999999</v>
      </c>
      <c r="K281" s="120">
        <f t="shared" si="63"/>
        <v>4828.554403807615</v>
      </c>
      <c r="L281" s="122">
        <f t="shared" si="53"/>
        <v>9637794.5899999999</v>
      </c>
      <c r="M281" s="116">
        <f t="shared" si="54"/>
        <v>4818897.2949999999</v>
      </c>
      <c r="N281" s="123">
        <f t="shared" si="55"/>
        <v>4828.554403807615</v>
      </c>
      <c r="O281" s="5"/>
      <c r="P281" s="5">
        <f t="shared" si="56"/>
        <v>1</v>
      </c>
      <c r="Q281" s="7">
        <f t="shared" si="57"/>
        <v>998</v>
      </c>
    </row>
    <row r="282" spans="1:17">
      <c r="A282" s="23" t="s">
        <v>311</v>
      </c>
      <c r="B282" s="35" t="s">
        <v>300</v>
      </c>
      <c r="C282" s="125">
        <v>1977</v>
      </c>
      <c r="D282" s="132">
        <v>121282126</v>
      </c>
      <c r="E282" s="133">
        <f t="shared" si="61"/>
        <v>61346.548305513403</v>
      </c>
      <c r="F282" s="134">
        <v>72563426</v>
      </c>
      <c r="G282" s="134">
        <f t="shared" si="62"/>
        <v>36703.806777946382</v>
      </c>
      <c r="H282" s="135"/>
      <c r="I282" s="136">
        <v>4.5</v>
      </c>
      <c r="J282" s="134">
        <v>326535.41700000002</v>
      </c>
      <c r="K282" s="120">
        <f t="shared" si="63"/>
        <v>165.16713050075873</v>
      </c>
      <c r="L282" s="122">
        <f t="shared" si="53"/>
        <v>725634.26</v>
      </c>
      <c r="M282" s="116">
        <f t="shared" si="54"/>
        <v>399098.84299999999</v>
      </c>
      <c r="N282" s="123">
        <f t="shared" si="55"/>
        <v>201.8709372787051</v>
      </c>
      <c r="O282" s="5"/>
      <c r="P282" s="5">
        <f t="shared" si="56"/>
        <v>1</v>
      </c>
      <c r="Q282" s="7">
        <f t="shared" si="57"/>
        <v>1977</v>
      </c>
    </row>
    <row r="283" spans="1:17">
      <c r="A283" s="23" t="s">
        <v>312</v>
      </c>
      <c r="B283" s="35" t="s">
        <v>300</v>
      </c>
      <c r="C283" s="125">
        <v>3600</v>
      </c>
      <c r="D283" s="132">
        <v>2475549166</v>
      </c>
      <c r="E283" s="133">
        <f t="shared" si="61"/>
        <v>687652.54611111106</v>
      </c>
      <c r="F283" s="134">
        <v>2075380658</v>
      </c>
      <c r="G283" s="134">
        <f t="shared" si="62"/>
        <v>576494.62722222228</v>
      </c>
      <c r="H283" s="135"/>
      <c r="I283" s="136">
        <v>3.5</v>
      </c>
      <c r="J283" s="134">
        <v>7263832</v>
      </c>
      <c r="K283" s="120">
        <f t="shared" si="63"/>
        <v>2017.7311111111112</v>
      </c>
      <c r="L283" s="122">
        <f t="shared" si="53"/>
        <v>20753806.580000002</v>
      </c>
      <c r="M283" s="116">
        <f t="shared" si="54"/>
        <v>13489974.580000002</v>
      </c>
      <c r="N283" s="123">
        <f t="shared" si="55"/>
        <v>3747.2151611111117</v>
      </c>
      <c r="O283" s="5"/>
      <c r="P283" s="5">
        <f t="shared" si="56"/>
        <v>1</v>
      </c>
      <c r="Q283" s="7">
        <f t="shared" si="57"/>
        <v>3600</v>
      </c>
    </row>
    <row r="284" spans="1:17">
      <c r="A284" s="23" t="s">
        <v>313</v>
      </c>
      <c r="B284" s="35" t="s">
        <v>300</v>
      </c>
      <c r="C284" s="125">
        <v>2691</v>
      </c>
      <c r="D284" s="132">
        <v>398141411</v>
      </c>
      <c r="E284" s="133">
        <f t="shared" si="61"/>
        <v>147952.95837978445</v>
      </c>
      <c r="F284" s="134">
        <v>292792546</v>
      </c>
      <c r="G284" s="134">
        <f t="shared" si="62"/>
        <v>108804.36492010405</v>
      </c>
      <c r="H284" s="135"/>
      <c r="I284" s="136">
        <v>3.5457999999999998</v>
      </c>
      <c r="J284" s="134">
        <v>1038184</v>
      </c>
      <c r="K284" s="120">
        <f t="shared" si="63"/>
        <v>385.79858788554441</v>
      </c>
      <c r="L284" s="122">
        <f t="shared" si="53"/>
        <v>2927925.46</v>
      </c>
      <c r="M284" s="116">
        <f t="shared" si="54"/>
        <v>1889741.46</v>
      </c>
      <c r="N284" s="123">
        <f t="shared" si="55"/>
        <v>702.24506131549606</v>
      </c>
      <c r="O284" s="5"/>
      <c r="P284" s="5">
        <f t="shared" si="56"/>
        <v>1</v>
      </c>
      <c r="Q284" s="7">
        <f t="shared" si="57"/>
        <v>2691</v>
      </c>
    </row>
    <row r="285" spans="1:17">
      <c r="A285" s="23" t="s">
        <v>314</v>
      </c>
      <c r="B285" s="35" t="s">
        <v>300</v>
      </c>
      <c r="C285" s="125">
        <v>3240</v>
      </c>
      <c r="D285" s="132">
        <v>1420039966</v>
      </c>
      <c r="E285" s="133">
        <f t="shared" si="61"/>
        <v>438283.94012345676</v>
      </c>
      <c r="F285" s="134">
        <v>1137599985</v>
      </c>
      <c r="G285" s="134">
        <f t="shared" si="62"/>
        <v>351111.10648148146</v>
      </c>
      <c r="H285" s="135"/>
      <c r="I285" s="136">
        <v>2.4287999999999998</v>
      </c>
      <c r="J285" s="134">
        <v>2763002.843568</v>
      </c>
      <c r="K285" s="120">
        <f t="shared" si="63"/>
        <v>852.77865542222219</v>
      </c>
      <c r="L285" s="122">
        <f t="shared" si="53"/>
        <v>11375999.85</v>
      </c>
      <c r="M285" s="116">
        <f t="shared" si="54"/>
        <v>8612997.0064320005</v>
      </c>
      <c r="N285" s="123">
        <f t="shared" si="55"/>
        <v>2658.3324093925926</v>
      </c>
      <c r="O285" s="5"/>
      <c r="P285" s="5">
        <f t="shared" si="56"/>
        <v>1</v>
      </c>
      <c r="Q285" s="7">
        <f t="shared" si="57"/>
        <v>3240</v>
      </c>
    </row>
    <row r="286" spans="1:17">
      <c r="A286" s="23" t="s">
        <v>315</v>
      </c>
      <c r="B286" s="35" t="s">
        <v>300</v>
      </c>
      <c r="C286" s="125">
        <v>59108</v>
      </c>
      <c r="D286" s="132">
        <v>11959163589</v>
      </c>
      <c r="E286" s="133">
        <f t="shared" si="61"/>
        <v>202327.32606415375</v>
      </c>
      <c r="F286" s="134">
        <v>8877845916</v>
      </c>
      <c r="G286" s="134">
        <f t="shared" si="62"/>
        <v>150197.02774582122</v>
      </c>
      <c r="H286" s="135"/>
      <c r="I286" s="136">
        <v>2.4834000000000001</v>
      </c>
      <c r="J286" s="134">
        <v>22047242.547794398</v>
      </c>
      <c r="K286" s="120">
        <f t="shared" si="63"/>
        <v>372.99929870397233</v>
      </c>
      <c r="L286" s="122">
        <f t="shared" si="53"/>
        <v>88778459.159999996</v>
      </c>
      <c r="M286" s="116">
        <f t="shared" si="54"/>
        <v>66731216.612205595</v>
      </c>
      <c r="N286" s="123">
        <f t="shared" si="55"/>
        <v>1128.9709787542397</v>
      </c>
      <c r="O286" s="5"/>
      <c r="P286" s="5">
        <f t="shared" si="56"/>
        <v>1</v>
      </c>
      <c r="Q286" s="7">
        <f t="shared" si="57"/>
        <v>59108</v>
      </c>
    </row>
    <row r="287" spans="1:17">
      <c r="A287" s="23" t="s">
        <v>316</v>
      </c>
      <c r="B287" s="35" t="s">
        <v>300</v>
      </c>
      <c r="C287" s="125">
        <v>396</v>
      </c>
      <c r="D287" s="132">
        <v>364984525</v>
      </c>
      <c r="E287" s="133">
        <f t="shared" si="61"/>
        <v>921678.09343434346</v>
      </c>
      <c r="F287" s="134">
        <v>277769348</v>
      </c>
      <c r="G287" s="134">
        <f t="shared" si="62"/>
        <v>701437.74747474748</v>
      </c>
      <c r="H287" s="135"/>
      <c r="I287" s="136">
        <v>5.0999999999999996</v>
      </c>
      <c r="J287" s="134">
        <v>1416623.6747999999</v>
      </c>
      <c r="K287" s="120">
        <f t="shared" si="63"/>
        <v>3577.3325121212119</v>
      </c>
      <c r="L287" s="122">
        <f t="shared" si="53"/>
        <v>2777693.48</v>
      </c>
      <c r="M287" s="116">
        <f t="shared" si="54"/>
        <v>1361069.8052000001</v>
      </c>
      <c r="N287" s="123">
        <f t="shared" si="55"/>
        <v>3437.044962626263</v>
      </c>
      <c r="O287" s="5"/>
      <c r="P287" s="5">
        <f t="shared" si="56"/>
        <v>1</v>
      </c>
      <c r="Q287" s="7">
        <f t="shared" si="57"/>
        <v>396</v>
      </c>
    </row>
    <row r="288" spans="1:17">
      <c r="A288" s="23" t="s">
        <v>317</v>
      </c>
      <c r="B288" s="35" t="s">
        <v>300</v>
      </c>
      <c r="C288" s="125">
        <v>3375</v>
      </c>
      <c r="D288" s="132">
        <v>358414031</v>
      </c>
      <c r="E288" s="133">
        <f t="shared" si="61"/>
        <v>106196.74992592592</v>
      </c>
      <c r="F288" s="134">
        <v>212306165</v>
      </c>
      <c r="G288" s="134">
        <f t="shared" si="62"/>
        <v>62905.530370370368</v>
      </c>
      <c r="H288" s="135"/>
      <c r="I288" s="136">
        <v>6.2797999999999998</v>
      </c>
      <c r="J288" s="134">
        <v>1333240.2549670001</v>
      </c>
      <c r="K288" s="120">
        <f t="shared" si="63"/>
        <v>395.03414961985186</v>
      </c>
      <c r="L288" s="122">
        <f t="shared" si="53"/>
        <v>2123061.65</v>
      </c>
      <c r="M288" s="116">
        <f t="shared" si="54"/>
        <v>789821.3950329998</v>
      </c>
      <c r="N288" s="123">
        <f t="shared" si="55"/>
        <v>234.0211540838518</v>
      </c>
      <c r="O288" s="5"/>
      <c r="P288" s="5">
        <f t="shared" si="56"/>
        <v>1</v>
      </c>
      <c r="Q288" s="7">
        <f t="shared" si="57"/>
        <v>3375</v>
      </c>
    </row>
    <row r="289" spans="1:17">
      <c r="A289" s="23" t="s">
        <v>318</v>
      </c>
      <c r="B289" s="35" t="s">
        <v>300</v>
      </c>
      <c r="C289" s="125">
        <v>8598</v>
      </c>
      <c r="D289" s="132">
        <v>700190009</v>
      </c>
      <c r="E289" s="133">
        <f t="shared" si="61"/>
        <v>81436.381600372173</v>
      </c>
      <c r="F289" s="134">
        <v>523032431</v>
      </c>
      <c r="G289" s="134">
        <f t="shared" si="62"/>
        <v>60831.871481739938</v>
      </c>
      <c r="H289" s="135"/>
      <c r="I289" s="136">
        <v>5.3474000000000004</v>
      </c>
      <c r="J289" s="134">
        <v>2796863.6215294003</v>
      </c>
      <c r="K289" s="120">
        <f t="shared" si="63"/>
        <v>325.29234956145621</v>
      </c>
      <c r="L289" s="122">
        <f t="shared" si="53"/>
        <v>5230324.3100000005</v>
      </c>
      <c r="M289" s="116">
        <f t="shared" si="54"/>
        <v>2433460.6884706002</v>
      </c>
      <c r="N289" s="123">
        <f t="shared" si="55"/>
        <v>283.02636525594329</v>
      </c>
      <c r="O289" s="5"/>
      <c r="P289" s="5">
        <f t="shared" si="56"/>
        <v>1</v>
      </c>
      <c r="Q289" s="7">
        <f t="shared" si="57"/>
        <v>8598</v>
      </c>
    </row>
    <row r="290" spans="1:17">
      <c r="A290" s="24" t="s">
        <v>628</v>
      </c>
      <c r="B290" s="35" t="s">
        <v>300</v>
      </c>
      <c r="C290" s="125">
        <v>37674</v>
      </c>
      <c r="D290" s="132">
        <v>2163023607</v>
      </c>
      <c r="E290" s="133">
        <f t="shared" si="61"/>
        <v>57414.227504379676</v>
      </c>
      <c r="F290" s="134">
        <v>1314968925</v>
      </c>
      <c r="G290" s="134">
        <f t="shared" si="62"/>
        <v>34903.883978340498</v>
      </c>
      <c r="H290" s="135"/>
      <c r="I290" s="136">
        <v>5.4945000000000004</v>
      </c>
      <c r="J290" s="134">
        <v>7225096.7584125008</v>
      </c>
      <c r="K290" s="120">
        <f t="shared" si="63"/>
        <v>191.7793905189919</v>
      </c>
      <c r="L290" s="122">
        <f t="shared" si="53"/>
        <v>13149689.25</v>
      </c>
      <c r="M290" s="116">
        <f t="shared" si="54"/>
        <v>5924592.4915874992</v>
      </c>
      <c r="N290" s="123">
        <f t="shared" si="55"/>
        <v>157.25944926441309</v>
      </c>
      <c r="O290" s="5"/>
      <c r="P290" s="5">
        <f t="shared" si="56"/>
        <v>1</v>
      </c>
      <c r="Q290" s="7">
        <f t="shared" si="57"/>
        <v>37674</v>
      </c>
    </row>
    <row r="291" spans="1:17">
      <c r="A291" s="23" t="s">
        <v>319</v>
      </c>
      <c r="B291" s="35" t="s">
        <v>300</v>
      </c>
      <c r="C291" s="125">
        <v>10705</v>
      </c>
      <c r="D291" s="132">
        <v>1159528772</v>
      </c>
      <c r="E291" s="133">
        <f t="shared" si="61"/>
        <v>108316.55973843999</v>
      </c>
      <c r="F291" s="134">
        <v>800868722</v>
      </c>
      <c r="G291" s="134">
        <f t="shared" si="62"/>
        <v>74812.584960298933</v>
      </c>
      <c r="H291" s="135"/>
      <c r="I291" s="136">
        <v>3.2395</v>
      </c>
      <c r="J291" s="134">
        <v>2594414.2249190002</v>
      </c>
      <c r="K291" s="120">
        <f t="shared" si="63"/>
        <v>242.35536897888838</v>
      </c>
      <c r="L291" s="122">
        <f t="shared" si="53"/>
        <v>8008687.2199999997</v>
      </c>
      <c r="M291" s="116">
        <f t="shared" si="54"/>
        <v>5414272.995081</v>
      </c>
      <c r="N291" s="123">
        <f t="shared" si="55"/>
        <v>505.77048062410091</v>
      </c>
      <c r="O291" s="5"/>
      <c r="P291" s="5">
        <f t="shared" si="56"/>
        <v>1</v>
      </c>
      <c r="Q291" s="7">
        <f t="shared" si="57"/>
        <v>10705</v>
      </c>
    </row>
    <row r="292" spans="1:17">
      <c r="A292" s="23" t="s">
        <v>531</v>
      </c>
      <c r="B292" s="35" t="s">
        <v>300</v>
      </c>
      <c r="C292" s="125">
        <v>3203</v>
      </c>
      <c r="D292" s="132">
        <v>459636303</v>
      </c>
      <c r="E292" s="133">
        <f t="shared" si="61"/>
        <v>143501.8117389947</v>
      </c>
      <c r="F292" s="134">
        <v>221087392</v>
      </c>
      <c r="G292" s="134">
        <f t="shared" si="62"/>
        <v>69025.098969715895</v>
      </c>
      <c r="H292" s="152"/>
      <c r="I292" s="136">
        <v>1.4718</v>
      </c>
      <c r="J292" s="134">
        <v>325396.42354559997</v>
      </c>
      <c r="K292" s="120">
        <f t="shared" si="63"/>
        <v>101.59114066362784</v>
      </c>
      <c r="L292" s="122">
        <f t="shared" si="53"/>
        <v>2210873.92</v>
      </c>
      <c r="M292" s="116">
        <f t="shared" si="54"/>
        <v>1885477.4964544</v>
      </c>
      <c r="N292" s="123">
        <f t="shared" si="55"/>
        <v>588.65984903353103</v>
      </c>
      <c r="O292" s="5"/>
      <c r="P292" s="5">
        <f t="shared" si="56"/>
        <v>1</v>
      </c>
      <c r="Q292" s="7">
        <f t="shared" si="57"/>
        <v>3203</v>
      </c>
    </row>
    <row r="293" spans="1:17">
      <c r="A293" s="23" t="s">
        <v>320</v>
      </c>
      <c r="B293" s="35" t="s">
        <v>300</v>
      </c>
      <c r="C293" s="125">
        <v>410</v>
      </c>
      <c r="D293" s="132">
        <v>1241398661</v>
      </c>
      <c r="E293" s="133">
        <f t="shared" si="61"/>
        <v>3027801.6121951221</v>
      </c>
      <c r="F293" s="134">
        <v>1045249577</v>
      </c>
      <c r="G293" s="134">
        <f t="shared" si="62"/>
        <v>2549389.2121951221</v>
      </c>
      <c r="H293" s="135"/>
      <c r="I293" s="136">
        <v>3.0305</v>
      </c>
      <c r="J293" s="134">
        <v>3167628.8430984998</v>
      </c>
      <c r="K293" s="120">
        <f t="shared" si="63"/>
        <v>7725.9240075573171</v>
      </c>
      <c r="L293" s="122">
        <f t="shared" si="53"/>
        <v>10452495.77</v>
      </c>
      <c r="M293" s="116">
        <f t="shared" si="54"/>
        <v>7284866.9269014997</v>
      </c>
      <c r="N293" s="123">
        <f t="shared" si="55"/>
        <v>17767.968114393901</v>
      </c>
      <c r="O293" s="5"/>
      <c r="P293" s="5">
        <f t="shared" si="56"/>
        <v>1</v>
      </c>
      <c r="Q293" s="7">
        <f t="shared" si="57"/>
        <v>410</v>
      </c>
    </row>
    <row r="294" spans="1:17">
      <c r="A294" s="23" t="s">
        <v>321</v>
      </c>
      <c r="B294" s="35" t="s">
        <v>300</v>
      </c>
      <c r="C294" s="125">
        <v>1959</v>
      </c>
      <c r="D294" s="132">
        <v>194238313</v>
      </c>
      <c r="E294" s="133">
        <f t="shared" si="61"/>
        <v>99151.767738642171</v>
      </c>
      <c r="F294" s="134">
        <v>154459531</v>
      </c>
      <c r="G294" s="134">
        <f t="shared" si="62"/>
        <v>78846.110770801431</v>
      </c>
      <c r="H294" s="135"/>
      <c r="I294" s="157">
        <v>9.8000000000000007</v>
      </c>
      <c r="J294" s="134">
        <v>1513703.4038000002</v>
      </c>
      <c r="K294" s="120">
        <f t="shared" si="63"/>
        <v>772.69188555385415</v>
      </c>
      <c r="L294" s="122">
        <f t="shared" si="53"/>
        <v>1544595.31</v>
      </c>
      <c r="M294" s="116">
        <f t="shared" si="54"/>
        <v>30891.906199999852</v>
      </c>
      <c r="N294" s="123">
        <f t="shared" si="55"/>
        <v>15.769222154160211</v>
      </c>
      <c r="O294" s="5"/>
      <c r="P294" s="5">
        <f t="shared" si="56"/>
        <v>1</v>
      </c>
      <c r="Q294" s="7">
        <f t="shared" si="57"/>
        <v>1959</v>
      </c>
    </row>
    <row r="295" spans="1:17">
      <c r="A295" s="23" t="s">
        <v>322</v>
      </c>
      <c r="B295" s="35" t="s">
        <v>300</v>
      </c>
      <c r="C295" s="125">
        <v>12206</v>
      </c>
      <c r="D295" s="132">
        <v>2469756637</v>
      </c>
      <c r="E295" s="133">
        <f t="shared" si="61"/>
        <v>202339.55734884483</v>
      </c>
      <c r="F295" s="134">
        <v>1722695118</v>
      </c>
      <c r="G295" s="134">
        <f t="shared" si="62"/>
        <v>141135.10716041291</v>
      </c>
      <c r="H295" s="135"/>
      <c r="I295" s="136">
        <v>7.33</v>
      </c>
      <c r="J295" s="134">
        <v>12627355.21494</v>
      </c>
      <c r="K295" s="120">
        <f t="shared" si="63"/>
        <v>1034.5203354858268</v>
      </c>
      <c r="L295" s="122">
        <f t="shared" si="53"/>
        <v>17226951.18</v>
      </c>
      <c r="M295" s="116">
        <f t="shared" si="54"/>
        <v>4599595.9650599994</v>
      </c>
      <c r="N295" s="123">
        <f t="shared" si="55"/>
        <v>376.83073611830241</v>
      </c>
      <c r="O295" s="5"/>
      <c r="P295" s="5">
        <f t="shared" si="56"/>
        <v>1</v>
      </c>
      <c r="Q295" s="7">
        <f t="shared" si="57"/>
        <v>12206</v>
      </c>
    </row>
    <row r="296" spans="1:17">
      <c r="A296" s="23" t="s">
        <v>323</v>
      </c>
      <c r="B296" s="35" t="s">
        <v>300</v>
      </c>
      <c r="C296" s="125">
        <v>1794</v>
      </c>
      <c r="D296" s="132">
        <v>1060785592</v>
      </c>
      <c r="E296" s="133">
        <f t="shared" si="61"/>
        <v>591296.31661092525</v>
      </c>
      <c r="F296" s="134">
        <v>822123022</v>
      </c>
      <c r="G296" s="134">
        <f t="shared" si="62"/>
        <v>458262.55406911927</v>
      </c>
      <c r="H296" s="135"/>
      <c r="I296" s="136">
        <v>5.35</v>
      </c>
      <c r="J296" s="134">
        <v>4398358.1677000001</v>
      </c>
      <c r="K296" s="120">
        <f t="shared" si="63"/>
        <v>2451.7046642697883</v>
      </c>
      <c r="L296" s="122">
        <f t="shared" si="53"/>
        <v>8221230.2199999997</v>
      </c>
      <c r="M296" s="116">
        <f t="shared" si="54"/>
        <v>3822872.0522999996</v>
      </c>
      <c r="N296" s="123">
        <f t="shared" si="55"/>
        <v>2130.9208764214045</v>
      </c>
      <c r="O296" s="5"/>
      <c r="P296" s="5">
        <f t="shared" si="56"/>
        <v>1</v>
      </c>
      <c r="Q296" s="7">
        <f t="shared" si="57"/>
        <v>1794</v>
      </c>
    </row>
    <row r="297" spans="1:17">
      <c r="A297" s="23" t="s">
        <v>324</v>
      </c>
      <c r="B297" s="35" t="s">
        <v>300</v>
      </c>
      <c r="C297" s="125">
        <v>5839</v>
      </c>
      <c r="D297" s="132">
        <v>191124332</v>
      </c>
      <c r="E297" s="133">
        <f t="shared" si="61"/>
        <v>32732.374036650112</v>
      </c>
      <c r="F297" s="134">
        <v>77492564</v>
      </c>
      <c r="G297" s="134">
        <f t="shared" si="62"/>
        <v>13271.547182736769</v>
      </c>
      <c r="H297" s="152"/>
      <c r="I297" s="136">
        <v>6.5419</v>
      </c>
      <c r="J297" s="134">
        <v>506948.60443159996</v>
      </c>
      <c r="K297" s="120">
        <f t="shared" si="63"/>
        <v>86.821134514745665</v>
      </c>
      <c r="L297" s="122">
        <f t="shared" si="53"/>
        <v>774925.64</v>
      </c>
      <c r="M297" s="116">
        <f t="shared" si="54"/>
        <v>267977.03556840005</v>
      </c>
      <c r="N297" s="123">
        <f t="shared" si="55"/>
        <v>45.894337312622035</v>
      </c>
      <c r="O297" s="5"/>
      <c r="P297" s="5">
        <f t="shared" si="56"/>
        <v>1</v>
      </c>
      <c r="Q297" s="7">
        <f t="shared" si="57"/>
        <v>5839</v>
      </c>
    </row>
    <row r="298" spans="1:17">
      <c r="A298" s="23" t="s">
        <v>300</v>
      </c>
      <c r="B298" s="35" t="s">
        <v>300</v>
      </c>
      <c r="C298" s="125">
        <v>8041</v>
      </c>
      <c r="D298" s="132">
        <v>19198581317</v>
      </c>
      <c r="E298" s="133">
        <f t="shared" si="61"/>
        <v>2387586.2849148116</v>
      </c>
      <c r="F298" s="134">
        <v>14635373443</v>
      </c>
      <c r="G298" s="134">
        <f t="shared" si="62"/>
        <v>1820093.7001616715</v>
      </c>
      <c r="H298" s="135"/>
      <c r="I298" s="136">
        <v>3.3778999999999999</v>
      </c>
      <c r="J298" s="134">
        <v>49436827.953109697</v>
      </c>
      <c r="K298" s="120">
        <f t="shared" si="63"/>
        <v>6148.0945097761096</v>
      </c>
      <c r="L298" s="122">
        <f t="shared" si="53"/>
        <v>146353734.43000001</v>
      </c>
      <c r="M298" s="116">
        <f t="shared" si="54"/>
        <v>96916906.476890311</v>
      </c>
      <c r="N298" s="123">
        <f t="shared" si="55"/>
        <v>12052.842491840605</v>
      </c>
      <c r="O298" s="5"/>
      <c r="P298" s="5">
        <f t="shared" si="56"/>
        <v>1</v>
      </c>
      <c r="Q298" s="7">
        <f t="shared" si="57"/>
        <v>8041</v>
      </c>
    </row>
    <row r="299" spans="1:17">
      <c r="A299" s="23" t="s">
        <v>325</v>
      </c>
      <c r="B299" s="35" t="s">
        <v>300</v>
      </c>
      <c r="C299" s="125">
        <v>50521</v>
      </c>
      <c r="D299" s="132">
        <v>12267715478</v>
      </c>
      <c r="E299" s="133">
        <f t="shared" si="61"/>
        <v>242824.0826191089</v>
      </c>
      <c r="F299" s="134">
        <v>9432714876</v>
      </c>
      <c r="G299" s="134">
        <f t="shared" si="62"/>
        <v>186708.79190831535</v>
      </c>
      <c r="H299" s="135"/>
      <c r="I299" s="136">
        <v>5.55</v>
      </c>
      <c r="J299" s="134">
        <v>52351567.561799996</v>
      </c>
      <c r="K299" s="120">
        <f t="shared" si="63"/>
        <v>1036.2337950911501</v>
      </c>
      <c r="L299" s="122">
        <f t="shared" si="53"/>
        <v>94327148.760000005</v>
      </c>
      <c r="M299" s="116">
        <f t="shared" si="54"/>
        <v>41975581.19820001</v>
      </c>
      <c r="N299" s="123">
        <f t="shared" si="55"/>
        <v>830.85412399200357</v>
      </c>
      <c r="O299" s="5"/>
      <c r="P299" s="5">
        <f t="shared" si="56"/>
        <v>1</v>
      </c>
      <c r="Q299" s="7">
        <f t="shared" si="57"/>
        <v>50521</v>
      </c>
    </row>
    <row r="300" spans="1:17">
      <c r="A300" s="23" t="s">
        <v>326</v>
      </c>
      <c r="B300" s="35" t="s">
        <v>300</v>
      </c>
      <c r="C300" s="125">
        <v>1143</v>
      </c>
      <c r="D300" s="132">
        <v>601141073</v>
      </c>
      <c r="E300" s="133">
        <f t="shared" si="61"/>
        <v>525932.69728783902</v>
      </c>
      <c r="F300" s="134">
        <v>532013127</v>
      </c>
      <c r="G300" s="134">
        <f t="shared" si="62"/>
        <v>465453.30446194223</v>
      </c>
      <c r="H300" s="135"/>
      <c r="I300" s="136">
        <v>6.35</v>
      </c>
      <c r="J300" s="134">
        <v>3378283.3564499998</v>
      </c>
      <c r="K300" s="120">
        <f t="shared" si="63"/>
        <v>2955.6284833333334</v>
      </c>
      <c r="L300" s="122">
        <f t="shared" si="53"/>
        <v>5320131.2700000005</v>
      </c>
      <c r="M300" s="116">
        <f t="shared" si="54"/>
        <v>1941847.9135500006</v>
      </c>
      <c r="N300" s="123">
        <f t="shared" si="55"/>
        <v>1698.9045612860898</v>
      </c>
      <c r="O300" s="5"/>
      <c r="P300" s="5">
        <f t="shared" si="56"/>
        <v>1</v>
      </c>
      <c r="Q300" s="7">
        <f t="shared" si="57"/>
        <v>1143</v>
      </c>
    </row>
    <row r="301" spans="1:17">
      <c r="A301" s="23" t="s">
        <v>327</v>
      </c>
      <c r="B301" s="35" t="s">
        <v>300</v>
      </c>
      <c r="C301" s="125">
        <v>22282</v>
      </c>
      <c r="D301" s="132">
        <v>1292775368</v>
      </c>
      <c r="E301" s="133">
        <f t="shared" si="61"/>
        <v>58018.820931693743</v>
      </c>
      <c r="F301" s="134">
        <v>819876598</v>
      </c>
      <c r="G301" s="134">
        <f t="shared" si="62"/>
        <v>36795.46710349161</v>
      </c>
      <c r="H301" s="152"/>
      <c r="I301" s="136">
        <v>3.9</v>
      </c>
      <c r="J301" s="134">
        <v>3197518.7322</v>
      </c>
      <c r="K301" s="120">
        <f t="shared" si="63"/>
        <v>143.50232170361727</v>
      </c>
      <c r="L301" s="122">
        <f t="shared" si="53"/>
        <v>8198765.9800000004</v>
      </c>
      <c r="M301" s="116">
        <f t="shared" si="54"/>
        <v>5001247.2478</v>
      </c>
      <c r="N301" s="123">
        <f t="shared" si="55"/>
        <v>224.45234933129882</v>
      </c>
      <c r="O301" s="5"/>
      <c r="P301" s="5">
        <f t="shared" si="56"/>
        <v>1</v>
      </c>
      <c r="Q301" s="7">
        <f t="shared" si="57"/>
        <v>22282</v>
      </c>
    </row>
    <row r="302" spans="1:17">
      <c r="A302" s="23" t="s">
        <v>328</v>
      </c>
      <c r="B302" s="35" t="s">
        <v>300</v>
      </c>
      <c r="C302" s="125">
        <v>33953</v>
      </c>
      <c r="D302" s="132">
        <v>5930741352</v>
      </c>
      <c r="E302" s="133">
        <f t="shared" si="61"/>
        <v>174675.03172031927</v>
      </c>
      <c r="F302" s="134">
        <v>4558608819</v>
      </c>
      <c r="G302" s="134">
        <f t="shared" si="62"/>
        <v>134262.32789444231</v>
      </c>
      <c r="H302" s="135"/>
      <c r="I302" s="136">
        <v>8.452</v>
      </c>
      <c r="J302" s="134">
        <v>38529361.738188006</v>
      </c>
      <c r="K302" s="120">
        <f t="shared" si="63"/>
        <v>1134.7851953638267</v>
      </c>
      <c r="L302" s="122">
        <f t="shared" si="53"/>
        <v>45586088.189999998</v>
      </c>
      <c r="M302" s="116">
        <f t="shared" si="54"/>
        <v>7056726.4518119916</v>
      </c>
      <c r="N302" s="123">
        <f t="shared" si="55"/>
        <v>207.83808358059645</v>
      </c>
      <c r="O302" s="5"/>
      <c r="P302" s="5">
        <f t="shared" si="56"/>
        <v>1</v>
      </c>
      <c r="Q302" s="7">
        <f t="shared" si="57"/>
        <v>33953</v>
      </c>
    </row>
    <row r="303" spans="1:17">
      <c r="A303" s="23" t="s">
        <v>329</v>
      </c>
      <c r="B303" s="35" t="s">
        <v>300</v>
      </c>
      <c r="C303" s="125">
        <v>36731</v>
      </c>
      <c r="D303" s="132">
        <v>3476291611</v>
      </c>
      <c r="E303" s="133">
        <f t="shared" si="61"/>
        <v>94641.899512673219</v>
      </c>
      <c r="F303" s="134">
        <v>2278930867</v>
      </c>
      <c r="G303" s="134">
        <f t="shared" si="62"/>
        <v>62043.801339468024</v>
      </c>
      <c r="H303" s="135"/>
      <c r="I303" s="136">
        <v>1.92</v>
      </c>
      <c r="J303" s="134">
        <v>4375547.2646399997</v>
      </c>
      <c r="K303" s="120">
        <f t="shared" si="63"/>
        <v>119.1240985717786</v>
      </c>
      <c r="L303" s="122">
        <f t="shared" si="53"/>
        <v>22789308.670000002</v>
      </c>
      <c r="M303" s="116">
        <f t="shared" si="54"/>
        <v>18413761.405360002</v>
      </c>
      <c r="N303" s="123">
        <f t="shared" si="55"/>
        <v>501.31391482290167</v>
      </c>
      <c r="O303" s="5"/>
      <c r="P303" s="5">
        <f t="shared" si="56"/>
        <v>1</v>
      </c>
      <c r="Q303" s="7">
        <f t="shared" si="57"/>
        <v>36731</v>
      </c>
    </row>
    <row r="304" spans="1:17">
      <c r="A304" s="23" t="s">
        <v>330</v>
      </c>
      <c r="B304" s="35" t="s">
        <v>300</v>
      </c>
      <c r="C304" s="125">
        <v>5151</v>
      </c>
      <c r="D304" s="132">
        <v>142281925</v>
      </c>
      <c r="E304" s="133">
        <f t="shared" si="61"/>
        <v>27622.194719471947</v>
      </c>
      <c r="F304" s="134">
        <v>57914227</v>
      </c>
      <c r="G304" s="134">
        <f t="shared" si="62"/>
        <v>11243.297806251214</v>
      </c>
      <c r="H304" s="135"/>
      <c r="I304" s="136">
        <v>6.3089000000000004</v>
      </c>
      <c r="J304" s="134">
        <v>365375.0667203</v>
      </c>
      <c r="K304" s="120">
        <f t="shared" si="63"/>
        <v>70.93284152985828</v>
      </c>
      <c r="L304" s="122">
        <f t="shared" si="53"/>
        <v>579142.27</v>
      </c>
      <c r="M304" s="116">
        <f t="shared" si="54"/>
        <v>213767.20327970001</v>
      </c>
      <c r="N304" s="123">
        <f t="shared" si="55"/>
        <v>41.500136532653855</v>
      </c>
      <c r="O304" s="5"/>
      <c r="P304" s="5">
        <f t="shared" si="56"/>
        <v>1</v>
      </c>
      <c r="Q304" s="7">
        <f t="shared" si="57"/>
        <v>5151</v>
      </c>
    </row>
    <row r="305" spans="1:21">
      <c r="A305" s="23" t="s">
        <v>331</v>
      </c>
      <c r="B305" s="35" t="s">
        <v>300</v>
      </c>
      <c r="C305" s="125">
        <v>1366</v>
      </c>
      <c r="D305" s="132">
        <v>336551360</v>
      </c>
      <c r="E305" s="133">
        <f t="shared" si="61"/>
        <v>246377.27672035139</v>
      </c>
      <c r="F305" s="134">
        <v>278904715</v>
      </c>
      <c r="G305" s="134">
        <f t="shared" si="62"/>
        <v>204176.21888726208</v>
      </c>
      <c r="H305" s="135"/>
      <c r="I305" s="136">
        <v>4.3174000000000001</v>
      </c>
      <c r="J305" s="134">
        <v>1204143.2165410002</v>
      </c>
      <c r="K305" s="120">
        <f t="shared" si="63"/>
        <v>881.51040742386544</v>
      </c>
      <c r="L305" s="122">
        <f t="shared" si="53"/>
        <v>2789047.15</v>
      </c>
      <c r="M305" s="116">
        <f t="shared" si="54"/>
        <v>1584903.9334589997</v>
      </c>
      <c r="N305" s="123">
        <f t="shared" si="55"/>
        <v>1160.2517814487553</v>
      </c>
      <c r="O305" s="5"/>
      <c r="P305" s="5">
        <f t="shared" si="56"/>
        <v>1</v>
      </c>
      <c r="Q305" s="7">
        <f t="shared" si="57"/>
        <v>1366</v>
      </c>
    </row>
    <row r="306" spans="1:21">
      <c r="A306" s="23" t="s">
        <v>332</v>
      </c>
      <c r="B306" s="35" t="s">
        <v>300</v>
      </c>
      <c r="C306" s="125">
        <v>5665</v>
      </c>
      <c r="D306" s="132">
        <v>1296773699</v>
      </c>
      <c r="E306" s="133">
        <f t="shared" si="61"/>
        <v>228909.7438658429</v>
      </c>
      <c r="F306" s="134">
        <v>930983422</v>
      </c>
      <c r="G306" s="134">
        <f t="shared" si="62"/>
        <v>164339.52727272728</v>
      </c>
      <c r="H306" s="135"/>
      <c r="I306" s="136">
        <v>6.2919999999999998</v>
      </c>
      <c r="J306" s="134">
        <v>5857747.6912240004</v>
      </c>
      <c r="K306" s="120">
        <f t="shared" si="63"/>
        <v>1034.0243056000002</v>
      </c>
      <c r="L306" s="122">
        <f t="shared" si="53"/>
        <v>9309834.2200000007</v>
      </c>
      <c r="M306" s="116">
        <f t="shared" si="54"/>
        <v>3452086.5287760003</v>
      </c>
      <c r="N306" s="123">
        <f t="shared" si="55"/>
        <v>609.37096712727282</v>
      </c>
      <c r="O306" s="5"/>
      <c r="P306" s="5">
        <f t="shared" si="56"/>
        <v>1</v>
      </c>
      <c r="Q306" s="7">
        <f t="shared" si="57"/>
        <v>5665</v>
      </c>
    </row>
    <row r="307" spans="1:21">
      <c r="A307" s="23" t="s">
        <v>333</v>
      </c>
      <c r="B307" s="35" t="s">
        <v>300</v>
      </c>
      <c r="C307" s="125">
        <v>59860</v>
      </c>
      <c r="D307" s="132">
        <v>10336608750</v>
      </c>
      <c r="E307" s="133">
        <f t="shared" si="61"/>
        <v>172679.73187437354</v>
      </c>
      <c r="F307" s="134">
        <v>6922766608</v>
      </c>
      <c r="G307" s="134">
        <f t="shared" si="62"/>
        <v>115649.29181423321</v>
      </c>
      <c r="H307" s="135"/>
      <c r="I307" s="136">
        <v>2.4500000000000002</v>
      </c>
      <c r="J307" s="134">
        <v>16960778.189600002</v>
      </c>
      <c r="K307" s="120">
        <f t="shared" si="63"/>
        <v>283.34076494487141</v>
      </c>
      <c r="L307" s="122">
        <f t="shared" si="53"/>
        <v>69227666.079999998</v>
      </c>
      <c r="M307" s="116">
        <f t="shared" si="54"/>
        <v>52266887.890399992</v>
      </c>
      <c r="N307" s="123">
        <f t="shared" si="55"/>
        <v>873.15215319746062</v>
      </c>
      <c r="O307" s="5"/>
      <c r="P307" s="5">
        <f t="shared" si="56"/>
        <v>1</v>
      </c>
      <c r="Q307" s="7">
        <f t="shared" si="57"/>
        <v>59860</v>
      </c>
    </row>
    <row r="308" spans="1:21">
      <c r="A308" s="23" t="s">
        <v>334</v>
      </c>
      <c r="B308" s="35" t="s">
        <v>300</v>
      </c>
      <c r="C308" s="125">
        <v>106525</v>
      </c>
      <c r="D308" s="132">
        <v>14647973179</v>
      </c>
      <c r="E308" s="133">
        <f t="shared" si="61"/>
        <v>137507.37553625909</v>
      </c>
      <c r="F308" s="134">
        <v>9952087537</v>
      </c>
      <c r="G308" s="134">
        <f t="shared" si="62"/>
        <v>93424.900605491668</v>
      </c>
      <c r="H308" s="135"/>
      <c r="I308" s="136">
        <v>8.3465000000000007</v>
      </c>
      <c r="J308" s="134">
        <v>83065098.62757051</v>
      </c>
      <c r="K308" s="120">
        <f t="shared" si="63"/>
        <v>779.77093290373625</v>
      </c>
      <c r="L308" s="122">
        <f t="shared" si="53"/>
        <v>99520875.370000005</v>
      </c>
      <c r="M308" s="116">
        <f t="shared" si="54"/>
        <v>16455776.742429495</v>
      </c>
      <c r="N308" s="123">
        <f t="shared" si="55"/>
        <v>154.47807315118044</v>
      </c>
      <c r="O308" s="5"/>
      <c r="P308" s="5">
        <f t="shared" si="56"/>
        <v>1</v>
      </c>
      <c r="Q308" s="7">
        <f t="shared" si="57"/>
        <v>106525</v>
      </c>
      <c r="S308" s="124">
        <f>SUM(D271:D308)</f>
        <v>145038133115</v>
      </c>
      <c r="T308" s="124">
        <f>SUM(F271:F308)</f>
        <v>105484574905</v>
      </c>
      <c r="U308" s="124">
        <f>SUM(J271:J308)</f>
        <v>510126727.22380596</v>
      </c>
    </row>
    <row r="309" spans="1:21">
      <c r="A309" s="23" t="s">
        <v>335</v>
      </c>
      <c r="B309" s="35" t="s">
        <v>336</v>
      </c>
      <c r="C309" s="125">
        <v>6816</v>
      </c>
      <c r="D309" s="132">
        <v>562901007</v>
      </c>
      <c r="E309" s="133">
        <f t="shared" si="61"/>
        <v>82585.241637323939</v>
      </c>
      <c r="F309" s="134">
        <v>260144936</v>
      </c>
      <c r="G309" s="134">
        <f t="shared" si="62"/>
        <v>38166.803990610329</v>
      </c>
      <c r="H309" s="135"/>
      <c r="I309" s="136">
        <v>7.1539999999999999</v>
      </c>
      <c r="J309" s="134">
        <v>1861077</v>
      </c>
      <c r="K309" s="120">
        <f t="shared" si="63"/>
        <v>273.04533450704224</v>
      </c>
      <c r="L309" s="122">
        <f t="shared" si="53"/>
        <v>2601449.36</v>
      </c>
      <c r="M309" s="116">
        <f t="shared" si="54"/>
        <v>740372.35999999987</v>
      </c>
      <c r="N309" s="123">
        <f t="shared" si="55"/>
        <v>108.62270539906102</v>
      </c>
      <c r="O309" s="5"/>
      <c r="P309" s="5">
        <f t="shared" si="56"/>
        <v>1</v>
      </c>
      <c r="Q309" s="7">
        <f t="shared" si="57"/>
        <v>6816</v>
      </c>
    </row>
    <row r="310" spans="1:21">
      <c r="A310" s="23" t="s">
        <v>337</v>
      </c>
      <c r="B310" s="35" t="s">
        <v>336</v>
      </c>
      <c r="C310" s="125">
        <v>15351</v>
      </c>
      <c r="D310" s="132">
        <v>807856947</v>
      </c>
      <c r="E310" s="133">
        <f t="shared" si="61"/>
        <v>52625.688684776236</v>
      </c>
      <c r="F310" s="134">
        <v>499749890</v>
      </c>
      <c r="G310" s="134">
        <f t="shared" si="62"/>
        <v>32554.875252426551</v>
      </c>
      <c r="H310" s="135"/>
      <c r="I310" s="136">
        <v>9.25</v>
      </c>
      <c r="J310" s="134">
        <v>4622686</v>
      </c>
      <c r="K310" s="120">
        <f t="shared" si="63"/>
        <v>301.1325646537685</v>
      </c>
      <c r="L310" s="122">
        <f t="shared" si="53"/>
        <v>4997498.9000000004</v>
      </c>
      <c r="M310" s="116">
        <f t="shared" si="54"/>
        <v>374812.90000000037</v>
      </c>
      <c r="N310" s="123">
        <f t="shared" si="55"/>
        <v>24.416187870497062</v>
      </c>
      <c r="O310" s="5"/>
      <c r="P310" s="5">
        <f t="shared" si="56"/>
        <v>1</v>
      </c>
      <c r="Q310" s="7">
        <f t="shared" si="57"/>
        <v>15351</v>
      </c>
    </row>
    <row r="311" spans="1:21">
      <c r="A311" s="23" t="s">
        <v>338</v>
      </c>
      <c r="B311" s="35" t="s">
        <v>336</v>
      </c>
      <c r="C311" s="125">
        <v>2638</v>
      </c>
      <c r="D311" s="132">
        <v>310406808</v>
      </c>
      <c r="E311" s="133">
        <f t="shared" ref="E311:E342" si="64">(D311/C311)</f>
        <v>117667.47839272176</v>
      </c>
      <c r="F311" s="134">
        <v>249521492</v>
      </c>
      <c r="G311" s="134">
        <f t="shared" ref="G311:G342" si="65">(F311/C311)</f>
        <v>94587.373768006059</v>
      </c>
      <c r="H311" s="135"/>
      <c r="I311" s="136">
        <v>5.7666000000000004</v>
      </c>
      <c r="J311" s="134">
        <v>1438891</v>
      </c>
      <c r="K311" s="120">
        <f t="shared" ref="K311:K342" si="66">(J311/C311)</f>
        <v>545.44768764215314</v>
      </c>
      <c r="L311" s="122">
        <f t="shared" si="53"/>
        <v>2495214.92</v>
      </c>
      <c r="M311" s="116">
        <f t="shared" si="54"/>
        <v>1056323.92</v>
      </c>
      <c r="N311" s="123">
        <f t="shared" si="55"/>
        <v>400.42605003790749</v>
      </c>
      <c r="O311" s="5"/>
      <c r="P311" s="5">
        <f t="shared" si="56"/>
        <v>1</v>
      </c>
      <c r="Q311" s="7">
        <f t="shared" si="57"/>
        <v>2638</v>
      </c>
    </row>
    <row r="312" spans="1:21">
      <c r="A312" s="23" t="s">
        <v>339</v>
      </c>
      <c r="B312" s="35" t="s">
        <v>336</v>
      </c>
      <c r="C312" s="125">
        <v>1232</v>
      </c>
      <c r="D312" s="132">
        <v>94306839</v>
      </c>
      <c r="E312" s="133">
        <f t="shared" si="64"/>
        <v>76547.758928571435</v>
      </c>
      <c r="F312" s="134">
        <v>54115267</v>
      </c>
      <c r="G312" s="134">
        <f t="shared" si="65"/>
        <v>43924.729707792205</v>
      </c>
      <c r="H312" s="135"/>
      <c r="I312" s="136">
        <v>3.5</v>
      </c>
      <c r="J312" s="134">
        <v>189403</v>
      </c>
      <c r="K312" s="120">
        <f t="shared" si="66"/>
        <v>153.7362012987013</v>
      </c>
      <c r="L312" s="122">
        <f t="shared" si="53"/>
        <v>541152.67000000004</v>
      </c>
      <c r="M312" s="116">
        <f t="shared" si="54"/>
        <v>351749.67000000004</v>
      </c>
      <c r="N312" s="123">
        <f t="shared" si="55"/>
        <v>285.5110957792208</v>
      </c>
      <c r="O312" s="5"/>
      <c r="P312" s="5">
        <f t="shared" si="56"/>
        <v>1</v>
      </c>
      <c r="Q312" s="7">
        <f t="shared" si="57"/>
        <v>1232</v>
      </c>
    </row>
    <row r="313" spans="1:21">
      <c r="A313" s="24" t="s">
        <v>547</v>
      </c>
      <c r="B313" s="35" t="s">
        <v>336</v>
      </c>
      <c r="C313" s="125">
        <v>1350</v>
      </c>
      <c r="D313" s="132">
        <v>72596135</v>
      </c>
      <c r="E313" s="133">
        <f t="shared" si="64"/>
        <v>53774.914814814816</v>
      </c>
      <c r="F313" s="134">
        <v>8717564</v>
      </c>
      <c r="G313" s="134">
        <f t="shared" si="65"/>
        <v>6457.4548148148151</v>
      </c>
      <c r="H313" s="135"/>
      <c r="I313" s="136">
        <v>0.75</v>
      </c>
      <c r="J313" s="134">
        <v>6538</v>
      </c>
      <c r="K313" s="120">
        <f t="shared" si="66"/>
        <v>4.8429629629629627</v>
      </c>
      <c r="L313" s="122">
        <f t="shared" si="53"/>
        <v>87175.64</v>
      </c>
      <c r="M313" s="116">
        <f t="shared" si="54"/>
        <v>80637.64</v>
      </c>
      <c r="N313" s="123">
        <f t="shared" si="55"/>
        <v>59.731585185185182</v>
      </c>
      <c r="O313" s="5"/>
      <c r="P313" s="5">
        <f t="shared" si="56"/>
        <v>1</v>
      </c>
      <c r="Q313" s="7">
        <f t="shared" si="57"/>
        <v>1350</v>
      </c>
    </row>
    <row r="314" spans="1:21">
      <c r="A314" s="23" t="s">
        <v>340</v>
      </c>
      <c r="B314" s="35" t="s">
        <v>336</v>
      </c>
      <c r="C314" s="125">
        <v>15010</v>
      </c>
      <c r="D314" s="132">
        <v>948340810</v>
      </c>
      <c r="E314" s="133">
        <f t="shared" si="64"/>
        <v>63180.600266489004</v>
      </c>
      <c r="F314" s="134">
        <v>602485868</v>
      </c>
      <c r="G314" s="134">
        <f t="shared" si="65"/>
        <v>40138.965223184547</v>
      </c>
      <c r="H314" s="135"/>
      <c r="I314" s="136">
        <v>6.35</v>
      </c>
      <c r="J314" s="134">
        <v>3825785</v>
      </c>
      <c r="K314" s="120">
        <f t="shared" si="66"/>
        <v>254.88241172551633</v>
      </c>
      <c r="L314" s="122">
        <f t="shared" si="53"/>
        <v>6024858.6799999997</v>
      </c>
      <c r="M314" s="116">
        <f t="shared" si="54"/>
        <v>2199073.6799999997</v>
      </c>
      <c r="N314" s="123">
        <f t="shared" si="55"/>
        <v>146.50724050632908</v>
      </c>
      <c r="O314" s="5"/>
      <c r="P314" s="5">
        <f t="shared" si="56"/>
        <v>1</v>
      </c>
      <c r="Q314" s="7">
        <f t="shared" si="57"/>
        <v>15010</v>
      </c>
      <c r="S314" s="124">
        <f>SUM(D309:D314)</f>
        <v>2796408546</v>
      </c>
      <c r="T314" s="124">
        <f>SUM(F309:F314)</f>
        <v>1674735017</v>
      </c>
      <c r="U314" s="124">
        <f>SUM(J309:J314)</f>
        <v>11944380</v>
      </c>
    </row>
    <row r="315" spans="1:21">
      <c r="A315" s="23" t="s">
        <v>341</v>
      </c>
      <c r="B315" s="35" t="s">
        <v>342</v>
      </c>
      <c r="C315" s="125">
        <v>3889</v>
      </c>
      <c r="D315" s="132">
        <v>910085866</v>
      </c>
      <c r="E315" s="133">
        <f t="shared" si="64"/>
        <v>234015.39367446644</v>
      </c>
      <c r="F315" s="134">
        <v>634941314</v>
      </c>
      <c r="G315" s="134">
        <f t="shared" si="65"/>
        <v>163265.95885831834</v>
      </c>
      <c r="H315" s="135"/>
      <c r="I315" s="136">
        <v>5.9257</v>
      </c>
      <c r="J315" s="134">
        <v>3762471.7443698002</v>
      </c>
      <c r="K315" s="120">
        <f t="shared" si="66"/>
        <v>967.46509240673697</v>
      </c>
      <c r="L315" s="122">
        <f t="shared" si="53"/>
        <v>6349413.1400000006</v>
      </c>
      <c r="M315" s="116">
        <f t="shared" si="54"/>
        <v>2586941.3956302004</v>
      </c>
      <c r="N315" s="123">
        <f t="shared" si="55"/>
        <v>665.19449617644648</v>
      </c>
      <c r="O315" s="5"/>
      <c r="P315" s="5">
        <f t="shared" si="56"/>
        <v>1</v>
      </c>
      <c r="Q315" s="7">
        <f t="shared" si="57"/>
        <v>3889</v>
      </c>
    </row>
    <row r="316" spans="1:21">
      <c r="A316" s="23" t="s">
        <v>343</v>
      </c>
      <c r="B316" s="35" t="s">
        <v>342</v>
      </c>
      <c r="C316" s="125">
        <v>1563</v>
      </c>
      <c r="D316" s="132">
        <v>599504004</v>
      </c>
      <c r="E316" s="133">
        <f t="shared" si="64"/>
        <v>383559.8234165067</v>
      </c>
      <c r="F316" s="134">
        <v>447941613</v>
      </c>
      <c r="G316" s="134">
        <f t="shared" si="65"/>
        <v>286590.92322456813</v>
      </c>
      <c r="H316" s="135"/>
      <c r="I316" s="136">
        <v>2.0394000000000001</v>
      </c>
      <c r="J316" s="134">
        <v>913532</v>
      </c>
      <c r="K316" s="120">
        <f t="shared" si="66"/>
        <v>584.47344849648118</v>
      </c>
      <c r="L316" s="122">
        <f t="shared" si="53"/>
        <v>4479416.13</v>
      </c>
      <c r="M316" s="116">
        <f t="shared" si="54"/>
        <v>3565884.13</v>
      </c>
      <c r="N316" s="123">
        <f t="shared" si="55"/>
        <v>2281.4357837492003</v>
      </c>
      <c r="O316" s="5"/>
      <c r="P316" s="5">
        <f t="shared" si="56"/>
        <v>1</v>
      </c>
      <c r="Q316" s="7">
        <f t="shared" si="57"/>
        <v>1563</v>
      </c>
    </row>
    <row r="317" spans="1:21">
      <c r="A317" s="23" t="s">
        <v>344</v>
      </c>
      <c r="B317" s="35" t="s">
        <v>342</v>
      </c>
      <c r="C317" s="125">
        <v>2052</v>
      </c>
      <c r="D317" s="132">
        <v>262677254</v>
      </c>
      <c r="E317" s="133">
        <f t="shared" si="64"/>
        <v>128010.35769980507</v>
      </c>
      <c r="F317" s="134">
        <v>183448014</v>
      </c>
      <c r="G317" s="134">
        <f t="shared" si="65"/>
        <v>89399.616959064326</v>
      </c>
      <c r="H317" s="135"/>
      <c r="I317" s="136">
        <v>5.35</v>
      </c>
      <c r="J317" s="134">
        <v>981447</v>
      </c>
      <c r="K317" s="120">
        <f t="shared" si="66"/>
        <v>478.28801169590645</v>
      </c>
      <c r="L317" s="122">
        <f t="shared" si="53"/>
        <v>1834480.1400000001</v>
      </c>
      <c r="M317" s="116">
        <f t="shared" si="54"/>
        <v>853033.14000000013</v>
      </c>
      <c r="N317" s="123">
        <f t="shared" si="55"/>
        <v>415.70815789473693</v>
      </c>
      <c r="O317" s="5"/>
      <c r="P317" s="5">
        <f t="shared" si="56"/>
        <v>1</v>
      </c>
      <c r="Q317" s="7">
        <f t="shared" si="57"/>
        <v>2052</v>
      </c>
    </row>
    <row r="318" spans="1:21">
      <c r="A318" s="23" t="s">
        <v>345</v>
      </c>
      <c r="B318" s="35" t="s">
        <v>342</v>
      </c>
      <c r="C318" s="125">
        <v>107</v>
      </c>
      <c r="D318" s="132">
        <v>188512286</v>
      </c>
      <c r="E318" s="133">
        <f t="shared" si="64"/>
        <v>1761797.0654205608</v>
      </c>
      <c r="F318" s="134">
        <v>119068847</v>
      </c>
      <c r="G318" s="134">
        <f t="shared" si="65"/>
        <v>1112792.9626168224</v>
      </c>
      <c r="H318" s="135"/>
      <c r="I318" s="136">
        <v>0.72829999999999995</v>
      </c>
      <c r="J318" s="134">
        <v>86717.841270099991</v>
      </c>
      <c r="K318" s="120">
        <f t="shared" si="66"/>
        <v>810.44711467383172</v>
      </c>
      <c r="L318" s="122">
        <f t="shared" si="53"/>
        <v>1190688.47</v>
      </c>
      <c r="M318" s="116">
        <f t="shared" si="54"/>
        <v>1103970.6287298999</v>
      </c>
      <c r="N318" s="123">
        <f t="shared" si="55"/>
        <v>10317.482511494391</v>
      </c>
      <c r="O318" s="5"/>
      <c r="P318" s="5">
        <f t="shared" si="56"/>
        <v>1</v>
      </c>
      <c r="Q318" s="7">
        <f t="shared" si="57"/>
        <v>107</v>
      </c>
    </row>
    <row r="319" spans="1:21">
      <c r="A319" s="23" t="s">
        <v>346</v>
      </c>
      <c r="B319" s="35" t="s">
        <v>342</v>
      </c>
      <c r="C319" s="125">
        <v>110679</v>
      </c>
      <c r="D319" s="132">
        <v>12958943581</v>
      </c>
      <c r="E319" s="133">
        <f t="shared" si="64"/>
        <v>117085.83905709304</v>
      </c>
      <c r="F319" s="134">
        <v>8748685307</v>
      </c>
      <c r="G319" s="134">
        <f t="shared" si="65"/>
        <v>79045.576008095479</v>
      </c>
      <c r="H319" s="135"/>
      <c r="I319" s="136">
        <v>5.1550000000000002</v>
      </c>
      <c r="J319" s="134">
        <v>45099472.757584997</v>
      </c>
      <c r="K319" s="120">
        <f t="shared" si="66"/>
        <v>407.47994432173221</v>
      </c>
      <c r="L319" s="122">
        <f t="shared" si="53"/>
        <v>87486853.070000008</v>
      </c>
      <c r="M319" s="116">
        <f t="shared" si="54"/>
        <v>42387380.312415011</v>
      </c>
      <c r="N319" s="123">
        <f t="shared" si="55"/>
        <v>382.97581575922271</v>
      </c>
      <c r="O319" s="5"/>
      <c r="P319" s="5">
        <f t="shared" si="56"/>
        <v>1</v>
      </c>
      <c r="Q319" s="7">
        <f t="shared" si="57"/>
        <v>110679</v>
      </c>
    </row>
    <row r="320" spans="1:21">
      <c r="A320" s="129" t="s">
        <v>347</v>
      </c>
      <c r="B320" s="130" t="s">
        <v>342</v>
      </c>
      <c r="C320" s="131">
        <v>35783</v>
      </c>
      <c r="D320" s="132">
        <v>3239899785</v>
      </c>
      <c r="E320" s="133">
        <f t="shared" si="64"/>
        <v>90542.989268647128</v>
      </c>
      <c r="F320" s="134">
        <v>1991882705</v>
      </c>
      <c r="G320" s="134">
        <f t="shared" si="65"/>
        <v>55665.615096554233</v>
      </c>
      <c r="H320" s="135"/>
      <c r="I320" s="136">
        <v>4.1345000000000001</v>
      </c>
      <c r="J320" s="134">
        <v>8235439.0438224999</v>
      </c>
      <c r="K320" s="137">
        <f t="shared" si="66"/>
        <v>230.14948561670346</v>
      </c>
      <c r="L320" s="138">
        <f t="shared" si="53"/>
        <v>19918827.050000001</v>
      </c>
      <c r="M320" s="133">
        <f t="shared" si="54"/>
        <v>11683388.0061775</v>
      </c>
      <c r="N320" s="139">
        <f t="shared" si="55"/>
        <v>326.50666534883885</v>
      </c>
      <c r="O320" s="5"/>
      <c r="P320" s="5">
        <f t="shared" si="56"/>
        <v>1</v>
      </c>
      <c r="Q320" s="7">
        <f t="shared" si="57"/>
        <v>35783</v>
      </c>
    </row>
    <row r="321" spans="1:17">
      <c r="A321" s="23" t="s">
        <v>348</v>
      </c>
      <c r="B321" s="35" t="s">
        <v>342</v>
      </c>
      <c r="C321" s="125">
        <v>12222</v>
      </c>
      <c r="D321" s="132">
        <v>1190396839</v>
      </c>
      <c r="E321" s="133">
        <f t="shared" si="64"/>
        <v>97397.875879561441</v>
      </c>
      <c r="F321" s="134">
        <v>747993645</v>
      </c>
      <c r="G321" s="134">
        <f t="shared" si="65"/>
        <v>61200.592783505155</v>
      </c>
      <c r="H321" s="135"/>
      <c r="I321" s="136">
        <v>4.0389999999999997</v>
      </c>
      <c r="J321" s="134">
        <v>3021146.332155</v>
      </c>
      <c r="K321" s="120">
        <f t="shared" si="66"/>
        <v>247.18919425257732</v>
      </c>
      <c r="L321" s="122">
        <f t="shared" si="53"/>
        <v>7479936.4500000002</v>
      </c>
      <c r="M321" s="116">
        <f t="shared" si="54"/>
        <v>4458790.1178450007</v>
      </c>
      <c r="N321" s="123">
        <f t="shared" si="55"/>
        <v>364.81673358247428</v>
      </c>
      <c r="O321" s="5"/>
      <c r="P321" s="5">
        <f t="shared" si="56"/>
        <v>1</v>
      </c>
      <c r="Q321" s="7">
        <f t="shared" si="57"/>
        <v>12222</v>
      </c>
    </row>
    <row r="322" spans="1:17">
      <c r="A322" s="23" t="s">
        <v>349</v>
      </c>
      <c r="B322" s="35" t="s">
        <v>342</v>
      </c>
      <c r="C322" s="125">
        <v>4203</v>
      </c>
      <c r="D322" s="132">
        <v>1131339922</v>
      </c>
      <c r="E322" s="133">
        <f t="shared" si="64"/>
        <v>269174.38068046636</v>
      </c>
      <c r="F322" s="134">
        <v>893431029</v>
      </c>
      <c r="G322" s="134">
        <f t="shared" si="65"/>
        <v>212569.83797287653</v>
      </c>
      <c r="H322" s="135"/>
      <c r="I322" s="136">
        <v>2</v>
      </c>
      <c r="J322" s="134">
        <v>1786862.058</v>
      </c>
      <c r="K322" s="120">
        <f t="shared" si="66"/>
        <v>425.13967594575303</v>
      </c>
      <c r="L322" s="122">
        <f t="shared" si="53"/>
        <v>8934310.290000001</v>
      </c>
      <c r="M322" s="116">
        <f t="shared" si="54"/>
        <v>7147448.2320000008</v>
      </c>
      <c r="N322" s="123">
        <f t="shared" si="55"/>
        <v>1700.5587037830123</v>
      </c>
      <c r="O322" s="5"/>
      <c r="P322" s="5">
        <f t="shared" si="56"/>
        <v>1</v>
      </c>
      <c r="Q322" s="7">
        <f t="shared" si="57"/>
        <v>4203</v>
      </c>
    </row>
    <row r="323" spans="1:17">
      <c r="A323" s="23" t="s">
        <v>350</v>
      </c>
      <c r="B323" s="35" t="s">
        <v>342</v>
      </c>
      <c r="C323" s="125">
        <v>1424</v>
      </c>
      <c r="D323" s="132">
        <v>859776414</v>
      </c>
      <c r="E323" s="133">
        <f t="shared" si="64"/>
        <v>603775.57162921352</v>
      </c>
      <c r="F323" s="134">
        <v>742345185</v>
      </c>
      <c r="G323" s="134">
        <f t="shared" si="65"/>
        <v>521309.82092696632</v>
      </c>
      <c r="H323" s="148"/>
      <c r="I323" s="136">
        <v>1.87</v>
      </c>
      <c r="J323" s="134">
        <v>1388185</v>
      </c>
      <c r="K323" s="120">
        <f t="shared" si="66"/>
        <v>974.84901685393254</v>
      </c>
      <c r="L323" s="122">
        <f t="shared" si="53"/>
        <v>7423451.8500000006</v>
      </c>
      <c r="M323" s="116">
        <f t="shared" si="54"/>
        <v>6035266.8500000006</v>
      </c>
      <c r="N323" s="123">
        <f t="shared" si="55"/>
        <v>4238.2491924157312</v>
      </c>
      <c r="O323" s="5"/>
      <c r="P323" s="5">
        <f t="shared" si="56"/>
        <v>1</v>
      </c>
      <c r="Q323" s="7">
        <f t="shared" si="57"/>
        <v>1424</v>
      </c>
    </row>
    <row r="324" spans="1:17">
      <c r="A324" s="23" t="s">
        <v>351</v>
      </c>
      <c r="B324" s="35" t="s">
        <v>342</v>
      </c>
      <c r="C324" s="125">
        <v>5040</v>
      </c>
      <c r="D324" s="132">
        <v>224661502</v>
      </c>
      <c r="E324" s="133">
        <f t="shared" si="64"/>
        <v>44575.69484126984</v>
      </c>
      <c r="F324" s="134">
        <v>129522474</v>
      </c>
      <c r="G324" s="134">
        <f t="shared" si="65"/>
        <v>25698.903571428571</v>
      </c>
      <c r="H324" s="135"/>
      <c r="I324" s="136">
        <v>4.7591999999999999</v>
      </c>
      <c r="J324" s="134">
        <v>616423</v>
      </c>
      <c r="K324" s="120">
        <f t="shared" si="66"/>
        <v>122.30615079365079</v>
      </c>
      <c r="L324" s="122">
        <f t="shared" si="53"/>
        <v>1295224.74</v>
      </c>
      <c r="M324" s="116">
        <f t="shared" si="54"/>
        <v>678801.74</v>
      </c>
      <c r="N324" s="123">
        <f t="shared" si="55"/>
        <v>134.6828849206349</v>
      </c>
      <c r="O324" s="5"/>
      <c r="P324" s="5">
        <f t="shared" si="56"/>
        <v>1</v>
      </c>
      <c r="Q324" s="7">
        <f t="shared" si="57"/>
        <v>5040</v>
      </c>
    </row>
    <row r="325" spans="1:17">
      <c r="A325" s="23" t="s">
        <v>352</v>
      </c>
      <c r="B325" s="35" t="s">
        <v>342</v>
      </c>
      <c r="C325" s="125">
        <v>80747</v>
      </c>
      <c r="D325" s="132">
        <v>5554245556</v>
      </c>
      <c r="E325" s="133">
        <f t="shared" si="64"/>
        <v>68785.782208626944</v>
      </c>
      <c r="F325" s="134">
        <v>3724208734</v>
      </c>
      <c r="G325" s="134">
        <f t="shared" si="65"/>
        <v>46121.94550881147</v>
      </c>
      <c r="H325" s="135"/>
      <c r="I325" s="136">
        <v>5.3704999999999998</v>
      </c>
      <c r="J325" s="134">
        <v>20000863.005946998</v>
      </c>
      <c r="K325" s="120">
        <f t="shared" si="66"/>
        <v>247.69790835507197</v>
      </c>
      <c r="L325" s="122">
        <f t="shared" si="53"/>
        <v>37242087.340000004</v>
      </c>
      <c r="M325" s="116">
        <f t="shared" si="54"/>
        <v>17241224.334053006</v>
      </c>
      <c r="N325" s="123">
        <f t="shared" si="55"/>
        <v>213.52154673304278</v>
      </c>
      <c r="O325" s="5"/>
      <c r="P325" s="5">
        <f t="shared" si="56"/>
        <v>1</v>
      </c>
      <c r="Q325" s="7">
        <f t="shared" si="57"/>
        <v>80747</v>
      </c>
    </row>
    <row r="326" spans="1:17">
      <c r="A326" s="23" t="s">
        <v>353</v>
      </c>
      <c r="B326" s="35" t="s">
        <v>342</v>
      </c>
      <c r="C326" s="125">
        <v>4341</v>
      </c>
      <c r="D326" s="132">
        <v>1258719615</v>
      </c>
      <c r="E326" s="133">
        <f t="shared" si="64"/>
        <v>289960.74982722878</v>
      </c>
      <c r="F326" s="134">
        <v>986793392</v>
      </c>
      <c r="G326" s="134">
        <f t="shared" si="65"/>
        <v>227319.37157337018</v>
      </c>
      <c r="H326" s="135"/>
      <c r="I326" s="136">
        <v>2.2000000000000002</v>
      </c>
      <c r="J326" s="134">
        <v>2170945</v>
      </c>
      <c r="K326" s="120">
        <f t="shared" si="66"/>
        <v>500.10251094217921</v>
      </c>
      <c r="L326" s="122">
        <f t="shared" ref="L326:L389" si="67">(F326*0.01)</f>
        <v>9867933.9199999999</v>
      </c>
      <c r="M326" s="116">
        <f t="shared" ref="M326:M389" si="68">(L326-J326)</f>
        <v>7696988.9199999999</v>
      </c>
      <c r="N326" s="123">
        <f t="shared" ref="N326:N389" si="69">(M326/C326)</f>
        <v>1773.0912047915226</v>
      </c>
      <c r="O326" s="5"/>
      <c r="P326" s="5">
        <f t="shared" si="56"/>
        <v>1</v>
      </c>
      <c r="Q326" s="7">
        <f t="shared" si="57"/>
        <v>4341</v>
      </c>
    </row>
    <row r="327" spans="1:17">
      <c r="A327" s="23" t="s">
        <v>354</v>
      </c>
      <c r="B327" s="35" t="s">
        <v>342</v>
      </c>
      <c r="C327" s="125">
        <v>1418</v>
      </c>
      <c r="D327" s="132">
        <v>518286219</v>
      </c>
      <c r="E327" s="133">
        <f t="shared" si="64"/>
        <v>365505.09097320167</v>
      </c>
      <c r="F327" s="134">
        <v>437264917</v>
      </c>
      <c r="G327" s="134">
        <f t="shared" si="65"/>
        <v>308367.36036671366</v>
      </c>
      <c r="H327" s="135"/>
      <c r="I327" s="136">
        <v>0.75109999999999999</v>
      </c>
      <c r="J327" s="134">
        <v>328429.67915869999</v>
      </c>
      <c r="K327" s="120">
        <f t="shared" si="66"/>
        <v>231.61472437143863</v>
      </c>
      <c r="L327" s="122">
        <f t="shared" si="67"/>
        <v>4372649.17</v>
      </c>
      <c r="M327" s="116">
        <f t="shared" si="68"/>
        <v>4044219.4908412998</v>
      </c>
      <c r="N327" s="123">
        <f t="shared" si="69"/>
        <v>2852.0588792956978</v>
      </c>
      <c r="O327" s="5"/>
      <c r="P327" s="5">
        <f t="shared" ref="P327:P390" si="70">IF(I327&gt;0,1,0)</f>
        <v>1</v>
      </c>
      <c r="Q327" s="7">
        <f t="shared" ref="Q327:Q390" si="71">IF(I327&gt;0,C327,0)</f>
        <v>1418</v>
      </c>
    </row>
    <row r="328" spans="1:17">
      <c r="A328" s="23" t="s">
        <v>355</v>
      </c>
      <c r="B328" s="35" t="s">
        <v>342</v>
      </c>
      <c r="C328" s="125">
        <v>13993</v>
      </c>
      <c r="D328" s="132">
        <v>1581141339</v>
      </c>
      <c r="E328" s="133">
        <f t="shared" si="64"/>
        <v>112995.16465375545</v>
      </c>
      <c r="F328" s="134">
        <v>1161961314</v>
      </c>
      <c r="G328" s="134">
        <f t="shared" si="65"/>
        <v>83038.756092331882</v>
      </c>
      <c r="H328" s="135"/>
      <c r="I328" s="136">
        <v>4.05</v>
      </c>
      <c r="J328" s="134">
        <v>4705943.3217000002</v>
      </c>
      <c r="K328" s="120">
        <f t="shared" si="66"/>
        <v>336.30696217394416</v>
      </c>
      <c r="L328" s="122">
        <f t="shared" si="67"/>
        <v>11619613.140000001</v>
      </c>
      <c r="M328" s="116">
        <f t="shared" si="68"/>
        <v>6913669.8183000004</v>
      </c>
      <c r="N328" s="123">
        <f t="shared" si="69"/>
        <v>494.0805987493747</v>
      </c>
      <c r="O328" s="5"/>
      <c r="P328" s="5">
        <f t="shared" si="70"/>
        <v>1</v>
      </c>
      <c r="Q328" s="7">
        <f t="shared" si="71"/>
        <v>13993</v>
      </c>
    </row>
    <row r="329" spans="1:17">
      <c r="A329" s="23" t="s">
        <v>356</v>
      </c>
      <c r="B329" s="35" t="s">
        <v>342</v>
      </c>
      <c r="C329" s="125">
        <v>51790</v>
      </c>
      <c r="D329" s="132">
        <v>4129860502</v>
      </c>
      <c r="E329" s="133">
        <f t="shared" si="64"/>
        <v>79742.431009847467</v>
      </c>
      <c r="F329" s="134">
        <v>2906467998</v>
      </c>
      <c r="G329" s="134">
        <f t="shared" si="65"/>
        <v>56120.254836841086</v>
      </c>
      <c r="H329" s="135"/>
      <c r="I329" s="136">
        <v>5.5861999999999998</v>
      </c>
      <c r="J329" s="134">
        <v>16236111.530427599</v>
      </c>
      <c r="K329" s="120">
        <f t="shared" si="66"/>
        <v>313.49896756956167</v>
      </c>
      <c r="L329" s="122">
        <f t="shared" si="67"/>
        <v>29064679.98</v>
      </c>
      <c r="M329" s="116">
        <f t="shared" si="68"/>
        <v>12828568.449572401</v>
      </c>
      <c r="N329" s="123">
        <f t="shared" si="69"/>
        <v>247.70358079884923</v>
      </c>
      <c r="O329" s="5"/>
      <c r="P329" s="5">
        <f t="shared" si="70"/>
        <v>1</v>
      </c>
      <c r="Q329" s="7">
        <f t="shared" si="71"/>
        <v>51790</v>
      </c>
    </row>
    <row r="330" spans="1:17">
      <c r="A330" s="23" t="s">
        <v>357</v>
      </c>
      <c r="B330" s="35" t="s">
        <v>342</v>
      </c>
      <c r="C330" s="125">
        <v>1438</v>
      </c>
      <c r="D330" s="132">
        <v>511416231</v>
      </c>
      <c r="E330" s="133">
        <f t="shared" si="64"/>
        <v>355644.11057023646</v>
      </c>
      <c r="F330" s="134">
        <v>395706717</v>
      </c>
      <c r="G330" s="134">
        <f t="shared" si="65"/>
        <v>275178.52364394994</v>
      </c>
      <c r="H330" s="135"/>
      <c r="I330" s="136">
        <v>1.9410000000000001</v>
      </c>
      <c r="J330" s="134">
        <v>768066.73769700003</v>
      </c>
      <c r="K330" s="120">
        <f t="shared" si="66"/>
        <v>534.12151439290687</v>
      </c>
      <c r="L330" s="122">
        <f t="shared" si="67"/>
        <v>3957067.17</v>
      </c>
      <c r="M330" s="116">
        <f t="shared" si="68"/>
        <v>3189000.4323029998</v>
      </c>
      <c r="N330" s="123">
        <f t="shared" si="69"/>
        <v>2217.6637220465923</v>
      </c>
      <c r="O330" s="5"/>
      <c r="P330" s="5">
        <f t="shared" si="70"/>
        <v>1</v>
      </c>
      <c r="Q330" s="7">
        <f t="shared" si="71"/>
        <v>1438</v>
      </c>
    </row>
    <row r="331" spans="1:17">
      <c r="A331" s="23" t="s">
        <v>358</v>
      </c>
      <c r="B331" s="35" t="s">
        <v>342</v>
      </c>
      <c r="C331" s="125">
        <v>2152</v>
      </c>
      <c r="D331" s="132">
        <v>714379380</v>
      </c>
      <c r="E331" s="133">
        <f t="shared" si="64"/>
        <v>331960.67843866174</v>
      </c>
      <c r="F331" s="134">
        <v>570223299</v>
      </c>
      <c r="G331" s="134">
        <f t="shared" si="65"/>
        <v>264973.65195167286</v>
      </c>
      <c r="H331" s="135"/>
      <c r="I331" s="136">
        <v>2</v>
      </c>
      <c r="J331" s="134">
        <v>1140447</v>
      </c>
      <c r="K331" s="120">
        <f t="shared" si="66"/>
        <v>529.94749070631974</v>
      </c>
      <c r="L331" s="122">
        <f t="shared" si="67"/>
        <v>5702232.9900000002</v>
      </c>
      <c r="M331" s="116">
        <f t="shared" si="68"/>
        <v>4561785.99</v>
      </c>
      <c r="N331" s="123">
        <f t="shared" si="69"/>
        <v>2119.789028810409</v>
      </c>
      <c r="O331" s="5"/>
      <c r="P331" s="5">
        <f t="shared" si="70"/>
        <v>1</v>
      </c>
      <c r="Q331" s="7">
        <f t="shared" si="71"/>
        <v>2152</v>
      </c>
    </row>
    <row r="332" spans="1:17">
      <c r="A332" s="23" t="s">
        <v>359</v>
      </c>
      <c r="B332" s="35" t="s">
        <v>342</v>
      </c>
      <c r="C332" s="125">
        <v>17103</v>
      </c>
      <c r="D332" s="132">
        <v>1778752162</v>
      </c>
      <c r="E332" s="133">
        <f t="shared" si="64"/>
        <v>104002.3482429983</v>
      </c>
      <c r="F332" s="134">
        <v>1068026697</v>
      </c>
      <c r="G332" s="134">
        <f t="shared" si="65"/>
        <v>62446.746009472023</v>
      </c>
      <c r="H332" s="135"/>
      <c r="I332" s="136">
        <v>4.0479000000000003</v>
      </c>
      <c r="J332" s="134">
        <v>4323265</v>
      </c>
      <c r="K332" s="120">
        <f t="shared" si="66"/>
        <v>252.77816757294042</v>
      </c>
      <c r="L332" s="122">
        <f t="shared" si="67"/>
        <v>10680266.970000001</v>
      </c>
      <c r="M332" s="116">
        <f t="shared" si="68"/>
        <v>6357001.9700000007</v>
      </c>
      <c r="N332" s="123">
        <f t="shared" si="69"/>
        <v>371.68929252177986</v>
      </c>
      <c r="O332" s="5"/>
      <c r="P332" s="5">
        <f t="shared" si="70"/>
        <v>1</v>
      </c>
      <c r="Q332" s="7">
        <f t="shared" si="71"/>
        <v>17103</v>
      </c>
    </row>
    <row r="333" spans="1:17">
      <c r="A333" s="23" t="s">
        <v>360</v>
      </c>
      <c r="B333" s="35" t="s">
        <v>342</v>
      </c>
      <c r="C333" s="125">
        <v>18231</v>
      </c>
      <c r="D333" s="132">
        <v>1748037259</v>
      </c>
      <c r="E333" s="133">
        <f t="shared" si="64"/>
        <v>95882.686577807035</v>
      </c>
      <c r="F333" s="134">
        <v>1129968768</v>
      </c>
      <c r="G333" s="134">
        <f t="shared" si="65"/>
        <v>61980.624650320882</v>
      </c>
      <c r="H333" s="135"/>
      <c r="I333" s="136">
        <v>2.4792999999999998</v>
      </c>
      <c r="J333" s="134">
        <v>2801531.5665023997</v>
      </c>
      <c r="K333" s="120">
        <f t="shared" si="66"/>
        <v>153.66856269554054</v>
      </c>
      <c r="L333" s="122">
        <f t="shared" si="67"/>
        <v>11299687.68</v>
      </c>
      <c r="M333" s="116">
        <f t="shared" si="68"/>
        <v>8498156.1134976</v>
      </c>
      <c r="N333" s="123">
        <f t="shared" si="69"/>
        <v>466.13768380766828</v>
      </c>
      <c r="O333" s="5"/>
      <c r="P333" s="5">
        <f t="shared" si="70"/>
        <v>1</v>
      </c>
      <c r="Q333" s="7">
        <f t="shared" si="71"/>
        <v>18231</v>
      </c>
    </row>
    <row r="334" spans="1:17">
      <c r="A334" s="23" t="s">
        <v>361</v>
      </c>
      <c r="B334" s="35" t="s">
        <v>342</v>
      </c>
      <c r="C334" s="125">
        <v>5081</v>
      </c>
      <c r="D334" s="132">
        <v>673234422</v>
      </c>
      <c r="E334" s="133">
        <f t="shared" si="64"/>
        <v>132500.37827199372</v>
      </c>
      <c r="F334" s="134">
        <v>501109374</v>
      </c>
      <c r="G334" s="134">
        <f t="shared" si="65"/>
        <v>98624.163353670534</v>
      </c>
      <c r="H334" s="135"/>
      <c r="I334" s="136">
        <v>3.25</v>
      </c>
      <c r="J334" s="134">
        <v>1628605.4654999999</v>
      </c>
      <c r="K334" s="120">
        <f t="shared" si="66"/>
        <v>320.52853089942926</v>
      </c>
      <c r="L334" s="122">
        <f t="shared" si="67"/>
        <v>5011093.74</v>
      </c>
      <c r="M334" s="116">
        <f t="shared" si="68"/>
        <v>3382488.2745000003</v>
      </c>
      <c r="N334" s="123">
        <f t="shared" si="69"/>
        <v>665.71310263727617</v>
      </c>
      <c r="O334" s="5"/>
      <c r="P334" s="5">
        <f t="shared" si="70"/>
        <v>1</v>
      </c>
      <c r="Q334" s="7">
        <f t="shared" si="71"/>
        <v>5081</v>
      </c>
    </row>
    <row r="335" spans="1:17">
      <c r="A335" s="24" t="s">
        <v>561</v>
      </c>
      <c r="B335" s="35" t="s">
        <v>342</v>
      </c>
      <c r="C335" s="125">
        <v>9412</v>
      </c>
      <c r="D335" s="132">
        <v>3055048740</v>
      </c>
      <c r="E335" s="133">
        <f t="shared" si="64"/>
        <v>324590.81385465362</v>
      </c>
      <c r="F335" s="134">
        <v>2371012492</v>
      </c>
      <c r="G335" s="134">
        <f t="shared" si="65"/>
        <v>251913.77943051423</v>
      </c>
      <c r="H335" s="135"/>
      <c r="I335" s="136">
        <v>3.15</v>
      </c>
      <c r="J335" s="134">
        <v>7468689.3498</v>
      </c>
      <c r="K335" s="120">
        <f t="shared" si="66"/>
        <v>793.52840520611983</v>
      </c>
      <c r="L335" s="122">
        <f t="shared" si="67"/>
        <v>23710124.920000002</v>
      </c>
      <c r="M335" s="116">
        <f t="shared" si="68"/>
        <v>16241435.570200002</v>
      </c>
      <c r="N335" s="123">
        <f t="shared" si="69"/>
        <v>1725.6093890990228</v>
      </c>
      <c r="O335" s="5"/>
      <c r="P335" s="5">
        <f t="shared" si="70"/>
        <v>1</v>
      </c>
      <c r="Q335" s="7">
        <f t="shared" si="71"/>
        <v>9412</v>
      </c>
    </row>
    <row r="336" spans="1:17">
      <c r="A336" s="24" t="s">
        <v>548</v>
      </c>
      <c r="B336" s="35" t="s">
        <v>342</v>
      </c>
      <c r="C336" s="125">
        <v>256681</v>
      </c>
      <c r="D336" s="132">
        <v>23463439900</v>
      </c>
      <c r="E336" s="133">
        <f t="shared" si="64"/>
        <v>91410.894846131967</v>
      </c>
      <c r="F336" s="134">
        <v>14687359238</v>
      </c>
      <c r="G336" s="134">
        <f t="shared" si="65"/>
        <v>57220.28213229651</v>
      </c>
      <c r="H336" s="135"/>
      <c r="I336" s="136">
        <v>6.77</v>
      </c>
      <c r="J336" s="134">
        <v>99433422.041259989</v>
      </c>
      <c r="K336" s="120">
        <f t="shared" si="66"/>
        <v>387.38131003564735</v>
      </c>
      <c r="L336" s="122">
        <f t="shared" si="67"/>
        <v>146873592.38</v>
      </c>
      <c r="M336" s="116">
        <f t="shared" si="68"/>
        <v>47440170.338740006</v>
      </c>
      <c r="N336" s="123">
        <f t="shared" si="69"/>
        <v>184.82151128731775</v>
      </c>
      <c r="O336" s="5"/>
      <c r="P336" s="5">
        <f t="shared" si="70"/>
        <v>1</v>
      </c>
      <c r="Q336" s="7">
        <f t="shared" si="71"/>
        <v>256681</v>
      </c>
    </row>
    <row r="337" spans="1:21">
      <c r="A337" s="23" t="s">
        <v>362</v>
      </c>
      <c r="B337" s="35" t="s">
        <v>342</v>
      </c>
      <c r="C337" s="125">
        <v>24421</v>
      </c>
      <c r="D337" s="132">
        <v>2331691922</v>
      </c>
      <c r="E337" s="133">
        <f t="shared" si="64"/>
        <v>95478.969821055653</v>
      </c>
      <c r="F337" s="134">
        <v>1482199668</v>
      </c>
      <c r="G337" s="134">
        <f t="shared" si="65"/>
        <v>60693.651693214859</v>
      </c>
      <c r="H337" s="135"/>
      <c r="I337" s="136">
        <v>5.45</v>
      </c>
      <c r="J337" s="134">
        <v>8077988.1906000003</v>
      </c>
      <c r="K337" s="120">
        <f t="shared" si="66"/>
        <v>330.78040172802099</v>
      </c>
      <c r="L337" s="122">
        <f t="shared" si="67"/>
        <v>14821996.68</v>
      </c>
      <c r="M337" s="116">
        <f t="shared" si="68"/>
        <v>6744008.4893999994</v>
      </c>
      <c r="N337" s="123">
        <f t="shared" si="69"/>
        <v>276.15611520412756</v>
      </c>
      <c r="O337" s="5"/>
      <c r="P337" s="5">
        <f t="shared" si="70"/>
        <v>1</v>
      </c>
      <c r="Q337" s="7">
        <f t="shared" si="71"/>
        <v>24421</v>
      </c>
    </row>
    <row r="338" spans="1:21">
      <c r="A338" s="23" t="s">
        <v>363</v>
      </c>
      <c r="B338" s="35" t="s">
        <v>342</v>
      </c>
      <c r="C338" s="125">
        <v>6790</v>
      </c>
      <c r="D338" s="132">
        <v>1932072075</v>
      </c>
      <c r="E338" s="133">
        <f t="shared" si="64"/>
        <v>284546.69734904269</v>
      </c>
      <c r="F338" s="134">
        <v>1487100050</v>
      </c>
      <c r="G338" s="134">
        <f t="shared" si="65"/>
        <v>219013.26215022092</v>
      </c>
      <c r="H338" s="135"/>
      <c r="I338" s="136">
        <v>3.3368000000000002</v>
      </c>
      <c r="J338" s="134">
        <v>4962155</v>
      </c>
      <c r="K338" s="120">
        <f t="shared" si="66"/>
        <v>730.80338733431518</v>
      </c>
      <c r="L338" s="122">
        <f t="shared" si="67"/>
        <v>14871000.5</v>
      </c>
      <c r="M338" s="116">
        <f t="shared" si="68"/>
        <v>9908845.5</v>
      </c>
      <c r="N338" s="123">
        <f t="shared" si="69"/>
        <v>1459.3292341678939</v>
      </c>
      <c r="O338" s="5"/>
      <c r="P338" s="5">
        <f t="shared" si="70"/>
        <v>1</v>
      </c>
      <c r="Q338" s="7">
        <f t="shared" si="71"/>
        <v>6790</v>
      </c>
      <c r="S338" s="124">
        <f>SUM(D315:D338)</f>
        <v>70816122775</v>
      </c>
      <c r="T338" s="124">
        <f>SUM(F315:F338)</f>
        <v>47548662791</v>
      </c>
      <c r="U338" s="124">
        <f>SUM(J315:J338)</f>
        <v>239938159.66579512</v>
      </c>
    </row>
    <row r="339" spans="1:21">
      <c r="A339" s="23" t="s">
        <v>364</v>
      </c>
      <c r="B339" s="35" t="s">
        <v>365</v>
      </c>
      <c r="C339" s="125">
        <v>14832</v>
      </c>
      <c r="D339" s="132">
        <v>1343346638</v>
      </c>
      <c r="E339" s="133">
        <f t="shared" si="64"/>
        <v>90570.835895361379</v>
      </c>
      <c r="F339" s="134">
        <v>962902598</v>
      </c>
      <c r="G339" s="134">
        <f t="shared" si="65"/>
        <v>64920.61744875944</v>
      </c>
      <c r="H339" s="135"/>
      <c r="I339" s="136">
        <v>4.2656999999999998</v>
      </c>
      <c r="J339" s="134">
        <v>4107453.6122885998</v>
      </c>
      <c r="K339" s="120">
        <f t="shared" si="66"/>
        <v>276.93187785117311</v>
      </c>
      <c r="L339" s="122">
        <f t="shared" si="67"/>
        <v>9629025.9800000004</v>
      </c>
      <c r="M339" s="116">
        <f t="shared" si="68"/>
        <v>5521572.3677114006</v>
      </c>
      <c r="N339" s="123">
        <f t="shared" si="69"/>
        <v>372.2742966364213</v>
      </c>
      <c r="O339" s="5"/>
      <c r="P339" s="5">
        <f t="shared" si="70"/>
        <v>1</v>
      </c>
      <c r="Q339" s="7">
        <f t="shared" si="71"/>
        <v>14832</v>
      </c>
    </row>
    <row r="340" spans="1:21">
      <c r="A340" s="23" t="s">
        <v>366</v>
      </c>
      <c r="B340" s="35" t="s">
        <v>365</v>
      </c>
      <c r="C340" s="125">
        <v>18205</v>
      </c>
      <c r="D340" s="132">
        <v>1081437237</v>
      </c>
      <c r="E340" s="133">
        <f t="shared" si="64"/>
        <v>59403.308816259268</v>
      </c>
      <c r="F340" s="134">
        <v>567862172</v>
      </c>
      <c r="G340" s="134">
        <f t="shared" si="65"/>
        <v>31192.648832738258</v>
      </c>
      <c r="H340" s="135"/>
      <c r="I340" s="136">
        <v>3.8386999999999998</v>
      </c>
      <c r="J340" s="134">
        <v>2179852.5196563997</v>
      </c>
      <c r="K340" s="120">
        <f t="shared" si="66"/>
        <v>119.73922107423233</v>
      </c>
      <c r="L340" s="122">
        <f t="shared" si="67"/>
        <v>5678621.7199999997</v>
      </c>
      <c r="M340" s="116">
        <f t="shared" si="68"/>
        <v>3498769.2003436</v>
      </c>
      <c r="N340" s="123">
        <f t="shared" si="69"/>
        <v>192.18726725315022</v>
      </c>
      <c r="O340" s="5"/>
      <c r="P340" s="5">
        <f t="shared" si="70"/>
        <v>1</v>
      </c>
      <c r="Q340" s="7">
        <f t="shared" si="71"/>
        <v>18205</v>
      </c>
    </row>
    <row r="341" spans="1:21">
      <c r="A341" s="23" t="s">
        <v>367</v>
      </c>
      <c r="B341" s="35" t="s">
        <v>365</v>
      </c>
      <c r="C341" s="125">
        <v>3786</v>
      </c>
      <c r="D341" s="132">
        <v>224230122</v>
      </c>
      <c r="E341" s="133">
        <f t="shared" si="64"/>
        <v>59226.128367670368</v>
      </c>
      <c r="F341" s="134">
        <v>139255417</v>
      </c>
      <c r="G341" s="134">
        <f t="shared" si="65"/>
        <v>36781.673798203912</v>
      </c>
      <c r="H341" s="135"/>
      <c r="I341" s="136">
        <v>7.5</v>
      </c>
      <c r="J341" s="134">
        <v>1044415.6274999999</v>
      </c>
      <c r="K341" s="120">
        <f t="shared" si="66"/>
        <v>275.86255348652929</v>
      </c>
      <c r="L341" s="122">
        <f t="shared" si="67"/>
        <v>1392554.17</v>
      </c>
      <c r="M341" s="116">
        <f t="shared" si="68"/>
        <v>348138.54249999998</v>
      </c>
      <c r="N341" s="123">
        <f t="shared" si="69"/>
        <v>91.954184495509764</v>
      </c>
      <c r="O341" s="5"/>
      <c r="P341" s="5">
        <f t="shared" si="70"/>
        <v>1</v>
      </c>
      <c r="Q341" s="7">
        <f t="shared" si="71"/>
        <v>3786</v>
      </c>
    </row>
    <row r="342" spans="1:21">
      <c r="A342" s="23" t="s">
        <v>368</v>
      </c>
      <c r="B342" s="35" t="s">
        <v>365</v>
      </c>
      <c r="C342" s="125">
        <v>3974</v>
      </c>
      <c r="D342" s="132">
        <v>236998831</v>
      </c>
      <c r="E342" s="133">
        <f t="shared" si="64"/>
        <v>59637.350528434828</v>
      </c>
      <c r="F342" s="134">
        <v>129461415</v>
      </c>
      <c r="G342" s="134">
        <f t="shared" si="65"/>
        <v>32577.104932058381</v>
      </c>
      <c r="H342" s="152"/>
      <c r="I342" s="136">
        <v>7.9</v>
      </c>
      <c r="J342" s="134">
        <v>1022745.1785</v>
      </c>
      <c r="K342" s="120">
        <f t="shared" si="66"/>
        <v>257.35912896326118</v>
      </c>
      <c r="L342" s="122">
        <f t="shared" si="67"/>
        <v>1294614.1500000001</v>
      </c>
      <c r="M342" s="116">
        <f t="shared" si="68"/>
        <v>271868.9715000001</v>
      </c>
      <c r="N342" s="123">
        <f t="shared" si="69"/>
        <v>68.411920357322629</v>
      </c>
      <c r="O342" s="5"/>
      <c r="P342" s="5">
        <f t="shared" si="70"/>
        <v>1</v>
      </c>
      <c r="Q342" s="7">
        <f t="shared" si="71"/>
        <v>3974</v>
      </c>
    </row>
    <row r="343" spans="1:21">
      <c r="A343" s="23" t="s">
        <v>369</v>
      </c>
      <c r="B343" s="35" t="s">
        <v>365</v>
      </c>
      <c r="C343" s="125">
        <v>2387</v>
      </c>
      <c r="D343" s="132">
        <v>137829797</v>
      </c>
      <c r="E343" s="133">
        <f t="shared" ref="E343:E374" si="72">(D343/C343)</f>
        <v>57741.850439882699</v>
      </c>
      <c r="F343" s="134">
        <v>63221595</v>
      </c>
      <c r="G343" s="134">
        <f t="shared" ref="G343:G374" si="73">(F343/C343)</f>
        <v>26485.795978215334</v>
      </c>
      <c r="H343" s="135"/>
      <c r="I343" s="136">
        <v>7.6516000000000002</v>
      </c>
      <c r="J343" s="134">
        <v>483746.356302</v>
      </c>
      <c r="K343" s="120">
        <f t="shared" ref="K343:K374" si="74">(J343/C343)</f>
        <v>202.65871650691244</v>
      </c>
      <c r="L343" s="122">
        <f t="shared" si="67"/>
        <v>632215.95000000007</v>
      </c>
      <c r="M343" s="116">
        <f t="shared" si="68"/>
        <v>148469.59369800007</v>
      </c>
      <c r="N343" s="123">
        <f t="shared" si="69"/>
        <v>62.199243275240917</v>
      </c>
      <c r="O343" s="5"/>
      <c r="P343" s="5">
        <f t="shared" si="70"/>
        <v>1</v>
      </c>
      <c r="Q343" s="7">
        <f t="shared" si="71"/>
        <v>2387</v>
      </c>
    </row>
    <row r="344" spans="1:21">
      <c r="A344" s="23" t="s">
        <v>370</v>
      </c>
      <c r="B344" s="35" t="s">
        <v>365</v>
      </c>
      <c r="C344" s="125">
        <v>5741</v>
      </c>
      <c r="D344" s="132">
        <v>185738948</v>
      </c>
      <c r="E344" s="133">
        <f t="shared" si="72"/>
        <v>32353.065319630725</v>
      </c>
      <c r="F344" s="134">
        <v>93440804</v>
      </c>
      <c r="G344" s="134">
        <f t="shared" si="73"/>
        <v>16276.050165476398</v>
      </c>
      <c r="H344" s="135"/>
      <c r="I344" s="136">
        <v>5.6483999999999996</v>
      </c>
      <c r="J344" s="134">
        <v>527791.03731359995</v>
      </c>
      <c r="K344" s="120">
        <f t="shared" si="74"/>
        <v>91.933641754676884</v>
      </c>
      <c r="L344" s="122">
        <f t="shared" si="67"/>
        <v>934408.04</v>
      </c>
      <c r="M344" s="116">
        <f t="shared" si="68"/>
        <v>406617.00268640008</v>
      </c>
      <c r="N344" s="123">
        <f t="shared" si="69"/>
        <v>70.826859900087101</v>
      </c>
      <c r="O344" s="5"/>
      <c r="P344" s="5">
        <f t="shared" si="70"/>
        <v>1</v>
      </c>
      <c r="Q344" s="7">
        <f t="shared" si="71"/>
        <v>5741</v>
      </c>
    </row>
    <row r="345" spans="1:21">
      <c r="A345" s="23" t="s">
        <v>371</v>
      </c>
      <c r="B345" s="35" t="s">
        <v>365</v>
      </c>
      <c r="C345" s="125">
        <v>3004</v>
      </c>
      <c r="D345" s="132">
        <v>201454216</v>
      </c>
      <c r="E345" s="133">
        <f t="shared" si="72"/>
        <v>67061.989347536612</v>
      </c>
      <c r="F345" s="134">
        <v>115425056</v>
      </c>
      <c r="G345" s="134">
        <f t="shared" si="73"/>
        <v>38423.786950732356</v>
      </c>
      <c r="H345" s="135"/>
      <c r="I345" s="150">
        <v>8.0587</v>
      </c>
      <c r="J345" s="134">
        <v>930175.89878719999</v>
      </c>
      <c r="K345" s="120">
        <f t="shared" si="74"/>
        <v>309.64577189986682</v>
      </c>
      <c r="L345" s="122">
        <f t="shared" si="67"/>
        <v>1154250.56</v>
      </c>
      <c r="M345" s="116">
        <f t="shared" si="68"/>
        <v>224074.66121280007</v>
      </c>
      <c r="N345" s="123">
        <f t="shared" si="69"/>
        <v>74.592097607456751</v>
      </c>
      <c r="O345" s="5"/>
      <c r="P345" s="5">
        <f t="shared" si="70"/>
        <v>1</v>
      </c>
      <c r="Q345" s="7">
        <f t="shared" si="71"/>
        <v>3004</v>
      </c>
    </row>
    <row r="346" spans="1:21">
      <c r="A346" s="23" t="s">
        <v>372</v>
      </c>
      <c r="B346" s="35" t="s">
        <v>365</v>
      </c>
      <c r="C346" s="125">
        <v>22660</v>
      </c>
      <c r="D346" s="132">
        <v>1297336672</v>
      </c>
      <c r="E346" s="133">
        <f t="shared" si="72"/>
        <v>57252.280317740515</v>
      </c>
      <c r="F346" s="134">
        <v>875772795</v>
      </c>
      <c r="G346" s="134">
        <f t="shared" si="73"/>
        <v>38648.402250661959</v>
      </c>
      <c r="H346" s="135"/>
      <c r="I346" s="136">
        <v>7.79</v>
      </c>
      <c r="J346" s="134">
        <v>6822270.0730499998</v>
      </c>
      <c r="K346" s="120">
        <f t="shared" si="74"/>
        <v>301.07105353265666</v>
      </c>
      <c r="L346" s="122">
        <f t="shared" si="67"/>
        <v>8757727.9499999993</v>
      </c>
      <c r="M346" s="116">
        <f t="shared" si="68"/>
        <v>1935457.8769499995</v>
      </c>
      <c r="N346" s="123">
        <f t="shared" si="69"/>
        <v>85.412968973962904</v>
      </c>
      <c r="O346" s="5"/>
      <c r="P346" s="5">
        <f t="shared" si="70"/>
        <v>1</v>
      </c>
      <c r="Q346" s="7">
        <f t="shared" si="71"/>
        <v>22660</v>
      </c>
    </row>
    <row r="347" spans="1:21">
      <c r="A347" s="23" t="s">
        <v>373</v>
      </c>
      <c r="B347" s="35" t="s">
        <v>365</v>
      </c>
      <c r="C347" s="125">
        <v>234</v>
      </c>
      <c r="D347" s="132">
        <v>16363315</v>
      </c>
      <c r="E347" s="133">
        <f t="shared" si="72"/>
        <v>69928.696581196578</v>
      </c>
      <c r="F347" s="134">
        <v>11505734</v>
      </c>
      <c r="G347" s="134">
        <f t="shared" si="73"/>
        <v>49169.803418803422</v>
      </c>
      <c r="H347" s="135"/>
      <c r="I347" s="136">
        <v>9.9758999999999993</v>
      </c>
      <c r="J347" s="134">
        <v>114780.05181059999</v>
      </c>
      <c r="K347" s="120">
        <f t="shared" si="74"/>
        <v>490.51304192564101</v>
      </c>
      <c r="L347" s="122">
        <f t="shared" si="67"/>
        <v>115057.34</v>
      </c>
      <c r="M347" s="116">
        <f t="shared" si="68"/>
        <v>277.28818940000201</v>
      </c>
      <c r="N347" s="123">
        <f t="shared" si="69"/>
        <v>1.184992262393171</v>
      </c>
      <c r="O347" s="5"/>
      <c r="P347" s="5">
        <f t="shared" si="70"/>
        <v>1</v>
      </c>
      <c r="Q347" s="7">
        <f t="shared" si="71"/>
        <v>234</v>
      </c>
    </row>
    <row r="348" spans="1:21">
      <c r="A348" s="23" t="s">
        <v>374</v>
      </c>
      <c r="B348" s="35" t="s">
        <v>365</v>
      </c>
      <c r="C348" s="125">
        <v>254</v>
      </c>
      <c r="D348" s="132">
        <v>16973290</v>
      </c>
      <c r="E348" s="133">
        <f t="shared" si="72"/>
        <v>66823.976377952757</v>
      </c>
      <c r="F348" s="134">
        <v>9994703</v>
      </c>
      <c r="G348" s="134">
        <f t="shared" si="73"/>
        <v>39349.22440944882</v>
      </c>
      <c r="H348" s="135"/>
      <c r="I348" s="136">
        <v>1.3788</v>
      </c>
      <c r="J348" s="134">
        <v>13753.120496400001</v>
      </c>
      <c r="K348" s="120">
        <f t="shared" si="74"/>
        <v>54.146143686614174</v>
      </c>
      <c r="L348" s="122">
        <f t="shared" si="67"/>
        <v>99947.03</v>
      </c>
      <c r="M348" s="116">
        <f t="shared" si="68"/>
        <v>86193.909503599993</v>
      </c>
      <c r="N348" s="123">
        <f t="shared" si="69"/>
        <v>339.34610040787396</v>
      </c>
      <c r="O348" s="5"/>
      <c r="P348" s="5">
        <f t="shared" si="70"/>
        <v>1</v>
      </c>
      <c r="Q348" s="7">
        <f t="shared" si="71"/>
        <v>254</v>
      </c>
    </row>
    <row r="349" spans="1:21">
      <c r="A349" s="23" t="s">
        <v>375</v>
      </c>
      <c r="B349" s="35" t="s">
        <v>365</v>
      </c>
      <c r="C349" s="125">
        <v>5322</v>
      </c>
      <c r="D349" s="132">
        <v>263212060</v>
      </c>
      <c r="E349" s="133">
        <f t="shared" si="72"/>
        <v>49457.358136039082</v>
      </c>
      <c r="F349" s="134">
        <v>145172371</v>
      </c>
      <c r="G349" s="134">
        <f t="shared" si="73"/>
        <v>27277.78485531755</v>
      </c>
      <c r="H349" s="135"/>
      <c r="I349" s="136">
        <v>7.4889999999999999</v>
      </c>
      <c r="J349" s="134">
        <v>1087195.8864189999</v>
      </c>
      <c r="K349" s="120">
        <f t="shared" si="74"/>
        <v>204.2833307814731</v>
      </c>
      <c r="L349" s="122">
        <f t="shared" si="67"/>
        <v>1451723.71</v>
      </c>
      <c r="M349" s="116">
        <f t="shared" si="68"/>
        <v>364527.82358100009</v>
      </c>
      <c r="N349" s="123">
        <f t="shared" si="69"/>
        <v>68.494517771702391</v>
      </c>
      <c r="O349" s="5"/>
      <c r="P349" s="5">
        <f t="shared" si="70"/>
        <v>1</v>
      </c>
      <c r="Q349" s="7">
        <f t="shared" si="71"/>
        <v>5322</v>
      </c>
    </row>
    <row r="350" spans="1:21">
      <c r="A350" s="23" t="s">
        <v>376</v>
      </c>
      <c r="B350" s="35" t="s">
        <v>365</v>
      </c>
      <c r="C350" s="125">
        <v>1271</v>
      </c>
      <c r="D350" s="132">
        <v>91450875</v>
      </c>
      <c r="E350" s="133">
        <f t="shared" si="72"/>
        <v>71951.907946498817</v>
      </c>
      <c r="F350" s="134">
        <v>62859311</v>
      </c>
      <c r="G350" s="134">
        <f t="shared" si="73"/>
        <v>49456.578284815107</v>
      </c>
      <c r="H350" s="135"/>
      <c r="I350" s="136">
        <v>8.4276</v>
      </c>
      <c r="J350" s="134">
        <v>529753.12938359997</v>
      </c>
      <c r="K350" s="120">
        <f t="shared" si="74"/>
        <v>416.80025915310779</v>
      </c>
      <c r="L350" s="122">
        <f t="shared" si="67"/>
        <v>628593.11</v>
      </c>
      <c r="M350" s="116">
        <f t="shared" si="68"/>
        <v>98839.980616400018</v>
      </c>
      <c r="N350" s="123">
        <f t="shared" si="69"/>
        <v>77.765523695043285</v>
      </c>
      <c r="O350" s="5"/>
      <c r="P350" s="5">
        <f t="shared" si="70"/>
        <v>1</v>
      </c>
      <c r="Q350" s="7">
        <f t="shared" si="71"/>
        <v>1271</v>
      </c>
    </row>
    <row r="351" spans="1:21">
      <c r="A351" s="23" t="s">
        <v>377</v>
      </c>
      <c r="B351" s="35" t="s">
        <v>365</v>
      </c>
      <c r="C351" s="125">
        <v>15011</v>
      </c>
      <c r="D351" s="132">
        <v>956069252</v>
      </c>
      <c r="E351" s="133">
        <f t="shared" si="72"/>
        <v>63691.243221637465</v>
      </c>
      <c r="F351" s="134">
        <v>620391079</v>
      </c>
      <c r="G351" s="134">
        <f t="shared" si="73"/>
        <v>41329.097262007861</v>
      </c>
      <c r="H351" s="152"/>
      <c r="I351" s="136">
        <v>7.3638000000000003</v>
      </c>
      <c r="J351" s="134">
        <v>4568435.8275402002</v>
      </c>
      <c r="K351" s="120">
        <f t="shared" si="74"/>
        <v>304.33920641797351</v>
      </c>
      <c r="L351" s="122">
        <f t="shared" si="67"/>
        <v>6203910.79</v>
      </c>
      <c r="M351" s="116">
        <f t="shared" si="68"/>
        <v>1635474.9624597998</v>
      </c>
      <c r="N351" s="123">
        <f t="shared" si="69"/>
        <v>108.95176620210511</v>
      </c>
      <c r="O351" s="5"/>
      <c r="P351" s="5">
        <f t="shared" si="70"/>
        <v>1</v>
      </c>
      <c r="Q351" s="7">
        <f t="shared" si="71"/>
        <v>15011</v>
      </c>
    </row>
    <row r="352" spans="1:21">
      <c r="A352" s="23" t="s">
        <v>378</v>
      </c>
      <c r="B352" s="35" t="s">
        <v>365</v>
      </c>
      <c r="C352" s="125">
        <v>101517</v>
      </c>
      <c r="D352" s="132">
        <v>7836764383</v>
      </c>
      <c r="E352" s="133">
        <f t="shared" si="72"/>
        <v>77196.571835259121</v>
      </c>
      <c r="F352" s="134">
        <v>5085085509</v>
      </c>
      <c r="G352" s="134">
        <f t="shared" si="73"/>
        <v>50090.974999261205</v>
      </c>
      <c r="H352" s="152"/>
      <c r="I352" s="136">
        <v>5.5644</v>
      </c>
      <c r="J352" s="134">
        <v>28295449.8062796</v>
      </c>
      <c r="K352" s="120">
        <f t="shared" si="74"/>
        <v>278.72622128588904</v>
      </c>
      <c r="L352" s="122">
        <f t="shared" si="67"/>
        <v>50850855.090000004</v>
      </c>
      <c r="M352" s="116">
        <f t="shared" si="68"/>
        <v>22555405.283720404</v>
      </c>
      <c r="N352" s="123">
        <f t="shared" si="69"/>
        <v>222.18352870672305</v>
      </c>
      <c r="O352" s="5"/>
      <c r="P352" s="5">
        <f t="shared" si="70"/>
        <v>1</v>
      </c>
      <c r="Q352" s="7">
        <f t="shared" si="71"/>
        <v>101517</v>
      </c>
    </row>
    <row r="353" spans="1:21">
      <c r="A353" s="23" t="s">
        <v>379</v>
      </c>
      <c r="B353" s="35" t="s">
        <v>365</v>
      </c>
      <c r="C353" s="125">
        <v>3775</v>
      </c>
      <c r="D353" s="132">
        <v>241281531</v>
      </c>
      <c r="E353" s="133">
        <f t="shared" si="72"/>
        <v>63915.637350993376</v>
      </c>
      <c r="F353" s="134">
        <v>169537173</v>
      </c>
      <c r="G353" s="134">
        <f t="shared" si="73"/>
        <v>44910.509403973512</v>
      </c>
      <c r="H353" s="152"/>
      <c r="I353" s="136">
        <v>7.29</v>
      </c>
      <c r="J353" s="134">
        <v>1235925.9911700001</v>
      </c>
      <c r="K353" s="120">
        <f t="shared" si="74"/>
        <v>327.39761355496688</v>
      </c>
      <c r="L353" s="122">
        <f t="shared" si="67"/>
        <v>1695371.73</v>
      </c>
      <c r="M353" s="116">
        <f t="shared" si="68"/>
        <v>459445.73882999993</v>
      </c>
      <c r="N353" s="123">
        <f t="shared" si="69"/>
        <v>121.7074804847682</v>
      </c>
      <c r="O353" s="5"/>
      <c r="P353" s="5">
        <f t="shared" si="70"/>
        <v>1</v>
      </c>
      <c r="Q353" s="7">
        <f t="shared" si="71"/>
        <v>3775</v>
      </c>
    </row>
    <row r="354" spans="1:21">
      <c r="A354" s="23" t="s">
        <v>380</v>
      </c>
      <c r="B354" s="35" t="s">
        <v>365</v>
      </c>
      <c r="C354" s="125">
        <v>1623</v>
      </c>
      <c r="D354" s="132">
        <v>100797200</v>
      </c>
      <c r="E354" s="133">
        <f t="shared" si="72"/>
        <v>62105.483672211951</v>
      </c>
      <c r="F354" s="134">
        <v>64176652</v>
      </c>
      <c r="G354" s="134">
        <f t="shared" si="73"/>
        <v>39541.991373998768</v>
      </c>
      <c r="H354" s="135"/>
      <c r="I354" s="136">
        <v>8.25</v>
      </c>
      <c r="J354" s="134">
        <v>529457.37899999996</v>
      </c>
      <c r="K354" s="120">
        <f t="shared" si="74"/>
        <v>326.2214288354898</v>
      </c>
      <c r="L354" s="122">
        <f t="shared" si="67"/>
        <v>641766.52</v>
      </c>
      <c r="M354" s="116">
        <f t="shared" si="68"/>
        <v>112309.14100000006</v>
      </c>
      <c r="N354" s="123">
        <f t="shared" si="69"/>
        <v>69.198484904497874</v>
      </c>
      <c r="O354" s="5"/>
      <c r="P354" s="5">
        <f t="shared" si="70"/>
        <v>1</v>
      </c>
      <c r="Q354" s="7">
        <f t="shared" si="71"/>
        <v>1623</v>
      </c>
    </row>
    <row r="355" spans="1:21">
      <c r="A355" s="23" t="s">
        <v>381</v>
      </c>
      <c r="B355" s="35" t="s">
        <v>365</v>
      </c>
      <c r="C355" s="125">
        <v>38085</v>
      </c>
      <c r="D355" s="132">
        <v>2677576705</v>
      </c>
      <c r="E355" s="133">
        <f t="shared" si="72"/>
        <v>70305.283051069971</v>
      </c>
      <c r="F355" s="134">
        <v>1723284783</v>
      </c>
      <c r="G355" s="134">
        <f t="shared" si="73"/>
        <v>45248.386057502954</v>
      </c>
      <c r="H355" s="135"/>
      <c r="I355" s="136">
        <v>5.79</v>
      </c>
      <c r="J355" s="134">
        <v>9977818.8935700003</v>
      </c>
      <c r="K355" s="120">
        <f t="shared" si="74"/>
        <v>261.98815527294209</v>
      </c>
      <c r="L355" s="122">
        <f t="shared" si="67"/>
        <v>17232847.830000002</v>
      </c>
      <c r="M355" s="116">
        <f t="shared" si="68"/>
        <v>7255028.9364300016</v>
      </c>
      <c r="N355" s="123">
        <f t="shared" si="69"/>
        <v>190.49570530208749</v>
      </c>
      <c r="O355" s="5"/>
      <c r="P355" s="5">
        <f t="shared" si="70"/>
        <v>1</v>
      </c>
      <c r="Q355" s="7">
        <f t="shared" si="71"/>
        <v>38085</v>
      </c>
      <c r="S355" s="124">
        <f>SUM(D339:D355)</f>
        <v>16908861072</v>
      </c>
      <c r="T355" s="124">
        <f>SUM(F339:F355)</f>
        <v>10839349167</v>
      </c>
      <c r="U355" s="124">
        <f>SUM(J339:J355)</f>
        <v>63471020.389067195</v>
      </c>
    </row>
    <row r="356" spans="1:21">
      <c r="A356" s="23" t="s">
        <v>382</v>
      </c>
      <c r="B356" s="35" t="s">
        <v>383</v>
      </c>
      <c r="C356" s="125">
        <v>1540</v>
      </c>
      <c r="D356" s="132">
        <v>103141854</v>
      </c>
      <c r="E356" s="133">
        <f t="shared" si="72"/>
        <v>66975.229870129871</v>
      </c>
      <c r="F356" s="134">
        <v>57440231</v>
      </c>
      <c r="G356" s="134">
        <f t="shared" si="73"/>
        <v>37298.851298701302</v>
      </c>
      <c r="H356" s="135"/>
      <c r="I356" s="136">
        <v>8.5914000000000001</v>
      </c>
      <c r="J356" s="134">
        <v>493492</v>
      </c>
      <c r="K356" s="120">
        <f t="shared" si="74"/>
        <v>320.44935064935066</v>
      </c>
      <c r="L356" s="122">
        <f t="shared" si="67"/>
        <v>574402.31000000006</v>
      </c>
      <c r="M356" s="116">
        <f t="shared" si="68"/>
        <v>80910.310000000056</v>
      </c>
      <c r="N356" s="123">
        <f t="shared" si="69"/>
        <v>52.539162337662376</v>
      </c>
      <c r="O356" s="5"/>
      <c r="P356" s="5">
        <f t="shared" si="70"/>
        <v>1</v>
      </c>
      <c r="Q356" s="7">
        <f t="shared" si="71"/>
        <v>1540</v>
      </c>
    </row>
    <row r="357" spans="1:21">
      <c r="A357" s="23" t="s">
        <v>384</v>
      </c>
      <c r="B357" s="35" t="s">
        <v>383</v>
      </c>
      <c r="C357" s="125">
        <v>1337</v>
      </c>
      <c r="D357" s="132">
        <v>103436196</v>
      </c>
      <c r="E357" s="133">
        <f t="shared" si="72"/>
        <v>77364.394913986544</v>
      </c>
      <c r="F357" s="134">
        <v>49077288</v>
      </c>
      <c r="G357" s="134">
        <f t="shared" si="73"/>
        <v>36707.021690351532</v>
      </c>
      <c r="H357" s="135"/>
      <c r="I357" s="136">
        <v>8.8820999999999994</v>
      </c>
      <c r="J357" s="134">
        <v>435909</v>
      </c>
      <c r="K357" s="120">
        <f t="shared" si="74"/>
        <v>326.03515332834706</v>
      </c>
      <c r="L357" s="122">
        <f t="shared" si="67"/>
        <v>490772.88</v>
      </c>
      <c r="M357" s="116">
        <f t="shared" si="68"/>
        <v>54863.880000000005</v>
      </c>
      <c r="N357" s="123">
        <f t="shared" si="69"/>
        <v>41.035063575168287</v>
      </c>
      <c r="O357" s="5"/>
      <c r="P357" s="5">
        <f t="shared" si="70"/>
        <v>1</v>
      </c>
      <c r="Q357" s="7">
        <f t="shared" si="71"/>
        <v>1337</v>
      </c>
    </row>
    <row r="358" spans="1:21">
      <c r="A358" s="23" t="s">
        <v>385</v>
      </c>
      <c r="B358" s="35" t="s">
        <v>383</v>
      </c>
      <c r="C358" s="125">
        <v>10418</v>
      </c>
      <c r="D358" s="132">
        <v>754815162</v>
      </c>
      <c r="E358" s="133">
        <f t="shared" si="72"/>
        <v>72452.981570358999</v>
      </c>
      <c r="F358" s="134">
        <v>383508554</v>
      </c>
      <c r="G358" s="134">
        <f t="shared" si="73"/>
        <v>36812.109234018048</v>
      </c>
      <c r="H358" s="135"/>
      <c r="I358" s="136">
        <v>6.9966999999999997</v>
      </c>
      <c r="J358" s="134">
        <v>2683294</v>
      </c>
      <c r="K358" s="120">
        <f t="shared" si="74"/>
        <v>257.5632559032444</v>
      </c>
      <c r="L358" s="122">
        <f t="shared" si="67"/>
        <v>3835085.54</v>
      </c>
      <c r="M358" s="116">
        <f t="shared" si="68"/>
        <v>1151791.54</v>
      </c>
      <c r="N358" s="123">
        <f t="shared" si="69"/>
        <v>110.55783643693607</v>
      </c>
      <c r="O358" s="5"/>
      <c r="P358" s="5">
        <f t="shared" si="70"/>
        <v>1</v>
      </c>
      <c r="Q358" s="7">
        <f t="shared" si="71"/>
        <v>10418</v>
      </c>
    </row>
    <row r="359" spans="1:21">
      <c r="A359" s="23" t="s">
        <v>386</v>
      </c>
      <c r="B359" s="35" t="s">
        <v>383</v>
      </c>
      <c r="C359" s="125">
        <v>873</v>
      </c>
      <c r="D359" s="132">
        <v>42303395</v>
      </c>
      <c r="E359" s="133">
        <f t="shared" si="72"/>
        <v>48457.497136311569</v>
      </c>
      <c r="F359" s="134">
        <v>26694352</v>
      </c>
      <c r="G359" s="134">
        <f t="shared" si="73"/>
        <v>30577.722794959907</v>
      </c>
      <c r="H359" s="135"/>
      <c r="I359" s="136">
        <v>5.7873999999999999</v>
      </c>
      <c r="J359" s="134">
        <v>154491</v>
      </c>
      <c r="K359" s="120">
        <f t="shared" si="74"/>
        <v>176.96563573883162</v>
      </c>
      <c r="L359" s="122">
        <f t="shared" si="67"/>
        <v>266943.52</v>
      </c>
      <c r="M359" s="116">
        <f t="shared" si="68"/>
        <v>112452.52000000002</v>
      </c>
      <c r="N359" s="123">
        <f t="shared" si="69"/>
        <v>128.81159221076749</v>
      </c>
      <c r="O359" s="5"/>
      <c r="P359" s="5">
        <f t="shared" si="70"/>
        <v>1</v>
      </c>
      <c r="Q359" s="7">
        <f t="shared" si="71"/>
        <v>873</v>
      </c>
    </row>
    <row r="360" spans="1:21">
      <c r="A360" s="23" t="s">
        <v>387</v>
      </c>
      <c r="B360" s="35" t="s">
        <v>383</v>
      </c>
      <c r="C360" s="125">
        <v>712</v>
      </c>
      <c r="D360" s="132">
        <v>66435872</v>
      </c>
      <c r="E360" s="133">
        <f t="shared" si="72"/>
        <v>93308.808988764038</v>
      </c>
      <c r="F360" s="134">
        <v>51305442</v>
      </c>
      <c r="G360" s="134">
        <f t="shared" si="73"/>
        <v>72058.205056179781</v>
      </c>
      <c r="H360" s="135"/>
      <c r="I360" s="136">
        <v>5.5049999999999999</v>
      </c>
      <c r="J360" s="134">
        <v>282436</v>
      </c>
      <c r="K360" s="120">
        <f t="shared" si="74"/>
        <v>396.67977528089887</v>
      </c>
      <c r="L360" s="122">
        <f t="shared" si="67"/>
        <v>513054.42</v>
      </c>
      <c r="M360" s="116">
        <f t="shared" si="68"/>
        <v>230618.41999999998</v>
      </c>
      <c r="N360" s="123">
        <f t="shared" si="69"/>
        <v>323.90227528089883</v>
      </c>
      <c r="O360" s="5"/>
      <c r="P360" s="5">
        <f t="shared" si="70"/>
        <v>1</v>
      </c>
      <c r="Q360" s="7">
        <f t="shared" si="71"/>
        <v>712</v>
      </c>
      <c r="S360" s="124">
        <f>SUM(D356:D360)</f>
        <v>1070132479</v>
      </c>
      <c r="T360" s="124">
        <f>SUM(F356:F360)</f>
        <v>568025867</v>
      </c>
      <c r="U360" s="124">
        <f>SUM(J356:J360)</f>
        <v>4049622</v>
      </c>
    </row>
    <row r="361" spans="1:21">
      <c r="A361" s="23" t="s">
        <v>390</v>
      </c>
      <c r="B361" s="35" t="s">
        <v>391</v>
      </c>
      <c r="C361" s="125">
        <v>5832</v>
      </c>
      <c r="D361" s="132">
        <v>1080032645</v>
      </c>
      <c r="E361" s="133">
        <f t="shared" si="72"/>
        <v>185190.78275034294</v>
      </c>
      <c r="F361" s="134">
        <v>705821110</v>
      </c>
      <c r="G361" s="134">
        <f t="shared" si="73"/>
        <v>121025.56755829904</v>
      </c>
      <c r="H361" s="152"/>
      <c r="I361" s="136">
        <v>1.9722999999999999</v>
      </c>
      <c r="J361" s="134">
        <v>1392091</v>
      </c>
      <c r="K361" s="120">
        <f t="shared" si="74"/>
        <v>238.69873113854595</v>
      </c>
      <c r="L361" s="122">
        <f t="shared" si="67"/>
        <v>7058211.1000000006</v>
      </c>
      <c r="M361" s="116">
        <f t="shared" si="68"/>
        <v>5666120.1000000006</v>
      </c>
      <c r="N361" s="123">
        <f t="shared" si="69"/>
        <v>971.55694444444453</v>
      </c>
      <c r="O361" s="5"/>
      <c r="P361" s="5">
        <f t="shared" si="70"/>
        <v>1</v>
      </c>
      <c r="Q361" s="7">
        <f t="shared" si="71"/>
        <v>5832</v>
      </c>
    </row>
    <row r="362" spans="1:21">
      <c r="A362" s="23" t="s">
        <v>392</v>
      </c>
      <c r="B362" s="35" t="s">
        <v>391</v>
      </c>
      <c r="C362" s="125">
        <v>563</v>
      </c>
      <c r="D362" s="132">
        <v>93955434</v>
      </c>
      <c r="E362" s="133">
        <f t="shared" si="72"/>
        <v>166883.54174067496</v>
      </c>
      <c r="F362" s="134">
        <v>63445391</v>
      </c>
      <c r="G362" s="134">
        <f t="shared" si="73"/>
        <v>112691.63587921848</v>
      </c>
      <c r="H362" s="152"/>
      <c r="I362" s="136">
        <v>2</v>
      </c>
      <c r="J362" s="134">
        <v>126891</v>
      </c>
      <c r="K362" s="120">
        <f t="shared" si="74"/>
        <v>225.38365896980463</v>
      </c>
      <c r="L362" s="122">
        <f t="shared" si="67"/>
        <v>634453.91</v>
      </c>
      <c r="M362" s="116">
        <f t="shared" si="68"/>
        <v>507562.91000000003</v>
      </c>
      <c r="N362" s="123">
        <f t="shared" si="69"/>
        <v>901.53269982238021</v>
      </c>
      <c r="O362" s="5"/>
      <c r="P362" s="5">
        <f t="shared" si="70"/>
        <v>1</v>
      </c>
      <c r="Q362" s="7">
        <f t="shared" si="71"/>
        <v>563</v>
      </c>
    </row>
    <row r="363" spans="1:21">
      <c r="A363" s="23" t="s">
        <v>393</v>
      </c>
      <c r="B363" s="35" t="s">
        <v>391</v>
      </c>
      <c r="C363" s="125">
        <v>9425</v>
      </c>
      <c r="D363" s="132">
        <v>554639507</v>
      </c>
      <c r="E363" s="133">
        <f t="shared" si="72"/>
        <v>58847.69305039788</v>
      </c>
      <c r="F363" s="134">
        <v>313026721</v>
      </c>
      <c r="G363" s="134">
        <f t="shared" si="73"/>
        <v>33212.384190981429</v>
      </c>
      <c r="H363" s="152"/>
      <c r="I363" s="136">
        <v>3.2372999999999998</v>
      </c>
      <c r="J363" s="134">
        <v>1013361</v>
      </c>
      <c r="K363" s="120">
        <f t="shared" si="74"/>
        <v>107.51840848806366</v>
      </c>
      <c r="L363" s="122">
        <f t="shared" si="67"/>
        <v>3130267.21</v>
      </c>
      <c r="M363" s="116">
        <f t="shared" si="68"/>
        <v>2116906.21</v>
      </c>
      <c r="N363" s="123">
        <f t="shared" si="69"/>
        <v>224.60543342175066</v>
      </c>
      <c r="O363" s="5"/>
      <c r="P363" s="5">
        <f t="shared" si="70"/>
        <v>1</v>
      </c>
      <c r="Q363" s="7">
        <f t="shared" si="71"/>
        <v>9425</v>
      </c>
      <c r="S363" s="124">
        <f>SUM(D361:D363)</f>
        <v>1728627586</v>
      </c>
      <c r="T363" s="124">
        <f>SUM(F361:F363)</f>
        <v>1082293222</v>
      </c>
      <c r="U363" s="124">
        <f>SUM(J361:J363)</f>
        <v>2532343</v>
      </c>
    </row>
    <row r="364" spans="1:21">
      <c r="A364" s="23" t="s">
        <v>394</v>
      </c>
      <c r="B364" s="35" t="s">
        <v>395</v>
      </c>
      <c r="C364" s="125">
        <v>62235</v>
      </c>
      <c r="D364" s="132">
        <v>4616660217</v>
      </c>
      <c r="E364" s="133">
        <f t="shared" si="72"/>
        <v>74181.091299108215</v>
      </c>
      <c r="F364" s="134">
        <v>2882177306</v>
      </c>
      <c r="G364" s="134">
        <f t="shared" si="73"/>
        <v>46311.196368602876</v>
      </c>
      <c r="H364" s="135"/>
      <c r="I364" s="136">
        <v>3.5973999999999999</v>
      </c>
      <c r="J364" s="134">
        <v>10368344.640604401</v>
      </c>
      <c r="K364" s="120">
        <f t="shared" si="74"/>
        <v>166.59989781641201</v>
      </c>
      <c r="L364" s="122">
        <f t="shared" si="67"/>
        <v>28821773.060000002</v>
      </c>
      <c r="M364" s="116">
        <f t="shared" si="68"/>
        <v>18453428.419395603</v>
      </c>
      <c r="N364" s="123">
        <f t="shared" si="69"/>
        <v>296.51206586961683</v>
      </c>
      <c r="O364" s="5"/>
      <c r="P364" s="5">
        <f t="shared" si="70"/>
        <v>1</v>
      </c>
      <c r="Q364" s="7">
        <f t="shared" si="71"/>
        <v>62235</v>
      </c>
    </row>
    <row r="365" spans="1:21">
      <c r="A365" s="23" t="s">
        <v>395</v>
      </c>
      <c r="B365" s="35" t="s">
        <v>395</v>
      </c>
      <c r="C365" s="125">
        <v>52905</v>
      </c>
      <c r="D365" s="132">
        <v>12466759384</v>
      </c>
      <c r="E365" s="133">
        <f t="shared" si="72"/>
        <v>235644.25638408467</v>
      </c>
      <c r="F365" s="134">
        <v>8103709242</v>
      </c>
      <c r="G365" s="134">
        <f t="shared" si="73"/>
        <v>153174.73286078821</v>
      </c>
      <c r="H365" s="135"/>
      <c r="I365" s="136">
        <v>3.1728000000000001</v>
      </c>
      <c r="J365" s="134">
        <v>25711448.6830176</v>
      </c>
      <c r="K365" s="120">
        <f t="shared" si="74"/>
        <v>485.99279242070884</v>
      </c>
      <c r="L365" s="122">
        <f t="shared" si="67"/>
        <v>81037092.420000002</v>
      </c>
      <c r="M365" s="116">
        <f t="shared" si="68"/>
        <v>55325643.736982405</v>
      </c>
      <c r="N365" s="123">
        <f t="shared" si="69"/>
        <v>1045.7545361871732</v>
      </c>
      <c r="O365" s="5"/>
      <c r="P365" s="5">
        <f t="shared" si="70"/>
        <v>1</v>
      </c>
      <c r="Q365" s="7">
        <f t="shared" si="71"/>
        <v>52905</v>
      </c>
    </row>
    <row r="366" spans="1:21">
      <c r="A366" s="23" t="s">
        <v>396</v>
      </c>
      <c r="B366" s="35" t="s">
        <v>395</v>
      </c>
      <c r="C366" s="125">
        <v>21418</v>
      </c>
      <c r="D366" s="132">
        <v>4308135439</v>
      </c>
      <c r="E366" s="133">
        <f t="shared" si="72"/>
        <v>201145.55229246427</v>
      </c>
      <c r="F366" s="134">
        <v>3227897380</v>
      </c>
      <c r="G366" s="134">
        <f t="shared" si="73"/>
        <v>150709.56111681764</v>
      </c>
      <c r="H366" s="135"/>
      <c r="I366" s="136">
        <v>3.1</v>
      </c>
      <c r="J366" s="134">
        <v>10006481.878</v>
      </c>
      <c r="K366" s="120">
        <f t="shared" si="74"/>
        <v>467.19963946213466</v>
      </c>
      <c r="L366" s="122">
        <f t="shared" si="67"/>
        <v>32278973.800000001</v>
      </c>
      <c r="M366" s="116">
        <f t="shared" si="68"/>
        <v>22272491.921999998</v>
      </c>
      <c r="N366" s="123">
        <f t="shared" si="69"/>
        <v>1039.8959717060416</v>
      </c>
      <c r="O366" s="5"/>
      <c r="P366" s="5">
        <f t="shared" si="70"/>
        <v>1</v>
      </c>
      <c r="Q366" s="7">
        <f t="shared" si="71"/>
        <v>21418</v>
      </c>
      <c r="S366" s="124">
        <f>SUM(D364:D366)</f>
        <v>21391555040</v>
      </c>
      <c r="T366" s="124">
        <f>SUM(F364:F366)</f>
        <v>14213783928</v>
      </c>
      <c r="U366" s="124">
        <f>SUM(J364:J366)</f>
        <v>46086275.201622002</v>
      </c>
    </row>
    <row r="367" spans="1:21">
      <c r="A367" s="23" t="s">
        <v>397</v>
      </c>
      <c r="B367" s="35" t="s">
        <v>360</v>
      </c>
      <c r="C367" s="125">
        <v>43325</v>
      </c>
      <c r="D367" s="132">
        <v>3597361006</v>
      </c>
      <c r="E367" s="133">
        <f t="shared" si="72"/>
        <v>83031.990905943458</v>
      </c>
      <c r="F367" s="134">
        <v>2638450949</v>
      </c>
      <c r="G367" s="134">
        <f t="shared" si="73"/>
        <v>60899.040946335837</v>
      </c>
      <c r="H367" s="135"/>
      <c r="I367" s="136">
        <v>3.1</v>
      </c>
      <c r="J367" s="134">
        <v>8179197.9419000009</v>
      </c>
      <c r="K367" s="120">
        <f t="shared" si="74"/>
        <v>188.7870269336411</v>
      </c>
      <c r="L367" s="122">
        <f t="shared" si="67"/>
        <v>26384509.490000002</v>
      </c>
      <c r="M367" s="116">
        <f t="shared" si="68"/>
        <v>18205311.548100002</v>
      </c>
      <c r="N367" s="123">
        <f t="shared" si="69"/>
        <v>420.20338252971732</v>
      </c>
      <c r="O367" s="5"/>
      <c r="P367" s="5">
        <f t="shared" si="70"/>
        <v>1</v>
      </c>
      <c r="Q367" s="7">
        <f t="shared" si="71"/>
        <v>43325</v>
      </c>
    </row>
    <row r="368" spans="1:21">
      <c r="A368" s="23" t="s">
        <v>398</v>
      </c>
      <c r="B368" s="35" t="s">
        <v>360</v>
      </c>
      <c r="C368" s="125">
        <v>27614</v>
      </c>
      <c r="D368" s="132">
        <v>1590581713</v>
      </c>
      <c r="E368" s="133">
        <f t="shared" si="72"/>
        <v>57600.554537553413</v>
      </c>
      <c r="F368" s="134">
        <v>1147661991</v>
      </c>
      <c r="G368" s="134">
        <f t="shared" si="73"/>
        <v>41560.87459259796</v>
      </c>
      <c r="H368" s="135"/>
      <c r="I368" s="136">
        <v>3.1200999999999999</v>
      </c>
      <c r="J368" s="134">
        <v>3580820.1781190997</v>
      </c>
      <c r="K368" s="120">
        <f t="shared" si="74"/>
        <v>129.67408481636488</v>
      </c>
      <c r="L368" s="122">
        <f t="shared" si="67"/>
        <v>11476619.91</v>
      </c>
      <c r="M368" s="116">
        <f t="shared" si="68"/>
        <v>7895799.7318809005</v>
      </c>
      <c r="N368" s="123">
        <f t="shared" si="69"/>
        <v>285.93466110961469</v>
      </c>
      <c r="O368" s="5"/>
      <c r="P368" s="5">
        <f t="shared" si="70"/>
        <v>1</v>
      </c>
      <c r="Q368" s="7">
        <f t="shared" si="71"/>
        <v>27614</v>
      </c>
    </row>
    <row r="369" spans="1:21">
      <c r="A369" s="23" t="s">
        <v>399</v>
      </c>
      <c r="B369" s="35" t="s">
        <v>360</v>
      </c>
      <c r="C369" s="125">
        <v>15905</v>
      </c>
      <c r="D369" s="132">
        <v>2452454280</v>
      </c>
      <c r="E369" s="133">
        <f t="shared" si="72"/>
        <v>154193.91889342974</v>
      </c>
      <c r="F369" s="134">
        <v>1983959781</v>
      </c>
      <c r="G369" s="134">
        <f t="shared" si="73"/>
        <v>124738.11889342974</v>
      </c>
      <c r="H369" s="135"/>
      <c r="I369" s="136">
        <v>3.5895000000000001</v>
      </c>
      <c r="J369" s="134">
        <v>7121423.6338994997</v>
      </c>
      <c r="K369" s="120">
        <f t="shared" si="74"/>
        <v>447.74747776796602</v>
      </c>
      <c r="L369" s="122">
        <f t="shared" si="67"/>
        <v>19839597.809999999</v>
      </c>
      <c r="M369" s="116">
        <f t="shared" si="68"/>
        <v>12718174.1761005</v>
      </c>
      <c r="N369" s="123">
        <f t="shared" si="69"/>
        <v>799.6337111663313</v>
      </c>
      <c r="O369" s="5"/>
      <c r="P369" s="5">
        <f t="shared" si="70"/>
        <v>1</v>
      </c>
      <c r="Q369" s="7">
        <f t="shared" si="71"/>
        <v>15905</v>
      </c>
    </row>
    <row r="370" spans="1:21">
      <c r="A370" s="23" t="s">
        <v>400</v>
      </c>
      <c r="B370" s="35" t="s">
        <v>360</v>
      </c>
      <c r="C370" s="125">
        <v>13974</v>
      </c>
      <c r="D370" s="132">
        <v>1240493431</v>
      </c>
      <c r="E370" s="133">
        <f t="shared" si="72"/>
        <v>88771.535065120945</v>
      </c>
      <c r="F370" s="134">
        <v>894792919</v>
      </c>
      <c r="G370" s="134">
        <f t="shared" si="73"/>
        <v>64032.697795906686</v>
      </c>
      <c r="H370" s="135"/>
      <c r="I370" s="136">
        <v>5.5</v>
      </c>
      <c r="J370" s="134">
        <v>4921361.0544999996</v>
      </c>
      <c r="K370" s="120">
        <f t="shared" si="74"/>
        <v>352.17983787748676</v>
      </c>
      <c r="L370" s="122">
        <f t="shared" si="67"/>
        <v>8947929.1899999995</v>
      </c>
      <c r="M370" s="116">
        <f t="shared" si="68"/>
        <v>4026568.1354999999</v>
      </c>
      <c r="N370" s="123">
        <f t="shared" si="69"/>
        <v>288.14714008158006</v>
      </c>
      <c r="O370" s="5"/>
      <c r="P370" s="5">
        <f t="shared" si="70"/>
        <v>1</v>
      </c>
      <c r="Q370" s="7">
        <f t="shared" si="71"/>
        <v>13974</v>
      </c>
    </row>
    <row r="371" spans="1:21">
      <c r="A371" s="23" t="s">
        <v>401</v>
      </c>
      <c r="B371" s="35" t="s">
        <v>360</v>
      </c>
      <c r="C371" s="125">
        <v>36819</v>
      </c>
      <c r="D371" s="147">
        <v>3162322292</v>
      </c>
      <c r="E371" s="133">
        <f t="shared" si="72"/>
        <v>85888.326461881094</v>
      </c>
      <c r="F371" s="134">
        <v>2172044606</v>
      </c>
      <c r="G371" s="134">
        <f t="shared" si="73"/>
        <v>58992.493169287598</v>
      </c>
      <c r="H371" s="135"/>
      <c r="I371" s="136">
        <v>5.0434000000000001</v>
      </c>
      <c r="J371" s="134">
        <v>10954489.7659004</v>
      </c>
      <c r="K371" s="120">
        <f t="shared" si="74"/>
        <v>297.52274004998503</v>
      </c>
      <c r="L371" s="122">
        <f t="shared" si="67"/>
        <v>21720446.059999999</v>
      </c>
      <c r="M371" s="116">
        <f t="shared" si="68"/>
        <v>10765956.294099599</v>
      </c>
      <c r="N371" s="123">
        <f t="shared" si="69"/>
        <v>292.4021916428909</v>
      </c>
      <c r="O371" s="5"/>
      <c r="P371" s="5">
        <f t="shared" si="70"/>
        <v>1</v>
      </c>
      <c r="Q371" s="7">
        <f t="shared" si="71"/>
        <v>36819</v>
      </c>
    </row>
    <row r="372" spans="1:21">
      <c r="A372" s="23" t="s">
        <v>402</v>
      </c>
      <c r="B372" s="35" t="s">
        <v>360</v>
      </c>
      <c r="C372" s="125">
        <v>56900</v>
      </c>
      <c r="D372" s="132">
        <v>3880814090</v>
      </c>
      <c r="E372" s="133">
        <f t="shared" si="72"/>
        <v>68204.114059753949</v>
      </c>
      <c r="F372" s="134">
        <v>2630756892</v>
      </c>
      <c r="G372" s="134">
        <f t="shared" si="73"/>
        <v>46234.743268892795</v>
      </c>
      <c r="H372" s="135"/>
      <c r="I372" s="136">
        <v>7.3250000000000002</v>
      </c>
      <c r="J372" s="134">
        <v>19270294.233900003</v>
      </c>
      <c r="K372" s="120">
        <f t="shared" si="74"/>
        <v>338.66949444463978</v>
      </c>
      <c r="L372" s="122">
        <f t="shared" si="67"/>
        <v>26307568.920000002</v>
      </c>
      <c r="M372" s="116">
        <f t="shared" si="68"/>
        <v>7037274.6860999987</v>
      </c>
      <c r="N372" s="123">
        <f t="shared" si="69"/>
        <v>123.6779382442882</v>
      </c>
      <c r="O372" s="5"/>
      <c r="P372" s="5">
        <f t="shared" si="70"/>
        <v>1</v>
      </c>
      <c r="Q372" s="7">
        <f t="shared" si="71"/>
        <v>56900</v>
      </c>
    </row>
    <row r="373" spans="1:21">
      <c r="A373" s="23" t="s">
        <v>403</v>
      </c>
      <c r="B373" s="35" t="s">
        <v>360</v>
      </c>
      <c r="C373" s="125">
        <v>34901</v>
      </c>
      <c r="D373" s="132">
        <v>2741943818</v>
      </c>
      <c r="E373" s="133">
        <f t="shared" si="72"/>
        <v>78563.4743417094</v>
      </c>
      <c r="F373" s="134">
        <v>1843713578</v>
      </c>
      <c r="G373" s="134">
        <f t="shared" si="73"/>
        <v>52826.955617317559</v>
      </c>
      <c r="H373" s="135"/>
      <c r="I373" s="136">
        <v>2.4300000000000002</v>
      </c>
      <c r="J373" s="134">
        <v>4480223.9945400003</v>
      </c>
      <c r="K373" s="120">
        <f t="shared" si="74"/>
        <v>128.36950215008167</v>
      </c>
      <c r="L373" s="122">
        <f t="shared" si="67"/>
        <v>18437135.780000001</v>
      </c>
      <c r="M373" s="116">
        <f t="shared" si="68"/>
        <v>13956911.785460001</v>
      </c>
      <c r="N373" s="123">
        <f t="shared" si="69"/>
        <v>399.9000540230939</v>
      </c>
      <c r="O373" s="5"/>
      <c r="P373" s="5">
        <f t="shared" si="70"/>
        <v>1</v>
      </c>
      <c r="Q373" s="7">
        <f t="shared" si="71"/>
        <v>34901</v>
      </c>
      <c r="S373" s="124">
        <f>SUM(D367:D373)</f>
        <v>18665970630</v>
      </c>
      <c r="T373" s="124">
        <f>SUM(F367:F373)</f>
        <v>13311380716</v>
      </c>
      <c r="U373" s="124">
        <f>SUM(J367:J373)</f>
        <v>58507810.802758999</v>
      </c>
    </row>
    <row r="374" spans="1:21">
      <c r="A374" s="23" t="s">
        <v>388</v>
      </c>
      <c r="B374" s="37" t="s">
        <v>551</v>
      </c>
      <c r="C374" s="125">
        <v>604</v>
      </c>
      <c r="D374" s="132">
        <v>37198140</v>
      </c>
      <c r="E374" s="133">
        <f t="shared" si="72"/>
        <v>61586.324503311262</v>
      </c>
      <c r="F374" s="134">
        <v>23626728</v>
      </c>
      <c r="G374" s="134">
        <f t="shared" si="73"/>
        <v>39117.099337748346</v>
      </c>
      <c r="H374" s="135"/>
      <c r="I374" s="136">
        <v>8.5374999999999996</v>
      </c>
      <c r="J374" s="134">
        <v>201713</v>
      </c>
      <c r="K374" s="120">
        <f t="shared" si="74"/>
        <v>333.96192052980132</v>
      </c>
      <c r="L374" s="122">
        <f t="shared" si="67"/>
        <v>236267.28</v>
      </c>
      <c r="M374" s="116">
        <f t="shared" si="68"/>
        <v>34554.28</v>
      </c>
      <c r="N374" s="123">
        <f t="shared" si="69"/>
        <v>57.209072847682116</v>
      </c>
      <c r="O374" s="5"/>
      <c r="P374" s="5">
        <f t="shared" si="70"/>
        <v>1</v>
      </c>
      <c r="Q374" s="7">
        <f t="shared" si="71"/>
        <v>604</v>
      </c>
    </row>
    <row r="375" spans="1:21">
      <c r="A375" s="24" t="s">
        <v>549</v>
      </c>
      <c r="B375" s="37" t="s">
        <v>551</v>
      </c>
      <c r="C375" s="125">
        <v>13590</v>
      </c>
      <c r="D375" s="132">
        <v>2214392271</v>
      </c>
      <c r="E375" s="133">
        <f t="shared" ref="E375:E381" si="75">(D375/C375)</f>
        <v>162942.77196467991</v>
      </c>
      <c r="F375" s="134">
        <v>1272464433</v>
      </c>
      <c r="G375" s="134">
        <f t="shared" ref="G375:G381" si="76">(F375/C375)</f>
        <v>93632.40860927153</v>
      </c>
      <c r="H375" s="135"/>
      <c r="I375" s="136">
        <v>7.5</v>
      </c>
      <c r="J375" s="134">
        <v>9543483.2475000005</v>
      </c>
      <c r="K375" s="120">
        <f t="shared" ref="K375:K381" si="77">(J375/C375)</f>
        <v>702.2430645695365</v>
      </c>
      <c r="L375" s="122">
        <f t="shared" si="67"/>
        <v>12724644.33</v>
      </c>
      <c r="M375" s="116">
        <f t="shared" si="68"/>
        <v>3181161.0824999996</v>
      </c>
      <c r="N375" s="123">
        <f t="shared" si="69"/>
        <v>234.08102152317878</v>
      </c>
      <c r="O375" s="5"/>
      <c r="P375" s="5">
        <f t="shared" si="70"/>
        <v>1</v>
      </c>
      <c r="Q375" s="7">
        <f t="shared" si="71"/>
        <v>13590</v>
      </c>
    </row>
    <row r="376" spans="1:21">
      <c r="A376" s="24" t="s">
        <v>550</v>
      </c>
      <c r="B376" s="37" t="s">
        <v>551</v>
      </c>
      <c r="C376" s="125">
        <v>6480</v>
      </c>
      <c r="D376" s="132">
        <v>1251604061</v>
      </c>
      <c r="E376" s="133">
        <f t="shared" si="75"/>
        <v>193148.774845679</v>
      </c>
      <c r="F376" s="134">
        <v>991786430</v>
      </c>
      <c r="G376" s="134">
        <f t="shared" si="76"/>
        <v>153053.46141975309</v>
      </c>
      <c r="H376" s="135"/>
      <c r="I376" s="136">
        <v>2.3992</v>
      </c>
      <c r="J376" s="134">
        <v>2379494.0028559999</v>
      </c>
      <c r="K376" s="120">
        <f t="shared" si="77"/>
        <v>367.20586463827158</v>
      </c>
      <c r="L376" s="122">
        <f t="shared" si="67"/>
        <v>9917864.3000000007</v>
      </c>
      <c r="M376" s="116">
        <f t="shared" si="68"/>
        <v>7538370.2971440013</v>
      </c>
      <c r="N376" s="123">
        <f t="shared" si="69"/>
        <v>1163.3287495592594</v>
      </c>
      <c r="O376" s="5"/>
      <c r="P376" s="5">
        <f t="shared" si="70"/>
        <v>1</v>
      </c>
      <c r="Q376" s="7">
        <f t="shared" si="71"/>
        <v>6480</v>
      </c>
      <c r="S376" s="124">
        <f>SUM(D374:D376)</f>
        <v>3503194472</v>
      </c>
      <c r="T376" s="124">
        <f>SUM(F374:F376)</f>
        <v>2287877591</v>
      </c>
      <c r="U376" s="124">
        <f>SUM(J374:J376)</f>
        <v>12124690.250356</v>
      </c>
    </row>
    <row r="377" spans="1:21">
      <c r="A377" s="23" t="s">
        <v>389</v>
      </c>
      <c r="B377" s="37" t="s">
        <v>552</v>
      </c>
      <c r="C377" s="125">
        <v>42119</v>
      </c>
      <c r="D377" s="132">
        <v>3350810229</v>
      </c>
      <c r="E377" s="133">
        <f t="shared" si="75"/>
        <v>79555.787862959711</v>
      </c>
      <c r="F377" s="134">
        <v>1987410139</v>
      </c>
      <c r="G377" s="134">
        <f t="shared" si="76"/>
        <v>47185.596500391744</v>
      </c>
      <c r="H377" s="135"/>
      <c r="I377" s="136">
        <v>6.9</v>
      </c>
      <c r="J377" s="134">
        <v>13713129.959100001</v>
      </c>
      <c r="K377" s="120">
        <f t="shared" si="77"/>
        <v>325.58061585270309</v>
      </c>
      <c r="L377" s="122">
        <f t="shared" si="67"/>
        <v>19874101.390000001</v>
      </c>
      <c r="M377" s="116">
        <f t="shared" si="68"/>
        <v>6160971.4309</v>
      </c>
      <c r="N377" s="123">
        <f t="shared" si="69"/>
        <v>146.27534915121441</v>
      </c>
      <c r="O377" s="5"/>
      <c r="P377" s="5">
        <f t="shared" si="70"/>
        <v>1</v>
      </c>
      <c r="Q377" s="7">
        <f t="shared" si="71"/>
        <v>42119</v>
      </c>
    </row>
    <row r="378" spans="1:21">
      <c r="A378" s="24" t="s">
        <v>553</v>
      </c>
      <c r="B378" s="37" t="s">
        <v>552</v>
      </c>
      <c r="C378" s="125">
        <v>174132</v>
      </c>
      <c r="D378" s="132">
        <v>11582474177</v>
      </c>
      <c r="E378" s="133">
        <f t="shared" si="75"/>
        <v>66515.483523993287</v>
      </c>
      <c r="F378" s="134">
        <v>7183032464</v>
      </c>
      <c r="G378" s="134">
        <f t="shared" si="76"/>
        <v>41250.502285622402</v>
      </c>
      <c r="H378" s="135"/>
      <c r="I378" s="136">
        <v>5.4096000000000002</v>
      </c>
      <c r="J378" s="134">
        <v>38857332.417254403</v>
      </c>
      <c r="K378" s="120">
        <f t="shared" si="77"/>
        <v>223.14871716430295</v>
      </c>
      <c r="L378" s="122">
        <f t="shared" si="67"/>
        <v>71830324.640000001</v>
      </c>
      <c r="M378" s="116">
        <f t="shared" si="68"/>
        <v>32972992.222745597</v>
      </c>
      <c r="N378" s="123">
        <f t="shared" si="69"/>
        <v>189.35630569192105</v>
      </c>
      <c r="O378" s="5"/>
      <c r="P378" s="5">
        <f t="shared" si="70"/>
        <v>1</v>
      </c>
      <c r="Q378" s="7">
        <f t="shared" si="71"/>
        <v>174132</v>
      </c>
    </row>
    <row r="379" spans="1:21">
      <c r="A379" s="24" t="s">
        <v>554</v>
      </c>
      <c r="B379" s="37" t="s">
        <v>552</v>
      </c>
      <c r="C379" s="125">
        <v>597</v>
      </c>
      <c r="D379" s="132">
        <v>77105689</v>
      </c>
      <c r="E379" s="133">
        <f t="shared" si="75"/>
        <v>129155.25795644891</v>
      </c>
      <c r="F379" s="134">
        <v>56896326</v>
      </c>
      <c r="G379" s="134">
        <f t="shared" si="76"/>
        <v>95303.728643216076</v>
      </c>
      <c r="H379" s="135"/>
      <c r="I379" s="136">
        <v>1.85</v>
      </c>
      <c r="J379" s="134">
        <v>105258.20310000001</v>
      </c>
      <c r="K379" s="120">
        <f t="shared" si="77"/>
        <v>176.31189798994978</v>
      </c>
      <c r="L379" s="122">
        <f t="shared" si="67"/>
        <v>568963.26</v>
      </c>
      <c r="M379" s="116">
        <f t="shared" si="68"/>
        <v>463705.05689999997</v>
      </c>
      <c r="N379" s="123">
        <f t="shared" si="69"/>
        <v>776.72538844221106</v>
      </c>
      <c r="O379" s="5"/>
      <c r="P379" s="5">
        <f t="shared" si="70"/>
        <v>1</v>
      </c>
      <c r="Q379" s="7">
        <f t="shared" si="71"/>
        <v>597</v>
      </c>
      <c r="S379" s="124">
        <f>SUM(D377:D379)</f>
        <v>15010390095</v>
      </c>
      <c r="T379" s="124">
        <f>SUM(F377:F379)</f>
        <v>9227338929</v>
      </c>
      <c r="U379" s="124">
        <f>SUM(J377:J379)</f>
        <v>52675720.579454407</v>
      </c>
    </row>
    <row r="380" spans="1:21">
      <c r="A380" s="23" t="s">
        <v>404</v>
      </c>
      <c r="B380" s="35" t="s">
        <v>405</v>
      </c>
      <c r="C380" s="125">
        <v>2459</v>
      </c>
      <c r="D380" s="132">
        <v>184197453</v>
      </c>
      <c r="E380" s="133">
        <f t="shared" si="75"/>
        <v>74907.463603090684</v>
      </c>
      <c r="F380" s="134">
        <v>121480013</v>
      </c>
      <c r="G380" s="134">
        <f t="shared" si="76"/>
        <v>49402.201301342007</v>
      </c>
      <c r="H380" s="152"/>
      <c r="I380" s="136">
        <v>4.8228</v>
      </c>
      <c r="J380" s="134">
        <v>585874</v>
      </c>
      <c r="K380" s="120">
        <f t="shared" si="77"/>
        <v>238.25701504676698</v>
      </c>
      <c r="L380" s="122">
        <f t="shared" si="67"/>
        <v>1214800.1300000001</v>
      </c>
      <c r="M380" s="116">
        <f t="shared" si="68"/>
        <v>628926.13000000012</v>
      </c>
      <c r="N380" s="123">
        <f t="shared" si="69"/>
        <v>255.76499796665317</v>
      </c>
      <c r="O380" s="5"/>
      <c r="P380" s="5">
        <f t="shared" si="70"/>
        <v>1</v>
      </c>
      <c r="Q380" s="7">
        <f t="shared" si="71"/>
        <v>2459</v>
      </c>
    </row>
    <row r="381" spans="1:21">
      <c r="A381" s="23" t="s">
        <v>406</v>
      </c>
      <c r="B381" s="35" t="s">
        <v>405</v>
      </c>
      <c r="C381" s="125">
        <v>981</v>
      </c>
      <c r="D381" s="132">
        <v>48177339</v>
      </c>
      <c r="E381" s="133">
        <f t="shared" si="75"/>
        <v>49110.437308868502</v>
      </c>
      <c r="F381" s="134">
        <v>31629861</v>
      </c>
      <c r="G381" s="134">
        <f t="shared" si="76"/>
        <v>32242.467889908257</v>
      </c>
      <c r="H381" s="152"/>
      <c r="I381" s="136">
        <v>3.6160000000000001</v>
      </c>
      <c r="J381" s="134">
        <v>114374</v>
      </c>
      <c r="K381" s="120">
        <f t="shared" si="77"/>
        <v>116.58919469928644</v>
      </c>
      <c r="L381" s="122">
        <f t="shared" si="67"/>
        <v>316298.61</v>
      </c>
      <c r="M381" s="116">
        <f t="shared" si="68"/>
        <v>201924.61</v>
      </c>
      <c r="N381" s="123">
        <f t="shared" si="69"/>
        <v>205.8354841997961</v>
      </c>
      <c r="O381" s="5"/>
      <c r="P381" s="5">
        <f t="shared" si="70"/>
        <v>1</v>
      </c>
      <c r="Q381" s="7">
        <f t="shared" si="71"/>
        <v>981</v>
      </c>
    </row>
    <row r="382" spans="1:21">
      <c r="A382" s="23" t="s">
        <v>407</v>
      </c>
      <c r="B382" s="35" t="s">
        <v>405</v>
      </c>
      <c r="C382" s="125">
        <v>694</v>
      </c>
      <c r="D382" s="147" t="s">
        <v>564</v>
      </c>
      <c r="E382" s="133"/>
      <c r="F382" s="134"/>
      <c r="G382" s="134"/>
      <c r="H382" s="148" t="s">
        <v>588</v>
      </c>
      <c r="I382" s="136"/>
      <c r="J382" s="134"/>
      <c r="K382" s="120"/>
      <c r="L382" s="122">
        <f t="shared" si="67"/>
        <v>0</v>
      </c>
      <c r="M382" s="116">
        <f t="shared" si="68"/>
        <v>0</v>
      </c>
      <c r="N382" s="123">
        <f t="shared" si="69"/>
        <v>0</v>
      </c>
      <c r="O382" s="5"/>
      <c r="P382" s="5">
        <f t="shared" si="70"/>
        <v>0</v>
      </c>
      <c r="Q382" s="7">
        <f t="shared" si="71"/>
        <v>0</v>
      </c>
    </row>
    <row r="383" spans="1:21">
      <c r="A383" s="23" t="s">
        <v>408</v>
      </c>
      <c r="B383" s="35" t="s">
        <v>405</v>
      </c>
      <c r="C383" s="125">
        <v>768</v>
      </c>
      <c r="D383" s="132">
        <v>24622282</v>
      </c>
      <c r="E383" s="133">
        <f t="shared" ref="E383:E388" si="78">(D383/C383)</f>
        <v>32060.263020833332</v>
      </c>
      <c r="F383" s="134">
        <v>15859168</v>
      </c>
      <c r="G383" s="134">
        <f t="shared" ref="G383:G388" si="79">(F383/C383)</f>
        <v>20649.958333333332</v>
      </c>
      <c r="H383" s="135"/>
      <c r="I383" s="150">
        <v>7</v>
      </c>
      <c r="J383" s="134">
        <v>111014</v>
      </c>
      <c r="K383" s="120">
        <f t="shared" ref="K383:K388" si="80">(J383/C383)</f>
        <v>144.54947916666666</v>
      </c>
      <c r="L383" s="122">
        <f t="shared" si="67"/>
        <v>158591.67999999999</v>
      </c>
      <c r="M383" s="116">
        <f t="shared" si="68"/>
        <v>47577.679999999993</v>
      </c>
      <c r="N383" s="123">
        <f t="shared" si="69"/>
        <v>61.950104166666655</v>
      </c>
      <c r="O383" s="5"/>
      <c r="P383" s="5">
        <f t="shared" si="70"/>
        <v>1</v>
      </c>
      <c r="Q383" s="7">
        <f t="shared" si="71"/>
        <v>768</v>
      </c>
    </row>
    <row r="384" spans="1:21">
      <c r="A384" s="23" t="s">
        <v>409</v>
      </c>
      <c r="B384" s="35" t="s">
        <v>405</v>
      </c>
      <c r="C384" s="125">
        <v>7473</v>
      </c>
      <c r="D384" s="132">
        <v>768538873</v>
      </c>
      <c r="E384" s="133">
        <f t="shared" si="78"/>
        <v>102842.08122574602</v>
      </c>
      <c r="F384" s="134">
        <v>627285859</v>
      </c>
      <c r="G384" s="134">
        <f t="shared" si="79"/>
        <v>83940.299611936309</v>
      </c>
      <c r="H384" s="135"/>
      <c r="I384" s="136">
        <v>4.1044</v>
      </c>
      <c r="J384" s="154">
        <v>2574632</v>
      </c>
      <c r="K384" s="120">
        <f t="shared" si="80"/>
        <v>344.52455506490031</v>
      </c>
      <c r="L384" s="122">
        <f t="shared" si="67"/>
        <v>6272858.5899999999</v>
      </c>
      <c r="M384" s="116">
        <f t="shared" si="68"/>
        <v>3698226.59</v>
      </c>
      <c r="N384" s="123">
        <f t="shared" si="69"/>
        <v>494.87844105446271</v>
      </c>
      <c r="O384" s="5"/>
      <c r="P384" s="5">
        <f t="shared" si="70"/>
        <v>1</v>
      </c>
      <c r="Q384" s="7">
        <f t="shared" si="71"/>
        <v>7473</v>
      </c>
      <c r="S384" s="124">
        <f>SUM(D380:D384)</f>
        <v>1025535947</v>
      </c>
      <c r="T384" s="124">
        <f>SUM(F380:F384)</f>
        <v>796254901</v>
      </c>
      <c r="U384" s="124">
        <f>SUM(J380:J384)</f>
        <v>3385894</v>
      </c>
    </row>
    <row r="385" spans="1:21">
      <c r="A385" s="23" t="s">
        <v>410</v>
      </c>
      <c r="B385" s="35" t="s">
        <v>411</v>
      </c>
      <c r="C385" s="125">
        <v>687</v>
      </c>
      <c r="D385" s="132">
        <v>40281764</v>
      </c>
      <c r="E385" s="133">
        <f t="shared" si="78"/>
        <v>58634.299854439596</v>
      </c>
      <c r="F385" s="134">
        <v>24381717</v>
      </c>
      <c r="G385" s="134">
        <f t="shared" si="79"/>
        <v>35490.126637554582</v>
      </c>
      <c r="H385" s="135"/>
      <c r="I385" s="136">
        <v>4.4161000000000001</v>
      </c>
      <c r="J385" s="134">
        <v>107672</v>
      </c>
      <c r="K385" s="120">
        <f t="shared" si="80"/>
        <v>156.72780203784572</v>
      </c>
      <c r="L385" s="122">
        <f t="shared" si="67"/>
        <v>243817.17</v>
      </c>
      <c r="M385" s="116">
        <f t="shared" si="68"/>
        <v>136145.17000000001</v>
      </c>
      <c r="N385" s="123">
        <f t="shared" si="69"/>
        <v>198.17346433770015</v>
      </c>
      <c r="O385" s="5"/>
      <c r="P385" s="5">
        <f t="shared" si="70"/>
        <v>1</v>
      </c>
      <c r="Q385" s="7">
        <f t="shared" si="71"/>
        <v>687</v>
      </c>
    </row>
    <row r="386" spans="1:21">
      <c r="A386" s="23" t="s">
        <v>412</v>
      </c>
      <c r="B386" s="35" t="s">
        <v>411</v>
      </c>
      <c r="C386" s="125">
        <v>6853</v>
      </c>
      <c r="D386" s="132">
        <v>327847237</v>
      </c>
      <c r="E386" s="133">
        <f t="shared" si="78"/>
        <v>47839.958704217133</v>
      </c>
      <c r="F386" s="134">
        <v>208188942</v>
      </c>
      <c r="G386" s="134">
        <f t="shared" si="79"/>
        <v>30379.24150007296</v>
      </c>
      <c r="H386" s="135"/>
      <c r="I386" s="136">
        <v>6.9249000000000001</v>
      </c>
      <c r="J386" s="134">
        <v>1441688</v>
      </c>
      <c r="K386" s="120">
        <f t="shared" si="80"/>
        <v>210.37326718225594</v>
      </c>
      <c r="L386" s="122">
        <f t="shared" si="67"/>
        <v>2081889.4200000002</v>
      </c>
      <c r="M386" s="116">
        <f t="shared" si="68"/>
        <v>640201.42000000016</v>
      </c>
      <c r="N386" s="123">
        <f t="shared" si="69"/>
        <v>93.419147818473689</v>
      </c>
      <c r="O386" s="5"/>
      <c r="P386" s="5">
        <f t="shared" si="70"/>
        <v>1</v>
      </c>
      <c r="Q386" s="7">
        <f t="shared" si="71"/>
        <v>6853</v>
      </c>
      <c r="S386" s="124">
        <f>SUM(D385:D386)</f>
        <v>368129001</v>
      </c>
      <c r="T386" s="124">
        <f>SUM(F385:F386)</f>
        <v>232570659</v>
      </c>
      <c r="U386" s="124">
        <f>SUM(J385:J386)</f>
        <v>1549360</v>
      </c>
    </row>
    <row r="387" spans="1:21">
      <c r="A387" s="23" t="s">
        <v>413</v>
      </c>
      <c r="B387" s="35" t="s">
        <v>414</v>
      </c>
      <c r="C387" s="125">
        <v>7016</v>
      </c>
      <c r="D387" s="132">
        <v>401091492</v>
      </c>
      <c r="E387" s="133">
        <f t="shared" si="78"/>
        <v>57168.114595210944</v>
      </c>
      <c r="F387" s="134">
        <v>226911894</v>
      </c>
      <c r="G387" s="134">
        <f t="shared" si="79"/>
        <v>32342.060148232613</v>
      </c>
      <c r="H387" s="152"/>
      <c r="I387" s="136">
        <v>5.7473999999999998</v>
      </c>
      <c r="J387" s="134">
        <v>1304153</v>
      </c>
      <c r="K387" s="120">
        <f t="shared" si="80"/>
        <v>185.88269669327252</v>
      </c>
      <c r="L387" s="122">
        <f t="shared" si="67"/>
        <v>2269118.94</v>
      </c>
      <c r="M387" s="116">
        <f t="shared" si="68"/>
        <v>964965.94</v>
      </c>
      <c r="N387" s="123">
        <f t="shared" si="69"/>
        <v>137.53790478905358</v>
      </c>
      <c r="O387" s="5"/>
      <c r="P387" s="5">
        <f t="shared" si="70"/>
        <v>1</v>
      </c>
      <c r="Q387" s="7">
        <f t="shared" si="71"/>
        <v>7016</v>
      </c>
      <c r="S387" s="124">
        <f>SUM(D387)</f>
        <v>401091492</v>
      </c>
      <c r="T387" s="124">
        <f>SUM(F387)</f>
        <v>226911894</v>
      </c>
      <c r="U387" s="124">
        <f>SUM(J387)</f>
        <v>1304153</v>
      </c>
    </row>
    <row r="388" spans="1:21">
      <c r="A388" s="23" t="s">
        <v>415</v>
      </c>
      <c r="B388" s="35" t="s">
        <v>416</v>
      </c>
      <c r="C388" s="125">
        <v>1831</v>
      </c>
      <c r="D388" s="132">
        <v>68951836</v>
      </c>
      <c r="E388" s="133">
        <f t="shared" si="78"/>
        <v>37658.020753686513</v>
      </c>
      <c r="F388" s="134">
        <v>33514380</v>
      </c>
      <c r="G388" s="134">
        <f t="shared" si="79"/>
        <v>18303.866739486621</v>
      </c>
      <c r="H388" s="152"/>
      <c r="I388" s="136">
        <v>2.3302</v>
      </c>
      <c r="J388" s="134">
        <v>78095</v>
      </c>
      <c r="K388" s="120">
        <f t="shared" si="80"/>
        <v>42.651556526488257</v>
      </c>
      <c r="L388" s="122">
        <f t="shared" si="67"/>
        <v>335143.8</v>
      </c>
      <c r="M388" s="116">
        <f t="shared" si="68"/>
        <v>257048.8</v>
      </c>
      <c r="N388" s="123">
        <f t="shared" si="69"/>
        <v>140.38711086837793</v>
      </c>
      <c r="O388" s="5"/>
      <c r="P388" s="5">
        <f t="shared" si="70"/>
        <v>1</v>
      </c>
      <c r="Q388" s="7">
        <f t="shared" si="71"/>
        <v>1831</v>
      </c>
    </row>
    <row r="389" spans="1:21">
      <c r="A389" s="23" t="s">
        <v>417</v>
      </c>
      <c r="B389" s="35" t="s">
        <v>416</v>
      </c>
      <c r="C389" s="125">
        <v>252</v>
      </c>
      <c r="D389" s="147" t="s">
        <v>564</v>
      </c>
      <c r="E389" s="133"/>
      <c r="F389" s="134"/>
      <c r="G389" s="134"/>
      <c r="H389" s="148" t="s">
        <v>588</v>
      </c>
      <c r="I389" s="136"/>
      <c r="J389" s="134"/>
      <c r="K389" s="120"/>
      <c r="L389" s="122">
        <f t="shared" si="67"/>
        <v>0</v>
      </c>
      <c r="M389" s="116">
        <f t="shared" si="68"/>
        <v>0</v>
      </c>
      <c r="N389" s="123">
        <f t="shared" si="69"/>
        <v>0</v>
      </c>
      <c r="O389" s="5"/>
      <c r="P389" s="5">
        <f t="shared" si="70"/>
        <v>0</v>
      </c>
      <c r="Q389" s="7">
        <f t="shared" si="71"/>
        <v>0</v>
      </c>
    </row>
    <row r="390" spans="1:21">
      <c r="A390" s="23" t="s">
        <v>418</v>
      </c>
      <c r="B390" s="35" t="s">
        <v>416</v>
      </c>
      <c r="C390" s="125">
        <v>386</v>
      </c>
      <c r="D390" s="132">
        <v>12375872</v>
      </c>
      <c r="E390" s="133">
        <f t="shared" ref="E390:E406" si="81">(D390/C390)</f>
        <v>32061.844559585494</v>
      </c>
      <c r="F390" s="134">
        <v>6067868</v>
      </c>
      <c r="G390" s="134">
        <f t="shared" ref="G390:G406" si="82">(F390/C390)</f>
        <v>15719.865284974094</v>
      </c>
      <c r="H390" s="135"/>
      <c r="I390" s="150">
        <v>1.6324000000000001</v>
      </c>
      <c r="J390" s="134">
        <v>9905</v>
      </c>
      <c r="K390" s="120">
        <f t="shared" ref="K390:K406" si="83">(J390/C390)</f>
        <v>25.660621761658032</v>
      </c>
      <c r="L390" s="122">
        <f t="shared" ref="L390:L416" si="84">(F390*0.01)</f>
        <v>60678.68</v>
      </c>
      <c r="M390" s="116">
        <f t="shared" ref="M390:M416" si="85">(L390-J390)</f>
        <v>50773.68</v>
      </c>
      <c r="N390" s="123">
        <f t="shared" ref="N390:N416" si="86">(M390/C390)</f>
        <v>131.5380310880829</v>
      </c>
      <c r="O390" s="5"/>
      <c r="P390" s="5">
        <f t="shared" si="70"/>
        <v>1</v>
      </c>
      <c r="Q390" s="7">
        <f t="shared" si="71"/>
        <v>386</v>
      </c>
      <c r="S390" s="124">
        <f>SUM(D388:D390)</f>
        <v>81327708</v>
      </c>
      <c r="T390" s="124">
        <f>SUM(F388:F390)</f>
        <v>39582248</v>
      </c>
      <c r="U390" s="124">
        <f>SUM(J388:J390)</f>
        <v>88000</v>
      </c>
    </row>
    <row r="391" spans="1:21">
      <c r="A391" s="23" t="s">
        <v>419</v>
      </c>
      <c r="B391" s="35" t="s">
        <v>420</v>
      </c>
      <c r="C391" s="125">
        <v>63534</v>
      </c>
      <c r="D391" s="132">
        <v>5944697101</v>
      </c>
      <c r="E391" s="133">
        <f t="shared" si="81"/>
        <v>93567.178219535999</v>
      </c>
      <c r="F391" s="134">
        <v>3612335113</v>
      </c>
      <c r="G391" s="134">
        <f t="shared" si="82"/>
        <v>56856.724163440049</v>
      </c>
      <c r="H391" s="135"/>
      <c r="I391" s="136">
        <v>6.9219999999999997</v>
      </c>
      <c r="J391" s="134">
        <v>25004583.652186003</v>
      </c>
      <c r="K391" s="120">
        <f t="shared" si="83"/>
        <v>393.56224465933207</v>
      </c>
      <c r="L391" s="122">
        <f t="shared" si="84"/>
        <v>36123351.130000003</v>
      </c>
      <c r="M391" s="116">
        <f t="shared" si="85"/>
        <v>11118767.477814</v>
      </c>
      <c r="N391" s="123">
        <f t="shared" si="86"/>
        <v>175.00499697506848</v>
      </c>
      <c r="O391" s="5"/>
      <c r="P391" s="5">
        <f t="shared" ref="P391:P416" si="87">IF(I391&gt;0,1,0)</f>
        <v>1</v>
      </c>
      <c r="Q391" s="7">
        <f t="shared" ref="Q391:Q416" si="88">IF(I391&gt;0,C391,0)</f>
        <v>63534</v>
      </c>
    </row>
    <row r="392" spans="1:21">
      <c r="A392" s="23" t="s">
        <v>421</v>
      </c>
      <c r="B392" s="35" t="s">
        <v>420</v>
      </c>
      <c r="C392" s="125">
        <v>4263</v>
      </c>
      <c r="D392" s="132">
        <v>1631285913</v>
      </c>
      <c r="E392" s="133">
        <f t="shared" si="81"/>
        <v>382661.48557353974</v>
      </c>
      <c r="F392" s="134">
        <v>1377411981</v>
      </c>
      <c r="G392" s="134">
        <f t="shared" si="82"/>
        <v>323108.60450387053</v>
      </c>
      <c r="H392" s="135"/>
      <c r="I392" s="136">
        <v>5.4993999999999996</v>
      </c>
      <c r="J392" s="134">
        <v>7574939.4483113997</v>
      </c>
      <c r="K392" s="120">
        <f t="shared" si="83"/>
        <v>1776.9034596085855</v>
      </c>
      <c r="L392" s="122">
        <f t="shared" si="84"/>
        <v>13774119.810000001</v>
      </c>
      <c r="M392" s="116">
        <f t="shared" si="85"/>
        <v>6199180.3616886009</v>
      </c>
      <c r="N392" s="123">
        <f t="shared" si="86"/>
        <v>1454.1825854301198</v>
      </c>
      <c r="O392" s="5"/>
      <c r="P392" s="5">
        <f t="shared" si="87"/>
        <v>1</v>
      </c>
      <c r="Q392" s="7">
        <f t="shared" si="88"/>
        <v>4263</v>
      </c>
    </row>
    <row r="393" spans="1:21">
      <c r="A393" s="23" t="s">
        <v>462</v>
      </c>
      <c r="B393" s="35" t="s">
        <v>420</v>
      </c>
      <c r="C393" s="125">
        <v>20002</v>
      </c>
      <c r="D393" s="132">
        <v>2084825912</v>
      </c>
      <c r="E393" s="133">
        <f t="shared" si="81"/>
        <v>104230.87251274873</v>
      </c>
      <c r="F393" s="134">
        <v>1558824940</v>
      </c>
      <c r="G393" s="134">
        <f t="shared" si="82"/>
        <v>77933.453654634533</v>
      </c>
      <c r="H393" s="135"/>
      <c r="I393" s="136">
        <v>2.9247000000000001</v>
      </c>
      <c r="J393" s="134">
        <v>4559095.3020179998</v>
      </c>
      <c r="K393" s="120">
        <f t="shared" si="83"/>
        <v>227.93197190370961</v>
      </c>
      <c r="L393" s="122">
        <f t="shared" si="84"/>
        <v>15588249.4</v>
      </c>
      <c r="M393" s="116">
        <f t="shared" si="85"/>
        <v>11029154.097982001</v>
      </c>
      <c r="N393" s="123">
        <f t="shared" si="86"/>
        <v>551.40256464263575</v>
      </c>
      <c r="O393" s="5"/>
      <c r="P393" s="5">
        <f t="shared" si="87"/>
        <v>1</v>
      </c>
      <c r="Q393" s="7">
        <f t="shared" si="88"/>
        <v>20002</v>
      </c>
    </row>
    <row r="394" spans="1:21">
      <c r="A394" s="23" t="s">
        <v>463</v>
      </c>
      <c r="B394" s="35" t="s">
        <v>420</v>
      </c>
      <c r="C394" s="125">
        <v>30493</v>
      </c>
      <c r="D394" s="132">
        <v>2194824635</v>
      </c>
      <c r="E394" s="133">
        <f t="shared" si="81"/>
        <v>71977.98297970026</v>
      </c>
      <c r="F394" s="134">
        <v>1338003171</v>
      </c>
      <c r="G394" s="134">
        <f t="shared" si="82"/>
        <v>43879.02702259535</v>
      </c>
      <c r="H394" s="135"/>
      <c r="I394" s="136">
        <v>6.9995000000000003</v>
      </c>
      <c r="J394" s="134">
        <v>9365353.1954145003</v>
      </c>
      <c r="K394" s="120">
        <f t="shared" si="83"/>
        <v>307.13124964465618</v>
      </c>
      <c r="L394" s="122">
        <f t="shared" si="84"/>
        <v>13380031.710000001</v>
      </c>
      <c r="M394" s="116">
        <f t="shared" si="85"/>
        <v>4014678.5145855006</v>
      </c>
      <c r="N394" s="123">
        <f t="shared" si="86"/>
        <v>131.65902058129737</v>
      </c>
      <c r="O394" s="5"/>
      <c r="P394" s="5">
        <f t="shared" si="87"/>
        <v>1</v>
      </c>
      <c r="Q394" s="7">
        <f t="shared" si="88"/>
        <v>30493</v>
      </c>
    </row>
    <row r="395" spans="1:21">
      <c r="A395" s="23" t="s">
        <v>422</v>
      </c>
      <c r="B395" s="35" t="s">
        <v>420</v>
      </c>
      <c r="C395" s="125">
        <v>87497</v>
      </c>
      <c r="D395" s="132">
        <v>3441163028</v>
      </c>
      <c r="E395" s="133">
        <f t="shared" si="81"/>
        <v>39328.925883173135</v>
      </c>
      <c r="F395" s="134">
        <v>1777302137</v>
      </c>
      <c r="G395" s="134">
        <f t="shared" si="82"/>
        <v>20312.720859000881</v>
      </c>
      <c r="H395" s="135"/>
      <c r="I395" s="136">
        <v>7.99</v>
      </c>
      <c r="J395" s="134">
        <v>14200644.074630002</v>
      </c>
      <c r="K395" s="120">
        <f t="shared" si="83"/>
        <v>162.29863966341705</v>
      </c>
      <c r="L395" s="122">
        <f t="shared" si="84"/>
        <v>17773021.370000001</v>
      </c>
      <c r="M395" s="116">
        <f t="shared" si="85"/>
        <v>3572377.2953699995</v>
      </c>
      <c r="N395" s="123">
        <f t="shared" si="86"/>
        <v>40.828568926591764</v>
      </c>
      <c r="O395" s="5"/>
      <c r="P395" s="5">
        <f t="shared" si="87"/>
        <v>1</v>
      </c>
      <c r="Q395" s="7">
        <f t="shared" si="88"/>
        <v>87497</v>
      </c>
    </row>
    <row r="396" spans="1:21">
      <c r="A396" s="23" t="s">
        <v>423</v>
      </c>
      <c r="B396" s="35" t="s">
        <v>420</v>
      </c>
      <c r="C396" s="125">
        <v>20958</v>
      </c>
      <c r="D396" s="132">
        <v>1299398374</v>
      </c>
      <c r="E396" s="133">
        <f t="shared" si="81"/>
        <v>62000.113274167379</v>
      </c>
      <c r="F396" s="134">
        <v>699538868</v>
      </c>
      <c r="G396" s="134">
        <f t="shared" si="82"/>
        <v>33378.130928523715</v>
      </c>
      <c r="H396" s="135"/>
      <c r="I396" s="136">
        <v>6.7</v>
      </c>
      <c r="J396" s="134">
        <v>4686910.4155999999</v>
      </c>
      <c r="K396" s="120">
        <f t="shared" si="83"/>
        <v>223.63347722110888</v>
      </c>
      <c r="L396" s="122">
        <f t="shared" si="84"/>
        <v>6995388.6799999997</v>
      </c>
      <c r="M396" s="116">
        <f t="shared" si="85"/>
        <v>2308478.2643999998</v>
      </c>
      <c r="N396" s="123">
        <f t="shared" si="86"/>
        <v>110.14783206412824</v>
      </c>
      <c r="O396" s="5"/>
      <c r="P396" s="5">
        <f t="shared" si="87"/>
        <v>1</v>
      </c>
      <c r="Q396" s="7">
        <f t="shared" si="88"/>
        <v>20958</v>
      </c>
    </row>
    <row r="397" spans="1:21">
      <c r="A397" s="23" t="s">
        <v>424</v>
      </c>
      <c r="B397" s="35" t="s">
        <v>420</v>
      </c>
      <c r="C397" s="125">
        <v>11712</v>
      </c>
      <c r="D397" s="132">
        <v>708269226</v>
      </c>
      <c r="E397" s="133">
        <f t="shared" si="81"/>
        <v>60473.8068647541</v>
      </c>
      <c r="F397" s="134">
        <v>512278988</v>
      </c>
      <c r="G397" s="134">
        <f t="shared" si="82"/>
        <v>43739.667691256829</v>
      </c>
      <c r="H397" s="135"/>
      <c r="I397" s="136">
        <v>7.1303999999999998</v>
      </c>
      <c r="J397" s="134">
        <v>3652754.0960352002</v>
      </c>
      <c r="K397" s="120">
        <f t="shared" si="83"/>
        <v>311.88132650573772</v>
      </c>
      <c r="L397" s="122">
        <f t="shared" si="84"/>
        <v>5122789.88</v>
      </c>
      <c r="M397" s="116">
        <f t="shared" si="85"/>
        <v>1470035.7839647997</v>
      </c>
      <c r="N397" s="123">
        <f t="shared" si="86"/>
        <v>125.51535040683058</v>
      </c>
      <c r="O397" s="5"/>
      <c r="P397" s="5">
        <f t="shared" si="87"/>
        <v>1</v>
      </c>
      <c r="Q397" s="7">
        <f t="shared" si="88"/>
        <v>11712</v>
      </c>
    </row>
    <row r="398" spans="1:21">
      <c r="A398" s="23" t="s">
        <v>425</v>
      </c>
      <c r="B398" s="35" t="s">
        <v>420</v>
      </c>
      <c r="C398" s="125">
        <v>2651</v>
      </c>
      <c r="D398" s="132">
        <v>136893177</v>
      </c>
      <c r="E398" s="133">
        <f t="shared" si="81"/>
        <v>51638.316484345531</v>
      </c>
      <c r="F398" s="134">
        <v>75992637</v>
      </c>
      <c r="G398" s="134">
        <f t="shared" si="82"/>
        <v>28665.649566201435</v>
      </c>
      <c r="H398" s="135"/>
      <c r="I398" s="136">
        <v>9.8000000000000007</v>
      </c>
      <c r="J398" s="134">
        <v>744727.84259999997</v>
      </c>
      <c r="K398" s="120">
        <f t="shared" si="83"/>
        <v>280.92336574877402</v>
      </c>
      <c r="L398" s="122">
        <f t="shared" si="84"/>
        <v>759926.37</v>
      </c>
      <c r="M398" s="116">
        <f t="shared" si="85"/>
        <v>15198.527400000021</v>
      </c>
      <c r="N398" s="123">
        <f t="shared" si="86"/>
        <v>5.7331299132402949</v>
      </c>
      <c r="O398" s="5"/>
      <c r="P398" s="5">
        <f t="shared" si="87"/>
        <v>1</v>
      </c>
      <c r="Q398" s="7">
        <f t="shared" si="88"/>
        <v>2651</v>
      </c>
    </row>
    <row r="399" spans="1:21">
      <c r="A399" s="23" t="s">
        <v>426</v>
      </c>
      <c r="B399" s="35" t="s">
        <v>420</v>
      </c>
      <c r="C399" s="125">
        <v>24285</v>
      </c>
      <c r="D399" s="132">
        <v>4261034259</v>
      </c>
      <c r="E399" s="133">
        <f t="shared" si="81"/>
        <v>175459.51241507102</v>
      </c>
      <c r="F399" s="134">
        <v>2915834197</v>
      </c>
      <c r="G399" s="134">
        <f t="shared" si="82"/>
        <v>120067.29244389541</v>
      </c>
      <c r="H399" s="135"/>
      <c r="I399" s="136">
        <v>3.5699000000000001</v>
      </c>
      <c r="J399" s="134">
        <v>10409236.4998703</v>
      </c>
      <c r="K399" s="120">
        <f t="shared" si="83"/>
        <v>428.62822729546224</v>
      </c>
      <c r="L399" s="122">
        <f t="shared" si="84"/>
        <v>29158341.969999999</v>
      </c>
      <c r="M399" s="116">
        <f t="shared" si="85"/>
        <v>18749105.470129699</v>
      </c>
      <c r="N399" s="123">
        <f t="shared" si="86"/>
        <v>772.04469714349182</v>
      </c>
      <c r="O399" s="5"/>
      <c r="P399" s="5">
        <f t="shared" si="87"/>
        <v>1</v>
      </c>
      <c r="Q399" s="7">
        <f t="shared" si="88"/>
        <v>24285</v>
      </c>
    </row>
    <row r="400" spans="1:21">
      <c r="A400" s="23" t="s">
        <v>427</v>
      </c>
      <c r="B400" s="35" t="s">
        <v>420</v>
      </c>
      <c r="C400" s="125">
        <v>1869</v>
      </c>
      <c r="D400" s="132">
        <v>162753267</v>
      </c>
      <c r="E400" s="133">
        <f t="shared" si="81"/>
        <v>87080.39967897271</v>
      </c>
      <c r="F400" s="134">
        <v>88843362</v>
      </c>
      <c r="G400" s="134">
        <f t="shared" si="82"/>
        <v>47535.239165329054</v>
      </c>
      <c r="H400" s="135"/>
      <c r="I400" s="136">
        <v>5.8131000000000004</v>
      </c>
      <c r="J400" s="134">
        <v>516455.34764220007</v>
      </c>
      <c r="K400" s="120">
        <f t="shared" si="83"/>
        <v>276.32709879197438</v>
      </c>
      <c r="L400" s="122">
        <f t="shared" si="84"/>
        <v>888433.62</v>
      </c>
      <c r="M400" s="116">
        <f t="shared" si="85"/>
        <v>371978.27235779993</v>
      </c>
      <c r="N400" s="123">
        <f t="shared" si="86"/>
        <v>199.02529286131616</v>
      </c>
      <c r="O400" s="5"/>
      <c r="P400" s="5">
        <f t="shared" si="87"/>
        <v>1</v>
      </c>
      <c r="Q400" s="7">
        <f t="shared" si="88"/>
        <v>1869</v>
      </c>
    </row>
    <row r="401" spans="1:21">
      <c r="A401" s="23" t="s">
        <v>428</v>
      </c>
      <c r="B401" s="35" t="s">
        <v>420</v>
      </c>
      <c r="C401" s="125">
        <v>11569</v>
      </c>
      <c r="D401" s="132">
        <v>808091437</v>
      </c>
      <c r="E401" s="133">
        <f t="shared" si="81"/>
        <v>69849.72227504538</v>
      </c>
      <c r="F401" s="134">
        <v>548747551</v>
      </c>
      <c r="G401" s="134">
        <f t="shared" si="82"/>
        <v>47432.582850721759</v>
      </c>
      <c r="H401" s="135"/>
      <c r="I401" s="136">
        <v>7.45</v>
      </c>
      <c r="J401" s="134">
        <v>4088169.2549500004</v>
      </c>
      <c r="K401" s="120">
        <f t="shared" si="83"/>
        <v>353.37274223787711</v>
      </c>
      <c r="L401" s="122">
        <f t="shared" si="84"/>
        <v>5487475.5099999998</v>
      </c>
      <c r="M401" s="116">
        <f t="shared" si="85"/>
        <v>1399306.2550499993</v>
      </c>
      <c r="N401" s="123">
        <f t="shared" si="86"/>
        <v>120.95308626934042</v>
      </c>
      <c r="O401" s="5"/>
      <c r="P401" s="5">
        <f t="shared" si="87"/>
        <v>1</v>
      </c>
      <c r="Q401" s="7">
        <f t="shared" si="88"/>
        <v>11569</v>
      </c>
    </row>
    <row r="402" spans="1:21">
      <c r="A402" s="23" t="s">
        <v>429</v>
      </c>
      <c r="B402" s="35" t="s">
        <v>420</v>
      </c>
      <c r="C402" s="125">
        <v>40013</v>
      </c>
      <c r="D402" s="132">
        <v>4110433033</v>
      </c>
      <c r="E402" s="133">
        <f t="shared" si="81"/>
        <v>102727.43940719267</v>
      </c>
      <c r="F402" s="134">
        <v>2848650782</v>
      </c>
      <c r="G402" s="134">
        <f t="shared" si="82"/>
        <v>71193.131782170793</v>
      </c>
      <c r="H402" s="135"/>
      <c r="I402" s="136">
        <v>4.2843</v>
      </c>
      <c r="J402" s="134">
        <v>12204474.545322599</v>
      </c>
      <c r="K402" s="120">
        <f t="shared" si="83"/>
        <v>305.01273449435433</v>
      </c>
      <c r="L402" s="122">
        <f t="shared" si="84"/>
        <v>28486507.82</v>
      </c>
      <c r="M402" s="116">
        <f t="shared" si="85"/>
        <v>16282033.274677401</v>
      </c>
      <c r="N402" s="123">
        <f t="shared" si="86"/>
        <v>406.91858332735364</v>
      </c>
      <c r="O402" s="5"/>
      <c r="P402" s="5">
        <f t="shared" si="87"/>
        <v>1</v>
      </c>
      <c r="Q402" s="7">
        <f t="shared" si="88"/>
        <v>40013</v>
      </c>
    </row>
    <row r="403" spans="1:21">
      <c r="A403" s="23" t="s">
        <v>430</v>
      </c>
      <c r="B403" s="35" t="s">
        <v>420</v>
      </c>
      <c r="C403" s="125">
        <v>1691</v>
      </c>
      <c r="D403" s="132">
        <v>103511440</v>
      </c>
      <c r="E403" s="133">
        <f t="shared" si="81"/>
        <v>61213.151981076284</v>
      </c>
      <c r="F403" s="134">
        <v>43798756</v>
      </c>
      <c r="G403" s="134">
        <f t="shared" si="82"/>
        <v>25901.097575399173</v>
      </c>
      <c r="H403" s="135"/>
      <c r="I403" s="136">
        <v>5.8</v>
      </c>
      <c r="J403" s="134">
        <v>254032.78479999999</v>
      </c>
      <c r="K403" s="120">
        <f t="shared" si="83"/>
        <v>150.22636593731519</v>
      </c>
      <c r="L403" s="122">
        <f t="shared" si="84"/>
        <v>437987.56</v>
      </c>
      <c r="M403" s="116">
        <f t="shared" si="85"/>
        <v>183954.7752</v>
      </c>
      <c r="N403" s="123">
        <f t="shared" si="86"/>
        <v>108.78460981667652</v>
      </c>
      <c r="O403" s="5"/>
      <c r="P403" s="5">
        <f t="shared" si="87"/>
        <v>1</v>
      </c>
      <c r="Q403" s="7">
        <f t="shared" si="88"/>
        <v>1691</v>
      </c>
    </row>
    <row r="404" spans="1:21">
      <c r="A404" s="23" t="s">
        <v>431</v>
      </c>
      <c r="B404" s="35" t="s">
        <v>420</v>
      </c>
      <c r="C404" s="125">
        <v>3047</v>
      </c>
      <c r="D404" s="132">
        <v>973151360</v>
      </c>
      <c r="E404" s="133">
        <f t="shared" si="81"/>
        <v>319380.16409583198</v>
      </c>
      <c r="F404" s="134">
        <v>740236900</v>
      </c>
      <c r="G404" s="134">
        <f t="shared" si="82"/>
        <v>242939.57991467018</v>
      </c>
      <c r="H404" s="135"/>
      <c r="I404" s="136">
        <v>5.7922000000000002</v>
      </c>
      <c r="J404" s="134">
        <v>4287600.1721800007</v>
      </c>
      <c r="K404" s="120">
        <f t="shared" si="83"/>
        <v>1407.1546347817527</v>
      </c>
      <c r="L404" s="122">
        <f t="shared" si="84"/>
        <v>7402369</v>
      </c>
      <c r="M404" s="116">
        <f t="shared" si="85"/>
        <v>3114768.8278199993</v>
      </c>
      <c r="N404" s="123">
        <f t="shared" si="86"/>
        <v>1022.2411643649489</v>
      </c>
      <c r="O404" s="5"/>
      <c r="P404" s="5">
        <f t="shared" si="87"/>
        <v>1</v>
      </c>
      <c r="Q404" s="7">
        <f t="shared" si="88"/>
        <v>3047</v>
      </c>
    </row>
    <row r="405" spans="1:21">
      <c r="A405" s="23" t="s">
        <v>432</v>
      </c>
      <c r="B405" s="35" t="s">
        <v>420</v>
      </c>
      <c r="C405" s="125">
        <v>58656</v>
      </c>
      <c r="D405" s="132">
        <v>4055151596</v>
      </c>
      <c r="E405" s="133">
        <f t="shared" si="81"/>
        <v>69134.472108565198</v>
      </c>
      <c r="F405" s="134">
        <v>2604710345</v>
      </c>
      <c r="G405" s="134">
        <f t="shared" si="82"/>
        <v>44406.545707174031</v>
      </c>
      <c r="H405" s="135"/>
      <c r="I405" s="136">
        <v>4.3920000000000003</v>
      </c>
      <c r="J405" s="134">
        <v>11439887.835240001</v>
      </c>
      <c r="K405" s="120">
        <f t="shared" si="83"/>
        <v>195.03354874590835</v>
      </c>
      <c r="L405" s="122">
        <f t="shared" si="84"/>
        <v>26047103.449999999</v>
      </c>
      <c r="M405" s="116">
        <f t="shared" si="85"/>
        <v>14607215.614759998</v>
      </c>
      <c r="N405" s="123">
        <f t="shared" si="86"/>
        <v>249.03190832583195</v>
      </c>
      <c r="O405" s="5"/>
      <c r="P405" s="5">
        <f t="shared" si="87"/>
        <v>1</v>
      </c>
      <c r="Q405" s="7">
        <f t="shared" si="88"/>
        <v>58656</v>
      </c>
    </row>
    <row r="406" spans="1:21">
      <c r="A406" s="23" t="s">
        <v>433</v>
      </c>
      <c r="B406" s="35" t="s">
        <v>420</v>
      </c>
      <c r="C406" s="125">
        <v>12538</v>
      </c>
      <c r="D406" s="132">
        <v>713803449</v>
      </c>
      <c r="E406" s="133">
        <f t="shared" si="81"/>
        <v>56931.205056627849</v>
      </c>
      <c r="F406" s="134">
        <v>468326087</v>
      </c>
      <c r="G406" s="134">
        <f t="shared" si="82"/>
        <v>37352.535252831396</v>
      </c>
      <c r="H406" s="152"/>
      <c r="I406" s="136">
        <v>7.4</v>
      </c>
      <c r="J406" s="134">
        <v>3465613.0438000001</v>
      </c>
      <c r="K406" s="120">
        <f t="shared" si="83"/>
        <v>276.40876087095234</v>
      </c>
      <c r="L406" s="122">
        <f t="shared" si="84"/>
        <v>4683260.87</v>
      </c>
      <c r="M406" s="116">
        <f t="shared" si="85"/>
        <v>1217647.8262</v>
      </c>
      <c r="N406" s="123">
        <f t="shared" si="86"/>
        <v>97.116591657361624</v>
      </c>
      <c r="O406" s="5"/>
      <c r="P406" s="5">
        <f t="shared" si="87"/>
        <v>1</v>
      </c>
      <c r="Q406" s="7">
        <f t="shared" si="88"/>
        <v>12538</v>
      </c>
      <c r="S406" s="124">
        <f>SUM(D391:D406)</f>
        <v>32629287207</v>
      </c>
      <c r="T406" s="124">
        <f>SUM(F391:F406)</f>
        <v>21210835815</v>
      </c>
      <c r="U406" s="124">
        <f>SUM(J391:J406)</f>
        <v>116454477.51060019</v>
      </c>
    </row>
    <row r="407" spans="1:21">
      <c r="A407" s="23" t="s">
        <v>435</v>
      </c>
      <c r="B407" s="35" t="s">
        <v>434</v>
      </c>
      <c r="C407" s="125">
        <v>459</v>
      </c>
      <c r="D407" s="147" t="s">
        <v>564</v>
      </c>
      <c r="E407" s="133"/>
      <c r="F407" s="134"/>
      <c r="G407" s="134"/>
      <c r="H407" s="148" t="s">
        <v>588</v>
      </c>
      <c r="I407" s="136"/>
      <c r="J407" s="134"/>
      <c r="K407" s="120"/>
      <c r="L407" s="122">
        <f t="shared" si="84"/>
        <v>0</v>
      </c>
      <c r="M407" s="116">
        <f t="shared" si="85"/>
        <v>0</v>
      </c>
      <c r="N407" s="123">
        <f t="shared" si="86"/>
        <v>0</v>
      </c>
      <c r="O407" s="5"/>
      <c r="P407" s="5">
        <f t="shared" si="87"/>
        <v>0</v>
      </c>
      <c r="Q407" s="7">
        <f t="shared" si="88"/>
        <v>0</v>
      </c>
    </row>
    <row r="408" spans="1:21">
      <c r="A408" s="24" t="s">
        <v>555</v>
      </c>
      <c r="B408" s="35" t="s">
        <v>434</v>
      </c>
      <c r="C408" s="125">
        <v>281</v>
      </c>
      <c r="D408" s="132">
        <v>42481636</v>
      </c>
      <c r="E408" s="133">
        <f>(D408/C408)</f>
        <v>151180.19928825623</v>
      </c>
      <c r="F408" s="134">
        <v>28300895</v>
      </c>
      <c r="G408" s="134">
        <f>(F408/C408)</f>
        <v>100714.92882562277</v>
      </c>
      <c r="H408" s="152"/>
      <c r="I408" s="136">
        <v>5.1269</v>
      </c>
      <c r="J408" s="134">
        <v>145096</v>
      </c>
      <c r="K408" s="120">
        <f>(J408/C408)</f>
        <v>516.35587188612101</v>
      </c>
      <c r="L408" s="122">
        <f t="shared" si="84"/>
        <v>283008.95</v>
      </c>
      <c r="M408" s="116">
        <f t="shared" si="85"/>
        <v>137912.95000000001</v>
      </c>
      <c r="N408" s="123">
        <f t="shared" si="86"/>
        <v>490.7934163701068</v>
      </c>
      <c r="O408" s="5"/>
      <c r="P408" s="5">
        <f t="shared" si="87"/>
        <v>1</v>
      </c>
      <c r="Q408" s="7">
        <f t="shared" si="88"/>
        <v>281</v>
      </c>
      <c r="S408" s="124">
        <f>SUM(D407:D408)</f>
        <v>42481636</v>
      </c>
      <c r="T408" s="124">
        <f>SUM(F407:F408)</f>
        <v>28300895</v>
      </c>
      <c r="U408" s="124">
        <f>SUM(J407:J408)</f>
        <v>145096</v>
      </c>
    </row>
    <row r="409" spans="1:21">
      <c r="A409" s="23" t="s">
        <v>436</v>
      </c>
      <c r="B409" s="35" t="s">
        <v>437</v>
      </c>
      <c r="C409" s="125">
        <v>5429</v>
      </c>
      <c r="D409" s="132">
        <v>314413741</v>
      </c>
      <c r="E409" s="133">
        <f>(D409/C409)</f>
        <v>57913.748572481119</v>
      </c>
      <c r="F409" s="134">
        <v>209976002</v>
      </c>
      <c r="G409" s="134">
        <f>(F409/C409)</f>
        <v>38676.73641554614</v>
      </c>
      <c r="H409" s="152"/>
      <c r="I409" s="150">
        <v>4.5</v>
      </c>
      <c r="J409" s="134">
        <v>944892</v>
      </c>
      <c r="K409" s="120">
        <f>(J409/C409)</f>
        <v>174.04531221219378</v>
      </c>
      <c r="L409" s="122">
        <f t="shared" si="84"/>
        <v>2099760.02</v>
      </c>
      <c r="M409" s="116">
        <f t="shared" si="85"/>
        <v>1154868.02</v>
      </c>
      <c r="N409" s="123">
        <f t="shared" si="86"/>
        <v>212.72205194326764</v>
      </c>
      <c r="O409" s="5"/>
      <c r="P409" s="5">
        <f t="shared" si="87"/>
        <v>1</v>
      </c>
      <c r="Q409" s="7">
        <f t="shared" si="88"/>
        <v>5429</v>
      </c>
    </row>
    <row r="410" spans="1:21">
      <c r="A410" s="23" t="s">
        <v>438</v>
      </c>
      <c r="B410" s="35" t="s">
        <v>437</v>
      </c>
      <c r="C410" s="125">
        <v>2667</v>
      </c>
      <c r="D410" s="132">
        <v>258879732</v>
      </c>
      <c r="E410" s="133">
        <f>(D410/C410)</f>
        <v>97067.766029246341</v>
      </c>
      <c r="F410" s="134">
        <v>198738008</v>
      </c>
      <c r="G410" s="134">
        <f>(F410/C410)</f>
        <v>74517.438320209971</v>
      </c>
      <c r="H410" s="152"/>
      <c r="I410" s="150">
        <v>4.7302</v>
      </c>
      <c r="J410" s="134">
        <v>940071</v>
      </c>
      <c r="K410" s="120">
        <f>(J410/C410)</f>
        <v>352.48256467941508</v>
      </c>
      <c r="L410" s="122">
        <f t="shared" si="84"/>
        <v>1987380.08</v>
      </c>
      <c r="M410" s="116">
        <f t="shared" si="85"/>
        <v>1047309.0800000001</v>
      </c>
      <c r="N410" s="123">
        <f t="shared" si="86"/>
        <v>392.69181852268468</v>
      </c>
      <c r="O410" s="5"/>
      <c r="P410" s="5">
        <f t="shared" si="87"/>
        <v>1</v>
      </c>
      <c r="Q410" s="7">
        <f t="shared" si="88"/>
        <v>2667</v>
      </c>
    </row>
    <row r="411" spans="1:21">
      <c r="A411" s="23" t="s">
        <v>439</v>
      </c>
      <c r="B411" s="35" t="s">
        <v>437</v>
      </c>
      <c r="C411" s="125">
        <v>622</v>
      </c>
      <c r="D411" s="147" t="s">
        <v>564</v>
      </c>
      <c r="E411" s="133"/>
      <c r="F411" s="134"/>
      <c r="G411" s="134"/>
      <c r="H411" s="148" t="s">
        <v>588</v>
      </c>
      <c r="I411" s="136"/>
      <c r="J411" s="134"/>
      <c r="K411" s="120"/>
      <c r="L411" s="122">
        <f t="shared" si="84"/>
        <v>0</v>
      </c>
      <c r="M411" s="116">
        <f t="shared" si="85"/>
        <v>0</v>
      </c>
      <c r="N411" s="123">
        <f t="shared" si="86"/>
        <v>0</v>
      </c>
      <c r="O411" s="5"/>
      <c r="P411" s="5">
        <f t="shared" si="87"/>
        <v>0</v>
      </c>
      <c r="Q411" s="7">
        <f t="shared" si="88"/>
        <v>0</v>
      </c>
      <c r="S411" s="124">
        <f>SUM(D409:D411)</f>
        <v>573293473</v>
      </c>
      <c r="T411" s="124">
        <f>SUM(F409:F411)</f>
        <v>408714010</v>
      </c>
      <c r="U411" s="124">
        <f>SUM(J409:J411)</f>
        <v>1884963</v>
      </c>
    </row>
    <row r="412" spans="1:21">
      <c r="A412" s="23" t="s">
        <v>440</v>
      </c>
      <c r="B412" s="35" t="s">
        <v>441</v>
      </c>
      <c r="C412" s="125">
        <v>278</v>
      </c>
      <c r="D412" s="147" t="s">
        <v>564</v>
      </c>
      <c r="E412" s="133"/>
      <c r="F412" s="134"/>
      <c r="G412" s="134"/>
      <c r="H412" s="148" t="s">
        <v>588</v>
      </c>
      <c r="I412" s="136"/>
      <c r="J412" s="134"/>
      <c r="K412" s="120"/>
      <c r="L412" s="122">
        <f t="shared" si="84"/>
        <v>0</v>
      </c>
      <c r="M412" s="116">
        <f t="shared" si="85"/>
        <v>0</v>
      </c>
      <c r="N412" s="123">
        <f t="shared" si="86"/>
        <v>0</v>
      </c>
      <c r="O412" s="5"/>
      <c r="P412" s="5">
        <f t="shared" si="87"/>
        <v>0</v>
      </c>
      <c r="Q412" s="7">
        <f t="shared" si="88"/>
        <v>0</v>
      </c>
    </row>
    <row r="413" spans="1:21">
      <c r="A413" s="23" t="s">
        <v>442</v>
      </c>
      <c r="B413" s="35" t="s">
        <v>441</v>
      </c>
      <c r="C413" s="125">
        <v>3512</v>
      </c>
      <c r="D413" s="132">
        <v>205276437</v>
      </c>
      <c r="E413" s="133">
        <f>(D413/C413)</f>
        <v>58450.01053530752</v>
      </c>
      <c r="F413" s="134">
        <v>140673287</v>
      </c>
      <c r="G413" s="134">
        <f>(F413/C413)</f>
        <v>40055.036161731208</v>
      </c>
      <c r="H413" s="152"/>
      <c r="I413" s="150">
        <v>7</v>
      </c>
      <c r="J413" s="134">
        <v>984713</v>
      </c>
      <c r="K413" s="120">
        <f>(J413/C413)</f>
        <v>280.38525056947606</v>
      </c>
      <c r="L413" s="122">
        <f t="shared" si="84"/>
        <v>1406732.87</v>
      </c>
      <c r="M413" s="116">
        <f t="shared" si="85"/>
        <v>422019.87000000011</v>
      </c>
      <c r="N413" s="123">
        <f t="shared" si="86"/>
        <v>120.16511104783602</v>
      </c>
      <c r="O413" s="5"/>
      <c r="P413" s="5">
        <f t="shared" si="87"/>
        <v>1</v>
      </c>
      <c r="Q413" s="7">
        <f t="shared" si="88"/>
        <v>3512</v>
      </c>
    </row>
    <row r="414" spans="1:21">
      <c r="A414" s="23" t="s">
        <v>443</v>
      </c>
      <c r="B414" s="35" t="s">
        <v>441</v>
      </c>
      <c r="C414" s="125">
        <v>220</v>
      </c>
      <c r="D414" s="147" t="s">
        <v>564</v>
      </c>
      <c r="E414" s="133"/>
      <c r="F414" s="134"/>
      <c r="G414" s="134"/>
      <c r="H414" s="148" t="s">
        <v>588</v>
      </c>
      <c r="I414" s="136"/>
      <c r="J414" s="134"/>
      <c r="K414" s="120"/>
      <c r="L414" s="122">
        <f t="shared" si="84"/>
        <v>0</v>
      </c>
      <c r="M414" s="116">
        <f t="shared" si="85"/>
        <v>0</v>
      </c>
      <c r="N414" s="123">
        <f t="shared" si="86"/>
        <v>0</v>
      </c>
      <c r="O414" s="5"/>
      <c r="P414" s="5">
        <f t="shared" si="87"/>
        <v>0</v>
      </c>
      <c r="Q414" s="7">
        <f t="shared" si="88"/>
        <v>0</v>
      </c>
    </row>
    <row r="415" spans="1:21">
      <c r="A415" s="23" t="s">
        <v>444</v>
      </c>
      <c r="B415" s="35" t="s">
        <v>441</v>
      </c>
      <c r="C415" s="125">
        <v>689</v>
      </c>
      <c r="D415" s="132">
        <v>30885669</v>
      </c>
      <c r="E415" s="133">
        <f>(D415/C415)</f>
        <v>44826.805515239481</v>
      </c>
      <c r="F415" s="134">
        <v>16003338</v>
      </c>
      <c r="G415" s="134">
        <f>(F415/C415)</f>
        <v>23226.905660377357</v>
      </c>
      <c r="H415" s="152"/>
      <c r="I415" s="150">
        <v>2.4140999999999999</v>
      </c>
      <c r="J415" s="134">
        <v>38634</v>
      </c>
      <c r="K415" s="120">
        <f>(J415/C415)</f>
        <v>56.072568940493468</v>
      </c>
      <c r="L415" s="122">
        <f t="shared" si="84"/>
        <v>160033.38</v>
      </c>
      <c r="M415" s="116">
        <f t="shared" si="85"/>
        <v>121399.38</v>
      </c>
      <c r="N415" s="123">
        <f t="shared" si="86"/>
        <v>176.19648766328012</v>
      </c>
      <c r="O415" s="5"/>
      <c r="P415" s="5">
        <f t="shared" si="87"/>
        <v>1</v>
      </c>
      <c r="Q415" s="7">
        <f t="shared" si="88"/>
        <v>689</v>
      </c>
    </row>
    <row r="416" spans="1:21">
      <c r="A416" s="23" t="s">
        <v>445</v>
      </c>
      <c r="B416" s="35" t="s">
        <v>441</v>
      </c>
      <c r="C416" s="125">
        <v>388</v>
      </c>
      <c r="D416" s="147" t="s">
        <v>564</v>
      </c>
      <c r="E416" s="133"/>
      <c r="F416" s="134"/>
      <c r="G416" s="134"/>
      <c r="H416" s="148" t="s">
        <v>588</v>
      </c>
      <c r="I416" s="136"/>
      <c r="J416" s="134"/>
      <c r="K416" s="120"/>
      <c r="L416" s="122">
        <f t="shared" si="84"/>
        <v>0</v>
      </c>
      <c r="M416" s="116">
        <f t="shared" si="85"/>
        <v>0</v>
      </c>
      <c r="N416" s="123">
        <f t="shared" si="86"/>
        <v>0</v>
      </c>
      <c r="O416" s="5"/>
      <c r="P416" s="5">
        <f t="shared" si="87"/>
        <v>0</v>
      </c>
      <c r="Q416" s="7">
        <f t="shared" si="88"/>
        <v>0</v>
      </c>
      <c r="S416" s="124">
        <f>SUM(D412:D416)</f>
        <v>236162106</v>
      </c>
      <c r="T416" s="124">
        <f>SUM(F412:F416)</f>
        <v>156676625</v>
      </c>
      <c r="U416" s="124">
        <f>SUM(J412:J416)</f>
        <v>1023347</v>
      </c>
    </row>
    <row r="417" spans="1:21">
      <c r="A417" s="70" t="s">
        <v>583</v>
      </c>
      <c r="B417" s="71"/>
      <c r="C417" s="72">
        <f>SUM(C6:C416)</f>
        <v>10018127</v>
      </c>
      <c r="D417" s="73">
        <f>SUM(D6:D416)</f>
        <v>1176652028398</v>
      </c>
      <c r="E417" s="74">
        <f>(D417/Q417)</f>
        <v>128900.59081732901</v>
      </c>
      <c r="F417" s="75">
        <f>SUM(F6:F416)</f>
        <v>804031020849</v>
      </c>
      <c r="G417" s="76">
        <f>(F417/Q417)</f>
        <v>88080.478443572822</v>
      </c>
      <c r="H417" s="71"/>
      <c r="I417" s="112"/>
      <c r="J417" s="78">
        <f>SUM(J6:J416)</f>
        <v>3871759656.4289641</v>
      </c>
      <c r="K417" s="79">
        <f>(J417/Q417)</f>
        <v>424.14587760144684</v>
      </c>
      <c r="L417" s="79">
        <f>SUM(L6:L416)</f>
        <v>8040310208.4900131</v>
      </c>
      <c r="M417" s="78">
        <f>SUM(M6:M416)</f>
        <v>4168550552.0610328</v>
      </c>
      <c r="N417" s="80">
        <f>(M417/Q417)</f>
        <v>456.65890683428108</v>
      </c>
      <c r="O417" s="20"/>
      <c r="P417" s="20">
        <f>SUM(P6:P416)</f>
        <v>388</v>
      </c>
      <c r="Q417" s="21">
        <f>SUM(Q6:Q416)</f>
        <v>9128368</v>
      </c>
      <c r="S417" s="124"/>
      <c r="T417" s="124"/>
      <c r="U417" s="124"/>
    </row>
    <row r="418" spans="1:21">
      <c r="A418" s="27" t="s">
        <v>453</v>
      </c>
      <c r="B418" s="13"/>
      <c r="C418" s="60">
        <f>(P417)</f>
        <v>388</v>
      </c>
      <c r="D418" s="128"/>
      <c r="E418" s="16"/>
      <c r="F418" s="18"/>
      <c r="G418" s="16"/>
      <c r="H418" s="16"/>
      <c r="I418" s="14"/>
      <c r="J418" s="128"/>
      <c r="K418" s="17"/>
      <c r="L418" s="2"/>
      <c r="M418" s="2"/>
      <c r="N418" s="63"/>
      <c r="O418" s="2"/>
      <c r="P418" s="2"/>
      <c r="Q418" s="2"/>
      <c r="S418" s="124"/>
      <c r="T418" s="124"/>
      <c r="U418" s="124"/>
    </row>
    <row r="419" spans="1:21">
      <c r="A419" s="22"/>
      <c r="B419" s="16"/>
      <c r="C419" s="16"/>
      <c r="D419" s="106"/>
      <c r="E419" s="16"/>
      <c r="F419" s="16"/>
      <c r="G419" s="16"/>
      <c r="H419" s="107"/>
      <c r="I419" s="17"/>
      <c r="J419" s="17"/>
      <c r="K419" s="17"/>
      <c r="L419" s="2"/>
      <c r="M419" s="2"/>
      <c r="N419" s="63"/>
      <c r="O419" s="2"/>
      <c r="P419" s="2"/>
      <c r="Q419" s="2"/>
      <c r="S419" s="124"/>
      <c r="T419" s="124"/>
      <c r="U419" s="124"/>
    </row>
    <row r="420" spans="1:21">
      <c r="A420" s="204" t="s">
        <v>498</v>
      </c>
      <c r="B420" s="192"/>
      <c r="C420" s="192"/>
      <c r="D420" s="192"/>
      <c r="E420" s="192"/>
      <c r="F420" s="192"/>
      <c r="G420" s="192"/>
      <c r="H420" s="192"/>
      <c r="I420" s="192"/>
      <c r="J420" s="192"/>
      <c r="K420" s="192"/>
      <c r="L420" s="192"/>
      <c r="M420" s="192"/>
      <c r="N420" s="193"/>
      <c r="O420" s="1"/>
      <c r="P420" s="1"/>
      <c r="Q420" s="1"/>
    </row>
    <row r="421" spans="1:21">
      <c r="A421" s="191" t="s">
        <v>565</v>
      </c>
      <c r="B421" s="192"/>
      <c r="C421" s="192"/>
      <c r="D421" s="192"/>
      <c r="E421" s="192"/>
      <c r="F421" s="192"/>
      <c r="G421" s="192"/>
      <c r="H421" s="192"/>
      <c r="I421" s="192"/>
      <c r="J421" s="192"/>
      <c r="K421" s="192"/>
      <c r="L421" s="192"/>
      <c r="M421" s="192"/>
      <c r="N421" s="193"/>
      <c r="O421" s="1"/>
      <c r="P421" s="1"/>
      <c r="Q421" s="1"/>
    </row>
    <row r="422" spans="1:21" ht="25.5" customHeight="1">
      <c r="A422" s="191" t="s">
        <v>577</v>
      </c>
      <c r="B422" s="192"/>
      <c r="C422" s="192"/>
      <c r="D422" s="192"/>
      <c r="E422" s="192"/>
      <c r="F422" s="192"/>
      <c r="G422" s="192"/>
      <c r="H422" s="192"/>
      <c r="I422" s="192"/>
      <c r="J422" s="192"/>
      <c r="K422" s="192"/>
      <c r="L422" s="192"/>
      <c r="M422" s="192"/>
      <c r="N422" s="193"/>
      <c r="O422" s="1"/>
      <c r="P422" s="1"/>
      <c r="Q422" s="1"/>
    </row>
    <row r="423" spans="1:21" ht="25.5" customHeight="1">
      <c r="A423" s="191" t="s">
        <v>578</v>
      </c>
      <c r="B423" s="192"/>
      <c r="C423" s="192"/>
      <c r="D423" s="192"/>
      <c r="E423" s="192"/>
      <c r="F423" s="192"/>
      <c r="G423" s="192"/>
      <c r="H423" s="192"/>
      <c r="I423" s="192"/>
      <c r="J423" s="192"/>
      <c r="K423" s="192"/>
      <c r="L423" s="192"/>
      <c r="M423" s="192"/>
      <c r="N423" s="193"/>
      <c r="O423" s="1"/>
      <c r="P423" s="1"/>
      <c r="Q423" s="1"/>
    </row>
    <row r="424" spans="1:21">
      <c r="A424" s="194"/>
      <c r="B424" s="192"/>
      <c r="C424" s="192"/>
      <c r="D424" s="192"/>
      <c r="E424" s="192"/>
      <c r="F424" s="192"/>
      <c r="G424" s="192"/>
      <c r="H424" s="192"/>
      <c r="I424" s="192"/>
      <c r="J424" s="192"/>
      <c r="K424" s="192"/>
      <c r="L424" s="192"/>
      <c r="M424" s="192"/>
      <c r="N424" s="193"/>
      <c r="O424" s="1"/>
      <c r="P424" s="1"/>
      <c r="Q424" s="1"/>
    </row>
    <row r="425" spans="1:21">
      <c r="A425" s="191" t="s">
        <v>579</v>
      </c>
      <c r="B425" s="192"/>
      <c r="C425" s="192"/>
      <c r="D425" s="192"/>
      <c r="E425" s="192"/>
      <c r="F425" s="192"/>
      <c r="G425" s="192"/>
      <c r="H425" s="192"/>
      <c r="I425" s="192"/>
      <c r="J425" s="192"/>
      <c r="K425" s="192"/>
      <c r="L425" s="192"/>
      <c r="M425" s="192"/>
      <c r="N425" s="193"/>
      <c r="O425" s="1"/>
      <c r="P425" s="1"/>
      <c r="Q425" s="1"/>
    </row>
    <row r="426" spans="1:21" ht="12.75" customHeight="1">
      <c r="A426" s="191" t="s">
        <v>607</v>
      </c>
      <c r="B426" s="192"/>
      <c r="C426" s="192"/>
      <c r="D426" s="192"/>
      <c r="E426" s="192"/>
      <c r="F426" s="192"/>
      <c r="G426" s="192"/>
      <c r="H426" s="192"/>
      <c r="I426" s="192"/>
      <c r="J426" s="192"/>
      <c r="K426" s="192"/>
      <c r="L426" s="192"/>
      <c r="M426" s="192"/>
      <c r="N426" s="193"/>
      <c r="O426" s="1"/>
      <c r="P426" s="1"/>
      <c r="Q426" s="1"/>
    </row>
    <row r="427" spans="1:21" ht="15" customHeight="1" thickBot="1">
      <c r="A427" s="188" t="s">
        <v>596</v>
      </c>
      <c r="B427" s="189"/>
      <c r="C427" s="189"/>
      <c r="D427" s="189"/>
      <c r="E427" s="189"/>
      <c r="F427" s="189"/>
      <c r="G427" s="189"/>
      <c r="H427" s="189"/>
      <c r="I427" s="189"/>
      <c r="J427" s="189"/>
      <c r="K427" s="189"/>
      <c r="L427" s="189"/>
      <c r="M427" s="189"/>
      <c r="N427" s="190"/>
      <c r="O427" s="1"/>
      <c r="P427" s="1"/>
      <c r="Q427" s="1"/>
    </row>
    <row r="428" spans="1:21">
      <c r="A428" s="4"/>
      <c r="B428" s="1"/>
      <c r="C428" s="1"/>
      <c r="D428" s="1"/>
      <c r="E428" s="1"/>
      <c r="F428" s="1"/>
      <c r="G428" s="1"/>
      <c r="H428" s="1"/>
      <c r="I428" s="3"/>
      <c r="J428" s="3"/>
      <c r="K428" s="3"/>
      <c r="L428" s="1"/>
      <c r="M428" s="1"/>
      <c r="N428" s="1"/>
      <c r="O428" s="1"/>
      <c r="P428" s="1"/>
      <c r="Q428" s="1"/>
    </row>
    <row r="429" spans="1:21">
      <c r="A429" s="4"/>
      <c r="B429" s="1"/>
      <c r="C429" s="1"/>
      <c r="D429" s="1"/>
      <c r="E429" s="1"/>
      <c r="F429" s="1"/>
      <c r="G429" s="1"/>
      <c r="H429" s="1"/>
      <c r="I429" s="3"/>
      <c r="J429" s="3"/>
      <c r="K429" s="3"/>
      <c r="L429" s="1"/>
      <c r="M429" s="1"/>
      <c r="N429" s="1"/>
      <c r="O429" s="1"/>
      <c r="P429" s="1"/>
      <c r="Q429" s="1"/>
    </row>
    <row r="430" spans="1:21">
      <c r="A430" s="2"/>
      <c r="B430" s="2"/>
      <c r="C430" s="2"/>
      <c r="D430" s="2"/>
      <c r="E430" s="2"/>
      <c r="F430" s="2"/>
      <c r="G430" s="2"/>
      <c r="H430" s="2"/>
      <c r="I430" s="2"/>
      <c r="J430" s="2"/>
      <c r="K430" s="2"/>
      <c r="L430" s="2"/>
      <c r="M430" s="2"/>
      <c r="N430" s="2"/>
      <c r="O430" s="2"/>
      <c r="P430" s="2"/>
      <c r="Q430" s="2"/>
    </row>
  </sheetData>
  <mergeCells count="12">
    <mergeCell ref="A427:N427"/>
    <mergeCell ref="A1:N1"/>
    <mergeCell ref="D2:G2"/>
    <mergeCell ref="L2:N2"/>
    <mergeCell ref="S2:U2"/>
    <mergeCell ref="A420:N420"/>
    <mergeCell ref="A421:N421"/>
    <mergeCell ref="A422:N422"/>
    <mergeCell ref="A423:N423"/>
    <mergeCell ref="A424:N424"/>
    <mergeCell ref="A425:N425"/>
    <mergeCell ref="A426:N426"/>
  </mergeCells>
  <printOptions horizontalCentered="1"/>
  <pageMargins left="0.5" right="0.5" top="0.5" bottom="0.5" header="0.3" footer="0.3"/>
  <pageSetup paperSize="5" scale="82" fitToHeight="0" orientation="landscape" r:id="rId1"/>
  <headerFooter>
    <oddFooter>&amp;L&amp;11Office of Economic and Demographic Research&amp;C&amp;11Page &amp;P of &amp;N&amp;R&amp;11May 4, 2017</oddFooter>
  </headerFooter>
  <rowBreaks count="1" manualBreakCount="1">
    <brk id="418"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429"/>
  <sheetViews>
    <sheetView workbookViewId="0">
      <selection sqref="A1:N1"/>
    </sheetView>
  </sheetViews>
  <sheetFormatPr defaultRowHeight="12.75"/>
  <cols>
    <col min="1" max="1" width="25.7109375" customWidth="1"/>
    <col min="2" max="2" width="16.7109375" customWidth="1"/>
    <col min="3" max="3" width="11.7109375" customWidth="1"/>
    <col min="4" max="4" width="18.7109375" customWidth="1"/>
    <col min="5" max="5" width="13.7109375" customWidth="1"/>
    <col min="6" max="6" width="17.7109375" customWidth="1"/>
    <col min="7" max="7" width="13.7109375" customWidth="1"/>
    <col min="8" max="8" width="1.7109375" customWidth="1"/>
    <col min="9" max="9" width="10.7109375" customWidth="1"/>
    <col min="10" max="10" width="15.7109375" customWidth="1"/>
    <col min="11" max="11" width="13.7109375" customWidth="1"/>
    <col min="12" max="13" width="15.7109375" customWidth="1"/>
    <col min="14" max="14" width="14.7109375" customWidth="1"/>
    <col min="15" max="15" width="2.7109375" customWidth="1"/>
    <col min="16" max="16" width="4.5703125" customWidth="1"/>
    <col min="17" max="17" width="10.7109375" customWidth="1"/>
    <col min="19" max="20" width="17.7109375" customWidth="1"/>
    <col min="21" max="21" width="16.7109375" customWidth="1"/>
  </cols>
  <sheetData>
    <row r="1" spans="1:21" ht="26.25">
      <c r="A1" s="197" t="s">
        <v>592</v>
      </c>
      <c r="B1" s="198"/>
      <c r="C1" s="198"/>
      <c r="D1" s="198"/>
      <c r="E1" s="198"/>
      <c r="F1" s="198"/>
      <c r="G1" s="198"/>
      <c r="H1" s="198"/>
      <c r="I1" s="198"/>
      <c r="J1" s="198"/>
      <c r="K1" s="198"/>
      <c r="L1" s="198"/>
      <c r="M1" s="198"/>
      <c r="N1" s="199"/>
    </row>
    <row r="2" spans="1:21" ht="18">
      <c r="A2" s="41"/>
      <c r="B2" s="42"/>
      <c r="C2" s="43"/>
      <c r="D2" s="200" t="s">
        <v>562</v>
      </c>
      <c r="E2" s="201"/>
      <c r="F2" s="201"/>
      <c r="G2" s="202"/>
      <c r="H2" s="44"/>
      <c r="I2" s="61" t="s">
        <v>456</v>
      </c>
      <c r="J2" s="45"/>
      <c r="K2" s="68"/>
      <c r="L2" s="201" t="s">
        <v>503</v>
      </c>
      <c r="M2" s="201"/>
      <c r="N2" s="203"/>
      <c r="S2" s="200" t="s">
        <v>591</v>
      </c>
      <c r="T2" s="201"/>
      <c r="U2" s="202"/>
    </row>
    <row r="3" spans="1:21" ht="12.75" customHeight="1">
      <c r="A3" s="46"/>
      <c r="B3" s="47"/>
      <c r="C3" s="48">
        <v>2014</v>
      </c>
      <c r="D3" s="49"/>
      <c r="E3" s="50" t="s">
        <v>1</v>
      </c>
      <c r="F3" s="51"/>
      <c r="G3" s="50" t="s">
        <v>1</v>
      </c>
      <c r="H3" s="52"/>
      <c r="I3" s="53"/>
      <c r="J3" s="54"/>
      <c r="K3" s="67" t="s">
        <v>1</v>
      </c>
      <c r="L3" s="66" t="s">
        <v>455</v>
      </c>
      <c r="M3" s="50" t="s">
        <v>455</v>
      </c>
      <c r="N3" s="59" t="s">
        <v>1</v>
      </c>
      <c r="S3" s="51"/>
      <c r="T3" s="51"/>
      <c r="U3" s="54"/>
    </row>
    <row r="4" spans="1:21">
      <c r="A4" s="46"/>
      <c r="B4" s="47"/>
      <c r="C4" s="48" t="s">
        <v>3</v>
      </c>
      <c r="D4" s="49" t="s">
        <v>563</v>
      </c>
      <c r="E4" s="56" t="s">
        <v>563</v>
      </c>
      <c r="F4" s="56" t="s">
        <v>2</v>
      </c>
      <c r="G4" s="56" t="s">
        <v>2</v>
      </c>
      <c r="H4" s="52"/>
      <c r="I4" s="57" t="s">
        <v>4</v>
      </c>
      <c r="J4" s="58" t="s">
        <v>455</v>
      </c>
      <c r="K4" s="69" t="s">
        <v>455</v>
      </c>
      <c r="L4" s="67" t="s">
        <v>454</v>
      </c>
      <c r="M4" s="82" t="s">
        <v>495</v>
      </c>
      <c r="N4" s="55" t="s">
        <v>495</v>
      </c>
      <c r="S4" s="48" t="s">
        <v>563</v>
      </c>
      <c r="T4" s="56" t="s">
        <v>2</v>
      </c>
      <c r="U4" s="58" t="s">
        <v>455</v>
      </c>
    </row>
    <row r="5" spans="1:21">
      <c r="A5" s="85" t="s">
        <v>5</v>
      </c>
      <c r="B5" s="86" t="s">
        <v>6</v>
      </c>
      <c r="C5" s="48" t="s">
        <v>458</v>
      </c>
      <c r="D5" s="88" t="s">
        <v>7</v>
      </c>
      <c r="E5" s="89" t="s">
        <v>7</v>
      </c>
      <c r="F5" s="90" t="s">
        <v>7</v>
      </c>
      <c r="G5" s="89" t="s">
        <v>7</v>
      </c>
      <c r="H5" s="91"/>
      <c r="I5" s="92" t="s">
        <v>587</v>
      </c>
      <c r="J5" s="90" t="s">
        <v>454</v>
      </c>
      <c r="K5" s="90" t="s">
        <v>454</v>
      </c>
      <c r="L5" s="93" t="s">
        <v>502</v>
      </c>
      <c r="M5" s="94" t="s">
        <v>496</v>
      </c>
      <c r="N5" s="95" t="s">
        <v>496</v>
      </c>
      <c r="O5" s="19"/>
      <c r="P5" s="19"/>
      <c r="Q5" s="19"/>
      <c r="S5" s="87" t="s">
        <v>7</v>
      </c>
      <c r="T5" s="90" t="s">
        <v>7</v>
      </c>
      <c r="U5" s="90" t="s">
        <v>454</v>
      </c>
    </row>
    <row r="6" spans="1:21">
      <c r="A6" s="22" t="s">
        <v>8</v>
      </c>
      <c r="B6" s="33" t="s">
        <v>8</v>
      </c>
      <c r="C6" s="97">
        <v>9479</v>
      </c>
      <c r="D6" s="18">
        <v>1082773275</v>
      </c>
      <c r="E6" s="38">
        <f t="shared" ref="E6:E14" si="0">(D6/C6)</f>
        <v>114228.63962443295</v>
      </c>
      <c r="F6" s="18">
        <v>683215371</v>
      </c>
      <c r="G6" s="39">
        <f t="shared" ref="G6:G14" si="1">(F6/C6)</f>
        <v>72076.734993142731</v>
      </c>
      <c r="H6" s="15"/>
      <c r="I6" s="108">
        <v>5.5</v>
      </c>
      <c r="J6" s="40">
        <v>3757685</v>
      </c>
      <c r="K6" s="84">
        <f t="shared" ref="K6:K14" si="2">(J6/C6)</f>
        <v>396.42209093786266</v>
      </c>
      <c r="L6" s="65">
        <f>(F6*0.01)</f>
        <v>6832153.71</v>
      </c>
      <c r="M6" s="83">
        <f>(L6-J6)</f>
        <v>3074468.71</v>
      </c>
      <c r="N6" s="62">
        <f>(M6/C6)</f>
        <v>324.3452589935647</v>
      </c>
      <c r="O6" s="5"/>
      <c r="P6" s="5">
        <f t="shared" ref="P6:P69" si="3">IF(I6&gt;0,1,0)</f>
        <v>1</v>
      </c>
      <c r="Q6" s="7">
        <f t="shared" ref="Q6:Q69" si="4">IF(I6&gt;0,C6,0)</f>
        <v>9479</v>
      </c>
    </row>
    <row r="7" spans="1:21">
      <c r="A7" s="23" t="s">
        <v>9</v>
      </c>
      <c r="B7" s="35" t="s">
        <v>8</v>
      </c>
      <c r="C7" s="97">
        <v>1137</v>
      </c>
      <c r="D7" s="113">
        <v>64391744</v>
      </c>
      <c r="E7" s="116">
        <f t="shared" si="0"/>
        <v>56633.020228671943</v>
      </c>
      <c r="F7" s="113">
        <v>34917522</v>
      </c>
      <c r="G7" s="117">
        <f t="shared" si="1"/>
        <v>30710.221635883903</v>
      </c>
      <c r="H7" s="7"/>
      <c r="I7" s="109">
        <v>5.25</v>
      </c>
      <c r="J7" s="117">
        <v>183317</v>
      </c>
      <c r="K7" s="120">
        <f t="shared" si="2"/>
        <v>161.22867194371153</v>
      </c>
      <c r="L7" s="122">
        <f>(F7*0.01)</f>
        <v>349175.22000000003</v>
      </c>
      <c r="M7" s="116">
        <f>(L7-J7)</f>
        <v>165858.22000000003</v>
      </c>
      <c r="N7" s="123">
        <f>(M7/C7)</f>
        <v>145.87354441512755</v>
      </c>
      <c r="O7" s="5"/>
      <c r="P7" s="5">
        <f t="shared" si="3"/>
        <v>1</v>
      </c>
      <c r="Q7" s="7">
        <f t="shared" si="4"/>
        <v>1137</v>
      </c>
    </row>
    <row r="8" spans="1:21">
      <c r="A8" s="23" t="s">
        <v>10</v>
      </c>
      <c r="B8" s="35" t="s">
        <v>8</v>
      </c>
      <c r="C8" s="97">
        <v>125661</v>
      </c>
      <c r="D8" s="113">
        <v>13489780871</v>
      </c>
      <c r="E8" s="116">
        <f t="shared" si="0"/>
        <v>107350.57711620949</v>
      </c>
      <c r="F8" s="113">
        <v>5643317160</v>
      </c>
      <c r="G8" s="117">
        <f t="shared" si="1"/>
        <v>44909.058180342348</v>
      </c>
      <c r="H8" s="7"/>
      <c r="I8" s="109">
        <v>4.5079000000000002</v>
      </c>
      <c r="J8" s="117">
        <v>25439509</v>
      </c>
      <c r="K8" s="120">
        <f t="shared" si="2"/>
        <v>202.44553998456163</v>
      </c>
      <c r="L8" s="122">
        <f t="shared" ref="L8:L71" si="5">(F8*0.01)</f>
        <v>56433171.600000001</v>
      </c>
      <c r="M8" s="116">
        <f t="shared" ref="M8:M71" si="6">(L8-J8)</f>
        <v>30993662.600000001</v>
      </c>
      <c r="N8" s="123">
        <f t="shared" ref="N8:N71" si="7">(M8/C8)</f>
        <v>246.64504181886187</v>
      </c>
      <c r="O8" s="5"/>
      <c r="P8" s="5">
        <f t="shared" si="3"/>
        <v>1</v>
      </c>
      <c r="Q8" s="7">
        <f t="shared" si="4"/>
        <v>125661</v>
      </c>
    </row>
    <row r="9" spans="1:21">
      <c r="A9" s="23" t="s">
        <v>11</v>
      </c>
      <c r="B9" s="35" t="s">
        <v>8</v>
      </c>
      <c r="C9" s="97">
        <v>1356</v>
      </c>
      <c r="D9" s="113">
        <v>97651671</v>
      </c>
      <c r="E9" s="116">
        <f t="shared" si="0"/>
        <v>72014.506637168146</v>
      </c>
      <c r="F9" s="117">
        <v>42969719</v>
      </c>
      <c r="G9" s="117">
        <f t="shared" si="1"/>
        <v>31688.583333333332</v>
      </c>
      <c r="H9" s="7"/>
      <c r="I9" s="109">
        <v>5.3193999999999999</v>
      </c>
      <c r="J9" s="117">
        <v>228573</v>
      </c>
      <c r="K9" s="120">
        <f t="shared" si="2"/>
        <v>168.56415929203538</v>
      </c>
      <c r="L9" s="122">
        <f t="shared" si="5"/>
        <v>429697.19</v>
      </c>
      <c r="M9" s="116">
        <f t="shared" si="6"/>
        <v>201124.19</v>
      </c>
      <c r="N9" s="123">
        <f t="shared" si="7"/>
        <v>148.32167404129794</v>
      </c>
      <c r="O9" s="5"/>
      <c r="P9" s="5">
        <f t="shared" si="3"/>
        <v>1</v>
      </c>
      <c r="Q9" s="7">
        <f t="shared" si="4"/>
        <v>1356</v>
      </c>
    </row>
    <row r="10" spans="1:21">
      <c r="A10" s="23" t="s">
        <v>12</v>
      </c>
      <c r="B10" s="35" t="s">
        <v>8</v>
      </c>
      <c r="C10" s="97">
        <v>5533</v>
      </c>
      <c r="D10" s="113">
        <v>364172394</v>
      </c>
      <c r="E10" s="116">
        <f t="shared" si="0"/>
        <v>65818.253027290804</v>
      </c>
      <c r="F10" s="117">
        <v>221679164</v>
      </c>
      <c r="G10" s="117">
        <f t="shared" si="1"/>
        <v>40064.913067052235</v>
      </c>
      <c r="H10" s="7"/>
      <c r="I10" s="109">
        <v>6.1326000000000001</v>
      </c>
      <c r="J10" s="117">
        <v>1359470</v>
      </c>
      <c r="K10" s="120">
        <f t="shared" si="2"/>
        <v>245.70215073197181</v>
      </c>
      <c r="L10" s="122">
        <f t="shared" si="5"/>
        <v>2216791.64</v>
      </c>
      <c r="M10" s="116">
        <f t="shared" si="6"/>
        <v>857321.64000000013</v>
      </c>
      <c r="N10" s="123">
        <f t="shared" si="7"/>
        <v>154.94697993855053</v>
      </c>
      <c r="O10" s="5"/>
      <c r="P10" s="5">
        <f t="shared" si="3"/>
        <v>1</v>
      </c>
      <c r="Q10" s="7">
        <f t="shared" si="4"/>
        <v>5533</v>
      </c>
    </row>
    <row r="11" spans="1:21">
      <c r="A11" s="23" t="s">
        <v>559</v>
      </c>
      <c r="B11" s="35" t="s">
        <v>8</v>
      </c>
      <c r="C11" s="97">
        <v>373</v>
      </c>
      <c r="D11" s="113">
        <v>20773920</v>
      </c>
      <c r="E11" s="116">
        <f t="shared" si="0"/>
        <v>55694.15549597855</v>
      </c>
      <c r="F11" s="117">
        <v>10061883</v>
      </c>
      <c r="G11" s="117">
        <f t="shared" si="1"/>
        <v>26975.557640750671</v>
      </c>
      <c r="H11" s="7"/>
      <c r="I11" s="109">
        <v>2.7172999999999998</v>
      </c>
      <c r="J11" s="117">
        <v>27341</v>
      </c>
      <c r="K11" s="120">
        <f t="shared" si="2"/>
        <v>73.300268096514742</v>
      </c>
      <c r="L11" s="122">
        <f t="shared" si="5"/>
        <v>100618.83</v>
      </c>
      <c r="M11" s="116">
        <f t="shared" si="6"/>
        <v>73277.83</v>
      </c>
      <c r="N11" s="123">
        <f t="shared" si="7"/>
        <v>196.45530831099197</v>
      </c>
      <c r="O11" s="5"/>
      <c r="P11" s="5">
        <f t="shared" si="3"/>
        <v>1</v>
      </c>
      <c r="Q11" s="7">
        <f t="shared" si="4"/>
        <v>373</v>
      </c>
    </row>
    <row r="12" spans="1:21">
      <c r="A12" s="23" t="s">
        <v>13</v>
      </c>
      <c r="B12" s="35" t="s">
        <v>8</v>
      </c>
      <c r="C12" s="97">
        <v>594</v>
      </c>
      <c r="D12" s="113">
        <v>46606608</v>
      </c>
      <c r="E12" s="116">
        <f t="shared" si="0"/>
        <v>78462.303030303025</v>
      </c>
      <c r="F12" s="117">
        <v>27766277</v>
      </c>
      <c r="G12" s="117">
        <f t="shared" si="1"/>
        <v>46744.574074074073</v>
      </c>
      <c r="H12" s="7"/>
      <c r="I12" s="109">
        <v>6</v>
      </c>
      <c r="J12" s="117">
        <v>166598</v>
      </c>
      <c r="K12" s="120">
        <f t="shared" si="2"/>
        <v>280.46801346801345</v>
      </c>
      <c r="L12" s="122">
        <f t="shared" si="5"/>
        <v>277662.77</v>
      </c>
      <c r="M12" s="116">
        <f t="shared" si="6"/>
        <v>111064.77000000002</v>
      </c>
      <c r="N12" s="123">
        <f t="shared" si="7"/>
        <v>186.97772727272729</v>
      </c>
      <c r="O12" s="5"/>
      <c r="P12" s="5">
        <f t="shared" si="3"/>
        <v>1</v>
      </c>
      <c r="Q12" s="7">
        <f t="shared" si="4"/>
        <v>594</v>
      </c>
    </row>
    <row r="13" spans="1:21">
      <c r="A13" s="23" t="s">
        <v>14</v>
      </c>
      <c r="B13" s="35" t="s">
        <v>8</v>
      </c>
      <c r="C13" s="97">
        <v>5264</v>
      </c>
      <c r="D13" s="113">
        <v>580569528</v>
      </c>
      <c r="E13" s="116">
        <f t="shared" si="0"/>
        <v>110290.56382978724</v>
      </c>
      <c r="F13" s="117">
        <v>337176963</v>
      </c>
      <c r="G13" s="117">
        <f t="shared" si="1"/>
        <v>64053.374430091186</v>
      </c>
      <c r="H13" s="7"/>
      <c r="I13" s="109">
        <v>3.9113000000000002</v>
      </c>
      <c r="J13" s="117">
        <v>1318800</v>
      </c>
      <c r="K13" s="120">
        <f t="shared" si="2"/>
        <v>250.53191489361703</v>
      </c>
      <c r="L13" s="122">
        <f t="shared" si="5"/>
        <v>3371769.63</v>
      </c>
      <c r="M13" s="116">
        <f t="shared" si="6"/>
        <v>2052969.63</v>
      </c>
      <c r="N13" s="123">
        <f t="shared" si="7"/>
        <v>390.00182940729479</v>
      </c>
      <c r="O13" s="5"/>
      <c r="P13" s="5">
        <f t="shared" si="3"/>
        <v>1</v>
      </c>
      <c r="Q13" s="7">
        <f t="shared" si="4"/>
        <v>5264</v>
      </c>
    </row>
    <row r="14" spans="1:21">
      <c r="A14" s="23" t="s">
        <v>15</v>
      </c>
      <c r="B14" s="35" t="s">
        <v>8</v>
      </c>
      <c r="C14" s="97">
        <v>953</v>
      </c>
      <c r="D14" s="113">
        <v>46445487</v>
      </c>
      <c r="E14" s="116">
        <f t="shared" si="0"/>
        <v>48736.082896117521</v>
      </c>
      <c r="F14" s="117">
        <v>25574377</v>
      </c>
      <c r="G14" s="117">
        <f t="shared" si="1"/>
        <v>26835.652675760757</v>
      </c>
      <c r="H14" s="7"/>
      <c r="I14" s="109">
        <v>7.3226000000000004</v>
      </c>
      <c r="J14" s="117">
        <v>187271</v>
      </c>
      <c r="K14" s="120">
        <f t="shared" si="2"/>
        <v>196.50682056663169</v>
      </c>
      <c r="L14" s="122">
        <f t="shared" si="5"/>
        <v>255743.77000000002</v>
      </c>
      <c r="M14" s="116">
        <f t="shared" si="6"/>
        <v>68472.770000000019</v>
      </c>
      <c r="N14" s="123">
        <f t="shared" si="7"/>
        <v>71.84970619097588</v>
      </c>
      <c r="O14" s="5"/>
      <c r="P14" s="5">
        <f t="shared" si="3"/>
        <v>1</v>
      </c>
      <c r="Q14" s="7">
        <f t="shared" si="4"/>
        <v>953</v>
      </c>
      <c r="S14" s="124">
        <f>SUM(D6:D14)</f>
        <v>15793165498</v>
      </c>
      <c r="T14" s="124">
        <f>SUM(F6:F14)</f>
        <v>7026678436</v>
      </c>
      <c r="U14" s="124">
        <f>SUM(J6:J14)</f>
        <v>32668564</v>
      </c>
    </row>
    <row r="15" spans="1:21">
      <c r="A15" s="24" t="s">
        <v>544</v>
      </c>
      <c r="B15" s="35" t="s">
        <v>16</v>
      </c>
      <c r="C15" s="125">
        <v>428</v>
      </c>
      <c r="D15" s="114" t="s">
        <v>564</v>
      </c>
      <c r="E15" s="116"/>
      <c r="F15" s="117"/>
      <c r="G15" s="117"/>
      <c r="H15" s="98" t="s">
        <v>588</v>
      </c>
      <c r="I15" s="109"/>
      <c r="J15" s="117"/>
      <c r="K15" s="120"/>
      <c r="L15" s="122">
        <f t="shared" si="5"/>
        <v>0</v>
      </c>
      <c r="M15" s="116">
        <f t="shared" si="6"/>
        <v>0</v>
      </c>
      <c r="N15" s="123">
        <f t="shared" si="7"/>
        <v>0</v>
      </c>
      <c r="O15" s="5"/>
      <c r="P15" s="5">
        <f t="shared" si="3"/>
        <v>0</v>
      </c>
      <c r="Q15" s="7">
        <f t="shared" si="4"/>
        <v>0</v>
      </c>
    </row>
    <row r="16" spans="1:21">
      <c r="A16" s="23" t="s">
        <v>17</v>
      </c>
      <c r="B16" s="35" t="s">
        <v>16</v>
      </c>
      <c r="C16" s="125">
        <v>6375</v>
      </c>
      <c r="D16" s="113">
        <v>376684853</v>
      </c>
      <c r="E16" s="116">
        <f>(D16/C16)</f>
        <v>59087.820078431374</v>
      </c>
      <c r="F16" s="117">
        <v>221436810</v>
      </c>
      <c r="G16" s="117">
        <f>(F16/C16)</f>
        <v>34735.18588235294</v>
      </c>
      <c r="H16" s="7"/>
      <c r="I16" s="109">
        <v>3.6</v>
      </c>
      <c r="J16" s="117">
        <v>797173</v>
      </c>
      <c r="K16" s="120">
        <f>(J16/C16)</f>
        <v>125.04674509803921</v>
      </c>
      <c r="L16" s="122">
        <f t="shared" si="5"/>
        <v>2214368.1</v>
      </c>
      <c r="M16" s="116">
        <f t="shared" si="6"/>
        <v>1417195.1</v>
      </c>
      <c r="N16" s="123">
        <f t="shared" si="7"/>
        <v>222.3051137254902</v>
      </c>
      <c r="O16" s="5"/>
      <c r="P16" s="5">
        <f t="shared" si="3"/>
        <v>1</v>
      </c>
      <c r="Q16" s="7">
        <f t="shared" si="4"/>
        <v>6375</v>
      </c>
      <c r="S16" s="124">
        <f>SUM(D15:D16)</f>
        <v>376684853</v>
      </c>
      <c r="T16" s="124">
        <f>SUM(F15:F16)</f>
        <v>221436810</v>
      </c>
      <c r="U16" s="124">
        <f>SUM(J15:J16)</f>
        <v>797173</v>
      </c>
    </row>
    <row r="17" spans="1:21">
      <c r="A17" s="23" t="s">
        <v>18</v>
      </c>
      <c r="B17" s="35" t="s">
        <v>19</v>
      </c>
      <c r="C17" s="125">
        <v>14581</v>
      </c>
      <c r="D17" s="113">
        <v>704202619</v>
      </c>
      <c r="E17" s="116">
        <f>(D17/C17)</f>
        <v>48295.906933680817</v>
      </c>
      <c r="F17" s="117">
        <v>468648139</v>
      </c>
      <c r="G17" s="117">
        <f>(F17/C17)</f>
        <v>32141.014950963581</v>
      </c>
      <c r="H17" s="8"/>
      <c r="I17" s="109">
        <v>2.25</v>
      </c>
      <c r="J17" s="117">
        <v>1054458</v>
      </c>
      <c r="K17" s="120">
        <f>(J17/C17)</f>
        <v>72.317262190521916</v>
      </c>
      <c r="L17" s="122">
        <f t="shared" si="5"/>
        <v>4686481.3899999997</v>
      </c>
      <c r="M17" s="116">
        <f t="shared" si="6"/>
        <v>3632023.3899999997</v>
      </c>
      <c r="N17" s="123">
        <f t="shared" si="7"/>
        <v>249.09288731911388</v>
      </c>
      <c r="O17" s="5"/>
      <c r="P17" s="5">
        <f t="shared" si="3"/>
        <v>1</v>
      </c>
      <c r="Q17" s="7">
        <f t="shared" si="4"/>
        <v>14581</v>
      </c>
    </row>
    <row r="18" spans="1:21">
      <c r="A18" s="23" t="s">
        <v>21</v>
      </c>
      <c r="B18" s="35" t="s">
        <v>19</v>
      </c>
      <c r="C18" s="125">
        <v>19068</v>
      </c>
      <c r="D18" s="113">
        <v>1441039334</v>
      </c>
      <c r="E18" s="116">
        <f>(D18/C18)</f>
        <v>75573.701174743022</v>
      </c>
      <c r="F18" s="117">
        <v>997552480</v>
      </c>
      <c r="G18" s="117">
        <f>(F18/C18)</f>
        <v>52315.527585483534</v>
      </c>
      <c r="H18" s="7"/>
      <c r="I18" s="109">
        <v>3.9</v>
      </c>
      <c r="J18" s="117">
        <v>3890455</v>
      </c>
      <c r="K18" s="120">
        <f>(J18/C18)</f>
        <v>204.03057478498008</v>
      </c>
      <c r="L18" s="122">
        <f t="shared" si="5"/>
        <v>9975524.8000000007</v>
      </c>
      <c r="M18" s="116">
        <f t="shared" si="6"/>
        <v>6085069.8000000007</v>
      </c>
      <c r="N18" s="123">
        <f t="shared" si="7"/>
        <v>319.12470106985529</v>
      </c>
      <c r="O18" s="5"/>
      <c r="P18" s="5">
        <f t="shared" si="3"/>
        <v>1</v>
      </c>
      <c r="Q18" s="7">
        <f t="shared" si="4"/>
        <v>19068</v>
      </c>
    </row>
    <row r="19" spans="1:21">
      <c r="A19" s="23" t="s">
        <v>22</v>
      </c>
      <c r="B19" s="35" t="s">
        <v>19</v>
      </c>
      <c r="C19" s="125">
        <v>1126</v>
      </c>
      <c r="D19" s="113">
        <v>410122187</v>
      </c>
      <c r="E19" s="116">
        <f>(D19/C19)</f>
        <v>364229.29573712253</v>
      </c>
      <c r="F19" s="117">
        <v>341741895</v>
      </c>
      <c r="G19" s="117">
        <f>(F19/C19)</f>
        <v>303500.79484902311</v>
      </c>
      <c r="H19" s="7"/>
      <c r="I19" s="110">
        <v>5.0289999999999999</v>
      </c>
      <c r="J19" s="117">
        <v>1718620</v>
      </c>
      <c r="K19" s="120">
        <f>(J19/C19)</f>
        <v>1526.3055062166964</v>
      </c>
      <c r="L19" s="122">
        <f t="shared" si="5"/>
        <v>3417418.95</v>
      </c>
      <c r="M19" s="116">
        <f t="shared" si="6"/>
        <v>1698798.9500000002</v>
      </c>
      <c r="N19" s="123">
        <f t="shared" si="7"/>
        <v>1508.7024422735349</v>
      </c>
      <c r="O19" s="5"/>
      <c r="P19" s="5">
        <f t="shared" si="3"/>
        <v>1</v>
      </c>
      <c r="Q19" s="7">
        <f t="shared" si="4"/>
        <v>1126</v>
      </c>
    </row>
    <row r="20" spans="1:21">
      <c r="A20" s="23" t="s">
        <v>23</v>
      </c>
      <c r="B20" s="35" t="s">
        <v>19</v>
      </c>
      <c r="C20" s="125">
        <v>35773</v>
      </c>
      <c r="D20" s="113">
        <v>3330917480</v>
      </c>
      <c r="E20" s="116">
        <f>(D20/C20)</f>
        <v>93112.61230536997</v>
      </c>
      <c r="F20" s="117">
        <v>2247755628</v>
      </c>
      <c r="G20" s="117">
        <f>(F20/C20)</f>
        <v>62833.858720263888</v>
      </c>
      <c r="H20" s="7"/>
      <c r="I20" s="109">
        <v>3.8570000000000002</v>
      </c>
      <c r="J20" s="117">
        <v>8669593</v>
      </c>
      <c r="K20" s="120">
        <f>(J20/C20)</f>
        <v>242.35018030358091</v>
      </c>
      <c r="L20" s="122">
        <f t="shared" si="5"/>
        <v>22477556.280000001</v>
      </c>
      <c r="M20" s="116">
        <f t="shared" si="6"/>
        <v>13807963.280000001</v>
      </c>
      <c r="N20" s="123">
        <f t="shared" si="7"/>
        <v>385.98840689905796</v>
      </c>
      <c r="O20" s="5"/>
      <c r="P20" s="5">
        <f t="shared" si="3"/>
        <v>1</v>
      </c>
      <c r="Q20" s="7">
        <f t="shared" si="4"/>
        <v>35773</v>
      </c>
    </row>
    <row r="21" spans="1:21">
      <c r="A21" s="23" t="s">
        <v>24</v>
      </c>
      <c r="B21" s="35" t="s">
        <v>19</v>
      </c>
      <c r="C21" s="125">
        <v>12191</v>
      </c>
      <c r="D21" s="114" t="s">
        <v>564</v>
      </c>
      <c r="E21" s="116"/>
      <c r="F21" s="117"/>
      <c r="G21" s="117"/>
      <c r="H21" s="98" t="s">
        <v>588</v>
      </c>
      <c r="I21" s="111"/>
      <c r="J21" s="117"/>
      <c r="K21" s="120"/>
      <c r="L21" s="122">
        <f t="shared" si="5"/>
        <v>0</v>
      </c>
      <c r="M21" s="116">
        <f t="shared" si="6"/>
        <v>0</v>
      </c>
      <c r="N21" s="123">
        <f t="shared" si="7"/>
        <v>0</v>
      </c>
      <c r="O21" s="5"/>
      <c r="P21" s="5">
        <f t="shared" si="3"/>
        <v>0</v>
      </c>
      <c r="Q21" s="7">
        <f t="shared" si="4"/>
        <v>0</v>
      </c>
    </row>
    <row r="22" spans="1:21">
      <c r="A22" s="23" t="s">
        <v>25</v>
      </c>
      <c r="B22" s="35" t="s">
        <v>19</v>
      </c>
      <c r="C22" s="125">
        <v>4355</v>
      </c>
      <c r="D22" s="114" t="s">
        <v>564</v>
      </c>
      <c r="E22" s="116"/>
      <c r="F22" s="117"/>
      <c r="G22" s="117"/>
      <c r="H22" s="98" t="s">
        <v>588</v>
      </c>
      <c r="I22" s="111"/>
      <c r="J22" s="117"/>
      <c r="K22" s="120"/>
      <c r="L22" s="122">
        <f t="shared" si="5"/>
        <v>0</v>
      </c>
      <c r="M22" s="116">
        <f t="shared" si="6"/>
        <v>0</v>
      </c>
      <c r="N22" s="123">
        <f t="shared" si="7"/>
        <v>0</v>
      </c>
      <c r="O22" s="5"/>
      <c r="P22" s="5">
        <f t="shared" si="3"/>
        <v>0</v>
      </c>
      <c r="Q22" s="7">
        <f t="shared" si="4"/>
        <v>0</v>
      </c>
    </row>
    <row r="23" spans="1:21">
      <c r="A23" s="23" t="s">
        <v>26</v>
      </c>
      <c r="B23" s="35" t="s">
        <v>19</v>
      </c>
      <c r="C23" s="125">
        <v>8967</v>
      </c>
      <c r="D23" s="114">
        <v>357574019</v>
      </c>
      <c r="E23" s="116">
        <f t="shared" ref="E23:E38" si="8">(D23/C23)</f>
        <v>39876.660979145759</v>
      </c>
      <c r="F23" s="117">
        <v>195334641</v>
      </c>
      <c r="G23" s="117">
        <f t="shared" ref="G23:G38" si="9">(F23/C23)</f>
        <v>21783.722649715623</v>
      </c>
      <c r="H23" s="98"/>
      <c r="I23" s="109">
        <v>3.395</v>
      </c>
      <c r="J23" s="117">
        <v>663161</v>
      </c>
      <c r="K23" s="120">
        <f>(J23/C23)</f>
        <v>73.955726552916246</v>
      </c>
      <c r="L23" s="122">
        <f t="shared" si="5"/>
        <v>1953346.4100000001</v>
      </c>
      <c r="M23" s="116">
        <f t="shared" si="6"/>
        <v>1290185.4100000001</v>
      </c>
      <c r="N23" s="123">
        <f t="shared" si="7"/>
        <v>143.88149994424001</v>
      </c>
      <c r="O23" s="5"/>
      <c r="P23" s="5">
        <f t="shared" si="3"/>
        <v>1</v>
      </c>
      <c r="Q23" s="7">
        <f t="shared" si="4"/>
        <v>8967</v>
      </c>
      <c r="S23" s="124">
        <f>SUM(D17:D23)</f>
        <v>6243855639</v>
      </c>
      <c r="T23" s="124">
        <f>SUM(F17:F23)</f>
        <v>4251032783</v>
      </c>
      <c r="U23" s="124">
        <f>SUM(J17:J23)</f>
        <v>15996287</v>
      </c>
    </row>
    <row r="24" spans="1:21">
      <c r="A24" s="23" t="s">
        <v>27</v>
      </c>
      <c r="B24" s="35" t="s">
        <v>28</v>
      </c>
      <c r="C24" s="125">
        <v>324</v>
      </c>
      <c r="D24" s="113">
        <v>13888051</v>
      </c>
      <c r="E24" s="116">
        <f t="shared" si="8"/>
        <v>42864.354938271608</v>
      </c>
      <c r="F24" s="117">
        <v>7510402</v>
      </c>
      <c r="G24" s="117">
        <f t="shared" si="9"/>
        <v>23180.253086419754</v>
      </c>
      <c r="H24" s="7"/>
      <c r="I24" s="109">
        <v>0.34300000000000003</v>
      </c>
      <c r="J24" s="117">
        <v>2576</v>
      </c>
      <c r="K24" s="120">
        <f t="shared" ref="K24:K38" si="10">(J24/C24)</f>
        <v>7.9506172839506171</v>
      </c>
      <c r="L24" s="122">
        <f t="shared" si="5"/>
        <v>75104.02</v>
      </c>
      <c r="M24" s="116">
        <f t="shared" si="6"/>
        <v>72528.02</v>
      </c>
      <c r="N24" s="123">
        <f t="shared" si="7"/>
        <v>223.85191358024693</v>
      </c>
      <c r="O24" s="5"/>
      <c r="P24" s="5">
        <f t="shared" si="3"/>
        <v>1</v>
      </c>
      <c r="Q24" s="7">
        <f t="shared" si="4"/>
        <v>324</v>
      </c>
    </row>
    <row r="25" spans="1:21">
      <c r="A25" s="23" t="s">
        <v>29</v>
      </c>
      <c r="B25" s="35" t="s">
        <v>28</v>
      </c>
      <c r="C25" s="125">
        <v>480</v>
      </c>
      <c r="D25" s="113">
        <v>12117612</v>
      </c>
      <c r="E25" s="116">
        <f t="shared" si="8"/>
        <v>25245.025000000001</v>
      </c>
      <c r="F25" s="117">
        <v>7137282</v>
      </c>
      <c r="G25" s="117">
        <f t="shared" si="9"/>
        <v>14869.3375</v>
      </c>
      <c r="H25" s="7"/>
      <c r="I25" s="109">
        <v>0.34570000000000001</v>
      </c>
      <c r="J25" s="117">
        <v>2467</v>
      </c>
      <c r="K25" s="120">
        <f t="shared" si="10"/>
        <v>5.1395833333333334</v>
      </c>
      <c r="L25" s="122">
        <f t="shared" si="5"/>
        <v>71372.820000000007</v>
      </c>
      <c r="M25" s="116">
        <f t="shared" si="6"/>
        <v>68905.820000000007</v>
      </c>
      <c r="N25" s="123">
        <f t="shared" si="7"/>
        <v>143.55379166666668</v>
      </c>
      <c r="O25" s="5"/>
      <c r="P25" s="5">
        <f t="shared" si="3"/>
        <v>1</v>
      </c>
      <c r="Q25" s="7">
        <f t="shared" si="4"/>
        <v>480</v>
      </c>
    </row>
    <row r="26" spans="1:21">
      <c r="A26" s="23" t="s">
        <v>30</v>
      </c>
      <c r="B26" s="35" t="s">
        <v>28</v>
      </c>
      <c r="C26" s="125">
        <v>724</v>
      </c>
      <c r="D26" s="113">
        <v>25264802</v>
      </c>
      <c r="E26" s="116">
        <f t="shared" si="8"/>
        <v>34896.135359116022</v>
      </c>
      <c r="F26" s="117">
        <v>14871069</v>
      </c>
      <c r="G26" s="117">
        <f t="shared" si="9"/>
        <v>20540.15055248619</v>
      </c>
      <c r="H26" s="7"/>
      <c r="I26" s="110">
        <v>1.6786000000000001</v>
      </c>
      <c r="J26" s="117">
        <v>24963</v>
      </c>
      <c r="K26" s="120">
        <f t="shared" si="10"/>
        <v>34.479281767955804</v>
      </c>
      <c r="L26" s="122">
        <f t="shared" si="5"/>
        <v>148710.69</v>
      </c>
      <c r="M26" s="116">
        <f t="shared" si="6"/>
        <v>123747.69</v>
      </c>
      <c r="N26" s="123">
        <f t="shared" si="7"/>
        <v>170.92222375690608</v>
      </c>
      <c r="O26" s="5"/>
      <c r="P26" s="5">
        <f t="shared" si="3"/>
        <v>1</v>
      </c>
      <c r="Q26" s="7">
        <f t="shared" si="4"/>
        <v>724</v>
      </c>
    </row>
    <row r="27" spans="1:21">
      <c r="A27" s="23" t="s">
        <v>31</v>
      </c>
      <c r="B27" s="35" t="s">
        <v>28</v>
      </c>
      <c r="C27" s="125">
        <v>5536</v>
      </c>
      <c r="D27" s="113">
        <v>282169999</v>
      </c>
      <c r="E27" s="116">
        <f t="shared" si="8"/>
        <v>50970.014270231215</v>
      </c>
      <c r="F27" s="117">
        <v>192275038</v>
      </c>
      <c r="G27" s="117">
        <f t="shared" si="9"/>
        <v>34731.762644508672</v>
      </c>
      <c r="H27" s="7"/>
      <c r="I27" s="110">
        <v>4.1833999999999998</v>
      </c>
      <c r="J27" s="117">
        <v>804363</v>
      </c>
      <c r="K27" s="120">
        <f t="shared" si="10"/>
        <v>145.29678468208093</v>
      </c>
      <c r="L27" s="122">
        <f t="shared" si="5"/>
        <v>1922750.3800000001</v>
      </c>
      <c r="M27" s="116">
        <f t="shared" si="6"/>
        <v>1118387.3800000001</v>
      </c>
      <c r="N27" s="123">
        <f t="shared" si="7"/>
        <v>202.02084176300579</v>
      </c>
      <c r="O27" s="5"/>
      <c r="P27" s="5">
        <f t="shared" si="3"/>
        <v>1</v>
      </c>
      <c r="Q27" s="7">
        <f t="shared" si="4"/>
        <v>5536</v>
      </c>
      <c r="S27" s="124">
        <f>SUM(D24:D27)</f>
        <v>333440464</v>
      </c>
      <c r="T27" s="124">
        <f>SUM(F24:F27)</f>
        <v>221793791</v>
      </c>
      <c r="U27" s="124">
        <f>SUM(J24:J27)</f>
        <v>834369</v>
      </c>
    </row>
    <row r="28" spans="1:21">
      <c r="A28" s="23" t="s">
        <v>32</v>
      </c>
      <c r="B28" s="35" t="s">
        <v>33</v>
      </c>
      <c r="C28" s="125">
        <v>10022</v>
      </c>
      <c r="D28" s="113">
        <v>1126783935</v>
      </c>
      <c r="E28" s="116">
        <f t="shared" si="8"/>
        <v>112431.04520055877</v>
      </c>
      <c r="F28" s="117">
        <v>911161338</v>
      </c>
      <c r="G28" s="117">
        <f t="shared" si="9"/>
        <v>90916.118339652763</v>
      </c>
      <c r="H28" s="7"/>
      <c r="I28" s="110">
        <v>3.6579999999999999</v>
      </c>
      <c r="J28" s="117">
        <v>3333028</v>
      </c>
      <c r="K28" s="120">
        <f t="shared" si="10"/>
        <v>332.57114348433447</v>
      </c>
      <c r="L28" s="122">
        <f t="shared" si="5"/>
        <v>9111613.3800000008</v>
      </c>
      <c r="M28" s="116">
        <f t="shared" si="6"/>
        <v>5778585.3800000008</v>
      </c>
      <c r="N28" s="123">
        <f t="shared" si="7"/>
        <v>576.59003991219322</v>
      </c>
      <c r="O28" s="5"/>
      <c r="P28" s="5">
        <f t="shared" si="3"/>
        <v>1</v>
      </c>
      <c r="Q28" s="7">
        <f t="shared" si="4"/>
        <v>10022</v>
      </c>
    </row>
    <row r="29" spans="1:21">
      <c r="A29" s="23" t="s">
        <v>34</v>
      </c>
      <c r="B29" s="35" t="s">
        <v>33</v>
      </c>
      <c r="C29" s="125">
        <v>17678</v>
      </c>
      <c r="D29" s="113">
        <v>1146939245</v>
      </c>
      <c r="E29" s="116">
        <f t="shared" si="8"/>
        <v>64879.468548478333</v>
      </c>
      <c r="F29" s="117">
        <v>780867676</v>
      </c>
      <c r="G29" s="117">
        <f t="shared" si="9"/>
        <v>44171.720556624052</v>
      </c>
      <c r="H29" s="7"/>
      <c r="I29" s="109">
        <v>5.9790000000000001</v>
      </c>
      <c r="J29" s="117">
        <v>4668808</v>
      </c>
      <c r="K29" s="120">
        <f t="shared" si="10"/>
        <v>264.10272655277748</v>
      </c>
      <c r="L29" s="122">
        <f t="shared" si="5"/>
        <v>7808676.7599999998</v>
      </c>
      <c r="M29" s="116">
        <f t="shared" si="6"/>
        <v>3139868.76</v>
      </c>
      <c r="N29" s="123">
        <f t="shared" si="7"/>
        <v>177.61447901346304</v>
      </c>
      <c r="O29" s="5"/>
      <c r="P29" s="5">
        <f t="shared" si="3"/>
        <v>1</v>
      </c>
      <c r="Q29" s="7">
        <f t="shared" si="4"/>
        <v>17678</v>
      </c>
    </row>
    <row r="30" spans="1:21">
      <c r="A30" s="23" t="s">
        <v>35</v>
      </c>
      <c r="B30" s="35" t="s">
        <v>33</v>
      </c>
      <c r="C30" s="125">
        <v>11131</v>
      </c>
      <c r="D30" s="113">
        <v>2035818183</v>
      </c>
      <c r="E30" s="116">
        <f t="shared" si="8"/>
        <v>182896.25217860032</v>
      </c>
      <c r="F30" s="117">
        <v>1462050879</v>
      </c>
      <c r="G30" s="117">
        <f t="shared" si="9"/>
        <v>131349.46357020934</v>
      </c>
      <c r="H30" s="7"/>
      <c r="I30" s="109">
        <v>4.9798</v>
      </c>
      <c r="J30" s="117">
        <v>7280721</v>
      </c>
      <c r="K30" s="120">
        <f t="shared" si="10"/>
        <v>654.09406162968287</v>
      </c>
      <c r="L30" s="122">
        <f t="shared" si="5"/>
        <v>14620508.790000001</v>
      </c>
      <c r="M30" s="116">
        <f t="shared" si="6"/>
        <v>7339787.790000001</v>
      </c>
      <c r="N30" s="123">
        <f t="shared" si="7"/>
        <v>659.40057407241045</v>
      </c>
      <c r="O30" s="5"/>
      <c r="P30" s="5">
        <f t="shared" si="3"/>
        <v>1</v>
      </c>
      <c r="Q30" s="7">
        <f t="shared" si="4"/>
        <v>11131</v>
      </c>
    </row>
    <row r="31" spans="1:21">
      <c r="A31" s="23" t="s">
        <v>530</v>
      </c>
      <c r="B31" s="35" t="s">
        <v>33</v>
      </c>
      <c r="C31" s="125">
        <v>3916</v>
      </c>
      <c r="D31" s="113">
        <v>442871845</v>
      </c>
      <c r="E31" s="116">
        <f t="shared" si="8"/>
        <v>113092.91241062309</v>
      </c>
      <c r="F31" s="117">
        <v>302723053</v>
      </c>
      <c r="G31" s="117">
        <f t="shared" si="9"/>
        <v>77304.150408580186</v>
      </c>
      <c r="H31" s="9"/>
      <c r="I31" s="109">
        <v>1</v>
      </c>
      <c r="J31" s="117">
        <v>302723</v>
      </c>
      <c r="K31" s="120">
        <f t="shared" si="10"/>
        <v>77.304136874361589</v>
      </c>
      <c r="L31" s="122">
        <f t="shared" si="5"/>
        <v>3027230.5300000003</v>
      </c>
      <c r="M31" s="116">
        <f t="shared" si="6"/>
        <v>2724507.5300000003</v>
      </c>
      <c r="N31" s="123">
        <f t="shared" si="7"/>
        <v>695.7373672114403</v>
      </c>
      <c r="O31" s="5"/>
      <c r="P31" s="5">
        <f t="shared" si="3"/>
        <v>1</v>
      </c>
      <c r="Q31" s="7">
        <f t="shared" si="4"/>
        <v>3916</v>
      </c>
    </row>
    <row r="32" spans="1:21">
      <c r="A32" s="23" t="s">
        <v>36</v>
      </c>
      <c r="B32" s="35" t="s">
        <v>33</v>
      </c>
      <c r="C32" s="125">
        <v>2765</v>
      </c>
      <c r="D32" s="113">
        <v>437268717</v>
      </c>
      <c r="E32" s="116">
        <f t="shared" si="8"/>
        <v>158144.20144665462</v>
      </c>
      <c r="F32" s="117">
        <v>305330984</v>
      </c>
      <c r="G32" s="117">
        <f t="shared" si="9"/>
        <v>110427.11898734178</v>
      </c>
      <c r="H32" s="7"/>
      <c r="I32" s="109">
        <v>6.5834999999999999</v>
      </c>
      <c r="J32" s="117">
        <v>2010147</v>
      </c>
      <c r="K32" s="120">
        <f t="shared" si="10"/>
        <v>726.99710669077763</v>
      </c>
      <c r="L32" s="122">
        <f t="shared" si="5"/>
        <v>3053309.84</v>
      </c>
      <c r="M32" s="116">
        <f t="shared" si="6"/>
        <v>1043162.8399999999</v>
      </c>
      <c r="N32" s="123">
        <f t="shared" si="7"/>
        <v>377.27408318264008</v>
      </c>
      <c r="O32" s="5"/>
      <c r="P32" s="5">
        <f t="shared" si="3"/>
        <v>1</v>
      </c>
      <c r="Q32" s="7">
        <f t="shared" si="4"/>
        <v>2765</v>
      </c>
    </row>
    <row r="33" spans="1:21">
      <c r="A33" s="23" t="s">
        <v>37</v>
      </c>
      <c r="B33" s="35" t="s">
        <v>33</v>
      </c>
      <c r="C33" s="125">
        <v>8393</v>
      </c>
      <c r="D33" s="113">
        <v>975470504</v>
      </c>
      <c r="E33" s="116">
        <f t="shared" si="8"/>
        <v>116224.29453115692</v>
      </c>
      <c r="F33" s="117">
        <v>703470666</v>
      </c>
      <c r="G33" s="117">
        <f t="shared" si="9"/>
        <v>83816.354819492437</v>
      </c>
      <c r="H33" s="7"/>
      <c r="I33" s="109">
        <v>5.6060999999999996</v>
      </c>
      <c r="J33" s="117">
        <v>3943727</v>
      </c>
      <c r="K33" s="120">
        <f t="shared" si="10"/>
        <v>469.88287858930062</v>
      </c>
      <c r="L33" s="122">
        <f t="shared" si="5"/>
        <v>7034706.6600000001</v>
      </c>
      <c r="M33" s="116">
        <f t="shared" si="6"/>
        <v>3090979.66</v>
      </c>
      <c r="N33" s="123">
        <f t="shared" si="7"/>
        <v>368.28066960562376</v>
      </c>
      <c r="O33" s="5"/>
      <c r="P33" s="5">
        <f t="shared" si="3"/>
        <v>1</v>
      </c>
      <c r="Q33" s="7">
        <f t="shared" si="4"/>
        <v>8393</v>
      </c>
    </row>
    <row r="34" spans="1:21">
      <c r="A34" s="23" t="s">
        <v>38</v>
      </c>
      <c r="B34" s="35" t="s">
        <v>33</v>
      </c>
      <c r="C34" s="125">
        <v>2765</v>
      </c>
      <c r="D34" s="113">
        <v>273164635</v>
      </c>
      <c r="E34" s="116">
        <f t="shared" si="8"/>
        <v>98793.719710669073</v>
      </c>
      <c r="F34" s="117">
        <v>190503375</v>
      </c>
      <c r="G34" s="117">
        <f t="shared" si="9"/>
        <v>68898.146473779387</v>
      </c>
      <c r="H34" s="7"/>
      <c r="I34" s="109">
        <v>1.8</v>
      </c>
      <c r="J34" s="117">
        <v>342906</v>
      </c>
      <c r="K34" s="120">
        <f t="shared" si="10"/>
        <v>124.01663652802894</v>
      </c>
      <c r="L34" s="122">
        <f t="shared" si="5"/>
        <v>1905033.75</v>
      </c>
      <c r="M34" s="116">
        <f t="shared" si="6"/>
        <v>1562127.75</v>
      </c>
      <c r="N34" s="123">
        <f t="shared" si="7"/>
        <v>564.96482820976496</v>
      </c>
      <c r="O34" s="5"/>
      <c r="P34" s="5">
        <f t="shared" si="3"/>
        <v>1</v>
      </c>
      <c r="Q34" s="7">
        <f t="shared" si="4"/>
        <v>2765</v>
      </c>
    </row>
    <row r="35" spans="1:21">
      <c r="A35" s="23" t="s">
        <v>39</v>
      </c>
      <c r="B35" s="35" t="s">
        <v>33</v>
      </c>
      <c r="C35" s="125">
        <v>78088</v>
      </c>
      <c r="D35" s="113">
        <v>5675737566</v>
      </c>
      <c r="E35" s="116">
        <f t="shared" si="8"/>
        <v>72683.863922753822</v>
      </c>
      <c r="F35" s="117">
        <v>3616414624</v>
      </c>
      <c r="G35" s="117">
        <f t="shared" si="9"/>
        <v>46312.040569613768</v>
      </c>
      <c r="H35" s="7"/>
      <c r="I35" s="109">
        <v>7.3125</v>
      </c>
      <c r="J35" s="117">
        <v>26445032</v>
      </c>
      <c r="K35" s="120">
        <f t="shared" si="10"/>
        <v>338.65679745927673</v>
      </c>
      <c r="L35" s="122">
        <f t="shared" si="5"/>
        <v>36164146.240000002</v>
      </c>
      <c r="M35" s="116">
        <f t="shared" si="6"/>
        <v>9719114.2400000021</v>
      </c>
      <c r="N35" s="123">
        <f t="shared" si="7"/>
        <v>124.46360823686101</v>
      </c>
      <c r="O35" s="5"/>
      <c r="P35" s="5">
        <f t="shared" si="3"/>
        <v>1</v>
      </c>
      <c r="Q35" s="7">
        <f t="shared" si="4"/>
        <v>78088</v>
      </c>
    </row>
    <row r="36" spans="1:21">
      <c r="A36" s="23" t="s">
        <v>40</v>
      </c>
      <c r="B36" s="35" t="s">
        <v>33</v>
      </c>
      <c r="C36" s="125">
        <v>3086</v>
      </c>
      <c r="D36" s="113">
        <v>471607525</v>
      </c>
      <c r="E36" s="116">
        <f t="shared" si="8"/>
        <v>152821.62184057033</v>
      </c>
      <c r="F36" s="117">
        <v>310148761</v>
      </c>
      <c r="G36" s="117">
        <f t="shared" si="9"/>
        <v>100501.86681788723</v>
      </c>
      <c r="H36" s="7"/>
      <c r="I36" s="109">
        <v>4.1105</v>
      </c>
      <c r="J36" s="117">
        <v>1274866</v>
      </c>
      <c r="K36" s="120">
        <f t="shared" si="10"/>
        <v>413.11276733635776</v>
      </c>
      <c r="L36" s="122">
        <f t="shared" si="5"/>
        <v>3101487.61</v>
      </c>
      <c r="M36" s="116">
        <f t="shared" si="6"/>
        <v>1826621.6099999999</v>
      </c>
      <c r="N36" s="123">
        <f t="shared" si="7"/>
        <v>591.90590084251448</v>
      </c>
      <c r="O36" s="5"/>
      <c r="P36" s="5">
        <f t="shared" si="3"/>
        <v>1</v>
      </c>
      <c r="Q36" s="7">
        <f t="shared" si="4"/>
        <v>3086</v>
      </c>
    </row>
    <row r="37" spans="1:21">
      <c r="A37" s="23" t="s">
        <v>41</v>
      </c>
      <c r="B37" s="35" t="s">
        <v>33</v>
      </c>
      <c r="C37" s="125">
        <v>670</v>
      </c>
      <c r="D37" s="113">
        <v>52661447</v>
      </c>
      <c r="E37" s="116">
        <f t="shared" si="8"/>
        <v>78599.174626865672</v>
      </c>
      <c r="F37" s="117">
        <v>35177259</v>
      </c>
      <c r="G37" s="117">
        <f t="shared" si="9"/>
        <v>52503.371641791047</v>
      </c>
      <c r="H37" s="7"/>
      <c r="I37" s="109">
        <v>9.8361999999999998</v>
      </c>
      <c r="J37" s="117">
        <v>346011</v>
      </c>
      <c r="K37" s="120">
        <f t="shared" si="10"/>
        <v>516.43432835820897</v>
      </c>
      <c r="L37" s="122">
        <f t="shared" si="5"/>
        <v>351772.59</v>
      </c>
      <c r="M37" s="116">
        <f t="shared" si="6"/>
        <v>5761.5900000000256</v>
      </c>
      <c r="N37" s="123">
        <f t="shared" si="7"/>
        <v>8.5993880597015302</v>
      </c>
      <c r="O37" s="5"/>
      <c r="P37" s="5">
        <f t="shared" si="3"/>
        <v>1</v>
      </c>
      <c r="Q37" s="7">
        <f t="shared" si="4"/>
        <v>670</v>
      </c>
    </row>
    <row r="38" spans="1:21">
      <c r="A38" s="23" t="s">
        <v>42</v>
      </c>
      <c r="B38" s="35" t="s">
        <v>33</v>
      </c>
      <c r="C38" s="125">
        <v>105815</v>
      </c>
      <c r="D38" s="113">
        <v>4789342687</v>
      </c>
      <c r="E38" s="116">
        <f t="shared" si="8"/>
        <v>45261.472258186455</v>
      </c>
      <c r="F38" s="117">
        <v>2794652213</v>
      </c>
      <c r="G38" s="117">
        <f t="shared" si="9"/>
        <v>26410.737730945519</v>
      </c>
      <c r="H38" s="7"/>
      <c r="I38" s="109">
        <v>8.6326000000000001</v>
      </c>
      <c r="J38" s="117">
        <v>24125115</v>
      </c>
      <c r="K38" s="120">
        <f t="shared" si="10"/>
        <v>227.99333742853094</v>
      </c>
      <c r="L38" s="122">
        <f t="shared" si="5"/>
        <v>27946522.129999999</v>
      </c>
      <c r="M38" s="116">
        <f t="shared" si="6"/>
        <v>3821407.129999999</v>
      </c>
      <c r="N38" s="123">
        <f t="shared" si="7"/>
        <v>36.114039880924246</v>
      </c>
      <c r="O38" s="5"/>
      <c r="P38" s="5">
        <f t="shared" si="3"/>
        <v>1</v>
      </c>
      <c r="Q38" s="7">
        <f t="shared" si="4"/>
        <v>105815</v>
      </c>
    </row>
    <row r="39" spans="1:21">
      <c r="A39" s="23" t="s">
        <v>43</v>
      </c>
      <c r="B39" s="35" t="s">
        <v>33</v>
      </c>
      <c r="C39" s="125">
        <v>922</v>
      </c>
      <c r="D39" s="114" t="s">
        <v>564</v>
      </c>
      <c r="E39" s="116"/>
      <c r="F39" s="117"/>
      <c r="G39" s="117"/>
      <c r="H39" s="98" t="s">
        <v>588</v>
      </c>
      <c r="I39" s="109"/>
      <c r="J39" s="117"/>
      <c r="K39" s="120"/>
      <c r="L39" s="122">
        <f t="shared" si="5"/>
        <v>0</v>
      </c>
      <c r="M39" s="116">
        <f t="shared" si="6"/>
        <v>0</v>
      </c>
      <c r="N39" s="123">
        <f t="shared" si="7"/>
        <v>0</v>
      </c>
      <c r="O39" s="5"/>
      <c r="P39" s="5">
        <f t="shared" si="3"/>
        <v>0</v>
      </c>
      <c r="Q39" s="7">
        <f t="shared" si="4"/>
        <v>0</v>
      </c>
    </row>
    <row r="40" spans="1:21">
      <c r="A40" s="23" t="s">
        <v>44</v>
      </c>
      <c r="B40" s="35" t="s">
        <v>33</v>
      </c>
      <c r="C40" s="125">
        <v>25662</v>
      </c>
      <c r="D40" s="113">
        <v>1824181439</v>
      </c>
      <c r="E40" s="116">
        <f t="shared" ref="E40:E74" si="11">(D40/C40)</f>
        <v>71084.928649364825</v>
      </c>
      <c r="F40" s="117">
        <v>1112610814</v>
      </c>
      <c r="G40" s="117">
        <f t="shared" ref="G40:G74" si="12">(F40/C40)</f>
        <v>43356.356246590287</v>
      </c>
      <c r="H40" s="7"/>
      <c r="I40" s="109">
        <v>6.35</v>
      </c>
      <c r="J40" s="117">
        <v>7065079</v>
      </c>
      <c r="K40" s="120">
        <f t="shared" ref="K40:K74" si="13">(J40/C40)</f>
        <v>275.31287506819422</v>
      </c>
      <c r="L40" s="122">
        <f t="shared" si="5"/>
        <v>11126108.140000001</v>
      </c>
      <c r="M40" s="116">
        <f t="shared" si="6"/>
        <v>4061029.1400000006</v>
      </c>
      <c r="N40" s="123">
        <f t="shared" si="7"/>
        <v>158.2506873977087</v>
      </c>
      <c r="O40" s="5"/>
      <c r="P40" s="5">
        <f t="shared" si="3"/>
        <v>1</v>
      </c>
      <c r="Q40" s="7">
        <f t="shared" si="4"/>
        <v>25662</v>
      </c>
    </row>
    <row r="41" spans="1:21">
      <c r="A41" s="23" t="s">
        <v>45</v>
      </c>
      <c r="B41" s="35" t="s">
        <v>33</v>
      </c>
      <c r="C41" s="125">
        <v>10290</v>
      </c>
      <c r="D41" s="113">
        <v>1113511417</v>
      </c>
      <c r="E41" s="116">
        <f t="shared" si="11"/>
        <v>108212.96569484936</v>
      </c>
      <c r="F41" s="117">
        <v>694558891</v>
      </c>
      <c r="G41" s="117">
        <f t="shared" si="12"/>
        <v>67498.434499514085</v>
      </c>
      <c r="H41" s="7"/>
      <c r="I41" s="109">
        <v>8.3206000000000007</v>
      </c>
      <c r="J41" s="121">
        <v>5779147</v>
      </c>
      <c r="K41" s="120">
        <f t="shared" si="13"/>
        <v>561.62750242954326</v>
      </c>
      <c r="L41" s="122">
        <f t="shared" si="5"/>
        <v>6945588.9100000001</v>
      </c>
      <c r="M41" s="116">
        <f t="shared" si="6"/>
        <v>1166441.9100000001</v>
      </c>
      <c r="N41" s="123">
        <f t="shared" si="7"/>
        <v>113.35684256559769</v>
      </c>
      <c r="O41" s="5"/>
      <c r="P41" s="5">
        <f t="shared" si="3"/>
        <v>1</v>
      </c>
      <c r="Q41" s="7">
        <f t="shared" si="4"/>
        <v>10290</v>
      </c>
    </row>
    <row r="42" spans="1:21">
      <c r="A42" s="23" t="s">
        <v>46</v>
      </c>
      <c r="B42" s="35" t="s">
        <v>33</v>
      </c>
      <c r="C42" s="125">
        <v>44077</v>
      </c>
      <c r="D42" s="113">
        <v>2302130485</v>
      </c>
      <c r="E42" s="116">
        <f t="shared" si="11"/>
        <v>52229.74533203258</v>
      </c>
      <c r="F42" s="117">
        <v>1369444492</v>
      </c>
      <c r="G42" s="117">
        <f t="shared" si="12"/>
        <v>31069.367062186629</v>
      </c>
      <c r="H42" s="7"/>
      <c r="I42" s="109">
        <v>7.7</v>
      </c>
      <c r="J42" s="117">
        <v>10544723</v>
      </c>
      <c r="K42" s="120">
        <f t="shared" si="13"/>
        <v>239.23413571704063</v>
      </c>
      <c r="L42" s="122">
        <f t="shared" si="5"/>
        <v>13694444.92</v>
      </c>
      <c r="M42" s="116">
        <f t="shared" si="6"/>
        <v>3149721.92</v>
      </c>
      <c r="N42" s="123">
        <f t="shared" si="7"/>
        <v>71.459534904825645</v>
      </c>
      <c r="O42" s="5"/>
      <c r="P42" s="5">
        <f t="shared" si="3"/>
        <v>1</v>
      </c>
      <c r="Q42" s="7">
        <f t="shared" si="4"/>
        <v>44077</v>
      </c>
    </row>
    <row r="43" spans="1:21">
      <c r="A43" s="23" t="s">
        <v>47</v>
      </c>
      <c r="B43" s="35" t="s">
        <v>33</v>
      </c>
      <c r="C43" s="125">
        <v>19834</v>
      </c>
      <c r="D43" s="113">
        <v>1506598294</v>
      </c>
      <c r="E43" s="116">
        <f t="shared" si="11"/>
        <v>75960.385902994851</v>
      </c>
      <c r="F43" s="117">
        <v>1043325817</v>
      </c>
      <c r="G43" s="117">
        <f t="shared" si="12"/>
        <v>52602.894877483108</v>
      </c>
      <c r="H43" s="98"/>
      <c r="I43" s="109">
        <v>2.3849999999999998</v>
      </c>
      <c r="J43" s="117">
        <v>2488332</v>
      </c>
      <c r="K43" s="120">
        <f t="shared" si="13"/>
        <v>125.45790057477059</v>
      </c>
      <c r="L43" s="122">
        <f t="shared" si="5"/>
        <v>10433258.17</v>
      </c>
      <c r="M43" s="116">
        <f t="shared" si="6"/>
        <v>7944926.1699999999</v>
      </c>
      <c r="N43" s="123">
        <f t="shared" si="7"/>
        <v>400.57104820006049</v>
      </c>
      <c r="O43" s="5"/>
      <c r="P43" s="5">
        <f t="shared" si="3"/>
        <v>1</v>
      </c>
      <c r="Q43" s="7">
        <f t="shared" si="4"/>
        <v>19834</v>
      </c>
      <c r="S43" s="124">
        <f>SUM(D28:D43)</f>
        <v>24174087924</v>
      </c>
      <c r="T43" s="124">
        <f>SUM(F28:F43)</f>
        <v>15632440842</v>
      </c>
      <c r="U43" s="124">
        <f>SUM(J28:J43)</f>
        <v>99950365</v>
      </c>
    </row>
    <row r="44" spans="1:21">
      <c r="A44" s="23" t="s">
        <v>48</v>
      </c>
      <c r="B44" s="35" t="s">
        <v>49</v>
      </c>
      <c r="C44" s="125">
        <v>55319</v>
      </c>
      <c r="D44" s="113">
        <v>4800204905</v>
      </c>
      <c r="E44" s="116">
        <f t="shared" si="11"/>
        <v>86773.168441222733</v>
      </c>
      <c r="F44" s="117">
        <v>2972257663</v>
      </c>
      <c r="G44" s="117">
        <f t="shared" si="12"/>
        <v>53729.417794970985</v>
      </c>
      <c r="H44" s="98"/>
      <c r="I44" s="110">
        <v>6.2301000000000002</v>
      </c>
      <c r="J44" s="117">
        <v>18517462</v>
      </c>
      <c r="K44" s="120">
        <f t="shared" si="13"/>
        <v>334.73963737594676</v>
      </c>
      <c r="L44" s="122">
        <f t="shared" si="5"/>
        <v>29722576.629999999</v>
      </c>
      <c r="M44" s="116">
        <f t="shared" si="6"/>
        <v>11205114.629999999</v>
      </c>
      <c r="N44" s="123">
        <f t="shared" si="7"/>
        <v>202.55454057376306</v>
      </c>
      <c r="O44" s="5"/>
      <c r="P44" s="5">
        <f t="shared" si="3"/>
        <v>1</v>
      </c>
      <c r="Q44" s="7">
        <f t="shared" si="4"/>
        <v>55319</v>
      </c>
    </row>
    <row r="45" spans="1:21">
      <c r="A45" s="23" t="s">
        <v>50</v>
      </c>
      <c r="B45" s="35" t="s">
        <v>49</v>
      </c>
      <c r="C45" s="125">
        <v>32996</v>
      </c>
      <c r="D45" s="113">
        <v>3691454980</v>
      </c>
      <c r="E45" s="116">
        <f t="shared" si="11"/>
        <v>111875.83282822161</v>
      </c>
      <c r="F45" s="117">
        <v>2383088277</v>
      </c>
      <c r="G45" s="117">
        <f t="shared" si="12"/>
        <v>72223.550642502116</v>
      </c>
      <c r="H45" s="98"/>
      <c r="I45" s="109">
        <v>5.7202000000000002</v>
      </c>
      <c r="J45" s="117">
        <v>13631742</v>
      </c>
      <c r="K45" s="120">
        <f t="shared" si="13"/>
        <v>413.13316765668566</v>
      </c>
      <c r="L45" s="122">
        <f t="shared" si="5"/>
        <v>23830882.77</v>
      </c>
      <c r="M45" s="116">
        <f t="shared" si="6"/>
        <v>10199140.77</v>
      </c>
      <c r="N45" s="123">
        <f t="shared" si="7"/>
        <v>309.10233876833553</v>
      </c>
      <c r="O45" s="5"/>
      <c r="P45" s="5">
        <f t="shared" si="3"/>
        <v>1</v>
      </c>
      <c r="Q45" s="7">
        <f t="shared" si="4"/>
        <v>32996</v>
      </c>
    </row>
    <row r="46" spans="1:21">
      <c r="A46" s="23" t="s">
        <v>51</v>
      </c>
      <c r="B46" s="35" t="s">
        <v>49</v>
      </c>
      <c r="C46" s="125">
        <v>123618</v>
      </c>
      <c r="D46" s="113">
        <v>11641793146</v>
      </c>
      <c r="E46" s="116">
        <f t="shared" si="11"/>
        <v>94175.550049345562</v>
      </c>
      <c r="F46" s="117">
        <v>8034302241</v>
      </c>
      <c r="G46" s="117">
        <f t="shared" si="12"/>
        <v>64992.98031840023</v>
      </c>
      <c r="H46" s="98"/>
      <c r="I46" s="109">
        <v>4.5697000000000001</v>
      </c>
      <c r="J46" s="117">
        <v>36714351</v>
      </c>
      <c r="K46" s="120">
        <f t="shared" si="13"/>
        <v>296.99842255982139</v>
      </c>
      <c r="L46" s="122">
        <f t="shared" si="5"/>
        <v>80343022.409999996</v>
      </c>
      <c r="M46" s="116">
        <f t="shared" si="6"/>
        <v>43628671.409999996</v>
      </c>
      <c r="N46" s="123">
        <f t="shared" si="7"/>
        <v>352.93138062418092</v>
      </c>
      <c r="O46" s="5"/>
      <c r="P46" s="5">
        <f t="shared" si="3"/>
        <v>1</v>
      </c>
      <c r="Q46" s="7">
        <f t="shared" si="4"/>
        <v>123618</v>
      </c>
    </row>
    <row r="47" spans="1:21">
      <c r="A47" s="23" t="s">
        <v>464</v>
      </c>
      <c r="B47" s="35" t="s">
        <v>49</v>
      </c>
      <c r="C47" s="125">
        <v>30351</v>
      </c>
      <c r="D47" s="113">
        <v>3698506136</v>
      </c>
      <c r="E47" s="116">
        <f t="shared" si="11"/>
        <v>121857.80158808606</v>
      </c>
      <c r="F47" s="117">
        <v>2761168984</v>
      </c>
      <c r="G47" s="117">
        <f t="shared" si="12"/>
        <v>90974.56373760337</v>
      </c>
      <c r="H47" s="98"/>
      <c r="I47" s="109">
        <v>5.9997999999999996</v>
      </c>
      <c r="J47" s="117">
        <v>16566462</v>
      </c>
      <c r="K47" s="120">
        <f t="shared" si="13"/>
        <v>545.82919837896611</v>
      </c>
      <c r="L47" s="122">
        <f t="shared" si="5"/>
        <v>27611689.84</v>
      </c>
      <c r="M47" s="116">
        <f t="shared" si="6"/>
        <v>11045227.84</v>
      </c>
      <c r="N47" s="123">
        <f t="shared" si="7"/>
        <v>363.91643899706764</v>
      </c>
      <c r="O47" s="5"/>
      <c r="P47" s="5">
        <f t="shared" si="3"/>
        <v>1</v>
      </c>
      <c r="Q47" s="7">
        <f t="shared" si="4"/>
        <v>30351</v>
      </c>
    </row>
    <row r="48" spans="1:21">
      <c r="A48" s="23" t="s">
        <v>52</v>
      </c>
      <c r="B48" s="35" t="s">
        <v>49</v>
      </c>
      <c r="C48" s="125">
        <v>95505</v>
      </c>
      <c r="D48" s="113">
        <v>11085826065</v>
      </c>
      <c r="E48" s="116">
        <f t="shared" si="11"/>
        <v>116075.87105387152</v>
      </c>
      <c r="F48" s="117">
        <v>7232514113</v>
      </c>
      <c r="G48" s="117">
        <f t="shared" si="12"/>
        <v>75729.167195434798</v>
      </c>
      <c r="H48" s="98"/>
      <c r="I48" s="110">
        <v>5.0829000000000004</v>
      </c>
      <c r="J48" s="117">
        <v>36762146</v>
      </c>
      <c r="K48" s="120">
        <f t="shared" si="13"/>
        <v>384.92378409507353</v>
      </c>
      <c r="L48" s="122">
        <f t="shared" si="5"/>
        <v>72325141.129999995</v>
      </c>
      <c r="M48" s="116">
        <f t="shared" si="6"/>
        <v>35562995.129999995</v>
      </c>
      <c r="N48" s="123">
        <f t="shared" si="7"/>
        <v>372.36788785927433</v>
      </c>
      <c r="O48" s="5"/>
      <c r="P48" s="5">
        <f t="shared" si="3"/>
        <v>1</v>
      </c>
      <c r="Q48" s="7">
        <f t="shared" si="4"/>
        <v>95505</v>
      </c>
    </row>
    <row r="49" spans="1:17">
      <c r="A49" s="23" t="s">
        <v>53</v>
      </c>
      <c r="B49" s="35" t="s">
        <v>49</v>
      </c>
      <c r="C49" s="125">
        <v>76152</v>
      </c>
      <c r="D49" s="113">
        <v>7289840891</v>
      </c>
      <c r="E49" s="116">
        <f t="shared" si="11"/>
        <v>95727.504083937383</v>
      </c>
      <c r="F49" s="117">
        <v>5241132502</v>
      </c>
      <c r="G49" s="117">
        <f t="shared" si="12"/>
        <v>68824.620522113662</v>
      </c>
      <c r="H49" s="98"/>
      <c r="I49" s="109">
        <v>6.2744999999999997</v>
      </c>
      <c r="J49" s="117">
        <v>32885486</v>
      </c>
      <c r="K49" s="120">
        <f t="shared" si="13"/>
        <v>431.84008299191089</v>
      </c>
      <c r="L49" s="122">
        <f t="shared" si="5"/>
        <v>52411325.020000003</v>
      </c>
      <c r="M49" s="116">
        <f t="shared" si="6"/>
        <v>19525839.020000003</v>
      </c>
      <c r="N49" s="123">
        <f t="shared" si="7"/>
        <v>256.40612222922579</v>
      </c>
      <c r="O49" s="5"/>
      <c r="P49" s="5">
        <f t="shared" si="3"/>
        <v>1</v>
      </c>
      <c r="Q49" s="7">
        <f t="shared" si="4"/>
        <v>76152</v>
      </c>
    </row>
    <row r="50" spans="1:17">
      <c r="A50" s="23" t="s">
        <v>54</v>
      </c>
      <c r="B50" s="35" t="s">
        <v>49</v>
      </c>
      <c r="C50" s="125">
        <v>171544</v>
      </c>
      <c r="D50" s="113">
        <v>36119725443</v>
      </c>
      <c r="E50" s="116">
        <f t="shared" si="11"/>
        <v>210556.62362425966</v>
      </c>
      <c r="F50" s="117">
        <v>25997336354</v>
      </c>
      <c r="G50" s="117">
        <f t="shared" si="12"/>
        <v>151549.0856806417</v>
      </c>
      <c r="H50" s="98"/>
      <c r="I50" s="109">
        <v>4.1193</v>
      </c>
      <c r="J50" s="117">
        <v>107090828</v>
      </c>
      <c r="K50" s="120">
        <f t="shared" si="13"/>
        <v>624.27615072517835</v>
      </c>
      <c r="L50" s="122">
        <f t="shared" si="5"/>
        <v>259973363.53999999</v>
      </c>
      <c r="M50" s="116">
        <f t="shared" si="6"/>
        <v>152882535.53999999</v>
      </c>
      <c r="N50" s="123">
        <f t="shared" si="7"/>
        <v>891.21470608123855</v>
      </c>
      <c r="O50" s="5"/>
      <c r="P50" s="5">
        <f t="shared" si="3"/>
        <v>1</v>
      </c>
      <c r="Q50" s="7">
        <f t="shared" si="4"/>
        <v>171544</v>
      </c>
    </row>
    <row r="51" spans="1:17">
      <c r="A51" s="23" t="s">
        <v>465</v>
      </c>
      <c r="B51" s="35" t="s">
        <v>49</v>
      </c>
      <c r="C51" s="125">
        <v>38273</v>
      </c>
      <c r="D51" s="113">
        <v>5608922106</v>
      </c>
      <c r="E51" s="116">
        <f t="shared" si="11"/>
        <v>146550.36464348235</v>
      </c>
      <c r="F51" s="117">
        <v>4215317374</v>
      </c>
      <c r="G51" s="117">
        <f t="shared" si="12"/>
        <v>110138.14893005513</v>
      </c>
      <c r="H51" s="98"/>
      <c r="I51" s="109">
        <v>5.1917999999999997</v>
      </c>
      <c r="J51" s="117">
        <v>21885085</v>
      </c>
      <c r="K51" s="120">
        <f t="shared" si="13"/>
        <v>571.81524834739901</v>
      </c>
      <c r="L51" s="122">
        <f t="shared" si="5"/>
        <v>42153173.740000002</v>
      </c>
      <c r="M51" s="116">
        <f t="shared" si="6"/>
        <v>20268088.740000002</v>
      </c>
      <c r="N51" s="123">
        <f t="shared" si="7"/>
        <v>529.56624095315237</v>
      </c>
      <c r="O51" s="5"/>
      <c r="P51" s="5">
        <f t="shared" si="3"/>
        <v>1</v>
      </c>
      <c r="Q51" s="7">
        <f t="shared" si="4"/>
        <v>38273</v>
      </c>
    </row>
    <row r="52" spans="1:17">
      <c r="A52" s="23" t="s">
        <v>55</v>
      </c>
      <c r="B52" s="35" t="s">
        <v>49</v>
      </c>
      <c r="C52" s="125">
        <v>1865</v>
      </c>
      <c r="D52" s="113">
        <v>1263793241</v>
      </c>
      <c r="E52" s="116">
        <f t="shared" si="11"/>
        <v>677637.12654155493</v>
      </c>
      <c r="F52" s="117">
        <v>1049023303</v>
      </c>
      <c r="G52" s="117">
        <f t="shared" si="12"/>
        <v>562478.98284182302</v>
      </c>
      <c r="H52" s="98"/>
      <c r="I52" s="109">
        <v>3.39</v>
      </c>
      <c r="J52" s="117">
        <v>3556189</v>
      </c>
      <c r="K52" s="120">
        <f t="shared" si="13"/>
        <v>1906.8037533512065</v>
      </c>
      <c r="L52" s="122">
        <f t="shared" si="5"/>
        <v>10490233.029999999</v>
      </c>
      <c r="M52" s="116">
        <f t="shared" si="6"/>
        <v>6934044.0299999993</v>
      </c>
      <c r="N52" s="123">
        <f t="shared" si="7"/>
        <v>3717.9860750670236</v>
      </c>
      <c r="O52" s="5"/>
      <c r="P52" s="5">
        <f t="shared" si="3"/>
        <v>1</v>
      </c>
      <c r="Q52" s="7">
        <f t="shared" si="4"/>
        <v>1865</v>
      </c>
    </row>
    <row r="53" spans="1:17">
      <c r="A53" s="23" t="s">
        <v>56</v>
      </c>
      <c r="B53" s="35" t="s">
        <v>49</v>
      </c>
      <c r="C53" s="125">
        <v>144310</v>
      </c>
      <c r="D53" s="113">
        <v>17035909464</v>
      </c>
      <c r="E53" s="116">
        <f t="shared" si="11"/>
        <v>118050.78971658235</v>
      </c>
      <c r="F53" s="117">
        <v>11155572949</v>
      </c>
      <c r="G53" s="117">
        <f t="shared" si="12"/>
        <v>77302.840752546603</v>
      </c>
      <c r="H53" s="98"/>
      <c r="I53" s="109">
        <v>7.4478999999999997</v>
      </c>
      <c r="J53" s="117">
        <v>83085592</v>
      </c>
      <c r="K53" s="120">
        <f t="shared" si="13"/>
        <v>575.74382925646182</v>
      </c>
      <c r="L53" s="122">
        <f t="shared" si="5"/>
        <v>111555729.49000001</v>
      </c>
      <c r="M53" s="116">
        <f t="shared" si="6"/>
        <v>28470137.49000001</v>
      </c>
      <c r="N53" s="123">
        <f t="shared" si="7"/>
        <v>197.2845782690043</v>
      </c>
      <c r="O53" s="5"/>
      <c r="P53" s="5">
        <f t="shared" si="3"/>
        <v>1</v>
      </c>
      <c r="Q53" s="7">
        <f t="shared" si="4"/>
        <v>144310</v>
      </c>
    </row>
    <row r="54" spans="1:17">
      <c r="A54" s="23" t="s">
        <v>57</v>
      </c>
      <c r="B54" s="35" t="s">
        <v>49</v>
      </c>
      <c r="C54" s="125">
        <v>33803</v>
      </c>
      <c r="D54" s="113">
        <v>1409047797</v>
      </c>
      <c r="E54" s="116">
        <f t="shared" si="11"/>
        <v>41684.104872348609</v>
      </c>
      <c r="F54" s="117">
        <v>819528413</v>
      </c>
      <c r="G54" s="117">
        <f t="shared" si="12"/>
        <v>24244.250894890985</v>
      </c>
      <c r="H54" s="98"/>
      <c r="I54" s="109">
        <v>8.9499999999999993</v>
      </c>
      <c r="J54" s="117">
        <v>7334779</v>
      </c>
      <c r="K54" s="120">
        <f t="shared" si="13"/>
        <v>216.98603674230097</v>
      </c>
      <c r="L54" s="122">
        <f t="shared" si="5"/>
        <v>8195284.1299999999</v>
      </c>
      <c r="M54" s="116">
        <f t="shared" si="6"/>
        <v>860505.12999999989</v>
      </c>
      <c r="N54" s="123">
        <f t="shared" si="7"/>
        <v>25.456472206608879</v>
      </c>
      <c r="O54" s="5"/>
      <c r="P54" s="5">
        <f t="shared" si="3"/>
        <v>1</v>
      </c>
      <c r="Q54" s="7">
        <f t="shared" si="4"/>
        <v>33803</v>
      </c>
    </row>
    <row r="55" spans="1:17">
      <c r="A55" s="23" t="s">
        <v>560</v>
      </c>
      <c r="B55" s="35" t="s">
        <v>49</v>
      </c>
      <c r="C55" s="125">
        <v>6070</v>
      </c>
      <c r="D55" s="113">
        <v>2377821012</v>
      </c>
      <c r="E55" s="116">
        <f t="shared" si="11"/>
        <v>391733.28039538715</v>
      </c>
      <c r="F55" s="117">
        <v>1928187948</v>
      </c>
      <c r="G55" s="117">
        <f t="shared" si="12"/>
        <v>317658.64052718284</v>
      </c>
      <c r="H55" s="98"/>
      <c r="I55" s="109">
        <v>3.8</v>
      </c>
      <c r="J55" s="117">
        <v>7327114</v>
      </c>
      <c r="K55" s="120">
        <f t="shared" si="13"/>
        <v>1207.1028006589786</v>
      </c>
      <c r="L55" s="122">
        <f t="shared" si="5"/>
        <v>19281879.48</v>
      </c>
      <c r="M55" s="116">
        <f t="shared" si="6"/>
        <v>11954765.48</v>
      </c>
      <c r="N55" s="123">
        <f t="shared" si="7"/>
        <v>1969.4836046128501</v>
      </c>
      <c r="O55" s="5"/>
      <c r="P55" s="5">
        <f t="shared" si="3"/>
        <v>1</v>
      </c>
      <c r="Q55" s="7">
        <f t="shared" si="4"/>
        <v>6070</v>
      </c>
    </row>
    <row r="56" spans="1:17">
      <c r="A56" s="23" t="s">
        <v>58</v>
      </c>
      <c r="B56" s="35" t="s">
        <v>49</v>
      </c>
      <c r="C56" s="125">
        <v>68558</v>
      </c>
      <c r="D56" s="113">
        <v>3083539334</v>
      </c>
      <c r="E56" s="116">
        <f t="shared" si="11"/>
        <v>44977.08996761866</v>
      </c>
      <c r="F56" s="117">
        <v>1909152144</v>
      </c>
      <c r="G56" s="117">
        <f t="shared" si="12"/>
        <v>27847.255520872837</v>
      </c>
      <c r="H56" s="98"/>
      <c r="I56" s="109">
        <v>7.3697999999999997</v>
      </c>
      <c r="J56" s="117">
        <v>14070069</v>
      </c>
      <c r="K56" s="120">
        <f t="shared" si="13"/>
        <v>205.22869686980366</v>
      </c>
      <c r="L56" s="122">
        <f t="shared" si="5"/>
        <v>19091521.440000001</v>
      </c>
      <c r="M56" s="116">
        <f t="shared" si="6"/>
        <v>5021452.4400000013</v>
      </c>
      <c r="N56" s="123">
        <f t="shared" si="7"/>
        <v>73.243858338924724</v>
      </c>
      <c r="O56" s="5"/>
      <c r="P56" s="5">
        <f t="shared" si="3"/>
        <v>1</v>
      </c>
      <c r="Q56" s="7">
        <f t="shared" si="4"/>
        <v>68558</v>
      </c>
    </row>
    <row r="57" spans="1:17">
      <c r="A57" s="23" t="s">
        <v>59</v>
      </c>
      <c r="B57" s="35" t="s">
        <v>49</v>
      </c>
      <c r="C57" s="125">
        <v>25</v>
      </c>
      <c r="D57" s="114">
        <v>7873379</v>
      </c>
      <c r="E57" s="116">
        <f t="shared" si="11"/>
        <v>314935.15999999997</v>
      </c>
      <c r="F57" s="117">
        <v>5519108</v>
      </c>
      <c r="G57" s="117">
        <f t="shared" si="12"/>
        <v>220764.32</v>
      </c>
      <c r="H57" s="98"/>
      <c r="I57" s="109">
        <v>5.1496000000000004</v>
      </c>
      <c r="J57" s="117">
        <v>28421</v>
      </c>
      <c r="K57" s="120">
        <f t="shared" si="13"/>
        <v>1136.8399999999999</v>
      </c>
      <c r="L57" s="122">
        <f t="shared" si="5"/>
        <v>55191.08</v>
      </c>
      <c r="M57" s="116">
        <f t="shared" si="6"/>
        <v>26770.080000000002</v>
      </c>
      <c r="N57" s="123">
        <f t="shared" si="7"/>
        <v>1070.8032000000001</v>
      </c>
      <c r="O57" s="5"/>
      <c r="P57" s="5">
        <f t="shared" si="3"/>
        <v>1</v>
      </c>
      <c r="Q57" s="7">
        <f t="shared" si="4"/>
        <v>25</v>
      </c>
    </row>
    <row r="58" spans="1:17">
      <c r="A58" s="23" t="s">
        <v>60</v>
      </c>
      <c r="B58" s="35" t="s">
        <v>49</v>
      </c>
      <c r="C58" s="125">
        <v>10374</v>
      </c>
      <c r="D58" s="113">
        <v>2559246791</v>
      </c>
      <c r="E58" s="116">
        <f t="shared" si="11"/>
        <v>246698.167630615</v>
      </c>
      <c r="F58" s="117">
        <v>1876603499</v>
      </c>
      <c r="G58" s="117">
        <f t="shared" si="12"/>
        <v>180894.88133796028</v>
      </c>
      <c r="H58" s="98"/>
      <c r="I58" s="109">
        <v>3.5893000000000002</v>
      </c>
      <c r="J58" s="117">
        <v>6735693</v>
      </c>
      <c r="K58" s="120">
        <f t="shared" si="13"/>
        <v>649.28600347021404</v>
      </c>
      <c r="L58" s="122">
        <f t="shared" si="5"/>
        <v>18766034.990000002</v>
      </c>
      <c r="M58" s="116">
        <f t="shared" si="6"/>
        <v>12030341.990000002</v>
      </c>
      <c r="N58" s="123">
        <f t="shared" si="7"/>
        <v>1159.6628099093891</v>
      </c>
      <c r="O58" s="5"/>
      <c r="P58" s="5">
        <f t="shared" si="3"/>
        <v>1</v>
      </c>
      <c r="Q58" s="7">
        <f t="shared" si="4"/>
        <v>10374</v>
      </c>
    </row>
    <row r="59" spans="1:17">
      <c r="A59" s="23" t="s">
        <v>61</v>
      </c>
      <c r="B59" s="35" t="s">
        <v>49</v>
      </c>
      <c r="C59" s="125">
        <v>55417</v>
      </c>
      <c r="D59" s="113">
        <v>3516335402</v>
      </c>
      <c r="E59" s="116">
        <f t="shared" si="11"/>
        <v>63452.287240377504</v>
      </c>
      <c r="F59" s="117">
        <v>2221184028</v>
      </c>
      <c r="G59" s="117">
        <f t="shared" si="12"/>
        <v>40081.27520435967</v>
      </c>
      <c r="H59" s="98"/>
      <c r="I59" s="109">
        <v>6.2760999999999996</v>
      </c>
      <c r="J59" s="117">
        <v>13940373</v>
      </c>
      <c r="K59" s="120">
        <f t="shared" si="13"/>
        <v>251.55408990021112</v>
      </c>
      <c r="L59" s="122">
        <f t="shared" si="5"/>
        <v>22211840.280000001</v>
      </c>
      <c r="M59" s="116">
        <f t="shared" si="6"/>
        <v>8271467.2800000012</v>
      </c>
      <c r="N59" s="123">
        <f t="shared" si="7"/>
        <v>149.25866214338564</v>
      </c>
      <c r="O59" s="5"/>
      <c r="P59" s="5">
        <f t="shared" si="3"/>
        <v>1</v>
      </c>
      <c r="Q59" s="7">
        <f t="shared" si="4"/>
        <v>55417</v>
      </c>
    </row>
    <row r="60" spans="1:17">
      <c r="A60" s="23" t="s">
        <v>62</v>
      </c>
      <c r="B60" s="35" t="s">
        <v>49</v>
      </c>
      <c r="C60" s="125">
        <v>128432</v>
      </c>
      <c r="D60" s="113">
        <v>10759371534</v>
      </c>
      <c r="E60" s="116">
        <f t="shared" si="11"/>
        <v>83774.849990656541</v>
      </c>
      <c r="F60" s="117">
        <v>7362968005</v>
      </c>
      <c r="G60" s="117">
        <f t="shared" si="12"/>
        <v>57329.699802229974</v>
      </c>
      <c r="H60" s="98"/>
      <c r="I60" s="109">
        <v>6.7653999999999996</v>
      </c>
      <c r="J60" s="117">
        <v>49813424</v>
      </c>
      <c r="K60" s="120">
        <f t="shared" si="13"/>
        <v>387.85835305842778</v>
      </c>
      <c r="L60" s="122">
        <f t="shared" si="5"/>
        <v>73629680.049999997</v>
      </c>
      <c r="M60" s="116">
        <f t="shared" si="6"/>
        <v>23816256.049999997</v>
      </c>
      <c r="N60" s="123">
        <f t="shared" si="7"/>
        <v>185.43864496387192</v>
      </c>
      <c r="O60" s="5"/>
      <c r="P60" s="5">
        <f t="shared" si="3"/>
        <v>1</v>
      </c>
      <c r="Q60" s="7">
        <f t="shared" si="4"/>
        <v>128432</v>
      </c>
    </row>
    <row r="61" spans="1:17">
      <c r="A61" s="23" t="s">
        <v>63</v>
      </c>
      <c r="B61" s="35" t="s">
        <v>49</v>
      </c>
      <c r="C61" s="125">
        <v>42829</v>
      </c>
      <c r="D61" s="113">
        <v>1704654911</v>
      </c>
      <c r="E61" s="116">
        <f t="shared" si="11"/>
        <v>39801.417520838681</v>
      </c>
      <c r="F61" s="117">
        <v>1042540927</v>
      </c>
      <c r="G61" s="117">
        <f t="shared" si="12"/>
        <v>24341.939503607369</v>
      </c>
      <c r="H61" s="98"/>
      <c r="I61" s="109">
        <v>7.5</v>
      </c>
      <c r="J61" s="117">
        <v>7819057</v>
      </c>
      <c r="K61" s="120">
        <f t="shared" si="13"/>
        <v>182.56454738611689</v>
      </c>
      <c r="L61" s="122">
        <f t="shared" si="5"/>
        <v>10425409.27</v>
      </c>
      <c r="M61" s="116">
        <f t="shared" si="6"/>
        <v>2606352.2699999996</v>
      </c>
      <c r="N61" s="123">
        <f t="shared" si="7"/>
        <v>60.854847649956795</v>
      </c>
      <c r="O61" s="5"/>
      <c r="P61" s="5">
        <f t="shared" si="3"/>
        <v>1</v>
      </c>
      <c r="Q61" s="7">
        <f t="shared" si="4"/>
        <v>42829</v>
      </c>
    </row>
    <row r="62" spans="1:17">
      <c r="A62" s="23" t="s">
        <v>64</v>
      </c>
      <c r="B62" s="35" t="s">
        <v>49</v>
      </c>
      <c r="C62" s="125">
        <v>42893</v>
      </c>
      <c r="D62" s="113">
        <v>3558563552</v>
      </c>
      <c r="E62" s="116">
        <f t="shared" si="11"/>
        <v>82963.73655375003</v>
      </c>
      <c r="F62" s="117">
        <v>2337975616</v>
      </c>
      <c r="G62" s="117">
        <f t="shared" si="12"/>
        <v>54507.160049425314</v>
      </c>
      <c r="H62" s="98"/>
      <c r="I62" s="109">
        <v>6.2744</v>
      </c>
      <c r="J62" s="117">
        <v>14669394</v>
      </c>
      <c r="K62" s="120">
        <f t="shared" si="13"/>
        <v>341.99972023407082</v>
      </c>
      <c r="L62" s="122">
        <f t="shared" si="5"/>
        <v>23379756.16</v>
      </c>
      <c r="M62" s="116">
        <f t="shared" si="6"/>
        <v>8710362.1600000001</v>
      </c>
      <c r="N62" s="123">
        <f t="shared" si="7"/>
        <v>203.07188026018233</v>
      </c>
      <c r="O62" s="5"/>
      <c r="P62" s="5">
        <f t="shared" si="3"/>
        <v>1</v>
      </c>
      <c r="Q62" s="7">
        <f t="shared" si="4"/>
        <v>42893</v>
      </c>
    </row>
    <row r="63" spans="1:17">
      <c r="A63" s="23" t="s">
        <v>65</v>
      </c>
      <c r="B63" s="35" t="s">
        <v>49</v>
      </c>
      <c r="C63" s="125">
        <v>26273</v>
      </c>
      <c r="D63" s="113">
        <v>4543201526</v>
      </c>
      <c r="E63" s="116">
        <f t="shared" si="11"/>
        <v>172922.83051040993</v>
      </c>
      <c r="F63" s="117">
        <v>3379338907</v>
      </c>
      <c r="G63" s="117">
        <f t="shared" si="12"/>
        <v>128624.02112434819</v>
      </c>
      <c r="H63" s="98"/>
      <c r="I63" s="109">
        <v>3.9889999999999999</v>
      </c>
      <c r="J63" s="117">
        <v>13480183</v>
      </c>
      <c r="K63" s="120">
        <f t="shared" si="13"/>
        <v>513.08122407033841</v>
      </c>
      <c r="L63" s="122">
        <f t="shared" si="5"/>
        <v>33793389.07</v>
      </c>
      <c r="M63" s="116">
        <f t="shared" si="6"/>
        <v>20313206.07</v>
      </c>
      <c r="N63" s="123">
        <f t="shared" si="7"/>
        <v>773.15898717314349</v>
      </c>
      <c r="O63" s="5"/>
      <c r="P63" s="5">
        <f t="shared" si="3"/>
        <v>1</v>
      </c>
      <c r="Q63" s="7">
        <f t="shared" si="4"/>
        <v>26273</v>
      </c>
    </row>
    <row r="64" spans="1:17">
      <c r="A64" s="23" t="s">
        <v>66</v>
      </c>
      <c r="B64" s="35" t="s">
        <v>49</v>
      </c>
      <c r="C64" s="125">
        <v>6174</v>
      </c>
      <c r="D64" s="113">
        <v>655745625</v>
      </c>
      <c r="E64" s="116">
        <f t="shared" si="11"/>
        <v>106210.82361516035</v>
      </c>
      <c r="F64" s="117">
        <v>563767989</v>
      </c>
      <c r="G64" s="117">
        <f t="shared" si="12"/>
        <v>91313.247327502424</v>
      </c>
      <c r="H64" s="98"/>
      <c r="I64" s="109">
        <v>8.5</v>
      </c>
      <c r="J64" s="117">
        <v>4792028</v>
      </c>
      <c r="K64" s="120">
        <f t="shared" si="13"/>
        <v>776.16261742792358</v>
      </c>
      <c r="L64" s="122">
        <f t="shared" si="5"/>
        <v>5637679.8899999997</v>
      </c>
      <c r="M64" s="116">
        <f t="shared" si="6"/>
        <v>845651.88999999966</v>
      </c>
      <c r="N64" s="123">
        <f t="shared" si="7"/>
        <v>136.96985584710069</v>
      </c>
      <c r="O64" s="5"/>
      <c r="P64" s="5">
        <f t="shared" si="3"/>
        <v>1</v>
      </c>
      <c r="Q64" s="7">
        <f t="shared" si="4"/>
        <v>6174</v>
      </c>
    </row>
    <row r="65" spans="1:21">
      <c r="A65" s="23" t="s">
        <v>67</v>
      </c>
      <c r="B65" s="35" t="s">
        <v>49</v>
      </c>
      <c r="C65" s="125">
        <v>157905</v>
      </c>
      <c r="D65" s="113">
        <v>14734164552</v>
      </c>
      <c r="E65" s="116">
        <f t="shared" si="11"/>
        <v>93310.310325828817</v>
      </c>
      <c r="F65" s="117">
        <v>9499329766</v>
      </c>
      <c r="G65" s="117">
        <f t="shared" si="12"/>
        <v>60158.511548082708</v>
      </c>
      <c r="H65" s="98"/>
      <c r="I65" s="109">
        <v>5.6368</v>
      </c>
      <c r="J65" s="117">
        <v>53545822</v>
      </c>
      <c r="K65" s="120">
        <f t="shared" si="13"/>
        <v>339.1014977359805</v>
      </c>
      <c r="L65" s="122">
        <f t="shared" si="5"/>
        <v>94993297.659999996</v>
      </c>
      <c r="M65" s="116">
        <f t="shared" si="6"/>
        <v>41447475.659999996</v>
      </c>
      <c r="N65" s="123">
        <f t="shared" si="7"/>
        <v>262.48361774484658</v>
      </c>
      <c r="O65" s="5"/>
      <c r="P65" s="5">
        <f t="shared" si="3"/>
        <v>1</v>
      </c>
      <c r="Q65" s="7">
        <f t="shared" si="4"/>
        <v>157905</v>
      </c>
    </row>
    <row r="66" spans="1:21">
      <c r="A66" s="23" t="s">
        <v>68</v>
      </c>
      <c r="B66" s="35" t="s">
        <v>49</v>
      </c>
      <c r="C66" s="125">
        <v>86782</v>
      </c>
      <c r="D66" s="113">
        <v>10516766186</v>
      </c>
      <c r="E66" s="116">
        <f t="shared" si="11"/>
        <v>121186.03150422899</v>
      </c>
      <c r="F66" s="117">
        <v>7338935442</v>
      </c>
      <c r="G66" s="117">
        <f t="shared" si="12"/>
        <v>84567.484524440559</v>
      </c>
      <c r="H66" s="98"/>
      <c r="I66" s="109">
        <v>5.75</v>
      </c>
      <c r="J66" s="117">
        <v>42198879</v>
      </c>
      <c r="K66" s="120">
        <f t="shared" si="13"/>
        <v>486.26303841810511</v>
      </c>
      <c r="L66" s="122">
        <f t="shared" si="5"/>
        <v>73389354.420000002</v>
      </c>
      <c r="M66" s="116">
        <f t="shared" si="6"/>
        <v>31190475.420000002</v>
      </c>
      <c r="N66" s="123">
        <f t="shared" si="7"/>
        <v>359.41180682630039</v>
      </c>
      <c r="O66" s="5"/>
      <c r="P66" s="5">
        <f t="shared" si="3"/>
        <v>1</v>
      </c>
      <c r="Q66" s="7">
        <f t="shared" si="4"/>
        <v>86782</v>
      </c>
    </row>
    <row r="67" spans="1:21">
      <c r="A67" s="23" t="s">
        <v>69</v>
      </c>
      <c r="B67" s="35" t="s">
        <v>49</v>
      </c>
      <c r="C67" s="125">
        <v>104662</v>
      </c>
      <c r="D67" s="113">
        <v>13014210547</v>
      </c>
      <c r="E67" s="116">
        <f t="shared" si="11"/>
        <v>124345.13526399266</v>
      </c>
      <c r="F67" s="117">
        <v>9496945834</v>
      </c>
      <c r="G67" s="117">
        <f t="shared" si="12"/>
        <v>90739.196976935273</v>
      </c>
      <c r="H67" s="98"/>
      <c r="I67" s="109">
        <v>4.7469999999999999</v>
      </c>
      <c r="J67" s="117">
        <v>45082002</v>
      </c>
      <c r="K67" s="120">
        <f t="shared" si="13"/>
        <v>430.7389692534062</v>
      </c>
      <c r="L67" s="122">
        <f t="shared" si="5"/>
        <v>94969458.340000004</v>
      </c>
      <c r="M67" s="116">
        <f t="shared" si="6"/>
        <v>49887456.340000004</v>
      </c>
      <c r="N67" s="123">
        <f t="shared" si="7"/>
        <v>476.65300051594659</v>
      </c>
      <c r="O67" s="5"/>
      <c r="P67" s="5">
        <f t="shared" si="3"/>
        <v>1</v>
      </c>
      <c r="Q67" s="7">
        <f t="shared" si="4"/>
        <v>104662</v>
      </c>
    </row>
    <row r="68" spans="1:21">
      <c r="A68" s="23" t="s">
        <v>70</v>
      </c>
      <c r="B68" s="35" t="s">
        <v>49</v>
      </c>
      <c r="C68" s="125">
        <v>668</v>
      </c>
      <c r="D68" s="113">
        <v>220245324</v>
      </c>
      <c r="E68" s="116">
        <f t="shared" si="11"/>
        <v>329708.56886227545</v>
      </c>
      <c r="F68" s="117">
        <v>170615639</v>
      </c>
      <c r="G68" s="117">
        <f t="shared" si="12"/>
        <v>255412.63323353292</v>
      </c>
      <c r="H68" s="98"/>
      <c r="I68" s="109">
        <v>7.5</v>
      </c>
      <c r="J68" s="117">
        <v>1279617</v>
      </c>
      <c r="K68" s="120">
        <f t="shared" si="13"/>
        <v>1915.5943113772455</v>
      </c>
      <c r="L68" s="122">
        <f t="shared" si="5"/>
        <v>1706156.3900000001</v>
      </c>
      <c r="M68" s="116">
        <f t="shared" si="6"/>
        <v>426539.39000000013</v>
      </c>
      <c r="N68" s="123">
        <f t="shared" si="7"/>
        <v>638.53202095808399</v>
      </c>
      <c r="O68" s="5"/>
      <c r="P68" s="5">
        <f t="shared" si="3"/>
        <v>1</v>
      </c>
      <c r="Q68" s="7">
        <f t="shared" si="4"/>
        <v>668</v>
      </c>
    </row>
    <row r="69" spans="1:21">
      <c r="A69" s="23" t="s">
        <v>450</v>
      </c>
      <c r="B69" s="35" t="s">
        <v>49</v>
      </c>
      <c r="C69" s="125">
        <v>7339</v>
      </c>
      <c r="D69" s="113">
        <v>1806476394</v>
      </c>
      <c r="E69" s="116">
        <f t="shared" si="11"/>
        <v>246147.48521596947</v>
      </c>
      <c r="F69" s="117">
        <v>1156848852</v>
      </c>
      <c r="G69" s="117">
        <f t="shared" si="12"/>
        <v>157630.31094154518</v>
      </c>
      <c r="H69" s="98"/>
      <c r="I69" s="109">
        <v>4.2718999999999996</v>
      </c>
      <c r="J69" s="117">
        <v>4941943</v>
      </c>
      <c r="K69" s="120">
        <f t="shared" si="13"/>
        <v>673.38097833492304</v>
      </c>
      <c r="L69" s="122">
        <f t="shared" si="5"/>
        <v>11568488.52</v>
      </c>
      <c r="M69" s="116">
        <f t="shared" si="6"/>
        <v>6626545.5199999996</v>
      </c>
      <c r="N69" s="123">
        <f t="shared" si="7"/>
        <v>902.92213108052863</v>
      </c>
      <c r="O69" s="5"/>
      <c r="P69" s="5">
        <f t="shared" si="3"/>
        <v>1</v>
      </c>
      <c r="Q69" s="7">
        <f t="shared" si="4"/>
        <v>7339</v>
      </c>
    </row>
    <row r="70" spans="1:21">
      <c r="A70" s="23" t="s">
        <v>71</v>
      </c>
      <c r="B70" s="35" t="s">
        <v>49</v>
      </c>
      <c r="C70" s="125">
        <v>88033</v>
      </c>
      <c r="D70" s="113">
        <v>8134147616</v>
      </c>
      <c r="E70" s="116">
        <f t="shared" si="11"/>
        <v>92398.846069087725</v>
      </c>
      <c r="F70" s="117">
        <v>5367277264</v>
      </c>
      <c r="G70" s="117">
        <f t="shared" si="12"/>
        <v>60968.9237445049</v>
      </c>
      <c r="H70" s="98"/>
      <c r="I70" s="109">
        <v>6.0542999999999996</v>
      </c>
      <c r="J70" s="117">
        <v>32495107</v>
      </c>
      <c r="K70" s="120">
        <f t="shared" si="13"/>
        <v>369.1241579862097</v>
      </c>
      <c r="L70" s="122">
        <f t="shared" si="5"/>
        <v>53672772.640000001</v>
      </c>
      <c r="M70" s="116">
        <f t="shared" si="6"/>
        <v>21177665.640000001</v>
      </c>
      <c r="N70" s="123">
        <f t="shared" si="7"/>
        <v>240.56507945883931</v>
      </c>
      <c r="O70" s="5"/>
      <c r="P70" s="5">
        <f t="shared" ref="P70:P133" si="14">IF(I70&gt;0,1,0)</f>
        <v>1</v>
      </c>
      <c r="Q70" s="7">
        <f t="shared" ref="Q70:Q133" si="15">IF(I70&gt;0,C70,0)</f>
        <v>88033</v>
      </c>
    </row>
    <row r="71" spans="1:21">
      <c r="A71" s="23" t="s">
        <v>72</v>
      </c>
      <c r="B71" s="35" t="s">
        <v>49</v>
      </c>
      <c r="C71" s="125">
        <v>61270</v>
      </c>
      <c r="D71" s="113">
        <v>4378775902</v>
      </c>
      <c r="E71" s="116">
        <f t="shared" si="11"/>
        <v>71466.882683205491</v>
      </c>
      <c r="F71" s="118">
        <v>2686560926</v>
      </c>
      <c r="G71" s="117">
        <f t="shared" si="12"/>
        <v>43847.901517871716</v>
      </c>
      <c r="H71" s="98"/>
      <c r="I71" s="109">
        <v>7.2899000000000003</v>
      </c>
      <c r="J71" s="117">
        <v>19584760</v>
      </c>
      <c r="K71" s="120">
        <f t="shared" si="13"/>
        <v>319.64680920515752</v>
      </c>
      <c r="L71" s="122">
        <f t="shared" si="5"/>
        <v>26865609.260000002</v>
      </c>
      <c r="M71" s="116">
        <f t="shared" si="6"/>
        <v>7280849.2600000016</v>
      </c>
      <c r="N71" s="123">
        <f t="shared" si="7"/>
        <v>118.83220597355968</v>
      </c>
      <c r="O71" s="5"/>
      <c r="P71" s="5">
        <f t="shared" si="14"/>
        <v>1</v>
      </c>
      <c r="Q71" s="7">
        <f t="shared" si="15"/>
        <v>61270</v>
      </c>
    </row>
    <row r="72" spans="1:21">
      <c r="A72" s="23" t="s">
        <v>507</v>
      </c>
      <c r="B72" s="35" t="s">
        <v>49</v>
      </c>
      <c r="C72" s="125">
        <v>14317</v>
      </c>
      <c r="D72" s="113">
        <v>594392979</v>
      </c>
      <c r="E72" s="116">
        <f t="shared" si="11"/>
        <v>41516.587204023192</v>
      </c>
      <c r="F72" s="117">
        <v>368212543</v>
      </c>
      <c r="G72" s="117">
        <f t="shared" si="12"/>
        <v>25718.554375916741</v>
      </c>
      <c r="H72" s="98"/>
      <c r="I72" s="109">
        <v>8.92</v>
      </c>
      <c r="J72" s="117">
        <v>3284456</v>
      </c>
      <c r="K72" s="120">
        <f t="shared" si="13"/>
        <v>229.40951316616611</v>
      </c>
      <c r="L72" s="122">
        <f t="shared" ref="L72:L135" si="16">(F72*0.01)</f>
        <v>3682125.43</v>
      </c>
      <c r="M72" s="116">
        <f t="shared" ref="M72:M135" si="17">(L72-J72)</f>
        <v>397669.43000000017</v>
      </c>
      <c r="N72" s="123">
        <f t="shared" ref="N72:N135" si="18">(M72/C72)</f>
        <v>27.776030593001337</v>
      </c>
      <c r="O72" s="5"/>
      <c r="P72" s="5">
        <f t="shared" si="14"/>
        <v>1</v>
      </c>
      <c r="Q72" s="7">
        <f t="shared" si="15"/>
        <v>14317</v>
      </c>
    </row>
    <row r="73" spans="1:21">
      <c r="A73" s="23" t="s">
        <v>73</v>
      </c>
      <c r="B73" s="35" t="s">
        <v>49</v>
      </c>
      <c r="C73" s="125">
        <v>65672</v>
      </c>
      <c r="D73" s="113">
        <v>9789771221</v>
      </c>
      <c r="E73" s="116">
        <f t="shared" si="11"/>
        <v>149070.70320684614</v>
      </c>
      <c r="F73" s="117">
        <v>7026403993</v>
      </c>
      <c r="G73" s="117">
        <f t="shared" si="12"/>
        <v>106992.38629857474</v>
      </c>
      <c r="H73" s="98"/>
      <c r="I73" s="109">
        <v>2.39</v>
      </c>
      <c r="J73" s="117">
        <v>16793106</v>
      </c>
      <c r="K73" s="120">
        <f t="shared" si="13"/>
        <v>255.71181020830795</v>
      </c>
      <c r="L73" s="122">
        <f t="shared" si="16"/>
        <v>70264039.930000007</v>
      </c>
      <c r="M73" s="116">
        <f t="shared" si="17"/>
        <v>53470933.930000007</v>
      </c>
      <c r="N73" s="123">
        <f t="shared" si="18"/>
        <v>814.21205277743945</v>
      </c>
      <c r="O73" s="5"/>
      <c r="P73" s="5">
        <f t="shared" si="14"/>
        <v>1</v>
      </c>
      <c r="Q73" s="7">
        <f t="shared" si="15"/>
        <v>65672</v>
      </c>
    </row>
    <row r="74" spans="1:21">
      <c r="A74" s="23" t="s">
        <v>74</v>
      </c>
      <c r="B74" s="35" t="s">
        <v>49</v>
      </c>
      <c r="C74" s="125">
        <v>12071</v>
      </c>
      <c r="D74" s="113">
        <v>1569954519</v>
      </c>
      <c r="E74" s="116">
        <f t="shared" si="11"/>
        <v>130060.02145638307</v>
      </c>
      <c r="F74" s="117">
        <v>1011690676</v>
      </c>
      <c r="G74" s="117">
        <f t="shared" si="12"/>
        <v>83811.67061552481</v>
      </c>
      <c r="H74" s="98"/>
      <c r="I74" s="109">
        <v>6.0682999999999998</v>
      </c>
      <c r="J74" s="117">
        <v>6139243</v>
      </c>
      <c r="K74" s="120">
        <f t="shared" si="13"/>
        <v>508.59439980117639</v>
      </c>
      <c r="L74" s="122">
        <f t="shared" si="16"/>
        <v>10116906.76</v>
      </c>
      <c r="M74" s="116">
        <f t="shared" si="17"/>
        <v>3977663.76</v>
      </c>
      <c r="N74" s="123">
        <f t="shared" si="18"/>
        <v>329.5223063540717</v>
      </c>
      <c r="O74" s="5"/>
      <c r="P74" s="5">
        <f t="shared" si="14"/>
        <v>1</v>
      </c>
      <c r="Q74" s="7">
        <f t="shared" si="15"/>
        <v>12071</v>
      </c>
      <c r="S74" s="124">
        <f>SUM(D44:D74)</f>
        <v>201170282480</v>
      </c>
      <c r="T74" s="124">
        <f>SUM(F44:F74)</f>
        <v>138611301279</v>
      </c>
      <c r="U74" s="124">
        <f>SUM(J44:J74)</f>
        <v>736050813</v>
      </c>
    </row>
    <row r="75" spans="1:21">
      <c r="A75" s="23" t="s">
        <v>75</v>
      </c>
      <c r="B75" s="35" t="s">
        <v>76</v>
      </c>
      <c r="C75" s="125">
        <v>570</v>
      </c>
      <c r="D75" s="114" t="s">
        <v>564</v>
      </c>
      <c r="E75" s="116"/>
      <c r="F75" s="117"/>
      <c r="G75" s="117"/>
      <c r="H75" s="98" t="s">
        <v>588</v>
      </c>
      <c r="I75" s="109"/>
      <c r="J75" s="117"/>
      <c r="K75" s="120"/>
      <c r="L75" s="122">
        <f t="shared" si="16"/>
        <v>0</v>
      </c>
      <c r="M75" s="116">
        <f t="shared" si="17"/>
        <v>0</v>
      </c>
      <c r="N75" s="123">
        <f t="shared" si="18"/>
        <v>0</v>
      </c>
      <c r="O75" s="5"/>
      <c r="P75" s="5">
        <f t="shared" si="14"/>
        <v>0</v>
      </c>
      <c r="Q75" s="7">
        <f t="shared" si="15"/>
        <v>0</v>
      </c>
    </row>
    <row r="76" spans="1:21">
      <c r="A76" s="23" t="s">
        <v>77</v>
      </c>
      <c r="B76" s="35" t="s">
        <v>76</v>
      </c>
      <c r="C76" s="125">
        <v>2494</v>
      </c>
      <c r="D76" s="113">
        <v>105607184</v>
      </c>
      <c r="E76" s="116">
        <f t="shared" ref="E76:E82" si="19">(D76/C76)</f>
        <v>42344.500400962308</v>
      </c>
      <c r="F76" s="117">
        <v>60400411</v>
      </c>
      <c r="G76" s="117">
        <f t="shared" ref="G76:G82" si="20">(F76/C76)</f>
        <v>24218.288291900561</v>
      </c>
      <c r="H76" s="7"/>
      <c r="I76" s="109">
        <v>1.5</v>
      </c>
      <c r="J76" s="117">
        <v>90601</v>
      </c>
      <c r="K76" s="120">
        <f t="shared" ref="K76:K82" si="21">(J76/C76)</f>
        <v>36.327586206896555</v>
      </c>
      <c r="L76" s="122">
        <f t="shared" si="16"/>
        <v>604004.11</v>
      </c>
      <c r="M76" s="116">
        <f t="shared" si="17"/>
        <v>513403.11</v>
      </c>
      <c r="N76" s="123">
        <f t="shared" si="18"/>
        <v>205.85529671210907</v>
      </c>
      <c r="O76" s="5"/>
      <c r="P76" s="5">
        <f t="shared" si="14"/>
        <v>1</v>
      </c>
      <c r="Q76" s="7">
        <f t="shared" si="15"/>
        <v>2494</v>
      </c>
      <c r="S76" s="124">
        <f>SUM(D75:D76)</f>
        <v>105607184</v>
      </c>
      <c r="T76" s="124">
        <f>SUM(F75:F76)</f>
        <v>60400411</v>
      </c>
      <c r="U76" s="124">
        <f>SUM(J75:J76)</f>
        <v>90601</v>
      </c>
    </row>
    <row r="77" spans="1:21">
      <c r="A77" s="23" t="s">
        <v>78</v>
      </c>
      <c r="B77" s="35" t="s">
        <v>79</v>
      </c>
      <c r="C77" s="125">
        <v>17487</v>
      </c>
      <c r="D77" s="113">
        <v>3272938579</v>
      </c>
      <c r="E77" s="116">
        <f t="shared" si="19"/>
        <v>187164.09784411278</v>
      </c>
      <c r="F77" s="117">
        <v>2398248062</v>
      </c>
      <c r="G77" s="117">
        <f t="shared" si="20"/>
        <v>137144.62526448219</v>
      </c>
      <c r="H77" s="7"/>
      <c r="I77" s="109">
        <v>3.1968999999999999</v>
      </c>
      <c r="J77" s="117">
        <v>7666959</v>
      </c>
      <c r="K77" s="120">
        <f t="shared" si="21"/>
        <v>438.4376393892606</v>
      </c>
      <c r="L77" s="122">
        <f t="shared" si="16"/>
        <v>23982480.620000001</v>
      </c>
      <c r="M77" s="116">
        <f t="shared" si="17"/>
        <v>16315521.620000001</v>
      </c>
      <c r="N77" s="123">
        <f t="shared" si="18"/>
        <v>933.00861325556139</v>
      </c>
      <c r="O77" s="5"/>
      <c r="P77" s="5">
        <f t="shared" si="14"/>
        <v>1</v>
      </c>
      <c r="Q77" s="7">
        <f t="shared" si="15"/>
        <v>17487</v>
      </c>
      <c r="S77" s="124">
        <f>SUM(D77)</f>
        <v>3272938579</v>
      </c>
      <c r="T77" s="124">
        <f>SUM(F77)</f>
        <v>2398248062</v>
      </c>
      <c r="U77" s="124">
        <f>SUM(J77)</f>
        <v>7666959</v>
      </c>
    </row>
    <row r="78" spans="1:21">
      <c r="A78" s="23" t="s">
        <v>80</v>
      </c>
      <c r="B78" s="35" t="s">
        <v>81</v>
      </c>
      <c r="C78" s="125">
        <v>3088</v>
      </c>
      <c r="D78" s="113">
        <v>555475588</v>
      </c>
      <c r="E78" s="116">
        <f t="shared" si="19"/>
        <v>179881.99093264248</v>
      </c>
      <c r="F78" s="117">
        <v>421191665</v>
      </c>
      <c r="G78" s="117">
        <f t="shared" si="20"/>
        <v>136396.26457253887</v>
      </c>
      <c r="H78" s="7"/>
      <c r="I78" s="110">
        <v>4.2</v>
      </c>
      <c r="J78" s="117">
        <v>1769005</v>
      </c>
      <c r="K78" s="120">
        <f t="shared" si="21"/>
        <v>572.86431347150256</v>
      </c>
      <c r="L78" s="122">
        <f t="shared" si="16"/>
        <v>4211916.6500000004</v>
      </c>
      <c r="M78" s="116">
        <f t="shared" si="17"/>
        <v>2442911.6500000004</v>
      </c>
      <c r="N78" s="123">
        <f t="shared" si="18"/>
        <v>791.09833225388616</v>
      </c>
      <c r="O78" s="5"/>
      <c r="P78" s="5">
        <f t="shared" si="14"/>
        <v>1</v>
      </c>
      <c r="Q78" s="7">
        <f t="shared" si="15"/>
        <v>3088</v>
      </c>
    </row>
    <row r="79" spans="1:21">
      <c r="A79" s="23" t="s">
        <v>82</v>
      </c>
      <c r="B79" s="35" t="s">
        <v>81</v>
      </c>
      <c r="C79" s="125">
        <v>7193</v>
      </c>
      <c r="D79" s="113">
        <v>675956372</v>
      </c>
      <c r="E79" s="116">
        <f t="shared" si="19"/>
        <v>93974.193243431117</v>
      </c>
      <c r="F79" s="117">
        <v>349709760</v>
      </c>
      <c r="G79" s="117">
        <f t="shared" si="20"/>
        <v>48618.067565688863</v>
      </c>
      <c r="H79" s="7"/>
      <c r="I79" s="109">
        <v>6.9949000000000003</v>
      </c>
      <c r="J79" s="117">
        <v>2446185</v>
      </c>
      <c r="K79" s="120">
        <f t="shared" si="21"/>
        <v>340.0785485889059</v>
      </c>
      <c r="L79" s="122">
        <f t="shared" si="16"/>
        <v>3497097.6</v>
      </c>
      <c r="M79" s="116">
        <f t="shared" si="17"/>
        <v>1050912.6000000001</v>
      </c>
      <c r="N79" s="123">
        <f t="shared" si="18"/>
        <v>146.10212706798276</v>
      </c>
      <c r="O79" s="5"/>
      <c r="P79" s="5">
        <f t="shared" si="14"/>
        <v>1</v>
      </c>
      <c r="Q79" s="7">
        <f t="shared" si="15"/>
        <v>7193</v>
      </c>
      <c r="S79" s="124">
        <f>SUM(D78:D79)</f>
        <v>1231431960</v>
      </c>
      <c r="T79" s="124">
        <f>SUM(F78:F79)</f>
        <v>770901425</v>
      </c>
      <c r="U79" s="124">
        <f>SUM(J78:J79)</f>
        <v>4215190</v>
      </c>
    </row>
    <row r="80" spans="1:21">
      <c r="A80" s="23" t="s">
        <v>83</v>
      </c>
      <c r="B80" s="35" t="s">
        <v>84</v>
      </c>
      <c r="C80" s="125">
        <v>7030</v>
      </c>
      <c r="D80" s="113">
        <v>502081596</v>
      </c>
      <c r="E80" s="116">
        <f t="shared" si="19"/>
        <v>71419.857183499291</v>
      </c>
      <c r="F80" s="117">
        <v>337444269</v>
      </c>
      <c r="G80" s="117">
        <f t="shared" si="20"/>
        <v>48000.607254623043</v>
      </c>
      <c r="H80" s="7"/>
      <c r="I80" s="109">
        <v>3.6</v>
      </c>
      <c r="J80" s="117">
        <v>1214799</v>
      </c>
      <c r="K80" s="120">
        <f t="shared" si="21"/>
        <v>172.80213371266004</v>
      </c>
      <c r="L80" s="122">
        <f t="shared" si="16"/>
        <v>3374442.69</v>
      </c>
      <c r="M80" s="116">
        <f t="shared" si="17"/>
        <v>2159643.69</v>
      </c>
      <c r="N80" s="123">
        <f t="shared" si="18"/>
        <v>307.20393883357042</v>
      </c>
      <c r="O80" s="5"/>
      <c r="P80" s="5">
        <f t="shared" si="14"/>
        <v>1</v>
      </c>
      <c r="Q80" s="7">
        <f t="shared" si="15"/>
        <v>7030</v>
      </c>
    </row>
    <row r="81" spans="1:21">
      <c r="A81" s="23" t="s">
        <v>85</v>
      </c>
      <c r="B81" s="35" t="s">
        <v>84</v>
      </c>
      <c r="C81" s="125">
        <v>1356</v>
      </c>
      <c r="D81" s="113">
        <v>92542048</v>
      </c>
      <c r="E81" s="116">
        <f t="shared" si="19"/>
        <v>68246.348082595869</v>
      </c>
      <c r="F81" s="117">
        <v>53753080</v>
      </c>
      <c r="G81" s="117">
        <f t="shared" si="20"/>
        <v>39640.914454277285</v>
      </c>
      <c r="H81" s="7"/>
      <c r="I81" s="109">
        <v>3.5</v>
      </c>
      <c r="J81" s="117">
        <v>188136</v>
      </c>
      <c r="K81" s="120">
        <f t="shared" si="21"/>
        <v>138.74336283185841</v>
      </c>
      <c r="L81" s="122">
        <f t="shared" si="16"/>
        <v>537530.80000000005</v>
      </c>
      <c r="M81" s="116">
        <f t="shared" si="17"/>
        <v>349394.80000000005</v>
      </c>
      <c r="N81" s="123">
        <f t="shared" si="18"/>
        <v>257.66578171091447</v>
      </c>
      <c r="O81" s="5"/>
      <c r="P81" s="5">
        <f t="shared" si="14"/>
        <v>1</v>
      </c>
      <c r="Q81" s="7">
        <f t="shared" si="15"/>
        <v>1356</v>
      </c>
    </row>
    <row r="82" spans="1:21">
      <c r="A82" s="23" t="s">
        <v>86</v>
      </c>
      <c r="B82" s="35" t="s">
        <v>84</v>
      </c>
      <c r="C82" s="125">
        <v>8429</v>
      </c>
      <c r="D82" s="113">
        <v>722340491</v>
      </c>
      <c r="E82" s="116">
        <f t="shared" si="19"/>
        <v>85697.056708980905</v>
      </c>
      <c r="F82" s="117">
        <v>472024899</v>
      </c>
      <c r="G82" s="117">
        <f t="shared" si="20"/>
        <v>56000.106655593787</v>
      </c>
      <c r="H82" s="9"/>
      <c r="I82" s="109">
        <v>6.3</v>
      </c>
      <c r="J82" s="117">
        <v>2973757</v>
      </c>
      <c r="K82" s="120">
        <f t="shared" si="21"/>
        <v>352.80068810060504</v>
      </c>
      <c r="L82" s="122">
        <f t="shared" si="16"/>
        <v>4720248.99</v>
      </c>
      <c r="M82" s="116">
        <f t="shared" si="17"/>
        <v>1746491.9900000002</v>
      </c>
      <c r="N82" s="123">
        <f t="shared" si="18"/>
        <v>207.20037845533281</v>
      </c>
      <c r="O82" s="5"/>
      <c r="P82" s="5">
        <f t="shared" si="14"/>
        <v>1</v>
      </c>
      <c r="Q82" s="7">
        <f t="shared" si="15"/>
        <v>8429</v>
      </c>
    </row>
    <row r="83" spans="1:21">
      <c r="A83" s="23" t="s">
        <v>87</v>
      </c>
      <c r="B83" s="35" t="s">
        <v>84</v>
      </c>
      <c r="C83" s="125">
        <v>735</v>
      </c>
      <c r="D83" s="114" t="s">
        <v>564</v>
      </c>
      <c r="E83" s="116"/>
      <c r="F83" s="117"/>
      <c r="G83" s="117"/>
      <c r="H83" s="98" t="s">
        <v>588</v>
      </c>
      <c r="I83" s="109"/>
      <c r="J83" s="117"/>
      <c r="K83" s="120"/>
      <c r="L83" s="122">
        <f t="shared" si="16"/>
        <v>0</v>
      </c>
      <c r="M83" s="116">
        <f t="shared" si="17"/>
        <v>0</v>
      </c>
      <c r="N83" s="123">
        <f t="shared" si="18"/>
        <v>0</v>
      </c>
      <c r="O83" s="5"/>
      <c r="P83" s="5">
        <f t="shared" si="14"/>
        <v>0</v>
      </c>
      <c r="Q83" s="7">
        <f t="shared" si="15"/>
        <v>0</v>
      </c>
      <c r="S83" s="124">
        <f>SUM(D80:D83)</f>
        <v>1316964135</v>
      </c>
      <c r="T83" s="124">
        <f>SUM(F80:F83)</f>
        <v>863222248</v>
      </c>
      <c r="U83" s="124">
        <f>SUM(J80:J83)</f>
        <v>4376692</v>
      </c>
    </row>
    <row r="84" spans="1:21">
      <c r="A84" s="23" t="s">
        <v>88</v>
      </c>
      <c r="B84" s="35" t="s">
        <v>89</v>
      </c>
      <c r="C84" s="125">
        <v>409</v>
      </c>
      <c r="D84" s="113">
        <v>124530719</v>
      </c>
      <c r="E84" s="116">
        <f>(D84/C84)</f>
        <v>304476.08557457215</v>
      </c>
      <c r="F84" s="117">
        <v>85119050</v>
      </c>
      <c r="G84" s="117">
        <f>(F84/C84)</f>
        <v>208115.03667481663</v>
      </c>
      <c r="H84" s="7"/>
      <c r="I84" s="109">
        <v>3.9929000000000001</v>
      </c>
      <c r="J84" s="117">
        <v>339872</v>
      </c>
      <c r="K84" s="120">
        <f>(J84/C84)</f>
        <v>830.98288508557459</v>
      </c>
      <c r="L84" s="122">
        <f t="shared" si="16"/>
        <v>851190.5</v>
      </c>
      <c r="M84" s="116">
        <f t="shared" si="17"/>
        <v>511318.5</v>
      </c>
      <c r="N84" s="123">
        <f t="shared" si="18"/>
        <v>1250.1674816625916</v>
      </c>
      <c r="O84" s="5"/>
      <c r="P84" s="5">
        <f t="shared" si="14"/>
        <v>1</v>
      </c>
      <c r="Q84" s="7">
        <f t="shared" si="15"/>
        <v>409</v>
      </c>
    </row>
    <row r="85" spans="1:21">
      <c r="A85" s="23" t="s">
        <v>90</v>
      </c>
      <c r="B85" s="35" t="s">
        <v>89</v>
      </c>
      <c r="C85" s="125">
        <v>16607</v>
      </c>
      <c r="D85" s="113">
        <v>9230866063</v>
      </c>
      <c r="E85" s="116">
        <f>(D85/C85)</f>
        <v>555841.87770217378</v>
      </c>
      <c r="F85" s="117">
        <v>7968774325</v>
      </c>
      <c r="G85" s="117">
        <f>(F85/C85)</f>
        <v>479844.30210152344</v>
      </c>
      <c r="H85" s="7"/>
      <c r="I85" s="109">
        <v>2.0466000000000002</v>
      </c>
      <c r="J85" s="117">
        <v>16308894</v>
      </c>
      <c r="K85" s="120">
        <f>(J85/C85)</f>
        <v>982.04937676883242</v>
      </c>
      <c r="L85" s="122">
        <f t="shared" si="16"/>
        <v>79687743.25</v>
      </c>
      <c r="M85" s="116">
        <f t="shared" si="17"/>
        <v>63378849.25</v>
      </c>
      <c r="N85" s="123">
        <f t="shared" si="18"/>
        <v>3816.3936442464023</v>
      </c>
      <c r="O85" s="5"/>
      <c r="P85" s="5">
        <f t="shared" si="14"/>
        <v>1</v>
      </c>
      <c r="Q85" s="7">
        <f t="shared" si="15"/>
        <v>16607</v>
      </c>
    </row>
    <row r="86" spans="1:21">
      <c r="A86" s="23" t="s">
        <v>91</v>
      </c>
      <c r="B86" s="35" t="s">
        <v>89</v>
      </c>
      <c r="C86" s="125">
        <v>19530</v>
      </c>
      <c r="D86" s="113">
        <v>20669042253</v>
      </c>
      <c r="E86" s="116">
        <f>(D86/C86)</f>
        <v>1058322.6960061444</v>
      </c>
      <c r="F86" s="117">
        <v>16914023073</v>
      </c>
      <c r="G86" s="117">
        <f>(F86/C86)</f>
        <v>866053.40875576041</v>
      </c>
      <c r="H86" s="9"/>
      <c r="I86" s="110">
        <v>1.18</v>
      </c>
      <c r="J86" s="117">
        <v>19958547</v>
      </c>
      <c r="K86" s="120">
        <f>(J86/C86)</f>
        <v>1021.9430107526882</v>
      </c>
      <c r="L86" s="122">
        <f t="shared" si="16"/>
        <v>169140230.72999999</v>
      </c>
      <c r="M86" s="116">
        <f t="shared" si="17"/>
        <v>149181683.72999999</v>
      </c>
      <c r="N86" s="123">
        <f t="shared" si="18"/>
        <v>7638.5910768049152</v>
      </c>
      <c r="O86" s="5"/>
      <c r="P86" s="5">
        <f t="shared" si="14"/>
        <v>1</v>
      </c>
      <c r="Q86" s="7">
        <f t="shared" si="15"/>
        <v>19530</v>
      </c>
      <c r="S86" s="124">
        <f>SUM(D84:D86)</f>
        <v>30024439035</v>
      </c>
      <c r="T86" s="124">
        <f>SUM(F84:F86)</f>
        <v>24967916448</v>
      </c>
      <c r="U86" s="124">
        <f>SUM(J84:J86)</f>
        <v>36607313</v>
      </c>
    </row>
    <row r="87" spans="1:21">
      <c r="A87" s="23" t="s">
        <v>92</v>
      </c>
      <c r="B87" s="35" t="s">
        <v>93</v>
      </c>
      <c r="C87" s="125">
        <v>559</v>
      </c>
      <c r="D87" s="114" t="s">
        <v>564</v>
      </c>
      <c r="E87" s="116"/>
      <c r="F87" s="117"/>
      <c r="G87" s="117"/>
      <c r="H87" s="98" t="s">
        <v>588</v>
      </c>
      <c r="I87" s="109"/>
      <c r="J87" s="117"/>
      <c r="K87" s="120"/>
      <c r="L87" s="122">
        <f t="shared" si="16"/>
        <v>0</v>
      </c>
      <c r="M87" s="116">
        <f t="shared" si="17"/>
        <v>0</v>
      </c>
      <c r="N87" s="123">
        <f t="shared" si="18"/>
        <v>0</v>
      </c>
      <c r="O87" s="5"/>
      <c r="P87" s="5">
        <f t="shared" si="14"/>
        <v>0</v>
      </c>
      <c r="Q87" s="7">
        <f t="shared" si="15"/>
        <v>0</v>
      </c>
    </row>
    <row r="88" spans="1:21">
      <c r="A88" s="23" t="s">
        <v>94</v>
      </c>
      <c r="B88" s="35" t="s">
        <v>93</v>
      </c>
      <c r="C88" s="125">
        <v>12004</v>
      </c>
      <c r="D88" s="113">
        <v>1030743688</v>
      </c>
      <c r="E88" s="116">
        <f t="shared" ref="E88:E93" si="22">(D88/C88)</f>
        <v>85866.685104965014</v>
      </c>
      <c r="F88" s="117">
        <v>720586146</v>
      </c>
      <c r="G88" s="117">
        <f t="shared" ref="G88:G93" si="23">(F88/C88)</f>
        <v>60028.83588803732</v>
      </c>
      <c r="H88" s="7"/>
      <c r="I88" s="109">
        <v>3.9750999999999999</v>
      </c>
      <c r="J88" s="117">
        <v>2864402</v>
      </c>
      <c r="K88" s="120">
        <f t="shared" ref="K88:K93" si="24">(J88/C88)</f>
        <v>238.62062645784738</v>
      </c>
      <c r="L88" s="122">
        <f t="shared" si="16"/>
        <v>7205861.46</v>
      </c>
      <c r="M88" s="116">
        <f t="shared" si="17"/>
        <v>4341459.46</v>
      </c>
      <c r="N88" s="123">
        <f t="shared" si="18"/>
        <v>361.66773242252583</v>
      </c>
      <c r="O88" s="5"/>
      <c r="P88" s="5">
        <f t="shared" si="14"/>
        <v>1</v>
      </c>
      <c r="Q88" s="7">
        <f t="shared" si="15"/>
        <v>12004</v>
      </c>
      <c r="S88" s="124">
        <f>SUM(D87:D88)</f>
        <v>1030743688</v>
      </c>
      <c r="T88" s="124">
        <f>SUM(F87:F88)</f>
        <v>720586146</v>
      </c>
      <c r="U88" s="124">
        <f>SUM(J87:J88)</f>
        <v>2864402</v>
      </c>
    </row>
    <row r="89" spans="1:21">
      <c r="A89" s="23" t="s">
        <v>95</v>
      </c>
      <c r="B89" s="37" t="s">
        <v>575</v>
      </c>
      <c r="C89" s="125">
        <v>7479</v>
      </c>
      <c r="D89" s="113">
        <v>321912466</v>
      </c>
      <c r="E89" s="116">
        <f t="shared" si="22"/>
        <v>43042.180237999732</v>
      </c>
      <c r="F89" s="117">
        <v>176380845</v>
      </c>
      <c r="G89" s="117">
        <f t="shared" si="23"/>
        <v>23583.479743281187</v>
      </c>
      <c r="H89" s="8"/>
      <c r="I89" s="109">
        <v>8.8194999999999997</v>
      </c>
      <c r="J89" s="117">
        <v>1555591</v>
      </c>
      <c r="K89" s="120">
        <f t="shared" si="24"/>
        <v>207.99451798368767</v>
      </c>
      <c r="L89" s="122">
        <f t="shared" si="16"/>
        <v>1763808.45</v>
      </c>
      <c r="M89" s="116">
        <f t="shared" si="17"/>
        <v>208217.44999999995</v>
      </c>
      <c r="N89" s="123">
        <f t="shared" si="18"/>
        <v>27.840279449124207</v>
      </c>
      <c r="O89" s="5"/>
      <c r="P89" s="5">
        <f t="shared" si="14"/>
        <v>1</v>
      </c>
      <c r="Q89" s="7">
        <f t="shared" si="15"/>
        <v>7479</v>
      </c>
      <c r="S89" s="124">
        <f>SUM(D89)</f>
        <v>321912466</v>
      </c>
      <c r="T89" s="124">
        <f>SUM(F89)</f>
        <v>176380845</v>
      </c>
      <c r="U89" s="124">
        <f>SUM(J89)</f>
        <v>1555591</v>
      </c>
    </row>
    <row r="90" spans="1:21">
      <c r="A90" s="23" t="s">
        <v>96</v>
      </c>
      <c r="B90" s="35" t="s">
        <v>97</v>
      </c>
      <c r="C90" s="125">
        <v>1723</v>
      </c>
      <c r="D90" s="113">
        <v>70289537</v>
      </c>
      <c r="E90" s="116">
        <f t="shared" si="22"/>
        <v>40794.856065002903</v>
      </c>
      <c r="F90" s="117">
        <v>27974686</v>
      </c>
      <c r="G90" s="117">
        <f t="shared" si="23"/>
        <v>16236.033662217063</v>
      </c>
      <c r="H90" s="8"/>
      <c r="I90" s="109">
        <v>6.6792999999999996</v>
      </c>
      <c r="J90" s="117">
        <v>186851</v>
      </c>
      <c r="K90" s="120">
        <f t="shared" si="24"/>
        <v>108.44515380150899</v>
      </c>
      <c r="L90" s="122">
        <f t="shared" si="16"/>
        <v>279746.86</v>
      </c>
      <c r="M90" s="116">
        <f t="shared" si="17"/>
        <v>92895.859999999986</v>
      </c>
      <c r="N90" s="123">
        <f t="shared" si="18"/>
        <v>53.915182820661627</v>
      </c>
      <c r="O90" s="5"/>
      <c r="P90" s="5">
        <f t="shared" si="14"/>
        <v>1</v>
      </c>
      <c r="Q90" s="7">
        <f t="shared" si="15"/>
        <v>1723</v>
      </c>
    </row>
    <row r="91" spans="1:21">
      <c r="A91" s="23" t="s">
        <v>98</v>
      </c>
      <c r="B91" s="35" t="s">
        <v>97</v>
      </c>
      <c r="C91" s="125">
        <v>158</v>
      </c>
      <c r="D91" s="113">
        <v>48170038</v>
      </c>
      <c r="E91" s="116">
        <f t="shared" si="22"/>
        <v>304873.65822784812</v>
      </c>
      <c r="F91" s="117">
        <v>40773234</v>
      </c>
      <c r="G91" s="117">
        <f t="shared" si="23"/>
        <v>258058.44303797468</v>
      </c>
      <c r="H91" s="9"/>
      <c r="I91" s="110">
        <v>2.75</v>
      </c>
      <c r="J91" s="117">
        <v>112126</v>
      </c>
      <c r="K91" s="120">
        <f t="shared" si="24"/>
        <v>709.65822784810132</v>
      </c>
      <c r="L91" s="122">
        <f t="shared" si="16"/>
        <v>407732.34</v>
      </c>
      <c r="M91" s="116">
        <f t="shared" si="17"/>
        <v>295606.34000000003</v>
      </c>
      <c r="N91" s="123">
        <f t="shared" si="18"/>
        <v>1870.9262025316457</v>
      </c>
      <c r="O91" s="5"/>
      <c r="P91" s="5">
        <f t="shared" si="14"/>
        <v>1</v>
      </c>
      <c r="Q91" s="7">
        <f t="shared" si="15"/>
        <v>158</v>
      </c>
      <c r="S91" s="124">
        <f>SUM(D90:D91)</f>
        <v>118459575</v>
      </c>
      <c r="T91" s="124">
        <f>SUM(F90:F91)</f>
        <v>68747920</v>
      </c>
      <c r="U91" s="124">
        <f>SUM(J90:J91)</f>
        <v>298977</v>
      </c>
    </row>
    <row r="92" spans="1:21">
      <c r="A92" s="23" t="s">
        <v>99</v>
      </c>
      <c r="B92" s="35" t="s">
        <v>100</v>
      </c>
      <c r="C92" s="125">
        <v>12986</v>
      </c>
      <c r="D92" s="113">
        <v>1899781985</v>
      </c>
      <c r="E92" s="116">
        <f t="shared" si="22"/>
        <v>146294.6238256584</v>
      </c>
      <c r="F92" s="117">
        <v>1276886480</v>
      </c>
      <c r="G92" s="117">
        <f t="shared" si="23"/>
        <v>98327.928538426</v>
      </c>
      <c r="H92" s="9"/>
      <c r="I92" s="109">
        <v>3.3285</v>
      </c>
      <c r="J92" s="117">
        <v>4250117</v>
      </c>
      <c r="K92" s="120">
        <f t="shared" si="24"/>
        <v>327.28453719390114</v>
      </c>
      <c r="L92" s="122">
        <f t="shared" si="16"/>
        <v>12768864.800000001</v>
      </c>
      <c r="M92" s="116">
        <f t="shared" si="17"/>
        <v>8518747.8000000007</v>
      </c>
      <c r="N92" s="123">
        <f t="shared" si="18"/>
        <v>655.99474819035891</v>
      </c>
      <c r="O92" s="5"/>
      <c r="P92" s="5">
        <f t="shared" si="14"/>
        <v>1</v>
      </c>
      <c r="Q92" s="7">
        <f t="shared" si="15"/>
        <v>12986</v>
      </c>
    </row>
    <row r="93" spans="1:21">
      <c r="A93" s="23" t="s">
        <v>101</v>
      </c>
      <c r="B93" s="35" t="s">
        <v>100</v>
      </c>
      <c r="C93" s="125">
        <v>1411</v>
      </c>
      <c r="D93" s="113">
        <v>79181065</v>
      </c>
      <c r="E93" s="116">
        <f t="shared" si="22"/>
        <v>56116.98440822112</v>
      </c>
      <c r="F93" s="117">
        <v>41209147</v>
      </c>
      <c r="G93" s="117">
        <f t="shared" si="23"/>
        <v>29205.632175761872</v>
      </c>
      <c r="H93" s="9"/>
      <c r="I93" s="109">
        <v>3.1556000000000002</v>
      </c>
      <c r="J93" s="117">
        <v>130040</v>
      </c>
      <c r="K93" s="120">
        <f t="shared" si="24"/>
        <v>92.161587526576895</v>
      </c>
      <c r="L93" s="122">
        <f t="shared" si="16"/>
        <v>412091.47000000003</v>
      </c>
      <c r="M93" s="116">
        <f t="shared" si="17"/>
        <v>282051.47000000003</v>
      </c>
      <c r="N93" s="123">
        <f t="shared" si="18"/>
        <v>199.89473423104184</v>
      </c>
      <c r="O93" s="5"/>
      <c r="P93" s="5">
        <f t="shared" si="14"/>
        <v>1</v>
      </c>
      <c r="Q93" s="7">
        <f t="shared" si="15"/>
        <v>1411</v>
      </c>
    </row>
    <row r="94" spans="1:21">
      <c r="A94" s="23" t="s">
        <v>102</v>
      </c>
      <c r="B94" s="35" t="s">
        <v>100</v>
      </c>
      <c r="C94" s="125">
        <v>846421</v>
      </c>
      <c r="D94" s="126" t="s">
        <v>594</v>
      </c>
      <c r="E94" s="116"/>
      <c r="F94" s="117"/>
      <c r="G94" s="117"/>
      <c r="H94" s="9"/>
      <c r="I94" s="109"/>
      <c r="J94" s="117"/>
      <c r="K94" s="120"/>
      <c r="L94" s="122">
        <f t="shared" si="16"/>
        <v>0</v>
      </c>
      <c r="M94" s="116">
        <f t="shared" si="17"/>
        <v>0</v>
      </c>
      <c r="N94" s="123">
        <f t="shared" si="18"/>
        <v>0</v>
      </c>
      <c r="O94" s="5"/>
      <c r="P94" s="5">
        <f t="shared" si="14"/>
        <v>0</v>
      </c>
      <c r="Q94" s="7">
        <f t="shared" si="15"/>
        <v>0</v>
      </c>
    </row>
    <row r="95" spans="1:21">
      <c r="A95" s="23" t="s">
        <v>103</v>
      </c>
      <c r="B95" s="35" t="s">
        <v>100</v>
      </c>
      <c r="C95" s="125">
        <v>22136</v>
      </c>
      <c r="D95" s="113">
        <v>3764381642</v>
      </c>
      <c r="E95" s="116">
        <f t="shared" ref="E95:E158" si="25">(D95/C95)</f>
        <v>170056.9950307192</v>
      </c>
      <c r="F95" s="117">
        <v>2659185229</v>
      </c>
      <c r="G95" s="117">
        <f t="shared" ref="G95:G158" si="26">(F95/C95)</f>
        <v>120129.43752258764</v>
      </c>
      <c r="H95" s="9"/>
      <c r="I95" s="109">
        <v>3.9946999999999999</v>
      </c>
      <c r="J95" s="117">
        <v>10622647</v>
      </c>
      <c r="K95" s="120">
        <f t="shared" ref="K95:K133" si="27">(J95/C95)</f>
        <v>479.88105348753163</v>
      </c>
      <c r="L95" s="122">
        <f t="shared" si="16"/>
        <v>26591852.289999999</v>
      </c>
      <c r="M95" s="116">
        <f t="shared" si="17"/>
        <v>15969205.289999999</v>
      </c>
      <c r="N95" s="123">
        <f t="shared" si="18"/>
        <v>721.41332173834473</v>
      </c>
      <c r="O95" s="5"/>
      <c r="P95" s="5">
        <f t="shared" si="14"/>
        <v>1</v>
      </c>
      <c r="Q95" s="7">
        <f t="shared" si="15"/>
        <v>22136</v>
      </c>
    </row>
    <row r="96" spans="1:21">
      <c r="A96" s="23" t="s">
        <v>104</v>
      </c>
      <c r="B96" s="35" t="s">
        <v>100</v>
      </c>
      <c r="C96" s="125">
        <v>7112</v>
      </c>
      <c r="D96" s="113">
        <v>1005024036</v>
      </c>
      <c r="E96" s="116">
        <f t="shared" si="25"/>
        <v>141313.84083239594</v>
      </c>
      <c r="F96" s="117">
        <v>666661348</v>
      </c>
      <c r="G96" s="117">
        <f t="shared" si="26"/>
        <v>93737.534870641175</v>
      </c>
      <c r="H96" s="7"/>
      <c r="I96" s="109">
        <v>3.3656000000000001</v>
      </c>
      <c r="J96" s="117">
        <v>2243715</v>
      </c>
      <c r="K96" s="120">
        <f t="shared" si="27"/>
        <v>315.48298650168726</v>
      </c>
      <c r="L96" s="122">
        <f t="shared" si="16"/>
        <v>6666613.4800000004</v>
      </c>
      <c r="M96" s="116">
        <f t="shared" si="17"/>
        <v>4422898.4800000004</v>
      </c>
      <c r="N96" s="123">
        <f t="shared" si="18"/>
        <v>621.89236220472446</v>
      </c>
      <c r="O96" s="5"/>
      <c r="P96" s="5">
        <f t="shared" si="14"/>
        <v>1</v>
      </c>
      <c r="Q96" s="7">
        <f t="shared" si="15"/>
        <v>7112</v>
      </c>
      <c r="S96" s="124">
        <f>SUM(D92:D96)</f>
        <v>6748368728</v>
      </c>
      <c r="T96" s="124">
        <f>SUM(F92:F96)</f>
        <v>4643942204</v>
      </c>
      <c r="U96" s="124">
        <f>SUM(J92:J96)</f>
        <v>17246519</v>
      </c>
    </row>
    <row r="97" spans="1:21">
      <c r="A97" s="23" t="s">
        <v>105</v>
      </c>
      <c r="B97" s="35" t="s">
        <v>106</v>
      </c>
      <c r="C97" s="125">
        <v>1634</v>
      </c>
      <c r="D97" s="113">
        <v>52779722</v>
      </c>
      <c r="E97" s="116">
        <f t="shared" si="25"/>
        <v>32300.931456548347</v>
      </c>
      <c r="F97" s="117">
        <v>31809563</v>
      </c>
      <c r="G97" s="117">
        <f t="shared" si="26"/>
        <v>19467.296817625458</v>
      </c>
      <c r="H97" s="7"/>
      <c r="I97" s="109">
        <v>0.87070000000000003</v>
      </c>
      <c r="J97" s="117">
        <v>27697</v>
      </c>
      <c r="K97" s="120">
        <f t="shared" si="27"/>
        <v>16.950428396572828</v>
      </c>
      <c r="L97" s="122">
        <f t="shared" si="16"/>
        <v>318095.63</v>
      </c>
      <c r="M97" s="116">
        <f t="shared" si="17"/>
        <v>290398.63</v>
      </c>
      <c r="N97" s="123">
        <f t="shared" si="18"/>
        <v>177.72253977968177</v>
      </c>
      <c r="O97" s="5"/>
      <c r="P97" s="5">
        <f t="shared" si="14"/>
        <v>1</v>
      </c>
      <c r="Q97" s="7">
        <f t="shared" si="15"/>
        <v>1634</v>
      </c>
    </row>
    <row r="98" spans="1:21">
      <c r="A98" s="23" t="s">
        <v>107</v>
      </c>
      <c r="B98" s="35" t="s">
        <v>106</v>
      </c>
      <c r="C98" s="125">
        <v>52758</v>
      </c>
      <c r="D98" s="113">
        <v>5033916681</v>
      </c>
      <c r="E98" s="116">
        <f t="shared" si="25"/>
        <v>95415.229557602637</v>
      </c>
      <c r="F98" s="117">
        <v>3067139349</v>
      </c>
      <c r="G98" s="117">
        <f t="shared" si="26"/>
        <v>58136.004947117028</v>
      </c>
      <c r="H98" s="7"/>
      <c r="I98" s="109">
        <v>4.2895000000000003</v>
      </c>
      <c r="J98" s="117">
        <v>13156494</v>
      </c>
      <c r="K98" s="120">
        <f t="shared" si="27"/>
        <v>249.37438871829863</v>
      </c>
      <c r="L98" s="122">
        <f t="shared" si="16"/>
        <v>30671393.490000002</v>
      </c>
      <c r="M98" s="116">
        <f t="shared" si="17"/>
        <v>17514899.490000002</v>
      </c>
      <c r="N98" s="123">
        <f t="shared" si="18"/>
        <v>331.98566075287164</v>
      </c>
      <c r="O98" s="5"/>
      <c r="P98" s="5">
        <f t="shared" si="14"/>
        <v>1</v>
      </c>
      <c r="Q98" s="7">
        <f t="shared" si="15"/>
        <v>52758</v>
      </c>
      <c r="S98" s="124">
        <f>SUM(D97:D98)</f>
        <v>5086696403</v>
      </c>
      <c r="T98" s="124">
        <f>SUM(F97:F98)</f>
        <v>3098948912</v>
      </c>
      <c r="U98" s="124">
        <f>SUM(J97:J98)</f>
        <v>13184191</v>
      </c>
    </row>
    <row r="99" spans="1:21">
      <c r="A99" s="23" t="s">
        <v>108</v>
      </c>
      <c r="B99" s="35" t="s">
        <v>109</v>
      </c>
      <c r="C99" s="125">
        <v>338</v>
      </c>
      <c r="D99" s="113">
        <v>60912175</v>
      </c>
      <c r="E99" s="116">
        <f t="shared" si="25"/>
        <v>180213.53550295858</v>
      </c>
      <c r="F99" s="117">
        <v>48190295</v>
      </c>
      <c r="G99" s="117">
        <f t="shared" si="26"/>
        <v>142574.83727810651</v>
      </c>
      <c r="H99" s="7"/>
      <c r="I99" s="109">
        <v>2.2999999999999998</v>
      </c>
      <c r="J99" s="117">
        <v>110838</v>
      </c>
      <c r="K99" s="120">
        <f t="shared" si="27"/>
        <v>327.92307692307691</v>
      </c>
      <c r="L99" s="122">
        <f t="shared" si="16"/>
        <v>481902.95</v>
      </c>
      <c r="M99" s="116">
        <f t="shared" si="17"/>
        <v>371064.95</v>
      </c>
      <c r="N99" s="123">
        <f t="shared" si="18"/>
        <v>1097.8252958579883</v>
      </c>
      <c r="O99" s="5"/>
      <c r="P99" s="5">
        <f t="shared" si="14"/>
        <v>1</v>
      </c>
      <c r="Q99" s="7">
        <f t="shared" si="15"/>
        <v>338</v>
      </c>
    </row>
    <row r="100" spans="1:21">
      <c r="A100" s="23" t="s">
        <v>110</v>
      </c>
      <c r="B100" s="35" t="s">
        <v>109</v>
      </c>
      <c r="C100" s="125">
        <v>2787</v>
      </c>
      <c r="D100" s="113">
        <v>436479801</v>
      </c>
      <c r="E100" s="116">
        <f t="shared" si="25"/>
        <v>156612.77395048438</v>
      </c>
      <c r="F100" s="117">
        <v>143195702</v>
      </c>
      <c r="G100" s="117">
        <f t="shared" si="26"/>
        <v>51379.871546465736</v>
      </c>
      <c r="H100" s="7"/>
      <c r="I100" s="109">
        <v>7.45</v>
      </c>
      <c r="J100" s="117">
        <v>1066808</v>
      </c>
      <c r="K100" s="120">
        <f t="shared" si="27"/>
        <v>382.78005023322567</v>
      </c>
      <c r="L100" s="122">
        <f t="shared" si="16"/>
        <v>1431957.02</v>
      </c>
      <c r="M100" s="116">
        <f t="shared" si="17"/>
        <v>365149.02</v>
      </c>
      <c r="N100" s="123">
        <f t="shared" si="18"/>
        <v>131.01866523143164</v>
      </c>
      <c r="O100" s="5"/>
      <c r="P100" s="5">
        <f t="shared" si="14"/>
        <v>1</v>
      </c>
      <c r="Q100" s="7">
        <f t="shared" si="15"/>
        <v>2787</v>
      </c>
    </row>
    <row r="101" spans="1:21">
      <c r="A101" s="23" t="s">
        <v>447</v>
      </c>
      <c r="B101" s="35" t="s">
        <v>109</v>
      </c>
      <c r="C101" s="125">
        <v>78046</v>
      </c>
      <c r="D101" s="113">
        <v>6049345555</v>
      </c>
      <c r="E101" s="116">
        <f t="shared" si="25"/>
        <v>77510.001217230863</v>
      </c>
      <c r="F101" s="117">
        <v>3892358641</v>
      </c>
      <c r="G101" s="117">
        <f t="shared" si="26"/>
        <v>49872.621799964123</v>
      </c>
      <c r="H101" s="9"/>
      <c r="I101" s="109">
        <v>4.2450000000000001</v>
      </c>
      <c r="J101" s="117">
        <v>16523062</v>
      </c>
      <c r="K101" s="120">
        <f t="shared" si="27"/>
        <v>211.70927401788688</v>
      </c>
      <c r="L101" s="122">
        <f t="shared" si="16"/>
        <v>38923586.410000004</v>
      </c>
      <c r="M101" s="116">
        <f t="shared" si="17"/>
        <v>22400524.410000004</v>
      </c>
      <c r="N101" s="123">
        <f t="shared" si="18"/>
        <v>287.01694398175442</v>
      </c>
      <c r="O101" s="5"/>
      <c r="P101" s="5">
        <f t="shared" si="14"/>
        <v>1</v>
      </c>
      <c r="Q101" s="7">
        <f t="shared" si="15"/>
        <v>78046</v>
      </c>
    </row>
    <row r="102" spans="1:21">
      <c r="A102" s="23" t="s">
        <v>111</v>
      </c>
      <c r="B102" s="35" t="s">
        <v>557</v>
      </c>
      <c r="C102" s="125">
        <v>6</v>
      </c>
      <c r="D102" s="113">
        <v>13545562</v>
      </c>
      <c r="E102" s="116">
        <f t="shared" si="25"/>
        <v>2257593.6666666665</v>
      </c>
      <c r="F102" s="117">
        <v>3571334</v>
      </c>
      <c r="G102" s="117">
        <f t="shared" si="26"/>
        <v>595222.33333333337</v>
      </c>
      <c r="H102" s="7"/>
      <c r="I102" s="109">
        <v>10</v>
      </c>
      <c r="J102" s="117">
        <v>35713</v>
      </c>
      <c r="K102" s="120">
        <f t="shared" si="27"/>
        <v>5952.166666666667</v>
      </c>
      <c r="L102" s="122">
        <f t="shared" si="16"/>
        <v>35713.340000000004</v>
      </c>
      <c r="M102" s="116">
        <f t="shared" si="17"/>
        <v>0.3400000000037835</v>
      </c>
      <c r="N102" s="123">
        <f t="shared" si="18"/>
        <v>5.666666666729725E-2</v>
      </c>
      <c r="O102" s="5"/>
      <c r="P102" s="5">
        <f t="shared" si="14"/>
        <v>1</v>
      </c>
      <c r="Q102" s="7">
        <f t="shared" si="15"/>
        <v>6</v>
      </c>
    </row>
    <row r="103" spans="1:21">
      <c r="A103" s="23" t="s">
        <v>112</v>
      </c>
      <c r="B103" s="35" t="s">
        <v>113</v>
      </c>
      <c r="C103" s="125">
        <v>4522</v>
      </c>
      <c r="D103" s="113">
        <v>672284526</v>
      </c>
      <c r="E103" s="116">
        <f t="shared" si="25"/>
        <v>148669.73153471915</v>
      </c>
      <c r="F103" s="117">
        <v>494422455</v>
      </c>
      <c r="G103" s="117">
        <f t="shared" si="26"/>
        <v>109337.11963732862</v>
      </c>
      <c r="H103" s="7"/>
      <c r="I103" s="109">
        <v>5.0572999999999997</v>
      </c>
      <c r="J103" s="117">
        <v>2500443</v>
      </c>
      <c r="K103" s="120">
        <f t="shared" si="27"/>
        <v>552.95068553737281</v>
      </c>
      <c r="L103" s="122">
        <f t="shared" si="16"/>
        <v>4944224.55</v>
      </c>
      <c r="M103" s="116">
        <f t="shared" si="17"/>
        <v>2443781.5499999998</v>
      </c>
      <c r="N103" s="123">
        <f t="shared" si="18"/>
        <v>540.42051083591332</v>
      </c>
      <c r="O103" s="5"/>
      <c r="P103" s="5">
        <f t="shared" si="14"/>
        <v>1</v>
      </c>
      <c r="Q103" s="7">
        <f t="shared" si="15"/>
        <v>4522</v>
      </c>
      <c r="S103" s="124">
        <f>SUM(D99:D103)</f>
        <v>7232567619</v>
      </c>
      <c r="T103" s="124">
        <f>SUM(F99:F103)</f>
        <v>4581738427</v>
      </c>
      <c r="U103" s="124">
        <f>SUM(J99:J103)</f>
        <v>20236864</v>
      </c>
    </row>
    <row r="104" spans="1:21">
      <c r="A104" s="23" t="s">
        <v>114</v>
      </c>
      <c r="B104" s="35" t="s">
        <v>115</v>
      </c>
      <c r="C104" s="125">
        <v>2269</v>
      </c>
      <c r="D104" s="113">
        <v>213589349</v>
      </c>
      <c r="E104" s="116">
        <f t="shared" si="25"/>
        <v>94133.692816218594</v>
      </c>
      <c r="F104" s="117">
        <v>123086334</v>
      </c>
      <c r="G104" s="117">
        <f t="shared" si="26"/>
        <v>54246.951961216393</v>
      </c>
      <c r="H104" s="9"/>
      <c r="I104" s="110">
        <v>9.6852</v>
      </c>
      <c r="J104" s="117">
        <v>1192116</v>
      </c>
      <c r="K104" s="120">
        <f t="shared" si="27"/>
        <v>525.39268400176286</v>
      </c>
      <c r="L104" s="122">
        <f t="shared" si="16"/>
        <v>1230863.3400000001</v>
      </c>
      <c r="M104" s="116">
        <f t="shared" si="17"/>
        <v>38747.340000000084</v>
      </c>
      <c r="N104" s="123">
        <f t="shared" si="18"/>
        <v>17.076835610401094</v>
      </c>
      <c r="O104" s="5"/>
      <c r="P104" s="5">
        <f t="shared" si="14"/>
        <v>1</v>
      </c>
      <c r="Q104" s="7">
        <f t="shared" si="15"/>
        <v>2269</v>
      </c>
    </row>
    <row r="105" spans="1:21">
      <c r="A105" s="23" t="s">
        <v>116</v>
      </c>
      <c r="B105" s="35" t="s">
        <v>115</v>
      </c>
      <c r="C105" s="125">
        <v>2845</v>
      </c>
      <c r="D105" s="113">
        <v>142473096</v>
      </c>
      <c r="E105" s="116">
        <f t="shared" si="25"/>
        <v>50078.416871704743</v>
      </c>
      <c r="F105" s="117">
        <v>100089128</v>
      </c>
      <c r="G105" s="117">
        <f t="shared" si="26"/>
        <v>35180.712829525481</v>
      </c>
      <c r="H105" s="9"/>
      <c r="I105" s="109">
        <v>9</v>
      </c>
      <c r="J105" s="117">
        <v>900802</v>
      </c>
      <c r="K105" s="120">
        <f t="shared" si="27"/>
        <v>316.6263620386643</v>
      </c>
      <c r="L105" s="122">
        <f t="shared" si="16"/>
        <v>1000891.28</v>
      </c>
      <c r="M105" s="116">
        <f t="shared" si="17"/>
        <v>100089.28000000003</v>
      </c>
      <c r="N105" s="123">
        <f t="shared" si="18"/>
        <v>35.180766256590516</v>
      </c>
      <c r="O105" s="5"/>
      <c r="P105" s="5">
        <f t="shared" si="14"/>
        <v>1</v>
      </c>
      <c r="Q105" s="7">
        <f t="shared" si="15"/>
        <v>2845</v>
      </c>
      <c r="S105" s="124">
        <f>SUM(D104:D105)</f>
        <v>356062445</v>
      </c>
      <c r="T105" s="124">
        <f>SUM(F104:F105)</f>
        <v>223175462</v>
      </c>
      <c r="U105" s="124">
        <f>SUM(J104:J105)</f>
        <v>2092918</v>
      </c>
    </row>
    <row r="106" spans="1:21">
      <c r="A106" s="23" t="s">
        <v>117</v>
      </c>
      <c r="B106" s="35" t="s">
        <v>118</v>
      </c>
      <c r="C106" s="125">
        <v>3138</v>
      </c>
      <c r="D106" s="113">
        <v>229622489</v>
      </c>
      <c r="E106" s="116">
        <f t="shared" si="25"/>
        <v>73174.789356277877</v>
      </c>
      <c r="F106" s="117">
        <v>35410004</v>
      </c>
      <c r="G106" s="117">
        <f t="shared" si="26"/>
        <v>11284.258763543658</v>
      </c>
      <c r="H106" s="7"/>
      <c r="I106" s="109">
        <v>0.84230000000000005</v>
      </c>
      <c r="J106" s="117">
        <v>29826</v>
      </c>
      <c r="K106" s="120">
        <f t="shared" si="27"/>
        <v>9.5047801147227542</v>
      </c>
      <c r="L106" s="122">
        <f t="shared" si="16"/>
        <v>354100.04</v>
      </c>
      <c r="M106" s="116">
        <f t="shared" si="17"/>
        <v>324274.03999999998</v>
      </c>
      <c r="N106" s="123">
        <f t="shared" si="18"/>
        <v>103.33780752071382</v>
      </c>
      <c r="O106" s="5"/>
      <c r="P106" s="5">
        <f t="shared" si="14"/>
        <v>1</v>
      </c>
      <c r="Q106" s="7">
        <f t="shared" si="15"/>
        <v>3138</v>
      </c>
    </row>
    <row r="107" spans="1:21">
      <c r="A107" s="23" t="s">
        <v>119</v>
      </c>
      <c r="B107" s="35" t="s">
        <v>118</v>
      </c>
      <c r="C107" s="125">
        <v>618</v>
      </c>
      <c r="D107" s="113">
        <v>22867934</v>
      </c>
      <c r="E107" s="116">
        <f t="shared" si="25"/>
        <v>37003.12944983819</v>
      </c>
      <c r="F107" s="117">
        <v>7966713</v>
      </c>
      <c r="G107" s="117">
        <f t="shared" si="26"/>
        <v>12891.121359223302</v>
      </c>
      <c r="H107" s="7"/>
      <c r="I107" s="109">
        <v>5</v>
      </c>
      <c r="J107" s="117">
        <v>39834</v>
      </c>
      <c r="K107" s="120">
        <f t="shared" si="27"/>
        <v>64.456310679611647</v>
      </c>
      <c r="L107" s="122">
        <f t="shared" si="16"/>
        <v>79667.13</v>
      </c>
      <c r="M107" s="116">
        <f t="shared" si="17"/>
        <v>39833.130000000005</v>
      </c>
      <c r="N107" s="123">
        <f t="shared" si="18"/>
        <v>64.454902912621364</v>
      </c>
      <c r="O107" s="5"/>
      <c r="P107" s="5">
        <f t="shared" si="14"/>
        <v>1</v>
      </c>
      <c r="Q107" s="7">
        <f t="shared" si="15"/>
        <v>618</v>
      </c>
    </row>
    <row r="108" spans="1:21">
      <c r="A108" s="23" t="s">
        <v>120</v>
      </c>
      <c r="B108" s="35" t="s">
        <v>118</v>
      </c>
      <c r="C108" s="125">
        <v>1452</v>
      </c>
      <c r="D108" s="113">
        <v>43898092</v>
      </c>
      <c r="E108" s="116">
        <f t="shared" si="25"/>
        <v>30232.845730027548</v>
      </c>
      <c r="F108" s="117">
        <v>22191988</v>
      </c>
      <c r="G108" s="117">
        <f t="shared" si="26"/>
        <v>15283.738292011019</v>
      </c>
      <c r="H108" s="7"/>
      <c r="I108" s="109">
        <v>4.8708</v>
      </c>
      <c r="J108" s="117">
        <v>108093</v>
      </c>
      <c r="K108" s="120">
        <f t="shared" si="27"/>
        <v>74.444214876033058</v>
      </c>
      <c r="L108" s="122">
        <f t="shared" si="16"/>
        <v>221919.88</v>
      </c>
      <c r="M108" s="116">
        <f t="shared" si="17"/>
        <v>113826.88</v>
      </c>
      <c r="N108" s="123">
        <f t="shared" si="18"/>
        <v>78.393168044077143</v>
      </c>
      <c r="O108" s="5"/>
      <c r="P108" s="5">
        <f t="shared" si="14"/>
        <v>1</v>
      </c>
      <c r="Q108" s="7">
        <f t="shared" si="15"/>
        <v>1452</v>
      </c>
    </row>
    <row r="109" spans="1:21">
      <c r="A109" s="23" t="s">
        <v>121</v>
      </c>
      <c r="B109" s="35" t="s">
        <v>118</v>
      </c>
      <c r="C109" s="125">
        <v>1723</v>
      </c>
      <c r="D109" s="113">
        <v>93877774</v>
      </c>
      <c r="E109" s="116">
        <f t="shared" si="25"/>
        <v>54485.069065583288</v>
      </c>
      <c r="F109" s="117">
        <v>61142225</v>
      </c>
      <c r="G109" s="117">
        <f t="shared" si="26"/>
        <v>35485.911201392919</v>
      </c>
      <c r="H109" s="7"/>
      <c r="I109" s="109">
        <v>1.823</v>
      </c>
      <c r="J109" s="117">
        <v>111462</v>
      </c>
      <c r="K109" s="120">
        <f t="shared" si="27"/>
        <v>64.690655832849686</v>
      </c>
      <c r="L109" s="122">
        <f t="shared" si="16"/>
        <v>611422.25</v>
      </c>
      <c r="M109" s="116">
        <f t="shared" si="17"/>
        <v>499960.25</v>
      </c>
      <c r="N109" s="123">
        <f t="shared" si="18"/>
        <v>290.16845618107953</v>
      </c>
      <c r="O109" s="5"/>
      <c r="P109" s="5">
        <f t="shared" si="14"/>
        <v>1</v>
      </c>
      <c r="Q109" s="7">
        <f t="shared" si="15"/>
        <v>1723</v>
      </c>
    </row>
    <row r="110" spans="1:21">
      <c r="A110" s="23" t="s">
        <v>122</v>
      </c>
      <c r="B110" s="35" t="s">
        <v>118</v>
      </c>
      <c r="C110" s="125">
        <v>3369</v>
      </c>
      <c r="D110" s="113">
        <v>167771320</v>
      </c>
      <c r="E110" s="116">
        <f t="shared" si="25"/>
        <v>49798.551498961118</v>
      </c>
      <c r="F110" s="117">
        <v>118463603</v>
      </c>
      <c r="G110" s="117">
        <f t="shared" si="26"/>
        <v>35162.83852775304</v>
      </c>
      <c r="H110" s="7"/>
      <c r="I110" s="109">
        <v>4.1771000000000003</v>
      </c>
      <c r="J110" s="117">
        <v>494834</v>
      </c>
      <c r="K110" s="120">
        <f t="shared" si="27"/>
        <v>146.87859899079845</v>
      </c>
      <c r="L110" s="122">
        <f t="shared" si="16"/>
        <v>1184636.03</v>
      </c>
      <c r="M110" s="116">
        <f t="shared" si="17"/>
        <v>689802.03</v>
      </c>
      <c r="N110" s="123">
        <f t="shared" si="18"/>
        <v>204.74978628673199</v>
      </c>
      <c r="O110" s="5"/>
      <c r="P110" s="5">
        <f t="shared" si="14"/>
        <v>1</v>
      </c>
      <c r="Q110" s="7">
        <f t="shared" si="15"/>
        <v>3369</v>
      </c>
    </row>
    <row r="111" spans="1:21">
      <c r="A111" s="23" t="s">
        <v>123</v>
      </c>
      <c r="B111" s="35" t="s">
        <v>118</v>
      </c>
      <c r="C111" s="125">
        <v>7918</v>
      </c>
      <c r="D111" s="113">
        <v>483561626</v>
      </c>
      <c r="E111" s="116">
        <f t="shared" si="25"/>
        <v>61071.182874463251</v>
      </c>
      <c r="F111" s="117">
        <v>209934264</v>
      </c>
      <c r="G111" s="117">
        <f t="shared" si="26"/>
        <v>26513.546855266482</v>
      </c>
      <c r="H111" s="9"/>
      <c r="I111" s="109">
        <v>4.6561000000000003</v>
      </c>
      <c r="J111" s="117">
        <v>977475</v>
      </c>
      <c r="K111" s="120">
        <f t="shared" si="27"/>
        <v>123.44973478151049</v>
      </c>
      <c r="L111" s="122">
        <f t="shared" si="16"/>
        <v>2099342.64</v>
      </c>
      <c r="M111" s="116">
        <f t="shared" si="17"/>
        <v>1121867.6400000001</v>
      </c>
      <c r="N111" s="123">
        <f t="shared" si="18"/>
        <v>141.68573377115436</v>
      </c>
      <c r="O111" s="5"/>
      <c r="P111" s="5">
        <f t="shared" si="14"/>
        <v>1</v>
      </c>
      <c r="Q111" s="7">
        <f t="shared" si="15"/>
        <v>7918</v>
      </c>
      <c r="S111" s="124">
        <f>SUM(D106:D111)</f>
        <v>1041599235</v>
      </c>
      <c r="T111" s="124">
        <f>SUM(F106:F111)</f>
        <v>455108797</v>
      </c>
      <c r="U111" s="124">
        <f>SUM(J106:J111)</f>
        <v>1761524</v>
      </c>
    </row>
    <row r="112" spans="1:21">
      <c r="A112" s="23" t="s">
        <v>124</v>
      </c>
      <c r="B112" s="35" t="s">
        <v>125</v>
      </c>
      <c r="C112" s="125">
        <v>497</v>
      </c>
      <c r="D112" s="113">
        <v>38295336</v>
      </c>
      <c r="E112" s="116">
        <f t="shared" si="25"/>
        <v>77052.989939637831</v>
      </c>
      <c r="F112" s="117">
        <v>15890018</v>
      </c>
      <c r="G112" s="117">
        <f t="shared" si="26"/>
        <v>31971.867203219317</v>
      </c>
      <c r="H112" s="9"/>
      <c r="I112" s="109">
        <v>2.0286</v>
      </c>
      <c r="J112" s="117">
        <v>32234</v>
      </c>
      <c r="K112" s="120">
        <f t="shared" si="27"/>
        <v>64.857142857142861</v>
      </c>
      <c r="L112" s="122">
        <f t="shared" si="16"/>
        <v>158900.18</v>
      </c>
      <c r="M112" s="116">
        <f t="shared" si="17"/>
        <v>126666.18</v>
      </c>
      <c r="N112" s="123">
        <f t="shared" si="18"/>
        <v>254.86152917505029</v>
      </c>
      <c r="O112" s="5"/>
      <c r="P112" s="5">
        <f t="shared" si="14"/>
        <v>1</v>
      </c>
      <c r="Q112" s="7">
        <f t="shared" si="15"/>
        <v>497</v>
      </c>
    </row>
    <row r="113" spans="1:21">
      <c r="A113" s="23" t="s">
        <v>126</v>
      </c>
      <c r="B113" s="35" t="s">
        <v>125</v>
      </c>
      <c r="C113" s="125">
        <v>1991</v>
      </c>
      <c r="D113" s="113">
        <v>103769817</v>
      </c>
      <c r="E113" s="116">
        <f t="shared" si="25"/>
        <v>52119.446007031642</v>
      </c>
      <c r="F113" s="117">
        <v>52972860</v>
      </c>
      <c r="G113" s="117">
        <f t="shared" si="26"/>
        <v>26606.15770969362</v>
      </c>
      <c r="H113" s="9"/>
      <c r="I113" s="110">
        <v>3.1055000000000001</v>
      </c>
      <c r="J113" s="117">
        <v>164507</v>
      </c>
      <c r="K113" s="120">
        <f t="shared" si="27"/>
        <v>82.625313912606728</v>
      </c>
      <c r="L113" s="122">
        <f t="shared" si="16"/>
        <v>529728.6</v>
      </c>
      <c r="M113" s="116">
        <f t="shared" si="17"/>
        <v>365221.6</v>
      </c>
      <c r="N113" s="123">
        <f t="shared" si="18"/>
        <v>183.43626318432948</v>
      </c>
      <c r="O113" s="5"/>
      <c r="P113" s="5">
        <f t="shared" si="14"/>
        <v>1</v>
      </c>
      <c r="Q113" s="7">
        <f t="shared" si="15"/>
        <v>1991</v>
      </c>
    </row>
    <row r="114" spans="1:21">
      <c r="A114" s="23" t="s">
        <v>127</v>
      </c>
      <c r="B114" s="35" t="s">
        <v>128</v>
      </c>
      <c r="C114" s="125">
        <v>749</v>
      </c>
      <c r="D114" s="113">
        <v>61230134</v>
      </c>
      <c r="E114" s="116">
        <f t="shared" si="25"/>
        <v>81749.177570093452</v>
      </c>
      <c r="F114" s="117">
        <v>34651298</v>
      </c>
      <c r="G114" s="117">
        <f t="shared" si="26"/>
        <v>46263.415220293726</v>
      </c>
      <c r="H114" s="7"/>
      <c r="I114" s="110">
        <v>3</v>
      </c>
      <c r="J114" s="117">
        <v>103954</v>
      </c>
      <c r="K114" s="120">
        <f t="shared" si="27"/>
        <v>138.79038718291054</v>
      </c>
      <c r="L114" s="122">
        <f t="shared" si="16"/>
        <v>346512.98</v>
      </c>
      <c r="M114" s="116">
        <f t="shared" si="17"/>
        <v>242558.97999999998</v>
      </c>
      <c r="N114" s="123">
        <f t="shared" si="18"/>
        <v>323.84376502002669</v>
      </c>
      <c r="O114" s="5"/>
      <c r="P114" s="5">
        <f t="shared" si="14"/>
        <v>1</v>
      </c>
      <c r="Q114" s="7">
        <f t="shared" si="15"/>
        <v>749</v>
      </c>
      <c r="S114" s="124">
        <f>SUM(D112:D114)</f>
        <v>203295287</v>
      </c>
      <c r="T114" s="124">
        <f>SUM(F112:F114)</f>
        <v>103514176</v>
      </c>
      <c r="U114" s="124">
        <f>SUM(J112:J114)</f>
        <v>300695</v>
      </c>
    </row>
    <row r="115" spans="1:21">
      <c r="A115" s="23" t="s">
        <v>129</v>
      </c>
      <c r="B115" s="35" t="s">
        <v>130</v>
      </c>
      <c r="C115" s="125">
        <v>1665</v>
      </c>
      <c r="D115" s="113">
        <v>81918832</v>
      </c>
      <c r="E115" s="116">
        <f t="shared" si="25"/>
        <v>49200.4996996997</v>
      </c>
      <c r="F115" s="117">
        <v>37727001</v>
      </c>
      <c r="G115" s="117">
        <f t="shared" si="26"/>
        <v>22658.859459459458</v>
      </c>
      <c r="H115" s="9"/>
      <c r="I115" s="109">
        <v>4.9173999999999998</v>
      </c>
      <c r="J115" s="117">
        <v>185519</v>
      </c>
      <c r="K115" s="120">
        <f t="shared" si="27"/>
        <v>111.42282282282282</v>
      </c>
      <c r="L115" s="122">
        <f t="shared" si="16"/>
        <v>377270.01</v>
      </c>
      <c r="M115" s="116">
        <f t="shared" si="17"/>
        <v>191751.01</v>
      </c>
      <c r="N115" s="123">
        <f t="shared" si="18"/>
        <v>115.16577177177177</v>
      </c>
      <c r="O115" s="5"/>
      <c r="P115" s="5">
        <f t="shared" si="14"/>
        <v>1</v>
      </c>
      <c r="Q115" s="7">
        <f t="shared" si="15"/>
        <v>1665</v>
      </c>
      <c r="S115" s="124">
        <f>SUM(D115)</f>
        <v>81918832</v>
      </c>
      <c r="T115" s="124">
        <f>SUM(F115)</f>
        <v>37727001</v>
      </c>
      <c r="U115" s="124">
        <f>SUM(J115)</f>
        <v>185519</v>
      </c>
    </row>
    <row r="116" spans="1:21">
      <c r="A116" s="24" t="s">
        <v>545</v>
      </c>
      <c r="B116" s="35" t="s">
        <v>131</v>
      </c>
      <c r="C116" s="125">
        <v>3499</v>
      </c>
      <c r="D116" s="113">
        <v>413118034</v>
      </c>
      <c r="E116" s="116">
        <f t="shared" si="25"/>
        <v>118067.45755930265</v>
      </c>
      <c r="F116" s="117">
        <v>277988994</v>
      </c>
      <c r="G116" s="117">
        <f t="shared" si="26"/>
        <v>79448.126321806223</v>
      </c>
      <c r="H116" s="9"/>
      <c r="I116" s="109">
        <v>3.5914000000000001</v>
      </c>
      <c r="J116" s="117">
        <v>998370</v>
      </c>
      <c r="K116" s="120">
        <f t="shared" si="27"/>
        <v>285.33009431266078</v>
      </c>
      <c r="L116" s="122">
        <f t="shared" si="16"/>
        <v>2779889.94</v>
      </c>
      <c r="M116" s="116">
        <f t="shared" si="17"/>
        <v>1781519.94</v>
      </c>
      <c r="N116" s="123">
        <f t="shared" si="18"/>
        <v>509.15116890540151</v>
      </c>
      <c r="O116" s="5"/>
      <c r="P116" s="5">
        <f t="shared" si="14"/>
        <v>1</v>
      </c>
      <c r="Q116" s="7">
        <f t="shared" si="15"/>
        <v>3499</v>
      </c>
    </row>
    <row r="117" spans="1:21">
      <c r="A117" s="23" t="s">
        <v>132</v>
      </c>
      <c r="B117" s="35" t="s">
        <v>131</v>
      </c>
      <c r="C117" s="125">
        <v>2156</v>
      </c>
      <c r="D117" s="113">
        <v>93534158</v>
      </c>
      <c r="E117" s="116">
        <f t="shared" si="25"/>
        <v>43383.190166975881</v>
      </c>
      <c r="F117" s="117">
        <v>54674443</v>
      </c>
      <c r="G117" s="117">
        <f t="shared" si="26"/>
        <v>25359.203617810759</v>
      </c>
      <c r="H117" s="9"/>
      <c r="I117" s="109">
        <v>6</v>
      </c>
      <c r="J117" s="117">
        <v>328047</v>
      </c>
      <c r="K117" s="120">
        <f t="shared" si="27"/>
        <v>152.15538033395177</v>
      </c>
      <c r="L117" s="122">
        <f t="shared" si="16"/>
        <v>546744.43000000005</v>
      </c>
      <c r="M117" s="116">
        <f t="shared" si="17"/>
        <v>218697.43000000005</v>
      </c>
      <c r="N117" s="123">
        <f t="shared" si="18"/>
        <v>101.43665584415587</v>
      </c>
      <c r="O117" s="5"/>
      <c r="P117" s="5">
        <f t="shared" si="14"/>
        <v>1</v>
      </c>
      <c r="Q117" s="7">
        <f t="shared" si="15"/>
        <v>2156</v>
      </c>
      <c r="S117" s="124">
        <f>SUM(D116:D117)</f>
        <v>506652192</v>
      </c>
      <c r="T117" s="124">
        <f>SUM(F116:F117)</f>
        <v>332663437</v>
      </c>
      <c r="U117" s="124">
        <f>SUM(J116:J117)</f>
        <v>1326417</v>
      </c>
    </row>
    <row r="118" spans="1:21">
      <c r="A118" s="23" t="s">
        <v>133</v>
      </c>
      <c r="B118" s="35" t="s">
        <v>134</v>
      </c>
      <c r="C118" s="125">
        <v>3069</v>
      </c>
      <c r="D118" s="113">
        <v>95794022</v>
      </c>
      <c r="E118" s="116">
        <f t="shared" si="25"/>
        <v>31213.431736722061</v>
      </c>
      <c r="F118" s="117">
        <v>45345736</v>
      </c>
      <c r="G118" s="117">
        <f t="shared" si="26"/>
        <v>14775.410883023786</v>
      </c>
      <c r="H118" s="7"/>
      <c r="I118" s="109">
        <v>7.1677</v>
      </c>
      <c r="J118" s="117">
        <v>325025</v>
      </c>
      <c r="K118" s="120">
        <f t="shared" si="27"/>
        <v>105.90583251873575</v>
      </c>
      <c r="L118" s="122">
        <f t="shared" si="16"/>
        <v>453457.36</v>
      </c>
      <c r="M118" s="116">
        <f t="shared" si="17"/>
        <v>128432.35999999999</v>
      </c>
      <c r="N118" s="123">
        <f t="shared" si="18"/>
        <v>41.848276311502111</v>
      </c>
      <c r="O118" s="5"/>
      <c r="P118" s="5">
        <f t="shared" si="14"/>
        <v>1</v>
      </c>
      <c r="Q118" s="7">
        <f t="shared" si="15"/>
        <v>3069</v>
      </c>
    </row>
    <row r="119" spans="1:21">
      <c r="A119" s="23" t="s">
        <v>135</v>
      </c>
      <c r="B119" s="35" t="s">
        <v>134</v>
      </c>
      <c r="C119" s="125">
        <v>865</v>
      </c>
      <c r="D119" s="113">
        <v>19284961</v>
      </c>
      <c r="E119" s="116">
        <f t="shared" si="25"/>
        <v>22294.752601156069</v>
      </c>
      <c r="F119" s="117">
        <v>11613313</v>
      </c>
      <c r="G119" s="117">
        <f t="shared" si="26"/>
        <v>13425.795375722544</v>
      </c>
      <c r="H119" s="7"/>
      <c r="I119" s="109">
        <v>3.5</v>
      </c>
      <c r="J119" s="117">
        <v>40647</v>
      </c>
      <c r="K119" s="120">
        <f t="shared" si="27"/>
        <v>46.990751445086708</v>
      </c>
      <c r="L119" s="122">
        <f t="shared" si="16"/>
        <v>116133.13</v>
      </c>
      <c r="M119" s="116">
        <f t="shared" si="17"/>
        <v>75486.13</v>
      </c>
      <c r="N119" s="123">
        <f t="shared" si="18"/>
        <v>87.267202312138735</v>
      </c>
      <c r="O119" s="5"/>
      <c r="P119" s="5">
        <f t="shared" si="14"/>
        <v>1</v>
      </c>
      <c r="Q119" s="7">
        <f t="shared" si="15"/>
        <v>865</v>
      </c>
    </row>
    <row r="120" spans="1:21">
      <c r="A120" s="23" t="s">
        <v>136</v>
      </c>
      <c r="B120" s="35" t="s">
        <v>134</v>
      </c>
      <c r="C120" s="125">
        <v>772</v>
      </c>
      <c r="D120" s="113">
        <v>33537130</v>
      </c>
      <c r="E120" s="116">
        <f t="shared" si="25"/>
        <v>43441.878238341968</v>
      </c>
      <c r="F120" s="117">
        <v>16326757</v>
      </c>
      <c r="G120" s="117">
        <f t="shared" si="26"/>
        <v>21148.648963730571</v>
      </c>
      <c r="H120" s="7"/>
      <c r="I120" s="109">
        <v>4.3691000000000004</v>
      </c>
      <c r="J120" s="117">
        <v>71333</v>
      </c>
      <c r="K120" s="120">
        <f t="shared" si="27"/>
        <v>92.40025906735751</v>
      </c>
      <c r="L120" s="122">
        <f t="shared" si="16"/>
        <v>163267.57</v>
      </c>
      <c r="M120" s="116">
        <f t="shared" si="17"/>
        <v>91934.57</v>
      </c>
      <c r="N120" s="123">
        <f t="shared" si="18"/>
        <v>119.0862305699482</v>
      </c>
      <c r="O120" s="5"/>
      <c r="P120" s="5">
        <f t="shared" si="14"/>
        <v>1</v>
      </c>
      <c r="Q120" s="7">
        <f t="shared" si="15"/>
        <v>772</v>
      </c>
      <c r="S120" s="124">
        <f>SUM(D118:D120)</f>
        <v>148616113</v>
      </c>
      <c r="T120" s="124">
        <f>SUM(F118:F120)</f>
        <v>73285806</v>
      </c>
      <c r="U120" s="124">
        <f>SUM(J118:J120)</f>
        <v>437005</v>
      </c>
    </row>
    <row r="121" spans="1:21">
      <c r="A121" s="23" t="s">
        <v>137</v>
      </c>
      <c r="B121" s="35" t="s">
        <v>138</v>
      </c>
      <c r="C121" s="125">
        <v>2891</v>
      </c>
      <c r="D121" s="113">
        <v>59255175</v>
      </c>
      <c r="E121" s="116">
        <f t="shared" si="25"/>
        <v>20496.428571428572</v>
      </c>
      <c r="F121" s="117">
        <v>29847927</v>
      </c>
      <c r="G121" s="117">
        <f t="shared" si="26"/>
        <v>10324.429955032861</v>
      </c>
      <c r="H121" s="7"/>
      <c r="I121" s="109">
        <v>7.25</v>
      </c>
      <c r="J121" s="117">
        <v>216397</v>
      </c>
      <c r="K121" s="120">
        <f t="shared" si="27"/>
        <v>74.851954341058459</v>
      </c>
      <c r="L121" s="122">
        <f t="shared" si="16"/>
        <v>298479.27</v>
      </c>
      <c r="M121" s="116">
        <f t="shared" si="17"/>
        <v>82082.270000000019</v>
      </c>
      <c r="N121" s="123">
        <f t="shared" si="18"/>
        <v>28.392345209270154</v>
      </c>
      <c r="O121" s="5"/>
      <c r="P121" s="5">
        <f t="shared" si="14"/>
        <v>1</v>
      </c>
      <c r="Q121" s="7">
        <f t="shared" si="15"/>
        <v>2891</v>
      </c>
    </row>
    <row r="122" spans="1:21">
      <c r="A122" s="23" t="s">
        <v>139</v>
      </c>
      <c r="B122" s="35" t="s">
        <v>138</v>
      </c>
      <c r="C122" s="125">
        <v>5115</v>
      </c>
      <c r="D122" s="113">
        <v>195091405</v>
      </c>
      <c r="E122" s="116">
        <f t="shared" si="25"/>
        <v>38141.037145650051</v>
      </c>
      <c r="F122" s="117">
        <v>100799333</v>
      </c>
      <c r="G122" s="117">
        <f t="shared" si="26"/>
        <v>19706.614467253177</v>
      </c>
      <c r="H122" s="7"/>
      <c r="I122" s="109">
        <v>5.6485000000000003</v>
      </c>
      <c r="J122" s="117">
        <v>569365</v>
      </c>
      <c r="K122" s="120">
        <f t="shared" si="27"/>
        <v>111.3128054740958</v>
      </c>
      <c r="L122" s="122">
        <f t="shared" si="16"/>
        <v>1007993.3300000001</v>
      </c>
      <c r="M122" s="116">
        <f t="shared" si="17"/>
        <v>438628.33000000007</v>
      </c>
      <c r="N122" s="123">
        <f t="shared" si="18"/>
        <v>85.753339198435981</v>
      </c>
      <c r="O122" s="5"/>
      <c r="P122" s="5">
        <f t="shared" si="14"/>
        <v>1</v>
      </c>
      <c r="Q122" s="7">
        <f t="shared" si="15"/>
        <v>5115</v>
      </c>
    </row>
    <row r="123" spans="1:21">
      <c r="A123" s="23" t="s">
        <v>140</v>
      </c>
      <c r="B123" s="35" t="s">
        <v>138</v>
      </c>
      <c r="C123" s="125">
        <v>1807</v>
      </c>
      <c r="D123" s="113">
        <v>46329746</v>
      </c>
      <c r="E123" s="116">
        <f t="shared" si="25"/>
        <v>25639.04039845047</v>
      </c>
      <c r="F123" s="117">
        <v>22457812</v>
      </c>
      <c r="G123" s="117">
        <f t="shared" si="26"/>
        <v>12428.230215827338</v>
      </c>
      <c r="H123" s="7"/>
      <c r="I123" s="109">
        <v>8.5540000000000003</v>
      </c>
      <c r="J123" s="117">
        <v>192104</v>
      </c>
      <c r="K123" s="120">
        <f t="shared" si="27"/>
        <v>106.31101272827891</v>
      </c>
      <c r="L123" s="122">
        <f t="shared" si="16"/>
        <v>224578.12</v>
      </c>
      <c r="M123" s="116">
        <f t="shared" si="17"/>
        <v>32474.119999999995</v>
      </c>
      <c r="N123" s="123">
        <f t="shared" si="18"/>
        <v>17.971289429994464</v>
      </c>
      <c r="O123" s="5"/>
      <c r="P123" s="5">
        <f t="shared" si="14"/>
        <v>1</v>
      </c>
      <c r="Q123" s="7">
        <f t="shared" si="15"/>
        <v>1807</v>
      </c>
      <c r="S123" s="124">
        <f>SUM(D121:D123)</f>
        <v>300676326</v>
      </c>
      <c r="T123" s="124">
        <f>SUM(F121:F123)</f>
        <v>153105072</v>
      </c>
      <c r="U123" s="124">
        <f>SUM(J121:J123)</f>
        <v>977866</v>
      </c>
    </row>
    <row r="124" spans="1:21">
      <c r="A124" s="23" t="s">
        <v>141</v>
      </c>
      <c r="B124" s="35" t="s">
        <v>142</v>
      </c>
      <c r="C124" s="125">
        <v>7420</v>
      </c>
      <c r="D124" s="113">
        <v>448137818</v>
      </c>
      <c r="E124" s="116">
        <f t="shared" si="25"/>
        <v>60395.932345013476</v>
      </c>
      <c r="F124" s="117">
        <v>202185146</v>
      </c>
      <c r="G124" s="117">
        <f t="shared" si="26"/>
        <v>27248.671967654987</v>
      </c>
      <c r="H124" s="7"/>
      <c r="I124" s="109">
        <v>6.1957000000000004</v>
      </c>
      <c r="J124" s="117">
        <v>1252679</v>
      </c>
      <c r="K124" s="120">
        <f t="shared" si="27"/>
        <v>168.82466307277627</v>
      </c>
      <c r="L124" s="122">
        <f t="shared" si="16"/>
        <v>2021851.46</v>
      </c>
      <c r="M124" s="116">
        <f t="shared" si="17"/>
        <v>769172.46</v>
      </c>
      <c r="N124" s="123">
        <f t="shared" si="18"/>
        <v>103.66205660377358</v>
      </c>
      <c r="O124" s="5"/>
      <c r="P124" s="5">
        <f t="shared" si="14"/>
        <v>1</v>
      </c>
      <c r="Q124" s="7">
        <f t="shared" si="15"/>
        <v>7420</v>
      </c>
    </row>
    <row r="125" spans="1:21">
      <c r="A125" s="23" t="s">
        <v>558</v>
      </c>
      <c r="B125" s="35" t="s">
        <v>142</v>
      </c>
      <c r="C125" s="125">
        <v>4708</v>
      </c>
      <c r="D125" s="113">
        <v>351937980</v>
      </c>
      <c r="E125" s="116">
        <f t="shared" si="25"/>
        <v>74753.181818181823</v>
      </c>
      <c r="F125" s="117">
        <v>173484518</v>
      </c>
      <c r="G125" s="117">
        <f t="shared" si="26"/>
        <v>36848.878079864058</v>
      </c>
      <c r="H125" s="7"/>
      <c r="I125" s="109">
        <v>3.1046</v>
      </c>
      <c r="J125" s="117">
        <v>538600</v>
      </c>
      <c r="K125" s="120">
        <f t="shared" si="27"/>
        <v>114.40101954120645</v>
      </c>
      <c r="L125" s="122">
        <f t="shared" si="16"/>
        <v>1734845.18</v>
      </c>
      <c r="M125" s="116">
        <f t="shared" si="17"/>
        <v>1196245.18</v>
      </c>
      <c r="N125" s="123">
        <f t="shared" si="18"/>
        <v>254.08776125743415</v>
      </c>
      <c r="O125" s="5"/>
      <c r="P125" s="5">
        <f t="shared" si="14"/>
        <v>1</v>
      </c>
      <c r="Q125" s="7">
        <f t="shared" si="15"/>
        <v>4708</v>
      </c>
      <c r="S125" s="124">
        <f>SUM(D124:D125)</f>
        <v>800075798</v>
      </c>
      <c r="T125" s="124">
        <f>SUM(F124:F125)</f>
        <v>375669664</v>
      </c>
      <c r="U125" s="124">
        <f>SUM(J124:J125)</f>
        <v>1791279</v>
      </c>
    </row>
    <row r="126" spans="1:21">
      <c r="A126" s="23" t="s">
        <v>143</v>
      </c>
      <c r="B126" s="35" t="s">
        <v>144</v>
      </c>
      <c r="C126" s="125">
        <v>7687</v>
      </c>
      <c r="D126" s="113">
        <v>935562293</v>
      </c>
      <c r="E126" s="116">
        <f t="shared" si="25"/>
        <v>121707.07597242096</v>
      </c>
      <c r="F126" s="117">
        <v>376058431</v>
      </c>
      <c r="G126" s="117">
        <f t="shared" si="26"/>
        <v>48921.351762716273</v>
      </c>
      <c r="H126" s="7"/>
      <c r="I126" s="109">
        <v>6.6962000000000002</v>
      </c>
      <c r="J126" s="117">
        <v>2518162</v>
      </c>
      <c r="K126" s="120">
        <f t="shared" si="27"/>
        <v>327.58709509561595</v>
      </c>
      <c r="L126" s="122">
        <f t="shared" si="16"/>
        <v>3760584.31</v>
      </c>
      <c r="M126" s="116">
        <f t="shared" si="17"/>
        <v>1242422.31</v>
      </c>
      <c r="N126" s="123">
        <f t="shared" si="18"/>
        <v>161.62642253154678</v>
      </c>
      <c r="O126" s="5"/>
      <c r="P126" s="5">
        <f t="shared" si="14"/>
        <v>1</v>
      </c>
      <c r="Q126" s="7">
        <f t="shared" si="15"/>
        <v>7687</v>
      </c>
    </row>
    <row r="127" spans="1:21">
      <c r="A127" s="23" t="s">
        <v>145</v>
      </c>
      <c r="B127" s="35" t="s">
        <v>144</v>
      </c>
      <c r="C127" s="125">
        <v>5</v>
      </c>
      <c r="D127" s="113">
        <v>48462357</v>
      </c>
      <c r="E127" s="116">
        <f t="shared" si="25"/>
        <v>9692471.4000000004</v>
      </c>
      <c r="F127" s="117">
        <v>17795973</v>
      </c>
      <c r="G127" s="117">
        <f t="shared" si="26"/>
        <v>3559194.6</v>
      </c>
      <c r="H127" s="7"/>
      <c r="I127" s="109">
        <v>2.6267</v>
      </c>
      <c r="J127" s="117">
        <v>46745</v>
      </c>
      <c r="K127" s="120">
        <f t="shared" si="27"/>
        <v>9349</v>
      </c>
      <c r="L127" s="122">
        <f t="shared" si="16"/>
        <v>177959.73</v>
      </c>
      <c r="M127" s="116">
        <f t="shared" si="17"/>
        <v>131214.73000000001</v>
      </c>
      <c r="N127" s="123">
        <f t="shared" si="18"/>
        <v>26242.946000000004</v>
      </c>
      <c r="O127" s="5"/>
      <c r="P127" s="5">
        <f t="shared" si="14"/>
        <v>1</v>
      </c>
      <c r="Q127" s="7">
        <f t="shared" si="15"/>
        <v>5</v>
      </c>
      <c r="S127" s="124">
        <f>SUM(D126:D127)</f>
        <v>984024650</v>
      </c>
      <c r="T127" s="124">
        <f>SUM(F126:F127)</f>
        <v>393854404</v>
      </c>
      <c r="U127" s="124">
        <f>SUM(J126:J127)</f>
        <v>2564907</v>
      </c>
    </row>
    <row r="128" spans="1:21">
      <c r="A128" s="23" t="s">
        <v>146</v>
      </c>
      <c r="B128" s="35" t="s">
        <v>147</v>
      </c>
      <c r="C128" s="125">
        <v>9513</v>
      </c>
      <c r="D128" s="113">
        <v>495616325</v>
      </c>
      <c r="E128" s="116">
        <f t="shared" si="25"/>
        <v>52098.846315568167</v>
      </c>
      <c r="F128" s="117">
        <v>250464863</v>
      </c>
      <c r="G128" s="117">
        <f t="shared" si="26"/>
        <v>26328.693682329445</v>
      </c>
      <c r="H128" s="7"/>
      <c r="I128" s="109">
        <v>0.3</v>
      </c>
      <c r="J128" s="117">
        <v>75139</v>
      </c>
      <c r="K128" s="120">
        <f t="shared" si="27"/>
        <v>7.8985598654472824</v>
      </c>
      <c r="L128" s="122">
        <f t="shared" si="16"/>
        <v>2504648.63</v>
      </c>
      <c r="M128" s="116">
        <f t="shared" si="17"/>
        <v>2429509.63</v>
      </c>
      <c r="N128" s="123">
        <f t="shared" si="18"/>
        <v>255.38837695784716</v>
      </c>
      <c r="O128" s="5"/>
      <c r="P128" s="5">
        <f t="shared" si="14"/>
        <v>1</v>
      </c>
      <c r="Q128" s="7">
        <f t="shared" si="15"/>
        <v>9513</v>
      </c>
    </row>
    <row r="129" spans="1:21">
      <c r="A129" s="23" t="s">
        <v>148</v>
      </c>
      <c r="B129" s="35" t="s">
        <v>147</v>
      </c>
      <c r="C129" s="125">
        <v>2375</v>
      </c>
      <c r="D129" s="113">
        <v>238918035</v>
      </c>
      <c r="E129" s="116">
        <f t="shared" si="25"/>
        <v>100597.06736842105</v>
      </c>
      <c r="F129" s="117">
        <v>164355404</v>
      </c>
      <c r="G129" s="117">
        <f t="shared" si="26"/>
        <v>69202.275368421047</v>
      </c>
      <c r="H129" s="7"/>
      <c r="I129" s="109">
        <v>3.65</v>
      </c>
      <c r="J129" s="117">
        <v>599897</v>
      </c>
      <c r="K129" s="120">
        <f t="shared" si="27"/>
        <v>252.58821052631578</v>
      </c>
      <c r="L129" s="122">
        <f t="shared" si="16"/>
        <v>1643554.04</v>
      </c>
      <c r="M129" s="116">
        <f t="shared" si="17"/>
        <v>1043657.04</v>
      </c>
      <c r="N129" s="123">
        <f t="shared" si="18"/>
        <v>439.43454315789478</v>
      </c>
      <c r="O129" s="5"/>
      <c r="P129" s="5">
        <f t="shared" si="14"/>
        <v>1</v>
      </c>
      <c r="Q129" s="7">
        <f t="shared" si="15"/>
        <v>2375</v>
      </c>
    </row>
    <row r="130" spans="1:21">
      <c r="A130" s="23" t="s">
        <v>149</v>
      </c>
      <c r="B130" s="35" t="s">
        <v>147</v>
      </c>
      <c r="C130" s="125">
        <v>10666</v>
      </c>
      <c r="D130" s="113">
        <v>775292146</v>
      </c>
      <c r="E130" s="116">
        <f t="shared" si="25"/>
        <v>72688.181698856177</v>
      </c>
      <c r="F130" s="117">
        <v>538109893</v>
      </c>
      <c r="G130" s="117">
        <f t="shared" si="26"/>
        <v>50450.955653478341</v>
      </c>
      <c r="H130" s="7"/>
      <c r="I130" s="109">
        <v>4.99</v>
      </c>
      <c r="J130" s="117">
        <v>2685168</v>
      </c>
      <c r="K130" s="120">
        <f t="shared" si="27"/>
        <v>251.75023438964936</v>
      </c>
      <c r="L130" s="122">
        <f t="shared" si="16"/>
        <v>5381098.9299999997</v>
      </c>
      <c r="M130" s="116">
        <f t="shared" si="17"/>
        <v>2695930.9299999997</v>
      </c>
      <c r="N130" s="123">
        <f t="shared" si="18"/>
        <v>252.75932214513404</v>
      </c>
      <c r="O130" s="5"/>
      <c r="P130" s="5">
        <f t="shared" si="14"/>
        <v>1</v>
      </c>
      <c r="Q130" s="7">
        <f t="shared" si="15"/>
        <v>10666</v>
      </c>
      <c r="S130" s="124">
        <f>SUM(D128:D130)</f>
        <v>1509826506</v>
      </c>
      <c r="T130" s="124">
        <f>SUM(F128:F130)</f>
        <v>952930160</v>
      </c>
      <c r="U130" s="124">
        <f>SUM(J128:J130)</f>
        <v>3360204</v>
      </c>
    </row>
    <row r="131" spans="1:21">
      <c r="A131" s="23" t="s">
        <v>150</v>
      </c>
      <c r="B131" s="35" t="s">
        <v>151</v>
      </c>
      <c r="C131" s="125">
        <v>35956</v>
      </c>
      <c r="D131" s="113">
        <v>2318794208</v>
      </c>
      <c r="E131" s="116">
        <f t="shared" si="25"/>
        <v>64489.771053509845</v>
      </c>
      <c r="F131" s="117">
        <v>1599226763</v>
      </c>
      <c r="G131" s="117">
        <f t="shared" si="26"/>
        <v>44477.32681610858</v>
      </c>
      <c r="H131" s="7"/>
      <c r="I131" s="109">
        <v>4.7157</v>
      </c>
      <c r="J131" s="117">
        <v>7541474</v>
      </c>
      <c r="K131" s="120">
        <f t="shared" si="27"/>
        <v>209.74173990432752</v>
      </c>
      <c r="L131" s="122">
        <f t="shared" si="16"/>
        <v>15992267.630000001</v>
      </c>
      <c r="M131" s="116">
        <f t="shared" si="17"/>
        <v>8450793.6300000008</v>
      </c>
      <c r="N131" s="123">
        <f t="shared" si="18"/>
        <v>235.03152825675829</v>
      </c>
      <c r="O131" s="5"/>
      <c r="P131" s="5">
        <f t="shared" si="14"/>
        <v>1</v>
      </c>
      <c r="Q131" s="7">
        <f t="shared" si="15"/>
        <v>35956</v>
      </c>
    </row>
    <row r="132" spans="1:21">
      <c r="A132" s="23" t="s">
        <v>152</v>
      </c>
      <c r="B132" s="35" t="s">
        <v>151</v>
      </c>
      <c r="C132" s="125">
        <v>352741</v>
      </c>
      <c r="D132" s="113">
        <v>36835571959</v>
      </c>
      <c r="E132" s="116">
        <f t="shared" si="25"/>
        <v>104426.68121652998</v>
      </c>
      <c r="F132" s="117">
        <v>23984838485</v>
      </c>
      <c r="G132" s="117">
        <f t="shared" si="26"/>
        <v>67995.607216059376</v>
      </c>
      <c r="H132" s="7"/>
      <c r="I132" s="109">
        <v>5.7325999999999997</v>
      </c>
      <c r="J132" s="117">
        <v>137495485</v>
      </c>
      <c r="K132" s="120">
        <f t="shared" si="27"/>
        <v>389.79161764580812</v>
      </c>
      <c r="L132" s="122">
        <f t="shared" si="16"/>
        <v>239848384.84999999</v>
      </c>
      <c r="M132" s="116">
        <f t="shared" si="17"/>
        <v>102352899.84999999</v>
      </c>
      <c r="N132" s="123">
        <f t="shared" si="18"/>
        <v>290.16445451478563</v>
      </c>
      <c r="O132" s="5"/>
      <c r="P132" s="5">
        <f t="shared" si="14"/>
        <v>1</v>
      </c>
      <c r="Q132" s="7">
        <f t="shared" si="15"/>
        <v>352741</v>
      </c>
    </row>
    <row r="133" spans="1:21">
      <c r="A133" s="23" t="s">
        <v>153</v>
      </c>
      <c r="B133" s="35" t="s">
        <v>151</v>
      </c>
      <c r="C133" s="125">
        <v>25308</v>
      </c>
      <c r="D133" s="113">
        <v>1682059602</v>
      </c>
      <c r="E133" s="116">
        <f t="shared" si="25"/>
        <v>66463.553105737315</v>
      </c>
      <c r="F133" s="117">
        <v>1252352246</v>
      </c>
      <c r="G133" s="117">
        <f t="shared" si="26"/>
        <v>49484.441520467837</v>
      </c>
      <c r="H133" s="9"/>
      <c r="I133" s="109">
        <v>6.3049999999999997</v>
      </c>
      <c r="J133" s="117">
        <v>7896081</v>
      </c>
      <c r="K133" s="120">
        <f t="shared" si="27"/>
        <v>311.99940730203889</v>
      </c>
      <c r="L133" s="122">
        <f t="shared" si="16"/>
        <v>12523522.460000001</v>
      </c>
      <c r="M133" s="116">
        <f t="shared" si="17"/>
        <v>4627441.4600000009</v>
      </c>
      <c r="N133" s="123">
        <f t="shared" si="18"/>
        <v>182.84500790263951</v>
      </c>
      <c r="O133" s="5"/>
      <c r="P133" s="5">
        <f t="shared" si="14"/>
        <v>1</v>
      </c>
      <c r="Q133" s="7">
        <f t="shared" si="15"/>
        <v>25308</v>
      </c>
      <c r="S133" s="124">
        <f>SUM(D131:D133)</f>
        <v>40836425769</v>
      </c>
      <c r="T133" s="124">
        <f>SUM(F131:F133)</f>
        <v>26836417494</v>
      </c>
      <c r="U133" s="124">
        <f>SUM(J131:J133)</f>
        <v>152933040</v>
      </c>
    </row>
    <row r="134" spans="1:21">
      <c r="A134" s="23" t="s">
        <v>154</v>
      </c>
      <c r="B134" s="35" t="s">
        <v>155</v>
      </c>
      <c r="C134" s="125">
        <v>2659</v>
      </c>
      <c r="D134" s="114" t="s">
        <v>564</v>
      </c>
      <c r="E134" s="116"/>
      <c r="F134" s="117"/>
      <c r="G134" s="117"/>
      <c r="H134" s="98" t="s">
        <v>588</v>
      </c>
      <c r="I134" s="109"/>
      <c r="J134" s="117"/>
      <c r="K134" s="120"/>
      <c r="L134" s="122">
        <f t="shared" si="16"/>
        <v>0</v>
      </c>
      <c r="M134" s="116">
        <f t="shared" si="17"/>
        <v>0</v>
      </c>
      <c r="N134" s="123">
        <f t="shared" si="18"/>
        <v>0</v>
      </c>
      <c r="O134" s="5"/>
      <c r="P134" s="5">
        <f t="shared" ref="P134:P197" si="28">IF(I134&gt;0,1,0)</f>
        <v>0</v>
      </c>
      <c r="Q134" s="7">
        <f t="shared" ref="Q134:Q197" si="29">IF(I134&gt;0,C134,0)</f>
        <v>0</v>
      </c>
    </row>
    <row r="135" spans="1:21">
      <c r="A135" s="23" t="s">
        <v>156</v>
      </c>
      <c r="B135" s="35" t="s">
        <v>155</v>
      </c>
      <c r="C135" s="125">
        <v>364</v>
      </c>
      <c r="D135" s="113">
        <v>11347124</v>
      </c>
      <c r="E135" s="116">
        <f t="shared" si="25"/>
        <v>31173.417582417584</v>
      </c>
      <c r="F135" s="117">
        <v>5536615</v>
      </c>
      <c r="G135" s="117">
        <f t="shared" si="26"/>
        <v>15210.48076923077</v>
      </c>
      <c r="H135" s="7"/>
      <c r="I135" s="111">
        <v>0.47820000000000001</v>
      </c>
      <c r="J135" s="117">
        <v>2648</v>
      </c>
      <c r="K135" s="120">
        <f>(J135/C135)</f>
        <v>7.2747252747252746</v>
      </c>
      <c r="L135" s="122">
        <f t="shared" si="16"/>
        <v>55366.15</v>
      </c>
      <c r="M135" s="116">
        <f t="shared" si="17"/>
        <v>52718.15</v>
      </c>
      <c r="N135" s="123">
        <f t="shared" si="18"/>
        <v>144.83008241758242</v>
      </c>
      <c r="O135" s="5"/>
      <c r="P135" s="5">
        <f t="shared" si="28"/>
        <v>1</v>
      </c>
      <c r="Q135" s="7">
        <f t="shared" si="29"/>
        <v>364</v>
      </c>
    </row>
    <row r="136" spans="1:21">
      <c r="A136" s="23" t="s">
        <v>157</v>
      </c>
      <c r="B136" s="35" t="s">
        <v>155</v>
      </c>
      <c r="C136" s="125">
        <v>200</v>
      </c>
      <c r="D136" s="113">
        <v>4235738</v>
      </c>
      <c r="E136" s="116">
        <f t="shared" si="25"/>
        <v>21178.69</v>
      </c>
      <c r="F136" s="117">
        <v>1832335</v>
      </c>
      <c r="G136" s="117">
        <f t="shared" si="26"/>
        <v>9161.6749999999993</v>
      </c>
      <c r="H136" s="9"/>
      <c r="I136" s="109">
        <v>0.97</v>
      </c>
      <c r="J136" s="117">
        <v>1777</v>
      </c>
      <c r="K136" s="120">
        <f>(J136/C136)</f>
        <v>8.8849999999999998</v>
      </c>
      <c r="L136" s="122">
        <f t="shared" ref="L136:L199" si="30">(F136*0.01)</f>
        <v>18323.350000000002</v>
      </c>
      <c r="M136" s="116">
        <f t="shared" ref="M136:M199" si="31">(L136-J136)</f>
        <v>16546.350000000002</v>
      </c>
      <c r="N136" s="123">
        <f t="shared" ref="N136:N199" si="32">(M136/C136)</f>
        <v>82.731750000000005</v>
      </c>
      <c r="O136" s="5"/>
      <c r="P136" s="5">
        <f t="shared" si="28"/>
        <v>1</v>
      </c>
      <c r="Q136" s="7">
        <f t="shared" si="29"/>
        <v>200</v>
      </c>
    </row>
    <row r="137" spans="1:21">
      <c r="A137" s="23" t="s">
        <v>158</v>
      </c>
      <c r="B137" s="35" t="s">
        <v>155</v>
      </c>
      <c r="C137" s="125">
        <v>554</v>
      </c>
      <c r="D137" s="114" t="s">
        <v>564</v>
      </c>
      <c r="E137" s="116"/>
      <c r="F137" s="117"/>
      <c r="G137" s="117"/>
      <c r="H137" s="98" t="s">
        <v>588</v>
      </c>
      <c r="I137" s="109"/>
      <c r="J137" s="117"/>
      <c r="K137" s="120"/>
      <c r="L137" s="122">
        <f t="shared" si="30"/>
        <v>0</v>
      </c>
      <c r="M137" s="116">
        <f t="shared" si="31"/>
        <v>0</v>
      </c>
      <c r="N137" s="123">
        <f t="shared" si="32"/>
        <v>0</v>
      </c>
      <c r="O137" s="5"/>
      <c r="P137" s="5">
        <f t="shared" si="28"/>
        <v>0</v>
      </c>
      <c r="Q137" s="7">
        <f t="shared" si="29"/>
        <v>0</v>
      </c>
    </row>
    <row r="138" spans="1:21">
      <c r="A138" s="23" t="s">
        <v>159</v>
      </c>
      <c r="B138" s="35" t="s">
        <v>155</v>
      </c>
      <c r="C138" s="125">
        <v>313</v>
      </c>
      <c r="D138" s="114" t="s">
        <v>564</v>
      </c>
      <c r="E138" s="116"/>
      <c r="F138" s="117"/>
      <c r="G138" s="117"/>
      <c r="H138" s="98" t="s">
        <v>588</v>
      </c>
      <c r="I138" s="109"/>
      <c r="J138" s="117"/>
      <c r="K138" s="120"/>
      <c r="L138" s="122">
        <f t="shared" si="30"/>
        <v>0</v>
      </c>
      <c r="M138" s="116">
        <f t="shared" si="31"/>
        <v>0</v>
      </c>
      <c r="N138" s="123">
        <f t="shared" si="32"/>
        <v>0</v>
      </c>
      <c r="O138" s="5"/>
      <c r="P138" s="5">
        <f t="shared" si="28"/>
        <v>0</v>
      </c>
      <c r="Q138" s="7">
        <f t="shared" si="29"/>
        <v>0</v>
      </c>
      <c r="S138" s="124">
        <f>SUM(D134:D138)</f>
        <v>15582862</v>
      </c>
      <c r="T138" s="124">
        <f>SUM(F134:F138)</f>
        <v>7368950</v>
      </c>
      <c r="U138" s="124">
        <f>SUM(J134:J138)</f>
        <v>4425</v>
      </c>
    </row>
    <row r="139" spans="1:21">
      <c r="A139" s="23" t="s">
        <v>160</v>
      </c>
      <c r="B139" s="35" t="s">
        <v>161</v>
      </c>
      <c r="C139" s="125">
        <v>5328</v>
      </c>
      <c r="D139" s="113">
        <v>251125575</v>
      </c>
      <c r="E139" s="116">
        <f t="shared" si="25"/>
        <v>47133.178490990991</v>
      </c>
      <c r="F139" s="117">
        <v>90035794</v>
      </c>
      <c r="G139" s="117">
        <f t="shared" si="26"/>
        <v>16898.609984984985</v>
      </c>
      <c r="H139" s="7"/>
      <c r="I139" s="110">
        <v>5.5308999999999999</v>
      </c>
      <c r="J139" s="117">
        <v>497979</v>
      </c>
      <c r="K139" s="120">
        <f t="shared" ref="K139:K144" si="33">(J139/C139)</f>
        <v>93.464527027027032</v>
      </c>
      <c r="L139" s="122">
        <f t="shared" si="30"/>
        <v>900357.94000000006</v>
      </c>
      <c r="M139" s="116">
        <f t="shared" si="31"/>
        <v>402378.94000000006</v>
      </c>
      <c r="N139" s="123">
        <f t="shared" si="32"/>
        <v>75.521572822822833</v>
      </c>
      <c r="O139" s="5"/>
      <c r="P139" s="5">
        <f t="shared" si="28"/>
        <v>1</v>
      </c>
      <c r="Q139" s="7">
        <f t="shared" si="29"/>
        <v>5328</v>
      </c>
    </row>
    <row r="140" spans="1:21">
      <c r="A140" s="23" t="s">
        <v>162</v>
      </c>
      <c r="B140" s="35" t="s">
        <v>161</v>
      </c>
      <c r="C140" s="125">
        <v>3962</v>
      </c>
      <c r="D140" s="113">
        <v>2778918042</v>
      </c>
      <c r="E140" s="116">
        <f t="shared" si="25"/>
        <v>701392.74154467438</v>
      </c>
      <c r="F140" s="117">
        <v>2450139839</v>
      </c>
      <c r="G140" s="117">
        <f t="shared" si="26"/>
        <v>618409.8533568905</v>
      </c>
      <c r="H140" s="7"/>
      <c r="I140" s="109">
        <v>1.6786000000000001</v>
      </c>
      <c r="J140" s="117">
        <v>4112805</v>
      </c>
      <c r="K140" s="120">
        <f t="shared" si="33"/>
        <v>1038.062847046946</v>
      </c>
      <c r="L140" s="122">
        <f t="shared" si="30"/>
        <v>24501398.390000001</v>
      </c>
      <c r="M140" s="116">
        <f t="shared" si="31"/>
        <v>20388593.390000001</v>
      </c>
      <c r="N140" s="123">
        <f t="shared" si="32"/>
        <v>5146.0356865219592</v>
      </c>
      <c r="O140" s="5"/>
      <c r="P140" s="5">
        <f t="shared" si="28"/>
        <v>1</v>
      </c>
      <c r="Q140" s="7">
        <f t="shared" si="29"/>
        <v>3962</v>
      </c>
    </row>
    <row r="141" spans="1:21">
      <c r="A141" s="23" t="s">
        <v>163</v>
      </c>
      <c r="B141" s="35" t="s">
        <v>161</v>
      </c>
      <c r="C141" s="125">
        <v>411</v>
      </c>
      <c r="D141" s="113">
        <v>376745829</v>
      </c>
      <c r="E141" s="116">
        <f t="shared" si="25"/>
        <v>916656.51824817515</v>
      </c>
      <c r="F141" s="117">
        <v>354783864</v>
      </c>
      <c r="G141" s="117">
        <f t="shared" si="26"/>
        <v>863221.08029197075</v>
      </c>
      <c r="H141" s="7"/>
      <c r="I141" s="109">
        <v>0.51880000000000004</v>
      </c>
      <c r="J141" s="117">
        <v>184062</v>
      </c>
      <c r="K141" s="120">
        <f t="shared" si="33"/>
        <v>447.83941605839414</v>
      </c>
      <c r="L141" s="122">
        <f t="shared" si="30"/>
        <v>3547838.64</v>
      </c>
      <c r="M141" s="116">
        <f t="shared" si="31"/>
        <v>3363776.64</v>
      </c>
      <c r="N141" s="123">
        <f t="shared" si="32"/>
        <v>8184.371386861314</v>
      </c>
      <c r="O141" s="5"/>
      <c r="P141" s="5">
        <f t="shared" si="28"/>
        <v>1</v>
      </c>
      <c r="Q141" s="7">
        <f t="shared" si="29"/>
        <v>411</v>
      </c>
    </row>
    <row r="142" spans="1:21">
      <c r="A142" s="23" t="s">
        <v>164</v>
      </c>
      <c r="B142" s="35" t="s">
        <v>161</v>
      </c>
      <c r="C142" s="125">
        <v>22622</v>
      </c>
      <c r="D142" s="113">
        <v>1390676605</v>
      </c>
      <c r="E142" s="116">
        <f t="shared" si="25"/>
        <v>61474.520599416501</v>
      </c>
      <c r="F142" s="117">
        <v>885009868</v>
      </c>
      <c r="G142" s="117">
        <f t="shared" si="26"/>
        <v>39121.645654672444</v>
      </c>
      <c r="H142" s="7"/>
      <c r="I142" s="109">
        <v>3.8555999999999999</v>
      </c>
      <c r="J142" s="117">
        <v>3412244</v>
      </c>
      <c r="K142" s="120">
        <f t="shared" si="33"/>
        <v>150.83741490584387</v>
      </c>
      <c r="L142" s="122">
        <f t="shared" si="30"/>
        <v>8850098.6799999997</v>
      </c>
      <c r="M142" s="116">
        <f t="shared" si="31"/>
        <v>5437854.6799999997</v>
      </c>
      <c r="N142" s="123">
        <f t="shared" si="32"/>
        <v>240.37904164088056</v>
      </c>
      <c r="O142" s="5"/>
      <c r="P142" s="5">
        <f t="shared" si="28"/>
        <v>1</v>
      </c>
      <c r="Q142" s="7">
        <f t="shared" si="29"/>
        <v>22622</v>
      </c>
    </row>
    <row r="143" spans="1:21">
      <c r="A143" s="23" t="s">
        <v>165</v>
      </c>
      <c r="B143" s="35" t="s">
        <v>161</v>
      </c>
      <c r="C143" s="125">
        <v>15477</v>
      </c>
      <c r="D143" s="113">
        <v>2927202395</v>
      </c>
      <c r="E143" s="116">
        <f t="shared" si="25"/>
        <v>189132.41551980359</v>
      </c>
      <c r="F143" s="117">
        <v>2207592249</v>
      </c>
      <c r="G143" s="117">
        <f t="shared" si="26"/>
        <v>142636.96123279707</v>
      </c>
      <c r="H143" s="7"/>
      <c r="I143" s="109">
        <v>2.0335999999999999</v>
      </c>
      <c r="J143" s="117">
        <v>4489360</v>
      </c>
      <c r="K143" s="120">
        <f t="shared" si="33"/>
        <v>290.06655036505782</v>
      </c>
      <c r="L143" s="122">
        <f t="shared" si="30"/>
        <v>22075922.490000002</v>
      </c>
      <c r="M143" s="116">
        <f t="shared" si="31"/>
        <v>17586562.490000002</v>
      </c>
      <c r="N143" s="123">
        <f t="shared" si="32"/>
        <v>1136.3030619629128</v>
      </c>
      <c r="O143" s="5"/>
      <c r="P143" s="5">
        <f t="shared" si="28"/>
        <v>1</v>
      </c>
      <c r="Q143" s="7">
        <f t="shared" si="29"/>
        <v>15477</v>
      </c>
      <c r="S143" s="124">
        <f>SUM(D139:D143)</f>
        <v>7724668446</v>
      </c>
      <c r="T143" s="124">
        <f>SUM(F139:F143)</f>
        <v>5987561614</v>
      </c>
      <c r="U143" s="124">
        <f>SUM(J139:J143)</f>
        <v>12696450</v>
      </c>
    </row>
    <row r="144" spans="1:21">
      <c r="A144" s="23" t="s">
        <v>166</v>
      </c>
      <c r="B144" s="35" t="s">
        <v>167</v>
      </c>
      <c r="C144" s="125">
        <v>504</v>
      </c>
      <c r="D144" s="113">
        <v>14956253</v>
      </c>
      <c r="E144" s="116">
        <f t="shared" si="25"/>
        <v>29675.105158730159</v>
      </c>
      <c r="F144" s="117">
        <v>8990578</v>
      </c>
      <c r="G144" s="117">
        <f t="shared" si="26"/>
        <v>17838.448412698413</v>
      </c>
      <c r="H144" s="9"/>
      <c r="I144" s="109">
        <v>1.3804000000000001</v>
      </c>
      <c r="J144" s="117">
        <v>12411</v>
      </c>
      <c r="K144" s="120">
        <f t="shared" si="33"/>
        <v>24.625</v>
      </c>
      <c r="L144" s="122">
        <f t="shared" si="30"/>
        <v>89905.78</v>
      </c>
      <c r="M144" s="116">
        <f t="shared" si="31"/>
        <v>77494.78</v>
      </c>
      <c r="N144" s="123">
        <f t="shared" si="32"/>
        <v>153.75948412698412</v>
      </c>
      <c r="O144" s="5"/>
      <c r="P144" s="5">
        <f t="shared" si="28"/>
        <v>1</v>
      </c>
      <c r="Q144" s="7">
        <f t="shared" si="29"/>
        <v>504</v>
      </c>
    </row>
    <row r="145" spans="1:21">
      <c r="A145" s="23" t="s">
        <v>168</v>
      </c>
      <c r="B145" s="35" t="s">
        <v>167</v>
      </c>
      <c r="C145" s="125">
        <v>124</v>
      </c>
      <c r="D145" s="114" t="s">
        <v>564</v>
      </c>
      <c r="E145" s="116"/>
      <c r="F145" s="117"/>
      <c r="G145" s="117"/>
      <c r="H145" s="98" t="s">
        <v>588</v>
      </c>
      <c r="I145" s="109"/>
      <c r="J145" s="117"/>
      <c r="K145" s="120"/>
      <c r="L145" s="122">
        <f t="shared" si="30"/>
        <v>0</v>
      </c>
      <c r="M145" s="116">
        <f t="shared" si="31"/>
        <v>0</v>
      </c>
      <c r="N145" s="123">
        <f t="shared" si="32"/>
        <v>0</v>
      </c>
      <c r="O145" s="5"/>
      <c r="P145" s="5">
        <f t="shared" si="28"/>
        <v>0</v>
      </c>
      <c r="Q145" s="7">
        <f t="shared" si="29"/>
        <v>0</v>
      </c>
    </row>
    <row r="146" spans="1:21">
      <c r="A146" s="23" t="s">
        <v>169</v>
      </c>
      <c r="B146" s="35" t="s">
        <v>167</v>
      </c>
      <c r="C146" s="125">
        <v>227</v>
      </c>
      <c r="D146" s="113">
        <v>13931399</v>
      </c>
      <c r="E146" s="116">
        <f t="shared" si="25"/>
        <v>61371.801762114541</v>
      </c>
      <c r="F146" s="117">
        <v>8505052</v>
      </c>
      <c r="G146" s="117">
        <f t="shared" si="26"/>
        <v>37467.189427312776</v>
      </c>
      <c r="H146" s="7"/>
      <c r="I146" s="111">
        <v>3</v>
      </c>
      <c r="J146" s="117">
        <v>25515</v>
      </c>
      <c r="K146" s="120">
        <f t="shared" ref="K146:K209" si="34">(J146/C146)</f>
        <v>112.40088105726872</v>
      </c>
      <c r="L146" s="122">
        <f t="shared" si="30"/>
        <v>85050.52</v>
      </c>
      <c r="M146" s="116">
        <f t="shared" si="31"/>
        <v>59535.520000000004</v>
      </c>
      <c r="N146" s="123">
        <f t="shared" si="32"/>
        <v>262.27101321585906</v>
      </c>
      <c r="O146" s="5"/>
      <c r="P146" s="5">
        <f t="shared" si="28"/>
        <v>1</v>
      </c>
      <c r="Q146" s="7">
        <f t="shared" si="29"/>
        <v>227</v>
      </c>
    </row>
    <row r="147" spans="1:21">
      <c r="A147" s="23" t="s">
        <v>170</v>
      </c>
      <c r="B147" s="35" t="s">
        <v>167</v>
      </c>
      <c r="C147" s="125">
        <v>905</v>
      </c>
      <c r="D147" s="113">
        <v>30936257</v>
      </c>
      <c r="E147" s="116">
        <f t="shared" si="25"/>
        <v>34183.709392265191</v>
      </c>
      <c r="F147" s="117">
        <v>16971635</v>
      </c>
      <c r="G147" s="117">
        <f t="shared" si="26"/>
        <v>18753.187845303866</v>
      </c>
      <c r="H147" s="7"/>
      <c r="I147" s="109">
        <v>3.8542000000000001</v>
      </c>
      <c r="J147" s="117">
        <v>65412</v>
      </c>
      <c r="K147" s="120">
        <f t="shared" si="34"/>
        <v>72.27845303867403</v>
      </c>
      <c r="L147" s="122">
        <f t="shared" si="30"/>
        <v>169716.35</v>
      </c>
      <c r="M147" s="116">
        <f t="shared" si="31"/>
        <v>104304.35</v>
      </c>
      <c r="N147" s="123">
        <f t="shared" si="32"/>
        <v>115.25342541436464</v>
      </c>
      <c r="O147" s="5"/>
      <c r="P147" s="5">
        <f t="shared" si="28"/>
        <v>1</v>
      </c>
      <c r="Q147" s="7">
        <f t="shared" si="29"/>
        <v>905</v>
      </c>
    </row>
    <row r="148" spans="1:21">
      <c r="A148" s="23" t="s">
        <v>171</v>
      </c>
      <c r="B148" s="35" t="s">
        <v>167</v>
      </c>
      <c r="C148" s="125">
        <v>2207</v>
      </c>
      <c r="D148" s="113">
        <v>113093674</v>
      </c>
      <c r="E148" s="116">
        <f t="shared" si="25"/>
        <v>51243.169007702767</v>
      </c>
      <c r="F148" s="117">
        <v>69221899</v>
      </c>
      <c r="G148" s="117">
        <f t="shared" si="26"/>
        <v>31364.702763932939</v>
      </c>
      <c r="H148" s="9"/>
      <c r="I148" s="109">
        <v>4</v>
      </c>
      <c r="J148" s="117">
        <v>276888</v>
      </c>
      <c r="K148" s="120">
        <f t="shared" si="34"/>
        <v>125.45899410965112</v>
      </c>
      <c r="L148" s="122">
        <f t="shared" si="30"/>
        <v>692218.99</v>
      </c>
      <c r="M148" s="116">
        <f t="shared" si="31"/>
        <v>415330.99</v>
      </c>
      <c r="N148" s="123">
        <f t="shared" si="32"/>
        <v>188.18803352967828</v>
      </c>
      <c r="O148" s="5"/>
      <c r="P148" s="5">
        <f t="shared" si="28"/>
        <v>1</v>
      </c>
      <c r="Q148" s="7">
        <f t="shared" si="29"/>
        <v>2207</v>
      </c>
    </row>
    <row r="149" spans="1:21">
      <c r="A149" s="23" t="s">
        <v>172</v>
      </c>
      <c r="B149" s="35" t="s">
        <v>167</v>
      </c>
      <c r="C149" s="125">
        <v>921</v>
      </c>
      <c r="D149" s="114" t="s">
        <v>564</v>
      </c>
      <c r="E149" s="116"/>
      <c r="F149" s="117"/>
      <c r="G149" s="117"/>
      <c r="H149" s="98" t="s">
        <v>588</v>
      </c>
      <c r="I149" s="109"/>
      <c r="J149" s="117"/>
      <c r="K149" s="120"/>
      <c r="L149" s="122">
        <f t="shared" si="30"/>
        <v>0</v>
      </c>
      <c r="M149" s="116">
        <f t="shared" si="31"/>
        <v>0</v>
      </c>
      <c r="N149" s="123">
        <f t="shared" si="32"/>
        <v>0</v>
      </c>
      <c r="O149" s="5"/>
      <c r="P149" s="5">
        <f t="shared" si="28"/>
        <v>0</v>
      </c>
      <c r="Q149" s="7">
        <f t="shared" si="29"/>
        <v>0</v>
      </c>
    </row>
    <row r="150" spans="1:21">
      <c r="A150" s="23" t="s">
        <v>173</v>
      </c>
      <c r="B150" s="35" t="s">
        <v>167</v>
      </c>
      <c r="C150" s="125">
        <v>675</v>
      </c>
      <c r="D150" s="113">
        <v>23775493</v>
      </c>
      <c r="E150" s="116">
        <f t="shared" si="25"/>
        <v>35222.952592592592</v>
      </c>
      <c r="F150" s="117">
        <v>13514629</v>
      </c>
      <c r="G150" s="117">
        <f t="shared" si="26"/>
        <v>20021.672592592593</v>
      </c>
      <c r="H150" s="7"/>
      <c r="I150" s="110">
        <v>1</v>
      </c>
      <c r="J150" s="117">
        <v>13515</v>
      </c>
      <c r="K150" s="120">
        <f t="shared" si="34"/>
        <v>20.022222222222222</v>
      </c>
      <c r="L150" s="122">
        <f t="shared" si="30"/>
        <v>135146.29</v>
      </c>
      <c r="M150" s="116">
        <f t="shared" si="31"/>
        <v>121631.29000000001</v>
      </c>
      <c r="N150" s="123">
        <f t="shared" si="32"/>
        <v>180.1945037037037</v>
      </c>
      <c r="O150" s="5"/>
      <c r="P150" s="5">
        <f t="shared" si="28"/>
        <v>1</v>
      </c>
      <c r="Q150" s="7">
        <f t="shared" si="29"/>
        <v>675</v>
      </c>
    </row>
    <row r="151" spans="1:21">
      <c r="A151" s="23" t="s">
        <v>508</v>
      </c>
      <c r="B151" s="35" t="s">
        <v>167</v>
      </c>
      <c r="C151" s="125">
        <v>253</v>
      </c>
      <c r="D151" s="113">
        <v>7420437</v>
      </c>
      <c r="E151" s="116">
        <f t="shared" si="25"/>
        <v>29329.790513833992</v>
      </c>
      <c r="F151" s="117">
        <v>3662376</v>
      </c>
      <c r="G151" s="117">
        <f t="shared" si="26"/>
        <v>14475.794466403162</v>
      </c>
      <c r="H151" s="9"/>
      <c r="I151" s="109">
        <v>3</v>
      </c>
      <c r="J151" s="117">
        <v>10987</v>
      </c>
      <c r="K151" s="120">
        <f t="shared" si="34"/>
        <v>43.426877470355734</v>
      </c>
      <c r="L151" s="122">
        <f t="shared" si="30"/>
        <v>36623.760000000002</v>
      </c>
      <c r="M151" s="116">
        <f t="shared" si="31"/>
        <v>25636.760000000002</v>
      </c>
      <c r="N151" s="123">
        <f t="shared" si="32"/>
        <v>101.33106719367589</v>
      </c>
      <c r="O151" s="5"/>
      <c r="P151" s="5">
        <f t="shared" si="28"/>
        <v>1</v>
      </c>
      <c r="Q151" s="7">
        <f t="shared" si="29"/>
        <v>253</v>
      </c>
    </row>
    <row r="152" spans="1:21">
      <c r="A152" s="23" t="s">
        <v>175</v>
      </c>
      <c r="B152" s="35" t="s">
        <v>167</v>
      </c>
      <c r="C152" s="125">
        <v>2337</v>
      </c>
      <c r="D152" s="114">
        <v>45816019</v>
      </c>
      <c r="E152" s="116">
        <f t="shared" si="25"/>
        <v>19604.629439452288</v>
      </c>
      <c r="F152" s="117">
        <v>13429859</v>
      </c>
      <c r="G152" s="117">
        <f t="shared" si="26"/>
        <v>5746.6234488660675</v>
      </c>
      <c r="H152" s="98"/>
      <c r="I152" s="109">
        <v>0.97809999999999997</v>
      </c>
      <c r="J152" s="117">
        <v>13136</v>
      </c>
      <c r="K152" s="120">
        <f t="shared" si="34"/>
        <v>5.6208814719726146</v>
      </c>
      <c r="L152" s="122">
        <f t="shared" si="30"/>
        <v>134298.59</v>
      </c>
      <c r="M152" s="116">
        <f t="shared" si="31"/>
        <v>121162.59</v>
      </c>
      <c r="N152" s="123">
        <f t="shared" si="32"/>
        <v>51.845353016688058</v>
      </c>
      <c r="O152" s="5"/>
      <c r="P152" s="5">
        <f t="shared" si="28"/>
        <v>1</v>
      </c>
      <c r="Q152" s="7">
        <f t="shared" si="29"/>
        <v>2337</v>
      </c>
    </row>
    <row r="153" spans="1:21">
      <c r="A153" s="23" t="s">
        <v>176</v>
      </c>
      <c r="B153" s="35" t="s">
        <v>167</v>
      </c>
      <c r="C153" s="125">
        <v>7903</v>
      </c>
      <c r="D153" s="113">
        <v>475587991</v>
      </c>
      <c r="E153" s="116">
        <f t="shared" si="25"/>
        <v>60178.159053523981</v>
      </c>
      <c r="F153" s="117">
        <v>248376624</v>
      </c>
      <c r="G153" s="117">
        <f t="shared" si="26"/>
        <v>31428.144249019359</v>
      </c>
      <c r="H153" s="7"/>
      <c r="I153" s="110">
        <v>2.8163999999999998</v>
      </c>
      <c r="J153" s="117">
        <v>699528</v>
      </c>
      <c r="K153" s="120">
        <f t="shared" si="34"/>
        <v>88.514235100594718</v>
      </c>
      <c r="L153" s="122">
        <f t="shared" si="30"/>
        <v>2483766.2400000002</v>
      </c>
      <c r="M153" s="116">
        <f t="shared" si="31"/>
        <v>1784238.2400000002</v>
      </c>
      <c r="N153" s="123">
        <f t="shared" si="32"/>
        <v>225.76720738959892</v>
      </c>
      <c r="O153" s="5"/>
      <c r="P153" s="5">
        <f t="shared" si="28"/>
        <v>1</v>
      </c>
      <c r="Q153" s="7">
        <f t="shared" si="29"/>
        <v>7903</v>
      </c>
    </row>
    <row r="154" spans="1:21">
      <c r="A154" s="23" t="s">
        <v>177</v>
      </c>
      <c r="B154" s="35" t="s">
        <v>167</v>
      </c>
      <c r="C154" s="125">
        <v>1917</v>
      </c>
      <c r="D154" s="113">
        <v>63462150</v>
      </c>
      <c r="E154" s="116">
        <f t="shared" si="25"/>
        <v>33104.929577464791</v>
      </c>
      <c r="F154" s="117">
        <v>34702927</v>
      </c>
      <c r="G154" s="117">
        <f t="shared" si="26"/>
        <v>18102.726656233699</v>
      </c>
      <c r="H154" s="7"/>
      <c r="I154" s="109">
        <v>0.6089</v>
      </c>
      <c r="J154" s="117">
        <v>21131</v>
      </c>
      <c r="K154" s="120">
        <f t="shared" si="34"/>
        <v>11.022952529994784</v>
      </c>
      <c r="L154" s="122">
        <f t="shared" si="30"/>
        <v>347029.27</v>
      </c>
      <c r="M154" s="116">
        <f t="shared" si="31"/>
        <v>325898.27</v>
      </c>
      <c r="N154" s="123">
        <f t="shared" si="32"/>
        <v>170.00431403234222</v>
      </c>
      <c r="O154" s="5"/>
      <c r="P154" s="5">
        <f t="shared" si="28"/>
        <v>1</v>
      </c>
      <c r="Q154" s="7">
        <f t="shared" si="29"/>
        <v>1917</v>
      </c>
      <c r="S154" s="124">
        <f>SUM(D144:D154)</f>
        <v>788979673</v>
      </c>
      <c r="T154" s="124">
        <f>SUM(F144:F154)</f>
        <v>417375579</v>
      </c>
      <c r="U154" s="124">
        <f>SUM(J144:J154)</f>
        <v>1138523</v>
      </c>
    </row>
    <row r="155" spans="1:21">
      <c r="A155" s="23" t="s">
        <v>178</v>
      </c>
      <c r="B155" s="35" t="s">
        <v>179</v>
      </c>
      <c r="C155" s="125">
        <v>2481</v>
      </c>
      <c r="D155" s="113">
        <v>153344009</v>
      </c>
      <c r="E155" s="116">
        <f t="shared" si="25"/>
        <v>61807.339379282545</v>
      </c>
      <c r="F155" s="117">
        <v>89253894</v>
      </c>
      <c r="G155" s="117">
        <f t="shared" si="26"/>
        <v>35974.967351874242</v>
      </c>
      <c r="H155" s="7"/>
      <c r="I155" s="109">
        <v>5.9809000000000001</v>
      </c>
      <c r="J155" s="117">
        <v>533819</v>
      </c>
      <c r="K155" s="120">
        <f t="shared" si="34"/>
        <v>215.1628375654978</v>
      </c>
      <c r="L155" s="122">
        <f t="shared" si="30"/>
        <v>892538.94000000006</v>
      </c>
      <c r="M155" s="116">
        <f t="shared" si="31"/>
        <v>358719.94000000006</v>
      </c>
      <c r="N155" s="123">
        <f t="shared" si="32"/>
        <v>144.58683595324467</v>
      </c>
      <c r="O155" s="5"/>
      <c r="P155" s="5">
        <f t="shared" si="28"/>
        <v>1</v>
      </c>
      <c r="Q155" s="7">
        <f t="shared" si="29"/>
        <v>2481</v>
      </c>
      <c r="S155" s="124">
        <f>SUM(D155)</f>
        <v>153344009</v>
      </c>
      <c r="T155" s="124">
        <f>SUM(F155)</f>
        <v>89253894</v>
      </c>
      <c r="U155" s="124">
        <f>SUM(J155)</f>
        <v>533819</v>
      </c>
    </row>
    <row r="156" spans="1:21">
      <c r="A156" s="23" t="s">
        <v>180</v>
      </c>
      <c r="B156" s="35" t="s">
        <v>181</v>
      </c>
      <c r="C156" s="125">
        <v>1199</v>
      </c>
      <c r="D156" s="113">
        <v>43928673</v>
      </c>
      <c r="E156" s="116">
        <f t="shared" si="25"/>
        <v>36637.758965804838</v>
      </c>
      <c r="F156" s="117">
        <v>21679932</v>
      </c>
      <c r="G156" s="117">
        <f t="shared" si="26"/>
        <v>18081.678065054213</v>
      </c>
      <c r="H156" s="7"/>
      <c r="I156" s="109">
        <v>6</v>
      </c>
      <c r="J156" s="117">
        <v>130080</v>
      </c>
      <c r="K156" s="120">
        <f t="shared" si="34"/>
        <v>108.49040867389492</v>
      </c>
      <c r="L156" s="122">
        <f t="shared" si="30"/>
        <v>216799.32</v>
      </c>
      <c r="M156" s="116">
        <f t="shared" si="31"/>
        <v>86719.32</v>
      </c>
      <c r="N156" s="123">
        <f t="shared" si="32"/>
        <v>72.326371976647209</v>
      </c>
      <c r="O156" s="5"/>
      <c r="P156" s="5">
        <f t="shared" si="28"/>
        <v>1</v>
      </c>
      <c r="Q156" s="7">
        <f t="shared" si="29"/>
        <v>1199</v>
      </c>
      <c r="S156" s="124">
        <f>SUM(D156)</f>
        <v>43928673</v>
      </c>
      <c r="T156" s="124">
        <f>SUM(F156)</f>
        <v>21679932</v>
      </c>
      <c r="U156" s="124">
        <f>SUM(J156)</f>
        <v>130080</v>
      </c>
    </row>
    <row r="157" spans="1:21">
      <c r="A157" s="23" t="s">
        <v>182</v>
      </c>
      <c r="B157" s="35" t="s">
        <v>183</v>
      </c>
      <c r="C157" s="125">
        <v>1800</v>
      </c>
      <c r="D157" s="114">
        <v>69132464</v>
      </c>
      <c r="E157" s="116">
        <f t="shared" si="25"/>
        <v>38406.924444444441</v>
      </c>
      <c r="F157" s="117">
        <v>45898968</v>
      </c>
      <c r="G157" s="117">
        <f t="shared" si="26"/>
        <v>25499.426666666666</v>
      </c>
      <c r="H157" s="9"/>
      <c r="I157" s="109">
        <v>7.5</v>
      </c>
      <c r="J157" s="117">
        <v>344242</v>
      </c>
      <c r="K157" s="120">
        <f t="shared" si="34"/>
        <v>191.24555555555557</v>
      </c>
      <c r="L157" s="122">
        <f t="shared" si="30"/>
        <v>458989.68</v>
      </c>
      <c r="M157" s="116">
        <f t="shared" si="31"/>
        <v>114747.68</v>
      </c>
      <c r="N157" s="123">
        <f t="shared" si="32"/>
        <v>63.748711111111106</v>
      </c>
      <c r="O157" s="5"/>
      <c r="P157" s="5">
        <f t="shared" si="28"/>
        <v>1</v>
      </c>
      <c r="Q157" s="7">
        <f t="shared" si="29"/>
        <v>1800</v>
      </c>
    </row>
    <row r="158" spans="1:21">
      <c r="A158" s="23" t="s">
        <v>184</v>
      </c>
      <c r="B158" s="35" t="s">
        <v>183</v>
      </c>
      <c r="C158" s="125">
        <v>31745</v>
      </c>
      <c r="D158" s="114">
        <v>2654487099</v>
      </c>
      <c r="E158" s="116">
        <f t="shared" si="25"/>
        <v>83619.06123799023</v>
      </c>
      <c r="F158" s="117">
        <v>1913040601</v>
      </c>
      <c r="G158" s="117">
        <f t="shared" si="26"/>
        <v>60262.737470467793</v>
      </c>
      <c r="H158" s="9"/>
      <c r="I158" s="109">
        <v>3.7290000000000001</v>
      </c>
      <c r="J158" s="117">
        <v>7133728</v>
      </c>
      <c r="K158" s="120">
        <f t="shared" si="34"/>
        <v>224.71973539140021</v>
      </c>
      <c r="L158" s="122">
        <f t="shared" si="30"/>
        <v>19130406.010000002</v>
      </c>
      <c r="M158" s="116">
        <f t="shared" si="31"/>
        <v>11996678.010000002</v>
      </c>
      <c r="N158" s="123">
        <f t="shared" si="32"/>
        <v>377.90763931327774</v>
      </c>
      <c r="O158" s="5"/>
      <c r="P158" s="5">
        <f t="shared" si="28"/>
        <v>1</v>
      </c>
      <c r="Q158" s="7">
        <f t="shared" si="29"/>
        <v>31745</v>
      </c>
    </row>
    <row r="159" spans="1:21">
      <c r="A159" s="23" t="s">
        <v>185</v>
      </c>
      <c r="B159" s="35" t="s">
        <v>183</v>
      </c>
      <c r="C159" s="125">
        <v>19098</v>
      </c>
      <c r="D159" s="113">
        <v>1092563478</v>
      </c>
      <c r="E159" s="116">
        <f t="shared" ref="E159:E222" si="35">(D159/C159)</f>
        <v>57208.266729500472</v>
      </c>
      <c r="F159" s="117">
        <v>759474327</v>
      </c>
      <c r="G159" s="117">
        <f t="shared" ref="G159:G222" si="36">(F159/C159)</f>
        <v>39767.217876217408</v>
      </c>
      <c r="H159" s="7"/>
      <c r="I159" s="109">
        <v>7.5810000000000004</v>
      </c>
      <c r="J159" s="117">
        <v>5757575</v>
      </c>
      <c r="K159" s="120">
        <f t="shared" si="34"/>
        <v>301.47528537019582</v>
      </c>
      <c r="L159" s="122">
        <f t="shared" si="30"/>
        <v>7594743.2700000005</v>
      </c>
      <c r="M159" s="116">
        <f t="shared" si="31"/>
        <v>1837168.2700000005</v>
      </c>
      <c r="N159" s="123">
        <f t="shared" si="32"/>
        <v>96.19689339197825</v>
      </c>
      <c r="O159" s="5"/>
      <c r="P159" s="5">
        <f t="shared" si="28"/>
        <v>1</v>
      </c>
      <c r="Q159" s="7">
        <f t="shared" si="29"/>
        <v>19098</v>
      </c>
    </row>
    <row r="160" spans="1:21">
      <c r="A160" s="23" t="s">
        <v>186</v>
      </c>
      <c r="B160" s="35" t="s">
        <v>183</v>
      </c>
      <c r="C160" s="125">
        <v>4153</v>
      </c>
      <c r="D160" s="113">
        <v>230025164</v>
      </c>
      <c r="E160" s="116">
        <f t="shared" si="35"/>
        <v>55387.711052251383</v>
      </c>
      <c r="F160" s="117">
        <v>166509788</v>
      </c>
      <c r="G160" s="117">
        <f t="shared" si="36"/>
        <v>40093.856970864435</v>
      </c>
      <c r="H160" s="7"/>
      <c r="I160" s="109">
        <v>4.7370999999999999</v>
      </c>
      <c r="J160" s="117">
        <v>788774</v>
      </c>
      <c r="K160" s="120">
        <f t="shared" si="34"/>
        <v>189.92872622200818</v>
      </c>
      <c r="L160" s="122">
        <f t="shared" si="30"/>
        <v>1665097.8800000001</v>
      </c>
      <c r="M160" s="116">
        <f t="shared" si="31"/>
        <v>876323.88000000012</v>
      </c>
      <c r="N160" s="123">
        <f t="shared" si="32"/>
        <v>211.00984348663619</v>
      </c>
      <c r="O160" s="5"/>
      <c r="P160" s="5">
        <f t="shared" si="28"/>
        <v>1</v>
      </c>
      <c r="Q160" s="7">
        <f t="shared" si="29"/>
        <v>4153</v>
      </c>
    </row>
    <row r="161" spans="1:21">
      <c r="A161" s="23" t="s">
        <v>187</v>
      </c>
      <c r="B161" s="35" t="s">
        <v>183</v>
      </c>
      <c r="C161" s="125">
        <v>10546</v>
      </c>
      <c r="D161" s="113">
        <v>607552754</v>
      </c>
      <c r="E161" s="116">
        <f t="shared" si="35"/>
        <v>57609.78133889626</v>
      </c>
      <c r="F161" s="117">
        <v>440488481</v>
      </c>
      <c r="G161" s="117">
        <f t="shared" si="36"/>
        <v>41768.298975915037</v>
      </c>
      <c r="H161" s="7"/>
      <c r="I161" s="109">
        <v>5.99</v>
      </c>
      <c r="J161" s="117">
        <v>2638526</v>
      </c>
      <c r="K161" s="120">
        <f t="shared" si="34"/>
        <v>250.19211075289209</v>
      </c>
      <c r="L161" s="122">
        <f t="shared" si="30"/>
        <v>4404884.8100000005</v>
      </c>
      <c r="M161" s="116">
        <f t="shared" si="31"/>
        <v>1766358.8100000005</v>
      </c>
      <c r="N161" s="123">
        <f t="shared" si="32"/>
        <v>167.49087900625835</v>
      </c>
      <c r="O161" s="5"/>
      <c r="P161" s="5">
        <f t="shared" si="28"/>
        <v>1</v>
      </c>
      <c r="Q161" s="7">
        <f t="shared" si="29"/>
        <v>10546</v>
      </c>
    </row>
    <row r="162" spans="1:21">
      <c r="A162" s="23" t="s">
        <v>188</v>
      </c>
      <c r="B162" s="35" t="s">
        <v>183</v>
      </c>
      <c r="C162" s="125">
        <v>1089</v>
      </c>
      <c r="D162" s="113">
        <v>95691392</v>
      </c>
      <c r="E162" s="116">
        <f t="shared" si="35"/>
        <v>87870.88337924701</v>
      </c>
      <c r="F162" s="117">
        <v>69360137</v>
      </c>
      <c r="G162" s="117">
        <f t="shared" si="36"/>
        <v>63691.585858585859</v>
      </c>
      <c r="H162" s="7"/>
      <c r="I162" s="109">
        <v>9.5176999999999996</v>
      </c>
      <c r="J162" s="117">
        <v>660149</v>
      </c>
      <c r="K162" s="120">
        <f t="shared" si="34"/>
        <v>606.19742883379251</v>
      </c>
      <c r="L162" s="122">
        <f t="shared" si="30"/>
        <v>693601.37</v>
      </c>
      <c r="M162" s="116">
        <f t="shared" si="31"/>
        <v>33452.369999999995</v>
      </c>
      <c r="N162" s="123">
        <f t="shared" si="32"/>
        <v>30.718429752066111</v>
      </c>
      <c r="O162" s="5"/>
      <c r="P162" s="5">
        <f t="shared" si="28"/>
        <v>1</v>
      </c>
      <c r="Q162" s="7">
        <f t="shared" si="29"/>
        <v>1089</v>
      </c>
    </row>
    <row r="163" spans="1:21">
      <c r="A163" s="23" t="s">
        <v>189</v>
      </c>
      <c r="B163" s="35" t="s">
        <v>183</v>
      </c>
      <c r="C163" s="125">
        <v>14148</v>
      </c>
      <c r="D163" s="113">
        <v>1257572921</v>
      </c>
      <c r="E163" s="116">
        <f t="shared" si="35"/>
        <v>88886.974908114222</v>
      </c>
      <c r="F163" s="117">
        <v>848321613</v>
      </c>
      <c r="G163" s="117">
        <f t="shared" si="36"/>
        <v>59960.532442748088</v>
      </c>
      <c r="H163" s="7"/>
      <c r="I163" s="109">
        <v>3.75</v>
      </c>
      <c r="J163" s="117">
        <v>3181206</v>
      </c>
      <c r="K163" s="120">
        <f t="shared" si="34"/>
        <v>224.85199321458865</v>
      </c>
      <c r="L163" s="122">
        <f t="shared" si="30"/>
        <v>8483216.1300000008</v>
      </c>
      <c r="M163" s="116">
        <f t="shared" si="31"/>
        <v>5302010.1300000008</v>
      </c>
      <c r="N163" s="123">
        <f t="shared" si="32"/>
        <v>374.75333121289236</v>
      </c>
      <c r="O163" s="5"/>
      <c r="P163" s="5">
        <f t="shared" si="28"/>
        <v>1</v>
      </c>
      <c r="Q163" s="7">
        <f t="shared" si="29"/>
        <v>14148</v>
      </c>
    </row>
    <row r="164" spans="1:21">
      <c r="A164" s="23" t="s">
        <v>190</v>
      </c>
      <c r="B164" s="35" t="s">
        <v>183</v>
      </c>
      <c r="C164" s="125">
        <v>21163</v>
      </c>
      <c r="D164" s="113">
        <v>1590933361</v>
      </c>
      <c r="E164" s="116">
        <f t="shared" si="35"/>
        <v>75175.2285120257</v>
      </c>
      <c r="F164" s="117">
        <v>1122306179</v>
      </c>
      <c r="G164" s="117">
        <f t="shared" si="36"/>
        <v>53031.525728866414</v>
      </c>
      <c r="H164" s="7"/>
      <c r="I164" s="109">
        <v>4.3178999999999998</v>
      </c>
      <c r="J164" s="117">
        <v>4846006</v>
      </c>
      <c r="K164" s="120">
        <f t="shared" si="34"/>
        <v>228.98483201814489</v>
      </c>
      <c r="L164" s="122">
        <f t="shared" si="30"/>
        <v>11223061.790000001</v>
      </c>
      <c r="M164" s="116">
        <f t="shared" si="31"/>
        <v>6377055.790000001</v>
      </c>
      <c r="N164" s="123">
        <f t="shared" si="32"/>
        <v>301.33042527051936</v>
      </c>
      <c r="O164" s="5"/>
      <c r="P164" s="5">
        <f t="shared" si="28"/>
        <v>1</v>
      </c>
      <c r="Q164" s="7">
        <f t="shared" si="29"/>
        <v>21163</v>
      </c>
    </row>
    <row r="165" spans="1:21">
      <c r="A165" s="23" t="s">
        <v>191</v>
      </c>
      <c r="B165" s="35" t="s">
        <v>183</v>
      </c>
      <c r="C165" s="125">
        <v>5329</v>
      </c>
      <c r="D165" s="113">
        <v>167538660</v>
      </c>
      <c r="E165" s="116">
        <f t="shared" si="35"/>
        <v>31439.042972415089</v>
      </c>
      <c r="F165" s="117">
        <v>100199726</v>
      </c>
      <c r="G165" s="117">
        <f t="shared" si="36"/>
        <v>18802.725839744791</v>
      </c>
      <c r="H165" s="7"/>
      <c r="I165" s="109">
        <v>9.3000000000000007</v>
      </c>
      <c r="J165" s="117">
        <v>931857</v>
      </c>
      <c r="K165" s="120">
        <f t="shared" si="34"/>
        <v>174.86526552824171</v>
      </c>
      <c r="L165" s="122">
        <f t="shared" si="30"/>
        <v>1001997.26</v>
      </c>
      <c r="M165" s="116">
        <f t="shared" si="31"/>
        <v>70140.260000000009</v>
      </c>
      <c r="N165" s="123">
        <f t="shared" si="32"/>
        <v>13.161992869206232</v>
      </c>
      <c r="O165" s="5"/>
      <c r="P165" s="5">
        <f t="shared" si="28"/>
        <v>1</v>
      </c>
      <c r="Q165" s="7">
        <f t="shared" si="29"/>
        <v>5329</v>
      </c>
    </row>
    <row r="166" spans="1:21">
      <c r="A166" s="23" t="s">
        <v>192</v>
      </c>
      <c r="B166" s="35" t="s">
        <v>183</v>
      </c>
      <c r="C166" s="125">
        <v>10062</v>
      </c>
      <c r="D166" s="113">
        <v>545414924</v>
      </c>
      <c r="E166" s="116">
        <f t="shared" si="35"/>
        <v>54205.418803418805</v>
      </c>
      <c r="F166" s="117">
        <v>347170303</v>
      </c>
      <c r="G166" s="117">
        <f t="shared" si="36"/>
        <v>34503.111011727291</v>
      </c>
      <c r="H166" s="7"/>
      <c r="I166" s="109">
        <v>6.25</v>
      </c>
      <c r="J166" s="117">
        <v>2169814</v>
      </c>
      <c r="K166" s="120">
        <f t="shared" si="34"/>
        <v>215.64440469091633</v>
      </c>
      <c r="L166" s="122">
        <f t="shared" si="30"/>
        <v>3471703.0300000003</v>
      </c>
      <c r="M166" s="116">
        <f t="shared" si="31"/>
        <v>1301889.0300000003</v>
      </c>
      <c r="N166" s="123">
        <f t="shared" si="32"/>
        <v>129.38670542635663</v>
      </c>
      <c r="O166" s="5"/>
      <c r="P166" s="5">
        <f t="shared" si="28"/>
        <v>1</v>
      </c>
      <c r="Q166" s="7">
        <f t="shared" si="29"/>
        <v>10062</v>
      </c>
    </row>
    <row r="167" spans="1:21">
      <c r="A167" s="23" t="s">
        <v>193</v>
      </c>
      <c r="B167" s="35" t="s">
        <v>183</v>
      </c>
      <c r="C167" s="125">
        <v>1464</v>
      </c>
      <c r="D167" s="113">
        <v>124164470</v>
      </c>
      <c r="E167" s="116">
        <f t="shared" si="35"/>
        <v>84811.796448087436</v>
      </c>
      <c r="F167" s="117">
        <v>77993811</v>
      </c>
      <c r="G167" s="117">
        <f t="shared" si="36"/>
        <v>53274.461065573771</v>
      </c>
      <c r="H167" s="7"/>
      <c r="I167" s="109">
        <v>2.83</v>
      </c>
      <c r="J167" s="117">
        <v>220722</v>
      </c>
      <c r="K167" s="120">
        <f t="shared" si="34"/>
        <v>150.76639344262296</v>
      </c>
      <c r="L167" s="122">
        <f t="shared" si="30"/>
        <v>779938.11</v>
      </c>
      <c r="M167" s="116">
        <f t="shared" si="31"/>
        <v>559216.11</v>
      </c>
      <c r="N167" s="123">
        <f t="shared" si="32"/>
        <v>381.97821721311476</v>
      </c>
      <c r="O167" s="5"/>
      <c r="P167" s="5">
        <f t="shared" si="28"/>
        <v>1</v>
      </c>
      <c r="Q167" s="7">
        <f t="shared" si="29"/>
        <v>1464</v>
      </c>
    </row>
    <row r="168" spans="1:21">
      <c r="A168" s="23" t="s">
        <v>194</v>
      </c>
      <c r="B168" s="35" t="s">
        <v>183</v>
      </c>
      <c r="C168" s="125">
        <v>12949</v>
      </c>
      <c r="D168" s="113">
        <v>1158906598</v>
      </c>
      <c r="E168" s="116">
        <f t="shared" si="35"/>
        <v>89497.768012973975</v>
      </c>
      <c r="F168" s="117">
        <v>872814798</v>
      </c>
      <c r="G168" s="117">
        <f t="shared" si="36"/>
        <v>67404.03104486833</v>
      </c>
      <c r="H168" s="7"/>
      <c r="I168" s="109">
        <v>5.9969999999999999</v>
      </c>
      <c r="J168" s="117">
        <v>5234270</v>
      </c>
      <c r="K168" s="120">
        <f t="shared" si="34"/>
        <v>404.22194764074447</v>
      </c>
      <c r="L168" s="122">
        <f t="shared" si="30"/>
        <v>8728147.9800000004</v>
      </c>
      <c r="M168" s="116">
        <f t="shared" si="31"/>
        <v>3493877.9800000004</v>
      </c>
      <c r="N168" s="123">
        <f t="shared" si="32"/>
        <v>269.81836280793885</v>
      </c>
      <c r="O168" s="5"/>
      <c r="P168" s="5">
        <f t="shared" si="28"/>
        <v>1</v>
      </c>
      <c r="Q168" s="7">
        <f t="shared" si="29"/>
        <v>12949</v>
      </c>
    </row>
    <row r="169" spans="1:21">
      <c r="A169" s="23" t="s">
        <v>195</v>
      </c>
      <c r="B169" s="35" t="s">
        <v>183</v>
      </c>
      <c r="C169" s="125">
        <v>14582</v>
      </c>
      <c r="D169" s="113">
        <v>1152814128</v>
      </c>
      <c r="E169" s="116">
        <f t="shared" si="35"/>
        <v>79057.339733918532</v>
      </c>
      <c r="F169" s="117">
        <v>635669251</v>
      </c>
      <c r="G169" s="117">
        <f t="shared" si="36"/>
        <v>43592.734261418183</v>
      </c>
      <c r="H169" s="7"/>
      <c r="I169" s="109">
        <v>6.7282999999999999</v>
      </c>
      <c r="J169" s="117">
        <v>4276973</v>
      </c>
      <c r="K169" s="120">
        <f t="shared" si="34"/>
        <v>293.30496502537375</v>
      </c>
      <c r="L169" s="122">
        <f t="shared" si="30"/>
        <v>6356692.5099999998</v>
      </c>
      <c r="M169" s="116">
        <f t="shared" si="31"/>
        <v>2079719.5099999998</v>
      </c>
      <c r="N169" s="123">
        <f t="shared" si="32"/>
        <v>142.62237758880809</v>
      </c>
      <c r="O169" s="5"/>
      <c r="P169" s="5">
        <f t="shared" si="28"/>
        <v>1</v>
      </c>
      <c r="Q169" s="7">
        <f t="shared" si="29"/>
        <v>14582</v>
      </c>
    </row>
    <row r="170" spans="1:21">
      <c r="A170" s="23" t="s">
        <v>196</v>
      </c>
      <c r="B170" s="35" t="s">
        <v>183</v>
      </c>
      <c r="C170" s="125">
        <v>3658</v>
      </c>
      <c r="D170" s="113">
        <v>175392542</v>
      </c>
      <c r="E170" s="116">
        <f t="shared" si="35"/>
        <v>47947.660470202296</v>
      </c>
      <c r="F170" s="117">
        <v>111983448</v>
      </c>
      <c r="G170" s="117">
        <f t="shared" si="36"/>
        <v>30613.299070530345</v>
      </c>
      <c r="H170" s="7"/>
      <c r="I170" s="109">
        <v>7.298</v>
      </c>
      <c r="J170" s="117">
        <v>817255</v>
      </c>
      <c r="K170" s="120">
        <f t="shared" si="34"/>
        <v>223.41580098414434</v>
      </c>
      <c r="L170" s="122">
        <f t="shared" si="30"/>
        <v>1119834.48</v>
      </c>
      <c r="M170" s="116">
        <f t="shared" si="31"/>
        <v>302579.48</v>
      </c>
      <c r="N170" s="123">
        <f t="shared" si="32"/>
        <v>82.717189721159102</v>
      </c>
      <c r="O170" s="5"/>
      <c r="P170" s="5">
        <f t="shared" si="28"/>
        <v>1</v>
      </c>
      <c r="Q170" s="7">
        <f t="shared" si="29"/>
        <v>3658</v>
      </c>
      <c r="S170" s="124">
        <f>SUM(D157:D170)</f>
        <v>10922189955</v>
      </c>
      <c r="T170" s="124">
        <f>SUM(F157:F170)</f>
        <v>7511231431</v>
      </c>
      <c r="U170" s="124">
        <f>SUM(J157:J170)</f>
        <v>39001097</v>
      </c>
    </row>
    <row r="171" spans="1:21">
      <c r="A171" s="23" t="s">
        <v>448</v>
      </c>
      <c r="B171" s="35" t="s">
        <v>198</v>
      </c>
      <c r="C171" s="125">
        <v>45819</v>
      </c>
      <c r="D171" s="113">
        <v>9351364225</v>
      </c>
      <c r="E171" s="116">
        <f t="shared" si="35"/>
        <v>204093.59054104192</v>
      </c>
      <c r="F171" s="117">
        <v>7626170202</v>
      </c>
      <c r="G171" s="117">
        <f t="shared" si="36"/>
        <v>166441.21875204609</v>
      </c>
      <c r="H171" s="7"/>
      <c r="I171" s="109">
        <v>0.81730000000000003</v>
      </c>
      <c r="J171" s="117">
        <v>6232869</v>
      </c>
      <c r="K171" s="120">
        <f t="shared" si="34"/>
        <v>136.0324101355333</v>
      </c>
      <c r="L171" s="122">
        <f t="shared" si="30"/>
        <v>76261702.019999996</v>
      </c>
      <c r="M171" s="116">
        <f t="shared" si="31"/>
        <v>70028833.019999996</v>
      </c>
      <c r="N171" s="123">
        <f t="shared" si="32"/>
        <v>1528.3797773849276</v>
      </c>
      <c r="O171" s="5"/>
      <c r="P171" s="5">
        <f t="shared" si="28"/>
        <v>1</v>
      </c>
      <c r="Q171" s="7">
        <f t="shared" si="29"/>
        <v>45819</v>
      </c>
    </row>
    <row r="172" spans="1:21">
      <c r="A172" s="23" t="s">
        <v>197</v>
      </c>
      <c r="B172" s="35" t="s">
        <v>198</v>
      </c>
      <c r="C172" s="125">
        <v>163599</v>
      </c>
      <c r="D172" s="113">
        <v>15331837773</v>
      </c>
      <c r="E172" s="116">
        <f t="shared" si="35"/>
        <v>93715.962646470944</v>
      </c>
      <c r="F172" s="117">
        <v>10329777472</v>
      </c>
      <c r="G172" s="117">
        <f t="shared" si="36"/>
        <v>63140.835041778984</v>
      </c>
      <c r="H172" s="7"/>
      <c r="I172" s="109">
        <v>7.7069999999999999</v>
      </c>
      <c r="J172" s="117">
        <v>79611595</v>
      </c>
      <c r="K172" s="120">
        <f t="shared" si="34"/>
        <v>486.62641580938759</v>
      </c>
      <c r="L172" s="122">
        <f t="shared" si="30"/>
        <v>103297774.72</v>
      </c>
      <c r="M172" s="116">
        <f t="shared" si="31"/>
        <v>23686179.719999999</v>
      </c>
      <c r="N172" s="123">
        <f t="shared" si="32"/>
        <v>144.78193460840225</v>
      </c>
      <c r="O172" s="5"/>
      <c r="P172" s="5">
        <f t="shared" si="28"/>
        <v>1</v>
      </c>
      <c r="Q172" s="7">
        <f t="shared" si="29"/>
        <v>163599</v>
      </c>
    </row>
    <row r="173" spans="1:21">
      <c r="A173" s="23" t="s">
        <v>199</v>
      </c>
      <c r="B173" s="35" t="s">
        <v>198</v>
      </c>
      <c r="C173" s="125">
        <v>69437</v>
      </c>
      <c r="D173" s="113">
        <v>6585315590</v>
      </c>
      <c r="E173" s="116">
        <f t="shared" si="35"/>
        <v>94838.71120584126</v>
      </c>
      <c r="F173" s="117">
        <v>4556320495</v>
      </c>
      <c r="G173" s="117">
        <f t="shared" si="36"/>
        <v>65618.049382893849</v>
      </c>
      <c r="H173" s="7"/>
      <c r="I173" s="109">
        <v>8.7759999999999998</v>
      </c>
      <c r="J173" s="117">
        <v>39986269</v>
      </c>
      <c r="K173" s="120">
        <f t="shared" si="34"/>
        <v>575.86400622146698</v>
      </c>
      <c r="L173" s="122">
        <f t="shared" si="30"/>
        <v>45563204.950000003</v>
      </c>
      <c r="M173" s="116">
        <f t="shared" si="31"/>
        <v>5576935.950000003</v>
      </c>
      <c r="N173" s="123">
        <f t="shared" si="32"/>
        <v>80.316487607471558</v>
      </c>
      <c r="O173" s="5"/>
      <c r="P173" s="5">
        <f t="shared" si="28"/>
        <v>1</v>
      </c>
      <c r="Q173" s="7">
        <f t="shared" si="29"/>
        <v>69437</v>
      </c>
    </row>
    <row r="174" spans="1:21">
      <c r="A174" s="23" t="s">
        <v>200</v>
      </c>
      <c r="B174" s="35" t="s">
        <v>198</v>
      </c>
      <c r="C174" s="125">
        <v>6250</v>
      </c>
      <c r="D174" s="113">
        <v>3136972025</v>
      </c>
      <c r="E174" s="116">
        <f t="shared" si="35"/>
        <v>501915.52399999998</v>
      </c>
      <c r="F174" s="117">
        <v>2669949004</v>
      </c>
      <c r="G174" s="117">
        <f t="shared" si="36"/>
        <v>427191.84064000001</v>
      </c>
      <c r="H174" s="7"/>
      <c r="I174" s="109">
        <v>0.753</v>
      </c>
      <c r="J174" s="117">
        <v>2010472</v>
      </c>
      <c r="K174" s="120">
        <f t="shared" si="34"/>
        <v>321.67552000000001</v>
      </c>
      <c r="L174" s="122">
        <f t="shared" si="30"/>
        <v>26699490.039999999</v>
      </c>
      <c r="M174" s="116">
        <f t="shared" si="31"/>
        <v>24689018.039999999</v>
      </c>
      <c r="N174" s="123">
        <f t="shared" si="32"/>
        <v>3950.2428863999999</v>
      </c>
      <c r="O174" s="5"/>
      <c r="P174" s="5">
        <f t="shared" si="28"/>
        <v>1</v>
      </c>
      <c r="Q174" s="7">
        <f t="shared" si="29"/>
        <v>6250</v>
      </c>
    </row>
    <row r="175" spans="1:21">
      <c r="A175" s="23" t="s">
        <v>201</v>
      </c>
      <c r="B175" s="35" t="s">
        <v>198</v>
      </c>
      <c r="C175" s="125">
        <v>6490</v>
      </c>
      <c r="D175" s="113">
        <v>5003627666</v>
      </c>
      <c r="E175" s="116">
        <f t="shared" si="35"/>
        <v>770974.98705701076</v>
      </c>
      <c r="F175" s="117">
        <v>4301348979</v>
      </c>
      <c r="G175" s="117">
        <f t="shared" si="36"/>
        <v>662765.63620955311</v>
      </c>
      <c r="H175" s="7"/>
      <c r="I175" s="109">
        <v>1.9995000000000001</v>
      </c>
      <c r="J175" s="117">
        <v>8600547</v>
      </c>
      <c r="K175" s="120">
        <f t="shared" si="34"/>
        <v>1325.1998459167951</v>
      </c>
      <c r="L175" s="122">
        <f t="shared" si="30"/>
        <v>43013489.789999999</v>
      </c>
      <c r="M175" s="116">
        <f t="shared" si="31"/>
        <v>34412942.789999999</v>
      </c>
      <c r="N175" s="123">
        <f t="shared" si="32"/>
        <v>5302.4565161787368</v>
      </c>
      <c r="O175" s="5"/>
      <c r="P175" s="5">
        <f t="shared" si="28"/>
        <v>1</v>
      </c>
      <c r="Q175" s="7">
        <f t="shared" si="29"/>
        <v>6490</v>
      </c>
      <c r="S175" s="124">
        <f>SUM(D171:D175)</f>
        <v>39409117279</v>
      </c>
      <c r="T175" s="124">
        <f>SUM(F171:F175)</f>
        <v>29483566152</v>
      </c>
      <c r="U175" s="124">
        <f>SUM(J171:J175)</f>
        <v>136441752</v>
      </c>
    </row>
    <row r="176" spans="1:21">
      <c r="A176" s="23" t="s">
        <v>202</v>
      </c>
      <c r="B176" s="35" t="s">
        <v>203</v>
      </c>
      <c r="C176" s="125">
        <v>185784</v>
      </c>
      <c r="D176" s="113">
        <v>16944643624</v>
      </c>
      <c r="E176" s="116">
        <f t="shared" si="35"/>
        <v>91206.151358566931</v>
      </c>
      <c r="F176" s="117">
        <v>9226228022</v>
      </c>
      <c r="G176" s="117">
        <f t="shared" si="36"/>
        <v>49661.047356069415</v>
      </c>
      <c r="H176" s="7"/>
      <c r="I176" s="109">
        <v>3.7</v>
      </c>
      <c r="J176" s="117">
        <v>34137044</v>
      </c>
      <c r="K176" s="120">
        <f t="shared" si="34"/>
        <v>183.74587693235154</v>
      </c>
      <c r="L176" s="122">
        <f t="shared" si="30"/>
        <v>92262280.219999999</v>
      </c>
      <c r="M176" s="116">
        <f t="shared" si="31"/>
        <v>58125236.219999999</v>
      </c>
      <c r="N176" s="123">
        <f t="shared" si="32"/>
        <v>312.86459662834261</v>
      </c>
      <c r="O176" s="5"/>
      <c r="P176" s="5">
        <f t="shared" si="28"/>
        <v>1</v>
      </c>
      <c r="Q176" s="7">
        <f t="shared" si="29"/>
        <v>185784</v>
      </c>
      <c r="S176" s="124">
        <f>SUM(D176)</f>
        <v>16944643624</v>
      </c>
      <c r="T176" s="124">
        <f>SUM(F176)</f>
        <v>9226228022</v>
      </c>
      <c r="U176" s="124">
        <f>SUM(J176)</f>
        <v>34137044</v>
      </c>
    </row>
    <row r="177" spans="1:21">
      <c r="A177" s="23" t="s">
        <v>204</v>
      </c>
      <c r="B177" s="35" t="s">
        <v>205</v>
      </c>
      <c r="C177" s="125">
        <v>1142</v>
      </c>
      <c r="D177" s="113">
        <v>66386418</v>
      </c>
      <c r="E177" s="116">
        <f t="shared" si="35"/>
        <v>58131.714535901927</v>
      </c>
      <c r="F177" s="117">
        <v>33156946</v>
      </c>
      <c r="G177" s="117">
        <f t="shared" si="36"/>
        <v>29034.103327495621</v>
      </c>
      <c r="H177" s="7"/>
      <c r="I177" s="109">
        <v>3.8780999999999999</v>
      </c>
      <c r="J177" s="117">
        <v>128586</v>
      </c>
      <c r="K177" s="120">
        <f t="shared" si="34"/>
        <v>112.59719789842381</v>
      </c>
      <c r="L177" s="122">
        <f t="shared" si="30"/>
        <v>331569.46000000002</v>
      </c>
      <c r="M177" s="116">
        <f t="shared" si="31"/>
        <v>202983.46000000002</v>
      </c>
      <c r="N177" s="123">
        <f t="shared" si="32"/>
        <v>177.74383537653242</v>
      </c>
      <c r="O177" s="5"/>
      <c r="P177" s="5">
        <f t="shared" si="28"/>
        <v>1</v>
      </c>
      <c r="Q177" s="7">
        <f t="shared" si="29"/>
        <v>1142</v>
      </c>
    </row>
    <row r="178" spans="1:21">
      <c r="A178" s="23" t="s">
        <v>206</v>
      </c>
      <c r="B178" s="35" t="s">
        <v>205</v>
      </c>
      <c r="C178" s="125">
        <v>691</v>
      </c>
      <c r="D178" s="113">
        <v>170190911</v>
      </c>
      <c r="E178" s="116">
        <f t="shared" si="35"/>
        <v>246296.54269175109</v>
      </c>
      <c r="F178" s="117">
        <v>129633144</v>
      </c>
      <c r="G178" s="117">
        <f t="shared" si="36"/>
        <v>187602.23444283646</v>
      </c>
      <c r="H178" s="7"/>
      <c r="I178" s="109">
        <v>5.4939999999999998</v>
      </c>
      <c r="J178" s="117">
        <v>712204</v>
      </c>
      <c r="K178" s="120">
        <f t="shared" si="34"/>
        <v>1030.6859623733719</v>
      </c>
      <c r="L178" s="122">
        <f t="shared" si="30"/>
        <v>1296331.44</v>
      </c>
      <c r="M178" s="116">
        <f t="shared" si="31"/>
        <v>584127.43999999994</v>
      </c>
      <c r="N178" s="123">
        <f t="shared" si="32"/>
        <v>845.33638205499267</v>
      </c>
      <c r="O178" s="5"/>
      <c r="P178" s="5">
        <f t="shared" si="28"/>
        <v>1</v>
      </c>
      <c r="Q178" s="7">
        <f t="shared" si="29"/>
        <v>691</v>
      </c>
    </row>
    <row r="179" spans="1:21">
      <c r="A179" s="23" t="s">
        <v>207</v>
      </c>
      <c r="B179" s="35" t="s">
        <v>205</v>
      </c>
      <c r="C179" s="125">
        <v>2153</v>
      </c>
      <c r="D179" s="113">
        <v>165540097</v>
      </c>
      <c r="E179" s="116">
        <f t="shared" si="35"/>
        <v>76888.108221086863</v>
      </c>
      <c r="F179" s="117">
        <v>125067399</v>
      </c>
      <c r="G179" s="117">
        <f t="shared" si="36"/>
        <v>58089.82768230376</v>
      </c>
      <c r="H179" s="7"/>
      <c r="I179" s="109">
        <v>6</v>
      </c>
      <c r="J179" s="117">
        <v>750404</v>
      </c>
      <c r="K179" s="120">
        <f t="shared" si="34"/>
        <v>348.53878309335812</v>
      </c>
      <c r="L179" s="122">
        <f t="shared" si="30"/>
        <v>1250673.99</v>
      </c>
      <c r="M179" s="116">
        <f t="shared" si="31"/>
        <v>500269.99</v>
      </c>
      <c r="N179" s="123">
        <f t="shared" si="32"/>
        <v>232.35949372967951</v>
      </c>
      <c r="O179" s="5"/>
      <c r="P179" s="5">
        <f t="shared" si="28"/>
        <v>1</v>
      </c>
      <c r="Q179" s="7">
        <f t="shared" si="29"/>
        <v>2153</v>
      </c>
    </row>
    <row r="180" spans="1:21">
      <c r="A180" s="23" t="s">
        <v>208</v>
      </c>
      <c r="B180" s="35" t="s">
        <v>205</v>
      </c>
      <c r="C180" s="125">
        <v>1294</v>
      </c>
      <c r="D180" s="113">
        <v>81959325</v>
      </c>
      <c r="E180" s="116">
        <f t="shared" si="35"/>
        <v>63337.963678516229</v>
      </c>
      <c r="F180" s="117">
        <v>61873592</v>
      </c>
      <c r="G180" s="117">
        <f t="shared" si="36"/>
        <v>47815.758887171563</v>
      </c>
      <c r="H180" s="7"/>
      <c r="I180" s="109">
        <v>5</v>
      </c>
      <c r="J180" s="117">
        <v>309368</v>
      </c>
      <c r="K180" s="120">
        <f t="shared" si="34"/>
        <v>239.07882534775888</v>
      </c>
      <c r="L180" s="122">
        <f t="shared" si="30"/>
        <v>618735.92000000004</v>
      </c>
      <c r="M180" s="116">
        <f t="shared" si="31"/>
        <v>309367.92000000004</v>
      </c>
      <c r="N180" s="123">
        <f t="shared" si="32"/>
        <v>239.07876352395675</v>
      </c>
      <c r="O180" s="5"/>
      <c r="P180" s="5">
        <f t="shared" si="28"/>
        <v>1</v>
      </c>
      <c r="Q180" s="7">
        <f t="shared" si="29"/>
        <v>1294</v>
      </c>
    </row>
    <row r="181" spans="1:21">
      <c r="A181" s="23" t="s">
        <v>209</v>
      </c>
      <c r="B181" s="35" t="s">
        <v>205</v>
      </c>
      <c r="C181" s="125">
        <v>129</v>
      </c>
      <c r="D181" s="113">
        <v>10220249</v>
      </c>
      <c r="E181" s="116">
        <f t="shared" si="35"/>
        <v>79226.736434108534</v>
      </c>
      <c r="F181" s="117">
        <v>6991351</v>
      </c>
      <c r="G181" s="117">
        <f t="shared" si="36"/>
        <v>54196.519379844962</v>
      </c>
      <c r="H181" s="7"/>
      <c r="I181" s="109">
        <v>8</v>
      </c>
      <c r="J181" s="117">
        <v>55931</v>
      </c>
      <c r="K181" s="120">
        <f t="shared" si="34"/>
        <v>433.5736434108527</v>
      </c>
      <c r="L181" s="122">
        <f t="shared" si="30"/>
        <v>69913.509999999995</v>
      </c>
      <c r="M181" s="116">
        <f t="shared" si="31"/>
        <v>13982.509999999995</v>
      </c>
      <c r="N181" s="123">
        <f t="shared" si="32"/>
        <v>108.39155038759687</v>
      </c>
      <c r="O181" s="5"/>
      <c r="P181" s="5">
        <f t="shared" si="28"/>
        <v>1</v>
      </c>
      <c r="Q181" s="7">
        <f t="shared" si="29"/>
        <v>129</v>
      </c>
    </row>
    <row r="182" spans="1:21">
      <c r="A182" s="23" t="s">
        <v>210</v>
      </c>
      <c r="B182" s="35" t="s">
        <v>205</v>
      </c>
      <c r="C182" s="125">
        <v>2815</v>
      </c>
      <c r="D182" s="113">
        <v>153332356</v>
      </c>
      <c r="E182" s="116">
        <f t="shared" si="35"/>
        <v>54469.75346358792</v>
      </c>
      <c r="F182" s="117">
        <v>91506544</v>
      </c>
      <c r="G182" s="117">
        <f t="shared" si="36"/>
        <v>32506.765186500888</v>
      </c>
      <c r="H182" s="7"/>
      <c r="I182" s="109">
        <v>5.8627000000000002</v>
      </c>
      <c r="J182" s="117">
        <v>536475</v>
      </c>
      <c r="K182" s="120">
        <f t="shared" si="34"/>
        <v>190.57726465364121</v>
      </c>
      <c r="L182" s="122">
        <f t="shared" si="30"/>
        <v>915065.44000000006</v>
      </c>
      <c r="M182" s="116">
        <f t="shared" si="31"/>
        <v>378590.44000000006</v>
      </c>
      <c r="N182" s="123">
        <f t="shared" si="32"/>
        <v>134.4903872113677</v>
      </c>
      <c r="O182" s="5"/>
      <c r="P182" s="5">
        <f t="shared" si="28"/>
        <v>1</v>
      </c>
      <c r="Q182" s="7">
        <f t="shared" si="29"/>
        <v>2815</v>
      </c>
    </row>
    <row r="183" spans="1:21">
      <c r="A183" s="23" t="s">
        <v>211</v>
      </c>
      <c r="B183" s="35" t="s">
        <v>205</v>
      </c>
      <c r="C183" s="125">
        <v>493</v>
      </c>
      <c r="D183" s="113">
        <v>69220388</v>
      </c>
      <c r="E183" s="116">
        <f t="shared" si="35"/>
        <v>140406.46653144015</v>
      </c>
      <c r="F183" s="117">
        <v>51316780</v>
      </c>
      <c r="G183" s="117">
        <f t="shared" si="36"/>
        <v>104090.83164300203</v>
      </c>
      <c r="H183" s="7"/>
      <c r="I183" s="109">
        <v>2.7646000000000002</v>
      </c>
      <c r="J183" s="117">
        <v>141870</v>
      </c>
      <c r="K183" s="120">
        <f t="shared" si="34"/>
        <v>287.7687626774848</v>
      </c>
      <c r="L183" s="122">
        <f t="shared" si="30"/>
        <v>513167.8</v>
      </c>
      <c r="M183" s="116">
        <f t="shared" si="31"/>
        <v>371297.8</v>
      </c>
      <c r="N183" s="123">
        <f t="shared" si="32"/>
        <v>753.13955375253545</v>
      </c>
      <c r="O183" s="5"/>
      <c r="P183" s="5">
        <f t="shared" si="28"/>
        <v>1</v>
      </c>
      <c r="Q183" s="7">
        <f t="shared" si="29"/>
        <v>493</v>
      </c>
      <c r="S183" s="124">
        <f>SUM(D177:D183)</f>
        <v>716849744</v>
      </c>
      <c r="T183" s="124">
        <f>SUM(F177:F183)</f>
        <v>499545756</v>
      </c>
      <c r="U183" s="124">
        <f>SUM(J177:J183)</f>
        <v>2634838</v>
      </c>
    </row>
    <row r="184" spans="1:21">
      <c r="A184" s="23" t="s">
        <v>212</v>
      </c>
      <c r="B184" s="35" t="s">
        <v>213</v>
      </c>
      <c r="C184" s="125">
        <v>958</v>
      </c>
      <c r="D184" s="113">
        <v>69587861</v>
      </c>
      <c r="E184" s="116">
        <f t="shared" si="35"/>
        <v>72638.685803757835</v>
      </c>
      <c r="F184" s="117">
        <v>19182220</v>
      </c>
      <c r="G184" s="117">
        <f t="shared" si="36"/>
        <v>20023.194154488519</v>
      </c>
      <c r="H184" s="7"/>
      <c r="I184" s="109">
        <v>4.6357999999999997</v>
      </c>
      <c r="J184" s="117">
        <v>88925</v>
      </c>
      <c r="K184" s="120">
        <f t="shared" si="34"/>
        <v>92.823590814196237</v>
      </c>
      <c r="L184" s="122">
        <f t="shared" si="30"/>
        <v>191822.2</v>
      </c>
      <c r="M184" s="116">
        <f t="shared" si="31"/>
        <v>102897.20000000001</v>
      </c>
      <c r="N184" s="123">
        <f t="shared" si="32"/>
        <v>107.40835073068895</v>
      </c>
      <c r="O184" s="5"/>
      <c r="P184" s="5">
        <f t="shared" si="28"/>
        <v>1</v>
      </c>
      <c r="Q184" s="7">
        <f t="shared" si="29"/>
        <v>958</v>
      </c>
      <c r="S184" s="124">
        <f>SUM(D184)</f>
        <v>69587861</v>
      </c>
      <c r="T184" s="124">
        <f>SUM(F184)</f>
        <v>19182220</v>
      </c>
      <c r="U184" s="124">
        <f>SUM(J184)</f>
        <v>88925</v>
      </c>
    </row>
    <row r="185" spans="1:21">
      <c r="A185" s="23" t="s">
        <v>214</v>
      </c>
      <c r="B185" s="35" t="s">
        <v>215</v>
      </c>
      <c r="C185" s="125">
        <v>763</v>
      </c>
      <c r="D185" s="113">
        <v>18817624</v>
      </c>
      <c r="E185" s="116">
        <f t="shared" si="35"/>
        <v>24662.67889908257</v>
      </c>
      <c r="F185" s="117">
        <v>10245274</v>
      </c>
      <c r="G185" s="117">
        <f t="shared" si="36"/>
        <v>13427.619921363041</v>
      </c>
      <c r="H185" s="7"/>
      <c r="I185" s="109">
        <v>9.0439000000000007</v>
      </c>
      <c r="J185" s="117">
        <v>92657</v>
      </c>
      <c r="K185" s="120">
        <f t="shared" si="34"/>
        <v>121.43774574049803</v>
      </c>
      <c r="L185" s="122">
        <f t="shared" si="30"/>
        <v>102452.74</v>
      </c>
      <c r="M185" s="116">
        <f t="shared" si="31"/>
        <v>9795.7400000000052</v>
      </c>
      <c r="N185" s="123">
        <f t="shared" si="32"/>
        <v>12.838453473132379</v>
      </c>
      <c r="O185" s="5"/>
      <c r="P185" s="5">
        <f t="shared" si="28"/>
        <v>1</v>
      </c>
      <c r="Q185" s="7">
        <f t="shared" si="29"/>
        <v>763</v>
      </c>
    </row>
    <row r="186" spans="1:21">
      <c r="A186" s="23" t="s">
        <v>198</v>
      </c>
      <c r="B186" s="35" t="s">
        <v>215</v>
      </c>
      <c r="C186" s="125">
        <v>331</v>
      </c>
      <c r="D186" s="113">
        <v>17638191</v>
      </c>
      <c r="E186" s="116">
        <f t="shared" si="35"/>
        <v>53287.586102719033</v>
      </c>
      <c r="F186" s="117">
        <v>6995001</v>
      </c>
      <c r="G186" s="117">
        <f t="shared" si="36"/>
        <v>21132.933534743202</v>
      </c>
      <c r="H186" s="7"/>
      <c r="I186" s="109">
        <v>6.38</v>
      </c>
      <c r="J186" s="117">
        <v>44628</v>
      </c>
      <c r="K186" s="120">
        <f t="shared" si="34"/>
        <v>134.82779456193353</v>
      </c>
      <c r="L186" s="122">
        <f t="shared" si="30"/>
        <v>69950.009999999995</v>
      </c>
      <c r="M186" s="116">
        <f t="shared" si="31"/>
        <v>25322.009999999995</v>
      </c>
      <c r="N186" s="123">
        <f t="shared" si="32"/>
        <v>76.501540785498477</v>
      </c>
      <c r="O186" s="5"/>
      <c r="P186" s="5">
        <f t="shared" si="28"/>
        <v>1</v>
      </c>
      <c r="Q186" s="7">
        <f t="shared" si="29"/>
        <v>331</v>
      </c>
    </row>
    <row r="187" spans="1:21">
      <c r="A187" s="23" t="s">
        <v>215</v>
      </c>
      <c r="B187" s="35" t="s">
        <v>215</v>
      </c>
      <c r="C187" s="125">
        <v>3102</v>
      </c>
      <c r="D187" s="113">
        <v>140675325</v>
      </c>
      <c r="E187" s="116">
        <f t="shared" si="35"/>
        <v>45349.879110251451</v>
      </c>
      <c r="F187" s="117">
        <v>86422064</v>
      </c>
      <c r="G187" s="117">
        <f t="shared" si="36"/>
        <v>27860.110896196002</v>
      </c>
      <c r="H187" s="7"/>
      <c r="I187" s="109">
        <v>7</v>
      </c>
      <c r="J187" s="117">
        <v>604954</v>
      </c>
      <c r="K187" s="120">
        <f t="shared" si="34"/>
        <v>195.02063185041908</v>
      </c>
      <c r="L187" s="122">
        <f t="shared" si="30"/>
        <v>864220.64</v>
      </c>
      <c r="M187" s="116">
        <f t="shared" si="31"/>
        <v>259266.64</v>
      </c>
      <c r="N187" s="123">
        <f t="shared" si="32"/>
        <v>83.580477111540944</v>
      </c>
      <c r="O187" s="5"/>
      <c r="P187" s="5">
        <f t="shared" si="28"/>
        <v>1</v>
      </c>
      <c r="Q187" s="7">
        <f t="shared" si="29"/>
        <v>3102</v>
      </c>
      <c r="S187" s="124">
        <f>SUM(D185:D187)</f>
        <v>177131140</v>
      </c>
      <c r="T187" s="124">
        <f>SUM(F185:F187)</f>
        <v>103662339</v>
      </c>
      <c r="U187" s="124">
        <f>SUM(J185:J187)</f>
        <v>742239</v>
      </c>
    </row>
    <row r="188" spans="1:21">
      <c r="A188" s="23" t="s">
        <v>216</v>
      </c>
      <c r="B188" s="35" t="s">
        <v>217</v>
      </c>
      <c r="C188" s="125">
        <v>1523</v>
      </c>
      <c r="D188" s="113">
        <v>907658836</v>
      </c>
      <c r="E188" s="116">
        <f t="shared" si="35"/>
        <v>595967.71897570579</v>
      </c>
      <c r="F188" s="117">
        <v>717313124</v>
      </c>
      <c r="G188" s="117">
        <f t="shared" si="36"/>
        <v>470986.94944189099</v>
      </c>
      <c r="H188" s="7"/>
      <c r="I188" s="109">
        <v>2.0499999999999998</v>
      </c>
      <c r="J188" s="117">
        <v>1470492</v>
      </c>
      <c r="K188" s="120">
        <f t="shared" si="34"/>
        <v>965.52330925804335</v>
      </c>
      <c r="L188" s="122">
        <f t="shared" si="30"/>
        <v>7173131.2400000002</v>
      </c>
      <c r="M188" s="116">
        <f t="shared" si="31"/>
        <v>5702639.2400000002</v>
      </c>
      <c r="N188" s="123">
        <f t="shared" si="32"/>
        <v>3744.3461851608668</v>
      </c>
      <c r="O188" s="5"/>
      <c r="P188" s="5">
        <f t="shared" si="28"/>
        <v>1</v>
      </c>
      <c r="Q188" s="7">
        <f t="shared" si="29"/>
        <v>1523</v>
      </c>
    </row>
    <row r="189" spans="1:21">
      <c r="A189" s="23" t="s">
        <v>218</v>
      </c>
      <c r="B189" s="35" t="s">
        <v>217</v>
      </c>
      <c r="C189" s="125">
        <v>51148</v>
      </c>
      <c r="D189" s="113">
        <v>3639096051</v>
      </c>
      <c r="E189" s="116">
        <f t="shared" si="35"/>
        <v>71148.354793931343</v>
      </c>
      <c r="F189" s="117">
        <v>2633639011</v>
      </c>
      <c r="G189" s="117">
        <f t="shared" si="36"/>
        <v>51490.557030577933</v>
      </c>
      <c r="H189" s="7"/>
      <c r="I189" s="109">
        <v>5.8975999999999997</v>
      </c>
      <c r="J189" s="117">
        <v>15532149</v>
      </c>
      <c r="K189" s="120">
        <f t="shared" si="34"/>
        <v>303.67070071166029</v>
      </c>
      <c r="L189" s="122">
        <f t="shared" si="30"/>
        <v>26336390.109999999</v>
      </c>
      <c r="M189" s="116">
        <f t="shared" si="31"/>
        <v>10804241.109999999</v>
      </c>
      <c r="N189" s="123">
        <f t="shared" si="32"/>
        <v>211.234869594119</v>
      </c>
      <c r="O189" s="5"/>
      <c r="P189" s="5">
        <f t="shared" si="28"/>
        <v>1</v>
      </c>
      <c r="Q189" s="7">
        <f t="shared" si="29"/>
        <v>51148</v>
      </c>
    </row>
    <row r="190" spans="1:21">
      <c r="A190" s="23" t="s">
        <v>219</v>
      </c>
      <c r="B190" s="35" t="s">
        <v>217</v>
      </c>
      <c r="C190" s="125">
        <v>1166</v>
      </c>
      <c r="D190" s="113">
        <v>535038384</v>
      </c>
      <c r="E190" s="116">
        <f t="shared" si="35"/>
        <v>458866.53859348199</v>
      </c>
      <c r="F190" s="117">
        <v>426905866</v>
      </c>
      <c r="G190" s="117">
        <f t="shared" si="36"/>
        <v>366128.53001715266</v>
      </c>
      <c r="H190" s="7"/>
      <c r="I190" s="109">
        <v>2.3329</v>
      </c>
      <c r="J190" s="117">
        <v>995929</v>
      </c>
      <c r="K190" s="120">
        <f t="shared" si="34"/>
        <v>854.14150943396226</v>
      </c>
      <c r="L190" s="122">
        <f t="shared" si="30"/>
        <v>4269058.66</v>
      </c>
      <c r="M190" s="116">
        <f t="shared" si="31"/>
        <v>3273129.66</v>
      </c>
      <c r="N190" s="123">
        <f t="shared" si="32"/>
        <v>2807.1437907375644</v>
      </c>
      <c r="O190" s="5"/>
      <c r="P190" s="5">
        <f t="shared" si="28"/>
        <v>1</v>
      </c>
      <c r="Q190" s="7">
        <f t="shared" si="29"/>
        <v>1166</v>
      </c>
    </row>
    <row r="191" spans="1:21">
      <c r="A191" s="23" t="s">
        <v>220</v>
      </c>
      <c r="B191" s="35" t="s">
        <v>217</v>
      </c>
      <c r="C191" s="125">
        <v>3839</v>
      </c>
      <c r="D191" s="113">
        <v>1687636291</v>
      </c>
      <c r="E191" s="116">
        <f t="shared" si="35"/>
        <v>439603.09742120345</v>
      </c>
      <c r="F191" s="117">
        <v>1424462816</v>
      </c>
      <c r="G191" s="117">
        <f t="shared" si="36"/>
        <v>371050.48606407916</v>
      </c>
      <c r="H191" s="7"/>
      <c r="I191" s="109">
        <v>1.75</v>
      </c>
      <c r="J191" s="117">
        <v>2492810</v>
      </c>
      <c r="K191" s="120">
        <f t="shared" si="34"/>
        <v>649.33836936702266</v>
      </c>
      <c r="L191" s="122">
        <f t="shared" si="30"/>
        <v>14244628.16</v>
      </c>
      <c r="M191" s="116">
        <f t="shared" si="31"/>
        <v>11751818.16</v>
      </c>
      <c r="N191" s="123">
        <f t="shared" si="32"/>
        <v>3061.1664912737692</v>
      </c>
      <c r="O191" s="5"/>
      <c r="P191" s="5">
        <f t="shared" si="28"/>
        <v>1</v>
      </c>
      <c r="Q191" s="7">
        <f t="shared" si="29"/>
        <v>3839</v>
      </c>
    </row>
    <row r="192" spans="1:21">
      <c r="A192" s="23" t="s">
        <v>221</v>
      </c>
      <c r="B192" s="35" t="s">
        <v>217</v>
      </c>
      <c r="C192" s="125">
        <v>12799</v>
      </c>
      <c r="D192" s="113">
        <v>975006609</v>
      </c>
      <c r="E192" s="116">
        <f t="shared" si="35"/>
        <v>76178.34276115321</v>
      </c>
      <c r="F192" s="117">
        <v>679376060</v>
      </c>
      <c r="G192" s="117">
        <f t="shared" si="36"/>
        <v>53080.401593874521</v>
      </c>
      <c r="H192" s="7"/>
      <c r="I192" s="109">
        <v>5.7171000000000003</v>
      </c>
      <c r="J192" s="117">
        <v>3884061</v>
      </c>
      <c r="K192" s="120">
        <f t="shared" si="34"/>
        <v>303.46597390421124</v>
      </c>
      <c r="L192" s="122">
        <f t="shared" si="30"/>
        <v>6793760.6000000006</v>
      </c>
      <c r="M192" s="116">
        <f t="shared" si="31"/>
        <v>2909699.6000000006</v>
      </c>
      <c r="N192" s="123">
        <f t="shared" si="32"/>
        <v>227.338042034534</v>
      </c>
      <c r="O192" s="5"/>
      <c r="P192" s="5">
        <f t="shared" si="28"/>
        <v>1</v>
      </c>
      <c r="Q192" s="7">
        <f t="shared" si="29"/>
        <v>12799</v>
      </c>
    </row>
    <row r="193" spans="1:21">
      <c r="A193" s="23" t="s">
        <v>478</v>
      </c>
      <c r="B193" s="35" t="s">
        <v>222</v>
      </c>
      <c r="C193" s="125">
        <v>6825</v>
      </c>
      <c r="D193" s="113">
        <v>5621893705</v>
      </c>
      <c r="E193" s="116">
        <f t="shared" si="35"/>
        <v>823720.68937728938</v>
      </c>
      <c r="F193" s="117">
        <v>4933697920</v>
      </c>
      <c r="G193" s="117">
        <f t="shared" si="36"/>
        <v>722886.14212454215</v>
      </c>
      <c r="H193" s="7"/>
      <c r="I193" s="109">
        <v>2.1762999999999999</v>
      </c>
      <c r="J193" s="117">
        <v>10737207</v>
      </c>
      <c r="K193" s="120">
        <f t="shared" si="34"/>
        <v>1573.2171428571428</v>
      </c>
      <c r="L193" s="122">
        <f t="shared" si="30"/>
        <v>49336979.200000003</v>
      </c>
      <c r="M193" s="116">
        <f t="shared" si="31"/>
        <v>38599772.200000003</v>
      </c>
      <c r="N193" s="123">
        <f t="shared" si="32"/>
        <v>5655.6442783882785</v>
      </c>
      <c r="O193" s="5"/>
      <c r="P193" s="5">
        <f t="shared" si="28"/>
        <v>1</v>
      </c>
      <c r="Q193" s="7">
        <f t="shared" si="29"/>
        <v>6825</v>
      </c>
      <c r="S193" s="124">
        <f>SUM(D188:D193)</f>
        <v>13366329876</v>
      </c>
      <c r="T193" s="124">
        <f>SUM(F188:F193)</f>
        <v>10815394797</v>
      </c>
      <c r="U193" s="124">
        <f>SUM(J188:J193)</f>
        <v>35112648</v>
      </c>
    </row>
    <row r="194" spans="1:21">
      <c r="A194" s="23" t="s">
        <v>223</v>
      </c>
      <c r="B194" s="35" t="s">
        <v>224</v>
      </c>
      <c r="C194" s="125">
        <v>4629</v>
      </c>
      <c r="D194" s="113">
        <v>266014600</v>
      </c>
      <c r="E194" s="116">
        <f t="shared" si="35"/>
        <v>57466.969107798657</v>
      </c>
      <c r="F194" s="117">
        <v>191740319</v>
      </c>
      <c r="G194" s="117">
        <f t="shared" si="36"/>
        <v>41421.542233743792</v>
      </c>
      <c r="H194" s="7"/>
      <c r="I194" s="109">
        <v>3.9912000000000001</v>
      </c>
      <c r="J194" s="117">
        <v>765274</v>
      </c>
      <c r="K194" s="120">
        <f t="shared" si="34"/>
        <v>165.32166774681357</v>
      </c>
      <c r="L194" s="122">
        <f t="shared" si="30"/>
        <v>1917403.19</v>
      </c>
      <c r="M194" s="116">
        <f t="shared" si="31"/>
        <v>1152129.19</v>
      </c>
      <c r="N194" s="123">
        <f t="shared" si="32"/>
        <v>248.89375459062433</v>
      </c>
      <c r="O194" s="5"/>
      <c r="P194" s="5">
        <f t="shared" si="28"/>
        <v>1</v>
      </c>
      <c r="Q194" s="7">
        <f t="shared" si="29"/>
        <v>4629</v>
      </c>
    </row>
    <row r="195" spans="1:21">
      <c r="A195" s="23" t="s">
        <v>225</v>
      </c>
      <c r="B195" s="35" t="s">
        <v>224</v>
      </c>
      <c r="C195" s="125">
        <v>1770</v>
      </c>
      <c r="D195" s="113">
        <v>203609164</v>
      </c>
      <c r="E195" s="116">
        <f t="shared" si="35"/>
        <v>115033.42598870056</v>
      </c>
      <c r="F195" s="117">
        <v>139471925</v>
      </c>
      <c r="G195" s="117">
        <f t="shared" si="36"/>
        <v>78797.697740112999</v>
      </c>
      <c r="H195" s="7"/>
      <c r="I195" s="109">
        <v>7.5</v>
      </c>
      <c r="J195" s="117">
        <v>1046039</v>
      </c>
      <c r="K195" s="120">
        <f t="shared" si="34"/>
        <v>590.98248587570617</v>
      </c>
      <c r="L195" s="122">
        <f t="shared" si="30"/>
        <v>1394719.25</v>
      </c>
      <c r="M195" s="116">
        <f t="shared" si="31"/>
        <v>348680.25</v>
      </c>
      <c r="N195" s="123">
        <f t="shared" si="32"/>
        <v>196.99449152542374</v>
      </c>
      <c r="O195" s="5"/>
      <c r="P195" s="5">
        <f t="shared" si="28"/>
        <v>1</v>
      </c>
      <c r="Q195" s="7">
        <f t="shared" si="29"/>
        <v>1770</v>
      </c>
    </row>
    <row r="196" spans="1:21">
      <c r="A196" s="23" t="s">
        <v>226</v>
      </c>
      <c r="B196" s="35" t="s">
        <v>224</v>
      </c>
      <c r="C196" s="125">
        <v>457</v>
      </c>
      <c r="D196" s="113">
        <v>30050479</v>
      </c>
      <c r="E196" s="116">
        <f t="shared" si="35"/>
        <v>65755.971553610507</v>
      </c>
      <c r="F196" s="117">
        <v>16441697</v>
      </c>
      <c r="G196" s="117">
        <f t="shared" si="36"/>
        <v>35977.455142231949</v>
      </c>
      <c r="H196" s="7"/>
      <c r="I196" s="109">
        <v>2.4087000000000001</v>
      </c>
      <c r="J196" s="117">
        <v>39603</v>
      </c>
      <c r="K196" s="120">
        <f t="shared" si="34"/>
        <v>86.658643326039382</v>
      </c>
      <c r="L196" s="122">
        <f t="shared" si="30"/>
        <v>164416.97</v>
      </c>
      <c r="M196" s="116">
        <f t="shared" si="31"/>
        <v>124813.97</v>
      </c>
      <c r="N196" s="123">
        <f t="shared" si="32"/>
        <v>273.11590809628007</v>
      </c>
      <c r="O196" s="5"/>
      <c r="P196" s="5">
        <f t="shared" si="28"/>
        <v>1</v>
      </c>
      <c r="Q196" s="7">
        <f t="shared" si="29"/>
        <v>457</v>
      </c>
    </row>
    <row r="197" spans="1:21">
      <c r="A197" s="23" t="s">
        <v>227</v>
      </c>
      <c r="B197" s="35" t="s">
        <v>224</v>
      </c>
      <c r="C197" s="125">
        <v>57494</v>
      </c>
      <c r="D197" s="113">
        <v>5070575241</v>
      </c>
      <c r="E197" s="116">
        <f t="shared" si="35"/>
        <v>88193.11999512992</v>
      </c>
      <c r="F197" s="117">
        <v>3664167357</v>
      </c>
      <c r="G197" s="117">
        <f t="shared" si="36"/>
        <v>63731.299909555783</v>
      </c>
      <c r="H197" s="9"/>
      <c r="I197" s="109">
        <v>6.1638000000000002</v>
      </c>
      <c r="J197" s="117">
        <v>22585195</v>
      </c>
      <c r="K197" s="120">
        <f t="shared" si="34"/>
        <v>392.82699064250181</v>
      </c>
      <c r="L197" s="122">
        <f t="shared" si="30"/>
        <v>36641673.57</v>
      </c>
      <c r="M197" s="116">
        <f t="shared" si="31"/>
        <v>14056478.57</v>
      </c>
      <c r="N197" s="123">
        <f t="shared" si="32"/>
        <v>244.48600845305597</v>
      </c>
      <c r="O197" s="5"/>
      <c r="P197" s="5">
        <f t="shared" si="28"/>
        <v>1</v>
      </c>
      <c r="Q197" s="7">
        <f t="shared" si="29"/>
        <v>57494</v>
      </c>
    </row>
    <row r="198" spans="1:21">
      <c r="A198" s="23" t="s">
        <v>228</v>
      </c>
      <c r="B198" s="35" t="s">
        <v>224</v>
      </c>
      <c r="C198" s="125">
        <v>498</v>
      </c>
      <c r="D198" s="114" t="s">
        <v>564</v>
      </c>
      <c r="E198" s="116"/>
      <c r="F198" s="117"/>
      <c r="G198" s="117"/>
      <c r="H198" s="98" t="s">
        <v>588</v>
      </c>
      <c r="I198" s="109"/>
      <c r="J198" s="117"/>
      <c r="K198" s="120"/>
      <c r="L198" s="122">
        <f t="shared" si="30"/>
        <v>0</v>
      </c>
      <c r="M198" s="116">
        <f t="shared" si="31"/>
        <v>0</v>
      </c>
      <c r="N198" s="123">
        <f t="shared" si="32"/>
        <v>0</v>
      </c>
      <c r="O198" s="5"/>
      <c r="P198" s="5">
        <f t="shared" ref="P198:P261" si="37">IF(I198&gt;0,1,0)</f>
        <v>0</v>
      </c>
      <c r="Q198" s="7">
        <f t="shared" ref="Q198:Q261" si="38">IF(I198&gt;0,C198,0)</f>
        <v>0</v>
      </c>
      <c r="S198" s="124">
        <f>SUM(D194:D198)</f>
        <v>5570249484</v>
      </c>
      <c r="T198" s="124">
        <f>SUM(F194:F198)</f>
        <v>4011821298</v>
      </c>
      <c r="U198" s="124">
        <f>SUM(J194:J198)</f>
        <v>24436111</v>
      </c>
    </row>
    <row r="199" spans="1:21">
      <c r="A199" s="23" t="s">
        <v>229</v>
      </c>
      <c r="B199" s="35" t="s">
        <v>230</v>
      </c>
      <c r="C199" s="125">
        <v>816</v>
      </c>
      <c r="D199" s="113">
        <v>2331473154</v>
      </c>
      <c r="E199" s="116">
        <f t="shared" si="35"/>
        <v>2857197.4926470588</v>
      </c>
      <c r="F199" s="117">
        <v>2006949551</v>
      </c>
      <c r="G199" s="117">
        <f t="shared" si="36"/>
        <v>2459496.9987745099</v>
      </c>
      <c r="H199" s="9"/>
      <c r="I199" s="109">
        <v>2.7037</v>
      </c>
      <c r="J199" s="117">
        <v>5426190</v>
      </c>
      <c r="K199" s="120">
        <f t="shared" si="34"/>
        <v>6649.7426470588234</v>
      </c>
      <c r="L199" s="122">
        <f t="shared" si="30"/>
        <v>20069495.510000002</v>
      </c>
      <c r="M199" s="116">
        <f t="shared" si="31"/>
        <v>14643305.510000002</v>
      </c>
      <c r="N199" s="123">
        <f t="shared" si="32"/>
        <v>17945.227340686277</v>
      </c>
      <c r="O199" s="5"/>
      <c r="P199" s="5">
        <f t="shared" si="37"/>
        <v>1</v>
      </c>
      <c r="Q199" s="7">
        <f t="shared" si="38"/>
        <v>816</v>
      </c>
    </row>
    <row r="200" spans="1:21">
      <c r="A200" s="24" t="s">
        <v>582</v>
      </c>
      <c r="B200" s="35" t="s">
        <v>230</v>
      </c>
      <c r="C200" s="125">
        <v>95</v>
      </c>
      <c r="D200" s="113">
        <v>23969658</v>
      </c>
      <c r="E200" s="116">
        <f t="shared" si="35"/>
        <v>252312.18947368421</v>
      </c>
      <c r="F200" s="117">
        <v>23024907</v>
      </c>
      <c r="G200" s="117">
        <f t="shared" si="36"/>
        <v>242367.44210526315</v>
      </c>
      <c r="H200" s="9"/>
      <c r="I200" s="110">
        <v>4.9471999999999996</v>
      </c>
      <c r="J200" s="117">
        <v>113909</v>
      </c>
      <c r="K200" s="120">
        <f t="shared" si="34"/>
        <v>1199.042105263158</v>
      </c>
      <c r="L200" s="122">
        <f t="shared" ref="L200:L263" si="39">(F200*0.01)</f>
        <v>230249.07</v>
      </c>
      <c r="M200" s="116">
        <f t="shared" ref="M200:M263" si="40">(L200-J200)</f>
        <v>116340.07</v>
      </c>
      <c r="N200" s="123">
        <f t="shared" ref="N200:N263" si="41">(M200/C200)</f>
        <v>1224.6323157894738</v>
      </c>
      <c r="O200" s="5"/>
      <c r="P200" s="5">
        <f t="shared" si="37"/>
        <v>1</v>
      </c>
      <c r="Q200" s="7">
        <f t="shared" si="38"/>
        <v>95</v>
      </c>
    </row>
    <row r="201" spans="1:21">
      <c r="A201" s="23" t="s">
        <v>446</v>
      </c>
      <c r="B201" s="35" t="s">
        <v>230</v>
      </c>
      <c r="C201" s="125">
        <v>1998</v>
      </c>
      <c r="D201" s="113">
        <v>694531994</v>
      </c>
      <c r="E201" s="116">
        <f t="shared" si="35"/>
        <v>347613.61061061063</v>
      </c>
      <c r="F201" s="117">
        <v>583871551</v>
      </c>
      <c r="G201" s="117">
        <f t="shared" si="36"/>
        <v>292228.00350350351</v>
      </c>
      <c r="H201" s="9"/>
      <c r="I201" s="109">
        <v>2.6</v>
      </c>
      <c r="J201" s="117">
        <v>1518066</v>
      </c>
      <c r="K201" s="120">
        <f t="shared" si="34"/>
        <v>759.79279279279274</v>
      </c>
      <c r="L201" s="122">
        <f t="shared" si="39"/>
        <v>5838715.5099999998</v>
      </c>
      <c r="M201" s="116">
        <f t="shared" si="40"/>
        <v>4320649.51</v>
      </c>
      <c r="N201" s="123">
        <f t="shared" si="41"/>
        <v>2162.4872422422422</v>
      </c>
      <c r="O201" s="5"/>
      <c r="P201" s="5">
        <f t="shared" si="37"/>
        <v>1</v>
      </c>
      <c r="Q201" s="7">
        <f t="shared" si="38"/>
        <v>1998</v>
      </c>
    </row>
    <row r="202" spans="1:21">
      <c r="A202" s="24" t="s">
        <v>231</v>
      </c>
      <c r="B202" s="37" t="s">
        <v>230</v>
      </c>
      <c r="C202" s="125">
        <v>15972</v>
      </c>
      <c r="D202" s="113">
        <v>2257451781</v>
      </c>
      <c r="E202" s="116">
        <f t="shared" si="35"/>
        <v>141338.07794891059</v>
      </c>
      <c r="F202" s="117">
        <v>1531810138</v>
      </c>
      <c r="G202" s="117">
        <f t="shared" si="36"/>
        <v>95905.969070874024</v>
      </c>
      <c r="H202" s="9"/>
      <c r="I202" s="109">
        <v>4.5519999999999996</v>
      </c>
      <c r="J202" s="117">
        <v>6972800</v>
      </c>
      <c r="K202" s="120">
        <f t="shared" si="34"/>
        <v>436.56398697721011</v>
      </c>
      <c r="L202" s="122">
        <f t="shared" si="39"/>
        <v>15318101.380000001</v>
      </c>
      <c r="M202" s="116">
        <f t="shared" si="40"/>
        <v>8345301.3800000008</v>
      </c>
      <c r="N202" s="123">
        <f t="shared" si="41"/>
        <v>522.49570373153028</v>
      </c>
      <c r="O202" s="5"/>
      <c r="P202" s="5">
        <f t="shared" si="37"/>
        <v>1</v>
      </c>
      <c r="Q202" s="7">
        <f t="shared" si="38"/>
        <v>15972</v>
      </c>
      <c r="S202" s="124">
        <f>SUM(D199:D202)</f>
        <v>5307426587</v>
      </c>
      <c r="T202" s="124">
        <f>SUM(F199:F202)</f>
        <v>4145656147</v>
      </c>
      <c r="U202" s="124">
        <f>SUM(J199:J202)</f>
        <v>14030965</v>
      </c>
    </row>
    <row r="203" spans="1:21">
      <c r="A203" s="23" t="s">
        <v>232</v>
      </c>
      <c r="B203" s="37" t="s">
        <v>233</v>
      </c>
      <c r="C203" s="125">
        <v>37262</v>
      </c>
      <c r="D203" s="113">
        <v>10181451570</v>
      </c>
      <c r="E203" s="116">
        <f t="shared" si="35"/>
        <v>273239.53545166657</v>
      </c>
      <c r="F203" s="117">
        <v>8412660744</v>
      </c>
      <c r="G203" s="117">
        <f t="shared" si="36"/>
        <v>225770.51001019805</v>
      </c>
      <c r="H203" s="9"/>
      <c r="I203" s="110">
        <v>1.7261</v>
      </c>
      <c r="J203" s="117">
        <v>14521094</v>
      </c>
      <c r="K203" s="120">
        <f t="shared" si="34"/>
        <v>389.70248510546941</v>
      </c>
      <c r="L203" s="122">
        <f t="shared" si="39"/>
        <v>84126607.439999998</v>
      </c>
      <c r="M203" s="116">
        <f t="shared" si="40"/>
        <v>69605513.439999998</v>
      </c>
      <c r="N203" s="123">
        <f t="shared" si="41"/>
        <v>1868.0026149965111</v>
      </c>
      <c r="O203" s="5"/>
      <c r="P203" s="5">
        <f t="shared" si="37"/>
        <v>1</v>
      </c>
      <c r="Q203" s="7">
        <f t="shared" si="38"/>
        <v>37262</v>
      </c>
    </row>
    <row r="204" spans="1:21">
      <c r="A204" s="23" t="s">
        <v>234</v>
      </c>
      <c r="B204" s="37" t="s">
        <v>233</v>
      </c>
      <c r="C204" s="125">
        <v>2855</v>
      </c>
      <c r="D204" s="113">
        <v>4569195048</v>
      </c>
      <c r="E204" s="116">
        <f t="shared" si="35"/>
        <v>1600418.5807355517</v>
      </c>
      <c r="F204" s="117">
        <v>3952897660</v>
      </c>
      <c r="G204" s="117">
        <f t="shared" si="36"/>
        <v>1384552.595446585</v>
      </c>
      <c r="H204" s="9"/>
      <c r="I204" s="109">
        <v>2.0611000000000002</v>
      </c>
      <c r="J204" s="117">
        <v>8147317</v>
      </c>
      <c r="K204" s="120">
        <f t="shared" si="34"/>
        <v>2853.7012259194394</v>
      </c>
      <c r="L204" s="122">
        <f t="shared" si="39"/>
        <v>39528976.600000001</v>
      </c>
      <c r="M204" s="116">
        <f t="shared" si="40"/>
        <v>31381659.600000001</v>
      </c>
      <c r="N204" s="123">
        <f t="shared" si="41"/>
        <v>10991.824728546409</v>
      </c>
      <c r="O204" s="5"/>
      <c r="P204" s="5">
        <f t="shared" si="37"/>
        <v>1</v>
      </c>
      <c r="Q204" s="7">
        <f t="shared" si="38"/>
        <v>2855</v>
      </c>
    </row>
    <row r="205" spans="1:21">
      <c r="A205" s="23" t="s">
        <v>235</v>
      </c>
      <c r="B205" s="37" t="s">
        <v>233</v>
      </c>
      <c r="C205" s="125">
        <v>5785</v>
      </c>
      <c r="D205" s="113">
        <v>1080086170</v>
      </c>
      <c r="E205" s="116">
        <f t="shared" si="35"/>
        <v>186704.61019878997</v>
      </c>
      <c r="F205" s="117">
        <v>700004640</v>
      </c>
      <c r="G205" s="117">
        <f t="shared" si="36"/>
        <v>121003.39498703544</v>
      </c>
      <c r="H205" s="9"/>
      <c r="I205" s="109">
        <v>4.9000000000000004</v>
      </c>
      <c r="J205" s="117">
        <v>3430023</v>
      </c>
      <c r="K205" s="120">
        <f t="shared" si="34"/>
        <v>592.91668107173723</v>
      </c>
      <c r="L205" s="122">
        <f t="shared" si="39"/>
        <v>7000046.4000000004</v>
      </c>
      <c r="M205" s="116">
        <f t="shared" si="40"/>
        <v>3570023.4000000004</v>
      </c>
      <c r="N205" s="123">
        <f t="shared" si="41"/>
        <v>617.11726879861715</v>
      </c>
      <c r="O205" s="5"/>
      <c r="P205" s="5">
        <f t="shared" si="37"/>
        <v>1</v>
      </c>
      <c r="Q205" s="7">
        <f t="shared" si="38"/>
        <v>5785</v>
      </c>
    </row>
    <row r="206" spans="1:21">
      <c r="A206" s="23" t="s">
        <v>236</v>
      </c>
      <c r="B206" s="37" t="s">
        <v>233</v>
      </c>
      <c r="C206" s="125">
        <v>3140</v>
      </c>
      <c r="D206" s="113">
        <v>250423241</v>
      </c>
      <c r="E206" s="116">
        <f t="shared" si="35"/>
        <v>79752.624522292987</v>
      </c>
      <c r="F206" s="117">
        <v>144479106</v>
      </c>
      <c r="G206" s="117">
        <f t="shared" si="36"/>
        <v>46012.454140127389</v>
      </c>
      <c r="H206" s="9"/>
      <c r="I206" s="109">
        <v>9.6999999999999993</v>
      </c>
      <c r="J206" s="117">
        <v>1401447</v>
      </c>
      <c r="K206" s="120">
        <f t="shared" si="34"/>
        <v>446.32070063694266</v>
      </c>
      <c r="L206" s="122">
        <f t="shared" si="39"/>
        <v>1444791.06</v>
      </c>
      <c r="M206" s="116">
        <f t="shared" si="40"/>
        <v>43344.060000000056</v>
      </c>
      <c r="N206" s="123">
        <f t="shared" si="41"/>
        <v>13.803840764331229</v>
      </c>
      <c r="O206" s="5"/>
      <c r="P206" s="5">
        <f t="shared" si="37"/>
        <v>1</v>
      </c>
      <c r="Q206" s="7">
        <f t="shared" si="38"/>
        <v>3140</v>
      </c>
    </row>
    <row r="207" spans="1:21">
      <c r="A207" s="23" t="s">
        <v>237</v>
      </c>
      <c r="B207" s="37" t="s">
        <v>233</v>
      </c>
      <c r="C207" s="125">
        <v>48780</v>
      </c>
      <c r="D207" s="113">
        <v>17133464120</v>
      </c>
      <c r="E207" s="116">
        <f t="shared" si="35"/>
        <v>351239.52685526857</v>
      </c>
      <c r="F207" s="117">
        <v>12839140462</v>
      </c>
      <c r="G207" s="117">
        <f t="shared" si="36"/>
        <v>263205.0115211152</v>
      </c>
      <c r="H207" s="9"/>
      <c r="I207" s="109">
        <v>5.5890000000000004</v>
      </c>
      <c r="J207" s="117">
        <v>71757956</v>
      </c>
      <c r="K207" s="120">
        <f t="shared" si="34"/>
        <v>1471.0528085280853</v>
      </c>
      <c r="L207" s="122">
        <f t="shared" si="39"/>
        <v>128391404.62</v>
      </c>
      <c r="M207" s="116">
        <f t="shared" si="40"/>
        <v>56633448.620000005</v>
      </c>
      <c r="N207" s="123">
        <f t="shared" si="41"/>
        <v>1160.9973066830669</v>
      </c>
      <c r="O207" s="5"/>
      <c r="P207" s="5">
        <f t="shared" si="37"/>
        <v>1</v>
      </c>
      <c r="Q207" s="7">
        <f t="shared" si="38"/>
        <v>48780</v>
      </c>
    </row>
    <row r="208" spans="1:21">
      <c r="A208" s="23" t="s">
        <v>524</v>
      </c>
      <c r="B208" s="37" t="s">
        <v>233</v>
      </c>
      <c r="C208" s="125">
        <v>42944</v>
      </c>
      <c r="D208" s="113">
        <v>2971427389</v>
      </c>
      <c r="E208" s="116">
        <f t="shared" si="35"/>
        <v>69193.074445789869</v>
      </c>
      <c r="F208" s="117">
        <v>1905611917</v>
      </c>
      <c r="G208" s="117">
        <f t="shared" si="36"/>
        <v>44374.346055327871</v>
      </c>
      <c r="H208" s="9"/>
      <c r="I208" s="109">
        <v>2.3906999999999998</v>
      </c>
      <c r="J208" s="117">
        <v>4555746</v>
      </c>
      <c r="K208" s="120">
        <f t="shared" si="34"/>
        <v>106.08573956780924</v>
      </c>
      <c r="L208" s="122">
        <f t="shared" si="39"/>
        <v>19056119.170000002</v>
      </c>
      <c r="M208" s="116">
        <f t="shared" si="40"/>
        <v>14500373.170000002</v>
      </c>
      <c r="N208" s="123">
        <f t="shared" si="41"/>
        <v>337.6577209854695</v>
      </c>
      <c r="O208" s="5"/>
      <c r="P208" s="5">
        <f t="shared" si="37"/>
        <v>1</v>
      </c>
      <c r="Q208" s="7">
        <f t="shared" si="38"/>
        <v>42944</v>
      </c>
    </row>
    <row r="209" spans="1:17">
      <c r="A209" s="23" t="s">
        <v>501</v>
      </c>
      <c r="B209" s="37" t="s">
        <v>233</v>
      </c>
      <c r="C209" s="125">
        <v>52889</v>
      </c>
      <c r="D209" s="113">
        <v>11704321426</v>
      </c>
      <c r="E209" s="116">
        <f t="shared" si="35"/>
        <v>221299.73011401237</v>
      </c>
      <c r="F209" s="117">
        <v>9470423121</v>
      </c>
      <c r="G209" s="117">
        <f t="shared" si="36"/>
        <v>179062.24585452551</v>
      </c>
      <c r="H209" s="9"/>
      <c r="I209" s="109">
        <v>1.9279999999999999</v>
      </c>
      <c r="J209" s="117">
        <v>18258976</v>
      </c>
      <c r="K209" s="120">
        <f t="shared" si="34"/>
        <v>345.23201421845755</v>
      </c>
      <c r="L209" s="122">
        <f t="shared" si="39"/>
        <v>94704231.210000008</v>
      </c>
      <c r="M209" s="116">
        <f t="shared" si="40"/>
        <v>76445255.210000008</v>
      </c>
      <c r="N209" s="123">
        <f t="shared" si="41"/>
        <v>1445.3904443267977</v>
      </c>
      <c r="O209" s="5"/>
      <c r="P209" s="5">
        <f t="shared" si="37"/>
        <v>1</v>
      </c>
      <c r="Q209" s="7">
        <f t="shared" si="38"/>
        <v>52889</v>
      </c>
    </row>
    <row r="210" spans="1:17">
      <c r="A210" s="23" t="s">
        <v>238</v>
      </c>
      <c r="B210" s="37" t="s">
        <v>233</v>
      </c>
      <c r="C210" s="125">
        <v>2328</v>
      </c>
      <c r="D210" s="113">
        <v>173851352</v>
      </c>
      <c r="E210" s="116">
        <f t="shared" si="35"/>
        <v>74678.415807560144</v>
      </c>
      <c r="F210" s="117">
        <v>98572845</v>
      </c>
      <c r="G210" s="117">
        <f t="shared" si="36"/>
        <v>42342.287371134022</v>
      </c>
      <c r="H210" s="9"/>
      <c r="I210" s="109">
        <v>8.3000000000000007</v>
      </c>
      <c r="J210" s="117">
        <v>818155</v>
      </c>
      <c r="K210" s="120">
        <f t="shared" ref="K210:K273" si="42">(J210/C210)</f>
        <v>351.44115120274915</v>
      </c>
      <c r="L210" s="122">
        <f t="shared" si="39"/>
        <v>985728.45000000007</v>
      </c>
      <c r="M210" s="116">
        <f t="shared" si="40"/>
        <v>167573.45000000007</v>
      </c>
      <c r="N210" s="123">
        <f t="shared" si="41"/>
        <v>71.981722508591091</v>
      </c>
      <c r="O210" s="5"/>
      <c r="P210" s="5">
        <f t="shared" si="37"/>
        <v>1</v>
      </c>
      <c r="Q210" s="7">
        <f t="shared" si="38"/>
        <v>2328</v>
      </c>
    </row>
    <row r="211" spans="1:17">
      <c r="A211" s="23" t="s">
        <v>239</v>
      </c>
      <c r="B211" s="37" t="s">
        <v>233</v>
      </c>
      <c r="C211" s="125">
        <v>12430</v>
      </c>
      <c r="D211" s="113">
        <v>607689019</v>
      </c>
      <c r="E211" s="116">
        <f t="shared" si="35"/>
        <v>48888.899356395814</v>
      </c>
      <c r="F211" s="117">
        <v>408157659</v>
      </c>
      <c r="G211" s="117">
        <f t="shared" si="36"/>
        <v>32836.497103781177</v>
      </c>
      <c r="H211" s="9"/>
      <c r="I211" s="109">
        <v>7.5899000000000001</v>
      </c>
      <c r="J211" s="117">
        <v>3097876</v>
      </c>
      <c r="K211" s="120">
        <f t="shared" si="42"/>
        <v>249.2257441673371</v>
      </c>
      <c r="L211" s="122">
        <f t="shared" si="39"/>
        <v>4081576.5900000003</v>
      </c>
      <c r="M211" s="116">
        <f t="shared" si="40"/>
        <v>983700.59000000032</v>
      </c>
      <c r="N211" s="123">
        <f t="shared" si="41"/>
        <v>79.139226870474687</v>
      </c>
      <c r="O211" s="5"/>
      <c r="P211" s="5">
        <f t="shared" si="37"/>
        <v>1</v>
      </c>
      <c r="Q211" s="7">
        <f t="shared" si="38"/>
        <v>12430</v>
      </c>
    </row>
    <row r="212" spans="1:17">
      <c r="A212" s="23" t="s">
        <v>240</v>
      </c>
      <c r="B212" s="37" t="s">
        <v>233</v>
      </c>
      <c r="C212" s="125">
        <v>917</v>
      </c>
      <c r="D212" s="113">
        <v>1074102549</v>
      </c>
      <c r="E212" s="116">
        <f t="shared" si="35"/>
        <v>1171322.2998909487</v>
      </c>
      <c r="F212" s="117">
        <v>754955871</v>
      </c>
      <c r="G212" s="117">
        <f t="shared" si="36"/>
        <v>823288.84514721914</v>
      </c>
      <c r="H212" s="9"/>
      <c r="I212" s="109">
        <v>7.2450000000000001</v>
      </c>
      <c r="J212" s="117">
        <v>5469655</v>
      </c>
      <c r="K212" s="120">
        <f t="shared" si="42"/>
        <v>5964.7273718647766</v>
      </c>
      <c r="L212" s="122">
        <f t="shared" si="39"/>
        <v>7549558.71</v>
      </c>
      <c r="M212" s="116">
        <f t="shared" si="40"/>
        <v>2079903.71</v>
      </c>
      <c r="N212" s="123">
        <f t="shared" si="41"/>
        <v>2268.1610796074156</v>
      </c>
      <c r="O212" s="5"/>
      <c r="P212" s="5">
        <f t="shared" si="37"/>
        <v>1</v>
      </c>
      <c r="Q212" s="7">
        <f t="shared" si="38"/>
        <v>917</v>
      </c>
    </row>
    <row r="213" spans="1:17">
      <c r="A213" s="23" t="s">
        <v>241</v>
      </c>
      <c r="B213" s="37" t="s">
        <v>233</v>
      </c>
      <c r="C213" s="125">
        <v>230544</v>
      </c>
      <c r="D213" s="113">
        <v>11281368616</v>
      </c>
      <c r="E213" s="116">
        <f t="shared" si="35"/>
        <v>48933.689950725238</v>
      </c>
      <c r="F213" s="117">
        <v>7297177301</v>
      </c>
      <c r="G213" s="117">
        <f t="shared" si="36"/>
        <v>31651.993983794851</v>
      </c>
      <c r="H213" s="9"/>
      <c r="I213" s="109">
        <v>6.3018000000000001</v>
      </c>
      <c r="J213" s="117">
        <v>45985352</v>
      </c>
      <c r="K213" s="120">
        <f t="shared" si="42"/>
        <v>199.46453605385523</v>
      </c>
      <c r="L213" s="122">
        <f t="shared" si="39"/>
        <v>72971773.010000005</v>
      </c>
      <c r="M213" s="116">
        <f t="shared" si="40"/>
        <v>26986421.010000005</v>
      </c>
      <c r="N213" s="123">
        <f t="shared" si="41"/>
        <v>117.0554037840933</v>
      </c>
      <c r="O213" s="5"/>
      <c r="P213" s="5">
        <f t="shared" si="37"/>
        <v>1</v>
      </c>
      <c r="Q213" s="7">
        <f t="shared" si="38"/>
        <v>230544</v>
      </c>
    </row>
    <row r="214" spans="1:17">
      <c r="A214" s="23" t="s">
        <v>242</v>
      </c>
      <c r="B214" s="37" t="s">
        <v>233</v>
      </c>
      <c r="C214" s="125">
        <v>22571</v>
      </c>
      <c r="D214" s="113">
        <v>1569939222</v>
      </c>
      <c r="E214" s="116">
        <f t="shared" si="35"/>
        <v>69555.590004873506</v>
      </c>
      <c r="F214" s="117">
        <v>946792211</v>
      </c>
      <c r="G214" s="117">
        <f t="shared" si="36"/>
        <v>41947.286828230914</v>
      </c>
      <c r="H214" s="9"/>
      <c r="I214" s="109">
        <v>5.1612999999999998</v>
      </c>
      <c r="J214" s="117">
        <v>4886679</v>
      </c>
      <c r="K214" s="120">
        <f t="shared" si="42"/>
        <v>216.502547516725</v>
      </c>
      <c r="L214" s="122">
        <f t="shared" si="39"/>
        <v>9467922.1099999994</v>
      </c>
      <c r="M214" s="116">
        <f t="shared" si="40"/>
        <v>4581243.1099999994</v>
      </c>
      <c r="N214" s="123">
        <f t="shared" si="41"/>
        <v>202.97032076558412</v>
      </c>
      <c r="O214" s="5"/>
      <c r="P214" s="5">
        <f t="shared" si="37"/>
        <v>1</v>
      </c>
      <c r="Q214" s="7">
        <f t="shared" si="38"/>
        <v>22571</v>
      </c>
    </row>
    <row r="215" spans="1:17">
      <c r="A215" s="23" t="s">
        <v>243</v>
      </c>
      <c r="B215" s="37" t="s">
        <v>233</v>
      </c>
      <c r="C215" s="125">
        <v>66586</v>
      </c>
      <c r="D215" s="113">
        <v>3114443898</v>
      </c>
      <c r="E215" s="116">
        <f t="shared" si="35"/>
        <v>46773.254107470042</v>
      </c>
      <c r="F215" s="117">
        <v>1946064461</v>
      </c>
      <c r="G215" s="117">
        <f t="shared" si="36"/>
        <v>29226.330775238039</v>
      </c>
      <c r="H215" s="9"/>
      <c r="I215" s="109">
        <v>5.9215</v>
      </c>
      <c r="J215" s="117">
        <v>11523621</v>
      </c>
      <c r="K215" s="120">
        <f t="shared" si="42"/>
        <v>173.06372210374553</v>
      </c>
      <c r="L215" s="122">
        <f t="shared" si="39"/>
        <v>19460644.609999999</v>
      </c>
      <c r="M215" s="116">
        <f t="shared" si="40"/>
        <v>7937023.6099999994</v>
      </c>
      <c r="N215" s="123">
        <f t="shared" si="41"/>
        <v>119.19958564863484</v>
      </c>
      <c r="O215" s="5"/>
      <c r="P215" s="5">
        <f t="shared" si="37"/>
        <v>1</v>
      </c>
      <c r="Q215" s="7">
        <f t="shared" si="38"/>
        <v>66586</v>
      </c>
    </row>
    <row r="216" spans="1:17">
      <c r="A216" s="23" t="s">
        <v>244</v>
      </c>
      <c r="B216" s="37" t="s">
        <v>233</v>
      </c>
      <c r="C216" s="125">
        <v>89</v>
      </c>
      <c r="D216" s="113">
        <v>532137083</v>
      </c>
      <c r="E216" s="116">
        <f t="shared" si="35"/>
        <v>5979068.3483146066</v>
      </c>
      <c r="F216" s="117">
        <v>448988102</v>
      </c>
      <c r="G216" s="117">
        <f t="shared" si="36"/>
        <v>5044810.1348314611</v>
      </c>
      <c r="H216" s="9"/>
      <c r="I216" s="109">
        <v>7.6736000000000004</v>
      </c>
      <c r="J216" s="117">
        <v>3445355</v>
      </c>
      <c r="K216" s="120">
        <f t="shared" si="42"/>
        <v>38711.853932584272</v>
      </c>
      <c r="L216" s="122">
        <f t="shared" si="39"/>
        <v>4489881.0200000005</v>
      </c>
      <c r="M216" s="116">
        <f t="shared" si="40"/>
        <v>1044526.0200000005</v>
      </c>
      <c r="N216" s="123">
        <f t="shared" si="41"/>
        <v>11736.247415730342</v>
      </c>
      <c r="O216" s="5"/>
      <c r="P216" s="5">
        <f t="shared" si="37"/>
        <v>1</v>
      </c>
      <c r="Q216" s="7">
        <f t="shared" si="38"/>
        <v>89</v>
      </c>
    </row>
    <row r="217" spans="1:17">
      <c r="A217" s="23" t="s">
        <v>246</v>
      </c>
      <c r="B217" s="37" t="s">
        <v>233</v>
      </c>
      <c r="C217" s="125">
        <v>12525</v>
      </c>
      <c r="D217" s="113">
        <v>8904696682</v>
      </c>
      <c r="E217" s="116">
        <f t="shared" si="35"/>
        <v>710953.82690618758</v>
      </c>
      <c r="F217" s="117">
        <v>6690626326</v>
      </c>
      <c r="G217" s="117">
        <f t="shared" si="36"/>
        <v>534181.74259481044</v>
      </c>
      <c r="H217" s="9"/>
      <c r="I217" s="109">
        <v>3</v>
      </c>
      <c r="J217" s="117">
        <v>20071879</v>
      </c>
      <c r="K217" s="120">
        <f t="shared" si="42"/>
        <v>1602.5452295409182</v>
      </c>
      <c r="L217" s="122">
        <f t="shared" si="39"/>
        <v>66906263.259999998</v>
      </c>
      <c r="M217" s="116">
        <f t="shared" si="40"/>
        <v>46834384.259999998</v>
      </c>
      <c r="N217" s="123">
        <f t="shared" si="41"/>
        <v>3739.2721964071857</v>
      </c>
      <c r="O217" s="5"/>
      <c r="P217" s="5">
        <f t="shared" si="37"/>
        <v>1</v>
      </c>
      <c r="Q217" s="7">
        <f t="shared" si="38"/>
        <v>12525</v>
      </c>
    </row>
    <row r="218" spans="1:17">
      <c r="A218" s="23" t="s">
        <v>247</v>
      </c>
      <c r="B218" s="37" t="s">
        <v>233</v>
      </c>
      <c r="C218" s="125">
        <v>859</v>
      </c>
      <c r="D218" s="113">
        <v>1902885630</v>
      </c>
      <c r="E218" s="116">
        <f t="shared" si="35"/>
        <v>2215233.5622817231</v>
      </c>
      <c r="F218" s="117">
        <v>1746318181</v>
      </c>
      <c r="G218" s="117">
        <f t="shared" si="36"/>
        <v>2032966.4505238649</v>
      </c>
      <c r="H218" s="9"/>
      <c r="I218" s="109">
        <v>6.38</v>
      </c>
      <c r="J218" s="117">
        <v>11141510</v>
      </c>
      <c r="K218" s="120">
        <f t="shared" si="42"/>
        <v>12970.325960419092</v>
      </c>
      <c r="L218" s="122">
        <f t="shared" si="39"/>
        <v>17463181.809999999</v>
      </c>
      <c r="M218" s="116">
        <f t="shared" si="40"/>
        <v>6321671.8099999987</v>
      </c>
      <c r="N218" s="123">
        <f t="shared" si="41"/>
        <v>7359.3385448195559</v>
      </c>
      <c r="O218" s="5"/>
      <c r="P218" s="5">
        <f t="shared" si="37"/>
        <v>1</v>
      </c>
      <c r="Q218" s="7">
        <f t="shared" si="38"/>
        <v>859</v>
      </c>
    </row>
    <row r="219" spans="1:17">
      <c r="A219" s="23" t="s">
        <v>248</v>
      </c>
      <c r="B219" s="37" t="s">
        <v>233</v>
      </c>
      <c r="C219" s="125">
        <v>428107</v>
      </c>
      <c r="D219" s="113">
        <v>52442552518</v>
      </c>
      <c r="E219" s="116">
        <f t="shared" si="35"/>
        <v>122498.70363717483</v>
      </c>
      <c r="F219" s="117">
        <v>35288148446</v>
      </c>
      <c r="G219" s="117">
        <f t="shared" si="36"/>
        <v>82428.337882819018</v>
      </c>
      <c r="H219" s="9"/>
      <c r="I219" s="109">
        <v>7.6464999999999996</v>
      </c>
      <c r="J219" s="117">
        <v>269830827</v>
      </c>
      <c r="K219" s="120">
        <f t="shared" si="42"/>
        <v>630.28828540528423</v>
      </c>
      <c r="L219" s="122">
        <f t="shared" si="39"/>
        <v>352881484.45999998</v>
      </c>
      <c r="M219" s="116">
        <f t="shared" si="40"/>
        <v>83050657.459999979</v>
      </c>
      <c r="N219" s="123">
        <f t="shared" si="41"/>
        <v>193.99509342290591</v>
      </c>
      <c r="O219" s="5"/>
      <c r="P219" s="5">
        <f t="shared" si="37"/>
        <v>1</v>
      </c>
      <c r="Q219" s="7">
        <f t="shared" si="38"/>
        <v>428107</v>
      </c>
    </row>
    <row r="220" spans="1:17">
      <c r="A220" s="23" t="s">
        <v>249</v>
      </c>
      <c r="B220" s="37" t="s">
        <v>233</v>
      </c>
      <c r="C220" s="125">
        <v>91540</v>
      </c>
      <c r="D220" s="113">
        <v>36788883997</v>
      </c>
      <c r="E220" s="116">
        <f t="shared" si="35"/>
        <v>401888.61696526111</v>
      </c>
      <c r="F220" s="117">
        <v>27001748454</v>
      </c>
      <c r="G220" s="117">
        <f t="shared" si="36"/>
        <v>294972.1264365305</v>
      </c>
      <c r="H220" s="9"/>
      <c r="I220" s="109">
        <v>5.7942</v>
      </c>
      <c r="J220" s="117">
        <v>156453531</v>
      </c>
      <c r="K220" s="120">
        <f t="shared" si="42"/>
        <v>1709.1274961765348</v>
      </c>
      <c r="L220" s="122">
        <f t="shared" si="39"/>
        <v>270017484.54000002</v>
      </c>
      <c r="M220" s="116">
        <f t="shared" si="40"/>
        <v>113563953.54000002</v>
      </c>
      <c r="N220" s="123">
        <f t="shared" si="41"/>
        <v>1240.5937681887701</v>
      </c>
      <c r="O220" s="5"/>
      <c r="P220" s="5">
        <f t="shared" si="37"/>
        <v>1</v>
      </c>
      <c r="Q220" s="7">
        <f t="shared" si="38"/>
        <v>91540</v>
      </c>
    </row>
    <row r="221" spans="1:17">
      <c r="A221" s="23" t="s">
        <v>500</v>
      </c>
      <c r="B221" s="37" t="s">
        <v>233</v>
      </c>
      <c r="C221" s="125">
        <v>108160</v>
      </c>
      <c r="D221" s="113">
        <v>5456051197</v>
      </c>
      <c r="E221" s="116">
        <f t="shared" si="35"/>
        <v>50444.260327292897</v>
      </c>
      <c r="F221" s="117">
        <v>3421977693</v>
      </c>
      <c r="G221" s="117">
        <f t="shared" si="36"/>
        <v>31638.107368713019</v>
      </c>
      <c r="H221" s="9"/>
      <c r="I221" s="109">
        <v>6.9363000000000001</v>
      </c>
      <c r="J221" s="117">
        <v>23735864</v>
      </c>
      <c r="K221" s="120">
        <f t="shared" si="42"/>
        <v>219.4514053254438</v>
      </c>
      <c r="L221" s="122">
        <f t="shared" si="39"/>
        <v>34219776.93</v>
      </c>
      <c r="M221" s="116">
        <f t="shared" si="40"/>
        <v>10483912.93</v>
      </c>
      <c r="N221" s="123">
        <f t="shared" si="41"/>
        <v>96.929668361686382</v>
      </c>
      <c r="O221" s="5"/>
      <c r="P221" s="5">
        <f t="shared" si="37"/>
        <v>1</v>
      </c>
      <c r="Q221" s="7">
        <f t="shared" si="38"/>
        <v>108160</v>
      </c>
    </row>
    <row r="222" spans="1:17">
      <c r="A222" s="23" t="s">
        <v>459</v>
      </c>
      <c r="B222" s="37" t="s">
        <v>233</v>
      </c>
      <c r="C222" s="125">
        <v>30161</v>
      </c>
      <c r="D222" s="113">
        <v>3649268250</v>
      </c>
      <c r="E222" s="116">
        <f t="shared" si="35"/>
        <v>120992.94618878684</v>
      </c>
      <c r="F222" s="117">
        <v>2573637533</v>
      </c>
      <c r="G222" s="117">
        <f t="shared" si="36"/>
        <v>85329.980206226581</v>
      </c>
      <c r="H222" s="9"/>
      <c r="I222" s="109">
        <v>2.3517999999999999</v>
      </c>
      <c r="J222" s="117">
        <v>6052681</v>
      </c>
      <c r="K222" s="120">
        <f t="shared" si="42"/>
        <v>200.67905573422632</v>
      </c>
      <c r="L222" s="122">
        <f t="shared" si="39"/>
        <v>25736375.330000002</v>
      </c>
      <c r="M222" s="116">
        <f t="shared" si="40"/>
        <v>19683694.330000002</v>
      </c>
      <c r="N222" s="123">
        <f t="shared" si="41"/>
        <v>652.62074632803956</v>
      </c>
      <c r="O222" s="5"/>
      <c r="P222" s="5">
        <f t="shared" si="37"/>
        <v>1</v>
      </c>
      <c r="Q222" s="7">
        <f t="shared" si="38"/>
        <v>30161</v>
      </c>
    </row>
    <row r="223" spans="1:17">
      <c r="A223" s="23" t="s">
        <v>250</v>
      </c>
      <c r="B223" s="37" t="s">
        <v>233</v>
      </c>
      <c r="C223" s="125">
        <v>10781</v>
      </c>
      <c r="D223" s="113">
        <v>1483377513</v>
      </c>
      <c r="E223" s="116">
        <f t="shared" ref="E223:E286" si="43">(D223/C223)</f>
        <v>137591.82942213153</v>
      </c>
      <c r="F223" s="117">
        <v>828750875</v>
      </c>
      <c r="G223" s="117">
        <f t="shared" ref="G223:G286" si="44">(F223/C223)</f>
        <v>76871.42890269919</v>
      </c>
      <c r="H223" s="9"/>
      <c r="I223" s="109">
        <v>8</v>
      </c>
      <c r="J223" s="117">
        <v>6630007</v>
      </c>
      <c r="K223" s="120">
        <f t="shared" si="42"/>
        <v>614.97143122159355</v>
      </c>
      <c r="L223" s="122">
        <f t="shared" si="39"/>
        <v>8287508.75</v>
      </c>
      <c r="M223" s="116">
        <f t="shared" si="40"/>
        <v>1657501.75</v>
      </c>
      <c r="N223" s="123">
        <f t="shared" si="41"/>
        <v>153.74285780539839</v>
      </c>
      <c r="O223" s="5"/>
      <c r="P223" s="5">
        <f t="shared" si="37"/>
        <v>1</v>
      </c>
      <c r="Q223" s="7">
        <f t="shared" si="38"/>
        <v>10781</v>
      </c>
    </row>
    <row r="224" spans="1:17">
      <c r="A224" s="23" t="s">
        <v>251</v>
      </c>
      <c r="B224" s="37" t="s">
        <v>233</v>
      </c>
      <c r="C224" s="125">
        <v>14027</v>
      </c>
      <c r="D224" s="113">
        <v>1394371601</v>
      </c>
      <c r="E224" s="116">
        <f t="shared" si="43"/>
        <v>99406.259428245525</v>
      </c>
      <c r="F224" s="117">
        <v>944995194</v>
      </c>
      <c r="G224" s="117">
        <f t="shared" si="44"/>
        <v>67369.729379054683</v>
      </c>
      <c r="H224" s="9"/>
      <c r="I224" s="109">
        <v>7.6710000000000003</v>
      </c>
      <c r="J224" s="117">
        <v>7249058</v>
      </c>
      <c r="K224" s="120">
        <f t="shared" si="42"/>
        <v>516.79318457261002</v>
      </c>
      <c r="L224" s="122">
        <f t="shared" si="39"/>
        <v>9449951.9399999995</v>
      </c>
      <c r="M224" s="116">
        <f t="shared" si="40"/>
        <v>2200893.9399999995</v>
      </c>
      <c r="N224" s="123">
        <f t="shared" si="41"/>
        <v>156.90410921793679</v>
      </c>
      <c r="O224" s="5"/>
      <c r="P224" s="5">
        <f t="shared" si="37"/>
        <v>1</v>
      </c>
      <c r="Q224" s="7">
        <f t="shared" si="38"/>
        <v>14027</v>
      </c>
    </row>
    <row r="225" spans="1:21">
      <c r="A225" s="23" t="s">
        <v>252</v>
      </c>
      <c r="B225" s="37" t="s">
        <v>233</v>
      </c>
      <c r="C225" s="125">
        <v>7851</v>
      </c>
      <c r="D225" s="113">
        <v>1003577104</v>
      </c>
      <c r="E225" s="116">
        <f t="shared" si="43"/>
        <v>127827.93325690995</v>
      </c>
      <c r="F225" s="117">
        <v>748175711</v>
      </c>
      <c r="G225" s="117">
        <f t="shared" si="44"/>
        <v>95296.868042287606</v>
      </c>
      <c r="H225" s="9"/>
      <c r="I225" s="109">
        <v>5.4740000000000002</v>
      </c>
      <c r="J225" s="117">
        <v>4095514</v>
      </c>
      <c r="K225" s="120">
        <f t="shared" si="42"/>
        <v>521.65507578652398</v>
      </c>
      <c r="L225" s="122">
        <f t="shared" si="39"/>
        <v>7481757.1100000003</v>
      </c>
      <c r="M225" s="116">
        <f t="shared" si="40"/>
        <v>3386243.1100000003</v>
      </c>
      <c r="N225" s="123">
        <f t="shared" si="41"/>
        <v>431.31360463635212</v>
      </c>
      <c r="O225" s="5"/>
      <c r="P225" s="5">
        <f t="shared" si="37"/>
        <v>1</v>
      </c>
      <c r="Q225" s="7">
        <f t="shared" si="38"/>
        <v>7851</v>
      </c>
    </row>
    <row r="226" spans="1:21">
      <c r="A226" s="23" t="s">
        <v>253</v>
      </c>
      <c r="B226" s="37" t="s">
        <v>233</v>
      </c>
      <c r="C226" s="125">
        <v>61912</v>
      </c>
      <c r="D226" s="113">
        <v>3405658984</v>
      </c>
      <c r="E226" s="116">
        <f t="shared" si="43"/>
        <v>55008.059568419696</v>
      </c>
      <c r="F226" s="117">
        <v>2198215544</v>
      </c>
      <c r="G226" s="117">
        <f t="shared" si="44"/>
        <v>35505.484300297197</v>
      </c>
      <c r="H226" s="9"/>
      <c r="I226" s="109">
        <v>7.9336000000000002</v>
      </c>
      <c r="J226" s="117">
        <v>17439763</v>
      </c>
      <c r="K226" s="120">
        <f t="shared" si="42"/>
        <v>281.68631283111512</v>
      </c>
      <c r="L226" s="122">
        <f t="shared" si="39"/>
        <v>21982155.440000001</v>
      </c>
      <c r="M226" s="116">
        <f t="shared" si="40"/>
        <v>4542392.4400000013</v>
      </c>
      <c r="N226" s="123">
        <f t="shared" si="41"/>
        <v>73.368530171856847</v>
      </c>
      <c r="O226" s="5"/>
      <c r="P226" s="5">
        <f t="shared" si="37"/>
        <v>1</v>
      </c>
      <c r="Q226" s="7">
        <f t="shared" si="38"/>
        <v>61912</v>
      </c>
    </row>
    <row r="227" spans="1:21">
      <c r="A227" s="23" t="s">
        <v>254</v>
      </c>
      <c r="B227" s="37" t="s">
        <v>233</v>
      </c>
      <c r="C227" s="125">
        <v>43227</v>
      </c>
      <c r="D227" s="113">
        <v>2743608784</v>
      </c>
      <c r="E227" s="116">
        <f t="shared" si="43"/>
        <v>63469.793971360494</v>
      </c>
      <c r="F227" s="117">
        <v>1868386882</v>
      </c>
      <c r="G227" s="117">
        <f t="shared" si="44"/>
        <v>43222.682166238694</v>
      </c>
      <c r="H227" s="9"/>
      <c r="I227" s="109">
        <v>6.6036000000000001</v>
      </c>
      <c r="J227" s="117">
        <v>12338080</v>
      </c>
      <c r="K227" s="120">
        <f t="shared" si="42"/>
        <v>285.42531288315172</v>
      </c>
      <c r="L227" s="122">
        <f t="shared" si="39"/>
        <v>18683868.82</v>
      </c>
      <c r="M227" s="116">
        <f t="shared" si="40"/>
        <v>6345788.8200000003</v>
      </c>
      <c r="N227" s="123">
        <f t="shared" si="41"/>
        <v>146.80150877923521</v>
      </c>
      <c r="O227" s="5"/>
      <c r="P227" s="5">
        <f t="shared" si="37"/>
        <v>1</v>
      </c>
      <c r="Q227" s="7">
        <f t="shared" si="38"/>
        <v>43227</v>
      </c>
    </row>
    <row r="228" spans="1:21">
      <c r="A228" s="23" t="s">
        <v>255</v>
      </c>
      <c r="B228" s="37" t="s">
        <v>233</v>
      </c>
      <c r="C228" s="125">
        <v>16873</v>
      </c>
      <c r="D228" s="113">
        <v>952178124</v>
      </c>
      <c r="E228" s="116">
        <f t="shared" si="43"/>
        <v>56432.058555088013</v>
      </c>
      <c r="F228" s="117">
        <v>661027932</v>
      </c>
      <c r="G228" s="117">
        <f t="shared" si="44"/>
        <v>39176.668760742017</v>
      </c>
      <c r="H228" s="9"/>
      <c r="I228" s="109">
        <v>8.5</v>
      </c>
      <c r="J228" s="117">
        <v>5618737</v>
      </c>
      <c r="K228" s="120">
        <f t="shared" si="42"/>
        <v>333.00165945593551</v>
      </c>
      <c r="L228" s="122">
        <f t="shared" si="39"/>
        <v>6610279.3200000003</v>
      </c>
      <c r="M228" s="116">
        <f t="shared" si="40"/>
        <v>991542.3200000003</v>
      </c>
      <c r="N228" s="123">
        <f t="shared" si="41"/>
        <v>58.765028151484636</v>
      </c>
      <c r="O228" s="5"/>
      <c r="P228" s="5">
        <f t="shared" si="37"/>
        <v>1</v>
      </c>
      <c r="Q228" s="7">
        <f t="shared" si="38"/>
        <v>16873</v>
      </c>
    </row>
    <row r="229" spans="1:21">
      <c r="A229" s="23" t="s">
        <v>493</v>
      </c>
      <c r="B229" s="37" t="s">
        <v>233</v>
      </c>
      <c r="C229" s="125">
        <v>23767</v>
      </c>
      <c r="D229" s="113">
        <v>3573153584</v>
      </c>
      <c r="E229" s="116">
        <f t="shared" si="43"/>
        <v>150340.9594816342</v>
      </c>
      <c r="F229" s="117">
        <v>2457641509</v>
      </c>
      <c r="G229" s="117">
        <f t="shared" si="44"/>
        <v>103405.62582572474</v>
      </c>
      <c r="H229" s="9"/>
      <c r="I229" s="109">
        <v>2.4470000000000001</v>
      </c>
      <c r="J229" s="117">
        <v>6013849</v>
      </c>
      <c r="K229" s="120">
        <f t="shared" si="42"/>
        <v>253.03357596667649</v>
      </c>
      <c r="L229" s="122">
        <f t="shared" si="39"/>
        <v>24576415.09</v>
      </c>
      <c r="M229" s="116">
        <f t="shared" si="40"/>
        <v>18562566.09</v>
      </c>
      <c r="N229" s="123">
        <f t="shared" si="41"/>
        <v>781.02268229057097</v>
      </c>
      <c r="O229" s="5"/>
      <c r="P229" s="5">
        <f t="shared" si="37"/>
        <v>1</v>
      </c>
      <c r="Q229" s="7">
        <f t="shared" si="38"/>
        <v>23767</v>
      </c>
    </row>
    <row r="230" spans="1:21">
      <c r="A230" s="23" t="s">
        <v>256</v>
      </c>
      <c r="B230" s="37" t="s">
        <v>233</v>
      </c>
      <c r="C230" s="125">
        <v>18403</v>
      </c>
      <c r="D230" s="113">
        <v>5224072613</v>
      </c>
      <c r="E230" s="116">
        <f t="shared" si="43"/>
        <v>283870.70656958106</v>
      </c>
      <c r="F230" s="117">
        <v>3904045488</v>
      </c>
      <c r="G230" s="117">
        <f t="shared" si="44"/>
        <v>212141.79688094332</v>
      </c>
      <c r="H230" s="9"/>
      <c r="I230" s="109">
        <v>2.2999999999999998</v>
      </c>
      <c r="J230" s="117">
        <v>8979305</v>
      </c>
      <c r="K230" s="120">
        <f t="shared" si="42"/>
        <v>487.92615334456337</v>
      </c>
      <c r="L230" s="122">
        <f t="shared" si="39"/>
        <v>39040454.880000003</v>
      </c>
      <c r="M230" s="116">
        <f t="shared" si="40"/>
        <v>30061149.880000003</v>
      </c>
      <c r="N230" s="123">
        <f t="shared" si="41"/>
        <v>1633.4918154648701</v>
      </c>
      <c r="O230" s="5"/>
      <c r="P230" s="5">
        <f t="shared" si="37"/>
        <v>1</v>
      </c>
      <c r="Q230" s="7">
        <f t="shared" si="38"/>
        <v>18403</v>
      </c>
    </row>
    <row r="231" spans="1:21">
      <c r="A231" s="23" t="s">
        <v>257</v>
      </c>
      <c r="B231" s="37" t="s">
        <v>233</v>
      </c>
      <c r="C231" s="125">
        <v>13623</v>
      </c>
      <c r="D231" s="113">
        <v>2170351655</v>
      </c>
      <c r="E231" s="116">
        <f t="shared" si="43"/>
        <v>159315.2503119724</v>
      </c>
      <c r="F231" s="117">
        <v>1479270078</v>
      </c>
      <c r="G231" s="117">
        <f t="shared" si="44"/>
        <v>108586.2202158115</v>
      </c>
      <c r="H231" s="9"/>
      <c r="I231" s="110">
        <v>4.3639000000000001</v>
      </c>
      <c r="J231" s="117">
        <v>6455387</v>
      </c>
      <c r="K231" s="120">
        <f t="shared" si="42"/>
        <v>473.8594289069955</v>
      </c>
      <c r="L231" s="122">
        <f t="shared" si="39"/>
        <v>14792700.780000001</v>
      </c>
      <c r="M231" s="116">
        <f t="shared" si="40"/>
        <v>8337313.7800000012</v>
      </c>
      <c r="N231" s="123">
        <f t="shared" si="41"/>
        <v>612.00277325111949</v>
      </c>
      <c r="O231" s="5"/>
      <c r="P231" s="5">
        <f t="shared" si="37"/>
        <v>1</v>
      </c>
      <c r="Q231" s="7">
        <f t="shared" si="38"/>
        <v>13623</v>
      </c>
    </row>
    <row r="232" spans="1:21">
      <c r="A232" s="23" t="s">
        <v>258</v>
      </c>
      <c r="B232" s="37" t="s">
        <v>233</v>
      </c>
      <c r="C232" s="125">
        <v>21698</v>
      </c>
      <c r="D232" s="113">
        <v>10018989781</v>
      </c>
      <c r="E232" s="116">
        <f t="shared" si="43"/>
        <v>461747.1555442898</v>
      </c>
      <c r="F232" s="117">
        <v>7723241216</v>
      </c>
      <c r="G232" s="117">
        <f t="shared" si="44"/>
        <v>355942.53922020464</v>
      </c>
      <c r="H232" s="9"/>
      <c r="I232" s="109">
        <v>2.6</v>
      </c>
      <c r="J232" s="117">
        <v>20080427</v>
      </c>
      <c r="K232" s="120">
        <f t="shared" si="42"/>
        <v>925.45059452484099</v>
      </c>
      <c r="L232" s="122">
        <f t="shared" si="39"/>
        <v>77232412.159999996</v>
      </c>
      <c r="M232" s="116">
        <f t="shared" si="40"/>
        <v>57151985.159999996</v>
      </c>
      <c r="N232" s="123">
        <f t="shared" si="41"/>
        <v>2633.9747976772051</v>
      </c>
      <c r="O232" s="5"/>
      <c r="P232" s="5">
        <f t="shared" si="37"/>
        <v>1</v>
      </c>
      <c r="Q232" s="7">
        <f t="shared" si="38"/>
        <v>21698</v>
      </c>
    </row>
    <row r="233" spans="1:21">
      <c r="A233" s="23" t="s">
        <v>259</v>
      </c>
      <c r="B233" s="37" t="s">
        <v>233</v>
      </c>
      <c r="C233" s="125">
        <v>5722</v>
      </c>
      <c r="D233" s="113">
        <v>1805769881</v>
      </c>
      <c r="E233" s="116">
        <f t="shared" si="43"/>
        <v>315583.69119189098</v>
      </c>
      <c r="F233" s="117">
        <v>1348557344</v>
      </c>
      <c r="G233" s="117">
        <f t="shared" si="44"/>
        <v>235679.36805312827</v>
      </c>
      <c r="H233" s="9"/>
      <c r="I233" s="109">
        <v>5.0293000000000001</v>
      </c>
      <c r="J233" s="117">
        <v>6782299</v>
      </c>
      <c r="K233" s="120">
        <f t="shared" si="42"/>
        <v>1185.3021670744495</v>
      </c>
      <c r="L233" s="122">
        <f t="shared" si="39"/>
        <v>13485573.439999999</v>
      </c>
      <c r="M233" s="116">
        <f t="shared" si="40"/>
        <v>6703274.4399999995</v>
      </c>
      <c r="N233" s="123">
        <f t="shared" si="41"/>
        <v>1171.4915134568332</v>
      </c>
      <c r="O233" s="5"/>
      <c r="P233" s="5">
        <f t="shared" si="37"/>
        <v>1</v>
      </c>
      <c r="Q233" s="7">
        <f t="shared" si="38"/>
        <v>5722</v>
      </c>
    </row>
    <row r="234" spans="1:21">
      <c r="A234" s="23" t="s">
        <v>260</v>
      </c>
      <c r="B234" s="37" t="s">
        <v>233</v>
      </c>
      <c r="C234" s="125">
        <v>20345</v>
      </c>
      <c r="D234" s="113">
        <v>1634142586</v>
      </c>
      <c r="E234" s="116">
        <f t="shared" si="43"/>
        <v>80321.582010321945</v>
      </c>
      <c r="F234" s="117">
        <v>1316450175</v>
      </c>
      <c r="G234" s="117">
        <f t="shared" si="44"/>
        <v>64706.324649791102</v>
      </c>
      <c r="H234" s="9"/>
      <c r="I234" s="109">
        <v>2.7492999999999999</v>
      </c>
      <c r="J234" s="117">
        <v>3619316</v>
      </c>
      <c r="K234" s="120">
        <f t="shared" si="42"/>
        <v>177.89707544851314</v>
      </c>
      <c r="L234" s="122">
        <f t="shared" si="39"/>
        <v>13164501.75</v>
      </c>
      <c r="M234" s="116">
        <f t="shared" si="40"/>
        <v>9545185.75</v>
      </c>
      <c r="N234" s="123">
        <f t="shared" si="41"/>
        <v>469.16617104939786</v>
      </c>
      <c r="O234" s="5"/>
      <c r="P234" s="5">
        <f t="shared" si="37"/>
        <v>1</v>
      </c>
      <c r="Q234" s="7">
        <f t="shared" si="38"/>
        <v>20345</v>
      </c>
    </row>
    <row r="235" spans="1:21">
      <c r="A235" s="23" t="s">
        <v>261</v>
      </c>
      <c r="B235" s="35" t="s">
        <v>233</v>
      </c>
      <c r="C235" s="125">
        <v>2400</v>
      </c>
      <c r="D235" s="113">
        <v>287935988</v>
      </c>
      <c r="E235" s="116">
        <f t="shared" si="43"/>
        <v>119973.32833333334</v>
      </c>
      <c r="F235" s="117">
        <v>235329962</v>
      </c>
      <c r="G235" s="117">
        <f t="shared" si="44"/>
        <v>98054.150833333333</v>
      </c>
      <c r="H235" s="9"/>
      <c r="I235" s="110">
        <v>5.15</v>
      </c>
      <c r="J235" s="117">
        <v>1211949</v>
      </c>
      <c r="K235" s="120">
        <f t="shared" si="42"/>
        <v>504.97874999999999</v>
      </c>
      <c r="L235" s="122">
        <f t="shared" si="39"/>
        <v>2353299.62</v>
      </c>
      <c r="M235" s="116">
        <f t="shared" si="40"/>
        <v>1141350.6200000001</v>
      </c>
      <c r="N235" s="123">
        <f t="shared" si="41"/>
        <v>475.56275833333336</v>
      </c>
      <c r="O235" s="5"/>
      <c r="P235" s="5">
        <f t="shared" si="37"/>
        <v>1</v>
      </c>
      <c r="Q235" s="7">
        <f t="shared" si="38"/>
        <v>2400</v>
      </c>
    </row>
    <row r="236" spans="1:21">
      <c r="A236" s="23" t="s">
        <v>262</v>
      </c>
      <c r="B236" s="35" t="s">
        <v>233</v>
      </c>
      <c r="C236" s="125">
        <v>6012</v>
      </c>
      <c r="D236" s="113">
        <v>471290220</v>
      </c>
      <c r="E236" s="116">
        <f t="shared" si="43"/>
        <v>78391.586826347309</v>
      </c>
      <c r="F236" s="117">
        <v>300575120</v>
      </c>
      <c r="G236" s="117">
        <f t="shared" si="44"/>
        <v>49995.861610113105</v>
      </c>
      <c r="H236" s="9"/>
      <c r="I236" s="109">
        <v>6.8857999999999997</v>
      </c>
      <c r="J236" s="117">
        <v>2069700</v>
      </c>
      <c r="K236" s="120">
        <f t="shared" si="42"/>
        <v>344.26147704590818</v>
      </c>
      <c r="L236" s="122">
        <f t="shared" si="39"/>
        <v>3005751.2</v>
      </c>
      <c r="M236" s="116">
        <f t="shared" si="40"/>
        <v>936051.20000000019</v>
      </c>
      <c r="N236" s="123">
        <f t="shared" si="41"/>
        <v>155.69713905522292</v>
      </c>
      <c r="O236" s="5"/>
      <c r="P236" s="5">
        <f t="shared" si="37"/>
        <v>1</v>
      </c>
      <c r="Q236" s="7">
        <f t="shared" si="38"/>
        <v>6012</v>
      </c>
      <c r="S236" s="124">
        <f>SUM(D203:D236)</f>
        <v>211556717395</v>
      </c>
      <c r="T236" s="124">
        <f>SUM(F203:F236)</f>
        <v>152063045763</v>
      </c>
      <c r="U236" s="124">
        <f>SUM(J203:J236)</f>
        <v>793168935</v>
      </c>
    </row>
    <row r="237" spans="1:21">
      <c r="A237" s="23" t="s">
        <v>263</v>
      </c>
      <c r="B237" s="35" t="s">
        <v>264</v>
      </c>
      <c r="C237" s="125">
        <v>6212</v>
      </c>
      <c r="D237" s="113">
        <v>3415247734</v>
      </c>
      <c r="E237" s="116">
        <f t="shared" si="43"/>
        <v>549782.31390856404</v>
      </c>
      <c r="F237" s="117">
        <v>2666835882</v>
      </c>
      <c r="G237" s="117">
        <f t="shared" si="44"/>
        <v>429303.90888602706</v>
      </c>
      <c r="H237" s="7"/>
      <c r="I237" s="109">
        <v>2.5329000000000002</v>
      </c>
      <c r="J237" s="117">
        <v>6754829</v>
      </c>
      <c r="K237" s="120">
        <f t="shared" si="42"/>
        <v>1087.3839343206696</v>
      </c>
      <c r="L237" s="122">
        <f t="shared" si="39"/>
        <v>26668358.82</v>
      </c>
      <c r="M237" s="116">
        <f t="shared" si="40"/>
        <v>19913529.82</v>
      </c>
      <c r="N237" s="123">
        <f t="shared" si="41"/>
        <v>3205.655154539601</v>
      </c>
      <c r="O237" s="5"/>
      <c r="P237" s="5">
        <f t="shared" si="37"/>
        <v>1</v>
      </c>
      <c r="Q237" s="7">
        <f t="shared" si="38"/>
        <v>6212</v>
      </c>
    </row>
    <row r="238" spans="1:21">
      <c r="A238" s="23" t="s">
        <v>265</v>
      </c>
      <c r="B238" s="35" t="s">
        <v>264</v>
      </c>
      <c r="C238" s="125">
        <v>808</v>
      </c>
      <c r="D238" s="113">
        <v>646391949</v>
      </c>
      <c r="E238" s="116">
        <f t="shared" si="43"/>
        <v>799990.03589108912</v>
      </c>
      <c r="F238" s="117">
        <v>553923248</v>
      </c>
      <c r="G238" s="117">
        <f t="shared" si="44"/>
        <v>685548.57425742573</v>
      </c>
      <c r="H238" s="7"/>
      <c r="I238" s="109">
        <v>2.2812000000000001</v>
      </c>
      <c r="J238" s="117">
        <v>1263610</v>
      </c>
      <c r="K238" s="120">
        <f t="shared" si="42"/>
        <v>1563.8737623762377</v>
      </c>
      <c r="L238" s="122">
        <f t="shared" si="39"/>
        <v>5539232.4800000004</v>
      </c>
      <c r="M238" s="116">
        <f t="shared" si="40"/>
        <v>4275622.4800000004</v>
      </c>
      <c r="N238" s="123">
        <f t="shared" si="41"/>
        <v>5291.6119801980203</v>
      </c>
      <c r="O238" s="5"/>
      <c r="P238" s="5">
        <f t="shared" si="37"/>
        <v>1</v>
      </c>
      <c r="Q238" s="7">
        <f t="shared" si="38"/>
        <v>808</v>
      </c>
    </row>
    <row r="239" spans="1:21">
      <c r="A239" s="23" t="s">
        <v>266</v>
      </c>
      <c r="B239" s="35" t="s">
        <v>264</v>
      </c>
      <c r="C239" s="125">
        <v>24620</v>
      </c>
      <c r="D239" s="113">
        <v>10104557102</v>
      </c>
      <c r="E239" s="116">
        <f t="shared" si="43"/>
        <v>410420.6783915516</v>
      </c>
      <c r="F239" s="117">
        <v>5651589601</v>
      </c>
      <c r="G239" s="117">
        <f t="shared" si="44"/>
        <v>229552.78639317627</v>
      </c>
      <c r="H239" s="7"/>
      <c r="I239" s="109">
        <v>2.7743000000000002</v>
      </c>
      <c r="J239" s="117">
        <v>15679205</v>
      </c>
      <c r="K239" s="120">
        <f t="shared" si="42"/>
        <v>636.84829406986194</v>
      </c>
      <c r="L239" s="122">
        <f t="shared" si="39"/>
        <v>56515896.009999998</v>
      </c>
      <c r="M239" s="116">
        <f t="shared" si="40"/>
        <v>40836691.009999998</v>
      </c>
      <c r="N239" s="123">
        <f t="shared" si="41"/>
        <v>1658.6795698619007</v>
      </c>
      <c r="O239" s="5"/>
      <c r="P239" s="5">
        <f t="shared" si="37"/>
        <v>1</v>
      </c>
      <c r="Q239" s="7">
        <f t="shared" si="38"/>
        <v>24620</v>
      </c>
    </row>
    <row r="240" spans="1:21">
      <c r="A240" s="23" t="s">
        <v>267</v>
      </c>
      <c r="B240" s="35" t="s">
        <v>264</v>
      </c>
      <c r="C240" s="125">
        <v>186</v>
      </c>
      <c r="D240" s="113">
        <v>62264010</v>
      </c>
      <c r="E240" s="116">
        <f t="shared" si="43"/>
        <v>334752.74193548388</v>
      </c>
      <c r="F240" s="117">
        <v>49214129</v>
      </c>
      <c r="G240" s="117">
        <f t="shared" si="44"/>
        <v>264592.09139784944</v>
      </c>
      <c r="H240" s="7"/>
      <c r="I240" s="109">
        <v>2.3332999999999999</v>
      </c>
      <c r="J240" s="117">
        <v>114831</v>
      </c>
      <c r="K240" s="120">
        <f t="shared" si="42"/>
        <v>617.37096774193549</v>
      </c>
      <c r="L240" s="122">
        <f t="shared" si="39"/>
        <v>492141.29000000004</v>
      </c>
      <c r="M240" s="116">
        <f t="shared" si="40"/>
        <v>377310.29000000004</v>
      </c>
      <c r="N240" s="123">
        <f t="shared" si="41"/>
        <v>2028.5499462365594</v>
      </c>
      <c r="O240" s="5"/>
      <c r="P240" s="5">
        <f t="shared" si="37"/>
        <v>1</v>
      </c>
      <c r="Q240" s="7">
        <f t="shared" si="38"/>
        <v>186</v>
      </c>
    </row>
    <row r="241" spans="1:21">
      <c r="A241" s="23" t="s">
        <v>449</v>
      </c>
      <c r="B241" s="35" t="s">
        <v>264</v>
      </c>
      <c r="C241" s="125">
        <v>8425</v>
      </c>
      <c r="D241" s="113">
        <v>2451819385</v>
      </c>
      <c r="E241" s="116">
        <f t="shared" si="43"/>
        <v>291017.13768545992</v>
      </c>
      <c r="F241" s="117">
        <v>1862178340</v>
      </c>
      <c r="G241" s="117">
        <f t="shared" si="44"/>
        <v>221030.0700296736</v>
      </c>
      <c r="H241" s="7"/>
      <c r="I241" s="109">
        <v>2.3296999999999999</v>
      </c>
      <c r="J241" s="117">
        <v>4338317</v>
      </c>
      <c r="K241" s="120">
        <f t="shared" si="42"/>
        <v>514.9337685459941</v>
      </c>
      <c r="L241" s="122">
        <f t="shared" si="39"/>
        <v>18621783.400000002</v>
      </c>
      <c r="M241" s="116">
        <f t="shared" si="40"/>
        <v>14283466.400000002</v>
      </c>
      <c r="N241" s="123">
        <f t="shared" si="41"/>
        <v>1695.3669317507422</v>
      </c>
      <c r="O241" s="5"/>
      <c r="P241" s="5">
        <f t="shared" si="37"/>
        <v>1</v>
      </c>
      <c r="Q241" s="7">
        <f t="shared" si="38"/>
        <v>8425</v>
      </c>
      <c r="S241" s="124">
        <f>SUM(D237:D241)</f>
        <v>16680280180</v>
      </c>
      <c r="T241" s="124">
        <f>SUM(F237:F241)</f>
        <v>10783741200</v>
      </c>
      <c r="U241" s="124">
        <f>SUM(J237:J241)</f>
        <v>28150792</v>
      </c>
    </row>
    <row r="242" spans="1:21">
      <c r="A242" s="23" t="s">
        <v>268</v>
      </c>
      <c r="B242" s="35" t="s">
        <v>269</v>
      </c>
      <c r="C242" s="125">
        <v>1166</v>
      </c>
      <c r="D242" s="113">
        <v>110569417</v>
      </c>
      <c r="E242" s="116">
        <f t="shared" si="43"/>
        <v>94827.973413379077</v>
      </c>
      <c r="F242" s="117">
        <v>69235797</v>
      </c>
      <c r="G242" s="117">
        <f t="shared" si="44"/>
        <v>59378.899656946829</v>
      </c>
      <c r="H242" s="7"/>
      <c r="I242" s="109">
        <v>3.3755999999999999</v>
      </c>
      <c r="J242" s="117">
        <v>233712</v>
      </c>
      <c r="K242" s="120">
        <f t="shared" si="42"/>
        <v>200.43910806174958</v>
      </c>
      <c r="L242" s="122">
        <f t="shared" si="39"/>
        <v>692357.97</v>
      </c>
      <c r="M242" s="116">
        <f t="shared" si="40"/>
        <v>458645.97</v>
      </c>
      <c r="N242" s="123">
        <f t="shared" si="41"/>
        <v>393.34988850771867</v>
      </c>
      <c r="O242" s="5"/>
      <c r="P242" s="5">
        <f t="shared" si="37"/>
        <v>1</v>
      </c>
      <c r="Q242" s="7">
        <f t="shared" si="38"/>
        <v>1166</v>
      </c>
    </row>
    <row r="243" spans="1:21">
      <c r="A243" s="23" t="s">
        <v>270</v>
      </c>
      <c r="B243" s="35" t="s">
        <v>269</v>
      </c>
      <c r="C243" s="125">
        <v>11853</v>
      </c>
      <c r="D243" s="113">
        <v>2311499745</v>
      </c>
      <c r="E243" s="116">
        <f t="shared" si="43"/>
        <v>195013.89901290814</v>
      </c>
      <c r="F243" s="117">
        <v>1608354635</v>
      </c>
      <c r="G243" s="117">
        <f t="shared" si="44"/>
        <v>135691.77718720998</v>
      </c>
      <c r="H243" s="7"/>
      <c r="I243" s="109">
        <v>6.1021000000000001</v>
      </c>
      <c r="J243" s="117">
        <v>9814341</v>
      </c>
      <c r="K243" s="120">
        <f t="shared" si="42"/>
        <v>828.00480890913695</v>
      </c>
      <c r="L243" s="122">
        <f t="shared" si="39"/>
        <v>16083546.35</v>
      </c>
      <c r="M243" s="116">
        <f t="shared" si="40"/>
        <v>6269205.3499999996</v>
      </c>
      <c r="N243" s="123">
        <f t="shared" si="41"/>
        <v>528.91296296296298</v>
      </c>
      <c r="O243" s="5"/>
      <c r="P243" s="5">
        <f t="shared" si="37"/>
        <v>1</v>
      </c>
      <c r="Q243" s="7">
        <f t="shared" si="38"/>
        <v>11853</v>
      </c>
    </row>
    <row r="244" spans="1:21">
      <c r="A244" s="23" t="s">
        <v>271</v>
      </c>
      <c r="B244" s="35" t="s">
        <v>269</v>
      </c>
      <c r="C244" s="125">
        <v>3090</v>
      </c>
      <c r="D244" s="113">
        <v>254463953</v>
      </c>
      <c r="E244" s="116">
        <f t="shared" si="43"/>
        <v>82350.793851132679</v>
      </c>
      <c r="F244" s="117">
        <v>74415538</v>
      </c>
      <c r="G244" s="117">
        <f t="shared" si="44"/>
        <v>24082.698381877024</v>
      </c>
      <c r="H244" s="7"/>
      <c r="I244" s="109">
        <v>0.56859999999999999</v>
      </c>
      <c r="J244" s="117">
        <v>42313</v>
      </c>
      <c r="K244" s="120">
        <f t="shared" si="42"/>
        <v>13.693527508090614</v>
      </c>
      <c r="L244" s="122">
        <f t="shared" si="39"/>
        <v>744155.38</v>
      </c>
      <c r="M244" s="116">
        <f t="shared" si="40"/>
        <v>701842.38</v>
      </c>
      <c r="N244" s="123">
        <f t="shared" si="41"/>
        <v>227.13345631067961</v>
      </c>
      <c r="O244" s="5"/>
      <c r="P244" s="5">
        <f t="shared" si="37"/>
        <v>1</v>
      </c>
      <c r="Q244" s="7">
        <f t="shared" si="38"/>
        <v>3090</v>
      </c>
      <c r="S244" s="124">
        <f>SUM(D242:D244)</f>
        <v>2676533115</v>
      </c>
      <c r="T244" s="124">
        <f>SUM(F242:F244)</f>
        <v>1752005970</v>
      </c>
      <c r="U244" s="124">
        <f>SUM(J242:J244)</f>
        <v>10090366</v>
      </c>
    </row>
    <row r="245" spans="1:21">
      <c r="A245" s="23" t="s">
        <v>272</v>
      </c>
      <c r="B245" s="35" t="s">
        <v>273</v>
      </c>
      <c r="C245" s="125">
        <v>397</v>
      </c>
      <c r="D245" s="113">
        <v>57010445</v>
      </c>
      <c r="E245" s="116">
        <f t="shared" si="43"/>
        <v>143603.13602015114</v>
      </c>
      <c r="F245" s="119">
        <v>47514692</v>
      </c>
      <c r="G245" s="117">
        <f t="shared" si="44"/>
        <v>119684.36272040302</v>
      </c>
      <c r="H245" s="7"/>
      <c r="I245" s="109">
        <v>2.35</v>
      </c>
      <c r="J245" s="117">
        <v>111660</v>
      </c>
      <c r="K245" s="120">
        <f t="shared" si="42"/>
        <v>281.2594458438287</v>
      </c>
      <c r="L245" s="122">
        <f t="shared" si="39"/>
        <v>475146.92</v>
      </c>
      <c r="M245" s="116">
        <f t="shared" si="40"/>
        <v>363486.92</v>
      </c>
      <c r="N245" s="123">
        <f t="shared" si="41"/>
        <v>915.58418136020146</v>
      </c>
      <c r="O245" s="5"/>
      <c r="P245" s="5">
        <f t="shared" si="37"/>
        <v>1</v>
      </c>
      <c r="Q245" s="7">
        <f t="shared" si="38"/>
        <v>397</v>
      </c>
    </row>
    <row r="246" spans="1:21">
      <c r="A246" s="23" t="s">
        <v>274</v>
      </c>
      <c r="B246" s="35" t="s">
        <v>273</v>
      </c>
      <c r="C246" s="125">
        <v>23209</v>
      </c>
      <c r="D246" s="113">
        <v>1326385085</v>
      </c>
      <c r="E246" s="116">
        <f t="shared" si="43"/>
        <v>57149.600801413246</v>
      </c>
      <c r="F246" s="117">
        <v>932566175</v>
      </c>
      <c r="G246" s="117">
        <f t="shared" si="44"/>
        <v>40181.230341677794</v>
      </c>
      <c r="H246" s="7"/>
      <c r="I246" s="109">
        <v>5.8465999999999996</v>
      </c>
      <c r="J246" s="117">
        <v>5452341</v>
      </c>
      <c r="K246" s="120">
        <f t="shared" si="42"/>
        <v>234.92356413460297</v>
      </c>
      <c r="L246" s="122">
        <f t="shared" si="39"/>
        <v>9325661.75</v>
      </c>
      <c r="M246" s="116">
        <f t="shared" si="40"/>
        <v>3873320.75</v>
      </c>
      <c r="N246" s="123">
        <f t="shared" si="41"/>
        <v>166.88873928217501</v>
      </c>
      <c r="O246" s="5"/>
      <c r="P246" s="5">
        <f t="shared" si="37"/>
        <v>1</v>
      </c>
      <c r="Q246" s="7">
        <f t="shared" si="38"/>
        <v>23209</v>
      </c>
    </row>
    <row r="247" spans="1:21">
      <c r="A247" s="23" t="s">
        <v>275</v>
      </c>
      <c r="B247" s="35" t="s">
        <v>273</v>
      </c>
      <c r="C247" s="125">
        <v>12541</v>
      </c>
      <c r="D247" s="113">
        <v>4541453473</v>
      </c>
      <c r="E247" s="116">
        <f t="shared" si="43"/>
        <v>362128.49637190014</v>
      </c>
      <c r="F247" s="117">
        <v>4030987658</v>
      </c>
      <c r="G247" s="117">
        <f t="shared" si="44"/>
        <v>321424.73949445819</v>
      </c>
      <c r="H247" s="9"/>
      <c r="I247" s="109">
        <v>1.5</v>
      </c>
      <c r="J247" s="117">
        <v>6046481</v>
      </c>
      <c r="K247" s="120">
        <f t="shared" si="42"/>
        <v>482.13707040905831</v>
      </c>
      <c r="L247" s="122">
        <f t="shared" si="39"/>
        <v>40309876.579999998</v>
      </c>
      <c r="M247" s="116">
        <f t="shared" si="40"/>
        <v>34263395.579999998</v>
      </c>
      <c r="N247" s="123">
        <f t="shared" si="41"/>
        <v>2732.1103245355234</v>
      </c>
      <c r="O247" s="5"/>
      <c r="P247" s="5">
        <f t="shared" si="37"/>
        <v>1</v>
      </c>
      <c r="Q247" s="7">
        <f t="shared" si="38"/>
        <v>12541</v>
      </c>
    </row>
    <row r="248" spans="1:21">
      <c r="A248" s="23" t="s">
        <v>276</v>
      </c>
      <c r="B248" s="35" t="s">
        <v>273</v>
      </c>
      <c r="C248" s="125">
        <v>20719</v>
      </c>
      <c r="D248" s="113">
        <v>1673672053</v>
      </c>
      <c r="E248" s="116">
        <f t="shared" si="43"/>
        <v>80779.576861817652</v>
      </c>
      <c r="F248" s="117">
        <v>1149558874</v>
      </c>
      <c r="G248" s="117">
        <f t="shared" si="44"/>
        <v>55483.318403397847</v>
      </c>
      <c r="H248" s="9"/>
      <c r="I248" s="109">
        <v>5.7697000000000003</v>
      </c>
      <c r="J248" s="117">
        <v>6632610</v>
      </c>
      <c r="K248" s="120">
        <f t="shared" si="42"/>
        <v>320.12211014045079</v>
      </c>
      <c r="L248" s="122">
        <f t="shared" si="39"/>
        <v>11495588.74</v>
      </c>
      <c r="M248" s="116">
        <f t="shared" si="40"/>
        <v>4862978.74</v>
      </c>
      <c r="N248" s="123">
        <f t="shared" si="41"/>
        <v>234.7110738935277</v>
      </c>
      <c r="O248" s="5"/>
      <c r="P248" s="5">
        <f t="shared" si="37"/>
        <v>1</v>
      </c>
      <c r="Q248" s="7">
        <f t="shared" si="38"/>
        <v>20719</v>
      </c>
    </row>
    <row r="249" spans="1:21">
      <c r="A249" s="23" t="s">
        <v>277</v>
      </c>
      <c r="B249" s="35" t="s">
        <v>273</v>
      </c>
      <c r="C249" s="125">
        <v>531</v>
      </c>
      <c r="D249" s="113">
        <v>28756494</v>
      </c>
      <c r="E249" s="116">
        <f t="shared" si="43"/>
        <v>54155.355932203391</v>
      </c>
      <c r="F249" s="117">
        <v>15263122</v>
      </c>
      <c r="G249" s="117">
        <f t="shared" si="44"/>
        <v>28744.109227871941</v>
      </c>
      <c r="H249" s="7"/>
      <c r="I249" s="110">
        <v>3.5</v>
      </c>
      <c r="J249" s="117">
        <v>53421</v>
      </c>
      <c r="K249" s="120">
        <f t="shared" si="42"/>
        <v>100.60451977401129</v>
      </c>
      <c r="L249" s="122">
        <f t="shared" si="39"/>
        <v>152631.22</v>
      </c>
      <c r="M249" s="116">
        <f t="shared" si="40"/>
        <v>99210.22</v>
      </c>
      <c r="N249" s="123">
        <f t="shared" si="41"/>
        <v>186.8365725047081</v>
      </c>
      <c r="O249" s="5"/>
      <c r="P249" s="5">
        <f t="shared" si="37"/>
        <v>1</v>
      </c>
      <c r="Q249" s="7">
        <f t="shared" si="38"/>
        <v>531</v>
      </c>
    </row>
    <row r="250" spans="1:21">
      <c r="A250" s="23" t="s">
        <v>278</v>
      </c>
      <c r="B250" s="35" t="s">
        <v>273</v>
      </c>
      <c r="C250" s="125">
        <v>3845</v>
      </c>
      <c r="D250" s="113">
        <v>362941675</v>
      </c>
      <c r="E250" s="116">
        <f t="shared" si="43"/>
        <v>94393.153446033815</v>
      </c>
      <c r="F250" s="117">
        <v>258316818</v>
      </c>
      <c r="G250" s="117">
        <f t="shared" si="44"/>
        <v>67182.527438231467</v>
      </c>
      <c r="H250" s="7"/>
      <c r="I250" s="109">
        <v>2.6435</v>
      </c>
      <c r="J250" s="117">
        <v>682861</v>
      </c>
      <c r="K250" s="120">
        <f t="shared" si="42"/>
        <v>177.59713914174253</v>
      </c>
      <c r="L250" s="122">
        <f t="shared" si="39"/>
        <v>2583168.1800000002</v>
      </c>
      <c r="M250" s="116">
        <f t="shared" si="40"/>
        <v>1900307.1800000002</v>
      </c>
      <c r="N250" s="123">
        <f t="shared" si="41"/>
        <v>494.22813524057221</v>
      </c>
      <c r="O250" s="5"/>
      <c r="P250" s="5">
        <f t="shared" si="37"/>
        <v>1</v>
      </c>
      <c r="Q250" s="7">
        <f t="shared" si="38"/>
        <v>3845</v>
      </c>
    </row>
    <row r="251" spans="1:21">
      <c r="A251" s="23" t="s">
        <v>279</v>
      </c>
      <c r="B251" s="35" t="s">
        <v>273</v>
      </c>
      <c r="C251" s="125">
        <v>13678</v>
      </c>
      <c r="D251" s="113">
        <v>1257882860</v>
      </c>
      <c r="E251" s="116">
        <f t="shared" si="43"/>
        <v>91963.946483404012</v>
      </c>
      <c r="F251" s="117">
        <v>869067693</v>
      </c>
      <c r="G251" s="117">
        <f t="shared" si="44"/>
        <v>63537.629258663546</v>
      </c>
      <c r="H251" s="7"/>
      <c r="I251" s="109">
        <v>3.7</v>
      </c>
      <c r="J251" s="117">
        <v>3215550</v>
      </c>
      <c r="K251" s="120">
        <f t="shared" si="42"/>
        <v>235.08919432665596</v>
      </c>
      <c r="L251" s="122">
        <f t="shared" si="39"/>
        <v>8690676.9299999997</v>
      </c>
      <c r="M251" s="116">
        <f t="shared" si="40"/>
        <v>5475126.9299999997</v>
      </c>
      <c r="N251" s="123">
        <f t="shared" si="41"/>
        <v>400.28709825997953</v>
      </c>
      <c r="O251" s="5"/>
      <c r="P251" s="5">
        <f t="shared" si="37"/>
        <v>1</v>
      </c>
      <c r="Q251" s="7">
        <f t="shared" si="38"/>
        <v>13678</v>
      </c>
    </row>
    <row r="252" spans="1:21">
      <c r="A252" s="23" t="s">
        <v>280</v>
      </c>
      <c r="B252" s="35" t="s">
        <v>273</v>
      </c>
      <c r="C252" s="125">
        <v>734</v>
      </c>
      <c r="D252" s="113">
        <v>117699356</v>
      </c>
      <c r="E252" s="116">
        <f t="shared" si="43"/>
        <v>160353.34604904632</v>
      </c>
      <c r="F252" s="117">
        <v>88804440</v>
      </c>
      <c r="G252" s="117">
        <f t="shared" si="44"/>
        <v>120986.97547683923</v>
      </c>
      <c r="H252" s="7"/>
      <c r="I252" s="109">
        <v>2</v>
      </c>
      <c r="J252" s="117">
        <v>177609</v>
      </c>
      <c r="K252" s="120">
        <f t="shared" si="42"/>
        <v>241.9741144414169</v>
      </c>
      <c r="L252" s="122">
        <f t="shared" si="39"/>
        <v>888044.4</v>
      </c>
      <c r="M252" s="116">
        <f t="shared" si="40"/>
        <v>710435.4</v>
      </c>
      <c r="N252" s="123">
        <f t="shared" si="41"/>
        <v>967.89564032697547</v>
      </c>
      <c r="O252" s="5"/>
      <c r="P252" s="5">
        <f t="shared" si="37"/>
        <v>1</v>
      </c>
      <c r="Q252" s="7">
        <f t="shared" si="38"/>
        <v>734</v>
      </c>
    </row>
    <row r="253" spans="1:21">
      <c r="A253" s="23" t="s">
        <v>281</v>
      </c>
      <c r="B253" s="35" t="s">
        <v>273</v>
      </c>
      <c r="C253" s="125">
        <v>5246</v>
      </c>
      <c r="D253" s="113">
        <v>333725644</v>
      </c>
      <c r="E253" s="116">
        <f t="shared" si="43"/>
        <v>63615.258101410596</v>
      </c>
      <c r="F253" s="117">
        <v>190059301</v>
      </c>
      <c r="G253" s="117">
        <f t="shared" si="44"/>
        <v>36229.374952344646</v>
      </c>
      <c r="H253" s="7"/>
      <c r="I253" s="109">
        <v>4.524</v>
      </c>
      <c r="J253" s="117">
        <v>859828</v>
      </c>
      <c r="K253" s="120">
        <f t="shared" si="42"/>
        <v>163.90163934426229</v>
      </c>
      <c r="L253" s="122">
        <f t="shared" si="39"/>
        <v>1900593.01</v>
      </c>
      <c r="M253" s="116">
        <f t="shared" si="40"/>
        <v>1040765.01</v>
      </c>
      <c r="N253" s="123">
        <f t="shared" si="41"/>
        <v>198.39211017918413</v>
      </c>
      <c r="O253" s="5"/>
      <c r="P253" s="5">
        <f t="shared" si="37"/>
        <v>1</v>
      </c>
      <c r="Q253" s="7">
        <f t="shared" si="38"/>
        <v>5246</v>
      </c>
      <c r="S253" s="124">
        <f>SUM(D245:D253)</f>
        <v>9699527085</v>
      </c>
      <c r="T253" s="124">
        <f>SUM(F245:F253)</f>
        <v>7582138773</v>
      </c>
      <c r="U253" s="124">
        <f>SUM(J245:J253)</f>
        <v>23232361</v>
      </c>
    </row>
    <row r="254" spans="1:21">
      <c r="A254" s="23" t="s">
        <v>282</v>
      </c>
      <c r="B254" s="35" t="s">
        <v>282</v>
      </c>
      <c r="C254" s="125">
        <v>5583</v>
      </c>
      <c r="D254" s="113">
        <v>342201203</v>
      </c>
      <c r="E254" s="116">
        <f t="shared" si="43"/>
        <v>61293.427010567793</v>
      </c>
      <c r="F254" s="117">
        <v>236994526</v>
      </c>
      <c r="G254" s="117">
        <f t="shared" si="44"/>
        <v>42449.315063585884</v>
      </c>
      <c r="H254" s="7"/>
      <c r="I254" s="109">
        <v>7.7431999999999999</v>
      </c>
      <c r="J254" s="117">
        <v>1835096</v>
      </c>
      <c r="K254" s="120">
        <f t="shared" si="42"/>
        <v>328.6935339423249</v>
      </c>
      <c r="L254" s="122">
        <f t="shared" si="39"/>
        <v>2369945.2600000002</v>
      </c>
      <c r="M254" s="116">
        <f t="shared" si="40"/>
        <v>534849.26000000024</v>
      </c>
      <c r="N254" s="123">
        <f t="shared" si="41"/>
        <v>95.799616693533991</v>
      </c>
      <c r="O254" s="5"/>
      <c r="P254" s="5">
        <f t="shared" si="37"/>
        <v>1</v>
      </c>
      <c r="Q254" s="7">
        <f t="shared" si="38"/>
        <v>5583</v>
      </c>
      <c r="S254" s="124">
        <f>SUM(D254)</f>
        <v>342201203</v>
      </c>
      <c r="T254" s="124">
        <f>SUM(F254)</f>
        <v>236994526</v>
      </c>
      <c r="U254" s="124">
        <f>SUM(J254)</f>
        <v>1835096</v>
      </c>
    </row>
    <row r="255" spans="1:21">
      <c r="A255" s="23" t="s">
        <v>283</v>
      </c>
      <c r="B255" s="35" t="s">
        <v>284</v>
      </c>
      <c r="C255" s="125">
        <v>45669</v>
      </c>
      <c r="D255" s="113">
        <v>3198480546</v>
      </c>
      <c r="E255" s="116">
        <f t="shared" si="43"/>
        <v>70036.141496419892</v>
      </c>
      <c r="F255" s="117">
        <v>2165152579</v>
      </c>
      <c r="G255" s="117">
        <f t="shared" si="44"/>
        <v>47409.677877772665</v>
      </c>
      <c r="H255" s="7"/>
      <c r="I255" s="109">
        <v>3.2875999999999999</v>
      </c>
      <c r="J255" s="117">
        <v>7118156</v>
      </c>
      <c r="K255" s="120">
        <f t="shared" si="42"/>
        <v>155.86406533972718</v>
      </c>
      <c r="L255" s="122">
        <f t="shared" si="39"/>
        <v>21651525.789999999</v>
      </c>
      <c r="M255" s="116">
        <f t="shared" si="40"/>
        <v>14533369.789999999</v>
      </c>
      <c r="N255" s="123">
        <f t="shared" si="41"/>
        <v>318.23271343799951</v>
      </c>
      <c r="O255" s="5"/>
      <c r="P255" s="5">
        <f t="shared" si="37"/>
        <v>1</v>
      </c>
      <c r="Q255" s="7">
        <f t="shared" si="38"/>
        <v>45669</v>
      </c>
    </row>
    <row r="256" spans="1:21">
      <c r="A256" s="23" t="s">
        <v>285</v>
      </c>
      <c r="B256" s="35" t="s">
        <v>284</v>
      </c>
      <c r="C256" s="125">
        <v>15</v>
      </c>
      <c r="D256" s="113">
        <v>6128428565</v>
      </c>
      <c r="E256" s="116">
        <f t="shared" si="43"/>
        <v>408561904.33333331</v>
      </c>
      <c r="F256" s="117">
        <v>5827861019</v>
      </c>
      <c r="G256" s="117">
        <f t="shared" si="44"/>
        <v>388524067.93333334</v>
      </c>
      <c r="H256" s="7"/>
      <c r="I256" s="109">
        <v>1.0779000000000001</v>
      </c>
      <c r="J256" s="117">
        <v>6281851</v>
      </c>
      <c r="K256" s="120">
        <f t="shared" si="42"/>
        <v>418790.06666666665</v>
      </c>
      <c r="L256" s="122">
        <f t="shared" si="39"/>
        <v>58278610.189999998</v>
      </c>
      <c r="M256" s="116">
        <f t="shared" si="40"/>
        <v>51996759.189999998</v>
      </c>
      <c r="N256" s="123">
        <f t="shared" si="41"/>
        <v>3466450.6126666665</v>
      </c>
      <c r="O256" s="5"/>
      <c r="P256" s="5">
        <f t="shared" si="37"/>
        <v>1</v>
      </c>
      <c r="Q256" s="7">
        <f t="shared" si="38"/>
        <v>15</v>
      </c>
    </row>
    <row r="257" spans="1:21">
      <c r="A257" s="23" t="s">
        <v>286</v>
      </c>
      <c r="B257" s="35" t="s">
        <v>284</v>
      </c>
      <c r="C257" s="125">
        <v>6422</v>
      </c>
      <c r="D257" s="113">
        <v>784679623</v>
      </c>
      <c r="E257" s="116">
        <f t="shared" si="43"/>
        <v>122186.17611336033</v>
      </c>
      <c r="F257" s="117">
        <v>589282426</v>
      </c>
      <c r="G257" s="117">
        <f t="shared" si="44"/>
        <v>91759.954219869192</v>
      </c>
      <c r="H257" s="7"/>
      <c r="I257" s="109">
        <v>4.4017999999999997</v>
      </c>
      <c r="J257" s="117">
        <v>2593903</v>
      </c>
      <c r="K257" s="120">
        <f t="shared" si="42"/>
        <v>403.90890688259111</v>
      </c>
      <c r="L257" s="122">
        <f t="shared" si="39"/>
        <v>5892824.2599999998</v>
      </c>
      <c r="M257" s="116">
        <f t="shared" si="40"/>
        <v>3298921.26</v>
      </c>
      <c r="N257" s="123">
        <f t="shared" si="41"/>
        <v>513.69063531610084</v>
      </c>
      <c r="O257" s="5"/>
      <c r="P257" s="5">
        <f t="shared" si="37"/>
        <v>1</v>
      </c>
      <c r="Q257" s="7">
        <f t="shared" si="38"/>
        <v>6422</v>
      </c>
    </row>
    <row r="258" spans="1:21">
      <c r="A258" s="23" t="s">
        <v>287</v>
      </c>
      <c r="B258" s="35" t="s">
        <v>284</v>
      </c>
      <c r="C258" s="125">
        <v>2233</v>
      </c>
      <c r="D258" s="113">
        <v>236968900</v>
      </c>
      <c r="E258" s="116">
        <f t="shared" si="43"/>
        <v>106121.31661442007</v>
      </c>
      <c r="F258" s="117">
        <v>187148747</v>
      </c>
      <c r="G258" s="117">
        <f t="shared" si="44"/>
        <v>83810.455441110607</v>
      </c>
      <c r="H258" s="7"/>
      <c r="I258" s="109">
        <v>7.2938000000000001</v>
      </c>
      <c r="J258" s="117">
        <v>1365026</v>
      </c>
      <c r="K258" s="120">
        <f t="shared" si="42"/>
        <v>611.2969099865652</v>
      </c>
      <c r="L258" s="122">
        <f t="shared" si="39"/>
        <v>1871487.47</v>
      </c>
      <c r="M258" s="116">
        <f t="shared" si="40"/>
        <v>506461.47</v>
      </c>
      <c r="N258" s="123">
        <f t="shared" si="41"/>
        <v>226.80764442454097</v>
      </c>
      <c r="O258" s="5"/>
      <c r="P258" s="5">
        <f t="shared" si="37"/>
        <v>1</v>
      </c>
      <c r="Q258" s="7">
        <f t="shared" si="38"/>
        <v>2233</v>
      </c>
    </row>
    <row r="259" spans="1:21">
      <c r="A259" s="23" t="s">
        <v>288</v>
      </c>
      <c r="B259" s="35" t="s">
        <v>284</v>
      </c>
      <c r="C259" s="125">
        <v>2626</v>
      </c>
      <c r="D259" s="113">
        <v>344607351</v>
      </c>
      <c r="E259" s="116">
        <f t="shared" si="43"/>
        <v>131228.99885757806</v>
      </c>
      <c r="F259" s="117">
        <v>275297965</v>
      </c>
      <c r="G259" s="117">
        <f t="shared" si="44"/>
        <v>104835.47791317593</v>
      </c>
      <c r="H259" s="7"/>
      <c r="I259" s="109">
        <v>4.7</v>
      </c>
      <c r="J259" s="117">
        <v>1293900</v>
      </c>
      <c r="K259" s="120">
        <f t="shared" si="42"/>
        <v>492.72658035034272</v>
      </c>
      <c r="L259" s="122">
        <f t="shared" si="39"/>
        <v>2752979.65</v>
      </c>
      <c r="M259" s="116">
        <f t="shared" si="40"/>
        <v>1459079.65</v>
      </c>
      <c r="N259" s="123">
        <f t="shared" si="41"/>
        <v>555.62819878141659</v>
      </c>
      <c r="O259" s="5"/>
      <c r="P259" s="5">
        <f t="shared" si="37"/>
        <v>1</v>
      </c>
      <c r="Q259" s="7">
        <f t="shared" si="38"/>
        <v>2626</v>
      </c>
    </row>
    <row r="260" spans="1:21">
      <c r="A260" s="23" t="s">
        <v>289</v>
      </c>
      <c r="B260" s="35" t="s">
        <v>284</v>
      </c>
      <c r="C260" s="125">
        <v>22</v>
      </c>
      <c r="D260" s="113">
        <v>1955642753</v>
      </c>
      <c r="E260" s="116">
        <f t="shared" si="43"/>
        <v>88892852.409090906</v>
      </c>
      <c r="F260" s="117">
        <v>1888139377</v>
      </c>
      <c r="G260" s="117">
        <f t="shared" si="44"/>
        <v>85824517.13636364</v>
      </c>
      <c r="H260" s="7"/>
      <c r="I260" s="109">
        <v>1.2482</v>
      </c>
      <c r="J260" s="117">
        <v>2356776</v>
      </c>
      <c r="K260" s="120">
        <f t="shared" si="42"/>
        <v>107126.18181818182</v>
      </c>
      <c r="L260" s="122">
        <f t="shared" si="39"/>
        <v>18881393.77</v>
      </c>
      <c r="M260" s="116">
        <f t="shared" si="40"/>
        <v>16524617.77</v>
      </c>
      <c r="N260" s="123">
        <f t="shared" si="41"/>
        <v>751118.9895454545</v>
      </c>
      <c r="O260" s="5"/>
      <c r="P260" s="5">
        <f t="shared" si="37"/>
        <v>1</v>
      </c>
      <c r="Q260" s="7">
        <f t="shared" si="38"/>
        <v>22</v>
      </c>
    </row>
    <row r="261" spans="1:21">
      <c r="A261" s="23" t="s">
        <v>290</v>
      </c>
      <c r="B261" s="35" t="s">
        <v>284</v>
      </c>
      <c r="C261" s="125">
        <v>16411</v>
      </c>
      <c r="D261" s="113">
        <v>2570459030</v>
      </c>
      <c r="E261" s="116">
        <f t="shared" si="43"/>
        <v>156630.24983242946</v>
      </c>
      <c r="F261" s="117">
        <v>2033528745</v>
      </c>
      <c r="G261" s="117">
        <f t="shared" si="44"/>
        <v>123912.54311132777</v>
      </c>
      <c r="H261" s="7"/>
      <c r="I261" s="109">
        <v>4.1500000000000004</v>
      </c>
      <c r="J261" s="117">
        <v>8439144</v>
      </c>
      <c r="K261" s="120">
        <f t="shared" si="42"/>
        <v>514.23703613430018</v>
      </c>
      <c r="L261" s="122">
        <f t="shared" si="39"/>
        <v>20335287.449999999</v>
      </c>
      <c r="M261" s="116">
        <f t="shared" si="40"/>
        <v>11896143.449999999</v>
      </c>
      <c r="N261" s="123">
        <f t="shared" si="41"/>
        <v>724.88839497897743</v>
      </c>
      <c r="O261" s="5"/>
      <c r="P261" s="5">
        <f t="shared" si="37"/>
        <v>1</v>
      </c>
      <c r="Q261" s="7">
        <f t="shared" si="38"/>
        <v>16411</v>
      </c>
    </row>
    <row r="262" spans="1:21">
      <c r="A262" s="23" t="s">
        <v>291</v>
      </c>
      <c r="B262" s="35" t="s">
        <v>284</v>
      </c>
      <c r="C262" s="125">
        <v>2609</v>
      </c>
      <c r="D262" s="113">
        <v>281245503</v>
      </c>
      <c r="E262" s="116">
        <f t="shared" si="43"/>
        <v>107798.19969336911</v>
      </c>
      <c r="F262" s="117">
        <v>203084758</v>
      </c>
      <c r="G262" s="117">
        <f t="shared" si="44"/>
        <v>77840.075891146029</v>
      </c>
      <c r="H262" s="7"/>
      <c r="I262" s="109">
        <v>6.75</v>
      </c>
      <c r="J262" s="117">
        <v>1370822</v>
      </c>
      <c r="K262" s="120">
        <f t="shared" si="42"/>
        <v>525.42046761211191</v>
      </c>
      <c r="L262" s="122">
        <f t="shared" si="39"/>
        <v>2030847.58</v>
      </c>
      <c r="M262" s="116">
        <f t="shared" si="40"/>
        <v>660025.58000000007</v>
      </c>
      <c r="N262" s="123">
        <f t="shared" si="41"/>
        <v>252.98029129934844</v>
      </c>
      <c r="O262" s="5"/>
      <c r="P262" s="5">
        <f t="shared" ref="P262:P325" si="45">IF(I262&gt;0,1,0)</f>
        <v>1</v>
      </c>
      <c r="Q262" s="7">
        <f t="shared" ref="Q262:Q325" si="46">IF(I262&gt;0,C262,0)</f>
        <v>2609</v>
      </c>
    </row>
    <row r="263" spans="1:21">
      <c r="A263" s="23" t="s">
        <v>292</v>
      </c>
      <c r="B263" s="35" t="s">
        <v>284</v>
      </c>
      <c r="C263" s="125">
        <v>39679</v>
      </c>
      <c r="D263" s="113">
        <v>2684988796</v>
      </c>
      <c r="E263" s="116">
        <f t="shared" si="43"/>
        <v>67667.753622823162</v>
      </c>
      <c r="F263" s="117">
        <v>1813343338</v>
      </c>
      <c r="G263" s="117">
        <f t="shared" si="44"/>
        <v>45700.328586909949</v>
      </c>
      <c r="H263" s="7"/>
      <c r="I263" s="109">
        <v>5.6371000000000002</v>
      </c>
      <c r="J263" s="117">
        <v>10221998</v>
      </c>
      <c r="K263" s="120">
        <f t="shared" si="42"/>
        <v>257.61732906575264</v>
      </c>
      <c r="L263" s="122">
        <f t="shared" si="39"/>
        <v>18133433.379999999</v>
      </c>
      <c r="M263" s="116">
        <f t="shared" si="40"/>
        <v>7911435.379999999</v>
      </c>
      <c r="N263" s="123">
        <f t="shared" si="41"/>
        <v>199.38595680334683</v>
      </c>
      <c r="O263" s="5"/>
      <c r="P263" s="5">
        <f t="shared" si="45"/>
        <v>1</v>
      </c>
      <c r="Q263" s="7">
        <f t="shared" si="46"/>
        <v>39679</v>
      </c>
    </row>
    <row r="264" spans="1:21">
      <c r="A264" s="23" t="s">
        <v>293</v>
      </c>
      <c r="B264" s="35" t="s">
        <v>284</v>
      </c>
      <c r="C264" s="125">
        <v>255636</v>
      </c>
      <c r="D264" s="113">
        <v>32344049849</v>
      </c>
      <c r="E264" s="116">
        <f t="shared" si="43"/>
        <v>126523.84581592577</v>
      </c>
      <c r="F264" s="117">
        <v>20032501377</v>
      </c>
      <c r="G264" s="117">
        <f t="shared" si="44"/>
        <v>78363.381436886819</v>
      </c>
      <c r="H264" s="7"/>
      <c r="I264" s="109">
        <v>6.65</v>
      </c>
      <c r="J264" s="117">
        <v>133216134</v>
      </c>
      <c r="K264" s="120">
        <f t="shared" si="42"/>
        <v>521.11648594094731</v>
      </c>
      <c r="L264" s="122">
        <f t="shared" ref="L264:L327" si="47">(F264*0.01)</f>
        <v>200325013.77000001</v>
      </c>
      <c r="M264" s="116">
        <f t="shared" ref="M264:M327" si="48">(L264-J264)</f>
        <v>67108879.770000011</v>
      </c>
      <c r="N264" s="123">
        <f t="shared" ref="N264:N327" si="49">(M264/C264)</f>
        <v>262.51732842792097</v>
      </c>
      <c r="O264" s="5"/>
      <c r="P264" s="5">
        <f t="shared" si="45"/>
        <v>1</v>
      </c>
      <c r="Q264" s="7">
        <f t="shared" si="46"/>
        <v>255636</v>
      </c>
    </row>
    <row r="265" spans="1:21">
      <c r="A265" s="23" t="s">
        <v>294</v>
      </c>
      <c r="B265" s="35" t="s">
        <v>284</v>
      </c>
      <c r="C265" s="125">
        <v>2862</v>
      </c>
      <c r="D265" s="113">
        <v>708754408</v>
      </c>
      <c r="E265" s="116">
        <f t="shared" si="43"/>
        <v>247643.04961565338</v>
      </c>
      <c r="F265" s="117">
        <v>561418511</v>
      </c>
      <c r="G265" s="117">
        <f t="shared" si="44"/>
        <v>196163.00174703004</v>
      </c>
      <c r="H265" s="7"/>
      <c r="I265" s="109">
        <v>3.7896000000000001</v>
      </c>
      <c r="J265" s="117">
        <v>2127552</v>
      </c>
      <c r="K265" s="120">
        <f t="shared" si="42"/>
        <v>743.3794549266247</v>
      </c>
      <c r="L265" s="122">
        <f t="shared" si="47"/>
        <v>5614185.1100000003</v>
      </c>
      <c r="M265" s="116">
        <f t="shared" si="48"/>
        <v>3486633.1100000003</v>
      </c>
      <c r="N265" s="123">
        <f t="shared" si="49"/>
        <v>1218.2505625436759</v>
      </c>
      <c r="O265" s="5"/>
      <c r="P265" s="5">
        <f t="shared" si="45"/>
        <v>1</v>
      </c>
      <c r="Q265" s="7">
        <f t="shared" si="46"/>
        <v>2862</v>
      </c>
    </row>
    <row r="266" spans="1:21">
      <c r="A266" s="23" t="s">
        <v>295</v>
      </c>
      <c r="B266" s="35" t="s">
        <v>284</v>
      </c>
      <c r="C266" s="125">
        <v>38442</v>
      </c>
      <c r="D266" s="113">
        <v>3008004446</v>
      </c>
      <c r="E266" s="116">
        <f t="shared" si="43"/>
        <v>78247.865511679935</v>
      </c>
      <c r="F266" s="117">
        <v>2192434045</v>
      </c>
      <c r="G266" s="117">
        <f t="shared" si="44"/>
        <v>57032.257556838871</v>
      </c>
      <c r="H266" s="7"/>
      <c r="I266" s="109">
        <v>4.25</v>
      </c>
      <c r="J266" s="117">
        <v>9317845</v>
      </c>
      <c r="K266" s="120">
        <f t="shared" si="42"/>
        <v>242.38710264814526</v>
      </c>
      <c r="L266" s="122">
        <f t="shared" si="47"/>
        <v>21924340.449999999</v>
      </c>
      <c r="M266" s="116">
        <f t="shared" si="48"/>
        <v>12606495.449999999</v>
      </c>
      <c r="N266" s="123">
        <f t="shared" si="49"/>
        <v>327.93547292024346</v>
      </c>
      <c r="O266" s="5"/>
      <c r="P266" s="5">
        <f t="shared" si="45"/>
        <v>1</v>
      </c>
      <c r="Q266" s="7">
        <f t="shared" si="46"/>
        <v>38442</v>
      </c>
    </row>
    <row r="267" spans="1:21">
      <c r="A267" s="23" t="s">
        <v>296</v>
      </c>
      <c r="B267" s="35" t="s">
        <v>284</v>
      </c>
      <c r="C267" s="125">
        <v>29073</v>
      </c>
      <c r="D267" s="113">
        <v>5685380929</v>
      </c>
      <c r="E267" s="116">
        <f t="shared" si="43"/>
        <v>195555.35820176796</v>
      </c>
      <c r="F267" s="117">
        <v>4184569627</v>
      </c>
      <c r="G267" s="117">
        <f t="shared" si="44"/>
        <v>143933.18979809445</v>
      </c>
      <c r="H267" s="7"/>
      <c r="I267" s="109">
        <v>4.0922999999999998</v>
      </c>
      <c r="J267" s="117">
        <v>17124514</v>
      </c>
      <c r="K267" s="120">
        <f t="shared" si="42"/>
        <v>589.01778282255009</v>
      </c>
      <c r="L267" s="122">
        <f t="shared" si="47"/>
        <v>41845696.270000003</v>
      </c>
      <c r="M267" s="116">
        <f t="shared" si="48"/>
        <v>24721182.270000003</v>
      </c>
      <c r="N267" s="123">
        <f t="shared" si="49"/>
        <v>850.31411515839454</v>
      </c>
      <c r="O267" s="5"/>
      <c r="P267" s="5">
        <f t="shared" si="45"/>
        <v>1</v>
      </c>
      <c r="Q267" s="7">
        <f t="shared" si="46"/>
        <v>29073</v>
      </c>
      <c r="S267" s="124">
        <f>SUM(D255:D267)</f>
        <v>59931690699</v>
      </c>
      <c r="T267" s="124">
        <f>SUM(F255:F267)</f>
        <v>41953762514</v>
      </c>
      <c r="U267" s="124">
        <f>SUM(J255:J267)</f>
        <v>202827621</v>
      </c>
    </row>
    <row r="268" spans="1:21">
      <c r="A268" s="23" t="s">
        <v>297</v>
      </c>
      <c r="B268" s="35" t="s">
        <v>298</v>
      </c>
      <c r="C268" s="125">
        <v>64365</v>
      </c>
      <c r="D268" s="113">
        <v>3762323021</v>
      </c>
      <c r="E268" s="116">
        <f t="shared" si="43"/>
        <v>58452.932820632333</v>
      </c>
      <c r="F268" s="117">
        <v>2418290508</v>
      </c>
      <c r="G268" s="117">
        <f t="shared" si="44"/>
        <v>37571.514145886737</v>
      </c>
      <c r="H268" s="7"/>
      <c r="I268" s="109">
        <v>4.6253000000000002</v>
      </c>
      <c r="J268" s="117">
        <v>11185319</v>
      </c>
      <c r="K268" s="120">
        <f t="shared" si="42"/>
        <v>173.77952303270411</v>
      </c>
      <c r="L268" s="122">
        <f t="shared" si="47"/>
        <v>24182905.080000002</v>
      </c>
      <c r="M268" s="116">
        <f t="shared" si="48"/>
        <v>12997586.080000002</v>
      </c>
      <c r="N268" s="123">
        <f t="shared" si="49"/>
        <v>201.93561842616333</v>
      </c>
      <c r="O268" s="5"/>
      <c r="P268" s="5">
        <f t="shared" si="45"/>
        <v>1</v>
      </c>
      <c r="Q268" s="7">
        <f t="shared" si="46"/>
        <v>64365</v>
      </c>
    </row>
    <row r="269" spans="1:21">
      <c r="A269" s="24" t="s">
        <v>546</v>
      </c>
      <c r="B269" s="35" t="s">
        <v>298</v>
      </c>
      <c r="C269" s="125">
        <v>39674</v>
      </c>
      <c r="D269" s="113">
        <v>2391052919</v>
      </c>
      <c r="E269" s="116">
        <f t="shared" si="43"/>
        <v>60267.503125472598</v>
      </c>
      <c r="F269" s="117">
        <v>1320121532</v>
      </c>
      <c r="G269" s="117">
        <f t="shared" si="44"/>
        <v>33274.223219236781</v>
      </c>
      <c r="H269" s="7"/>
      <c r="I269" s="109">
        <v>5.1128</v>
      </c>
      <c r="J269" s="117">
        <v>6749517</v>
      </c>
      <c r="K269" s="120">
        <f t="shared" si="42"/>
        <v>170.12443917931139</v>
      </c>
      <c r="L269" s="122">
        <f t="shared" si="47"/>
        <v>13201215.32</v>
      </c>
      <c r="M269" s="116">
        <f t="shared" si="48"/>
        <v>6451698.3200000003</v>
      </c>
      <c r="N269" s="123">
        <f t="shared" si="49"/>
        <v>162.61779301305643</v>
      </c>
      <c r="O269" s="5"/>
      <c r="P269" s="5">
        <f t="shared" si="45"/>
        <v>1</v>
      </c>
      <c r="Q269" s="7">
        <f t="shared" si="46"/>
        <v>39674</v>
      </c>
      <c r="S269" s="124">
        <f>SUM(D268:D269)</f>
        <v>6153375940</v>
      </c>
      <c r="T269" s="124">
        <f>SUM(F268:F269)</f>
        <v>3738412040</v>
      </c>
      <c r="U269" s="124">
        <f>SUM(J268:J269)</f>
        <v>17934836</v>
      </c>
    </row>
    <row r="270" spans="1:21">
      <c r="A270" s="23" t="s">
        <v>299</v>
      </c>
      <c r="B270" s="35" t="s">
        <v>300</v>
      </c>
      <c r="C270" s="125">
        <v>2006</v>
      </c>
      <c r="D270" s="113">
        <v>492234993</v>
      </c>
      <c r="E270" s="116">
        <f t="shared" si="43"/>
        <v>245381.35244267198</v>
      </c>
      <c r="F270" s="117">
        <v>418376741</v>
      </c>
      <c r="G270" s="117">
        <f t="shared" si="44"/>
        <v>208562.68245264207</v>
      </c>
      <c r="H270" s="7"/>
      <c r="I270" s="109">
        <v>7.9</v>
      </c>
      <c r="J270" s="117">
        <v>3305176</v>
      </c>
      <c r="K270" s="120">
        <f t="shared" si="42"/>
        <v>1647.6450648055832</v>
      </c>
      <c r="L270" s="122">
        <f t="shared" si="47"/>
        <v>4183767.41</v>
      </c>
      <c r="M270" s="116">
        <f t="shared" si="48"/>
        <v>878591.41000000015</v>
      </c>
      <c r="N270" s="123">
        <f t="shared" si="49"/>
        <v>437.98175972083754</v>
      </c>
      <c r="O270" s="5"/>
      <c r="P270" s="5">
        <f t="shared" si="45"/>
        <v>1</v>
      </c>
      <c r="Q270" s="7">
        <f t="shared" si="46"/>
        <v>2006</v>
      </c>
    </row>
    <row r="271" spans="1:21">
      <c r="A271" s="23" t="s">
        <v>301</v>
      </c>
      <c r="B271" s="35" t="s">
        <v>300</v>
      </c>
      <c r="C271" s="125">
        <v>17424</v>
      </c>
      <c r="D271" s="113">
        <v>485478259</v>
      </c>
      <c r="E271" s="116">
        <f t="shared" si="43"/>
        <v>27862.61817033976</v>
      </c>
      <c r="F271" s="117">
        <v>266508120</v>
      </c>
      <c r="G271" s="117">
        <f t="shared" si="44"/>
        <v>15295.461432506887</v>
      </c>
      <c r="H271" s="7"/>
      <c r="I271" s="109">
        <v>6.5419</v>
      </c>
      <c r="J271" s="117">
        <v>1743469</v>
      </c>
      <c r="K271" s="120">
        <f t="shared" si="42"/>
        <v>100.06135215794306</v>
      </c>
      <c r="L271" s="122">
        <f t="shared" si="47"/>
        <v>2665081.2000000002</v>
      </c>
      <c r="M271" s="116">
        <f t="shared" si="48"/>
        <v>921612.20000000019</v>
      </c>
      <c r="N271" s="123">
        <f t="shared" si="49"/>
        <v>52.893262167125812</v>
      </c>
      <c r="O271" s="5"/>
      <c r="P271" s="5">
        <f t="shared" si="45"/>
        <v>1</v>
      </c>
      <c r="Q271" s="7">
        <f t="shared" si="46"/>
        <v>17424</v>
      </c>
    </row>
    <row r="272" spans="1:21">
      <c r="A272" s="23" t="s">
        <v>302</v>
      </c>
      <c r="B272" s="35" t="s">
        <v>300</v>
      </c>
      <c r="C272" s="125">
        <v>86647</v>
      </c>
      <c r="D272" s="113">
        <v>23541894800</v>
      </c>
      <c r="E272" s="116">
        <f t="shared" si="43"/>
        <v>271698.90244324674</v>
      </c>
      <c r="F272" s="117">
        <v>18195999305</v>
      </c>
      <c r="G272" s="117">
        <f t="shared" si="44"/>
        <v>210001.49231941093</v>
      </c>
      <c r="H272" s="9"/>
      <c r="I272" s="109">
        <v>3.4216000000000002</v>
      </c>
      <c r="J272" s="117">
        <v>62259431</v>
      </c>
      <c r="K272" s="120">
        <f t="shared" si="42"/>
        <v>718.54110355811508</v>
      </c>
      <c r="L272" s="122">
        <f t="shared" si="47"/>
        <v>181959993.05000001</v>
      </c>
      <c r="M272" s="116">
        <f t="shared" si="48"/>
        <v>119700562.05000001</v>
      </c>
      <c r="N272" s="123">
        <f t="shared" si="49"/>
        <v>1381.4738196359945</v>
      </c>
      <c r="O272" s="5"/>
      <c r="P272" s="5">
        <f t="shared" si="45"/>
        <v>1</v>
      </c>
      <c r="Q272" s="7">
        <f t="shared" si="46"/>
        <v>86647</v>
      </c>
    </row>
    <row r="273" spans="1:17">
      <c r="A273" s="23" t="s">
        <v>303</v>
      </c>
      <c r="B273" s="35" t="s">
        <v>300</v>
      </c>
      <c r="C273" s="125">
        <v>71608</v>
      </c>
      <c r="D273" s="113">
        <v>6030273903</v>
      </c>
      <c r="E273" s="116">
        <f t="shared" si="43"/>
        <v>84212.293361076969</v>
      </c>
      <c r="F273" s="117">
        <v>4210796551</v>
      </c>
      <c r="G273" s="117">
        <f t="shared" si="44"/>
        <v>58803.43747905262</v>
      </c>
      <c r="H273" s="9"/>
      <c r="I273" s="109">
        <v>7.9</v>
      </c>
      <c r="J273" s="117">
        <v>33265293</v>
      </c>
      <c r="K273" s="120">
        <f t="shared" si="42"/>
        <v>464.54715953524743</v>
      </c>
      <c r="L273" s="122">
        <f t="shared" si="47"/>
        <v>42107965.509999998</v>
      </c>
      <c r="M273" s="116">
        <f t="shared" si="48"/>
        <v>8842672.5099999979</v>
      </c>
      <c r="N273" s="123">
        <f t="shared" si="49"/>
        <v>123.48721525527871</v>
      </c>
      <c r="O273" s="5"/>
      <c r="P273" s="5">
        <f t="shared" si="45"/>
        <v>1</v>
      </c>
      <c r="Q273" s="7">
        <f t="shared" si="46"/>
        <v>71608</v>
      </c>
    </row>
    <row r="274" spans="1:17">
      <c r="A274" s="23" t="s">
        <v>304</v>
      </c>
      <c r="B274" s="35" t="s">
        <v>300</v>
      </c>
      <c r="C274" s="125">
        <v>412</v>
      </c>
      <c r="D274" s="113">
        <v>46571450</v>
      </c>
      <c r="E274" s="116">
        <f t="shared" si="43"/>
        <v>113037.5</v>
      </c>
      <c r="F274" s="117">
        <v>35330590</v>
      </c>
      <c r="G274" s="117">
        <f t="shared" si="44"/>
        <v>85753.859223300969</v>
      </c>
      <c r="H274" s="9"/>
      <c r="I274" s="109">
        <v>10</v>
      </c>
      <c r="J274" s="117">
        <v>353306</v>
      </c>
      <c r="K274" s="120">
        <f>(J274/C274)</f>
        <v>857.53883495145635</v>
      </c>
      <c r="L274" s="122">
        <f t="shared" si="47"/>
        <v>353305.9</v>
      </c>
      <c r="M274" s="116">
        <f t="shared" si="48"/>
        <v>-9.9999999976716936E-2</v>
      </c>
      <c r="N274" s="123">
        <f t="shared" si="49"/>
        <v>-2.4271844654542946E-4</v>
      </c>
      <c r="O274" s="5"/>
      <c r="P274" s="5">
        <f t="shared" si="45"/>
        <v>1</v>
      </c>
      <c r="Q274" s="7">
        <f t="shared" si="46"/>
        <v>412</v>
      </c>
    </row>
    <row r="275" spans="1:17">
      <c r="A275" s="23" t="s">
        <v>305</v>
      </c>
      <c r="B275" s="35" t="s">
        <v>300</v>
      </c>
      <c r="C275" s="125">
        <v>133</v>
      </c>
      <c r="D275" s="114" t="s">
        <v>564</v>
      </c>
      <c r="E275" s="116"/>
      <c r="F275" s="117"/>
      <c r="G275" s="117"/>
      <c r="H275" s="98" t="s">
        <v>588</v>
      </c>
      <c r="I275" s="110"/>
      <c r="J275" s="117"/>
      <c r="K275" s="120"/>
      <c r="L275" s="122">
        <f t="shared" si="47"/>
        <v>0</v>
      </c>
      <c r="M275" s="116">
        <f t="shared" si="48"/>
        <v>0</v>
      </c>
      <c r="N275" s="123">
        <f t="shared" si="49"/>
        <v>0</v>
      </c>
      <c r="O275" s="5"/>
      <c r="P275" s="5">
        <f t="shared" si="45"/>
        <v>0</v>
      </c>
      <c r="Q275" s="7">
        <f t="shared" si="46"/>
        <v>0</v>
      </c>
    </row>
    <row r="276" spans="1:17">
      <c r="A276" s="23" t="s">
        <v>306</v>
      </c>
      <c r="B276" s="35" t="s">
        <v>300</v>
      </c>
      <c r="C276" s="125">
        <v>62700</v>
      </c>
      <c r="D276" s="113">
        <v>9784818304</v>
      </c>
      <c r="E276" s="116">
        <f t="shared" si="43"/>
        <v>156057.70819776715</v>
      </c>
      <c r="F276" s="117">
        <v>7239395652</v>
      </c>
      <c r="G276" s="117">
        <f t="shared" si="44"/>
        <v>115460.8556937799</v>
      </c>
      <c r="H276" s="9"/>
      <c r="I276" s="109">
        <v>7.1611000000000002</v>
      </c>
      <c r="J276" s="117">
        <v>51842036</v>
      </c>
      <c r="K276" s="120">
        <f>(J276/C276)</f>
        <v>826.82673046251989</v>
      </c>
      <c r="L276" s="122">
        <f t="shared" si="47"/>
        <v>72393956.519999996</v>
      </c>
      <c r="M276" s="116">
        <f t="shared" si="48"/>
        <v>20551920.519999996</v>
      </c>
      <c r="N276" s="123">
        <f t="shared" si="49"/>
        <v>327.78182647527905</v>
      </c>
      <c r="O276" s="5"/>
      <c r="P276" s="5">
        <f t="shared" si="45"/>
        <v>1</v>
      </c>
      <c r="Q276" s="7">
        <f t="shared" si="46"/>
        <v>62700</v>
      </c>
    </row>
    <row r="277" spans="1:17">
      <c r="A277" s="23" t="s">
        <v>307</v>
      </c>
      <c r="B277" s="35" t="s">
        <v>300</v>
      </c>
      <c r="C277" s="125">
        <v>219</v>
      </c>
      <c r="D277" s="114" t="s">
        <v>564</v>
      </c>
      <c r="E277" s="116"/>
      <c r="F277" s="117"/>
      <c r="G277" s="117"/>
      <c r="H277" s="98" t="s">
        <v>588</v>
      </c>
      <c r="I277" s="111"/>
      <c r="J277" s="117"/>
      <c r="K277" s="120"/>
      <c r="L277" s="122">
        <f t="shared" si="47"/>
        <v>0</v>
      </c>
      <c r="M277" s="116">
        <f t="shared" si="48"/>
        <v>0</v>
      </c>
      <c r="N277" s="123">
        <f t="shared" si="49"/>
        <v>0</v>
      </c>
      <c r="O277" s="5"/>
      <c r="P277" s="5">
        <f t="shared" si="45"/>
        <v>0</v>
      </c>
      <c r="Q277" s="7">
        <f t="shared" si="46"/>
        <v>0</v>
      </c>
    </row>
    <row r="278" spans="1:17">
      <c r="A278" s="23" t="s">
        <v>308</v>
      </c>
      <c r="B278" s="35" t="s">
        <v>300</v>
      </c>
      <c r="C278" s="125">
        <v>249</v>
      </c>
      <c r="D278" s="113">
        <v>152924327</v>
      </c>
      <c r="E278" s="116">
        <f t="shared" si="43"/>
        <v>614153.92369477917</v>
      </c>
      <c r="F278" s="117">
        <v>129316088</v>
      </c>
      <c r="G278" s="117">
        <f t="shared" si="44"/>
        <v>519341.718875502</v>
      </c>
      <c r="H278" s="9"/>
      <c r="I278" s="109">
        <v>7.5015999999999998</v>
      </c>
      <c r="J278" s="117">
        <v>970078</v>
      </c>
      <c r="K278" s="120">
        <f>(J278/C278)</f>
        <v>3895.8955823293172</v>
      </c>
      <c r="L278" s="122">
        <f t="shared" si="47"/>
        <v>1293160.8800000001</v>
      </c>
      <c r="M278" s="116">
        <f t="shared" si="48"/>
        <v>323082.88000000012</v>
      </c>
      <c r="N278" s="123">
        <f t="shared" si="49"/>
        <v>1297.5216064257033</v>
      </c>
      <c r="O278" s="5"/>
      <c r="P278" s="5">
        <f t="shared" si="45"/>
        <v>1</v>
      </c>
      <c r="Q278" s="7">
        <f t="shared" si="46"/>
        <v>249</v>
      </c>
    </row>
    <row r="279" spans="1:17">
      <c r="A279" s="23" t="s">
        <v>309</v>
      </c>
      <c r="B279" s="35" t="s">
        <v>300</v>
      </c>
      <c r="C279" s="125">
        <v>38590</v>
      </c>
      <c r="D279" s="113">
        <v>1942793644</v>
      </c>
      <c r="E279" s="116">
        <f t="shared" si="43"/>
        <v>50344.484166882612</v>
      </c>
      <c r="F279" s="117">
        <v>1274273513</v>
      </c>
      <c r="G279" s="117">
        <f t="shared" si="44"/>
        <v>33020.821793210678</v>
      </c>
      <c r="H279" s="7"/>
      <c r="I279" s="109">
        <v>5.4283999999999999</v>
      </c>
      <c r="J279" s="117">
        <v>6917266</v>
      </c>
      <c r="K279" s="120">
        <f t="shared" ref="K279:K342" si="50">(J279/C279)</f>
        <v>179.25022026431719</v>
      </c>
      <c r="L279" s="122">
        <f t="shared" si="47"/>
        <v>12742735.130000001</v>
      </c>
      <c r="M279" s="116">
        <f t="shared" si="48"/>
        <v>5825469.1300000008</v>
      </c>
      <c r="N279" s="123">
        <f t="shared" si="49"/>
        <v>150.95799766778961</v>
      </c>
      <c r="O279" s="5"/>
      <c r="P279" s="5">
        <f t="shared" si="45"/>
        <v>1</v>
      </c>
      <c r="Q279" s="7">
        <f t="shared" si="46"/>
        <v>38590</v>
      </c>
    </row>
    <row r="280" spans="1:17">
      <c r="A280" s="23" t="s">
        <v>310</v>
      </c>
      <c r="B280" s="35" t="s">
        <v>300</v>
      </c>
      <c r="C280" s="125">
        <v>979</v>
      </c>
      <c r="D280" s="113">
        <v>1120423285</v>
      </c>
      <c r="E280" s="116">
        <f t="shared" si="43"/>
        <v>1144456.8794688457</v>
      </c>
      <c r="F280" s="117">
        <v>873166897</v>
      </c>
      <c r="G280" s="117">
        <f t="shared" si="44"/>
        <v>891896.72829417768</v>
      </c>
      <c r="H280" s="7"/>
      <c r="I280" s="109">
        <v>3.9</v>
      </c>
      <c r="J280" s="117">
        <v>3405351</v>
      </c>
      <c r="K280" s="120">
        <f t="shared" si="50"/>
        <v>3478.3973442288047</v>
      </c>
      <c r="L280" s="122">
        <f t="shared" si="47"/>
        <v>8731668.9700000007</v>
      </c>
      <c r="M280" s="116">
        <f t="shared" si="48"/>
        <v>5326317.9700000007</v>
      </c>
      <c r="N280" s="123">
        <f t="shared" si="49"/>
        <v>5440.5699387129735</v>
      </c>
      <c r="O280" s="5"/>
      <c r="P280" s="5">
        <f t="shared" si="45"/>
        <v>1</v>
      </c>
      <c r="Q280" s="7">
        <f t="shared" si="46"/>
        <v>979</v>
      </c>
    </row>
    <row r="281" spans="1:17">
      <c r="A281" s="23" t="s">
        <v>311</v>
      </c>
      <c r="B281" s="35" t="s">
        <v>300</v>
      </c>
      <c r="C281" s="125">
        <v>1969</v>
      </c>
      <c r="D281" s="113">
        <v>104664122</v>
      </c>
      <c r="E281" s="116">
        <f t="shared" si="43"/>
        <v>53155.978669375319</v>
      </c>
      <c r="F281" s="117">
        <v>66994781</v>
      </c>
      <c r="G281" s="117">
        <f t="shared" si="44"/>
        <v>34024.774504824782</v>
      </c>
      <c r="H281" s="7"/>
      <c r="I281" s="109">
        <v>4.25</v>
      </c>
      <c r="J281" s="117">
        <v>284728</v>
      </c>
      <c r="K281" s="120">
        <f t="shared" si="50"/>
        <v>144.60538344337226</v>
      </c>
      <c r="L281" s="122">
        <f t="shared" si="47"/>
        <v>669947.81000000006</v>
      </c>
      <c r="M281" s="116">
        <f t="shared" si="48"/>
        <v>385219.81000000006</v>
      </c>
      <c r="N281" s="123">
        <f t="shared" si="49"/>
        <v>195.64236160487559</v>
      </c>
      <c r="O281" s="5"/>
      <c r="P281" s="5">
        <f t="shared" si="45"/>
        <v>1</v>
      </c>
      <c r="Q281" s="7">
        <f t="shared" si="46"/>
        <v>1969</v>
      </c>
    </row>
    <row r="282" spans="1:17">
      <c r="A282" s="23" t="s">
        <v>312</v>
      </c>
      <c r="B282" s="35" t="s">
        <v>300</v>
      </c>
      <c r="C282" s="125">
        <v>3581</v>
      </c>
      <c r="D282" s="113">
        <v>2260380097</v>
      </c>
      <c r="E282" s="116">
        <f t="shared" si="43"/>
        <v>631214.7715721865</v>
      </c>
      <c r="F282" s="117">
        <v>1937064009</v>
      </c>
      <c r="G282" s="117">
        <f t="shared" si="44"/>
        <v>540928.23485060036</v>
      </c>
      <c r="H282" s="7"/>
      <c r="I282" s="109">
        <v>3.95</v>
      </c>
      <c r="J282" s="117">
        <v>7651403</v>
      </c>
      <c r="K282" s="120">
        <f t="shared" si="50"/>
        <v>2136.6665735827983</v>
      </c>
      <c r="L282" s="122">
        <f t="shared" si="47"/>
        <v>19370640.09</v>
      </c>
      <c r="M282" s="116">
        <f t="shared" si="48"/>
        <v>11719237.09</v>
      </c>
      <c r="N282" s="123">
        <f t="shared" si="49"/>
        <v>3272.6157749232057</v>
      </c>
      <c r="O282" s="5"/>
      <c r="P282" s="5">
        <f t="shared" si="45"/>
        <v>1</v>
      </c>
      <c r="Q282" s="7">
        <f t="shared" si="46"/>
        <v>3581</v>
      </c>
    </row>
    <row r="283" spans="1:17">
      <c r="A283" s="23" t="s">
        <v>313</v>
      </c>
      <c r="B283" s="35" t="s">
        <v>300</v>
      </c>
      <c r="C283" s="125">
        <v>2672</v>
      </c>
      <c r="D283" s="113">
        <v>370011461</v>
      </c>
      <c r="E283" s="116">
        <f t="shared" si="43"/>
        <v>138477.34318862276</v>
      </c>
      <c r="F283" s="117">
        <v>273180080</v>
      </c>
      <c r="G283" s="117">
        <f t="shared" si="44"/>
        <v>102238.05389221557</v>
      </c>
      <c r="H283" s="7"/>
      <c r="I283" s="109">
        <v>3.8</v>
      </c>
      <c r="J283" s="117">
        <v>1038084</v>
      </c>
      <c r="K283" s="120">
        <f t="shared" si="50"/>
        <v>388.50449101796409</v>
      </c>
      <c r="L283" s="122">
        <f t="shared" si="47"/>
        <v>2731800.8000000003</v>
      </c>
      <c r="M283" s="116">
        <f t="shared" si="48"/>
        <v>1693716.8000000003</v>
      </c>
      <c r="N283" s="123">
        <f t="shared" si="49"/>
        <v>633.87604790419175</v>
      </c>
      <c r="O283" s="5"/>
      <c r="P283" s="5">
        <f t="shared" si="45"/>
        <v>1</v>
      </c>
      <c r="Q283" s="7">
        <f t="shared" si="46"/>
        <v>2672</v>
      </c>
    </row>
    <row r="284" spans="1:17">
      <c r="A284" s="23" t="s">
        <v>314</v>
      </c>
      <c r="B284" s="35" t="s">
        <v>300</v>
      </c>
      <c r="C284" s="125">
        <v>3194</v>
      </c>
      <c r="D284" s="113">
        <v>1277183932</v>
      </c>
      <c r="E284" s="116">
        <f t="shared" si="43"/>
        <v>399869.7345021916</v>
      </c>
      <c r="F284" s="117">
        <v>1036715052</v>
      </c>
      <c r="G284" s="117">
        <f t="shared" si="44"/>
        <v>324582.04508453351</v>
      </c>
      <c r="H284" s="7"/>
      <c r="I284" s="109">
        <v>2.5760000000000001</v>
      </c>
      <c r="J284" s="117">
        <v>2670578</v>
      </c>
      <c r="K284" s="120">
        <f t="shared" si="50"/>
        <v>836.12335629304948</v>
      </c>
      <c r="L284" s="122">
        <f t="shared" si="47"/>
        <v>10367150.52</v>
      </c>
      <c r="M284" s="116">
        <f t="shared" si="48"/>
        <v>7696572.5199999996</v>
      </c>
      <c r="N284" s="123">
        <f t="shared" si="49"/>
        <v>2409.6970945522853</v>
      </c>
      <c r="O284" s="5"/>
      <c r="P284" s="5">
        <f t="shared" si="45"/>
        <v>1</v>
      </c>
      <c r="Q284" s="7">
        <f t="shared" si="46"/>
        <v>3194</v>
      </c>
    </row>
    <row r="285" spans="1:17">
      <c r="A285" s="23" t="s">
        <v>315</v>
      </c>
      <c r="B285" s="35" t="s">
        <v>300</v>
      </c>
      <c r="C285" s="125">
        <v>57263</v>
      </c>
      <c r="D285" s="113">
        <v>10586219301</v>
      </c>
      <c r="E285" s="116">
        <f t="shared" si="43"/>
        <v>184870.14828073976</v>
      </c>
      <c r="F285" s="117">
        <v>8078558089</v>
      </c>
      <c r="G285" s="117">
        <f t="shared" si="44"/>
        <v>141078.14974765555</v>
      </c>
      <c r="H285" s="7"/>
      <c r="I285" s="109">
        <v>2.5142000000000002</v>
      </c>
      <c r="J285" s="117">
        <v>20311111</v>
      </c>
      <c r="K285" s="120">
        <f t="shared" si="50"/>
        <v>354.69868850741318</v>
      </c>
      <c r="L285" s="122">
        <f t="shared" si="47"/>
        <v>80785580.890000001</v>
      </c>
      <c r="M285" s="116">
        <f t="shared" si="48"/>
        <v>60474469.890000001</v>
      </c>
      <c r="N285" s="123">
        <f t="shared" si="49"/>
        <v>1056.0828089691424</v>
      </c>
      <c r="O285" s="5"/>
      <c r="P285" s="5">
        <f t="shared" si="45"/>
        <v>1</v>
      </c>
      <c r="Q285" s="7">
        <f t="shared" si="46"/>
        <v>57263</v>
      </c>
    </row>
    <row r="286" spans="1:17">
      <c r="A286" s="23" t="s">
        <v>316</v>
      </c>
      <c r="B286" s="35" t="s">
        <v>300</v>
      </c>
      <c r="C286" s="125">
        <v>396</v>
      </c>
      <c r="D286" s="113">
        <v>347591098</v>
      </c>
      <c r="E286" s="116">
        <f t="shared" si="43"/>
        <v>877755.29797979794</v>
      </c>
      <c r="F286" s="117">
        <v>258419438</v>
      </c>
      <c r="G286" s="117">
        <f t="shared" si="44"/>
        <v>652574.33838383842</v>
      </c>
      <c r="H286" s="7"/>
      <c r="I286" s="109">
        <v>5.15</v>
      </c>
      <c r="J286" s="117">
        <v>1330860</v>
      </c>
      <c r="K286" s="120">
        <f t="shared" si="50"/>
        <v>3360.757575757576</v>
      </c>
      <c r="L286" s="122">
        <f t="shared" si="47"/>
        <v>2584194.38</v>
      </c>
      <c r="M286" s="116">
        <f t="shared" si="48"/>
        <v>1253334.3799999999</v>
      </c>
      <c r="N286" s="123">
        <f t="shared" si="49"/>
        <v>3164.9858080808076</v>
      </c>
      <c r="O286" s="5"/>
      <c r="P286" s="5">
        <f t="shared" si="45"/>
        <v>1</v>
      </c>
      <c r="Q286" s="7">
        <f t="shared" si="46"/>
        <v>396</v>
      </c>
    </row>
    <row r="287" spans="1:17">
      <c r="A287" s="23" t="s">
        <v>317</v>
      </c>
      <c r="B287" s="35" t="s">
        <v>300</v>
      </c>
      <c r="C287" s="125">
        <v>3360</v>
      </c>
      <c r="D287" s="113">
        <v>320236043</v>
      </c>
      <c r="E287" s="116">
        <f t="shared" ref="E287:E350" si="51">(D287/C287)</f>
        <v>95308.346130952385</v>
      </c>
      <c r="F287" s="117">
        <v>198466870</v>
      </c>
      <c r="G287" s="117">
        <f t="shared" ref="G287:G350" si="52">(F287/C287)</f>
        <v>59067.520833333336</v>
      </c>
      <c r="H287" s="7"/>
      <c r="I287" s="109">
        <v>6.2797999999999998</v>
      </c>
      <c r="J287" s="117">
        <v>1246332</v>
      </c>
      <c r="K287" s="120">
        <f t="shared" si="50"/>
        <v>370.93214285714288</v>
      </c>
      <c r="L287" s="122">
        <f t="shared" si="47"/>
        <v>1984668.7</v>
      </c>
      <c r="M287" s="116">
        <f t="shared" si="48"/>
        <v>738336.7</v>
      </c>
      <c r="N287" s="123">
        <f t="shared" si="49"/>
        <v>219.74306547619045</v>
      </c>
      <c r="O287" s="5"/>
      <c r="P287" s="5">
        <f t="shared" si="45"/>
        <v>1</v>
      </c>
      <c r="Q287" s="7">
        <f t="shared" si="46"/>
        <v>3360</v>
      </c>
    </row>
    <row r="288" spans="1:17">
      <c r="A288" s="23" t="s">
        <v>318</v>
      </c>
      <c r="B288" s="35" t="s">
        <v>300</v>
      </c>
      <c r="C288" s="125">
        <v>8477</v>
      </c>
      <c r="D288" s="113">
        <v>633513359</v>
      </c>
      <c r="E288" s="116">
        <f t="shared" si="51"/>
        <v>74733.202666037512</v>
      </c>
      <c r="F288" s="117">
        <v>479069059</v>
      </c>
      <c r="G288" s="117">
        <f t="shared" si="52"/>
        <v>56513.985962014864</v>
      </c>
      <c r="H288" s="7"/>
      <c r="I288" s="109">
        <v>8.8055000000000003</v>
      </c>
      <c r="J288" s="117">
        <v>4218443</v>
      </c>
      <c r="K288" s="120">
        <f t="shared" si="50"/>
        <v>497.63395069010261</v>
      </c>
      <c r="L288" s="122">
        <f t="shared" si="47"/>
        <v>4790690.59</v>
      </c>
      <c r="M288" s="116">
        <f t="shared" si="48"/>
        <v>572247.58999999985</v>
      </c>
      <c r="N288" s="123">
        <f t="shared" si="49"/>
        <v>67.50590893004599</v>
      </c>
      <c r="O288" s="5"/>
      <c r="P288" s="5">
        <f t="shared" si="45"/>
        <v>1</v>
      </c>
      <c r="Q288" s="7">
        <f t="shared" si="46"/>
        <v>8477</v>
      </c>
    </row>
    <row r="289" spans="1:17">
      <c r="A289" s="24" t="s">
        <v>628</v>
      </c>
      <c r="B289" s="35" t="s">
        <v>300</v>
      </c>
      <c r="C289" s="125">
        <v>36423</v>
      </c>
      <c r="D289" s="113">
        <v>1976105244</v>
      </c>
      <c r="E289" s="116">
        <f t="shared" si="51"/>
        <v>54254.324026027512</v>
      </c>
      <c r="F289" s="117">
        <v>1194171369</v>
      </c>
      <c r="G289" s="117">
        <f t="shared" si="52"/>
        <v>32786.189193641381</v>
      </c>
      <c r="H289" s="7"/>
      <c r="I289" s="109">
        <v>5.4945000000000004</v>
      </c>
      <c r="J289" s="117">
        <v>6561375</v>
      </c>
      <c r="K289" s="120">
        <f t="shared" si="50"/>
        <v>180.14372786426159</v>
      </c>
      <c r="L289" s="122">
        <f t="shared" si="47"/>
        <v>11941713.689999999</v>
      </c>
      <c r="M289" s="116">
        <f t="shared" si="48"/>
        <v>5380338.6899999995</v>
      </c>
      <c r="N289" s="123">
        <f t="shared" si="49"/>
        <v>147.71816407215221</v>
      </c>
      <c r="O289" s="5"/>
      <c r="P289" s="5">
        <f t="shared" si="45"/>
        <v>1</v>
      </c>
      <c r="Q289" s="7">
        <f t="shared" si="46"/>
        <v>36423</v>
      </c>
    </row>
    <row r="290" spans="1:17">
      <c r="A290" s="23" t="s">
        <v>319</v>
      </c>
      <c r="B290" s="35" t="s">
        <v>300</v>
      </c>
      <c r="C290" s="125">
        <v>10681</v>
      </c>
      <c r="D290" s="113">
        <v>1028552175</v>
      </c>
      <c r="E290" s="116">
        <f t="shared" si="51"/>
        <v>96297.366819586183</v>
      </c>
      <c r="F290" s="117">
        <v>725272244</v>
      </c>
      <c r="G290" s="117">
        <f t="shared" si="52"/>
        <v>67903.028180881942</v>
      </c>
      <c r="H290" s="7"/>
      <c r="I290" s="109">
        <v>3.2395</v>
      </c>
      <c r="J290" s="117">
        <v>2349519</v>
      </c>
      <c r="K290" s="120">
        <f t="shared" si="50"/>
        <v>219.9718191180601</v>
      </c>
      <c r="L290" s="122">
        <f t="shared" si="47"/>
        <v>7252722.4400000004</v>
      </c>
      <c r="M290" s="116">
        <f t="shared" si="48"/>
        <v>4903203.4400000004</v>
      </c>
      <c r="N290" s="123">
        <f t="shared" si="49"/>
        <v>459.05846269075931</v>
      </c>
      <c r="O290" s="5"/>
      <c r="P290" s="5">
        <f t="shared" si="45"/>
        <v>1</v>
      </c>
      <c r="Q290" s="7">
        <f t="shared" si="46"/>
        <v>10681</v>
      </c>
    </row>
    <row r="291" spans="1:17">
      <c r="A291" s="23" t="s">
        <v>531</v>
      </c>
      <c r="B291" s="35" t="s">
        <v>300</v>
      </c>
      <c r="C291" s="125">
        <v>3183</v>
      </c>
      <c r="D291" s="113">
        <v>374938946</v>
      </c>
      <c r="E291" s="116">
        <f t="shared" si="51"/>
        <v>117794.20232485078</v>
      </c>
      <c r="F291" s="117">
        <v>197689417</v>
      </c>
      <c r="G291" s="117">
        <f t="shared" si="52"/>
        <v>62107.89098334904</v>
      </c>
      <c r="H291" s="9"/>
      <c r="I291" s="109">
        <v>1.2</v>
      </c>
      <c r="J291" s="117">
        <v>237227</v>
      </c>
      <c r="K291" s="120">
        <f t="shared" si="50"/>
        <v>74.529374803644359</v>
      </c>
      <c r="L291" s="122">
        <f t="shared" si="47"/>
        <v>1976894.17</v>
      </c>
      <c r="M291" s="116">
        <f t="shared" si="48"/>
        <v>1739667.17</v>
      </c>
      <c r="N291" s="123">
        <f t="shared" si="49"/>
        <v>546.54953502984608</v>
      </c>
      <c r="O291" s="5"/>
      <c r="P291" s="5">
        <f t="shared" si="45"/>
        <v>1</v>
      </c>
      <c r="Q291" s="7">
        <f t="shared" si="46"/>
        <v>3183</v>
      </c>
    </row>
    <row r="292" spans="1:17">
      <c r="A292" s="23" t="s">
        <v>320</v>
      </c>
      <c r="B292" s="35" t="s">
        <v>300</v>
      </c>
      <c r="C292" s="125">
        <v>408</v>
      </c>
      <c r="D292" s="113">
        <v>1086594399</v>
      </c>
      <c r="E292" s="116">
        <f t="shared" si="51"/>
        <v>2663221.5661764704</v>
      </c>
      <c r="F292" s="117">
        <v>970320741</v>
      </c>
      <c r="G292" s="117">
        <f t="shared" si="52"/>
        <v>2378237.1102941176</v>
      </c>
      <c r="H292" s="7"/>
      <c r="I292" s="109">
        <v>3.0305</v>
      </c>
      <c r="J292" s="117">
        <v>2940557</v>
      </c>
      <c r="K292" s="120">
        <f t="shared" si="50"/>
        <v>7207.2475490196075</v>
      </c>
      <c r="L292" s="122">
        <f t="shared" si="47"/>
        <v>9703207.4100000001</v>
      </c>
      <c r="M292" s="116">
        <f t="shared" si="48"/>
        <v>6762650.4100000001</v>
      </c>
      <c r="N292" s="123">
        <f t="shared" si="49"/>
        <v>16575.12355392157</v>
      </c>
      <c r="O292" s="5"/>
      <c r="P292" s="5">
        <f t="shared" si="45"/>
        <v>1</v>
      </c>
      <c r="Q292" s="7">
        <f t="shared" si="46"/>
        <v>408</v>
      </c>
    </row>
    <row r="293" spans="1:17">
      <c r="A293" s="23" t="s">
        <v>321</v>
      </c>
      <c r="B293" s="35" t="s">
        <v>300</v>
      </c>
      <c r="C293" s="125">
        <v>1972</v>
      </c>
      <c r="D293" s="113">
        <v>176222968</v>
      </c>
      <c r="E293" s="116">
        <f t="shared" si="51"/>
        <v>89362.5598377282</v>
      </c>
      <c r="F293" s="117">
        <v>144100274</v>
      </c>
      <c r="G293" s="117">
        <f t="shared" si="52"/>
        <v>73073.161257606494</v>
      </c>
      <c r="H293" s="7"/>
      <c r="I293" s="127">
        <v>9.8000000000000007</v>
      </c>
      <c r="J293" s="117">
        <v>1412183</v>
      </c>
      <c r="K293" s="120">
        <f t="shared" si="50"/>
        <v>716.11713995943205</v>
      </c>
      <c r="L293" s="122">
        <f t="shared" si="47"/>
        <v>1441002.74</v>
      </c>
      <c r="M293" s="116">
        <f t="shared" si="48"/>
        <v>28819.739999999991</v>
      </c>
      <c r="N293" s="123">
        <f t="shared" si="49"/>
        <v>14.614472616632856</v>
      </c>
      <c r="O293" s="5"/>
      <c r="P293" s="5">
        <f t="shared" si="45"/>
        <v>1</v>
      </c>
      <c r="Q293" s="7">
        <f t="shared" si="46"/>
        <v>1972</v>
      </c>
    </row>
    <row r="294" spans="1:17">
      <c r="A294" s="23" t="s">
        <v>322</v>
      </c>
      <c r="B294" s="35" t="s">
        <v>300</v>
      </c>
      <c r="C294" s="125">
        <v>12182</v>
      </c>
      <c r="D294" s="113">
        <v>2184399115</v>
      </c>
      <c r="E294" s="116">
        <f t="shared" si="51"/>
        <v>179313.66893777705</v>
      </c>
      <c r="F294" s="117">
        <v>1604532533</v>
      </c>
      <c r="G294" s="117">
        <f t="shared" si="52"/>
        <v>131713.39131505499</v>
      </c>
      <c r="H294" s="7"/>
      <c r="I294" s="109">
        <v>7.33</v>
      </c>
      <c r="J294" s="117">
        <v>11761223</v>
      </c>
      <c r="K294" s="120">
        <f t="shared" si="50"/>
        <v>965.45912001313411</v>
      </c>
      <c r="L294" s="122">
        <f t="shared" si="47"/>
        <v>16045325.33</v>
      </c>
      <c r="M294" s="116">
        <f t="shared" si="48"/>
        <v>4284102.33</v>
      </c>
      <c r="N294" s="123">
        <f t="shared" si="49"/>
        <v>351.67479313741586</v>
      </c>
      <c r="O294" s="5"/>
      <c r="P294" s="5">
        <f t="shared" si="45"/>
        <v>1</v>
      </c>
      <c r="Q294" s="7">
        <f t="shared" si="46"/>
        <v>12182</v>
      </c>
    </row>
    <row r="295" spans="1:17">
      <c r="A295" s="23" t="s">
        <v>323</v>
      </c>
      <c r="B295" s="35" t="s">
        <v>300</v>
      </c>
      <c r="C295" s="125">
        <v>1780</v>
      </c>
      <c r="D295" s="113">
        <v>1002292356</v>
      </c>
      <c r="E295" s="116">
        <f t="shared" si="51"/>
        <v>563085.59325842699</v>
      </c>
      <c r="F295" s="117">
        <v>767010319</v>
      </c>
      <c r="G295" s="117">
        <f t="shared" si="52"/>
        <v>430904.67359550559</v>
      </c>
      <c r="H295" s="7"/>
      <c r="I295" s="109">
        <v>5.35</v>
      </c>
      <c r="J295" s="117">
        <v>4103505</v>
      </c>
      <c r="K295" s="120">
        <f t="shared" si="50"/>
        <v>2305.3398876404494</v>
      </c>
      <c r="L295" s="122">
        <f t="shared" si="47"/>
        <v>7670103.1900000004</v>
      </c>
      <c r="M295" s="116">
        <f t="shared" si="48"/>
        <v>3566598.1900000004</v>
      </c>
      <c r="N295" s="123">
        <f t="shared" si="49"/>
        <v>2003.706848314607</v>
      </c>
      <c r="O295" s="5"/>
      <c r="P295" s="5">
        <f t="shared" si="45"/>
        <v>1</v>
      </c>
      <c r="Q295" s="7">
        <f t="shared" si="46"/>
        <v>1780</v>
      </c>
    </row>
    <row r="296" spans="1:17">
      <c r="A296" s="23" t="s">
        <v>324</v>
      </c>
      <c r="B296" s="35" t="s">
        <v>300</v>
      </c>
      <c r="C296" s="125">
        <v>5818</v>
      </c>
      <c r="D296" s="113">
        <v>175539172</v>
      </c>
      <c r="E296" s="116">
        <f t="shared" si="51"/>
        <v>30171.738054314199</v>
      </c>
      <c r="F296" s="117">
        <v>69632765</v>
      </c>
      <c r="G296" s="117">
        <f t="shared" si="52"/>
        <v>11968.505500171881</v>
      </c>
      <c r="H296" s="9"/>
      <c r="I296" s="109">
        <v>6.5419</v>
      </c>
      <c r="J296" s="117">
        <v>455531</v>
      </c>
      <c r="K296" s="120">
        <f t="shared" si="50"/>
        <v>78.296837401168787</v>
      </c>
      <c r="L296" s="122">
        <f t="shared" si="47"/>
        <v>696327.65</v>
      </c>
      <c r="M296" s="116">
        <f t="shared" si="48"/>
        <v>240796.65000000002</v>
      </c>
      <c r="N296" s="123">
        <f t="shared" si="49"/>
        <v>41.388217600550021</v>
      </c>
      <c r="O296" s="5"/>
      <c r="P296" s="5">
        <f t="shared" si="45"/>
        <v>1</v>
      </c>
      <c r="Q296" s="7">
        <f t="shared" si="46"/>
        <v>5818</v>
      </c>
    </row>
    <row r="297" spans="1:17">
      <c r="A297" s="23" t="s">
        <v>300</v>
      </c>
      <c r="B297" s="35" t="s">
        <v>300</v>
      </c>
      <c r="C297" s="125">
        <v>8170</v>
      </c>
      <c r="D297" s="113">
        <v>17043984992</v>
      </c>
      <c r="E297" s="116">
        <f t="shared" si="51"/>
        <v>2086167.0736842104</v>
      </c>
      <c r="F297" s="117">
        <v>13383397607</v>
      </c>
      <c r="G297" s="117">
        <f t="shared" si="52"/>
        <v>1638114.7621787025</v>
      </c>
      <c r="H297" s="7"/>
      <c r="I297" s="109">
        <v>3.4058000000000002</v>
      </c>
      <c r="J297" s="117">
        <v>45581176</v>
      </c>
      <c r="K297" s="120">
        <f t="shared" si="50"/>
        <v>5579.0913096695231</v>
      </c>
      <c r="L297" s="122">
        <f t="shared" si="47"/>
        <v>133833976.07000001</v>
      </c>
      <c r="M297" s="116">
        <f t="shared" si="48"/>
        <v>88252800.070000008</v>
      </c>
      <c r="N297" s="123">
        <f t="shared" si="49"/>
        <v>10802.056312117504</v>
      </c>
      <c r="O297" s="5"/>
      <c r="P297" s="5">
        <f t="shared" si="45"/>
        <v>1</v>
      </c>
      <c r="Q297" s="7">
        <f t="shared" si="46"/>
        <v>8170</v>
      </c>
    </row>
    <row r="298" spans="1:17">
      <c r="A298" s="23" t="s">
        <v>325</v>
      </c>
      <c r="B298" s="35" t="s">
        <v>300</v>
      </c>
      <c r="C298" s="125">
        <v>50067</v>
      </c>
      <c r="D298" s="113">
        <v>11106390736</v>
      </c>
      <c r="E298" s="116">
        <f t="shared" si="51"/>
        <v>221830.56176723191</v>
      </c>
      <c r="F298" s="117">
        <v>8759416672</v>
      </c>
      <c r="G298" s="117">
        <f t="shared" si="52"/>
        <v>174953.89522040467</v>
      </c>
      <c r="H298" s="7"/>
      <c r="I298" s="109">
        <v>5.67</v>
      </c>
      <c r="J298" s="117">
        <v>49665893</v>
      </c>
      <c r="K298" s="120">
        <f t="shared" si="50"/>
        <v>991.98859528232174</v>
      </c>
      <c r="L298" s="122">
        <f t="shared" si="47"/>
        <v>87594166.719999999</v>
      </c>
      <c r="M298" s="116">
        <f t="shared" si="48"/>
        <v>37928273.719999999</v>
      </c>
      <c r="N298" s="123">
        <f t="shared" si="49"/>
        <v>757.55035692172487</v>
      </c>
      <c r="O298" s="5"/>
      <c r="P298" s="5">
        <f t="shared" si="45"/>
        <v>1</v>
      </c>
      <c r="Q298" s="7">
        <f t="shared" si="46"/>
        <v>50067</v>
      </c>
    </row>
    <row r="299" spans="1:17">
      <c r="A299" s="23" t="s">
        <v>326</v>
      </c>
      <c r="B299" s="35" t="s">
        <v>300</v>
      </c>
      <c r="C299" s="125">
        <v>1147</v>
      </c>
      <c r="D299" s="113">
        <v>581193138</v>
      </c>
      <c r="E299" s="116">
        <f t="shared" si="51"/>
        <v>506707.18221447256</v>
      </c>
      <c r="F299" s="117">
        <v>523982364</v>
      </c>
      <c r="G299" s="117">
        <f t="shared" si="52"/>
        <v>456828.56495204882</v>
      </c>
      <c r="H299" s="7"/>
      <c r="I299" s="109">
        <v>6.35</v>
      </c>
      <c r="J299" s="117">
        <v>3327288</v>
      </c>
      <c r="K299" s="120">
        <f t="shared" si="50"/>
        <v>2900.8613775065387</v>
      </c>
      <c r="L299" s="122">
        <f t="shared" si="47"/>
        <v>5239823.6399999997</v>
      </c>
      <c r="M299" s="116">
        <f t="shared" si="48"/>
        <v>1912535.6399999997</v>
      </c>
      <c r="N299" s="123">
        <f t="shared" si="49"/>
        <v>1667.4242720139491</v>
      </c>
      <c r="O299" s="5"/>
      <c r="P299" s="5">
        <f t="shared" si="45"/>
        <v>1</v>
      </c>
      <c r="Q299" s="7">
        <f t="shared" si="46"/>
        <v>1147</v>
      </c>
    </row>
    <row r="300" spans="1:17">
      <c r="A300" s="23" t="s">
        <v>327</v>
      </c>
      <c r="B300" s="35" t="s">
        <v>300</v>
      </c>
      <c r="C300" s="125">
        <v>20887</v>
      </c>
      <c r="D300" s="113">
        <v>1051490542</v>
      </c>
      <c r="E300" s="116">
        <f t="shared" si="51"/>
        <v>50341.865370804808</v>
      </c>
      <c r="F300" s="117">
        <v>678049106</v>
      </c>
      <c r="G300" s="117">
        <f t="shared" si="52"/>
        <v>32462.73308756643</v>
      </c>
      <c r="H300" s="9"/>
      <c r="I300" s="109">
        <v>3.9</v>
      </c>
      <c r="J300" s="117">
        <v>2644392</v>
      </c>
      <c r="K300" s="120">
        <f t="shared" si="50"/>
        <v>126.60468233829654</v>
      </c>
      <c r="L300" s="122">
        <f t="shared" si="47"/>
        <v>6780491.0600000005</v>
      </c>
      <c r="M300" s="116">
        <f t="shared" si="48"/>
        <v>4136099.0600000005</v>
      </c>
      <c r="N300" s="123">
        <f t="shared" si="49"/>
        <v>198.02264853736776</v>
      </c>
      <c r="O300" s="5"/>
      <c r="P300" s="5">
        <f t="shared" si="45"/>
        <v>1</v>
      </c>
      <c r="Q300" s="7">
        <f t="shared" si="46"/>
        <v>20887</v>
      </c>
    </row>
    <row r="301" spans="1:17">
      <c r="A301" s="23" t="s">
        <v>328</v>
      </c>
      <c r="B301" s="35" t="s">
        <v>300</v>
      </c>
      <c r="C301" s="125">
        <v>33728</v>
      </c>
      <c r="D301" s="113">
        <v>4527116339</v>
      </c>
      <c r="E301" s="116">
        <f t="shared" si="51"/>
        <v>134224.27475687856</v>
      </c>
      <c r="F301" s="117">
        <v>3378891384</v>
      </c>
      <c r="G301" s="117">
        <f t="shared" si="52"/>
        <v>100180.60317836812</v>
      </c>
      <c r="H301" s="7"/>
      <c r="I301" s="109">
        <v>8.952</v>
      </c>
      <c r="J301" s="117">
        <v>30247836</v>
      </c>
      <c r="K301" s="120">
        <f t="shared" si="50"/>
        <v>896.81676944971537</v>
      </c>
      <c r="L301" s="122">
        <f t="shared" si="47"/>
        <v>33788913.840000004</v>
      </c>
      <c r="M301" s="116">
        <f t="shared" si="48"/>
        <v>3541077.8400000036</v>
      </c>
      <c r="N301" s="123">
        <f t="shared" si="49"/>
        <v>104.98926233396595</v>
      </c>
      <c r="O301" s="5"/>
      <c r="P301" s="5">
        <f t="shared" si="45"/>
        <v>1</v>
      </c>
      <c r="Q301" s="7">
        <f t="shared" si="46"/>
        <v>33728</v>
      </c>
    </row>
    <row r="302" spans="1:17">
      <c r="A302" s="23" t="s">
        <v>329</v>
      </c>
      <c r="B302" s="35" t="s">
        <v>300</v>
      </c>
      <c r="C302" s="125">
        <v>36265</v>
      </c>
      <c r="D302" s="113">
        <v>3009014540</v>
      </c>
      <c r="E302" s="116">
        <f t="shared" si="51"/>
        <v>82972.964014890385</v>
      </c>
      <c r="F302" s="117">
        <v>2046984635</v>
      </c>
      <c r="G302" s="117">
        <f t="shared" si="52"/>
        <v>56445.185026885425</v>
      </c>
      <c r="H302" s="7"/>
      <c r="I302" s="109">
        <v>1.92</v>
      </c>
      <c r="J302" s="117">
        <v>3930210</v>
      </c>
      <c r="K302" s="120">
        <f t="shared" si="50"/>
        <v>108.37474148628154</v>
      </c>
      <c r="L302" s="122">
        <f t="shared" si="47"/>
        <v>20469846.350000001</v>
      </c>
      <c r="M302" s="116">
        <f t="shared" si="48"/>
        <v>16539636.350000001</v>
      </c>
      <c r="N302" s="123">
        <f t="shared" si="49"/>
        <v>456.07710878257279</v>
      </c>
      <c r="O302" s="5"/>
      <c r="P302" s="5">
        <f t="shared" si="45"/>
        <v>1</v>
      </c>
      <c r="Q302" s="7">
        <f t="shared" si="46"/>
        <v>36265</v>
      </c>
    </row>
    <row r="303" spans="1:17">
      <c r="A303" s="23" t="s">
        <v>330</v>
      </c>
      <c r="B303" s="35" t="s">
        <v>300</v>
      </c>
      <c r="C303" s="125">
        <v>4898</v>
      </c>
      <c r="D303" s="113">
        <v>135054285</v>
      </c>
      <c r="E303" s="116">
        <f t="shared" si="51"/>
        <v>27573.353409554922</v>
      </c>
      <c r="F303" s="117">
        <v>52670005</v>
      </c>
      <c r="G303" s="117">
        <f t="shared" si="52"/>
        <v>10753.369742752144</v>
      </c>
      <c r="H303" s="7"/>
      <c r="I303" s="109">
        <v>6.3089000000000004</v>
      </c>
      <c r="J303" s="117">
        <v>332290</v>
      </c>
      <c r="K303" s="120">
        <f t="shared" si="50"/>
        <v>67.84197631686402</v>
      </c>
      <c r="L303" s="122">
        <f t="shared" si="47"/>
        <v>526700.05000000005</v>
      </c>
      <c r="M303" s="116">
        <f t="shared" si="48"/>
        <v>194410.05000000005</v>
      </c>
      <c r="N303" s="123">
        <f t="shared" si="49"/>
        <v>39.691721110657419</v>
      </c>
      <c r="O303" s="5"/>
      <c r="P303" s="5">
        <f t="shared" si="45"/>
        <v>1</v>
      </c>
      <c r="Q303" s="7">
        <f t="shared" si="46"/>
        <v>4898</v>
      </c>
    </row>
    <row r="304" spans="1:17">
      <c r="A304" s="23" t="s">
        <v>331</v>
      </c>
      <c r="B304" s="35" t="s">
        <v>300</v>
      </c>
      <c r="C304" s="125">
        <v>1362</v>
      </c>
      <c r="D304" s="113">
        <v>306271620</v>
      </c>
      <c r="E304" s="116">
        <f t="shared" si="51"/>
        <v>224869.03083700439</v>
      </c>
      <c r="F304" s="117">
        <v>263054835</v>
      </c>
      <c r="G304" s="117">
        <f t="shared" si="52"/>
        <v>193138.64537444935</v>
      </c>
      <c r="H304" s="7"/>
      <c r="I304" s="109">
        <v>4.3174000000000001</v>
      </c>
      <c r="J304" s="117">
        <v>1135713</v>
      </c>
      <c r="K304" s="120">
        <f t="shared" si="50"/>
        <v>833.8568281938326</v>
      </c>
      <c r="L304" s="122">
        <f t="shared" si="47"/>
        <v>2630548.35</v>
      </c>
      <c r="M304" s="116">
        <f t="shared" si="48"/>
        <v>1494835.35</v>
      </c>
      <c r="N304" s="123">
        <f t="shared" si="49"/>
        <v>1097.529625550661</v>
      </c>
      <c r="O304" s="5"/>
      <c r="P304" s="5">
        <f t="shared" si="45"/>
        <v>1</v>
      </c>
      <c r="Q304" s="7">
        <f t="shared" si="46"/>
        <v>1362</v>
      </c>
    </row>
    <row r="305" spans="1:21">
      <c r="A305" s="23" t="s">
        <v>332</v>
      </c>
      <c r="B305" s="35" t="s">
        <v>300</v>
      </c>
      <c r="C305" s="125">
        <v>5629</v>
      </c>
      <c r="D305" s="113">
        <v>1178887330</v>
      </c>
      <c r="E305" s="116">
        <f t="shared" si="51"/>
        <v>209431.04103748445</v>
      </c>
      <c r="F305" s="117">
        <v>863937071</v>
      </c>
      <c r="G305" s="117">
        <f t="shared" si="52"/>
        <v>153479.6715224729</v>
      </c>
      <c r="H305" s="7"/>
      <c r="I305" s="109">
        <v>6.2919999999999998</v>
      </c>
      <c r="J305" s="117">
        <v>5435892</v>
      </c>
      <c r="K305" s="120">
        <f t="shared" si="50"/>
        <v>965.69408420678633</v>
      </c>
      <c r="L305" s="122">
        <f t="shared" si="47"/>
        <v>8639370.7100000009</v>
      </c>
      <c r="M305" s="116">
        <f t="shared" si="48"/>
        <v>3203478.7100000009</v>
      </c>
      <c r="N305" s="123">
        <f t="shared" si="49"/>
        <v>569.10263101794294</v>
      </c>
      <c r="O305" s="5"/>
      <c r="P305" s="5">
        <f t="shared" si="45"/>
        <v>1</v>
      </c>
      <c r="Q305" s="7">
        <f t="shared" si="46"/>
        <v>5629</v>
      </c>
    </row>
    <row r="306" spans="1:21">
      <c r="A306" s="23" t="s">
        <v>333</v>
      </c>
      <c r="B306" s="35" t="s">
        <v>300</v>
      </c>
      <c r="C306" s="125">
        <v>59136</v>
      </c>
      <c r="D306" s="113">
        <v>9183266540</v>
      </c>
      <c r="E306" s="116">
        <f t="shared" si="51"/>
        <v>155290.62736742425</v>
      </c>
      <c r="F306" s="117">
        <v>6273246369</v>
      </c>
      <c r="G306" s="117">
        <f t="shared" si="52"/>
        <v>106081.68237621753</v>
      </c>
      <c r="H306" s="7"/>
      <c r="I306" s="109">
        <v>2.4500000000000002</v>
      </c>
      <c r="J306" s="117">
        <v>15369454</v>
      </c>
      <c r="K306" s="120">
        <f t="shared" si="50"/>
        <v>259.90012851731603</v>
      </c>
      <c r="L306" s="122">
        <f t="shared" si="47"/>
        <v>62732463.689999998</v>
      </c>
      <c r="M306" s="116">
        <f t="shared" si="48"/>
        <v>47363009.689999998</v>
      </c>
      <c r="N306" s="123">
        <f t="shared" si="49"/>
        <v>800.91669524485928</v>
      </c>
      <c r="O306" s="5"/>
      <c r="P306" s="5">
        <f t="shared" si="45"/>
        <v>1</v>
      </c>
      <c r="Q306" s="7">
        <f t="shared" si="46"/>
        <v>59136</v>
      </c>
    </row>
    <row r="307" spans="1:21">
      <c r="A307" s="23" t="s">
        <v>334</v>
      </c>
      <c r="B307" s="35" t="s">
        <v>300</v>
      </c>
      <c r="C307" s="125">
        <v>104630</v>
      </c>
      <c r="D307" s="113">
        <v>12895613539</v>
      </c>
      <c r="E307" s="116">
        <f t="shared" si="51"/>
        <v>123249.67541814012</v>
      </c>
      <c r="F307" s="117">
        <v>8864643257</v>
      </c>
      <c r="G307" s="117">
        <f t="shared" si="52"/>
        <v>84723.724142215433</v>
      </c>
      <c r="H307" s="7"/>
      <c r="I307" s="109">
        <v>8.3465000000000007</v>
      </c>
      <c r="J307" s="117">
        <v>73988745</v>
      </c>
      <c r="K307" s="120">
        <f t="shared" si="50"/>
        <v>707.146564082959</v>
      </c>
      <c r="L307" s="122">
        <f t="shared" si="47"/>
        <v>88646432.570000008</v>
      </c>
      <c r="M307" s="116">
        <f t="shared" si="48"/>
        <v>14657687.570000008</v>
      </c>
      <c r="N307" s="123">
        <f t="shared" si="49"/>
        <v>140.09067733919534</v>
      </c>
      <c r="O307" s="5"/>
      <c r="P307" s="5">
        <f t="shared" si="45"/>
        <v>1</v>
      </c>
      <c r="Q307" s="7">
        <f t="shared" si="46"/>
        <v>104630</v>
      </c>
      <c r="S307" s="124">
        <f>SUM(D270:D307)</f>
        <v>128520140354</v>
      </c>
      <c r="T307" s="124">
        <f>SUM(F270:F307)</f>
        <v>95732633802</v>
      </c>
      <c r="U307" s="124">
        <f>SUM(J270:J307)</f>
        <v>464292954</v>
      </c>
    </row>
    <row r="308" spans="1:21">
      <c r="A308" s="23" t="s">
        <v>335</v>
      </c>
      <c r="B308" s="35" t="s">
        <v>336</v>
      </c>
      <c r="C308" s="125">
        <v>6583</v>
      </c>
      <c r="D308" s="113">
        <v>559682107</v>
      </c>
      <c r="E308" s="116">
        <f t="shared" si="51"/>
        <v>85019.308370044047</v>
      </c>
      <c r="F308" s="117">
        <v>254003307</v>
      </c>
      <c r="G308" s="117">
        <f t="shared" si="52"/>
        <v>38584.734467567978</v>
      </c>
      <c r="H308" s="7"/>
      <c r="I308" s="109">
        <v>7.1548999999999996</v>
      </c>
      <c r="J308" s="117">
        <v>1817368</v>
      </c>
      <c r="K308" s="120">
        <f t="shared" si="50"/>
        <v>276.06987695579522</v>
      </c>
      <c r="L308" s="122">
        <f t="shared" si="47"/>
        <v>2540033.0699999998</v>
      </c>
      <c r="M308" s="116">
        <f t="shared" si="48"/>
        <v>722665.06999999983</v>
      </c>
      <c r="N308" s="123">
        <f t="shared" si="49"/>
        <v>109.77746771988453</v>
      </c>
      <c r="O308" s="5"/>
      <c r="P308" s="5">
        <f t="shared" si="45"/>
        <v>1</v>
      </c>
      <c r="Q308" s="7">
        <f t="shared" si="46"/>
        <v>6583</v>
      </c>
    </row>
    <row r="309" spans="1:21">
      <c r="A309" s="23" t="s">
        <v>337</v>
      </c>
      <c r="B309" s="35" t="s">
        <v>336</v>
      </c>
      <c r="C309" s="125">
        <v>15107</v>
      </c>
      <c r="D309" s="113">
        <v>790105936</v>
      </c>
      <c r="E309" s="116">
        <f t="shared" si="51"/>
        <v>52300.651088899183</v>
      </c>
      <c r="F309" s="117">
        <v>488928280</v>
      </c>
      <c r="G309" s="117">
        <f t="shared" si="52"/>
        <v>32364.352948964057</v>
      </c>
      <c r="H309" s="7"/>
      <c r="I309" s="109">
        <v>9.5</v>
      </c>
      <c r="J309" s="117">
        <v>4644819</v>
      </c>
      <c r="K309" s="120">
        <f t="shared" si="50"/>
        <v>307.46137552128152</v>
      </c>
      <c r="L309" s="122">
        <f t="shared" si="47"/>
        <v>4889282.8</v>
      </c>
      <c r="M309" s="116">
        <f t="shared" si="48"/>
        <v>244463.79999999981</v>
      </c>
      <c r="N309" s="123">
        <f t="shared" si="49"/>
        <v>16.182153968359028</v>
      </c>
      <c r="O309" s="5"/>
      <c r="P309" s="5">
        <f t="shared" si="45"/>
        <v>1</v>
      </c>
      <c r="Q309" s="7">
        <f t="shared" si="46"/>
        <v>15107</v>
      </c>
    </row>
    <row r="310" spans="1:21">
      <c r="A310" s="23" t="s">
        <v>338</v>
      </c>
      <c r="B310" s="35" t="s">
        <v>336</v>
      </c>
      <c r="C310" s="125">
        <v>2619</v>
      </c>
      <c r="D310" s="113">
        <v>307607141</v>
      </c>
      <c r="E310" s="116">
        <f t="shared" si="51"/>
        <v>117452.13478426881</v>
      </c>
      <c r="F310" s="117">
        <v>247299791</v>
      </c>
      <c r="G310" s="117">
        <f t="shared" si="52"/>
        <v>94425.273386788846</v>
      </c>
      <c r="H310" s="7"/>
      <c r="I310" s="109">
        <v>5.4348000000000001</v>
      </c>
      <c r="J310" s="117">
        <v>1344025</v>
      </c>
      <c r="K310" s="120">
        <f t="shared" si="50"/>
        <v>513.18251240931659</v>
      </c>
      <c r="L310" s="122">
        <f t="shared" si="47"/>
        <v>2472997.91</v>
      </c>
      <c r="M310" s="116">
        <f t="shared" si="48"/>
        <v>1128972.9100000001</v>
      </c>
      <c r="N310" s="123">
        <f t="shared" si="49"/>
        <v>431.07022145857201</v>
      </c>
      <c r="O310" s="5"/>
      <c r="P310" s="5">
        <f t="shared" si="45"/>
        <v>1</v>
      </c>
      <c r="Q310" s="7">
        <f t="shared" si="46"/>
        <v>2619</v>
      </c>
    </row>
    <row r="311" spans="1:21">
      <c r="A311" s="23" t="s">
        <v>339</v>
      </c>
      <c r="B311" s="35" t="s">
        <v>336</v>
      </c>
      <c r="C311" s="125">
        <v>1214</v>
      </c>
      <c r="D311" s="113">
        <v>87408734</v>
      </c>
      <c r="E311" s="116">
        <f t="shared" si="51"/>
        <v>72000.604612850089</v>
      </c>
      <c r="F311" s="117">
        <v>50137331</v>
      </c>
      <c r="G311" s="117">
        <f t="shared" si="52"/>
        <v>41299.284184514006</v>
      </c>
      <c r="H311" s="7"/>
      <c r="I311" s="109">
        <v>3.1349999999999998</v>
      </c>
      <c r="J311" s="117">
        <v>157181</v>
      </c>
      <c r="K311" s="120">
        <f t="shared" si="50"/>
        <v>129.47364085667215</v>
      </c>
      <c r="L311" s="122">
        <f t="shared" si="47"/>
        <v>501373.31</v>
      </c>
      <c r="M311" s="116">
        <f t="shared" si="48"/>
        <v>344192.31</v>
      </c>
      <c r="N311" s="123">
        <f t="shared" si="49"/>
        <v>283.5192009884679</v>
      </c>
      <c r="O311" s="5"/>
      <c r="P311" s="5">
        <f t="shared" si="45"/>
        <v>1</v>
      </c>
      <c r="Q311" s="7">
        <f t="shared" si="46"/>
        <v>1214</v>
      </c>
    </row>
    <row r="312" spans="1:21">
      <c r="A312" s="24" t="s">
        <v>547</v>
      </c>
      <c r="B312" s="35" t="s">
        <v>336</v>
      </c>
      <c r="C312" s="125">
        <v>1465</v>
      </c>
      <c r="D312" s="113">
        <v>72469659</v>
      </c>
      <c r="E312" s="116">
        <f t="shared" si="51"/>
        <v>49467.344027303756</v>
      </c>
      <c r="F312" s="117">
        <v>10668121</v>
      </c>
      <c r="G312" s="117">
        <f t="shared" si="52"/>
        <v>7281.9938566552901</v>
      </c>
      <c r="H312" s="7"/>
      <c r="I312" s="109">
        <v>0.75</v>
      </c>
      <c r="J312" s="117">
        <v>8001</v>
      </c>
      <c r="K312" s="120">
        <f t="shared" si="50"/>
        <v>5.461433447098976</v>
      </c>
      <c r="L312" s="122">
        <f t="shared" si="47"/>
        <v>106681.21</v>
      </c>
      <c r="M312" s="116">
        <f t="shared" si="48"/>
        <v>98680.21</v>
      </c>
      <c r="N312" s="123">
        <f t="shared" si="49"/>
        <v>67.358505119453923</v>
      </c>
      <c r="O312" s="5"/>
      <c r="P312" s="5">
        <f t="shared" si="45"/>
        <v>1</v>
      </c>
      <c r="Q312" s="7">
        <f t="shared" si="46"/>
        <v>1465</v>
      </c>
    </row>
    <row r="313" spans="1:21">
      <c r="A313" s="23" t="s">
        <v>340</v>
      </c>
      <c r="B313" s="35" t="s">
        <v>336</v>
      </c>
      <c r="C313" s="125">
        <v>14732</v>
      </c>
      <c r="D313" s="113">
        <v>936149196</v>
      </c>
      <c r="E313" s="116">
        <f t="shared" si="51"/>
        <v>63545.288894922618</v>
      </c>
      <c r="F313" s="117">
        <v>600318136</v>
      </c>
      <c r="G313" s="117">
        <f t="shared" si="52"/>
        <v>40749.262557697526</v>
      </c>
      <c r="H313" s="7"/>
      <c r="I313" s="109">
        <v>6.1414999999999997</v>
      </c>
      <c r="J313" s="117">
        <v>3686854</v>
      </c>
      <c r="K313" s="120">
        <f t="shared" si="50"/>
        <v>250.26160738528372</v>
      </c>
      <c r="L313" s="122">
        <f t="shared" si="47"/>
        <v>6003181.3600000003</v>
      </c>
      <c r="M313" s="116">
        <f t="shared" si="48"/>
        <v>2316327.3600000003</v>
      </c>
      <c r="N313" s="123">
        <f t="shared" si="49"/>
        <v>157.23101819169159</v>
      </c>
      <c r="O313" s="5"/>
      <c r="P313" s="5">
        <f t="shared" si="45"/>
        <v>1</v>
      </c>
      <c r="Q313" s="7">
        <f t="shared" si="46"/>
        <v>14732</v>
      </c>
      <c r="S313" s="124">
        <f>SUM(D308:D313)</f>
        <v>2753422773</v>
      </c>
      <c r="T313" s="124">
        <f>SUM(F308:F313)</f>
        <v>1651354966</v>
      </c>
      <c r="U313" s="124">
        <f>SUM(J308:J313)</f>
        <v>11658248</v>
      </c>
    </row>
    <row r="314" spans="1:21">
      <c r="A314" s="23" t="s">
        <v>341</v>
      </c>
      <c r="B314" s="35" t="s">
        <v>342</v>
      </c>
      <c r="C314" s="125">
        <v>3887</v>
      </c>
      <c r="D314" s="113">
        <v>840716261</v>
      </c>
      <c r="E314" s="116">
        <f t="shared" si="51"/>
        <v>216289.23617185489</v>
      </c>
      <c r="F314" s="117">
        <v>608453321</v>
      </c>
      <c r="G314" s="117">
        <f t="shared" si="52"/>
        <v>156535.45690764085</v>
      </c>
      <c r="H314" s="7"/>
      <c r="I314" s="109">
        <v>5.9257</v>
      </c>
      <c r="J314" s="117">
        <v>3605512</v>
      </c>
      <c r="K314" s="120">
        <f t="shared" si="50"/>
        <v>927.58219706714692</v>
      </c>
      <c r="L314" s="122">
        <f t="shared" si="47"/>
        <v>6084533.21</v>
      </c>
      <c r="M314" s="116">
        <f t="shared" si="48"/>
        <v>2479021.21</v>
      </c>
      <c r="N314" s="123">
        <f t="shared" si="49"/>
        <v>637.77237200926163</v>
      </c>
      <c r="O314" s="5"/>
      <c r="P314" s="5">
        <f t="shared" si="45"/>
        <v>1</v>
      </c>
      <c r="Q314" s="7">
        <f t="shared" si="46"/>
        <v>3887</v>
      </c>
    </row>
    <row r="315" spans="1:21">
      <c r="A315" s="23" t="s">
        <v>343</v>
      </c>
      <c r="B315" s="35" t="s">
        <v>342</v>
      </c>
      <c r="C315" s="125">
        <v>1571</v>
      </c>
      <c r="D315" s="113">
        <v>579895334</v>
      </c>
      <c r="E315" s="116">
        <f t="shared" si="51"/>
        <v>369124.97390197328</v>
      </c>
      <c r="F315" s="117">
        <v>421808573</v>
      </c>
      <c r="G315" s="117">
        <f t="shared" si="52"/>
        <v>268496.86378103116</v>
      </c>
      <c r="H315" s="7"/>
      <c r="I315" s="109">
        <v>2.0394000000000001</v>
      </c>
      <c r="J315" s="117">
        <v>860236</v>
      </c>
      <c r="K315" s="120">
        <f t="shared" si="50"/>
        <v>547.57224697644813</v>
      </c>
      <c r="L315" s="122">
        <f t="shared" si="47"/>
        <v>4218085.7300000004</v>
      </c>
      <c r="M315" s="116">
        <f t="shared" si="48"/>
        <v>3357849.7300000004</v>
      </c>
      <c r="N315" s="123">
        <f t="shared" si="49"/>
        <v>2137.3963908338642</v>
      </c>
      <c r="O315" s="5"/>
      <c r="P315" s="5">
        <f t="shared" si="45"/>
        <v>1</v>
      </c>
      <c r="Q315" s="7">
        <f t="shared" si="46"/>
        <v>1571</v>
      </c>
    </row>
    <row r="316" spans="1:21">
      <c r="A316" s="23" t="s">
        <v>344</v>
      </c>
      <c r="B316" s="35" t="s">
        <v>342</v>
      </c>
      <c r="C316" s="125">
        <v>2052</v>
      </c>
      <c r="D316" s="113">
        <v>241065246</v>
      </c>
      <c r="E316" s="116">
        <f t="shared" si="51"/>
        <v>117478.19005847954</v>
      </c>
      <c r="F316" s="117">
        <v>172297516</v>
      </c>
      <c r="G316" s="117">
        <f t="shared" si="52"/>
        <v>83965.651072124761</v>
      </c>
      <c r="H316" s="7"/>
      <c r="I316" s="109">
        <v>5.35</v>
      </c>
      <c r="J316" s="117">
        <v>921792</v>
      </c>
      <c r="K316" s="120">
        <f t="shared" si="50"/>
        <v>449.21637426900583</v>
      </c>
      <c r="L316" s="122">
        <f t="shared" si="47"/>
        <v>1722975.1600000001</v>
      </c>
      <c r="M316" s="116">
        <f t="shared" si="48"/>
        <v>801183.16000000015</v>
      </c>
      <c r="N316" s="123">
        <f t="shared" si="49"/>
        <v>390.4401364522418</v>
      </c>
      <c r="O316" s="5"/>
      <c r="P316" s="5">
        <f t="shared" si="45"/>
        <v>1</v>
      </c>
      <c r="Q316" s="7">
        <f t="shared" si="46"/>
        <v>2052</v>
      </c>
    </row>
    <row r="317" spans="1:21">
      <c r="A317" s="23" t="s">
        <v>345</v>
      </c>
      <c r="B317" s="35" t="s">
        <v>342</v>
      </c>
      <c r="C317" s="125">
        <v>107</v>
      </c>
      <c r="D317" s="113">
        <v>135485990</v>
      </c>
      <c r="E317" s="116">
        <f t="shared" si="51"/>
        <v>1266224.2056074766</v>
      </c>
      <c r="F317" s="117">
        <v>110301117</v>
      </c>
      <c r="G317" s="117">
        <f t="shared" si="52"/>
        <v>1030851.5607476636</v>
      </c>
      <c r="H317" s="7"/>
      <c r="I317" s="109">
        <v>0.61750000000000005</v>
      </c>
      <c r="J317" s="117">
        <v>68111</v>
      </c>
      <c r="K317" s="120">
        <f t="shared" si="50"/>
        <v>636.55140186915889</v>
      </c>
      <c r="L317" s="122">
        <f t="shared" si="47"/>
        <v>1103011.17</v>
      </c>
      <c r="M317" s="116">
        <f t="shared" si="48"/>
        <v>1034900.1699999999</v>
      </c>
      <c r="N317" s="123">
        <f t="shared" si="49"/>
        <v>9671.9642056074754</v>
      </c>
      <c r="O317" s="5"/>
      <c r="P317" s="5">
        <f t="shared" si="45"/>
        <v>1</v>
      </c>
      <c r="Q317" s="7">
        <f t="shared" si="46"/>
        <v>107</v>
      </c>
    </row>
    <row r="318" spans="1:21">
      <c r="A318" s="23" t="s">
        <v>346</v>
      </c>
      <c r="B318" s="35" t="s">
        <v>342</v>
      </c>
      <c r="C318" s="125">
        <v>109340</v>
      </c>
      <c r="D318" s="113">
        <v>11878838700</v>
      </c>
      <c r="E318" s="116">
        <f t="shared" si="51"/>
        <v>108641.29047009328</v>
      </c>
      <c r="F318" s="117">
        <v>8204459949</v>
      </c>
      <c r="G318" s="117">
        <f t="shared" si="52"/>
        <v>75036.216837387969</v>
      </c>
      <c r="H318" s="7"/>
      <c r="I318" s="109">
        <v>5.1550000000000002</v>
      </c>
      <c r="J318" s="117">
        <v>42293991</v>
      </c>
      <c r="K318" s="120">
        <f t="shared" si="50"/>
        <v>386.81169745747212</v>
      </c>
      <c r="L318" s="122">
        <f t="shared" si="47"/>
        <v>82044599.489999995</v>
      </c>
      <c r="M318" s="116">
        <f t="shared" si="48"/>
        <v>39750608.489999995</v>
      </c>
      <c r="N318" s="123">
        <f t="shared" si="49"/>
        <v>363.55047091640751</v>
      </c>
      <c r="O318" s="5"/>
      <c r="P318" s="5">
        <f t="shared" si="45"/>
        <v>1</v>
      </c>
      <c r="Q318" s="7">
        <f t="shared" si="46"/>
        <v>109340</v>
      </c>
    </row>
    <row r="319" spans="1:21">
      <c r="A319" s="129" t="s">
        <v>347</v>
      </c>
      <c r="B319" s="130" t="s">
        <v>342</v>
      </c>
      <c r="C319" s="131">
        <v>35606</v>
      </c>
      <c r="D319" s="132">
        <v>2954536952</v>
      </c>
      <c r="E319" s="133">
        <f t="shared" si="51"/>
        <v>82978.62584957591</v>
      </c>
      <c r="F319" s="134">
        <v>1876446039</v>
      </c>
      <c r="G319" s="134">
        <f t="shared" si="52"/>
        <v>52700.27632983205</v>
      </c>
      <c r="H319" s="135"/>
      <c r="I319" s="136">
        <v>3.7345000000000002</v>
      </c>
      <c r="J319" s="134">
        <v>7007588</v>
      </c>
      <c r="K319" s="137">
        <f t="shared" si="50"/>
        <v>196.80918946245015</v>
      </c>
      <c r="L319" s="138">
        <f t="shared" si="47"/>
        <v>18764460.390000001</v>
      </c>
      <c r="M319" s="133">
        <f t="shared" si="48"/>
        <v>11756872.390000001</v>
      </c>
      <c r="N319" s="139">
        <f t="shared" si="49"/>
        <v>330.19357383587038</v>
      </c>
      <c r="O319" s="5"/>
      <c r="P319" s="5">
        <f t="shared" si="45"/>
        <v>1</v>
      </c>
      <c r="Q319" s="7">
        <f t="shared" si="46"/>
        <v>35606</v>
      </c>
    </row>
    <row r="320" spans="1:21">
      <c r="A320" s="23" t="s">
        <v>348</v>
      </c>
      <c r="B320" s="35" t="s">
        <v>342</v>
      </c>
      <c r="C320" s="125">
        <v>12145</v>
      </c>
      <c r="D320" s="113">
        <v>1065471853</v>
      </c>
      <c r="E320" s="116">
        <f t="shared" si="51"/>
        <v>87729.259201317414</v>
      </c>
      <c r="F320" s="117">
        <v>697757967</v>
      </c>
      <c r="G320" s="117">
        <f t="shared" si="52"/>
        <v>57452.282173734049</v>
      </c>
      <c r="H320" s="7"/>
      <c r="I320" s="109">
        <v>4.0389999999999997</v>
      </c>
      <c r="J320" s="117">
        <v>2818244</v>
      </c>
      <c r="K320" s="120">
        <f t="shared" si="50"/>
        <v>232.04973240016469</v>
      </c>
      <c r="L320" s="122">
        <f t="shared" si="47"/>
        <v>6977579.6699999999</v>
      </c>
      <c r="M320" s="116">
        <f t="shared" si="48"/>
        <v>4159335.67</v>
      </c>
      <c r="N320" s="123">
        <f t="shared" si="49"/>
        <v>342.47308933717579</v>
      </c>
      <c r="O320" s="5"/>
      <c r="P320" s="5">
        <f t="shared" si="45"/>
        <v>1</v>
      </c>
      <c r="Q320" s="7">
        <f t="shared" si="46"/>
        <v>12145</v>
      </c>
    </row>
    <row r="321" spans="1:17">
      <c r="A321" s="23" t="s">
        <v>349</v>
      </c>
      <c r="B321" s="35" t="s">
        <v>342</v>
      </c>
      <c r="C321" s="125">
        <v>4176</v>
      </c>
      <c r="D321" s="113">
        <v>1041249460</v>
      </c>
      <c r="E321" s="116">
        <f t="shared" si="51"/>
        <v>249341.34578544062</v>
      </c>
      <c r="F321" s="117">
        <v>835448325</v>
      </c>
      <c r="G321" s="117">
        <f t="shared" si="52"/>
        <v>200059.46479885056</v>
      </c>
      <c r="H321" s="7"/>
      <c r="I321" s="109">
        <v>2</v>
      </c>
      <c r="J321" s="117">
        <v>1670897</v>
      </c>
      <c r="K321" s="120">
        <f t="shared" si="50"/>
        <v>400.11901340996167</v>
      </c>
      <c r="L321" s="122">
        <f t="shared" si="47"/>
        <v>8354483.25</v>
      </c>
      <c r="M321" s="116">
        <f t="shared" si="48"/>
        <v>6683586.25</v>
      </c>
      <c r="N321" s="123">
        <f t="shared" si="49"/>
        <v>1600.475634578544</v>
      </c>
      <c r="O321" s="5"/>
      <c r="P321" s="5">
        <f t="shared" si="45"/>
        <v>1</v>
      </c>
      <c r="Q321" s="7">
        <f t="shared" si="46"/>
        <v>4176</v>
      </c>
    </row>
    <row r="322" spans="1:17">
      <c r="A322" s="23" t="s">
        <v>350</v>
      </c>
      <c r="B322" s="35" t="s">
        <v>342</v>
      </c>
      <c r="C322" s="125">
        <v>1424</v>
      </c>
      <c r="D322" s="113">
        <v>800107398</v>
      </c>
      <c r="E322" s="116">
        <f t="shared" si="51"/>
        <v>561873.17275280901</v>
      </c>
      <c r="F322" s="117">
        <v>692346979</v>
      </c>
      <c r="G322" s="117">
        <f t="shared" si="52"/>
        <v>486198.72120786516</v>
      </c>
      <c r="H322" s="98"/>
      <c r="I322" s="109">
        <v>1.87</v>
      </c>
      <c r="J322" s="117">
        <v>1294689</v>
      </c>
      <c r="K322" s="120">
        <f t="shared" si="50"/>
        <v>909.19171348314603</v>
      </c>
      <c r="L322" s="122">
        <f t="shared" si="47"/>
        <v>6923469.79</v>
      </c>
      <c r="M322" s="116">
        <f t="shared" si="48"/>
        <v>5628780.79</v>
      </c>
      <c r="N322" s="123">
        <f t="shared" si="49"/>
        <v>3952.7954985955057</v>
      </c>
      <c r="O322" s="5"/>
      <c r="P322" s="5">
        <f t="shared" si="45"/>
        <v>1</v>
      </c>
      <c r="Q322" s="7">
        <f t="shared" si="46"/>
        <v>1424</v>
      </c>
    </row>
    <row r="323" spans="1:17">
      <c r="A323" s="23" t="s">
        <v>351</v>
      </c>
      <c r="B323" s="35" t="s">
        <v>342</v>
      </c>
      <c r="C323" s="125">
        <v>5011</v>
      </c>
      <c r="D323" s="113">
        <v>200494569</v>
      </c>
      <c r="E323" s="116">
        <f t="shared" si="51"/>
        <v>40010.889842346834</v>
      </c>
      <c r="F323" s="117">
        <v>122693243</v>
      </c>
      <c r="G323" s="117">
        <f t="shared" si="52"/>
        <v>24484.782079425266</v>
      </c>
      <c r="H323" s="7"/>
      <c r="I323" s="109">
        <v>4.7591999999999999</v>
      </c>
      <c r="J323" s="117">
        <v>583922</v>
      </c>
      <c r="K323" s="120">
        <f t="shared" si="50"/>
        <v>116.52803831570544</v>
      </c>
      <c r="L323" s="122">
        <f t="shared" si="47"/>
        <v>1226932.43</v>
      </c>
      <c r="M323" s="116">
        <f t="shared" si="48"/>
        <v>643010.42999999993</v>
      </c>
      <c r="N323" s="123">
        <f t="shared" si="49"/>
        <v>128.31978247854718</v>
      </c>
      <c r="O323" s="5"/>
      <c r="P323" s="5">
        <f t="shared" si="45"/>
        <v>1</v>
      </c>
      <c r="Q323" s="7">
        <f t="shared" si="46"/>
        <v>5011</v>
      </c>
    </row>
    <row r="324" spans="1:17">
      <c r="A324" s="23" t="s">
        <v>352</v>
      </c>
      <c r="B324" s="35" t="s">
        <v>342</v>
      </c>
      <c r="C324" s="125">
        <v>79431</v>
      </c>
      <c r="D324" s="113">
        <v>4965262164</v>
      </c>
      <c r="E324" s="116">
        <f t="shared" si="51"/>
        <v>62510.382142992028</v>
      </c>
      <c r="F324" s="117">
        <v>3467172706</v>
      </c>
      <c r="G324" s="117">
        <f t="shared" si="52"/>
        <v>43650.120305674107</v>
      </c>
      <c r="H324" s="7"/>
      <c r="I324" s="109">
        <v>5.1943000000000001</v>
      </c>
      <c r="J324" s="117">
        <v>18009535</v>
      </c>
      <c r="K324" s="120">
        <f t="shared" si="50"/>
        <v>226.73181755234103</v>
      </c>
      <c r="L324" s="122">
        <f t="shared" si="47"/>
        <v>34671727.060000002</v>
      </c>
      <c r="M324" s="116">
        <f t="shared" si="48"/>
        <v>16662192.060000002</v>
      </c>
      <c r="N324" s="123">
        <f t="shared" si="49"/>
        <v>209.76938550440008</v>
      </c>
      <c r="O324" s="5"/>
      <c r="P324" s="5">
        <f t="shared" si="45"/>
        <v>1</v>
      </c>
      <c r="Q324" s="7">
        <f t="shared" si="46"/>
        <v>79431</v>
      </c>
    </row>
    <row r="325" spans="1:17">
      <c r="A325" s="23" t="s">
        <v>353</v>
      </c>
      <c r="B325" s="35" t="s">
        <v>342</v>
      </c>
      <c r="C325" s="125">
        <v>4323</v>
      </c>
      <c r="D325" s="113">
        <v>1143572276</v>
      </c>
      <c r="E325" s="116">
        <f t="shared" si="51"/>
        <v>264532.10178117047</v>
      </c>
      <c r="F325" s="117">
        <v>912343066</v>
      </c>
      <c r="G325" s="117">
        <f t="shared" si="52"/>
        <v>211043.96622715707</v>
      </c>
      <c r="H325" s="7"/>
      <c r="I325" s="109">
        <v>1.99</v>
      </c>
      <c r="J325" s="117">
        <v>1815563</v>
      </c>
      <c r="K325" s="120">
        <f t="shared" si="50"/>
        <v>419.97756187832522</v>
      </c>
      <c r="L325" s="122">
        <f t="shared" si="47"/>
        <v>9123430.6600000001</v>
      </c>
      <c r="M325" s="116">
        <f t="shared" si="48"/>
        <v>7307867.6600000001</v>
      </c>
      <c r="N325" s="123">
        <f t="shared" si="49"/>
        <v>1690.4621003932455</v>
      </c>
      <c r="O325" s="5"/>
      <c r="P325" s="5">
        <f t="shared" si="45"/>
        <v>1</v>
      </c>
      <c r="Q325" s="7">
        <f t="shared" si="46"/>
        <v>4323</v>
      </c>
    </row>
    <row r="326" spans="1:17">
      <c r="A326" s="23" t="s">
        <v>354</v>
      </c>
      <c r="B326" s="35" t="s">
        <v>342</v>
      </c>
      <c r="C326" s="125">
        <v>1430</v>
      </c>
      <c r="D326" s="113">
        <v>492237133</v>
      </c>
      <c r="E326" s="116">
        <f t="shared" si="51"/>
        <v>344221.77132867131</v>
      </c>
      <c r="F326" s="117">
        <v>411270438</v>
      </c>
      <c r="G326" s="117">
        <f t="shared" si="52"/>
        <v>287601.70489510492</v>
      </c>
      <c r="H326" s="7"/>
      <c r="I326" s="109">
        <v>0.75109999999999999</v>
      </c>
      <c r="J326" s="117">
        <v>308905</v>
      </c>
      <c r="K326" s="120">
        <f t="shared" si="50"/>
        <v>216.01748251748251</v>
      </c>
      <c r="L326" s="122">
        <f t="shared" si="47"/>
        <v>4112704.38</v>
      </c>
      <c r="M326" s="116">
        <f t="shared" si="48"/>
        <v>3803799.38</v>
      </c>
      <c r="N326" s="123">
        <f t="shared" si="49"/>
        <v>2659.9995664335665</v>
      </c>
      <c r="O326" s="5"/>
      <c r="P326" s="5">
        <f t="shared" ref="P326:P389" si="53">IF(I326&gt;0,1,0)</f>
        <v>1</v>
      </c>
      <c r="Q326" s="7">
        <f t="shared" ref="Q326:Q389" si="54">IF(I326&gt;0,C326,0)</f>
        <v>1430</v>
      </c>
    </row>
    <row r="327" spans="1:17">
      <c r="A327" s="23" t="s">
        <v>355</v>
      </c>
      <c r="B327" s="35" t="s">
        <v>342</v>
      </c>
      <c r="C327" s="125">
        <v>13859</v>
      </c>
      <c r="D327" s="113">
        <v>1495679105</v>
      </c>
      <c r="E327" s="116">
        <f t="shared" si="51"/>
        <v>107921.14185727686</v>
      </c>
      <c r="F327" s="117">
        <v>1122569770</v>
      </c>
      <c r="G327" s="117">
        <f t="shared" si="52"/>
        <v>80999.334006782592</v>
      </c>
      <c r="H327" s="7"/>
      <c r="I327" s="109">
        <v>4.05</v>
      </c>
      <c r="J327" s="117">
        <v>4546408</v>
      </c>
      <c r="K327" s="120">
        <f t="shared" si="50"/>
        <v>328.04733386247204</v>
      </c>
      <c r="L327" s="122">
        <f t="shared" si="47"/>
        <v>11225697.700000001</v>
      </c>
      <c r="M327" s="116">
        <f t="shared" si="48"/>
        <v>6679289.7000000011</v>
      </c>
      <c r="N327" s="123">
        <f t="shared" si="49"/>
        <v>481.94600620535402</v>
      </c>
      <c r="O327" s="5"/>
      <c r="P327" s="5">
        <f t="shared" si="53"/>
        <v>1</v>
      </c>
      <c r="Q327" s="7">
        <f t="shared" si="54"/>
        <v>13859</v>
      </c>
    </row>
    <row r="328" spans="1:17">
      <c r="A328" s="23" t="s">
        <v>356</v>
      </c>
      <c r="B328" s="35" t="s">
        <v>342</v>
      </c>
      <c r="C328" s="125">
        <v>50352</v>
      </c>
      <c r="D328" s="113">
        <v>3817498135</v>
      </c>
      <c r="E328" s="116">
        <f t="shared" si="51"/>
        <v>75816.216535589454</v>
      </c>
      <c r="F328" s="117">
        <v>2737462289</v>
      </c>
      <c r="G328" s="117">
        <f t="shared" si="52"/>
        <v>54366.50558071179</v>
      </c>
      <c r="H328" s="7"/>
      <c r="I328" s="109">
        <v>5.5861999999999998</v>
      </c>
      <c r="J328" s="117">
        <v>15292012</v>
      </c>
      <c r="K328" s="120">
        <f t="shared" si="50"/>
        <v>303.70217667619954</v>
      </c>
      <c r="L328" s="122">
        <f t="shared" ref="L328:L391" si="55">(F328*0.01)</f>
        <v>27374622.890000001</v>
      </c>
      <c r="M328" s="116">
        <f t="shared" ref="M328:M391" si="56">(L328-J328)</f>
        <v>12082610.890000001</v>
      </c>
      <c r="N328" s="123">
        <f t="shared" ref="N328:N391" si="57">(M328/C328)</f>
        <v>239.96287913091834</v>
      </c>
      <c r="O328" s="5"/>
      <c r="P328" s="5">
        <f t="shared" si="53"/>
        <v>1</v>
      </c>
      <c r="Q328" s="7">
        <f t="shared" si="54"/>
        <v>50352</v>
      </c>
    </row>
    <row r="329" spans="1:17">
      <c r="A329" s="23" t="s">
        <v>357</v>
      </c>
      <c r="B329" s="35" t="s">
        <v>342</v>
      </c>
      <c r="C329" s="125">
        <v>1437</v>
      </c>
      <c r="D329" s="113">
        <v>462064995</v>
      </c>
      <c r="E329" s="116">
        <f t="shared" si="51"/>
        <v>321548.36116910231</v>
      </c>
      <c r="F329" s="117">
        <v>365008362</v>
      </c>
      <c r="G329" s="117">
        <f t="shared" si="52"/>
        <v>254007.2108559499</v>
      </c>
      <c r="H329" s="7"/>
      <c r="I329" s="109">
        <v>1.9410000000000001</v>
      </c>
      <c r="J329" s="117">
        <v>708481</v>
      </c>
      <c r="K329" s="120">
        <f t="shared" si="50"/>
        <v>493.02783576896314</v>
      </c>
      <c r="L329" s="122">
        <f t="shared" si="55"/>
        <v>3650083.62</v>
      </c>
      <c r="M329" s="116">
        <f t="shared" si="56"/>
        <v>2941602.62</v>
      </c>
      <c r="N329" s="123">
        <f t="shared" si="57"/>
        <v>2047.0442727905358</v>
      </c>
      <c r="O329" s="5"/>
      <c r="P329" s="5">
        <f t="shared" si="53"/>
        <v>1</v>
      </c>
      <c r="Q329" s="7">
        <f t="shared" si="54"/>
        <v>1437</v>
      </c>
    </row>
    <row r="330" spans="1:17">
      <c r="A330" s="23" t="s">
        <v>358</v>
      </c>
      <c r="B330" s="35" t="s">
        <v>342</v>
      </c>
      <c r="C330" s="125">
        <v>2147</v>
      </c>
      <c r="D330" s="113">
        <v>652371993</v>
      </c>
      <c r="E330" s="116">
        <f t="shared" si="51"/>
        <v>303852.81462505821</v>
      </c>
      <c r="F330" s="117">
        <v>527783453</v>
      </c>
      <c r="G330" s="117">
        <f t="shared" si="52"/>
        <v>245823.68560782488</v>
      </c>
      <c r="H330" s="7"/>
      <c r="I330" s="109">
        <v>2</v>
      </c>
      <c r="J330" s="117">
        <v>1055567</v>
      </c>
      <c r="K330" s="120">
        <f t="shared" si="50"/>
        <v>491.64741499767115</v>
      </c>
      <c r="L330" s="122">
        <f t="shared" si="55"/>
        <v>5277834.53</v>
      </c>
      <c r="M330" s="116">
        <f t="shared" si="56"/>
        <v>4222267.53</v>
      </c>
      <c r="N330" s="123">
        <f t="shared" si="57"/>
        <v>1966.5894410805777</v>
      </c>
      <c r="O330" s="5"/>
      <c r="P330" s="5">
        <f t="shared" si="53"/>
        <v>1</v>
      </c>
      <c r="Q330" s="7">
        <f t="shared" si="54"/>
        <v>2147</v>
      </c>
    </row>
    <row r="331" spans="1:17">
      <c r="A331" s="23" t="s">
        <v>359</v>
      </c>
      <c r="B331" s="35" t="s">
        <v>342</v>
      </c>
      <c r="C331" s="125">
        <v>17011</v>
      </c>
      <c r="D331" s="113">
        <v>1664928479</v>
      </c>
      <c r="E331" s="116">
        <f t="shared" si="51"/>
        <v>97873.639351008169</v>
      </c>
      <c r="F331" s="117">
        <v>1019708417</v>
      </c>
      <c r="G331" s="117">
        <f t="shared" si="52"/>
        <v>59944.060725412965</v>
      </c>
      <c r="H331" s="7"/>
      <c r="I331" s="109">
        <v>4.0479000000000003</v>
      </c>
      <c r="J331" s="117">
        <v>4127678</v>
      </c>
      <c r="K331" s="120">
        <f t="shared" si="50"/>
        <v>242.64758097701488</v>
      </c>
      <c r="L331" s="122">
        <f t="shared" si="55"/>
        <v>10197084.17</v>
      </c>
      <c r="M331" s="116">
        <f t="shared" si="56"/>
        <v>6069406.1699999999</v>
      </c>
      <c r="N331" s="123">
        <f t="shared" si="57"/>
        <v>356.79302627711479</v>
      </c>
      <c r="O331" s="5"/>
      <c r="P331" s="5">
        <f t="shared" si="53"/>
        <v>1</v>
      </c>
      <c r="Q331" s="7">
        <f t="shared" si="54"/>
        <v>17011</v>
      </c>
    </row>
    <row r="332" spans="1:17">
      <c r="A332" s="23" t="s">
        <v>360</v>
      </c>
      <c r="B332" s="35" t="s">
        <v>342</v>
      </c>
      <c r="C332" s="125">
        <v>17754</v>
      </c>
      <c r="D332" s="113">
        <v>1556328189</v>
      </c>
      <c r="E332" s="116">
        <f t="shared" si="51"/>
        <v>87660.706826630616</v>
      </c>
      <c r="F332" s="117">
        <v>1029028784</v>
      </c>
      <c r="G332" s="117">
        <f t="shared" si="52"/>
        <v>57960.391123127185</v>
      </c>
      <c r="H332" s="7"/>
      <c r="I332" s="109">
        <v>2.4792999999999998</v>
      </c>
      <c r="J332" s="117">
        <v>2551271</v>
      </c>
      <c r="K332" s="120">
        <f t="shared" si="50"/>
        <v>143.70119409710489</v>
      </c>
      <c r="L332" s="122">
        <f t="shared" si="55"/>
        <v>10290287.84</v>
      </c>
      <c r="M332" s="116">
        <f t="shared" si="56"/>
        <v>7739016.8399999999</v>
      </c>
      <c r="N332" s="123">
        <f t="shared" si="57"/>
        <v>435.90271713416695</v>
      </c>
      <c r="O332" s="5"/>
      <c r="P332" s="5">
        <f t="shared" si="53"/>
        <v>1</v>
      </c>
      <c r="Q332" s="7">
        <f t="shared" si="54"/>
        <v>17754</v>
      </c>
    </row>
    <row r="333" spans="1:17">
      <c r="A333" s="23" t="s">
        <v>361</v>
      </c>
      <c r="B333" s="35" t="s">
        <v>342</v>
      </c>
      <c r="C333" s="125">
        <v>5106</v>
      </c>
      <c r="D333" s="113">
        <v>612348392</v>
      </c>
      <c r="E333" s="116">
        <f t="shared" si="51"/>
        <v>119927.22130826478</v>
      </c>
      <c r="F333" s="117">
        <v>460663690</v>
      </c>
      <c r="G333" s="117">
        <f t="shared" si="52"/>
        <v>90220.072463768112</v>
      </c>
      <c r="H333" s="7"/>
      <c r="I333" s="109">
        <v>2.0105</v>
      </c>
      <c r="J333" s="117">
        <v>926164</v>
      </c>
      <c r="K333" s="120">
        <f t="shared" si="50"/>
        <v>181.38738738738738</v>
      </c>
      <c r="L333" s="122">
        <f t="shared" si="55"/>
        <v>4606636.9000000004</v>
      </c>
      <c r="M333" s="116">
        <f t="shared" si="56"/>
        <v>3680472.9000000004</v>
      </c>
      <c r="N333" s="123">
        <f t="shared" si="57"/>
        <v>720.8133372502939</v>
      </c>
      <c r="O333" s="5"/>
      <c r="P333" s="5">
        <f t="shared" si="53"/>
        <v>1</v>
      </c>
      <c r="Q333" s="7">
        <f t="shared" si="54"/>
        <v>5106</v>
      </c>
    </row>
    <row r="334" spans="1:17">
      <c r="A334" s="24" t="s">
        <v>561</v>
      </c>
      <c r="B334" s="35" t="s">
        <v>342</v>
      </c>
      <c r="C334" s="125">
        <v>9367</v>
      </c>
      <c r="D334" s="113">
        <v>2793552852</v>
      </c>
      <c r="E334" s="116">
        <f t="shared" si="51"/>
        <v>298233.46343546495</v>
      </c>
      <c r="F334" s="117">
        <v>2199230032</v>
      </c>
      <c r="G334" s="117">
        <f t="shared" si="52"/>
        <v>234784.88651649407</v>
      </c>
      <c r="H334" s="7"/>
      <c r="I334" s="109">
        <v>3.15</v>
      </c>
      <c r="J334" s="117">
        <v>6927575</v>
      </c>
      <c r="K334" s="120">
        <f t="shared" si="50"/>
        <v>739.57243514465677</v>
      </c>
      <c r="L334" s="122">
        <f t="shared" si="55"/>
        <v>21992300.32</v>
      </c>
      <c r="M334" s="116">
        <f t="shared" si="56"/>
        <v>15064725.32</v>
      </c>
      <c r="N334" s="123">
        <f t="shared" si="57"/>
        <v>1608.2764300202839</v>
      </c>
      <c r="O334" s="5"/>
      <c r="P334" s="5">
        <f t="shared" si="53"/>
        <v>1</v>
      </c>
      <c r="Q334" s="7">
        <f t="shared" si="54"/>
        <v>9367</v>
      </c>
    </row>
    <row r="335" spans="1:17">
      <c r="A335" s="24" t="s">
        <v>548</v>
      </c>
      <c r="B335" s="35" t="s">
        <v>342</v>
      </c>
      <c r="C335" s="125">
        <v>252372</v>
      </c>
      <c r="D335" s="113">
        <v>21024585276</v>
      </c>
      <c r="E335" s="116">
        <f t="shared" si="51"/>
        <v>83307.915600779801</v>
      </c>
      <c r="F335" s="117">
        <v>13545991135</v>
      </c>
      <c r="G335" s="117">
        <f t="shared" si="52"/>
        <v>53674.69899592665</v>
      </c>
      <c r="H335" s="7"/>
      <c r="I335" s="109">
        <v>6.77</v>
      </c>
      <c r="J335" s="117">
        <v>91706360</v>
      </c>
      <c r="K335" s="120">
        <f t="shared" si="50"/>
        <v>363.37771226602001</v>
      </c>
      <c r="L335" s="122">
        <f t="shared" si="55"/>
        <v>135459911.34999999</v>
      </c>
      <c r="M335" s="116">
        <f t="shared" si="56"/>
        <v>43753551.349999994</v>
      </c>
      <c r="N335" s="123">
        <f t="shared" si="57"/>
        <v>173.36927769324646</v>
      </c>
      <c r="O335" s="5"/>
      <c r="P335" s="5">
        <f t="shared" si="53"/>
        <v>1</v>
      </c>
      <c r="Q335" s="7">
        <f t="shared" si="54"/>
        <v>252372</v>
      </c>
    </row>
    <row r="336" spans="1:17">
      <c r="A336" s="23" t="s">
        <v>362</v>
      </c>
      <c r="B336" s="35" t="s">
        <v>342</v>
      </c>
      <c r="C336" s="125">
        <v>24220</v>
      </c>
      <c r="D336" s="113">
        <v>2176162008</v>
      </c>
      <c r="E336" s="116">
        <f t="shared" si="51"/>
        <v>89849.793889347653</v>
      </c>
      <c r="F336" s="117">
        <v>1399914272</v>
      </c>
      <c r="G336" s="117">
        <f t="shared" si="52"/>
        <v>57799.928654004958</v>
      </c>
      <c r="H336" s="7"/>
      <c r="I336" s="109">
        <v>5.45</v>
      </c>
      <c r="J336" s="117">
        <v>7629533</v>
      </c>
      <c r="K336" s="120">
        <f t="shared" si="50"/>
        <v>315.00962014863751</v>
      </c>
      <c r="L336" s="122">
        <f t="shared" si="55"/>
        <v>13999142.720000001</v>
      </c>
      <c r="M336" s="116">
        <f t="shared" si="56"/>
        <v>6369609.7200000007</v>
      </c>
      <c r="N336" s="123">
        <f t="shared" si="57"/>
        <v>262.98966639141207</v>
      </c>
      <c r="O336" s="5"/>
      <c r="P336" s="5">
        <f t="shared" si="53"/>
        <v>1</v>
      </c>
      <c r="Q336" s="7">
        <f t="shared" si="54"/>
        <v>24220</v>
      </c>
    </row>
    <row r="337" spans="1:21">
      <c r="A337" s="23" t="s">
        <v>363</v>
      </c>
      <c r="B337" s="35" t="s">
        <v>342</v>
      </c>
      <c r="C337" s="125">
        <v>6782</v>
      </c>
      <c r="D337" s="113">
        <v>1791303362</v>
      </c>
      <c r="E337" s="116">
        <f t="shared" si="51"/>
        <v>264126.12238277792</v>
      </c>
      <c r="F337" s="117">
        <v>1389609958</v>
      </c>
      <c r="G337" s="117">
        <f t="shared" si="52"/>
        <v>204896.77941610143</v>
      </c>
      <c r="H337" s="7"/>
      <c r="I337" s="109">
        <v>3.3368000000000002</v>
      </c>
      <c r="J337" s="117">
        <v>4636851</v>
      </c>
      <c r="K337" s="120">
        <f t="shared" si="50"/>
        <v>683.69964612208787</v>
      </c>
      <c r="L337" s="122">
        <f t="shared" si="55"/>
        <v>13896099.58</v>
      </c>
      <c r="M337" s="116">
        <f t="shared" si="56"/>
        <v>9259248.5800000001</v>
      </c>
      <c r="N337" s="123">
        <f t="shared" si="57"/>
        <v>1365.2681480389265</v>
      </c>
      <c r="O337" s="5"/>
      <c r="P337" s="5">
        <f t="shared" si="53"/>
        <v>1</v>
      </c>
      <c r="Q337" s="7">
        <f t="shared" si="54"/>
        <v>6782</v>
      </c>
      <c r="S337" s="124">
        <f>SUM(D314:D337)</f>
        <v>64385756122</v>
      </c>
      <c r="T337" s="124">
        <f>SUM(F314:F337)</f>
        <v>44329769401</v>
      </c>
      <c r="U337" s="124">
        <f>SUM(J314:J337)</f>
        <v>221366885</v>
      </c>
    </row>
    <row r="338" spans="1:21">
      <c r="A338" s="23" t="s">
        <v>364</v>
      </c>
      <c r="B338" s="35" t="s">
        <v>365</v>
      </c>
      <c r="C338" s="125">
        <v>14262</v>
      </c>
      <c r="D338" s="113">
        <v>1313506652</v>
      </c>
      <c r="E338" s="116">
        <f t="shared" si="51"/>
        <v>92098.348899172634</v>
      </c>
      <c r="F338" s="117">
        <v>962805413</v>
      </c>
      <c r="G338" s="117">
        <f t="shared" si="52"/>
        <v>67508.44292525592</v>
      </c>
      <c r="H338" s="7"/>
      <c r="I338" s="109">
        <v>4.2656999999999998</v>
      </c>
      <c r="J338" s="117">
        <v>4107039</v>
      </c>
      <c r="K338" s="120">
        <f t="shared" si="50"/>
        <v>287.97076146403032</v>
      </c>
      <c r="L338" s="122">
        <f t="shared" si="55"/>
        <v>9628054.1300000008</v>
      </c>
      <c r="M338" s="116">
        <f t="shared" si="56"/>
        <v>5521015.1300000008</v>
      </c>
      <c r="N338" s="123">
        <f t="shared" si="57"/>
        <v>387.11366778852903</v>
      </c>
      <c r="O338" s="5"/>
      <c r="P338" s="5">
        <f t="shared" si="53"/>
        <v>1</v>
      </c>
      <c r="Q338" s="7">
        <f t="shared" si="54"/>
        <v>14262</v>
      </c>
    </row>
    <row r="339" spans="1:21">
      <c r="A339" s="23" t="s">
        <v>366</v>
      </c>
      <c r="B339" s="35" t="s">
        <v>365</v>
      </c>
      <c r="C339" s="125">
        <v>17812</v>
      </c>
      <c r="D339" s="113">
        <v>993846102</v>
      </c>
      <c r="E339" s="116">
        <f t="shared" si="51"/>
        <v>55796.435099932627</v>
      </c>
      <c r="F339" s="117">
        <v>540193735</v>
      </c>
      <c r="G339" s="117">
        <f t="shared" si="52"/>
        <v>30327.517123287671</v>
      </c>
      <c r="H339" s="7"/>
      <c r="I339" s="109">
        <v>3.9075000000000002</v>
      </c>
      <c r="J339" s="117">
        <v>2110807</v>
      </c>
      <c r="K339" s="120">
        <f t="shared" si="50"/>
        <v>118.50477206377722</v>
      </c>
      <c r="L339" s="122">
        <f t="shared" si="55"/>
        <v>5401937.3500000006</v>
      </c>
      <c r="M339" s="116">
        <f t="shared" si="56"/>
        <v>3291130.3500000006</v>
      </c>
      <c r="N339" s="123">
        <f t="shared" si="57"/>
        <v>184.77039916909951</v>
      </c>
      <c r="O339" s="5"/>
      <c r="P339" s="5">
        <f t="shared" si="53"/>
        <v>1</v>
      </c>
      <c r="Q339" s="7">
        <f t="shared" si="54"/>
        <v>17812</v>
      </c>
    </row>
    <row r="340" spans="1:21">
      <c r="A340" s="23" t="s">
        <v>367</v>
      </c>
      <c r="B340" s="35" t="s">
        <v>365</v>
      </c>
      <c r="C340" s="125">
        <v>3248</v>
      </c>
      <c r="D340" s="113">
        <v>177850293</v>
      </c>
      <c r="E340" s="116">
        <f t="shared" si="51"/>
        <v>54756.863608374384</v>
      </c>
      <c r="F340" s="117">
        <v>109049039</v>
      </c>
      <c r="G340" s="117">
        <f t="shared" si="52"/>
        <v>33574.211514778326</v>
      </c>
      <c r="H340" s="7"/>
      <c r="I340" s="109">
        <v>7.5</v>
      </c>
      <c r="J340" s="117">
        <v>817868</v>
      </c>
      <c r="K340" s="120">
        <f t="shared" si="50"/>
        <v>251.80665024630542</v>
      </c>
      <c r="L340" s="122">
        <f t="shared" si="55"/>
        <v>1090490.3900000001</v>
      </c>
      <c r="M340" s="116">
        <f t="shared" si="56"/>
        <v>272622.39000000013</v>
      </c>
      <c r="N340" s="123">
        <f t="shared" si="57"/>
        <v>83.935464901477872</v>
      </c>
      <c r="O340" s="5"/>
      <c r="P340" s="5">
        <f t="shared" si="53"/>
        <v>1</v>
      </c>
      <c r="Q340" s="7">
        <f t="shared" si="54"/>
        <v>3248</v>
      </c>
    </row>
    <row r="341" spans="1:21">
      <c r="A341" s="23" t="s">
        <v>368</v>
      </c>
      <c r="B341" s="35" t="s">
        <v>365</v>
      </c>
      <c r="C341" s="125">
        <v>3876</v>
      </c>
      <c r="D341" s="113">
        <v>215916712</v>
      </c>
      <c r="E341" s="116">
        <f t="shared" si="51"/>
        <v>55706.066047471621</v>
      </c>
      <c r="F341" s="117">
        <v>123105477</v>
      </c>
      <c r="G341" s="117">
        <f t="shared" si="52"/>
        <v>31760.958978328174</v>
      </c>
      <c r="H341" s="9"/>
      <c r="I341" s="109">
        <v>7.9494999999999996</v>
      </c>
      <c r="J341" s="117">
        <v>978627</v>
      </c>
      <c r="K341" s="120">
        <f t="shared" si="50"/>
        <v>252.48374613003097</v>
      </c>
      <c r="L341" s="122">
        <f t="shared" si="55"/>
        <v>1231054.77</v>
      </c>
      <c r="M341" s="116">
        <f t="shared" si="56"/>
        <v>252427.77000000002</v>
      </c>
      <c r="N341" s="123">
        <f t="shared" si="57"/>
        <v>65.125843653250783</v>
      </c>
      <c r="O341" s="5"/>
      <c r="P341" s="5">
        <f t="shared" si="53"/>
        <v>1</v>
      </c>
      <c r="Q341" s="7">
        <f t="shared" si="54"/>
        <v>3876</v>
      </c>
    </row>
    <row r="342" spans="1:21">
      <c r="A342" s="23" t="s">
        <v>369</v>
      </c>
      <c r="B342" s="35" t="s">
        <v>365</v>
      </c>
      <c r="C342" s="125">
        <v>2335</v>
      </c>
      <c r="D342" s="113">
        <v>123575738</v>
      </c>
      <c r="E342" s="116">
        <f t="shared" si="51"/>
        <v>52923.228265524624</v>
      </c>
      <c r="F342" s="117">
        <v>58149509</v>
      </c>
      <c r="G342" s="117">
        <f t="shared" si="52"/>
        <v>24903.429978586722</v>
      </c>
      <c r="H342" s="7"/>
      <c r="I342" s="109">
        <v>7.6516000000000002</v>
      </c>
      <c r="J342" s="117">
        <v>444937</v>
      </c>
      <c r="K342" s="120">
        <f t="shared" si="50"/>
        <v>190.55117773019271</v>
      </c>
      <c r="L342" s="122">
        <f t="shared" si="55"/>
        <v>581495.09</v>
      </c>
      <c r="M342" s="116">
        <f t="shared" si="56"/>
        <v>136558.08999999997</v>
      </c>
      <c r="N342" s="123">
        <f t="shared" si="57"/>
        <v>58.483122055674507</v>
      </c>
      <c r="O342" s="5"/>
      <c r="P342" s="5">
        <f t="shared" si="53"/>
        <v>1</v>
      </c>
      <c r="Q342" s="7">
        <f t="shared" si="54"/>
        <v>2335</v>
      </c>
    </row>
    <row r="343" spans="1:21">
      <c r="A343" s="23" t="s">
        <v>370</v>
      </c>
      <c r="B343" s="35" t="s">
        <v>365</v>
      </c>
      <c r="C343" s="125">
        <v>5955</v>
      </c>
      <c r="D343" s="113">
        <v>170965562</v>
      </c>
      <c r="E343" s="116">
        <f t="shared" si="51"/>
        <v>28709.582199832075</v>
      </c>
      <c r="F343" s="117">
        <v>88944740</v>
      </c>
      <c r="G343" s="117">
        <f t="shared" si="52"/>
        <v>14936.144416456758</v>
      </c>
      <c r="H343" s="7"/>
      <c r="I343" s="109">
        <v>5.6483999999999996</v>
      </c>
      <c r="J343" s="117">
        <v>502395</v>
      </c>
      <c r="K343" s="120">
        <f t="shared" ref="K343:K380" si="58">(J343/C343)</f>
        <v>84.365239294710321</v>
      </c>
      <c r="L343" s="122">
        <f t="shared" si="55"/>
        <v>889447.4</v>
      </c>
      <c r="M343" s="116">
        <f t="shared" si="56"/>
        <v>387052.4</v>
      </c>
      <c r="N343" s="123">
        <f t="shared" si="57"/>
        <v>64.996204869857266</v>
      </c>
      <c r="O343" s="5"/>
      <c r="P343" s="5">
        <f t="shared" si="53"/>
        <v>1</v>
      </c>
      <c r="Q343" s="7">
        <f t="shared" si="54"/>
        <v>5955</v>
      </c>
    </row>
    <row r="344" spans="1:21">
      <c r="A344" s="23" t="s">
        <v>371</v>
      </c>
      <c r="B344" s="35" t="s">
        <v>365</v>
      </c>
      <c r="C344" s="125">
        <v>2961</v>
      </c>
      <c r="D344" s="113">
        <v>195037557</v>
      </c>
      <c r="E344" s="116">
        <f t="shared" si="51"/>
        <v>65868.813576494431</v>
      </c>
      <c r="F344" s="117">
        <v>113022070</v>
      </c>
      <c r="G344" s="117">
        <f t="shared" si="52"/>
        <v>38170.236406619384</v>
      </c>
      <c r="H344" s="7"/>
      <c r="I344" s="110">
        <v>8.0587</v>
      </c>
      <c r="J344" s="117">
        <v>910811</v>
      </c>
      <c r="K344" s="120">
        <f t="shared" si="58"/>
        <v>307.60249915569062</v>
      </c>
      <c r="L344" s="122">
        <f t="shared" si="55"/>
        <v>1130220.7</v>
      </c>
      <c r="M344" s="116">
        <f t="shared" si="56"/>
        <v>219409.69999999995</v>
      </c>
      <c r="N344" s="123">
        <f t="shared" si="57"/>
        <v>74.099864910503186</v>
      </c>
      <c r="O344" s="5"/>
      <c r="P344" s="5">
        <f t="shared" si="53"/>
        <v>1</v>
      </c>
      <c r="Q344" s="7">
        <f t="shared" si="54"/>
        <v>2961</v>
      </c>
    </row>
    <row r="345" spans="1:21">
      <c r="A345" s="23" t="s">
        <v>372</v>
      </c>
      <c r="B345" s="35" t="s">
        <v>365</v>
      </c>
      <c r="C345" s="125">
        <v>21956</v>
      </c>
      <c r="D345" s="113">
        <v>1195691125</v>
      </c>
      <c r="E345" s="116">
        <f t="shared" si="51"/>
        <v>54458.513618145378</v>
      </c>
      <c r="F345" s="117">
        <v>808089058</v>
      </c>
      <c r="G345" s="117">
        <f t="shared" si="52"/>
        <v>36804.930679540899</v>
      </c>
      <c r="H345" s="7"/>
      <c r="I345" s="109">
        <v>7.79</v>
      </c>
      <c r="J345" s="117">
        <v>6295014</v>
      </c>
      <c r="K345" s="120">
        <f t="shared" si="58"/>
        <v>286.71042084168334</v>
      </c>
      <c r="L345" s="122">
        <f t="shared" si="55"/>
        <v>8080890.5800000001</v>
      </c>
      <c r="M345" s="116">
        <f t="shared" si="56"/>
        <v>1785876.58</v>
      </c>
      <c r="N345" s="123">
        <f t="shared" si="57"/>
        <v>81.338885953725637</v>
      </c>
      <c r="O345" s="5"/>
      <c r="P345" s="5">
        <f t="shared" si="53"/>
        <v>1</v>
      </c>
      <c r="Q345" s="7">
        <f t="shared" si="54"/>
        <v>21956</v>
      </c>
    </row>
    <row r="346" spans="1:21">
      <c r="A346" s="23" t="s">
        <v>373</v>
      </c>
      <c r="B346" s="35" t="s">
        <v>365</v>
      </c>
      <c r="C346" s="125">
        <v>237</v>
      </c>
      <c r="D346" s="113">
        <v>15010384</v>
      </c>
      <c r="E346" s="116">
        <f t="shared" si="51"/>
        <v>63334.95358649789</v>
      </c>
      <c r="F346" s="117">
        <v>11137175</v>
      </c>
      <c r="G346" s="117">
        <f t="shared" si="52"/>
        <v>46992.299578059072</v>
      </c>
      <c r="H346" s="7"/>
      <c r="I346" s="109">
        <v>9.9758999999999993</v>
      </c>
      <c r="J346" s="117">
        <v>111103</v>
      </c>
      <c r="K346" s="120">
        <f t="shared" si="58"/>
        <v>468.78902953586498</v>
      </c>
      <c r="L346" s="122">
        <f t="shared" si="55"/>
        <v>111371.75</v>
      </c>
      <c r="M346" s="116">
        <f t="shared" si="56"/>
        <v>268.75</v>
      </c>
      <c r="N346" s="123">
        <f t="shared" si="57"/>
        <v>1.1339662447257384</v>
      </c>
      <c r="O346" s="5"/>
      <c r="P346" s="5">
        <f t="shared" si="53"/>
        <v>1</v>
      </c>
      <c r="Q346" s="7">
        <f t="shared" si="54"/>
        <v>237</v>
      </c>
    </row>
    <row r="347" spans="1:21">
      <c r="A347" s="23" t="s">
        <v>374</v>
      </c>
      <c r="B347" s="35" t="s">
        <v>365</v>
      </c>
      <c r="C347" s="125">
        <v>252</v>
      </c>
      <c r="D347" s="113">
        <v>15213783</v>
      </c>
      <c r="E347" s="116">
        <f t="shared" si="51"/>
        <v>60372.154761904763</v>
      </c>
      <c r="F347" s="117">
        <v>9779315</v>
      </c>
      <c r="G347" s="117">
        <f t="shared" si="52"/>
        <v>38806.805555555555</v>
      </c>
      <c r="H347" s="7"/>
      <c r="I347" s="109">
        <v>1.4131</v>
      </c>
      <c r="J347" s="117">
        <v>13819</v>
      </c>
      <c r="K347" s="120">
        <f t="shared" si="58"/>
        <v>54.837301587301589</v>
      </c>
      <c r="L347" s="122">
        <f t="shared" si="55"/>
        <v>97793.150000000009</v>
      </c>
      <c r="M347" s="116">
        <f t="shared" si="56"/>
        <v>83974.150000000009</v>
      </c>
      <c r="N347" s="123">
        <f t="shared" si="57"/>
        <v>333.23075396825402</v>
      </c>
      <c r="O347" s="5"/>
      <c r="P347" s="5">
        <f t="shared" si="53"/>
        <v>1</v>
      </c>
      <c r="Q347" s="7">
        <f t="shared" si="54"/>
        <v>252</v>
      </c>
    </row>
    <row r="348" spans="1:21">
      <c r="A348" s="23" t="s">
        <v>375</v>
      </c>
      <c r="B348" s="35" t="s">
        <v>365</v>
      </c>
      <c r="C348" s="125">
        <v>5127</v>
      </c>
      <c r="D348" s="113">
        <v>237545850</v>
      </c>
      <c r="E348" s="116">
        <f t="shared" si="51"/>
        <v>46332.32884727911</v>
      </c>
      <c r="F348" s="117">
        <v>134275162</v>
      </c>
      <c r="G348" s="117">
        <f t="shared" si="52"/>
        <v>26189.811195630973</v>
      </c>
      <c r="H348" s="7"/>
      <c r="I348" s="109">
        <v>7.5890000000000004</v>
      </c>
      <c r="J348" s="117">
        <v>1019014</v>
      </c>
      <c r="K348" s="120">
        <f t="shared" si="58"/>
        <v>198.75443729276381</v>
      </c>
      <c r="L348" s="122">
        <f t="shared" si="55"/>
        <v>1342751.62</v>
      </c>
      <c r="M348" s="116">
        <f t="shared" si="56"/>
        <v>323737.62000000011</v>
      </c>
      <c r="N348" s="123">
        <f t="shared" si="57"/>
        <v>63.143674663545958</v>
      </c>
      <c r="O348" s="5"/>
      <c r="P348" s="5">
        <f t="shared" si="53"/>
        <v>1</v>
      </c>
      <c r="Q348" s="7">
        <f t="shared" si="54"/>
        <v>5127</v>
      </c>
    </row>
    <row r="349" spans="1:21">
      <c r="A349" s="23" t="s">
        <v>376</v>
      </c>
      <c r="B349" s="35" t="s">
        <v>365</v>
      </c>
      <c r="C349" s="125">
        <v>1275</v>
      </c>
      <c r="D349" s="113">
        <v>86387580</v>
      </c>
      <c r="E349" s="116">
        <f t="shared" si="51"/>
        <v>67754.964705882347</v>
      </c>
      <c r="F349" s="117">
        <v>60371091</v>
      </c>
      <c r="G349" s="117">
        <f t="shared" si="52"/>
        <v>47349.87529411765</v>
      </c>
      <c r="H349" s="7"/>
      <c r="I349" s="109">
        <v>8.4276</v>
      </c>
      <c r="J349" s="117">
        <v>508783</v>
      </c>
      <c r="K349" s="120">
        <f t="shared" si="58"/>
        <v>399.04549019607845</v>
      </c>
      <c r="L349" s="122">
        <f t="shared" si="55"/>
        <v>603710.91</v>
      </c>
      <c r="M349" s="116">
        <f t="shared" si="56"/>
        <v>94927.910000000033</v>
      </c>
      <c r="N349" s="123">
        <f t="shared" si="57"/>
        <v>74.453262745098058</v>
      </c>
      <c r="O349" s="5"/>
      <c r="P349" s="5">
        <f t="shared" si="53"/>
        <v>1</v>
      </c>
      <c r="Q349" s="7">
        <f t="shared" si="54"/>
        <v>1275</v>
      </c>
    </row>
    <row r="350" spans="1:21">
      <c r="A350" s="23" t="s">
        <v>377</v>
      </c>
      <c r="B350" s="35" t="s">
        <v>365</v>
      </c>
      <c r="C350" s="125">
        <v>14830</v>
      </c>
      <c r="D350" s="113">
        <v>878709916</v>
      </c>
      <c r="E350" s="116">
        <f t="shared" si="51"/>
        <v>59252.185839514495</v>
      </c>
      <c r="F350" s="117">
        <v>581682466</v>
      </c>
      <c r="G350" s="117">
        <f t="shared" si="52"/>
        <v>39223.362508428858</v>
      </c>
      <c r="H350" s="9"/>
      <c r="I350" s="109">
        <v>8.3637999999999995</v>
      </c>
      <c r="J350" s="117">
        <v>4865076</v>
      </c>
      <c r="K350" s="120">
        <f t="shared" si="58"/>
        <v>328.05637221847604</v>
      </c>
      <c r="L350" s="122">
        <f t="shared" si="55"/>
        <v>5816824.6600000001</v>
      </c>
      <c r="M350" s="116">
        <f t="shared" si="56"/>
        <v>951748.66000000015</v>
      </c>
      <c r="N350" s="123">
        <f t="shared" si="57"/>
        <v>64.177252865812548</v>
      </c>
      <c r="O350" s="5"/>
      <c r="P350" s="5">
        <f t="shared" si="53"/>
        <v>1</v>
      </c>
      <c r="Q350" s="7">
        <f t="shared" si="54"/>
        <v>14830</v>
      </c>
    </row>
    <row r="351" spans="1:21">
      <c r="A351" s="23" t="s">
        <v>378</v>
      </c>
      <c r="B351" s="35" t="s">
        <v>365</v>
      </c>
      <c r="C351" s="125">
        <v>100728</v>
      </c>
      <c r="D351" s="113">
        <v>7251860817</v>
      </c>
      <c r="E351" s="116">
        <f t="shared" ref="E351:E405" si="59">(D351/C351)</f>
        <v>71994.48829521086</v>
      </c>
      <c r="F351" s="117">
        <v>4708173385</v>
      </c>
      <c r="G351" s="117">
        <f t="shared" ref="G351:G405" si="60">(F351/C351)</f>
        <v>46741.456049956316</v>
      </c>
      <c r="H351" s="9"/>
      <c r="I351" s="109">
        <v>4.6643999999999997</v>
      </c>
      <c r="J351" s="117">
        <v>21960804</v>
      </c>
      <c r="K351" s="120">
        <f t="shared" si="58"/>
        <v>218.02084822492256</v>
      </c>
      <c r="L351" s="122">
        <f t="shared" si="55"/>
        <v>47081733.850000001</v>
      </c>
      <c r="M351" s="116">
        <f t="shared" si="56"/>
        <v>25120929.850000001</v>
      </c>
      <c r="N351" s="123">
        <f t="shared" si="57"/>
        <v>249.39371227464062</v>
      </c>
      <c r="O351" s="5"/>
      <c r="P351" s="5">
        <f t="shared" si="53"/>
        <v>1</v>
      </c>
      <c r="Q351" s="7">
        <f t="shared" si="54"/>
        <v>100728</v>
      </c>
    </row>
    <row r="352" spans="1:21">
      <c r="A352" s="23" t="s">
        <v>379</v>
      </c>
      <c r="B352" s="35" t="s">
        <v>365</v>
      </c>
      <c r="C352" s="125">
        <v>3750</v>
      </c>
      <c r="D352" s="113">
        <v>224997573</v>
      </c>
      <c r="E352" s="116">
        <f t="shared" si="59"/>
        <v>59999.352800000001</v>
      </c>
      <c r="F352" s="117">
        <v>159059444</v>
      </c>
      <c r="G352" s="117">
        <f t="shared" si="60"/>
        <v>42415.851733333337</v>
      </c>
      <c r="H352" s="9"/>
      <c r="I352" s="109">
        <v>7.65</v>
      </c>
      <c r="J352" s="117">
        <v>1216805</v>
      </c>
      <c r="K352" s="120">
        <f t="shared" si="58"/>
        <v>324.48133333333334</v>
      </c>
      <c r="L352" s="122">
        <f t="shared" si="55"/>
        <v>1590594.44</v>
      </c>
      <c r="M352" s="116">
        <f t="shared" si="56"/>
        <v>373789.43999999994</v>
      </c>
      <c r="N352" s="123">
        <f t="shared" si="57"/>
        <v>99.677183999999983</v>
      </c>
      <c r="O352" s="5"/>
      <c r="P352" s="5">
        <f t="shared" si="53"/>
        <v>1</v>
      </c>
      <c r="Q352" s="7">
        <f t="shared" si="54"/>
        <v>3750</v>
      </c>
    </row>
    <row r="353" spans="1:21">
      <c r="A353" s="23" t="s">
        <v>380</v>
      </c>
      <c r="B353" s="35" t="s">
        <v>365</v>
      </c>
      <c r="C353" s="125">
        <v>1630</v>
      </c>
      <c r="D353" s="113">
        <v>92813595</v>
      </c>
      <c r="E353" s="116">
        <f t="shared" si="59"/>
        <v>56940.855828220861</v>
      </c>
      <c r="F353" s="117">
        <v>60327268</v>
      </c>
      <c r="G353" s="117">
        <f t="shared" si="60"/>
        <v>37010.593865030678</v>
      </c>
      <c r="H353" s="7"/>
      <c r="I353" s="109">
        <v>8.6</v>
      </c>
      <c r="J353" s="117">
        <v>518815</v>
      </c>
      <c r="K353" s="120">
        <f t="shared" si="58"/>
        <v>318.29141104294479</v>
      </c>
      <c r="L353" s="122">
        <f t="shared" si="55"/>
        <v>603272.68000000005</v>
      </c>
      <c r="M353" s="116">
        <f t="shared" si="56"/>
        <v>84457.680000000051</v>
      </c>
      <c r="N353" s="123">
        <f t="shared" si="57"/>
        <v>51.814527607361995</v>
      </c>
      <c r="O353" s="5"/>
      <c r="P353" s="5">
        <f t="shared" si="53"/>
        <v>1</v>
      </c>
      <c r="Q353" s="7">
        <f t="shared" si="54"/>
        <v>1630</v>
      </c>
    </row>
    <row r="354" spans="1:21">
      <c r="A354" s="23" t="s">
        <v>381</v>
      </c>
      <c r="B354" s="35" t="s">
        <v>365</v>
      </c>
      <c r="C354" s="125">
        <v>37016</v>
      </c>
      <c r="D354" s="113">
        <v>2470855040</v>
      </c>
      <c r="E354" s="116">
        <f t="shared" si="59"/>
        <v>66751.000648368266</v>
      </c>
      <c r="F354" s="117">
        <v>1608581733</v>
      </c>
      <c r="G354" s="117">
        <f t="shared" si="60"/>
        <v>43456.39002053166</v>
      </c>
      <c r="H354" s="7"/>
      <c r="I354" s="109">
        <v>5.79</v>
      </c>
      <c r="J354" s="117">
        <v>9313688</v>
      </c>
      <c r="K354" s="120">
        <f t="shared" si="58"/>
        <v>251.61249189539657</v>
      </c>
      <c r="L354" s="122">
        <f t="shared" si="55"/>
        <v>16085817.33</v>
      </c>
      <c r="M354" s="116">
        <f t="shared" si="56"/>
        <v>6772129.3300000001</v>
      </c>
      <c r="N354" s="123">
        <f t="shared" si="57"/>
        <v>182.95140830992003</v>
      </c>
      <c r="O354" s="5"/>
      <c r="P354" s="5">
        <f t="shared" si="53"/>
        <v>1</v>
      </c>
      <c r="Q354" s="7">
        <f t="shared" si="54"/>
        <v>37016</v>
      </c>
      <c r="S354" s="124">
        <f>SUM(D338:D354)</f>
        <v>15659784279</v>
      </c>
      <c r="T354" s="124">
        <f>SUM(F338:F354)</f>
        <v>10136746080</v>
      </c>
      <c r="U354" s="124">
        <f>SUM(J338:J354)</f>
        <v>55695405</v>
      </c>
    </row>
    <row r="355" spans="1:21">
      <c r="A355" s="23" t="s">
        <v>382</v>
      </c>
      <c r="B355" s="35" t="s">
        <v>383</v>
      </c>
      <c r="C355" s="125">
        <v>1520</v>
      </c>
      <c r="D355" s="113">
        <v>102122014</v>
      </c>
      <c r="E355" s="116">
        <f t="shared" si="59"/>
        <v>67185.535526315783</v>
      </c>
      <c r="F355" s="117">
        <v>56784008</v>
      </c>
      <c r="G355" s="117">
        <f t="shared" si="60"/>
        <v>37357.9</v>
      </c>
      <c r="H355" s="7"/>
      <c r="I355" s="109">
        <v>8.5914000000000001</v>
      </c>
      <c r="J355" s="117">
        <v>487854</v>
      </c>
      <c r="K355" s="120">
        <f t="shared" si="58"/>
        <v>320.95657894736843</v>
      </c>
      <c r="L355" s="122">
        <f t="shared" si="55"/>
        <v>567840.07999999996</v>
      </c>
      <c r="M355" s="116">
        <f t="shared" si="56"/>
        <v>79986.079999999958</v>
      </c>
      <c r="N355" s="123">
        <f t="shared" si="57"/>
        <v>52.622421052631552</v>
      </c>
      <c r="O355" s="5"/>
      <c r="P355" s="5">
        <f t="shared" si="53"/>
        <v>1</v>
      </c>
      <c r="Q355" s="7">
        <f t="shared" si="54"/>
        <v>1520</v>
      </c>
    </row>
    <row r="356" spans="1:21">
      <c r="A356" s="23" t="s">
        <v>384</v>
      </c>
      <c r="B356" s="35" t="s">
        <v>383</v>
      </c>
      <c r="C356" s="125">
        <v>1332</v>
      </c>
      <c r="D356" s="113">
        <v>102652950</v>
      </c>
      <c r="E356" s="116">
        <f t="shared" si="59"/>
        <v>77066.779279279275</v>
      </c>
      <c r="F356" s="117">
        <v>48575008</v>
      </c>
      <c r="G356" s="117">
        <f t="shared" si="60"/>
        <v>36467.72372372372</v>
      </c>
      <c r="H356" s="7"/>
      <c r="I356" s="109">
        <v>8.8820999999999994</v>
      </c>
      <c r="J356" s="117">
        <v>431448</v>
      </c>
      <c r="K356" s="120">
        <f t="shared" si="58"/>
        <v>323.90990990990991</v>
      </c>
      <c r="L356" s="122">
        <f t="shared" si="55"/>
        <v>485750.08</v>
      </c>
      <c r="M356" s="116">
        <f t="shared" si="56"/>
        <v>54302.080000000016</v>
      </c>
      <c r="N356" s="123">
        <f t="shared" si="57"/>
        <v>40.767327327327337</v>
      </c>
      <c r="O356" s="5"/>
      <c r="P356" s="5">
        <f t="shared" si="53"/>
        <v>1</v>
      </c>
      <c r="Q356" s="7">
        <f t="shared" si="54"/>
        <v>1332</v>
      </c>
    </row>
    <row r="357" spans="1:21">
      <c r="A357" s="23" t="s">
        <v>385</v>
      </c>
      <c r="B357" s="35" t="s">
        <v>383</v>
      </c>
      <c r="C357" s="125">
        <v>10377</v>
      </c>
      <c r="D357" s="113">
        <v>743763313</v>
      </c>
      <c r="E357" s="116">
        <f t="shared" si="59"/>
        <v>71674.213452828364</v>
      </c>
      <c r="F357" s="117">
        <v>372922891</v>
      </c>
      <c r="G357" s="117">
        <f t="shared" si="60"/>
        <v>35937.447335453406</v>
      </c>
      <c r="H357" s="7"/>
      <c r="I357" s="109">
        <v>9.1748999999999992</v>
      </c>
      <c r="J357" s="117">
        <v>3421530</v>
      </c>
      <c r="K357" s="120">
        <f t="shared" si="58"/>
        <v>329.72246313963575</v>
      </c>
      <c r="L357" s="122">
        <f t="shared" si="55"/>
        <v>3729228.91</v>
      </c>
      <c r="M357" s="116">
        <f t="shared" si="56"/>
        <v>307698.91000000015</v>
      </c>
      <c r="N357" s="123">
        <f t="shared" si="57"/>
        <v>29.652010214898347</v>
      </c>
      <c r="O357" s="5"/>
      <c r="P357" s="5">
        <f t="shared" si="53"/>
        <v>1</v>
      </c>
      <c r="Q357" s="7">
        <f t="shared" si="54"/>
        <v>10377</v>
      </c>
    </row>
    <row r="358" spans="1:21">
      <c r="A358" s="23" t="s">
        <v>386</v>
      </c>
      <c r="B358" s="35" t="s">
        <v>383</v>
      </c>
      <c r="C358" s="125">
        <v>877</v>
      </c>
      <c r="D358" s="113">
        <v>42653844</v>
      </c>
      <c r="E358" s="116">
        <f t="shared" si="59"/>
        <v>48636.082098061575</v>
      </c>
      <c r="F358" s="117">
        <v>26791103</v>
      </c>
      <c r="G358" s="117">
        <f t="shared" si="60"/>
        <v>30548.578107183581</v>
      </c>
      <c r="H358" s="7"/>
      <c r="I358" s="109">
        <v>5.7873999999999999</v>
      </c>
      <c r="J358" s="117">
        <v>155051</v>
      </c>
      <c r="K358" s="120">
        <f t="shared" si="58"/>
        <v>176.7970353477765</v>
      </c>
      <c r="L358" s="122">
        <f t="shared" si="55"/>
        <v>267911.03000000003</v>
      </c>
      <c r="M358" s="116">
        <f t="shared" si="56"/>
        <v>112860.03000000003</v>
      </c>
      <c r="N358" s="123">
        <f t="shared" si="57"/>
        <v>128.68874572405932</v>
      </c>
      <c r="O358" s="5"/>
      <c r="P358" s="5">
        <f t="shared" si="53"/>
        <v>1</v>
      </c>
      <c r="Q358" s="7">
        <f t="shared" si="54"/>
        <v>877</v>
      </c>
    </row>
    <row r="359" spans="1:21">
      <c r="A359" s="23" t="s">
        <v>387</v>
      </c>
      <c r="B359" s="35" t="s">
        <v>383</v>
      </c>
      <c r="C359" s="125">
        <v>711</v>
      </c>
      <c r="D359" s="113">
        <v>65277282</v>
      </c>
      <c r="E359" s="116">
        <f t="shared" si="59"/>
        <v>91810.523206751051</v>
      </c>
      <c r="F359" s="117">
        <v>50394901</v>
      </c>
      <c r="G359" s="117">
        <f t="shared" si="60"/>
        <v>70878.904360056258</v>
      </c>
      <c r="H359" s="7"/>
      <c r="I359" s="109">
        <v>5.5049999999999999</v>
      </c>
      <c r="J359" s="117">
        <v>277424</v>
      </c>
      <c r="K359" s="120">
        <f t="shared" si="58"/>
        <v>390.18846694796059</v>
      </c>
      <c r="L359" s="122">
        <f t="shared" si="55"/>
        <v>503949.01</v>
      </c>
      <c r="M359" s="116">
        <f t="shared" si="56"/>
        <v>226525.01</v>
      </c>
      <c r="N359" s="123">
        <f t="shared" si="57"/>
        <v>318.600576652602</v>
      </c>
      <c r="O359" s="5"/>
      <c r="P359" s="5">
        <f t="shared" si="53"/>
        <v>1</v>
      </c>
      <c r="Q359" s="7">
        <f t="shared" si="54"/>
        <v>711</v>
      </c>
      <c r="S359" s="124">
        <f>SUM(D355:D359)</f>
        <v>1056469403</v>
      </c>
      <c r="T359" s="124">
        <f>SUM(F355:F359)</f>
        <v>555467911</v>
      </c>
      <c r="U359" s="124">
        <f>SUM(J355:J359)</f>
        <v>4773307</v>
      </c>
    </row>
    <row r="360" spans="1:21">
      <c r="A360" s="23" t="s">
        <v>390</v>
      </c>
      <c r="B360" s="35" t="s">
        <v>391</v>
      </c>
      <c r="C360" s="125">
        <v>5823</v>
      </c>
      <c r="D360" s="113">
        <v>1063028873</v>
      </c>
      <c r="E360" s="116">
        <f t="shared" si="59"/>
        <v>182556.90760776232</v>
      </c>
      <c r="F360" s="117">
        <v>684357400</v>
      </c>
      <c r="G360" s="117">
        <f t="shared" si="60"/>
        <v>117526.60140820882</v>
      </c>
      <c r="H360" s="9"/>
      <c r="I360" s="109">
        <v>1.9722999999999999</v>
      </c>
      <c r="J360" s="117">
        <v>1349758</v>
      </c>
      <c r="K360" s="120">
        <f t="shared" si="58"/>
        <v>231.79769878069723</v>
      </c>
      <c r="L360" s="122">
        <f t="shared" si="55"/>
        <v>6843574</v>
      </c>
      <c r="M360" s="116">
        <f t="shared" si="56"/>
        <v>5493816</v>
      </c>
      <c r="N360" s="123">
        <f t="shared" si="57"/>
        <v>943.46831530139104</v>
      </c>
      <c r="O360" s="5"/>
      <c r="P360" s="5">
        <f t="shared" si="53"/>
        <v>1</v>
      </c>
      <c r="Q360" s="7">
        <f t="shared" si="54"/>
        <v>5823</v>
      </c>
    </row>
    <row r="361" spans="1:21">
      <c r="A361" s="23" t="s">
        <v>392</v>
      </c>
      <c r="B361" s="35" t="s">
        <v>391</v>
      </c>
      <c r="C361" s="125">
        <v>529</v>
      </c>
      <c r="D361" s="113">
        <v>66207016</v>
      </c>
      <c r="E361" s="116">
        <f t="shared" si="59"/>
        <v>125155.03969754254</v>
      </c>
      <c r="F361" s="117">
        <v>43770036</v>
      </c>
      <c r="G361" s="117">
        <f t="shared" si="60"/>
        <v>82741.088846880913</v>
      </c>
      <c r="H361" s="9"/>
      <c r="I361" s="109">
        <v>2</v>
      </c>
      <c r="J361" s="117">
        <v>87540</v>
      </c>
      <c r="K361" s="120">
        <f t="shared" si="58"/>
        <v>165.4820415879017</v>
      </c>
      <c r="L361" s="122">
        <f t="shared" si="55"/>
        <v>437700.36</v>
      </c>
      <c r="M361" s="116">
        <f t="shared" si="56"/>
        <v>350160.36</v>
      </c>
      <c r="N361" s="123">
        <f t="shared" si="57"/>
        <v>661.92884688090737</v>
      </c>
      <c r="O361" s="5"/>
      <c r="P361" s="5">
        <f t="shared" si="53"/>
        <v>1</v>
      </c>
      <c r="Q361" s="7">
        <f t="shared" si="54"/>
        <v>529</v>
      </c>
    </row>
    <row r="362" spans="1:21">
      <c r="A362" s="23" t="s">
        <v>393</v>
      </c>
      <c r="B362" s="35" t="s">
        <v>391</v>
      </c>
      <c r="C362" s="125">
        <v>9316</v>
      </c>
      <c r="D362" s="113">
        <v>552045833</v>
      </c>
      <c r="E362" s="116">
        <f t="shared" si="59"/>
        <v>59257.818054959207</v>
      </c>
      <c r="F362" s="117">
        <v>307900885</v>
      </c>
      <c r="G362" s="117">
        <f t="shared" si="60"/>
        <v>33050.760519536285</v>
      </c>
      <c r="H362" s="9"/>
      <c r="I362" s="109">
        <v>3.2372999999999998</v>
      </c>
      <c r="J362" s="117">
        <v>996768</v>
      </c>
      <c r="K362" s="120">
        <f t="shared" si="58"/>
        <v>106.99527694289395</v>
      </c>
      <c r="L362" s="122">
        <f t="shared" si="55"/>
        <v>3079008.85</v>
      </c>
      <c r="M362" s="116">
        <f t="shared" si="56"/>
        <v>2082240.85</v>
      </c>
      <c r="N362" s="123">
        <f t="shared" si="57"/>
        <v>223.51232825246888</v>
      </c>
      <c r="O362" s="5"/>
      <c r="P362" s="5">
        <f t="shared" si="53"/>
        <v>1</v>
      </c>
      <c r="Q362" s="7">
        <f t="shared" si="54"/>
        <v>9316</v>
      </c>
      <c r="S362" s="124">
        <f>SUM(D360:D362)</f>
        <v>1681281722</v>
      </c>
      <c r="T362" s="124">
        <f>SUM(F360:F362)</f>
        <v>1036028321</v>
      </c>
      <c r="U362" s="124">
        <f>SUM(J360:J362)</f>
        <v>2434066</v>
      </c>
    </row>
    <row r="363" spans="1:21">
      <c r="A363" s="23" t="s">
        <v>394</v>
      </c>
      <c r="B363" s="35" t="s">
        <v>395</v>
      </c>
      <c r="C363" s="125">
        <v>60295</v>
      </c>
      <c r="D363" s="113">
        <v>4116086689</v>
      </c>
      <c r="E363" s="116">
        <f t="shared" si="59"/>
        <v>68265.804610664229</v>
      </c>
      <c r="F363" s="117">
        <v>2645438254</v>
      </c>
      <c r="G363" s="117">
        <f t="shared" si="60"/>
        <v>43874.919213865163</v>
      </c>
      <c r="H363" s="7"/>
      <c r="I363" s="109">
        <v>3.5973999999999999</v>
      </c>
      <c r="J363" s="117">
        <v>9516700</v>
      </c>
      <c r="K363" s="120">
        <f t="shared" si="58"/>
        <v>157.8356414296376</v>
      </c>
      <c r="L363" s="122">
        <f t="shared" si="55"/>
        <v>26454382.539999999</v>
      </c>
      <c r="M363" s="116">
        <f t="shared" si="56"/>
        <v>16937682.539999999</v>
      </c>
      <c r="N363" s="123">
        <f t="shared" si="57"/>
        <v>280.91355070901398</v>
      </c>
      <c r="O363" s="5"/>
      <c r="P363" s="5">
        <f t="shared" si="53"/>
        <v>1</v>
      </c>
      <c r="Q363" s="7">
        <f t="shared" si="54"/>
        <v>60295</v>
      </c>
    </row>
    <row r="364" spans="1:21">
      <c r="A364" s="23" t="s">
        <v>395</v>
      </c>
      <c r="B364" s="35" t="s">
        <v>395</v>
      </c>
      <c r="C364" s="125">
        <v>52584</v>
      </c>
      <c r="D364" s="113">
        <v>11336607964</v>
      </c>
      <c r="E364" s="116">
        <f t="shared" si="59"/>
        <v>215590.44507835084</v>
      </c>
      <c r="F364" s="117">
        <v>7587164894</v>
      </c>
      <c r="G364" s="117">
        <f t="shared" si="60"/>
        <v>144286.56804351133</v>
      </c>
      <c r="H364" s="7"/>
      <c r="I364" s="109">
        <v>3.1728000000000001</v>
      </c>
      <c r="J364" s="117">
        <v>24072557</v>
      </c>
      <c r="K364" s="120">
        <f t="shared" si="58"/>
        <v>457.79242735432831</v>
      </c>
      <c r="L364" s="122">
        <f t="shared" si="55"/>
        <v>75871648.939999998</v>
      </c>
      <c r="M364" s="116">
        <f t="shared" si="56"/>
        <v>51799091.939999998</v>
      </c>
      <c r="N364" s="123">
        <f t="shared" si="57"/>
        <v>985.07325308078498</v>
      </c>
      <c r="O364" s="5"/>
      <c r="P364" s="5">
        <f t="shared" si="53"/>
        <v>1</v>
      </c>
      <c r="Q364" s="7">
        <f t="shared" si="54"/>
        <v>52584</v>
      </c>
    </row>
    <row r="365" spans="1:21">
      <c r="A365" s="23" t="s">
        <v>396</v>
      </c>
      <c r="B365" s="35" t="s">
        <v>395</v>
      </c>
      <c r="C365" s="125">
        <v>21188</v>
      </c>
      <c r="D365" s="113">
        <v>3964000452</v>
      </c>
      <c r="E365" s="116">
        <f t="shared" si="59"/>
        <v>187087.05172739286</v>
      </c>
      <c r="F365" s="117">
        <v>3022502380</v>
      </c>
      <c r="G365" s="117">
        <f t="shared" si="60"/>
        <v>142651.61317727016</v>
      </c>
      <c r="H365" s="7"/>
      <c r="I365" s="109">
        <v>3.1</v>
      </c>
      <c r="J365" s="117">
        <v>9369757</v>
      </c>
      <c r="K365" s="120">
        <f t="shared" si="58"/>
        <v>442.21998300925054</v>
      </c>
      <c r="L365" s="122">
        <f t="shared" si="55"/>
        <v>30225023.800000001</v>
      </c>
      <c r="M365" s="116">
        <f t="shared" si="56"/>
        <v>20855266.800000001</v>
      </c>
      <c r="N365" s="123">
        <f t="shared" si="57"/>
        <v>984.29614876345101</v>
      </c>
      <c r="O365" s="5"/>
      <c r="P365" s="5">
        <f t="shared" si="53"/>
        <v>1</v>
      </c>
      <c r="Q365" s="7">
        <f t="shared" si="54"/>
        <v>21188</v>
      </c>
      <c r="S365" s="124">
        <f>SUM(D363:D365)</f>
        <v>19416695105</v>
      </c>
      <c r="T365" s="124">
        <f>SUM(F363:F365)</f>
        <v>13255105528</v>
      </c>
      <c r="U365" s="124">
        <f>SUM(J363:J365)</f>
        <v>42959014</v>
      </c>
    </row>
    <row r="366" spans="1:21">
      <c r="A366" s="23" t="s">
        <v>397</v>
      </c>
      <c r="B366" s="35" t="s">
        <v>360</v>
      </c>
      <c r="C366" s="125">
        <v>42719</v>
      </c>
      <c r="D366" s="113">
        <v>3315567978</v>
      </c>
      <c r="E366" s="116">
        <f t="shared" si="59"/>
        <v>77613.426765607815</v>
      </c>
      <c r="F366" s="117">
        <v>2498208462</v>
      </c>
      <c r="G366" s="117">
        <f t="shared" si="60"/>
        <v>58480.031414593039</v>
      </c>
      <c r="H366" s="7"/>
      <c r="I366" s="109">
        <v>2.7624</v>
      </c>
      <c r="J366" s="117">
        <v>6901051</v>
      </c>
      <c r="K366" s="120">
        <f t="shared" si="58"/>
        <v>161.54523748215081</v>
      </c>
      <c r="L366" s="122">
        <f t="shared" si="55"/>
        <v>24982084.620000001</v>
      </c>
      <c r="M366" s="116">
        <f t="shared" si="56"/>
        <v>18081033.620000001</v>
      </c>
      <c r="N366" s="123">
        <f t="shared" si="57"/>
        <v>423.25507666377962</v>
      </c>
      <c r="O366" s="5"/>
      <c r="P366" s="5">
        <f t="shared" si="53"/>
        <v>1</v>
      </c>
      <c r="Q366" s="7">
        <f t="shared" si="54"/>
        <v>42719</v>
      </c>
    </row>
    <row r="367" spans="1:21">
      <c r="A367" s="23" t="s">
        <v>398</v>
      </c>
      <c r="B367" s="35" t="s">
        <v>360</v>
      </c>
      <c r="C367" s="125">
        <v>27527</v>
      </c>
      <c r="D367" s="113">
        <v>1489957249</v>
      </c>
      <c r="E367" s="116">
        <f t="shared" si="59"/>
        <v>54127.120608856756</v>
      </c>
      <c r="F367" s="117">
        <v>1094575223</v>
      </c>
      <c r="G367" s="117">
        <f t="shared" si="60"/>
        <v>39763.694663421367</v>
      </c>
      <c r="H367" s="7"/>
      <c r="I367" s="109">
        <v>5.45</v>
      </c>
      <c r="J367" s="117">
        <v>5965435</v>
      </c>
      <c r="K367" s="120">
        <f t="shared" si="58"/>
        <v>216.71213717441057</v>
      </c>
      <c r="L367" s="122">
        <f t="shared" si="55"/>
        <v>10945752.23</v>
      </c>
      <c r="M367" s="116">
        <f t="shared" si="56"/>
        <v>4980317.2300000004</v>
      </c>
      <c r="N367" s="123">
        <f t="shared" si="57"/>
        <v>180.92480945980313</v>
      </c>
      <c r="O367" s="5"/>
      <c r="P367" s="5">
        <f t="shared" si="53"/>
        <v>1</v>
      </c>
      <c r="Q367" s="7">
        <f t="shared" si="54"/>
        <v>27527</v>
      </c>
    </row>
    <row r="368" spans="1:21">
      <c r="A368" s="23" t="s">
        <v>399</v>
      </c>
      <c r="B368" s="35" t="s">
        <v>360</v>
      </c>
      <c r="C368" s="125">
        <v>15037</v>
      </c>
      <c r="D368" s="113">
        <v>2276067119</v>
      </c>
      <c r="E368" s="116">
        <f t="shared" si="59"/>
        <v>151364.44230897119</v>
      </c>
      <c r="F368" s="117">
        <v>1856824089</v>
      </c>
      <c r="G368" s="117">
        <f t="shared" si="60"/>
        <v>123483.67952384119</v>
      </c>
      <c r="H368" s="7"/>
      <c r="I368" s="109">
        <v>3.5895000000000001</v>
      </c>
      <c r="J368" s="117">
        <v>6665070</v>
      </c>
      <c r="K368" s="120">
        <f t="shared" si="58"/>
        <v>443.244663164195</v>
      </c>
      <c r="L368" s="122">
        <f t="shared" si="55"/>
        <v>18568240.890000001</v>
      </c>
      <c r="M368" s="116">
        <f t="shared" si="56"/>
        <v>11903170.890000001</v>
      </c>
      <c r="N368" s="123">
        <f t="shared" si="57"/>
        <v>791.59213207421692</v>
      </c>
      <c r="O368" s="5"/>
      <c r="P368" s="5">
        <f t="shared" si="53"/>
        <v>1</v>
      </c>
      <c r="Q368" s="7">
        <f t="shared" si="54"/>
        <v>15037</v>
      </c>
    </row>
    <row r="369" spans="1:21">
      <c r="A369" s="23" t="s">
        <v>400</v>
      </c>
      <c r="B369" s="35" t="s">
        <v>360</v>
      </c>
      <c r="C369" s="125">
        <v>13781</v>
      </c>
      <c r="D369" s="113">
        <v>1177307725</v>
      </c>
      <c r="E369" s="116">
        <f t="shared" si="59"/>
        <v>85429.774689790298</v>
      </c>
      <c r="F369" s="117">
        <v>872390817</v>
      </c>
      <c r="G369" s="117">
        <f t="shared" si="60"/>
        <v>63303.88339017488</v>
      </c>
      <c r="H369" s="7"/>
      <c r="I369" s="109">
        <v>5.5</v>
      </c>
      <c r="J369" s="117">
        <v>4798149</v>
      </c>
      <c r="K369" s="120">
        <f t="shared" si="58"/>
        <v>348.17132283578843</v>
      </c>
      <c r="L369" s="122">
        <f t="shared" si="55"/>
        <v>8723908.1699999999</v>
      </c>
      <c r="M369" s="116">
        <f t="shared" si="56"/>
        <v>3925759.17</v>
      </c>
      <c r="N369" s="123">
        <f t="shared" si="57"/>
        <v>284.8675110659604</v>
      </c>
      <c r="O369" s="5"/>
      <c r="P369" s="5">
        <f t="shared" si="53"/>
        <v>1</v>
      </c>
      <c r="Q369" s="7">
        <f t="shared" si="54"/>
        <v>13781</v>
      </c>
    </row>
    <row r="370" spans="1:21">
      <c r="A370" s="23" t="s">
        <v>401</v>
      </c>
      <c r="B370" s="35" t="s">
        <v>360</v>
      </c>
      <c r="C370" s="125">
        <v>36251</v>
      </c>
      <c r="D370" s="113">
        <v>2857635522</v>
      </c>
      <c r="E370" s="116">
        <f t="shared" si="59"/>
        <v>78829.150147582142</v>
      </c>
      <c r="F370" s="117">
        <v>2034309095</v>
      </c>
      <c r="G370" s="117">
        <f t="shared" si="60"/>
        <v>56117.323522109735</v>
      </c>
      <c r="H370" s="7"/>
      <c r="I370" s="109">
        <v>5.0434000000000001</v>
      </c>
      <c r="J370" s="117">
        <v>10259834</v>
      </c>
      <c r="K370" s="120">
        <f t="shared" si="58"/>
        <v>283.0220959421809</v>
      </c>
      <c r="L370" s="122">
        <f t="shared" si="55"/>
        <v>20343090.949999999</v>
      </c>
      <c r="M370" s="116">
        <f t="shared" si="56"/>
        <v>10083256.949999999</v>
      </c>
      <c r="N370" s="123">
        <f t="shared" si="57"/>
        <v>278.15113927891645</v>
      </c>
      <c r="O370" s="5"/>
      <c r="P370" s="5">
        <f t="shared" si="53"/>
        <v>1</v>
      </c>
      <c r="Q370" s="7">
        <f t="shared" si="54"/>
        <v>36251</v>
      </c>
    </row>
    <row r="371" spans="1:21">
      <c r="A371" s="23" t="s">
        <v>402</v>
      </c>
      <c r="B371" s="35" t="s">
        <v>360</v>
      </c>
      <c r="C371" s="125">
        <v>55509</v>
      </c>
      <c r="D371" s="113">
        <v>3534237712</v>
      </c>
      <c r="E371" s="116">
        <f t="shared" si="59"/>
        <v>63669.633969266244</v>
      </c>
      <c r="F371" s="117">
        <v>2449935042</v>
      </c>
      <c r="G371" s="117">
        <f t="shared" si="60"/>
        <v>44135.816570285897</v>
      </c>
      <c r="H371" s="7"/>
      <c r="I371" s="109">
        <v>6.8250000000000002</v>
      </c>
      <c r="J371" s="117">
        <v>16720807</v>
      </c>
      <c r="K371" s="120">
        <f t="shared" si="58"/>
        <v>301.22695418760924</v>
      </c>
      <c r="L371" s="122">
        <f t="shared" si="55"/>
        <v>24499350.420000002</v>
      </c>
      <c r="M371" s="116">
        <f t="shared" si="56"/>
        <v>7778543.4200000018</v>
      </c>
      <c r="N371" s="123">
        <f t="shared" si="57"/>
        <v>140.13121151524982</v>
      </c>
      <c r="O371" s="5"/>
      <c r="P371" s="5">
        <f t="shared" si="53"/>
        <v>1</v>
      </c>
      <c r="Q371" s="7">
        <f t="shared" si="54"/>
        <v>55509</v>
      </c>
    </row>
    <row r="372" spans="1:21">
      <c r="A372" s="23" t="s">
        <v>403</v>
      </c>
      <c r="B372" s="35" t="s">
        <v>360</v>
      </c>
      <c r="C372" s="125">
        <v>34627</v>
      </c>
      <c r="D372" s="113">
        <v>2508982189</v>
      </c>
      <c r="E372" s="116">
        <f t="shared" si="59"/>
        <v>72457.394201056974</v>
      </c>
      <c r="F372" s="117">
        <v>1748258752</v>
      </c>
      <c r="G372" s="117">
        <f t="shared" si="60"/>
        <v>50488.311202241028</v>
      </c>
      <c r="H372" s="7"/>
      <c r="I372" s="109">
        <v>2.4300000000000002</v>
      </c>
      <c r="J372" s="117">
        <v>4248269</v>
      </c>
      <c r="K372" s="120">
        <f t="shared" si="58"/>
        <v>122.68660293990239</v>
      </c>
      <c r="L372" s="122">
        <f t="shared" si="55"/>
        <v>17482587.52</v>
      </c>
      <c r="M372" s="116">
        <f t="shared" si="56"/>
        <v>13234318.52</v>
      </c>
      <c r="N372" s="123">
        <f t="shared" si="57"/>
        <v>382.19650908250787</v>
      </c>
      <c r="O372" s="5"/>
      <c r="P372" s="5">
        <f t="shared" si="53"/>
        <v>1</v>
      </c>
      <c r="Q372" s="7">
        <f t="shared" si="54"/>
        <v>34627</v>
      </c>
      <c r="S372" s="124">
        <f>SUM(D366:D372)</f>
        <v>17159755494</v>
      </c>
      <c r="T372" s="124">
        <f>SUM(F366:F372)</f>
        <v>12554501480</v>
      </c>
      <c r="U372" s="124">
        <f>SUM(J366:J372)</f>
        <v>55558615</v>
      </c>
    </row>
    <row r="373" spans="1:21">
      <c r="A373" s="23" t="s">
        <v>388</v>
      </c>
      <c r="B373" s="37" t="s">
        <v>551</v>
      </c>
      <c r="C373" s="125">
        <v>607</v>
      </c>
      <c r="D373" s="113">
        <v>35325314</v>
      </c>
      <c r="E373" s="116">
        <f t="shared" si="59"/>
        <v>58196.563426688634</v>
      </c>
      <c r="F373" s="117">
        <v>22161666</v>
      </c>
      <c r="G373" s="117">
        <f t="shared" si="60"/>
        <v>36510.158154859964</v>
      </c>
      <c r="H373" s="7"/>
      <c r="I373" s="109">
        <v>8.6</v>
      </c>
      <c r="J373" s="117">
        <v>190590</v>
      </c>
      <c r="K373" s="120">
        <f t="shared" si="58"/>
        <v>313.9868204283361</v>
      </c>
      <c r="L373" s="122">
        <f t="shared" si="55"/>
        <v>221616.66</v>
      </c>
      <c r="M373" s="116">
        <f t="shared" si="56"/>
        <v>31026.660000000003</v>
      </c>
      <c r="N373" s="123">
        <f t="shared" si="57"/>
        <v>51.114761120263594</v>
      </c>
      <c r="O373" s="5"/>
      <c r="P373" s="5">
        <f t="shared" si="53"/>
        <v>1</v>
      </c>
      <c r="Q373" s="7">
        <f t="shared" si="54"/>
        <v>607</v>
      </c>
    </row>
    <row r="374" spans="1:21">
      <c r="A374" s="24" t="s">
        <v>549</v>
      </c>
      <c r="B374" s="37" t="s">
        <v>551</v>
      </c>
      <c r="C374" s="125">
        <v>13414</v>
      </c>
      <c r="D374" s="113">
        <v>1867859437</v>
      </c>
      <c r="E374" s="116">
        <f t="shared" si="59"/>
        <v>139247.01334426718</v>
      </c>
      <c r="F374" s="117">
        <v>1169334360</v>
      </c>
      <c r="G374" s="117">
        <f t="shared" si="60"/>
        <v>87172.682272252874</v>
      </c>
      <c r="H374" s="7"/>
      <c r="I374" s="109">
        <v>7.5</v>
      </c>
      <c r="J374" s="117">
        <v>8770008</v>
      </c>
      <c r="K374" s="120">
        <f t="shared" si="58"/>
        <v>653.79513940659012</v>
      </c>
      <c r="L374" s="122">
        <f t="shared" si="55"/>
        <v>11693343.6</v>
      </c>
      <c r="M374" s="116">
        <f t="shared" si="56"/>
        <v>2923335.5999999996</v>
      </c>
      <c r="N374" s="123">
        <f t="shared" si="57"/>
        <v>217.93168331593856</v>
      </c>
      <c r="O374" s="5"/>
      <c r="P374" s="5">
        <f t="shared" si="53"/>
        <v>1</v>
      </c>
      <c r="Q374" s="7">
        <f t="shared" si="54"/>
        <v>13414</v>
      </c>
    </row>
    <row r="375" spans="1:21">
      <c r="A375" s="24" t="s">
        <v>550</v>
      </c>
      <c r="B375" s="37" t="s">
        <v>551</v>
      </c>
      <c r="C375" s="125">
        <v>6418</v>
      </c>
      <c r="D375" s="113">
        <v>1107687183</v>
      </c>
      <c r="E375" s="116">
        <f t="shared" si="59"/>
        <v>172590.71096914928</v>
      </c>
      <c r="F375" s="117">
        <v>914963383</v>
      </c>
      <c r="G375" s="117">
        <f t="shared" si="60"/>
        <v>142562.07276410097</v>
      </c>
      <c r="H375" s="7"/>
      <c r="I375" s="109">
        <v>2.3992</v>
      </c>
      <c r="J375" s="117">
        <v>2195180</v>
      </c>
      <c r="K375" s="120">
        <f t="shared" si="58"/>
        <v>342.034901838579</v>
      </c>
      <c r="L375" s="122">
        <f t="shared" si="55"/>
        <v>9149633.8300000001</v>
      </c>
      <c r="M375" s="116">
        <f t="shared" si="56"/>
        <v>6954453.8300000001</v>
      </c>
      <c r="N375" s="123">
        <f t="shared" si="57"/>
        <v>1083.5858258024307</v>
      </c>
      <c r="O375" s="5"/>
      <c r="P375" s="5">
        <f t="shared" si="53"/>
        <v>1</v>
      </c>
      <c r="Q375" s="7">
        <f t="shared" si="54"/>
        <v>6418</v>
      </c>
      <c r="S375" s="124">
        <f>SUM(D373:D375)</f>
        <v>3010871934</v>
      </c>
      <c r="T375" s="124">
        <f>SUM(F373:F375)</f>
        <v>2106459409</v>
      </c>
      <c r="U375" s="124">
        <f>SUM(J373:J375)</f>
        <v>11155778</v>
      </c>
    </row>
    <row r="376" spans="1:21">
      <c r="A376" s="23" t="s">
        <v>389</v>
      </c>
      <c r="B376" s="37" t="s">
        <v>552</v>
      </c>
      <c r="C376" s="125">
        <v>41888</v>
      </c>
      <c r="D376" s="113">
        <v>3142441863</v>
      </c>
      <c r="E376" s="116">
        <f t="shared" si="59"/>
        <v>75020.097951680669</v>
      </c>
      <c r="F376" s="117">
        <v>1878719493</v>
      </c>
      <c r="G376" s="117">
        <f t="shared" si="60"/>
        <v>44851.019217914436</v>
      </c>
      <c r="H376" s="7"/>
      <c r="I376" s="109">
        <v>6.5785999999999998</v>
      </c>
      <c r="J376" s="117">
        <v>12359344</v>
      </c>
      <c r="K376" s="120">
        <f t="shared" si="58"/>
        <v>295.05691367456075</v>
      </c>
      <c r="L376" s="122">
        <f t="shared" si="55"/>
        <v>18787194.93</v>
      </c>
      <c r="M376" s="116">
        <f t="shared" si="56"/>
        <v>6427850.9299999997</v>
      </c>
      <c r="N376" s="123">
        <f t="shared" si="57"/>
        <v>153.45327850458364</v>
      </c>
      <c r="O376" s="5"/>
      <c r="P376" s="5">
        <f t="shared" si="53"/>
        <v>1</v>
      </c>
      <c r="Q376" s="7">
        <f t="shared" si="54"/>
        <v>41888</v>
      </c>
    </row>
    <row r="377" spans="1:21">
      <c r="A377" s="24" t="s">
        <v>553</v>
      </c>
      <c r="B377" s="37" t="s">
        <v>552</v>
      </c>
      <c r="C377" s="125">
        <v>169888</v>
      </c>
      <c r="D377" s="113">
        <v>10488253178</v>
      </c>
      <c r="E377" s="116">
        <f t="shared" si="59"/>
        <v>61736.280243454508</v>
      </c>
      <c r="F377" s="117">
        <v>6750950269</v>
      </c>
      <c r="G377" s="117">
        <f t="shared" si="60"/>
        <v>39737.652270907893</v>
      </c>
      <c r="H377" s="7"/>
      <c r="I377" s="109">
        <v>4.4096000000000002</v>
      </c>
      <c r="J377" s="117">
        <v>29768990</v>
      </c>
      <c r="K377" s="120">
        <f t="shared" si="58"/>
        <v>175.22714965153514</v>
      </c>
      <c r="L377" s="122">
        <f t="shared" si="55"/>
        <v>67509502.689999998</v>
      </c>
      <c r="M377" s="116">
        <f t="shared" si="56"/>
        <v>37740512.689999998</v>
      </c>
      <c r="N377" s="123">
        <f t="shared" si="57"/>
        <v>222.14937305754378</v>
      </c>
      <c r="O377" s="5"/>
      <c r="P377" s="5">
        <f t="shared" si="53"/>
        <v>1</v>
      </c>
      <c r="Q377" s="7">
        <f t="shared" si="54"/>
        <v>169888</v>
      </c>
    </row>
    <row r="378" spans="1:21">
      <c r="A378" s="24" t="s">
        <v>554</v>
      </c>
      <c r="B378" s="37" t="s">
        <v>552</v>
      </c>
      <c r="C378" s="125">
        <v>586</v>
      </c>
      <c r="D378" s="113">
        <v>75399908</v>
      </c>
      <c r="E378" s="116">
        <f t="shared" si="59"/>
        <v>128668.78498293515</v>
      </c>
      <c r="F378" s="117">
        <v>55822034</v>
      </c>
      <c r="G378" s="117">
        <f t="shared" si="60"/>
        <v>95259.443686006824</v>
      </c>
      <c r="H378" s="7"/>
      <c r="I378" s="109">
        <v>1.75</v>
      </c>
      <c r="J378" s="117">
        <v>97689</v>
      </c>
      <c r="K378" s="120">
        <f t="shared" si="58"/>
        <v>166.70477815699658</v>
      </c>
      <c r="L378" s="122">
        <f t="shared" si="55"/>
        <v>558220.34</v>
      </c>
      <c r="M378" s="116">
        <f t="shared" si="56"/>
        <v>460531.33999999997</v>
      </c>
      <c r="N378" s="123">
        <f t="shared" si="57"/>
        <v>785.88965870307163</v>
      </c>
      <c r="O378" s="5"/>
      <c r="P378" s="5">
        <f t="shared" si="53"/>
        <v>1</v>
      </c>
      <c r="Q378" s="7">
        <f t="shared" si="54"/>
        <v>586</v>
      </c>
      <c r="S378" s="124">
        <f>SUM(D376:D378)</f>
        <v>13706094949</v>
      </c>
      <c r="T378" s="124">
        <f>SUM(F376:F378)</f>
        <v>8685491796</v>
      </c>
      <c r="U378" s="124">
        <f>SUM(J376:J378)</f>
        <v>42226023</v>
      </c>
    </row>
    <row r="379" spans="1:21">
      <c r="A379" s="23" t="s">
        <v>404</v>
      </c>
      <c r="B379" s="35" t="s">
        <v>405</v>
      </c>
      <c r="C379" s="125">
        <v>2503</v>
      </c>
      <c r="D379" s="113">
        <v>172355393</v>
      </c>
      <c r="E379" s="116">
        <f t="shared" si="59"/>
        <v>68859.52576907711</v>
      </c>
      <c r="F379" s="117">
        <v>116257614</v>
      </c>
      <c r="G379" s="117">
        <f t="shared" si="60"/>
        <v>46447.308829404712</v>
      </c>
      <c r="H379" s="9"/>
      <c r="I379" s="109">
        <v>4.9443000000000001</v>
      </c>
      <c r="J379" s="117">
        <v>574813</v>
      </c>
      <c r="K379" s="120">
        <f t="shared" si="58"/>
        <v>229.64962045545346</v>
      </c>
      <c r="L379" s="122">
        <f t="shared" si="55"/>
        <v>1162576.1400000001</v>
      </c>
      <c r="M379" s="116">
        <f t="shared" si="56"/>
        <v>587763.14000000013</v>
      </c>
      <c r="N379" s="123">
        <f t="shared" si="57"/>
        <v>234.82346783859373</v>
      </c>
      <c r="O379" s="5"/>
      <c r="P379" s="5">
        <f t="shared" si="53"/>
        <v>1</v>
      </c>
      <c r="Q379" s="7">
        <f t="shared" si="54"/>
        <v>2503</v>
      </c>
    </row>
    <row r="380" spans="1:21">
      <c r="A380" s="23" t="s">
        <v>406</v>
      </c>
      <c r="B380" s="35" t="s">
        <v>405</v>
      </c>
      <c r="C380" s="125">
        <v>974</v>
      </c>
      <c r="D380" s="113">
        <v>49945722</v>
      </c>
      <c r="E380" s="116">
        <f t="shared" si="59"/>
        <v>51278.975359342912</v>
      </c>
      <c r="F380" s="117">
        <v>33691400</v>
      </c>
      <c r="G380" s="117">
        <f t="shared" si="60"/>
        <v>34590.759753593426</v>
      </c>
      <c r="H380" s="9"/>
      <c r="I380" s="109">
        <v>3.4731999999999998</v>
      </c>
      <c r="J380" s="117">
        <v>117017</v>
      </c>
      <c r="K380" s="120">
        <f t="shared" si="58"/>
        <v>120.14065708418892</v>
      </c>
      <c r="L380" s="122">
        <f t="shared" si="55"/>
        <v>336914</v>
      </c>
      <c r="M380" s="116">
        <f t="shared" si="56"/>
        <v>219897</v>
      </c>
      <c r="N380" s="123">
        <f t="shared" si="57"/>
        <v>225.76694045174537</v>
      </c>
      <c r="O380" s="5"/>
      <c r="P380" s="5">
        <f t="shared" si="53"/>
        <v>1</v>
      </c>
      <c r="Q380" s="7">
        <f t="shared" si="54"/>
        <v>974</v>
      </c>
    </row>
    <row r="381" spans="1:21">
      <c r="A381" s="23" t="s">
        <v>407</v>
      </c>
      <c r="B381" s="35" t="s">
        <v>405</v>
      </c>
      <c r="C381" s="125">
        <v>703</v>
      </c>
      <c r="D381" s="114" t="s">
        <v>564</v>
      </c>
      <c r="E381" s="116"/>
      <c r="F381" s="117"/>
      <c r="G381" s="117"/>
      <c r="H381" s="98" t="s">
        <v>588</v>
      </c>
      <c r="I381" s="109"/>
      <c r="J381" s="117"/>
      <c r="K381" s="120"/>
      <c r="L381" s="122">
        <f t="shared" si="55"/>
        <v>0</v>
      </c>
      <c r="M381" s="116">
        <f t="shared" si="56"/>
        <v>0</v>
      </c>
      <c r="N381" s="123">
        <f t="shared" si="57"/>
        <v>0</v>
      </c>
      <c r="O381" s="5"/>
      <c r="P381" s="5">
        <f t="shared" si="53"/>
        <v>0</v>
      </c>
      <c r="Q381" s="7">
        <f t="shared" si="54"/>
        <v>0</v>
      </c>
    </row>
    <row r="382" spans="1:21">
      <c r="A382" s="23" t="s">
        <v>408</v>
      </c>
      <c r="B382" s="35" t="s">
        <v>405</v>
      </c>
      <c r="C382" s="125">
        <v>769</v>
      </c>
      <c r="D382" s="113">
        <v>22772927</v>
      </c>
      <c r="E382" s="116">
        <f t="shared" si="59"/>
        <v>29613.689206762028</v>
      </c>
      <c r="F382" s="117">
        <v>15181121</v>
      </c>
      <c r="G382" s="117">
        <f t="shared" si="60"/>
        <v>19741.379713914175</v>
      </c>
      <c r="H382" s="7"/>
      <c r="I382" s="110">
        <v>7</v>
      </c>
      <c r="J382" s="117">
        <v>106268</v>
      </c>
      <c r="K382" s="120">
        <f t="shared" ref="K382:K387" si="61">(J382/C382)</f>
        <v>138.18985695708713</v>
      </c>
      <c r="L382" s="122">
        <f t="shared" si="55"/>
        <v>151811.21</v>
      </c>
      <c r="M382" s="116">
        <f t="shared" si="56"/>
        <v>45543.209999999992</v>
      </c>
      <c r="N382" s="123">
        <f t="shared" si="57"/>
        <v>59.223940182054605</v>
      </c>
      <c r="O382" s="5"/>
      <c r="P382" s="5">
        <f t="shared" si="53"/>
        <v>1</v>
      </c>
      <c r="Q382" s="7">
        <f t="shared" si="54"/>
        <v>769</v>
      </c>
    </row>
    <row r="383" spans="1:21">
      <c r="A383" s="23" t="s">
        <v>409</v>
      </c>
      <c r="B383" s="35" t="s">
        <v>405</v>
      </c>
      <c r="C383" s="125">
        <v>7252</v>
      </c>
      <c r="D383" s="113">
        <v>636782987</v>
      </c>
      <c r="E383" s="116">
        <f t="shared" si="59"/>
        <v>87807.913265306124</v>
      </c>
      <c r="F383" s="117">
        <v>509256925</v>
      </c>
      <c r="G383" s="117">
        <f t="shared" si="60"/>
        <v>70222.962630998343</v>
      </c>
      <c r="H383" s="7"/>
      <c r="I383" s="109">
        <v>4.1044</v>
      </c>
      <c r="J383" s="118">
        <v>2090194</v>
      </c>
      <c r="K383" s="120">
        <f t="shared" si="61"/>
        <v>288.22311086596801</v>
      </c>
      <c r="L383" s="122">
        <f t="shared" si="55"/>
        <v>5092569.25</v>
      </c>
      <c r="M383" s="116">
        <f t="shared" si="56"/>
        <v>3002375.25</v>
      </c>
      <c r="N383" s="123">
        <f t="shared" si="57"/>
        <v>414.00651544401546</v>
      </c>
      <c r="O383" s="5"/>
      <c r="P383" s="5">
        <f t="shared" si="53"/>
        <v>1</v>
      </c>
      <c r="Q383" s="7">
        <f t="shared" si="54"/>
        <v>7252</v>
      </c>
      <c r="S383" s="124">
        <f>SUM(D379:D383)</f>
        <v>881857029</v>
      </c>
      <c r="T383" s="124">
        <f>SUM(F379:F383)</f>
        <v>674387060</v>
      </c>
      <c r="U383" s="124">
        <f>SUM(J379:J383)</f>
        <v>2888292</v>
      </c>
    </row>
    <row r="384" spans="1:21">
      <c r="A384" s="23" t="s">
        <v>410</v>
      </c>
      <c r="B384" s="35" t="s">
        <v>411</v>
      </c>
      <c r="C384" s="125">
        <v>693</v>
      </c>
      <c r="D384" s="113">
        <v>39808706</v>
      </c>
      <c r="E384" s="116">
        <f t="shared" si="59"/>
        <v>57444.020202020205</v>
      </c>
      <c r="F384" s="117">
        <v>23747997</v>
      </c>
      <c r="G384" s="117">
        <f t="shared" si="60"/>
        <v>34268.393939393936</v>
      </c>
      <c r="H384" s="7"/>
      <c r="I384" s="109">
        <v>4.2572999999999999</v>
      </c>
      <c r="J384" s="117">
        <v>101102</v>
      </c>
      <c r="K384" s="120">
        <f t="shared" si="61"/>
        <v>145.89033189033188</v>
      </c>
      <c r="L384" s="122">
        <f t="shared" si="55"/>
        <v>237479.97</v>
      </c>
      <c r="M384" s="116">
        <f t="shared" si="56"/>
        <v>136377.97</v>
      </c>
      <c r="N384" s="123">
        <f t="shared" si="57"/>
        <v>196.79360750360752</v>
      </c>
      <c r="O384" s="5"/>
      <c r="P384" s="5">
        <f t="shared" si="53"/>
        <v>1</v>
      </c>
      <c r="Q384" s="7">
        <f t="shared" si="54"/>
        <v>693</v>
      </c>
    </row>
    <row r="385" spans="1:21">
      <c r="A385" s="23" t="s">
        <v>412</v>
      </c>
      <c r="B385" s="35" t="s">
        <v>411</v>
      </c>
      <c r="C385" s="125">
        <v>6850</v>
      </c>
      <c r="D385" s="113">
        <v>325997793</v>
      </c>
      <c r="E385" s="116">
        <f t="shared" si="59"/>
        <v>47590.918686131386</v>
      </c>
      <c r="F385" s="117">
        <v>206973290</v>
      </c>
      <c r="G385" s="117">
        <f t="shared" si="60"/>
        <v>30215.078832116789</v>
      </c>
      <c r="H385" s="7"/>
      <c r="I385" s="109">
        <v>6.7809999999999997</v>
      </c>
      <c r="J385" s="117">
        <v>1403486</v>
      </c>
      <c r="K385" s="120">
        <f t="shared" si="61"/>
        <v>204.88846715328467</v>
      </c>
      <c r="L385" s="122">
        <f t="shared" si="55"/>
        <v>2069732.9000000001</v>
      </c>
      <c r="M385" s="116">
        <f t="shared" si="56"/>
        <v>666246.90000000014</v>
      </c>
      <c r="N385" s="123">
        <f t="shared" si="57"/>
        <v>97.262321167883229</v>
      </c>
      <c r="O385" s="5"/>
      <c r="P385" s="5">
        <f t="shared" si="53"/>
        <v>1</v>
      </c>
      <c r="Q385" s="7">
        <f t="shared" si="54"/>
        <v>6850</v>
      </c>
      <c r="S385" s="124">
        <f>SUM(D384:D385)</f>
        <v>365806499</v>
      </c>
      <c r="T385" s="124">
        <f>SUM(F384:F385)</f>
        <v>230721287</v>
      </c>
      <c r="U385" s="124">
        <f>SUM(J384:J385)</f>
        <v>1504588</v>
      </c>
    </row>
    <row r="386" spans="1:21">
      <c r="A386" s="23" t="s">
        <v>413</v>
      </c>
      <c r="B386" s="35" t="s">
        <v>414</v>
      </c>
      <c r="C386" s="125">
        <v>7069</v>
      </c>
      <c r="D386" s="113">
        <v>401073236</v>
      </c>
      <c r="E386" s="116">
        <f t="shared" si="59"/>
        <v>56736.912717498941</v>
      </c>
      <c r="F386" s="117">
        <v>226390731</v>
      </c>
      <c r="G386" s="117">
        <f t="shared" si="60"/>
        <v>32025.849625123781</v>
      </c>
      <c r="H386" s="9"/>
      <c r="I386" s="109">
        <v>5.7473999999999998</v>
      </c>
      <c r="J386" s="117">
        <v>1301158</v>
      </c>
      <c r="K386" s="120">
        <f t="shared" si="61"/>
        <v>184.06535577875229</v>
      </c>
      <c r="L386" s="122">
        <f t="shared" si="55"/>
        <v>2263907.31</v>
      </c>
      <c r="M386" s="116">
        <f t="shared" si="56"/>
        <v>962749.31</v>
      </c>
      <c r="N386" s="123">
        <f t="shared" si="57"/>
        <v>136.19314047248551</v>
      </c>
      <c r="O386" s="5"/>
      <c r="P386" s="5">
        <f t="shared" si="53"/>
        <v>1</v>
      </c>
      <c r="Q386" s="7">
        <f t="shared" si="54"/>
        <v>7069</v>
      </c>
      <c r="S386" s="124">
        <f>SUM(D386)</f>
        <v>401073236</v>
      </c>
      <c r="T386" s="124">
        <f>SUM(F386)</f>
        <v>226390731</v>
      </c>
      <c r="U386" s="124">
        <f>SUM(J386)</f>
        <v>1301158</v>
      </c>
    </row>
    <row r="387" spans="1:21">
      <c r="A387" s="23" t="s">
        <v>415</v>
      </c>
      <c r="B387" s="35" t="s">
        <v>416</v>
      </c>
      <c r="C387" s="125">
        <v>1853</v>
      </c>
      <c r="D387" s="113">
        <v>68340335</v>
      </c>
      <c r="E387" s="116">
        <f t="shared" si="59"/>
        <v>36880.914732865625</v>
      </c>
      <c r="F387" s="117">
        <v>34113826</v>
      </c>
      <c r="G387" s="117">
        <f t="shared" si="60"/>
        <v>18410.051807879114</v>
      </c>
      <c r="H387" s="9"/>
      <c r="I387" s="109">
        <v>2.2547000000000001</v>
      </c>
      <c r="J387" s="117">
        <v>76916</v>
      </c>
      <c r="K387" s="120">
        <f t="shared" si="61"/>
        <v>41.508904479222885</v>
      </c>
      <c r="L387" s="122">
        <f t="shared" si="55"/>
        <v>341138.26</v>
      </c>
      <c r="M387" s="116">
        <f t="shared" si="56"/>
        <v>264222.26</v>
      </c>
      <c r="N387" s="123">
        <f t="shared" si="57"/>
        <v>142.59161359956826</v>
      </c>
      <c r="O387" s="5"/>
      <c r="P387" s="5">
        <f t="shared" si="53"/>
        <v>1</v>
      </c>
      <c r="Q387" s="7">
        <f t="shared" si="54"/>
        <v>1853</v>
      </c>
    </row>
    <row r="388" spans="1:21">
      <c r="A388" s="23" t="s">
        <v>417</v>
      </c>
      <c r="B388" s="35" t="s">
        <v>416</v>
      </c>
      <c r="C388" s="125">
        <v>252</v>
      </c>
      <c r="D388" s="114" t="s">
        <v>564</v>
      </c>
      <c r="E388" s="116"/>
      <c r="F388" s="117"/>
      <c r="G388" s="117"/>
      <c r="H388" s="98" t="s">
        <v>588</v>
      </c>
      <c r="I388" s="109"/>
      <c r="J388" s="117"/>
      <c r="K388" s="120"/>
      <c r="L388" s="122">
        <f t="shared" si="55"/>
        <v>0</v>
      </c>
      <c r="M388" s="116">
        <f t="shared" si="56"/>
        <v>0</v>
      </c>
      <c r="N388" s="123">
        <f t="shared" si="57"/>
        <v>0</v>
      </c>
      <c r="O388" s="5"/>
      <c r="P388" s="5">
        <f t="shared" si="53"/>
        <v>0</v>
      </c>
      <c r="Q388" s="7">
        <f t="shared" si="54"/>
        <v>0</v>
      </c>
    </row>
    <row r="389" spans="1:21">
      <c r="A389" s="23" t="s">
        <v>418</v>
      </c>
      <c r="B389" s="35" t="s">
        <v>416</v>
      </c>
      <c r="C389" s="125">
        <v>418</v>
      </c>
      <c r="D389" s="113">
        <v>11781878</v>
      </c>
      <c r="E389" s="116">
        <f t="shared" si="59"/>
        <v>28186.311004784689</v>
      </c>
      <c r="F389" s="117">
        <v>6143186</v>
      </c>
      <c r="G389" s="117">
        <f t="shared" si="60"/>
        <v>14696.617224880383</v>
      </c>
      <c r="H389" s="7"/>
      <c r="I389" s="110">
        <v>1.6</v>
      </c>
      <c r="J389" s="117">
        <v>9829</v>
      </c>
      <c r="K389" s="120">
        <f t="shared" ref="K389:K405" si="62">(J389/C389)</f>
        <v>23.514354066985646</v>
      </c>
      <c r="L389" s="122">
        <f t="shared" si="55"/>
        <v>61431.86</v>
      </c>
      <c r="M389" s="116">
        <f t="shared" si="56"/>
        <v>51602.86</v>
      </c>
      <c r="N389" s="123">
        <f t="shared" si="57"/>
        <v>123.45181818181818</v>
      </c>
      <c r="O389" s="5"/>
      <c r="P389" s="5">
        <f t="shared" si="53"/>
        <v>1</v>
      </c>
      <c r="Q389" s="7">
        <f t="shared" si="54"/>
        <v>418</v>
      </c>
      <c r="S389" s="124">
        <f>SUM(D387:D389)</f>
        <v>80122213</v>
      </c>
      <c r="T389" s="124">
        <f>SUM(F387:F389)</f>
        <v>40257012</v>
      </c>
      <c r="U389" s="124">
        <f>SUM(J387:J389)</f>
        <v>86745</v>
      </c>
    </row>
    <row r="390" spans="1:21">
      <c r="A390" s="23" t="s">
        <v>419</v>
      </c>
      <c r="B390" s="35" t="s">
        <v>420</v>
      </c>
      <c r="C390" s="125">
        <v>62622</v>
      </c>
      <c r="D390" s="113">
        <v>5623587950</v>
      </c>
      <c r="E390" s="116">
        <f t="shared" si="59"/>
        <v>89802.113474497775</v>
      </c>
      <c r="F390" s="117">
        <v>3427713432</v>
      </c>
      <c r="G390" s="117">
        <f t="shared" si="60"/>
        <v>54736.569129060073</v>
      </c>
      <c r="H390" s="7"/>
      <c r="I390" s="109">
        <v>6.9219999999999997</v>
      </c>
      <c r="J390" s="117">
        <v>23726632</v>
      </c>
      <c r="K390" s="120">
        <f t="shared" si="62"/>
        <v>378.88652550221968</v>
      </c>
      <c r="L390" s="122">
        <f t="shared" si="55"/>
        <v>34277134.32</v>
      </c>
      <c r="M390" s="116">
        <f t="shared" si="56"/>
        <v>10550502.32</v>
      </c>
      <c r="N390" s="123">
        <f t="shared" si="57"/>
        <v>168.4791657883811</v>
      </c>
      <c r="O390" s="5"/>
      <c r="P390" s="5">
        <f t="shared" ref="P390:P415" si="63">IF(I390&gt;0,1,0)</f>
        <v>1</v>
      </c>
      <c r="Q390" s="7">
        <f t="shared" ref="Q390:Q415" si="64">IF(I390&gt;0,C390,0)</f>
        <v>62622</v>
      </c>
    </row>
    <row r="391" spans="1:21">
      <c r="A391" s="23" t="s">
        <v>421</v>
      </c>
      <c r="B391" s="35" t="s">
        <v>420</v>
      </c>
      <c r="C391" s="125">
        <v>4264</v>
      </c>
      <c r="D391" s="113">
        <v>1515391779</v>
      </c>
      <c r="E391" s="116">
        <f t="shared" si="59"/>
        <v>355392.06824577862</v>
      </c>
      <c r="F391" s="117">
        <v>1287193354</v>
      </c>
      <c r="G391" s="117">
        <f t="shared" si="60"/>
        <v>301874.61397748592</v>
      </c>
      <c r="H391" s="7"/>
      <c r="I391" s="109">
        <v>5.8733000000000004</v>
      </c>
      <c r="J391" s="117">
        <v>7560073</v>
      </c>
      <c r="K391" s="120">
        <f t="shared" si="62"/>
        <v>1773.000234521576</v>
      </c>
      <c r="L391" s="122">
        <f t="shared" si="55"/>
        <v>12871933.540000001</v>
      </c>
      <c r="M391" s="116">
        <f t="shared" si="56"/>
        <v>5311860.540000001</v>
      </c>
      <c r="N391" s="123">
        <f t="shared" si="57"/>
        <v>1245.7459052532836</v>
      </c>
      <c r="O391" s="5"/>
      <c r="P391" s="5">
        <f t="shared" si="63"/>
        <v>1</v>
      </c>
      <c r="Q391" s="7">
        <f t="shared" si="64"/>
        <v>4264</v>
      </c>
    </row>
    <row r="392" spans="1:21">
      <c r="A392" s="23" t="s">
        <v>462</v>
      </c>
      <c r="B392" s="35" t="s">
        <v>420</v>
      </c>
      <c r="C392" s="125">
        <v>19802</v>
      </c>
      <c r="D392" s="113">
        <v>1985123458</v>
      </c>
      <c r="E392" s="116">
        <f t="shared" si="59"/>
        <v>100248.63438036562</v>
      </c>
      <c r="F392" s="117">
        <v>1512154139</v>
      </c>
      <c r="G392" s="117">
        <f t="shared" si="60"/>
        <v>76363.707655792343</v>
      </c>
      <c r="H392" s="7"/>
      <c r="I392" s="109">
        <v>2.9247000000000001</v>
      </c>
      <c r="J392" s="117">
        <v>4422597</v>
      </c>
      <c r="K392" s="120">
        <f t="shared" si="62"/>
        <v>223.34092515907483</v>
      </c>
      <c r="L392" s="122">
        <f t="shared" ref="L392:L415" si="65">(F392*0.01)</f>
        <v>15121541.390000001</v>
      </c>
      <c r="M392" s="116">
        <f t="shared" ref="M392:M415" si="66">(L392-J392)</f>
        <v>10698944.390000001</v>
      </c>
      <c r="N392" s="123">
        <f t="shared" ref="N392:N415" si="67">(M392/C392)</f>
        <v>540.29615139884868</v>
      </c>
      <c r="O392" s="5"/>
      <c r="P392" s="5">
        <f t="shared" si="63"/>
        <v>1</v>
      </c>
      <c r="Q392" s="7">
        <f t="shared" si="64"/>
        <v>19802</v>
      </c>
    </row>
    <row r="393" spans="1:21">
      <c r="A393" s="23" t="s">
        <v>463</v>
      </c>
      <c r="B393" s="35" t="s">
        <v>420</v>
      </c>
      <c r="C393" s="125">
        <v>29467</v>
      </c>
      <c r="D393" s="113">
        <v>2010478610</v>
      </c>
      <c r="E393" s="116">
        <f t="shared" si="59"/>
        <v>68228.140292530632</v>
      </c>
      <c r="F393" s="117">
        <v>1230496588</v>
      </c>
      <c r="G393" s="117">
        <f t="shared" si="60"/>
        <v>41758.461601113107</v>
      </c>
      <c r="H393" s="7"/>
      <c r="I393" s="109">
        <v>7.0953999999999997</v>
      </c>
      <c r="J393" s="117">
        <v>8730865</v>
      </c>
      <c r="K393" s="120">
        <f t="shared" si="62"/>
        <v>296.29297179896156</v>
      </c>
      <c r="L393" s="122">
        <f t="shared" si="65"/>
        <v>12304965.880000001</v>
      </c>
      <c r="M393" s="116">
        <f t="shared" si="66"/>
        <v>3574100.8800000008</v>
      </c>
      <c r="N393" s="123">
        <f t="shared" si="67"/>
        <v>121.29164421216957</v>
      </c>
      <c r="O393" s="5"/>
      <c r="P393" s="5">
        <f t="shared" si="63"/>
        <v>1</v>
      </c>
      <c r="Q393" s="7">
        <f t="shared" si="64"/>
        <v>29467</v>
      </c>
    </row>
    <row r="394" spans="1:21">
      <c r="A394" s="23" t="s">
        <v>422</v>
      </c>
      <c r="B394" s="35" t="s">
        <v>420</v>
      </c>
      <c r="C394" s="125">
        <v>86360</v>
      </c>
      <c r="D394" s="113">
        <v>3129913307</v>
      </c>
      <c r="E394" s="116">
        <f t="shared" si="59"/>
        <v>36242.627454840207</v>
      </c>
      <c r="F394" s="117">
        <v>1661412309</v>
      </c>
      <c r="G394" s="117">
        <f t="shared" si="60"/>
        <v>19238.21571329319</v>
      </c>
      <c r="H394" s="7"/>
      <c r="I394" s="109">
        <v>7.99</v>
      </c>
      <c r="J394" s="117">
        <v>13274684</v>
      </c>
      <c r="K394" s="120">
        <f t="shared" si="62"/>
        <v>153.71333950903195</v>
      </c>
      <c r="L394" s="122">
        <f t="shared" si="65"/>
        <v>16614123.09</v>
      </c>
      <c r="M394" s="116">
        <f t="shared" si="66"/>
        <v>3339439.09</v>
      </c>
      <c r="N394" s="123">
        <f t="shared" si="67"/>
        <v>38.668817623899955</v>
      </c>
      <c r="O394" s="5"/>
      <c r="P394" s="5">
        <f t="shared" si="63"/>
        <v>1</v>
      </c>
      <c r="Q394" s="7">
        <f t="shared" si="64"/>
        <v>86360</v>
      </c>
    </row>
    <row r="395" spans="1:21">
      <c r="A395" s="23" t="s">
        <v>423</v>
      </c>
      <c r="B395" s="35" t="s">
        <v>420</v>
      </c>
      <c r="C395" s="125">
        <v>20748</v>
      </c>
      <c r="D395" s="113">
        <v>1178948864</v>
      </c>
      <c r="E395" s="116">
        <f t="shared" si="59"/>
        <v>56822.289570079047</v>
      </c>
      <c r="F395" s="117">
        <v>651497889</v>
      </c>
      <c r="G395" s="117">
        <f t="shared" si="60"/>
        <v>31400.515182186235</v>
      </c>
      <c r="H395" s="7"/>
      <c r="I395" s="109">
        <v>6.7</v>
      </c>
      <c r="J395" s="117">
        <v>4365036</v>
      </c>
      <c r="K395" s="120">
        <f t="shared" si="62"/>
        <v>210.38345864661653</v>
      </c>
      <c r="L395" s="122">
        <f t="shared" si="65"/>
        <v>6514978.8900000006</v>
      </c>
      <c r="M395" s="116">
        <f t="shared" si="66"/>
        <v>2149942.8900000006</v>
      </c>
      <c r="N395" s="123">
        <f t="shared" si="67"/>
        <v>103.62169317524584</v>
      </c>
      <c r="O395" s="5"/>
      <c r="P395" s="5">
        <f t="shared" si="63"/>
        <v>1</v>
      </c>
      <c r="Q395" s="7">
        <f t="shared" si="64"/>
        <v>20748</v>
      </c>
    </row>
    <row r="396" spans="1:21">
      <c r="A396" s="23" t="s">
        <v>424</v>
      </c>
      <c r="B396" s="35" t="s">
        <v>420</v>
      </c>
      <c r="C396" s="125">
        <v>11661</v>
      </c>
      <c r="D396" s="113">
        <v>675918689</v>
      </c>
      <c r="E396" s="116">
        <f t="shared" si="59"/>
        <v>57964.041591630223</v>
      </c>
      <c r="F396" s="117">
        <v>486873412</v>
      </c>
      <c r="G396" s="117">
        <f t="shared" si="60"/>
        <v>41752.286424834921</v>
      </c>
      <c r="H396" s="7"/>
      <c r="I396" s="109">
        <v>7.1303999999999998</v>
      </c>
      <c r="J396" s="117">
        <v>3471602</v>
      </c>
      <c r="K396" s="120">
        <f t="shared" si="62"/>
        <v>297.71048795129065</v>
      </c>
      <c r="L396" s="122">
        <f t="shared" si="65"/>
        <v>4868734.12</v>
      </c>
      <c r="M396" s="116">
        <f t="shared" si="66"/>
        <v>1397132.12</v>
      </c>
      <c r="N396" s="123">
        <f t="shared" si="67"/>
        <v>119.81237629705858</v>
      </c>
      <c r="O396" s="5"/>
      <c r="P396" s="5">
        <f t="shared" si="63"/>
        <v>1</v>
      </c>
      <c r="Q396" s="7">
        <f t="shared" si="64"/>
        <v>11661</v>
      </c>
    </row>
    <row r="397" spans="1:21">
      <c r="A397" s="23" t="s">
        <v>425</v>
      </c>
      <c r="B397" s="35" t="s">
        <v>420</v>
      </c>
      <c r="C397" s="125">
        <v>2616</v>
      </c>
      <c r="D397" s="113">
        <v>130059357</v>
      </c>
      <c r="E397" s="116">
        <f t="shared" si="59"/>
        <v>49716.879587155963</v>
      </c>
      <c r="F397" s="117">
        <v>74158434</v>
      </c>
      <c r="G397" s="117">
        <f t="shared" si="60"/>
        <v>28348.025229357798</v>
      </c>
      <c r="H397" s="7"/>
      <c r="I397" s="109">
        <v>6.3685</v>
      </c>
      <c r="J397" s="117">
        <v>472278</v>
      </c>
      <c r="K397" s="120">
        <f t="shared" si="62"/>
        <v>180.53440366972478</v>
      </c>
      <c r="L397" s="122">
        <f t="shared" si="65"/>
        <v>741584.34</v>
      </c>
      <c r="M397" s="116">
        <f t="shared" si="66"/>
        <v>269306.33999999997</v>
      </c>
      <c r="N397" s="123">
        <f t="shared" si="67"/>
        <v>102.94584862385319</v>
      </c>
      <c r="O397" s="5"/>
      <c r="P397" s="5">
        <f t="shared" si="63"/>
        <v>1</v>
      </c>
      <c r="Q397" s="7">
        <f t="shared" si="64"/>
        <v>2616</v>
      </c>
    </row>
    <row r="398" spans="1:21">
      <c r="A398" s="23" t="s">
        <v>426</v>
      </c>
      <c r="B398" s="35" t="s">
        <v>420</v>
      </c>
      <c r="C398" s="125">
        <v>23834</v>
      </c>
      <c r="D398" s="113">
        <v>3868338907</v>
      </c>
      <c r="E398" s="116">
        <f t="shared" si="59"/>
        <v>162303.38621297307</v>
      </c>
      <c r="F398" s="117">
        <v>2722721625</v>
      </c>
      <c r="G398" s="117">
        <f t="shared" si="60"/>
        <v>114236.87274481832</v>
      </c>
      <c r="H398" s="7"/>
      <c r="I398" s="109">
        <v>3.5764</v>
      </c>
      <c r="J398" s="117">
        <v>9737542</v>
      </c>
      <c r="K398" s="120">
        <f t="shared" si="62"/>
        <v>408.55676764286312</v>
      </c>
      <c r="L398" s="122">
        <f t="shared" si="65"/>
        <v>27227216.25</v>
      </c>
      <c r="M398" s="116">
        <f t="shared" si="66"/>
        <v>17489674.25</v>
      </c>
      <c r="N398" s="123">
        <f t="shared" si="67"/>
        <v>733.81195980532016</v>
      </c>
      <c r="O398" s="5"/>
      <c r="P398" s="5">
        <f t="shared" si="63"/>
        <v>1</v>
      </c>
      <c r="Q398" s="7">
        <f t="shared" si="64"/>
        <v>23834</v>
      </c>
    </row>
    <row r="399" spans="1:21">
      <c r="A399" s="23" t="s">
        <v>427</v>
      </c>
      <c r="B399" s="35" t="s">
        <v>420</v>
      </c>
      <c r="C399" s="125">
        <v>1855</v>
      </c>
      <c r="D399" s="113">
        <v>154691904</v>
      </c>
      <c r="E399" s="116">
        <f t="shared" si="59"/>
        <v>83391.861994609164</v>
      </c>
      <c r="F399" s="117">
        <v>85727357</v>
      </c>
      <c r="G399" s="117">
        <f t="shared" si="60"/>
        <v>46214.208625336927</v>
      </c>
      <c r="H399" s="7"/>
      <c r="I399" s="109">
        <v>5.8131000000000004</v>
      </c>
      <c r="J399" s="117">
        <v>498342</v>
      </c>
      <c r="K399" s="120">
        <f t="shared" si="62"/>
        <v>268.6479784366577</v>
      </c>
      <c r="L399" s="122">
        <f t="shared" si="65"/>
        <v>857273.57000000007</v>
      </c>
      <c r="M399" s="116">
        <f t="shared" si="66"/>
        <v>358931.57000000007</v>
      </c>
      <c r="N399" s="123">
        <f t="shared" si="67"/>
        <v>193.49410781671162</v>
      </c>
      <c r="O399" s="5"/>
      <c r="P399" s="5">
        <f t="shared" si="63"/>
        <v>1</v>
      </c>
      <c r="Q399" s="7">
        <f t="shared" si="64"/>
        <v>1855</v>
      </c>
    </row>
    <row r="400" spans="1:21">
      <c r="A400" s="23" t="s">
        <v>428</v>
      </c>
      <c r="B400" s="35" t="s">
        <v>420</v>
      </c>
      <c r="C400" s="125">
        <v>11483</v>
      </c>
      <c r="D400" s="113">
        <v>768846064</v>
      </c>
      <c r="E400" s="116">
        <f t="shared" si="59"/>
        <v>66955.156666376381</v>
      </c>
      <c r="F400" s="117">
        <v>526566470</v>
      </c>
      <c r="G400" s="117">
        <f t="shared" si="60"/>
        <v>45856.176086388572</v>
      </c>
      <c r="H400" s="7"/>
      <c r="I400" s="109">
        <v>7.49</v>
      </c>
      <c r="J400" s="117">
        <v>3943983</v>
      </c>
      <c r="K400" s="120">
        <f t="shared" si="62"/>
        <v>343.46277105286077</v>
      </c>
      <c r="L400" s="122">
        <f t="shared" si="65"/>
        <v>5265664.7</v>
      </c>
      <c r="M400" s="116">
        <f t="shared" si="66"/>
        <v>1321681.7000000002</v>
      </c>
      <c r="N400" s="123">
        <f t="shared" si="67"/>
        <v>115.09898981102501</v>
      </c>
      <c r="O400" s="5"/>
      <c r="P400" s="5">
        <f t="shared" si="63"/>
        <v>1</v>
      </c>
      <c r="Q400" s="7">
        <f t="shared" si="64"/>
        <v>11483</v>
      </c>
    </row>
    <row r="401" spans="1:21">
      <c r="A401" s="23" t="s">
        <v>429</v>
      </c>
      <c r="B401" s="35" t="s">
        <v>420</v>
      </c>
      <c r="C401" s="125">
        <v>39455</v>
      </c>
      <c r="D401" s="113">
        <v>3760216205</v>
      </c>
      <c r="E401" s="116">
        <f t="shared" si="59"/>
        <v>95303.921049296667</v>
      </c>
      <c r="F401" s="117">
        <v>2653058680</v>
      </c>
      <c r="G401" s="117">
        <f t="shared" si="60"/>
        <v>67242.64808009124</v>
      </c>
      <c r="H401" s="7"/>
      <c r="I401" s="109">
        <v>4.1181000000000001</v>
      </c>
      <c r="J401" s="117">
        <v>10925561</v>
      </c>
      <c r="K401" s="120">
        <f t="shared" si="62"/>
        <v>276.91195032315295</v>
      </c>
      <c r="L401" s="122">
        <f t="shared" si="65"/>
        <v>26530586.800000001</v>
      </c>
      <c r="M401" s="116">
        <f t="shared" si="66"/>
        <v>15605025.800000001</v>
      </c>
      <c r="N401" s="123">
        <f t="shared" si="67"/>
        <v>395.51453047775948</v>
      </c>
      <c r="O401" s="5"/>
      <c r="P401" s="5">
        <f t="shared" si="63"/>
        <v>1</v>
      </c>
      <c r="Q401" s="7">
        <f t="shared" si="64"/>
        <v>39455</v>
      </c>
    </row>
    <row r="402" spans="1:21">
      <c r="A402" s="23" t="s">
        <v>430</v>
      </c>
      <c r="B402" s="35" t="s">
        <v>420</v>
      </c>
      <c r="C402" s="125">
        <v>1688</v>
      </c>
      <c r="D402" s="113">
        <v>99625791</v>
      </c>
      <c r="E402" s="116">
        <f t="shared" si="59"/>
        <v>59020.01836492891</v>
      </c>
      <c r="F402" s="117">
        <v>43999065</v>
      </c>
      <c r="G402" s="117">
        <f t="shared" si="60"/>
        <v>26065.796800947868</v>
      </c>
      <c r="H402" s="7"/>
      <c r="I402" s="109">
        <v>5.8</v>
      </c>
      <c r="J402" s="117">
        <v>255195</v>
      </c>
      <c r="K402" s="120">
        <f t="shared" si="62"/>
        <v>151.1818720379147</v>
      </c>
      <c r="L402" s="122">
        <f t="shared" si="65"/>
        <v>439990.65</v>
      </c>
      <c r="M402" s="116">
        <f t="shared" si="66"/>
        <v>184795.65000000002</v>
      </c>
      <c r="N402" s="123">
        <f t="shared" si="67"/>
        <v>109.47609597156399</v>
      </c>
      <c r="O402" s="5"/>
      <c r="P402" s="5">
        <f t="shared" si="63"/>
        <v>1</v>
      </c>
      <c r="Q402" s="7">
        <f t="shared" si="64"/>
        <v>1688</v>
      </c>
    </row>
    <row r="403" spans="1:21">
      <c r="A403" s="23" t="s">
        <v>431</v>
      </c>
      <c r="B403" s="35" t="s">
        <v>420</v>
      </c>
      <c r="C403" s="125">
        <v>3039</v>
      </c>
      <c r="D403" s="113">
        <v>887779955</v>
      </c>
      <c r="E403" s="116">
        <f t="shared" si="59"/>
        <v>292128.9749917736</v>
      </c>
      <c r="F403" s="117">
        <v>695415121</v>
      </c>
      <c r="G403" s="117">
        <f t="shared" si="60"/>
        <v>228830.24712076341</v>
      </c>
      <c r="H403" s="7"/>
      <c r="I403" s="109">
        <v>6.1536</v>
      </c>
      <c r="J403" s="117">
        <v>4279306</v>
      </c>
      <c r="K403" s="120">
        <f t="shared" si="62"/>
        <v>1408.1296479104969</v>
      </c>
      <c r="L403" s="122">
        <f t="shared" si="65"/>
        <v>6954151.21</v>
      </c>
      <c r="M403" s="116">
        <f t="shared" si="66"/>
        <v>2674845.21</v>
      </c>
      <c r="N403" s="123">
        <f t="shared" si="67"/>
        <v>880.17282329713726</v>
      </c>
      <c r="O403" s="5"/>
      <c r="P403" s="5">
        <f t="shared" si="63"/>
        <v>1</v>
      </c>
      <c r="Q403" s="7">
        <f t="shared" si="64"/>
        <v>3039</v>
      </c>
    </row>
    <row r="404" spans="1:21">
      <c r="A404" s="23" t="s">
        <v>432</v>
      </c>
      <c r="B404" s="35" t="s">
        <v>420</v>
      </c>
      <c r="C404" s="125">
        <v>57467</v>
      </c>
      <c r="D404" s="113">
        <v>3723224170</v>
      </c>
      <c r="E404" s="116">
        <f t="shared" si="59"/>
        <v>64788.907894965807</v>
      </c>
      <c r="F404" s="117">
        <v>2446761822</v>
      </c>
      <c r="G404" s="117">
        <f t="shared" si="60"/>
        <v>42576.814902465761</v>
      </c>
      <c r="H404" s="7"/>
      <c r="I404" s="109">
        <v>4.4588999999999999</v>
      </c>
      <c r="J404" s="117">
        <v>10909866</v>
      </c>
      <c r="K404" s="120">
        <f t="shared" si="62"/>
        <v>189.84575495501767</v>
      </c>
      <c r="L404" s="122">
        <f t="shared" si="65"/>
        <v>24467618.219999999</v>
      </c>
      <c r="M404" s="116">
        <f t="shared" si="66"/>
        <v>13557752.219999999</v>
      </c>
      <c r="N404" s="123">
        <f t="shared" si="67"/>
        <v>235.92239406963995</v>
      </c>
      <c r="O404" s="5"/>
      <c r="P404" s="5">
        <f t="shared" si="63"/>
        <v>1</v>
      </c>
      <c r="Q404" s="7">
        <f t="shared" si="64"/>
        <v>57467</v>
      </c>
    </row>
    <row r="405" spans="1:21">
      <c r="A405" s="23" t="s">
        <v>433</v>
      </c>
      <c r="B405" s="35" t="s">
        <v>420</v>
      </c>
      <c r="C405" s="125">
        <v>12373</v>
      </c>
      <c r="D405" s="113">
        <v>659911929</v>
      </c>
      <c r="E405" s="116">
        <f t="shared" si="59"/>
        <v>53334.836256364666</v>
      </c>
      <c r="F405" s="117">
        <v>442812655</v>
      </c>
      <c r="G405" s="117">
        <f t="shared" si="60"/>
        <v>35788.624828255073</v>
      </c>
      <c r="H405" s="9"/>
      <c r="I405" s="109">
        <v>7.4</v>
      </c>
      <c r="J405" s="117">
        <v>3276814</v>
      </c>
      <c r="K405" s="120">
        <f t="shared" si="62"/>
        <v>264.83585225895092</v>
      </c>
      <c r="L405" s="122">
        <f t="shared" si="65"/>
        <v>4428126.55</v>
      </c>
      <c r="M405" s="116">
        <f t="shared" si="66"/>
        <v>1151312.5499999998</v>
      </c>
      <c r="N405" s="123">
        <f t="shared" si="67"/>
        <v>93.05039602359976</v>
      </c>
      <c r="O405" s="5"/>
      <c r="P405" s="5">
        <f t="shared" si="63"/>
        <v>1</v>
      </c>
      <c r="Q405" s="7">
        <f t="shared" si="64"/>
        <v>12373</v>
      </c>
      <c r="S405" s="124">
        <f>SUM(D390:D405)</f>
        <v>30172056939</v>
      </c>
      <c r="T405" s="124">
        <f>SUM(F390:F405)</f>
        <v>19948562352</v>
      </c>
      <c r="U405" s="124">
        <f>SUM(J390:J405)</f>
        <v>109850376</v>
      </c>
    </row>
    <row r="406" spans="1:21">
      <c r="A406" s="23" t="s">
        <v>435</v>
      </c>
      <c r="B406" s="35" t="s">
        <v>434</v>
      </c>
      <c r="C406" s="125">
        <v>450</v>
      </c>
      <c r="D406" s="114" t="s">
        <v>564</v>
      </c>
      <c r="E406" s="116"/>
      <c r="F406" s="117"/>
      <c r="G406" s="117"/>
      <c r="H406" s="98" t="s">
        <v>588</v>
      </c>
      <c r="I406" s="109"/>
      <c r="J406" s="117"/>
      <c r="K406" s="120"/>
      <c r="L406" s="122">
        <f t="shared" si="65"/>
        <v>0</v>
      </c>
      <c r="M406" s="116">
        <f t="shared" si="66"/>
        <v>0</v>
      </c>
      <c r="N406" s="123">
        <f t="shared" si="67"/>
        <v>0</v>
      </c>
      <c r="O406" s="5"/>
      <c r="P406" s="5">
        <f t="shared" si="63"/>
        <v>0</v>
      </c>
      <c r="Q406" s="7">
        <f t="shared" si="64"/>
        <v>0</v>
      </c>
    </row>
    <row r="407" spans="1:21">
      <c r="A407" s="24" t="s">
        <v>555</v>
      </c>
      <c r="B407" s="35" t="s">
        <v>434</v>
      </c>
      <c r="C407" s="125">
        <v>280</v>
      </c>
      <c r="D407" s="113">
        <v>41712981</v>
      </c>
      <c r="E407" s="116">
        <f t="shared" ref="E407:E414" si="68">(D407/C407)</f>
        <v>148974.93214285714</v>
      </c>
      <c r="F407" s="117">
        <v>27864154</v>
      </c>
      <c r="G407" s="117">
        <f t="shared" ref="G407:G414" si="69">(F407/C407)</f>
        <v>99514.835714285713</v>
      </c>
      <c r="H407" s="9"/>
      <c r="I407" s="109">
        <v>5.1567999999999996</v>
      </c>
      <c r="J407" s="117">
        <v>143690</v>
      </c>
      <c r="K407" s="120">
        <f t="shared" ref="K407:K414" si="70">(J407/C407)</f>
        <v>513.17857142857144</v>
      </c>
      <c r="L407" s="122">
        <f t="shared" si="65"/>
        <v>278641.53999999998</v>
      </c>
      <c r="M407" s="116">
        <f t="shared" si="66"/>
        <v>134951.53999999998</v>
      </c>
      <c r="N407" s="123">
        <f t="shared" si="67"/>
        <v>481.96978571428565</v>
      </c>
      <c r="O407" s="5"/>
      <c r="P407" s="5">
        <f t="shared" si="63"/>
        <v>1</v>
      </c>
      <c r="Q407" s="7">
        <f t="shared" si="64"/>
        <v>280</v>
      </c>
      <c r="S407" s="124">
        <f>SUM(D406:D407)</f>
        <v>41712981</v>
      </c>
      <c r="T407" s="124">
        <f>SUM(F406:F407)</f>
        <v>27864154</v>
      </c>
      <c r="U407" s="124">
        <f>SUM(J406:J407)</f>
        <v>143690</v>
      </c>
    </row>
    <row r="408" spans="1:21">
      <c r="A408" s="23" t="s">
        <v>436</v>
      </c>
      <c r="B408" s="35" t="s">
        <v>437</v>
      </c>
      <c r="C408" s="125">
        <v>5387</v>
      </c>
      <c r="D408" s="113">
        <v>309250706</v>
      </c>
      <c r="E408" s="116">
        <f t="shared" si="68"/>
        <v>57406.850937441988</v>
      </c>
      <c r="F408" s="117">
        <v>206515713</v>
      </c>
      <c r="G408" s="117">
        <f t="shared" si="69"/>
        <v>38335.940783367369</v>
      </c>
      <c r="H408" s="9"/>
      <c r="I408" s="110">
        <v>4.5</v>
      </c>
      <c r="J408" s="117">
        <v>929321</v>
      </c>
      <c r="K408" s="120">
        <f t="shared" si="70"/>
        <v>172.51178763690365</v>
      </c>
      <c r="L408" s="122">
        <f t="shared" si="65"/>
        <v>2065157.1300000001</v>
      </c>
      <c r="M408" s="116">
        <f t="shared" si="66"/>
        <v>1135836.1300000001</v>
      </c>
      <c r="N408" s="123">
        <f t="shared" si="67"/>
        <v>210.84762019677004</v>
      </c>
      <c r="O408" s="5"/>
      <c r="P408" s="5">
        <f t="shared" si="63"/>
        <v>1</v>
      </c>
      <c r="Q408" s="7">
        <f t="shared" si="64"/>
        <v>5387</v>
      </c>
    </row>
    <row r="409" spans="1:21">
      <c r="A409" s="23" t="s">
        <v>438</v>
      </c>
      <c r="B409" s="35" t="s">
        <v>437</v>
      </c>
      <c r="C409" s="125">
        <v>2488</v>
      </c>
      <c r="D409" s="113">
        <v>232890683</v>
      </c>
      <c r="E409" s="116">
        <f t="shared" si="68"/>
        <v>93605.579983922828</v>
      </c>
      <c r="F409" s="117">
        <v>182036258</v>
      </c>
      <c r="G409" s="117">
        <f t="shared" si="69"/>
        <v>73165.698553054666</v>
      </c>
      <c r="H409" s="9"/>
      <c r="I409" s="110">
        <v>4.7302</v>
      </c>
      <c r="J409" s="117">
        <v>861068</v>
      </c>
      <c r="K409" s="120">
        <f t="shared" si="70"/>
        <v>346.08842443729901</v>
      </c>
      <c r="L409" s="122">
        <f t="shared" si="65"/>
        <v>1820362.58</v>
      </c>
      <c r="M409" s="116">
        <f t="shared" si="66"/>
        <v>959294.58000000007</v>
      </c>
      <c r="N409" s="123">
        <f t="shared" si="67"/>
        <v>385.56856109324764</v>
      </c>
      <c r="O409" s="5"/>
      <c r="P409" s="5">
        <f t="shared" si="63"/>
        <v>1</v>
      </c>
      <c r="Q409" s="7">
        <f t="shared" si="64"/>
        <v>2488</v>
      </c>
    </row>
    <row r="410" spans="1:21">
      <c r="A410" s="23" t="s">
        <v>439</v>
      </c>
      <c r="B410" s="35" t="s">
        <v>437</v>
      </c>
      <c r="C410" s="125">
        <v>613</v>
      </c>
      <c r="D410" s="114" t="s">
        <v>564</v>
      </c>
      <c r="E410" s="116"/>
      <c r="F410" s="117"/>
      <c r="G410" s="117"/>
      <c r="H410" s="98" t="s">
        <v>588</v>
      </c>
      <c r="I410" s="109"/>
      <c r="J410" s="117"/>
      <c r="K410" s="120"/>
      <c r="L410" s="122">
        <f t="shared" si="65"/>
        <v>0</v>
      </c>
      <c r="M410" s="116">
        <f t="shared" si="66"/>
        <v>0</v>
      </c>
      <c r="N410" s="123">
        <f t="shared" si="67"/>
        <v>0</v>
      </c>
      <c r="O410" s="5"/>
      <c r="P410" s="5">
        <f t="shared" si="63"/>
        <v>0</v>
      </c>
      <c r="Q410" s="7">
        <f t="shared" si="64"/>
        <v>0</v>
      </c>
      <c r="S410" s="124">
        <f>SUM(D408:D410)</f>
        <v>542141389</v>
      </c>
      <c r="T410" s="124">
        <f>SUM(F408:F410)</f>
        <v>388551971</v>
      </c>
      <c r="U410" s="124">
        <f>SUM(J408:J410)</f>
        <v>1790389</v>
      </c>
    </row>
    <row r="411" spans="1:21">
      <c r="A411" s="23" t="s">
        <v>440</v>
      </c>
      <c r="B411" s="35" t="s">
        <v>441</v>
      </c>
      <c r="C411" s="125">
        <v>270</v>
      </c>
      <c r="D411" s="114" t="s">
        <v>564</v>
      </c>
      <c r="E411" s="116"/>
      <c r="F411" s="117"/>
      <c r="G411" s="117"/>
      <c r="H411" s="98" t="s">
        <v>588</v>
      </c>
      <c r="I411" s="109"/>
      <c r="J411" s="117"/>
      <c r="K411" s="120"/>
      <c r="L411" s="122">
        <f t="shared" si="65"/>
        <v>0</v>
      </c>
      <c r="M411" s="116">
        <f t="shared" si="66"/>
        <v>0</v>
      </c>
      <c r="N411" s="123">
        <f t="shared" si="67"/>
        <v>0</v>
      </c>
      <c r="O411" s="5"/>
      <c r="P411" s="5">
        <f t="shared" si="63"/>
        <v>0</v>
      </c>
      <c r="Q411" s="7">
        <f t="shared" si="64"/>
        <v>0</v>
      </c>
    </row>
    <row r="412" spans="1:21">
      <c r="A412" s="23" t="s">
        <v>442</v>
      </c>
      <c r="B412" s="35" t="s">
        <v>441</v>
      </c>
      <c r="C412" s="125">
        <v>3504</v>
      </c>
      <c r="D412" s="113">
        <v>204774041</v>
      </c>
      <c r="E412" s="116">
        <f t="shared" si="68"/>
        <v>58440.080194063929</v>
      </c>
      <c r="F412" s="117">
        <v>140593684</v>
      </c>
      <c r="G412" s="117">
        <f t="shared" si="69"/>
        <v>40123.768264840182</v>
      </c>
      <c r="H412" s="9"/>
      <c r="I412" s="110">
        <v>7</v>
      </c>
      <c r="J412" s="117">
        <v>984156</v>
      </c>
      <c r="K412" s="120">
        <f t="shared" si="70"/>
        <v>280.86643835616439</v>
      </c>
      <c r="L412" s="122">
        <f t="shared" si="65"/>
        <v>1405936.84</v>
      </c>
      <c r="M412" s="116">
        <f t="shared" si="66"/>
        <v>421780.84000000008</v>
      </c>
      <c r="N412" s="123">
        <f t="shared" si="67"/>
        <v>120.37124429223746</v>
      </c>
      <c r="O412" s="5"/>
      <c r="P412" s="5">
        <f t="shared" si="63"/>
        <v>1</v>
      </c>
      <c r="Q412" s="7">
        <f t="shared" si="64"/>
        <v>3504</v>
      </c>
    </row>
    <row r="413" spans="1:21">
      <c r="A413" s="23" t="s">
        <v>443</v>
      </c>
      <c r="B413" s="35" t="s">
        <v>441</v>
      </c>
      <c r="C413" s="125">
        <v>248</v>
      </c>
      <c r="D413" s="114" t="s">
        <v>564</v>
      </c>
      <c r="E413" s="116"/>
      <c r="F413" s="117"/>
      <c r="G413" s="117"/>
      <c r="H413" s="98" t="s">
        <v>588</v>
      </c>
      <c r="I413" s="109"/>
      <c r="J413" s="117"/>
      <c r="K413" s="120"/>
      <c r="L413" s="122">
        <f t="shared" si="65"/>
        <v>0</v>
      </c>
      <c r="M413" s="116">
        <f t="shared" si="66"/>
        <v>0</v>
      </c>
      <c r="N413" s="123">
        <f t="shared" si="67"/>
        <v>0</v>
      </c>
      <c r="O413" s="5"/>
      <c r="P413" s="5">
        <f t="shared" si="63"/>
        <v>0</v>
      </c>
      <c r="Q413" s="7">
        <f t="shared" si="64"/>
        <v>0</v>
      </c>
    </row>
    <row r="414" spans="1:21">
      <c r="A414" s="23" t="s">
        <v>444</v>
      </c>
      <c r="B414" s="35" t="s">
        <v>441</v>
      </c>
      <c r="C414" s="125">
        <v>680</v>
      </c>
      <c r="D414" s="113">
        <v>30529658</v>
      </c>
      <c r="E414" s="116">
        <f t="shared" si="68"/>
        <v>44896.555882352943</v>
      </c>
      <c r="F414" s="117">
        <v>15535362</v>
      </c>
      <c r="G414" s="117">
        <f t="shared" si="69"/>
        <v>22846.120588235295</v>
      </c>
      <c r="H414" s="9"/>
      <c r="I414" s="110">
        <v>2.4140999999999999</v>
      </c>
      <c r="J414" s="117">
        <v>37504</v>
      </c>
      <c r="K414" s="120">
        <f t="shared" si="70"/>
        <v>55.152941176470591</v>
      </c>
      <c r="L414" s="122">
        <f t="shared" si="65"/>
        <v>155353.62</v>
      </c>
      <c r="M414" s="116">
        <f t="shared" si="66"/>
        <v>117849.62</v>
      </c>
      <c r="N414" s="123">
        <f t="shared" si="67"/>
        <v>173.30826470588235</v>
      </c>
      <c r="O414" s="5"/>
      <c r="P414" s="5">
        <f t="shared" si="63"/>
        <v>1</v>
      </c>
      <c r="Q414" s="7">
        <f t="shared" si="64"/>
        <v>680</v>
      </c>
    </row>
    <row r="415" spans="1:21">
      <c r="A415" s="23" t="s">
        <v>445</v>
      </c>
      <c r="B415" s="35" t="s">
        <v>441</v>
      </c>
      <c r="C415" s="125">
        <v>377</v>
      </c>
      <c r="D415" s="114" t="s">
        <v>564</v>
      </c>
      <c r="E415" s="116"/>
      <c r="F415" s="117"/>
      <c r="G415" s="117"/>
      <c r="H415" s="98" t="s">
        <v>588</v>
      </c>
      <c r="I415" s="109"/>
      <c r="J415" s="117"/>
      <c r="K415" s="120"/>
      <c r="L415" s="122">
        <f t="shared" si="65"/>
        <v>0</v>
      </c>
      <c r="M415" s="116">
        <f t="shared" si="66"/>
        <v>0</v>
      </c>
      <c r="N415" s="123">
        <f t="shared" si="67"/>
        <v>0</v>
      </c>
      <c r="O415" s="5"/>
      <c r="P415" s="5">
        <f t="shared" si="63"/>
        <v>0</v>
      </c>
      <c r="Q415" s="7">
        <f t="shared" si="64"/>
        <v>0</v>
      </c>
      <c r="S415" s="124">
        <f>SUM(D411:D415)</f>
        <v>235303699</v>
      </c>
      <c r="T415" s="124">
        <f>SUM(F411:F415)</f>
        <v>156129046</v>
      </c>
      <c r="U415" s="124">
        <f>SUM(J411:J415)</f>
        <v>1021660</v>
      </c>
    </row>
    <row r="416" spans="1:21">
      <c r="A416" s="70" t="s">
        <v>583</v>
      </c>
      <c r="B416" s="71"/>
      <c r="C416" s="72">
        <f>SUM(C6:C415)</f>
        <v>9825285</v>
      </c>
      <c r="D416" s="73">
        <f>SUM(D6:D415)</f>
        <v>1059671520333</v>
      </c>
      <c r="E416" s="74">
        <f>(D416/Q416)</f>
        <v>118388.86714025721</v>
      </c>
      <c r="F416" s="75">
        <f>SUM(F6:F415)</f>
        <v>740439219686</v>
      </c>
      <c r="G416" s="76">
        <f>(F416/Q416)</f>
        <v>82723.522075307483</v>
      </c>
      <c r="H416" s="71"/>
      <c r="I416" s="112"/>
      <c r="J416" s="78">
        <f>SUM(J6:J415)</f>
        <v>3571448360</v>
      </c>
      <c r="K416" s="79">
        <f>(J416/Q416)</f>
        <v>399.01018124697652</v>
      </c>
      <c r="L416" s="79">
        <f>SUM(L6:L415)</f>
        <v>7404392196.8600025</v>
      </c>
      <c r="M416" s="78">
        <f>SUM(M6:M415)</f>
        <v>3832943836.8600006</v>
      </c>
      <c r="N416" s="80">
        <f>(M416/Q416)</f>
        <v>428.22503950609843</v>
      </c>
      <c r="O416" s="20"/>
      <c r="P416" s="20">
        <f>SUM(P6:P415)</f>
        <v>387</v>
      </c>
      <c r="Q416" s="21">
        <f>SUM(Q6:Q415)</f>
        <v>8950770</v>
      </c>
      <c r="S416" s="124"/>
      <c r="T416" s="124"/>
      <c r="U416" s="124"/>
    </row>
    <row r="417" spans="1:21">
      <c r="A417" s="27" t="s">
        <v>453</v>
      </c>
      <c r="B417" s="13"/>
      <c r="C417" s="60">
        <f>(P416)</f>
        <v>387</v>
      </c>
      <c r="D417" s="128"/>
      <c r="E417" s="16"/>
      <c r="F417" s="18"/>
      <c r="G417" s="16"/>
      <c r="H417" s="16"/>
      <c r="I417" s="14"/>
      <c r="J417" s="128"/>
      <c r="K417" s="17"/>
      <c r="L417" s="2"/>
      <c r="M417" s="2"/>
      <c r="N417" s="63"/>
      <c r="O417" s="2"/>
      <c r="P417" s="2"/>
      <c r="Q417" s="2"/>
      <c r="S417" s="124"/>
      <c r="T417" s="124"/>
      <c r="U417" s="124"/>
    </row>
    <row r="418" spans="1:21">
      <c r="A418" s="22"/>
      <c r="B418" s="16"/>
      <c r="C418" s="16"/>
      <c r="D418" s="106"/>
      <c r="E418" s="16"/>
      <c r="F418" s="16"/>
      <c r="G418" s="16"/>
      <c r="H418" s="107"/>
      <c r="I418" s="17"/>
      <c r="J418" s="17"/>
      <c r="K418" s="17"/>
      <c r="L418" s="2"/>
      <c r="M418" s="2"/>
      <c r="N418" s="63"/>
      <c r="O418" s="2"/>
      <c r="P418" s="2"/>
      <c r="Q418" s="2"/>
      <c r="S418" s="124"/>
      <c r="T418" s="124"/>
      <c r="U418" s="124"/>
    </row>
    <row r="419" spans="1:21">
      <c r="A419" s="204" t="s">
        <v>498</v>
      </c>
      <c r="B419" s="192"/>
      <c r="C419" s="192"/>
      <c r="D419" s="192"/>
      <c r="E419" s="192"/>
      <c r="F419" s="192"/>
      <c r="G419" s="192"/>
      <c r="H419" s="192"/>
      <c r="I419" s="192"/>
      <c r="J419" s="192"/>
      <c r="K419" s="192"/>
      <c r="L419" s="192"/>
      <c r="M419" s="192"/>
      <c r="N419" s="193"/>
      <c r="O419" s="1"/>
      <c r="P419" s="1"/>
      <c r="Q419" s="1"/>
    </row>
    <row r="420" spans="1:21">
      <c r="A420" s="191" t="s">
        <v>565</v>
      </c>
      <c r="B420" s="192"/>
      <c r="C420" s="192"/>
      <c r="D420" s="192"/>
      <c r="E420" s="192"/>
      <c r="F420" s="192"/>
      <c r="G420" s="192"/>
      <c r="H420" s="192"/>
      <c r="I420" s="192"/>
      <c r="J420" s="192"/>
      <c r="K420" s="192"/>
      <c r="L420" s="192"/>
      <c r="M420" s="192"/>
      <c r="N420" s="193"/>
      <c r="O420" s="1"/>
      <c r="P420" s="1"/>
      <c r="Q420" s="1"/>
    </row>
    <row r="421" spans="1:21" ht="25.5" customHeight="1">
      <c r="A421" s="191" t="s">
        <v>577</v>
      </c>
      <c r="B421" s="192"/>
      <c r="C421" s="192"/>
      <c r="D421" s="192"/>
      <c r="E421" s="192"/>
      <c r="F421" s="192"/>
      <c r="G421" s="192"/>
      <c r="H421" s="192"/>
      <c r="I421" s="192"/>
      <c r="J421" s="192"/>
      <c r="K421" s="192"/>
      <c r="L421" s="192"/>
      <c r="M421" s="192"/>
      <c r="N421" s="193"/>
      <c r="O421" s="1"/>
      <c r="P421" s="1"/>
      <c r="Q421" s="1"/>
    </row>
    <row r="422" spans="1:21" ht="25.5" customHeight="1">
      <c r="A422" s="191" t="s">
        <v>578</v>
      </c>
      <c r="B422" s="192"/>
      <c r="C422" s="192"/>
      <c r="D422" s="192"/>
      <c r="E422" s="192"/>
      <c r="F422" s="192"/>
      <c r="G422" s="192"/>
      <c r="H422" s="192"/>
      <c r="I422" s="192"/>
      <c r="J422" s="192"/>
      <c r="K422" s="192"/>
      <c r="L422" s="192"/>
      <c r="M422" s="192"/>
      <c r="N422" s="193"/>
      <c r="O422" s="1"/>
      <c r="P422" s="1"/>
      <c r="Q422" s="1"/>
    </row>
    <row r="423" spans="1:21">
      <c r="A423" s="194"/>
      <c r="B423" s="192"/>
      <c r="C423" s="192"/>
      <c r="D423" s="192"/>
      <c r="E423" s="192"/>
      <c r="F423" s="192"/>
      <c r="G423" s="192"/>
      <c r="H423" s="192"/>
      <c r="I423" s="192"/>
      <c r="J423" s="192"/>
      <c r="K423" s="192"/>
      <c r="L423" s="192"/>
      <c r="M423" s="192"/>
      <c r="N423" s="193"/>
      <c r="O423" s="1"/>
      <c r="P423" s="1"/>
      <c r="Q423" s="1"/>
    </row>
    <row r="424" spans="1:21">
      <c r="A424" s="191" t="s">
        <v>579</v>
      </c>
      <c r="B424" s="192"/>
      <c r="C424" s="192"/>
      <c r="D424" s="192"/>
      <c r="E424" s="192"/>
      <c r="F424" s="192"/>
      <c r="G424" s="192"/>
      <c r="H424" s="192"/>
      <c r="I424" s="192"/>
      <c r="J424" s="192"/>
      <c r="K424" s="192"/>
      <c r="L424" s="192"/>
      <c r="M424" s="192"/>
      <c r="N424" s="193"/>
      <c r="O424" s="1"/>
      <c r="P424" s="1"/>
      <c r="Q424" s="1"/>
    </row>
    <row r="425" spans="1:21">
      <c r="A425" s="191" t="s">
        <v>600</v>
      </c>
      <c r="B425" s="192"/>
      <c r="C425" s="192"/>
      <c r="D425" s="192"/>
      <c r="E425" s="192"/>
      <c r="F425" s="192"/>
      <c r="G425" s="192"/>
      <c r="H425" s="192"/>
      <c r="I425" s="192"/>
      <c r="J425" s="192"/>
      <c r="K425" s="192"/>
      <c r="L425" s="192"/>
      <c r="M425" s="192"/>
      <c r="N425" s="193"/>
      <c r="O425" s="1"/>
      <c r="P425" s="1"/>
      <c r="Q425" s="1"/>
    </row>
    <row r="426" spans="1:21" ht="15" customHeight="1" thickBot="1">
      <c r="A426" s="188" t="s">
        <v>593</v>
      </c>
      <c r="B426" s="189"/>
      <c r="C426" s="189"/>
      <c r="D426" s="189"/>
      <c r="E426" s="189"/>
      <c r="F426" s="189"/>
      <c r="G426" s="189"/>
      <c r="H426" s="189"/>
      <c r="I426" s="189"/>
      <c r="J426" s="189"/>
      <c r="K426" s="189"/>
      <c r="L426" s="189"/>
      <c r="M426" s="189"/>
      <c r="N426" s="190"/>
      <c r="O426" s="1"/>
      <c r="P426" s="1"/>
      <c r="Q426" s="1"/>
    </row>
    <row r="427" spans="1:21">
      <c r="A427" s="4"/>
      <c r="B427" s="1"/>
      <c r="C427" s="1"/>
      <c r="D427" s="1"/>
      <c r="E427" s="1"/>
      <c r="F427" s="1"/>
      <c r="G427" s="1"/>
      <c r="H427" s="1"/>
      <c r="I427" s="3"/>
      <c r="J427" s="3"/>
      <c r="K427" s="3"/>
      <c r="L427" s="1"/>
      <c r="M427" s="1"/>
      <c r="N427" s="1"/>
      <c r="O427" s="1"/>
      <c r="P427" s="1"/>
      <c r="Q427" s="1"/>
    </row>
    <row r="428" spans="1:21">
      <c r="A428" s="4"/>
      <c r="B428" s="1"/>
      <c r="C428" s="1"/>
      <c r="D428" s="1"/>
      <c r="E428" s="1"/>
      <c r="F428" s="1"/>
      <c r="G428" s="1"/>
      <c r="H428" s="1"/>
      <c r="I428" s="3"/>
      <c r="J428" s="3"/>
      <c r="K428" s="3"/>
      <c r="L428" s="1"/>
      <c r="M428" s="1"/>
      <c r="N428" s="1"/>
      <c r="O428" s="1"/>
      <c r="P428" s="1"/>
      <c r="Q428" s="1"/>
    </row>
    <row r="429" spans="1:21">
      <c r="A429" s="2"/>
      <c r="B429" s="2"/>
      <c r="C429" s="2"/>
      <c r="D429" s="2"/>
      <c r="E429" s="2"/>
      <c r="F429" s="2"/>
      <c r="G429" s="2"/>
      <c r="H429" s="2"/>
      <c r="I429" s="2"/>
      <c r="J429" s="2"/>
      <c r="K429" s="2"/>
      <c r="L429" s="2"/>
      <c r="M429" s="2"/>
      <c r="N429" s="2"/>
      <c r="O429" s="2"/>
      <c r="P429" s="2"/>
      <c r="Q429" s="2"/>
    </row>
  </sheetData>
  <mergeCells count="12">
    <mergeCell ref="A426:N426"/>
    <mergeCell ref="A1:N1"/>
    <mergeCell ref="D2:G2"/>
    <mergeCell ref="L2:N2"/>
    <mergeCell ref="S2:U2"/>
    <mergeCell ref="A419:N419"/>
    <mergeCell ref="A420:N420"/>
    <mergeCell ref="A421:N421"/>
    <mergeCell ref="A422:N422"/>
    <mergeCell ref="A423:N423"/>
    <mergeCell ref="A424:N424"/>
    <mergeCell ref="A425:N425"/>
  </mergeCells>
  <printOptions horizontalCentered="1"/>
  <pageMargins left="0.5" right="0.5" top="0.5" bottom="0.5" header="0.3" footer="0.3"/>
  <pageSetup paperSize="5" scale="82" fitToHeight="0" orientation="landscape" r:id="rId1"/>
  <headerFooter>
    <oddFooter>&amp;L&amp;11Office of Economic and Demographic Research&amp;C&amp;11Page &amp;P of &amp;N&amp;R&amp;11January 11, 2016</oddFooter>
  </headerFooter>
  <rowBreaks count="1" manualBreakCount="1">
    <brk id="417" max="13" man="1"/>
  </rowBreaks>
  <ignoredErrors>
    <ignoredError sqref="E416 K416"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429"/>
  <sheetViews>
    <sheetView workbookViewId="0">
      <selection sqref="A1:N1"/>
    </sheetView>
  </sheetViews>
  <sheetFormatPr defaultRowHeight="12.75"/>
  <cols>
    <col min="1" max="1" width="25.7109375" customWidth="1"/>
    <col min="2" max="2" width="16.7109375" customWidth="1"/>
    <col min="3" max="3" width="11.7109375" customWidth="1"/>
    <col min="4" max="4" width="17.7109375" customWidth="1"/>
    <col min="5" max="5" width="13.7109375" customWidth="1"/>
    <col min="6" max="6" width="17.7109375" customWidth="1"/>
    <col min="7" max="7" width="13.7109375" customWidth="1"/>
    <col min="8" max="8" width="1.7109375" customWidth="1"/>
    <col min="9" max="9" width="10.7109375" customWidth="1"/>
    <col min="10" max="10" width="15.7109375" customWidth="1"/>
    <col min="11" max="11" width="13.7109375" customWidth="1"/>
    <col min="12" max="13" width="15.7109375" customWidth="1"/>
    <col min="14" max="14" width="14.7109375" customWidth="1"/>
    <col min="15" max="15" width="2.7109375" customWidth="1"/>
    <col min="16" max="16" width="4.5703125" customWidth="1"/>
    <col min="17" max="17" width="10.7109375" customWidth="1"/>
    <col min="19" max="21" width="16.7109375" customWidth="1"/>
  </cols>
  <sheetData>
    <row r="1" spans="1:21" ht="26.25">
      <c r="A1" s="197" t="s">
        <v>585</v>
      </c>
      <c r="B1" s="198"/>
      <c r="C1" s="198"/>
      <c r="D1" s="198"/>
      <c r="E1" s="198"/>
      <c r="F1" s="198"/>
      <c r="G1" s="198"/>
      <c r="H1" s="198"/>
      <c r="I1" s="198"/>
      <c r="J1" s="198"/>
      <c r="K1" s="198"/>
      <c r="L1" s="198"/>
      <c r="M1" s="198"/>
      <c r="N1" s="199"/>
    </row>
    <row r="2" spans="1:21" ht="18">
      <c r="A2" s="41"/>
      <c r="B2" s="42"/>
      <c r="C2" s="43"/>
      <c r="D2" s="200" t="s">
        <v>562</v>
      </c>
      <c r="E2" s="201"/>
      <c r="F2" s="201"/>
      <c r="G2" s="202"/>
      <c r="H2" s="44"/>
      <c r="I2" s="61" t="s">
        <v>456</v>
      </c>
      <c r="J2" s="45"/>
      <c r="K2" s="68"/>
      <c r="L2" s="201" t="s">
        <v>503</v>
      </c>
      <c r="M2" s="201"/>
      <c r="N2" s="203"/>
      <c r="S2" s="200" t="s">
        <v>591</v>
      </c>
      <c r="T2" s="201"/>
      <c r="U2" s="202"/>
    </row>
    <row r="3" spans="1:21" ht="12.75" customHeight="1">
      <c r="A3" s="46"/>
      <c r="B3" s="47"/>
      <c r="C3" s="48">
        <v>2013</v>
      </c>
      <c r="D3" s="49"/>
      <c r="E3" s="50" t="s">
        <v>1</v>
      </c>
      <c r="F3" s="51"/>
      <c r="G3" s="50" t="s">
        <v>1</v>
      </c>
      <c r="H3" s="52"/>
      <c r="I3" s="53"/>
      <c r="J3" s="54"/>
      <c r="K3" s="67" t="s">
        <v>1</v>
      </c>
      <c r="L3" s="66" t="s">
        <v>455</v>
      </c>
      <c r="M3" s="50" t="s">
        <v>455</v>
      </c>
      <c r="N3" s="59" t="s">
        <v>1</v>
      </c>
      <c r="S3" s="51"/>
      <c r="T3" s="51"/>
      <c r="U3" s="54"/>
    </row>
    <row r="4" spans="1:21">
      <c r="A4" s="46"/>
      <c r="B4" s="47"/>
      <c r="C4" s="48" t="s">
        <v>3</v>
      </c>
      <c r="D4" s="49" t="s">
        <v>563</v>
      </c>
      <c r="E4" s="56" t="s">
        <v>563</v>
      </c>
      <c r="F4" s="56" t="s">
        <v>2</v>
      </c>
      <c r="G4" s="56" t="s">
        <v>2</v>
      </c>
      <c r="H4" s="52"/>
      <c r="I4" s="57" t="s">
        <v>4</v>
      </c>
      <c r="J4" s="58" t="s">
        <v>455</v>
      </c>
      <c r="K4" s="69" t="s">
        <v>455</v>
      </c>
      <c r="L4" s="67" t="s">
        <v>454</v>
      </c>
      <c r="M4" s="82" t="s">
        <v>495</v>
      </c>
      <c r="N4" s="55" t="s">
        <v>495</v>
      </c>
      <c r="S4" s="48" t="s">
        <v>563</v>
      </c>
      <c r="T4" s="56" t="s">
        <v>2</v>
      </c>
      <c r="U4" s="58" t="s">
        <v>455</v>
      </c>
    </row>
    <row r="5" spans="1:21">
      <c r="A5" s="85" t="s">
        <v>5</v>
      </c>
      <c r="B5" s="86" t="s">
        <v>6</v>
      </c>
      <c r="C5" s="87" t="s">
        <v>458</v>
      </c>
      <c r="D5" s="88" t="s">
        <v>7</v>
      </c>
      <c r="E5" s="89" t="s">
        <v>7</v>
      </c>
      <c r="F5" s="90" t="s">
        <v>7</v>
      </c>
      <c r="G5" s="89" t="s">
        <v>7</v>
      </c>
      <c r="H5" s="91"/>
      <c r="I5" s="92" t="s">
        <v>587</v>
      </c>
      <c r="J5" s="90" t="s">
        <v>454</v>
      </c>
      <c r="K5" s="90" t="s">
        <v>454</v>
      </c>
      <c r="L5" s="93" t="s">
        <v>502</v>
      </c>
      <c r="M5" s="94" t="s">
        <v>496</v>
      </c>
      <c r="N5" s="95" t="s">
        <v>496</v>
      </c>
      <c r="O5" s="19"/>
      <c r="P5" s="19"/>
      <c r="Q5" s="19"/>
      <c r="S5" s="87" t="s">
        <v>7</v>
      </c>
      <c r="T5" s="90" t="s">
        <v>7</v>
      </c>
      <c r="U5" s="90" t="s">
        <v>454</v>
      </c>
    </row>
    <row r="6" spans="1:21">
      <c r="A6" s="22" t="s">
        <v>8</v>
      </c>
      <c r="B6" s="33" t="s">
        <v>8</v>
      </c>
      <c r="C6" s="34">
        <v>9300</v>
      </c>
      <c r="D6" s="18">
        <v>1080608716</v>
      </c>
      <c r="E6" s="38">
        <f t="shared" ref="E6:E14" si="0">(D6/C6)</f>
        <v>116194.48559139785</v>
      </c>
      <c r="F6" s="18">
        <v>687072886</v>
      </c>
      <c r="G6" s="39">
        <f t="shared" ref="G6:G14" si="1">(F6/C6)</f>
        <v>73878.80494623656</v>
      </c>
      <c r="H6" s="15"/>
      <c r="I6" s="108">
        <v>5.5</v>
      </c>
      <c r="J6" s="40">
        <v>3778901</v>
      </c>
      <c r="K6" s="84">
        <f t="shared" ref="K6:K14" si="2">(J6/C6)</f>
        <v>406.33344086021503</v>
      </c>
      <c r="L6" s="65">
        <f>(F6*0.01)</f>
        <v>6870728.8600000003</v>
      </c>
      <c r="M6" s="83">
        <f>(L6-J6)</f>
        <v>3091827.8600000003</v>
      </c>
      <c r="N6" s="62">
        <f t="shared" ref="N6:N69" si="3">(M6/C6)</f>
        <v>332.45460860215059</v>
      </c>
      <c r="O6" s="5"/>
      <c r="P6" s="5">
        <f t="shared" ref="P6:P69" si="4">IF(I6&gt;0,1,0)</f>
        <v>1</v>
      </c>
      <c r="Q6" s="7">
        <f t="shared" ref="Q6:Q69" si="5">IF(I6&gt;0,C6,0)</f>
        <v>9300</v>
      </c>
    </row>
    <row r="7" spans="1:21">
      <c r="A7" s="23" t="s">
        <v>9</v>
      </c>
      <c r="B7" s="35" t="s">
        <v>8</v>
      </c>
      <c r="C7" s="36">
        <v>1123</v>
      </c>
      <c r="D7" s="113">
        <v>65810742</v>
      </c>
      <c r="E7" s="116">
        <f t="shared" si="0"/>
        <v>58602.619768477292</v>
      </c>
      <c r="F7" s="113">
        <v>34404061</v>
      </c>
      <c r="G7" s="117">
        <f t="shared" si="1"/>
        <v>30635.851291184328</v>
      </c>
      <c r="H7" s="7"/>
      <c r="I7" s="109">
        <v>5.25</v>
      </c>
      <c r="J7" s="117">
        <v>180621</v>
      </c>
      <c r="K7" s="120">
        <f t="shared" si="2"/>
        <v>160.8379341050757</v>
      </c>
      <c r="L7" s="122">
        <f>(F7*0.01)</f>
        <v>344040.61</v>
      </c>
      <c r="M7" s="116">
        <f>(L7-J7)</f>
        <v>163419.60999999999</v>
      </c>
      <c r="N7" s="123">
        <f t="shared" si="3"/>
        <v>145.52057880676759</v>
      </c>
      <c r="O7" s="5"/>
      <c r="P7" s="5">
        <f t="shared" si="4"/>
        <v>1</v>
      </c>
      <c r="Q7" s="7">
        <f t="shared" si="5"/>
        <v>1123</v>
      </c>
    </row>
    <row r="8" spans="1:21">
      <c r="A8" s="23" t="s">
        <v>10</v>
      </c>
      <c r="B8" s="35" t="s">
        <v>8</v>
      </c>
      <c r="C8" s="36">
        <v>124391</v>
      </c>
      <c r="D8" s="113">
        <v>13070237791</v>
      </c>
      <c r="E8" s="116">
        <f t="shared" si="0"/>
        <v>105073.82198872909</v>
      </c>
      <c r="F8" s="113">
        <v>5174659235</v>
      </c>
      <c r="G8" s="117">
        <f t="shared" si="1"/>
        <v>41599.948830703186</v>
      </c>
      <c r="H8" s="7"/>
      <c r="I8" s="109">
        <v>4.5780000000000003</v>
      </c>
      <c r="J8" s="117">
        <v>23689590</v>
      </c>
      <c r="K8" s="120">
        <f t="shared" si="2"/>
        <v>190.4445659251875</v>
      </c>
      <c r="L8" s="122">
        <f t="shared" ref="L8:L71" si="6">(F8*0.01)</f>
        <v>51746592.350000001</v>
      </c>
      <c r="M8" s="116">
        <f t="shared" ref="M8:M71" si="7">(L8-J8)</f>
        <v>28057002.350000001</v>
      </c>
      <c r="N8" s="123">
        <f t="shared" si="3"/>
        <v>225.55492238184436</v>
      </c>
      <c r="O8" s="5"/>
      <c r="P8" s="5">
        <f t="shared" si="4"/>
        <v>1</v>
      </c>
      <c r="Q8" s="7">
        <f t="shared" si="5"/>
        <v>124391</v>
      </c>
    </row>
    <row r="9" spans="1:21">
      <c r="A9" s="23" t="s">
        <v>11</v>
      </c>
      <c r="B9" s="35" t="s">
        <v>8</v>
      </c>
      <c r="C9" s="36">
        <v>1389</v>
      </c>
      <c r="D9" s="113">
        <v>98419540</v>
      </c>
      <c r="E9" s="116">
        <f t="shared" si="0"/>
        <v>70856.400287976969</v>
      </c>
      <c r="F9" s="117">
        <v>44611259</v>
      </c>
      <c r="G9" s="117">
        <f t="shared" si="1"/>
        <v>32117.537077033838</v>
      </c>
      <c r="H9" s="7"/>
      <c r="I9" s="109">
        <v>5.3193999999999999</v>
      </c>
      <c r="J9" s="117">
        <v>237305</v>
      </c>
      <c r="K9" s="120">
        <f t="shared" si="2"/>
        <v>170.84593232541397</v>
      </c>
      <c r="L9" s="122">
        <f t="shared" si="6"/>
        <v>446112.59</v>
      </c>
      <c r="M9" s="116">
        <f t="shared" si="7"/>
        <v>208807.59000000003</v>
      </c>
      <c r="N9" s="123">
        <f t="shared" si="3"/>
        <v>150.32943844492442</v>
      </c>
      <c r="O9" s="5"/>
      <c r="P9" s="5">
        <f t="shared" si="4"/>
        <v>1</v>
      </c>
      <c r="Q9" s="7">
        <f t="shared" si="5"/>
        <v>1389</v>
      </c>
    </row>
    <row r="10" spans="1:21">
      <c r="A10" s="23" t="s">
        <v>12</v>
      </c>
      <c r="B10" s="35" t="s">
        <v>8</v>
      </c>
      <c r="C10" s="36">
        <v>5440</v>
      </c>
      <c r="D10" s="113">
        <v>358749511</v>
      </c>
      <c r="E10" s="116">
        <f t="shared" si="0"/>
        <v>65946.601286764708</v>
      </c>
      <c r="F10" s="117">
        <v>216169186</v>
      </c>
      <c r="G10" s="117">
        <f t="shared" si="1"/>
        <v>39736.982720588232</v>
      </c>
      <c r="H10" s="7"/>
      <c r="I10" s="109">
        <v>6.15</v>
      </c>
      <c r="J10" s="117">
        <v>1329440</v>
      </c>
      <c r="K10" s="120">
        <f t="shared" si="2"/>
        <v>244.38235294117646</v>
      </c>
      <c r="L10" s="122">
        <f t="shared" si="6"/>
        <v>2161691.86</v>
      </c>
      <c r="M10" s="116">
        <f t="shared" si="7"/>
        <v>832251.85999999987</v>
      </c>
      <c r="N10" s="123">
        <f t="shared" si="3"/>
        <v>152.98747426470587</v>
      </c>
      <c r="O10" s="5"/>
      <c r="P10" s="5">
        <f t="shared" si="4"/>
        <v>1</v>
      </c>
      <c r="Q10" s="7">
        <f t="shared" si="5"/>
        <v>5440</v>
      </c>
    </row>
    <row r="11" spans="1:21">
      <c r="A11" s="23" t="s">
        <v>559</v>
      </c>
      <c r="B11" s="35" t="s">
        <v>8</v>
      </c>
      <c r="C11" s="36">
        <v>360</v>
      </c>
      <c r="D11" s="113">
        <v>20451233</v>
      </c>
      <c r="E11" s="116">
        <f t="shared" si="0"/>
        <v>56808.980555555558</v>
      </c>
      <c r="F11" s="117">
        <v>10064128</v>
      </c>
      <c r="G11" s="117">
        <f t="shared" si="1"/>
        <v>27955.911111111112</v>
      </c>
      <c r="H11" s="7"/>
      <c r="I11" s="109">
        <v>2.6396000000000002</v>
      </c>
      <c r="J11" s="117">
        <v>26565</v>
      </c>
      <c r="K11" s="120">
        <f t="shared" si="2"/>
        <v>73.791666666666671</v>
      </c>
      <c r="L11" s="122">
        <f t="shared" si="6"/>
        <v>100641.28</v>
      </c>
      <c r="M11" s="116">
        <f t="shared" si="7"/>
        <v>74076.28</v>
      </c>
      <c r="N11" s="123">
        <f t="shared" si="3"/>
        <v>205.76744444444444</v>
      </c>
      <c r="O11" s="5"/>
      <c r="P11" s="5">
        <f t="shared" si="4"/>
        <v>1</v>
      </c>
      <c r="Q11" s="7">
        <f t="shared" si="5"/>
        <v>360</v>
      </c>
    </row>
    <row r="12" spans="1:21">
      <c r="A12" s="23" t="s">
        <v>13</v>
      </c>
      <c r="B12" s="35" t="s">
        <v>8</v>
      </c>
      <c r="C12" s="36">
        <v>600</v>
      </c>
      <c r="D12" s="113">
        <v>45851402</v>
      </c>
      <c r="E12" s="116">
        <f t="shared" si="0"/>
        <v>76419.003333333327</v>
      </c>
      <c r="F12" s="117">
        <v>27727090</v>
      </c>
      <c r="G12" s="117">
        <f t="shared" si="1"/>
        <v>46211.816666666666</v>
      </c>
      <c r="H12" s="7"/>
      <c r="I12" s="109">
        <v>8</v>
      </c>
      <c r="J12" s="117">
        <v>221817</v>
      </c>
      <c r="K12" s="120">
        <f t="shared" si="2"/>
        <v>369.69499999999999</v>
      </c>
      <c r="L12" s="122">
        <f t="shared" si="6"/>
        <v>277270.90000000002</v>
      </c>
      <c r="M12" s="116">
        <f t="shared" si="7"/>
        <v>55453.900000000023</v>
      </c>
      <c r="N12" s="123">
        <f t="shared" si="3"/>
        <v>92.423166666666702</v>
      </c>
      <c r="O12" s="5"/>
      <c r="P12" s="5">
        <f t="shared" si="4"/>
        <v>1</v>
      </c>
      <c r="Q12" s="7">
        <f t="shared" si="5"/>
        <v>600</v>
      </c>
    </row>
    <row r="13" spans="1:21">
      <c r="A13" s="23" t="s">
        <v>14</v>
      </c>
      <c r="B13" s="35" t="s">
        <v>8</v>
      </c>
      <c r="C13" s="36">
        <v>5148</v>
      </c>
      <c r="D13" s="113">
        <v>557641633</v>
      </c>
      <c r="E13" s="116">
        <f t="shared" si="0"/>
        <v>108321.99553224554</v>
      </c>
      <c r="F13" s="117">
        <v>336502613</v>
      </c>
      <c r="G13" s="117">
        <f t="shared" si="1"/>
        <v>65365.697940947939</v>
      </c>
      <c r="H13" s="7"/>
      <c r="I13" s="109">
        <v>3.8083999999999998</v>
      </c>
      <c r="J13" s="117">
        <v>1281537</v>
      </c>
      <c r="K13" s="120">
        <f t="shared" si="2"/>
        <v>248.9388111888112</v>
      </c>
      <c r="L13" s="122">
        <f t="shared" si="6"/>
        <v>3365026.13</v>
      </c>
      <c r="M13" s="116">
        <f t="shared" si="7"/>
        <v>2083489.13</v>
      </c>
      <c r="N13" s="123">
        <f t="shared" si="3"/>
        <v>404.71816822066819</v>
      </c>
      <c r="O13" s="5"/>
      <c r="P13" s="5">
        <f t="shared" si="4"/>
        <v>1</v>
      </c>
      <c r="Q13" s="7">
        <f t="shared" si="5"/>
        <v>5148</v>
      </c>
    </row>
    <row r="14" spans="1:21">
      <c r="A14" s="23" t="s">
        <v>15</v>
      </c>
      <c r="B14" s="35" t="s">
        <v>8</v>
      </c>
      <c r="C14" s="36">
        <v>969</v>
      </c>
      <c r="D14" s="113">
        <v>46665148</v>
      </c>
      <c r="E14" s="116">
        <f t="shared" si="0"/>
        <v>48158.04747162023</v>
      </c>
      <c r="F14" s="117">
        <v>25742701</v>
      </c>
      <c r="G14" s="117">
        <f t="shared" si="1"/>
        <v>26566.254901960783</v>
      </c>
      <c r="H14" s="7"/>
      <c r="I14" s="109">
        <v>7.3226000000000004</v>
      </c>
      <c r="J14" s="117">
        <v>188504</v>
      </c>
      <c r="K14" s="120">
        <f t="shared" si="2"/>
        <v>194.53457172342621</v>
      </c>
      <c r="L14" s="122">
        <f t="shared" si="6"/>
        <v>257427.01</v>
      </c>
      <c r="M14" s="116">
        <f t="shared" si="7"/>
        <v>68923.010000000009</v>
      </c>
      <c r="N14" s="123">
        <f t="shared" si="3"/>
        <v>71.127977296181641</v>
      </c>
      <c r="O14" s="5"/>
      <c r="P14" s="5">
        <f t="shared" si="4"/>
        <v>1</v>
      </c>
      <c r="Q14" s="7">
        <f t="shared" si="5"/>
        <v>969</v>
      </c>
      <c r="S14" s="124">
        <f>SUM(D6:D14)</f>
        <v>15344435716</v>
      </c>
      <c r="T14" s="124">
        <f>SUM(F6:F14)</f>
        <v>6556953159</v>
      </c>
      <c r="U14" s="124">
        <f>SUM(J6:J14)</f>
        <v>30934280</v>
      </c>
    </row>
    <row r="15" spans="1:21">
      <c r="A15" s="24" t="s">
        <v>544</v>
      </c>
      <c r="B15" s="35" t="s">
        <v>16</v>
      </c>
      <c r="C15" s="36">
        <v>430</v>
      </c>
      <c r="D15" s="114" t="s">
        <v>564</v>
      </c>
      <c r="E15" s="116"/>
      <c r="F15" s="117"/>
      <c r="G15" s="117"/>
      <c r="H15" s="98" t="s">
        <v>588</v>
      </c>
      <c r="I15" s="109"/>
      <c r="J15" s="117"/>
      <c r="K15" s="120"/>
      <c r="L15" s="122">
        <f t="shared" si="6"/>
        <v>0</v>
      </c>
      <c r="M15" s="116">
        <f t="shared" si="7"/>
        <v>0</v>
      </c>
      <c r="N15" s="123">
        <f t="shared" si="3"/>
        <v>0</v>
      </c>
      <c r="O15" s="5"/>
      <c r="P15" s="5">
        <f t="shared" si="4"/>
        <v>0</v>
      </c>
      <c r="Q15" s="7">
        <f t="shared" si="5"/>
        <v>0</v>
      </c>
    </row>
    <row r="16" spans="1:21">
      <c r="A16" s="23" t="s">
        <v>17</v>
      </c>
      <c r="B16" s="35" t="s">
        <v>16</v>
      </c>
      <c r="C16" s="36">
        <v>6363</v>
      </c>
      <c r="D16" s="113">
        <v>365412344</v>
      </c>
      <c r="E16" s="116">
        <f>(D16/C16)</f>
        <v>57427.682539682537</v>
      </c>
      <c r="F16" s="117">
        <v>216472333</v>
      </c>
      <c r="G16" s="117">
        <f>(F16/C16)</f>
        <v>34020.482948294826</v>
      </c>
      <c r="H16" s="7"/>
      <c r="I16" s="109">
        <v>3.6</v>
      </c>
      <c r="J16" s="117">
        <v>779300</v>
      </c>
      <c r="K16" s="120">
        <f>(J16/C16)</f>
        <v>122.47367593902247</v>
      </c>
      <c r="L16" s="122">
        <f t="shared" si="6"/>
        <v>2164723.33</v>
      </c>
      <c r="M16" s="116">
        <f t="shared" si="7"/>
        <v>1385423.33</v>
      </c>
      <c r="N16" s="123">
        <f t="shared" si="3"/>
        <v>217.73115354392584</v>
      </c>
      <c r="O16" s="5"/>
      <c r="P16" s="5">
        <f t="shared" si="4"/>
        <v>1</v>
      </c>
      <c r="Q16" s="7">
        <f t="shared" si="5"/>
        <v>6363</v>
      </c>
      <c r="S16" s="124">
        <f>SUM(D15:D16)</f>
        <v>365412344</v>
      </c>
      <c r="T16" s="124">
        <f>SUM(F15:F16)</f>
        <v>216472333</v>
      </c>
      <c r="U16" s="124">
        <f>SUM(J15:J16)</f>
        <v>779300</v>
      </c>
    </row>
    <row r="17" spans="1:21">
      <c r="A17" s="23" t="s">
        <v>18</v>
      </c>
      <c r="B17" s="35" t="s">
        <v>19</v>
      </c>
      <c r="C17" s="36">
        <v>14332</v>
      </c>
      <c r="D17" s="113">
        <v>722288888</v>
      </c>
      <c r="E17" s="116">
        <f>(D17/C17)</f>
        <v>50396.936087077869</v>
      </c>
      <c r="F17" s="117">
        <v>474686491</v>
      </c>
      <c r="G17" s="117">
        <f>(F17/C17)</f>
        <v>33120.74316215462</v>
      </c>
      <c r="H17" s="8"/>
      <c r="I17" s="109">
        <v>2.25</v>
      </c>
      <c r="J17" s="117">
        <v>1068045</v>
      </c>
      <c r="K17" s="120">
        <f>(J17/C17)</f>
        <v>74.521699692994702</v>
      </c>
      <c r="L17" s="122">
        <f t="shared" si="6"/>
        <v>4746864.91</v>
      </c>
      <c r="M17" s="116">
        <f t="shared" si="7"/>
        <v>3678819.91</v>
      </c>
      <c r="N17" s="123">
        <f t="shared" si="3"/>
        <v>256.68573192855149</v>
      </c>
      <c r="O17" s="5"/>
      <c r="P17" s="5">
        <f t="shared" si="4"/>
        <v>1</v>
      </c>
      <c r="Q17" s="7">
        <f t="shared" si="5"/>
        <v>14332</v>
      </c>
    </row>
    <row r="18" spans="1:21">
      <c r="A18" s="23" t="s">
        <v>21</v>
      </c>
      <c r="B18" s="35" t="s">
        <v>19</v>
      </c>
      <c r="C18" s="36">
        <v>18911</v>
      </c>
      <c r="D18" s="113">
        <v>1445531376</v>
      </c>
      <c r="E18" s="116">
        <f>(D18/C18)</f>
        <v>76438.653482100359</v>
      </c>
      <c r="F18" s="117">
        <v>988011143</v>
      </c>
      <c r="G18" s="117">
        <f>(F18/C18)</f>
        <v>52245.314525937283</v>
      </c>
      <c r="H18" s="7"/>
      <c r="I18" s="109">
        <v>3.0886999999999998</v>
      </c>
      <c r="J18" s="117">
        <v>3051670</v>
      </c>
      <c r="K18" s="120">
        <f>(J18/C18)</f>
        <v>161.37010205700386</v>
      </c>
      <c r="L18" s="122">
        <f t="shared" si="6"/>
        <v>9880111.4299999997</v>
      </c>
      <c r="M18" s="116">
        <f t="shared" si="7"/>
        <v>6828441.4299999997</v>
      </c>
      <c r="N18" s="123">
        <f t="shared" si="3"/>
        <v>361.08304320236897</v>
      </c>
      <c r="O18" s="5"/>
      <c r="P18" s="5">
        <f t="shared" si="4"/>
        <v>1</v>
      </c>
      <c r="Q18" s="7">
        <f t="shared" si="5"/>
        <v>18911</v>
      </c>
    </row>
    <row r="19" spans="1:21">
      <c r="A19" s="23" t="s">
        <v>22</v>
      </c>
      <c r="B19" s="35" t="s">
        <v>19</v>
      </c>
      <c r="C19" s="36">
        <v>1110</v>
      </c>
      <c r="D19" s="113">
        <v>399084924</v>
      </c>
      <c r="E19" s="116">
        <f>(D19/C19)</f>
        <v>359535.96756756754</v>
      </c>
      <c r="F19" s="117">
        <v>331804307</v>
      </c>
      <c r="G19" s="117">
        <f>(F19/C19)</f>
        <v>298922.79909909912</v>
      </c>
      <c r="H19" s="7"/>
      <c r="I19" s="110">
        <v>5.0289999999999999</v>
      </c>
      <c r="J19" s="117">
        <v>1668644</v>
      </c>
      <c r="K19" s="120">
        <f>(J19/C19)</f>
        <v>1503.2828828828829</v>
      </c>
      <c r="L19" s="122">
        <f t="shared" si="6"/>
        <v>3318043.0700000003</v>
      </c>
      <c r="M19" s="116">
        <f t="shared" si="7"/>
        <v>1649399.0700000003</v>
      </c>
      <c r="N19" s="123">
        <f t="shared" si="3"/>
        <v>1485.9451081081083</v>
      </c>
      <c r="O19" s="5"/>
      <c r="P19" s="5">
        <f t="shared" si="4"/>
        <v>1</v>
      </c>
      <c r="Q19" s="7">
        <f t="shared" si="5"/>
        <v>1110</v>
      </c>
    </row>
    <row r="20" spans="1:21">
      <c r="A20" s="23" t="s">
        <v>23</v>
      </c>
      <c r="B20" s="35" t="s">
        <v>19</v>
      </c>
      <c r="C20" s="36">
        <v>35720</v>
      </c>
      <c r="D20" s="113">
        <v>3313970198</v>
      </c>
      <c r="E20" s="116">
        <f>(D20/C20)</f>
        <v>92776.321332586784</v>
      </c>
      <c r="F20" s="117">
        <v>2223253138</v>
      </c>
      <c r="G20" s="117">
        <f>(F20/C20)</f>
        <v>62241.129283314673</v>
      </c>
      <c r="H20" s="7"/>
      <c r="I20" s="109">
        <v>3.8723000000000001</v>
      </c>
      <c r="J20" s="117">
        <v>8609103</v>
      </c>
      <c r="K20" s="120">
        <f>(J20/C20)</f>
        <v>241.01632138857784</v>
      </c>
      <c r="L20" s="122">
        <f t="shared" si="6"/>
        <v>22232531.379999999</v>
      </c>
      <c r="M20" s="116">
        <f t="shared" si="7"/>
        <v>13623428.379999999</v>
      </c>
      <c r="N20" s="123">
        <f t="shared" si="3"/>
        <v>381.39497144456885</v>
      </c>
      <c r="O20" s="5"/>
      <c r="P20" s="5">
        <f t="shared" si="4"/>
        <v>1</v>
      </c>
      <c r="Q20" s="7">
        <f t="shared" si="5"/>
        <v>35720</v>
      </c>
    </row>
    <row r="21" spans="1:21">
      <c r="A21" s="23" t="s">
        <v>24</v>
      </c>
      <c r="B21" s="35" t="s">
        <v>19</v>
      </c>
      <c r="C21" s="36">
        <v>12094</v>
      </c>
      <c r="D21" s="114" t="s">
        <v>564</v>
      </c>
      <c r="E21" s="116"/>
      <c r="F21" s="117"/>
      <c r="G21" s="117"/>
      <c r="H21" s="98" t="s">
        <v>588</v>
      </c>
      <c r="I21" s="111"/>
      <c r="J21" s="117"/>
      <c r="K21" s="120"/>
      <c r="L21" s="122">
        <f t="shared" si="6"/>
        <v>0</v>
      </c>
      <c r="M21" s="116">
        <f t="shared" si="7"/>
        <v>0</v>
      </c>
      <c r="N21" s="123">
        <f t="shared" si="3"/>
        <v>0</v>
      </c>
      <c r="O21" s="5"/>
      <c r="P21" s="5">
        <f t="shared" si="4"/>
        <v>0</v>
      </c>
      <c r="Q21" s="7">
        <f t="shared" si="5"/>
        <v>0</v>
      </c>
    </row>
    <row r="22" spans="1:21">
      <c r="A22" s="23" t="s">
        <v>25</v>
      </c>
      <c r="B22" s="35" t="s">
        <v>19</v>
      </c>
      <c r="C22" s="36">
        <v>4325</v>
      </c>
      <c r="D22" s="114" t="s">
        <v>564</v>
      </c>
      <c r="E22" s="116"/>
      <c r="F22" s="117"/>
      <c r="G22" s="117"/>
      <c r="H22" s="98" t="s">
        <v>588</v>
      </c>
      <c r="I22" s="111"/>
      <c r="J22" s="117"/>
      <c r="K22" s="120"/>
      <c r="L22" s="122">
        <f t="shared" si="6"/>
        <v>0</v>
      </c>
      <c r="M22" s="116">
        <f t="shared" si="7"/>
        <v>0</v>
      </c>
      <c r="N22" s="123">
        <f t="shared" si="3"/>
        <v>0</v>
      </c>
      <c r="O22" s="5"/>
      <c r="P22" s="5">
        <f t="shared" si="4"/>
        <v>0</v>
      </c>
      <c r="Q22" s="7">
        <f t="shared" si="5"/>
        <v>0</v>
      </c>
    </row>
    <row r="23" spans="1:21">
      <c r="A23" s="23" t="s">
        <v>26</v>
      </c>
      <c r="B23" s="35" t="s">
        <v>19</v>
      </c>
      <c r="C23" s="36">
        <v>8857</v>
      </c>
      <c r="D23" s="114">
        <v>364130487</v>
      </c>
      <c r="E23" s="116">
        <f t="shared" ref="E23:E38" si="8">(D23/C23)</f>
        <v>41112.169696285426</v>
      </c>
      <c r="F23" s="117">
        <v>197561801</v>
      </c>
      <c r="G23" s="117">
        <f t="shared" ref="G23:G38" si="9">(F23/C23)</f>
        <v>22305.724398780625</v>
      </c>
      <c r="H23" s="98"/>
      <c r="I23" s="109">
        <v>0</v>
      </c>
      <c r="J23" s="117">
        <v>0</v>
      </c>
      <c r="K23" s="120"/>
      <c r="L23" s="122">
        <f t="shared" si="6"/>
        <v>1975618.01</v>
      </c>
      <c r="M23" s="116">
        <f t="shared" si="7"/>
        <v>1975618.01</v>
      </c>
      <c r="N23" s="123">
        <f t="shared" si="3"/>
        <v>223.05724398780626</v>
      </c>
      <c r="O23" s="5"/>
      <c r="P23" s="5">
        <f t="shared" si="4"/>
        <v>0</v>
      </c>
      <c r="Q23" s="7">
        <f t="shared" si="5"/>
        <v>0</v>
      </c>
      <c r="S23" s="124">
        <f>SUM(D17:D23)</f>
        <v>6245005873</v>
      </c>
      <c r="T23" s="124">
        <f>SUM(F17:F23)</f>
        <v>4215316880</v>
      </c>
      <c r="U23" s="124">
        <f>SUM(J17:J23)</f>
        <v>14397462</v>
      </c>
    </row>
    <row r="24" spans="1:21">
      <c r="A24" s="23" t="s">
        <v>27</v>
      </c>
      <c r="B24" s="35" t="s">
        <v>28</v>
      </c>
      <c r="C24" s="36">
        <v>318</v>
      </c>
      <c r="D24" s="113">
        <v>13933546</v>
      </c>
      <c r="E24" s="116">
        <f t="shared" si="8"/>
        <v>43816.182389937108</v>
      </c>
      <c r="F24" s="117">
        <v>7451950</v>
      </c>
      <c r="G24" s="117">
        <f t="shared" si="9"/>
        <v>23433.80503144654</v>
      </c>
      <c r="H24" s="7"/>
      <c r="I24" s="109">
        <v>0.3468</v>
      </c>
      <c r="J24" s="117">
        <v>2584</v>
      </c>
      <c r="K24" s="120">
        <f t="shared" ref="K24:K38" si="10">(J24/C24)</f>
        <v>8.1257861635220134</v>
      </c>
      <c r="L24" s="122">
        <f t="shared" si="6"/>
        <v>74519.5</v>
      </c>
      <c r="M24" s="116">
        <f t="shared" si="7"/>
        <v>71935.5</v>
      </c>
      <c r="N24" s="123">
        <f t="shared" si="3"/>
        <v>226.21226415094338</v>
      </c>
      <c r="O24" s="5"/>
      <c r="P24" s="5">
        <f t="shared" si="4"/>
        <v>1</v>
      </c>
      <c r="Q24" s="7">
        <f t="shared" si="5"/>
        <v>318</v>
      </c>
    </row>
    <row r="25" spans="1:21">
      <c r="A25" s="23" t="s">
        <v>29</v>
      </c>
      <c r="B25" s="35" t="s">
        <v>28</v>
      </c>
      <c r="C25" s="36">
        <v>492</v>
      </c>
      <c r="D25" s="113">
        <v>12091807</v>
      </c>
      <c r="E25" s="116">
        <f t="shared" si="8"/>
        <v>24576.843495934958</v>
      </c>
      <c r="F25" s="117">
        <v>6971887</v>
      </c>
      <c r="G25" s="117">
        <f t="shared" si="9"/>
        <v>14170.502032520326</v>
      </c>
      <c r="H25" s="7"/>
      <c r="I25" s="109">
        <v>0.35149999999999998</v>
      </c>
      <c r="J25" s="117">
        <v>2451</v>
      </c>
      <c r="K25" s="120">
        <f t="shared" si="10"/>
        <v>4.9817073170731705</v>
      </c>
      <c r="L25" s="122">
        <f t="shared" si="6"/>
        <v>69718.87</v>
      </c>
      <c r="M25" s="116">
        <f t="shared" si="7"/>
        <v>67267.87</v>
      </c>
      <c r="N25" s="123">
        <f t="shared" si="3"/>
        <v>136.72331300813008</v>
      </c>
      <c r="O25" s="5"/>
      <c r="P25" s="5">
        <f t="shared" si="4"/>
        <v>1</v>
      </c>
      <c r="Q25" s="7">
        <f t="shared" si="5"/>
        <v>492</v>
      </c>
    </row>
    <row r="26" spans="1:21">
      <c r="A26" s="23" t="s">
        <v>30</v>
      </c>
      <c r="B26" s="35" t="s">
        <v>28</v>
      </c>
      <c r="C26" s="36">
        <v>735</v>
      </c>
      <c r="D26" s="113">
        <v>25123767</v>
      </c>
      <c r="E26" s="116">
        <f t="shared" si="8"/>
        <v>34181.995918367349</v>
      </c>
      <c r="F26" s="117">
        <v>14591081</v>
      </c>
      <c r="G26" s="117">
        <f t="shared" si="9"/>
        <v>19851.810884353741</v>
      </c>
      <c r="H26" s="7"/>
      <c r="I26" s="110">
        <v>1.6786000000000001</v>
      </c>
      <c r="J26" s="117">
        <v>24493</v>
      </c>
      <c r="K26" s="120">
        <f t="shared" si="10"/>
        <v>33.323809523809523</v>
      </c>
      <c r="L26" s="122">
        <f t="shared" si="6"/>
        <v>145910.81</v>
      </c>
      <c r="M26" s="116">
        <f t="shared" si="7"/>
        <v>121417.81</v>
      </c>
      <c r="N26" s="123">
        <f t="shared" si="3"/>
        <v>165.19429931972789</v>
      </c>
      <c r="O26" s="5"/>
      <c r="P26" s="5">
        <f t="shared" si="4"/>
        <v>1</v>
      </c>
      <c r="Q26" s="7">
        <f t="shared" si="5"/>
        <v>735</v>
      </c>
    </row>
    <row r="27" spans="1:21">
      <c r="A27" s="23" t="s">
        <v>31</v>
      </c>
      <c r="B27" s="35" t="s">
        <v>28</v>
      </c>
      <c r="C27" s="36">
        <v>5542</v>
      </c>
      <c r="D27" s="113">
        <v>322296812</v>
      </c>
      <c r="E27" s="116">
        <f t="shared" si="8"/>
        <v>58155.32515337423</v>
      </c>
      <c r="F27" s="117">
        <v>194232574</v>
      </c>
      <c r="G27" s="117">
        <f t="shared" si="9"/>
        <v>35047.378924575969</v>
      </c>
      <c r="H27" s="7"/>
      <c r="I27" s="110">
        <v>4.1805000000000003</v>
      </c>
      <c r="J27" s="117">
        <v>811989</v>
      </c>
      <c r="K27" s="120">
        <f t="shared" si="10"/>
        <v>146.51551786358715</v>
      </c>
      <c r="L27" s="122">
        <f t="shared" si="6"/>
        <v>1942325.74</v>
      </c>
      <c r="M27" s="116">
        <f t="shared" si="7"/>
        <v>1130336.74</v>
      </c>
      <c r="N27" s="123">
        <f t="shared" si="3"/>
        <v>203.95827138217251</v>
      </c>
      <c r="O27" s="5"/>
      <c r="P27" s="5">
        <f t="shared" si="4"/>
        <v>1</v>
      </c>
      <c r="Q27" s="7">
        <f t="shared" si="5"/>
        <v>5542</v>
      </c>
      <c r="S27" s="124">
        <f>SUM(D24:D27)</f>
        <v>373445932</v>
      </c>
      <c r="T27" s="124">
        <f>SUM(F24:F27)</f>
        <v>223247492</v>
      </c>
      <c r="U27" s="124">
        <f>SUM(J24:J27)</f>
        <v>841517</v>
      </c>
    </row>
    <row r="28" spans="1:21">
      <c r="A28" s="23" t="s">
        <v>32</v>
      </c>
      <c r="B28" s="35" t="s">
        <v>33</v>
      </c>
      <c r="C28" s="36">
        <v>9987</v>
      </c>
      <c r="D28" s="113">
        <v>1030739246</v>
      </c>
      <c r="E28" s="116">
        <f t="shared" si="8"/>
        <v>103208.09512366077</v>
      </c>
      <c r="F28" s="117">
        <v>854722277</v>
      </c>
      <c r="G28" s="117">
        <f t="shared" si="9"/>
        <v>85583.486232101728</v>
      </c>
      <c r="H28" s="7"/>
      <c r="I28" s="110">
        <v>3.9102000000000001</v>
      </c>
      <c r="J28" s="117">
        <v>3342135</v>
      </c>
      <c r="K28" s="120">
        <f t="shared" si="10"/>
        <v>334.64854310603783</v>
      </c>
      <c r="L28" s="122">
        <f t="shared" si="6"/>
        <v>8547222.7699999996</v>
      </c>
      <c r="M28" s="116">
        <f t="shared" si="7"/>
        <v>5205087.7699999996</v>
      </c>
      <c r="N28" s="123">
        <f t="shared" si="3"/>
        <v>521.18631921497945</v>
      </c>
      <c r="O28" s="5"/>
      <c r="P28" s="5">
        <f t="shared" si="4"/>
        <v>1</v>
      </c>
      <c r="Q28" s="7">
        <f t="shared" si="5"/>
        <v>9987</v>
      </c>
    </row>
    <row r="29" spans="1:21">
      <c r="A29" s="23" t="s">
        <v>34</v>
      </c>
      <c r="B29" s="35" t="s">
        <v>33</v>
      </c>
      <c r="C29" s="36">
        <v>17443</v>
      </c>
      <c r="D29" s="113">
        <v>1128162345</v>
      </c>
      <c r="E29" s="116">
        <f t="shared" si="8"/>
        <v>64677.082210628905</v>
      </c>
      <c r="F29" s="117">
        <v>773867625</v>
      </c>
      <c r="G29" s="117">
        <f t="shared" si="9"/>
        <v>44365.511953219058</v>
      </c>
      <c r="H29" s="7"/>
      <c r="I29" s="109">
        <v>5.9810999999999996</v>
      </c>
      <c r="J29" s="117">
        <v>4628580</v>
      </c>
      <c r="K29" s="120">
        <f t="shared" si="10"/>
        <v>265.35458350054461</v>
      </c>
      <c r="L29" s="122">
        <f t="shared" si="6"/>
        <v>7738676.25</v>
      </c>
      <c r="M29" s="116">
        <f t="shared" si="7"/>
        <v>3110096.25</v>
      </c>
      <c r="N29" s="123">
        <f t="shared" si="3"/>
        <v>178.30053603164592</v>
      </c>
      <c r="O29" s="5"/>
      <c r="P29" s="5">
        <f t="shared" si="4"/>
        <v>1</v>
      </c>
      <c r="Q29" s="7">
        <f t="shared" si="5"/>
        <v>17443</v>
      </c>
    </row>
    <row r="30" spans="1:21">
      <c r="A30" s="23" t="s">
        <v>35</v>
      </c>
      <c r="B30" s="35" t="s">
        <v>33</v>
      </c>
      <c r="C30" s="36">
        <v>11214</v>
      </c>
      <c r="D30" s="113">
        <v>1888334540</v>
      </c>
      <c r="E30" s="116">
        <f t="shared" si="8"/>
        <v>168390.809702158</v>
      </c>
      <c r="F30" s="117">
        <v>1375437743</v>
      </c>
      <c r="G30" s="117">
        <f t="shared" si="9"/>
        <v>122653.62430889958</v>
      </c>
      <c r="H30" s="7"/>
      <c r="I30" s="109">
        <v>4.9798</v>
      </c>
      <c r="J30" s="117">
        <v>6849405</v>
      </c>
      <c r="K30" s="120">
        <f t="shared" si="10"/>
        <v>610.79052969502413</v>
      </c>
      <c r="L30" s="122">
        <f t="shared" si="6"/>
        <v>13754377.43</v>
      </c>
      <c r="M30" s="116">
        <f t="shared" si="7"/>
        <v>6904972.4299999997</v>
      </c>
      <c r="N30" s="123">
        <f t="shared" si="3"/>
        <v>615.74571339397176</v>
      </c>
      <c r="O30" s="5"/>
      <c r="P30" s="5">
        <f t="shared" si="4"/>
        <v>1</v>
      </c>
      <c r="Q30" s="7">
        <f t="shared" si="5"/>
        <v>11214</v>
      </c>
    </row>
    <row r="31" spans="1:21">
      <c r="A31" s="23" t="s">
        <v>530</v>
      </c>
      <c r="B31" s="35" t="s">
        <v>33</v>
      </c>
      <c r="C31" s="36">
        <v>3899</v>
      </c>
      <c r="D31" s="113">
        <v>414107985</v>
      </c>
      <c r="E31" s="116">
        <f t="shared" si="8"/>
        <v>106208.76763272635</v>
      </c>
      <c r="F31" s="117">
        <v>292602995</v>
      </c>
      <c r="G31" s="117">
        <f t="shared" si="9"/>
        <v>75045.651449089506</v>
      </c>
      <c r="H31" s="9"/>
      <c r="I31" s="109">
        <v>1</v>
      </c>
      <c r="J31" s="117">
        <v>292603</v>
      </c>
      <c r="K31" s="120">
        <f t="shared" si="10"/>
        <v>75.045652731469602</v>
      </c>
      <c r="L31" s="122">
        <f t="shared" si="6"/>
        <v>2926029.95</v>
      </c>
      <c r="M31" s="116">
        <f t="shared" si="7"/>
        <v>2633426.9500000002</v>
      </c>
      <c r="N31" s="123">
        <f t="shared" si="3"/>
        <v>675.41086175942553</v>
      </c>
      <c r="O31" s="5"/>
      <c r="P31" s="5">
        <f t="shared" si="4"/>
        <v>1</v>
      </c>
      <c r="Q31" s="7">
        <f t="shared" si="5"/>
        <v>3899</v>
      </c>
    </row>
    <row r="32" spans="1:21">
      <c r="A32" s="23" t="s">
        <v>36</v>
      </c>
      <c r="B32" s="35" t="s">
        <v>33</v>
      </c>
      <c r="C32" s="36">
        <v>2780</v>
      </c>
      <c r="D32" s="113">
        <v>380707715</v>
      </c>
      <c r="E32" s="116">
        <f t="shared" si="8"/>
        <v>136945.2212230216</v>
      </c>
      <c r="F32" s="117">
        <v>283970064</v>
      </c>
      <c r="G32" s="117">
        <f t="shared" si="9"/>
        <v>102147.50503597122</v>
      </c>
      <c r="H32" s="7"/>
      <c r="I32" s="109">
        <v>6.5834999999999999</v>
      </c>
      <c r="J32" s="117">
        <v>1869517</v>
      </c>
      <c r="K32" s="120">
        <f t="shared" si="10"/>
        <v>672.48812949640285</v>
      </c>
      <c r="L32" s="122">
        <f t="shared" si="6"/>
        <v>2839700.64</v>
      </c>
      <c r="M32" s="116">
        <f t="shared" si="7"/>
        <v>970183.64000000013</v>
      </c>
      <c r="N32" s="123">
        <f t="shared" si="3"/>
        <v>348.98692086330942</v>
      </c>
      <c r="O32" s="5"/>
      <c r="P32" s="5">
        <f t="shared" si="4"/>
        <v>1</v>
      </c>
      <c r="Q32" s="7">
        <f t="shared" si="5"/>
        <v>2780</v>
      </c>
    </row>
    <row r="33" spans="1:21">
      <c r="A33" s="23" t="s">
        <v>37</v>
      </c>
      <c r="B33" s="35" t="s">
        <v>33</v>
      </c>
      <c r="C33" s="36">
        <v>8406</v>
      </c>
      <c r="D33" s="113">
        <v>876778040</v>
      </c>
      <c r="E33" s="116">
        <f t="shared" si="8"/>
        <v>104303.83535569831</v>
      </c>
      <c r="F33" s="117">
        <v>661254138</v>
      </c>
      <c r="G33" s="117">
        <f t="shared" si="9"/>
        <v>78664.541755888655</v>
      </c>
      <c r="H33" s="7"/>
      <c r="I33" s="109">
        <v>5.8</v>
      </c>
      <c r="J33" s="117">
        <v>3835274</v>
      </c>
      <c r="K33" s="120">
        <f t="shared" si="10"/>
        <v>456.25434213656911</v>
      </c>
      <c r="L33" s="122">
        <f t="shared" si="6"/>
        <v>6612541.3799999999</v>
      </c>
      <c r="M33" s="116">
        <f t="shared" si="7"/>
        <v>2777267.38</v>
      </c>
      <c r="N33" s="123">
        <f t="shared" si="3"/>
        <v>330.39107542231739</v>
      </c>
      <c r="O33" s="5"/>
      <c r="P33" s="5">
        <f t="shared" si="4"/>
        <v>1</v>
      </c>
      <c r="Q33" s="7">
        <f t="shared" si="5"/>
        <v>8406</v>
      </c>
    </row>
    <row r="34" spans="1:21">
      <c r="A34" s="23" t="s">
        <v>38</v>
      </c>
      <c r="B34" s="35" t="s">
        <v>33</v>
      </c>
      <c r="C34" s="36">
        <v>2766</v>
      </c>
      <c r="D34" s="113">
        <v>258109867</v>
      </c>
      <c r="E34" s="116">
        <f t="shared" si="8"/>
        <v>93315.208604483007</v>
      </c>
      <c r="F34" s="117">
        <v>184239857</v>
      </c>
      <c r="G34" s="117">
        <f t="shared" si="9"/>
        <v>66608.769703543017</v>
      </c>
      <c r="H34" s="7"/>
      <c r="I34" s="109">
        <v>1.663</v>
      </c>
      <c r="J34" s="117">
        <v>306391</v>
      </c>
      <c r="K34" s="120">
        <f t="shared" si="10"/>
        <v>110.77042660882141</v>
      </c>
      <c r="L34" s="122">
        <f t="shared" si="6"/>
        <v>1842398.57</v>
      </c>
      <c r="M34" s="116">
        <f t="shared" si="7"/>
        <v>1536007.57</v>
      </c>
      <c r="N34" s="123">
        <f t="shared" si="3"/>
        <v>555.31727042660884</v>
      </c>
      <c r="O34" s="5"/>
      <c r="P34" s="5">
        <f t="shared" si="4"/>
        <v>1</v>
      </c>
      <c r="Q34" s="7">
        <f t="shared" si="5"/>
        <v>2766</v>
      </c>
    </row>
    <row r="35" spans="1:21">
      <c r="A35" s="23" t="s">
        <v>39</v>
      </c>
      <c r="B35" s="35" t="s">
        <v>33</v>
      </c>
      <c r="C35" s="36">
        <v>77394</v>
      </c>
      <c r="D35" s="113">
        <v>5309526501</v>
      </c>
      <c r="E35" s="116">
        <f t="shared" si="8"/>
        <v>68603.851732692463</v>
      </c>
      <c r="F35" s="117">
        <v>3445295946</v>
      </c>
      <c r="G35" s="117">
        <f t="shared" si="9"/>
        <v>44516.318396774943</v>
      </c>
      <c r="H35" s="7"/>
      <c r="I35" s="109">
        <v>7.3125999999999998</v>
      </c>
      <c r="J35" s="117">
        <v>25194071</v>
      </c>
      <c r="K35" s="120">
        <f t="shared" si="10"/>
        <v>325.53002816755821</v>
      </c>
      <c r="L35" s="122">
        <f t="shared" si="6"/>
        <v>34452959.460000001</v>
      </c>
      <c r="M35" s="116">
        <f t="shared" si="7"/>
        <v>9258888.4600000009</v>
      </c>
      <c r="N35" s="123">
        <f t="shared" si="3"/>
        <v>119.63315580019125</v>
      </c>
      <c r="O35" s="5"/>
      <c r="P35" s="5">
        <f t="shared" si="4"/>
        <v>1</v>
      </c>
      <c r="Q35" s="7">
        <f t="shared" si="5"/>
        <v>77394</v>
      </c>
    </row>
    <row r="36" spans="1:21">
      <c r="A36" s="23" t="s">
        <v>40</v>
      </c>
      <c r="B36" s="35" t="s">
        <v>33</v>
      </c>
      <c r="C36" s="36">
        <v>3115</v>
      </c>
      <c r="D36" s="113">
        <v>407003309</v>
      </c>
      <c r="E36" s="116">
        <f t="shared" si="8"/>
        <v>130659.16821829855</v>
      </c>
      <c r="F36" s="117">
        <v>288491124</v>
      </c>
      <c r="G36" s="117">
        <f t="shared" si="9"/>
        <v>92613.522953451044</v>
      </c>
      <c r="H36" s="7"/>
      <c r="I36" s="109">
        <v>4.0007999999999999</v>
      </c>
      <c r="J36" s="117">
        <v>1154195</v>
      </c>
      <c r="K36" s="120">
        <f t="shared" si="10"/>
        <v>370.52808988764048</v>
      </c>
      <c r="L36" s="122">
        <f t="shared" si="6"/>
        <v>2884911.24</v>
      </c>
      <c r="M36" s="116">
        <f t="shared" si="7"/>
        <v>1730716.2400000002</v>
      </c>
      <c r="N36" s="123">
        <f t="shared" si="3"/>
        <v>555.60713964687011</v>
      </c>
      <c r="O36" s="5"/>
      <c r="P36" s="5">
        <f t="shared" si="4"/>
        <v>1</v>
      </c>
      <c r="Q36" s="7">
        <f t="shared" si="5"/>
        <v>3115</v>
      </c>
    </row>
    <row r="37" spans="1:21">
      <c r="A37" s="23" t="s">
        <v>41</v>
      </c>
      <c r="B37" s="35" t="s">
        <v>33</v>
      </c>
      <c r="C37" s="36">
        <v>662</v>
      </c>
      <c r="D37" s="113">
        <v>51601514</v>
      </c>
      <c r="E37" s="116">
        <f t="shared" si="8"/>
        <v>77947.906344410876</v>
      </c>
      <c r="F37" s="117">
        <v>35282025</v>
      </c>
      <c r="G37" s="117">
        <f t="shared" si="9"/>
        <v>53296.110271903322</v>
      </c>
      <c r="H37" s="7"/>
      <c r="I37" s="109">
        <v>9.2553999999999998</v>
      </c>
      <c r="J37" s="117">
        <v>326549</v>
      </c>
      <c r="K37" s="120">
        <f t="shared" si="10"/>
        <v>493.27643504531721</v>
      </c>
      <c r="L37" s="122">
        <f t="shared" si="6"/>
        <v>352820.25</v>
      </c>
      <c r="M37" s="116">
        <f t="shared" si="7"/>
        <v>26271.25</v>
      </c>
      <c r="N37" s="123">
        <f t="shared" si="3"/>
        <v>39.684667673716014</v>
      </c>
      <c r="O37" s="5"/>
      <c r="P37" s="5">
        <f t="shared" si="4"/>
        <v>1</v>
      </c>
      <c r="Q37" s="7">
        <f t="shared" si="5"/>
        <v>662</v>
      </c>
    </row>
    <row r="38" spans="1:21">
      <c r="A38" s="23" t="s">
        <v>42</v>
      </c>
      <c r="B38" s="35" t="s">
        <v>33</v>
      </c>
      <c r="C38" s="36">
        <v>104693</v>
      </c>
      <c r="D38" s="113">
        <v>4279554408</v>
      </c>
      <c r="E38" s="116">
        <f t="shared" si="8"/>
        <v>40877.178111239526</v>
      </c>
      <c r="F38" s="117">
        <v>2638234611</v>
      </c>
      <c r="G38" s="117">
        <f t="shared" si="9"/>
        <v>25199.72310469659</v>
      </c>
      <c r="H38" s="7"/>
      <c r="I38" s="109">
        <v>8.6326000000000001</v>
      </c>
      <c r="J38" s="117">
        <v>22774824</v>
      </c>
      <c r="K38" s="120">
        <f t="shared" si="10"/>
        <v>217.53912869055239</v>
      </c>
      <c r="L38" s="122">
        <f t="shared" si="6"/>
        <v>26382346.109999999</v>
      </c>
      <c r="M38" s="116">
        <f t="shared" si="7"/>
        <v>3607522.1099999994</v>
      </c>
      <c r="N38" s="123">
        <f t="shared" si="3"/>
        <v>34.458102356413505</v>
      </c>
      <c r="O38" s="5"/>
      <c r="P38" s="5">
        <f t="shared" si="4"/>
        <v>1</v>
      </c>
      <c r="Q38" s="7">
        <f t="shared" si="5"/>
        <v>104693</v>
      </c>
    </row>
    <row r="39" spans="1:21">
      <c r="A39" s="23" t="s">
        <v>43</v>
      </c>
      <c r="B39" s="35" t="s">
        <v>33</v>
      </c>
      <c r="C39" s="36">
        <v>896</v>
      </c>
      <c r="D39" s="114" t="s">
        <v>564</v>
      </c>
      <c r="E39" s="116"/>
      <c r="F39" s="117"/>
      <c r="G39" s="117"/>
      <c r="H39" s="98" t="s">
        <v>588</v>
      </c>
      <c r="I39" s="109"/>
      <c r="J39" s="117"/>
      <c r="K39" s="120"/>
      <c r="L39" s="122">
        <f t="shared" si="6"/>
        <v>0</v>
      </c>
      <c r="M39" s="116">
        <f t="shared" si="7"/>
        <v>0</v>
      </c>
      <c r="N39" s="123">
        <f t="shared" si="3"/>
        <v>0</v>
      </c>
      <c r="O39" s="5"/>
      <c r="P39" s="5">
        <f t="shared" si="4"/>
        <v>0</v>
      </c>
      <c r="Q39" s="7">
        <f t="shared" si="5"/>
        <v>0</v>
      </c>
    </row>
    <row r="40" spans="1:21">
      <c r="A40" s="23" t="s">
        <v>44</v>
      </c>
      <c r="B40" s="35" t="s">
        <v>33</v>
      </c>
      <c r="C40" s="36">
        <v>25309</v>
      </c>
      <c r="D40" s="113">
        <v>1699135875</v>
      </c>
      <c r="E40" s="116">
        <f t="shared" ref="E40:E74" si="11">(D40/C40)</f>
        <v>67135.638508040618</v>
      </c>
      <c r="F40" s="117">
        <v>1050146848</v>
      </c>
      <c r="G40" s="117">
        <f t="shared" ref="G40:G74" si="12">(F40/C40)</f>
        <v>41493.020190446085</v>
      </c>
      <c r="H40" s="7"/>
      <c r="I40" s="109">
        <v>6.3658000000000001</v>
      </c>
      <c r="J40" s="117">
        <v>6685025</v>
      </c>
      <c r="K40" s="120">
        <f t="shared" ref="K40:K74" si="13">(J40/C40)</f>
        <v>264.13627563317397</v>
      </c>
      <c r="L40" s="122">
        <f t="shared" si="6"/>
        <v>10501468.48</v>
      </c>
      <c r="M40" s="116">
        <f t="shared" si="7"/>
        <v>3816443.4800000004</v>
      </c>
      <c r="N40" s="123">
        <f t="shared" si="3"/>
        <v>150.79392627128692</v>
      </c>
      <c r="O40" s="5"/>
      <c r="P40" s="5">
        <f t="shared" si="4"/>
        <v>1</v>
      </c>
      <c r="Q40" s="7">
        <f t="shared" si="5"/>
        <v>25309</v>
      </c>
    </row>
    <row r="41" spans="1:21">
      <c r="A41" s="23" t="s">
        <v>45</v>
      </c>
      <c r="B41" s="35" t="s">
        <v>33</v>
      </c>
      <c r="C41" s="36">
        <v>10322</v>
      </c>
      <c r="D41" s="113">
        <v>995384559</v>
      </c>
      <c r="E41" s="116">
        <f t="shared" si="11"/>
        <v>96433.303526448362</v>
      </c>
      <c r="F41" s="117">
        <v>651162743</v>
      </c>
      <c r="G41" s="117">
        <f t="shared" si="12"/>
        <v>63084.939255958147</v>
      </c>
      <c r="H41" s="7"/>
      <c r="I41" s="109">
        <v>8.3206000000000007</v>
      </c>
      <c r="J41" s="121">
        <v>5418065</v>
      </c>
      <c r="K41" s="120">
        <f t="shared" si="13"/>
        <v>524.90457275721758</v>
      </c>
      <c r="L41" s="122">
        <f t="shared" si="6"/>
        <v>6511627.4299999997</v>
      </c>
      <c r="M41" s="116">
        <f t="shared" si="7"/>
        <v>1093562.4299999997</v>
      </c>
      <c r="N41" s="123">
        <f t="shared" si="3"/>
        <v>105.94481980236385</v>
      </c>
      <c r="O41" s="5"/>
      <c r="P41" s="5">
        <f t="shared" si="4"/>
        <v>1</v>
      </c>
      <c r="Q41" s="7">
        <f t="shared" si="5"/>
        <v>10322</v>
      </c>
    </row>
    <row r="42" spans="1:21">
      <c r="A42" s="23" t="s">
        <v>46</v>
      </c>
      <c r="B42" s="35" t="s">
        <v>33</v>
      </c>
      <c r="C42" s="36">
        <v>43709</v>
      </c>
      <c r="D42" s="113">
        <v>2184857601</v>
      </c>
      <c r="E42" s="116">
        <f t="shared" si="11"/>
        <v>49986.446750097231</v>
      </c>
      <c r="F42" s="117">
        <v>1315517109</v>
      </c>
      <c r="G42" s="117">
        <f t="shared" si="12"/>
        <v>30097.167837287514</v>
      </c>
      <c r="H42" s="7"/>
      <c r="I42" s="109">
        <v>7.6</v>
      </c>
      <c r="J42" s="117">
        <v>9997930</v>
      </c>
      <c r="K42" s="120">
        <f t="shared" si="13"/>
        <v>228.73847491363335</v>
      </c>
      <c r="L42" s="122">
        <f t="shared" si="6"/>
        <v>13155171.09</v>
      </c>
      <c r="M42" s="116">
        <f t="shared" si="7"/>
        <v>3157241.09</v>
      </c>
      <c r="N42" s="123">
        <f t="shared" si="3"/>
        <v>72.233203459241807</v>
      </c>
      <c r="O42" s="5"/>
      <c r="P42" s="5">
        <f t="shared" si="4"/>
        <v>1</v>
      </c>
      <c r="Q42" s="7">
        <f t="shared" si="5"/>
        <v>43709</v>
      </c>
    </row>
    <row r="43" spans="1:21">
      <c r="A43" s="23" t="s">
        <v>47</v>
      </c>
      <c r="B43" s="35" t="s">
        <v>33</v>
      </c>
      <c r="C43" s="36">
        <v>19464</v>
      </c>
      <c r="D43" s="113">
        <v>1391827638</v>
      </c>
      <c r="E43" s="116">
        <f t="shared" si="11"/>
        <v>71507.790690505542</v>
      </c>
      <c r="F43" s="117">
        <v>968010227</v>
      </c>
      <c r="G43" s="117">
        <f t="shared" si="12"/>
        <v>49733.365546650224</v>
      </c>
      <c r="H43" s="98"/>
      <c r="I43" s="109">
        <v>2.2974999999999999</v>
      </c>
      <c r="J43" s="117">
        <v>2224003</v>
      </c>
      <c r="K43" s="120">
        <f t="shared" si="13"/>
        <v>114.26238183312782</v>
      </c>
      <c r="L43" s="122">
        <f t="shared" si="6"/>
        <v>9680102.2699999996</v>
      </c>
      <c r="M43" s="116">
        <f t="shared" si="7"/>
        <v>7456099.2699999996</v>
      </c>
      <c r="N43" s="123">
        <f t="shared" si="3"/>
        <v>383.0712736333744</v>
      </c>
      <c r="O43" s="5"/>
      <c r="P43" s="5">
        <f t="shared" si="4"/>
        <v>1</v>
      </c>
      <c r="Q43" s="7">
        <f t="shared" si="5"/>
        <v>19464</v>
      </c>
      <c r="S43" s="124">
        <f>SUM(D28:D43)</f>
        <v>22295831143</v>
      </c>
      <c r="T43" s="124">
        <f>SUM(F28:F43)</f>
        <v>14818235332</v>
      </c>
      <c r="U43" s="124">
        <f>SUM(J28:J43)</f>
        <v>94898567</v>
      </c>
    </row>
    <row r="44" spans="1:21">
      <c r="A44" s="23" t="s">
        <v>48</v>
      </c>
      <c r="B44" s="35" t="s">
        <v>49</v>
      </c>
      <c r="C44" s="36">
        <v>53783</v>
      </c>
      <c r="D44" s="113">
        <v>4292915996</v>
      </c>
      <c r="E44" s="116">
        <f t="shared" si="11"/>
        <v>79819.199300894339</v>
      </c>
      <c r="F44" s="117">
        <v>2785382997</v>
      </c>
      <c r="G44" s="117">
        <f t="shared" si="12"/>
        <v>51789.282803116228</v>
      </c>
      <c r="H44" s="98"/>
      <c r="I44" s="110">
        <v>6.3250000000000002</v>
      </c>
      <c r="J44" s="117">
        <v>17617547</v>
      </c>
      <c r="K44" s="120">
        <f t="shared" si="13"/>
        <v>327.56720525072978</v>
      </c>
      <c r="L44" s="122">
        <f t="shared" si="6"/>
        <v>27853829.969999999</v>
      </c>
      <c r="M44" s="116">
        <f t="shared" si="7"/>
        <v>10236282.969999999</v>
      </c>
      <c r="N44" s="123">
        <f t="shared" si="3"/>
        <v>190.32562278043247</v>
      </c>
      <c r="O44" s="5"/>
      <c r="P44" s="5">
        <f t="shared" si="4"/>
        <v>1</v>
      </c>
      <c r="Q44" s="7">
        <f t="shared" si="5"/>
        <v>53783</v>
      </c>
    </row>
    <row r="45" spans="1:21">
      <c r="A45" s="23" t="s">
        <v>50</v>
      </c>
      <c r="B45" s="35" t="s">
        <v>49</v>
      </c>
      <c r="C45" s="36">
        <v>32136</v>
      </c>
      <c r="D45" s="113">
        <v>3344402994</v>
      </c>
      <c r="E45" s="116">
        <f t="shared" si="11"/>
        <v>104070.29480955937</v>
      </c>
      <c r="F45" s="117">
        <v>2229296637</v>
      </c>
      <c r="G45" s="117">
        <f t="shared" si="12"/>
        <v>69370.694454817029</v>
      </c>
      <c r="H45" s="98"/>
      <c r="I45" s="109">
        <v>5.7087000000000003</v>
      </c>
      <c r="J45" s="117">
        <v>12726386</v>
      </c>
      <c r="K45" s="120">
        <f t="shared" si="13"/>
        <v>396.01649240726908</v>
      </c>
      <c r="L45" s="122">
        <f t="shared" si="6"/>
        <v>22292966.370000001</v>
      </c>
      <c r="M45" s="116">
        <f t="shared" si="7"/>
        <v>9566580.370000001</v>
      </c>
      <c r="N45" s="123">
        <f t="shared" si="3"/>
        <v>297.69045214090119</v>
      </c>
      <c r="O45" s="5"/>
      <c r="P45" s="5">
        <f t="shared" si="4"/>
        <v>1</v>
      </c>
      <c r="Q45" s="7">
        <f t="shared" si="5"/>
        <v>32136</v>
      </c>
    </row>
    <row r="46" spans="1:21">
      <c r="A46" s="23" t="s">
        <v>51</v>
      </c>
      <c r="B46" s="35" t="s">
        <v>49</v>
      </c>
      <c r="C46" s="36">
        <v>122994</v>
      </c>
      <c r="D46" s="113">
        <v>10772156074</v>
      </c>
      <c r="E46" s="116">
        <f t="shared" si="11"/>
        <v>87582.776997251902</v>
      </c>
      <c r="F46" s="117">
        <v>7740690956</v>
      </c>
      <c r="G46" s="117">
        <f t="shared" si="12"/>
        <v>62935.516821958794</v>
      </c>
      <c r="H46" s="98"/>
      <c r="I46" s="109">
        <v>4.5697000000000001</v>
      </c>
      <c r="J46" s="117">
        <v>35372635</v>
      </c>
      <c r="K46" s="120">
        <f t="shared" si="13"/>
        <v>287.5964274680066</v>
      </c>
      <c r="L46" s="122">
        <f t="shared" si="6"/>
        <v>77406909.560000002</v>
      </c>
      <c r="M46" s="116">
        <f t="shared" si="7"/>
        <v>42034274.560000002</v>
      </c>
      <c r="N46" s="123">
        <f t="shared" si="3"/>
        <v>341.7587407515814</v>
      </c>
      <c r="O46" s="5"/>
      <c r="P46" s="5">
        <f t="shared" si="4"/>
        <v>1</v>
      </c>
      <c r="Q46" s="7">
        <f t="shared" si="5"/>
        <v>122994</v>
      </c>
    </row>
    <row r="47" spans="1:21">
      <c r="A47" s="23" t="s">
        <v>464</v>
      </c>
      <c r="B47" s="35" t="s">
        <v>49</v>
      </c>
      <c r="C47" s="36">
        <v>30233</v>
      </c>
      <c r="D47" s="113">
        <v>3450714570</v>
      </c>
      <c r="E47" s="116">
        <f t="shared" si="11"/>
        <v>114137.35223100586</v>
      </c>
      <c r="F47" s="117">
        <v>2687802011</v>
      </c>
      <c r="G47" s="117">
        <f t="shared" si="12"/>
        <v>88902.92101346211</v>
      </c>
      <c r="H47" s="98"/>
      <c r="I47" s="109">
        <v>5.9980000000000002</v>
      </c>
      <c r="J47" s="117">
        <v>16121436</v>
      </c>
      <c r="K47" s="120">
        <f t="shared" si="13"/>
        <v>533.23970495815831</v>
      </c>
      <c r="L47" s="122">
        <f t="shared" si="6"/>
        <v>26878020.109999999</v>
      </c>
      <c r="M47" s="116">
        <f t="shared" si="7"/>
        <v>10756584.109999999</v>
      </c>
      <c r="N47" s="123">
        <f t="shared" si="3"/>
        <v>355.7895051764628</v>
      </c>
      <c r="O47" s="5"/>
      <c r="P47" s="5">
        <f t="shared" si="4"/>
        <v>1</v>
      </c>
      <c r="Q47" s="7">
        <f t="shared" si="5"/>
        <v>30233</v>
      </c>
    </row>
    <row r="48" spans="1:21">
      <c r="A48" s="23" t="s">
        <v>52</v>
      </c>
      <c r="B48" s="35" t="s">
        <v>49</v>
      </c>
      <c r="C48" s="36">
        <v>93599</v>
      </c>
      <c r="D48" s="113">
        <v>10223709690</v>
      </c>
      <c r="E48" s="116">
        <f t="shared" si="11"/>
        <v>109228.8346029338</v>
      </c>
      <c r="F48" s="117">
        <v>6808355587</v>
      </c>
      <c r="G48" s="117">
        <f t="shared" si="12"/>
        <v>72739.618874133273</v>
      </c>
      <c r="H48" s="98"/>
      <c r="I48" s="110">
        <v>5.0829000000000004</v>
      </c>
      <c r="J48" s="117">
        <v>34606191</v>
      </c>
      <c r="K48" s="120">
        <f t="shared" si="13"/>
        <v>369.72821290825755</v>
      </c>
      <c r="L48" s="122">
        <f t="shared" si="6"/>
        <v>68083555.870000005</v>
      </c>
      <c r="M48" s="116">
        <f t="shared" si="7"/>
        <v>33477364.870000005</v>
      </c>
      <c r="N48" s="123">
        <f t="shared" si="3"/>
        <v>357.66797583307522</v>
      </c>
      <c r="O48" s="5"/>
      <c r="P48" s="5">
        <f t="shared" si="4"/>
        <v>1</v>
      </c>
      <c r="Q48" s="7">
        <f t="shared" si="5"/>
        <v>93599</v>
      </c>
    </row>
    <row r="49" spans="1:17">
      <c r="A49" s="23" t="s">
        <v>53</v>
      </c>
      <c r="B49" s="35" t="s">
        <v>49</v>
      </c>
      <c r="C49" s="36">
        <v>75840</v>
      </c>
      <c r="D49" s="113">
        <v>6681169383</v>
      </c>
      <c r="E49" s="116">
        <f t="shared" si="11"/>
        <v>88095.587856012658</v>
      </c>
      <c r="F49" s="117">
        <v>5007428893</v>
      </c>
      <c r="G49" s="117">
        <f t="shared" si="12"/>
        <v>66026.224854957807</v>
      </c>
      <c r="H49" s="98"/>
      <c r="I49" s="109">
        <v>6.2317</v>
      </c>
      <c r="J49" s="117">
        <v>31204795</v>
      </c>
      <c r="K49" s="120">
        <f t="shared" si="13"/>
        <v>411.45563027426158</v>
      </c>
      <c r="L49" s="122">
        <f t="shared" si="6"/>
        <v>50074288.93</v>
      </c>
      <c r="M49" s="116">
        <f t="shared" si="7"/>
        <v>18869493.93</v>
      </c>
      <c r="N49" s="123">
        <f t="shared" si="3"/>
        <v>248.80661827531645</v>
      </c>
      <c r="O49" s="5"/>
      <c r="P49" s="5">
        <f t="shared" si="4"/>
        <v>1</v>
      </c>
      <c r="Q49" s="7">
        <f t="shared" si="5"/>
        <v>75840</v>
      </c>
    </row>
    <row r="50" spans="1:17">
      <c r="A50" s="23" t="s">
        <v>54</v>
      </c>
      <c r="B50" s="35" t="s">
        <v>49</v>
      </c>
      <c r="C50" s="36">
        <v>170065</v>
      </c>
      <c r="D50" s="113">
        <v>33363017669</v>
      </c>
      <c r="E50" s="116">
        <f t="shared" si="11"/>
        <v>196178.03586275835</v>
      </c>
      <c r="F50" s="117">
        <v>24645506460</v>
      </c>
      <c r="G50" s="117">
        <f t="shared" si="12"/>
        <v>144918.157528004</v>
      </c>
      <c r="H50" s="98"/>
      <c r="I50" s="109">
        <v>4.1193</v>
      </c>
      <c r="J50" s="117">
        <v>101522235</v>
      </c>
      <c r="K50" s="120">
        <f t="shared" si="13"/>
        <v>596.96136771234524</v>
      </c>
      <c r="L50" s="122">
        <f t="shared" si="6"/>
        <v>246455064.59999999</v>
      </c>
      <c r="M50" s="116">
        <f t="shared" si="7"/>
        <v>144932829.59999999</v>
      </c>
      <c r="N50" s="123">
        <f t="shared" si="3"/>
        <v>852.22020756769462</v>
      </c>
      <c r="O50" s="5"/>
      <c r="P50" s="5">
        <f t="shared" si="4"/>
        <v>1</v>
      </c>
      <c r="Q50" s="7">
        <f t="shared" si="5"/>
        <v>170065</v>
      </c>
    </row>
    <row r="51" spans="1:17">
      <c r="A51" s="23" t="s">
        <v>465</v>
      </c>
      <c r="B51" s="35" t="s">
        <v>49</v>
      </c>
      <c r="C51" s="36">
        <v>38391</v>
      </c>
      <c r="D51" s="113">
        <v>4818516398</v>
      </c>
      <c r="E51" s="116">
        <f t="shared" si="11"/>
        <v>125511.61464926676</v>
      </c>
      <c r="F51" s="117">
        <v>3873147661</v>
      </c>
      <c r="G51" s="117">
        <f t="shared" si="12"/>
        <v>100886.86569768956</v>
      </c>
      <c r="H51" s="98"/>
      <c r="I51" s="109">
        <v>5.6833</v>
      </c>
      <c r="J51" s="117">
        <v>22012260</v>
      </c>
      <c r="K51" s="120">
        <f t="shared" si="13"/>
        <v>573.37032116902401</v>
      </c>
      <c r="L51" s="122">
        <f t="shared" si="6"/>
        <v>38731476.609999999</v>
      </c>
      <c r="M51" s="116">
        <f t="shared" si="7"/>
        <v>16719216.609999999</v>
      </c>
      <c r="N51" s="123">
        <f t="shared" si="3"/>
        <v>435.49833580787163</v>
      </c>
      <c r="O51" s="5"/>
      <c r="P51" s="5">
        <f t="shared" si="4"/>
        <v>1</v>
      </c>
      <c r="Q51" s="7">
        <f t="shared" si="5"/>
        <v>38391</v>
      </c>
    </row>
    <row r="52" spans="1:17">
      <c r="A52" s="23" t="s">
        <v>55</v>
      </c>
      <c r="B52" s="35" t="s">
        <v>49</v>
      </c>
      <c r="C52" s="36">
        <v>1885</v>
      </c>
      <c r="D52" s="113">
        <v>1150593939</v>
      </c>
      <c r="E52" s="116">
        <f t="shared" si="11"/>
        <v>610394.66259946954</v>
      </c>
      <c r="F52" s="117">
        <v>989227063</v>
      </c>
      <c r="G52" s="117">
        <f t="shared" si="12"/>
        <v>524788.89283819625</v>
      </c>
      <c r="H52" s="98"/>
      <c r="I52" s="109">
        <v>3.39</v>
      </c>
      <c r="J52" s="117">
        <v>3353480</v>
      </c>
      <c r="K52" s="120">
        <f t="shared" si="13"/>
        <v>1779.0344827586207</v>
      </c>
      <c r="L52" s="122">
        <f t="shared" si="6"/>
        <v>9892270.6300000008</v>
      </c>
      <c r="M52" s="116">
        <f t="shared" si="7"/>
        <v>6538790.6300000008</v>
      </c>
      <c r="N52" s="123">
        <f t="shared" si="3"/>
        <v>3468.8544456233426</v>
      </c>
      <c r="O52" s="5"/>
      <c r="P52" s="5">
        <f t="shared" si="4"/>
        <v>1</v>
      </c>
      <c r="Q52" s="7">
        <f t="shared" si="5"/>
        <v>1885</v>
      </c>
    </row>
    <row r="53" spans="1:17">
      <c r="A53" s="23" t="s">
        <v>56</v>
      </c>
      <c r="B53" s="35" t="s">
        <v>49</v>
      </c>
      <c r="C53" s="36">
        <v>143935</v>
      </c>
      <c r="D53" s="113">
        <v>15127947050</v>
      </c>
      <c r="E53" s="116">
        <f t="shared" si="11"/>
        <v>105102.6300066002</v>
      </c>
      <c r="F53" s="117">
        <v>10458934766</v>
      </c>
      <c r="G53" s="117">
        <f t="shared" si="12"/>
        <v>72664.291284260253</v>
      </c>
      <c r="H53" s="98"/>
      <c r="I53" s="109">
        <v>7.4478999999999997</v>
      </c>
      <c r="J53" s="117">
        <v>77897100</v>
      </c>
      <c r="K53" s="120">
        <f t="shared" si="13"/>
        <v>541.19637336297637</v>
      </c>
      <c r="L53" s="122">
        <f t="shared" si="6"/>
        <v>104589347.66</v>
      </c>
      <c r="M53" s="116">
        <f t="shared" si="7"/>
        <v>26692247.659999996</v>
      </c>
      <c r="N53" s="123">
        <f t="shared" si="3"/>
        <v>185.44653947962618</v>
      </c>
      <c r="O53" s="5"/>
      <c r="P53" s="5">
        <f t="shared" si="4"/>
        <v>1</v>
      </c>
      <c r="Q53" s="7">
        <f t="shared" si="5"/>
        <v>143935</v>
      </c>
    </row>
    <row r="54" spans="1:17">
      <c r="A54" s="23" t="s">
        <v>57</v>
      </c>
      <c r="B54" s="35" t="s">
        <v>49</v>
      </c>
      <c r="C54" s="36">
        <v>33322</v>
      </c>
      <c r="D54" s="113">
        <v>1324152380</v>
      </c>
      <c r="E54" s="116">
        <f t="shared" si="11"/>
        <v>39738.082347998323</v>
      </c>
      <c r="F54" s="117">
        <v>798161478</v>
      </c>
      <c r="G54" s="117">
        <f t="shared" si="12"/>
        <v>23952.988356041053</v>
      </c>
      <c r="H54" s="98"/>
      <c r="I54" s="109">
        <v>9.5</v>
      </c>
      <c r="J54" s="117">
        <v>7582534</v>
      </c>
      <c r="K54" s="120">
        <f t="shared" si="13"/>
        <v>227.55338815197166</v>
      </c>
      <c r="L54" s="122">
        <f t="shared" si="6"/>
        <v>7981614.7800000003</v>
      </c>
      <c r="M54" s="116">
        <f t="shared" si="7"/>
        <v>399080.78000000026</v>
      </c>
      <c r="N54" s="123">
        <f t="shared" si="3"/>
        <v>11.976495408438877</v>
      </c>
      <c r="O54" s="5"/>
      <c r="P54" s="5">
        <f t="shared" si="4"/>
        <v>1</v>
      </c>
      <c r="Q54" s="7">
        <f t="shared" si="5"/>
        <v>33322</v>
      </c>
    </row>
    <row r="55" spans="1:17">
      <c r="A55" s="23" t="s">
        <v>560</v>
      </c>
      <c r="B55" s="35" t="s">
        <v>49</v>
      </c>
      <c r="C55" s="36">
        <v>6135</v>
      </c>
      <c r="D55" s="113">
        <v>2138070836</v>
      </c>
      <c r="E55" s="116">
        <f t="shared" si="11"/>
        <v>348503.80374898127</v>
      </c>
      <c r="F55" s="117">
        <v>1812755928</v>
      </c>
      <c r="G55" s="117">
        <f t="shared" si="12"/>
        <v>295477.73887530563</v>
      </c>
      <c r="H55" s="98"/>
      <c r="I55" s="109">
        <v>3.9312</v>
      </c>
      <c r="J55" s="117">
        <v>7126306</v>
      </c>
      <c r="K55" s="120">
        <f t="shared" si="13"/>
        <v>1161.5820700896495</v>
      </c>
      <c r="L55" s="122">
        <f t="shared" si="6"/>
        <v>18127559.280000001</v>
      </c>
      <c r="M55" s="116">
        <f t="shared" si="7"/>
        <v>11001253.280000001</v>
      </c>
      <c r="N55" s="123">
        <f t="shared" si="3"/>
        <v>1793.1953186634069</v>
      </c>
      <c r="O55" s="5"/>
      <c r="P55" s="5">
        <f t="shared" si="4"/>
        <v>1</v>
      </c>
      <c r="Q55" s="7">
        <f t="shared" si="5"/>
        <v>6135</v>
      </c>
    </row>
    <row r="56" spans="1:17">
      <c r="A56" s="23" t="s">
        <v>58</v>
      </c>
      <c r="B56" s="35" t="s">
        <v>49</v>
      </c>
      <c r="C56" s="36">
        <v>66952</v>
      </c>
      <c r="D56" s="113">
        <v>2800050716</v>
      </c>
      <c r="E56" s="116">
        <f t="shared" si="11"/>
        <v>41821.763591826981</v>
      </c>
      <c r="F56" s="117">
        <v>1808062038</v>
      </c>
      <c r="G56" s="117">
        <f t="shared" si="12"/>
        <v>27005.347681921376</v>
      </c>
      <c r="H56" s="98"/>
      <c r="I56" s="109">
        <v>7.3697999999999997</v>
      </c>
      <c r="J56" s="117">
        <v>13325056</v>
      </c>
      <c r="K56" s="120">
        <f t="shared" si="13"/>
        <v>199.0240172063568</v>
      </c>
      <c r="L56" s="122">
        <f t="shared" si="6"/>
        <v>18080620.379999999</v>
      </c>
      <c r="M56" s="116">
        <f t="shared" si="7"/>
        <v>4755564.379999999</v>
      </c>
      <c r="N56" s="123">
        <f t="shared" si="3"/>
        <v>71.029459612856954</v>
      </c>
      <c r="O56" s="5"/>
      <c r="P56" s="5">
        <f t="shared" si="4"/>
        <v>1</v>
      </c>
      <c r="Q56" s="7">
        <f t="shared" si="5"/>
        <v>66952</v>
      </c>
    </row>
    <row r="57" spans="1:17">
      <c r="A57" s="23" t="s">
        <v>59</v>
      </c>
      <c r="B57" s="35" t="s">
        <v>49</v>
      </c>
      <c r="C57" s="36">
        <v>25</v>
      </c>
      <c r="D57" s="114">
        <v>6304374</v>
      </c>
      <c r="E57" s="116">
        <f t="shared" si="11"/>
        <v>252174.96</v>
      </c>
      <c r="F57" s="117">
        <v>4786623</v>
      </c>
      <c r="G57" s="117">
        <f t="shared" si="12"/>
        <v>191464.92</v>
      </c>
      <c r="H57" s="98"/>
      <c r="I57" s="109">
        <v>5.9363000000000001</v>
      </c>
      <c r="J57" s="117">
        <v>28415</v>
      </c>
      <c r="K57" s="120">
        <f t="shared" si="13"/>
        <v>1136.5999999999999</v>
      </c>
      <c r="L57" s="122">
        <f t="shared" si="6"/>
        <v>47866.23</v>
      </c>
      <c r="M57" s="116">
        <f t="shared" si="7"/>
        <v>19451.230000000003</v>
      </c>
      <c r="N57" s="123">
        <f t="shared" si="3"/>
        <v>778.04920000000016</v>
      </c>
      <c r="O57" s="5"/>
      <c r="P57" s="5">
        <f t="shared" si="4"/>
        <v>1</v>
      </c>
      <c r="Q57" s="7">
        <f t="shared" si="5"/>
        <v>25</v>
      </c>
    </row>
    <row r="58" spans="1:17">
      <c r="A58" s="23" t="s">
        <v>60</v>
      </c>
      <c r="B58" s="35" t="s">
        <v>49</v>
      </c>
      <c r="C58" s="36">
        <v>10401</v>
      </c>
      <c r="D58" s="113">
        <v>2303549550</v>
      </c>
      <c r="E58" s="116">
        <f t="shared" si="11"/>
        <v>221473.85347562734</v>
      </c>
      <c r="F58" s="117">
        <v>1776261097</v>
      </c>
      <c r="G58" s="117">
        <f t="shared" si="12"/>
        <v>170777.91529660611</v>
      </c>
      <c r="H58" s="98"/>
      <c r="I58" s="109">
        <v>3.5893000000000002</v>
      </c>
      <c r="J58" s="117">
        <v>6375534</v>
      </c>
      <c r="K58" s="120">
        <f t="shared" si="13"/>
        <v>612.97317565618687</v>
      </c>
      <c r="L58" s="122">
        <f t="shared" si="6"/>
        <v>17762610.969999999</v>
      </c>
      <c r="M58" s="116">
        <f t="shared" si="7"/>
        <v>11387076.969999999</v>
      </c>
      <c r="N58" s="123">
        <f t="shared" si="3"/>
        <v>1094.8059773098739</v>
      </c>
      <c r="O58" s="5"/>
      <c r="P58" s="5">
        <f t="shared" si="4"/>
        <v>1</v>
      </c>
      <c r="Q58" s="7">
        <f t="shared" si="5"/>
        <v>10401</v>
      </c>
    </row>
    <row r="59" spans="1:17">
      <c r="A59" s="23" t="s">
        <v>61</v>
      </c>
      <c r="B59" s="35" t="s">
        <v>49</v>
      </c>
      <c r="C59" s="36">
        <v>55245</v>
      </c>
      <c r="D59" s="113">
        <v>3130210722</v>
      </c>
      <c r="E59" s="116">
        <f t="shared" si="11"/>
        <v>56660.525332609286</v>
      </c>
      <c r="F59" s="117">
        <v>2102716896</v>
      </c>
      <c r="G59" s="117">
        <f t="shared" si="12"/>
        <v>38061.668856910124</v>
      </c>
      <c r="H59" s="98"/>
      <c r="I59" s="109">
        <v>7.33</v>
      </c>
      <c r="J59" s="117">
        <v>15412915</v>
      </c>
      <c r="K59" s="120">
        <f t="shared" si="13"/>
        <v>278.99203547832383</v>
      </c>
      <c r="L59" s="122">
        <f t="shared" si="6"/>
        <v>21027168.960000001</v>
      </c>
      <c r="M59" s="116">
        <f t="shared" si="7"/>
        <v>5614253.9600000009</v>
      </c>
      <c r="N59" s="123">
        <f t="shared" si="3"/>
        <v>101.62465309077746</v>
      </c>
      <c r="O59" s="5"/>
      <c r="P59" s="5">
        <f t="shared" si="4"/>
        <v>1</v>
      </c>
      <c r="Q59" s="7">
        <f t="shared" si="5"/>
        <v>55245</v>
      </c>
    </row>
    <row r="60" spans="1:17">
      <c r="A60" s="23" t="s">
        <v>62</v>
      </c>
      <c r="B60" s="35" t="s">
        <v>49</v>
      </c>
      <c r="C60" s="36">
        <v>126619</v>
      </c>
      <c r="D60" s="113">
        <v>9583205201</v>
      </c>
      <c r="E60" s="116">
        <f t="shared" si="11"/>
        <v>75685.364763582082</v>
      </c>
      <c r="F60" s="117">
        <v>6954055997</v>
      </c>
      <c r="G60" s="117">
        <f t="shared" si="12"/>
        <v>54921.109762357941</v>
      </c>
      <c r="H60" s="98"/>
      <c r="I60" s="109">
        <v>6.4653999999999998</v>
      </c>
      <c r="J60" s="117">
        <v>44960754</v>
      </c>
      <c r="K60" s="120">
        <f t="shared" si="13"/>
        <v>355.08694587700109</v>
      </c>
      <c r="L60" s="122">
        <f t="shared" si="6"/>
        <v>69540559.969999999</v>
      </c>
      <c r="M60" s="116">
        <f t="shared" si="7"/>
        <v>24579805.969999999</v>
      </c>
      <c r="N60" s="123">
        <f t="shared" si="3"/>
        <v>194.12415174657832</v>
      </c>
      <c r="O60" s="5"/>
      <c r="P60" s="5">
        <f t="shared" si="4"/>
        <v>1</v>
      </c>
      <c r="Q60" s="7">
        <f t="shared" si="5"/>
        <v>126619</v>
      </c>
    </row>
    <row r="61" spans="1:17">
      <c r="A61" s="23" t="s">
        <v>63</v>
      </c>
      <c r="B61" s="35" t="s">
        <v>49</v>
      </c>
      <c r="C61" s="36">
        <v>42312</v>
      </c>
      <c r="D61" s="113">
        <v>1538580631</v>
      </c>
      <c r="E61" s="116">
        <f t="shared" si="11"/>
        <v>36362.748889204006</v>
      </c>
      <c r="F61" s="117">
        <v>983829899</v>
      </c>
      <c r="G61" s="117">
        <f t="shared" si="12"/>
        <v>23251.79379372282</v>
      </c>
      <c r="H61" s="98"/>
      <c r="I61" s="109">
        <v>7.6078000000000001</v>
      </c>
      <c r="J61" s="117">
        <v>7484781</v>
      </c>
      <c r="K61" s="120">
        <f t="shared" si="13"/>
        <v>176.89499432785024</v>
      </c>
      <c r="L61" s="122">
        <f t="shared" si="6"/>
        <v>9838298.9900000002</v>
      </c>
      <c r="M61" s="116">
        <f t="shared" si="7"/>
        <v>2353517.9900000002</v>
      </c>
      <c r="N61" s="123">
        <f t="shared" si="3"/>
        <v>55.622943609377963</v>
      </c>
      <c r="O61" s="5"/>
      <c r="P61" s="5">
        <f t="shared" si="4"/>
        <v>1</v>
      </c>
      <c r="Q61" s="7">
        <f t="shared" si="5"/>
        <v>42312</v>
      </c>
    </row>
    <row r="62" spans="1:17">
      <c r="A62" s="23" t="s">
        <v>64</v>
      </c>
      <c r="B62" s="35" t="s">
        <v>49</v>
      </c>
      <c r="C62" s="36">
        <v>42301</v>
      </c>
      <c r="D62" s="113">
        <v>3220493076</v>
      </c>
      <c r="E62" s="116">
        <f t="shared" si="11"/>
        <v>76132.788255596795</v>
      </c>
      <c r="F62" s="117">
        <v>2202473338</v>
      </c>
      <c r="G62" s="117">
        <f t="shared" si="12"/>
        <v>52066.696721117703</v>
      </c>
      <c r="H62" s="98"/>
      <c r="I62" s="109">
        <v>6.3994999999999997</v>
      </c>
      <c r="J62" s="117">
        <v>14094728</v>
      </c>
      <c r="K62" s="120">
        <f t="shared" si="13"/>
        <v>333.20082267558689</v>
      </c>
      <c r="L62" s="122">
        <f t="shared" si="6"/>
        <v>22024733.379999999</v>
      </c>
      <c r="M62" s="116">
        <f t="shared" si="7"/>
        <v>7930005.379999999</v>
      </c>
      <c r="N62" s="123">
        <f t="shared" si="3"/>
        <v>187.46614453559016</v>
      </c>
      <c r="O62" s="5"/>
      <c r="P62" s="5">
        <f t="shared" si="4"/>
        <v>1</v>
      </c>
      <c r="Q62" s="7">
        <f t="shared" si="5"/>
        <v>42301</v>
      </c>
    </row>
    <row r="63" spans="1:17">
      <c r="A63" s="23" t="s">
        <v>65</v>
      </c>
      <c r="B63" s="35" t="s">
        <v>49</v>
      </c>
      <c r="C63" s="36">
        <v>25576</v>
      </c>
      <c r="D63" s="113">
        <v>4104271588</v>
      </c>
      <c r="E63" s="116">
        <f t="shared" si="11"/>
        <v>160473.55286205819</v>
      </c>
      <c r="F63" s="117">
        <v>3186100027</v>
      </c>
      <c r="G63" s="117">
        <f t="shared" si="12"/>
        <v>124573.82026118237</v>
      </c>
      <c r="H63" s="98"/>
      <c r="I63" s="109">
        <v>3.99</v>
      </c>
      <c r="J63" s="117">
        <v>12712539</v>
      </c>
      <c r="K63" s="120">
        <f t="shared" si="13"/>
        <v>497.04953862996558</v>
      </c>
      <c r="L63" s="122">
        <f t="shared" si="6"/>
        <v>31861000.27</v>
      </c>
      <c r="M63" s="116">
        <f t="shared" si="7"/>
        <v>19148461.27</v>
      </c>
      <c r="N63" s="123">
        <f t="shared" si="3"/>
        <v>748.68866398185799</v>
      </c>
      <c r="O63" s="5"/>
      <c r="P63" s="5">
        <f t="shared" si="4"/>
        <v>1</v>
      </c>
      <c r="Q63" s="7">
        <f t="shared" si="5"/>
        <v>25576</v>
      </c>
    </row>
    <row r="64" spans="1:17">
      <c r="A64" s="23" t="s">
        <v>66</v>
      </c>
      <c r="B64" s="35" t="s">
        <v>49</v>
      </c>
      <c r="C64" s="36">
        <v>6201</v>
      </c>
      <c r="D64" s="113">
        <v>644189720</v>
      </c>
      <c r="E64" s="116">
        <f t="shared" si="11"/>
        <v>103884.81212707628</v>
      </c>
      <c r="F64" s="117">
        <v>548801930</v>
      </c>
      <c r="G64" s="117">
        <f t="shared" si="12"/>
        <v>88502.165779712945</v>
      </c>
      <c r="H64" s="98"/>
      <c r="I64" s="109">
        <v>8.5</v>
      </c>
      <c r="J64" s="117">
        <v>4664816</v>
      </c>
      <c r="K64" s="120">
        <f t="shared" si="13"/>
        <v>752.26834381551362</v>
      </c>
      <c r="L64" s="122">
        <f t="shared" si="6"/>
        <v>5488019.2999999998</v>
      </c>
      <c r="M64" s="116">
        <f t="shared" si="7"/>
        <v>823203.29999999981</v>
      </c>
      <c r="N64" s="123">
        <f t="shared" si="3"/>
        <v>132.75331398161583</v>
      </c>
      <c r="O64" s="5"/>
      <c r="P64" s="5">
        <f t="shared" si="4"/>
        <v>1</v>
      </c>
      <c r="Q64" s="7">
        <f t="shared" si="5"/>
        <v>6201</v>
      </c>
    </row>
    <row r="65" spans="1:21">
      <c r="A65" s="23" t="s">
        <v>67</v>
      </c>
      <c r="B65" s="35" t="s">
        <v>49</v>
      </c>
      <c r="C65" s="36">
        <v>155565</v>
      </c>
      <c r="D65" s="113">
        <v>13145675871</v>
      </c>
      <c r="E65" s="116">
        <f t="shared" si="11"/>
        <v>84502.78578729149</v>
      </c>
      <c r="F65" s="117">
        <v>8903208814</v>
      </c>
      <c r="G65" s="117">
        <f t="shared" si="12"/>
        <v>57231.439038344099</v>
      </c>
      <c r="H65" s="98"/>
      <c r="I65" s="109">
        <v>5.6368</v>
      </c>
      <c r="J65" s="117">
        <v>50185607</v>
      </c>
      <c r="K65" s="120">
        <f t="shared" si="13"/>
        <v>322.60217272522738</v>
      </c>
      <c r="L65" s="122">
        <f t="shared" si="6"/>
        <v>89032088.140000001</v>
      </c>
      <c r="M65" s="116">
        <f t="shared" si="7"/>
        <v>38846481.140000001</v>
      </c>
      <c r="N65" s="123">
        <f t="shared" si="3"/>
        <v>249.7122176582136</v>
      </c>
      <c r="O65" s="5"/>
      <c r="P65" s="5">
        <f t="shared" si="4"/>
        <v>1</v>
      </c>
      <c r="Q65" s="7">
        <f t="shared" si="5"/>
        <v>155565</v>
      </c>
    </row>
    <row r="66" spans="1:21">
      <c r="A66" s="23" t="s">
        <v>68</v>
      </c>
      <c r="B66" s="35" t="s">
        <v>49</v>
      </c>
      <c r="C66" s="36">
        <v>85496</v>
      </c>
      <c r="D66" s="113">
        <v>9539799726</v>
      </c>
      <c r="E66" s="116">
        <f t="shared" si="11"/>
        <v>111581.82518480397</v>
      </c>
      <c r="F66" s="117">
        <v>6968048119</v>
      </c>
      <c r="G66" s="117">
        <f t="shared" si="12"/>
        <v>81501.451752128749</v>
      </c>
      <c r="H66" s="98"/>
      <c r="I66" s="109">
        <v>5.6142000000000003</v>
      </c>
      <c r="J66" s="117">
        <v>39120016</v>
      </c>
      <c r="K66" s="120">
        <f t="shared" si="13"/>
        <v>457.56545335454291</v>
      </c>
      <c r="L66" s="122">
        <f t="shared" si="6"/>
        <v>69680481.189999998</v>
      </c>
      <c r="M66" s="116">
        <f t="shared" si="7"/>
        <v>30560465.189999998</v>
      </c>
      <c r="N66" s="123">
        <f t="shared" si="3"/>
        <v>357.44906416674462</v>
      </c>
      <c r="O66" s="5"/>
      <c r="P66" s="5">
        <f t="shared" si="4"/>
        <v>1</v>
      </c>
      <c r="Q66" s="7">
        <f t="shared" si="5"/>
        <v>85496</v>
      </c>
    </row>
    <row r="67" spans="1:21">
      <c r="A67" s="23" t="s">
        <v>69</v>
      </c>
      <c r="B67" s="35" t="s">
        <v>49</v>
      </c>
      <c r="C67" s="36">
        <v>103189</v>
      </c>
      <c r="D67" s="113">
        <v>11975896243</v>
      </c>
      <c r="E67" s="116">
        <f t="shared" si="11"/>
        <v>116057.87674073788</v>
      </c>
      <c r="F67" s="117">
        <v>8993279083</v>
      </c>
      <c r="G67" s="117">
        <f t="shared" si="12"/>
        <v>87153.466774559303</v>
      </c>
      <c r="H67" s="98"/>
      <c r="I67" s="109">
        <v>4.8712</v>
      </c>
      <c r="J67" s="117">
        <v>43808061</v>
      </c>
      <c r="K67" s="120">
        <f t="shared" si="13"/>
        <v>424.54196668249523</v>
      </c>
      <c r="L67" s="122">
        <f t="shared" si="6"/>
        <v>89932790.829999998</v>
      </c>
      <c r="M67" s="116">
        <f t="shared" si="7"/>
        <v>46124729.829999998</v>
      </c>
      <c r="N67" s="123">
        <f t="shared" si="3"/>
        <v>446.9927010630978</v>
      </c>
      <c r="O67" s="5"/>
      <c r="P67" s="5">
        <f t="shared" si="4"/>
        <v>1</v>
      </c>
      <c r="Q67" s="7">
        <f t="shared" si="5"/>
        <v>103189</v>
      </c>
    </row>
    <row r="68" spans="1:21">
      <c r="A68" s="23" t="s">
        <v>70</v>
      </c>
      <c r="B68" s="35" t="s">
        <v>49</v>
      </c>
      <c r="C68" s="36">
        <v>673</v>
      </c>
      <c r="D68" s="113">
        <v>201977805</v>
      </c>
      <c r="E68" s="116">
        <f t="shared" si="11"/>
        <v>300115.60921248142</v>
      </c>
      <c r="F68" s="117">
        <v>163786758</v>
      </c>
      <c r="G68" s="117">
        <f t="shared" si="12"/>
        <v>243368.1396731055</v>
      </c>
      <c r="H68" s="98"/>
      <c r="I68" s="109">
        <v>7.5</v>
      </c>
      <c r="J68" s="117">
        <v>1228401</v>
      </c>
      <c r="K68" s="120">
        <f t="shared" si="13"/>
        <v>1825.261515601783</v>
      </c>
      <c r="L68" s="122">
        <f t="shared" si="6"/>
        <v>1637867.58</v>
      </c>
      <c r="M68" s="116">
        <f t="shared" si="7"/>
        <v>409466.58000000007</v>
      </c>
      <c r="N68" s="123">
        <f t="shared" si="3"/>
        <v>608.41988112927197</v>
      </c>
      <c r="O68" s="5"/>
      <c r="P68" s="5">
        <f t="shared" si="4"/>
        <v>1</v>
      </c>
      <c r="Q68" s="7">
        <f t="shared" si="5"/>
        <v>673</v>
      </c>
    </row>
    <row r="69" spans="1:21">
      <c r="A69" s="23" t="s">
        <v>450</v>
      </c>
      <c r="B69" s="35" t="s">
        <v>49</v>
      </c>
      <c r="C69" s="36">
        <v>7396</v>
      </c>
      <c r="D69" s="113">
        <v>1730622616</v>
      </c>
      <c r="E69" s="116">
        <f t="shared" si="11"/>
        <v>233994.40454299623</v>
      </c>
      <c r="F69" s="117">
        <v>1118429821</v>
      </c>
      <c r="G69" s="117">
        <f t="shared" si="12"/>
        <v>151220.90603028663</v>
      </c>
      <c r="H69" s="98"/>
      <c r="I69" s="109">
        <v>3.9403999999999999</v>
      </c>
      <c r="J69" s="117">
        <v>4407061</v>
      </c>
      <c r="K69" s="120">
        <f t="shared" si="13"/>
        <v>595.87087614926986</v>
      </c>
      <c r="L69" s="122">
        <f t="shared" si="6"/>
        <v>11184298.210000001</v>
      </c>
      <c r="M69" s="116">
        <f t="shared" si="7"/>
        <v>6777237.2100000009</v>
      </c>
      <c r="N69" s="123">
        <f t="shared" si="3"/>
        <v>916.33818415359667</v>
      </c>
      <c r="O69" s="5"/>
      <c r="P69" s="5">
        <f t="shared" si="4"/>
        <v>1</v>
      </c>
      <c r="Q69" s="7">
        <f t="shared" si="5"/>
        <v>7396</v>
      </c>
    </row>
    <row r="70" spans="1:21">
      <c r="A70" s="23" t="s">
        <v>71</v>
      </c>
      <c r="B70" s="35" t="s">
        <v>49</v>
      </c>
      <c r="C70" s="36">
        <v>86685</v>
      </c>
      <c r="D70" s="113">
        <v>7421074129</v>
      </c>
      <c r="E70" s="116">
        <f t="shared" si="11"/>
        <v>85609.668673934357</v>
      </c>
      <c r="F70" s="117">
        <v>5075578948</v>
      </c>
      <c r="G70" s="117">
        <f t="shared" si="12"/>
        <v>58551.986479783125</v>
      </c>
      <c r="H70" s="98"/>
      <c r="I70" s="109">
        <v>6.0542999999999996</v>
      </c>
      <c r="J70" s="117">
        <v>30729078</v>
      </c>
      <c r="K70" s="120">
        <f t="shared" si="13"/>
        <v>354.49129607198478</v>
      </c>
      <c r="L70" s="122">
        <f t="shared" si="6"/>
        <v>50755789.480000004</v>
      </c>
      <c r="M70" s="116">
        <f t="shared" si="7"/>
        <v>20026711.480000004</v>
      </c>
      <c r="N70" s="123">
        <f t="shared" ref="N70:N133" si="14">(M70/C70)</f>
        <v>231.0285687258465</v>
      </c>
      <c r="O70" s="5"/>
      <c r="P70" s="5">
        <f t="shared" ref="P70:P133" si="15">IF(I70&gt;0,1,0)</f>
        <v>1</v>
      </c>
      <c r="Q70" s="7">
        <f t="shared" ref="Q70:Q133" si="16">IF(I70&gt;0,C70,0)</f>
        <v>86685</v>
      </c>
    </row>
    <row r="71" spans="1:21">
      <c r="A71" s="23" t="s">
        <v>72</v>
      </c>
      <c r="B71" s="35" t="s">
        <v>49</v>
      </c>
      <c r="C71" s="36">
        <v>61110</v>
      </c>
      <c r="D71" s="113">
        <v>3874012882</v>
      </c>
      <c r="E71" s="116">
        <f t="shared" si="11"/>
        <v>63394.09068892162</v>
      </c>
      <c r="F71" s="118">
        <v>2539653079</v>
      </c>
      <c r="G71" s="117">
        <f t="shared" si="12"/>
        <v>41558.715087547047</v>
      </c>
      <c r="H71" s="98"/>
      <c r="I71" s="109">
        <v>7.2899000000000003</v>
      </c>
      <c r="J71" s="117">
        <v>18513817</v>
      </c>
      <c r="K71" s="120">
        <f t="shared" si="13"/>
        <v>302.95887743413516</v>
      </c>
      <c r="L71" s="122">
        <f t="shared" si="6"/>
        <v>25396530.789999999</v>
      </c>
      <c r="M71" s="116">
        <f t="shared" si="7"/>
        <v>6882713.7899999991</v>
      </c>
      <c r="N71" s="123">
        <f t="shared" si="14"/>
        <v>112.62827344133528</v>
      </c>
      <c r="O71" s="5"/>
      <c r="P71" s="5">
        <f t="shared" si="15"/>
        <v>1</v>
      </c>
      <c r="Q71" s="7">
        <f t="shared" si="16"/>
        <v>61110</v>
      </c>
    </row>
    <row r="72" spans="1:21">
      <c r="A72" s="23" t="s">
        <v>507</v>
      </c>
      <c r="B72" s="35" t="s">
        <v>49</v>
      </c>
      <c r="C72" s="36">
        <v>14286</v>
      </c>
      <c r="D72" s="113">
        <v>530505393</v>
      </c>
      <c r="E72" s="116">
        <f t="shared" si="11"/>
        <v>37134.634817303653</v>
      </c>
      <c r="F72" s="117">
        <v>346307453</v>
      </c>
      <c r="G72" s="117">
        <f t="shared" si="12"/>
        <v>24241.036889262214</v>
      </c>
      <c r="H72" s="98"/>
      <c r="I72" s="109">
        <v>9.42</v>
      </c>
      <c r="J72" s="117">
        <v>3262216</v>
      </c>
      <c r="K72" s="120">
        <f t="shared" si="13"/>
        <v>228.35055298894022</v>
      </c>
      <c r="L72" s="122">
        <f t="shared" ref="L72:L135" si="17">(F72*0.01)</f>
        <v>3463074.5300000003</v>
      </c>
      <c r="M72" s="116">
        <f t="shared" ref="M72:M135" si="18">(L72-J72)</f>
        <v>200858.53000000026</v>
      </c>
      <c r="N72" s="123">
        <f t="shared" si="14"/>
        <v>14.059815903681944</v>
      </c>
      <c r="O72" s="5"/>
      <c r="P72" s="5">
        <f t="shared" si="15"/>
        <v>1</v>
      </c>
      <c r="Q72" s="7">
        <f t="shared" si="16"/>
        <v>14286</v>
      </c>
    </row>
    <row r="73" spans="1:21">
      <c r="A73" s="23" t="s">
        <v>73</v>
      </c>
      <c r="B73" s="35" t="s">
        <v>49</v>
      </c>
      <c r="C73" s="36">
        <v>65677</v>
      </c>
      <c r="D73" s="113">
        <v>8898967657</v>
      </c>
      <c r="E73" s="116">
        <f t="shared" si="11"/>
        <v>135495.95226639463</v>
      </c>
      <c r="F73" s="117">
        <v>6706786482</v>
      </c>
      <c r="G73" s="117">
        <f t="shared" si="12"/>
        <v>102117.73500616655</v>
      </c>
      <c r="H73" s="98"/>
      <c r="I73" s="109">
        <v>2</v>
      </c>
      <c r="J73" s="117">
        <v>13413573</v>
      </c>
      <c r="K73" s="120">
        <f t="shared" si="13"/>
        <v>204.23547056047019</v>
      </c>
      <c r="L73" s="122">
        <f t="shared" si="17"/>
        <v>67067864.82</v>
      </c>
      <c r="M73" s="116">
        <f t="shared" si="18"/>
        <v>53654291.82</v>
      </c>
      <c r="N73" s="123">
        <f t="shared" si="14"/>
        <v>816.94187950119522</v>
      </c>
      <c r="O73" s="5"/>
      <c r="P73" s="5">
        <f t="shared" si="15"/>
        <v>1</v>
      </c>
      <c r="Q73" s="7">
        <f t="shared" si="16"/>
        <v>65677</v>
      </c>
    </row>
    <row r="74" spans="1:21">
      <c r="A74" s="23" t="s">
        <v>74</v>
      </c>
      <c r="B74" s="35" t="s">
        <v>49</v>
      </c>
      <c r="C74" s="36">
        <v>11989</v>
      </c>
      <c r="D74" s="113">
        <v>1393841718</v>
      </c>
      <c r="E74" s="116">
        <f t="shared" si="11"/>
        <v>116260.04821085995</v>
      </c>
      <c r="F74" s="117">
        <v>931961518</v>
      </c>
      <c r="G74" s="117">
        <f t="shared" si="12"/>
        <v>77734.716656935518</v>
      </c>
      <c r="H74" s="98"/>
      <c r="I74" s="109">
        <v>6.2165999999999997</v>
      </c>
      <c r="J74" s="117">
        <v>5793632</v>
      </c>
      <c r="K74" s="120">
        <f t="shared" si="13"/>
        <v>483.24564183835184</v>
      </c>
      <c r="L74" s="122">
        <f t="shared" si="17"/>
        <v>9319615.1799999997</v>
      </c>
      <c r="M74" s="116">
        <f t="shared" si="18"/>
        <v>3525983.1799999997</v>
      </c>
      <c r="N74" s="123">
        <f t="shared" si="14"/>
        <v>294.10152473100339</v>
      </c>
      <c r="O74" s="5"/>
      <c r="P74" s="5">
        <f t="shared" si="15"/>
        <v>1</v>
      </c>
      <c r="Q74" s="7">
        <f t="shared" si="16"/>
        <v>11989</v>
      </c>
      <c r="S74" s="124">
        <f>SUM(D44:D74)</f>
        <v>182730596597</v>
      </c>
      <c r="T74" s="124">
        <f>SUM(F44:F74)</f>
        <v>131150818357</v>
      </c>
      <c r="U74" s="124">
        <f>SUM(J44:J74)</f>
        <v>696663905</v>
      </c>
    </row>
    <row r="75" spans="1:21">
      <c r="A75" s="23" t="s">
        <v>75</v>
      </c>
      <c r="B75" s="35" t="s">
        <v>76</v>
      </c>
      <c r="C75" s="36">
        <v>564</v>
      </c>
      <c r="D75" s="114" t="s">
        <v>564</v>
      </c>
      <c r="E75" s="116"/>
      <c r="F75" s="117"/>
      <c r="G75" s="117"/>
      <c r="H75" s="98" t="s">
        <v>588</v>
      </c>
      <c r="I75" s="109"/>
      <c r="J75" s="117"/>
      <c r="K75" s="120"/>
      <c r="L75" s="122">
        <f t="shared" si="17"/>
        <v>0</v>
      </c>
      <c r="M75" s="116">
        <f t="shared" si="18"/>
        <v>0</v>
      </c>
      <c r="N75" s="123">
        <f t="shared" si="14"/>
        <v>0</v>
      </c>
      <c r="O75" s="5"/>
      <c r="P75" s="5">
        <f t="shared" si="15"/>
        <v>0</v>
      </c>
      <c r="Q75" s="7">
        <f t="shared" si="16"/>
        <v>0</v>
      </c>
    </row>
    <row r="76" spans="1:21">
      <c r="A76" s="23" t="s">
        <v>77</v>
      </c>
      <c r="B76" s="35" t="s">
        <v>76</v>
      </c>
      <c r="C76" s="36">
        <v>2503</v>
      </c>
      <c r="D76" s="113">
        <v>107510356</v>
      </c>
      <c r="E76" s="116">
        <f t="shared" ref="E76:E82" si="19">(D76/C76)</f>
        <v>42952.599280862967</v>
      </c>
      <c r="F76" s="117">
        <v>60258918</v>
      </c>
      <c r="G76" s="117">
        <f t="shared" ref="G76:G82" si="20">(F76/C76)</f>
        <v>24074.677586895727</v>
      </c>
      <c r="H76" s="7"/>
      <c r="I76" s="109">
        <v>1.5</v>
      </c>
      <c r="J76" s="117">
        <v>90388</v>
      </c>
      <c r="K76" s="120">
        <f t="shared" ref="K76:K82" si="21">(J76/C76)</f>
        <v>36.111865761086698</v>
      </c>
      <c r="L76" s="122">
        <f t="shared" si="17"/>
        <v>602589.18000000005</v>
      </c>
      <c r="M76" s="116">
        <f t="shared" si="18"/>
        <v>512201.18000000005</v>
      </c>
      <c r="N76" s="123">
        <f t="shared" si="14"/>
        <v>204.63491010787058</v>
      </c>
      <c r="O76" s="5"/>
      <c r="P76" s="5">
        <f t="shared" si="15"/>
        <v>1</v>
      </c>
      <c r="Q76" s="7">
        <f t="shared" si="16"/>
        <v>2503</v>
      </c>
      <c r="S76" s="124">
        <f>SUM(D75:D76)</f>
        <v>107510356</v>
      </c>
      <c r="T76" s="124">
        <f>SUM(F75:F76)</f>
        <v>60258918</v>
      </c>
      <c r="U76" s="124">
        <f>SUM(J75:J76)</f>
        <v>90388</v>
      </c>
    </row>
    <row r="77" spans="1:21">
      <c r="A77" s="23" t="s">
        <v>78</v>
      </c>
      <c r="B77" s="35" t="s">
        <v>79</v>
      </c>
      <c r="C77" s="36">
        <v>17087</v>
      </c>
      <c r="D77" s="113">
        <v>3115598692</v>
      </c>
      <c r="E77" s="116">
        <f t="shared" si="19"/>
        <v>182337.37297360567</v>
      </c>
      <c r="F77" s="117">
        <v>2308224076</v>
      </c>
      <c r="G77" s="117">
        <f t="shared" si="20"/>
        <v>135086.56147948734</v>
      </c>
      <c r="H77" s="7"/>
      <c r="I77" s="109">
        <v>3.1968999999999999</v>
      </c>
      <c r="J77" s="117">
        <v>7379162</v>
      </c>
      <c r="K77" s="120">
        <f t="shared" si="21"/>
        <v>431.85825481360098</v>
      </c>
      <c r="L77" s="122">
        <f t="shared" si="17"/>
        <v>23082240.760000002</v>
      </c>
      <c r="M77" s="116">
        <f t="shared" si="18"/>
        <v>15703078.760000002</v>
      </c>
      <c r="N77" s="123">
        <f t="shared" si="14"/>
        <v>919.00735998127243</v>
      </c>
      <c r="O77" s="5"/>
      <c r="P77" s="5">
        <f t="shared" si="15"/>
        <v>1</v>
      </c>
      <c r="Q77" s="7">
        <f t="shared" si="16"/>
        <v>17087</v>
      </c>
      <c r="S77" s="124">
        <f>SUM(D77)</f>
        <v>3115598692</v>
      </c>
      <c r="T77" s="124">
        <f>SUM(F77)</f>
        <v>2308224076</v>
      </c>
      <c r="U77" s="124">
        <f>SUM(J77)</f>
        <v>7379162</v>
      </c>
    </row>
    <row r="78" spans="1:21">
      <c r="A78" s="23" t="s">
        <v>80</v>
      </c>
      <c r="B78" s="35" t="s">
        <v>81</v>
      </c>
      <c r="C78" s="36">
        <v>3056</v>
      </c>
      <c r="D78" s="113">
        <v>570641777</v>
      </c>
      <c r="E78" s="116">
        <f t="shared" si="19"/>
        <v>186728.33017015707</v>
      </c>
      <c r="F78" s="117">
        <v>431013256</v>
      </c>
      <c r="G78" s="117">
        <f t="shared" si="20"/>
        <v>141038.36910994764</v>
      </c>
      <c r="H78" s="7"/>
      <c r="I78" s="110">
        <v>3.8</v>
      </c>
      <c r="J78" s="117">
        <v>1637850</v>
      </c>
      <c r="K78" s="120">
        <f t="shared" si="21"/>
        <v>535.94568062827227</v>
      </c>
      <c r="L78" s="122">
        <f t="shared" si="17"/>
        <v>4310132.5600000005</v>
      </c>
      <c r="M78" s="116">
        <f t="shared" si="18"/>
        <v>2672282.5600000005</v>
      </c>
      <c r="N78" s="123">
        <f t="shared" si="14"/>
        <v>874.43801047120439</v>
      </c>
      <c r="O78" s="5"/>
      <c r="P78" s="5">
        <f t="shared" si="15"/>
        <v>1</v>
      </c>
      <c r="Q78" s="7">
        <f t="shared" si="16"/>
        <v>3056</v>
      </c>
    </row>
    <row r="79" spans="1:21">
      <c r="A79" s="23" t="s">
        <v>82</v>
      </c>
      <c r="B79" s="35" t="s">
        <v>81</v>
      </c>
      <c r="C79" s="36">
        <v>7186</v>
      </c>
      <c r="D79" s="113">
        <v>651968002</v>
      </c>
      <c r="E79" s="116">
        <f t="shared" si="19"/>
        <v>90727.52602282216</v>
      </c>
      <c r="F79" s="117">
        <v>345532051</v>
      </c>
      <c r="G79" s="117">
        <f t="shared" si="20"/>
        <v>48084.059421096579</v>
      </c>
      <c r="H79" s="7"/>
      <c r="I79" s="109">
        <v>6.4954999999999998</v>
      </c>
      <c r="J79" s="117">
        <v>2244403</v>
      </c>
      <c r="K79" s="120">
        <f t="shared" si="21"/>
        <v>312.32994711939881</v>
      </c>
      <c r="L79" s="122">
        <f t="shared" si="17"/>
        <v>3455320.5100000002</v>
      </c>
      <c r="M79" s="116">
        <f t="shared" si="18"/>
        <v>1210917.5100000002</v>
      </c>
      <c r="N79" s="123">
        <f t="shared" si="14"/>
        <v>168.51064709156697</v>
      </c>
      <c r="O79" s="5"/>
      <c r="P79" s="5">
        <f t="shared" si="15"/>
        <v>1</v>
      </c>
      <c r="Q79" s="7">
        <f t="shared" si="16"/>
        <v>7186</v>
      </c>
      <c r="S79" s="124">
        <f>SUM(D78:D79)</f>
        <v>1222609779</v>
      </c>
      <c r="T79" s="124">
        <f>SUM(F78:F79)</f>
        <v>776545307</v>
      </c>
      <c r="U79" s="124">
        <f>SUM(J78:J79)</f>
        <v>3882253</v>
      </c>
    </row>
    <row r="80" spans="1:21">
      <c r="A80" s="23" t="s">
        <v>83</v>
      </c>
      <c r="B80" s="35" t="s">
        <v>84</v>
      </c>
      <c r="C80" s="36">
        <v>6960</v>
      </c>
      <c r="D80" s="113">
        <v>484822151</v>
      </c>
      <c r="E80" s="116">
        <f t="shared" si="19"/>
        <v>69658.355028735634</v>
      </c>
      <c r="F80" s="117">
        <v>326309541</v>
      </c>
      <c r="G80" s="117">
        <f t="shared" si="20"/>
        <v>46883.55474137931</v>
      </c>
      <c r="H80" s="7"/>
      <c r="I80" s="109">
        <v>2.9821</v>
      </c>
      <c r="J80" s="117">
        <v>973088</v>
      </c>
      <c r="K80" s="120">
        <f t="shared" si="21"/>
        <v>139.81149425287356</v>
      </c>
      <c r="L80" s="122">
        <f t="shared" si="17"/>
        <v>3263095.41</v>
      </c>
      <c r="M80" s="116">
        <f t="shared" si="18"/>
        <v>2290007.41</v>
      </c>
      <c r="N80" s="123">
        <f t="shared" si="14"/>
        <v>329.02405316091955</v>
      </c>
      <c r="O80" s="5"/>
      <c r="P80" s="5">
        <f t="shared" si="15"/>
        <v>1</v>
      </c>
      <c r="Q80" s="7">
        <f t="shared" si="16"/>
        <v>6960</v>
      </c>
    </row>
    <row r="81" spans="1:21">
      <c r="A81" s="23" t="s">
        <v>85</v>
      </c>
      <c r="B81" s="35" t="s">
        <v>84</v>
      </c>
      <c r="C81" s="36">
        <v>1336</v>
      </c>
      <c r="D81" s="113">
        <v>86596338</v>
      </c>
      <c r="E81" s="116">
        <f t="shared" si="19"/>
        <v>64817.61826347305</v>
      </c>
      <c r="F81" s="117">
        <v>51439223</v>
      </c>
      <c r="G81" s="117">
        <f t="shared" si="20"/>
        <v>38502.412425149698</v>
      </c>
      <c r="H81" s="7"/>
      <c r="I81" s="109">
        <v>2.9</v>
      </c>
      <c r="J81" s="117">
        <v>149175</v>
      </c>
      <c r="K81" s="120">
        <f t="shared" si="21"/>
        <v>111.65793413173652</v>
      </c>
      <c r="L81" s="122">
        <f t="shared" si="17"/>
        <v>514392.23000000004</v>
      </c>
      <c r="M81" s="116">
        <f t="shared" si="18"/>
        <v>365217.23000000004</v>
      </c>
      <c r="N81" s="123">
        <f t="shared" si="14"/>
        <v>273.36619011976052</v>
      </c>
      <c r="O81" s="5"/>
      <c r="P81" s="5">
        <f t="shared" si="15"/>
        <v>1</v>
      </c>
      <c r="Q81" s="7">
        <f t="shared" si="16"/>
        <v>1336</v>
      </c>
    </row>
    <row r="82" spans="1:21">
      <c r="A82" s="23" t="s">
        <v>86</v>
      </c>
      <c r="B82" s="35" t="s">
        <v>84</v>
      </c>
      <c r="C82" s="36">
        <v>8419</v>
      </c>
      <c r="D82" s="113">
        <v>701110989</v>
      </c>
      <c r="E82" s="116">
        <f t="shared" si="19"/>
        <v>83277.22876826227</v>
      </c>
      <c r="F82" s="117">
        <v>456084209</v>
      </c>
      <c r="G82" s="117">
        <f t="shared" si="20"/>
        <v>54173.204537355981</v>
      </c>
      <c r="H82" s="9"/>
      <c r="I82" s="109">
        <v>6.2712000000000003</v>
      </c>
      <c r="J82" s="117">
        <v>2860195</v>
      </c>
      <c r="K82" s="120">
        <f t="shared" si="21"/>
        <v>339.73096567288275</v>
      </c>
      <c r="L82" s="122">
        <f t="shared" si="17"/>
        <v>4560842.09</v>
      </c>
      <c r="M82" s="116">
        <f t="shared" si="18"/>
        <v>1700647.0899999999</v>
      </c>
      <c r="N82" s="123">
        <f t="shared" si="14"/>
        <v>202.00107970067702</v>
      </c>
      <c r="O82" s="5"/>
      <c r="P82" s="5">
        <f t="shared" si="15"/>
        <v>1</v>
      </c>
      <c r="Q82" s="7">
        <f t="shared" si="16"/>
        <v>8419</v>
      </c>
    </row>
    <row r="83" spans="1:21">
      <c r="A83" s="23" t="s">
        <v>87</v>
      </c>
      <c r="B83" s="35" t="s">
        <v>84</v>
      </c>
      <c r="C83" s="36">
        <v>741</v>
      </c>
      <c r="D83" s="114" t="s">
        <v>564</v>
      </c>
      <c r="E83" s="116"/>
      <c r="F83" s="117"/>
      <c r="G83" s="117"/>
      <c r="H83" s="98" t="s">
        <v>588</v>
      </c>
      <c r="I83" s="109"/>
      <c r="J83" s="117"/>
      <c r="K83" s="120"/>
      <c r="L83" s="122">
        <f t="shared" si="17"/>
        <v>0</v>
      </c>
      <c r="M83" s="116">
        <f t="shared" si="18"/>
        <v>0</v>
      </c>
      <c r="N83" s="123">
        <f t="shared" si="14"/>
        <v>0</v>
      </c>
      <c r="O83" s="5"/>
      <c r="P83" s="5">
        <f t="shared" si="15"/>
        <v>0</v>
      </c>
      <c r="Q83" s="7">
        <f t="shared" si="16"/>
        <v>0</v>
      </c>
      <c r="S83" s="124">
        <f>SUM(D80:D83)</f>
        <v>1272529478</v>
      </c>
      <c r="T83" s="124">
        <f>SUM(F80:F83)</f>
        <v>833832973</v>
      </c>
      <c r="U83" s="124">
        <f>SUM(J80:J83)</f>
        <v>3982458</v>
      </c>
    </row>
    <row r="84" spans="1:21">
      <c r="A84" s="23" t="s">
        <v>88</v>
      </c>
      <c r="B84" s="35" t="s">
        <v>89</v>
      </c>
      <c r="C84" s="36">
        <v>409</v>
      </c>
      <c r="D84" s="113">
        <v>118636475</v>
      </c>
      <c r="E84" s="116">
        <f>(D84/C84)</f>
        <v>290064.73105134472</v>
      </c>
      <c r="F84" s="117">
        <v>82230419</v>
      </c>
      <c r="G84" s="117">
        <f>(F84/C84)</f>
        <v>201052.36919315404</v>
      </c>
      <c r="H84" s="7"/>
      <c r="I84" s="109">
        <v>3.9851000000000001</v>
      </c>
      <c r="J84" s="117">
        <v>327696</v>
      </c>
      <c r="K84" s="120">
        <f>(J84/C84)</f>
        <v>801.2127139364303</v>
      </c>
      <c r="L84" s="122">
        <f t="shared" si="17"/>
        <v>822304.19000000006</v>
      </c>
      <c r="M84" s="116">
        <f t="shared" si="18"/>
        <v>494608.19000000006</v>
      </c>
      <c r="N84" s="123">
        <f t="shared" si="14"/>
        <v>1209.3109779951101</v>
      </c>
      <c r="O84" s="5"/>
      <c r="P84" s="5">
        <f t="shared" si="15"/>
        <v>1</v>
      </c>
      <c r="Q84" s="7">
        <f t="shared" si="16"/>
        <v>409</v>
      </c>
    </row>
    <row r="85" spans="1:21">
      <c r="A85" s="23" t="s">
        <v>90</v>
      </c>
      <c r="B85" s="35" t="s">
        <v>89</v>
      </c>
      <c r="C85" s="36">
        <v>16556</v>
      </c>
      <c r="D85" s="113">
        <v>8423312684</v>
      </c>
      <c r="E85" s="116">
        <f>(D85/C85)</f>
        <v>508777.04058951436</v>
      </c>
      <c r="F85" s="117">
        <v>7544431687</v>
      </c>
      <c r="G85" s="117">
        <f>(F85/C85)</f>
        <v>455691.69406861562</v>
      </c>
      <c r="H85" s="7"/>
      <c r="I85" s="109">
        <v>1.96</v>
      </c>
      <c r="J85" s="117">
        <v>14787086</v>
      </c>
      <c r="K85" s="120">
        <f>(J85/C85)</f>
        <v>893.15571394056531</v>
      </c>
      <c r="L85" s="122">
        <f t="shared" si="17"/>
        <v>75444316.870000005</v>
      </c>
      <c r="M85" s="116">
        <f t="shared" si="18"/>
        <v>60657230.870000005</v>
      </c>
      <c r="N85" s="123">
        <f t="shared" si="14"/>
        <v>3663.7612267455911</v>
      </c>
      <c r="O85" s="5"/>
      <c r="P85" s="5">
        <f t="shared" si="15"/>
        <v>1</v>
      </c>
      <c r="Q85" s="7">
        <f t="shared" si="16"/>
        <v>16556</v>
      </c>
    </row>
    <row r="86" spans="1:21">
      <c r="A86" s="23" t="s">
        <v>91</v>
      </c>
      <c r="B86" s="35" t="s">
        <v>89</v>
      </c>
      <c r="C86" s="36">
        <v>19595</v>
      </c>
      <c r="D86" s="113">
        <v>18961317227</v>
      </c>
      <c r="E86" s="116">
        <f>(D86/C86)</f>
        <v>967660.99652972701</v>
      </c>
      <c r="F86" s="117">
        <v>15811517365</v>
      </c>
      <c r="G86" s="117">
        <f>(F86/C86)</f>
        <v>806915.91553967854</v>
      </c>
      <c r="H86" s="9"/>
      <c r="I86" s="110">
        <v>1.18</v>
      </c>
      <c r="J86" s="117">
        <v>18657590</v>
      </c>
      <c r="K86" s="120">
        <f>(J86/C86)</f>
        <v>952.160755294718</v>
      </c>
      <c r="L86" s="122">
        <f t="shared" si="17"/>
        <v>158115173.65000001</v>
      </c>
      <c r="M86" s="116">
        <f t="shared" si="18"/>
        <v>139457583.65000001</v>
      </c>
      <c r="N86" s="123">
        <f t="shared" si="14"/>
        <v>7116.9984001020675</v>
      </c>
      <c r="O86" s="5"/>
      <c r="P86" s="5">
        <f t="shared" si="15"/>
        <v>1</v>
      </c>
      <c r="Q86" s="7">
        <f t="shared" si="16"/>
        <v>19595</v>
      </c>
      <c r="S86" s="124">
        <f>SUM(D84:D86)</f>
        <v>27503266386</v>
      </c>
      <c r="T86" s="124">
        <f>SUM(F84:F86)</f>
        <v>23438179471</v>
      </c>
      <c r="U86" s="124">
        <f>SUM(J84:J86)</f>
        <v>33772372</v>
      </c>
    </row>
    <row r="87" spans="1:21">
      <c r="A87" s="23" t="s">
        <v>92</v>
      </c>
      <c r="B87" s="35" t="s">
        <v>93</v>
      </c>
      <c r="C87" s="36">
        <v>558</v>
      </c>
      <c r="D87" s="114" t="s">
        <v>564</v>
      </c>
      <c r="E87" s="116"/>
      <c r="F87" s="117"/>
      <c r="G87" s="117"/>
      <c r="H87" s="98" t="s">
        <v>588</v>
      </c>
      <c r="I87" s="109"/>
      <c r="J87" s="117"/>
      <c r="K87" s="120"/>
      <c r="L87" s="122">
        <f t="shared" si="17"/>
        <v>0</v>
      </c>
      <c r="M87" s="116">
        <f t="shared" si="18"/>
        <v>0</v>
      </c>
      <c r="N87" s="123">
        <f t="shared" si="14"/>
        <v>0</v>
      </c>
      <c r="O87" s="5"/>
      <c r="P87" s="5">
        <f t="shared" si="15"/>
        <v>0</v>
      </c>
      <c r="Q87" s="7">
        <f t="shared" si="16"/>
        <v>0</v>
      </c>
    </row>
    <row r="88" spans="1:21">
      <c r="A88" s="23" t="s">
        <v>94</v>
      </c>
      <c r="B88" s="35" t="s">
        <v>93</v>
      </c>
      <c r="C88" s="36">
        <v>11931</v>
      </c>
      <c r="D88" s="113">
        <v>1029449438</v>
      </c>
      <c r="E88" s="116">
        <f t="shared" ref="E88:E93" si="22">(D88/C88)</f>
        <v>86283.583773363513</v>
      </c>
      <c r="F88" s="117">
        <v>716823577</v>
      </c>
      <c r="G88" s="117">
        <f t="shared" ref="G88:G93" si="23">(F88/C88)</f>
        <v>60080.762467521585</v>
      </c>
      <c r="H88" s="7"/>
      <c r="I88" s="109">
        <v>3.9815999999999998</v>
      </c>
      <c r="J88" s="117">
        <v>2854105</v>
      </c>
      <c r="K88" s="120">
        <f t="shared" ref="K88:K93" si="24">(J88/C88)</f>
        <v>239.21758444388567</v>
      </c>
      <c r="L88" s="122">
        <f t="shared" si="17"/>
        <v>7168235.7700000005</v>
      </c>
      <c r="M88" s="116">
        <f t="shared" si="18"/>
        <v>4314130.7700000005</v>
      </c>
      <c r="N88" s="123">
        <f t="shared" si="14"/>
        <v>361.59004023133019</v>
      </c>
      <c r="O88" s="5"/>
      <c r="P88" s="5">
        <f t="shared" si="15"/>
        <v>1</v>
      </c>
      <c r="Q88" s="7">
        <f t="shared" si="16"/>
        <v>11931</v>
      </c>
      <c r="S88" s="124">
        <f>SUM(D87:D88)</f>
        <v>1029449438</v>
      </c>
      <c r="T88" s="124">
        <f>SUM(F87:F88)</f>
        <v>716823577</v>
      </c>
      <c r="U88" s="124">
        <f>SUM(J87:J88)</f>
        <v>2854105</v>
      </c>
    </row>
    <row r="89" spans="1:21">
      <c r="A89" s="23" t="s">
        <v>95</v>
      </c>
      <c r="B89" s="37" t="s">
        <v>575</v>
      </c>
      <c r="C89" s="36">
        <v>7540</v>
      </c>
      <c r="D89" s="113">
        <v>321164245</v>
      </c>
      <c r="E89" s="116">
        <f t="shared" si="22"/>
        <v>42594.727453580905</v>
      </c>
      <c r="F89" s="117">
        <v>175697984</v>
      </c>
      <c r="G89" s="117">
        <f t="shared" si="23"/>
        <v>23302.119893899206</v>
      </c>
      <c r="H89" s="8"/>
      <c r="I89" s="109">
        <v>8.6693999999999996</v>
      </c>
      <c r="J89" s="117">
        <v>1523196</v>
      </c>
      <c r="K89" s="120">
        <f t="shared" si="24"/>
        <v>202.01538461538462</v>
      </c>
      <c r="L89" s="122">
        <f t="shared" si="17"/>
        <v>1756979.84</v>
      </c>
      <c r="M89" s="116">
        <f t="shared" si="18"/>
        <v>233783.84000000008</v>
      </c>
      <c r="N89" s="123">
        <f t="shared" si="14"/>
        <v>31.005814323607439</v>
      </c>
      <c r="O89" s="5"/>
      <c r="P89" s="5">
        <f t="shared" si="15"/>
        <v>1</v>
      </c>
      <c r="Q89" s="7">
        <f t="shared" si="16"/>
        <v>7540</v>
      </c>
      <c r="S89" s="124">
        <f>SUM(D89)</f>
        <v>321164245</v>
      </c>
      <c r="T89" s="124">
        <f>SUM(F89)</f>
        <v>175697984</v>
      </c>
      <c r="U89" s="124">
        <f>SUM(J89)</f>
        <v>1523196</v>
      </c>
    </row>
    <row r="90" spans="1:21">
      <c r="A90" s="23" t="s">
        <v>96</v>
      </c>
      <c r="B90" s="35" t="s">
        <v>97</v>
      </c>
      <c r="C90" s="36">
        <v>1713</v>
      </c>
      <c r="D90" s="113">
        <v>68937810</v>
      </c>
      <c r="E90" s="116">
        <f t="shared" si="22"/>
        <v>40243.905429071805</v>
      </c>
      <c r="F90" s="117">
        <v>26985384</v>
      </c>
      <c r="G90" s="117">
        <f t="shared" si="23"/>
        <v>15753.288966725044</v>
      </c>
      <c r="H90" s="8"/>
      <c r="I90" s="109">
        <v>7</v>
      </c>
      <c r="J90" s="117">
        <v>188898</v>
      </c>
      <c r="K90" s="120">
        <f t="shared" si="24"/>
        <v>110.27320490367777</v>
      </c>
      <c r="L90" s="122">
        <f t="shared" si="17"/>
        <v>269853.84000000003</v>
      </c>
      <c r="M90" s="116">
        <f t="shared" si="18"/>
        <v>80955.840000000026</v>
      </c>
      <c r="N90" s="123">
        <f t="shared" si="14"/>
        <v>47.259684763572693</v>
      </c>
      <c r="O90" s="5"/>
      <c r="P90" s="5">
        <f t="shared" si="15"/>
        <v>1</v>
      </c>
      <c r="Q90" s="7">
        <f t="shared" si="16"/>
        <v>1713</v>
      </c>
    </row>
    <row r="91" spans="1:21">
      <c r="A91" s="23" t="s">
        <v>98</v>
      </c>
      <c r="B91" s="35" t="s">
        <v>97</v>
      </c>
      <c r="C91" s="36">
        <v>165</v>
      </c>
      <c r="D91" s="113">
        <v>50076473</v>
      </c>
      <c r="E91" s="116">
        <f t="shared" si="22"/>
        <v>303493.77575757576</v>
      </c>
      <c r="F91" s="117">
        <v>41628169</v>
      </c>
      <c r="G91" s="117">
        <f t="shared" si="23"/>
        <v>252291.93333333332</v>
      </c>
      <c r="H91" s="9"/>
      <c r="I91" s="110">
        <v>3</v>
      </c>
      <c r="J91" s="117">
        <v>124885</v>
      </c>
      <c r="K91" s="120">
        <f t="shared" si="24"/>
        <v>756.87878787878788</v>
      </c>
      <c r="L91" s="122">
        <f t="shared" si="17"/>
        <v>416281.69</v>
      </c>
      <c r="M91" s="116">
        <f t="shared" si="18"/>
        <v>291396.69</v>
      </c>
      <c r="N91" s="123">
        <f t="shared" si="14"/>
        <v>1766.0405454545455</v>
      </c>
      <c r="O91" s="5"/>
      <c r="P91" s="5">
        <f t="shared" si="15"/>
        <v>1</v>
      </c>
      <c r="Q91" s="7">
        <f t="shared" si="16"/>
        <v>165</v>
      </c>
      <c r="S91" s="124">
        <f>SUM(D90:D91)</f>
        <v>119014283</v>
      </c>
      <c r="T91" s="124">
        <f>SUM(F90:F91)</f>
        <v>68613553</v>
      </c>
      <c r="U91" s="124">
        <f>SUM(J90:J91)</f>
        <v>313783</v>
      </c>
    </row>
    <row r="92" spans="1:21">
      <c r="A92" s="23" t="s">
        <v>99</v>
      </c>
      <c r="B92" s="35" t="s">
        <v>100</v>
      </c>
      <c r="C92" s="36">
        <v>12851</v>
      </c>
      <c r="D92" s="113">
        <v>1658936742</v>
      </c>
      <c r="E92" s="116">
        <f t="shared" si="22"/>
        <v>129090.08964282935</v>
      </c>
      <c r="F92" s="117">
        <v>1202447380</v>
      </c>
      <c r="G92" s="117">
        <f t="shared" si="23"/>
        <v>93568.39000855964</v>
      </c>
      <c r="H92" s="9"/>
      <c r="I92" s="109">
        <v>3.3285</v>
      </c>
      <c r="J92" s="117">
        <v>4002346</v>
      </c>
      <c r="K92" s="120">
        <f t="shared" si="24"/>
        <v>311.44237802505643</v>
      </c>
      <c r="L92" s="122">
        <f t="shared" si="17"/>
        <v>12024473.800000001</v>
      </c>
      <c r="M92" s="116">
        <f t="shared" si="18"/>
        <v>8022127.8000000007</v>
      </c>
      <c r="N92" s="123">
        <f t="shared" si="14"/>
        <v>624.24152206054009</v>
      </c>
      <c r="O92" s="5"/>
      <c r="P92" s="5">
        <f t="shared" si="15"/>
        <v>1</v>
      </c>
      <c r="Q92" s="7">
        <f t="shared" si="16"/>
        <v>12851</v>
      </c>
    </row>
    <row r="93" spans="1:21">
      <c r="A93" s="23" t="s">
        <v>101</v>
      </c>
      <c r="B93" s="35" t="s">
        <v>100</v>
      </c>
      <c r="C93" s="36">
        <v>1409</v>
      </c>
      <c r="D93" s="113">
        <v>77964323</v>
      </c>
      <c r="E93" s="116">
        <f t="shared" si="22"/>
        <v>55333.089425124199</v>
      </c>
      <c r="F93" s="117">
        <v>40670644</v>
      </c>
      <c r="G93" s="117">
        <f t="shared" si="23"/>
        <v>28864.899929027681</v>
      </c>
      <c r="H93" s="9"/>
      <c r="I93" s="109">
        <v>3.1556000000000002</v>
      </c>
      <c r="J93" s="117">
        <v>128340</v>
      </c>
      <c r="K93" s="120">
        <f t="shared" si="24"/>
        <v>91.085876508161817</v>
      </c>
      <c r="L93" s="122">
        <f t="shared" si="17"/>
        <v>406706.44</v>
      </c>
      <c r="M93" s="116">
        <f t="shared" si="18"/>
        <v>278366.44</v>
      </c>
      <c r="N93" s="123">
        <f t="shared" si="14"/>
        <v>197.56312278211499</v>
      </c>
      <c r="O93" s="5"/>
      <c r="P93" s="5">
        <f t="shared" si="15"/>
        <v>1</v>
      </c>
      <c r="Q93" s="7">
        <f t="shared" si="16"/>
        <v>1409</v>
      </c>
    </row>
    <row r="94" spans="1:21">
      <c r="A94" s="23" t="s">
        <v>102</v>
      </c>
      <c r="B94" s="35" t="s">
        <v>100</v>
      </c>
      <c r="C94" s="36">
        <v>832993</v>
      </c>
      <c r="D94" s="115" t="s">
        <v>586</v>
      </c>
      <c r="E94" s="116"/>
      <c r="F94" s="117"/>
      <c r="G94" s="117"/>
      <c r="H94" s="9"/>
      <c r="I94" s="109"/>
      <c r="J94" s="117"/>
      <c r="K94" s="120"/>
      <c r="L94" s="122">
        <f t="shared" si="17"/>
        <v>0</v>
      </c>
      <c r="M94" s="116">
        <f t="shared" si="18"/>
        <v>0</v>
      </c>
      <c r="N94" s="123">
        <f t="shared" si="14"/>
        <v>0</v>
      </c>
      <c r="O94" s="5"/>
      <c r="P94" s="5">
        <f t="shared" si="15"/>
        <v>0</v>
      </c>
      <c r="Q94" s="7">
        <f t="shared" si="16"/>
        <v>0</v>
      </c>
    </row>
    <row r="95" spans="1:21">
      <c r="A95" s="23" t="s">
        <v>103</v>
      </c>
      <c r="B95" s="35" t="s">
        <v>100</v>
      </c>
      <c r="C95" s="36">
        <v>21713</v>
      </c>
      <c r="D95" s="113">
        <v>3345023612</v>
      </c>
      <c r="E95" s="116">
        <f t="shared" ref="E95:E133" si="25">(D95/C95)</f>
        <v>154056.26177865794</v>
      </c>
      <c r="F95" s="117">
        <v>2482328594</v>
      </c>
      <c r="G95" s="117">
        <f t="shared" ref="G95:G133" si="26">(F95/C95)</f>
        <v>114324.53341316262</v>
      </c>
      <c r="H95" s="9"/>
      <c r="I95" s="109">
        <v>4.0946999999999996</v>
      </c>
      <c r="J95" s="117">
        <v>10164391</v>
      </c>
      <c r="K95" s="120">
        <f t="shared" ref="K95:K133" si="27">(J95/C95)</f>
        <v>468.1246718555704</v>
      </c>
      <c r="L95" s="122">
        <f t="shared" si="17"/>
        <v>24823285.940000001</v>
      </c>
      <c r="M95" s="116">
        <f t="shared" si="18"/>
        <v>14658894.940000001</v>
      </c>
      <c r="N95" s="123">
        <f t="shared" si="14"/>
        <v>675.1206622760559</v>
      </c>
      <c r="O95" s="5"/>
      <c r="P95" s="5">
        <f t="shared" si="15"/>
        <v>1</v>
      </c>
      <c r="Q95" s="7">
        <f t="shared" si="16"/>
        <v>21713</v>
      </c>
    </row>
    <row r="96" spans="1:21">
      <c r="A96" s="23" t="s">
        <v>104</v>
      </c>
      <c r="B96" s="35" t="s">
        <v>100</v>
      </c>
      <c r="C96" s="36">
        <v>7109</v>
      </c>
      <c r="D96" s="113">
        <v>909227844</v>
      </c>
      <c r="E96" s="116">
        <f t="shared" si="25"/>
        <v>127898.13532142354</v>
      </c>
      <c r="F96" s="117">
        <v>637149093</v>
      </c>
      <c r="G96" s="117">
        <f t="shared" si="26"/>
        <v>89625.698832465889</v>
      </c>
      <c r="H96" s="7"/>
      <c r="I96" s="109">
        <v>3.3755999999999999</v>
      </c>
      <c r="J96" s="117">
        <v>2150760</v>
      </c>
      <c r="K96" s="120">
        <f t="shared" si="27"/>
        <v>302.54044169362777</v>
      </c>
      <c r="L96" s="122">
        <f t="shared" si="17"/>
        <v>6371490.9299999997</v>
      </c>
      <c r="M96" s="116">
        <f t="shared" si="18"/>
        <v>4220730.93</v>
      </c>
      <c r="N96" s="123">
        <f t="shared" si="14"/>
        <v>593.71654663103106</v>
      </c>
      <c r="O96" s="5"/>
      <c r="P96" s="5">
        <f t="shared" si="15"/>
        <v>1</v>
      </c>
      <c r="Q96" s="7">
        <f t="shared" si="16"/>
        <v>7109</v>
      </c>
      <c r="S96" s="124">
        <f>SUM(D92:D96)</f>
        <v>5991152521</v>
      </c>
      <c r="T96" s="124">
        <f>SUM(F92:F96)</f>
        <v>4362595711</v>
      </c>
      <c r="U96" s="124">
        <f>SUM(J92:J96)</f>
        <v>16445837</v>
      </c>
    </row>
    <row r="97" spans="1:21">
      <c r="A97" s="23" t="s">
        <v>105</v>
      </c>
      <c r="B97" s="35" t="s">
        <v>106</v>
      </c>
      <c r="C97" s="36">
        <v>1654</v>
      </c>
      <c r="D97" s="113">
        <v>53563114</v>
      </c>
      <c r="E97" s="116">
        <f t="shared" si="25"/>
        <v>32383.986698911729</v>
      </c>
      <c r="F97" s="117">
        <v>30488018</v>
      </c>
      <c r="G97" s="117">
        <f t="shared" si="26"/>
        <v>18432.900846432891</v>
      </c>
      <c r="H97" s="7"/>
      <c r="I97" s="109">
        <v>0.90059999999999996</v>
      </c>
      <c r="J97" s="117">
        <v>27458</v>
      </c>
      <c r="K97" s="120">
        <f t="shared" si="27"/>
        <v>16.600967351874246</v>
      </c>
      <c r="L97" s="122">
        <f t="shared" si="17"/>
        <v>304880.18</v>
      </c>
      <c r="M97" s="116">
        <f t="shared" si="18"/>
        <v>277422.18</v>
      </c>
      <c r="N97" s="123">
        <f t="shared" si="14"/>
        <v>167.72804111245466</v>
      </c>
      <c r="O97" s="5"/>
      <c r="P97" s="5">
        <f t="shared" si="15"/>
        <v>1</v>
      </c>
      <c r="Q97" s="7">
        <f t="shared" si="16"/>
        <v>1654</v>
      </c>
    </row>
    <row r="98" spans="1:21">
      <c r="A98" s="23" t="s">
        <v>107</v>
      </c>
      <c r="B98" s="35" t="s">
        <v>106</v>
      </c>
      <c r="C98" s="36">
        <v>52188</v>
      </c>
      <c r="D98" s="113">
        <v>4781851920</v>
      </c>
      <c r="E98" s="116">
        <f t="shared" si="25"/>
        <v>91627.422395953094</v>
      </c>
      <c r="F98" s="117">
        <v>2941811063</v>
      </c>
      <c r="G98" s="117">
        <f t="shared" si="26"/>
        <v>56369.492277918296</v>
      </c>
      <c r="H98" s="7"/>
      <c r="I98" s="109">
        <v>4.2895000000000003</v>
      </c>
      <c r="J98" s="117">
        <v>12618899</v>
      </c>
      <c r="K98" s="120">
        <f t="shared" si="27"/>
        <v>241.79694565800568</v>
      </c>
      <c r="L98" s="122">
        <f t="shared" si="17"/>
        <v>29418110.629999999</v>
      </c>
      <c r="M98" s="116">
        <f t="shared" si="18"/>
        <v>16799211.629999999</v>
      </c>
      <c r="N98" s="123">
        <f t="shared" si="14"/>
        <v>321.89797712117723</v>
      </c>
      <c r="O98" s="5"/>
      <c r="P98" s="5">
        <f t="shared" si="15"/>
        <v>1</v>
      </c>
      <c r="Q98" s="7">
        <f t="shared" si="16"/>
        <v>52188</v>
      </c>
      <c r="S98" s="124">
        <f>SUM(D97:D98)</f>
        <v>4835415034</v>
      </c>
      <c r="T98" s="124">
        <f>SUM(F97:F98)</f>
        <v>2972299081</v>
      </c>
      <c r="U98" s="124">
        <f>SUM(J97:J98)</f>
        <v>12646357</v>
      </c>
    </row>
    <row r="99" spans="1:21">
      <c r="A99" s="23" t="s">
        <v>108</v>
      </c>
      <c r="B99" s="35" t="s">
        <v>109</v>
      </c>
      <c r="C99" s="36">
        <v>335</v>
      </c>
      <c r="D99" s="113">
        <v>54145030</v>
      </c>
      <c r="E99" s="116">
        <f t="shared" si="25"/>
        <v>161626.95522388059</v>
      </c>
      <c r="F99" s="117">
        <v>45114619</v>
      </c>
      <c r="G99" s="117">
        <f t="shared" si="26"/>
        <v>134670.50447761195</v>
      </c>
      <c r="H99" s="7"/>
      <c r="I99" s="109">
        <v>2.2999999999999998</v>
      </c>
      <c r="J99" s="117">
        <v>103764</v>
      </c>
      <c r="K99" s="120">
        <f t="shared" si="27"/>
        <v>309.74328358208953</v>
      </c>
      <c r="L99" s="122">
        <f t="shared" si="17"/>
        <v>451146.19</v>
      </c>
      <c r="M99" s="116">
        <f t="shared" si="18"/>
        <v>347382.19</v>
      </c>
      <c r="N99" s="123">
        <f t="shared" si="14"/>
        <v>1036.9617611940298</v>
      </c>
      <c r="O99" s="5"/>
      <c r="P99" s="5">
        <f t="shared" si="15"/>
        <v>1</v>
      </c>
      <c r="Q99" s="7">
        <f t="shared" si="16"/>
        <v>335</v>
      </c>
    </row>
    <row r="100" spans="1:21">
      <c r="A100" s="23" t="s">
        <v>110</v>
      </c>
      <c r="B100" s="35" t="s">
        <v>109</v>
      </c>
      <c r="C100" s="36">
        <v>2686</v>
      </c>
      <c r="D100" s="113">
        <v>429533031</v>
      </c>
      <c r="E100" s="116">
        <f t="shared" si="25"/>
        <v>159915.49925539838</v>
      </c>
      <c r="F100" s="117">
        <v>141197312</v>
      </c>
      <c r="G100" s="117">
        <f t="shared" si="26"/>
        <v>52567.874906924793</v>
      </c>
      <c r="H100" s="7"/>
      <c r="I100" s="109">
        <v>6.9505999999999997</v>
      </c>
      <c r="J100" s="117">
        <v>981406</v>
      </c>
      <c r="K100" s="120">
        <f t="shared" si="27"/>
        <v>365.37825763216676</v>
      </c>
      <c r="L100" s="122">
        <f t="shared" si="17"/>
        <v>1411973.1200000001</v>
      </c>
      <c r="M100" s="116">
        <f t="shared" si="18"/>
        <v>430567.12000000011</v>
      </c>
      <c r="N100" s="123">
        <f t="shared" si="14"/>
        <v>160.30049143708121</v>
      </c>
      <c r="O100" s="5"/>
      <c r="P100" s="5">
        <f t="shared" si="15"/>
        <v>1</v>
      </c>
      <c r="Q100" s="7">
        <f t="shared" si="16"/>
        <v>2686</v>
      </c>
    </row>
    <row r="101" spans="1:21">
      <c r="A101" s="23" t="s">
        <v>447</v>
      </c>
      <c r="B101" s="35" t="s">
        <v>109</v>
      </c>
      <c r="C101" s="36">
        <v>77068</v>
      </c>
      <c r="D101" s="113">
        <v>5539640422</v>
      </c>
      <c r="E101" s="116">
        <f t="shared" si="25"/>
        <v>71879.903747340009</v>
      </c>
      <c r="F101" s="117">
        <v>3690312857</v>
      </c>
      <c r="G101" s="117">
        <f t="shared" si="26"/>
        <v>47883.853960139095</v>
      </c>
      <c r="H101" s="9"/>
      <c r="I101" s="109">
        <v>4.2705000000000002</v>
      </c>
      <c r="J101" s="117">
        <v>15759481</v>
      </c>
      <c r="K101" s="120">
        <f t="shared" si="27"/>
        <v>204.48799761249805</v>
      </c>
      <c r="L101" s="122">
        <f t="shared" si="17"/>
        <v>36903128.57</v>
      </c>
      <c r="M101" s="116">
        <f t="shared" si="18"/>
        <v>21143647.57</v>
      </c>
      <c r="N101" s="123">
        <f t="shared" si="14"/>
        <v>274.35054198889293</v>
      </c>
      <c r="O101" s="5"/>
      <c r="P101" s="5">
        <f t="shared" si="15"/>
        <v>1</v>
      </c>
      <c r="Q101" s="7">
        <f t="shared" si="16"/>
        <v>77068</v>
      </c>
    </row>
    <row r="102" spans="1:21">
      <c r="A102" s="23" t="s">
        <v>111</v>
      </c>
      <c r="B102" s="35" t="s">
        <v>557</v>
      </c>
      <c r="C102" s="36">
        <v>5</v>
      </c>
      <c r="D102" s="113">
        <v>13546303</v>
      </c>
      <c r="E102" s="116">
        <f t="shared" si="25"/>
        <v>2709260.6</v>
      </c>
      <c r="F102" s="117">
        <v>3591393</v>
      </c>
      <c r="G102" s="117">
        <f t="shared" si="26"/>
        <v>718278.6</v>
      </c>
      <c r="H102" s="7"/>
      <c r="I102" s="109">
        <v>10</v>
      </c>
      <c r="J102" s="117">
        <v>35914</v>
      </c>
      <c r="K102" s="120">
        <f t="shared" si="27"/>
        <v>7182.8</v>
      </c>
      <c r="L102" s="122">
        <f t="shared" si="17"/>
        <v>35913.93</v>
      </c>
      <c r="M102" s="116">
        <f t="shared" si="18"/>
        <v>-6.9999999999708962E-2</v>
      </c>
      <c r="N102" s="123">
        <f t="shared" si="14"/>
        <v>-1.3999999999941792E-2</v>
      </c>
      <c r="O102" s="5"/>
      <c r="P102" s="5">
        <f t="shared" si="15"/>
        <v>1</v>
      </c>
      <c r="Q102" s="7">
        <f t="shared" si="16"/>
        <v>5</v>
      </c>
    </row>
    <row r="103" spans="1:21">
      <c r="A103" s="23" t="s">
        <v>112</v>
      </c>
      <c r="B103" s="35" t="s">
        <v>113</v>
      </c>
      <c r="C103" s="36">
        <v>4510</v>
      </c>
      <c r="D103" s="113">
        <f>(594891843+7936346)</f>
        <v>602828189</v>
      </c>
      <c r="E103" s="116">
        <f t="shared" si="25"/>
        <v>133664.7869179601</v>
      </c>
      <c r="F103" s="117">
        <f>(458741406+5504914)</f>
        <v>464246320</v>
      </c>
      <c r="G103" s="117">
        <f t="shared" si="26"/>
        <v>102937.09977827051</v>
      </c>
      <c r="H103" s="7"/>
      <c r="I103" s="109">
        <v>5.335</v>
      </c>
      <c r="J103" s="117">
        <f>(2447385+29369)</f>
        <v>2476754</v>
      </c>
      <c r="K103" s="120">
        <f t="shared" si="27"/>
        <v>549.1694013303769</v>
      </c>
      <c r="L103" s="122">
        <f t="shared" si="17"/>
        <v>4642463.2</v>
      </c>
      <c r="M103" s="116">
        <f t="shared" si="18"/>
        <v>2165709.2000000002</v>
      </c>
      <c r="N103" s="123">
        <f t="shared" si="14"/>
        <v>480.2015964523282</v>
      </c>
      <c r="O103" s="5"/>
      <c r="P103" s="5">
        <f t="shared" si="15"/>
        <v>1</v>
      </c>
      <c r="Q103" s="7">
        <f t="shared" si="16"/>
        <v>4510</v>
      </c>
      <c r="S103" s="124">
        <f>SUM(D99:D103)</f>
        <v>6639692975</v>
      </c>
      <c r="T103" s="124">
        <f>SUM(F99:F103)</f>
        <v>4344462501</v>
      </c>
      <c r="U103" s="124">
        <f>SUM(J99:J103)</f>
        <v>19357319</v>
      </c>
    </row>
    <row r="104" spans="1:21">
      <c r="A104" s="23" t="s">
        <v>114</v>
      </c>
      <c r="B104" s="35" t="s">
        <v>115</v>
      </c>
      <c r="C104" s="36">
        <v>2258</v>
      </c>
      <c r="D104" s="113">
        <v>204519140</v>
      </c>
      <c r="E104" s="116">
        <f t="shared" si="25"/>
        <v>90575.349867139055</v>
      </c>
      <c r="F104" s="117">
        <v>118079825</v>
      </c>
      <c r="G104" s="117">
        <f t="shared" si="26"/>
        <v>52293.988042515499</v>
      </c>
      <c r="H104" s="9"/>
      <c r="I104" s="110">
        <v>9.6852</v>
      </c>
      <c r="J104" s="117">
        <v>1143627</v>
      </c>
      <c r="K104" s="120">
        <f t="shared" si="27"/>
        <v>506.47785651018603</v>
      </c>
      <c r="L104" s="122">
        <f t="shared" si="17"/>
        <v>1180798.25</v>
      </c>
      <c r="M104" s="116">
        <f t="shared" si="18"/>
        <v>37171.25</v>
      </c>
      <c r="N104" s="123">
        <f t="shared" si="14"/>
        <v>16.462023914968999</v>
      </c>
      <c r="O104" s="5"/>
      <c r="P104" s="5">
        <f t="shared" si="15"/>
        <v>1</v>
      </c>
      <c r="Q104" s="7">
        <f t="shared" si="16"/>
        <v>2258</v>
      </c>
    </row>
    <row r="105" spans="1:21">
      <c r="A105" s="23" t="s">
        <v>116</v>
      </c>
      <c r="B105" s="35" t="s">
        <v>115</v>
      </c>
      <c r="C105" s="36">
        <v>2803</v>
      </c>
      <c r="D105" s="113">
        <v>139532096</v>
      </c>
      <c r="E105" s="116">
        <f t="shared" si="25"/>
        <v>49779.556189796647</v>
      </c>
      <c r="F105" s="117">
        <v>101103934</v>
      </c>
      <c r="G105" s="117">
        <f t="shared" si="26"/>
        <v>36069.901534070639</v>
      </c>
      <c r="H105" s="9"/>
      <c r="I105" s="109">
        <v>8.77</v>
      </c>
      <c r="J105" s="117">
        <v>886682</v>
      </c>
      <c r="K105" s="120">
        <f t="shared" si="27"/>
        <v>316.33321441312881</v>
      </c>
      <c r="L105" s="122">
        <f t="shared" si="17"/>
        <v>1011039.34</v>
      </c>
      <c r="M105" s="116">
        <f t="shared" si="18"/>
        <v>124357.33999999997</v>
      </c>
      <c r="N105" s="123">
        <f t="shared" si="14"/>
        <v>44.365800927577581</v>
      </c>
      <c r="O105" s="5"/>
      <c r="P105" s="5">
        <f t="shared" si="15"/>
        <v>1</v>
      </c>
      <c r="Q105" s="7">
        <f t="shared" si="16"/>
        <v>2803</v>
      </c>
      <c r="S105" s="124">
        <f>SUM(D104:D105)</f>
        <v>344051236</v>
      </c>
      <c r="T105" s="124">
        <f>SUM(F104:F105)</f>
        <v>219183759</v>
      </c>
      <c r="U105" s="124">
        <f>SUM(J104:J105)</f>
        <v>2030309</v>
      </c>
    </row>
    <row r="106" spans="1:21">
      <c r="A106" s="23" t="s">
        <v>117</v>
      </c>
      <c r="B106" s="35" t="s">
        <v>118</v>
      </c>
      <c r="C106" s="36">
        <v>3092</v>
      </c>
      <c r="D106" s="113">
        <v>230301663</v>
      </c>
      <c r="E106" s="116">
        <f t="shared" si="25"/>
        <v>74483.0734152652</v>
      </c>
      <c r="F106" s="117">
        <v>34955331</v>
      </c>
      <c r="G106" s="117">
        <f t="shared" si="26"/>
        <v>11305.087645536869</v>
      </c>
      <c r="H106" s="7"/>
      <c r="I106" s="109">
        <v>0.83899999999999997</v>
      </c>
      <c r="J106" s="117">
        <v>29328</v>
      </c>
      <c r="K106" s="120">
        <f t="shared" si="27"/>
        <v>9.4851228978007764</v>
      </c>
      <c r="L106" s="122">
        <f t="shared" si="17"/>
        <v>349553.31</v>
      </c>
      <c r="M106" s="116">
        <f t="shared" si="18"/>
        <v>320225.31</v>
      </c>
      <c r="N106" s="123">
        <f t="shared" si="14"/>
        <v>103.56575355756792</v>
      </c>
      <c r="O106" s="5"/>
      <c r="P106" s="5">
        <f t="shared" si="15"/>
        <v>1</v>
      </c>
      <c r="Q106" s="7">
        <f t="shared" si="16"/>
        <v>3092</v>
      </c>
    </row>
    <row r="107" spans="1:21">
      <c r="A107" s="23" t="s">
        <v>119</v>
      </c>
      <c r="B107" s="35" t="s">
        <v>118</v>
      </c>
      <c r="C107" s="36">
        <v>618</v>
      </c>
      <c r="D107" s="113">
        <v>23103312</v>
      </c>
      <c r="E107" s="116">
        <f t="shared" si="25"/>
        <v>37384</v>
      </c>
      <c r="F107" s="117">
        <v>8009422</v>
      </c>
      <c r="G107" s="117">
        <f t="shared" si="26"/>
        <v>12960.229773462783</v>
      </c>
      <c r="H107" s="7"/>
      <c r="I107" s="109">
        <v>5</v>
      </c>
      <c r="J107" s="117">
        <v>40047</v>
      </c>
      <c r="K107" s="120">
        <f t="shared" si="27"/>
        <v>64.800970873786412</v>
      </c>
      <c r="L107" s="122">
        <f t="shared" si="17"/>
        <v>80094.22</v>
      </c>
      <c r="M107" s="116">
        <f t="shared" si="18"/>
        <v>40047.22</v>
      </c>
      <c r="N107" s="123">
        <f t="shared" si="14"/>
        <v>64.801326860841428</v>
      </c>
      <c r="O107" s="5"/>
      <c r="P107" s="5">
        <f t="shared" si="15"/>
        <v>1</v>
      </c>
      <c r="Q107" s="7">
        <f t="shared" si="16"/>
        <v>618</v>
      </c>
    </row>
    <row r="108" spans="1:21">
      <c r="A108" s="23" t="s">
        <v>120</v>
      </c>
      <c r="B108" s="35" t="s">
        <v>118</v>
      </c>
      <c r="C108" s="36">
        <v>1451</v>
      </c>
      <c r="D108" s="113">
        <v>42130429</v>
      </c>
      <c r="E108" s="116">
        <f t="shared" si="25"/>
        <v>29035.443831840112</v>
      </c>
      <c r="F108" s="117">
        <v>21780048</v>
      </c>
      <c r="G108" s="117">
        <f t="shared" si="26"/>
        <v>15010.37077877326</v>
      </c>
      <c r="H108" s="7"/>
      <c r="I108" s="109">
        <v>4.7362000000000002</v>
      </c>
      <c r="J108" s="117">
        <v>103155</v>
      </c>
      <c r="K108" s="120">
        <f t="shared" si="27"/>
        <v>71.092350103376987</v>
      </c>
      <c r="L108" s="122">
        <f t="shared" si="17"/>
        <v>217800.48</v>
      </c>
      <c r="M108" s="116">
        <f t="shared" si="18"/>
        <v>114645.48000000001</v>
      </c>
      <c r="N108" s="123">
        <f t="shared" si="14"/>
        <v>79.01135768435563</v>
      </c>
      <c r="O108" s="5"/>
      <c r="P108" s="5">
        <f t="shared" si="15"/>
        <v>1</v>
      </c>
      <c r="Q108" s="7">
        <f t="shared" si="16"/>
        <v>1451</v>
      </c>
    </row>
    <row r="109" spans="1:21">
      <c r="A109" s="23" t="s">
        <v>121</v>
      </c>
      <c r="B109" s="35" t="s">
        <v>118</v>
      </c>
      <c r="C109" s="36">
        <v>1732</v>
      </c>
      <c r="D109" s="113">
        <v>93160527</v>
      </c>
      <c r="E109" s="116">
        <f t="shared" si="25"/>
        <v>53787.833140877599</v>
      </c>
      <c r="F109" s="117">
        <v>60701810</v>
      </c>
      <c r="G109" s="117">
        <f t="shared" si="26"/>
        <v>35047.234411085454</v>
      </c>
      <c r="H109" s="7"/>
      <c r="I109" s="109">
        <v>1.823</v>
      </c>
      <c r="J109" s="117">
        <v>110659</v>
      </c>
      <c r="K109" s="120">
        <f t="shared" si="27"/>
        <v>63.890877598152422</v>
      </c>
      <c r="L109" s="122">
        <f t="shared" si="17"/>
        <v>607018.1</v>
      </c>
      <c r="M109" s="116">
        <f t="shared" si="18"/>
        <v>496359.1</v>
      </c>
      <c r="N109" s="123">
        <f t="shared" si="14"/>
        <v>286.58146651270209</v>
      </c>
      <c r="O109" s="5"/>
      <c r="P109" s="5">
        <f t="shared" si="15"/>
        <v>1</v>
      </c>
      <c r="Q109" s="7">
        <f t="shared" si="16"/>
        <v>1732</v>
      </c>
    </row>
    <row r="110" spans="1:21">
      <c r="A110" s="23" t="s">
        <v>122</v>
      </c>
      <c r="B110" s="35" t="s">
        <v>118</v>
      </c>
      <c r="C110" s="36">
        <v>3301</v>
      </c>
      <c r="D110" s="113">
        <v>173681501</v>
      </c>
      <c r="E110" s="116">
        <f t="shared" si="25"/>
        <v>52614.813995758857</v>
      </c>
      <c r="F110" s="117">
        <v>122342598</v>
      </c>
      <c r="G110" s="117">
        <f t="shared" si="26"/>
        <v>37062.283550439264</v>
      </c>
      <c r="H110" s="7"/>
      <c r="I110" s="109">
        <v>4.0795000000000003</v>
      </c>
      <c r="J110" s="117">
        <v>499097</v>
      </c>
      <c r="K110" s="120">
        <f t="shared" si="27"/>
        <v>151.19569827325054</v>
      </c>
      <c r="L110" s="122">
        <f t="shared" si="17"/>
        <v>1223425.98</v>
      </c>
      <c r="M110" s="116">
        <f t="shared" si="18"/>
        <v>724328.98</v>
      </c>
      <c r="N110" s="123">
        <f t="shared" si="14"/>
        <v>219.42713723114207</v>
      </c>
      <c r="O110" s="5"/>
      <c r="P110" s="5">
        <f t="shared" si="15"/>
        <v>1</v>
      </c>
      <c r="Q110" s="7">
        <f t="shared" si="16"/>
        <v>3301</v>
      </c>
    </row>
    <row r="111" spans="1:21">
      <c r="A111" s="23" t="s">
        <v>123</v>
      </c>
      <c r="B111" s="35" t="s">
        <v>118</v>
      </c>
      <c r="C111" s="36">
        <v>7920</v>
      </c>
      <c r="D111" s="113">
        <v>487058210</v>
      </c>
      <c r="E111" s="116">
        <f t="shared" si="25"/>
        <v>61497.248737373739</v>
      </c>
      <c r="F111" s="117">
        <v>211599571</v>
      </c>
      <c r="G111" s="117">
        <f t="shared" si="26"/>
        <v>26717.117550505049</v>
      </c>
      <c r="H111" s="9"/>
      <c r="I111" s="109">
        <v>4.6551999999999998</v>
      </c>
      <c r="J111" s="117">
        <v>985038</v>
      </c>
      <c r="K111" s="120">
        <f t="shared" si="27"/>
        <v>124.37348484848485</v>
      </c>
      <c r="L111" s="122">
        <f t="shared" si="17"/>
        <v>2115995.71</v>
      </c>
      <c r="M111" s="116">
        <f t="shared" si="18"/>
        <v>1130957.71</v>
      </c>
      <c r="N111" s="123">
        <f t="shared" si="14"/>
        <v>142.79769065656566</v>
      </c>
      <c r="O111" s="5"/>
      <c r="P111" s="5">
        <f t="shared" si="15"/>
        <v>1</v>
      </c>
      <c r="Q111" s="7">
        <f t="shared" si="16"/>
        <v>7920</v>
      </c>
      <c r="S111" s="124">
        <f>SUM(D106:D111)</f>
        <v>1049435642</v>
      </c>
      <c r="T111" s="124">
        <f>SUM(F106:F111)</f>
        <v>459388780</v>
      </c>
      <c r="U111" s="124">
        <f>SUM(J106:J111)</f>
        <v>1767324</v>
      </c>
    </row>
    <row r="112" spans="1:21">
      <c r="A112" s="23" t="s">
        <v>124</v>
      </c>
      <c r="B112" s="35" t="s">
        <v>125</v>
      </c>
      <c r="C112" s="36">
        <v>430</v>
      </c>
      <c r="D112" s="113">
        <v>38373471</v>
      </c>
      <c r="E112" s="116">
        <f t="shared" si="25"/>
        <v>89240.630232558135</v>
      </c>
      <c r="F112" s="117">
        <v>15786744</v>
      </c>
      <c r="G112" s="117">
        <f t="shared" si="26"/>
        <v>36713.358139534881</v>
      </c>
      <c r="H112" s="9"/>
      <c r="I112" s="109">
        <v>2</v>
      </c>
      <c r="J112" s="117">
        <v>31573</v>
      </c>
      <c r="K112" s="120">
        <f t="shared" si="27"/>
        <v>73.425581395348843</v>
      </c>
      <c r="L112" s="122">
        <f t="shared" si="17"/>
        <v>157867.44</v>
      </c>
      <c r="M112" s="116">
        <f t="shared" si="18"/>
        <v>126294.44</v>
      </c>
      <c r="N112" s="123">
        <f t="shared" si="14"/>
        <v>293.70800000000003</v>
      </c>
      <c r="O112" s="5"/>
      <c r="P112" s="5">
        <f t="shared" si="15"/>
        <v>1</v>
      </c>
      <c r="Q112" s="7">
        <f t="shared" si="16"/>
        <v>430</v>
      </c>
    </row>
    <row r="113" spans="1:21">
      <c r="A113" s="23" t="s">
        <v>126</v>
      </c>
      <c r="B113" s="35" t="s">
        <v>125</v>
      </c>
      <c r="C113" s="36">
        <v>1965</v>
      </c>
      <c r="D113" s="113">
        <v>102935982</v>
      </c>
      <c r="E113" s="116">
        <f t="shared" si="25"/>
        <v>52384.723664122139</v>
      </c>
      <c r="F113" s="117">
        <v>51338183</v>
      </c>
      <c r="G113" s="117">
        <f t="shared" si="26"/>
        <v>26126.301781170485</v>
      </c>
      <c r="H113" s="9"/>
      <c r="I113" s="110">
        <v>3.1055000000000001</v>
      </c>
      <c r="J113" s="117">
        <v>159431</v>
      </c>
      <c r="K113" s="120">
        <f t="shared" si="27"/>
        <v>81.135368956743008</v>
      </c>
      <c r="L113" s="122">
        <f t="shared" si="17"/>
        <v>513381.83</v>
      </c>
      <c r="M113" s="116">
        <f t="shared" si="18"/>
        <v>353950.83</v>
      </c>
      <c r="N113" s="123">
        <f t="shared" si="14"/>
        <v>180.12764885496185</v>
      </c>
      <c r="O113" s="5"/>
      <c r="P113" s="5">
        <f t="shared" si="15"/>
        <v>1</v>
      </c>
      <c r="Q113" s="7">
        <f t="shared" si="16"/>
        <v>1965</v>
      </c>
    </row>
    <row r="114" spans="1:21">
      <c r="A114" s="23" t="s">
        <v>127</v>
      </c>
      <c r="B114" s="35" t="s">
        <v>128</v>
      </c>
      <c r="C114" s="36">
        <v>725</v>
      </c>
      <c r="D114" s="113">
        <f>(26462419+33107085)</f>
        <v>59569504</v>
      </c>
      <c r="E114" s="116">
        <f t="shared" si="25"/>
        <v>82164.833103448269</v>
      </c>
      <c r="F114" s="117">
        <f>(13913562+20320213)</f>
        <v>34233775</v>
      </c>
      <c r="G114" s="117">
        <f t="shared" si="26"/>
        <v>47219</v>
      </c>
      <c r="H114" s="7"/>
      <c r="I114" s="110">
        <v>3</v>
      </c>
      <c r="J114" s="117">
        <f>(41741+60961)</f>
        <v>102702</v>
      </c>
      <c r="K114" s="120">
        <f t="shared" si="27"/>
        <v>141.65793103448277</v>
      </c>
      <c r="L114" s="122">
        <f t="shared" si="17"/>
        <v>342337.75</v>
      </c>
      <c r="M114" s="116">
        <f t="shared" si="18"/>
        <v>239635.75</v>
      </c>
      <c r="N114" s="123">
        <f t="shared" si="14"/>
        <v>330.53206896551723</v>
      </c>
      <c r="O114" s="5"/>
      <c r="P114" s="5">
        <f t="shared" si="15"/>
        <v>1</v>
      </c>
      <c r="Q114" s="7">
        <f t="shared" si="16"/>
        <v>725</v>
      </c>
      <c r="S114" s="124">
        <f>SUM(D112:D114)</f>
        <v>200878957</v>
      </c>
      <c r="T114" s="124">
        <f>SUM(F112:F114)</f>
        <v>101358702</v>
      </c>
      <c r="U114" s="124">
        <f>SUM(J112:J114)</f>
        <v>293706</v>
      </c>
    </row>
    <row r="115" spans="1:21">
      <c r="A115" s="23" t="s">
        <v>129</v>
      </c>
      <c r="B115" s="35" t="s">
        <v>130</v>
      </c>
      <c r="C115" s="36">
        <v>1691</v>
      </c>
      <c r="D115" s="113">
        <v>82201056</v>
      </c>
      <c r="E115" s="116">
        <f t="shared" si="25"/>
        <v>48610.914251921939</v>
      </c>
      <c r="F115" s="117">
        <v>37406579</v>
      </c>
      <c r="G115" s="117">
        <f t="shared" si="26"/>
        <v>22120.981076286222</v>
      </c>
      <c r="H115" s="9"/>
      <c r="I115" s="109">
        <v>4.9485000000000001</v>
      </c>
      <c r="J115" s="117">
        <v>185106</v>
      </c>
      <c r="K115" s="120">
        <f t="shared" si="27"/>
        <v>109.46540508574807</v>
      </c>
      <c r="L115" s="122">
        <f t="shared" si="17"/>
        <v>374065.79</v>
      </c>
      <c r="M115" s="116">
        <f t="shared" si="18"/>
        <v>188959.78999999998</v>
      </c>
      <c r="N115" s="123">
        <f t="shared" si="14"/>
        <v>111.74440567711412</v>
      </c>
      <c r="O115" s="5"/>
      <c r="P115" s="5">
        <f t="shared" si="15"/>
        <v>1</v>
      </c>
      <c r="Q115" s="7">
        <f t="shared" si="16"/>
        <v>1691</v>
      </c>
      <c r="S115" s="124">
        <f>SUM(D115)</f>
        <v>82201056</v>
      </c>
      <c r="T115" s="124">
        <f>SUM(F115)</f>
        <v>37406579</v>
      </c>
      <c r="U115" s="124">
        <f>SUM(J115)</f>
        <v>185106</v>
      </c>
    </row>
    <row r="116" spans="1:21">
      <c r="A116" s="24" t="s">
        <v>545</v>
      </c>
      <c r="B116" s="35" t="s">
        <v>131</v>
      </c>
      <c r="C116" s="36">
        <v>3489</v>
      </c>
      <c r="D116" s="113">
        <v>416806256</v>
      </c>
      <c r="E116" s="116">
        <f t="shared" si="25"/>
        <v>119462.95672112353</v>
      </c>
      <c r="F116" s="117">
        <v>280011508</v>
      </c>
      <c r="G116" s="117">
        <f t="shared" si="26"/>
        <v>80255.519633132702</v>
      </c>
      <c r="H116" s="9"/>
      <c r="I116" s="109">
        <v>3.5914000000000001</v>
      </c>
      <c r="J116" s="117">
        <v>1005633</v>
      </c>
      <c r="K116" s="120">
        <f t="shared" si="27"/>
        <v>288.22957867583835</v>
      </c>
      <c r="L116" s="122">
        <f t="shared" si="17"/>
        <v>2800115.08</v>
      </c>
      <c r="M116" s="116">
        <f t="shared" si="18"/>
        <v>1794482.08</v>
      </c>
      <c r="N116" s="123">
        <f t="shared" si="14"/>
        <v>514.32561765548871</v>
      </c>
      <c r="O116" s="5"/>
      <c r="P116" s="5">
        <f t="shared" si="15"/>
        <v>1</v>
      </c>
      <c r="Q116" s="7">
        <f t="shared" si="16"/>
        <v>3489</v>
      </c>
    </row>
    <row r="117" spans="1:21">
      <c r="A117" s="23" t="s">
        <v>132</v>
      </c>
      <c r="B117" s="35" t="s">
        <v>131</v>
      </c>
      <c r="C117" s="36">
        <v>1994</v>
      </c>
      <c r="D117" s="113">
        <v>95847553</v>
      </c>
      <c r="E117" s="116">
        <f t="shared" si="25"/>
        <v>48067.980441323969</v>
      </c>
      <c r="F117" s="117">
        <v>56443620</v>
      </c>
      <c r="G117" s="117">
        <f t="shared" si="26"/>
        <v>28306.730190571714</v>
      </c>
      <c r="H117" s="9"/>
      <c r="I117" s="109">
        <v>6</v>
      </c>
      <c r="J117" s="117">
        <v>338662</v>
      </c>
      <c r="K117" s="120">
        <f t="shared" si="27"/>
        <v>169.84052156469409</v>
      </c>
      <c r="L117" s="122">
        <f t="shared" si="17"/>
        <v>564436.20000000007</v>
      </c>
      <c r="M117" s="116">
        <f t="shared" si="18"/>
        <v>225774.20000000007</v>
      </c>
      <c r="N117" s="123">
        <f t="shared" si="14"/>
        <v>113.2267803410231</v>
      </c>
      <c r="O117" s="5"/>
      <c r="P117" s="5">
        <f t="shared" si="15"/>
        <v>1</v>
      </c>
      <c r="Q117" s="7">
        <f t="shared" si="16"/>
        <v>1994</v>
      </c>
      <c r="S117" s="124">
        <f>SUM(D116:D117)</f>
        <v>512653809</v>
      </c>
      <c r="T117" s="124">
        <f>SUM(F116:F117)</f>
        <v>336455128</v>
      </c>
      <c r="U117" s="124">
        <f>SUM(J116:J117)</f>
        <v>1344295</v>
      </c>
    </row>
    <row r="118" spans="1:21">
      <c r="A118" s="23" t="s">
        <v>133</v>
      </c>
      <c r="B118" s="35" t="s">
        <v>134</v>
      </c>
      <c r="C118" s="36">
        <v>2978</v>
      </c>
      <c r="D118" s="113">
        <v>96402858</v>
      </c>
      <c r="E118" s="116">
        <f t="shared" si="25"/>
        <v>32371.678307588987</v>
      </c>
      <c r="F118" s="117">
        <v>45483979</v>
      </c>
      <c r="G118" s="117">
        <f t="shared" si="26"/>
        <v>15273.33075889859</v>
      </c>
      <c r="H118" s="7"/>
      <c r="I118" s="109">
        <v>7.1677</v>
      </c>
      <c r="J118" s="117">
        <v>326016</v>
      </c>
      <c r="K118" s="120">
        <f t="shared" si="27"/>
        <v>109.47481531229013</v>
      </c>
      <c r="L118" s="122">
        <f t="shared" si="17"/>
        <v>454839.79000000004</v>
      </c>
      <c r="M118" s="116">
        <f t="shared" si="18"/>
        <v>128823.79000000004</v>
      </c>
      <c r="N118" s="123">
        <f t="shared" si="14"/>
        <v>43.258492276695783</v>
      </c>
      <c r="O118" s="5"/>
      <c r="P118" s="5">
        <f t="shared" si="15"/>
        <v>1</v>
      </c>
      <c r="Q118" s="7">
        <f t="shared" si="16"/>
        <v>2978</v>
      </c>
    </row>
    <row r="119" spans="1:21">
      <c r="A119" s="23" t="s">
        <v>135</v>
      </c>
      <c r="B119" s="35" t="s">
        <v>134</v>
      </c>
      <c r="C119" s="36">
        <v>895</v>
      </c>
      <c r="D119" s="113">
        <v>19252802</v>
      </c>
      <c r="E119" s="116">
        <f t="shared" si="25"/>
        <v>21511.510614525141</v>
      </c>
      <c r="F119" s="117">
        <v>11428150</v>
      </c>
      <c r="G119" s="117">
        <f t="shared" si="26"/>
        <v>12768.882681564246</v>
      </c>
      <c r="H119" s="7"/>
      <c r="I119" s="109">
        <v>2</v>
      </c>
      <c r="J119" s="117">
        <v>22856</v>
      </c>
      <c r="K119" s="120">
        <f t="shared" si="27"/>
        <v>25.537430167597766</v>
      </c>
      <c r="L119" s="122">
        <f t="shared" si="17"/>
        <v>114281.5</v>
      </c>
      <c r="M119" s="116">
        <f t="shared" si="18"/>
        <v>91425.5</v>
      </c>
      <c r="N119" s="123">
        <f t="shared" si="14"/>
        <v>102.1513966480447</v>
      </c>
      <c r="O119" s="5"/>
      <c r="P119" s="5">
        <f t="shared" si="15"/>
        <v>1</v>
      </c>
      <c r="Q119" s="7">
        <f t="shared" si="16"/>
        <v>895</v>
      </c>
    </row>
    <row r="120" spans="1:21">
      <c r="A120" s="23" t="s">
        <v>136</v>
      </c>
      <c r="B120" s="35" t="s">
        <v>134</v>
      </c>
      <c r="C120" s="36">
        <v>771</v>
      </c>
      <c r="D120" s="113">
        <v>32733907</v>
      </c>
      <c r="E120" s="116">
        <f t="shared" si="25"/>
        <v>42456.429312581065</v>
      </c>
      <c r="F120" s="117">
        <v>15591388</v>
      </c>
      <c r="G120" s="117">
        <f t="shared" si="26"/>
        <v>20222.293125810636</v>
      </c>
      <c r="H120" s="7"/>
      <c r="I120" s="109">
        <v>4.3871000000000002</v>
      </c>
      <c r="J120" s="117">
        <v>68401</v>
      </c>
      <c r="K120" s="120">
        <f t="shared" si="27"/>
        <v>88.717250324254209</v>
      </c>
      <c r="L120" s="122">
        <f t="shared" si="17"/>
        <v>155913.88</v>
      </c>
      <c r="M120" s="116">
        <f t="shared" si="18"/>
        <v>87512.88</v>
      </c>
      <c r="N120" s="123">
        <f t="shared" si="14"/>
        <v>113.50568093385215</v>
      </c>
      <c r="O120" s="5"/>
      <c r="P120" s="5">
        <f t="shared" si="15"/>
        <v>1</v>
      </c>
      <c r="Q120" s="7">
        <f t="shared" si="16"/>
        <v>771</v>
      </c>
      <c r="S120" s="124">
        <f>SUM(D118:D120)</f>
        <v>148389567</v>
      </c>
      <c r="T120" s="124">
        <f>SUM(F118:F120)</f>
        <v>72503517</v>
      </c>
      <c r="U120" s="124">
        <f>SUM(J118:J120)</f>
        <v>417273</v>
      </c>
    </row>
    <row r="121" spans="1:21">
      <c r="A121" s="23" t="s">
        <v>137</v>
      </c>
      <c r="B121" s="35" t="s">
        <v>138</v>
      </c>
      <c r="C121" s="36">
        <v>2907</v>
      </c>
      <c r="D121" s="113">
        <v>59169342</v>
      </c>
      <c r="E121" s="116">
        <f t="shared" si="25"/>
        <v>20354.090815273477</v>
      </c>
      <c r="F121" s="117">
        <v>29373930</v>
      </c>
      <c r="G121" s="117">
        <f t="shared" si="26"/>
        <v>10104.551083591332</v>
      </c>
      <c r="H121" s="7"/>
      <c r="I121" s="109">
        <v>7.25</v>
      </c>
      <c r="J121" s="117">
        <v>212961</v>
      </c>
      <c r="K121" s="120">
        <f t="shared" si="27"/>
        <v>73.257997936016508</v>
      </c>
      <c r="L121" s="122">
        <f t="shared" si="17"/>
        <v>293739.3</v>
      </c>
      <c r="M121" s="116">
        <f t="shared" si="18"/>
        <v>80778.299999999988</v>
      </c>
      <c r="N121" s="123">
        <f t="shared" si="14"/>
        <v>27.787512899896797</v>
      </c>
      <c r="O121" s="5"/>
      <c r="P121" s="5">
        <f t="shared" si="15"/>
        <v>1</v>
      </c>
      <c r="Q121" s="7">
        <f t="shared" si="16"/>
        <v>2907</v>
      </c>
    </row>
    <row r="122" spans="1:21">
      <c r="A122" s="23" t="s">
        <v>139</v>
      </c>
      <c r="B122" s="35" t="s">
        <v>138</v>
      </c>
      <c r="C122" s="36">
        <v>5016</v>
      </c>
      <c r="D122" s="113">
        <v>192276726</v>
      </c>
      <c r="E122" s="116">
        <f t="shared" si="25"/>
        <v>38332.680622009568</v>
      </c>
      <c r="F122" s="117">
        <v>101343056</v>
      </c>
      <c r="G122" s="117">
        <f t="shared" si="26"/>
        <v>20203.958532695375</v>
      </c>
      <c r="H122" s="7"/>
      <c r="I122" s="109">
        <v>5.6485000000000003</v>
      </c>
      <c r="J122" s="117">
        <v>572436</v>
      </c>
      <c r="K122" s="120">
        <f t="shared" si="27"/>
        <v>114.12200956937799</v>
      </c>
      <c r="L122" s="122">
        <f t="shared" si="17"/>
        <v>1013430.56</v>
      </c>
      <c r="M122" s="116">
        <f t="shared" si="18"/>
        <v>440994.56000000006</v>
      </c>
      <c r="N122" s="123">
        <f t="shared" si="14"/>
        <v>87.917575757575776</v>
      </c>
      <c r="O122" s="5"/>
      <c r="P122" s="5">
        <f t="shared" si="15"/>
        <v>1</v>
      </c>
      <c r="Q122" s="7">
        <f t="shared" si="16"/>
        <v>5016</v>
      </c>
    </row>
    <row r="123" spans="1:21">
      <c r="A123" s="23" t="s">
        <v>140</v>
      </c>
      <c r="B123" s="35" t="s">
        <v>138</v>
      </c>
      <c r="C123" s="36">
        <v>1818</v>
      </c>
      <c r="D123" s="113">
        <v>46087112</v>
      </c>
      <c r="E123" s="116">
        <f t="shared" si="25"/>
        <v>25350.446644664466</v>
      </c>
      <c r="F123" s="117">
        <v>22235570</v>
      </c>
      <c r="G123" s="117">
        <f t="shared" si="26"/>
        <v>12230.786578657866</v>
      </c>
      <c r="H123" s="7"/>
      <c r="I123" s="109">
        <v>8.5540000000000003</v>
      </c>
      <c r="J123" s="117">
        <v>190203</v>
      </c>
      <c r="K123" s="120">
        <f t="shared" si="27"/>
        <v>104.62211221122112</v>
      </c>
      <c r="L123" s="122">
        <f t="shared" si="17"/>
        <v>222355.7</v>
      </c>
      <c r="M123" s="116">
        <f t="shared" si="18"/>
        <v>32152.700000000012</v>
      </c>
      <c r="N123" s="123">
        <f t="shared" si="14"/>
        <v>17.685753575357541</v>
      </c>
      <c r="O123" s="5"/>
      <c r="P123" s="5">
        <f t="shared" si="15"/>
        <v>1</v>
      </c>
      <c r="Q123" s="7">
        <f t="shared" si="16"/>
        <v>1818</v>
      </c>
      <c r="S123" s="124">
        <f>SUM(D121:D123)</f>
        <v>297533180</v>
      </c>
      <c r="T123" s="124">
        <f>SUM(F121:F123)</f>
        <v>152952556</v>
      </c>
      <c r="U123" s="124">
        <f>SUM(J121:J123)</f>
        <v>975600</v>
      </c>
    </row>
    <row r="124" spans="1:21">
      <c r="A124" s="23" t="s">
        <v>141</v>
      </c>
      <c r="B124" s="35" t="s">
        <v>142</v>
      </c>
      <c r="C124" s="36">
        <v>7251</v>
      </c>
      <c r="D124" s="113">
        <v>420116609</v>
      </c>
      <c r="E124" s="116">
        <f t="shared" si="25"/>
        <v>57939.126879051168</v>
      </c>
      <c r="F124" s="117">
        <v>198778401</v>
      </c>
      <c r="G124" s="117">
        <f t="shared" si="26"/>
        <v>27413.929251137775</v>
      </c>
      <c r="H124" s="7"/>
      <c r="I124" s="109">
        <v>6.1957000000000004</v>
      </c>
      <c r="J124" s="117">
        <v>1231571</v>
      </c>
      <c r="K124" s="120">
        <f t="shared" si="27"/>
        <v>169.84843469866226</v>
      </c>
      <c r="L124" s="122">
        <f t="shared" si="17"/>
        <v>1987784.01</v>
      </c>
      <c r="M124" s="116">
        <f t="shared" si="18"/>
        <v>756213.01</v>
      </c>
      <c r="N124" s="123">
        <f t="shared" si="14"/>
        <v>104.29085781271549</v>
      </c>
      <c r="O124" s="5"/>
      <c r="P124" s="5">
        <f t="shared" si="15"/>
        <v>1</v>
      </c>
      <c r="Q124" s="7">
        <f t="shared" si="16"/>
        <v>7251</v>
      </c>
    </row>
    <row r="125" spans="1:21">
      <c r="A125" s="23" t="s">
        <v>558</v>
      </c>
      <c r="B125" s="35" t="s">
        <v>142</v>
      </c>
      <c r="C125" s="36">
        <v>4669</v>
      </c>
      <c r="D125" s="113">
        <v>341747908</v>
      </c>
      <c r="E125" s="116">
        <f t="shared" si="25"/>
        <v>73195.097022917107</v>
      </c>
      <c r="F125" s="117">
        <v>171027604</v>
      </c>
      <c r="G125" s="117">
        <f t="shared" si="26"/>
        <v>36630.457057185689</v>
      </c>
      <c r="H125" s="7"/>
      <c r="I125" s="109">
        <v>3.1046</v>
      </c>
      <c r="J125" s="117">
        <v>530972</v>
      </c>
      <c r="K125" s="120">
        <f t="shared" si="27"/>
        <v>113.72285285928464</v>
      </c>
      <c r="L125" s="122">
        <f t="shared" si="17"/>
        <v>1710276.04</v>
      </c>
      <c r="M125" s="116">
        <f t="shared" si="18"/>
        <v>1179304.04</v>
      </c>
      <c r="N125" s="123">
        <f t="shared" si="14"/>
        <v>252.5817177125723</v>
      </c>
      <c r="O125" s="5"/>
      <c r="P125" s="5">
        <f t="shared" si="15"/>
        <v>1</v>
      </c>
      <c r="Q125" s="7">
        <f t="shared" si="16"/>
        <v>4669</v>
      </c>
      <c r="S125" s="124">
        <f>SUM(D124:D125)</f>
        <v>761864517</v>
      </c>
      <c r="T125" s="124">
        <f>SUM(F124:F125)</f>
        <v>369806005</v>
      </c>
      <c r="U125" s="124">
        <f>SUM(J124:J125)</f>
        <v>1762543</v>
      </c>
    </row>
    <row r="126" spans="1:21">
      <c r="A126" s="23" t="s">
        <v>143</v>
      </c>
      <c r="B126" s="35" t="s">
        <v>144</v>
      </c>
      <c r="C126" s="36">
        <v>7643</v>
      </c>
      <c r="D126" s="113">
        <v>951807551</v>
      </c>
      <c r="E126" s="116">
        <f t="shared" si="25"/>
        <v>124533.23969645427</v>
      </c>
      <c r="F126" s="117">
        <v>372710401</v>
      </c>
      <c r="G126" s="117">
        <f t="shared" si="26"/>
        <v>48764.935365694102</v>
      </c>
      <c r="H126" s="7"/>
      <c r="I126" s="109">
        <v>6.7317</v>
      </c>
      <c r="J126" s="117">
        <v>2508975</v>
      </c>
      <c r="K126" s="120">
        <f t="shared" si="27"/>
        <v>328.27096689781501</v>
      </c>
      <c r="L126" s="122">
        <f t="shared" si="17"/>
        <v>3727104.0100000002</v>
      </c>
      <c r="M126" s="116">
        <f t="shared" si="18"/>
        <v>1218129.0100000002</v>
      </c>
      <c r="N126" s="123">
        <f t="shared" si="14"/>
        <v>159.37838675912602</v>
      </c>
      <c r="O126" s="5"/>
      <c r="P126" s="5">
        <f t="shared" si="15"/>
        <v>1</v>
      </c>
      <c r="Q126" s="7">
        <f t="shared" si="16"/>
        <v>7643</v>
      </c>
    </row>
    <row r="127" spans="1:21">
      <c r="A127" s="23" t="s">
        <v>145</v>
      </c>
      <c r="B127" s="35" t="s">
        <v>144</v>
      </c>
      <c r="C127" s="36">
        <v>5</v>
      </c>
      <c r="D127" s="113">
        <v>48216817</v>
      </c>
      <c r="E127" s="116">
        <f t="shared" si="25"/>
        <v>9643363.4000000004</v>
      </c>
      <c r="F127" s="117">
        <v>17392687</v>
      </c>
      <c r="G127" s="117">
        <f t="shared" si="26"/>
        <v>3478537.4</v>
      </c>
      <c r="H127" s="7"/>
      <c r="I127" s="109">
        <v>2.7654000000000001</v>
      </c>
      <c r="J127" s="117">
        <v>48098</v>
      </c>
      <c r="K127" s="120">
        <f t="shared" si="27"/>
        <v>9619.6</v>
      </c>
      <c r="L127" s="122">
        <f t="shared" si="17"/>
        <v>173926.87</v>
      </c>
      <c r="M127" s="116">
        <f t="shared" si="18"/>
        <v>125828.87</v>
      </c>
      <c r="N127" s="123">
        <f t="shared" si="14"/>
        <v>25165.773999999998</v>
      </c>
      <c r="O127" s="5"/>
      <c r="P127" s="5">
        <f t="shared" si="15"/>
        <v>1</v>
      </c>
      <c r="Q127" s="7">
        <f t="shared" si="16"/>
        <v>5</v>
      </c>
      <c r="S127" s="124">
        <f>SUM(D126:D127)</f>
        <v>1000024368</v>
      </c>
      <c r="T127" s="124">
        <f>SUM(F126:F127)</f>
        <v>390103088</v>
      </c>
      <c r="U127" s="124">
        <f>SUM(J126:J127)</f>
        <v>2557073</v>
      </c>
    </row>
    <row r="128" spans="1:21">
      <c r="A128" s="23" t="s">
        <v>146</v>
      </c>
      <c r="B128" s="35" t="s">
        <v>147</v>
      </c>
      <c r="C128" s="36">
        <v>9189</v>
      </c>
      <c r="D128" s="113">
        <v>472421779</v>
      </c>
      <c r="E128" s="116">
        <f t="shared" si="25"/>
        <v>51411.663837196647</v>
      </c>
      <c r="F128" s="117">
        <v>231872757</v>
      </c>
      <c r="G128" s="117">
        <f t="shared" si="26"/>
        <v>25233.731309174011</v>
      </c>
      <c r="H128" s="7"/>
      <c r="I128" s="109">
        <v>0.3</v>
      </c>
      <c r="J128" s="117">
        <v>69562</v>
      </c>
      <c r="K128" s="120">
        <f t="shared" si="27"/>
        <v>7.5701382087278271</v>
      </c>
      <c r="L128" s="122">
        <f t="shared" si="17"/>
        <v>2318727.5699999998</v>
      </c>
      <c r="M128" s="116">
        <f t="shared" si="18"/>
        <v>2249165.5699999998</v>
      </c>
      <c r="N128" s="123">
        <f t="shared" si="14"/>
        <v>244.76717488301227</v>
      </c>
      <c r="O128" s="5"/>
      <c r="P128" s="5">
        <f t="shared" si="15"/>
        <v>1</v>
      </c>
      <c r="Q128" s="7">
        <f t="shared" si="16"/>
        <v>9189</v>
      </c>
    </row>
    <row r="129" spans="1:21">
      <c r="A129" s="23" t="s">
        <v>148</v>
      </c>
      <c r="B129" s="35" t="s">
        <v>147</v>
      </c>
      <c r="C129" s="36">
        <v>2316</v>
      </c>
      <c r="D129" s="113">
        <v>236996154</v>
      </c>
      <c r="E129" s="116">
        <f t="shared" si="25"/>
        <v>102329.94559585492</v>
      </c>
      <c r="F129" s="117">
        <v>162167795</v>
      </c>
      <c r="G129" s="117">
        <f t="shared" si="26"/>
        <v>70020.63687392055</v>
      </c>
      <c r="H129" s="7"/>
      <c r="I129" s="109">
        <v>3.65</v>
      </c>
      <c r="J129" s="117">
        <v>591912</v>
      </c>
      <c r="K129" s="120">
        <f t="shared" si="27"/>
        <v>255.57512953367876</v>
      </c>
      <c r="L129" s="122">
        <f t="shared" si="17"/>
        <v>1621677.95</v>
      </c>
      <c r="M129" s="116">
        <f t="shared" si="18"/>
        <v>1029765.95</v>
      </c>
      <c r="N129" s="123">
        <f t="shared" si="14"/>
        <v>444.63123920552675</v>
      </c>
      <c r="O129" s="5"/>
      <c r="P129" s="5">
        <f t="shared" si="15"/>
        <v>1</v>
      </c>
      <c r="Q129" s="7">
        <f t="shared" si="16"/>
        <v>2316</v>
      </c>
    </row>
    <row r="130" spans="1:21">
      <c r="A130" s="23" t="s">
        <v>149</v>
      </c>
      <c r="B130" s="35" t="s">
        <v>147</v>
      </c>
      <c r="C130" s="36">
        <v>10561</v>
      </c>
      <c r="D130" s="113">
        <v>777190247</v>
      </c>
      <c r="E130" s="116">
        <f t="shared" si="25"/>
        <v>73590.59246283496</v>
      </c>
      <c r="F130" s="117">
        <v>539631596</v>
      </c>
      <c r="G130" s="117">
        <f t="shared" si="26"/>
        <v>51096.638197140419</v>
      </c>
      <c r="H130" s="7"/>
      <c r="I130" s="109">
        <v>4.99</v>
      </c>
      <c r="J130" s="117">
        <v>2692762</v>
      </c>
      <c r="K130" s="120">
        <f t="shared" si="27"/>
        <v>254.97225641511221</v>
      </c>
      <c r="L130" s="122">
        <f t="shared" si="17"/>
        <v>5396315.96</v>
      </c>
      <c r="M130" s="116">
        <f t="shared" si="18"/>
        <v>2703553.96</v>
      </c>
      <c r="N130" s="123">
        <f t="shared" si="14"/>
        <v>255.994125556292</v>
      </c>
      <c r="O130" s="5"/>
      <c r="P130" s="5">
        <f t="shared" si="15"/>
        <v>1</v>
      </c>
      <c r="Q130" s="7">
        <f t="shared" si="16"/>
        <v>10561</v>
      </c>
      <c r="S130" s="124">
        <f>SUM(D128:D130)</f>
        <v>1486608180</v>
      </c>
      <c r="T130" s="124">
        <f>SUM(F128:F130)</f>
        <v>933672148</v>
      </c>
      <c r="U130" s="124">
        <f>SUM(J128:J130)</f>
        <v>3354236</v>
      </c>
    </row>
    <row r="131" spans="1:21">
      <c r="A131" s="23" t="s">
        <v>150</v>
      </c>
      <c r="B131" s="35" t="s">
        <v>151</v>
      </c>
      <c r="C131" s="36">
        <v>35313</v>
      </c>
      <c r="D131" s="113">
        <v>2171155659</v>
      </c>
      <c r="E131" s="116">
        <f t="shared" si="25"/>
        <v>61483.183501826519</v>
      </c>
      <c r="F131" s="117">
        <v>1517915227</v>
      </c>
      <c r="G131" s="117">
        <f t="shared" si="26"/>
        <v>42984.601336618245</v>
      </c>
      <c r="H131" s="7"/>
      <c r="I131" s="109">
        <v>4.7157</v>
      </c>
      <c r="J131" s="117">
        <v>7158033</v>
      </c>
      <c r="K131" s="120">
        <f t="shared" si="27"/>
        <v>202.70248916829496</v>
      </c>
      <c r="L131" s="122">
        <f t="shared" si="17"/>
        <v>15179152.27</v>
      </c>
      <c r="M131" s="116">
        <f t="shared" si="18"/>
        <v>8021119.2699999996</v>
      </c>
      <c r="N131" s="123">
        <f t="shared" si="14"/>
        <v>227.14352419788744</v>
      </c>
      <c r="O131" s="5"/>
      <c r="P131" s="5">
        <f t="shared" si="15"/>
        <v>1</v>
      </c>
      <c r="Q131" s="7">
        <f t="shared" si="16"/>
        <v>35313</v>
      </c>
    </row>
    <row r="132" spans="1:21">
      <c r="A132" s="23" t="s">
        <v>152</v>
      </c>
      <c r="B132" s="35" t="s">
        <v>151</v>
      </c>
      <c r="C132" s="36">
        <v>346609</v>
      </c>
      <c r="D132" s="113">
        <v>34066982563</v>
      </c>
      <c r="E132" s="116">
        <f t="shared" si="25"/>
        <v>98286.491588504621</v>
      </c>
      <c r="F132" s="117">
        <v>22383469356</v>
      </c>
      <c r="G132" s="117">
        <f t="shared" si="26"/>
        <v>64578.442440906038</v>
      </c>
      <c r="H132" s="7"/>
      <c r="I132" s="109">
        <v>5.7325999999999997</v>
      </c>
      <c r="J132" s="117">
        <v>128315476</v>
      </c>
      <c r="K132" s="120">
        <f t="shared" si="27"/>
        <v>370.20237789555375</v>
      </c>
      <c r="L132" s="122">
        <f t="shared" si="17"/>
        <v>223834693.56</v>
      </c>
      <c r="M132" s="116">
        <f t="shared" si="18"/>
        <v>95519217.560000002</v>
      </c>
      <c r="N132" s="123">
        <f t="shared" si="14"/>
        <v>275.58204651350655</v>
      </c>
      <c r="O132" s="5"/>
      <c r="P132" s="5">
        <f t="shared" si="15"/>
        <v>1</v>
      </c>
      <c r="Q132" s="7">
        <f t="shared" si="16"/>
        <v>346609</v>
      </c>
    </row>
    <row r="133" spans="1:21">
      <c r="A133" s="23" t="s">
        <v>153</v>
      </c>
      <c r="B133" s="35" t="s">
        <v>151</v>
      </c>
      <c r="C133" s="36">
        <v>25307</v>
      </c>
      <c r="D133" s="113">
        <v>1541070831</v>
      </c>
      <c r="E133" s="116">
        <f t="shared" si="25"/>
        <v>60895.042122732841</v>
      </c>
      <c r="F133" s="117">
        <v>1161893170</v>
      </c>
      <c r="G133" s="117">
        <f t="shared" si="26"/>
        <v>45911.928320227606</v>
      </c>
      <c r="H133" s="9"/>
      <c r="I133" s="109">
        <v>6.43</v>
      </c>
      <c r="J133" s="117">
        <v>7470973</v>
      </c>
      <c r="K133" s="120">
        <f t="shared" si="27"/>
        <v>295.21369581538704</v>
      </c>
      <c r="L133" s="122">
        <f t="shared" si="17"/>
        <v>11618931.700000001</v>
      </c>
      <c r="M133" s="116">
        <f t="shared" si="18"/>
        <v>4147958.7000000011</v>
      </c>
      <c r="N133" s="123">
        <f t="shared" si="14"/>
        <v>163.90558738688904</v>
      </c>
      <c r="O133" s="5"/>
      <c r="P133" s="5">
        <f t="shared" si="15"/>
        <v>1</v>
      </c>
      <c r="Q133" s="7">
        <f t="shared" si="16"/>
        <v>25307</v>
      </c>
      <c r="S133" s="124">
        <f>SUM(D131:D133)</f>
        <v>37779209053</v>
      </c>
      <c r="T133" s="124">
        <f>SUM(F131:F133)</f>
        <v>25063277753</v>
      </c>
      <c r="U133" s="124">
        <f>SUM(J131:J133)</f>
        <v>142944482</v>
      </c>
    </row>
    <row r="134" spans="1:21">
      <c r="A134" s="23" t="s">
        <v>154</v>
      </c>
      <c r="B134" s="35" t="s">
        <v>155</v>
      </c>
      <c r="C134" s="36">
        <v>2695</v>
      </c>
      <c r="D134" s="114" t="s">
        <v>564</v>
      </c>
      <c r="E134" s="116"/>
      <c r="F134" s="117"/>
      <c r="G134" s="117"/>
      <c r="H134" s="98" t="s">
        <v>588</v>
      </c>
      <c r="I134" s="109"/>
      <c r="J134" s="117"/>
      <c r="K134" s="120"/>
      <c r="L134" s="122">
        <f t="shared" si="17"/>
        <v>0</v>
      </c>
      <c r="M134" s="116">
        <f t="shared" si="18"/>
        <v>0</v>
      </c>
      <c r="N134" s="123">
        <f t="shared" ref="N134:N197" si="28">(M134/C134)</f>
        <v>0</v>
      </c>
      <c r="O134" s="5"/>
      <c r="P134" s="5">
        <f t="shared" ref="P134:P197" si="29">IF(I134&gt;0,1,0)</f>
        <v>0</v>
      </c>
      <c r="Q134" s="7">
        <f t="shared" ref="Q134:Q197" si="30">IF(I134&gt;0,C134,0)</f>
        <v>0</v>
      </c>
    </row>
    <row r="135" spans="1:21">
      <c r="A135" s="23" t="s">
        <v>156</v>
      </c>
      <c r="B135" s="35" t="s">
        <v>155</v>
      </c>
      <c r="C135" s="36">
        <v>364</v>
      </c>
      <c r="D135" s="113">
        <v>11369219</v>
      </c>
      <c r="E135" s="116">
        <f>(D135/C135)</f>
        <v>31234.11813186813</v>
      </c>
      <c r="F135" s="117">
        <v>5431667</v>
      </c>
      <c r="G135" s="117">
        <f>(F135/C135)</f>
        <v>14922.162087912087</v>
      </c>
      <c r="H135" s="7"/>
      <c r="I135" s="111">
        <v>0.48780000000000001</v>
      </c>
      <c r="J135" s="117">
        <v>2650</v>
      </c>
      <c r="K135" s="120">
        <f>(J135/C135)</f>
        <v>7.2802197802197801</v>
      </c>
      <c r="L135" s="122">
        <f t="shared" si="17"/>
        <v>54316.67</v>
      </c>
      <c r="M135" s="116">
        <f t="shared" si="18"/>
        <v>51666.67</v>
      </c>
      <c r="N135" s="123">
        <f t="shared" si="28"/>
        <v>141.94140109890108</v>
      </c>
      <c r="O135" s="5"/>
      <c r="P135" s="5">
        <f t="shared" si="29"/>
        <v>1</v>
      </c>
      <c r="Q135" s="7">
        <f t="shared" si="30"/>
        <v>364</v>
      </c>
    </row>
    <row r="136" spans="1:21">
      <c r="A136" s="23" t="s">
        <v>157</v>
      </c>
      <c r="B136" s="35" t="s">
        <v>155</v>
      </c>
      <c r="C136" s="36">
        <v>185</v>
      </c>
      <c r="D136" s="113">
        <v>4252495</v>
      </c>
      <c r="E136" s="116">
        <f>(D136/C136)</f>
        <v>22986.45945945946</v>
      </c>
      <c r="F136" s="117">
        <v>1811936</v>
      </c>
      <c r="G136" s="117">
        <f>(F136/C136)</f>
        <v>9794.2486486486487</v>
      </c>
      <c r="H136" s="9"/>
      <c r="I136" s="109">
        <v>0.9768</v>
      </c>
      <c r="J136" s="117">
        <v>1770</v>
      </c>
      <c r="K136" s="120">
        <f>(J136/C136)</f>
        <v>9.5675675675675684</v>
      </c>
      <c r="L136" s="122">
        <f t="shared" ref="L136:L199" si="31">(F136*0.01)</f>
        <v>18119.36</v>
      </c>
      <c r="M136" s="116">
        <f t="shared" ref="M136:M199" si="32">(L136-J136)</f>
        <v>16349.36</v>
      </c>
      <c r="N136" s="123">
        <f t="shared" si="28"/>
        <v>88.374918918918922</v>
      </c>
      <c r="O136" s="5"/>
      <c r="P136" s="5">
        <f t="shared" si="29"/>
        <v>1</v>
      </c>
      <c r="Q136" s="7">
        <f t="shared" si="30"/>
        <v>185</v>
      </c>
    </row>
    <row r="137" spans="1:21">
      <c r="A137" s="23" t="s">
        <v>158</v>
      </c>
      <c r="B137" s="35" t="s">
        <v>155</v>
      </c>
      <c r="C137" s="36">
        <v>565</v>
      </c>
      <c r="D137" s="114" t="s">
        <v>564</v>
      </c>
      <c r="E137" s="116"/>
      <c r="F137" s="117"/>
      <c r="G137" s="117"/>
      <c r="H137" s="98" t="s">
        <v>588</v>
      </c>
      <c r="I137" s="109"/>
      <c r="J137" s="117"/>
      <c r="K137" s="120"/>
      <c r="L137" s="122">
        <f t="shared" si="31"/>
        <v>0</v>
      </c>
      <c r="M137" s="116">
        <f t="shared" si="32"/>
        <v>0</v>
      </c>
      <c r="N137" s="123">
        <f t="shared" si="28"/>
        <v>0</v>
      </c>
      <c r="O137" s="5"/>
      <c r="P137" s="5">
        <f t="shared" si="29"/>
        <v>0</v>
      </c>
      <c r="Q137" s="7">
        <f t="shared" si="30"/>
        <v>0</v>
      </c>
    </row>
    <row r="138" spans="1:21">
      <c r="A138" s="23" t="s">
        <v>159</v>
      </c>
      <c r="B138" s="35" t="s">
        <v>155</v>
      </c>
      <c r="C138" s="36">
        <v>300</v>
      </c>
      <c r="D138" s="114" t="s">
        <v>564</v>
      </c>
      <c r="E138" s="116"/>
      <c r="F138" s="117"/>
      <c r="G138" s="117"/>
      <c r="H138" s="98" t="s">
        <v>588</v>
      </c>
      <c r="I138" s="109"/>
      <c r="J138" s="117"/>
      <c r="K138" s="120"/>
      <c r="L138" s="122">
        <f t="shared" si="31"/>
        <v>0</v>
      </c>
      <c r="M138" s="116">
        <f t="shared" si="32"/>
        <v>0</v>
      </c>
      <c r="N138" s="123">
        <f t="shared" si="28"/>
        <v>0</v>
      </c>
      <c r="O138" s="5"/>
      <c r="P138" s="5">
        <f t="shared" si="29"/>
        <v>0</v>
      </c>
      <c r="Q138" s="7">
        <f t="shared" si="30"/>
        <v>0</v>
      </c>
      <c r="S138" s="124">
        <f>SUM(D134:D138)</f>
        <v>15621714</v>
      </c>
      <c r="T138" s="124">
        <f>SUM(F134:F138)</f>
        <v>7243603</v>
      </c>
      <c r="U138" s="124">
        <f>SUM(J134:J138)</f>
        <v>4420</v>
      </c>
    </row>
    <row r="139" spans="1:21">
      <c r="A139" s="23" t="s">
        <v>160</v>
      </c>
      <c r="B139" s="35" t="s">
        <v>161</v>
      </c>
      <c r="C139" s="36">
        <v>5191</v>
      </c>
      <c r="D139" s="113">
        <v>244882658</v>
      </c>
      <c r="E139" s="116">
        <f t="shared" ref="E139:E144" si="33">(D139/C139)</f>
        <v>47174.466962049701</v>
      </c>
      <c r="F139" s="117">
        <v>88367863</v>
      </c>
      <c r="G139" s="117">
        <f t="shared" ref="G139:G144" si="34">(F139/C139)</f>
        <v>17023.283182431132</v>
      </c>
      <c r="H139" s="7"/>
      <c r="I139" s="110">
        <v>5.6189999999999998</v>
      </c>
      <c r="J139" s="117">
        <v>496539</v>
      </c>
      <c r="K139" s="120">
        <f t="shared" ref="K139:K144" si="35">(J139/C139)</f>
        <v>95.653823926025808</v>
      </c>
      <c r="L139" s="122">
        <f t="shared" si="31"/>
        <v>883678.63</v>
      </c>
      <c r="M139" s="116">
        <f t="shared" si="32"/>
        <v>387139.63</v>
      </c>
      <c r="N139" s="123">
        <f t="shared" si="28"/>
        <v>74.579007898285496</v>
      </c>
      <c r="O139" s="5"/>
      <c r="P139" s="5">
        <f t="shared" si="29"/>
        <v>1</v>
      </c>
      <c r="Q139" s="7">
        <f t="shared" si="30"/>
        <v>5191</v>
      </c>
    </row>
    <row r="140" spans="1:21">
      <c r="A140" s="23" t="s">
        <v>162</v>
      </c>
      <c r="B140" s="35" t="s">
        <v>161</v>
      </c>
      <c r="C140" s="36">
        <v>3940</v>
      </c>
      <c r="D140" s="113">
        <v>2652672848</v>
      </c>
      <c r="E140" s="116">
        <f t="shared" si="33"/>
        <v>673267.22030456853</v>
      </c>
      <c r="F140" s="117">
        <v>2392161099</v>
      </c>
      <c r="G140" s="117">
        <f t="shared" si="34"/>
        <v>607147.48705583753</v>
      </c>
      <c r="H140" s="7"/>
      <c r="I140" s="109">
        <v>1.4731000000000001</v>
      </c>
      <c r="J140" s="117">
        <v>3523893</v>
      </c>
      <c r="K140" s="120">
        <f t="shared" si="35"/>
        <v>894.38908629441619</v>
      </c>
      <c r="L140" s="122">
        <f t="shared" si="31"/>
        <v>23921610.990000002</v>
      </c>
      <c r="M140" s="116">
        <f t="shared" si="32"/>
        <v>20397717.990000002</v>
      </c>
      <c r="N140" s="123">
        <f t="shared" si="28"/>
        <v>5177.0857842639598</v>
      </c>
      <c r="O140" s="5"/>
      <c r="P140" s="5">
        <f t="shared" si="29"/>
        <v>1</v>
      </c>
      <c r="Q140" s="7">
        <f t="shared" si="30"/>
        <v>3940</v>
      </c>
    </row>
    <row r="141" spans="1:21">
      <c r="A141" s="23" t="s">
        <v>163</v>
      </c>
      <c r="B141" s="35" t="s">
        <v>161</v>
      </c>
      <c r="C141" s="36">
        <v>416</v>
      </c>
      <c r="D141" s="113">
        <v>407409696</v>
      </c>
      <c r="E141" s="116">
        <f t="shared" si="33"/>
        <v>979350.23076923075</v>
      </c>
      <c r="F141" s="117">
        <v>378008979</v>
      </c>
      <c r="G141" s="117">
        <f t="shared" si="34"/>
        <v>908675.4302884615</v>
      </c>
      <c r="H141" s="7"/>
      <c r="I141" s="109">
        <v>0.4864</v>
      </c>
      <c r="J141" s="117">
        <v>183864</v>
      </c>
      <c r="K141" s="120">
        <f t="shared" si="35"/>
        <v>441.98076923076923</v>
      </c>
      <c r="L141" s="122">
        <f t="shared" si="31"/>
        <v>3780089.79</v>
      </c>
      <c r="M141" s="116">
        <f t="shared" si="32"/>
        <v>3596225.79</v>
      </c>
      <c r="N141" s="123">
        <f t="shared" si="28"/>
        <v>8644.7735336538462</v>
      </c>
      <c r="O141" s="5"/>
      <c r="P141" s="5">
        <f t="shared" si="29"/>
        <v>1</v>
      </c>
      <c r="Q141" s="7">
        <f t="shared" si="30"/>
        <v>416</v>
      </c>
    </row>
    <row r="142" spans="1:21">
      <c r="A142" s="23" t="s">
        <v>164</v>
      </c>
      <c r="B142" s="35" t="s">
        <v>161</v>
      </c>
      <c r="C142" s="36">
        <v>22296</v>
      </c>
      <c r="D142" s="113">
        <v>1280248895</v>
      </c>
      <c r="E142" s="116">
        <f t="shared" si="33"/>
        <v>57420.564002511659</v>
      </c>
      <c r="F142" s="117">
        <v>827296184</v>
      </c>
      <c r="G142" s="117">
        <f t="shared" si="34"/>
        <v>37105.139217796917</v>
      </c>
      <c r="H142" s="7"/>
      <c r="I142" s="109">
        <v>3.7166000000000001</v>
      </c>
      <c r="J142" s="117">
        <v>3074729</v>
      </c>
      <c r="K142" s="120">
        <f t="shared" si="35"/>
        <v>137.90496053103695</v>
      </c>
      <c r="L142" s="122">
        <f t="shared" si="31"/>
        <v>8272961.8399999999</v>
      </c>
      <c r="M142" s="116">
        <f t="shared" si="32"/>
        <v>5198232.84</v>
      </c>
      <c r="N142" s="123">
        <f t="shared" si="28"/>
        <v>233.14643164693217</v>
      </c>
      <c r="O142" s="5"/>
      <c r="P142" s="5">
        <f t="shared" si="29"/>
        <v>1</v>
      </c>
      <c r="Q142" s="7">
        <f t="shared" si="30"/>
        <v>22296</v>
      </c>
    </row>
    <row r="143" spans="1:21">
      <c r="A143" s="23" t="s">
        <v>165</v>
      </c>
      <c r="B143" s="35" t="s">
        <v>161</v>
      </c>
      <c r="C143" s="36">
        <v>15361</v>
      </c>
      <c r="D143" s="113">
        <v>2804510822</v>
      </c>
      <c r="E143" s="116">
        <f t="shared" si="33"/>
        <v>182573.45368140095</v>
      </c>
      <c r="F143" s="117">
        <v>2125595609</v>
      </c>
      <c r="G143" s="117">
        <f t="shared" si="34"/>
        <v>138376.12193216587</v>
      </c>
      <c r="H143" s="7"/>
      <c r="I143" s="109">
        <v>2.0335999999999999</v>
      </c>
      <c r="J143" s="117">
        <v>4322611</v>
      </c>
      <c r="K143" s="120">
        <f t="shared" si="35"/>
        <v>281.40166655816677</v>
      </c>
      <c r="L143" s="122">
        <f t="shared" si="31"/>
        <v>21255956.09</v>
      </c>
      <c r="M143" s="116">
        <f t="shared" si="32"/>
        <v>16933345.09</v>
      </c>
      <c r="N143" s="123">
        <f t="shared" si="28"/>
        <v>1102.359552763492</v>
      </c>
      <c r="O143" s="5"/>
      <c r="P143" s="5">
        <f t="shared" si="29"/>
        <v>1</v>
      </c>
      <c r="Q143" s="7">
        <f t="shared" si="30"/>
        <v>15361</v>
      </c>
      <c r="S143" s="124">
        <f>SUM(D139:D143)</f>
        <v>7389724919</v>
      </c>
      <c r="T143" s="124">
        <f>SUM(F139:F143)</f>
        <v>5811429734</v>
      </c>
      <c r="U143" s="124">
        <f>SUM(J139:J143)</f>
        <v>11601636</v>
      </c>
    </row>
    <row r="144" spans="1:21">
      <c r="A144" s="23" t="s">
        <v>166</v>
      </c>
      <c r="B144" s="35" t="s">
        <v>167</v>
      </c>
      <c r="C144" s="36">
        <v>499</v>
      </c>
      <c r="D144" s="113">
        <v>14790486</v>
      </c>
      <c r="E144" s="116">
        <f t="shared" si="33"/>
        <v>29640.252505010019</v>
      </c>
      <c r="F144" s="117">
        <v>8809387</v>
      </c>
      <c r="G144" s="117">
        <f t="shared" si="34"/>
        <v>17654.082164328658</v>
      </c>
      <c r="H144" s="9"/>
      <c r="I144" s="109">
        <v>1.3947000000000001</v>
      </c>
      <c r="J144" s="117">
        <v>12286</v>
      </c>
      <c r="K144" s="120">
        <f t="shared" si="35"/>
        <v>24.62124248496994</v>
      </c>
      <c r="L144" s="122">
        <f t="shared" si="31"/>
        <v>88093.87</v>
      </c>
      <c r="M144" s="116">
        <f t="shared" si="32"/>
        <v>75807.87</v>
      </c>
      <c r="N144" s="123">
        <f t="shared" si="28"/>
        <v>151.91957915831662</v>
      </c>
      <c r="O144" s="5"/>
      <c r="P144" s="5">
        <f t="shared" si="29"/>
        <v>1</v>
      </c>
      <c r="Q144" s="7">
        <f t="shared" si="30"/>
        <v>499</v>
      </c>
    </row>
    <row r="145" spans="1:21">
      <c r="A145" s="23" t="s">
        <v>168</v>
      </c>
      <c r="B145" s="35" t="s">
        <v>167</v>
      </c>
      <c r="C145" s="36">
        <v>125</v>
      </c>
      <c r="D145" s="114" t="s">
        <v>564</v>
      </c>
      <c r="E145" s="116"/>
      <c r="F145" s="117"/>
      <c r="G145" s="117"/>
      <c r="H145" s="98" t="s">
        <v>588</v>
      </c>
      <c r="I145" s="109"/>
      <c r="J145" s="117"/>
      <c r="K145" s="120"/>
      <c r="L145" s="122">
        <f t="shared" si="31"/>
        <v>0</v>
      </c>
      <c r="M145" s="116">
        <f t="shared" si="32"/>
        <v>0</v>
      </c>
      <c r="N145" s="123">
        <f t="shared" si="28"/>
        <v>0</v>
      </c>
      <c r="O145" s="5"/>
      <c r="P145" s="5">
        <f t="shared" si="29"/>
        <v>0</v>
      </c>
      <c r="Q145" s="7">
        <f t="shared" si="30"/>
        <v>0</v>
      </c>
    </row>
    <row r="146" spans="1:21">
      <c r="A146" s="23" t="s">
        <v>169</v>
      </c>
      <c r="B146" s="35" t="s">
        <v>167</v>
      </c>
      <c r="C146" s="36">
        <v>228</v>
      </c>
      <c r="D146" s="113">
        <v>13709144</v>
      </c>
      <c r="E146" s="116">
        <f>(D146/C146)</f>
        <v>60127.824561403511</v>
      </c>
      <c r="F146" s="117">
        <v>8269696</v>
      </c>
      <c r="G146" s="117">
        <f>(F146/C146)</f>
        <v>36270.596491228069</v>
      </c>
      <c r="H146" s="7"/>
      <c r="I146" s="111">
        <v>2</v>
      </c>
      <c r="J146" s="117">
        <v>16539</v>
      </c>
      <c r="K146" s="120">
        <f>(J146/C146)</f>
        <v>72.53947368421052</v>
      </c>
      <c r="L146" s="122">
        <f t="shared" si="31"/>
        <v>82696.960000000006</v>
      </c>
      <c r="M146" s="116">
        <f t="shared" si="32"/>
        <v>66157.960000000006</v>
      </c>
      <c r="N146" s="123">
        <f t="shared" si="28"/>
        <v>290.16649122807019</v>
      </c>
      <c r="O146" s="5"/>
      <c r="P146" s="5">
        <f t="shared" si="29"/>
        <v>1</v>
      </c>
      <c r="Q146" s="7">
        <f t="shared" si="30"/>
        <v>228</v>
      </c>
    </row>
    <row r="147" spans="1:21">
      <c r="A147" s="23" t="s">
        <v>170</v>
      </c>
      <c r="B147" s="35" t="s">
        <v>167</v>
      </c>
      <c r="C147" s="36">
        <v>911</v>
      </c>
      <c r="D147" s="113">
        <v>31275403</v>
      </c>
      <c r="E147" s="116">
        <f>(D147/C147)</f>
        <v>34330.848518111961</v>
      </c>
      <c r="F147" s="117">
        <v>16952619</v>
      </c>
      <c r="G147" s="117">
        <f>(F147/C147)</f>
        <v>18608.80241492865</v>
      </c>
      <c r="H147" s="7"/>
      <c r="I147" s="109">
        <v>3.8542000000000001</v>
      </c>
      <c r="J147" s="117">
        <v>65339</v>
      </c>
      <c r="K147" s="120">
        <f>(J147/C147)</f>
        <v>71.722283205268937</v>
      </c>
      <c r="L147" s="122">
        <f t="shared" si="31"/>
        <v>169526.19</v>
      </c>
      <c r="M147" s="116">
        <f t="shared" si="32"/>
        <v>104187.19</v>
      </c>
      <c r="N147" s="123">
        <f t="shared" si="28"/>
        <v>114.36574094401756</v>
      </c>
      <c r="O147" s="5"/>
      <c r="P147" s="5">
        <f t="shared" si="29"/>
        <v>1</v>
      </c>
      <c r="Q147" s="7">
        <f t="shared" si="30"/>
        <v>911</v>
      </c>
    </row>
    <row r="148" spans="1:21">
      <c r="A148" s="23" t="s">
        <v>171</v>
      </c>
      <c r="B148" s="35" t="s">
        <v>167</v>
      </c>
      <c r="C148" s="36">
        <v>2222</v>
      </c>
      <c r="D148" s="113">
        <v>111170540</v>
      </c>
      <c r="E148" s="116">
        <f>(D148/C148)</f>
        <v>50031.746174617459</v>
      </c>
      <c r="F148" s="117">
        <v>66402502</v>
      </c>
      <c r="G148" s="117">
        <f>(F148/C148)</f>
        <v>29884.114311431142</v>
      </c>
      <c r="H148" s="9"/>
      <c r="I148" s="109">
        <v>4</v>
      </c>
      <c r="J148" s="117">
        <v>265610</v>
      </c>
      <c r="K148" s="120">
        <f>(J148/C148)</f>
        <v>119.53645364536453</v>
      </c>
      <c r="L148" s="122">
        <f t="shared" si="31"/>
        <v>664025.02</v>
      </c>
      <c r="M148" s="116">
        <f t="shared" si="32"/>
        <v>398415.02</v>
      </c>
      <c r="N148" s="123">
        <f t="shared" si="28"/>
        <v>179.30468946894689</v>
      </c>
      <c r="O148" s="5"/>
      <c r="P148" s="5">
        <f t="shared" si="29"/>
        <v>1</v>
      </c>
      <c r="Q148" s="7">
        <f t="shared" si="30"/>
        <v>2222</v>
      </c>
    </row>
    <row r="149" spans="1:21">
      <c r="A149" s="23" t="s">
        <v>172</v>
      </c>
      <c r="B149" s="35" t="s">
        <v>167</v>
      </c>
      <c r="C149" s="36">
        <v>940</v>
      </c>
      <c r="D149" s="114" t="s">
        <v>564</v>
      </c>
      <c r="E149" s="116"/>
      <c r="F149" s="117"/>
      <c r="G149" s="117"/>
      <c r="H149" s="98" t="s">
        <v>588</v>
      </c>
      <c r="I149" s="109"/>
      <c r="J149" s="117"/>
      <c r="K149" s="120"/>
      <c r="L149" s="122">
        <f t="shared" si="31"/>
        <v>0</v>
      </c>
      <c r="M149" s="116">
        <f t="shared" si="32"/>
        <v>0</v>
      </c>
      <c r="N149" s="123">
        <f t="shared" si="28"/>
        <v>0</v>
      </c>
      <c r="O149" s="5"/>
      <c r="P149" s="5">
        <f t="shared" si="29"/>
        <v>0</v>
      </c>
      <c r="Q149" s="7">
        <f t="shared" si="30"/>
        <v>0</v>
      </c>
    </row>
    <row r="150" spans="1:21">
      <c r="A150" s="23" t="s">
        <v>173</v>
      </c>
      <c r="B150" s="35" t="s">
        <v>167</v>
      </c>
      <c r="C150" s="36">
        <v>681</v>
      </c>
      <c r="D150" s="113">
        <v>23719564</v>
      </c>
      <c r="E150" s="116">
        <f t="shared" ref="E150:E197" si="36">(D150/C150)</f>
        <v>34830.490455212923</v>
      </c>
      <c r="F150" s="117">
        <v>13043193</v>
      </c>
      <c r="G150" s="117">
        <f t="shared" ref="G150:G197" si="37">(F150/C150)</f>
        <v>19153</v>
      </c>
      <c r="H150" s="7"/>
      <c r="I150" s="110">
        <v>1</v>
      </c>
      <c r="J150" s="117">
        <v>13043</v>
      </c>
      <c r="K150" s="120">
        <f t="shared" ref="K150:K197" si="38">(J150/C150)</f>
        <v>19.152716593245227</v>
      </c>
      <c r="L150" s="122">
        <f t="shared" si="31"/>
        <v>130431.93000000001</v>
      </c>
      <c r="M150" s="116">
        <f t="shared" si="32"/>
        <v>117388.93000000001</v>
      </c>
      <c r="N150" s="123">
        <f t="shared" si="28"/>
        <v>172.37728340675477</v>
      </c>
      <c r="O150" s="5"/>
      <c r="P150" s="5">
        <f t="shared" si="29"/>
        <v>1</v>
      </c>
      <c r="Q150" s="7">
        <f t="shared" si="30"/>
        <v>681</v>
      </c>
    </row>
    <row r="151" spans="1:21">
      <c r="A151" s="23" t="s">
        <v>508</v>
      </c>
      <c r="B151" s="35" t="s">
        <v>167</v>
      </c>
      <c r="C151" s="36">
        <v>255</v>
      </c>
      <c r="D151" s="113">
        <v>7386565</v>
      </c>
      <c r="E151" s="116">
        <f t="shared" si="36"/>
        <v>28966.921568627451</v>
      </c>
      <c r="F151" s="117">
        <v>3678382</v>
      </c>
      <c r="G151" s="117">
        <f t="shared" si="37"/>
        <v>14425.027450980393</v>
      </c>
      <c r="H151" s="9"/>
      <c r="I151" s="109">
        <v>3</v>
      </c>
      <c r="J151" s="117">
        <v>11035</v>
      </c>
      <c r="K151" s="120">
        <f t="shared" si="38"/>
        <v>43.274509803921568</v>
      </c>
      <c r="L151" s="122">
        <f t="shared" si="31"/>
        <v>36783.82</v>
      </c>
      <c r="M151" s="116">
        <f t="shared" si="32"/>
        <v>25748.82</v>
      </c>
      <c r="N151" s="123">
        <f t="shared" si="28"/>
        <v>100.97576470588236</v>
      </c>
      <c r="O151" s="5"/>
      <c r="P151" s="5">
        <f t="shared" si="29"/>
        <v>1</v>
      </c>
      <c r="Q151" s="7">
        <f t="shared" si="30"/>
        <v>255</v>
      </c>
    </row>
    <row r="152" spans="1:21">
      <c r="A152" s="23" t="s">
        <v>175</v>
      </c>
      <c r="B152" s="35" t="s">
        <v>167</v>
      </c>
      <c r="C152" s="36">
        <v>2318</v>
      </c>
      <c r="D152" s="114">
        <v>45899087</v>
      </c>
      <c r="E152" s="116">
        <f t="shared" si="36"/>
        <v>19801.159188955997</v>
      </c>
      <c r="F152" s="117">
        <v>13060753</v>
      </c>
      <c r="G152" s="117">
        <f t="shared" si="37"/>
        <v>5634.4922346850735</v>
      </c>
      <c r="H152" s="98"/>
      <c r="I152" s="109">
        <v>1</v>
      </c>
      <c r="J152" s="117">
        <v>13061</v>
      </c>
      <c r="K152" s="120">
        <f t="shared" si="38"/>
        <v>5.6345987920621221</v>
      </c>
      <c r="L152" s="122">
        <f t="shared" si="31"/>
        <v>130607.53</v>
      </c>
      <c r="M152" s="116">
        <f t="shared" si="32"/>
        <v>117546.53</v>
      </c>
      <c r="N152" s="123">
        <f t="shared" si="28"/>
        <v>50.710323554788609</v>
      </c>
      <c r="O152" s="5"/>
      <c r="P152" s="5">
        <f t="shared" si="29"/>
        <v>1</v>
      </c>
      <c r="Q152" s="7">
        <f t="shared" si="30"/>
        <v>2318</v>
      </c>
    </row>
    <row r="153" spans="1:21">
      <c r="A153" s="23" t="s">
        <v>176</v>
      </c>
      <c r="B153" s="35" t="s">
        <v>167</v>
      </c>
      <c r="C153" s="36">
        <v>7979</v>
      </c>
      <c r="D153" s="113">
        <v>465544012</v>
      </c>
      <c r="E153" s="116">
        <f t="shared" si="36"/>
        <v>58346.160170447423</v>
      </c>
      <c r="F153" s="117">
        <v>247513252</v>
      </c>
      <c r="G153" s="117">
        <f t="shared" si="37"/>
        <v>31020.585537034716</v>
      </c>
      <c r="H153" s="7"/>
      <c r="I153" s="110">
        <v>2.8163999999999998</v>
      </c>
      <c r="J153" s="117">
        <v>697096</v>
      </c>
      <c r="K153" s="120">
        <f t="shared" si="38"/>
        <v>87.366336633663366</v>
      </c>
      <c r="L153" s="122">
        <f t="shared" si="31"/>
        <v>2475132.52</v>
      </c>
      <c r="M153" s="116">
        <f t="shared" si="32"/>
        <v>1778036.52</v>
      </c>
      <c r="N153" s="123">
        <f t="shared" si="28"/>
        <v>222.8395187366838</v>
      </c>
      <c r="O153" s="5"/>
      <c r="P153" s="5">
        <f t="shared" si="29"/>
        <v>1</v>
      </c>
      <c r="Q153" s="7">
        <f t="shared" si="30"/>
        <v>7979</v>
      </c>
    </row>
    <row r="154" spans="1:21">
      <c r="A154" s="23" t="s">
        <v>177</v>
      </c>
      <c r="B154" s="35" t="s">
        <v>167</v>
      </c>
      <c r="C154" s="36">
        <v>1926</v>
      </c>
      <c r="D154" s="113">
        <v>63276170</v>
      </c>
      <c r="E154" s="116">
        <f t="shared" si="36"/>
        <v>32853.670820353065</v>
      </c>
      <c r="F154" s="117">
        <v>34117098</v>
      </c>
      <c r="G154" s="117">
        <f t="shared" si="37"/>
        <v>17713.965732087228</v>
      </c>
      <c r="H154" s="7"/>
      <c r="I154" s="109">
        <v>0.61470000000000002</v>
      </c>
      <c r="J154" s="117">
        <v>20972</v>
      </c>
      <c r="K154" s="120">
        <f t="shared" si="38"/>
        <v>10.888888888888889</v>
      </c>
      <c r="L154" s="122">
        <f t="shared" si="31"/>
        <v>341170.98</v>
      </c>
      <c r="M154" s="116">
        <f t="shared" si="32"/>
        <v>320198.98</v>
      </c>
      <c r="N154" s="123">
        <f t="shared" si="28"/>
        <v>166.25076843198337</v>
      </c>
      <c r="O154" s="5"/>
      <c r="P154" s="5">
        <f t="shared" si="29"/>
        <v>1</v>
      </c>
      <c r="Q154" s="7">
        <f t="shared" si="30"/>
        <v>1926</v>
      </c>
      <c r="S154" s="124">
        <f>SUM(D144:D154)</f>
        <v>776770971</v>
      </c>
      <c r="T154" s="124">
        <f>SUM(F144:F154)</f>
        <v>411846882</v>
      </c>
      <c r="U154" s="124">
        <f>SUM(J144:J154)</f>
        <v>1114981</v>
      </c>
    </row>
    <row r="155" spans="1:21">
      <c r="A155" s="23" t="s">
        <v>178</v>
      </c>
      <c r="B155" s="35" t="s">
        <v>179</v>
      </c>
      <c r="C155" s="36">
        <v>2468</v>
      </c>
      <c r="D155" s="113">
        <v>151676071</v>
      </c>
      <c r="E155" s="116">
        <f t="shared" si="36"/>
        <v>61457.079011345217</v>
      </c>
      <c r="F155" s="117">
        <v>89209878</v>
      </c>
      <c r="G155" s="117">
        <f t="shared" si="37"/>
        <v>36146.628038897892</v>
      </c>
      <c r="H155" s="7"/>
      <c r="I155" s="109">
        <v>5.9</v>
      </c>
      <c r="J155" s="117">
        <v>526338</v>
      </c>
      <c r="K155" s="120">
        <f t="shared" si="38"/>
        <v>213.26499189627228</v>
      </c>
      <c r="L155" s="122">
        <f t="shared" si="31"/>
        <v>892098.78</v>
      </c>
      <c r="M155" s="116">
        <f t="shared" si="32"/>
        <v>365760.78</v>
      </c>
      <c r="N155" s="123">
        <f t="shared" si="28"/>
        <v>148.20128849270665</v>
      </c>
      <c r="O155" s="5"/>
      <c r="P155" s="5">
        <f t="shared" si="29"/>
        <v>1</v>
      </c>
      <c r="Q155" s="7">
        <f t="shared" si="30"/>
        <v>2468</v>
      </c>
      <c r="S155" s="124">
        <f>SUM(D155)</f>
        <v>151676071</v>
      </c>
      <c r="T155" s="124">
        <f>SUM(F155)</f>
        <v>89209878</v>
      </c>
      <c r="U155" s="124">
        <f>SUM(J155)</f>
        <v>526338</v>
      </c>
    </row>
    <row r="156" spans="1:21">
      <c r="A156" s="23" t="s">
        <v>180</v>
      </c>
      <c r="B156" s="35" t="s">
        <v>181</v>
      </c>
      <c r="C156" s="36">
        <v>1216</v>
      </c>
      <c r="D156" s="113">
        <v>44678590</v>
      </c>
      <c r="E156" s="116">
        <f t="shared" si="36"/>
        <v>36742.261513157893</v>
      </c>
      <c r="F156" s="117">
        <v>21993629</v>
      </c>
      <c r="G156" s="117">
        <f t="shared" si="37"/>
        <v>18086.86595394737</v>
      </c>
      <c r="H156" s="7"/>
      <c r="I156" s="109">
        <v>6</v>
      </c>
      <c r="J156" s="117">
        <v>131962</v>
      </c>
      <c r="K156" s="120">
        <f t="shared" si="38"/>
        <v>108.52138157894737</v>
      </c>
      <c r="L156" s="122">
        <f t="shared" si="31"/>
        <v>219936.29</v>
      </c>
      <c r="M156" s="116">
        <f t="shared" si="32"/>
        <v>87974.290000000008</v>
      </c>
      <c r="N156" s="123">
        <f t="shared" si="28"/>
        <v>72.347277960526327</v>
      </c>
      <c r="O156" s="5"/>
      <c r="P156" s="5">
        <f t="shared" si="29"/>
        <v>1</v>
      </c>
      <c r="Q156" s="7">
        <f t="shared" si="30"/>
        <v>1216</v>
      </c>
      <c r="S156" s="124">
        <f>SUM(D156)</f>
        <v>44678590</v>
      </c>
      <c r="T156" s="124">
        <f>SUM(F156)</f>
        <v>21993629</v>
      </c>
      <c r="U156" s="124">
        <f>SUM(J156)</f>
        <v>131962</v>
      </c>
    </row>
    <row r="157" spans="1:21">
      <c r="A157" s="23" t="s">
        <v>182</v>
      </c>
      <c r="B157" s="35" t="s">
        <v>183</v>
      </c>
      <c r="C157" s="36">
        <v>1793</v>
      </c>
      <c r="D157" s="114">
        <v>67706191</v>
      </c>
      <c r="E157" s="116">
        <f t="shared" si="36"/>
        <v>37761.400446179585</v>
      </c>
      <c r="F157" s="117">
        <v>44304713</v>
      </c>
      <c r="G157" s="117">
        <f t="shared" si="37"/>
        <v>24709.823201338539</v>
      </c>
      <c r="H157" s="9"/>
      <c r="I157" s="109">
        <v>6.25</v>
      </c>
      <c r="J157" s="117">
        <v>276904</v>
      </c>
      <c r="K157" s="120">
        <f t="shared" si="38"/>
        <v>154.43614054656999</v>
      </c>
      <c r="L157" s="122">
        <f t="shared" si="31"/>
        <v>443047.13</v>
      </c>
      <c r="M157" s="116">
        <f t="shared" si="32"/>
        <v>166143.13</v>
      </c>
      <c r="N157" s="123">
        <f t="shared" si="28"/>
        <v>92.662091466815397</v>
      </c>
      <c r="O157" s="5"/>
      <c r="P157" s="5">
        <f t="shared" si="29"/>
        <v>1</v>
      </c>
      <c r="Q157" s="7">
        <f t="shared" si="30"/>
        <v>1793</v>
      </c>
    </row>
    <row r="158" spans="1:21">
      <c r="A158" s="23" t="s">
        <v>184</v>
      </c>
      <c r="B158" s="35" t="s">
        <v>183</v>
      </c>
      <c r="C158" s="36">
        <v>30201</v>
      </c>
      <c r="D158" s="114">
        <v>2429878004</v>
      </c>
      <c r="E158" s="116">
        <f t="shared" si="36"/>
        <v>80456.872421442997</v>
      </c>
      <c r="F158" s="117">
        <v>1779778790</v>
      </c>
      <c r="G158" s="117">
        <f t="shared" si="37"/>
        <v>58931.121154928645</v>
      </c>
      <c r="H158" s="9"/>
      <c r="I158" s="109">
        <v>3.7290000000000001</v>
      </c>
      <c r="J158" s="117">
        <v>6636795</v>
      </c>
      <c r="K158" s="120">
        <f t="shared" si="38"/>
        <v>219.75414721366843</v>
      </c>
      <c r="L158" s="122">
        <f t="shared" si="31"/>
        <v>17797787.899999999</v>
      </c>
      <c r="M158" s="116">
        <f t="shared" si="32"/>
        <v>11160992.899999999</v>
      </c>
      <c r="N158" s="123">
        <f t="shared" si="28"/>
        <v>369.55706433561795</v>
      </c>
      <c r="O158" s="5"/>
      <c r="P158" s="5">
        <f t="shared" si="29"/>
        <v>1</v>
      </c>
      <c r="Q158" s="7">
        <f t="shared" si="30"/>
        <v>30201</v>
      </c>
    </row>
    <row r="159" spans="1:21">
      <c r="A159" s="23" t="s">
        <v>185</v>
      </c>
      <c r="B159" s="35" t="s">
        <v>183</v>
      </c>
      <c r="C159" s="36">
        <v>18795</v>
      </c>
      <c r="D159" s="113">
        <v>1047975481</v>
      </c>
      <c r="E159" s="116">
        <f t="shared" si="36"/>
        <v>55758.205959031657</v>
      </c>
      <c r="F159" s="117">
        <v>731877188</v>
      </c>
      <c r="G159" s="117">
        <f t="shared" si="37"/>
        <v>38939.99404096834</v>
      </c>
      <c r="H159" s="7"/>
      <c r="I159" s="109">
        <v>7.5810000000000004</v>
      </c>
      <c r="J159" s="117">
        <v>5548361</v>
      </c>
      <c r="K159" s="120">
        <f t="shared" si="38"/>
        <v>295.20409683426442</v>
      </c>
      <c r="L159" s="122">
        <f t="shared" si="31"/>
        <v>7318771.8799999999</v>
      </c>
      <c r="M159" s="116">
        <f t="shared" si="32"/>
        <v>1770410.88</v>
      </c>
      <c r="N159" s="123">
        <f t="shared" si="28"/>
        <v>94.195843575418991</v>
      </c>
      <c r="O159" s="5"/>
      <c r="P159" s="5">
        <f t="shared" si="29"/>
        <v>1</v>
      </c>
      <c r="Q159" s="7">
        <f t="shared" si="30"/>
        <v>18795</v>
      </c>
    </row>
    <row r="160" spans="1:21">
      <c r="A160" s="23" t="s">
        <v>186</v>
      </c>
      <c r="B160" s="35" t="s">
        <v>183</v>
      </c>
      <c r="C160" s="36">
        <v>4182</v>
      </c>
      <c r="D160" s="113">
        <v>219675606</v>
      </c>
      <c r="E160" s="116">
        <f t="shared" si="36"/>
        <v>52528.83931133429</v>
      </c>
      <c r="F160" s="117">
        <v>155620901</v>
      </c>
      <c r="G160" s="117">
        <f t="shared" si="37"/>
        <v>37212.075801052131</v>
      </c>
      <c r="H160" s="7"/>
      <c r="I160" s="109">
        <v>4.7370999999999999</v>
      </c>
      <c r="J160" s="117">
        <v>737192</v>
      </c>
      <c r="K160" s="120">
        <f t="shared" si="38"/>
        <v>176.27737924438068</v>
      </c>
      <c r="L160" s="122">
        <f t="shared" si="31"/>
        <v>1556209.01</v>
      </c>
      <c r="M160" s="116">
        <f t="shared" si="32"/>
        <v>819017.01</v>
      </c>
      <c r="N160" s="123">
        <f t="shared" si="28"/>
        <v>195.8433787661406</v>
      </c>
      <c r="O160" s="5"/>
      <c r="P160" s="5">
        <f t="shared" si="29"/>
        <v>1</v>
      </c>
      <c r="Q160" s="7">
        <f t="shared" si="30"/>
        <v>4182</v>
      </c>
    </row>
    <row r="161" spans="1:21">
      <c r="A161" s="23" t="s">
        <v>187</v>
      </c>
      <c r="B161" s="35" t="s">
        <v>183</v>
      </c>
      <c r="C161" s="36">
        <v>9529</v>
      </c>
      <c r="D161" s="113">
        <v>520841647</v>
      </c>
      <c r="E161" s="116">
        <f t="shared" si="36"/>
        <v>54658.584006716337</v>
      </c>
      <c r="F161" s="117">
        <v>383166725</v>
      </c>
      <c r="G161" s="117">
        <f t="shared" si="37"/>
        <v>40210.59135271277</v>
      </c>
      <c r="H161" s="7"/>
      <c r="I161" s="109">
        <v>5.47</v>
      </c>
      <c r="J161" s="117">
        <v>2095922</v>
      </c>
      <c r="K161" s="120">
        <f t="shared" si="38"/>
        <v>219.95193619477385</v>
      </c>
      <c r="L161" s="122">
        <f t="shared" si="31"/>
        <v>3831667.25</v>
      </c>
      <c r="M161" s="116">
        <f t="shared" si="32"/>
        <v>1735745.25</v>
      </c>
      <c r="N161" s="123">
        <f t="shared" si="28"/>
        <v>182.15397733235386</v>
      </c>
      <c r="O161" s="5"/>
      <c r="P161" s="5">
        <f t="shared" si="29"/>
        <v>1</v>
      </c>
      <c r="Q161" s="7">
        <f t="shared" si="30"/>
        <v>9529</v>
      </c>
    </row>
    <row r="162" spans="1:21">
      <c r="A162" s="23" t="s">
        <v>188</v>
      </c>
      <c r="B162" s="35" t="s">
        <v>183</v>
      </c>
      <c r="C162" s="36">
        <v>1083</v>
      </c>
      <c r="D162" s="113">
        <v>92924819</v>
      </c>
      <c r="E162" s="116">
        <f t="shared" si="36"/>
        <v>85803.156971375807</v>
      </c>
      <c r="F162" s="117">
        <v>66993515</v>
      </c>
      <c r="G162" s="117">
        <f t="shared" si="37"/>
        <v>61859.201292705446</v>
      </c>
      <c r="H162" s="7"/>
      <c r="I162" s="109">
        <v>9.6146999999999991</v>
      </c>
      <c r="J162" s="117">
        <v>644123</v>
      </c>
      <c r="K162" s="120">
        <f t="shared" si="38"/>
        <v>594.75807940904895</v>
      </c>
      <c r="L162" s="122">
        <f t="shared" si="31"/>
        <v>669935.15</v>
      </c>
      <c r="M162" s="116">
        <f t="shared" si="32"/>
        <v>25812.150000000023</v>
      </c>
      <c r="N162" s="123">
        <f t="shared" si="28"/>
        <v>23.833933518005562</v>
      </c>
      <c r="O162" s="5"/>
      <c r="P162" s="5">
        <f t="shared" si="29"/>
        <v>1</v>
      </c>
      <c r="Q162" s="7">
        <f t="shared" si="30"/>
        <v>1083</v>
      </c>
    </row>
    <row r="163" spans="1:21">
      <c r="A163" s="23" t="s">
        <v>189</v>
      </c>
      <c r="B163" s="35" t="s">
        <v>183</v>
      </c>
      <c r="C163" s="36">
        <v>13947</v>
      </c>
      <c r="D163" s="113">
        <v>1175725402</v>
      </c>
      <c r="E163" s="116">
        <f t="shared" si="36"/>
        <v>84299.519753351982</v>
      </c>
      <c r="F163" s="117">
        <v>800177265</v>
      </c>
      <c r="G163" s="117">
        <f t="shared" si="37"/>
        <v>57372.715637771566</v>
      </c>
      <c r="H163" s="7"/>
      <c r="I163" s="109">
        <v>3.2808000000000002</v>
      </c>
      <c r="J163" s="117">
        <v>2625222</v>
      </c>
      <c r="K163" s="120">
        <f t="shared" si="38"/>
        <v>188.22843622284361</v>
      </c>
      <c r="L163" s="122">
        <f t="shared" si="31"/>
        <v>8001772.6500000004</v>
      </c>
      <c r="M163" s="116">
        <f t="shared" si="32"/>
        <v>5376550.6500000004</v>
      </c>
      <c r="N163" s="123">
        <f t="shared" si="28"/>
        <v>385.49872015487205</v>
      </c>
      <c r="O163" s="5"/>
      <c r="P163" s="5">
        <f t="shared" si="29"/>
        <v>1</v>
      </c>
      <c r="Q163" s="7">
        <f t="shared" si="30"/>
        <v>13947</v>
      </c>
    </row>
    <row r="164" spans="1:21">
      <c r="A164" s="23" t="s">
        <v>190</v>
      </c>
      <c r="B164" s="35" t="s">
        <v>183</v>
      </c>
      <c r="C164" s="36">
        <v>20761</v>
      </c>
      <c r="D164" s="113">
        <v>1571550054</v>
      </c>
      <c r="E164" s="116">
        <f t="shared" si="36"/>
        <v>75697.223351476321</v>
      </c>
      <c r="F164" s="117">
        <v>1115945021</v>
      </c>
      <c r="G164" s="117">
        <f t="shared" si="37"/>
        <v>53751.987910023599</v>
      </c>
      <c r="H164" s="7"/>
      <c r="I164" s="109">
        <v>4.3178999999999998</v>
      </c>
      <c r="J164" s="117">
        <v>4818539</v>
      </c>
      <c r="K164" s="120">
        <f t="shared" si="38"/>
        <v>232.09570829921486</v>
      </c>
      <c r="L164" s="122">
        <f t="shared" si="31"/>
        <v>11159450.210000001</v>
      </c>
      <c r="M164" s="116">
        <f t="shared" si="32"/>
        <v>6340911.2100000009</v>
      </c>
      <c r="N164" s="123">
        <f t="shared" si="28"/>
        <v>305.42417080102121</v>
      </c>
      <c r="O164" s="5"/>
      <c r="P164" s="5">
        <f t="shared" si="29"/>
        <v>1</v>
      </c>
      <c r="Q164" s="7">
        <f t="shared" si="30"/>
        <v>20761</v>
      </c>
    </row>
    <row r="165" spans="1:21">
      <c r="A165" s="23" t="s">
        <v>191</v>
      </c>
      <c r="B165" s="35" t="s">
        <v>183</v>
      </c>
      <c r="C165" s="36">
        <v>5158</v>
      </c>
      <c r="D165" s="113">
        <v>152997441</v>
      </c>
      <c r="E165" s="116">
        <f t="shared" si="36"/>
        <v>29662.163823187282</v>
      </c>
      <c r="F165" s="117">
        <v>93636009</v>
      </c>
      <c r="G165" s="117">
        <f t="shared" si="37"/>
        <v>18153.54963164017</v>
      </c>
      <c r="H165" s="7"/>
      <c r="I165" s="109">
        <v>9.6146999999999991</v>
      </c>
      <c r="J165" s="117">
        <v>900282</v>
      </c>
      <c r="K165" s="120">
        <f t="shared" si="38"/>
        <v>174.54090732842187</v>
      </c>
      <c r="L165" s="122">
        <f t="shared" si="31"/>
        <v>936360.09</v>
      </c>
      <c r="M165" s="116">
        <f t="shared" si="32"/>
        <v>36078.089999999967</v>
      </c>
      <c r="N165" s="123">
        <f t="shared" si="28"/>
        <v>6.9945889879798306</v>
      </c>
      <c r="O165" s="5"/>
      <c r="P165" s="5">
        <f t="shared" si="29"/>
        <v>1</v>
      </c>
      <c r="Q165" s="7">
        <f t="shared" si="30"/>
        <v>5158</v>
      </c>
    </row>
    <row r="166" spans="1:21">
      <c r="A166" s="23" t="s">
        <v>192</v>
      </c>
      <c r="B166" s="35" t="s">
        <v>183</v>
      </c>
      <c r="C166" s="36">
        <v>9743</v>
      </c>
      <c r="D166" s="113">
        <v>471557064</v>
      </c>
      <c r="E166" s="116">
        <f t="shared" si="36"/>
        <v>48399.575490095456</v>
      </c>
      <c r="F166" s="117">
        <v>314526998</v>
      </c>
      <c r="G166" s="117">
        <f t="shared" si="37"/>
        <v>32282.356358411165</v>
      </c>
      <c r="H166" s="7"/>
      <c r="I166" s="109">
        <v>6.3676000000000004</v>
      </c>
      <c r="J166" s="117">
        <v>2002782</v>
      </c>
      <c r="K166" s="120">
        <f t="shared" si="38"/>
        <v>205.56112080468029</v>
      </c>
      <c r="L166" s="122">
        <f t="shared" si="31"/>
        <v>3145269.98</v>
      </c>
      <c r="M166" s="116">
        <f t="shared" si="32"/>
        <v>1142487.98</v>
      </c>
      <c r="N166" s="123">
        <f t="shared" si="28"/>
        <v>117.26244277943138</v>
      </c>
      <c r="O166" s="5"/>
      <c r="P166" s="5">
        <f t="shared" si="29"/>
        <v>1</v>
      </c>
      <c r="Q166" s="7">
        <f t="shared" si="30"/>
        <v>9743</v>
      </c>
    </row>
    <row r="167" spans="1:21">
      <c r="A167" s="23" t="s">
        <v>193</v>
      </c>
      <c r="B167" s="35" t="s">
        <v>183</v>
      </c>
      <c r="C167" s="36">
        <v>1451</v>
      </c>
      <c r="D167" s="113">
        <v>118797755</v>
      </c>
      <c r="E167" s="116">
        <f t="shared" si="36"/>
        <v>81873.022053756024</v>
      </c>
      <c r="F167" s="117">
        <v>74975605</v>
      </c>
      <c r="G167" s="117">
        <f t="shared" si="37"/>
        <v>51671.678152997934</v>
      </c>
      <c r="H167" s="7"/>
      <c r="I167" s="109">
        <v>2.83</v>
      </c>
      <c r="J167" s="117">
        <v>212181</v>
      </c>
      <c r="K167" s="120">
        <f t="shared" si="38"/>
        <v>146.23087525844247</v>
      </c>
      <c r="L167" s="122">
        <f t="shared" si="31"/>
        <v>749756.05</v>
      </c>
      <c r="M167" s="116">
        <f t="shared" si="32"/>
        <v>537575.05000000005</v>
      </c>
      <c r="N167" s="123">
        <f t="shared" si="28"/>
        <v>370.48590627153692</v>
      </c>
      <c r="O167" s="5"/>
      <c r="P167" s="5">
        <f t="shared" si="29"/>
        <v>1</v>
      </c>
      <c r="Q167" s="7">
        <f t="shared" si="30"/>
        <v>1451</v>
      </c>
    </row>
    <row r="168" spans="1:21">
      <c r="A168" s="23" t="s">
        <v>194</v>
      </c>
      <c r="B168" s="35" t="s">
        <v>183</v>
      </c>
      <c r="C168" s="36">
        <v>12870</v>
      </c>
      <c r="D168" s="113">
        <v>1108149668</v>
      </c>
      <c r="E168" s="116">
        <f t="shared" si="36"/>
        <v>86103.315306915305</v>
      </c>
      <c r="F168" s="117">
        <v>846434428</v>
      </c>
      <c r="G168" s="117">
        <f t="shared" si="37"/>
        <v>65768.020823620827</v>
      </c>
      <c r="H168" s="7"/>
      <c r="I168" s="109">
        <v>5.6666999999999996</v>
      </c>
      <c r="J168" s="117">
        <v>4796744</v>
      </c>
      <c r="K168" s="120">
        <f t="shared" si="38"/>
        <v>372.70738150738151</v>
      </c>
      <c r="L168" s="122">
        <f t="shared" si="31"/>
        <v>8464344.2799999993</v>
      </c>
      <c r="M168" s="116">
        <f t="shared" si="32"/>
        <v>3667600.2799999993</v>
      </c>
      <c r="N168" s="123">
        <f t="shared" si="28"/>
        <v>284.9728267288267</v>
      </c>
      <c r="O168" s="5"/>
      <c r="P168" s="5">
        <f t="shared" si="29"/>
        <v>1</v>
      </c>
      <c r="Q168" s="7">
        <f t="shared" si="30"/>
        <v>12870</v>
      </c>
    </row>
    <row r="169" spans="1:21">
      <c r="A169" s="23" t="s">
        <v>195</v>
      </c>
      <c r="B169" s="35" t="s">
        <v>183</v>
      </c>
      <c r="C169" s="36">
        <v>14260</v>
      </c>
      <c r="D169" s="113">
        <v>1071021401</v>
      </c>
      <c r="E169" s="116">
        <f t="shared" si="36"/>
        <v>75106.690112201963</v>
      </c>
      <c r="F169" s="117">
        <v>602559312</v>
      </c>
      <c r="G169" s="117">
        <f t="shared" si="37"/>
        <v>42255.211220196354</v>
      </c>
      <c r="H169" s="7"/>
      <c r="I169" s="109">
        <v>6.4531000000000001</v>
      </c>
      <c r="J169" s="117">
        <v>3888375</v>
      </c>
      <c r="K169" s="120">
        <f t="shared" si="38"/>
        <v>272.67706872370269</v>
      </c>
      <c r="L169" s="122">
        <f t="shared" si="31"/>
        <v>6025593.1200000001</v>
      </c>
      <c r="M169" s="116">
        <f t="shared" si="32"/>
        <v>2137218.12</v>
      </c>
      <c r="N169" s="123">
        <f t="shared" si="28"/>
        <v>149.87504347826086</v>
      </c>
      <c r="O169" s="5"/>
      <c r="P169" s="5">
        <f t="shared" si="29"/>
        <v>1</v>
      </c>
      <c r="Q169" s="7">
        <f t="shared" si="30"/>
        <v>14260</v>
      </c>
    </row>
    <row r="170" spans="1:21">
      <c r="A170" s="23" t="s">
        <v>196</v>
      </c>
      <c r="B170" s="35" t="s">
        <v>183</v>
      </c>
      <c r="C170" s="36">
        <v>3546</v>
      </c>
      <c r="D170" s="113">
        <v>168175060</v>
      </c>
      <c r="E170" s="116">
        <f t="shared" si="36"/>
        <v>47426.694867456288</v>
      </c>
      <c r="F170" s="117">
        <v>107091370</v>
      </c>
      <c r="G170" s="117">
        <f t="shared" si="37"/>
        <v>30200.611957134799</v>
      </c>
      <c r="H170" s="7"/>
      <c r="I170" s="109">
        <v>8.2479999999999993</v>
      </c>
      <c r="J170" s="117">
        <v>883290</v>
      </c>
      <c r="K170" s="120">
        <f t="shared" si="38"/>
        <v>249.09475465313028</v>
      </c>
      <c r="L170" s="122">
        <f t="shared" si="31"/>
        <v>1070913.7</v>
      </c>
      <c r="M170" s="116">
        <f t="shared" si="32"/>
        <v>187623.69999999995</v>
      </c>
      <c r="N170" s="123">
        <f t="shared" si="28"/>
        <v>52.9113649182177</v>
      </c>
      <c r="O170" s="5"/>
      <c r="P170" s="5">
        <f t="shared" si="29"/>
        <v>1</v>
      </c>
      <c r="Q170" s="7">
        <f t="shared" si="30"/>
        <v>3546</v>
      </c>
      <c r="S170" s="124">
        <f>SUM(D157:D170)</f>
        <v>10216975593</v>
      </c>
      <c r="T170" s="124">
        <f>SUM(F157:F170)</f>
        <v>7117087840</v>
      </c>
      <c r="U170" s="124">
        <f>SUM(J157:J170)</f>
        <v>36066712</v>
      </c>
    </row>
    <row r="171" spans="1:21">
      <c r="A171" s="23" t="s">
        <v>448</v>
      </c>
      <c r="B171" s="35" t="s">
        <v>198</v>
      </c>
      <c r="C171" s="36">
        <v>45229</v>
      </c>
      <c r="D171" s="113">
        <v>8241740082</v>
      </c>
      <c r="E171" s="116">
        <f t="shared" si="36"/>
        <v>182222.46969864468</v>
      </c>
      <c r="F171" s="117">
        <v>7016129795</v>
      </c>
      <c r="G171" s="117">
        <f t="shared" si="37"/>
        <v>155124.58367419135</v>
      </c>
      <c r="H171" s="7"/>
      <c r="I171" s="109">
        <v>0.81730000000000003</v>
      </c>
      <c r="J171" s="117">
        <v>5734283</v>
      </c>
      <c r="K171" s="120">
        <f t="shared" si="38"/>
        <v>126.78332485794512</v>
      </c>
      <c r="L171" s="122">
        <f t="shared" si="31"/>
        <v>70161297.950000003</v>
      </c>
      <c r="M171" s="116">
        <f t="shared" si="32"/>
        <v>64427014.950000003</v>
      </c>
      <c r="N171" s="123">
        <f t="shared" si="28"/>
        <v>1424.4625118839683</v>
      </c>
      <c r="O171" s="5"/>
      <c r="P171" s="5">
        <f t="shared" si="29"/>
        <v>1</v>
      </c>
      <c r="Q171" s="7">
        <f t="shared" si="30"/>
        <v>45229</v>
      </c>
    </row>
    <row r="172" spans="1:21">
      <c r="A172" s="23" t="s">
        <v>197</v>
      </c>
      <c r="B172" s="35" t="s">
        <v>198</v>
      </c>
      <c r="C172" s="36">
        <v>161069</v>
      </c>
      <c r="D172" s="113">
        <v>13766385917</v>
      </c>
      <c r="E172" s="116">
        <f t="shared" si="36"/>
        <v>85468.873073030816</v>
      </c>
      <c r="F172" s="117">
        <v>9520318059</v>
      </c>
      <c r="G172" s="117">
        <f t="shared" si="37"/>
        <v>59107.078699191028</v>
      </c>
      <c r="H172" s="7"/>
      <c r="I172" s="109">
        <v>7.7069999999999999</v>
      </c>
      <c r="J172" s="117">
        <v>73373091</v>
      </c>
      <c r="K172" s="120">
        <f t="shared" si="38"/>
        <v>455.53825379185321</v>
      </c>
      <c r="L172" s="122">
        <f t="shared" si="31"/>
        <v>95203180.590000004</v>
      </c>
      <c r="M172" s="116">
        <f t="shared" si="32"/>
        <v>21830089.590000004</v>
      </c>
      <c r="N172" s="123">
        <f t="shared" si="28"/>
        <v>135.53253320005714</v>
      </c>
      <c r="O172" s="5"/>
      <c r="P172" s="5">
        <f t="shared" si="29"/>
        <v>1</v>
      </c>
      <c r="Q172" s="7">
        <f t="shared" si="30"/>
        <v>161069</v>
      </c>
    </row>
    <row r="173" spans="1:21">
      <c r="A173" s="23" t="s">
        <v>199</v>
      </c>
      <c r="B173" s="35" t="s">
        <v>198</v>
      </c>
      <c r="C173" s="36">
        <v>67081</v>
      </c>
      <c r="D173" s="113">
        <v>5956622214</v>
      </c>
      <c r="E173" s="116">
        <f t="shared" si="36"/>
        <v>88797.457014653919</v>
      </c>
      <c r="F173" s="117">
        <v>4200257846</v>
      </c>
      <c r="G173" s="117">
        <f t="shared" si="37"/>
        <v>62614.717222462394</v>
      </c>
      <c r="H173" s="7"/>
      <c r="I173" s="109">
        <v>8.7759999999999998</v>
      </c>
      <c r="J173" s="117">
        <v>36861463</v>
      </c>
      <c r="K173" s="120">
        <f t="shared" si="38"/>
        <v>549.50676048359446</v>
      </c>
      <c r="L173" s="122">
        <f t="shared" si="31"/>
        <v>42002578.460000001</v>
      </c>
      <c r="M173" s="116">
        <f t="shared" si="32"/>
        <v>5141115.4600000009</v>
      </c>
      <c r="N173" s="123">
        <f t="shared" si="28"/>
        <v>76.64041174102951</v>
      </c>
      <c r="O173" s="5"/>
      <c r="P173" s="5">
        <f t="shared" si="29"/>
        <v>1</v>
      </c>
      <c r="Q173" s="7">
        <f t="shared" si="30"/>
        <v>67081</v>
      </c>
    </row>
    <row r="174" spans="1:21">
      <c r="A174" s="23" t="s">
        <v>200</v>
      </c>
      <c r="B174" s="35" t="s">
        <v>198</v>
      </c>
      <c r="C174" s="36">
        <v>6323</v>
      </c>
      <c r="D174" s="113">
        <v>2885517913</v>
      </c>
      <c r="E174" s="116">
        <f t="shared" si="36"/>
        <v>456352.66693025461</v>
      </c>
      <c r="F174" s="117">
        <v>2502879019</v>
      </c>
      <c r="G174" s="117">
        <f t="shared" si="37"/>
        <v>395837.26379882969</v>
      </c>
      <c r="H174" s="7"/>
      <c r="I174" s="109">
        <v>0.753</v>
      </c>
      <c r="J174" s="117">
        <v>1884668</v>
      </c>
      <c r="K174" s="120">
        <f t="shared" si="38"/>
        <v>298.06547524909064</v>
      </c>
      <c r="L174" s="122">
        <f t="shared" si="31"/>
        <v>25028790.190000001</v>
      </c>
      <c r="M174" s="116">
        <f t="shared" si="32"/>
        <v>23144122.190000001</v>
      </c>
      <c r="N174" s="123">
        <f t="shared" si="28"/>
        <v>3660.3071627392064</v>
      </c>
      <c r="O174" s="5"/>
      <c r="P174" s="5">
        <f t="shared" si="29"/>
        <v>1</v>
      </c>
      <c r="Q174" s="7">
        <f t="shared" si="30"/>
        <v>6323</v>
      </c>
    </row>
    <row r="175" spans="1:21">
      <c r="A175" s="23" t="s">
        <v>201</v>
      </c>
      <c r="B175" s="35" t="s">
        <v>198</v>
      </c>
      <c r="C175" s="36">
        <v>6497</v>
      </c>
      <c r="D175" s="113">
        <v>4727796897</v>
      </c>
      <c r="E175" s="116">
        <f t="shared" si="36"/>
        <v>727689.22533476993</v>
      </c>
      <c r="F175" s="117">
        <v>4103243696</v>
      </c>
      <c r="G175" s="117">
        <f t="shared" si="37"/>
        <v>631559.75003847934</v>
      </c>
      <c r="H175" s="7"/>
      <c r="I175" s="109">
        <v>2.0861000000000001</v>
      </c>
      <c r="J175" s="117">
        <v>8559777</v>
      </c>
      <c r="K175" s="120">
        <f t="shared" si="38"/>
        <v>1317.4968446975527</v>
      </c>
      <c r="L175" s="122">
        <f t="shared" si="31"/>
        <v>41032436.960000001</v>
      </c>
      <c r="M175" s="116">
        <f t="shared" si="32"/>
        <v>32472659.960000001</v>
      </c>
      <c r="N175" s="123">
        <f t="shared" si="28"/>
        <v>4998.1006556872408</v>
      </c>
      <c r="O175" s="5"/>
      <c r="P175" s="5">
        <f t="shared" si="29"/>
        <v>1</v>
      </c>
      <c r="Q175" s="7">
        <f t="shared" si="30"/>
        <v>6497</v>
      </c>
      <c r="S175" s="124">
        <f>SUM(D171:D175)</f>
        <v>35578063023</v>
      </c>
      <c r="T175" s="124">
        <f>SUM(F171:F175)</f>
        <v>27342828415</v>
      </c>
      <c r="U175" s="124">
        <f>SUM(J171:J175)</f>
        <v>126413282</v>
      </c>
    </row>
    <row r="176" spans="1:21">
      <c r="A176" s="23" t="s">
        <v>202</v>
      </c>
      <c r="B176" s="35" t="s">
        <v>203</v>
      </c>
      <c r="C176" s="36">
        <v>183727</v>
      </c>
      <c r="D176" s="113">
        <v>16160618070</v>
      </c>
      <c r="E176" s="116">
        <f t="shared" si="36"/>
        <v>87959.951830705337</v>
      </c>
      <c r="F176" s="117">
        <v>8818107194</v>
      </c>
      <c r="G176" s="117">
        <f t="shared" si="37"/>
        <v>47995.706640831231</v>
      </c>
      <c r="H176" s="7"/>
      <c r="I176" s="109">
        <v>3.7</v>
      </c>
      <c r="J176" s="117">
        <v>32626997</v>
      </c>
      <c r="K176" s="120">
        <f t="shared" si="38"/>
        <v>177.58411665133596</v>
      </c>
      <c r="L176" s="122">
        <f t="shared" si="31"/>
        <v>88181071.939999998</v>
      </c>
      <c r="M176" s="116">
        <f t="shared" si="32"/>
        <v>55554074.939999998</v>
      </c>
      <c r="N176" s="123">
        <f t="shared" si="28"/>
        <v>302.37294975697637</v>
      </c>
      <c r="O176" s="5"/>
      <c r="P176" s="5">
        <f t="shared" si="29"/>
        <v>1</v>
      </c>
      <c r="Q176" s="7">
        <f t="shared" si="30"/>
        <v>183727</v>
      </c>
      <c r="S176" s="124">
        <f>SUM(D176)</f>
        <v>16160618070</v>
      </c>
      <c r="T176" s="124">
        <f>SUM(F176)</f>
        <v>8818107194</v>
      </c>
      <c r="U176" s="124">
        <f>SUM(J176)</f>
        <v>32626997</v>
      </c>
    </row>
    <row r="177" spans="1:21">
      <c r="A177" s="23" t="s">
        <v>204</v>
      </c>
      <c r="B177" s="35" t="s">
        <v>205</v>
      </c>
      <c r="C177" s="36">
        <v>1095</v>
      </c>
      <c r="D177" s="113">
        <v>65424090</v>
      </c>
      <c r="E177" s="116">
        <f t="shared" si="36"/>
        <v>59748.027397260274</v>
      </c>
      <c r="F177" s="117">
        <v>32798144</v>
      </c>
      <c r="G177" s="117">
        <f t="shared" si="37"/>
        <v>29952.642922374431</v>
      </c>
      <c r="H177" s="7"/>
      <c r="I177" s="109">
        <v>3.8993000000000002</v>
      </c>
      <c r="J177" s="117">
        <v>127890</v>
      </c>
      <c r="K177" s="120">
        <f t="shared" si="38"/>
        <v>116.79452054794521</v>
      </c>
      <c r="L177" s="122">
        <f t="shared" si="31"/>
        <v>327981.44</v>
      </c>
      <c r="M177" s="116">
        <f t="shared" si="32"/>
        <v>200091.44</v>
      </c>
      <c r="N177" s="123">
        <f t="shared" si="28"/>
        <v>182.73190867579908</v>
      </c>
      <c r="O177" s="5"/>
      <c r="P177" s="5">
        <f t="shared" si="29"/>
        <v>1</v>
      </c>
      <c r="Q177" s="7">
        <f t="shared" si="30"/>
        <v>1095</v>
      </c>
    </row>
    <row r="178" spans="1:21">
      <c r="A178" s="23" t="s">
        <v>206</v>
      </c>
      <c r="B178" s="35" t="s">
        <v>205</v>
      </c>
      <c r="C178" s="36">
        <v>707</v>
      </c>
      <c r="D178" s="113">
        <v>171283621</v>
      </c>
      <c r="E178" s="116">
        <f t="shared" si="36"/>
        <v>242268.20509193777</v>
      </c>
      <c r="F178" s="117">
        <v>129896860</v>
      </c>
      <c r="G178" s="117">
        <f t="shared" si="37"/>
        <v>183729.64639321074</v>
      </c>
      <c r="H178" s="7"/>
      <c r="I178" s="109">
        <v>5.5</v>
      </c>
      <c r="J178" s="117">
        <v>714433</v>
      </c>
      <c r="K178" s="120">
        <f t="shared" si="38"/>
        <v>1010.5134370579915</v>
      </c>
      <c r="L178" s="122">
        <f t="shared" si="31"/>
        <v>1298968.6000000001</v>
      </c>
      <c r="M178" s="116">
        <f t="shared" si="32"/>
        <v>584535.60000000009</v>
      </c>
      <c r="N178" s="123">
        <f t="shared" si="28"/>
        <v>826.7830268741161</v>
      </c>
      <c r="O178" s="5"/>
      <c r="P178" s="5">
        <f t="shared" si="29"/>
        <v>1</v>
      </c>
      <c r="Q178" s="7">
        <f t="shared" si="30"/>
        <v>707</v>
      </c>
    </row>
    <row r="179" spans="1:21">
      <c r="A179" s="23" t="s">
        <v>207</v>
      </c>
      <c r="B179" s="35" t="s">
        <v>205</v>
      </c>
      <c r="C179" s="36">
        <v>2260</v>
      </c>
      <c r="D179" s="113">
        <v>165300945</v>
      </c>
      <c r="E179" s="116">
        <f t="shared" si="36"/>
        <v>73142.011061946905</v>
      </c>
      <c r="F179" s="117">
        <v>125262900</v>
      </c>
      <c r="G179" s="117">
        <f t="shared" si="37"/>
        <v>55426.061946902657</v>
      </c>
      <c r="H179" s="7"/>
      <c r="I179" s="109">
        <v>6</v>
      </c>
      <c r="J179" s="117">
        <v>751577</v>
      </c>
      <c r="K179" s="120">
        <f t="shared" si="38"/>
        <v>332.5561946902655</v>
      </c>
      <c r="L179" s="122">
        <f t="shared" si="31"/>
        <v>1252629</v>
      </c>
      <c r="M179" s="116">
        <f t="shared" si="32"/>
        <v>501052</v>
      </c>
      <c r="N179" s="123">
        <f t="shared" si="28"/>
        <v>221.70442477876105</v>
      </c>
      <c r="O179" s="5"/>
      <c r="P179" s="5">
        <f t="shared" si="29"/>
        <v>1</v>
      </c>
      <c r="Q179" s="7">
        <f t="shared" si="30"/>
        <v>2260</v>
      </c>
    </row>
    <row r="180" spans="1:21">
      <c r="A180" s="23" t="s">
        <v>208</v>
      </c>
      <c r="B180" s="35" t="s">
        <v>205</v>
      </c>
      <c r="C180" s="36">
        <v>1314</v>
      </c>
      <c r="D180" s="113">
        <v>81806494</v>
      </c>
      <c r="E180" s="116">
        <f t="shared" si="36"/>
        <v>62257.605783866056</v>
      </c>
      <c r="F180" s="117">
        <v>61301737</v>
      </c>
      <c r="G180" s="117">
        <f t="shared" si="37"/>
        <v>46652.767884322682</v>
      </c>
      <c r="H180" s="7"/>
      <c r="I180" s="109">
        <v>4.5</v>
      </c>
      <c r="J180" s="117">
        <v>275858</v>
      </c>
      <c r="K180" s="120">
        <f t="shared" si="38"/>
        <v>209.93759512937595</v>
      </c>
      <c r="L180" s="122">
        <f t="shared" si="31"/>
        <v>613017.37</v>
      </c>
      <c r="M180" s="116">
        <f t="shared" si="32"/>
        <v>337159.37</v>
      </c>
      <c r="N180" s="123">
        <f t="shared" si="28"/>
        <v>256.59008371385085</v>
      </c>
      <c r="O180" s="5"/>
      <c r="P180" s="5">
        <f t="shared" si="29"/>
        <v>1</v>
      </c>
      <c r="Q180" s="7">
        <f t="shared" si="30"/>
        <v>1314</v>
      </c>
    </row>
    <row r="181" spans="1:21">
      <c r="A181" s="23" t="s">
        <v>209</v>
      </c>
      <c r="B181" s="35" t="s">
        <v>205</v>
      </c>
      <c r="C181" s="36">
        <v>134</v>
      </c>
      <c r="D181" s="113">
        <v>9777442</v>
      </c>
      <c r="E181" s="116">
        <f t="shared" si="36"/>
        <v>72965.985074626864</v>
      </c>
      <c r="F181" s="117">
        <v>6663250</v>
      </c>
      <c r="G181" s="117">
        <f t="shared" si="37"/>
        <v>49725.746268656716</v>
      </c>
      <c r="H181" s="7"/>
      <c r="I181" s="109">
        <v>8</v>
      </c>
      <c r="J181" s="117">
        <v>53306</v>
      </c>
      <c r="K181" s="120">
        <f t="shared" si="38"/>
        <v>397.80597014925371</v>
      </c>
      <c r="L181" s="122">
        <f t="shared" si="31"/>
        <v>66632.5</v>
      </c>
      <c r="M181" s="116">
        <f t="shared" si="32"/>
        <v>13326.5</v>
      </c>
      <c r="N181" s="123">
        <f t="shared" si="28"/>
        <v>99.451492537313428</v>
      </c>
      <c r="O181" s="5"/>
      <c r="P181" s="5">
        <f t="shared" si="29"/>
        <v>1</v>
      </c>
      <c r="Q181" s="7">
        <f t="shared" si="30"/>
        <v>134</v>
      </c>
    </row>
    <row r="182" spans="1:21">
      <c r="A182" s="23" t="s">
        <v>210</v>
      </c>
      <c r="B182" s="35" t="s">
        <v>205</v>
      </c>
      <c r="C182" s="36">
        <v>2793</v>
      </c>
      <c r="D182" s="113">
        <v>152336053</v>
      </c>
      <c r="E182" s="116">
        <f t="shared" si="36"/>
        <v>54542.088435374149</v>
      </c>
      <c r="F182" s="117">
        <v>90789524</v>
      </c>
      <c r="G182" s="117">
        <f t="shared" si="37"/>
        <v>32506.095238095237</v>
      </c>
      <c r="H182" s="7"/>
      <c r="I182" s="109">
        <v>5.9024999999999999</v>
      </c>
      <c r="J182" s="117">
        <v>535885</v>
      </c>
      <c r="K182" s="120">
        <f t="shared" si="38"/>
        <v>191.8671679197995</v>
      </c>
      <c r="L182" s="122">
        <f t="shared" si="31"/>
        <v>907895.24</v>
      </c>
      <c r="M182" s="116">
        <f t="shared" si="32"/>
        <v>372010.23999999999</v>
      </c>
      <c r="N182" s="123">
        <f t="shared" si="28"/>
        <v>133.19378446115289</v>
      </c>
      <c r="O182" s="5"/>
      <c r="P182" s="5">
        <f t="shared" si="29"/>
        <v>1</v>
      </c>
      <c r="Q182" s="7">
        <f t="shared" si="30"/>
        <v>2793</v>
      </c>
    </row>
    <row r="183" spans="1:21">
      <c r="A183" s="23" t="s">
        <v>211</v>
      </c>
      <c r="B183" s="35" t="s">
        <v>205</v>
      </c>
      <c r="C183" s="36">
        <v>495</v>
      </c>
      <c r="D183" s="113">
        <v>68546918</v>
      </c>
      <c r="E183" s="116">
        <f t="shared" si="36"/>
        <v>138478.62222222221</v>
      </c>
      <c r="F183" s="117">
        <v>51083551</v>
      </c>
      <c r="G183" s="117">
        <f t="shared" si="37"/>
        <v>103199.09292929294</v>
      </c>
      <c r="H183" s="7"/>
      <c r="I183" s="109">
        <v>2.78</v>
      </c>
      <c r="J183" s="117">
        <v>142012</v>
      </c>
      <c r="K183" s="120">
        <f t="shared" si="38"/>
        <v>286.8929292929293</v>
      </c>
      <c r="L183" s="122">
        <f t="shared" si="31"/>
        <v>510835.51</v>
      </c>
      <c r="M183" s="116">
        <f t="shared" si="32"/>
        <v>368823.51</v>
      </c>
      <c r="N183" s="123">
        <f t="shared" si="28"/>
        <v>745.09800000000007</v>
      </c>
      <c r="O183" s="5"/>
      <c r="P183" s="5">
        <f t="shared" si="29"/>
        <v>1</v>
      </c>
      <c r="Q183" s="7">
        <f t="shared" si="30"/>
        <v>495</v>
      </c>
      <c r="S183" s="124">
        <f>SUM(D177:D183)</f>
        <v>714475563</v>
      </c>
      <c r="T183" s="124">
        <f>SUM(F177:F183)</f>
        <v>497795966</v>
      </c>
      <c r="U183" s="124">
        <f>SUM(J177:J183)</f>
        <v>2600961</v>
      </c>
    </row>
    <row r="184" spans="1:21">
      <c r="A184" s="23" t="s">
        <v>212</v>
      </c>
      <c r="B184" s="35" t="s">
        <v>213</v>
      </c>
      <c r="C184" s="36">
        <v>994</v>
      </c>
      <c r="D184" s="113">
        <v>68903314</v>
      </c>
      <c r="E184" s="116">
        <f t="shared" si="36"/>
        <v>69319.229376257543</v>
      </c>
      <c r="F184" s="117">
        <v>18269583</v>
      </c>
      <c r="G184" s="117">
        <f t="shared" si="37"/>
        <v>18379.862173038229</v>
      </c>
      <c r="H184" s="7"/>
      <c r="I184" s="109">
        <v>4.6357999999999997</v>
      </c>
      <c r="J184" s="117">
        <v>84694</v>
      </c>
      <c r="K184" s="120">
        <f t="shared" si="38"/>
        <v>85.205231388329977</v>
      </c>
      <c r="L184" s="122">
        <f t="shared" si="31"/>
        <v>182695.83000000002</v>
      </c>
      <c r="M184" s="116">
        <f t="shared" si="32"/>
        <v>98001.830000000016</v>
      </c>
      <c r="N184" s="123">
        <f t="shared" si="28"/>
        <v>98.593390342052331</v>
      </c>
      <c r="O184" s="5"/>
      <c r="P184" s="5">
        <f t="shared" si="29"/>
        <v>1</v>
      </c>
      <c r="Q184" s="7">
        <f t="shared" si="30"/>
        <v>994</v>
      </c>
      <c r="S184" s="124">
        <f>SUM(D184)</f>
        <v>68903314</v>
      </c>
      <c r="T184" s="124">
        <f>SUM(F184)</f>
        <v>18269583</v>
      </c>
      <c r="U184" s="124">
        <f>SUM(J184)</f>
        <v>84694</v>
      </c>
    </row>
    <row r="185" spans="1:21">
      <c r="A185" s="23" t="s">
        <v>214</v>
      </c>
      <c r="B185" s="35" t="s">
        <v>215</v>
      </c>
      <c r="C185" s="36">
        <v>805</v>
      </c>
      <c r="D185" s="113">
        <v>18971621</v>
      </c>
      <c r="E185" s="116">
        <f t="shared" si="36"/>
        <v>23567.231055900622</v>
      </c>
      <c r="F185" s="117">
        <v>10208870</v>
      </c>
      <c r="G185" s="117">
        <f t="shared" si="37"/>
        <v>12681.826086956522</v>
      </c>
      <c r="H185" s="7"/>
      <c r="I185" s="109">
        <v>9.0555000000000003</v>
      </c>
      <c r="J185" s="117">
        <v>92446</v>
      </c>
      <c r="K185" s="120">
        <f t="shared" si="38"/>
        <v>114.83975155279504</v>
      </c>
      <c r="L185" s="122">
        <f t="shared" si="31"/>
        <v>102088.7</v>
      </c>
      <c r="M185" s="116">
        <f t="shared" si="32"/>
        <v>9642.6999999999971</v>
      </c>
      <c r="N185" s="123">
        <f t="shared" si="28"/>
        <v>11.978509316770182</v>
      </c>
      <c r="O185" s="5"/>
      <c r="P185" s="5">
        <f t="shared" si="29"/>
        <v>1</v>
      </c>
      <c r="Q185" s="7">
        <f t="shared" si="30"/>
        <v>805</v>
      </c>
    </row>
    <row r="186" spans="1:21">
      <c r="A186" s="23" t="s">
        <v>198</v>
      </c>
      <c r="B186" s="35" t="s">
        <v>215</v>
      </c>
      <c r="C186" s="36">
        <v>331</v>
      </c>
      <c r="D186" s="113">
        <v>17129381</v>
      </c>
      <c r="E186" s="116">
        <f t="shared" si="36"/>
        <v>51750.395770392752</v>
      </c>
      <c r="F186" s="117">
        <v>6525179</v>
      </c>
      <c r="G186" s="117">
        <f t="shared" si="37"/>
        <v>19713.53172205438</v>
      </c>
      <c r="H186" s="7"/>
      <c r="I186" s="109">
        <v>6.38</v>
      </c>
      <c r="J186" s="117">
        <v>41631</v>
      </c>
      <c r="K186" s="120">
        <f t="shared" si="38"/>
        <v>125.77341389728096</v>
      </c>
      <c r="L186" s="122">
        <f t="shared" si="31"/>
        <v>65251.79</v>
      </c>
      <c r="M186" s="116">
        <f t="shared" si="32"/>
        <v>23620.79</v>
      </c>
      <c r="N186" s="123">
        <f t="shared" si="28"/>
        <v>71.361903323262837</v>
      </c>
      <c r="O186" s="5"/>
      <c r="P186" s="5">
        <f t="shared" si="29"/>
        <v>1</v>
      </c>
      <c r="Q186" s="7">
        <f t="shared" si="30"/>
        <v>331</v>
      </c>
    </row>
    <row r="187" spans="1:21">
      <c r="A187" s="23" t="s">
        <v>215</v>
      </c>
      <c r="B187" s="35" t="s">
        <v>215</v>
      </c>
      <c r="C187" s="36">
        <v>3115</v>
      </c>
      <c r="D187" s="113">
        <v>141585238</v>
      </c>
      <c r="E187" s="116">
        <f t="shared" si="36"/>
        <v>45452.724879614769</v>
      </c>
      <c r="F187" s="117">
        <v>85940396</v>
      </c>
      <c r="G187" s="117">
        <f t="shared" si="37"/>
        <v>27589.21219903692</v>
      </c>
      <c r="H187" s="7"/>
      <c r="I187" s="109">
        <v>6.1715</v>
      </c>
      <c r="J187" s="117">
        <v>530381</v>
      </c>
      <c r="K187" s="120">
        <f t="shared" si="38"/>
        <v>170.26677367576244</v>
      </c>
      <c r="L187" s="122">
        <f t="shared" si="31"/>
        <v>859403.96</v>
      </c>
      <c r="M187" s="116">
        <f t="shared" si="32"/>
        <v>329022.95999999996</v>
      </c>
      <c r="N187" s="123">
        <f t="shared" si="28"/>
        <v>105.62534831460673</v>
      </c>
      <c r="O187" s="5"/>
      <c r="P187" s="5">
        <f t="shared" si="29"/>
        <v>1</v>
      </c>
      <c r="Q187" s="7">
        <f t="shared" si="30"/>
        <v>3115</v>
      </c>
      <c r="S187" s="124">
        <f>SUM(D185:D187)</f>
        <v>177686240</v>
      </c>
      <c r="T187" s="124">
        <f>SUM(F185:F187)</f>
        <v>102674445</v>
      </c>
      <c r="U187" s="124">
        <f>SUM(J185:J187)</f>
        <v>664458</v>
      </c>
    </row>
    <row r="188" spans="1:21">
      <c r="A188" s="23" t="s">
        <v>216</v>
      </c>
      <c r="B188" s="35" t="s">
        <v>217</v>
      </c>
      <c r="C188" s="36">
        <v>1524</v>
      </c>
      <c r="D188" s="113">
        <v>790786722</v>
      </c>
      <c r="E188" s="116">
        <f t="shared" si="36"/>
        <v>518888.92519685038</v>
      </c>
      <c r="F188" s="117">
        <v>646400029</v>
      </c>
      <c r="G188" s="117">
        <f t="shared" si="37"/>
        <v>424147.00065616798</v>
      </c>
      <c r="H188" s="7"/>
      <c r="I188" s="109">
        <v>2.0499999999999998</v>
      </c>
      <c r="J188" s="117">
        <v>1325120</v>
      </c>
      <c r="K188" s="120">
        <f t="shared" si="38"/>
        <v>869.501312335958</v>
      </c>
      <c r="L188" s="122">
        <f t="shared" si="31"/>
        <v>6464000.29</v>
      </c>
      <c r="M188" s="116">
        <f t="shared" si="32"/>
        <v>5138880.29</v>
      </c>
      <c r="N188" s="123">
        <f t="shared" si="28"/>
        <v>3371.9686942257217</v>
      </c>
      <c r="O188" s="5"/>
      <c r="P188" s="5">
        <f t="shared" si="29"/>
        <v>1</v>
      </c>
      <c r="Q188" s="7">
        <f t="shared" si="30"/>
        <v>1524</v>
      </c>
    </row>
    <row r="189" spans="1:21">
      <c r="A189" s="23" t="s">
        <v>218</v>
      </c>
      <c r="B189" s="35" t="s">
        <v>217</v>
      </c>
      <c r="C189" s="36">
        <v>50475</v>
      </c>
      <c r="D189" s="113">
        <v>3295782976</v>
      </c>
      <c r="E189" s="116">
        <f t="shared" si="36"/>
        <v>65295.353660227833</v>
      </c>
      <c r="F189" s="117">
        <v>2453167952</v>
      </c>
      <c r="G189" s="117">
        <f t="shared" si="37"/>
        <v>48601.643427439325</v>
      </c>
      <c r="H189" s="7"/>
      <c r="I189" s="109">
        <v>5.8975999999999997</v>
      </c>
      <c r="J189" s="117">
        <v>14467803</v>
      </c>
      <c r="K189" s="120">
        <f t="shared" si="38"/>
        <v>286.63304606240712</v>
      </c>
      <c r="L189" s="122">
        <f t="shared" si="31"/>
        <v>24531679.52</v>
      </c>
      <c r="M189" s="116">
        <f t="shared" si="32"/>
        <v>10063876.52</v>
      </c>
      <c r="N189" s="123">
        <f t="shared" si="28"/>
        <v>199.38338821198613</v>
      </c>
      <c r="O189" s="5"/>
      <c r="P189" s="5">
        <f t="shared" si="29"/>
        <v>1</v>
      </c>
      <c r="Q189" s="7">
        <f t="shared" si="30"/>
        <v>50475</v>
      </c>
    </row>
    <row r="190" spans="1:21">
      <c r="A190" s="23" t="s">
        <v>219</v>
      </c>
      <c r="B190" s="35" t="s">
        <v>217</v>
      </c>
      <c r="C190" s="36">
        <v>1176</v>
      </c>
      <c r="D190" s="113">
        <v>485053517</v>
      </c>
      <c r="E190" s="116">
        <f t="shared" si="36"/>
        <v>412460.4736394558</v>
      </c>
      <c r="F190" s="117">
        <v>407289387</v>
      </c>
      <c r="G190" s="117">
        <f t="shared" si="37"/>
        <v>346334.51275510201</v>
      </c>
      <c r="H190" s="7"/>
      <c r="I190" s="109">
        <v>2.3329</v>
      </c>
      <c r="J190" s="117">
        <v>950165</v>
      </c>
      <c r="K190" s="120">
        <f t="shared" si="38"/>
        <v>807.96343537414964</v>
      </c>
      <c r="L190" s="122">
        <f t="shared" si="31"/>
        <v>4072893.87</v>
      </c>
      <c r="M190" s="116">
        <f t="shared" si="32"/>
        <v>3122728.87</v>
      </c>
      <c r="N190" s="123">
        <f t="shared" si="28"/>
        <v>2655.3816921768707</v>
      </c>
      <c r="O190" s="5"/>
      <c r="P190" s="5">
        <f t="shared" si="29"/>
        <v>1</v>
      </c>
      <c r="Q190" s="7">
        <f t="shared" si="30"/>
        <v>1176</v>
      </c>
    </row>
    <row r="191" spans="1:21">
      <c r="A191" s="23" t="s">
        <v>220</v>
      </c>
      <c r="B191" s="35" t="s">
        <v>217</v>
      </c>
      <c r="C191" s="36">
        <v>3852</v>
      </c>
      <c r="D191" s="113">
        <v>1535503621</v>
      </c>
      <c r="E191" s="116">
        <f t="shared" si="36"/>
        <v>398625.03141225339</v>
      </c>
      <c r="F191" s="117">
        <v>1320420723</v>
      </c>
      <c r="G191" s="117">
        <f t="shared" si="37"/>
        <v>342788.34968847351</v>
      </c>
      <c r="H191" s="7"/>
      <c r="I191" s="109">
        <v>1.75</v>
      </c>
      <c r="J191" s="117">
        <v>2310736</v>
      </c>
      <c r="K191" s="120">
        <f t="shared" si="38"/>
        <v>599.8795430944964</v>
      </c>
      <c r="L191" s="122">
        <f t="shared" si="31"/>
        <v>13204207.23</v>
      </c>
      <c r="M191" s="116">
        <f t="shared" si="32"/>
        <v>10893471.23</v>
      </c>
      <c r="N191" s="123">
        <f t="shared" si="28"/>
        <v>2828.0039537902389</v>
      </c>
      <c r="O191" s="5"/>
      <c r="P191" s="5">
        <f t="shared" si="29"/>
        <v>1</v>
      </c>
      <c r="Q191" s="7">
        <f t="shared" si="30"/>
        <v>3852</v>
      </c>
    </row>
    <row r="192" spans="1:21">
      <c r="A192" s="23" t="s">
        <v>221</v>
      </c>
      <c r="B192" s="35" t="s">
        <v>217</v>
      </c>
      <c r="C192" s="36">
        <v>12775</v>
      </c>
      <c r="D192" s="113">
        <v>889817200</v>
      </c>
      <c r="E192" s="116">
        <f t="shared" si="36"/>
        <v>69653.009784735812</v>
      </c>
      <c r="F192" s="117">
        <v>656028254</v>
      </c>
      <c r="G192" s="117">
        <f t="shared" si="37"/>
        <v>51352.505205479451</v>
      </c>
      <c r="H192" s="7"/>
      <c r="I192" s="109">
        <v>5.7171000000000003</v>
      </c>
      <c r="J192" s="117">
        <v>3750579</v>
      </c>
      <c r="K192" s="120">
        <f t="shared" si="38"/>
        <v>293.58739726027397</v>
      </c>
      <c r="L192" s="122">
        <f t="shared" si="31"/>
        <v>6560282.54</v>
      </c>
      <c r="M192" s="116">
        <f t="shared" si="32"/>
        <v>2809703.54</v>
      </c>
      <c r="N192" s="123">
        <f t="shared" si="28"/>
        <v>219.93765479452054</v>
      </c>
      <c r="O192" s="5"/>
      <c r="P192" s="5">
        <f t="shared" si="29"/>
        <v>1</v>
      </c>
      <c r="Q192" s="7">
        <f t="shared" si="30"/>
        <v>12775</v>
      </c>
    </row>
    <row r="193" spans="1:21">
      <c r="A193" s="23" t="s">
        <v>478</v>
      </c>
      <c r="B193" s="35" t="s">
        <v>222</v>
      </c>
      <c r="C193" s="36">
        <v>6884</v>
      </c>
      <c r="D193" s="113">
        <f>(1456508868+3695961401)</f>
        <v>5152470269</v>
      </c>
      <c r="E193" s="116">
        <f t="shared" si="36"/>
        <v>748470.40514235909</v>
      </c>
      <c r="F193" s="117">
        <f>(1297409359+3400782934)</f>
        <v>4698192293</v>
      </c>
      <c r="G193" s="117">
        <f t="shared" si="37"/>
        <v>682479.99607786175</v>
      </c>
      <c r="H193" s="7"/>
      <c r="I193" s="109">
        <v>2.0760000000000001</v>
      </c>
      <c r="J193" s="117">
        <f>(2693422+7060025)</f>
        <v>9753447</v>
      </c>
      <c r="K193" s="120">
        <f t="shared" si="38"/>
        <v>1416.8284427658339</v>
      </c>
      <c r="L193" s="122">
        <f t="shared" si="31"/>
        <v>46981922.93</v>
      </c>
      <c r="M193" s="116">
        <f t="shared" si="32"/>
        <v>37228475.93</v>
      </c>
      <c r="N193" s="123">
        <f t="shared" si="28"/>
        <v>5407.9715180127832</v>
      </c>
      <c r="O193" s="5"/>
      <c r="P193" s="5">
        <f t="shared" si="29"/>
        <v>1</v>
      </c>
      <c r="Q193" s="7">
        <f t="shared" si="30"/>
        <v>6884</v>
      </c>
      <c r="S193" s="124">
        <f>SUM(D188:D193)</f>
        <v>12149414305</v>
      </c>
      <c r="T193" s="124">
        <f>SUM(F188:F193)</f>
        <v>10181498638</v>
      </c>
      <c r="U193" s="124">
        <f>SUM(J188:J193)</f>
        <v>32557850</v>
      </c>
    </row>
    <row r="194" spans="1:21">
      <c r="A194" s="23" t="s">
        <v>223</v>
      </c>
      <c r="B194" s="35" t="s">
        <v>224</v>
      </c>
      <c r="C194" s="36">
        <v>4562</v>
      </c>
      <c r="D194" s="113">
        <v>251693390</v>
      </c>
      <c r="E194" s="116">
        <f t="shared" si="36"/>
        <v>55171.72073651907</v>
      </c>
      <c r="F194" s="117">
        <v>182351940</v>
      </c>
      <c r="G194" s="117">
        <f t="shared" si="37"/>
        <v>39971.928978518197</v>
      </c>
      <c r="H194" s="7"/>
      <c r="I194" s="109">
        <v>3.9912000000000001</v>
      </c>
      <c r="J194" s="117">
        <v>727803</v>
      </c>
      <c r="K194" s="120">
        <f t="shared" si="38"/>
        <v>159.5359491451118</v>
      </c>
      <c r="L194" s="122">
        <f t="shared" si="31"/>
        <v>1823519.4000000001</v>
      </c>
      <c r="M194" s="116">
        <f t="shared" si="32"/>
        <v>1095716.4000000001</v>
      </c>
      <c r="N194" s="123">
        <f t="shared" si="28"/>
        <v>240.18334064007018</v>
      </c>
      <c r="O194" s="5"/>
      <c r="P194" s="5">
        <f t="shared" si="29"/>
        <v>1</v>
      </c>
      <c r="Q194" s="7">
        <f t="shared" si="30"/>
        <v>4562</v>
      </c>
    </row>
    <row r="195" spans="1:21">
      <c r="A195" s="23" t="s">
        <v>225</v>
      </c>
      <c r="B195" s="35" t="s">
        <v>224</v>
      </c>
      <c r="C195" s="36">
        <v>1754</v>
      </c>
      <c r="D195" s="113">
        <v>199671013</v>
      </c>
      <c r="E195" s="116">
        <f t="shared" si="36"/>
        <v>113837.52166476625</v>
      </c>
      <c r="F195" s="117">
        <v>134458745</v>
      </c>
      <c r="G195" s="117">
        <f t="shared" si="37"/>
        <v>76658.34948688712</v>
      </c>
      <c r="H195" s="7"/>
      <c r="I195" s="109">
        <v>7.1407999999999996</v>
      </c>
      <c r="J195" s="117">
        <v>960143</v>
      </c>
      <c r="K195" s="120">
        <f t="shared" si="38"/>
        <v>547.40193842645385</v>
      </c>
      <c r="L195" s="122">
        <f t="shared" si="31"/>
        <v>1344587.45</v>
      </c>
      <c r="M195" s="116">
        <f t="shared" si="32"/>
        <v>384444.44999999995</v>
      </c>
      <c r="N195" s="123">
        <f t="shared" si="28"/>
        <v>219.1815564424173</v>
      </c>
      <c r="O195" s="5"/>
      <c r="P195" s="5">
        <f t="shared" si="29"/>
        <v>1</v>
      </c>
      <c r="Q195" s="7">
        <f t="shared" si="30"/>
        <v>1754</v>
      </c>
    </row>
    <row r="196" spans="1:21">
      <c r="A196" s="23" t="s">
        <v>226</v>
      </c>
      <c r="B196" s="35" t="s">
        <v>224</v>
      </c>
      <c r="C196" s="36">
        <v>457</v>
      </c>
      <c r="D196" s="113">
        <v>26554040</v>
      </c>
      <c r="E196" s="116">
        <f t="shared" si="36"/>
        <v>58105.120350109406</v>
      </c>
      <c r="F196" s="117">
        <v>15710635</v>
      </c>
      <c r="G196" s="117">
        <f t="shared" si="37"/>
        <v>34377.757111597377</v>
      </c>
      <c r="H196" s="7"/>
      <c r="I196" s="109">
        <v>2.5198</v>
      </c>
      <c r="J196" s="117">
        <v>39588</v>
      </c>
      <c r="K196" s="120">
        <f t="shared" si="38"/>
        <v>86.625820568927793</v>
      </c>
      <c r="L196" s="122">
        <f t="shared" si="31"/>
        <v>157106.35</v>
      </c>
      <c r="M196" s="116">
        <f t="shared" si="32"/>
        <v>117518.35</v>
      </c>
      <c r="N196" s="123">
        <f t="shared" si="28"/>
        <v>257.15175054704599</v>
      </c>
      <c r="O196" s="5"/>
      <c r="P196" s="5">
        <f t="shared" si="29"/>
        <v>1</v>
      </c>
      <c r="Q196" s="7">
        <f t="shared" si="30"/>
        <v>457</v>
      </c>
    </row>
    <row r="197" spans="1:21">
      <c r="A197" s="23" t="s">
        <v>227</v>
      </c>
      <c r="B197" s="35" t="s">
        <v>224</v>
      </c>
      <c r="C197" s="36">
        <v>57387</v>
      </c>
      <c r="D197" s="113">
        <v>4834284328</v>
      </c>
      <c r="E197" s="116">
        <f t="shared" si="36"/>
        <v>84240.060083294127</v>
      </c>
      <c r="F197" s="117">
        <v>3557836242</v>
      </c>
      <c r="G197" s="117">
        <f t="shared" si="37"/>
        <v>61997.250980187149</v>
      </c>
      <c r="H197" s="9"/>
      <c r="I197" s="109">
        <v>6.2502000000000004</v>
      </c>
      <c r="J197" s="117">
        <v>22237188</v>
      </c>
      <c r="K197" s="120">
        <f t="shared" si="38"/>
        <v>387.49521668670604</v>
      </c>
      <c r="L197" s="122">
        <f t="shared" si="31"/>
        <v>35578362.420000002</v>
      </c>
      <c r="M197" s="116">
        <f t="shared" si="32"/>
        <v>13341174.420000002</v>
      </c>
      <c r="N197" s="123">
        <f t="shared" si="28"/>
        <v>232.47729311516548</v>
      </c>
      <c r="O197" s="5"/>
      <c r="P197" s="5">
        <f t="shared" si="29"/>
        <v>1</v>
      </c>
      <c r="Q197" s="7">
        <f t="shared" si="30"/>
        <v>57387</v>
      </c>
    </row>
    <row r="198" spans="1:21">
      <c r="A198" s="23" t="s">
        <v>228</v>
      </c>
      <c r="B198" s="35" t="s">
        <v>224</v>
      </c>
      <c r="C198" s="36">
        <v>510</v>
      </c>
      <c r="D198" s="114" t="s">
        <v>564</v>
      </c>
      <c r="E198" s="116"/>
      <c r="F198" s="117"/>
      <c r="G198" s="117"/>
      <c r="H198" s="98" t="s">
        <v>588</v>
      </c>
      <c r="I198" s="109"/>
      <c r="J198" s="117"/>
      <c r="K198" s="120"/>
      <c r="L198" s="122">
        <f t="shared" si="31"/>
        <v>0</v>
      </c>
      <c r="M198" s="116">
        <f t="shared" si="32"/>
        <v>0</v>
      </c>
      <c r="N198" s="123">
        <f t="shared" ref="N198:N261" si="39">(M198/C198)</f>
        <v>0</v>
      </c>
      <c r="O198" s="5"/>
      <c r="P198" s="5">
        <f t="shared" ref="P198:P260" si="40">IF(I198&gt;0,1,0)</f>
        <v>0</v>
      </c>
      <c r="Q198" s="7">
        <f t="shared" ref="Q198:Q261" si="41">IF(I198&gt;0,C198,0)</f>
        <v>0</v>
      </c>
      <c r="S198" s="124">
        <f>SUM(D194:D198)</f>
        <v>5312202771</v>
      </c>
      <c r="T198" s="124">
        <f>SUM(F194:F198)</f>
        <v>3890357562</v>
      </c>
      <c r="U198" s="124">
        <f>SUM(J194:J198)</f>
        <v>23964722</v>
      </c>
    </row>
    <row r="199" spans="1:21">
      <c r="A199" s="23" t="s">
        <v>229</v>
      </c>
      <c r="B199" s="35" t="s">
        <v>230</v>
      </c>
      <c r="C199" s="36">
        <v>816</v>
      </c>
      <c r="D199" s="113">
        <v>2317571589</v>
      </c>
      <c r="E199" s="116">
        <f t="shared" ref="E199:E230" si="42">(D199/C199)</f>
        <v>2840161.2610294116</v>
      </c>
      <c r="F199" s="117">
        <v>1963753711</v>
      </c>
      <c r="G199" s="117">
        <f t="shared" ref="G199:G230" si="43">(F199/C199)</f>
        <v>2406560.9203431373</v>
      </c>
      <c r="H199" s="9"/>
      <c r="I199" s="109">
        <v>2.7804000000000002</v>
      </c>
      <c r="J199" s="117">
        <v>5460021</v>
      </c>
      <c r="K199" s="120">
        <f t="shared" ref="K199:K230" si="44">(J199/C199)</f>
        <v>6691.2022058823532</v>
      </c>
      <c r="L199" s="122">
        <f t="shared" si="31"/>
        <v>19637537.109999999</v>
      </c>
      <c r="M199" s="116">
        <f t="shared" si="32"/>
        <v>14177516.109999999</v>
      </c>
      <c r="N199" s="123">
        <f t="shared" si="39"/>
        <v>17374.40699754902</v>
      </c>
      <c r="O199" s="5"/>
      <c r="P199" s="5">
        <f t="shared" si="40"/>
        <v>1</v>
      </c>
      <c r="Q199" s="7">
        <f t="shared" si="41"/>
        <v>816</v>
      </c>
    </row>
    <row r="200" spans="1:21">
      <c r="A200" s="24" t="s">
        <v>582</v>
      </c>
      <c r="B200" s="35" t="s">
        <v>230</v>
      </c>
      <c r="C200" s="36">
        <v>301</v>
      </c>
      <c r="D200" s="113">
        <v>25618138</v>
      </c>
      <c r="E200" s="116">
        <f t="shared" si="42"/>
        <v>85110.093023255817</v>
      </c>
      <c r="F200" s="117">
        <v>23710720</v>
      </c>
      <c r="G200" s="117">
        <f t="shared" si="43"/>
        <v>78773.156146179404</v>
      </c>
      <c r="H200" s="9"/>
      <c r="I200" s="110">
        <v>5.0618999999999996</v>
      </c>
      <c r="J200" s="117">
        <v>120021</v>
      </c>
      <c r="K200" s="120">
        <f t="shared" si="44"/>
        <v>398.74086378737542</v>
      </c>
      <c r="L200" s="122">
        <f t="shared" ref="L200:L262" si="45">(F200*0.01)</f>
        <v>237107.20000000001</v>
      </c>
      <c r="M200" s="116">
        <f t="shared" ref="M200:M262" si="46">(L200-J200)</f>
        <v>117086.20000000001</v>
      </c>
      <c r="N200" s="123">
        <f t="shared" si="39"/>
        <v>388.99069767441864</v>
      </c>
      <c r="O200" s="5"/>
      <c r="P200" s="5">
        <f t="shared" si="40"/>
        <v>1</v>
      </c>
      <c r="Q200" s="7">
        <f t="shared" si="41"/>
        <v>301</v>
      </c>
    </row>
    <row r="201" spans="1:21">
      <c r="A201" s="23" t="s">
        <v>446</v>
      </c>
      <c r="B201" s="35" t="s">
        <v>230</v>
      </c>
      <c r="C201" s="36">
        <v>2013</v>
      </c>
      <c r="D201" s="113">
        <v>697823605</v>
      </c>
      <c r="E201" s="116">
        <f t="shared" si="42"/>
        <v>346658.52210630901</v>
      </c>
      <c r="F201" s="117">
        <v>583070615</v>
      </c>
      <c r="G201" s="117">
        <f t="shared" si="43"/>
        <v>289652.56582215597</v>
      </c>
      <c r="H201" s="9"/>
      <c r="I201" s="109">
        <v>2.35</v>
      </c>
      <c r="J201" s="117">
        <v>1370216</v>
      </c>
      <c r="K201" s="120">
        <f t="shared" si="44"/>
        <v>680.68355688027816</v>
      </c>
      <c r="L201" s="122">
        <f t="shared" si="45"/>
        <v>5830706.1500000004</v>
      </c>
      <c r="M201" s="116">
        <f t="shared" si="46"/>
        <v>4460490.1500000004</v>
      </c>
      <c r="N201" s="123">
        <f t="shared" si="39"/>
        <v>2215.8421013412817</v>
      </c>
      <c r="O201" s="5"/>
      <c r="P201" s="5">
        <f t="shared" si="40"/>
        <v>1</v>
      </c>
      <c r="Q201" s="7">
        <f t="shared" si="41"/>
        <v>2013</v>
      </c>
    </row>
    <row r="202" spans="1:21">
      <c r="A202" s="24" t="s">
        <v>231</v>
      </c>
      <c r="B202" s="37" t="s">
        <v>230</v>
      </c>
      <c r="C202" s="36">
        <v>15814</v>
      </c>
      <c r="D202" s="113">
        <v>2146450550</v>
      </c>
      <c r="E202" s="116">
        <f t="shared" si="42"/>
        <v>135731.0326293158</v>
      </c>
      <c r="F202" s="117">
        <v>1465644548</v>
      </c>
      <c r="G202" s="117">
        <f t="shared" si="43"/>
        <v>92680.191475907428</v>
      </c>
      <c r="H202" s="9"/>
      <c r="I202" s="109">
        <v>4.8019999999999996</v>
      </c>
      <c r="J202" s="117">
        <v>7038025</v>
      </c>
      <c r="K202" s="120">
        <f t="shared" si="44"/>
        <v>445.05027191096497</v>
      </c>
      <c r="L202" s="122">
        <f t="shared" si="45"/>
        <v>14656445.48</v>
      </c>
      <c r="M202" s="116">
        <f t="shared" si="46"/>
        <v>7618420.4800000004</v>
      </c>
      <c r="N202" s="123">
        <f t="shared" si="39"/>
        <v>481.75164284810927</v>
      </c>
      <c r="O202" s="5"/>
      <c r="P202" s="5">
        <f t="shared" si="40"/>
        <v>1</v>
      </c>
      <c r="Q202" s="7">
        <f t="shared" si="41"/>
        <v>15814</v>
      </c>
      <c r="S202" s="124">
        <f>SUM(D199:D202)</f>
        <v>5187463882</v>
      </c>
      <c r="T202" s="124">
        <f>SUM(F199:F202)</f>
        <v>4036179594</v>
      </c>
      <c r="U202" s="124">
        <f>SUM(J199:J202)</f>
        <v>13988283</v>
      </c>
    </row>
    <row r="203" spans="1:21">
      <c r="A203" s="23" t="s">
        <v>232</v>
      </c>
      <c r="B203" s="37" t="s">
        <v>233</v>
      </c>
      <c r="C203" s="36">
        <v>36725</v>
      </c>
      <c r="D203" s="113">
        <v>9009835288</v>
      </c>
      <c r="E203" s="116">
        <f t="shared" si="42"/>
        <v>245332.4789108237</v>
      </c>
      <c r="F203" s="117">
        <v>7749233190</v>
      </c>
      <c r="G203" s="117">
        <f t="shared" si="43"/>
        <v>211007.03036078965</v>
      </c>
      <c r="H203" s="9"/>
      <c r="I203" s="110">
        <v>1.7261</v>
      </c>
      <c r="J203" s="117">
        <v>13375951</v>
      </c>
      <c r="K203" s="120">
        <f t="shared" si="44"/>
        <v>364.21922396187881</v>
      </c>
      <c r="L203" s="122">
        <f t="shared" si="45"/>
        <v>77492331.900000006</v>
      </c>
      <c r="M203" s="116">
        <f t="shared" si="46"/>
        <v>64116380.900000006</v>
      </c>
      <c r="N203" s="123">
        <f t="shared" si="39"/>
        <v>1745.8510796460178</v>
      </c>
      <c r="O203" s="5"/>
      <c r="P203" s="5">
        <f t="shared" si="40"/>
        <v>1</v>
      </c>
      <c r="Q203" s="7">
        <f t="shared" si="41"/>
        <v>36725</v>
      </c>
    </row>
    <row r="204" spans="1:21">
      <c r="A204" s="23" t="s">
        <v>234</v>
      </c>
      <c r="B204" s="37" t="s">
        <v>233</v>
      </c>
      <c r="C204" s="36">
        <v>2915</v>
      </c>
      <c r="D204" s="113">
        <v>4152798294</v>
      </c>
      <c r="E204" s="116">
        <f t="shared" si="42"/>
        <v>1424630.6325900515</v>
      </c>
      <c r="F204" s="117">
        <v>3640928852</v>
      </c>
      <c r="G204" s="117">
        <f t="shared" si="43"/>
        <v>1249032.196226415</v>
      </c>
      <c r="H204" s="9"/>
      <c r="I204" s="109">
        <v>1.9192</v>
      </c>
      <c r="J204" s="117">
        <v>6987671</v>
      </c>
      <c r="K204" s="120">
        <f t="shared" si="44"/>
        <v>2397.1427101200684</v>
      </c>
      <c r="L204" s="122">
        <f t="shared" si="45"/>
        <v>36409288.520000003</v>
      </c>
      <c r="M204" s="116">
        <f t="shared" si="46"/>
        <v>29421617.520000003</v>
      </c>
      <c r="N204" s="123">
        <f t="shared" si="39"/>
        <v>10093.179252144084</v>
      </c>
      <c r="O204" s="5"/>
      <c r="P204" s="5">
        <f t="shared" si="40"/>
        <v>1</v>
      </c>
      <c r="Q204" s="7">
        <f t="shared" si="41"/>
        <v>2915</v>
      </c>
    </row>
    <row r="205" spans="1:21">
      <c r="A205" s="23" t="s">
        <v>235</v>
      </c>
      <c r="B205" s="37" t="s">
        <v>233</v>
      </c>
      <c r="C205" s="36">
        <v>5808</v>
      </c>
      <c r="D205" s="113">
        <v>879361878</v>
      </c>
      <c r="E205" s="116">
        <f t="shared" si="42"/>
        <v>151405.28202479339</v>
      </c>
      <c r="F205" s="117">
        <v>603956208</v>
      </c>
      <c r="G205" s="117">
        <f t="shared" si="43"/>
        <v>103986.95041322314</v>
      </c>
      <c r="H205" s="9"/>
      <c r="I205" s="109">
        <v>5.25</v>
      </c>
      <c r="J205" s="117">
        <v>3170770</v>
      </c>
      <c r="K205" s="120">
        <f t="shared" si="44"/>
        <v>545.93147382920108</v>
      </c>
      <c r="L205" s="122">
        <f t="shared" si="45"/>
        <v>6039562.0800000001</v>
      </c>
      <c r="M205" s="116">
        <f t="shared" si="46"/>
        <v>2868792.08</v>
      </c>
      <c r="N205" s="123">
        <f t="shared" si="39"/>
        <v>493.9380303030303</v>
      </c>
      <c r="O205" s="5"/>
      <c r="P205" s="5">
        <f t="shared" si="40"/>
        <v>1</v>
      </c>
      <c r="Q205" s="7">
        <f t="shared" si="41"/>
        <v>5808</v>
      </c>
    </row>
    <row r="206" spans="1:21">
      <c r="A206" s="23" t="s">
        <v>236</v>
      </c>
      <c r="B206" s="37" t="s">
        <v>233</v>
      </c>
      <c r="C206" s="36">
        <v>3133</v>
      </c>
      <c r="D206" s="113">
        <v>202361906</v>
      </c>
      <c r="E206" s="116">
        <f t="shared" si="42"/>
        <v>64590.458346632622</v>
      </c>
      <c r="F206" s="117">
        <v>132455163</v>
      </c>
      <c r="G206" s="117">
        <f t="shared" si="43"/>
        <v>42277.421959782958</v>
      </c>
      <c r="H206" s="9"/>
      <c r="I206" s="109">
        <v>9.6999999999999993</v>
      </c>
      <c r="J206" s="117">
        <v>1284815</v>
      </c>
      <c r="K206" s="120">
        <f t="shared" si="44"/>
        <v>410.09096712416215</v>
      </c>
      <c r="L206" s="122">
        <f t="shared" si="45"/>
        <v>1324551.6300000001</v>
      </c>
      <c r="M206" s="116">
        <f t="shared" si="46"/>
        <v>39736.630000000121</v>
      </c>
      <c r="N206" s="123">
        <f t="shared" si="39"/>
        <v>12.68325247366745</v>
      </c>
      <c r="O206" s="5"/>
      <c r="P206" s="5">
        <f t="shared" si="40"/>
        <v>1</v>
      </c>
      <c r="Q206" s="7">
        <f t="shared" si="41"/>
        <v>3133</v>
      </c>
    </row>
    <row r="207" spans="1:21">
      <c r="A207" s="23" t="s">
        <v>237</v>
      </c>
      <c r="B207" s="37" t="s">
        <v>233</v>
      </c>
      <c r="C207" s="36">
        <v>48524</v>
      </c>
      <c r="D207" s="113">
        <v>15737629474</v>
      </c>
      <c r="E207" s="116">
        <f t="shared" si="42"/>
        <v>324326.71407963068</v>
      </c>
      <c r="F207" s="117">
        <v>12207889672</v>
      </c>
      <c r="G207" s="117">
        <f t="shared" si="43"/>
        <v>251584.56994476961</v>
      </c>
      <c r="H207" s="9"/>
      <c r="I207" s="109">
        <v>5.6289999999999996</v>
      </c>
      <c r="J207" s="117">
        <v>68718211</v>
      </c>
      <c r="K207" s="120">
        <f t="shared" si="44"/>
        <v>1416.1695449674387</v>
      </c>
      <c r="L207" s="122">
        <f t="shared" si="45"/>
        <v>122078896.72</v>
      </c>
      <c r="M207" s="116">
        <f t="shared" si="46"/>
        <v>53360685.719999999</v>
      </c>
      <c r="N207" s="123">
        <f t="shared" si="39"/>
        <v>1099.6761544802571</v>
      </c>
      <c r="O207" s="5"/>
      <c r="P207" s="5">
        <f t="shared" si="40"/>
        <v>1</v>
      </c>
      <c r="Q207" s="7">
        <f t="shared" si="41"/>
        <v>48524</v>
      </c>
    </row>
    <row r="208" spans="1:21">
      <c r="A208" s="23" t="s">
        <v>524</v>
      </c>
      <c r="B208" s="37" t="s">
        <v>233</v>
      </c>
      <c r="C208" s="36">
        <v>42035</v>
      </c>
      <c r="D208" s="113">
        <v>2566715518</v>
      </c>
      <c r="E208" s="116">
        <f t="shared" si="42"/>
        <v>61061.389746639703</v>
      </c>
      <c r="F208" s="117">
        <v>1760715454</v>
      </c>
      <c r="G208" s="117">
        <f t="shared" si="43"/>
        <v>41886.890781491617</v>
      </c>
      <c r="H208" s="9"/>
      <c r="I208" s="109">
        <v>2.5701999999999998</v>
      </c>
      <c r="J208" s="117">
        <v>4525391</v>
      </c>
      <c r="K208" s="120">
        <f t="shared" si="44"/>
        <v>107.65769002022124</v>
      </c>
      <c r="L208" s="122">
        <f t="shared" si="45"/>
        <v>17607154.539999999</v>
      </c>
      <c r="M208" s="116">
        <f t="shared" si="46"/>
        <v>13081763.539999999</v>
      </c>
      <c r="N208" s="123">
        <f t="shared" si="39"/>
        <v>311.2112177946949</v>
      </c>
      <c r="O208" s="5"/>
      <c r="P208" s="5">
        <f t="shared" si="40"/>
        <v>1</v>
      </c>
      <c r="Q208" s="7">
        <f t="shared" si="41"/>
        <v>42035</v>
      </c>
    </row>
    <row r="209" spans="1:17">
      <c r="A209" s="23" t="s">
        <v>501</v>
      </c>
      <c r="B209" s="37" t="s">
        <v>233</v>
      </c>
      <c r="C209" s="36">
        <v>49253</v>
      </c>
      <c r="D209" s="113">
        <v>10559362529</v>
      </c>
      <c r="E209" s="116">
        <f t="shared" si="42"/>
        <v>214390.24077721155</v>
      </c>
      <c r="F209" s="117">
        <v>8822105584</v>
      </c>
      <c r="G209" s="117">
        <f t="shared" si="43"/>
        <v>179118.13664142287</v>
      </c>
      <c r="H209" s="9"/>
      <c r="I209" s="109">
        <v>1.9279999999999999</v>
      </c>
      <c r="J209" s="117">
        <v>17009020</v>
      </c>
      <c r="K209" s="120">
        <f t="shared" si="44"/>
        <v>345.3397762572838</v>
      </c>
      <c r="L209" s="122">
        <f t="shared" si="45"/>
        <v>88221055.840000004</v>
      </c>
      <c r="M209" s="116">
        <f t="shared" si="46"/>
        <v>71212035.840000004</v>
      </c>
      <c r="N209" s="123">
        <f t="shared" si="39"/>
        <v>1445.8415901569449</v>
      </c>
      <c r="O209" s="5"/>
      <c r="P209" s="5">
        <f t="shared" si="40"/>
        <v>1</v>
      </c>
      <c r="Q209" s="7">
        <f t="shared" si="41"/>
        <v>49253</v>
      </c>
    </row>
    <row r="210" spans="1:17">
      <c r="A210" s="23" t="s">
        <v>238</v>
      </c>
      <c r="B210" s="37" t="s">
        <v>233</v>
      </c>
      <c r="C210" s="36">
        <v>2343</v>
      </c>
      <c r="D210" s="113">
        <v>144233686</v>
      </c>
      <c r="E210" s="116">
        <f t="shared" si="42"/>
        <v>61559.405036278273</v>
      </c>
      <c r="F210" s="117">
        <v>88531303</v>
      </c>
      <c r="G210" s="117">
        <f t="shared" si="43"/>
        <v>37785.447289799406</v>
      </c>
      <c r="H210" s="9"/>
      <c r="I210" s="109">
        <v>8.3000000000000007</v>
      </c>
      <c r="J210" s="117">
        <v>734810</v>
      </c>
      <c r="K210" s="120">
        <f t="shared" si="44"/>
        <v>313.61929150661547</v>
      </c>
      <c r="L210" s="122">
        <f t="shared" si="45"/>
        <v>885313.03</v>
      </c>
      <c r="M210" s="116">
        <f t="shared" si="46"/>
        <v>150503.03000000003</v>
      </c>
      <c r="N210" s="123">
        <f t="shared" si="39"/>
        <v>64.235181391378589</v>
      </c>
      <c r="O210" s="5"/>
      <c r="P210" s="5">
        <f t="shared" si="40"/>
        <v>1</v>
      </c>
      <c r="Q210" s="7">
        <f t="shared" si="41"/>
        <v>2343</v>
      </c>
    </row>
    <row r="211" spans="1:17">
      <c r="A211" s="23" t="s">
        <v>239</v>
      </c>
      <c r="B211" s="37" t="s">
        <v>233</v>
      </c>
      <c r="C211" s="36">
        <v>12222</v>
      </c>
      <c r="D211" s="113">
        <v>613021892</v>
      </c>
      <c r="E211" s="116">
        <f t="shared" si="42"/>
        <v>50157.248568155788</v>
      </c>
      <c r="F211" s="117">
        <v>410081921</v>
      </c>
      <c r="G211" s="117">
        <f t="shared" si="43"/>
        <v>33552.767223040421</v>
      </c>
      <c r="H211" s="9"/>
      <c r="I211" s="109">
        <v>7.5899000000000001</v>
      </c>
      <c r="J211" s="117">
        <v>3112481</v>
      </c>
      <c r="K211" s="120">
        <f t="shared" si="44"/>
        <v>254.662166584847</v>
      </c>
      <c r="L211" s="122">
        <f t="shared" si="45"/>
        <v>4100819.21</v>
      </c>
      <c r="M211" s="116">
        <f t="shared" si="46"/>
        <v>988338.21</v>
      </c>
      <c r="N211" s="123">
        <f t="shared" si="39"/>
        <v>80.865505645557192</v>
      </c>
      <c r="O211" s="5"/>
      <c r="P211" s="5">
        <f t="shared" si="40"/>
        <v>1</v>
      </c>
      <c r="Q211" s="7">
        <f t="shared" si="41"/>
        <v>12222</v>
      </c>
    </row>
    <row r="212" spans="1:17">
      <c r="A212" s="23" t="s">
        <v>240</v>
      </c>
      <c r="B212" s="37" t="s">
        <v>233</v>
      </c>
      <c r="C212" s="36">
        <v>906</v>
      </c>
      <c r="D212" s="113">
        <v>972376812</v>
      </c>
      <c r="E212" s="116">
        <f t="shared" si="42"/>
        <v>1073263.5894039734</v>
      </c>
      <c r="F212" s="117">
        <v>693790016</v>
      </c>
      <c r="G212" s="117">
        <f t="shared" si="43"/>
        <v>765772.64459161146</v>
      </c>
      <c r="H212" s="9"/>
      <c r="I212" s="109">
        <v>7.1130000000000004</v>
      </c>
      <c r="J212" s="117">
        <v>4934928</v>
      </c>
      <c r="K212" s="120">
        <f t="shared" si="44"/>
        <v>5446.9403973509934</v>
      </c>
      <c r="L212" s="122">
        <f t="shared" si="45"/>
        <v>6937900.1600000001</v>
      </c>
      <c r="M212" s="116">
        <f t="shared" si="46"/>
        <v>2002972.1600000001</v>
      </c>
      <c r="N212" s="123">
        <f t="shared" si="39"/>
        <v>2210.7860485651217</v>
      </c>
      <c r="O212" s="5"/>
      <c r="P212" s="5">
        <f t="shared" si="40"/>
        <v>1</v>
      </c>
      <c r="Q212" s="7">
        <f t="shared" si="41"/>
        <v>906</v>
      </c>
    </row>
    <row r="213" spans="1:17">
      <c r="A213" s="23" t="s">
        <v>241</v>
      </c>
      <c r="B213" s="37" t="s">
        <v>233</v>
      </c>
      <c r="C213" s="36">
        <v>229766</v>
      </c>
      <c r="D213" s="113">
        <v>10278098700</v>
      </c>
      <c r="E213" s="116">
        <f t="shared" si="42"/>
        <v>44732.896512103616</v>
      </c>
      <c r="F213" s="117">
        <v>6930791380</v>
      </c>
      <c r="G213" s="117">
        <f t="shared" si="43"/>
        <v>30164.564731074224</v>
      </c>
      <c r="H213" s="9"/>
      <c r="I213" s="109">
        <v>6.3018000000000001</v>
      </c>
      <c r="J213" s="117">
        <v>43676461</v>
      </c>
      <c r="K213" s="120">
        <f t="shared" si="44"/>
        <v>190.09105350661108</v>
      </c>
      <c r="L213" s="122">
        <f t="shared" si="45"/>
        <v>69307913.799999997</v>
      </c>
      <c r="M213" s="116">
        <f t="shared" si="46"/>
        <v>25631452.799999997</v>
      </c>
      <c r="N213" s="123">
        <f t="shared" si="39"/>
        <v>111.55459380413114</v>
      </c>
      <c r="O213" s="5"/>
      <c r="P213" s="5">
        <f t="shared" si="40"/>
        <v>1</v>
      </c>
      <c r="Q213" s="7">
        <f t="shared" si="41"/>
        <v>229766</v>
      </c>
    </row>
    <row r="214" spans="1:17">
      <c r="A214" s="23" t="s">
        <v>242</v>
      </c>
      <c r="B214" s="37" t="s">
        <v>233</v>
      </c>
      <c r="C214" s="36">
        <v>22000</v>
      </c>
      <c r="D214" s="113">
        <v>1437889033</v>
      </c>
      <c r="E214" s="116">
        <f t="shared" si="42"/>
        <v>65358.59240909091</v>
      </c>
      <c r="F214" s="117">
        <v>911289067</v>
      </c>
      <c r="G214" s="117">
        <f t="shared" si="43"/>
        <v>41422.230318181821</v>
      </c>
      <c r="H214" s="9"/>
      <c r="I214" s="109">
        <v>5.3811999999999998</v>
      </c>
      <c r="J214" s="117">
        <v>4903829</v>
      </c>
      <c r="K214" s="120">
        <f t="shared" si="44"/>
        <v>222.90131818181817</v>
      </c>
      <c r="L214" s="122">
        <f t="shared" si="45"/>
        <v>9112890.6699999999</v>
      </c>
      <c r="M214" s="116">
        <f t="shared" si="46"/>
        <v>4209061.67</v>
      </c>
      <c r="N214" s="123">
        <f t="shared" si="39"/>
        <v>191.32098500000001</v>
      </c>
      <c r="O214" s="5"/>
      <c r="P214" s="5">
        <f t="shared" si="40"/>
        <v>1</v>
      </c>
      <c r="Q214" s="7">
        <f t="shared" si="41"/>
        <v>22000</v>
      </c>
    </row>
    <row r="215" spans="1:17">
      <c r="A215" s="23" t="s">
        <v>243</v>
      </c>
      <c r="B215" s="37" t="s">
        <v>233</v>
      </c>
      <c r="C215" s="36">
        <v>64444</v>
      </c>
      <c r="D215" s="113">
        <v>2819108423</v>
      </c>
      <c r="E215" s="116">
        <f t="shared" si="42"/>
        <v>43745.087564396999</v>
      </c>
      <c r="F215" s="117">
        <v>1797879121</v>
      </c>
      <c r="G215" s="117">
        <f t="shared" si="43"/>
        <v>27898.316693563404</v>
      </c>
      <c r="H215" s="9"/>
      <c r="I215" s="109">
        <v>5.9215</v>
      </c>
      <c r="J215" s="117">
        <v>10646141</v>
      </c>
      <c r="K215" s="120">
        <f t="shared" si="44"/>
        <v>165.19987896468251</v>
      </c>
      <c r="L215" s="122">
        <f t="shared" si="45"/>
        <v>17978791.210000001</v>
      </c>
      <c r="M215" s="116">
        <f t="shared" si="46"/>
        <v>7332650.2100000009</v>
      </c>
      <c r="N215" s="123">
        <f t="shared" si="39"/>
        <v>113.78328797095153</v>
      </c>
      <c r="O215" s="5"/>
      <c r="P215" s="5">
        <f t="shared" si="40"/>
        <v>1</v>
      </c>
      <c r="Q215" s="7">
        <f t="shared" si="41"/>
        <v>64444</v>
      </c>
    </row>
    <row r="216" spans="1:17">
      <c r="A216" s="23" t="s">
        <v>244</v>
      </c>
      <c r="B216" s="37" t="s">
        <v>233</v>
      </c>
      <c r="C216" s="36">
        <v>89</v>
      </c>
      <c r="D216" s="113">
        <v>532376546</v>
      </c>
      <c r="E216" s="116">
        <f t="shared" si="42"/>
        <v>5981758.9438202251</v>
      </c>
      <c r="F216" s="117">
        <v>430605176</v>
      </c>
      <c r="G216" s="117">
        <f t="shared" si="43"/>
        <v>4838260.4044943824</v>
      </c>
      <c r="H216" s="9"/>
      <c r="I216" s="109">
        <v>6.95</v>
      </c>
      <c r="J216" s="117">
        <v>2992706</v>
      </c>
      <c r="K216" s="120">
        <f t="shared" si="44"/>
        <v>33625.910112359554</v>
      </c>
      <c r="L216" s="122">
        <f t="shared" si="45"/>
        <v>4306051.76</v>
      </c>
      <c r="M216" s="116">
        <f t="shared" si="46"/>
        <v>1313345.7599999998</v>
      </c>
      <c r="N216" s="123">
        <f t="shared" si="39"/>
        <v>14756.693932584267</v>
      </c>
      <c r="O216" s="5"/>
      <c r="P216" s="5">
        <f t="shared" si="40"/>
        <v>1</v>
      </c>
      <c r="Q216" s="7">
        <f t="shared" si="41"/>
        <v>89</v>
      </c>
    </row>
    <row r="217" spans="1:17">
      <c r="A217" s="23" t="s">
        <v>246</v>
      </c>
      <c r="B217" s="37" t="s">
        <v>233</v>
      </c>
      <c r="C217" s="36">
        <v>12523</v>
      </c>
      <c r="D217" s="113">
        <v>7590274562</v>
      </c>
      <c r="E217" s="116">
        <f t="shared" si="42"/>
        <v>606106.72857941384</v>
      </c>
      <c r="F217" s="117">
        <v>6160099379</v>
      </c>
      <c r="G217" s="117">
        <f t="shared" si="43"/>
        <v>491902.84907769703</v>
      </c>
      <c r="H217" s="9"/>
      <c r="I217" s="109">
        <v>3</v>
      </c>
      <c r="J217" s="117">
        <v>18480298</v>
      </c>
      <c r="K217" s="120">
        <f t="shared" si="44"/>
        <v>1475.7085362932205</v>
      </c>
      <c r="L217" s="122">
        <f t="shared" si="45"/>
        <v>61600993.789999999</v>
      </c>
      <c r="M217" s="116">
        <f t="shared" si="46"/>
        <v>43120695.789999999</v>
      </c>
      <c r="N217" s="123">
        <f t="shared" si="39"/>
        <v>3443.3199544837498</v>
      </c>
      <c r="O217" s="5"/>
      <c r="P217" s="5">
        <f t="shared" si="40"/>
        <v>1</v>
      </c>
      <c r="Q217" s="7">
        <f t="shared" si="41"/>
        <v>12523</v>
      </c>
    </row>
    <row r="218" spans="1:17">
      <c r="A218" s="23" t="s">
        <v>247</v>
      </c>
      <c r="B218" s="37" t="s">
        <v>233</v>
      </c>
      <c r="C218" s="36">
        <v>865</v>
      </c>
      <c r="D218" s="113">
        <v>1898348783</v>
      </c>
      <c r="E218" s="116">
        <f t="shared" si="42"/>
        <v>2194622.8705202313</v>
      </c>
      <c r="F218" s="117">
        <v>1782794347</v>
      </c>
      <c r="G218" s="117">
        <f t="shared" si="43"/>
        <v>2061033.9271676301</v>
      </c>
      <c r="H218" s="9"/>
      <c r="I218" s="109">
        <v>5.38</v>
      </c>
      <c r="J218" s="117">
        <v>9591434</v>
      </c>
      <c r="K218" s="120">
        <f t="shared" si="44"/>
        <v>11088.363005780348</v>
      </c>
      <c r="L218" s="122">
        <f t="shared" si="45"/>
        <v>17827943.469999999</v>
      </c>
      <c r="M218" s="116">
        <f t="shared" si="46"/>
        <v>8236509.4699999988</v>
      </c>
      <c r="N218" s="123">
        <f t="shared" si="39"/>
        <v>9521.9762658959517</v>
      </c>
      <c r="O218" s="5"/>
      <c r="P218" s="5">
        <f t="shared" si="40"/>
        <v>1</v>
      </c>
      <c r="Q218" s="7">
        <f t="shared" si="41"/>
        <v>865</v>
      </c>
    </row>
    <row r="219" spans="1:17">
      <c r="A219" s="23" t="s">
        <v>248</v>
      </c>
      <c r="B219" s="37" t="s">
        <v>233</v>
      </c>
      <c r="C219" s="36">
        <v>419777</v>
      </c>
      <c r="D219" s="113">
        <v>46043903044</v>
      </c>
      <c r="E219" s="116">
        <f t="shared" si="42"/>
        <v>109686.57893119442</v>
      </c>
      <c r="F219" s="117">
        <v>32563038078</v>
      </c>
      <c r="G219" s="117">
        <f t="shared" si="43"/>
        <v>77572.230203179308</v>
      </c>
      <c r="H219" s="9"/>
      <c r="I219" s="109">
        <v>7.6147999999999998</v>
      </c>
      <c r="J219" s="117">
        <v>247961022</v>
      </c>
      <c r="K219" s="120">
        <f t="shared" si="44"/>
        <v>590.69701770225618</v>
      </c>
      <c r="L219" s="122">
        <f t="shared" si="45"/>
        <v>325630380.78000003</v>
      </c>
      <c r="M219" s="116">
        <f t="shared" si="46"/>
        <v>77669358.780000031</v>
      </c>
      <c r="N219" s="123">
        <f t="shared" si="39"/>
        <v>185.02528432953696</v>
      </c>
      <c r="O219" s="5"/>
      <c r="P219" s="5">
        <f t="shared" si="40"/>
        <v>1</v>
      </c>
      <c r="Q219" s="7">
        <f t="shared" si="41"/>
        <v>419777</v>
      </c>
    </row>
    <row r="220" spans="1:17">
      <c r="A220" s="23" t="s">
        <v>249</v>
      </c>
      <c r="B220" s="37" t="s">
        <v>233</v>
      </c>
      <c r="C220" s="36">
        <v>90848</v>
      </c>
      <c r="D220" s="113">
        <v>31936888739</v>
      </c>
      <c r="E220" s="116">
        <f t="shared" si="42"/>
        <v>351542.01236130681</v>
      </c>
      <c r="F220" s="117">
        <v>24634975054</v>
      </c>
      <c r="G220" s="117">
        <f t="shared" si="43"/>
        <v>271166.949784255</v>
      </c>
      <c r="H220" s="9"/>
      <c r="I220" s="109">
        <v>5.8634000000000004</v>
      </c>
      <c r="J220" s="117">
        <v>144444713</v>
      </c>
      <c r="K220" s="120">
        <f t="shared" si="44"/>
        <v>1589.9602963191264</v>
      </c>
      <c r="L220" s="122">
        <f t="shared" si="45"/>
        <v>246349750.53999999</v>
      </c>
      <c r="M220" s="116">
        <f t="shared" si="46"/>
        <v>101905037.53999999</v>
      </c>
      <c r="N220" s="123">
        <f t="shared" si="39"/>
        <v>1121.7092015234236</v>
      </c>
      <c r="O220" s="5"/>
      <c r="P220" s="5">
        <f t="shared" si="40"/>
        <v>1</v>
      </c>
      <c r="Q220" s="7">
        <f t="shared" si="41"/>
        <v>90848</v>
      </c>
    </row>
    <row r="221" spans="1:17">
      <c r="A221" s="23" t="s">
        <v>500</v>
      </c>
      <c r="B221" s="37" t="s">
        <v>233</v>
      </c>
      <c r="C221" s="36">
        <v>107399</v>
      </c>
      <c r="D221" s="113">
        <v>5001396127</v>
      </c>
      <c r="E221" s="116">
        <f t="shared" si="42"/>
        <v>46568.367740854199</v>
      </c>
      <c r="F221" s="117">
        <v>3300471093</v>
      </c>
      <c r="G221" s="117">
        <f t="shared" si="43"/>
        <v>30730.929459305953</v>
      </c>
      <c r="H221" s="9"/>
      <c r="I221" s="109">
        <v>6.9363000000000001</v>
      </c>
      <c r="J221" s="117">
        <v>22893058</v>
      </c>
      <c r="K221" s="120">
        <f t="shared" si="44"/>
        <v>213.15894933844822</v>
      </c>
      <c r="L221" s="122">
        <f t="shared" si="45"/>
        <v>33004710.93</v>
      </c>
      <c r="M221" s="116">
        <f t="shared" si="46"/>
        <v>10111652.93</v>
      </c>
      <c r="N221" s="123">
        <f t="shared" si="39"/>
        <v>94.15034525461131</v>
      </c>
      <c r="O221" s="5"/>
      <c r="P221" s="5">
        <f t="shared" si="40"/>
        <v>1</v>
      </c>
      <c r="Q221" s="7">
        <f t="shared" si="41"/>
        <v>107399</v>
      </c>
    </row>
    <row r="222" spans="1:17">
      <c r="A222" s="23" t="s">
        <v>459</v>
      </c>
      <c r="B222" s="37" t="s">
        <v>233</v>
      </c>
      <c r="C222" s="36">
        <v>29978</v>
      </c>
      <c r="D222" s="113">
        <v>3401467047</v>
      </c>
      <c r="E222" s="116">
        <f t="shared" si="42"/>
        <v>113465.44289145373</v>
      </c>
      <c r="F222" s="117">
        <v>2496970000</v>
      </c>
      <c r="G222" s="117">
        <f t="shared" si="43"/>
        <v>83293.415171125496</v>
      </c>
      <c r="H222" s="9"/>
      <c r="I222" s="109">
        <v>2.3517999999999999</v>
      </c>
      <c r="J222" s="117">
        <v>5872374</v>
      </c>
      <c r="K222" s="120">
        <f t="shared" si="44"/>
        <v>195.88945226499433</v>
      </c>
      <c r="L222" s="122">
        <f t="shared" si="45"/>
        <v>24969700</v>
      </c>
      <c r="M222" s="116">
        <f t="shared" si="46"/>
        <v>19097326</v>
      </c>
      <c r="N222" s="123">
        <f t="shared" si="39"/>
        <v>637.04469944626055</v>
      </c>
      <c r="O222" s="5"/>
      <c r="P222" s="5">
        <f t="shared" si="40"/>
        <v>1</v>
      </c>
      <c r="Q222" s="7">
        <f t="shared" si="41"/>
        <v>29978</v>
      </c>
    </row>
    <row r="223" spans="1:17">
      <c r="A223" s="23" t="s">
        <v>250</v>
      </c>
      <c r="B223" s="37" t="s">
        <v>233</v>
      </c>
      <c r="C223" s="36">
        <v>10776</v>
      </c>
      <c r="D223" s="113">
        <v>1294780508</v>
      </c>
      <c r="E223" s="116">
        <f t="shared" si="42"/>
        <v>120154.09317000743</v>
      </c>
      <c r="F223" s="117">
        <v>763471400</v>
      </c>
      <c r="G223" s="117">
        <f t="shared" si="43"/>
        <v>70849.239049740165</v>
      </c>
      <c r="H223" s="9"/>
      <c r="I223" s="109">
        <v>8</v>
      </c>
      <c r="J223" s="117">
        <v>6107771</v>
      </c>
      <c r="K223" s="120">
        <f t="shared" si="44"/>
        <v>566.79389383815885</v>
      </c>
      <c r="L223" s="122">
        <f t="shared" si="45"/>
        <v>7634714</v>
      </c>
      <c r="M223" s="116">
        <f t="shared" si="46"/>
        <v>1526943</v>
      </c>
      <c r="N223" s="123">
        <f t="shared" si="39"/>
        <v>141.69849665924275</v>
      </c>
      <c r="O223" s="5"/>
      <c r="P223" s="5">
        <f t="shared" si="40"/>
        <v>1</v>
      </c>
      <c r="Q223" s="7">
        <f t="shared" si="41"/>
        <v>10776</v>
      </c>
    </row>
    <row r="224" spans="1:17">
      <c r="A224" s="23" t="s">
        <v>251</v>
      </c>
      <c r="B224" s="37" t="s">
        <v>233</v>
      </c>
      <c r="C224" s="36">
        <v>14067</v>
      </c>
      <c r="D224" s="113">
        <v>1266650065</v>
      </c>
      <c r="E224" s="116">
        <f t="shared" si="42"/>
        <v>90044.079405701283</v>
      </c>
      <c r="F224" s="117">
        <v>908028586</v>
      </c>
      <c r="G224" s="117">
        <f t="shared" si="43"/>
        <v>64550.265586123554</v>
      </c>
      <c r="H224" s="9"/>
      <c r="I224" s="109">
        <v>7.6710000000000003</v>
      </c>
      <c r="J224" s="117">
        <v>6965487</v>
      </c>
      <c r="K224" s="120">
        <f t="shared" si="44"/>
        <v>495.16506717850285</v>
      </c>
      <c r="L224" s="122">
        <f t="shared" si="45"/>
        <v>9080285.8599999994</v>
      </c>
      <c r="M224" s="116">
        <f t="shared" si="46"/>
        <v>2114798.8599999994</v>
      </c>
      <c r="N224" s="123">
        <f t="shared" si="39"/>
        <v>150.33758868273259</v>
      </c>
      <c r="O224" s="5"/>
      <c r="P224" s="5">
        <f t="shared" si="40"/>
        <v>1</v>
      </c>
      <c r="Q224" s="7">
        <f t="shared" si="41"/>
        <v>14067</v>
      </c>
    </row>
    <row r="225" spans="1:21">
      <c r="A225" s="23" t="s">
        <v>252</v>
      </c>
      <c r="B225" s="37" t="s">
        <v>233</v>
      </c>
      <c r="C225" s="36">
        <v>7667</v>
      </c>
      <c r="D225" s="113">
        <v>818708300</v>
      </c>
      <c r="E225" s="116">
        <f t="shared" si="42"/>
        <v>106783.3963740707</v>
      </c>
      <c r="F225" s="117">
        <v>669219086</v>
      </c>
      <c r="G225" s="117">
        <f t="shared" si="43"/>
        <v>87285.650971696887</v>
      </c>
      <c r="H225" s="9"/>
      <c r="I225" s="109">
        <v>5.4740000000000002</v>
      </c>
      <c r="J225" s="117">
        <v>3663305</v>
      </c>
      <c r="K225" s="120">
        <f t="shared" si="44"/>
        <v>477.80161732098605</v>
      </c>
      <c r="L225" s="122">
        <f t="shared" si="45"/>
        <v>6692190.8600000003</v>
      </c>
      <c r="M225" s="116">
        <f t="shared" si="46"/>
        <v>3028885.8600000003</v>
      </c>
      <c r="N225" s="123">
        <f t="shared" si="39"/>
        <v>395.05489239598285</v>
      </c>
      <c r="O225" s="5"/>
      <c r="P225" s="5">
        <f t="shared" si="40"/>
        <v>1</v>
      </c>
      <c r="Q225" s="7">
        <f t="shared" si="41"/>
        <v>7667</v>
      </c>
    </row>
    <row r="226" spans="1:21">
      <c r="A226" s="23" t="s">
        <v>253</v>
      </c>
      <c r="B226" s="37" t="s">
        <v>233</v>
      </c>
      <c r="C226" s="36">
        <v>60263</v>
      </c>
      <c r="D226" s="113">
        <v>3063333903</v>
      </c>
      <c r="E226" s="116">
        <f t="shared" si="42"/>
        <v>50832.748170519226</v>
      </c>
      <c r="F226" s="117">
        <v>2053837338</v>
      </c>
      <c r="G226" s="117">
        <f t="shared" si="43"/>
        <v>34081.232895806716</v>
      </c>
      <c r="H226" s="9"/>
      <c r="I226" s="109">
        <v>7.9336000000000002</v>
      </c>
      <c r="J226" s="117">
        <v>16294324</v>
      </c>
      <c r="K226" s="120">
        <f t="shared" si="44"/>
        <v>270.38687088263111</v>
      </c>
      <c r="L226" s="122">
        <f t="shared" si="45"/>
        <v>20538373.379999999</v>
      </c>
      <c r="M226" s="116">
        <f t="shared" si="46"/>
        <v>4244049.379999999</v>
      </c>
      <c r="N226" s="123">
        <f t="shared" si="39"/>
        <v>70.425458075435984</v>
      </c>
      <c r="O226" s="5"/>
      <c r="P226" s="5">
        <f t="shared" si="40"/>
        <v>1</v>
      </c>
      <c r="Q226" s="7">
        <f t="shared" si="41"/>
        <v>60263</v>
      </c>
    </row>
    <row r="227" spans="1:21">
      <c r="A227" s="23" t="s">
        <v>254</v>
      </c>
      <c r="B227" s="37" t="s">
        <v>233</v>
      </c>
      <c r="C227" s="36">
        <v>42442</v>
      </c>
      <c r="D227" s="113">
        <v>2493212760</v>
      </c>
      <c r="E227" s="116">
        <f t="shared" si="42"/>
        <v>58743.99792658216</v>
      </c>
      <c r="F227" s="117">
        <v>1737569355</v>
      </c>
      <c r="G227" s="117">
        <f t="shared" si="43"/>
        <v>40939.855685405964</v>
      </c>
      <c r="H227" s="9"/>
      <c r="I227" s="109">
        <v>6.6036000000000001</v>
      </c>
      <c r="J227" s="117">
        <v>11474213</v>
      </c>
      <c r="K227" s="120">
        <f t="shared" si="44"/>
        <v>270.35043117666464</v>
      </c>
      <c r="L227" s="122">
        <f t="shared" si="45"/>
        <v>17375693.550000001</v>
      </c>
      <c r="M227" s="116">
        <f t="shared" si="46"/>
        <v>5901480.5500000007</v>
      </c>
      <c r="N227" s="123">
        <f t="shared" si="39"/>
        <v>139.04812567739506</v>
      </c>
      <c r="O227" s="5"/>
      <c r="P227" s="5">
        <f t="shared" si="40"/>
        <v>1</v>
      </c>
      <c r="Q227" s="7">
        <f t="shared" si="41"/>
        <v>42442</v>
      </c>
    </row>
    <row r="228" spans="1:21">
      <c r="A228" s="23" t="s">
        <v>255</v>
      </c>
      <c r="B228" s="37" t="s">
        <v>233</v>
      </c>
      <c r="C228" s="36">
        <v>16073</v>
      </c>
      <c r="D228" s="113">
        <v>936183454</v>
      </c>
      <c r="E228" s="116">
        <f t="shared" si="42"/>
        <v>58245.719778510545</v>
      </c>
      <c r="F228" s="117">
        <v>658467698</v>
      </c>
      <c r="G228" s="117">
        <f t="shared" si="43"/>
        <v>40967.317737821191</v>
      </c>
      <c r="H228" s="9"/>
      <c r="I228" s="109">
        <v>9.0890000000000004</v>
      </c>
      <c r="J228" s="117">
        <v>5984813</v>
      </c>
      <c r="K228" s="120">
        <f t="shared" si="44"/>
        <v>372.35195669756735</v>
      </c>
      <c r="L228" s="122">
        <f t="shared" si="45"/>
        <v>6584676.9800000004</v>
      </c>
      <c r="M228" s="116">
        <f t="shared" si="46"/>
        <v>599863.98000000045</v>
      </c>
      <c r="N228" s="123">
        <f t="shared" si="39"/>
        <v>37.321220680644586</v>
      </c>
      <c r="O228" s="5"/>
      <c r="P228" s="5">
        <f t="shared" si="40"/>
        <v>1</v>
      </c>
      <c r="Q228" s="7">
        <f t="shared" si="41"/>
        <v>16073</v>
      </c>
    </row>
    <row r="229" spans="1:21">
      <c r="A229" s="23" t="s">
        <v>493</v>
      </c>
      <c r="B229" s="37" t="s">
        <v>233</v>
      </c>
      <c r="C229" s="36">
        <v>23784</v>
      </c>
      <c r="D229" s="113">
        <v>3336721709</v>
      </c>
      <c r="E229" s="116">
        <f t="shared" si="42"/>
        <v>140292.70555835855</v>
      </c>
      <c r="F229" s="117">
        <v>2387915051</v>
      </c>
      <c r="G229" s="117">
        <f t="shared" si="43"/>
        <v>100400.06100739993</v>
      </c>
      <c r="H229" s="9"/>
      <c r="I229" s="109">
        <v>2.4470000000000001</v>
      </c>
      <c r="J229" s="117">
        <v>5843228</v>
      </c>
      <c r="K229" s="120">
        <f t="shared" si="44"/>
        <v>245.67894382778337</v>
      </c>
      <c r="L229" s="122">
        <f t="shared" si="45"/>
        <v>23879150.510000002</v>
      </c>
      <c r="M229" s="116">
        <f t="shared" si="46"/>
        <v>18035922.510000002</v>
      </c>
      <c r="N229" s="123">
        <f t="shared" si="39"/>
        <v>758.32166624621607</v>
      </c>
      <c r="O229" s="5"/>
      <c r="P229" s="5">
        <f t="shared" si="40"/>
        <v>1</v>
      </c>
      <c r="Q229" s="7">
        <f t="shared" si="41"/>
        <v>23784</v>
      </c>
    </row>
    <row r="230" spans="1:21">
      <c r="A230" s="23" t="s">
        <v>256</v>
      </c>
      <c r="B230" s="37" t="s">
        <v>233</v>
      </c>
      <c r="C230" s="36">
        <v>18496</v>
      </c>
      <c r="D230" s="113">
        <v>4838086333</v>
      </c>
      <c r="E230" s="116">
        <f t="shared" si="42"/>
        <v>261574.73686202423</v>
      </c>
      <c r="F230" s="117">
        <v>3723191363</v>
      </c>
      <c r="G230" s="117">
        <f t="shared" si="43"/>
        <v>201297.11088884083</v>
      </c>
      <c r="H230" s="9"/>
      <c r="I230" s="109">
        <v>2.2000000000000002</v>
      </c>
      <c r="J230" s="117">
        <v>8191021</v>
      </c>
      <c r="K230" s="120">
        <f t="shared" si="44"/>
        <v>442.85364403114187</v>
      </c>
      <c r="L230" s="122">
        <f t="shared" si="45"/>
        <v>37231913.630000003</v>
      </c>
      <c r="M230" s="116">
        <f t="shared" si="46"/>
        <v>29040892.630000003</v>
      </c>
      <c r="N230" s="123">
        <f t="shared" si="39"/>
        <v>1570.1174648572667</v>
      </c>
      <c r="O230" s="5"/>
      <c r="P230" s="5">
        <f t="shared" si="40"/>
        <v>1</v>
      </c>
      <c r="Q230" s="7">
        <f t="shared" si="41"/>
        <v>18496</v>
      </c>
    </row>
    <row r="231" spans="1:21">
      <c r="A231" s="23" t="s">
        <v>257</v>
      </c>
      <c r="B231" s="37" t="s">
        <v>233</v>
      </c>
      <c r="C231" s="36">
        <v>13778</v>
      </c>
      <c r="D231" s="113">
        <v>1992469308</v>
      </c>
      <c r="E231" s="116">
        <f t="shared" ref="E231:E262" si="47">(D231/C231)</f>
        <v>144612.37538104225</v>
      </c>
      <c r="F231" s="117">
        <v>1419684893</v>
      </c>
      <c r="G231" s="117">
        <f t="shared" ref="G231:G262" si="48">(F231/C231)</f>
        <v>103039.98352445928</v>
      </c>
      <c r="H231" s="9"/>
      <c r="I231" s="110">
        <v>4.3639000000000001</v>
      </c>
      <c r="J231" s="117">
        <v>6195363</v>
      </c>
      <c r="K231" s="120">
        <f t="shared" ref="K231:K262" si="49">(J231/C231)</f>
        <v>449.65619102917697</v>
      </c>
      <c r="L231" s="122">
        <f t="shared" si="45"/>
        <v>14196848.93</v>
      </c>
      <c r="M231" s="116">
        <f t="shared" si="46"/>
        <v>8001485.9299999997</v>
      </c>
      <c r="N231" s="123">
        <f t="shared" si="39"/>
        <v>580.74364421541588</v>
      </c>
      <c r="O231" s="5"/>
      <c r="P231" s="5">
        <f t="shared" si="40"/>
        <v>1</v>
      </c>
      <c r="Q231" s="7">
        <f t="shared" si="41"/>
        <v>13778</v>
      </c>
    </row>
    <row r="232" spans="1:21">
      <c r="A232" s="23" t="s">
        <v>258</v>
      </c>
      <c r="B232" s="37" t="s">
        <v>233</v>
      </c>
      <c r="C232" s="36">
        <v>21331</v>
      </c>
      <c r="D232" s="113">
        <v>8401346816</v>
      </c>
      <c r="E232" s="116">
        <f t="shared" si="47"/>
        <v>393856.21002297127</v>
      </c>
      <c r="F232" s="117">
        <v>6898065209</v>
      </c>
      <c r="G232" s="117">
        <f t="shared" si="48"/>
        <v>323382.17659744032</v>
      </c>
      <c r="H232" s="9"/>
      <c r="I232" s="109">
        <v>2.7</v>
      </c>
      <c r="J232" s="117">
        <v>18624776</v>
      </c>
      <c r="K232" s="120">
        <f t="shared" si="49"/>
        <v>873.13187379869669</v>
      </c>
      <c r="L232" s="122">
        <f t="shared" si="45"/>
        <v>68980652.090000004</v>
      </c>
      <c r="M232" s="116">
        <f t="shared" si="46"/>
        <v>50355876.090000004</v>
      </c>
      <c r="N232" s="123">
        <f t="shared" si="39"/>
        <v>2360.689892175707</v>
      </c>
      <c r="O232" s="5"/>
      <c r="P232" s="5">
        <f t="shared" si="40"/>
        <v>1</v>
      </c>
      <c r="Q232" s="7">
        <f t="shared" si="41"/>
        <v>21331</v>
      </c>
    </row>
    <row r="233" spans="1:21">
      <c r="A233" s="23" t="s">
        <v>259</v>
      </c>
      <c r="B233" s="37" t="s">
        <v>233</v>
      </c>
      <c r="C233" s="36">
        <v>5794</v>
      </c>
      <c r="D233" s="113">
        <v>1473019807</v>
      </c>
      <c r="E233" s="116">
        <f t="shared" si="47"/>
        <v>254231.93079047289</v>
      </c>
      <c r="F233" s="117">
        <v>1141224469</v>
      </c>
      <c r="G233" s="117">
        <f t="shared" si="48"/>
        <v>196966.59803244736</v>
      </c>
      <c r="H233" s="9"/>
      <c r="I233" s="109">
        <v>5.2</v>
      </c>
      <c r="J233" s="117">
        <v>5934367</v>
      </c>
      <c r="K233" s="120">
        <f t="shared" si="49"/>
        <v>1024.2262685536762</v>
      </c>
      <c r="L233" s="122">
        <f t="shared" si="45"/>
        <v>11412244.689999999</v>
      </c>
      <c r="M233" s="116">
        <f t="shared" si="46"/>
        <v>5477877.6899999995</v>
      </c>
      <c r="N233" s="123">
        <f t="shared" si="39"/>
        <v>945.43971177079732</v>
      </c>
      <c r="O233" s="5"/>
      <c r="P233" s="5">
        <f t="shared" si="40"/>
        <v>1</v>
      </c>
      <c r="Q233" s="7">
        <f t="shared" si="41"/>
        <v>5794</v>
      </c>
    </row>
    <row r="234" spans="1:21">
      <c r="A234" s="23" t="s">
        <v>260</v>
      </c>
      <c r="B234" s="37" t="s">
        <v>233</v>
      </c>
      <c r="C234" s="36">
        <v>20069</v>
      </c>
      <c r="D234" s="113">
        <v>1541325198</v>
      </c>
      <c r="E234" s="116">
        <f t="shared" si="47"/>
        <v>76801.295430763857</v>
      </c>
      <c r="F234" s="117">
        <v>1266049290</v>
      </c>
      <c r="G234" s="117">
        <f t="shared" si="48"/>
        <v>63084.821864567246</v>
      </c>
      <c r="H234" s="9"/>
      <c r="I234" s="109">
        <v>2.92</v>
      </c>
      <c r="J234" s="117">
        <v>3696864</v>
      </c>
      <c r="K234" s="120">
        <f t="shared" si="49"/>
        <v>184.20768349195276</v>
      </c>
      <c r="L234" s="122">
        <f t="shared" si="45"/>
        <v>12660492.9</v>
      </c>
      <c r="M234" s="116">
        <f t="shared" si="46"/>
        <v>8963628.9000000004</v>
      </c>
      <c r="N234" s="123">
        <f t="shared" si="39"/>
        <v>446.64053515371967</v>
      </c>
      <c r="O234" s="5"/>
      <c r="P234" s="5">
        <f t="shared" si="40"/>
        <v>1</v>
      </c>
      <c r="Q234" s="7">
        <f t="shared" si="41"/>
        <v>20069</v>
      </c>
    </row>
    <row r="235" spans="1:21">
      <c r="A235" s="23" t="s">
        <v>261</v>
      </c>
      <c r="B235" s="35" t="s">
        <v>233</v>
      </c>
      <c r="C235" s="36">
        <v>2413</v>
      </c>
      <c r="D235" s="113">
        <v>230320360</v>
      </c>
      <c r="E235" s="116">
        <f t="shared" si="47"/>
        <v>95449.796933278078</v>
      </c>
      <c r="F235" s="117">
        <v>181987290</v>
      </c>
      <c r="G235" s="117">
        <f t="shared" si="48"/>
        <v>75419.515126398677</v>
      </c>
      <c r="H235" s="9"/>
      <c r="I235" s="110">
        <v>5.4233000000000002</v>
      </c>
      <c r="J235" s="117">
        <v>986972</v>
      </c>
      <c r="K235" s="120">
        <f t="shared" si="49"/>
        <v>409.02279320348117</v>
      </c>
      <c r="L235" s="122">
        <f t="shared" si="45"/>
        <v>1819872.9000000001</v>
      </c>
      <c r="M235" s="116">
        <f t="shared" si="46"/>
        <v>832900.90000000014</v>
      </c>
      <c r="N235" s="123">
        <f t="shared" si="39"/>
        <v>345.17235806050564</v>
      </c>
      <c r="O235" s="5"/>
      <c r="P235" s="5">
        <f t="shared" si="40"/>
        <v>1</v>
      </c>
      <c r="Q235" s="7">
        <f t="shared" si="41"/>
        <v>2413</v>
      </c>
    </row>
    <row r="236" spans="1:21">
      <c r="A236" s="23" t="s">
        <v>262</v>
      </c>
      <c r="B236" s="35" t="s">
        <v>233</v>
      </c>
      <c r="C236" s="36">
        <v>6030</v>
      </c>
      <c r="D236" s="113">
        <v>395787312</v>
      </c>
      <c r="E236" s="116">
        <f t="shared" si="47"/>
        <v>65636.370149253737</v>
      </c>
      <c r="F236" s="117">
        <v>283214399</v>
      </c>
      <c r="G236" s="117">
        <f t="shared" si="48"/>
        <v>46967.562023217244</v>
      </c>
      <c r="H236" s="9"/>
      <c r="I236" s="109">
        <v>6.8857999999999997</v>
      </c>
      <c r="J236" s="117">
        <v>1950158</v>
      </c>
      <c r="K236" s="120">
        <f t="shared" si="49"/>
        <v>323.40928689883913</v>
      </c>
      <c r="L236" s="122">
        <f t="shared" si="45"/>
        <v>2832143.99</v>
      </c>
      <c r="M236" s="116">
        <f t="shared" si="46"/>
        <v>881985.99000000022</v>
      </c>
      <c r="N236" s="123">
        <f t="shared" si="39"/>
        <v>146.26633333333336</v>
      </c>
      <c r="O236" s="5"/>
      <c r="P236" s="5">
        <f t="shared" si="40"/>
        <v>1</v>
      </c>
      <c r="Q236" s="7">
        <f t="shared" si="41"/>
        <v>6030</v>
      </c>
      <c r="S236" s="124">
        <f>SUM(D203:D236)</f>
        <v>187859394114</v>
      </c>
      <c r="T236" s="124">
        <f>SUM(F203:F236)</f>
        <v>141210525485</v>
      </c>
      <c r="U236" s="124">
        <f>SUM(J203:J236)</f>
        <v>737228746</v>
      </c>
    </row>
    <row r="237" spans="1:21">
      <c r="A237" s="23" t="s">
        <v>263</v>
      </c>
      <c r="B237" s="35" t="s">
        <v>264</v>
      </c>
      <c r="C237" s="36">
        <v>6193</v>
      </c>
      <c r="D237" s="113">
        <v>3142373028</v>
      </c>
      <c r="E237" s="116">
        <f t="shared" si="47"/>
        <v>507407.23849507509</v>
      </c>
      <c r="F237" s="117">
        <v>2539750915</v>
      </c>
      <c r="G237" s="117">
        <f t="shared" si="48"/>
        <v>410100.26077829808</v>
      </c>
      <c r="H237" s="7"/>
      <c r="I237" s="109">
        <v>2.5329000000000002</v>
      </c>
      <c r="J237" s="117">
        <v>6432935</v>
      </c>
      <c r="K237" s="120">
        <f t="shared" si="49"/>
        <v>1038.7429355724205</v>
      </c>
      <c r="L237" s="122">
        <f t="shared" si="45"/>
        <v>25397509.150000002</v>
      </c>
      <c r="M237" s="116">
        <f t="shared" si="46"/>
        <v>18964574.150000002</v>
      </c>
      <c r="N237" s="123">
        <f t="shared" si="39"/>
        <v>3062.2596722105609</v>
      </c>
      <c r="O237" s="5"/>
      <c r="P237" s="5">
        <f t="shared" si="40"/>
        <v>1</v>
      </c>
      <c r="Q237" s="7">
        <f t="shared" si="41"/>
        <v>6193</v>
      </c>
    </row>
    <row r="238" spans="1:21">
      <c r="A238" s="23" t="s">
        <v>265</v>
      </c>
      <c r="B238" s="35" t="s">
        <v>264</v>
      </c>
      <c r="C238" s="36">
        <v>802</v>
      </c>
      <c r="D238" s="113">
        <v>599922757</v>
      </c>
      <c r="E238" s="116">
        <f t="shared" si="47"/>
        <v>748033.36284289276</v>
      </c>
      <c r="F238" s="117">
        <v>520992390</v>
      </c>
      <c r="G238" s="117">
        <f t="shared" si="48"/>
        <v>649616.44638403994</v>
      </c>
      <c r="H238" s="7"/>
      <c r="I238" s="109">
        <v>2.4218999999999999</v>
      </c>
      <c r="J238" s="117">
        <v>1261791</v>
      </c>
      <c r="K238" s="120">
        <f t="shared" si="49"/>
        <v>1573.3054862842894</v>
      </c>
      <c r="L238" s="122">
        <f t="shared" si="45"/>
        <v>5209923.9000000004</v>
      </c>
      <c r="M238" s="116">
        <f t="shared" si="46"/>
        <v>3948132.9000000004</v>
      </c>
      <c r="N238" s="123">
        <f t="shared" si="39"/>
        <v>4922.8589775561104</v>
      </c>
      <c r="O238" s="5"/>
      <c r="P238" s="5">
        <f t="shared" si="40"/>
        <v>1</v>
      </c>
      <c r="Q238" s="7">
        <f t="shared" si="41"/>
        <v>802</v>
      </c>
    </row>
    <row r="239" spans="1:21">
      <c r="A239" s="23" t="s">
        <v>266</v>
      </c>
      <c r="B239" s="35" t="s">
        <v>264</v>
      </c>
      <c r="C239" s="36">
        <v>24583</v>
      </c>
      <c r="D239" s="113">
        <v>9479428925</v>
      </c>
      <c r="E239" s="116">
        <f t="shared" si="47"/>
        <v>385609.11707277386</v>
      </c>
      <c r="F239" s="117">
        <v>5278977143</v>
      </c>
      <c r="G239" s="117">
        <f t="shared" si="48"/>
        <v>214740.9650164748</v>
      </c>
      <c r="H239" s="7"/>
      <c r="I239" s="109">
        <v>2.7976000000000001</v>
      </c>
      <c r="J239" s="117">
        <v>14768466</v>
      </c>
      <c r="K239" s="120">
        <f t="shared" si="49"/>
        <v>600.75930521091811</v>
      </c>
      <c r="L239" s="122">
        <f t="shared" si="45"/>
        <v>52789771.43</v>
      </c>
      <c r="M239" s="116">
        <f t="shared" si="46"/>
        <v>38021305.43</v>
      </c>
      <c r="N239" s="123">
        <f t="shared" si="39"/>
        <v>1546.65034495383</v>
      </c>
      <c r="O239" s="5"/>
      <c r="P239" s="5">
        <f t="shared" si="40"/>
        <v>1</v>
      </c>
      <c r="Q239" s="7">
        <f t="shared" si="41"/>
        <v>24583</v>
      </c>
    </row>
    <row r="240" spans="1:21">
      <c r="A240" s="23" t="s">
        <v>267</v>
      </c>
      <c r="B240" s="35" t="s">
        <v>264</v>
      </c>
      <c r="C240" s="36">
        <v>183</v>
      </c>
      <c r="D240" s="113">
        <v>55822463</v>
      </c>
      <c r="E240" s="116">
        <f t="shared" si="47"/>
        <v>305040.78142076504</v>
      </c>
      <c r="F240" s="117">
        <v>45916043</v>
      </c>
      <c r="G240" s="117">
        <f t="shared" si="48"/>
        <v>250907.33879781421</v>
      </c>
      <c r="H240" s="7"/>
      <c r="I240" s="109">
        <v>2.0398000000000001</v>
      </c>
      <c r="J240" s="117">
        <v>93660</v>
      </c>
      <c r="K240" s="120">
        <f t="shared" si="49"/>
        <v>511.80327868852459</v>
      </c>
      <c r="L240" s="122">
        <f t="shared" si="45"/>
        <v>459160.43</v>
      </c>
      <c r="M240" s="116">
        <f t="shared" si="46"/>
        <v>365500.43</v>
      </c>
      <c r="N240" s="123">
        <f t="shared" si="39"/>
        <v>1997.2701092896175</v>
      </c>
      <c r="O240" s="5"/>
      <c r="P240" s="5">
        <f t="shared" si="40"/>
        <v>1</v>
      </c>
      <c r="Q240" s="7">
        <f t="shared" si="41"/>
        <v>183</v>
      </c>
    </row>
    <row r="241" spans="1:21">
      <c r="A241" s="23" t="s">
        <v>449</v>
      </c>
      <c r="B241" s="35" t="s">
        <v>264</v>
      </c>
      <c r="C241" s="36">
        <v>8419</v>
      </c>
      <c r="D241" s="113">
        <v>2272424067</v>
      </c>
      <c r="E241" s="116">
        <f t="shared" si="47"/>
        <v>269916.15001781686</v>
      </c>
      <c r="F241" s="117">
        <v>1777115775</v>
      </c>
      <c r="G241" s="117">
        <f t="shared" si="48"/>
        <v>211083.94999406105</v>
      </c>
      <c r="H241" s="7"/>
      <c r="I241" s="109">
        <v>2.2968999999999999</v>
      </c>
      <c r="J241" s="117">
        <v>4081857</v>
      </c>
      <c r="K241" s="120">
        <f t="shared" si="49"/>
        <v>484.83869818268204</v>
      </c>
      <c r="L241" s="122">
        <f t="shared" si="45"/>
        <v>17771157.75</v>
      </c>
      <c r="M241" s="116">
        <f t="shared" si="46"/>
        <v>13689300.75</v>
      </c>
      <c r="N241" s="123">
        <f t="shared" si="39"/>
        <v>1626.0008017579285</v>
      </c>
      <c r="O241" s="5"/>
      <c r="P241" s="5">
        <f t="shared" si="40"/>
        <v>1</v>
      </c>
      <c r="Q241" s="7">
        <f t="shared" si="41"/>
        <v>8419</v>
      </c>
      <c r="S241" s="124">
        <f>SUM(D237:D241)</f>
        <v>15549971240</v>
      </c>
      <c r="T241" s="124">
        <f>SUM(F237:F241)</f>
        <v>10162752266</v>
      </c>
      <c r="U241" s="124">
        <f>SUM(J237:J241)</f>
        <v>26638709</v>
      </c>
    </row>
    <row r="242" spans="1:21">
      <c r="A242" s="23" t="s">
        <v>268</v>
      </c>
      <c r="B242" s="35" t="s">
        <v>269</v>
      </c>
      <c r="C242" s="36">
        <v>1157</v>
      </c>
      <c r="D242" s="113">
        <v>108695127</v>
      </c>
      <c r="E242" s="116">
        <f t="shared" si="47"/>
        <v>93945.658599827133</v>
      </c>
      <c r="F242" s="117">
        <v>67829380</v>
      </c>
      <c r="G242" s="117">
        <f t="shared" si="48"/>
        <v>58625.220397579949</v>
      </c>
      <c r="H242" s="7"/>
      <c r="I242" s="109">
        <v>3.4296000000000002</v>
      </c>
      <c r="J242" s="117">
        <v>232628</v>
      </c>
      <c r="K242" s="120">
        <f t="shared" si="49"/>
        <v>201.06136560069143</v>
      </c>
      <c r="L242" s="122">
        <f t="shared" si="45"/>
        <v>678293.8</v>
      </c>
      <c r="M242" s="116">
        <f t="shared" si="46"/>
        <v>445665.80000000005</v>
      </c>
      <c r="N242" s="123">
        <f t="shared" si="39"/>
        <v>385.19083837510806</v>
      </c>
      <c r="O242" s="5"/>
      <c r="P242" s="5">
        <f t="shared" si="40"/>
        <v>1</v>
      </c>
      <c r="Q242" s="7">
        <f t="shared" si="41"/>
        <v>1157</v>
      </c>
    </row>
    <row r="243" spans="1:21">
      <c r="A243" s="23" t="s">
        <v>270</v>
      </c>
      <c r="B243" s="35" t="s">
        <v>269</v>
      </c>
      <c r="C243" s="36">
        <v>11790</v>
      </c>
      <c r="D243" s="113">
        <v>2203527041</v>
      </c>
      <c r="E243" s="116">
        <f t="shared" si="47"/>
        <v>186897.96785411367</v>
      </c>
      <c r="F243" s="117">
        <v>1543376666</v>
      </c>
      <c r="G243" s="117">
        <f t="shared" si="48"/>
        <v>130905.56963528413</v>
      </c>
      <c r="H243" s="7"/>
      <c r="I243" s="109">
        <v>6.2843999999999998</v>
      </c>
      <c r="J243" s="117">
        <v>9699196</v>
      </c>
      <c r="K243" s="120">
        <f t="shared" si="49"/>
        <v>822.66293469041557</v>
      </c>
      <c r="L243" s="122">
        <f t="shared" si="45"/>
        <v>15433766.66</v>
      </c>
      <c r="M243" s="116">
        <f t="shared" si="46"/>
        <v>5734570.6600000001</v>
      </c>
      <c r="N243" s="123">
        <f t="shared" si="39"/>
        <v>486.39276166242581</v>
      </c>
      <c r="O243" s="5"/>
      <c r="P243" s="5">
        <f t="shared" si="40"/>
        <v>1</v>
      </c>
      <c r="Q243" s="7">
        <f t="shared" si="41"/>
        <v>11790</v>
      </c>
    </row>
    <row r="244" spans="1:21">
      <c r="A244" s="23" t="s">
        <v>271</v>
      </c>
      <c r="B244" s="35" t="s">
        <v>269</v>
      </c>
      <c r="C244" s="36">
        <v>3082</v>
      </c>
      <c r="D244" s="113">
        <v>253097074</v>
      </c>
      <c r="E244" s="116">
        <f t="shared" si="47"/>
        <v>82121.049318624267</v>
      </c>
      <c r="F244" s="117">
        <v>72887157</v>
      </c>
      <c r="G244" s="117">
        <f t="shared" si="48"/>
        <v>23649.30467229072</v>
      </c>
      <c r="H244" s="7"/>
      <c r="I244" s="109">
        <v>0.57940000000000003</v>
      </c>
      <c r="J244" s="117">
        <v>42231</v>
      </c>
      <c r="K244" s="120">
        <f t="shared" si="49"/>
        <v>13.702465931213498</v>
      </c>
      <c r="L244" s="122">
        <f t="shared" si="45"/>
        <v>728871.57000000007</v>
      </c>
      <c r="M244" s="116">
        <f t="shared" si="46"/>
        <v>686640.57000000007</v>
      </c>
      <c r="N244" s="123">
        <f t="shared" si="39"/>
        <v>222.79058079169371</v>
      </c>
      <c r="O244" s="5"/>
      <c r="P244" s="5">
        <f t="shared" si="40"/>
        <v>1</v>
      </c>
      <c r="Q244" s="7">
        <f t="shared" si="41"/>
        <v>3082</v>
      </c>
      <c r="S244" s="124">
        <f>SUM(D242:D244)</f>
        <v>2565319242</v>
      </c>
      <c r="T244" s="124">
        <f>SUM(F242:F244)</f>
        <v>1684093203</v>
      </c>
      <c r="U244" s="124">
        <f>SUM(J242:J244)</f>
        <v>9974055</v>
      </c>
    </row>
    <row r="245" spans="1:21">
      <c r="A245" s="23" t="s">
        <v>272</v>
      </c>
      <c r="B245" s="35" t="s">
        <v>273</v>
      </c>
      <c r="C245" s="36">
        <v>391</v>
      </c>
      <c r="D245" s="113">
        <v>55451800</v>
      </c>
      <c r="E245" s="116">
        <f t="shared" si="47"/>
        <v>141820.46035805627</v>
      </c>
      <c r="F245" s="119">
        <v>45868054</v>
      </c>
      <c r="G245" s="117">
        <f t="shared" si="48"/>
        <v>117309.60102301791</v>
      </c>
      <c r="H245" s="7"/>
      <c r="I245" s="109">
        <v>2.35</v>
      </c>
      <c r="J245" s="117">
        <v>107790</v>
      </c>
      <c r="K245" s="120">
        <f t="shared" si="49"/>
        <v>275.6777493606138</v>
      </c>
      <c r="L245" s="122">
        <f t="shared" si="45"/>
        <v>458680.54000000004</v>
      </c>
      <c r="M245" s="116">
        <f t="shared" si="46"/>
        <v>350890.54000000004</v>
      </c>
      <c r="N245" s="123">
        <f t="shared" si="39"/>
        <v>897.4182608695653</v>
      </c>
      <c r="O245" s="5"/>
      <c r="P245" s="5">
        <f t="shared" si="40"/>
        <v>1</v>
      </c>
      <c r="Q245" s="7">
        <f t="shared" si="41"/>
        <v>391</v>
      </c>
    </row>
    <row r="246" spans="1:21">
      <c r="A246" s="23" t="s">
        <v>274</v>
      </c>
      <c r="B246" s="35" t="s">
        <v>273</v>
      </c>
      <c r="C246" s="36">
        <v>22965</v>
      </c>
      <c r="D246" s="113">
        <v>1320203208</v>
      </c>
      <c r="E246" s="116">
        <f t="shared" si="47"/>
        <v>57487.620640104506</v>
      </c>
      <c r="F246" s="117">
        <v>918757358</v>
      </c>
      <c r="G246" s="117">
        <f t="shared" si="48"/>
        <v>40006.852079251032</v>
      </c>
      <c r="H246" s="7"/>
      <c r="I246" s="109">
        <v>5.8465999999999996</v>
      </c>
      <c r="J246" s="117">
        <v>5371607</v>
      </c>
      <c r="K246" s="120">
        <f t="shared" si="49"/>
        <v>233.90407141301981</v>
      </c>
      <c r="L246" s="122">
        <f t="shared" si="45"/>
        <v>9187573.5800000001</v>
      </c>
      <c r="M246" s="116">
        <f t="shared" si="46"/>
        <v>3815966.58</v>
      </c>
      <c r="N246" s="123">
        <f t="shared" si="39"/>
        <v>166.16444937949052</v>
      </c>
      <c r="O246" s="5"/>
      <c r="P246" s="5">
        <f t="shared" si="40"/>
        <v>1</v>
      </c>
      <c r="Q246" s="7">
        <f t="shared" si="41"/>
        <v>22965</v>
      </c>
    </row>
    <row r="247" spans="1:21">
      <c r="A247" s="23" t="s">
        <v>275</v>
      </c>
      <c r="B247" s="35" t="s">
        <v>273</v>
      </c>
      <c r="C247" s="36">
        <v>12474</v>
      </c>
      <c r="D247" s="113">
        <v>4245243071</v>
      </c>
      <c r="E247" s="116">
        <f t="shared" si="47"/>
        <v>340327.32651915983</v>
      </c>
      <c r="F247" s="117">
        <v>3816812314</v>
      </c>
      <c r="G247" s="117">
        <f t="shared" si="48"/>
        <v>305981.42648709315</v>
      </c>
      <c r="H247" s="9"/>
      <c r="I247" s="109">
        <v>1.5</v>
      </c>
      <c r="J247" s="117">
        <v>5725218</v>
      </c>
      <c r="K247" s="120">
        <f t="shared" si="49"/>
        <v>458.972101972102</v>
      </c>
      <c r="L247" s="122">
        <f t="shared" si="45"/>
        <v>38168123.140000001</v>
      </c>
      <c r="M247" s="116">
        <f t="shared" si="46"/>
        <v>32442905.140000001</v>
      </c>
      <c r="N247" s="123">
        <f t="shared" si="39"/>
        <v>2600.8421628988294</v>
      </c>
      <c r="O247" s="5"/>
      <c r="P247" s="5">
        <f t="shared" si="40"/>
        <v>1</v>
      </c>
      <c r="Q247" s="7">
        <f t="shared" si="41"/>
        <v>12474</v>
      </c>
    </row>
    <row r="248" spans="1:21">
      <c r="A248" s="23" t="s">
        <v>276</v>
      </c>
      <c r="B248" s="35" t="s">
        <v>273</v>
      </c>
      <c r="C248" s="36">
        <v>20256</v>
      </c>
      <c r="D248" s="113">
        <v>1645787524</v>
      </c>
      <c r="E248" s="116">
        <f t="shared" si="47"/>
        <v>81249.384083728277</v>
      </c>
      <c r="F248" s="117">
        <v>1127726930</v>
      </c>
      <c r="G248" s="117">
        <f t="shared" si="48"/>
        <v>55673.72284755134</v>
      </c>
      <c r="H248" s="9"/>
      <c r="I248" s="109">
        <v>5.7697000000000003</v>
      </c>
      <c r="J248" s="117">
        <v>6506646</v>
      </c>
      <c r="K248" s="120">
        <f t="shared" si="49"/>
        <v>321.22067535545023</v>
      </c>
      <c r="L248" s="122">
        <f t="shared" si="45"/>
        <v>11277269.300000001</v>
      </c>
      <c r="M248" s="116">
        <f t="shared" si="46"/>
        <v>4770623.3000000007</v>
      </c>
      <c r="N248" s="123">
        <f t="shared" si="39"/>
        <v>235.51655312006324</v>
      </c>
      <c r="O248" s="5"/>
      <c r="P248" s="5">
        <f t="shared" si="40"/>
        <v>1</v>
      </c>
      <c r="Q248" s="7">
        <f t="shared" si="41"/>
        <v>20256</v>
      </c>
    </row>
    <row r="249" spans="1:21">
      <c r="A249" s="23" t="s">
        <v>277</v>
      </c>
      <c r="B249" s="35" t="s">
        <v>273</v>
      </c>
      <c r="C249" s="36">
        <v>520</v>
      </c>
      <c r="D249" s="113">
        <v>28588311</v>
      </c>
      <c r="E249" s="116">
        <f t="shared" si="47"/>
        <v>54977.521153846152</v>
      </c>
      <c r="F249" s="117">
        <v>15070669</v>
      </c>
      <c r="G249" s="117">
        <f t="shared" si="48"/>
        <v>28982.05576923077</v>
      </c>
      <c r="H249" s="7"/>
      <c r="I249" s="110">
        <v>3.5</v>
      </c>
      <c r="J249" s="117">
        <v>52747</v>
      </c>
      <c r="K249" s="120">
        <f t="shared" si="49"/>
        <v>101.43653846153846</v>
      </c>
      <c r="L249" s="122">
        <f t="shared" si="45"/>
        <v>150706.69</v>
      </c>
      <c r="M249" s="116">
        <f t="shared" si="46"/>
        <v>97959.69</v>
      </c>
      <c r="N249" s="123">
        <f t="shared" si="39"/>
        <v>188.38401923076924</v>
      </c>
      <c r="O249" s="5"/>
      <c r="P249" s="5">
        <f t="shared" si="40"/>
        <v>1</v>
      </c>
      <c r="Q249" s="7">
        <f t="shared" si="41"/>
        <v>520</v>
      </c>
    </row>
    <row r="250" spans="1:21">
      <c r="A250" s="23" t="s">
        <v>278</v>
      </c>
      <c r="B250" s="35" t="s">
        <v>273</v>
      </c>
      <c r="C250" s="36">
        <v>3860</v>
      </c>
      <c r="D250" s="113">
        <v>354059328</v>
      </c>
      <c r="E250" s="116">
        <f t="shared" si="47"/>
        <v>91725.21450777202</v>
      </c>
      <c r="F250" s="117">
        <v>250131493</v>
      </c>
      <c r="G250" s="117">
        <f t="shared" si="48"/>
        <v>64800.904922279791</v>
      </c>
      <c r="H250" s="7"/>
      <c r="I250" s="109">
        <v>2.6435</v>
      </c>
      <c r="J250" s="117">
        <v>661223</v>
      </c>
      <c r="K250" s="120">
        <f t="shared" si="49"/>
        <v>171.30129533678758</v>
      </c>
      <c r="L250" s="122">
        <f t="shared" si="45"/>
        <v>2501314.9300000002</v>
      </c>
      <c r="M250" s="116">
        <f t="shared" si="46"/>
        <v>1840091.9300000002</v>
      </c>
      <c r="N250" s="123">
        <f t="shared" si="39"/>
        <v>476.70775388601038</v>
      </c>
      <c r="O250" s="5"/>
      <c r="P250" s="5">
        <f t="shared" si="40"/>
        <v>1</v>
      </c>
      <c r="Q250" s="7">
        <f t="shared" si="41"/>
        <v>3860</v>
      </c>
    </row>
    <row r="251" spans="1:21">
      <c r="A251" s="23" t="s">
        <v>279</v>
      </c>
      <c r="B251" s="35" t="s">
        <v>273</v>
      </c>
      <c r="C251" s="36">
        <v>13374</v>
      </c>
      <c r="D251" s="113">
        <v>1172364066</v>
      </c>
      <c r="E251" s="116">
        <f t="shared" si="47"/>
        <v>87659.942126514128</v>
      </c>
      <c r="F251" s="117">
        <v>814197625</v>
      </c>
      <c r="G251" s="117">
        <f t="shared" si="48"/>
        <v>60879.140496485721</v>
      </c>
      <c r="H251" s="7"/>
      <c r="I251" s="109">
        <v>3.7</v>
      </c>
      <c r="J251" s="117">
        <v>3012531</v>
      </c>
      <c r="K251" s="120">
        <f t="shared" si="49"/>
        <v>225.25280394795874</v>
      </c>
      <c r="L251" s="122">
        <f t="shared" si="45"/>
        <v>8141976.25</v>
      </c>
      <c r="M251" s="116">
        <f t="shared" si="46"/>
        <v>5129445.25</v>
      </c>
      <c r="N251" s="123">
        <f t="shared" si="39"/>
        <v>383.53860101689844</v>
      </c>
      <c r="O251" s="5"/>
      <c r="P251" s="5">
        <f t="shared" si="40"/>
        <v>1</v>
      </c>
      <c r="Q251" s="7">
        <f t="shared" si="41"/>
        <v>13374</v>
      </c>
    </row>
    <row r="252" spans="1:21">
      <c r="A252" s="23" t="s">
        <v>280</v>
      </c>
      <c r="B252" s="35" t="s">
        <v>273</v>
      </c>
      <c r="C252" s="36">
        <v>734</v>
      </c>
      <c r="D252" s="113">
        <v>115088211</v>
      </c>
      <c r="E252" s="116">
        <f t="shared" si="47"/>
        <v>156795.92779291552</v>
      </c>
      <c r="F252" s="117">
        <v>86588326</v>
      </c>
      <c r="G252" s="117">
        <f t="shared" si="48"/>
        <v>117967.74659400545</v>
      </c>
      <c r="H252" s="7"/>
      <c r="I252" s="109">
        <v>2</v>
      </c>
      <c r="J252" s="117">
        <v>173177</v>
      </c>
      <c r="K252" s="120">
        <f t="shared" si="49"/>
        <v>235.93596730245233</v>
      </c>
      <c r="L252" s="122">
        <f t="shared" si="45"/>
        <v>865883.26</v>
      </c>
      <c r="M252" s="116">
        <f t="shared" si="46"/>
        <v>692706.26</v>
      </c>
      <c r="N252" s="123">
        <f t="shared" si="39"/>
        <v>943.74149863760215</v>
      </c>
      <c r="O252" s="5"/>
      <c r="P252" s="5">
        <f t="shared" si="40"/>
        <v>1</v>
      </c>
      <c r="Q252" s="7">
        <f t="shared" si="41"/>
        <v>734</v>
      </c>
    </row>
    <row r="253" spans="1:21">
      <c r="A253" s="23" t="s">
        <v>281</v>
      </c>
      <c r="B253" s="35" t="s">
        <v>273</v>
      </c>
      <c r="C253" s="36">
        <v>5244</v>
      </c>
      <c r="D253" s="113">
        <v>325756463</v>
      </c>
      <c r="E253" s="116">
        <f t="shared" si="47"/>
        <v>62119.844202898552</v>
      </c>
      <c r="F253" s="117">
        <v>184636821</v>
      </c>
      <c r="G253" s="117">
        <f t="shared" si="48"/>
        <v>35209.157322654464</v>
      </c>
      <c r="H253" s="7"/>
      <c r="I253" s="109">
        <v>4.524</v>
      </c>
      <c r="J253" s="117">
        <v>835297</v>
      </c>
      <c r="K253" s="120">
        <f t="shared" si="49"/>
        <v>159.28623188405797</v>
      </c>
      <c r="L253" s="122">
        <f t="shared" si="45"/>
        <v>1846368.21</v>
      </c>
      <c r="M253" s="116">
        <f t="shared" si="46"/>
        <v>1011071.21</v>
      </c>
      <c r="N253" s="123">
        <f t="shared" si="39"/>
        <v>192.80534134248666</v>
      </c>
      <c r="O253" s="5"/>
      <c r="P253" s="5">
        <f t="shared" si="40"/>
        <v>1</v>
      </c>
      <c r="Q253" s="7">
        <f t="shared" si="41"/>
        <v>5244</v>
      </c>
      <c r="S253" s="124">
        <f>SUM(D245:D253)</f>
        <v>9262541982</v>
      </c>
      <c r="T253" s="124">
        <f>SUM(F245:F253)</f>
        <v>7259789590</v>
      </c>
      <c r="U253" s="124">
        <f>SUM(J245:J253)</f>
        <v>22446236</v>
      </c>
    </row>
    <row r="254" spans="1:21">
      <c r="A254" s="23" t="s">
        <v>282</v>
      </c>
      <c r="B254" s="35" t="s">
        <v>282</v>
      </c>
      <c r="C254" s="36">
        <v>5550</v>
      </c>
      <c r="D254" s="113">
        <v>334837054</v>
      </c>
      <c r="E254" s="116">
        <f t="shared" si="47"/>
        <v>60331.000720720724</v>
      </c>
      <c r="F254" s="117">
        <v>233729541</v>
      </c>
      <c r="G254" s="117">
        <f t="shared" si="48"/>
        <v>42113.430810810809</v>
      </c>
      <c r="H254" s="7"/>
      <c r="I254" s="109">
        <v>7.7431999999999999</v>
      </c>
      <c r="J254" s="117">
        <v>1809815</v>
      </c>
      <c r="K254" s="120">
        <f t="shared" si="49"/>
        <v>326.09279279279281</v>
      </c>
      <c r="L254" s="122">
        <f t="shared" si="45"/>
        <v>2337295.41</v>
      </c>
      <c r="M254" s="116">
        <f t="shared" si="46"/>
        <v>527480.41000000015</v>
      </c>
      <c r="N254" s="123">
        <f t="shared" si="39"/>
        <v>95.041515315315337</v>
      </c>
      <c r="O254" s="5"/>
      <c r="P254" s="5">
        <f t="shared" si="40"/>
        <v>1</v>
      </c>
      <c r="Q254" s="7">
        <f t="shared" si="41"/>
        <v>5550</v>
      </c>
      <c r="S254" s="124">
        <f>SUM(D254)</f>
        <v>334837054</v>
      </c>
      <c r="T254" s="124">
        <f>SUM(F254)</f>
        <v>233729541</v>
      </c>
      <c r="U254" s="124">
        <f>SUM(J254)</f>
        <v>1809815</v>
      </c>
    </row>
    <row r="255" spans="1:21">
      <c r="A255" s="23" t="s">
        <v>283</v>
      </c>
      <c r="B255" s="35" t="s">
        <v>284</v>
      </c>
      <c r="C255" s="36">
        <v>44129</v>
      </c>
      <c r="D255" s="113">
        <v>2879818158</v>
      </c>
      <c r="E255" s="116">
        <f t="shared" si="47"/>
        <v>65259.084910149788</v>
      </c>
      <c r="F255" s="117">
        <v>1992832887</v>
      </c>
      <c r="G255" s="117">
        <f t="shared" si="48"/>
        <v>45159.25778966213</v>
      </c>
      <c r="H255" s="7"/>
      <c r="I255" s="109">
        <v>3.4727000000000001</v>
      </c>
      <c r="J255" s="117">
        <v>6920511</v>
      </c>
      <c r="K255" s="120">
        <f t="shared" si="49"/>
        <v>156.8245598132747</v>
      </c>
      <c r="L255" s="122">
        <f t="shared" si="45"/>
        <v>19928328.870000001</v>
      </c>
      <c r="M255" s="116">
        <f t="shared" si="46"/>
        <v>13007817.870000001</v>
      </c>
      <c r="N255" s="123">
        <f t="shared" si="39"/>
        <v>294.76801808334659</v>
      </c>
      <c r="O255" s="5"/>
      <c r="P255" s="5">
        <f t="shared" si="40"/>
        <v>1</v>
      </c>
      <c r="Q255" s="7">
        <f t="shared" si="41"/>
        <v>44129</v>
      </c>
    </row>
    <row r="256" spans="1:21">
      <c r="A256" s="23" t="s">
        <v>285</v>
      </c>
      <c r="B256" s="35" t="s">
        <v>284</v>
      </c>
      <c r="C256" s="36">
        <v>9</v>
      </c>
      <c r="D256" s="113">
        <v>5588969855</v>
      </c>
      <c r="E256" s="116">
        <f t="shared" si="47"/>
        <v>620996650.55555558</v>
      </c>
      <c r="F256" s="117">
        <v>5369310974</v>
      </c>
      <c r="G256" s="117">
        <f t="shared" si="48"/>
        <v>596590108.22222221</v>
      </c>
      <c r="H256" s="7"/>
      <c r="I256" s="109">
        <v>1.02</v>
      </c>
      <c r="J256" s="117">
        <v>5476697</v>
      </c>
      <c r="K256" s="120">
        <f t="shared" si="49"/>
        <v>608521.88888888888</v>
      </c>
      <c r="L256" s="122">
        <f t="shared" si="45"/>
        <v>53693109.740000002</v>
      </c>
      <c r="M256" s="116">
        <f t="shared" si="46"/>
        <v>48216412.740000002</v>
      </c>
      <c r="N256" s="123">
        <f t="shared" si="39"/>
        <v>5357379.1933333334</v>
      </c>
      <c r="O256" s="5"/>
      <c r="P256" s="5">
        <f t="shared" si="40"/>
        <v>1</v>
      </c>
      <c r="Q256" s="7">
        <f t="shared" si="41"/>
        <v>9</v>
      </c>
    </row>
    <row r="257" spans="1:21">
      <c r="A257" s="23" t="s">
        <v>286</v>
      </c>
      <c r="B257" s="35" t="s">
        <v>284</v>
      </c>
      <c r="C257" s="36">
        <v>6404</v>
      </c>
      <c r="D257" s="113">
        <v>738662547</v>
      </c>
      <c r="E257" s="116">
        <f t="shared" si="47"/>
        <v>115343.93301061836</v>
      </c>
      <c r="F257" s="117">
        <v>581385820</v>
      </c>
      <c r="G257" s="117">
        <f t="shared" si="48"/>
        <v>90784.793878825731</v>
      </c>
      <c r="H257" s="7"/>
      <c r="I257" s="109">
        <v>4.4017999999999997</v>
      </c>
      <c r="J257" s="117">
        <v>2559144</v>
      </c>
      <c r="K257" s="120">
        <f t="shared" si="49"/>
        <v>399.61648969394128</v>
      </c>
      <c r="L257" s="122">
        <f t="shared" si="45"/>
        <v>5813858.2000000002</v>
      </c>
      <c r="M257" s="116">
        <f t="shared" si="46"/>
        <v>3254714.2</v>
      </c>
      <c r="N257" s="123">
        <f t="shared" si="39"/>
        <v>508.23144909431608</v>
      </c>
      <c r="O257" s="5"/>
      <c r="P257" s="5">
        <f t="shared" si="40"/>
        <v>1</v>
      </c>
      <c r="Q257" s="7">
        <f t="shared" si="41"/>
        <v>6404</v>
      </c>
    </row>
    <row r="258" spans="1:21">
      <c r="A258" s="23" t="s">
        <v>287</v>
      </c>
      <c r="B258" s="35" t="s">
        <v>284</v>
      </c>
      <c r="C258" s="36">
        <v>2230</v>
      </c>
      <c r="D258" s="113">
        <v>225415261</v>
      </c>
      <c r="E258" s="116">
        <f t="shared" si="47"/>
        <v>101083.07668161434</v>
      </c>
      <c r="F258" s="117">
        <v>176766154</v>
      </c>
      <c r="G258" s="117">
        <f t="shared" si="48"/>
        <v>79267.333632287002</v>
      </c>
      <c r="H258" s="7"/>
      <c r="I258" s="109">
        <v>7.2938000000000001</v>
      </c>
      <c r="J258" s="117">
        <v>1289297</v>
      </c>
      <c r="K258" s="120">
        <f t="shared" si="49"/>
        <v>578.16008968609867</v>
      </c>
      <c r="L258" s="122">
        <f t="shared" si="45"/>
        <v>1767661.54</v>
      </c>
      <c r="M258" s="116">
        <f t="shared" si="46"/>
        <v>478364.54000000004</v>
      </c>
      <c r="N258" s="123">
        <f t="shared" si="39"/>
        <v>214.51324663677133</v>
      </c>
      <c r="O258" s="5"/>
      <c r="P258" s="5">
        <f t="shared" si="40"/>
        <v>1</v>
      </c>
      <c r="Q258" s="7">
        <f t="shared" si="41"/>
        <v>2230</v>
      </c>
    </row>
    <row r="259" spans="1:21">
      <c r="A259" s="23" t="s">
        <v>288</v>
      </c>
      <c r="B259" s="35" t="s">
        <v>284</v>
      </c>
      <c r="C259" s="36">
        <v>2621</v>
      </c>
      <c r="D259" s="113">
        <v>324766544</v>
      </c>
      <c r="E259" s="116">
        <f t="shared" si="47"/>
        <v>123909.40251812285</v>
      </c>
      <c r="F259" s="117">
        <v>267513154</v>
      </c>
      <c r="G259" s="117">
        <f t="shared" si="48"/>
        <v>102065.30103014117</v>
      </c>
      <c r="H259" s="7"/>
      <c r="I259" s="109">
        <v>4.7</v>
      </c>
      <c r="J259" s="117">
        <v>1257312</v>
      </c>
      <c r="K259" s="120">
        <f t="shared" si="49"/>
        <v>479.70698206791303</v>
      </c>
      <c r="L259" s="122">
        <f t="shared" si="45"/>
        <v>2675131.54</v>
      </c>
      <c r="M259" s="116">
        <f t="shared" si="46"/>
        <v>1417819.54</v>
      </c>
      <c r="N259" s="123">
        <f t="shared" si="39"/>
        <v>540.94602823349862</v>
      </c>
      <c r="O259" s="5"/>
      <c r="P259" s="5">
        <f t="shared" si="40"/>
        <v>1</v>
      </c>
      <c r="Q259" s="7">
        <f t="shared" si="41"/>
        <v>2621</v>
      </c>
    </row>
    <row r="260" spans="1:21">
      <c r="A260" s="23" t="s">
        <v>289</v>
      </c>
      <c r="B260" s="35" t="s">
        <v>284</v>
      </c>
      <c r="C260" s="36">
        <v>22</v>
      </c>
      <c r="D260" s="113">
        <v>1848672640</v>
      </c>
      <c r="E260" s="116">
        <f t="shared" si="47"/>
        <v>84030574.545454547</v>
      </c>
      <c r="F260" s="117">
        <v>1790054800</v>
      </c>
      <c r="G260" s="117">
        <f t="shared" si="48"/>
        <v>81366127.272727266</v>
      </c>
      <c r="H260" s="7"/>
      <c r="I260" s="109">
        <v>1.2821</v>
      </c>
      <c r="J260" s="117">
        <v>2295029</v>
      </c>
      <c r="K260" s="120">
        <f t="shared" si="49"/>
        <v>104319.5</v>
      </c>
      <c r="L260" s="122">
        <f t="shared" si="45"/>
        <v>17900548</v>
      </c>
      <c r="M260" s="116">
        <f t="shared" si="46"/>
        <v>15605519</v>
      </c>
      <c r="N260" s="123">
        <f t="shared" si="39"/>
        <v>709341.77272727271</v>
      </c>
      <c r="O260" s="5"/>
      <c r="P260" s="5">
        <f t="shared" si="40"/>
        <v>1</v>
      </c>
      <c r="Q260" s="7">
        <f t="shared" si="41"/>
        <v>22</v>
      </c>
    </row>
    <row r="261" spans="1:21">
      <c r="A261" s="23" t="s">
        <v>290</v>
      </c>
      <c r="B261" s="35" t="s">
        <v>284</v>
      </c>
      <c r="C261" s="36">
        <v>16105</v>
      </c>
      <c r="D261" s="113">
        <v>2423259305</v>
      </c>
      <c r="E261" s="116">
        <f t="shared" si="47"/>
        <v>150466.27165476559</v>
      </c>
      <c r="F261" s="117">
        <v>1972678521</v>
      </c>
      <c r="G261" s="117">
        <f t="shared" si="48"/>
        <v>122488.57628065818</v>
      </c>
      <c r="H261" s="7"/>
      <c r="I261" s="109">
        <v>3.88</v>
      </c>
      <c r="J261" s="117">
        <v>7653993</v>
      </c>
      <c r="K261" s="120">
        <f t="shared" si="49"/>
        <v>475.25569698851291</v>
      </c>
      <c r="L261" s="122">
        <f t="shared" si="45"/>
        <v>19726785.210000001</v>
      </c>
      <c r="M261" s="116">
        <f t="shared" si="46"/>
        <v>12072792.210000001</v>
      </c>
      <c r="N261" s="123">
        <f t="shared" si="39"/>
        <v>749.63006581806894</v>
      </c>
      <c r="O261" s="5"/>
      <c r="P261" s="5">
        <f t="shared" ref="P261:P324" si="50">IF(I261&gt;0,1,0)</f>
        <v>1</v>
      </c>
      <c r="Q261" s="7">
        <f t="shared" si="41"/>
        <v>16105</v>
      </c>
    </row>
    <row r="262" spans="1:21">
      <c r="A262" s="23" t="s">
        <v>291</v>
      </c>
      <c r="B262" s="35" t="s">
        <v>284</v>
      </c>
      <c r="C262" s="36">
        <v>2570</v>
      </c>
      <c r="D262" s="113">
        <v>254865785</v>
      </c>
      <c r="E262" s="116">
        <f t="shared" si="47"/>
        <v>99169.566147859921</v>
      </c>
      <c r="F262" s="117">
        <v>189585130</v>
      </c>
      <c r="G262" s="117">
        <f t="shared" si="48"/>
        <v>73768.533073929968</v>
      </c>
      <c r="H262" s="7"/>
      <c r="I262" s="109">
        <v>6.75</v>
      </c>
      <c r="J262" s="117">
        <v>1279700</v>
      </c>
      <c r="K262" s="120">
        <f t="shared" si="49"/>
        <v>497.93774319066148</v>
      </c>
      <c r="L262" s="122">
        <f t="shared" si="45"/>
        <v>1895851.3</v>
      </c>
      <c r="M262" s="116">
        <f t="shared" si="46"/>
        <v>616151.30000000005</v>
      </c>
      <c r="N262" s="123">
        <f t="shared" ref="N262:N325" si="51">(M262/C262)</f>
        <v>239.74758754863814</v>
      </c>
      <c r="O262" s="5"/>
      <c r="P262" s="5">
        <f t="shared" si="50"/>
        <v>1</v>
      </c>
      <c r="Q262" s="7">
        <f t="shared" ref="Q262:Q325" si="52">IF(I262&gt;0,C262,0)</f>
        <v>2570</v>
      </c>
    </row>
    <row r="263" spans="1:21">
      <c r="A263" s="23" t="s">
        <v>292</v>
      </c>
      <c r="B263" s="35" t="s">
        <v>284</v>
      </c>
      <c r="C263" s="36">
        <v>37615</v>
      </c>
      <c r="D263" s="113">
        <v>2414757068</v>
      </c>
      <c r="E263" s="116">
        <f t="shared" ref="E263:E274" si="53">(D263/C263)</f>
        <v>64196.652080287116</v>
      </c>
      <c r="F263" s="117">
        <v>1673418810</v>
      </c>
      <c r="G263" s="117">
        <f t="shared" ref="G263:G274" si="54">(F263/C263)</f>
        <v>44488.071514023664</v>
      </c>
      <c r="H263" s="7"/>
      <c r="I263" s="109">
        <v>5.7854999999999999</v>
      </c>
      <c r="J263" s="117">
        <v>9681565</v>
      </c>
      <c r="K263" s="120">
        <f t="shared" ref="K263:K274" si="55">(J263/C263)</f>
        <v>257.38575036554568</v>
      </c>
      <c r="L263" s="122">
        <f t="shared" ref="L263:L326" si="56">(F263*0.01)</f>
        <v>16734188.1</v>
      </c>
      <c r="M263" s="116">
        <f t="shared" ref="M263:M326" si="57">(L263-J263)</f>
        <v>7052623.0999999996</v>
      </c>
      <c r="N263" s="123">
        <f t="shared" si="51"/>
        <v>187.49496477469094</v>
      </c>
      <c r="O263" s="5"/>
      <c r="P263" s="5">
        <f t="shared" si="50"/>
        <v>1</v>
      </c>
      <c r="Q263" s="7">
        <f t="shared" si="52"/>
        <v>37615</v>
      </c>
    </row>
    <row r="264" spans="1:21">
      <c r="A264" s="23" t="s">
        <v>293</v>
      </c>
      <c r="B264" s="35" t="s">
        <v>284</v>
      </c>
      <c r="C264" s="36">
        <v>250415</v>
      </c>
      <c r="D264" s="113">
        <v>29848291892</v>
      </c>
      <c r="E264" s="116">
        <f t="shared" si="53"/>
        <v>119195.30336441507</v>
      </c>
      <c r="F264" s="117">
        <v>18678543091</v>
      </c>
      <c r="G264" s="117">
        <f t="shared" si="54"/>
        <v>74590.352379050775</v>
      </c>
      <c r="H264" s="7"/>
      <c r="I264" s="109">
        <v>5.65</v>
      </c>
      <c r="J264" s="117">
        <v>105533768</v>
      </c>
      <c r="K264" s="120">
        <f t="shared" si="55"/>
        <v>421.43548908811374</v>
      </c>
      <c r="L264" s="122">
        <f t="shared" si="56"/>
        <v>186785430.91</v>
      </c>
      <c r="M264" s="116">
        <f t="shared" si="57"/>
        <v>81251662.909999996</v>
      </c>
      <c r="N264" s="123">
        <f t="shared" si="51"/>
        <v>324.46803470239399</v>
      </c>
      <c r="O264" s="5"/>
      <c r="P264" s="5">
        <f t="shared" si="50"/>
        <v>1</v>
      </c>
      <c r="Q264" s="7">
        <f t="shared" si="52"/>
        <v>250415</v>
      </c>
    </row>
    <row r="265" spans="1:21">
      <c r="A265" s="23" t="s">
        <v>294</v>
      </c>
      <c r="B265" s="35" t="s">
        <v>284</v>
      </c>
      <c r="C265" s="36">
        <v>2845</v>
      </c>
      <c r="D265" s="113">
        <v>663081674</v>
      </c>
      <c r="E265" s="116">
        <f t="shared" si="53"/>
        <v>233069.12970123024</v>
      </c>
      <c r="F265" s="117">
        <v>536686276</v>
      </c>
      <c r="G265" s="117">
        <f t="shared" si="54"/>
        <v>188641.92478031633</v>
      </c>
      <c r="H265" s="7"/>
      <c r="I265" s="109">
        <v>3.7896000000000001</v>
      </c>
      <c r="J265" s="117">
        <v>2033826</v>
      </c>
      <c r="K265" s="120">
        <f t="shared" si="55"/>
        <v>714.87732864674865</v>
      </c>
      <c r="L265" s="122">
        <f t="shared" si="56"/>
        <v>5366862.76</v>
      </c>
      <c r="M265" s="116">
        <f t="shared" si="57"/>
        <v>3333036.76</v>
      </c>
      <c r="N265" s="123">
        <f t="shared" si="51"/>
        <v>1171.5419191564147</v>
      </c>
      <c r="O265" s="5"/>
      <c r="P265" s="5">
        <f t="shared" si="50"/>
        <v>1</v>
      </c>
      <c r="Q265" s="7">
        <f t="shared" si="52"/>
        <v>2845</v>
      </c>
    </row>
    <row r="266" spans="1:21">
      <c r="A266" s="23" t="s">
        <v>295</v>
      </c>
      <c r="B266" s="35" t="s">
        <v>284</v>
      </c>
      <c r="C266" s="36">
        <v>37172</v>
      </c>
      <c r="D266" s="113">
        <v>2649619265</v>
      </c>
      <c r="E266" s="116">
        <f t="shared" si="53"/>
        <v>71279.975922737547</v>
      </c>
      <c r="F266" s="117">
        <v>1986372701</v>
      </c>
      <c r="G266" s="117">
        <f t="shared" si="54"/>
        <v>53437.337269988166</v>
      </c>
      <c r="H266" s="7"/>
      <c r="I266" s="109">
        <v>4.25</v>
      </c>
      <c r="J266" s="117">
        <v>8442084</v>
      </c>
      <c r="K266" s="120">
        <f t="shared" si="55"/>
        <v>227.10868395566555</v>
      </c>
      <c r="L266" s="122">
        <f t="shared" si="56"/>
        <v>19863727.010000002</v>
      </c>
      <c r="M266" s="116">
        <f t="shared" si="57"/>
        <v>11421643.010000002</v>
      </c>
      <c r="N266" s="123">
        <f t="shared" si="51"/>
        <v>307.26468874421613</v>
      </c>
      <c r="O266" s="5"/>
      <c r="P266" s="5">
        <f t="shared" si="50"/>
        <v>1</v>
      </c>
      <c r="Q266" s="7">
        <f t="shared" si="52"/>
        <v>37172</v>
      </c>
    </row>
    <row r="267" spans="1:21">
      <c r="A267" s="23" t="s">
        <v>296</v>
      </c>
      <c r="B267" s="35" t="s">
        <v>284</v>
      </c>
      <c r="C267" s="36">
        <v>28184</v>
      </c>
      <c r="D267" s="113">
        <v>5189216507</v>
      </c>
      <c r="E267" s="116">
        <f t="shared" si="53"/>
        <v>184119.23456571103</v>
      </c>
      <c r="F267" s="117">
        <v>3943795215</v>
      </c>
      <c r="G267" s="117">
        <f t="shared" si="54"/>
        <v>139930.28721969912</v>
      </c>
      <c r="H267" s="7"/>
      <c r="I267" s="109">
        <v>4.0922999999999998</v>
      </c>
      <c r="J267" s="117">
        <v>16139193</v>
      </c>
      <c r="K267" s="120">
        <f t="shared" si="55"/>
        <v>572.63670877093386</v>
      </c>
      <c r="L267" s="122">
        <f t="shared" si="56"/>
        <v>39437952.149999999</v>
      </c>
      <c r="M267" s="116">
        <f t="shared" si="57"/>
        <v>23298759.149999999</v>
      </c>
      <c r="N267" s="123">
        <f t="shared" si="51"/>
        <v>826.66616342605732</v>
      </c>
      <c r="O267" s="5"/>
      <c r="P267" s="5">
        <f t="shared" si="50"/>
        <v>1</v>
      </c>
      <c r="Q267" s="7">
        <f t="shared" si="52"/>
        <v>28184</v>
      </c>
      <c r="S267" s="124">
        <f>SUM(D255:D267)</f>
        <v>55049396501</v>
      </c>
      <c r="T267" s="124">
        <f>SUM(F255:F267)</f>
        <v>39158943533</v>
      </c>
      <c r="U267" s="124">
        <f>SUM(J255:J267)</f>
        <v>170562119</v>
      </c>
    </row>
    <row r="268" spans="1:21">
      <c r="A268" s="129" t="s">
        <v>297</v>
      </c>
      <c r="B268" s="35" t="s">
        <v>298</v>
      </c>
      <c r="C268" s="36">
        <v>63662</v>
      </c>
      <c r="D268" s="113">
        <v>3458565647</v>
      </c>
      <c r="E268" s="116">
        <f t="shared" si="53"/>
        <v>54327.002717476673</v>
      </c>
      <c r="F268" s="117">
        <v>2264457857</v>
      </c>
      <c r="G268" s="117">
        <f t="shared" si="54"/>
        <v>35570.008121014107</v>
      </c>
      <c r="H268" s="7"/>
      <c r="I268" s="109">
        <v>4.6253000000000002</v>
      </c>
      <c r="J268" s="117">
        <v>10473797</v>
      </c>
      <c r="K268" s="120">
        <f t="shared" si="55"/>
        <v>164.52195972479657</v>
      </c>
      <c r="L268" s="122">
        <f t="shared" si="56"/>
        <v>22644578.57</v>
      </c>
      <c r="M268" s="116">
        <f t="shared" si="57"/>
        <v>12170781.57</v>
      </c>
      <c r="N268" s="123">
        <f t="shared" si="51"/>
        <v>191.17812148534449</v>
      </c>
      <c r="O268" s="5"/>
      <c r="P268" s="5">
        <f t="shared" si="50"/>
        <v>1</v>
      </c>
      <c r="Q268" s="7">
        <f t="shared" si="52"/>
        <v>63662</v>
      </c>
    </row>
    <row r="269" spans="1:21">
      <c r="A269" s="140" t="s">
        <v>546</v>
      </c>
      <c r="B269" s="35" t="s">
        <v>298</v>
      </c>
      <c r="C269" s="36">
        <v>38874</v>
      </c>
      <c r="D269" s="113">
        <v>2157186624</v>
      </c>
      <c r="E269" s="116">
        <f t="shared" si="53"/>
        <v>55491.758604722949</v>
      </c>
      <c r="F269" s="117">
        <v>1209812360</v>
      </c>
      <c r="G269" s="117">
        <f t="shared" si="54"/>
        <v>31121.375726706796</v>
      </c>
      <c r="H269" s="7"/>
      <c r="I269" s="109">
        <v>5.1128</v>
      </c>
      <c r="J269" s="117">
        <v>6185529</v>
      </c>
      <c r="K269" s="120">
        <f t="shared" si="55"/>
        <v>159.11737922518907</v>
      </c>
      <c r="L269" s="122">
        <f t="shared" si="56"/>
        <v>12098123.6</v>
      </c>
      <c r="M269" s="116">
        <f t="shared" si="57"/>
        <v>5912594.5999999996</v>
      </c>
      <c r="N269" s="123">
        <f t="shared" si="51"/>
        <v>152.09637804187889</v>
      </c>
      <c r="O269" s="5"/>
      <c r="P269" s="5">
        <f t="shared" si="50"/>
        <v>1</v>
      </c>
      <c r="Q269" s="7">
        <f t="shared" si="52"/>
        <v>38874</v>
      </c>
      <c r="S269" s="124">
        <f>SUM(D268:D269)</f>
        <v>5615752271</v>
      </c>
      <c r="T269" s="124">
        <f>SUM(F268:F269)</f>
        <v>3474270217</v>
      </c>
      <c r="U269" s="124">
        <f>SUM(J268:J269)</f>
        <v>16659326</v>
      </c>
    </row>
    <row r="270" spans="1:21">
      <c r="A270" s="129" t="s">
        <v>299</v>
      </c>
      <c r="B270" s="35" t="s">
        <v>300</v>
      </c>
      <c r="C270" s="36">
        <v>2018</v>
      </c>
      <c r="D270" s="113">
        <v>462172437</v>
      </c>
      <c r="E270" s="116">
        <f t="shared" si="53"/>
        <v>229024.99355797819</v>
      </c>
      <c r="F270" s="117">
        <v>406857526</v>
      </c>
      <c r="G270" s="117">
        <f t="shared" si="54"/>
        <v>201614.23488602578</v>
      </c>
      <c r="H270" s="7"/>
      <c r="I270" s="109">
        <v>7.9</v>
      </c>
      <c r="J270" s="117">
        <v>3214174</v>
      </c>
      <c r="K270" s="120">
        <f t="shared" si="55"/>
        <v>1592.7522299306245</v>
      </c>
      <c r="L270" s="122">
        <f t="shared" si="56"/>
        <v>4068575.2600000002</v>
      </c>
      <c r="M270" s="116">
        <f t="shared" si="57"/>
        <v>854401.26000000024</v>
      </c>
      <c r="N270" s="123">
        <f t="shared" si="51"/>
        <v>423.39011892963345</v>
      </c>
      <c r="O270" s="5"/>
      <c r="P270" s="5">
        <f t="shared" si="50"/>
        <v>1</v>
      </c>
      <c r="Q270" s="7">
        <f t="shared" si="52"/>
        <v>2018</v>
      </c>
    </row>
    <row r="271" spans="1:21">
      <c r="A271" s="129" t="s">
        <v>301</v>
      </c>
      <c r="B271" s="35" t="s">
        <v>300</v>
      </c>
      <c r="C271" s="36">
        <v>17372</v>
      </c>
      <c r="D271" s="113">
        <v>445388838</v>
      </c>
      <c r="E271" s="116">
        <f t="shared" si="53"/>
        <v>25638.316716555375</v>
      </c>
      <c r="F271" s="117">
        <v>253555043</v>
      </c>
      <c r="G271" s="117">
        <f t="shared" si="54"/>
        <v>14595.61610637808</v>
      </c>
      <c r="H271" s="7"/>
      <c r="I271" s="109">
        <v>6.5419</v>
      </c>
      <c r="J271" s="117">
        <v>1658732</v>
      </c>
      <c r="K271" s="120">
        <f t="shared" si="55"/>
        <v>95.483076214598199</v>
      </c>
      <c r="L271" s="122">
        <f t="shared" si="56"/>
        <v>2535550.4300000002</v>
      </c>
      <c r="M271" s="116">
        <f t="shared" si="57"/>
        <v>876818.43000000017</v>
      </c>
      <c r="N271" s="123">
        <f t="shared" si="51"/>
        <v>50.473084849182605</v>
      </c>
      <c r="O271" s="5"/>
      <c r="P271" s="5">
        <f t="shared" si="50"/>
        <v>1</v>
      </c>
      <c r="Q271" s="7">
        <f t="shared" si="52"/>
        <v>17372</v>
      </c>
    </row>
    <row r="272" spans="1:21">
      <c r="A272" s="129" t="s">
        <v>302</v>
      </c>
      <c r="B272" s="35" t="s">
        <v>300</v>
      </c>
      <c r="C272" s="36">
        <v>86041</v>
      </c>
      <c r="D272" s="113">
        <v>21697532514</v>
      </c>
      <c r="E272" s="116">
        <f t="shared" si="53"/>
        <v>252176.66593833172</v>
      </c>
      <c r="F272" s="117">
        <v>17231691443</v>
      </c>
      <c r="G272" s="117">
        <f t="shared" si="54"/>
        <v>200273.02615032368</v>
      </c>
      <c r="H272" s="9"/>
      <c r="I272" s="109">
        <v>3.4216000000000002</v>
      </c>
      <c r="J272" s="117">
        <v>58959955</v>
      </c>
      <c r="K272" s="120">
        <f t="shared" si="55"/>
        <v>685.25418114619777</v>
      </c>
      <c r="L272" s="122">
        <f t="shared" si="56"/>
        <v>172316914.43000001</v>
      </c>
      <c r="M272" s="116">
        <f t="shared" si="57"/>
        <v>113356959.43000001</v>
      </c>
      <c r="N272" s="123">
        <f t="shared" si="51"/>
        <v>1317.4760803570391</v>
      </c>
      <c r="O272" s="5"/>
      <c r="P272" s="5">
        <f t="shared" si="50"/>
        <v>1</v>
      </c>
      <c r="Q272" s="7">
        <f t="shared" si="52"/>
        <v>86041</v>
      </c>
    </row>
    <row r="273" spans="1:17">
      <c r="A273" s="129" t="s">
        <v>303</v>
      </c>
      <c r="B273" s="35" t="s">
        <v>300</v>
      </c>
      <c r="C273" s="36">
        <v>70131</v>
      </c>
      <c r="D273" s="113">
        <v>5353496813</v>
      </c>
      <c r="E273" s="116">
        <f t="shared" si="53"/>
        <v>76335.669147737804</v>
      </c>
      <c r="F273" s="117">
        <v>3884337937</v>
      </c>
      <c r="G273" s="117">
        <f t="shared" si="54"/>
        <v>55386.889349930847</v>
      </c>
      <c r="H273" s="9"/>
      <c r="I273" s="109">
        <v>7.9</v>
      </c>
      <c r="J273" s="117">
        <v>30686270</v>
      </c>
      <c r="K273" s="120">
        <f t="shared" si="55"/>
        <v>437.55643010936677</v>
      </c>
      <c r="L273" s="122">
        <f t="shared" si="56"/>
        <v>38843379.369999997</v>
      </c>
      <c r="M273" s="116">
        <f t="shared" si="57"/>
        <v>8157109.3699999973</v>
      </c>
      <c r="N273" s="123">
        <f t="shared" si="51"/>
        <v>116.31246338994164</v>
      </c>
      <c r="O273" s="5"/>
      <c r="P273" s="5">
        <f t="shared" si="50"/>
        <v>1</v>
      </c>
      <c r="Q273" s="7">
        <f t="shared" si="52"/>
        <v>70131</v>
      </c>
    </row>
    <row r="274" spans="1:17">
      <c r="A274" s="129" t="s">
        <v>304</v>
      </c>
      <c r="B274" s="35" t="s">
        <v>300</v>
      </c>
      <c r="C274" s="36">
        <v>420</v>
      </c>
      <c r="D274" s="113">
        <v>45958348</v>
      </c>
      <c r="E274" s="116">
        <f t="shared" si="53"/>
        <v>109424.6380952381</v>
      </c>
      <c r="F274" s="117">
        <v>35210685</v>
      </c>
      <c r="G274" s="117">
        <f t="shared" si="54"/>
        <v>83834.96428571429</v>
      </c>
      <c r="H274" s="9"/>
      <c r="I274" s="109">
        <v>10</v>
      </c>
      <c r="J274" s="117">
        <v>352107</v>
      </c>
      <c r="K274" s="120">
        <f t="shared" si="55"/>
        <v>838.35</v>
      </c>
      <c r="L274" s="122">
        <f t="shared" si="56"/>
        <v>352106.85000000003</v>
      </c>
      <c r="M274" s="116">
        <f t="shared" si="57"/>
        <v>-0.1499999999650754</v>
      </c>
      <c r="N274" s="123">
        <f t="shared" si="51"/>
        <v>-3.5714285705970334E-4</v>
      </c>
      <c r="O274" s="5"/>
      <c r="P274" s="5">
        <f t="shared" si="50"/>
        <v>1</v>
      </c>
      <c r="Q274" s="7">
        <f t="shared" si="52"/>
        <v>420</v>
      </c>
    </row>
    <row r="275" spans="1:17">
      <c r="A275" s="129" t="s">
        <v>305</v>
      </c>
      <c r="B275" s="35" t="s">
        <v>300</v>
      </c>
      <c r="C275" s="36">
        <v>133</v>
      </c>
      <c r="D275" s="114" t="s">
        <v>564</v>
      </c>
      <c r="E275" s="116"/>
      <c r="F275" s="117"/>
      <c r="G275" s="117"/>
      <c r="H275" s="98" t="s">
        <v>588</v>
      </c>
      <c r="I275" s="110"/>
      <c r="J275" s="117"/>
      <c r="K275" s="120"/>
      <c r="L275" s="122">
        <f t="shared" si="56"/>
        <v>0</v>
      </c>
      <c r="M275" s="116">
        <f t="shared" si="57"/>
        <v>0</v>
      </c>
      <c r="N275" s="123">
        <f t="shared" si="51"/>
        <v>0</v>
      </c>
      <c r="O275" s="5"/>
      <c r="P275" s="5">
        <f t="shared" si="50"/>
        <v>0</v>
      </c>
      <c r="Q275" s="7">
        <f t="shared" si="52"/>
        <v>0</v>
      </c>
    </row>
    <row r="276" spans="1:17">
      <c r="A276" s="129" t="s">
        <v>306</v>
      </c>
      <c r="B276" s="35" t="s">
        <v>300</v>
      </c>
      <c r="C276" s="36">
        <v>61801</v>
      </c>
      <c r="D276" s="113">
        <v>8701989160</v>
      </c>
      <c r="E276" s="116">
        <f>(D276/C276)</f>
        <v>140806.60766007024</v>
      </c>
      <c r="F276" s="117">
        <v>6594864216</v>
      </c>
      <c r="G276" s="117">
        <f>(F276/C276)</f>
        <v>106711.28648403748</v>
      </c>
      <c r="H276" s="9"/>
      <c r="I276" s="109">
        <v>7.1611000000000002</v>
      </c>
      <c r="J276" s="117">
        <v>47226482</v>
      </c>
      <c r="K276" s="120">
        <f>(J276/C276)</f>
        <v>764.17019142085076</v>
      </c>
      <c r="L276" s="122">
        <f t="shared" si="56"/>
        <v>65948642.160000004</v>
      </c>
      <c r="M276" s="116">
        <f t="shared" si="57"/>
        <v>18722160.160000004</v>
      </c>
      <c r="N276" s="123">
        <f t="shared" si="51"/>
        <v>302.942673419524</v>
      </c>
      <c r="O276" s="5"/>
      <c r="P276" s="5">
        <f t="shared" si="50"/>
        <v>1</v>
      </c>
      <c r="Q276" s="7">
        <f t="shared" si="52"/>
        <v>61801</v>
      </c>
    </row>
    <row r="277" spans="1:17">
      <c r="A277" s="129" t="s">
        <v>307</v>
      </c>
      <c r="B277" s="35" t="s">
        <v>300</v>
      </c>
      <c r="C277" s="36">
        <v>223</v>
      </c>
      <c r="D277" s="114" t="s">
        <v>564</v>
      </c>
      <c r="E277" s="116"/>
      <c r="F277" s="117"/>
      <c r="G277" s="117"/>
      <c r="H277" s="98" t="s">
        <v>588</v>
      </c>
      <c r="I277" s="111"/>
      <c r="J277" s="117"/>
      <c r="K277" s="120"/>
      <c r="L277" s="122">
        <f t="shared" si="56"/>
        <v>0</v>
      </c>
      <c r="M277" s="116">
        <f t="shared" si="57"/>
        <v>0</v>
      </c>
      <c r="N277" s="123">
        <f t="shared" si="51"/>
        <v>0</v>
      </c>
      <c r="O277" s="5"/>
      <c r="P277" s="5">
        <f t="shared" si="50"/>
        <v>0</v>
      </c>
      <c r="Q277" s="7">
        <f t="shared" si="52"/>
        <v>0</v>
      </c>
    </row>
    <row r="278" spans="1:17">
      <c r="A278" s="129" t="s">
        <v>308</v>
      </c>
      <c r="B278" s="35" t="s">
        <v>300</v>
      </c>
      <c r="C278" s="36">
        <v>252</v>
      </c>
      <c r="D278" s="113">
        <v>143758685</v>
      </c>
      <c r="E278" s="116">
        <f t="shared" ref="E278:E309" si="58">(D278/C278)</f>
        <v>570470.97222222225</v>
      </c>
      <c r="F278" s="117">
        <v>122242641</v>
      </c>
      <c r="G278" s="117">
        <f t="shared" ref="G278:G309" si="59">(F278/C278)</f>
        <v>485089.84523809527</v>
      </c>
      <c r="H278" s="9"/>
      <c r="I278" s="109">
        <v>7.5015999999999998</v>
      </c>
      <c r="J278" s="117">
        <v>917015</v>
      </c>
      <c r="K278" s="120">
        <f t="shared" ref="K278:K321" si="60">(J278/C278)</f>
        <v>3638.9484126984125</v>
      </c>
      <c r="L278" s="122">
        <f t="shared" si="56"/>
        <v>1222426.4099999999</v>
      </c>
      <c r="M278" s="116">
        <f t="shared" si="57"/>
        <v>305411.40999999992</v>
      </c>
      <c r="N278" s="123">
        <f t="shared" si="51"/>
        <v>1211.9500396825395</v>
      </c>
      <c r="O278" s="5"/>
      <c r="P278" s="5">
        <f t="shared" si="50"/>
        <v>1</v>
      </c>
      <c r="Q278" s="7">
        <f t="shared" si="52"/>
        <v>252</v>
      </c>
    </row>
    <row r="279" spans="1:17">
      <c r="A279" s="129" t="s">
        <v>309</v>
      </c>
      <c r="B279" s="35" t="s">
        <v>300</v>
      </c>
      <c r="C279" s="36">
        <v>38172</v>
      </c>
      <c r="D279" s="113">
        <v>1723537715</v>
      </c>
      <c r="E279" s="116">
        <f t="shared" si="58"/>
        <v>45151.883972545322</v>
      </c>
      <c r="F279" s="117">
        <v>1181245091</v>
      </c>
      <c r="G279" s="117">
        <f t="shared" si="59"/>
        <v>30945.32880121555</v>
      </c>
      <c r="H279" s="7"/>
      <c r="I279" s="109">
        <v>5.4283999999999999</v>
      </c>
      <c r="J279" s="117">
        <v>6412271</v>
      </c>
      <c r="K279" s="120">
        <f t="shared" si="60"/>
        <v>167.98362674211464</v>
      </c>
      <c r="L279" s="122">
        <f t="shared" si="56"/>
        <v>11812450.91</v>
      </c>
      <c r="M279" s="116">
        <f t="shared" si="57"/>
        <v>5400179.9100000001</v>
      </c>
      <c r="N279" s="123">
        <f t="shared" si="51"/>
        <v>141.46966127004086</v>
      </c>
      <c r="O279" s="5"/>
      <c r="P279" s="5">
        <f t="shared" si="50"/>
        <v>1</v>
      </c>
      <c r="Q279" s="7">
        <f t="shared" si="52"/>
        <v>38172</v>
      </c>
    </row>
    <row r="280" spans="1:17">
      <c r="A280" s="129" t="s">
        <v>310</v>
      </c>
      <c r="B280" s="35" t="s">
        <v>300</v>
      </c>
      <c r="C280" s="36">
        <v>974</v>
      </c>
      <c r="D280" s="113">
        <v>931219471</v>
      </c>
      <c r="E280" s="116">
        <f t="shared" si="58"/>
        <v>956077.48562628333</v>
      </c>
      <c r="F280" s="117">
        <v>768163734</v>
      </c>
      <c r="G280" s="117">
        <f t="shared" si="59"/>
        <v>788669.1314168378</v>
      </c>
      <c r="H280" s="7"/>
      <c r="I280" s="109">
        <v>3.7</v>
      </c>
      <c r="J280" s="117">
        <v>2842206</v>
      </c>
      <c r="K280" s="120">
        <f t="shared" si="60"/>
        <v>2918.0759753593429</v>
      </c>
      <c r="L280" s="122">
        <f t="shared" si="56"/>
        <v>7681637.3399999999</v>
      </c>
      <c r="M280" s="116">
        <f t="shared" si="57"/>
        <v>4839431.34</v>
      </c>
      <c r="N280" s="123">
        <f t="shared" si="51"/>
        <v>4968.6153388090352</v>
      </c>
      <c r="O280" s="5"/>
      <c r="P280" s="5">
        <f t="shared" si="50"/>
        <v>1</v>
      </c>
      <c r="Q280" s="7">
        <f t="shared" si="52"/>
        <v>974</v>
      </c>
    </row>
    <row r="281" spans="1:17">
      <c r="A281" s="129" t="s">
        <v>311</v>
      </c>
      <c r="B281" s="35" t="s">
        <v>300</v>
      </c>
      <c r="C281" s="36">
        <v>1942</v>
      </c>
      <c r="D281" s="113">
        <v>94771608</v>
      </c>
      <c r="E281" s="116">
        <f t="shared" si="58"/>
        <v>48801.033985581875</v>
      </c>
      <c r="F281" s="117">
        <v>63052469</v>
      </c>
      <c r="G281" s="117">
        <f t="shared" si="59"/>
        <v>32467.800720906282</v>
      </c>
      <c r="H281" s="7"/>
      <c r="I281" s="109">
        <v>4</v>
      </c>
      <c r="J281" s="117">
        <v>252210</v>
      </c>
      <c r="K281" s="120">
        <f t="shared" si="60"/>
        <v>129.87126673532441</v>
      </c>
      <c r="L281" s="122">
        <f t="shared" si="56"/>
        <v>630524.69000000006</v>
      </c>
      <c r="M281" s="116">
        <f t="shared" si="57"/>
        <v>378314.69000000006</v>
      </c>
      <c r="N281" s="123">
        <f t="shared" si="51"/>
        <v>194.80674047373844</v>
      </c>
      <c r="O281" s="5"/>
      <c r="P281" s="5">
        <f t="shared" si="50"/>
        <v>1</v>
      </c>
      <c r="Q281" s="7">
        <f t="shared" si="52"/>
        <v>1942</v>
      </c>
    </row>
    <row r="282" spans="1:17">
      <c r="A282" s="129" t="s">
        <v>312</v>
      </c>
      <c r="B282" s="35" t="s">
        <v>300</v>
      </c>
      <c r="C282" s="36">
        <v>3572</v>
      </c>
      <c r="D282" s="113">
        <v>2072656191</v>
      </c>
      <c r="E282" s="116">
        <f t="shared" si="58"/>
        <v>580250.89333706605</v>
      </c>
      <c r="F282" s="117">
        <v>1824011226</v>
      </c>
      <c r="G282" s="117">
        <f t="shared" si="59"/>
        <v>510641.4406494961</v>
      </c>
      <c r="H282" s="7"/>
      <c r="I282" s="109">
        <v>3.95</v>
      </c>
      <c r="J282" s="117">
        <v>7204844</v>
      </c>
      <c r="K282" s="120">
        <f t="shared" si="60"/>
        <v>2017.0335946248599</v>
      </c>
      <c r="L282" s="122">
        <f t="shared" si="56"/>
        <v>18240112.260000002</v>
      </c>
      <c r="M282" s="116">
        <f t="shared" si="57"/>
        <v>11035268.260000002</v>
      </c>
      <c r="N282" s="123">
        <f t="shared" si="51"/>
        <v>3089.3808118701013</v>
      </c>
      <c r="O282" s="5"/>
      <c r="P282" s="5">
        <f t="shared" si="50"/>
        <v>1</v>
      </c>
      <c r="Q282" s="7">
        <f t="shared" si="52"/>
        <v>3572</v>
      </c>
    </row>
    <row r="283" spans="1:17">
      <c r="A283" s="129" t="s">
        <v>313</v>
      </c>
      <c r="B283" s="35" t="s">
        <v>300</v>
      </c>
      <c r="C283" s="36">
        <v>2655</v>
      </c>
      <c r="D283" s="113">
        <v>329385866</v>
      </c>
      <c r="E283" s="116">
        <f t="shared" si="58"/>
        <v>124062.47306967985</v>
      </c>
      <c r="F283" s="117">
        <v>255631986</v>
      </c>
      <c r="G283" s="117">
        <f t="shared" si="59"/>
        <v>96283.233898305087</v>
      </c>
      <c r="H283" s="7"/>
      <c r="I283" s="109">
        <v>3.9</v>
      </c>
      <c r="J283" s="117">
        <v>996965</v>
      </c>
      <c r="K283" s="120">
        <f t="shared" si="60"/>
        <v>375.50470809792841</v>
      </c>
      <c r="L283" s="122">
        <f t="shared" si="56"/>
        <v>2556319.86</v>
      </c>
      <c r="M283" s="116">
        <f t="shared" si="57"/>
        <v>1559354.8599999999</v>
      </c>
      <c r="N283" s="123">
        <f t="shared" si="51"/>
        <v>587.3276308851224</v>
      </c>
      <c r="O283" s="5"/>
      <c r="P283" s="5">
        <f t="shared" si="50"/>
        <v>1</v>
      </c>
      <c r="Q283" s="7">
        <f t="shared" si="52"/>
        <v>2655</v>
      </c>
    </row>
    <row r="284" spans="1:17">
      <c r="A284" s="129" t="s">
        <v>314</v>
      </c>
      <c r="B284" s="35" t="s">
        <v>300</v>
      </c>
      <c r="C284" s="36">
        <v>3191</v>
      </c>
      <c r="D284" s="113">
        <v>1146725853</v>
      </c>
      <c r="E284" s="116">
        <f t="shared" si="58"/>
        <v>359362.53619555</v>
      </c>
      <c r="F284" s="117">
        <v>956857707</v>
      </c>
      <c r="G284" s="117">
        <f t="shared" si="59"/>
        <v>299861.39360701974</v>
      </c>
      <c r="H284" s="7"/>
      <c r="I284" s="109">
        <v>2.79</v>
      </c>
      <c r="J284" s="117">
        <v>2669633</v>
      </c>
      <c r="K284" s="120">
        <f t="shared" si="60"/>
        <v>836.61328737073018</v>
      </c>
      <c r="L284" s="122">
        <f t="shared" si="56"/>
        <v>9568577.0700000003</v>
      </c>
      <c r="M284" s="116">
        <f t="shared" si="57"/>
        <v>6898944.0700000003</v>
      </c>
      <c r="N284" s="123">
        <f t="shared" si="51"/>
        <v>2162.0006486994675</v>
      </c>
      <c r="O284" s="5"/>
      <c r="P284" s="5">
        <f t="shared" si="50"/>
        <v>1</v>
      </c>
      <c r="Q284" s="7">
        <f t="shared" si="52"/>
        <v>3191</v>
      </c>
    </row>
    <row r="285" spans="1:17">
      <c r="A285" s="129" t="s">
        <v>315</v>
      </c>
      <c r="B285" s="35" t="s">
        <v>300</v>
      </c>
      <c r="C285" s="36">
        <v>56577</v>
      </c>
      <c r="D285" s="113">
        <v>9511910028</v>
      </c>
      <c r="E285" s="116">
        <f t="shared" si="58"/>
        <v>168123.26613288085</v>
      </c>
      <c r="F285" s="117">
        <v>7522339048</v>
      </c>
      <c r="G285" s="117">
        <f t="shared" si="59"/>
        <v>132957.54543365678</v>
      </c>
      <c r="H285" s="7"/>
      <c r="I285" s="109">
        <v>2.5142000000000002</v>
      </c>
      <c r="J285" s="117">
        <v>18912665</v>
      </c>
      <c r="K285" s="120">
        <f t="shared" si="60"/>
        <v>334.28186365484208</v>
      </c>
      <c r="L285" s="122">
        <f t="shared" si="56"/>
        <v>75223390.480000004</v>
      </c>
      <c r="M285" s="116">
        <f t="shared" si="57"/>
        <v>56310725.480000004</v>
      </c>
      <c r="N285" s="123">
        <f t="shared" si="51"/>
        <v>995.29359068172585</v>
      </c>
      <c r="O285" s="5"/>
      <c r="P285" s="5">
        <f t="shared" si="50"/>
        <v>1</v>
      </c>
      <c r="Q285" s="7">
        <f t="shared" si="52"/>
        <v>56577</v>
      </c>
    </row>
    <row r="286" spans="1:17">
      <c r="A286" s="129" t="s">
        <v>316</v>
      </c>
      <c r="B286" s="35" t="s">
        <v>300</v>
      </c>
      <c r="C286" s="36">
        <v>401</v>
      </c>
      <c r="D286" s="113">
        <v>304441939</v>
      </c>
      <c r="E286" s="116">
        <f t="shared" si="58"/>
        <v>759206.83042394021</v>
      </c>
      <c r="F286" s="117">
        <v>239809691</v>
      </c>
      <c r="G286" s="117">
        <f t="shared" si="59"/>
        <v>598029.15461346635</v>
      </c>
      <c r="H286" s="7"/>
      <c r="I286" s="109">
        <v>5.75</v>
      </c>
      <c r="J286" s="117">
        <v>1378906</v>
      </c>
      <c r="K286" s="120">
        <f t="shared" si="60"/>
        <v>3438.6683291770573</v>
      </c>
      <c r="L286" s="122">
        <f t="shared" si="56"/>
        <v>2398096.91</v>
      </c>
      <c r="M286" s="116">
        <f t="shared" si="57"/>
        <v>1019190.9100000001</v>
      </c>
      <c r="N286" s="123">
        <f t="shared" si="51"/>
        <v>2541.6232169576065</v>
      </c>
      <c r="O286" s="5"/>
      <c r="P286" s="5">
        <f t="shared" si="50"/>
        <v>1</v>
      </c>
      <c r="Q286" s="7">
        <f t="shared" si="52"/>
        <v>401</v>
      </c>
    </row>
    <row r="287" spans="1:17">
      <c r="A287" s="129" t="s">
        <v>317</v>
      </c>
      <c r="B287" s="35" t="s">
        <v>300</v>
      </c>
      <c r="C287" s="36">
        <v>3368</v>
      </c>
      <c r="D287" s="113">
        <v>266190372</v>
      </c>
      <c r="E287" s="116">
        <f t="shared" si="58"/>
        <v>79035.146080760096</v>
      </c>
      <c r="F287" s="117">
        <v>186309803</v>
      </c>
      <c r="G287" s="117">
        <f t="shared" si="59"/>
        <v>55317.637470308786</v>
      </c>
      <c r="H287" s="7"/>
      <c r="I287" s="109">
        <v>6.2797999999999998</v>
      </c>
      <c r="J287" s="117">
        <v>1169988</v>
      </c>
      <c r="K287" s="120">
        <f t="shared" si="60"/>
        <v>347.38361045130642</v>
      </c>
      <c r="L287" s="122">
        <f t="shared" si="56"/>
        <v>1863098.03</v>
      </c>
      <c r="M287" s="116">
        <f t="shared" si="57"/>
        <v>693110.03</v>
      </c>
      <c r="N287" s="123">
        <f t="shared" si="51"/>
        <v>205.79276425178148</v>
      </c>
      <c r="O287" s="5"/>
      <c r="P287" s="5">
        <f t="shared" si="50"/>
        <v>1</v>
      </c>
      <c r="Q287" s="7">
        <f t="shared" si="52"/>
        <v>3368</v>
      </c>
    </row>
    <row r="288" spans="1:17">
      <c r="A288" s="129" t="s">
        <v>318</v>
      </c>
      <c r="B288" s="35" t="s">
        <v>300</v>
      </c>
      <c r="C288" s="36">
        <v>8403</v>
      </c>
      <c r="D288" s="113">
        <v>575398877</v>
      </c>
      <c r="E288" s="116">
        <f t="shared" si="58"/>
        <v>68475.410805664636</v>
      </c>
      <c r="F288" s="117">
        <v>447511281</v>
      </c>
      <c r="G288" s="117">
        <f t="shared" si="59"/>
        <v>53256.132452695463</v>
      </c>
      <c r="H288" s="7"/>
      <c r="I288" s="109">
        <v>8.8055000000000003</v>
      </c>
      <c r="J288" s="117">
        <v>3940561</v>
      </c>
      <c r="K288" s="120">
        <f t="shared" si="60"/>
        <v>468.94692371771987</v>
      </c>
      <c r="L288" s="122">
        <f t="shared" si="56"/>
        <v>4475112.8100000005</v>
      </c>
      <c r="M288" s="116">
        <f t="shared" si="57"/>
        <v>534551.81000000052</v>
      </c>
      <c r="N288" s="123">
        <f t="shared" si="51"/>
        <v>63.614400809234859</v>
      </c>
      <c r="O288" s="5"/>
      <c r="P288" s="5">
        <f t="shared" si="50"/>
        <v>1</v>
      </c>
      <c r="Q288" s="7">
        <f t="shared" si="52"/>
        <v>8403</v>
      </c>
    </row>
    <row r="289" spans="1:17">
      <c r="A289" s="140" t="s">
        <v>628</v>
      </c>
      <c r="B289" s="35" t="s">
        <v>300</v>
      </c>
      <c r="C289" s="36">
        <v>35555</v>
      </c>
      <c r="D289" s="113">
        <v>1690568025</v>
      </c>
      <c r="E289" s="116">
        <f t="shared" si="58"/>
        <v>47547.968640135005</v>
      </c>
      <c r="F289" s="117">
        <v>1092390714</v>
      </c>
      <c r="G289" s="117">
        <f t="shared" si="59"/>
        <v>30723.968893263958</v>
      </c>
      <c r="H289" s="7"/>
      <c r="I289" s="109">
        <v>5.4945000000000004</v>
      </c>
      <c r="J289" s="117">
        <v>6002141</v>
      </c>
      <c r="K289" s="120">
        <f t="shared" si="60"/>
        <v>168.8128533258332</v>
      </c>
      <c r="L289" s="122">
        <f t="shared" si="56"/>
        <v>10923907.140000001</v>
      </c>
      <c r="M289" s="116">
        <f t="shared" si="57"/>
        <v>4921766.1400000006</v>
      </c>
      <c r="N289" s="123">
        <f t="shared" si="51"/>
        <v>138.42683560680638</v>
      </c>
      <c r="O289" s="5"/>
      <c r="P289" s="5">
        <f t="shared" si="50"/>
        <v>1</v>
      </c>
      <c r="Q289" s="7">
        <f t="shared" si="52"/>
        <v>35555</v>
      </c>
    </row>
    <row r="290" spans="1:17">
      <c r="A290" s="129" t="s">
        <v>319</v>
      </c>
      <c r="B290" s="35" t="s">
        <v>300</v>
      </c>
      <c r="C290" s="36">
        <v>10583</v>
      </c>
      <c r="D290" s="113">
        <v>948467985</v>
      </c>
      <c r="E290" s="116">
        <f t="shared" si="58"/>
        <v>89621.844939998104</v>
      </c>
      <c r="F290" s="117">
        <v>686004238</v>
      </c>
      <c r="G290" s="117">
        <f t="shared" si="59"/>
        <v>64821.339695738447</v>
      </c>
      <c r="H290" s="7"/>
      <c r="I290" s="109">
        <v>3.2395</v>
      </c>
      <c r="J290" s="117">
        <v>2222311</v>
      </c>
      <c r="K290" s="120">
        <f t="shared" si="60"/>
        <v>209.98875555135595</v>
      </c>
      <c r="L290" s="122">
        <f t="shared" si="56"/>
        <v>6860042.3799999999</v>
      </c>
      <c r="M290" s="116">
        <f t="shared" si="57"/>
        <v>4637731.38</v>
      </c>
      <c r="N290" s="123">
        <f t="shared" si="51"/>
        <v>438.22464140602852</v>
      </c>
      <c r="O290" s="5"/>
      <c r="P290" s="5">
        <f t="shared" si="50"/>
        <v>1</v>
      </c>
      <c r="Q290" s="7">
        <f t="shared" si="52"/>
        <v>10583</v>
      </c>
    </row>
    <row r="291" spans="1:17">
      <c r="A291" s="129" t="s">
        <v>531</v>
      </c>
      <c r="B291" s="35" t="s">
        <v>300</v>
      </c>
      <c r="C291" s="36">
        <v>3185</v>
      </c>
      <c r="D291" s="113">
        <v>308515339</v>
      </c>
      <c r="E291" s="116">
        <f t="shared" si="58"/>
        <v>96865.098587127155</v>
      </c>
      <c r="F291" s="117">
        <v>178882163</v>
      </c>
      <c r="G291" s="117">
        <f t="shared" si="59"/>
        <v>56163.944427001567</v>
      </c>
      <c r="H291" s="9"/>
      <c r="I291" s="109">
        <v>1.2</v>
      </c>
      <c r="J291" s="117">
        <v>214659</v>
      </c>
      <c r="K291" s="120">
        <f t="shared" si="60"/>
        <v>67.396860282574565</v>
      </c>
      <c r="L291" s="122">
        <f t="shared" si="56"/>
        <v>1788821.6300000001</v>
      </c>
      <c r="M291" s="116">
        <f t="shared" si="57"/>
        <v>1574162.6300000001</v>
      </c>
      <c r="N291" s="123">
        <f t="shared" si="51"/>
        <v>494.24258398744115</v>
      </c>
      <c r="O291" s="5"/>
      <c r="P291" s="5">
        <f t="shared" si="50"/>
        <v>1</v>
      </c>
      <c r="Q291" s="7">
        <f t="shared" si="52"/>
        <v>3185</v>
      </c>
    </row>
    <row r="292" spans="1:17">
      <c r="A292" s="129" t="s">
        <v>320</v>
      </c>
      <c r="B292" s="35" t="s">
        <v>300</v>
      </c>
      <c r="C292" s="36">
        <v>406</v>
      </c>
      <c r="D292" s="113">
        <v>960179816</v>
      </c>
      <c r="E292" s="116">
        <f t="shared" si="58"/>
        <v>2364974.9162561577</v>
      </c>
      <c r="F292" s="117">
        <v>899168598</v>
      </c>
      <c r="G292" s="117">
        <f t="shared" si="59"/>
        <v>2214700.9802955664</v>
      </c>
      <c r="H292" s="7"/>
      <c r="I292" s="109">
        <v>2.8963999999999999</v>
      </c>
      <c r="J292" s="117">
        <v>2604352</v>
      </c>
      <c r="K292" s="120">
        <f t="shared" si="60"/>
        <v>6414.6600985221676</v>
      </c>
      <c r="L292" s="122">
        <f t="shared" si="56"/>
        <v>8991685.9800000004</v>
      </c>
      <c r="M292" s="116">
        <f t="shared" si="57"/>
        <v>6387333.9800000004</v>
      </c>
      <c r="N292" s="123">
        <f t="shared" si="51"/>
        <v>15732.349704433498</v>
      </c>
      <c r="O292" s="5"/>
      <c r="P292" s="5">
        <f t="shared" si="50"/>
        <v>1</v>
      </c>
      <c r="Q292" s="7">
        <f t="shared" si="52"/>
        <v>406</v>
      </c>
    </row>
    <row r="293" spans="1:17">
      <c r="A293" s="129" t="s">
        <v>321</v>
      </c>
      <c r="B293" s="35" t="s">
        <v>300</v>
      </c>
      <c r="C293" s="36">
        <v>1868</v>
      </c>
      <c r="D293" s="113">
        <v>163049015</v>
      </c>
      <c r="E293" s="116">
        <f t="shared" si="58"/>
        <v>87285.339935760174</v>
      </c>
      <c r="F293" s="117">
        <v>136261262</v>
      </c>
      <c r="G293" s="117">
        <f t="shared" si="59"/>
        <v>72945.001070663813</v>
      </c>
      <c r="H293" s="7"/>
      <c r="I293" s="109">
        <v>9.8000000000000007</v>
      </c>
      <c r="J293" s="117">
        <v>1335360</v>
      </c>
      <c r="K293" s="120">
        <f t="shared" si="60"/>
        <v>714.86081370449676</v>
      </c>
      <c r="L293" s="122">
        <f t="shared" si="56"/>
        <v>1362612.62</v>
      </c>
      <c r="M293" s="116">
        <f t="shared" si="57"/>
        <v>27252.620000000112</v>
      </c>
      <c r="N293" s="123">
        <f t="shared" si="51"/>
        <v>14.589197002141388</v>
      </c>
      <c r="O293" s="5"/>
      <c r="P293" s="5">
        <f t="shared" si="50"/>
        <v>1</v>
      </c>
      <c r="Q293" s="7">
        <f t="shared" si="52"/>
        <v>1868</v>
      </c>
    </row>
    <row r="294" spans="1:17">
      <c r="A294" s="129" t="s">
        <v>322</v>
      </c>
      <c r="B294" s="35" t="s">
        <v>300</v>
      </c>
      <c r="C294" s="36">
        <v>12184</v>
      </c>
      <c r="D294" s="113">
        <v>2014787561</v>
      </c>
      <c r="E294" s="116">
        <f t="shared" si="58"/>
        <v>165363.39141497045</v>
      </c>
      <c r="F294" s="117">
        <v>1524787565</v>
      </c>
      <c r="G294" s="117">
        <f t="shared" si="59"/>
        <v>125146.71413328956</v>
      </c>
      <c r="H294" s="7"/>
      <c r="I294" s="109">
        <v>6.8731</v>
      </c>
      <c r="J294" s="117">
        <v>10480017</v>
      </c>
      <c r="K294" s="120">
        <f t="shared" si="60"/>
        <v>860.14584701247543</v>
      </c>
      <c r="L294" s="122">
        <f t="shared" si="56"/>
        <v>15247875.65</v>
      </c>
      <c r="M294" s="116">
        <f t="shared" si="57"/>
        <v>4767858.6500000004</v>
      </c>
      <c r="N294" s="123">
        <f t="shared" si="51"/>
        <v>391.32129432042024</v>
      </c>
      <c r="O294" s="5"/>
      <c r="P294" s="5">
        <f t="shared" si="50"/>
        <v>1</v>
      </c>
      <c r="Q294" s="7">
        <f t="shared" si="52"/>
        <v>12184</v>
      </c>
    </row>
    <row r="295" spans="1:17">
      <c r="A295" s="129" t="s">
        <v>323</v>
      </c>
      <c r="B295" s="35" t="s">
        <v>300</v>
      </c>
      <c r="C295" s="36">
        <v>1798</v>
      </c>
      <c r="D295" s="113">
        <v>878791673</v>
      </c>
      <c r="E295" s="116">
        <f t="shared" si="58"/>
        <v>488760.66351501667</v>
      </c>
      <c r="F295" s="117">
        <v>723253014</v>
      </c>
      <c r="G295" s="117">
        <f t="shared" si="59"/>
        <v>402254.17908787541</v>
      </c>
      <c r="H295" s="7"/>
      <c r="I295" s="109">
        <v>5.35</v>
      </c>
      <c r="J295" s="117">
        <v>3869404</v>
      </c>
      <c r="K295" s="120">
        <f t="shared" si="60"/>
        <v>2152.060066740823</v>
      </c>
      <c r="L295" s="122">
        <f t="shared" si="56"/>
        <v>7232530.1400000006</v>
      </c>
      <c r="M295" s="116">
        <f t="shared" si="57"/>
        <v>3363126.1400000006</v>
      </c>
      <c r="N295" s="123">
        <f t="shared" si="51"/>
        <v>1870.4817241379315</v>
      </c>
      <c r="O295" s="5"/>
      <c r="P295" s="5">
        <f t="shared" si="50"/>
        <v>1</v>
      </c>
      <c r="Q295" s="7">
        <f t="shared" si="52"/>
        <v>1798</v>
      </c>
    </row>
    <row r="296" spans="1:17">
      <c r="A296" s="129" t="s">
        <v>324</v>
      </c>
      <c r="B296" s="35" t="s">
        <v>300</v>
      </c>
      <c r="C296" s="36">
        <v>5828</v>
      </c>
      <c r="D296" s="113">
        <v>164448576</v>
      </c>
      <c r="E296" s="116">
        <f t="shared" si="58"/>
        <v>28216.982841455043</v>
      </c>
      <c r="F296" s="117">
        <v>66391635</v>
      </c>
      <c r="G296" s="117">
        <f t="shared" si="59"/>
        <v>11391.83853809197</v>
      </c>
      <c r="H296" s="9"/>
      <c r="I296" s="109">
        <v>6.5419</v>
      </c>
      <c r="J296" s="117">
        <v>434327</v>
      </c>
      <c r="K296" s="120">
        <f t="shared" si="60"/>
        <v>74.524193548387103</v>
      </c>
      <c r="L296" s="122">
        <f t="shared" si="56"/>
        <v>663916.35</v>
      </c>
      <c r="M296" s="116">
        <f t="shared" si="57"/>
        <v>229589.34999999998</v>
      </c>
      <c r="N296" s="123">
        <f t="shared" si="51"/>
        <v>39.394191832532599</v>
      </c>
      <c r="O296" s="5"/>
      <c r="P296" s="5">
        <f t="shared" si="50"/>
        <v>1</v>
      </c>
      <c r="Q296" s="7">
        <f t="shared" si="52"/>
        <v>5828</v>
      </c>
    </row>
    <row r="297" spans="1:17">
      <c r="A297" s="129" t="s">
        <v>300</v>
      </c>
      <c r="B297" s="35" t="s">
        <v>300</v>
      </c>
      <c r="C297" s="36">
        <v>8168</v>
      </c>
      <c r="D297" s="113">
        <v>15283199075</v>
      </c>
      <c r="E297" s="116">
        <f t="shared" si="58"/>
        <v>1871106.6448334965</v>
      </c>
      <c r="F297" s="117">
        <v>12480941015</v>
      </c>
      <c r="G297" s="117">
        <f t="shared" si="59"/>
        <v>1528029.0175073456</v>
      </c>
      <c r="H297" s="7"/>
      <c r="I297" s="109">
        <v>3.2467999999999999</v>
      </c>
      <c r="J297" s="117">
        <v>40523119</v>
      </c>
      <c r="K297" s="120">
        <f t="shared" si="60"/>
        <v>4961.2045788442701</v>
      </c>
      <c r="L297" s="122">
        <f t="shared" si="56"/>
        <v>124809410.15000001</v>
      </c>
      <c r="M297" s="116">
        <f t="shared" si="57"/>
        <v>84286291.150000006</v>
      </c>
      <c r="N297" s="123">
        <f t="shared" si="51"/>
        <v>10319.085596229188</v>
      </c>
      <c r="O297" s="5"/>
      <c r="P297" s="5">
        <f t="shared" si="50"/>
        <v>1</v>
      </c>
      <c r="Q297" s="7">
        <f t="shared" si="52"/>
        <v>8168</v>
      </c>
    </row>
    <row r="298" spans="1:17">
      <c r="A298" s="129" t="s">
        <v>325</v>
      </c>
      <c r="B298" s="35" t="s">
        <v>300</v>
      </c>
      <c r="C298" s="36">
        <v>49434</v>
      </c>
      <c r="D298" s="113">
        <v>10015793537</v>
      </c>
      <c r="E298" s="116">
        <f t="shared" si="58"/>
        <v>202609.40925274102</v>
      </c>
      <c r="F298" s="117">
        <v>8130149279</v>
      </c>
      <c r="G298" s="117">
        <f t="shared" si="59"/>
        <v>164464.72628150665</v>
      </c>
      <c r="H298" s="7"/>
      <c r="I298" s="109">
        <v>5.7404000000000002</v>
      </c>
      <c r="J298" s="117">
        <v>46670309</v>
      </c>
      <c r="K298" s="120">
        <f t="shared" si="60"/>
        <v>944.09331634097987</v>
      </c>
      <c r="L298" s="122">
        <f t="shared" si="56"/>
        <v>81301492.790000007</v>
      </c>
      <c r="M298" s="116">
        <f t="shared" si="57"/>
        <v>34631183.790000007</v>
      </c>
      <c r="N298" s="123">
        <f t="shared" si="51"/>
        <v>700.55394647408684</v>
      </c>
      <c r="O298" s="5"/>
      <c r="P298" s="5">
        <f t="shared" si="50"/>
        <v>1</v>
      </c>
      <c r="Q298" s="7">
        <f t="shared" si="52"/>
        <v>49434</v>
      </c>
    </row>
    <row r="299" spans="1:17">
      <c r="A299" s="129" t="s">
        <v>326</v>
      </c>
      <c r="B299" s="35" t="s">
        <v>300</v>
      </c>
      <c r="C299" s="36">
        <v>1153</v>
      </c>
      <c r="D299" s="113">
        <v>563619948</v>
      </c>
      <c r="E299" s="116">
        <f t="shared" si="58"/>
        <v>488829.09627059841</v>
      </c>
      <c r="F299" s="117">
        <v>513426715</v>
      </c>
      <c r="G299" s="117">
        <f t="shared" si="59"/>
        <v>445296.37033824803</v>
      </c>
      <c r="H299" s="7"/>
      <c r="I299" s="109">
        <v>6.2</v>
      </c>
      <c r="J299" s="117">
        <v>3183246</v>
      </c>
      <c r="K299" s="120">
        <f t="shared" si="60"/>
        <v>2760.8378143972245</v>
      </c>
      <c r="L299" s="122">
        <f t="shared" si="56"/>
        <v>5134267.1500000004</v>
      </c>
      <c r="M299" s="116">
        <f t="shared" si="57"/>
        <v>1951021.1500000004</v>
      </c>
      <c r="N299" s="123">
        <f t="shared" si="51"/>
        <v>1692.1258889852561</v>
      </c>
      <c r="O299" s="5"/>
      <c r="P299" s="5">
        <f t="shared" si="50"/>
        <v>1</v>
      </c>
      <c r="Q299" s="7">
        <f t="shared" si="52"/>
        <v>1153</v>
      </c>
    </row>
    <row r="300" spans="1:17">
      <c r="A300" s="129" t="s">
        <v>327</v>
      </c>
      <c r="B300" s="35" t="s">
        <v>300</v>
      </c>
      <c r="C300" s="36">
        <v>20487</v>
      </c>
      <c r="D300" s="113">
        <v>930044049</v>
      </c>
      <c r="E300" s="116">
        <f t="shared" si="58"/>
        <v>45396.790598916385</v>
      </c>
      <c r="F300" s="117">
        <v>623244044</v>
      </c>
      <c r="G300" s="117">
        <f t="shared" si="59"/>
        <v>30421.440132767122</v>
      </c>
      <c r="H300" s="9"/>
      <c r="I300" s="109">
        <v>3.9</v>
      </c>
      <c r="J300" s="117">
        <v>2430652</v>
      </c>
      <c r="K300" s="120">
        <f t="shared" si="60"/>
        <v>118.64362766632499</v>
      </c>
      <c r="L300" s="122">
        <f t="shared" si="56"/>
        <v>6232440.4400000004</v>
      </c>
      <c r="M300" s="116">
        <f t="shared" si="57"/>
        <v>3801788.4400000004</v>
      </c>
      <c r="N300" s="123">
        <f t="shared" si="51"/>
        <v>185.57077366134624</v>
      </c>
      <c r="O300" s="5"/>
      <c r="P300" s="5">
        <f t="shared" si="50"/>
        <v>1</v>
      </c>
      <c r="Q300" s="7">
        <f t="shared" si="52"/>
        <v>20487</v>
      </c>
    </row>
    <row r="301" spans="1:17">
      <c r="A301" s="129" t="s">
        <v>328</v>
      </c>
      <c r="B301" s="35" t="s">
        <v>300</v>
      </c>
      <c r="C301" s="36">
        <v>33369</v>
      </c>
      <c r="D301" s="113">
        <v>4132052652</v>
      </c>
      <c r="E301" s="116">
        <f t="shared" si="58"/>
        <v>123829.08244178729</v>
      </c>
      <c r="F301" s="117">
        <v>3164268613</v>
      </c>
      <c r="G301" s="117">
        <f t="shared" si="59"/>
        <v>94826.593934490098</v>
      </c>
      <c r="H301" s="7"/>
      <c r="I301" s="109">
        <v>8.9979999999999993</v>
      </c>
      <c r="J301" s="117">
        <v>28472089</v>
      </c>
      <c r="K301" s="120">
        <f t="shared" si="60"/>
        <v>853.24969282867335</v>
      </c>
      <c r="L301" s="122">
        <f t="shared" si="56"/>
        <v>31642686.129999999</v>
      </c>
      <c r="M301" s="116">
        <f t="shared" si="57"/>
        <v>3170597.129999999</v>
      </c>
      <c r="N301" s="123">
        <f t="shared" si="51"/>
        <v>95.016246516227611</v>
      </c>
      <c r="O301" s="5"/>
      <c r="P301" s="5">
        <f t="shared" si="50"/>
        <v>1</v>
      </c>
      <c r="Q301" s="7">
        <f t="shared" si="52"/>
        <v>33369</v>
      </c>
    </row>
    <row r="302" spans="1:17">
      <c r="A302" s="129" t="s">
        <v>329</v>
      </c>
      <c r="B302" s="35" t="s">
        <v>300</v>
      </c>
      <c r="C302" s="36">
        <v>34925</v>
      </c>
      <c r="D302" s="113">
        <v>2565938228</v>
      </c>
      <c r="E302" s="116">
        <f t="shared" si="58"/>
        <v>73469.95642090193</v>
      </c>
      <c r="F302" s="117">
        <v>1874137986</v>
      </c>
      <c r="G302" s="117">
        <f t="shared" si="59"/>
        <v>53661.789148174663</v>
      </c>
      <c r="H302" s="7"/>
      <c r="I302" s="109">
        <v>1.92</v>
      </c>
      <c r="J302" s="117">
        <v>3598345</v>
      </c>
      <c r="K302" s="120">
        <f t="shared" si="60"/>
        <v>103.03063707945597</v>
      </c>
      <c r="L302" s="122">
        <f t="shared" si="56"/>
        <v>18741379.859999999</v>
      </c>
      <c r="M302" s="116">
        <f t="shared" si="57"/>
        <v>15143034.859999999</v>
      </c>
      <c r="N302" s="123">
        <f t="shared" si="51"/>
        <v>433.58725440229063</v>
      </c>
      <c r="O302" s="5"/>
      <c r="P302" s="5">
        <f t="shared" si="50"/>
        <v>1</v>
      </c>
      <c r="Q302" s="7">
        <f t="shared" si="52"/>
        <v>34925</v>
      </c>
    </row>
    <row r="303" spans="1:17">
      <c r="A303" s="129" t="s">
        <v>330</v>
      </c>
      <c r="B303" s="35" t="s">
        <v>300</v>
      </c>
      <c r="C303" s="36">
        <v>4719</v>
      </c>
      <c r="D303" s="113">
        <v>122397029</v>
      </c>
      <c r="E303" s="116">
        <f t="shared" si="58"/>
        <v>25937.069082432718</v>
      </c>
      <c r="F303" s="117">
        <v>49721962</v>
      </c>
      <c r="G303" s="117">
        <f t="shared" si="59"/>
        <v>10536.546302182665</v>
      </c>
      <c r="H303" s="7"/>
      <c r="I303" s="109">
        <v>6.3089000000000004</v>
      </c>
      <c r="J303" s="117">
        <v>313691</v>
      </c>
      <c r="K303" s="120">
        <f t="shared" si="60"/>
        <v>66.474041110404741</v>
      </c>
      <c r="L303" s="122">
        <f t="shared" si="56"/>
        <v>497219.62</v>
      </c>
      <c r="M303" s="116">
        <f t="shared" si="57"/>
        <v>183528.62</v>
      </c>
      <c r="N303" s="123">
        <f t="shared" si="51"/>
        <v>38.891421911421908</v>
      </c>
      <c r="O303" s="5"/>
      <c r="P303" s="5">
        <f t="shared" si="50"/>
        <v>1</v>
      </c>
      <c r="Q303" s="7">
        <f t="shared" si="52"/>
        <v>4719</v>
      </c>
    </row>
    <row r="304" spans="1:17">
      <c r="A304" s="129" t="s">
        <v>331</v>
      </c>
      <c r="B304" s="35" t="s">
        <v>300</v>
      </c>
      <c r="C304" s="36">
        <v>1362</v>
      </c>
      <c r="D304" s="113">
        <v>302364464</v>
      </c>
      <c r="E304" s="116">
        <f t="shared" si="58"/>
        <v>222000.34067547723</v>
      </c>
      <c r="F304" s="117">
        <v>259257589</v>
      </c>
      <c r="G304" s="117">
        <f t="shared" si="59"/>
        <v>190350.65271659323</v>
      </c>
      <c r="H304" s="7"/>
      <c r="I304" s="109">
        <v>4.3174000000000001</v>
      </c>
      <c r="J304" s="117">
        <v>1119319</v>
      </c>
      <c r="K304" s="120">
        <f t="shared" si="60"/>
        <v>821.82011747430249</v>
      </c>
      <c r="L304" s="122">
        <f t="shared" si="56"/>
        <v>2592575.89</v>
      </c>
      <c r="M304" s="116">
        <f t="shared" si="57"/>
        <v>1473256.8900000001</v>
      </c>
      <c r="N304" s="123">
        <f t="shared" si="51"/>
        <v>1081.6864096916302</v>
      </c>
      <c r="O304" s="5"/>
      <c r="P304" s="5">
        <f t="shared" si="50"/>
        <v>1</v>
      </c>
      <c r="Q304" s="7">
        <f t="shared" si="52"/>
        <v>1362</v>
      </c>
    </row>
    <row r="305" spans="1:21">
      <c r="A305" s="129" t="s">
        <v>332</v>
      </c>
      <c r="B305" s="35" t="s">
        <v>300</v>
      </c>
      <c r="C305" s="36">
        <v>5649</v>
      </c>
      <c r="D305" s="113">
        <v>1061248329</v>
      </c>
      <c r="E305" s="116">
        <f t="shared" si="58"/>
        <v>187864.81306425916</v>
      </c>
      <c r="F305" s="117">
        <v>816331544</v>
      </c>
      <c r="G305" s="117">
        <f t="shared" si="59"/>
        <v>144509.03593556382</v>
      </c>
      <c r="H305" s="7"/>
      <c r="I305" s="109">
        <v>6.05</v>
      </c>
      <c r="J305" s="117">
        <v>4938806</v>
      </c>
      <c r="K305" s="120">
        <f t="shared" si="60"/>
        <v>874.27969552133118</v>
      </c>
      <c r="L305" s="122">
        <f t="shared" si="56"/>
        <v>8163315.4400000004</v>
      </c>
      <c r="M305" s="116">
        <f t="shared" si="57"/>
        <v>3224509.4400000004</v>
      </c>
      <c r="N305" s="123">
        <f t="shared" si="51"/>
        <v>570.81066383430698</v>
      </c>
      <c r="O305" s="5"/>
      <c r="P305" s="5">
        <f t="shared" si="50"/>
        <v>1</v>
      </c>
      <c r="Q305" s="7">
        <f t="shared" si="52"/>
        <v>5649</v>
      </c>
    </row>
    <row r="306" spans="1:21">
      <c r="A306" s="129" t="s">
        <v>333</v>
      </c>
      <c r="B306" s="35" t="s">
        <v>300</v>
      </c>
      <c r="C306" s="36">
        <v>58108</v>
      </c>
      <c r="D306" s="113">
        <v>7884266358</v>
      </c>
      <c r="E306" s="116">
        <f t="shared" si="58"/>
        <v>135682.97580367592</v>
      </c>
      <c r="F306" s="117">
        <v>5738067063</v>
      </c>
      <c r="G306" s="117">
        <f t="shared" si="59"/>
        <v>98748.314569422451</v>
      </c>
      <c r="H306" s="7"/>
      <c r="I306" s="109">
        <v>2.4700000000000002</v>
      </c>
      <c r="J306" s="117">
        <v>14173026</v>
      </c>
      <c r="K306" s="120">
        <f t="shared" si="60"/>
        <v>243.90834308528946</v>
      </c>
      <c r="L306" s="122">
        <f t="shared" si="56"/>
        <v>57380670.630000003</v>
      </c>
      <c r="M306" s="116">
        <f t="shared" si="57"/>
        <v>43207644.630000003</v>
      </c>
      <c r="N306" s="123">
        <f t="shared" si="51"/>
        <v>743.5748026089351</v>
      </c>
      <c r="O306" s="5"/>
      <c r="P306" s="5">
        <f t="shared" si="50"/>
        <v>1</v>
      </c>
      <c r="Q306" s="7">
        <f t="shared" si="52"/>
        <v>58108</v>
      </c>
    </row>
    <row r="307" spans="1:21">
      <c r="A307" s="129" t="s">
        <v>334</v>
      </c>
      <c r="B307" s="35" t="s">
        <v>300</v>
      </c>
      <c r="C307" s="36">
        <v>103038</v>
      </c>
      <c r="D307" s="113">
        <v>11420839470</v>
      </c>
      <c r="E307" s="116">
        <f t="shared" si="58"/>
        <v>110841.04378966983</v>
      </c>
      <c r="F307" s="117">
        <v>8322130829</v>
      </c>
      <c r="G307" s="117">
        <f t="shared" si="59"/>
        <v>80767.588938061686</v>
      </c>
      <c r="H307" s="7"/>
      <c r="I307" s="109">
        <v>8.3465000000000007</v>
      </c>
      <c r="J307" s="117">
        <v>69460665</v>
      </c>
      <c r="K307" s="120">
        <f t="shared" si="60"/>
        <v>674.12668141850577</v>
      </c>
      <c r="L307" s="122">
        <f t="shared" si="56"/>
        <v>83221308.290000007</v>
      </c>
      <c r="M307" s="116">
        <f t="shared" si="57"/>
        <v>13760643.290000007</v>
      </c>
      <c r="N307" s="123">
        <f t="shared" si="51"/>
        <v>133.54920796211113</v>
      </c>
      <c r="O307" s="5"/>
      <c r="P307" s="5">
        <f t="shared" si="50"/>
        <v>1</v>
      </c>
      <c r="Q307" s="7">
        <f t="shared" si="52"/>
        <v>103038</v>
      </c>
      <c r="S307" s="124">
        <f>SUM(D270:D307)</f>
        <v>115217105844</v>
      </c>
      <c r="T307" s="124">
        <f>SUM(F270:F307)</f>
        <v>89252507355</v>
      </c>
      <c r="U307" s="124">
        <f>SUM(J270:J307)</f>
        <v>430840822</v>
      </c>
    </row>
    <row r="308" spans="1:21">
      <c r="A308" s="23" t="s">
        <v>335</v>
      </c>
      <c r="B308" s="35" t="s">
        <v>336</v>
      </c>
      <c r="C308" s="36">
        <v>6455</v>
      </c>
      <c r="D308" s="113">
        <v>557153847</v>
      </c>
      <c r="E308" s="116">
        <f t="shared" si="58"/>
        <v>86313.531680867542</v>
      </c>
      <c r="F308" s="117">
        <v>253237700</v>
      </c>
      <c r="G308" s="117">
        <f t="shared" si="59"/>
        <v>39231.247095274979</v>
      </c>
      <c r="H308" s="7"/>
      <c r="I308" s="109">
        <v>7.1548999999999996</v>
      </c>
      <c r="J308" s="117">
        <v>1811890</v>
      </c>
      <c r="K308" s="120">
        <f t="shared" si="60"/>
        <v>280.69558481797054</v>
      </c>
      <c r="L308" s="122">
        <f t="shared" si="56"/>
        <v>2532377</v>
      </c>
      <c r="M308" s="116">
        <f t="shared" si="57"/>
        <v>720487</v>
      </c>
      <c r="N308" s="123">
        <f t="shared" si="51"/>
        <v>111.61688613477924</v>
      </c>
      <c r="O308" s="5"/>
      <c r="P308" s="5">
        <f t="shared" si="50"/>
        <v>1</v>
      </c>
      <c r="Q308" s="7">
        <f t="shared" si="52"/>
        <v>6455</v>
      </c>
    </row>
    <row r="309" spans="1:21">
      <c r="A309" s="23" t="s">
        <v>337</v>
      </c>
      <c r="B309" s="35" t="s">
        <v>336</v>
      </c>
      <c r="C309" s="36">
        <v>14868</v>
      </c>
      <c r="D309" s="113">
        <v>776734568</v>
      </c>
      <c r="E309" s="116">
        <f t="shared" si="58"/>
        <v>52242.034436373418</v>
      </c>
      <c r="F309" s="117">
        <v>484701709</v>
      </c>
      <c r="G309" s="117">
        <f t="shared" si="59"/>
        <v>32600.330172181868</v>
      </c>
      <c r="H309" s="7"/>
      <c r="I309" s="109">
        <v>9.5799000000000003</v>
      </c>
      <c r="J309" s="117">
        <v>4643394</v>
      </c>
      <c r="K309" s="120">
        <f t="shared" si="60"/>
        <v>312.30790960451975</v>
      </c>
      <c r="L309" s="122">
        <f t="shared" si="56"/>
        <v>4847017.09</v>
      </c>
      <c r="M309" s="116">
        <f t="shared" si="57"/>
        <v>203623.08999999985</v>
      </c>
      <c r="N309" s="123">
        <f t="shared" si="51"/>
        <v>13.695392117298887</v>
      </c>
      <c r="O309" s="5"/>
      <c r="P309" s="5">
        <f t="shared" si="50"/>
        <v>1</v>
      </c>
      <c r="Q309" s="7">
        <f t="shared" si="52"/>
        <v>14868</v>
      </c>
    </row>
    <row r="310" spans="1:21">
      <c r="A310" s="23" t="s">
        <v>338</v>
      </c>
      <c r="B310" s="35" t="s">
        <v>336</v>
      </c>
      <c r="C310" s="36">
        <v>2661</v>
      </c>
      <c r="D310" s="113">
        <v>301760261</v>
      </c>
      <c r="E310" s="116">
        <f t="shared" ref="E310:E341" si="61">(D310/C310)</f>
        <v>113401.0751597144</v>
      </c>
      <c r="F310" s="117">
        <v>243838357</v>
      </c>
      <c r="G310" s="117">
        <f t="shared" ref="G310:G341" si="62">(F310/C310)</f>
        <v>91634.106350995862</v>
      </c>
      <c r="H310" s="7"/>
      <c r="I310" s="109">
        <v>5.4348000000000001</v>
      </c>
      <c r="J310" s="117">
        <v>1325213</v>
      </c>
      <c r="K310" s="120">
        <f t="shared" si="60"/>
        <v>498.01315295001876</v>
      </c>
      <c r="L310" s="122">
        <f t="shared" si="56"/>
        <v>2438383.5699999998</v>
      </c>
      <c r="M310" s="116">
        <f t="shared" si="57"/>
        <v>1113170.5699999998</v>
      </c>
      <c r="N310" s="123">
        <f t="shared" si="51"/>
        <v>418.32791055993982</v>
      </c>
      <c r="O310" s="5"/>
      <c r="P310" s="5">
        <f t="shared" si="50"/>
        <v>1</v>
      </c>
      <c r="Q310" s="7">
        <f t="shared" si="52"/>
        <v>2661</v>
      </c>
    </row>
    <row r="311" spans="1:21">
      <c r="A311" s="23" t="s">
        <v>339</v>
      </c>
      <c r="B311" s="35" t="s">
        <v>336</v>
      </c>
      <c r="C311" s="36">
        <v>1165</v>
      </c>
      <c r="D311" s="113">
        <v>81857508</v>
      </c>
      <c r="E311" s="116">
        <f t="shared" si="61"/>
        <v>70263.955364806869</v>
      </c>
      <c r="F311" s="117">
        <v>47286946</v>
      </c>
      <c r="G311" s="117">
        <f t="shared" si="62"/>
        <v>40589.653218884123</v>
      </c>
      <c r="H311" s="7"/>
      <c r="I311" s="109">
        <v>3.2153</v>
      </c>
      <c r="J311" s="117">
        <v>152042</v>
      </c>
      <c r="K311" s="120">
        <f t="shared" si="60"/>
        <v>130.50815450643776</v>
      </c>
      <c r="L311" s="122">
        <f t="shared" si="56"/>
        <v>472869.46</v>
      </c>
      <c r="M311" s="116">
        <f t="shared" si="57"/>
        <v>320827.46000000002</v>
      </c>
      <c r="N311" s="123">
        <f t="shared" si="51"/>
        <v>275.38837768240347</v>
      </c>
      <c r="O311" s="5"/>
      <c r="P311" s="5">
        <f t="shared" si="50"/>
        <v>1</v>
      </c>
      <c r="Q311" s="7">
        <f t="shared" si="52"/>
        <v>1165</v>
      </c>
    </row>
    <row r="312" spans="1:21">
      <c r="A312" s="24" t="s">
        <v>547</v>
      </c>
      <c r="B312" s="35" t="s">
        <v>336</v>
      </c>
      <c r="C312" s="36">
        <v>1420</v>
      </c>
      <c r="D312" s="113">
        <v>104519982</v>
      </c>
      <c r="E312" s="116">
        <f t="shared" si="61"/>
        <v>73605.621126760569</v>
      </c>
      <c r="F312" s="117">
        <v>38000899</v>
      </c>
      <c r="G312" s="117">
        <f t="shared" si="62"/>
        <v>26761.19647887324</v>
      </c>
      <c r="H312" s="7"/>
      <c r="I312" s="109">
        <v>0.75</v>
      </c>
      <c r="J312" s="117">
        <v>28501</v>
      </c>
      <c r="K312" s="120">
        <f t="shared" si="60"/>
        <v>20.071126760563381</v>
      </c>
      <c r="L312" s="122">
        <f t="shared" si="56"/>
        <v>380008.99</v>
      </c>
      <c r="M312" s="116">
        <f t="shared" si="57"/>
        <v>351507.99</v>
      </c>
      <c r="N312" s="123">
        <f t="shared" si="51"/>
        <v>247.54083802816902</v>
      </c>
      <c r="O312" s="5"/>
      <c r="P312" s="5">
        <f t="shared" si="50"/>
        <v>1</v>
      </c>
      <c r="Q312" s="7">
        <f t="shared" si="52"/>
        <v>1420</v>
      </c>
    </row>
    <row r="313" spans="1:21">
      <c r="A313" s="23" t="s">
        <v>340</v>
      </c>
      <c r="B313" s="35" t="s">
        <v>336</v>
      </c>
      <c r="C313" s="36">
        <v>14227</v>
      </c>
      <c r="D313" s="113">
        <v>920593312</v>
      </c>
      <c r="E313" s="116">
        <f t="shared" si="61"/>
        <v>64707.479581078231</v>
      </c>
      <c r="F313" s="117">
        <v>587456961</v>
      </c>
      <c r="G313" s="117">
        <f t="shared" si="62"/>
        <v>41291.696141140084</v>
      </c>
      <c r="H313" s="7"/>
      <c r="I313" s="109">
        <v>6.1414999999999997</v>
      </c>
      <c r="J313" s="117">
        <v>3607867</v>
      </c>
      <c r="K313" s="120">
        <f t="shared" si="60"/>
        <v>253.59295705348984</v>
      </c>
      <c r="L313" s="122">
        <f t="shared" si="56"/>
        <v>5874569.6100000003</v>
      </c>
      <c r="M313" s="116">
        <f t="shared" si="57"/>
        <v>2266702.6100000003</v>
      </c>
      <c r="N313" s="123">
        <f t="shared" si="51"/>
        <v>159.32400435791104</v>
      </c>
      <c r="O313" s="5"/>
      <c r="P313" s="5">
        <f t="shared" si="50"/>
        <v>1</v>
      </c>
      <c r="Q313" s="7">
        <f t="shared" si="52"/>
        <v>14227</v>
      </c>
      <c r="S313" s="124">
        <f>SUM(D308:D313)</f>
        <v>2742619478</v>
      </c>
      <c r="T313" s="124">
        <f>SUM(F308:F313)</f>
        <v>1654522572</v>
      </c>
      <c r="U313" s="124">
        <f>SUM(J308:J313)</f>
        <v>11568907</v>
      </c>
    </row>
    <row r="314" spans="1:21">
      <c r="A314" s="23" t="s">
        <v>341</v>
      </c>
      <c r="B314" s="35" t="s">
        <v>342</v>
      </c>
      <c r="C314" s="36">
        <v>3900</v>
      </c>
      <c r="D314" s="113">
        <v>727998327</v>
      </c>
      <c r="E314" s="116">
        <f t="shared" si="61"/>
        <v>186666.23769230768</v>
      </c>
      <c r="F314" s="117">
        <v>583340612</v>
      </c>
      <c r="G314" s="117">
        <f t="shared" si="62"/>
        <v>149574.51589743589</v>
      </c>
      <c r="H314" s="7"/>
      <c r="I314" s="109">
        <v>6.0256999999999996</v>
      </c>
      <c r="J314" s="117">
        <v>3515036</v>
      </c>
      <c r="K314" s="120">
        <f t="shared" si="60"/>
        <v>901.291282051282</v>
      </c>
      <c r="L314" s="122">
        <f t="shared" si="56"/>
        <v>5833406.1200000001</v>
      </c>
      <c r="M314" s="116">
        <f t="shared" si="57"/>
        <v>2318370.12</v>
      </c>
      <c r="N314" s="123">
        <f t="shared" si="51"/>
        <v>594.4538769230769</v>
      </c>
      <c r="O314" s="5"/>
      <c r="P314" s="5">
        <f t="shared" si="50"/>
        <v>1</v>
      </c>
      <c r="Q314" s="7">
        <f t="shared" si="52"/>
        <v>3900</v>
      </c>
    </row>
    <row r="315" spans="1:21">
      <c r="A315" s="23" t="s">
        <v>343</v>
      </c>
      <c r="B315" s="35" t="s">
        <v>342</v>
      </c>
      <c r="C315" s="36">
        <v>1572</v>
      </c>
      <c r="D315" s="113">
        <v>476069766</v>
      </c>
      <c r="E315" s="116">
        <f t="shared" si="61"/>
        <v>302843.36259541987</v>
      </c>
      <c r="F315" s="117">
        <v>396523197</v>
      </c>
      <c r="G315" s="117">
        <f t="shared" si="62"/>
        <v>252241.21946564884</v>
      </c>
      <c r="H315" s="7"/>
      <c r="I315" s="109">
        <v>2.0394000000000001</v>
      </c>
      <c r="J315" s="117">
        <v>808669</v>
      </c>
      <c r="K315" s="120">
        <f t="shared" si="60"/>
        <v>514.42048346055981</v>
      </c>
      <c r="L315" s="122">
        <f t="shared" si="56"/>
        <v>3965231.97</v>
      </c>
      <c r="M315" s="116">
        <f t="shared" si="57"/>
        <v>3156562.97</v>
      </c>
      <c r="N315" s="123">
        <f t="shared" si="51"/>
        <v>2007.9917111959289</v>
      </c>
      <c r="O315" s="5"/>
      <c r="P315" s="5">
        <f t="shared" si="50"/>
        <v>1</v>
      </c>
      <c r="Q315" s="7">
        <f t="shared" si="52"/>
        <v>1572</v>
      </c>
    </row>
    <row r="316" spans="1:21">
      <c r="A316" s="23" t="s">
        <v>344</v>
      </c>
      <c r="B316" s="35" t="s">
        <v>342</v>
      </c>
      <c r="C316" s="36">
        <v>2037</v>
      </c>
      <c r="D316" s="113">
        <v>219469999</v>
      </c>
      <c r="E316" s="116">
        <f t="shared" si="61"/>
        <v>107741.77663230241</v>
      </c>
      <c r="F316" s="117">
        <v>163157488</v>
      </c>
      <c r="G316" s="117">
        <f t="shared" si="62"/>
        <v>80096.950417280314</v>
      </c>
      <c r="H316" s="7"/>
      <c r="I316" s="109">
        <v>5.35</v>
      </c>
      <c r="J316" s="117">
        <v>872893</v>
      </c>
      <c r="K316" s="120">
        <f t="shared" si="60"/>
        <v>428.5189003436426</v>
      </c>
      <c r="L316" s="122">
        <f t="shared" si="56"/>
        <v>1631574.8800000001</v>
      </c>
      <c r="M316" s="116">
        <f t="shared" si="57"/>
        <v>758681.88000000012</v>
      </c>
      <c r="N316" s="123">
        <f t="shared" si="51"/>
        <v>372.45060382916057</v>
      </c>
      <c r="O316" s="5"/>
      <c r="P316" s="5">
        <f t="shared" si="50"/>
        <v>1</v>
      </c>
      <c r="Q316" s="7">
        <f t="shared" si="52"/>
        <v>2037</v>
      </c>
    </row>
    <row r="317" spans="1:21">
      <c r="A317" s="23" t="s">
        <v>345</v>
      </c>
      <c r="B317" s="35" t="s">
        <v>342</v>
      </c>
      <c r="C317" s="36">
        <v>107</v>
      </c>
      <c r="D317" s="113">
        <v>123717191</v>
      </c>
      <c r="E317" s="116">
        <f t="shared" si="61"/>
        <v>1156235.4299065419</v>
      </c>
      <c r="F317" s="117">
        <v>102760832</v>
      </c>
      <c r="G317" s="117">
        <f t="shared" si="62"/>
        <v>960381.60747663549</v>
      </c>
      <c r="H317" s="7"/>
      <c r="I317" s="109">
        <v>0.61750000000000005</v>
      </c>
      <c r="J317" s="117">
        <v>63455</v>
      </c>
      <c r="K317" s="120">
        <f t="shared" si="60"/>
        <v>593.03738317757006</v>
      </c>
      <c r="L317" s="122">
        <f t="shared" si="56"/>
        <v>1027608.3200000001</v>
      </c>
      <c r="M317" s="116">
        <f t="shared" si="57"/>
        <v>964153.32000000007</v>
      </c>
      <c r="N317" s="123">
        <f t="shared" si="51"/>
        <v>9010.7786915887864</v>
      </c>
      <c r="O317" s="5"/>
      <c r="P317" s="5">
        <f t="shared" si="50"/>
        <v>1</v>
      </c>
      <c r="Q317" s="7">
        <f t="shared" si="52"/>
        <v>107</v>
      </c>
    </row>
    <row r="318" spans="1:21">
      <c r="A318" s="23" t="s">
        <v>346</v>
      </c>
      <c r="B318" s="35" t="s">
        <v>342</v>
      </c>
      <c r="C318" s="36">
        <v>109065</v>
      </c>
      <c r="D318" s="113">
        <v>10863460833</v>
      </c>
      <c r="E318" s="116">
        <f t="shared" si="61"/>
        <v>99605.380580387835</v>
      </c>
      <c r="F318" s="117">
        <v>7737826337</v>
      </c>
      <c r="G318" s="117">
        <f t="shared" si="62"/>
        <v>70946.92465043781</v>
      </c>
      <c r="H318" s="7"/>
      <c r="I318" s="109">
        <v>5.1550000000000002</v>
      </c>
      <c r="J318" s="117">
        <v>39888495</v>
      </c>
      <c r="K318" s="120">
        <f t="shared" si="60"/>
        <v>365.73139870719297</v>
      </c>
      <c r="L318" s="122">
        <f t="shared" si="56"/>
        <v>77378263.370000005</v>
      </c>
      <c r="M318" s="116">
        <f t="shared" si="57"/>
        <v>37489768.370000005</v>
      </c>
      <c r="N318" s="123">
        <f t="shared" si="51"/>
        <v>343.73784779718522</v>
      </c>
      <c r="O318" s="5"/>
      <c r="P318" s="5">
        <f t="shared" si="50"/>
        <v>1</v>
      </c>
      <c r="Q318" s="7">
        <f t="shared" si="52"/>
        <v>109065</v>
      </c>
    </row>
    <row r="319" spans="1:21">
      <c r="A319" s="23" t="s">
        <v>347</v>
      </c>
      <c r="B319" s="35" t="s">
        <v>342</v>
      </c>
      <c r="C319" s="36">
        <v>35558</v>
      </c>
      <c r="D319" s="113">
        <v>2675288098</v>
      </c>
      <c r="E319" s="116">
        <f t="shared" si="61"/>
        <v>75237.305191518084</v>
      </c>
      <c r="F319" s="117">
        <v>1759398960</v>
      </c>
      <c r="G319" s="117">
        <f t="shared" si="62"/>
        <v>49479.694021036055</v>
      </c>
      <c r="H319" s="7"/>
      <c r="I319" s="109">
        <v>3.7345000000000002</v>
      </c>
      <c r="J319" s="117">
        <v>6570475</v>
      </c>
      <c r="K319" s="120">
        <f t="shared" si="60"/>
        <v>184.7819056189887</v>
      </c>
      <c r="L319" s="122">
        <f t="shared" si="56"/>
        <v>17593989.600000001</v>
      </c>
      <c r="M319" s="116">
        <f t="shared" si="57"/>
        <v>11023514.600000001</v>
      </c>
      <c r="N319" s="123">
        <f t="shared" si="51"/>
        <v>310.01503459137189</v>
      </c>
      <c r="O319" s="5"/>
      <c r="P319" s="5">
        <f t="shared" si="50"/>
        <v>1</v>
      </c>
      <c r="Q319" s="7">
        <f t="shared" si="52"/>
        <v>35558</v>
      </c>
    </row>
    <row r="320" spans="1:21">
      <c r="A320" s="23" t="s">
        <v>348</v>
      </c>
      <c r="B320" s="35" t="s">
        <v>342</v>
      </c>
      <c r="C320" s="36">
        <v>12071</v>
      </c>
      <c r="D320" s="113">
        <v>955830914</v>
      </c>
      <c r="E320" s="116">
        <f t="shared" si="61"/>
        <v>79184.070416701186</v>
      </c>
      <c r="F320" s="117">
        <v>655254633</v>
      </c>
      <c r="G320" s="117">
        <f t="shared" si="62"/>
        <v>54283.376108027507</v>
      </c>
      <c r="H320" s="7"/>
      <c r="I320" s="109">
        <v>4.0389999999999997</v>
      </c>
      <c r="J320" s="117">
        <v>2646573</v>
      </c>
      <c r="K320" s="120">
        <f t="shared" si="60"/>
        <v>219.25051776986166</v>
      </c>
      <c r="L320" s="122">
        <f t="shared" si="56"/>
        <v>6552546.3300000001</v>
      </c>
      <c r="M320" s="116">
        <f t="shared" si="57"/>
        <v>3905973.33</v>
      </c>
      <c r="N320" s="123">
        <f t="shared" si="51"/>
        <v>323.58324331041337</v>
      </c>
      <c r="O320" s="5"/>
      <c r="P320" s="5">
        <f t="shared" si="50"/>
        <v>1</v>
      </c>
      <c r="Q320" s="7">
        <f t="shared" si="52"/>
        <v>12071</v>
      </c>
    </row>
    <row r="321" spans="1:17">
      <c r="A321" s="23" t="s">
        <v>349</v>
      </c>
      <c r="B321" s="35" t="s">
        <v>342</v>
      </c>
      <c r="C321" s="36">
        <v>4172</v>
      </c>
      <c r="D321" s="113">
        <v>930535810</v>
      </c>
      <c r="E321" s="116">
        <f t="shared" si="61"/>
        <v>223043.0992329818</v>
      </c>
      <c r="F321" s="117">
        <v>777547663</v>
      </c>
      <c r="G321" s="117">
        <f t="shared" si="62"/>
        <v>186372.881831256</v>
      </c>
      <c r="H321" s="7"/>
      <c r="I321" s="109">
        <v>2</v>
      </c>
      <c r="J321" s="117">
        <v>1555095</v>
      </c>
      <c r="K321" s="120">
        <f t="shared" si="60"/>
        <v>372.74568552253118</v>
      </c>
      <c r="L321" s="122">
        <f t="shared" si="56"/>
        <v>7775476.6299999999</v>
      </c>
      <c r="M321" s="116">
        <f t="shared" si="57"/>
        <v>6220381.6299999999</v>
      </c>
      <c r="N321" s="123">
        <f t="shared" si="51"/>
        <v>1490.9831327900288</v>
      </c>
      <c r="O321" s="5"/>
      <c r="P321" s="5">
        <f t="shared" si="50"/>
        <v>1</v>
      </c>
      <c r="Q321" s="7">
        <f t="shared" si="52"/>
        <v>4172</v>
      </c>
    </row>
    <row r="322" spans="1:17">
      <c r="A322" s="23" t="s">
        <v>350</v>
      </c>
      <c r="B322" s="35" t="s">
        <v>342</v>
      </c>
      <c r="C322" s="36">
        <v>1423</v>
      </c>
      <c r="D322" s="113">
        <v>736124193</v>
      </c>
      <c r="E322" s="116">
        <f t="shared" si="61"/>
        <v>517304.42234715389</v>
      </c>
      <c r="F322" s="117">
        <v>647647628</v>
      </c>
      <c r="G322" s="117">
        <f t="shared" si="62"/>
        <v>455128.34012649331</v>
      </c>
      <c r="H322" s="98" t="s">
        <v>588</v>
      </c>
      <c r="I322" s="109"/>
      <c r="J322" s="117"/>
      <c r="K322" s="120"/>
      <c r="L322" s="122">
        <f t="shared" si="56"/>
        <v>6476476.2800000003</v>
      </c>
      <c r="M322" s="116">
        <f t="shared" si="57"/>
        <v>6476476.2800000003</v>
      </c>
      <c r="N322" s="123">
        <f t="shared" si="51"/>
        <v>4551.2834012649337</v>
      </c>
      <c r="O322" s="5"/>
      <c r="P322" s="5">
        <f t="shared" si="50"/>
        <v>0</v>
      </c>
      <c r="Q322" s="7">
        <f t="shared" si="52"/>
        <v>0</v>
      </c>
    </row>
    <row r="323" spans="1:17">
      <c r="A323" s="23" t="s">
        <v>351</v>
      </c>
      <c r="B323" s="35" t="s">
        <v>342</v>
      </c>
      <c r="C323" s="36">
        <v>4975</v>
      </c>
      <c r="D323" s="113">
        <v>186253515</v>
      </c>
      <c r="E323" s="116">
        <f t="shared" si="61"/>
        <v>37437.89246231156</v>
      </c>
      <c r="F323" s="117">
        <v>116391740</v>
      </c>
      <c r="G323" s="117">
        <f t="shared" si="62"/>
        <v>23395.324623115579</v>
      </c>
      <c r="H323" s="7"/>
      <c r="I323" s="109">
        <v>4.7591999999999999</v>
      </c>
      <c r="J323" s="117">
        <v>553932</v>
      </c>
      <c r="K323" s="120">
        <f t="shared" ref="K323:K354" si="63">(J323/C323)</f>
        <v>111.34311557788945</v>
      </c>
      <c r="L323" s="122">
        <f t="shared" si="56"/>
        <v>1163917.4000000001</v>
      </c>
      <c r="M323" s="116">
        <f t="shared" si="57"/>
        <v>609985.40000000014</v>
      </c>
      <c r="N323" s="123">
        <f t="shared" si="51"/>
        <v>122.61013065326635</v>
      </c>
      <c r="O323" s="5"/>
      <c r="P323" s="5">
        <f t="shared" si="50"/>
        <v>1</v>
      </c>
      <c r="Q323" s="7">
        <f t="shared" si="52"/>
        <v>4975</v>
      </c>
    </row>
    <row r="324" spans="1:17">
      <c r="A324" s="23" t="s">
        <v>352</v>
      </c>
      <c r="B324" s="35" t="s">
        <v>342</v>
      </c>
      <c r="C324" s="36">
        <v>78488</v>
      </c>
      <c r="D324" s="113">
        <v>4610400540</v>
      </c>
      <c r="E324" s="116">
        <f t="shared" si="61"/>
        <v>58740.196463153603</v>
      </c>
      <c r="F324" s="117">
        <v>3289066021</v>
      </c>
      <c r="G324" s="117">
        <f t="shared" si="62"/>
        <v>41905.336115074919</v>
      </c>
      <c r="H324" s="7"/>
      <c r="I324" s="109">
        <v>5.2138999999999998</v>
      </c>
      <c r="J324" s="117">
        <v>17148861</v>
      </c>
      <c r="K324" s="120">
        <f t="shared" si="63"/>
        <v>218.4902278055244</v>
      </c>
      <c r="L324" s="122">
        <f t="shared" si="56"/>
        <v>32890660.210000001</v>
      </c>
      <c r="M324" s="116">
        <f t="shared" si="57"/>
        <v>15741799.210000001</v>
      </c>
      <c r="N324" s="123">
        <f t="shared" si="51"/>
        <v>200.56313334522477</v>
      </c>
      <c r="O324" s="5"/>
      <c r="P324" s="5">
        <f t="shared" si="50"/>
        <v>1</v>
      </c>
      <c r="Q324" s="7">
        <f t="shared" si="52"/>
        <v>78488</v>
      </c>
    </row>
    <row r="325" spans="1:17">
      <c r="A325" s="23" t="s">
        <v>353</v>
      </c>
      <c r="B325" s="35" t="s">
        <v>342</v>
      </c>
      <c r="C325" s="36">
        <v>4313</v>
      </c>
      <c r="D325" s="113">
        <v>1049946611</v>
      </c>
      <c r="E325" s="116">
        <f t="shared" si="61"/>
        <v>243437.65615580801</v>
      </c>
      <c r="F325" s="117">
        <v>861017162</v>
      </c>
      <c r="G325" s="117">
        <f t="shared" si="62"/>
        <v>199633.00765128681</v>
      </c>
      <c r="H325" s="7"/>
      <c r="I325" s="109">
        <v>1.79</v>
      </c>
      <c r="J325" s="117">
        <v>1541221</v>
      </c>
      <c r="K325" s="120">
        <f t="shared" si="63"/>
        <v>357.34314862044982</v>
      </c>
      <c r="L325" s="122">
        <f t="shared" si="56"/>
        <v>8610171.620000001</v>
      </c>
      <c r="M325" s="116">
        <f t="shared" si="57"/>
        <v>7068950.620000001</v>
      </c>
      <c r="N325" s="123">
        <f t="shared" si="51"/>
        <v>1638.9869278924184</v>
      </c>
      <c r="O325" s="5"/>
      <c r="P325" s="5">
        <f t="shared" ref="P325:P388" si="64">IF(I325&gt;0,1,0)</f>
        <v>1</v>
      </c>
      <c r="Q325" s="7">
        <f t="shared" si="52"/>
        <v>4313</v>
      </c>
    </row>
    <row r="326" spans="1:17">
      <c r="A326" s="23" t="s">
        <v>354</v>
      </c>
      <c r="B326" s="35" t="s">
        <v>342</v>
      </c>
      <c r="C326" s="36">
        <v>1437</v>
      </c>
      <c r="D326" s="113">
        <v>432594136</v>
      </c>
      <c r="E326" s="116">
        <f t="shared" si="61"/>
        <v>301039.76061238692</v>
      </c>
      <c r="F326" s="117">
        <v>383305077</v>
      </c>
      <c r="G326" s="117">
        <f t="shared" si="62"/>
        <v>266739.7891440501</v>
      </c>
      <c r="H326" s="7"/>
      <c r="I326" s="109">
        <v>0.75109999999999999</v>
      </c>
      <c r="J326" s="117">
        <v>287900</v>
      </c>
      <c r="K326" s="120">
        <f t="shared" si="63"/>
        <v>200.34794711203898</v>
      </c>
      <c r="L326" s="122">
        <f t="shared" si="56"/>
        <v>3833050.77</v>
      </c>
      <c r="M326" s="116">
        <f t="shared" si="57"/>
        <v>3545150.77</v>
      </c>
      <c r="N326" s="123">
        <f t="shared" ref="N326:N389" si="65">(M326/C326)</f>
        <v>2467.0499443284621</v>
      </c>
      <c r="O326" s="5"/>
      <c r="P326" s="5">
        <f t="shared" si="64"/>
        <v>1</v>
      </c>
      <c r="Q326" s="7">
        <f t="shared" ref="Q326:Q389" si="66">IF(I326&gt;0,C326,0)</f>
        <v>1437</v>
      </c>
    </row>
    <row r="327" spans="1:17">
      <c r="A327" s="23" t="s">
        <v>355</v>
      </c>
      <c r="B327" s="35" t="s">
        <v>342</v>
      </c>
      <c r="C327" s="36">
        <v>13725</v>
      </c>
      <c r="D327" s="113">
        <v>1343183050</v>
      </c>
      <c r="E327" s="116">
        <f t="shared" si="61"/>
        <v>97863.97449908925</v>
      </c>
      <c r="F327" s="117">
        <v>1044412067</v>
      </c>
      <c r="G327" s="117">
        <f t="shared" si="62"/>
        <v>76095.596867030967</v>
      </c>
      <c r="H327" s="7"/>
      <c r="I327" s="109">
        <v>4.05</v>
      </c>
      <c r="J327" s="117">
        <v>4229869</v>
      </c>
      <c r="K327" s="120">
        <f t="shared" si="63"/>
        <v>308.18717668488159</v>
      </c>
      <c r="L327" s="122">
        <f t="shared" ref="L327:L390" si="67">(F327*0.01)</f>
        <v>10444120.67</v>
      </c>
      <c r="M327" s="116">
        <f t="shared" ref="M327:M390" si="68">(L327-J327)</f>
        <v>6214251.6699999999</v>
      </c>
      <c r="N327" s="123">
        <f t="shared" si="65"/>
        <v>452.76879198542804</v>
      </c>
      <c r="O327" s="5"/>
      <c r="P327" s="5">
        <f t="shared" si="64"/>
        <v>1</v>
      </c>
      <c r="Q327" s="7">
        <f t="shared" si="66"/>
        <v>13725</v>
      </c>
    </row>
    <row r="328" spans="1:17">
      <c r="A328" s="23" t="s">
        <v>356</v>
      </c>
      <c r="B328" s="35" t="s">
        <v>342</v>
      </c>
      <c r="C328" s="36">
        <v>49939</v>
      </c>
      <c r="D328" s="113">
        <v>3546341079</v>
      </c>
      <c r="E328" s="116">
        <f t="shared" si="61"/>
        <v>71013.457998758488</v>
      </c>
      <c r="F328" s="117">
        <v>2594313015</v>
      </c>
      <c r="G328" s="117">
        <f t="shared" si="62"/>
        <v>51949.638859408478</v>
      </c>
      <c r="H328" s="7"/>
      <c r="I328" s="109">
        <v>5.5861999999999998</v>
      </c>
      <c r="J328" s="117">
        <v>14492351</v>
      </c>
      <c r="K328" s="120">
        <f t="shared" si="63"/>
        <v>290.20106529966557</v>
      </c>
      <c r="L328" s="122">
        <f t="shared" si="67"/>
        <v>25943130.150000002</v>
      </c>
      <c r="M328" s="116">
        <f t="shared" si="68"/>
        <v>11450779.150000002</v>
      </c>
      <c r="N328" s="123">
        <f t="shared" si="65"/>
        <v>229.29532329441923</v>
      </c>
      <c r="O328" s="5"/>
      <c r="P328" s="5">
        <f t="shared" si="64"/>
        <v>1</v>
      </c>
      <c r="Q328" s="7">
        <f t="shared" si="66"/>
        <v>49939</v>
      </c>
    </row>
    <row r="329" spans="1:17">
      <c r="A329" s="23" t="s">
        <v>357</v>
      </c>
      <c r="B329" s="35" t="s">
        <v>342</v>
      </c>
      <c r="C329" s="36">
        <v>1441</v>
      </c>
      <c r="D329" s="113">
        <v>407757423</v>
      </c>
      <c r="E329" s="116">
        <f t="shared" si="61"/>
        <v>282968.3712699514</v>
      </c>
      <c r="F329" s="117">
        <v>331788876</v>
      </c>
      <c r="G329" s="117">
        <f t="shared" si="62"/>
        <v>230249.04649548925</v>
      </c>
      <c r="H329" s="7"/>
      <c r="I329" s="109">
        <v>1.9410000000000001</v>
      </c>
      <c r="J329" s="117">
        <v>644002</v>
      </c>
      <c r="K329" s="120">
        <f t="shared" si="63"/>
        <v>446.91325468424708</v>
      </c>
      <c r="L329" s="122">
        <f t="shared" si="67"/>
        <v>3317888.7600000002</v>
      </c>
      <c r="M329" s="116">
        <f t="shared" si="68"/>
        <v>2673886.7600000002</v>
      </c>
      <c r="N329" s="123">
        <f t="shared" si="65"/>
        <v>1855.5772102706455</v>
      </c>
      <c r="O329" s="5"/>
      <c r="P329" s="5">
        <f t="shared" si="64"/>
        <v>1</v>
      </c>
      <c r="Q329" s="7">
        <f t="shared" si="66"/>
        <v>1441</v>
      </c>
    </row>
    <row r="330" spans="1:17">
      <c r="A330" s="23" t="s">
        <v>358</v>
      </c>
      <c r="B330" s="35" t="s">
        <v>342</v>
      </c>
      <c r="C330" s="36">
        <v>2144</v>
      </c>
      <c r="D330" s="113">
        <v>580847093</v>
      </c>
      <c r="E330" s="116">
        <f t="shared" si="61"/>
        <v>270917.48740671639</v>
      </c>
      <c r="F330" s="117">
        <v>492360661</v>
      </c>
      <c r="G330" s="117">
        <f t="shared" si="62"/>
        <v>229645.83069029852</v>
      </c>
      <c r="H330" s="7"/>
      <c r="I330" s="109">
        <v>2</v>
      </c>
      <c r="J330" s="117">
        <v>984721</v>
      </c>
      <c r="K330" s="120">
        <f t="shared" si="63"/>
        <v>459.29151119402985</v>
      </c>
      <c r="L330" s="122">
        <f t="shared" si="67"/>
        <v>4923606.6100000003</v>
      </c>
      <c r="M330" s="116">
        <f t="shared" si="68"/>
        <v>3938885.6100000003</v>
      </c>
      <c r="N330" s="123">
        <f t="shared" si="65"/>
        <v>1837.1667957089553</v>
      </c>
      <c r="O330" s="5"/>
      <c r="P330" s="5">
        <f t="shared" si="64"/>
        <v>1</v>
      </c>
      <c r="Q330" s="7">
        <f t="shared" si="66"/>
        <v>2144</v>
      </c>
    </row>
    <row r="331" spans="1:17">
      <c r="A331" s="23" t="s">
        <v>359</v>
      </c>
      <c r="B331" s="35" t="s">
        <v>342</v>
      </c>
      <c r="C331" s="36">
        <v>16944</v>
      </c>
      <c r="D331" s="113">
        <v>1497710309</v>
      </c>
      <c r="E331" s="116">
        <f t="shared" si="61"/>
        <v>88391.7793319169</v>
      </c>
      <c r="F331" s="117">
        <v>966672163</v>
      </c>
      <c r="G331" s="117">
        <f t="shared" si="62"/>
        <v>57051.001121340887</v>
      </c>
      <c r="H331" s="7"/>
      <c r="I331" s="109">
        <v>3.7343000000000002</v>
      </c>
      <c r="J331" s="117">
        <v>3609844</v>
      </c>
      <c r="K331" s="120">
        <f t="shared" si="63"/>
        <v>213.04556185080264</v>
      </c>
      <c r="L331" s="122">
        <f t="shared" si="67"/>
        <v>9666721.6300000008</v>
      </c>
      <c r="M331" s="116">
        <f t="shared" si="68"/>
        <v>6056877.6300000008</v>
      </c>
      <c r="N331" s="123">
        <f t="shared" si="65"/>
        <v>357.46444936260627</v>
      </c>
      <c r="O331" s="5"/>
      <c r="P331" s="5">
        <f t="shared" si="64"/>
        <v>1</v>
      </c>
      <c r="Q331" s="7">
        <f t="shared" si="66"/>
        <v>16944</v>
      </c>
    </row>
    <row r="332" spans="1:17">
      <c r="A332" s="23" t="s">
        <v>360</v>
      </c>
      <c r="B332" s="35" t="s">
        <v>342</v>
      </c>
      <c r="C332" s="36">
        <v>17202</v>
      </c>
      <c r="D332" s="113">
        <v>1430498539</v>
      </c>
      <c r="E332" s="116">
        <f t="shared" si="61"/>
        <v>83158.850075572613</v>
      </c>
      <c r="F332" s="117">
        <v>975871955</v>
      </c>
      <c r="G332" s="117">
        <f t="shared" si="62"/>
        <v>56730.145041274271</v>
      </c>
      <c r="H332" s="7"/>
      <c r="I332" s="109">
        <v>2.4792999999999998</v>
      </c>
      <c r="J332" s="117">
        <v>2419479</v>
      </c>
      <c r="K332" s="120">
        <f t="shared" si="63"/>
        <v>140.65102895012208</v>
      </c>
      <c r="L332" s="122">
        <f t="shared" si="67"/>
        <v>9758719.5500000007</v>
      </c>
      <c r="M332" s="116">
        <f t="shared" si="68"/>
        <v>7339240.5500000007</v>
      </c>
      <c r="N332" s="123">
        <f t="shared" si="65"/>
        <v>426.65042146262067</v>
      </c>
      <c r="O332" s="5"/>
      <c r="P332" s="5">
        <f t="shared" si="64"/>
        <v>1</v>
      </c>
      <c r="Q332" s="7">
        <f t="shared" si="66"/>
        <v>17202</v>
      </c>
    </row>
    <row r="333" spans="1:17">
      <c r="A333" s="23" t="s">
        <v>361</v>
      </c>
      <c r="B333" s="35" t="s">
        <v>342</v>
      </c>
      <c r="C333" s="36">
        <v>5081</v>
      </c>
      <c r="D333" s="113">
        <v>556683229</v>
      </c>
      <c r="E333" s="116">
        <f t="shared" si="61"/>
        <v>109561.74552253494</v>
      </c>
      <c r="F333" s="117">
        <v>434856383</v>
      </c>
      <c r="G333" s="117">
        <f t="shared" si="62"/>
        <v>85584.802794725445</v>
      </c>
      <c r="H333" s="7"/>
      <c r="I333" s="109">
        <v>1.6984999999999999</v>
      </c>
      <c r="J333" s="117">
        <v>738604</v>
      </c>
      <c r="K333" s="120">
        <f t="shared" si="63"/>
        <v>145.36587285967329</v>
      </c>
      <c r="L333" s="122">
        <f t="shared" si="67"/>
        <v>4348563.83</v>
      </c>
      <c r="M333" s="116">
        <f t="shared" si="68"/>
        <v>3609959.83</v>
      </c>
      <c r="N333" s="123">
        <f t="shared" si="65"/>
        <v>710.48215508758119</v>
      </c>
      <c r="O333" s="5"/>
      <c r="P333" s="5">
        <f t="shared" si="64"/>
        <v>1</v>
      </c>
      <c r="Q333" s="7">
        <f t="shared" si="66"/>
        <v>5081</v>
      </c>
    </row>
    <row r="334" spans="1:17">
      <c r="A334" s="24" t="s">
        <v>561</v>
      </c>
      <c r="B334" s="35" t="s">
        <v>342</v>
      </c>
      <c r="C334" s="36">
        <v>9363</v>
      </c>
      <c r="D334" s="113">
        <v>2521062913</v>
      </c>
      <c r="E334" s="116">
        <f t="shared" si="61"/>
        <v>269258.02766207414</v>
      </c>
      <c r="F334" s="117">
        <v>2063442354</v>
      </c>
      <c r="G334" s="117">
        <f t="shared" si="62"/>
        <v>220382.60749759691</v>
      </c>
      <c r="H334" s="7"/>
      <c r="I334" s="109">
        <v>2.8569</v>
      </c>
      <c r="J334" s="117">
        <v>5895048</v>
      </c>
      <c r="K334" s="120">
        <f t="shared" si="63"/>
        <v>629.61102210829858</v>
      </c>
      <c r="L334" s="122">
        <f t="shared" si="67"/>
        <v>20634423.539999999</v>
      </c>
      <c r="M334" s="116">
        <f t="shared" si="68"/>
        <v>14739375.539999999</v>
      </c>
      <c r="N334" s="123">
        <f t="shared" si="65"/>
        <v>1574.2150528676705</v>
      </c>
      <c r="O334" s="5"/>
      <c r="P334" s="5">
        <f t="shared" si="64"/>
        <v>1</v>
      </c>
      <c r="Q334" s="7">
        <f t="shared" si="66"/>
        <v>9363</v>
      </c>
    </row>
    <row r="335" spans="1:17">
      <c r="A335" s="24" t="s">
        <v>548</v>
      </c>
      <c r="B335" s="35" t="s">
        <v>342</v>
      </c>
      <c r="C335" s="36">
        <v>249704</v>
      </c>
      <c r="D335" s="113">
        <v>19083972134</v>
      </c>
      <c r="E335" s="116">
        <f t="shared" si="61"/>
        <v>76426.377366802291</v>
      </c>
      <c r="F335" s="117">
        <v>12554657072</v>
      </c>
      <c r="G335" s="117">
        <f t="shared" si="62"/>
        <v>50278.157626629931</v>
      </c>
      <c r="H335" s="7"/>
      <c r="I335" s="109">
        <v>6.77</v>
      </c>
      <c r="J335" s="117">
        <v>84995028</v>
      </c>
      <c r="K335" s="120">
        <f t="shared" si="63"/>
        <v>340.38312562073497</v>
      </c>
      <c r="L335" s="122">
        <f t="shared" si="67"/>
        <v>125546570.72</v>
      </c>
      <c r="M335" s="116">
        <f t="shared" si="68"/>
        <v>40551542.719999999</v>
      </c>
      <c r="N335" s="123">
        <f t="shared" si="65"/>
        <v>162.39845064556434</v>
      </c>
      <c r="O335" s="5"/>
      <c r="P335" s="5">
        <f t="shared" si="64"/>
        <v>1</v>
      </c>
      <c r="Q335" s="7">
        <f t="shared" si="66"/>
        <v>249704</v>
      </c>
    </row>
    <row r="336" spans="1:17">
      <c r="A336" s="23" t="s">
        <v>362</v>
      </c>
      <c r="B336" s="35" t="s">
        <v>342</v>
      </c>
      <c r="C336" s="36">
        <v>23935</v>
      </c>
      <c r="D336" s="113">
        <v>1952960536</v>
      </c>
      <c r="E336" s="116">
        <f t="shared" si="61"/>
        <v>81594.340338416543</v>
      </c>
      <c r="F336" s="117">
        <v>1315986557</v>
      </c>
      <c r="G336" s="117">
        <f t="shared" si="62"/>
        <v>54981.6819302277</v>
      </c>
      <c r="H336" s="7"/>
      <c r="I336" s="109">
        <v>5.45</v>
      </c>
      <c r="J336" s="117">
        <v>7172127</v>
      </c>
      <c r="K336" s="120">
        <f t="shared" si="63"/>
        <v>299.65017756423646</v>
      </c>
      <c r="L336" s="122">
        <f t="shared" si="67"/>
        <v>13159865.57</v>
      </c>
      <c r="M336" s="116">
        <f t="shared" si="68"/>
        <v>5987738.5700000003</v>
      </c>
      <c r="N336" s="123">
        <f t="shared" si="65"/>
        <v>250.16664173804054</v>
      </c>
      <c r="O336" s="5"/>
      <c r="P336" s="5">
        <f t="shared" si="64"/>
        <v>1</v>
      </c>
      <c r="Q336" s="7">
        <f t="shared" si="66"/>
        <v>23935</v>
      </c>
    </row>
    <row r="337" spans="1:21">
      <c r="A337" s="23" t="s">
        <v>363</v>
      </c>
      <c r="B337" s="35" t="s">
        <v>342</v>
      </c>
      <c r="C337" s="36">
        <v>6787</v>
      </c>
      <c r="D337" s="113">
        <v>1605984975</v>
      </c>
      <c r="E337" s="116">
        <f t="shared" si="61"/>
        <v>236626.63547959333</v>
      </c>
      <c r="F337" s="117">
        <v>1300698703</v>
      </c>
      <c r="G337" s="117">
        <f t="shared" si="62"/>
        <v>191645.60232797996</v>
      </c>
      <c r="H337" s="7"/>
      <c r="I337" s="109">
        <v>3.3368000000000002</v>
      </c>
      <c r="J337" s="117">
        <v>4340171</v>
      </c>
      <c r="K337" s="120">
        <f t="shared" si="63"/>
        <v>639.48298217179899</v>
      </c>
      <c r="L337" s="122">
        <f t="shared" si="67"/>
        <v>13006987.030000001</v>
      </c>
      <c r="M337" s="116">
        <f t="shared" si="68"/>
        <v>8666816.0300000012</v>
      </c>
      <c r="N337" s="123">
        <f t="shared" si="65"/>
        <v>1276.9730411080009</v>
      </c>
      <c r="O337" s="5"/>
      <c r="P337" s="5">
        <f t="shared" si="64"/>
        <v>1</v>
      </c>
      <c r="Q337" s="7">
        <f t="shared" si="66"/>
        <v>6787</v>
      </c>
      <c r="S337" s="124">
        <f>SUM(D314:D337)</f>
        <v>58514691213</v>
      </c>
      <c r="T337" s="124">
        <f>SUM(F314:F337)</f>
        <v>41548297156</v>
      </c>
      <c r="U337" s="124">
        <f>SUM(J314:J337)</f>
        <v>204973849</v>
      </c>
    </row>
    <row r="338" spans="1:21">
      <c r="A338" s="23" t="s">
        <v>364</v>
      </c>
      <c r="B338" s="35" t="s">
        <v>365</v>
      </c>
      <c r="C338" s="36">
        <v>14009</v>
      </c>
      <c r="D338" s="113">
        <v>1201562246</v>
      </c>
      <c r="E338" s="116">
        <f t="shared" si="61"/>
        <v>85770.736383753305</v>
      </c>
      <c r="F338" s="117">
        <v>879152864</v>
      </c>
      <c r="G338" s="117">
        <f t="shared" si="62"/>
        <v>62756.289813691197</v>
      </c>
      <c r="H338" s="7"/>
      <c r="I338" s="109">
        <v>4.2656999999999998</v>
      </c>
      <c r="J338" s="117">
        <v>3750202</v>
      </c>
      <c r="K338" s="120">
        <f t="shared" si="63"/>
        <v>267.69947890641731</v>
      </c>
      <c r="L338" s="122">
        <f t="shared" si="67"/>
        <v>8791528.6400000006</v>
      </c>
      <c r="M338" s="116">
        <f t="shared" si="68"/>
        <v>5041326.6400000006</v>
      </c>
      <c r="N338" s="123">
        <f t="shared" si="65"/>
        <v>359.86341923049474</v>
      </c>
      <c r="O338" s="5"/>
      <c r="P338" s="5">
        <f t="shared" si="64"/>
        <v>1</v>
      </c>
      <c r="Q338" s="7">
        <f t="shared" si="66"/>
        <v>14009</v>
      </c>
    </row>
    <row r="339" spans="1:21">
      <c r="A339" s="23" t="s">
        <v>366</v>
      </c>
      <c r="B339" s="35" t="s">
        <v>365</v>
      </c>
      <c r="C339" s="36">
        <v>17475</v>
      </c>
      <c r="D339" s="113">
        <v>928074346</v>
      </c>
      <c r="E339" s="116">
        <f t="shared" si="61"/>
        <v>53108.689327610875</v>
      </c>
      <c r="F339" s="117">
        <v>517045441</v>
      </c>
      <c r="G339" s="117">
        <f t="shared" si="62"/>
        <v>29587.721945636622</v>
      </c>
      <c r="H339" s="7"/>
      <c r="I339" s="109">
        <v>3.996</v>
      </c>
      <c r="J339" s="117">
        <v>2066114</v>
      </c>
      <c r="K339" s="120">
        <f t="shared" si="63"/>
        <v>118.23256080114449</v>
      </c>
      <c r="L339" s="122">
        <f t="shared" si="67"/>
        <v>5170454.41</v>
      </c>
      <c r="M339" s="116">
        <f t="shared" si="68"/>
        <v>3104340.41</v>
      </c>
      <c r="N339" s="123">
        <f t="shared" si="65"/>
        <v>177.64465865522175</v>
      </c>
      <c r="O339" s="5"/>
      <c r="P339" s="5">
        <f t="shared" si="64"/>
        <v>1</v>
      </c>
      <c r="Q339" s="7">
        <f t="shared" si="66"/>
        <v>17475</v>
      </c>
    </row>
    <row r="340" spans="1:21">
      <c r="A340" s="23" t="s">
        <v>367</v>
      </c>
      <c r="B340" s="35" t="s">
        <v>365</v>
      </c>
      <c r="C340" s="36">
        <v>3027</v>
      </c>
      <c r="D340" s="113">
        <v>152479134</v>
      </c>
      <c r="E340" s="116">
        <f t="shared" si="61"/>
        <v>50373.020812685827</v>
      </c>
      <c r="F340" s="117">
        <v>93850557</v>
      </c>
      <c r="G340" s="117">
        <f t="shared" si="62"/>
        <v>31004.478691774035</v>
      </c>
      <c r="H340" s="7"/>
      <c r="I340" s="109">
        <v>7.75</v>
      </c>
      <c r="J340" s="117">
        <v>727342</v>
      </c>
      <c r="K340" s="120">
        <f t="shared" si="63"/>
        <v>240.28477039973572</v>
      </c>
      <c r="L340" s="122">
        <f t="shared" si="67"/>
        <v>938505.57000000007</v>
      </c>
      <c r="M340" s="116">
        <f t="shared" si="68"/>
        <v>211163.57000000007</v>
      </c>
      <c r="N340" s="123">
        <f t="shared" si="65"/>
        <v>69.760016518004647</v>
      </c>
      <c r="O340" s="5"/>
      <c r="P340" s="5">
        <f t="shared" si="64"/>
        <v>1</v>
      </c>
      <c r="Q340" s="7">
        <f t="shared" si="66"/>
        <v>3027</v>
      </c>
    </row>
    <row r="341" spans="1:21">
      <c r="A341" s="23" t="s">
        <v>368</v>
      </c>
      <c r="B341" s="35" t="s">
        <v>365</v>
      </c>
      <c r="C341" s="36">
        <v>3808</v>
      </c>
      <c r="D341" s="113">
        <v>200536969</v>
      </c>
      <c r="E341" s="116">
        <f t="shared" si="61"/>
        <v>52662.019170168067</v>
      </c>
      <c r="F341" s="117">
        <v>118936512</v>
      </c>
      <c r="G341" s="117">
        <f t="shared" si="62"/>
        <v>31233.327731092439</v>
      </c>
      <c r="H341" s="9"/>
      <c r="I341" s="109">
        <v>7.9494999999999996</v>
      </c>
      <c r="J341" s="117">
        <v>945486</v>
      </c>
      <c r="K341" s="120">
        <f t="shared" si="63"/>
        <v>248.28939075630251</v>
      </c>
      <c r="L341" s="122">
        <f t="shared" si="67"/>
        <v>1189365.1200000001</v>
      </c>
      <c r="M341" s="116">
        <f t="shared" si="68"/>
        <v>243879.12000000011</v>
      </c>
      <c r="N341" s="123">
        <f t="shared" si="65"/>
        <v>64.043886554621878</v>
      </c>
      <c r="O341" s="5"/>
      <c r="P341" s="5">
        <f t="shared" si="64"/>
        <v>1</v>
      </c>
      <c r="Q341" s="7">
        <f t="shared" si="66"/>
        <v>3808</v>
      </c>
    </row>
    <row r="342" spans="1:21">
      <c r="A342" s="23" t="s">
        <v>369</v>
      </c>
      <c r="B342" s="35" t="s">
        <v>365</v>
      </c>
      <c r="C342" s="36">
        <v>2306</v>
      </c>
      <c r="D342" s="113">
        <v>114309533</v>
      </c>
      <c r="E342" s="116">
        <f t="shared" ref="E342:E373" si="69">(D342/C342)</f>
        <v>49570.48265394623</v>
      </c>
      <c r="F342" s="117">
        <v>56369641</v>
      </c>
      <c r="G342" s="117">
        <f t="shared" ref="G342:G373" si="70">(F342/C342)</f>
        <v>24444.770598438856</v>
      </c>
      <c r="H342" s="7"/>
      <c r="I342" s="109">
        <v>7.6516000000000002</v>
      </c>
      <c r="J342" s="117">
        <v>431318</v>
      </c>
      <c r="K342" s="120">
        <f t="shared" si="63"/>
        <v>187.04163052905463</v>
      </c>
      <c r="L342" s="122">
        <f t="shared" si="67"/>
        <v>563696.41</v>
      </c>
      <c r="M342" s="116">
        <f t="shared" si="68"/>
        <v>132378.41000000003</v>
      </c>
      <c r="N342" s="123">
        <f t="shared" si="65"/>
        <v>57.406075455333927</v>
      </c>
      <c r="O342" s="5"/>
      <c r="P342" s="5">
        <f t="shared" si="64"/>
        <v>1</v>
      </c>
      <c r="Q342" s="7">
        <f t="shared" si="66"/>
        <v>2306</v>
      </c>
    </row>
    <row r="343" spans="1:21">
      <c r="A343" s="23" t="s">
        <v>370</v>
      </c>
      <c r="B343" s="35" t="s">
        <v>365</v>
      </c>
      <c r="C343" s="36">
        <v>5737</v>
      </c>
      <c r="D343" s="113">
        <v>168939895</v>
      </c>
      <c r="E343" s="116">
        <f t="shared" si="69"/>
        <v>29447.428098309221</v>
      </c>
      <c r="F343" s="117">
        <v>87989946</v>
      </c>
      <c r="G343" s="117">
        <f t="shared" si="70"/>
        <v>15337.274882342688</v>
      </c>
      <c r="H343" s="7"/>
      <c r="I343" s="109">
        <v>5.6483999999999996</v>
      </c>
      <c r="J343" s="117">
        <v>497002</v>
      </c>
      <c r="K343" s="120">
        <f t="shared" si="63"/>
        <v>86.630991807564925</v>
      </c>
      <c r="L343" s="122">
        <f t="shared" si="67"/>
        <v>879899.46</v>
      </c>
      <c r="M343" s="116">
        <f t="shared" si="68"/>
        <v>382897.45999999996</v>
      </c>
      <c r="N343" s="123">
        <f t="shared" si="65"/>
        <v>66.741757015861936</v>
      </c>
      <c r="O343" s="5"/>
      <c r="P343" s="5">
        <f t="shared" si="64"/>
        <v>1</v>
      </c>
      <c r="Q343" s="7">
        <f t="shared" si="66"/>
        <v>5737</v>
      </c>
    </row>
    <row r="344" spans="1:21">
      <c r="A344" s="23" t="s">
        <v>371</v>
      </c>
      <c r="B344" s="35" t="s">
        <v>365</v>
      </c>
      <c r="C344" s="36">
        <v>2961</v>
      </c>
      <c r="D344" s="113">
        <v>191750259</v>
      </c>
      <c r="E344" s="116">
        <f t="shared" si="69"/>
        <v>64758.614994934142</v>
      </c>
      <c r="F344" s="117">
        <v>111841774</v>
      </c>
      <c r="G344" s="117">
        <f t="shared" si="70"/>
        <v>37771.622424856469</v>
      </c>
      <c r="H344" s="7"/>
      <c r="I344" s="110">
        <v>8.0587</v>
      </c>
      <c r="J344" s="117">
        <v>901299</v>
      </c>
      <c r="K344" s="120">
        <f t="shared" si="63"/>
        <v>304.3900709219858</v>
      </c>
      <c r="L344" s="122">
        <f t="shared" si="67"/>
        <v>1118417.74</v>
      </c>
      <c r="M344" s="116">
        <f t="shared" si="68"/>
        <v>217118.74</v>
      </c>
      <c r="N344" s="123">
        <f t="shared" si="65"/>
        <v>73.326153326578861</v>
      </c>
      <c r="O344" s="5"/>
      <c r="P344" s="5">
        <f t="shared" si="64"/>
        <v>1</v>
      </c>
      <c r="Q344" s="7">
        <f t="shared" si="66"/>
        <v>2961</v>
      </c>
    </row>
    <row r="345" spans="1:21">
      <c r="A345" s="23" t="s">
        <v>372</v>
      </c>
      <c r="B345" s="35" t="s">
        <v>365</v>
      </c>
      <c r="C345" s="36">
        <v>21385</v>
      </c>
      <c r="D345" s="113">
        <v>1109207309</v>
      </c>
      <c r="E345" s="116">
        <f t="shared" si="69"/>
        <v>51868.473649754502</v>
      </c>
      <c r="F345" s="117">
        <v>760918705</v>
      </c>
      <c r="G345" s="117">
        <f t="shared" si="70"/>
        <v>35581.889408463874</v>
      </c>
      <c r="H345" s="7"/>
      <c r="I345" s="109">
        <v>7.79</v>
      </c>
      <c r="J345" s="117">
        <v>5927557</v>
      </c>
      <c r="K345" s="120">
        <f t="shared" si="63"/>
        <v>277.18293196165536</v>
      </c>
      <c r="L345" s="122">
        <f t="shared" si="67"/>
        <v>7609187.0499999998</v>
      </c>
      <c r="M345" s="116">
        <f t="shared" si="68"/>
        <v>1681630.0499999998</v>
      </c>
      <c r="N345" s="123">
        <f t="shared" si="65"/>
        <v>78.635962122983386</v>
      </c>
      <c r="O345" s="5"/>
      <c r="P345" s="5">
        <f t="shared" si="64"/>
        <v>1</v>
      </c>
      <c r="Q345" s="7">
        <f t="shared" si="66"/>
        <v>21385</v>
      </c>
    </row>
    <row r="346" spans="1:21">
      <c r="A346" s="23" t="s">
        <v>373</v>
      </c>
      <c r="B346" s="35" t="s">
        <v>365</v>
      </c>
      <c r="C346" s="36">
        <v>234</v>
      </c>
      <c r="D346" s="113">
        <v>14381678</v>
      </c>
      <c r="E346" s="116">
        <f t="shared" si="69"/>
        <v>61460.162393162391</v>
      </c>
      <c r="F346" s="117">
        <v>11008728</v>
      </c>
      <c r="G346" s="117">
        <f t="shared" si="70"/>
        <v>47045.846153846156</v>
      </c>
      <c r="H346" s="7"/>
      <c r="I346" s="109">
        <v>9.9758999999999993</v>
      </c>
      <c r="J346" s="117">
        <v>109822</v>
      </c>
      <c r="K346" s="120">
        <f t="shared" si="63"/>
        <v>469.32478632478632</v>
      </c>
      <c r="L346" s="122">
        <f t="shared" si="67"/>
        <v>110087.28</v>
      </c>
      <c r="M346" s="116">
        <f t="shared" si="68"/>
        <v>265.27999999999884</v>
      </c>
      <c r="N346" s="123">
        <f t="shared" si="65"/>
        <v>1.1336752136752086</v>
      </c>
      <c r="O346" s="5"/>
      <c r="P346" s="5">
        <f t="shared" si="64"/>
        <v>1</v>
      </c>
      <c r="Q346" s="7">
        <f t="shared" si="66"/>
        <v>234</v>
      </c>
    </row>
    <row r="347" spans="1:21">
      <c r="A347" s="23" t="s">
        <v>374</v>
      </c>
      <c r="B347" s="35" t="s">
        <v>365</v>
      </c>
      <c r="C347" s="36">
        <v>250</v>
      </c>
      <c r="D347" s="113">
        <v>13774639</v>
      </c>
      <c r="E347" s="116">
        <f t="shared" si="69"/>
        <v>55098.555999999997</v>
      </c>
      <c r="F347" s="117">
        <v>9258620</v>
      </c>
      <c r="G347" s="117">
        <f t="shared" si="70"/>
        <v>37034.480000000003</v>
      </c>
      <c r="H347" s="7"/>
      <c r="I347" s="109">
        <v>1.5</v>
      </c>
      <c r="J347" s="117">
        <v>13888</v>
      </c>
      <c r="K347" s="120">
        <f t="shared" si="63"/>
        <v>55.552</v>
      </c>
      <c r="L347" s="122">
        <f t="shared" si="67"/>
        <v>92586.2</v>
      </c>
      <c r="M347" s="116">
        <f t="shared" si="68"/>
        <v>78698.2</v>
      </c>
      <c r="N347" s="123">
        <f t="shared" si="65"/>
        <v>314.7928</v>
      </c>
      <c r="O347" s="5"/>
      <c r="P347" s="5">
        <f t="shared" si="64"/>
        <v>1</v>
      </c>
      <c r="Q347" s="7">
        <f t="shared" si="66"/>
        <v>250</v>
      </c>
    </row>
    <row r="348" spans="1:21">
      <c r="A348" s="23" t="s">
        <v>375</v>
      </c>
      <c r="B348" s="35" t="s">
        <v>365</v>
      </c>
      <c r="C348" s="36">
        <v>5068</v>
      </c>
      <c r="D348" s="113">
        <v>227464645</v>
      </c>
      <c r="E348" s="116">
        <f t="shared" si="69"/>
        <v>44882.526637726914</v>
      </c>
      <c r="F348" s="117">
        <v>129551215</v>
      </c>
      <c r="G348" s="117">
        <f t="shared" si="70"/>
        <v>25562.591752170483</v>
      </c>
      <c r="H348" s="7"/>
      <c r="I348" s="109">
        <v>7.5890000000000004</v>
      </c>
      <c r="J348" s="117">
        <v>983164</v>
      </c>
      <c r="K348" s="120">
        <f t="shared" si="63"/>
        <v>193.99447513812154</v>
      </c>
      <c r="L348" s="122">
        <f t="shared" si="67"/>
        <v>1295512.1500000001</v>
      </c>
      <c r="M348" s="116">
        <f t="shared" si="68"/>
        <v>312348.15000000014</v>
      </c>
      <c r="N348" s="123">
        <f t="shared" si="65"/>
        <v>61.631442383583298</v>
      </c>
      <c r="O348" s="5"/>
      <c r="P348" s="5">
        <f t="shared" si="64"/>
        <v>1</v>
      </c>
      <c r="Q348" s="7">
        <f t="shared" si="66"/>
        <v>5068</v>
      </c>
    </row>
    <row r="349" spans="1:21">
      <c r="A349" s="23" t="s">
        <v>376</v>
      </c>
      <c r="B349" s="35" t="s">
        <v>365</v>
      </c>
      <c r="C349" s="36">
        <v>1262</v>
      </c>
      <c r="D349" s="113">
        <v>78331366</v>
      </c>
      <c r="E349" s="116">
        <f t="shared" si="69"/>
        <v>62069.228209191759</v>
      </c>
      <c r="F349" s="117">
        <v>56374599</v>
      </c>
      <c r="G349" s="117">
        <f t="shared" si="70"/>
        <v>44670.839144215533</v>
      </c>
      <c r="H349" s="7"/>
      <c r="I349" s="109">
        <v>8.4276</v>
      </c>
      <c r="J349" s="117">
        <v>475103</v>
      </c>
      <c r="K349" s="120">
        <f t="shared" si="63"/>
        <v>376.46830427892235</v>
      </c>
      <c r="L349" s="122">
        <f t="shared" si="67"/>
        <v>563745.99</v>
      </c>
      <c r="M349" s="116">
        <f t="shared" si="68"/>
        <v>88642.989999999991</v>
      </c>
      <c r="N349" s="123">
        <f t="shared" si="65"/>
        <v>70.240087163232957</v>
      </c>
      <c r="O349" s="5"/>
      <c r="P349" s="5">
        <f t="shared" si="64"/>
        <v>1</v>
      </c>
      <c r="Q349" s="7">
        <f t="shared" si="66"/>
        <v>1262</v>
      </c>
    </row>
    <row r="350" spans="1:21">
      <c r="A350" s="23" t="s">
        <v>377</v>
      </c>
      <c r="B350" s="35" t="s">
        <v>365</v>
      </c>
      <c r="C350" s="36">
        <v>14522</v>
      </c>
      <c r="D350" s="113">
        <v>853650483</v>
      </c>
      <c r="E350" s="116">
        <f t="shared" si="69"/>
        <v>58783.258710921364</v>
      </c>
      <c r="F350" s="117">
        <v>562783279</v>
      </c>
      <c r="G350" s="117">
        <f t="shared" si="70"/>
        <v>38753.840999862281</v>
      </c>
      <c r="H350" s="9"/>
      <c r="I350" s="109">
        <v>8.5866000000000007</v>
      </c>
      <c r="J350" s="117">
        <v>4832395</v>
      </c>
      <c r="K350" s="120">
        <f t="shared" si="63"/>
        <v>332.76373777716566</v>
      </c>
      <c r="L350" s="122">
        <f t="shared" si="67"/>
        <v>5627832.79</v>
      </c>
      <c r="M350" s="116">
        <f t="shared" si="68"/>
        <v>795437.79</v>
      </c>
      <c r="N350" s="123">
        <f t="shared" si="65"/>
        <v>54.774672221457102</v>
      </c>
      <c r="O350" s="5"/>
      <c r="P350" s="5">
        <f t="shared" si="64"/>
        <v>1</v>
      </c>
      <c r="Q350" s="7">
        <f t="shared" si="66"/>
        <v>14522</v>
      </c>
    </row>
    <row r="351" spans="1:21">
      <c r="A351" s="23" t="s">
        <v>378</v>
      </c>
      <c r="B351" s="35" t="s">
        <v>365</v>
      </c>
      <c r="C351" s="36">
        <v>98773</v>
      </c>
      <c r="D351" s="113">
        <v>6760690396</v>
      </c>
      <c r="E351" s="116">
        <f t="shared" si="69"/>
        <v>68446.745527623949</v>
      </c>
      <c r="F351" s="117">
        <v>4417785507</v>
      </c>
      <c r="G351" s="117">
        <f t="shared" si="70"/>
        <v>44726.651078736089</v>
      </c>
      <c r="H351" s="9"/>
      <c r="I351" s="109">
        <v>4.6643999999999997</v>
      </c>
      <c r="J351" s="117">
        <v>20606319</v>
      </c>
      <c r="K351" s="120">
        <f t="shared" si="63"/>
        <v>208.62299413807418</v>
      </c>
      <c r="L351" s="122">
        <f t="shared" si="67"/>
        <v>44177855.07</v>
      </c>
      <c r="M351" s="116">
        <f t="shared" si="68"/>
        <v>23571536.07</v>
      </c>
      <c r="N351" s="123">
        <f t="shared" si="65"/>
        <v>238.64351664928674</v>
      </c>
      <c r="O351" s="5"/>
      <c r="P351" s="5">
        <f t="shared" si="64"/>
        <v>1</v>
      </c>
      <c r="Q351" s="7">
        <f t="shared" si="66"/>
        <v>98773</v>
      </c>
    </row>
    <row r="352" spans="1:21">
      <c r="A352" s="23" t="s">
        <v>379</v>
      </c>
      <c r="B352" s="35" t="s">
        <v>365</v>
      </c>
      <c r="C352" s="36">
        <v>3775</v>
      </c>
      <c r="D352" s="113">
        <v>219904897</v>
      </c>
      <c r="E352" s="116">
        <f t="shared" si="69"/>
        <v>58252.952847682122</v>
      </c>
      <c r="F352" s="117">
        <v>154878832</v>
      </c>
      <c r="G352" s="117">
        <f t="shared" si="70"/>
        <v>41027.505165562914</v>
      </c>
      <c r="H352" s="9"/>
      <c r="I352" s="109">
        <v>8.4</v>
      </c>
      <c r="J352" s="117">
        <v>1300982</v>
      </c>
      <c r="K352" s="120">
        <f t="shared" si="63"/>
        <v>344.63099337748343</v>
      </c>
      <c r="L352" s="122">
        <f t="shared" si="67"/>
        <v>1548788.32</v>
      </c>
      <c r="M352" s="116">
        <f t="shared" si="68"/>
        <v>247806.32000000007</v>
      </c>
      <c r="N352" s="123">
        <f t="shared" si="65"/>
        <v>65.644058278145707</v>
      </c>
      <c r="O352" s="5"/>
      <c r="P352" s="5">
        <f t="shared" si="64"/>
        <v>1</v>
      </c>
      <c r="Q352" s="7">
        <f t="shared" si="66"/>
        <v>3775</v>
      </c>
    </row>
    <row r="353" spans="1:21">
      <c r="A353" s="23" t="s">
        <v>380</v>
      </c>
      <c r="B353" s="35" t="s">
        <v>365</v>
      </c>
      <c r="C353" s="36">
        <v>1582</v>
      </c>
      <c r="D353" s="113">
        <v>85471447</v>
      </c>
      <c r="E353" s="116">
        <f t="shared" si="69"/>
        <v>54027.463337547408</v>
      </c>
      <c r="F353" s="117">
        <v>56557137</v>
      </c>
      <c r="G353" s="117">
        <f t="shared" si="70"/>
        <v>35750.402654867255</v>
      </c>
      <c r="H353" s="7"/>
      <c r="I353" s="109">
        <v>8.6547000000000001</v>
      </c>
      <c r="J353" s="117">
        <v>489485</v>
      </c>
      <c r="K353" s="120">
        <f t="shared" si="63"/>
        <v>309.40897597977244</v>
      </c>
      <c r="L353" s="122">
        <f t="shared" si="67"/>
        <v>565571.37</v>
      </c>
      <c r="M353" s="116">
        <f t="shared" si="68"/>
        <v>76086.37</v>
      </c>
      <c r="N353" s="123">
        <f t="shared" si="65"/>
        <v>48.09505056890012</v>
      </c>
      <c r="O353" s="5"/>
      <c r="P353" s="5">
        <f t="shared" si="64"/>
        <v>1</v>
      </c>
      <c r="Q353" s="7">
        <f t="shared" si="66"/>
        <v>1582</v>
      </c>
    </row>
    <row r="354" spans="1:21">
      <c r="A354" s="23" t="s">
        <v>381</v>
      </c>
      <c r="B354" s="35" t="s">
        <v>365</v>
      </c>
      <c r="C354" s="36">
        <v>36280</v>
      </c>
      <c r="D354" s="113">
        <v>2308744341</v>
      </c>
      <c r="E354" s="116">
        <f t="shared" si="69"/>
        <v>63636.834095920618</v>
      </c>
      <c r="F354" s="117">
        <v>1529046934</v>
      </c>
      <c r="G354" s="117">
        <f t="shared" si="70"/>
        <v>42145.725854465272</v>
      </c>
      <c r="H354" s="7"/>
      <c r="I354" s="109">
        <v>5.79</v>
      </c>
      <c r="J354" s="117">
        <v>8853182</v>
      </c>
      <c r="K354" s="120">
        <f t="shared" si="63"/>
        <v>244.02375964718854</v>
      </c>
      <c r="L354" s="122">
        <f t="shared" si="67"/>
        <v>15290469.34</v>
      </c>
      <c r="M354" s="116">
        <f t="shared" si="68"/>
        <v>6437287.3399999999</v>
      </c>
      <c r="N354" s="123">
        <f t="shared" si="65"/>
        <v>177.43349889746418</v>
      </c>
      <c r="O354" s="5"/>
      <c r="P354" s="5">
        <f t="shared" si="64"/>
        <v>1</v>
      </c>
      <c r="Q354" s="7">
        <f t="shared" si="66"/>
        <v>36280</v>
      </c>
      <c r="S354" s="124">
        <f>SUM(D338:D354)</f>
        <v>14629273583</v>
      </c>
      <c r="T354" s="124">
        <f>SUM(F338:F354)</f>
        <v>9553350291</v>
      </c>
      <c r="U354" s="124">
        <f>SUM(J338:J354)</f>
        <v>52910660</v>
      </c>
    </row>
    <row r="355" spans="1:21">
      <c r="A355" s="23" t="s">
        <v>382</v>
      </c>
      <c r="B355" s="35" t="s">
        <v>383</v>
      </c>
      <c r="C355" s="36">
        <v>1518</v>
      </c>
      <c r="D355" s="113">
        <v>100032102</v>
      </c>
      <c r="E355" s="116">
        <f t="shared" si="69"/>
        <v>65897.300395256912</v>
      </c>
      <c r="F355" s="117">
        <v>55995076</v>
      </c>
      <c r="G355" s="117">
        <f t="shared" si="70"/>
        <v>36887.40184453228</v>
      </c>
      <c r="H355" s="7"/>
      <c r="I355" s="109">
        <v>8.5914000000000001</v>
      </c>
      <c r="J355" s="117">
        <v>481076</v>
      </c>
      <c r="K355" s="120">
        <f t="shared" ref="K355:K380" si="71">(J355/C355)</f>
        <v>316.9143610013175</v>
      </c>
      <c r="L355" s="122">
        <f t="shared" si="67"/>
        <v>559950.76</v>
      </c>
      <c r="M355" s="116">
        <f t="shared" si="68"/>
        <v>78874.760000000009</v>
      </c>
      <c r="N355" s="123">
        <f t="shared" si="65"/>
        <v>51.959657444005273</v>
      </c>
      <c r="O355" s="5"/>
      <c r="P355" s="5">
        <f t="shared" si="64"/>
        <v>1</v>
      </c>
      <c r="Q355" s="7">
        <f t="shared" si="66"/>
        <v>1518</v>
      </c>
    </row>
    <row r="356" spans="1:21">
      <c r="A356" s="23" t="s">
        <v>384</v>
      </c>
      <c r="B356" s="35" t="s">
        <v>383</v>
      </c>
      <c r="C356" s="36">
        <v>1365</v>
      </c>
      <c r="D356" s="113">
        <v>101202431</v>
      </c>
      <c r="E356" s="116">
        <f t="shared" si="69"/>
        <v>74140.975091575092</v>
      </c>
      <c r="F356" s="117">
        <v>48346452</v>
      </c>
      <c r="G356" s="117">
        <f t="shared" si="70"/>
        <v>35418.646153846152</v>
      </c>
      <c r="H356" s="7"/>
      <c r="I356" s="109">
        <v>8.7993000000000006</v>
      </c>
      <c r="J356" s="117">
        <v>425415</v>
      </c>
      <c r="K356" s="120">
        <f t="shared" si="71"/>
        <v>311.65934065934067</v>
      </c>
      <c r="L356" s="122">
        <f t="shared" si="67"/>
        <v>483464.52</v>
      </c>
      <c r="M356" s="116">
        <f t="shared" si="68"/>
        <v>58049.520000000019</v>
      </c>
      <c r="N356" s="123">
        <f t="shared" si="65"/>
        <v>42.527120879120893</v>
      </c>
      <c r="O356" s="5"/>
      <c r="P356" s="5">
        <f t="shared" si="64"/>
        <v>1</v>
      </c>
      <c r="Q356" s="7">
        <f t="shared" si="66"/>
        <v>1365</v>
      </c>
    </row>
    <row r="357" spans="1:21">
      <c r="A357" s="23" t="s">
        <v>385</v>
      </c>
      <c r="B357" s="35" t="s">
        <v>383</v>
      </c>
      <c r="C357" s="36">
        <v>10230</v>
      </c>
      <c r="D357" s="113">
        <v>728373383</v>
      </c>
      <c r="E357" s="116">
        <f t="shared" si="69"/>
        <v>71199.744183773219</v>
      </c>
      <c r="F357" s="117">
        <v>367747953</v>
      </c>
      <c r="G357" s="117">
        <f t="shared" si="70"/>
        <v>35947.991495601171</v>
      </c>
      <c r="H357" s="7"/>
      <c r="I357" s="109">
        <v>9.1748999999999992</v>
      </c>
      <c r="J357" s="117">
        <v>3374051</v>
      </c>
      <c r="K357" s="120">
        <f t="shared" si="71"/>
        <v>329.81925708699902</v>
      </c>
      <c r="L357" s="122">
        <f t="shared" si="67"/>
        <v>3677479.5300000003</v>
      </c>
      <c r="M357" s="116">
        <f t="shared" si="68"/>
        <v>303428.53000000026</v>
      </c>
      <c r="N357" s="123">
        <f t="shared" si="65"/>
        <v>29.660657869012734</v>
      </c>
      <c r="O357" s="5"/>
      <c r="P357" s="5">
        <f t="shared" si="64"/>
        <v>1</v>
      </c>
      <c r="Q357" s="7">
        <f t="shared" si="66"/>
        <v>10230</v>
      </c>
    </row>
    <row r="358" spans="1:21">
      <c r="A358" s="23" t="s">
        <v>386</v>
      </c>
      <c r="B358" s="35" t="s">
        <v>383</v>
      </c>
      <c r="C358" s="36">
        <v>875</v>
      </c>
      <c r="D358" s="113">
        <v>42649213</v>
      </c>
      <c r="E358" s="116">
        <f t="shared" si="69"/>
        <v>48741.957714285716</v>
      </c>
      <c r="F358" s="117">
        <v>27007258</v>
      </c>
      <c r="G358" s="117">
        <f t="shared" si="70"/>
        <v>30865.437714285716</v>
      </c>
      <c r="H358" s="7"/>
      <c r="I358" s="109">
        <v>5.7873999999999999</v>
      </c>
      <c r="J358" s="117">
        <v>156302</v>
      </c>
      <c r="K358" s="120">
        <f t="shared" si="71"/>
        <v>178.63085714285714</v>
      </c>
      <c r="L358" s="122">
        <f t="shared" si="67"/>
        <v>270072.58</v>
      </c>
      <c r="M358" s="116">
        <f t="shared" si="68"/>
        <v>113770.58000000002</v>
      </c>
      <c r="N358" s="123">
        <f t="shared" si="65"/>
        <v>130.02352000000002</v>
      </c>
      <c r="O358" s="5"/>
      <c r="P358" s="5">
        <f t="shared" si="64"/>
        <v>1</v>
      </c>
      <c r="Q358" s="7">
        <f t="shared" si="66"/>
        <v>875</v>
      </c>
    </row>
    <row r="359" spans="1:21">
      <c r="A359" s="23" t="s">
        <v>387</v>
      </c>
      <c r="B359" s="35" t="s">
        <v>383</v>
      </c>
      <c r="C359" s="36">
        <v>715</v>
      </c>
      <c r="D359" s="113">
        <v>65929363</v>
      </c>
      <c r="E359" s="116">
        <f t="shared" si="69"/>
        <v>92208.899300699297</v>
      </c>
      <c r="F359" s="117">
        <v>50612608</v>
      </c>
      <c r="G359" s="117">
        <f t="shared" si="70"/>
        <v>70786.86433566433</v>
      </c>
      <c r="H359" s="7"/>
      <c r="I359" s="109">
        <v>5.5049999999999999</v>
      </c>
      <c r="J359" s="117">
        <v>278622</v>
      </c>
      <c r="K359" s="120">
        <f t="shared" si="71"/>
        <v>389.68111888111889</v>
      </c>
      <c r="L359" s="122">
        <f t="shared" si="67"/>
        <v>506126.08000000002</v>
      </c>
      <c r="M359" s="116">
        <f t="shared" si="68"/>
        <v>227504.08000000002</v>
      </c>
      <c r="N359" s="123">
        <f t="shared" si="65"/>
        <v>318.18752447552453</v>
      </c>
      <c r="O359" s="5"/>
      <c r="P359" s="5">
        <f t="shared" si="64"/>
        <v>1</v>
      </c>
      <c r="Q359" s="7">
        <f t="shared" si="66"/>
        <v>715</v>
      </c>
      <c r="S359" s="124">
        <f>SUM(D355:D359)</f>
        <v>1038186492</v>
      </c>
      <c r="T359" s="124">
        <f>SUM(F355:F359)</f>
        <v>549709347</v>
      </c>
      <c r="U359" s="124">
        <f>SUM(J355:J359)</f>
        <v>4715466</v>
      </c>
    </row>
    <row r="360" spans="1:21">
      <c r="A360" s="23" t="s">
        <v>390</v>
      </c>
      <c r="B360" s="35" t="s">
        <v>391</v>
      </c>
      <c r="C360" s="36">
        <v>5805</v>
      </c>
      <c r="D360" s="113">
        <v>988016405</v>
      </c>
      <c r="E360" s="116">
        <f t="shared" si="69"/>
        <v>170200.93109388457</v>
      </c>
      <c r="F360" s="117">
        <v>650108716</v>
      </c>
      <c r="G360" s="117">
        <f t="shared" si="70"/>
        <v>111991.16554694228</v>
      </c>
      <c r="H360" s="9"/>
      <c r="I360" s="109">
        <v>1.9722999999999999</v>
      </c>
      <c r="J360" s="117">
        <v>1282209</v>
      </c>
      <c r="K360" s="120">
        <f t="shared" si="71"/>
        <v>220.88010335917312</v>
      </c>
      <c r="L360" s="122">
        <f t="shared" si="67"/>
        <v>6501087.1600000001</v>
      </c>
      <c r="M360" s="116">
        <f t="shared" si="68"/>
        <v>5218878.16</v>
      </c>
      <c r="N360" s="123">
        <f t="shared" si="65"/>
        <v>899.03155211024978</v>
      </c>
      <c r="O360" s="5"/>
      <c r="P360" s="5">
        <f t="shared" si="64"/>
        <v>1</v>
      </c>
      <c r="Q360" s="7">
        <f t="shared" si="66"/>
        <v>5805</v>
      </c>
    </row>
    <row r="361" spans="1:21">
      <c r="A361" s="23" t="s">
        <v>392</v>
      </c>
      <c r="B361" s="35" t="s">
        <v>391</v>
      </c>
      <c r="C361" s="36">
        <v>556</v>
      </c>
      <c r="D361" s="113">
        <v>59421079</v>
      </c>
      <c r="E361" s="116">
        <f t="shared" si="69"/>
        <v>106872.44424460431</v>
      </c>
      <c r="F361" s="117">
        <v>41062563</v>
      </c>
      <c r="G361" s="117">
        <f t="shared" si="70"/>
        <v>73853.530575539568</v>
      </c>
      <c r="H361" s="9"/>
      <c r="I361" s="109">
        <v>2</v>
      </c>
      <c r="J361" s="117">
        <v>82125</v>
      </c>
      <c r="K361" s="120">
        <f t="shared" si="71"/>
        <v>147.7068345323741</v>
      </c>
      <c r="L361" s="122">
        <f t="shared" si="67"/>
        <v>410625.63</v>
      </c>
      <c r="M361" s="116">
        <f t="shared" si="68"/>
        <v>328500.63</v>
      </c>
      <c r="N361" s="123">
        <f t="shared" si="65"/>
        <v>590.82847122302155</v>
      </c>
      <c r="O361" s="5"/>
      <c r="P361" s="5">
        <f t="shared" si="64"/>
        <v>1</v>
      </c>
      <c r="Q361" s="7">
        <f t="shared" si="66"/>
        <v>556</v>
      </c>
    </row>
    <row r="362" spans="1:21">
      <c r="A362" s="23" t="s">
        <v>393</v>
      </c>
      <c r="B362" s="35" t="s">
        <v>391</v>
      </c>
      <c r="C362" s="36">
        <v>9187</v>
      </c>
      <c r="D362" s="113">
        <v>532992453</v>
      </c>
      <c r="E362" s="116">
        <f t="shared" si="69"/>
        <v>58015.941330140413</v>
      </c>
      <c r="F362" s="117">
        <v>297385508</v>
      </c>
      <c r="G362" s="117">
        <f t="shared" si="70"/>
        <v>32370.252313051049</v>
      </c>
      <c r="H362" s="9"/>
      <c r="I362" s="109">
        <v>3.2372999999999998</v>
      </c>
      <c r="J362" s="117">
        <v>962726</v>
      </c>
      <c r="K362" s="120">
        <f t="shared" si="71"/>
        <v>104.79220637857843</v>
      </c>
      <c r="L362" s="122">
        <f t="shared" si="67"/>
        <v>2973855.08</v>
      </c>
      <c r="M362" s="116">
        <f t="shared" si="68"/>
        <v>2011129.08</v>
      </c>
      <c r="N362" s="123">
        <f t="shared" si="65"/>
        <v>218.91031675193207</v>
      </c>
      <c r="O362" s="5"/>
      <c r="P362" s="5">
        <f t="shared" si="64"/>
        <v>1</v>
      </c>
      <c r="Q362" s="7">
        <f t="shared" si="66"/>
        <v>9187</v>
      </c>
      <c r="S362" s="124">
        <f>SUM(D360:D362)</f>
        <v>1580429937</v>
      </c>
      <c r="T362" s="124">
        <f>SUM(F360:F362)</f>
        <v>988556787</v>
      </c>
      <c r="U362" s="124">
        <f>SUM(J360:J362)</f>
        <v>2327060</v>
      </c>
    </row>
    <row r="363" spans="1:21">
      <c r="A363" s="23" t="s">
        <v>394</v>
      </c>
      <c r="B363" s="35" t="s">
        <v>395</v>
      </c>
      <c r="C363" s="36">
        <v>59231</v>
      </c>
      <c r="D363" s="113">
        <v>3696341143</v>
      </c>
      <c r="E363" s="116">
        <f t="shared" si="69"/>
        <v>62405.516418767198</v>
      </c>
      <c r="F363" s="117">
        <v>2421145761</v>
      </c>
      <c r="G363" s="117">
        <f t="shared" si="70"/>
        <v>40876.327615606693</v>
      </c>
      <c r="H363" s="7"/>
      <c r="I363" s="109">
        <v>3.4474</v>
      </c>
      <c r="J363" s="117">
        <v>8346658</v>
      </c>
      <c r="K363" s="120">
        <f t="shared" si="71"/>
        <v>140.91705356992117</v>
      </c>
      <c r="L363" s="122">
        <f t="shared" si="67"/>
        <v>24211457.609999999</v>
      </c>
      <c r="M363" s="116">
        <f t="shared" si="68"/>
        <v>15864799.609999999</v>
      </c>
      <c r="N363" s="123">
        <f t="shared" si="65"/>
        <v>267.84622258614576</v>
      </c>
      <c r="O363" s="5"/>
      <c r="P363" s="5">
        <f t="shared" si="64"/>
        <v>1</v>
      </c>
      <c r="Q363" s="7">
        <f t="shared" si="66"/>
        <v>59231</v>
      </c>
    </row>
    <row r="364" spans="1:21">
      <c r="A364" s="23" t="s">
        <v>395</v>
      </c>
      <c r="B364" s="35" t="s">
        <v>395</v>
      </c>
      <c r="C364" s="36">
        <v>52689</v>
      </c>
      <c r="D364" s="113">
        <v>10522331827</v>
      </c>
      <c r="E364" s="116">
        <f t="shared" si="69"/>
        <v>199706.42500332138</v>
      </c>
      <c r="F364" s="117">
        <v>7176240866</v>
      </c>
      <c r="G364" s="117">
        <f t="shared" si="70"/>
        <v>136199.98227333979</v>
      </c>
      <c r="H364" s="7"/>
      <c r="I364" s="109">
        <v>3.1276000000000002</v>
      </c>
      <c r="J364" s="117">
        <v>22444411</v>
      </c>
      <c r="K364" s="120">
        <f t="shared" si="71"/>
        <v>425.97906583916949</v>
      </c>
      <c r="L364" s="122">
        <f t="shared" si="67"/>
        <v>71762408.659999996</v>
      </c>
      <c r="M364" s="116">
        <f t="shared" si="68"/>
        <v>49317997.659999996</v>
      </c>
      <c r="N364" s="123">
        <f t="shared" si="65"/>
        <v>936.02075689422838</v>
      </c>
      <c r="O364" s="5"/>
      <c r="P364" s="5">
        <f t="shared" si="64"/>
        <v>1</v>
      </c>
      <c r="Q364" s="7">
        <f t="shared" si="66"/>
        <v>52689</v>
      </c>
    </row>
    <row r="365" spans="1:21">
      <c r="A365" s="23" t="s">
        <v>396</v>
      </c>
      <c r="B365" s="35" t="s">
        <v>395</v>
      </c>
      <c r="C365" s="36">
        <v>21117</v>
      </c>
      <c r="D365" s="113">
        <v>3642148209</v>
      </c>
      <c r="E365" s="116">
        <f t="shared" si="69"/>
        <v>172474.69853672397</v>
      </c>
      <c r="F365" s="117">
        <v>2801997020</v>
      </c>
      <c r="G365" s="117">
        <f t="shared" si="70"/>
        <v>132689.16133920537</v>
      </c>
      <c r="H365" s="7"/>
      <c r="I365" s="109">
        <v>3.1</v>
      </c>
      <c r="J365" s="117">
        <v>8686191</v>
      </c>
      <c r="K365" s="120">
        <f t="shared" si="71"/>
        <v>411.33641142207699</v>
      </c>
      <c r="L365" s="122">
        <f t="shared" si="67"/>
        <v>28019970.199999999</v>
      </c>
      <c r="M365" s="116">
        <f t="shared" si="68"/>
        <v>19333779.199999999</v>
      </c>
      <c r="N365" s="123">
        <f t="shared" si="65"/>
        <v>915.55520196997679</v>
      </c>
      <c r="O365" s="5"/>
      <c r="P365" s="5">
        <f t="shared" si="64"/>
        <v>1</v>
      </c>
      <c r="Q365" s="7">
        <f t="shared" si="66"/>
        <v>21117</v>
      </c>
      <c r="S365" s="124">
        <f>SUM(D363:D365)</f>
        <v>17860821179</v>
      </c>
      <c r="T365" s="124">
        <f>SUM(F363:F365)</f>
        <v>12399383647</v>
      </c>
      <c r="U365" s="124">
        <f>SUM(J363:J365)</f>
        <v>39477260</v>
      </c>
    </row>
    <row r="366" spans="1:21">
      <c r="A366" s="23" t="s">
        <v>397</v>
      </c>
      <c r="B366" s="35" t="s">
        <v>360</v>
      </c>
      <c r="C366" s="36">
        <v>42495</v>
      </c>
      <c r="D366" s="113">
        <v>3049897588</v>
      </c>
      <c r="E366" s="116">
        <f t="shared" si="69"/>
        <v>71770.739804682904</v>
      </c>
      <c r="F366" s="117">
        <v>2364844964</v>
      </c>
      <c r="G366" s="117">
        <f t="shared" si="70"/>
        <v>55649.957971526062</v>
      </c>
      <c r="H366" s="7"/>
      <c r="I366" s="109">
        <v>2.89</v>
      </c>
      <c r="J366" s="117">
        <v>6834402</v>
      </c>
      <c r="K366" s="120">
        <f t="shared" si="71"/>
        <v>160.82837980938933</v>
      </c>
      <c r="L366" s="122">
        <f t="shared" si="67"/>
        <v>23648449.640000001</v>
      </c>
      <c r="M366" s="116">
        <f t="shared" si="68"/>
        <v>16814047.640000001</v>
      </c>
      <c r="N366" s="123">
        <f t="shared" si="65"/>
        <v>395.67119990587128</v>
      </c>
      <c r="O366" s="5"/>
      <c r="P366" s="5">
        <f t="shared" si="64"/>
        <v>1</v>
      </c>
      <c r="Q366" s="7">
        <f t="shared" si="66"/>
        <v>42495</v>
      </c>
    </row>
    <row r="367" spans="1:21">
      <c r="A367" s="23" t="s">
        <v>398</v>
      </c>
      <c r="B367" s="35" t="s">
        <v>360</v>
      </c>
      <c r="C367" s="36">
        <v>27057</v>
      </c>
      <c r="D367" s="113">
        <v>1411533957</v>
      </c>
      <c r="E367" s="116">
        <f t="shared" si="69"/>
        <v>52168.901097682668</v>
      </c>
      <c r="F367" s="117">
        <v>1056812433</v>
      </c>
      <c r="G367" s="117">
        <f t="shared" si="70"/>
        <v>39058.743874043685</v>
      </c>
      <c r="H367" s="7"/>
      <c r="I367" s="109">
        <v>5.45</v>
      </c>
      <c r="J367" s="117">
        <v>5759628</v>
      </c>
      <c r="K367" s="120">
        <f t="shared" si="71"/>
        <v>212.87016298924493</v>
      </c>
      <c r="L367" s="122">
        <f t="shared" si="67"/>
        <v>10568124.33</v>
      </c>
      <c r="M367" s="116">
        <f t="shared" si="68"/>
        <v>4808496.33</v>
      </c>
      <c r="N367" s="123">
        <f t="shared" si="65"/>
        <v>177.71727575119192</v>
      </c>
      <c r="O367" s="5"/>
      <c r="P367" s="5">
        <f t="shared" si="64"/>
        <v>1</v>
      </c>
      <c r="Q367" s="7">
        <f t="shared" si="66"/>
        <v>27057</v>
      </c>
    </row>
    <row r="368" spans="1:21">
      <c r="A368" s="23" t="s">
        <v>399</v>
      </c>
      <c r="B368" s="35" t="s">
        <v>360</v>
      </c>
      <c r="C368" s="36">
        <v>14740</v>
      </c>
      <c r="D368" s="113">
        <v>2144228388</v>
      </c>
      <c r="E368" s="116">
        <f t="shared" si="69"/>
        <v>145470.03989145183</v>
      </c>
      <c r="F368" s="117">
        <v>1772968319</v>
      </c>
      <c r="G368" s="117">
        <f t="shared" si="70"/>
        <v>120282.78962008141</v>
      </c>
      <c r="H368" s="7"/>
      <c r="I368" s="109">
        <v>3.5895000000000001</v>
      </c>
      <c r="J368" s="117">
        <v>6364070</v>
      </c>
      <c r="K368" s="120">
        <f t="shared" si="71"/>
        <v>431.75508819538669</v>
      </c>
      <c r="L368" s="122">
        <f t="shared" si="67"/>
        <v>17729683.190000001</v>
      </c>
      <c r="M368" s="116">
        <f t="shared" si="68"/>
        <v>11365613.190000001</v>
      </c>
      <c r="N368" s="123">
        <f t="shared" si="65"/>
        <v>771.07280800542753</v>
      </c>
      <c r="O368" s="5"/>
      <c r="P368" s="5">
        <f t="shared" si="64"/>
        <v>1</v>
      </c>
      <c r="Q368" s="7">
        <f t="shared" si="66"/>
        <v>14740</v>
      </c>
    </row>
    <row r="369" spans="1:21">
      <c r="A369" s="23" t="s">
        <v>400</v>
      </c>
      <c r="B369" s="35" t="s">
        <v>360</v>
      </c>
      <c r="C369" s="36">
        <v>13662</v>
      </c>
      <c r="D369" s="113">
        <v>1136735215</v>
      </c>
      <c r="E369" s="116">
        <f t="shared" si="69"/>
        <v>83204.158615136883</v>
      </c>
      <c r="F369" s="117">
        <v>857722544</v>
      </c>
      <c r="G369" s="117">
        <f t="shared" si="70"/>
        <v>62781.623773971602</v>
      </c>
      <c r="H369" s="7"/>
      <c r="I369" s="109">
        <v>5.5</v>
      </c>
      <c r="J369" s="117">
        <v>4717474</v>
      </c>
      <c r="K369" s="120">
        <f t="shared" si="71"/>
        <v>345.29893134240962</v>
      </c>
      <c r="L369" s="122">
        <f t="shared" si="67"/>
        <v>8577225.4399999995</v>
      </c>
      <c r="M369" s="116">
        <f t="shared" si="68"/>
        <v>3859751.4399999995</v>
      </c>
      <c r="N369" s="123">
        <f t="shared" si="65"/>
        <v>282.51730639730636</v>
      </c>
      <c r="O369" s="5"/>
      <c r="P369" s="5">
        <f t="shared" si="64"/>
        <v>1</v>
      </c>
      <c r="Q369" s="7">
        <f t="shared" si="66"/>
        <v>13662</v>
      </c>
    </row>
    <row r="370" spans="1:21">
      <c r="A370" s="23" t="s">
        <v>401</v>
      </c>
      <c r="B370" s="35" t="s">
        <v>360</v>
      </c>
      <c r="C370" s="36">
        <v>34965</v>
      </c>
      <c r="D370" s="113">
        <v>2560462278</v>
      </c>
      <c r="E370" s="116">
        <f t="shared" si="69"/>
        <v>73229.294380094376</v>
      </c>
      <c r="F370" s="117">
        <v>1905913670</v>
      </c>
      <c r="G370" s="117">
        <f t="shared" si="70"/>
        <v>54509.185471185468</v>
      </c>
      <c r="H370" s="7"/>
      <c r="I370" s="109">
        <v>4.8625999999999996</v>
      </c>
      <c r="J370" s="117">
        <v>9267696</v>
      </c>
      <c r="K370" s="120">
        <f t="shared" si="71"/>
        <v>265.05637065637063</v>
      </c>
      <c r="L370" s="122">
        <f t="shared" si="67"/>
        <v>19059136.699999999</v>
      </c>
      <c r="M370" s="116">
        <f t="shared" si="68"/>
        <v>9791440.6999999993</v>
      </c>
      <c r="N370" s="123">
        <f t="shared" si="65"/>
        <v>280.03548405548406</v>
      </c>
      <c r="O370" s="5"/>
      <c r="P370" s="5">
        <f t="shared" si="64"/>
        <v>1</v>
      </c>
      <c r="Q370" s="7">
        <f t="shared" si="66"/>
        <v>34965</v>
      </c>
    </row>
    <row r="371" spans="1:21">
      <c r="A371" s="23" t="s">
        <v>402</v>
      </c>
      <c r="B371" s="35" t="s">
        <v>360</v>
      </c>
      <c r="C371" s="36">
        <v>53867</v>
      </c>
      <c r="D371" s="113">
        <v>3300961211</v>
      </c>
      <c r="E371" s="116">
        <f t="shared" si="69"/>
        <v>61279.841294298923</v>
      </c>
      <c r="F371" s="117">
        <v>2331000743</v>
      </c>
      <c r="G371" s="117">
        <f t="shared" si="70"/>
        <v>43273.260864722375</v>
      </c>
      <c r="H371" s="7"/>
      <c r="I371" s="109">
        <v>6.8250000000000002</v>
      </c>
      <c r="J371" s="117">
        <v>15909080</v>
      </c>
      <c r="K371" s="120">
        <f t="shared" si="71"/>
        <v>295.34000408413317</v>
      </c>
      <c r="L371" s="122">
        <f t="shared" si="67"/>
        <v>23310007.43</v>
      </c>
      <c r="M371" s="116">
        <f t="shared" si="68"/>
        <v>7400927.4299999997</v>
      </c>
      <c r="N371" s="123">
        <f t="shared" si="65"/>
        <v>137.39260456309057</v>
      </c>
      <c r="O371" s="5"/>
      <c r="P371" s="5">
        <f t="shared" si="64"/>
        <v>1</v>
      </c>
      <c r="Q371" s="7">
        <f t="shared" si="66"/>
        <v>53867</v>
      </c>
    </row>
    <row r="372" spans="1:21">
      <c r="A372" s="23" t="s">
        <v>403</v>
      </c>
      <c r="B372" s="35" t="s">
        <v>360</v>
      </c>
      <c r="C372" s="36">
        <v>34066</v>
      </c>
      <c r="D372" s="113">
        <v>2265446316</v>
      </c>
      <c r="E372" s="116">
        <f t="shared" si="69"/>
        <v>66501.682498679031</v>
      </c>
      <c r="F372" s="117">
        <v>1639667121</v>
      </c>
      <c r="G372" s="117">
        <f t="shared" si="70"/>
        <v>48132.070715669586</v>
      </c>
      <c r="H372" s="7"/>
      <c r="I372" s="109">
        <v>2.4300000000000002</v>
      </c>
      <c r="J372" s="117">
        <v>3984391</v>
      </c>
      <c r="K372" s="120">
        <f t="shared" si="71"/>
        <v>116.96092878529913</v>
      </c>
      <c r="L372" s="122">
        <f t="shared" si="67"/>
        <v>16396671.210000001</v>
      </c>
      <c r="M372" s="116">
        <f t="shared" si="68"/>
        <v>12412280.210000001</v>
      </c>
      <c r="N372" s="123">
        <f t="shared" si="65"/>
        <v>364.35977837139671</v>
      </c>
      <c r="O372" s="5"/>
      <c r="P372" s="5">
        <f t="shared" si="64"/>
        <v>1</v>
      </c>
      <c r="Q372" s="7">
        <f t="shared" si="66"/>
        <v>34066</v>
      </c>
      <c r="S372" s="124">
        <f>SUM(D366:D372)</f>
        <v>15869264953</v>
      </c>
      <c r="T372" s="124">
        <f>SUM(F366:F372)</f>
        <v>11928929794</v>
      </c>
      <c r="U372" s="124">
        <f>SUM(J366:J372)</f>
        <v>52836741</v>
      </c>
    </row>
    <row r="373" spans="1:21">
      <c r="A373" s="23" t="s">
        <v>388</v>
      </c>
      <c r="B373" s="37" t="s">
        <v>551</v>
      </c>
      <c r="C373" s="36">
        <v>615</v>
      </c>
      <c r="D373" s="113">
        <v>35366683</v>
      </c>
      <c r="E373" s="116">
        <f t="shared" si="69"/>
        <v>57506.801626016262</v>
      </c>
      <c r="F373" s="117">
        <v>22536786</v>
      </c>
      <c r="G373" s="117">
        <f t="shared" si="70"/>
        <v>36645.180487804879</v>
      </c>
      <c r="H373" s="7"/>
      <c r="I373" s="109">
        <v>8.6</v>
      </c>
      <c r="J373" s="117">
        <v>193816</v>
      </c>
      <c r="K373" s="120">
        <f t="shared" si="71"/>
        <v>315.14796747967478</v>
      </c>
      <c r="L373" s="122">
        <f t="shared" si="67"/>
        <v>225367.86000000002</v>
      </c>
      <c r="M373" s="116">
        <f t="shared" si="68"/>
        <v>31551.860000000015</v>
      </c>
      <c r="N373" s="123">
        <f t="shared" si="65"/>
        <v>51.303837398374007</v>
      </c>
      <c r="O373" s="5"/>
      <c r="P373" s="5">
        <f t="shared" si="64"/>
        <v>1</v>
      </c>
      <c r="Q373" s="7">
        <f t="shared" si="66"/>
        <v>615</v>
      </c>
    </row>
    <row r="374" spans="1:21">
      <c r="A374" s="24" t="s">
        <v>549</v>
      </c>
      <c r="B374" s="37" t="s">
        <v>551</v>
      </c>
      <c r="C374" s="36">
        <v>13271</v>
      </c>
      <c r="D374" s="113">
        <v>1793541022</v>
      </c>
      <c r="E374" s="116">
        <f t="shared" ref="E374:E380" si="72">(D374/C374)</f>
        <v>135147.39070152966</v>
      </c>
      <c r="F374" s="117">
        <v>1115514950</v>
      </c>
      <c r="G374" s="117">
        <f t="shared" ref="G374:G380" si="73">(F374/C374)</f>
        <v>84056.585788561526</v>
      </c>
      <c r="H374" s="7"/>
      <c r="I374" s="109">
        <v>7.5</v>
      </c>
      <c r="J374" s="117">
        <v>8366362</v>
      </c>
      <c r="K374" s="120">
        <f t="shared" si="71"/>
        <v>630.42438399517744</v>
      </c>
      <c r="L374" s="122">
        <f t="shared" si="67"/>
        <v>11155149.5</v>
      </c>
      <c r="M374" s="116">
        <f t="shared" si="68"/>
        <v>2788787.5</v>
      </c>
      <c r="N374" s="123">
        <f t="shared" si="65"/>
        <v>210.14147389043779</v>
      </c>
      <c r="O374" s="5"/>
      <c r="P374" s="5">
        <f t="shared" si="64"/>
        <v>1</v>
      </c>
      <c r="Q374" s="7">
        <f t="shared" si="66"/>
        <v>13271</v>
      </c>
    </row>
    <row r="375" spans="1:21">
      <c r="A375" s="24" t="s">
        <v>550</v>
      </c>
      <c r="B375" s="37" t="s">
        <v>551</v>
      </c>
      <c r="C375" s="36">
        <v>6351</v>
      </c>
      <c r="D375" s="113">
        <v>1033580912</v>
      </c>
      <c r="E375" s="116">
        <f t="shared" si="72"/>
        <v>162743.01873720673</v>
      </c>
      <c r="F375" s="117">
        <v>863250103</v>
      </c>
      <c r="G375" s="117">
        <f t="shared" si="73"/>
        <v>135923.49283577388</v>
      </c>
      <c r="H375" s="7"/>
      <c r="I375" s="109">
        <v>2.3992</v>
      </c>
      <c r="J375" s="117">
        <v>2071110</v>
      </c>
      <c r="K375" s="120">
        <f t="shared" si="71"/>
        <v>326.10769957487008</v>
      </c>
      <c r="L375" s="122">
        <f t="shared" si="67"/>
        <v>8632501.0299999993</v>
      </c>
      <c r="M375" s="116">
        <f t="shared" si="68"/>
        <v>6561391.0299999993</v>
      </c>
      <c r="N375" s="123">
        <f t="shared" si="65"/>
        <v>1033.1272287828688</v>
      </c>
      <c r="O375" s="5"/>
      <c r="P375" s="5">
        <f t="shared" si="64"/>
        <v>1</v>
      </c>
      <c r="Q375" s="7">
        <f t="shared" si="66"/>
        <v>6351</v>
      </c>
      <c r="S375" s="124">
        <f>SUM(D373:D375)</f>
        <v>2862488617</v>
      </c>
      <c r="T375" s="124">
        <f>SUM(F373:F375)</f>
        <v>2001301839</v>
      </c>
      <c r="U375" s="124">
        <f>SUM(J373:J375)</f>
        <v>10631288</v>
      </c>
    </row>
    <row r="376" spans="1:21">
      <c r="A376" s="23" t="s">
        <v>389</v>
      </c>
      <c r="B376" s="37" t="s">
        <v>552</v>
      </c>
      <c r="C376" s="36">
        <v>41729</v>
      </c>
      <c r="D376" s="113">
        <v>3068996414</v>
      </c>
      <c r="E376" s="116">
        <f t="shared" si="72"/>
        <v>73545.889285628698</v>
      </c>
      <c r="F376" s="117">
        <v>1857631568</v>
      </c>
      <c r="G376" s="117">
        <f t="shared" si="73"/>
        <v>44516.560856957993</v>
      </c>
      <c r="H376" s="7"/>
      <c r="I376" s="109">
        <v>6.6050000000000004</v>
      </c>
      <c r="J376" s="117">
        <v>12269657</v>
      </c>
      <c r="K376" s="120">
        <f t="shared" si="71"/>
        <v>294.03189628316039</v>
      </c>
      <c r="L376" s="122">
        <f t="shared" si="67"/>
        <v>18576315.68</v>
      </c>
      <c r="M376" s="116">
        <f t="shared" si="68"/>
        <v>6306658.6799999997</v>
      </c>
      <c r="N376" s="123">
        <f t="shared" si="65"/>
        <v>151.1337122864195</v>
      </c>
      <c r="O376" s="5"/>
      <c r="P376" s="5">
        <f t="shared" si="64"/>
        <v>1</v>
      </c>
      <c r="Q376" s="7">
        <f t="shared" si="66"/>
        <v>41729</v>
      </c>
    </row>
    <row r="377" spans="1:21">
      <c r="A377" s="24" t="s">
        <v>553</v>
      </c>
      <c r="B377" s="37" t="s">
        <v>552</v>
      </c>
      <c r="C377" s="36">
        <v>167914</v>
      </c>
      <c r="D377" s="113">
        <v>9592029786</v>
      </c>
      <c r="E377" s="116">
        <f t="shared" si="72"/>
        <v>57124.657777195469</v>
      </c>
      <c r="F377" s="117">
        <v>6385069093</v>
      </c>
      <c r="G377" s="117">
        <f t="shared" si="73"/>
        <v>38025.829251878939</v>
      </c>
      <c r="H377" s="7"/>
      <c r="I377" s="109">
        <v>4.4096000000000002</v>
      </c>
      <c r="J377" s="117">
        <v>28155601</v>
      </c>
      <c r="K377" s="120">
        <f t="shared" si="71"/>
        <v>167.67869861953142</v>
      </c>
      <c r="L377" s="122">
        <f t="shared" si="67"/>
        <v>63850690.93</v>
      </c>
      <c r="M377" s="116">
        <f t="shared" si="68"/>
        <v>35695089.93</v>
      </c>
      <c r="N377" s="123">
        <f t="shared" si="65"/>
        <v>212.57959389925796</v>
      </c>
      <c r="O377" s="5"/>
      <c r="P377" s="5">
        <f t="shared" si="64"/>
        <v>1</v>
      </c>
      <c r="Q377" s="7">
        <f t="shared" si="66"/>
        <v>167914</v>
      </c>
    </row>
    <row r="378" spans="1:21">
      <c r="A378" s="24" t="s">
        <v>554</v>
      </c>
      <c r="B378" s="37" t="s">
        <v>552</v>
      </c>
      <c r="C378" s="36">
        <v>588</v>
      </c>
      <c r="D378" s="113">
        <v>74254910</v>
      </c>
      <c r="E378" s="116">
        <f t="shared" si="72"/>
        <v>126283.86054421769</v>
      </c>
      <c r="F378" s="117">
        <v>55063583</v>
      </c>
      <c r="G378" s="117">
        <f t="shared" si="73"/>
        <v>93645.549319727885</v>
      </c>
      <c r="H378" s="7"/>
      <c r="I378" s="109">
        <v>1.72</v>
      </c>
      <c r="J378" s="117">
        <v>94709</v>
      </c>
      <c r="K378" s="120">
        <f t="shared" si="71"/>
        <v>161.06972789115648</v>
      </c>
      <c r="L378" s="122">
        <f t="shared" si="67"/>
        <v>550635.82999999996</v>
      </c>
      <c r="M378" s="116">
        <f t="shared" si="68"/>
        <v>455926.82999999996</v>
      </c>
      <c r="N378" s="123">
        <f t="shared" si="65"/>
        <v>775.38576530612238</v>
      </c>
      <c r="O378" s="5"/>
      <c r="P378" s="5">
        <f t="shared" si="64"/>
        <v>1</v>
      </c>
      <c r="Q378" s="7">
        <f t="shared" si="66"/>
        <v>588</v>
      </c>
      <c r="S378" s="124">
        <f>SUM(D376:D378)</f>
        <v>12735281110</v>
      </c>
      <c r="T378" s="124">
        <f>SUM(F376:F378)</f>
        <v>8297764244</v>
      </c>
      <c r="U378" s="124">
        <f>SUM(J376:J378)</f>
        <v>40519967</v>
      </c>
    </row>
    <row r="379" spans="1:21">
      <c r="A379" s="23" t="s">
        <v>404</v>
      </c>
      <c r="B379" s="35" t="s">
        <v>405</v>
      </c>
      <c r="C379" s="36">
        <v>2462</v>
      </c>
      <c r="D379" s="113">
        <v>177209940</v>
      </c>
      <c r="E379" s="116">
        <f t="shared" si="72"/>
        <v>71978.042242079609</v>
      </c>
      <c r="F379" s="117">
        <v>116389344</v>
      </c>
      <c r="G379" s="117">
        <f t="shared" si="73"/>
        <v>47274.307067424859</v>
      </c>
      <c r="H379" s="9"/>
      <c r="I379" s="109">
        <v>4.9691999999999998</v>
      </c>
      <c r="J379" s="117">
        <v>578362</v>
      </c>
      <c r="K379" s="120">
        <f t="shared" si="71"/>
        <v>234.91551584077985</v>
      </c>
      <c r="L379" s="122">
        <f t="shared" si="67"/>
        <v>1163893.44</v>
      </c>
      <c r="M379" s="116">
        <f t="shared" si="68"/>
        <v>585531.43999999994</v>
      </c>
      <c r="N379" s="123">
        <f t="shared" si="65"/>
        <v>237.8275548334687</v>
      </c>
      <c r="O379" s="5"/>
      <c r="P379" s="5">
        <f t="shared" si="64"/>
        <v>1</v>
      </c>
      <c r="Q379" s="7">
        <f t="shared" si="66"/>
        <v>2462</v>
      </c>
    </row>
    <row r="380" spans="1:21">
      <c r="A380" s="23" t="s">
        <v>406</v>
      </c>
      <c r="B380" s="35" t="s">
        <v>405</v>
      </c>
      <c r="C380" s="36">
        <v>955</v>
      </c>
      <c r="D380" s="113">
        <v>42092651</v>
      </c>
      <c r="E380" s="116">
        <f t="shared" si="72"/>
        <v>44076.074345549736</v>
      </c>
      <c r="F380" s="117">
        <v>24985642</v>
      </c>
      <c r="G380" s="117">
        <f t="shared" si="73"/>
        <v>26162.975916230367</v>
      </c>
      <c r="H380" s="9"/>
      <c r="I380" s="109">
        <v>4.5015000000000001</v>
      </c>
      <c r="J380" s="117">
        <v>112473</v>
      </c>
      <c r="K380" s="120">
        <f t="shared" si="71"/>
        <v>117.77277486910995</v>
      </c>
      <c r="L380" s="122">
        <f t="shared" si="67"/>
        <v>249856.42</v>
      </c>
      <c r="M380" s="116">
        <f t="shared" si="68"/>
        <v>137383.42000000001</v>
      </c>
      <c r="N380" s="123">
        <f t="shared" si="65"/>
        <v>143.85698429319373</v>
      </c>
      <c r="O380" s="5"/>
      <c r="P380" s="5">
        <f t="shared" si="64"/>
        <v>1</v>
      </c>
      <c r="Q380" s="7">
        <f t="shared" si="66"/>
        <v>955</v>
      </c>
    </row>
    <row r="381" spans="1:21">
      <c r="A381" s="23" t="s">
        <v>407</v>
      </c>
      <c r="B381" s="35" t="s">
        <v>405</v>
      </c>
      <c r="C381" s="36">
        <v>695</v>
      </c>
      <c r="D381" s="114" t="s">
        <v>564</v>
      </c>
      <c r="E381" s="116"/>
      <c r="F381" s="117"/>
      <c r="G381" s="117"/>
      <c r="H381" s="98" t="s">
        <v>588</v>
      </c>
      <c r="I381" s="109"/>
      <c r="J381" s="117"/>
      <c r="K381" s="120"/>
      <c r="L381" s="122">
        <f t="shared" si="67"/>
        <v>0</v>
      </c>
      <c r="M381" s="116">
        <f t="shared" si="68"/>
        <v>0</v>
      </c>
      <c r="N381" s="123">
        <f t="shared" si="65"/>
        <v>0</v>
      </c>
      <c r="O381" s="5"/>
      <c r="P381" s="5">
        <f t="shared" si="64"/>
        <v>0</v>
      </c>
      <c r="Q381" s="7">
        <f t="shared" si="66"/>
        <v>0</v>
      </c>
    </row>
    <row r="382" spans="1:21">
      <c r="A382" s="23" t="s">
        <v>408</v>
      </c>
      <c r="B382" s="35" t="s">
        <v>405</v>
      </c>
      <c r="C382" s="36">
        <v>754</v>
      </c>
      <c r="D382" s="113">
        <v>23078584</v>
      </c>
      <c r="E382" s="116">
        <f t="shared" ref="E382:E387" si="74">(D382/C382)</f>
        <v>30608.201591511937</v>
      </c>
      <c r="F382" s="117">
        <v>14770902</v>
      </c>
      <c r="G382" s="117">
        <f t="shared" ref="G382:G387" si="75">(F382/C382)</f>
        <v>19590.055702917773</v>
      </c>
      <c r="H382" s="7"/>
      <c r="I382" s="110">
        <v>7</v>
      </c>
      <c r="J382" s="117">
        <v>103396</v>
      </c>
      <c r="K382" s="120">
        <f t="shared" ref="K382:K387" si="76">(J382/C382)</f>
        <v>137.12997347480106</v>
      </c>
      <c r="L382" s="122">
        <f t="shared" si="67"/>
        <v>147709.01999999999</v>
      </c>
      <c r="M382" s="116">
        <f t="shared" si="68"/>
        <v>44313.01999999999</v>
      </c>
      <c r="N382" s="123">
        <f t="shared" si="65"/>
        <v>58.770583554376643</v>
      </c>
      <c r="O382" s="5"/>
      <c r="P382" s="5">
        <f t="shared" si="64"/>
        <v>1</v>
      </c>
      <c r="Q382" s="7">
        <f t="shared" si="66"/>
        <v>754</v>
      </c>
    </row>
    <row r="383" spans="1:21">
      <c r="A383" s="23" t="s">
        <v>409</v>
      </c>
      <c r="B383" s="35" t="s">
        <v>405</v>
      </c>
      <c r="C383" s="36">
        <v>7116</v>
      </c>
      <c r="D383" s="113">
        <v>527197835</v>
      </c>
      <c r="E383" s="116">
        <f t="shared" si="74"/>
        <v>74086.261242270935</v>
      </c>
      <c r="F383" s="117">
        <v>398941626</v>
      </c>
      <c r="G383" s="117">
        <f t="shared" si="75"/>
        <v>56062.623102866783</v>
      </c>
      <c r="H383" s="7"/>
      <c r="I383" s="109">
        <v>4.1044</v>
      </c>
      <c r="J383" s="118">
        <v>1637416</v>
      </c>
      <c r="K383" s="120">
        <f t="shared" si="76"/>
        <v>230.10342889263632</v>
      </c>
      <c r="L383" s="122">
        <f t="shared" si="67"/>
        <v>3989416.2600000002</v>
      </c>
      <c r="M383" s="116">
        <f t="shared" si="68"/>
        <v>2352000.2600000002</v>
      </c>
      <c r="N383" s="123">
        <f t="shared" si="65"/>
        <v>330.52280213603149</v>
      </c>
      <c r="O383" s="5"/>
      <c r="P383" s="5">
        <f t="shared" si="64"/>
        <v>1</v>
      </c>
      <c r="Q383" s="7">
        <f t="shared" si="66"/>
        <v>7116</v>
      </c>
      <c r="S383" s="124">
        <f>SUM(D379:D383)</f>
        <v>769579010</v>
      </c>
      <c r="T383" s="124">
        <f>SUM(F379:F383)</f>
        <v>555087514</v>
      </c>
      <c r="U383" s="124">
        <f>SUM(J379:J383)</f>
        <v>2431647</v>
      </c>
    </row>
    <row r="384" spans="1:21">
      <c r="A384" s="23" t="s">
        <v>410</v>
      </c>
      <c r="B384" s="35" t="s">
        <v>411</v>
      </c>
      <c r="C384" s="36">
        <v>694</v>
      </c>
      <c r="D384" s="113">
        <v>41373834</v>
      </c>
      <c r="E384" s="116">
        <f t="shared" si="74"/>
        <v>59616.475504322763</v>
      </c>
      <c r="F384" s="117">
        <v>24965596</v>
      </c>
      <c r="G384" s="117">
        <f t="shared" si="75"/>
        <v>35973.481268011528</v>
      </c>
      <c r="H384" s="7"/>
      <c r="I384" s="109">
        <v>4.2572999999999999</v>
      </c>
      <c r="J384" s="117">
        <v>106286</v>
      </c>
      <c r="K384" s="120">
        <f t="shared" si="76"/>
        <v>153.14985590778099</v>
      </c>
      <c r="L384" s="122">
        <f t="shared" si="67"/>
        <v>249655.96</v>
      </c>
      <c r="M384" s="116">
        <f t="shared" si="68"/>
        <v>143369.96</v>
      </c>
      <c r="N384" s="123">
        <f t="shared" si="65"/>
        <v>206.58495677233429</v>
      </c>
      <c r="O384" s="5"/>
      <c r="P384" s="5">
        <f t="shared" si="64"/>
        <v>1</v>
      </c>
      <c r="Q384" s="7">
        <f t="shared" si="66"/>
        <v>694</v>
      </c>
    </row>
    <row r="385" spans="1:21">
      <c r="A385" s="23" t="s">
        <v>412</v>
      </c>
      <c r="B385" s="35" t="s">
        <v>411</v>
      </c>
      <c r="C385" s="36">
        <v>6800</v>
      </c>
      <c r="D385" s="113">
        <v>330258373</v>
      </c>
      <c r="E385" s="116">
        <f t="shared" si="74"/>
        <v>48567.407794117644</v>
      </c>
      <c r="F385" s="117">
        <v>208287943</v>
      </c>
      <c r="G385" s="117">
        <f t="shared" si="75"/>
        <v>30630.579852941177</v>
      </c>
      <c r="H385" s="7"/>
      <c r="I385" s="109">
        <v>6.6760000000000002</v>
      </c>
      <c r="J385" s="117">
        <v>1390530</v>
      </c>
      <c r="K385" s="120">
        <f t="shared" si="76"/>
        <v>204.48970588235295</v>
      </c>
      <c r="L385" s="122">
        <f t="shared" si="67"/>
        <v>2082879.43</v>
      </c>
      <c r="M385" s="116">
        <f t="shared" si="68"/>
        <v>692349.42999999993</v>
      </c>
      <c r="N385" s="123">
        <f t="shared" si="65"/>
        <v>101.81609264705881</v>
      </c>
      <c r="O385" s="5"/>
      <c r="P385" s="5">
        <f t="shared" si="64"/>
        <v>1</v>
      </c>
      <c r="Q385" s="7">
        <f t="shared" si="66"/>
        <v>6800</v>
      </c>
      <c r="S385" s="124">
        <f>SUM(D384:D385)</f>
        <v>371632207</v>
      </c>
      <c r="T385" s="124">
        <f>SUM(F384:F385)</f>
        <v>233253539</v>
      </c>
      <c r="U385" s="124">
        <f>SUM(J384:J385)</f>
        <v>1496816</v>
      </c>
    </row>
    <row r="386" spans="1:21">
      <c r="A386" s="23" t="s">
        <v>413</v>
      </c>
      <c r="B386" s="35" t="s">
        <v>414</v>
      </c>
      <c r="C386" s="36">
        <v>7031</v>
      </c>
      <c r="D386" s="113">
        <v>399122126</v>
      </c>
      <c r="E386" s="116">
        <f t="shared" si="74"/>
        <v>56766.054046366095</v>
      </c>
      <c r="F386" s="117">
        <v>224084162</v>
      </c>
      <c r="G386" s="117">
        <f t="shared" si="75"/>
        <v>31870.880671312756</v>
      </c>
      <c r="H386" s="9"/>
      <c r="I386" s="109">
        <v>4.5</v>
      </c>
      <c r="J386" s="117">
        <v>1008379</v>
      </c>
      <c r="K386" s="120">
        <f t="shared" si="76"/>
        <v>143.41900156450006</v>
      </c>
      <c r="L386" s="122">
        <f t="shared" si="67"/>
        <v>2240841.62</v>
      </c>
      <c r="M386" s="116">
        <f t="shared" si="68"/>
        <v>1232462.6200000001</v>
      </c>
      <c r="N386" s="123">
        <f t="shared" si="65"/>
        <v>175.28980514862752</v>
      </c>
      <c r="O386" s="5"/>
      <c r="P386" s="5">
        <f t="shared" si="64"/>
        <v>1</v>
      </c>
      <c r="Q386" s="7">
        <f t="shared" si="66"/>
        <v>7031</v>
      </c>
      <c r="S386" s="124">
        <f>SUM(D386)</f>
        <v>399122126</v>
      </c>
      <c r="T386" s="124">
        <f>SUM(F386)</f>
        <v>224084162</v>
      </c>
      <c r="U386" s="124">
        <f>SUM(J386)</f>
        <v>1008379</v>
      </c>
    </row>
    <row r="387" spans="1:21">
      <c r="A387" s="23" t="s">
        <v>415</v>
      </c>
      <c r="B387" s="35" t="s">
        <v>416</v>
      </c>
      <c r="C387" s="36">
        <v>1872</v>
      </c>
      <c r="D387" s="113">
        <v>67800566</v>
      </c>
      <c r="E387" s="116">
        <f t="shared" si="74"/>
        <v>36218.25106837607</v>
      </c>
      <c r="F387" s="117">
        <v>33676010</v>
      </c>
      <c r="G387" s="117">
        <f t="shared" si="75"/>
        <v>17989.321581196582</v>
      </c>
      <c r="H387" s="9"/>
      <c r="I387" s="109">
        <v>2.2599</v>
      </c>
      <c r="J387" s="117">
        <v>76104</v>
      </c>
      <c r="K387" s="120">
        <f t="shared" si="76"/>
        <v>40.653846153846153</v>
      </c>
      <c r="L387" s="122">
        <f t="shared" si="67"/>
        <v>336760.10000000003</v>
      </c>
      <c r="M387" s="116">
        <f t="shared" si="68"/>
        <v>260656.10000000003</v>
      </c>
      <c r="N387" s="123">
        <f t="shared" si="65"/>
        <v>139.23936965811967</v>
      </c>
      <c r="O387" s="5"/>
      <c r="P387" s="5">
        <f t="shared" si="64"/>
        <v>1</v>
      </c>
      <c r="Q387" s="7">
        <f t="shared" si="66"/>
        <v>1872</v>
      </c>
    </row>
    <row r="388" spans="1:21">
      <c r="A388" s="23" t="s">
        <v>417</v>
      </c>
      <c r="B388" s="35" t="s">
        <v>416</v>
      </c>
      <c r="C388" s="36">
        <v>244</v>
      </c>
      <c r="D388" s="114" t="s">
        <v>564</v>
      </c>
      <c r="E388" s="116"/>
      <c r="F388" s="117"/>
      <c r="G388" s="117"/>
      <c r="H388" s="98" t="s">
        <v>588</v>
      </c>
      <c r="I388" s="109"/>
      <c r="J388" s="117"/>
      <c r="K388" s="120"/>
      <c r="L388" s="122">
        <f t="shared" si="67"/>
        <v>0</v>
      </c>
      <c r="M388" s="116">
        <f t="shared" si="68"/>
        <v>0</v>
      </c>
      <c r="N388" s="123">
        <f t="shared" si="65"/>
        <v>0</v>
      </c>
      <c r="O388" s="5"/>
      <c r="P388" s="5">
        <f t="shared" si="64"/>
        <v>0</v>
      </c>
      <c r="Q388" s="7">
        <f t="shared" si="66"/>
        <v>0</v>
      </c>
    </row>
    <row r="389" spans="1:21">
      <c r="A389" s="23" t="s">
        <v>418</v>
      </c>
      <c r="B389" s="35" t="s">
        <v>416</v>
      </c>
      <c r="C389" s="36">
        <v>391</v>
      </c>
      <c r="D389" s="113">
        <v>11936878</v>
      </c>
      <c r="E389" s="116">
        <f t="shared" ref="E389:E405" si="77">(D389/C389)</f>
        <v>30529.099744245523</v>
      </c>
      <c r="F389" s="117">
        <v>6226245</v>
      </c>
      <c r="G389" s="117">
        <f t="shared" ref="G389:G405" si="78">(F389/C389)</f>
        <v>15923.900255754475</v>
      </c>
      <c r="H389" s="7"/>
      <c r="I389" s="110">
        <v>1.6</v>
      </c>
      <c r="J389" s="117">
        <v>9962</v>
      </c>
      <c r="K389" s="120">
        <f t="shared" ref="K389:K405" si="79">(J389/C389)</f>
        <v>25.478260869565219</v>
      </c>
      <c r="L389" s="122">
        <f t="shared" si="67"/>
        <v>62262.450000000004</v>
      </c>
      <c r="M389" s="116">
        <f t="shared" si="68"/>
        <v>52300.450000000004</v>
      </c>
      <c r="N389" s="123">
        <f t="shared" si="65"/>
        <v>133.76074168797956</v>
      </c>
      <c r="O389" s="5"/>
      <c r="P389" s="5">
        <f t="shared" ref="P389:P415" si="80">IF(I389&gt;0,1,0)</f>
        <v>1</v>
      </c>
      <c r="Q389" s="7">
        <f t="shared" si="66"/>
        <v>391</v>
      </c>
      <c r="S389" s="124">
        <f>SUM(D387:D389)</f>
        <v>79737444</v>
      </c>
      <c r="T389" s="124">
        <f>SUM(F387:F389)</f>
        <v>39902255</v>
      </c>
      <c r="U389" s="124">
        <f>SUM(J387:J389)</f>
        <v>86066</v>
      </c>
    </row>
    <row r="390" spans="1:21">
      <c r="A390" s="23" t="s">
        <v>419</v>
      </c>
      <c r="B390" s="35" t="s">
        <v>420</v>
      </c>
      <c r="C390" s="36">
        <v>61998</v>
      </c>
      <c r="D390" s="113">
        <v>5254767926</v>
      </c>
      <c r="E390" s="116">
        <f t="shared" si="77"/>
        <v>84757.055485660821</v>
      </c>
      <c r="F390" s="117">
        <v>3269265534</v>
      </c>
      <c r="G390" s="117">
        <f t="shared" si="78"/>
        <v>52731.790283557537</v>
      </c>
      <c r="H390" s="7"/>
      <c r="I390" s="109">
        <v>7.2356999999999996</v>
      </c>
      <c r="J390" s="117">
        <v>23655425</v>
      </c>
      <c r="K390" s="120">
        <f t="shared" si="79"/>
        <v>381.55142101358109</v>
      </c>
      <c r="L390" s="122">
        <f t="shared" si="67"/>
        <v>32692655.34</v>
      </c>
      <c r="M390" s="116">
        <f t="shared" si="68"/>
        <v>9037230.3399999999</v>
      </c>
      <c r="N390" s="123">
        <f t="shared" ref="N390:N415" si="81">(M390/C390)</f>
        <v>145.76648182199426</v>
      </c>
      <c r="O390" s="5"/>
      <c r="P390" s="5">
        <f t="shared" si="80"/>
        <v>1</v>
      </c>
      <c r="Q390" s="7">
        <f t="shared" ref="Q390:Q415" si="82">IF(I390&gt;0,C390,0)</f>
        <v>61998</v>
      </c>
    </row>
    <row r="391" spans="1:21">
      <c r="A391" s="23" t="s">
        <v>421</v>
      </c>
      <c r="B391" s="35" t="s">
        <v>420</v>
      </c>
      <c r="C391" s="36">
        <v>4292</v>
      </c>
      <c r="D391" s="113">
        <v>1379455443</v>
      </c>
      <c r="E391" s="116">
        <f t="shared" si="77"/>
        <v>321401.54776328051</v>
      </c>
      <c r="F391" s="117">
        <v>1204762464</v>
      </c>
      <c r="G391" s="117">
        <f t="shared" si="78"/>
        <v>280699.54892823857</v>
      </c>
      <c r="H391" s="7"/>
      <c r="I391" s="109">
        <v>6.28</v>
      </c>
      <c r="J391" s="117">
        <v>7565908</v>
      </c>
      <c r="K391" s="120">
        <f t="shared" si="79"/>
        <v>1762.7931034482758</v>
      </c>
      <c r="L391" s="122">
        <f t="shared" ref="L391:L415" si="83">(F391*0.01)</f>
        <v>12047624.640000001</v>
      </c>
      <c r="M391" s="116">
        <f t="shared" ref="M391:M415" si="84">(L391-J391)</f>
        <v>4481716.6400000006</v>
      </c>
      <c r="N391" s="123">
        <f t="shared" si="81"/>
        <v>1044.2023858341101</v>
      </c>
      <c r="O391" s="5"/>
      <c r="P391" s="5">
        <f t="shared" si="80"/>
        <v>1</v>
      </c>
      <c r="Q391" s="7">
        <f t="shared" si="82"/>
        <v>4292</v>
      </c>
    </row>
    <row r="392" spans="1:21">
      <c r="A392" s="23" t="s">
        <v>462</v>
      </c>
      <c r="B392" s="35" t="s">
        <v>420</v>
      </c>
      <c r="C392" s="36">
        <v>19363</v>
      </c>
      <c r="D392" s="113">
        <v>1808903248</v>
      </c>
      <c r="E392" s="116">
        <f t="shared" si="77"/>
        <v>93420.608789960228</v>
      </c>
      <c r="F392" s="117">
        <v>1435205311</v>
      </c>
      <c r="G392" s="117">
        <f t="shared" si="78"/>
        <v>74121.020038217219</v>
      </c>
      <c r="H392" s="7"/>
      <c r="I392" s="109">
        <v>3.0550000000000002</v>
      </c>
      <c r="J392" s="117">
        <v>4384552</v>
      </c>
      <c r="K392" s="120">
        <f t="shared" si="79"/>
        <v>226.43970459123071</v>
      </c>
      <c r="L392" s="122">
        <f t="shared" si="83"/>
        <v>14352053.109999999</v>
      </c>
      <c r="M392" s="116">
        <f t="shared" si="84"/>
        <v>9967501.1099999994</v>
      </c>
      <c r="N392" s="123">
        <f t="shared" si="81"/>
        <v>514.77049579094148</v>
      </c>
      <c r="O392" s="5"/>
      <c r="P392" s="5">
        <f t="shared" si="80"/>
        <v>1</v>
      </c>
      <c r="Q392" s="7">
        <f t="shared" si="82"/>
        <v>19363</v>
      </c>
    </row>
    <row r="393" spans="1:21">
      <c r="A393" s="23" t="s">
        <v>463</v>
      </c>
      <c r="B393" s="35" t="s">
        <v>420</v>
      </c>
      <c r="C393" s="36">
        <v>28436</v>
      </c>
      <c r="D393" s="113">
        <v>1809144463</v>
      </c>
      <c r="E393" s="116">
        <f t="shared" si="77"/>
        <v>63621.622696581799</v>
      </c>
      <c r="F393" s="117">
        <v>1134638651</v>
      </c>
      <c r="G393" s="117">
        <f t="shared" si="78"/>
        <v>39901.485827823883</v>
      </c>
      <c r="H393" s="7"/>
      <c r="I393" s="109">
        <v>7.2385000000000002</v>
      </c>
      <c r="J393" s="117">
        <v>8213082</v>
      </c>
      <c r="K393" s="120">
        <f t="shared" si="79"/>
        <v>288.82690955127305</v>
      </c>
      <c r="L393" s="122">
        <f t="shared" si="83"/>
        <v>11346386.51</v>
      </c>
      <c r="M393" s="116">
        <f t="shared" si="84"/>
        <v>3133304.51</v>
      </c>
      <c r="N393" s="123">
        <f t="shared" si="81"/>
        <v>110.18794872696581</v>
      </c>
      <c r="O393" s="5"/>
      <c r="P393" s="5">
        <f t="shared" si="80"/>
        <v>1</v>
      </c>
      <c r="Q393" s="7">
        <f t="shared" si="82"/>
        <v>28436</v>
      </c>
    </row>
    <row r="394" spans="1:21">
      <c r="A394" s="23" t="s">
        <v>422</v>
      </c>
      <c r="B394" s="35" t="s">
        <v>420</v>
      </c>
      <c r="C394" s="36">
        <v>85469</v>
      </c>
      <c r="D394" s="113">
        <v>2779525252</v>
      </c>
      <c r="E394" s="116">
        <f t="shared" si="77"/>
        <v>32520.858463302484</v>
      </c>
      <c r="F394" s="117">
        <v>1541579406</v>
      </c>
      <c r="G394" s="117">
        <f t="shared" si="78"/>
        <v>18036.708116393078</v>
      </c>
      <c r="H394" s="7"/>
      <c r="I394" s="109">
        <v>7.99</v>
      </c>
      <c r="J394" s="117">
        <v>12317219</v>
      </c>
      <c r="K394" s="120">
        <f t="shared" si="79"/>
        <v>144.11329253881524</v>
      </c>
      <c r="L394" s="122">
        <f t="shared" si="83"/>
        <v>15415794.060000001</v>
      </c>
      <c r="M394" s="116">
        <f t="shared" si="84"/>
        <v>3098575.0600000005</v>
      </c>
      <c r="N394" s="123">
        <f t="shared" si="81"/>
        <v>36.253788625115547</v>
      </c>
      <c r="O394" s="5"/>
      <c r="P394" s="5">
        <f t="shared" si="80"/>
        <v>1</v>
      </c>
      <c r="Q394" s="7">
        <f t="shared" si="82"/>
        <v>85469</v>
      </c>
    </row>
    <row r="395" spans="1:21">
      <c r="A395" s="23" t="s">
        <v>423</v>
      </c>
      <c r="B395" s="35" t="s">
        <v>420</v>
      </c>
      <c r="C395" s="36">
        <v>20737</v>
      </c>
      <c r="D395" s="113">
        <v>1038329676</v>
      </c>
      <c r="E395" s="116">
        <f t="shared" si="77"/>
        <v>50071.354390702611</v>
      </c>
      <c r="F395" s="117">
        <v>613235365</v>
      </c>
      <c r="G395" s="117">
        <f t="shared" si="78"/>
        <v>29572.038626609443</v>
      </c>
      <c r="H395" s="7"/>
      <c r="I395" s="109">
        <v>6.8760000000000003</v>
      </c>
      <c r="J395" s="117">
        <v>4216606</v>
      </c>
      <c r="K395" s="120">
        <f t="shared" si="79"/>
        <v>203.33731976660076</v>
      </c>
      <c r="L395" s="122">
        <f t="shared" si="83"/>
        <v>6132353.6500000004</v>
      </c>
      <c r="M395" s="116">
        <f t="shared" si="84"/>
        <v>1915747.6500000004</v>
      </c>
      <c r="N395" s="123">
        <f t="shared" si="81"/>
        <v>92.38306649949368</v>
      </c>
      <c r="O395" s="5"/>
      <c r="P395" s="5">
        <f t="shared" si="80"/>
        <v>1</v>
      </c>
      <c r="Q395" s="7">
        <f t="shared" si="82"/>
        <v>20737</v>
      </c>
    </row>
    <row r="396" spans="1:21">
      <c r="A396" s="23" t="s">
        <v>424</v>
      </c>
      <c r="B396" s="35" t="s">
        <v>420</v>
      </c>
      <c r="C396" s="36">
        <v>11632</v>
      </c>
      <c r="D396" s="113">
        <v>636140028</v>
      </c>
      <c r="E396" s="116">
        <f t="shared" si="77"/>
        <v>54688.791953232459</v>
      </c>
      <c r="F396" s="117">
        <v>452294896</v>
      </c>
      <c r="G396" s="117">
        <f t="shared" si="78"/>
        <v>38883.674002751031</v>
      </c>
      <c r="H396" s="7"/>
      <c r="I396" s="109">
        <v>7.53</v>
      </c>
      <c r="J396" s="117">
        <v>3405781</v>
      </c>
      <c r="K396" s="120">
        <f t="shared" si="79"/>
        <v>292.79410247592847</v>
      </c>
      <c r="L396" s="122">
        <f t="shared" si="83"/>
        <v>4522948.96</v>
      </c>
      <c r="M396" s="116">
        <f t="shared" si="84"/>
        <v>1117167.96</v>
      </c>
      <c r="N396" s="123">
        <f t="shared" si="81"/>
        <v>96.042637551581834</v>
      </c>
      <c r="O396" s="5"/>
      <c r="P396" s="5">
        <f t="shared" si="80"/>
        <v>1</v>
      </c>
      <c r="Q396" s="7">
        <f t="shared" si="82"/>
        <v>11632</v>
      </c>
    </row>
    <row r="397" spans="1:21">
      <c r="A397" s="23" t="s">
        <v>425</v>
      </c>
      <c r="B397" s="35" t="s">
        <v>420</v>
      </c>
      <c r="C397" s="36">
        <v>2630</v>
      </c>
      <c r="D397" s="113">
        <v>119670296</v>
      </c>
      <c r="E397" s="116">
        <f t="shared" si="77"/>
        <v>45502.01368821293</v>
      </c>
      <c r="F397" s="117">
        <v>70254938</v>
      </c>
      <c r="G397" s="117">
        <f t="shared" si="78"/>
        <v>26712.904182509505</v>
      </c>
      <c r="H397" s="7"/>
      <c r="I397" s="109">
        <v>6.3685</v>
      </c>
      <c r="J397" s="117">
        <v>447419</v>
      </c>
      <c r="K397" s="120">
        <f t="shared" si="79"/>
        <v>170.12129277566541</v>
      </c>
      <c r="L397" s="122">
        <f t="shared" si="83"/>
        <v>702549.38</v>
      </c>
      <c r="M397" s="116">
        <f t="shared" si="84"/>
        <v>255130.38</v>
      </c>
      <c r="N397" s="123">
        <f t="shared" si="81"/>
        <v>97.007749049429663</v>
      </c>
      <c r="O397" s="5"/>
      <c r="P397" s="5">
        <f t="shared" si="80"/>
        <v>1</v>
      </c>
      <c r="Q397" s="7">
        <f t="shared" si="82"/>
        <v>2630</v>
      </c>
    </row>
    <row r="398" spans="1:21">
      <c r="A398" s="23" t="s">
        <v>426</v>
      </c>
      <c r="B398" s="35" t="s">
        <v>420</v>
      </c>
      <c r="C398" s="36">
        <v>23119</v>
      </c>
      <c r="D398" s="113">
        <v>3456447235</v>
      </c>
      <c r="E398" s="116">
        <f t="shared" si="77"/>
        <v>149506.77948873222</v>
      </c>
      <c r="F398" s="117">
        <v>2519811229</v>
      </c>
      <c r="G398" s="117">
        <f t="shared" si="78"/>
        <v>108993.08919070894</v>
      </c>
      <c r="H398" s="7"/>
      <c r="I398" s="109">
        <v>3.5764</v>
      </c>
      <c r="J398" s="117">
        <v>9011853</v>
      </c>
      <c r="K398" s="120">
        <f t="shared" si="79"/>
        <v>389.80288939833036</v>
      </c>
      <c r="L398" s="122">
        <f t="shared" si="83"/>
        <v>25198112.289999999</v>
      </c>
      <c r="M398" s="116">
        <f t="shared" si="84"/>
        <v>16186259.289999999</v>
      </c>
      <c r="N398" s="123">
        <f t="shared" si="81"/>
        <v>700.12800250875898</v>
      </c>
      <c r="O398" s="5"/>
      <c r="P398" s="5">
        <f t="shared" si="80"/>
        <v>1</v>
      </c>
      <c r="Q398" s="7">
        <f t="shared" si="82"/>
        <v>23119</v>
      </c>
    </row>
    <row r="399" spans="1:21">
      <c r="A399" s="23" t="s">
        <v>427</v>
      </c>
      <c r="B399" s="35" t="s">
        <v>420</v>
      </c>
      <c r="C399" s="36">
        <v>1828</v>
      </c>
      <c r="D399" s="113">
        <v>145982542</v>
      </c>
      <c r="E399" s="116">
        <f t="shared" si="77"/>
        <v>79859.158643326038</v>
      </c>
      <c r="F399" s="117">
        <v>83451771</v>
      </c>
      <c r="G399" s="117">
        <f t="shared" si="78"/>
        <v>45651.953501094089</v>
      </c>
      <c r="H399" s="7"/>
      <c r="I399" s="109">
        <v>5.9706000000000001</v>
      </c>
      <c r="J399" s="117">
        <v>498257</v>
      </c>
      <c r="K399" s="120">
        <f t="shared" si="79"/>
        <v>272.56947483588624</v>
      </c>
      <c r="L399" s="122">
        <f t="shared" si="83"/>
        <v>834517.71</v>
      </c>
      <c r="M399" s="116">
        <f t="shared" si="84"/>
        <v>336260.70999999996</v>
      </c>
      <c r="N399" s="123">
        <f t="shared" si="81"/>
        <v>183.95006017505469</v>
      </c>
      <c r="O399" s="5"/>
      <c r="P399" s="5">
        <f t="shared" si="80"/>
        <v>1</v>
      </c>
      <c r="Q399" s="7">
        <f t="shared" si="82"/>
        <v>1828</v>
      </c>
    </row>
    <row r="400" spans="1:21">
      <c r="A400" s="23" t="s">
        <v>428</v>
      </c>
      <c r="B400" s="35" t="s">
        <v>420</v>
      </c>
      <c r="C400" s="36">
        <v>11337</v>
      </c>
      <c r="D400" s="113">
        <v>700996923</v>
      </c>
      <c r="E400" s="116">
        <f t="shared" si="77"/>
        <v>61832.664990738289</v>
      </c>
      <c r="F400" s="117">
        <v>500915694</v>
      </c>
      <c r="G400" s="117">
        <f t="shared" si="78"/>
        <v>44184.148716591691</v>
      </c>
      <c r="H400" s="7"/>
      <c r="I400" s="109">
        <v>7.59</v>
      </c>
      <c r="J400" s="117">
        <v>3801950</v>
      </c>
      <c r="K400" s="120">
        <f t="shared" si="79"/>
        <v>335.35767839816532</v>
      </c>
      <c r="L400" s="122">
        <f t="shared" si="83"/>
        <v>5009156.9400000004</v>
      </c>
      <c r="M400" s="116">
        <f t="shared" si="84"/>
        <v>1207206.9400000004</v>
      </c>
      <c r="N400" s="123">
        <f t="shared" si="81"/>
        <v>106.48380876775164</v>
      </c>
      <c r="O400" s="5"/>
      <c r="P400" s="5">
        <f t="shared" si="80"/>
        <v>1</v>
      </c>
      <c r="Q400" s="7">
        <f t="shared" si="82"/>
        <v>11337</v>
      </c>
    </row>
    <row r="401" spans="1:21">
      <c r="A401" s="23" t="s">
        <v>429</v>
      </c>
      <c r="B401" s="35" t="s">
        <v>420</v>
      </c>
      <c r="C401" s="36">
        <v>38557</v>
      </c>
      <c r="D401" s="113">
        <v>3445440577</v>
      </c>
      <c r="E401" s="116">
        <f t="shared" si="77"/>
        <v>89359.66431516975</v>
      </c>
      <c r="F401" s="117">
        <v>2499272729</v>
      </c>
      <c r="G401" s="117">
        <f t="shared" si="78"/>
        <v>64820.20719973027</v>
      </c>
      <c r="H401" s="7"/>
      <c r="I401" s="109">
        <v>4.1181000000000001</v>
      </c>
      <c r="J401" s="117">
        <v>10292255</v>
      </c>
      <c r="K401" s="120">
        <f t="shared" si="79"/>
        <v>266.9360946131701</v>
      </c>
      <c r="L401" s="122">
        <f t="shared" si="83"/>
        <v>24992727.289999999</v>
      </c>
      <c r="M401" s="116">
        <f t="shared" si="84"/>
        <v>14700472.289999999</v>
      </c>
      <c r="N401" s="123">
        <f t="shared" si="81"/>
        <v>381.26597738413255</v>
      </c>
      <c r="O401" s="5"/>
      <c r="P401" s="5">
        <f t="shared" si="80"/>
        <v>1</v>
      </c>
      <c r="Q401" s="7">
        <f t="shared" si="82"/>
        <v>38557</v>
      </c>
    </row>
    <row r="402" spans="1:21">
      <c r="A402" s="23" t="s">
        <v>430</v>
      </c>
      <c r="B402" s="35" t="s">
        <v>420</v>
      </c>
      <c r="C402" s="36">
        <v>1688</v>
      </c>
      <c r="D402" s="113">
        <v>94447115</v>
      </c>
      <c r="E402" s="116">
        <f t="shared" si="77"/>
        <v>55952.082345971561</v>
      </c>
      <c r="F402" s="117">
        <v>43082344</v>
      </c>
      <c r="G402" s="117">
        <f t="shared" si="78"/>
        <v>25522.715639810427</v>
      </c>
      <c r="H402" s="7"/>
      <c r="I402" s="109">
        <v>5.5702999999999996</v>
      </c>
      <c r="J402" s="117">
        <v>239982</v>
      </c>
      <c r="K402" s="120">
        <f t="shared" si="79"/>
        <v>142.16943127962085</v>
      </c>
      <c r="L402" s="122">
        <f t="shared" si="83"/>
        <v>430823.44</v>
      </c>
      <c r="M402" s="116">
        <f t="shared" si="84"/>
        <v>190841.44</v>
      </c>
      <c r="N402" s="123">
        <f t="shared" si="81"/>
        <v>113.05772511848342</v>
      </c>
      <c r="O402" s="5"/>
      <c r="P402" s="5">
        <f t="shared" si="80"/>
        <v>1</v>
      </c>
      <c r="Q402" s="7">
        <f t="shared" si="82"/>
        <v>1688</v>
      </c>
    </row>
    <row r="403" spans="1:21">
      <c r="A403" s="23" t="s">
        <v>431</v>
      </c>
      <c r="B403" s="35" t="s">
        <v>420</v>
      </c>
      <c r="C403" s="36">
        <v>3041</v>
      </c>
      <c r="D403" s="113">
        <v>805138086</v>
      </c>
      <c r="E403" s="116">
        <f t="shared" si="77"/>
        <v>264760.96218349226</v>
      </c>
      <c r="F403" s="117">
        <v>658104860</v>
      </c>
      <c r="G403" s="117">
        <f t="shared" si="78"/>
        <v>216410.67412035514</v>
      </c>
      <c r="H403" s="7"/>
      <c r="I403" s="109">
        <v>6.5</v>
      </c>
      <c r="J403" s="117">
        <v>4277682</v>
      </c>
      <c r="K403" s="120">
        <f t="shared" si="79"/>
        <v>1406.6695166063794</v>
      </c>
      <c r="L403" s="122">
        <f t="shared" si="83"/>
        <v>6581048.6000000006</v>
      </c>
      <c r="M403" s="116">
        <f t="shared" si="84"/>
        <v>2303366.6000000006</v>
      </c>
      <c r="N403" s="123">
        <f t="shared" si="81"/>
        <v>757.43722459717219</v>
      </c>
      <c r="O403" s="5"/>
      <c r="P403" s="5">
        <f t="shared" si="80"/>
        <v>1</v>
      </c>
      <c r="Q403" s="7">
        <f t="shared" si="82"/>
        <v>3041</v>
      </c>
    </row>
    <row r="404" spans="1:21">
      <c r="A404" s="23" t="s">
        <v>432</v>
      </c>
      <c r="B404" s="35" t="s">
        <v>420</v>
      </c>
      <c r="C404" s="36">
        <v>57060</v>
      </c>
      <c r="D404" s="113">
        <v>3388879752</v>
      </c>
      <c r="E404" s="116">
        <f t="shared" si="77"/>
        <v>59391.513354363829</v>
      </c>
      <c r="F404" s="117">
        <v>2296124074</v>
      </c>
      <c r="G404" s="117">
        <f t="shared" si="78"/>
        <v>40240.52004907115</v>
      </c>
      <c r="H404" s="7"/>
      <c r="I404" s="109">
        <v>4.6990999999999996</v>
      </c>
      <c r="J404" s="117">
        <v>10789717</v>
      </c>
      <c r="K404" s="120">
        <f t="shared" si="79"/>
        <v>189.09423413950228</v>
      </c>
      <c r="L404" s="122">
        <f t="shared" si="83"/>
        <v>22961240.740000002</v>
      </c>
      <c r="M404" s="116">
        <f t="shared" si="84"/>
        <v>12171523.740000002</v>
      </c>
      <c r="N404" s="123">
        <f t="shared" si="81"/>
        <v>213.31096635120929</v>
      </c>
      <c r="O404" s="5"/>
      <c r="P404" s="5">
        <f t="shared" si="80"/>
        <v>1</v>
      </c>
      <c r="Q404" s="7">
        <f t="shared" si="82"/>
        <v>57060</v>
      </c>
    </row>
    <row r="405" spans="1:21">
      <c r="A405" s="23" t="s">
        <v>433</v>
      </c>
      <c r="B405" s="35" t="s">
        <v>420</v>
      </c>
      <c r="C405" s="36">
        <v>12431</v>
      </c>
      <c r="D405" s="113">
        <v>619553726</v>
      </c>
      <c r="E405" s="116">
        <f t="shared" si="77"/>
        <v>49839.411632209798</v>
      </c>
      <c r="F405" s="117">
        <v>428610274</v>
      </c>
      <c r="G405" s="117">
        <f t="shared" si="78"/>
        <v>34479.146810393373</v>
      </c>
      <c r="H405" s="9"/>
      <c r="I405" s="109">
        <v>7.4</v>
      </c>
      <c r="J405" s="117">
        <v>3171716</v>
      </c>
      <c r="K405" s="120">
        <f t="shared" si="79"/>
        <v>255.14568417665512</v>
      </c>
      <c r="L405" s="122">
        <f t="shared" si="83"/>
        <v>4286102.74</v>
      </c>
      <c r="M405" s="116">
        <f t="shared" si="84"/>
        <v>1114386.7400000002</v>
      </c>
      <c r="N405" s="123">
        <f t="shared" si="81"/>
        <v>89.6457839272786</v>
      </c>
      <c r="O405" s="5"/>
      <c r="P405" s="5">
        <f t="shared" si="80"/>
        <v>1</v>
      </c>
      <c r="Q405" s="7">
        <f t="shared" si="82"/>
        <v>12431</v>
      </c>
      <c r="S405" s="124">
        <f>SUM(D390:D405)</f>
        <v>27482822288</v>
      </c>
      <c r="T405" s="124">
        <f>SUM(F390:F405)</f>
        <v>18750609540</v>
      </c>
      <c r="U405" s="124">
        <f>SUM(J390:J405)</f>
        <v>106289404</v>
      </c>
    </row>
    <row r="406" spans="1:21">
      <c r="A406" s="23" t="s">
        <v>435</v>
      </c>
      <c r="B406" s="35" t="s">
        <v>434</v>
      </c>
      <c r="C406" s="36">
        <v>450</v>
      </c>
      <c r="D406" s="114" t="s">
        <v>564</v>
      </c>
      <c r="E406" s="116"/>
      <c r="F406" s="117"/>
      <c r="G406" s="117"/>
      <c r="H406" s="98" t="s">
        <v>588</v>
      </c>
      <c r="I406" s="109"/>
      <c r="J406" s="117"/>
      <c r="K406" s="120"/>
      <c r="L406" s="122">
        <f t="shared" si="83"/>
        <v>0</v>
      </c>
      <c r="M406" s="116">
        <f t="shared" si="84"/>
        <v>0</v>
      </c>
      <c r="N406" s="123">
        <f t="shared" si="81"/>
        <v>0</v>
      </c>
      <c r="O406" s="5"/>
      <c r="P406" s="5">
        <f t="shared" si="80"/>
        <v>0</v>
      </c>
      <c r="Q406" s="7">
        <f t="shared" si="82"/>
        <v>0</v>
      </c>
    </row>
    <row r="407" spans="1:21">
      <c r="A407" s="24" t="s">
        <v>555</v>
      </c>
      <c r="B407" s="35" t="s">
        <v>434</v>
      </c>
      <c r="C407" s="36">
        <v>285</v>
      </c>
      <c r="D407" s="113">
        <v>41203012</v>
      </c>
      <c r="E407" s="116">
        <f>(D407/C407)</f>
        <v>144571.97192982456</v>
      </c>
      <c r="F407" s="117">
        <v>27561814</v>
      </c>
      <c r="G407" s="117">
        <f>(F407/C407)</f>
        <v>96708.119298245612</v>
      </c>
      <c r="H407" s="9"/>
      <c r="I407" s="109">
        <v>5.2152000000000003</v>
      </c>
      <c r="J407" s="117">
        <v>143740</v>
      </c>
      <c r="K407" s="120">
        <f>(J407/C407)</f>
        <v>504.35087719298247</v>
      </c>
      <c r="L407" s="122">
        <f t="shared" si="83"/>
        <v>275618.14</v>
      </c>
      <c r="M407" s="116">
        <f t="shared" si="84"/>
        <v>131878.14000000001</v>
      </c>
      <c r="N407" s="123">
        <f t="shared" si="81"/>
        <v>462.73031578947371</v>
      </c>
      <c r="O407" s="5"/>
      <c r="P407" s="5">
        <f t="shared" si="80"/>
        <v>1</v>
      </c>
      <c r="Q407" s="7">
        <f t="shared" si="82"/>
        <v>285</v>
      </c>
      <c r="S407" s="124">
        <f>SUM(D406:D407)</f>
        <v>41203012</v>
      </c>
      <c r="T407" s="124">
        <f>SUM(F406:F407)</f>
        <v>27561814</v>
      </c>
      <c r="U407" s="124">
        <f>SUM(J406:J407)</f>
        <v>143740</v>
      </c>
    </row>
    <row r="408" spans="1:21">
      <c r="A408" s="23" t="s">
        <v>436</v>
      </c>
      <c r="B408" s="35" t="s">
        <v>437</v>
      </c>
      <c r="C408" s="36">
        <v>5341</v>
      </c>
      <c r="D408" s="113">
        <v>310928899</v>
      </c>
      <c r="E408" s="116">
        <f>(D408/C408)</f>
        <v>58215.483804530988</v>
      </c>
      <c r="F408" s="117">
        <v>208031787</v>
      </c>
      <c r="G408" s="117">
        <f>(F408/C408)</f>
        <v>38949.969481370528</v>
      </c>
      <c r="H408" s="9"/>
      <c r="I408" s="110">
        <v>4.5</v>
      </c>
      <c r="J408" s="117">
        <v>936143</v>
      </c>
      <c r="K408" s="120">
        <f>(J408/C408)</f>
        <v>175.27485489608688</v>
      </c>
      <c r="L408" s="122">
        <f t="shared" si="83"/>
        <v>2080317.87</v>
      </c>
      <c r="M408" s="116">
        <f t="shared" si="84"/>
        <v>1144174.8700000001</v>
      </c>
      <c r="N408" s="123">
        <f t="shared" si="81"/>
        <v>214.22483991761845</v>
      </c>
      <c r="O408" s="5"/>
      <c r="P408" s="5">
        <f t="shared" si="80"/>
        <v>1</v>
      </c>
      <c r="Q408" s="7">
        <f t="shared" si="82"/>
        <v>5341</v>
      </c>
    </row>
    <row r="409" spans="1:21">
      <c r="A409" s="23" t="s">
        <v>438</v>
      </c>
      <c r="B409" s="35" t="s">
        <v>437</v>
      </c>
      <c r="C409" s="36">
        <v>2278</v>
      </c>
      <c r="D409" s="113">
        <v>215213441</v>
      </c>
      <c r="E409" s="116">
        <f>(D409/C409)</f>
        <v>94474.73266022827</v>
      </c>
      <c r="F409" s="117">
        <v>168419483</v>
      </c>
      <c r="G409" s="117">
        <f>(F409/C409)</f>
        <v>73933.047848990347</v>
      </c>
      <c r="H409" s="9"/>
      <c r="I409" s="110">
        <v>4.7302</v>
      </c>
      <c r="J409" s="117">
        <v>796658</v>
      </c>
      <c r="K409" s="120">
        <f>(J409/C409)</f>
        <v>349.71817383669884</v>
      </c>
      <c r="L409" s="122">
        <f t="shared" si="83"/>
        <v>1684194.83</v>
      </c>
      <c r="M409" s="116">
        <f t="shared" si="84"/>
        <v>887536.83000000007</v>
      </c>
      <c r="N409" s="123">
        <f t="shared" si="81"/>
        <v>389.6123046532046</v>
      </c>
      <c r="O409" s="5"/>
      <c r="P409" s="5">
        <f t="shared" si="80"/>
        <v>1</v>
      </c>
      <c r="Q409" s="7">
        <f t="shared" si="82"/>
        <v>2278</v>
      </c>
    </row>
    <row r="410" spans="1:21">
      <c r="A410" s="23" t="s">
        <v>439</v>
      </c>
      <c r="B410" s="35" t="s">
        <v>437</v>
      </c>
      <c r="C410" s="36">
        <v>623</v>
      </c>
      <c r="D410" s="114" t="s">
        <v>564</v>
      </c>
      <c r="E410" s="116"/>
      <c r="F410" s="117"/>
      <c r="G410" s="117"/>
      <c r="H410" s="98" t="s">
        <v>588</v>
      </c>
      <c r="I410" s="109"/>
      <c r="J410" s="117"/>
      <c r="K410" s="120"/>
      <c r="L410" s="122">
        <f t="shared" si="83"/>
        <v>0</v>
      </c>
      <c r="M410" s="116">
        <f t="shared" si="84"/>
        <v>0</v>
      </c>
      <c r="N410" s="123">
        <f t="shared" si="81"/>
        <v>0</v>
      </c>
      <c r="O410" s="5"/>
      <c r="P410" s="5">
        <f t="shared" si="80"/>
        <v>0</v>
      </c>
      <c r="Q410" s="7">
        <f t="shared" si="82"/>
        <v>0</v>
      </c>
      <c r="S410" s="124">
        <f>SUM(D408:D410)</f>
        <v>526142340</v>
      </c>
      <c r="T410" s="124">
        <f>SUM(F408:F410)</f>
        <v>376451270</v>
      </c>
      <c r="U410" s="124">
        <f>SUM(J408:J410)</f>
        <v>1732801</v>
      </c>
    </row>
    <row r="411" spans="1:21">
      <c r="A411" s="23" t="s">
        <v>440</v>
      </c>
      <c r="B411" s="35" t="s">
        <v>441</v>
      </c>
      <c r="C411" s="36">
        <v>283</v>
      </c>
      <c r="D411" s="114" t="s">
        <v>564</v>
      </c>
      <c r="E411" s="116"/>
      <c r="F411" s="117"/>
      <c r="G411" s="117"/>
      <c r="H411" s="98" t="s">
        <v>588</v>
      </c>
      <c r="I411" s="109"/>
      <c r="J411" s="117"/>
      <c r="K411" s="120"/>
      <c r="L411" s="122">
        <f t="shared" si="83"/>
        <v>0</v>
      </c>
      <c r="M411" s="116">
        <f t="shared" si="84"/>
        <v>0</v>
      </c>
      <c r="N411" s="123">
        <f t="shared" si="81"/>
        <v>0</v>
      </c>
      <c r="O411" s="5"/>
      <c r="P411" s="5">
        <f t="shared" si="80"/>
        <v>0</v>
      </c>
      <c r="Q411" s="7">
        <f t="shared" si="82"/>
        <v>0</v>
      </c>
    </row>
    <row r="412" spans="1:21">
      <c r="A412" s="23" t="s">
        <v>442</v>
      </c>
      <c r="B412" s="35" t="s">
        <v>441</v>
      </c>
      <c r="C412" s="36">
        <v>3534</v>
      </c>
      <c r="D412" s="113">
        <v>209862240</v>
      </c>
      <c r="E412" s="116">
        <f>(D412/C412)</f>
        <v>59383.769100169782</v>
      </c>
      <c r="F412" s="117">
        <v>143604462</v>
      </c>
      <c r="G412" s="117">
        <f>(F412/C412)</f>
        <v>40635.105263157893</v>
      </c>
      <c r="H412" s="9"/>
      <c r="I412" s="110">
        <v>6</v>
      </c>
      <c r="J412" s="117">
        <v>861627</v>
      </c>
      <c r="K412" s="120">
        <f>(J412/C412)</f>
        <v>243.81069609507639</v>
      </c>
      <c r="L412" s="122">
        <f t="shared" si="83"/>
        <v>1436044.62</v>
      </c>
      <c r="M412" s="116">
        <f t="shared" si="84"/>
        <v>574417.62000000011</v>
      </c>
      <c r="N412" s="123">
        <f t="shared" si="81"/>
        <v>162.54035653650257</v>
      </c>
      <c r="O412" s="5"/>
      <c r="P412" s="5">
        <f t="shared" si="80"/>
        <v>1</v>
      </c>
      <c r="Q412" s="7">
        <f t="shared" si="82"/>
        <v>3534</v>
      </c>
    </row>
    <row r="413" spans="1:21">
      <c r="A413" s="23" t="s">
        <v>443</v>
      </c>
      <c r="B413" s="35" t="s">
        <v>441</v>
      </c>
      <c r="C413" s="36">
        <v>240</v>
      </c>
      <c r="D413" s="114" t="s">
        <v>564</v>
      </c>
      <c r="E413" s="116"/>
      <c r="F413" s="117"/>
      <c r="G413" s="117"/>
      <c r="H413" s="98" t="s">
        <v>588</v>
      </c>
      <c r="I413" s="109"/>
      <c r="J413" s="117"/>
      <c r="K413" s="120"/>
      <c r="L413" s="122">
        <f t="shared" si="83"/>
        <v>0</v>
      </c>
      <c r="M413" s="116">
        <f t="shared" si="84"/>
        <v>0</v>
      </c>
      <c r="N413" s="123">
        <f t="shared" si="81"/>
        <v>0</v>
      </c>
      <c r="O413" s="5"/>
      <c r="P413" s="5">
        <f t="shared" si="80"/>
        <v>0</v>
      </c>
      <c r="Q413" s="7">
        <f t="shared" si="82"/>
        <v>0</v>
      </c>
    </row>
    <row r="414" spans="1:21">
      <c r="A414" s="23" t="s">
        <v>444</v>
      </c>
      <c r="B414" s="35" t="s">
        <v>441</v>
      </c>
      <c r="C414" s="36">
        <v>685</v>
      </c>
      <c r="D414" s="113">
        <v>32082437</v>
      </c>
      <c r="E414" s="116">
        <f>(D414/C414)</f>
        <v>46835.674452554747</v>
      </c>
      <c r="F414" s="117">
        <v>16245993</v>
      </c>
      <c r="G414" s="117">
        <f>(F414/C414)</f>
        <v>23716.778102189783</v>
      </c>
      <c r="H414" s="9"/>
      <c r="I414" s="110">
        <v>2.4140999999999999</v>
      </c>
      <c r="J414" s="117">
        <v>39219</v>
      </c>
      <c r="K414" s="120">
        <f>(J414/C414)</f>
        <v>57.254014598540145</v>
      </c>
      <c r="L414" s="122">
        <f t="shared" si="83"/>
        <v>162459.93</v>
      </c>
      <c r="M414" s="116">
        <f t="shared" si="84"/>
        <v>123240.93</v>
      </c>
      <c r="N414" s="123">
        <f t="shared" si="81"/>
        <v>179.91376642335766</v>
      </c>
      <c r="O414" s="5"/>
      <c r="P414" s="5">
        <f t="shared" si="80"/>
        <v>1</v>
      </c>
      <c r="Q414" s="7">
        <f t="shared" si="82"/>
        <v>685</v>
      </c>
    </row>
    <row r="415" spans="1:21">
      <c r="A415" s="23" t="s">
        <v>445</v>
      </c>
      <c r="B415" s="35" t="s">
        <v>441</v>
      </c>
      <c r="C415" s="36">
        <v>405</v>
      </c>
      <c r="D415" s="114" t="s">
        <v>564</v>
      </c>
      <c r="E415" s="116"/>
      <c r="F415" s="117"/>
      <c r="G415" s="117"/>
      <c r="H415" s="98" t="s">
        <v>588</v>
      </c>
      <c r="I415" s="109"/>
      <c r="J415" s="117"/>
      <c r="K415" s="120"/>
      <c r="L415" s="122">
        <f t="shared" si="83"/>
        <v>0</v>
      </c>
      <c r="M415" s="116">
        <f t="shared" si="84"/>
        <v>0</v>
      </c>
      <c r="N415" s="123">
        <f t="shared" si="81"/>
        <v>0</v>
      </c>
      <c r="O415" s="5"/>
      <c r="P415" s="5">
        <f t="shared" si="80"/>
        <v>0</v>
      </c>
      <c r="Q415" s="7">
        <f t="shared" si="82"/>
        <v>0</v>
      </c>
      <c r="S415" s="124">
        <f>SUM(D411:D415)</f>
        <v>241944677</v>
      </c>
      <c r="T415" s="124">
        <f>SUM(F411:F415)</f>
        <v>159850455</v>
      </c>
      <c r="U415" s="124">
        <f>SUM(J411:J415)</f>
        <v>900846</v>
      </c>
    </row>
    <row r="416" spans="1:21">
      <c r="A416" s="70" t="s">
        <v>583</v>
      </c>
      <c r="B416" s="71"/>
      <c r="C416" s="72">
        <f>SUM(C6:C415)</f>
        <v>9690682</v>
      </c>
      <c r="D416" s="73">
        <f>SUM(D6:D415)</f>
        <v>966318813297</v>
      </c>
      <c r="E416" s="74">
        <f>(D416/Q416)</f>
        <v>109567.78242629576</v>
      </c>
      <c r="F416" s="75">
        <f>SUM(F6:F415)</f>
        <v>695446435099</v>
      </c>
      <c r="G416" s="76">
        <f>(F416/Q416)</f>
        <v>78854.434625035574</v>
      </c>
      <c r="H416" s="71"/>
      <c r="I416" s="112"/>
      <c r="J416" s="78">
        <f>SUM(J6:J415)</f>
        <v>3330952229</v>
      </c>
      <c r="K416" s="79">
        <f>(J416/Q416)</f>
        <v>377.68596044842207</v>
      </c>
      <c r="L416" s="79">
        <f>SUM(L6:L415)</f>
        <v>6954464350.989995</v>
      </c>
      <c r="M416" s="78">
        <f>SUM(M6:M415)</f>
        <v>3623512121.9900002</v>
      </c>
      <c r="N416" s="80">
        <f>(M416/Q416)</f>
        <v>410.85838580193371</v>
      </c>
      <c r="O416" s="20"/>
      <c r="P416" s="20">
        <f>SUM(P6:P415)</f>
        <v>385</v>
      </c>
      <c r="Q416" s="21">
        <f>SUM(Q6:Q415)</f>
        <v>8819370</v>
      </c>
      <c r="S416" s="124"/>
      <c r="T416" s="124"/>
      <c r="U416" s="124"/>
    </row>
    <row r="417" spans="1:21">
      <c r="A417" s="27" t="s">
        <v>453</v>
      </c>
      <c r="B417" s="13"/>
      <c r="C417" s="60">
        <f>(P416)</f>
        <v>385</v>
      </c>
      <c r="D417" s="14"/>
      <c r="E417" s="16"/>
      <c r="F417" s="16"/>
      <c r="G417" s="16"/>
      <c r="H417" s="16"/>
      <c r="I417" s="14"/>
      <c r="J417" s="17"/>
      <c r="K417" s="17"/>
      <c r="L417" s="2"/>
      <c r="M417" s="2"/>
      <c r="N417" s="63"/>
      <c r="O417" s="2"/>
      <c r="P417" s="2"/>
      <c r="Q417" s="2"/>
      <c r="S417" s="124"/>
      <c r="T417" s="124"/>
      <c r="U417" s="124"/>
    </row>
    <row r="418" spans="1:21">
      <c r="A418" s="22"/>
      <c r="B418" s="16"/>
      <c r="C418" s="16"/>
      <c r="D418" s="106"/>
      <c r="E418" s="16"/>
      <c r="F418" s="16"/>
      <c r="G418" s="16"/>
      <c r="H418" s="107"/>
      <c r="I418" s="17"/>
      <c r="J418" s="17"/>
      <c r="K418" s="17"/>
      <c r="L418" s="2"/>
      <c r="M418" s="2"/>
      <c r="N418" s="63"/>
      <c r="O418" s="2"/>
      <c r="P418" s="2"/>
      <c r="Q418" s="2"/>
      <c r="S418" s="124"/>
      <c r="T418" s="124"/>
      <c r="U418" s="124"/>
    </row>
    <row r="419" spans="1:21">
      <c r="A419" s="204" t="s">
        <v>498</v>
      </c>
      <c r="B419" s="192"/>
      <c r="C419" s="192"/>
      <c r="D419" s="192"/>
      <c r="E419" s="192"/>
      <c r="F419" s="192"/>
      <c r="G419" s="192"/>
      <c r="H419" s="192"/>
      <c r="I419" s="192"/>
      <c r="J419" s="192"/>
      <c r="K419" s="192"/>
      <c r="L419" s="192"/>
      <c r="M419" s="192"/>
      <c r="N419" s="193"/>
      <c r="O419" s="1"/>
      <c r="P419" s="1"/>
      <c r="Q419" s="1"/>
    </row>
    <row r="420" spans="1:21">
      <c r="A420" s="191" t="s">
        <v>565</v>
      </c>
      <c r="B420" s="192"/>
      <c r="C420" s="192"/>
      <c r="D420" s="192"/>
      <c r="E420" s="192"/>
      <c r="F420" s="192"/>
      <c r="G420" s="192"/>
      <c r="H420" s="192"/>
      <c r="I420" s="192"/>
      <c r="J420" s="192"/>
      <c r="K420" s="192"/>
      <c r="L420" s="192"/>
      <c r="M420" s="192"/>
      <c r="N420" s="193"/>
      <c r="O420" s="1"/>
      <c r="P420" s="1"/>
      <c r="Q420" s="1"/>
    </row>
    <row r="421" spans="1:21" ht="25.5" customHeight="1">
      <c r="A421" s="191" t="s">
        <v>577</v>
      </c>
      <c r="B421" s="192"/>
      <c r="C421" s="192"/>
      <c r="D421" s="192"/>
      <c r="E421" s="192"/>
      <c r="F421" s="192"/>
      <c r="G421" s="192"/>
      <c r="H421" s="192"/>
      <c r="I421" s="192"/>
      <c r="J421" s="192"/>
      <c r="K421" s="192"/>
      <c r="L421" s="192"/>
      <c r="M421" s="192"/>
      <c r="N421" s="193"/>
      <c r="O421" s="1"/>
      <c r="P421" s="1"/>
      <c r="Q421" s="1"/>
    </row>
    <row r="422" spans="1:21" ht="25.5" customHeight="1">
      <c r="A422" s="191" t="s">
        <v>578</v>
      </c>
      <c r="B422" s="192"/>
      <c r="C422" s="192"/>
      <c r="D422" s="192"/>
      <c r="E422" s="192"/>
      <c r="F422" s="192"/>
      <c r="G422" s="192"/>
      <c r="H422" s="192"/>
      <c r="I422" s="192"/>
      <c r="J422" s="192"/>
      <c r="K422" s="192"/>
      <c r="L422" s="192"/>
      <c r="M422" s="192"/>
      <c r="N422" s="193"/>
      <c r="O422" s="1"/>
      <c r="P422" s="1"/>
      <c r="Q422" s="1"/>
    </row>
    <row r="423" spans="1:21">
      <c r="A423" s="194"/>
      <c r="B423" s="192"/>
      <c r="C423" s="192"/>
      <c r="D423" s="192"/>
      <c r="E423" s="192"/>
      <c r="F423" s="192"/>
      <c r="G423" s="192"/>
      <c r="H423" s="192"/>
      <c r="I423" s="192"/>
      <c r="J423" s="192"/>
      <c r="K423" s="192"/>
      <c r="L423" s="192"/>
      <c r="M423" s="192"/>
      <c r="N423" s="193"/>
      <c r="O423" s="1"/>
      <c r="P423" s="1"/>
      <c r="Q423" s="1"/>
    </row>
    <row r="424" spans="1:21">
      <c r="A424" s="191" t="s">
        <v>579</v>
      </c>
      <c r="B424" s="192"/>
      <c r="C424" s="192"/>
      <c r="D424" s="192"/>
      <c r="E424" s="192"/>
      <c r="F424" s="192"/>
      <c r="G424" s="192"/>
      <c r="H424" s="192"/>
      <c r="I424" s="192"/>
      <c r="J424" s="192"/>
      <c r="K424" s="192"/>
      <c r="L424" s="192"/>
      <c r="M424" s="192"/>
      <c r="N424" s="193"/>
      <c r="O424" s="1"/>
      <c r="P424" s="1"/>
      <c r="Q424" s="1"/>
    </row>
    <row r="425" spans="1:21">
      <c r="A425" s="191" t="s">
        <v>601</v>
      </c>
      <c r="B425" s="192"/>
      <c r="C425" s="192"/>
      <c r="D425" s="192"/>
      <c r="E425" s="192"/>
      <c r="F425" s="192"/>
      <c r="G425" s="192"/>
      <c r="H425" s="192"/>
      <c r="I425" s="192"/>
      <c r="J425" s="192"/>
      <c r="K425" s="192"/>
      <c r="L425" s="192"/>
      <c r="M425" s="192"/>
      <c r="N425" s="193"/>
      <c r="O425" s="1"/>
      <c r="P425" s="1"/>
      <c r="Q425" s="1"/>
    </row>
    <row r="426" spans="1:21" ht="15" customHeight="1" thickBot="1">
      <c r="A426" s="188" t="s">
        <v>590</v>
      </c>
      <c r="B426" s="189"/>
      <c r="C426" s="189"/>
      <c r="D426" s="189"/>
      <c r="E426" s="189"/>
      <c r="F426" s="189"/>
      <c r="G426" s="189"/>
      <c r="H426" s="189"/>
      <c r="I426" s="189"/>
      <c r="J426" s="189"/>
      <c r="K426" s="189"/>
      <c r="L426" s="189"/>
      <c r="M426" s="189"/>
      <c r="N426" s="190"/>
      <c r="O426" s="1"/>
      <c r="P426" s="1"/>
      <c r="Q426" s="1"/>
    </row>
    <row r="427" spans="1:21">
      <c r="A427" s="4"/>
      <c r="B427" s="1"/>
      <c r="C427" s="1"/>
      <c r="D427" s="1"/>
      <c r="E427" s="1"/>
      <c r="F427" s="1"/>
      <c r="G427" s="1"/>
      <c r="H427" s="1"/>
      <c r="I427" s="3"/>
      <c r="J427" s="3"/>
      <c r="K427" s="3"/>
      <c r="L427" s="1"/>
      <c r="M427" s="1"/>
      <c r="N427" s="1"/>
      <c r="O427" s="1"/>
      <c r="P427" s="1"/>
      <c r="Q427" s="1"/>
    </row>
    <row r="428" spans="1:21">
      <c r="A428" s="4"/>
      <c r="B428" s="1"/>
      <c r="C428" s="1"/>
      <c r="D428" s="1"/>
      <c r="E428" s="1"/>
      <c r="F428" s="1"/>
      <c r="G428" s="1"/>
      <c r="H428" s="1"/>
      <c r="I428" s="3"/>
      <c r="J428" s="3"/>
      <c r="K428" s="3"/>
      <c r="L428" s="1"/>
      <c r="M428" s="1"/>
      <c r="N428" s="1"/>
      <c r="O428" s="1"/>
      <c r="P428" s="1"/>
      <c r="Q428" s="1"/>
    </row>
    <row r="429" spans="1:21">
      <c r="A429" s="2"/>
      <c r="B429" s="2"/>
      <c r="C429" s="2"/>
      <c r="D429" s="2"/>
      <c r="E429" s="2"/>
      <c r="F429" s="2"/>
      <c r="G429" s="2"/>
      <c r="H429" s="2"/>
      <c r="I429" s="2"/>
      <c r="J429" s="2"/>
      <c r="K429" s="2"/>
      <c r="L429" s="2"/>
      <c r="M429" s="2"/>
      <c r="N429" s="2"/>
      <c r="O429" s="2"/>
      <c r="P429" s="2"/>
      <c r="Q429" s="2"/>
    </row>
  </sheetData>
  <mergeCells count="12">
    <mergeCell ref="A422:N422"/>
    <mergeCell ref="A423:N423"/>
    <mergeCell ref="A424:N424"/>
    <mergeCell ref="A425:N425"/>
    <mergeCell ref="A426:N426"/>
    <mergeCell ref="A420:N420"/>
    <mergeCell ref="A421:N421"/>
    <mergeCell ref="S2:U2"/>
    <mergeCell ref="A1:N1"/>
    <mergeCell ref="D2:G2"/>
    <mergeCell ref="L2:N2"/>
    <mergeCell ref="A419:N419"/>
  </mergeCells>
  <printOptions horizontalCentered="1"/>
  <pageMargins left="0.5" right="0.5" top="0.5" bottom="0.5" header="0.3" footer="0.3"/>
  <pageSetup paperSize="5" scale="82" fitToHeight="0" orientation="landscape" r:id="rId1"/>
  <headerFooter>
    <oddFooter>&amp;L&amp;11Office of Economic and Demographic Research&amp;C&amp;11Page &amp;P of &amp;N&amp;R&amp;11January 30, 2015</oddFooter>
  </headerFooter>
  <rowBreaks count="1" manualBreakCount="1">
    <brk id="41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U429"/>
  <sheetViews>
    <sheetView workbookViewId="0">
      <selection sqref="A1:N1"/>
    </sheetView>
  </sheetViews>
  <sheetFormatPr defaultRowHeight="12.75"/>
  <cols>
    <col min="1" max="1" width="25.7109375" customWidth="1"/>
    <col min="2" max="2" width="16.7109375" customWidth="1"/>
    <col min="3" max="3" width="11.7109375" customWidth="1"/>
    <col min="4" max="4" width="17.7109375" customWidth="1"/>
    <col min="5" max="5" width="13.7109375" customWidth="1"/>
    <col min="6" max="6" width="17.7109375" customWidth="1"/>
    <col min="7" max="7" width="13.7109375" customWidth="1"/>
    <col min="8" max="8" width="1.7109375" customWidth="1"/>
    <col min="9" max="9" width="10.7109375" customWidth="1"/>
    <col min="10" max="10" width="15.7109375" customWidth="1"/>
    <col min="11" max="11" width="13.7109375" customWidth="1"/>
    <col min="12" max="13" width="15.7109375" customWidth="1"/>
    <col min="14" max="14" width="14.7109375" customWidth="1"/>
    <col min="15" max="15" width="2.7109375" customWidth="1"/>
    <col min="16" max="16" width="4.5703125" customWidth="1"/>
    <col min="17" max="17" width="10.7109375" customWidth="1"/>
    <col min="19" max="21" width="16.7109375" customWidth="1"/>
  </cols>
  <sheetData>
    <row r="1" spans="1:21" ht="26.25">
      <c r="A1" s="197" t="s">
        <v>580</v>
      </c>
      <c r="B1" s="198"/>
      <c r="C1" s="198"/>
      <c r="D1" s="198"/>
      <c r="E1" s="198"/>
      <c r="F1" s="198"/>
      <c r="G1" s="198"/>
      <c r="H1" s="198"/>
      <c r="I1" s="198"/>
      <c r="J1" s="198"/>
      <c r="K1" s="198"/>
      <c r="L1" s="198"/>
      <c r="M1" s="198"/>
      <c r="N1" s="199"/>
    </row>
    <row r="2" spans="1:21" ht="18">
      <c r="A2" s="41"/>
      <c r="B2" s="42"/>
      <c r="C2" s="43"/>
      <c r="D2" s="200" t="s">
        <v>562</v>
      </c>
      <c r="E2" s="201"/>
      <c r="F2" s="201"/>
      <c r="G2" s="202"/>
      <c r="H2" s="44"/>
      <c r="I2" s="61" t="s">
        <v>456</v>
      </c>
      <c r="J2" s="45"/>
      <c r="K2" s="68"/>
      <c r="L2" s="201" t="s">
        <v>503</v>
      </c>
      <c r="M2" s="201"/>
      <c r="N2" s="203"/>
      <c r="S2" s="200" t="s">
        <v>591</v>
      </c>
      <c r="T2" s="201"/>
      <c r="U2" s="202"/>
    </row>
    <row r="3" spans="1:21" ht="12.75" customHeight="1">
      <c r="A3" s="46"/>
      <c r="B3" s="47"/>
      <c r="C3" s="48">
        <v>2012</v>
      </c>
      <c r="D3" s="49"/>
      <c r="E3" s="50" t="s">
        <v>1</v>
      </c>
      <c r="F3" s="51"/>
      <c r="G3" s="50" t="s">
        <v>1</v>
      </c>
      <c r="H3" s="52"/>
      <c r="I3" s="53"/>
      <c r="J3" s="54"/>
      <c r="K3" s="67" t="s">
        <v>1</v>
      </c>
      <c r="L3" s="66" t="s">
        <v>455</v>
      </c>
      <c r="M3" s="50" t="s">
        <v>455</v>
      </c>
      <c r="N3" s="59" t="s">
        <v>1</v>
      </c>
      <c r="S3" s="51"/>
      <c r="T3" s="51"/>
      <c r="U3" s="54"/>
    </row>
    <row r="4" spans="1:21">
      <c r="A4" s="46"/>
      <c r="B4" s="47"/>
      <c r="C4" s="48" t="s">
        <v>3</v>
      </c>
      <c r="D4" s="49" t="s">
        <v>563</v>
      </c>
      <c r="E4" s="56" t="s">
        <v>563</v>
      </c>
      <c r="F4" s="56" t="s">
        <v>2</v>
      </c>
      <c r="G4" s="56" t="s">
        <v>2</v>
      </c>
      <c r="H4" s="52"/>
      <c r="I4" s="57" t="s">
        <v>4</v>
      </c>
      <c r="J4" s="58" t="s">
        <v>455</v>
      </c>
      <c r="K4" s="69" t="s">
        <v>455</v>
      </c>
      <c r="L4" s="67" t="s">
        <v>454</v>
      </c>
      <c r="M4" s="82" t="s">
        <v>495</v>
      </c>
      <c r="N4" s="55" t="s">
        <v>495</v>
      </c>
      <c r="S4" s="48" t="s">
        <v>563</v>
      </c>
      <c r="T4" s="56" t="s">
        <v>2</v>
      </c>
      <c r="U4" s="58" t="s">
        <v>455</v>
      </c>
    </row>
    <row r="5" spans="1:21">
      <c r="A5" s="85" t="s">
        <v>5</v>
      </c>
      <c r="B5" s="86" t="s">
        <v>6</v>
      </c>
      <c r="C5" s="87" t="s">
        <v>458</v>
      </c>
      <c r="D5" s="88" t="s">
        <v>7</v>
      </c>
      <c r="E5" s="89" t="s">
        <v>7</v>
      </c>
      <c r="F5" s="90" t="s">
        <v>7</v>
      </c>
      <c r="G5" s="89" t="s">
        <v>7</v>
      </c>
      <c r="H5" s="91"/>
      <c r="I5" s="92" t="s">
        <v>587</v>
      </c>
      <c r="J5" s="90" t="s">
        <v>454</v>
      </c>
      <c r="K5" s="90" t="s">
        <v>454</v>
      </c>
      <c r="L5" s="93" t="s">
        <v>502</v>
      </c>
      <c r="M5" s="94" t="s">
        <v>496</v>
      </c>
      <c r="N5" s="95" t="s">
        <v>496</v>
      </c>
      <c r="O5" s="19"/>
      <c r="P5" s="19"/>
      <c r="Q5" s="19"/>
      <c r="S5" s="87" t="s">
        <v>7</v>
      </c>
      <c r="T5" s="90" t="s">
        <v>7</v>
      </c>
      <c r="U5" s="90" t="s">
        <v>454</v>
      </c>
    </row>
    <row r="6" spans="1:21">
      <c r="A6" s="22" t="s">
        <v>8</v>
      </c>
      <c r="B6" s="33" t="s">
        <v>8</v>
      </c>
      <c r="C6" s="34">
        <v>9134</v>
      </c>
      <c r="D6" s="18">
        <v>1077032984</v>
      </c>
      <c r="E6" s="38">
        <f t="shared" ref="E6:E14" si="0">(D6/C6)</f>
        <v>117914.71250273702</v>
      </c>
      <c r="F6" s="18">
        <v>681763651</v>
      </c>
      <c r="G6" s="39">
        <f t="shared" ref="G6:G14" si="1">(F6/C6)</f>
        <v>74640.207028684032</v>
      </c>
      <c r="H6" s="15"/>
      <c r="I6" s="108">
        <v>5.5</v>
      </c>
      <c r="J6" s="40">
        <v>3749700</v>
      </c>
      <c r="K6" s="84">
        <f t="shared" ref="K6:K14" si="2">(J6/C6)</f>
        <v>410.52112984453692</v>
      </c>
      <c r="L6" s="65">
        <f>(F6*0.01)</f>
        <v>6817636.5099999998</v>
      </c>
      <c r="M6" s="83">
        <f>(L6-J6)</f>
        <v>3067936.51</v>
      </c>
      <c r="N6" s="62">
        <f>(M6/C6)</f>
        <v>335.88094044230348</v>
      </c>
      <c r="O6" s="5"/>
      <c r="P6" s="5">
        <f t="shared" ref="P6:P69" si="3">IF(I6&gt;0,1,0)</f>
        <v>1</v>
      </c>
      <c r="Q6" s="7">
        <f t="shared" ref="Q6:Q69" si="4">IF(I6&gt;0,C6,0)</f>
        <v>9134</v>
      </c>
    </row>
    <row r="7" spans="1:21">
      <c r="A7" s="23" t="s">
        <v>9</v>
      </c>
      <c r="B7" s="35" t="s">
        <v>8</v>
      </c>
      <c r="C7" s="36">
        <v>1130</v>
      </c>
      <c r="D7" s="113">
        <v>63186334</v>
      </c>
      <c r="E7" s="116">
        <f t="shared" si="0"/>
        <v>55917.109734513273</v>
      </c>
      <c r="F7" s="113">
        <v>33321839</v>
      </c>
      <c r="G7" s="117">
        <f t="shared" si="1"/>
        <v>29488.353097345134</v>
      </c>
      <c r="H7" s="7"/>
      <c r="I7" s="109">
        <v>5.25</v>
      </c>
      <c r="J7" s="117">
        <v>174940</v>
      </c>
      <c r="K7" s="120">
        <f t="shared" si="2"/>
        <v>154.81415929203538</v>
      </c>
      <c r="L7" s="122">
        <f>(F7*0.01)</f>
        <v>333218.39</v>
      </c>
      <c r="M7" s="116">
        <f>(L7-J7)</f>
        <v>158278.39000000001</v>
      </c>
      <c r="N7" s="123">
        <f>(M7/C7)</f>
        <v>140.06937168141593</v>
      </c>
      <c r="O7" s="5"/>
      <c r="P7" s="5">
        <f t="shared" si="3"/>
        <v>1</v>
      </c>
      <c r="Q7" s="7">
        <f t="shared" si="4"/>
        <v>1130</v>
      </c>
    </row>
    <row r="8" spans="1:21">
      <c r="A8" s="23" t="s">
        <v>10</v>
      </c>
      <c r="B8" s="35" t="s">
        <v>8</v>
      </c>
      <c r="C8" s="36">
        <v>124025</v>
      </c>
      <c r="D8" s="113">
        <v>12825243981</v>
      </c>
      <c r="E8" s="116">
        <f t="shared" si="0"/>
        <v>103408.53844789357</v>
      </c>
      <c r="F8" s="113">
        <v>5163658711</v>
      </c>
      <c r="G8" s="117">
        <f t="shared" si="1"/>
        <v>41634.015005039306</v>
      </c>
      <c r="H8" s="7"/>
      <c r="I8" s="109">
        <v>4.4946000000000002</v>
      </c>
      <c r="J8" s="117">
        <v>23208580</v>
      </c>
      <c r="K8" s="120">
        <f t="shared" si="2"/>
        <v>187.12824027413828</v>
      </c>
      <c r="L8" s="122">
        <f t="shared" ref="L8:L71" si="5">(F8*0.01)</f>
        <v>51636587.109999999</v>
      </c>
      <c r="M8" s="116">
        <f t="shared" ref="M8:M71" si="6">(L8-J8)</f>
        <v>28428007.109999999</v>
      </c>
      <c r="N8" s="123">
        <f t="shared" ref="N8:N71" si="7">(M8/C8)</f>
        <v>229.21190977625477</v>
      </c>
      <c r="O8" s="5"/>
      <c r="P8" s="5">
        <f t="shared" si="3"/>
        <v>1</v>
      </c>
      <c r="Q8" s="7">
        <f t="shared" si="4"/>
        <v>124025</v>
      </c>
    </row>
    <row r="9" spans="1:21">
      <c r="A9" s="23" t="s">
        <v>11</v>
      </c>
      <c r="B9" s="35" t="s">
        <v>8</v>
      </c>
      <c r="C9" s="36">
        <v>1389</v>
      </c>
      <c r="D9" s="113">
        <v>98874291</v>
      </c>
      <c r="E9" s="116">
        <f t="shared" si="0"/>
        <v>71183.79481641468</v>
      </c>
      <c r="F9" s="117">
        <v>44683974</v>
      </c>
      <c r="G9" s="117">
        <f t="shared" si="1"/>
        <v>32169.88768898488</v>
      </c>
      <c r="H9" s="7"/>
      <c r="I9" s="109">
        <v>5.3193999999999999</v>
      </c>
      <c r="J9" s="117">
        <v>237692</v>
      </c>
      <c r="K9" s="120">
        <f t="shared" si="2"/>
        <v>171.12455003599712</v>
      </c>
      <c r="L9" s="122">
        <f t="shared" si="5"/>
        <v>446839.74</v>
      </c>
      <c r="M9" s="116">
        <f t="shared" si="6"/>
        <v>209147.74</v>
      </c>
      <c r="N9" s="123">
        <f t="shared" si="7"/>
        <v>150.57432685385169</v>
      </c>
      <c r="O9" s="5"/>
      <c r="P9" s="5">
        <f t="shared" si="3"/>
        <v>1</v>
      </c>
      <c r="Q9" s="7">
        <f t="shared" si="4"/>
        <v>1389</v>
      </c>
    </row>
    <row r="10" spans="1:21">
      <c r="A10" s="23" t="s">
        <v>12</v>
      </c>
      <c r="B10" s="35" t="s">
        <v>8</v>
      </c>
      <c r="C10" s="36">
        <v>5355</v>
      </c>
      <c r="D10" s="113">
        <v>368639407</v>
      </c>
      <c r="E10" s="116">
        <f t="shared" si="0"/>
        <v>68840.225396825394</v>
      </c>
      <c r="F10" s="117">
        <v>222926072</v>
      </c>
      <c r="G10" s="117">
        <f t="shared" si="1"/>
        <v>41629.518580765638</v>
      </c>
      <c r="H10" s="7"/>
      <c r="I10" s="109">
        <v>6.15</v>
      </c>
      <c r="J10" s="117">
        <v>1370995</v>
      </c>
      <c r="K10" s="120">
        <f t="shared" si="2"/>
        <v>256.02147525676935</v>
      </c>
      <c r="L10" s="122">
        <f t="shared" si="5"/>
        <v>2229260.7200000002</v>
      </c>
      <c r="M10" s="116">
        <f t="shared" si="6"/>
        <v>858265.7200000002</v>
      </c>
      <c r="N10" s="123">
        <f t="shared" si="7"/>
        <v>160.27371055088705</v>
      </c>
      <c r="O10" s="5"/>
      <c r="P10" s="5">
        <f t="shared" si="3"/>
        <v>1</v>
      </c>
      <c r="Q10" s="7">
        <f t="shared" si="4"/>
        <v>5355</v>
      </c>
    </row>
    <row r="11" spans="1:21">
      <c r="A11" s="23" t="s">
        <v>559</v>
      </c>
      <c r="B11" s="35" t="s">
        <v>8</v>
      </c>
      <c r="C11" s="36">
        <v>356</v>
      </c>
      <c r="D11" s="113">
        <v>20380377</v>
      </c>
      <c r="E11" s="116">
        <f t="shared" si="0"/>
        <v>57248.25</v>
      </c>
      <c r="F11" s="117">
        <v>9940693</v>
      </c>
      <c r="G11" s="117">
        <f t="shared" si="1"/>
        <v>27923.294943820223</v>
      </c>
      <c r="H11" s="7"/>
      <c r="I11" s="109">
        <v>2.6989000000000001</v>
      </c>
      <c r="J11" s="117">
        <v>26829</v>
      </c>
      <c r="K11" s="120">
        <f t="shared" si="2"/>
        <v>75.362359550561791</v>
      </c>
      <c r="L11" s="122">
        <f t="shared" si="5"/>
        <v>99406.930000000008</v>
      </c>
      <c r="M11" s="116">
        <f t="shared" si="6"/>
        <v>72577.930000000008</v>
      </c>
      <c r="N11" s="123">
        <f t="shared" si="7"/>
        <v>203.87058988764048</v>
      </c>
      <c r="O11" s="5"/>
      <c r="P11" s="5">
        <f t="shared" si="3"/>
        <v>1</v>
      </c>
      <c r="Q11" s="7">
        <f t="shared" si="4"/>
        <v>356</v>
      </c>
    </row>
    <row r="12" spans="1:21">
      <c r="A12" s="23" t="s">
        <v>13</v>
      </c>
      <c r="B12" s="35" t="s">
        <v>8</v>
      </c>
      <c r="C12" s="36">
        <v>605</v>
      </c>
      <c r="D12" s="113">
        <v>46182352</v>
      </c>
      <c r="E12" s="116">
        <f t="shared" si="0"/>
        <v>76334.466115702482</v>
      </c>
      <c r="F12" s="117">
        <v>27238840</v>
      </c>
      <c r="G12" s="117">
        <f t="shared" si="1"/>
        <v>45022.876033057852</v>
      </c>
      <c r="H12" s="7"/>
      <c r="I12" s="109">
        <v>8</v>
      </c>
      <c r="J12" s="117">
        <v>217911</v>
      </c>
      <c r="K12" s="120">
        <f t="shared" si="2"/>
        <v>360.18347107438018</v>
      </c>
      <c r="L12" s="122">
        <f t="shared" si="5"/>
        <v>272388.40000000002</v>
      </c>
      <c r="M12" s="116">
        <f t="shared" si="6"/>
        <v>54477.400000000023</v>
      </c>
      <c r="N12" s="123">
        <f t="shared" si="7"/>
        <v>90.045289256198387</v>
      </c>
      <c r="O12" s="5"/>
      <c r="P12" s="5">
        <f t="shared" si="3"/>
        <v>1</v>
      </c>
      <c r="Q12" s="7">
        <f t="shared" si="4"/>
        <v>605</v>
      </c>
    </row>
    <row r="13" spans="1:21">
      <c r="A13" s="23" t="s">
        <v>14</v>
      </c>
      <c r="B13" s="35" t="s">
        <v>8</v>
      </c>
      <c r="C13" s="36">
        <v>4957</v>
      </c>
      <c r="D13" s="113">
        <v>504448720</v>
      </c>
      <c r="E13" s="116">
        <f t="shared" si="0"/>
        <v>101764.92233205568</v>
      </c>
      <c r="F13" s="117">
        <v>283728288</v>
      </c>
      <c r="G13" s="117">
        <f t="shared" si="1"/>
        <v>57237.903570708091</v>
      </c>
      <c r="H13" s="7"/>
      <c r="I13" s="109">
        <v>3.8083999999999998</v>
      </c>
      <c r="J13" s="117">
        <v>1080551</v>
      </c>
      <c r="K13" s="120">
        <f t="shared" si="2"/>
        <v>217.98486988097639</v>
      </c>
      <c r="L13" s="122">
        <f t="shared" si="5"/>
        <v>2837282.88</v>
      </c>
      <c r="M13" s="116">
        <f t="shared" si="6"/>
        <v>1756731.88</v>
      </c>
      <c r="N13" s="123">
        <f t="shared" si="7"/>
        <v>354.39416582610448</v>
      </c>
      <c r="O13" s="5"/>
      <c r="P13" s="5">
        <f t="shared" si="3"/>
        <v>1</v>
      </c>
      <c r="Q13" s="7">
        <f t="shared" si="4"/>
        <v>4957</v>
      </c>
    </row>
    <row r="14" spans="1:21">
      <c r="A14" s="23" t="s">
        <v>15</v>
      </c>
      <c r="B14" s="35" t="s">
        <v>8</v>
      </c>
      <c r="C14" s="36">
        <v>969</v>
      </c>
      <c r="D14" s="113">
        <v>46833236</v>
      </c>
      <c r="E14" s="116">
        <f t="shared" si="0"/>
        <v>48331.512899896799</v>
      </c>
      <c r="F14" s="117">
        <v>25536966</v>
      </c>
      <c r="G14" s="117">
        <f t="shared" si="1"/>
        <v>26353.938080495354</v>
      </c>
      <c r="H14" s="7"/>
      <c r="I14" s="109">
        <v>5.8685999999999998</v>
      </c>
      <c r="J14" s="117">
        <v>149866</v>
      </c>
      <c r="K14" s="120">
        <f t="shared" si="2"/>
        <v>154.66047471620226</v>
      </c>
      <c r="L14" s="122">
        <f t="shared" si="5"/>
        <v>255369.66</v>
      </c>
      <c r="M14" s="116">
        <f t="shared" si="6"/>
        <v>105503.66</v>
      </c>
      <c r="N14" s="123">
        <f t="shared" si="7"/>
        <v>108.87890608875129</v>
      </c>
      <c r="O14" s="5"/>
      <c r="P14" s="5">
        <f t="shared" si="3"/>
        <v>1</v>
      </c>
      <c r="Q14" s="7">
        <f t="shared" si="4"/>
        <v>969</v>
      </c>
      <c r="S14" s="124">
        <f>SUM(D6:D14)</f>
        <v>15050821682</v>
      </c>
      <c r="T14" s="124">
        <f>SUM(F6:F14)</f>
        <v>6492799034</v>
      </c>
      <c r="U14" s="124">
        <f>SUM(J6:J14)</f>
        <v>30217064</v>
      </c>
    </row>
    <row r="15" spans="1:21">
      <c r="A15" s="24" t="s">
        <v>544</v>
      </c>
      <c r="B15" s="35" t="s">
        <v>16</v>
      </c>
      <c r="C15" s="36">
        <v>428</v>
      </c>
      <c r="D15" s="114" t="s">
        <v>564</v>
      </c>
      <c r="E15" s="116"/>
      <c r="F15" s="117"/>
      <c r="G15" s="117"/>
      <c r="H15" s="98" t="s">
        <v>588</v>
      </c>
      <c r="I15" s="109"/>
      <c r="J15" s="117"/>
      <c r="K15" s="120"/>
      <c r="L15" s="122">
        <f t="shared" si="5"/>
        <v>0</v>
      </c>
      <c r="M15" s="116">
        <f t="shared" si="6"/>
        <v>0</v>
      </c>
      <c r="N15" s="123">
        <f t="shared" si="7"/>
        <v>0</v>
      </c>
      <c r="O15" s="5"/>
      <c r="P15" s="5">
        <f t="shared" si="3"/>
        <v>0</v>
      </c>
      <c r="Q15" s="7">
        <f t="shared" si="4"/>
        <v>0</v>
      </c>
    </row>
    <row r="16" spans="1:21">
      <c r="A16" s="23" t="s">
        <v>17</v>
      </c>
      <c r="B16" s="35" t="s">
        <v>16</v>
      </c>
      <c r="C16" s="36">
        <v>6355</v>
      </c>
      <c r="D16" s="113">
        <v>364264021</v>
      </c>
      <c r="E16" s="116">
        <f>(D16/C16)</f>
        <v>57319.279464988198</v>
      </c>
      <c r="F16" s="117">
        <v>213174408</v>
      </c>
      <c r="G16" s="117">
        <f>(F16/C16)</f>
        <v>33544.360031471282</v>
      </c>
      <c r="H16" s="7"/>
      <c r="I16" s="109">
        <v>3.6</v>
      </c>
      <c r="J16" s="117">
        <v>767428</v>
      </c>
      <c r="K16" s="120">
        <f>(J16/C16)</f>
        <v>120.75971675845791</v>
      </c>
      <c r="L16" s="122">
        <f t="shared" si="5"/>
        <v>2131744.08</v>
      </c>
      <c r="M16" s="116">
        <f t="shared" si="6"/>
        <v>1364316.08</v>
      </c>
      <c r="N16" s="123">
        <f t="shared" si="7"/>
        <v>214.68388355625493</v>
      </c>
      <c r="O16" s="5"/>
      <c r="P16" s="5">
        <f t="shared" si="3"/>
        <v>1</v>
      </c>
      <c r="Q16" s="7">
        <f t="shared" si="4"/>
        <v>6355</v>
      </c>
      <c r="S16" s="124">
        <f>SUM(D15:D16)</f>
        <v>364264021</v>
      </c>
      <c r="T16" s="124">
        <f>SUM(F15:F16)</f>
        <v>213174408</v>
      </c>
      <c r="U16" s="124">
        <f>SUM(J15:J16)</f>
        <v>767428</v>
      </c>
    </row>
    <row r="17" spans="1:21">
      <c r="A17" s="23" t="s">
        <v>18</v>
      </c>
      <c r="B17" s="35" t="s">
        <v>19</v>
      </c>
      <c r="C17" s="36">
        <v>14051</v>
      </c>
      <c r="D17" s="113">
        <v>744762752</v>
      </c>
      <c r="E17" s="116">
        <f>(D17/C17)</f>
        <v>53004.252508718244</v>
      </c>
      <c r="F17" s="117">
        <v>484477036</v>
      </c>
      <c r="G17" s="117">
        <f>(F17/C17)</f>
        <v>34479.897231513773</v>
      </c>
      <c r="H17" s="8"/>
      <c r="I17" s="109">
        <v>2.25</v>
      </c>
      <c r="J17" s="117">
        <v>1090073</v>
      </c>
      <c r="K17" s="120">
        <f>(J17/C17)</f>
        <v>77.579745213863788</v>
      </c>
      <c r="L17" s="122">
        <f t="shared" si="5"/>
        <v>4844770.3600000003</v>
      </c>
      <c r="M17" s="116">
        <f t="shared" si="6"/>
        <v>3754697.3600000003</v>
      </c>
      <c r="N17" s="123">
        <f t="shared" si="7"/>
        <v>267.21922710127393</v>
      </c>
      <c r="O17" s="5"/>
      <c r="P17" s="5">
        <f t="shared" si="3"/>
        <v>1</v>
      </c>
      <c r="Q17" s="7">
        <f t="shared" si="4"/>
        <v>14051</v>
      </c>
    </row>
    <row r="18" spans="1:21">
      <c r="A18" s="23" t="s">
        <v>21</v>
      </c>
      <c r="B18" s="35" t="s">
        <v>19</v>
      </c>
      <c r="C18" s="36">
        <v>18764</v>
      </c>
      <c r="D18" s="113">
        <v>1453484613</v>
      </c>
      <c r="E18" s="116">
        <f>(D18/C18)</f>
        <v>77461.341558303131</v>
      </c>
      <c r="F18" s="117">
        <v>989939148</v>
      </c>
      <c r="G18" s="117">
        <f>(F18/C18)</f>
        <v>52757.362396077595</v>
      </c>
      <c r="H18" s="7"/>
      <c r="I18" s="109">
        <v>3.0886999999999998</v>
      </c>
      <c r="J18" s="117">
        <v>3057625</v>
      </c>
      <c r="K18" s="120">
        <f>(J18/C18)</f>
        <v>162.95166275847367</v>
      </c>
      <c r="L18" s="122">
        <f t="shared" si="5"/>
        <v>9899391.4800000004</v>
      </c>
      <c r="M18" s="116">
        <f t="shared" si="6"/>
        <v>6841766.4800000004</v>
      </c>
      <c r="N18" s="123">
        <f t="shared" si="7"/>
        <v>364.62196120230232</v>
      </c>
      <c r="O18" s="5"/>
      <c r="P18" s="5">
        <f t="shared" si="3"/>
        <v>1</v>
      </c>
      <c r="Q18" s="7">
        <f t="shared" si="4"/>
        <v>18764</v>
      </c>
    </row>
    <row r="19" spans="1:21">
      <c r="A19" s="23" t="s">
        <v>22</v>
      </c>
      <c r="B19" s="35" t="s">
        <v>19</v>
      </c>
      <c r="C19" s="36">
        <v>1095</v>
      </c>
      <c r="D19" s="113">
        <v>424454229</v>
      </c>
      <c r="E19" s="116">
        <f>(D19/C19)</f>
        <v>387629.43287671235</v>
      </c>
      <c r="F19" s="117">
        <v>336384539</v>
      </c>
      <c r="G19" s="117">
        <f>(F19/C19)</f>
        <v>307200.49223744293</v>
      </c>
      <c r="H19" s="7"/>
      <c r="I19" s="110">
        <v>5.0289999999999999</v>
      </c>
      <c r="J19" s="117">
        <v>1691678</v>
      </c>
      <c r="K19" s="120">
        <f>(J19/C19)</f>
        <v>1544.9114155251141</v>
      </c>
      <c r="L19" s="122">
        <f t="shared" si="5"/>
        <v>3363845.39</v>
      </c>
      <c r="M19" s="116">
        <f t="shared" si="6"/>
        <v>1672167.3900000001</v>
      </c>
      <c r="N19" s="123">
        <f t="shared" si="7"/>
        <v>1527.0935068493152</v>
      </c>
      <c r="O19" s="5"/>
      <c r="P19" s="5">
        <f t="shared" si="3"/>
        <v>1</v>
      </c>
      <c r="Q19" s="7">
        <f t="shared" si="4"/>
        <v>1095</v>
      </c>
    </row>
    <row r="20" spans="1:21">
      <c r="A20" s="23" t="s">
        <v>23</v>
      </c>
      <c r="B20" s="35" t="s">
        <v>19</v>
      </c>
      <c r="C20" s="36">
        <v>35800</v>
      </c>
      <c r="D20" s="113">
        <v>3410513962</v>
      </c>
      <c r="E20" s="116">
        <f>(D20/C20)</f>
        <v>95265.753128491619</v>
      </c>
      <c r="F20" s="117">
        <v>2120094944</v>
      </c>
      <c r="G20" s="117">
        <f>(F20/C20)</f>
        <v>59220.529162011175</v>
      </c>
      <c r="H20" s="7"/>
      <c r="I20" s="109">
        <v>3.8723000000000001</v>
      </c>
      <c r="J20" s="117">
        <v>8209644</v>
      </c>
      <c r="K20" s="120">
        <f>(J20/C20)</f>
        <v>229.31966480446928</v>
      </c>
      <c r="L20" s="122">
        <f t="shared" si="5"/>
        <v>21200949.440000001</v>
      </c>
      <c r="M20" s="116">
        <f t="shared" si="6"/>
        <v>12991305.440000001</v>
      </c>
      <c r="N20" s="123">
        <f t="shared" si="7"/>
        <v>362.88562681564247</v>
      </c>
      <c r="O20" s="5"/>
      <c r="P20" s="5">
        <f t="shared" si="3"/>
        <v>1</v>
      </c>
      <c r="Q20" s="7">
        <f t="shared" si="4"/>
        <v>35800</v>
      </c>
    </row>
    <row r="21" spans="1:21">
      <c r="A21" s="23" t="s">
        <v>24</v>
      </c>
      <c r="B21" s="35" t="s">
        <v>19</v>
      </c>
      <c r="C21" s="36">
        <v>12067</v>
      </c>
      <c r="D21" s="114" t="s">
        <v>564</v>
      </c>
      <c r="E21" s="116"/>
      <c r="F21" s="117"/>
      <c r="G21" s="117"/>
      <c r="H21" s="9" t="s">
        <v>588</v>
      </c>
      <c r="I21" s="111"/>
      <c r="J21" s="117"/>
      <c r="K21" s="120"/>
      <c r="L21" s="122">
        <f t="shared" si="5"/>
        <v>0</v>
      </c>
      <c r="M21" s="116">
        <f t="shared" si="6"/>
        <v>0</v>
      </c>
      <c r="N21" s="123">
        <f t="shared" si="7"/>
        <v>0</v>
      </c>
      <c r="O21" s="5"/>
      <c r="P21" s="5">
        <f t="shared" si="3"/>
        <v>0</v>
      </c>
      <c r="Q21" s="7">
        <f t="shared" si="4"/>
        <v>0</v>
      </c>
    </row>
    <row r="22" spans="1:21">
      <c r="A22" s="23" t="s">
        <v>25</v>
      </c>
      <c r="B22" s="35" t="s">
        <v>19</v>
      </c>
      <c r="C22" s="36">
        <v>4305</v>
      </c>
      <c r="D22" s="114" t="s">
        <v>564</v>
      </c>
      <c r="E22" s="116"/>
      <c r="F22" s="117"/>
      <c r="G22" s="117"/>
      <c r="H22" s="9" t="s">
        <v>588</v>
      </c>
      <c r="I22" s="111"/>
      <c r="J22" s="117"/>
      <c r="K22" s="120"/>
      <c r="L22" s="122">
        <f t="shared" si="5"/>
        <v>0</v>
      </c>
      <c r="M22" s="116">
        <f t="shared" si="6"/>
        <v>0</v>
      </c>
      <c r="N22" s="123">
        <f t="shared" si="7"/>
        <v>0</v>
      </c>
      <c r="O22" s="5"/>
      <c r="P22" s="5">
        <f t="shared" si="3"/>
        <v>0</v>
      </c>
      <c r="Q22" s="7">
        <f t="shared" si="4"/>
        <v>0</v>
      </c>
    </row>
    <row r="23" spans="1:21">
      <c r="A23" s="23" t="s">
        <v>26</v>
      </c>
      <c r="B23" s="35" t="s">
        <v>19</v>
      </c>
      <c r="C23" s="36">
        <v>8893</v>
      </c>
      <c r="D23" s="114" t="s">
        <v>564</v>
      </c>
      <c r="E23" s="116"/>
      <c r="F23" s="117"/>
      <c r="G23" s="117"/>
      <c r="H23" s="9" t="s">
        <v>588</v>
      </c>
      <c r="I23" s="109"/>
      <c r="J23" s="117"/>
      <c r="K23" s="120"/>
      <c r="L23" s="122">
        <f t="shared" si="5"/>
        <v>0</v>
      </c>
      <c r="M23" s="116">
        <f t="shared" si="6"/>
        <v>0</v>
      </c>
      <c r="N23" s="123">
        <f t="shared" si="7"/>
        <v>0</v>
      </c>
      <c r="O23" s="5"/>
      <c r="P23" s="5">
        <f t="shared" si="3"/>
        <v>0</v>
      </c>
      <c r="Q23" s="7">
        <f t="shared" si="4"/>
        <v>0</v>
      </c>
      <c r="S23" s="124">
        <f>SUM(D17:D23)</f>
        <v>6033215556</v>
      </c>
      <c r="T23" s="124">
        <f>SUM(F17:F23)</f>
        <v>3930895667</v>
      </c>
      <c r="U23" s="124">
        <f>SUM(J17:J23)</f>
        <v>14049020</v>
      </c>
    </row>
    <row r="24" spans="1:21">
      <c r="A24" s="23" t="s">
        <v>27</v>
      </c>
      <c r="B24" s="35" t="s">
        <v>28</v>
      </c>
      <c r="C24" s="36">
        <v>331</v>
      </c>
      <c r="D24" s="113">
        <v>14154001</v>
      </c>
      <c r="E24" s="116">
        <f t="shared" ref="E24:E38" si="8">(D24/C24)</f>
        <v>42761.332326283991</v>
      </c>
      <c r="F24" s="117">
        <v>7090687</v>
      </c>
      <c r="G24" s="117">
        <f t="shared" ref="G24:G38" si="9">(F24/C24)</f>
        <v>21422.015105740182</v>
      </c>
      <c r="H24" s="7"/>
      <c r="I24" s="109">
        <v>0.34839999999999999</v>
      </c>
      <c r="J24" s="117">
        <v>2470</v>
      </c>
      <c r="K24" s="120">
        <f t="shared" ref="K24:K38" si="10">(J24/C24)</f>
        <v>7.4622356495468276</v>
      </c>
      <c r="L24" s="122">
        <f t="shared" si="5"/>
        <v>70906.87</v>
      </c>
      <c r="M24" s="116">
        <f t="shared" si="6"/>
        <v>68436.87</v>
      </c>
      <c r="N24" s="123">
        <f t="shared" si="7"/>
        <v>206.75791540785497</v>
      </c>
      <c r="O24" s="5"/>
      <c r="P24" s="5">
        <f t="shared" si="3"/>
        <v>1</v>
      </c>
      <c r="Q24" s="7">
        <f t="shared" si="4"/>
        <v>331</v>
      </c>
    </row>
    <row r="25" spans="1:21">
      <c r="A25" s="23" t="s">
        <v>29</v>
      </c>
      <c r="B25" s="35" t="s">
        <v>28</v>
      </c>
      <c r="C25" s="36">
        <v>477</v>
      </c>
      <c r="D25" s="113">
        <v>12391230</v>
      </c>
      <c r="E25" s="116">
        <f t="shared" si="8"/>
        <v>25977.421383647797</v>
      </c>
      <c r="F25" s="117">
        <v>7012213</v>
      </c>
      <c r="G25" s="117">
        <f t="shared" si="9"/>
        <v>14700.656184486374</v>
      </c>
      <c r="H25" s="7"/>
      <c r="I25" s="109">
        <v>0.34699999999999998</v>
      </c>
      <c r="J25" s="117">
        <v>2433</v>
      </c>
      <c r="K25" s="120">
        <f t="shared" si="10"/>
        <v>5.10062893081761</v>
      </c>
      <c r="L25" s="122">
        <f t="shared" si="5"/>
        <v>70122.13</v>
      </c>
      <c r="M25" s="116">
        <f t="shared" si="6"/>
        <v>67689.13</v>
      </c>
      <c r="N25" s="123">
        <f t="shared" si="7"/>
        <v>141.90593291404613</v>
      </c>
      <c r="O25" s="5"/>
      <c r="P25" s="5">
        <f t="shared" si="3"/>
        <v>1</v>
      </c>
      <c r="Q25" s="7">
        <f t="shared" si="4"/>
        <v>477</v>
      </c>
    </row>
    <row r="26" spans="1:21">
      <c r="A26" s="23" t="s">
        <v>30</v>
      </c>
      <c r="B26" s="35" t="s">
        <v>28</v>
      </c>
      <c r="C26" s="36">
        <v>730</v>
      </c>
      <c r="D26" s="113">
        <v>25688871</v>
      </c>
      <c r="E26" s="116">
        <f t="shared" si="8"/>
        <v>35190.234246575339</v>
      </c>
      <c r="F26" s="117">
        <v>14642933</v>
      </c>
      <c r="G26" s="117">
        <f t="shared" si="9"/>
        <v>20058.812328767122</v>
      </c>
      <c r="H26" s="7"/>
      <c r="I26" s="110">
        <v>1.6484000000000001</v>
      </c>
      <c r="J26" s="117">
        <v>24137</v>
      </c>
      <c r="K26" s="120">
        <f t="shared" si="10"/>
        <v>33.064383561643837</v>
      </c>
      <c r="L26" s="122">
        <f t="shared" si="5"/>
        <v>146429.33000000002</v>
      </c>
      <c r="M26" s="116">
        <f t="shared" si="6"/>
        <v>122292.33000000002</v>
      </c>
      <c r="N26" s="123">
        <f t="shared" si="7"/>
        <v>167.52373972602743</v>
      </c>
      <c r="O26" s="5"/>
      <c r="P26" s="5">
        <f t="shared" si="3"/>
        <v>1</v>
      </c>
      <c r="Q26" s="7">
        <f t="shared" si="4"/>
        <v>730</v>
      </c>
    </row>
    <row r="27" spans="1:21">
      <c r="A27" s="23" t="s">
        <v>31</v>
      </c>
      <c r="B27" s="35" t="s">
        <v>28</v>
      </c>
      <c r="C27" s="36">
        <v>5437</v>
      </c>
      <c r="D27" s="113">
        <v>330603397</v>
      </c>
      <c r="E27" s="116">
        <f t="shared" si="8"/>
        <v>60806.216111826376</v>
      </c>
      <c r="F27" s="117">
        <v>198370774</v>
      </c>
      <c r="G27" s="117">
        <f t="shared" si="9"/>
        <v>36485.336398749307</v>
      </c>
      <c r="H27" s="7"/>
      <c r="I27" s="110">
        <v>4.0857999999999999</v>
      </c>
      <c r="J27" s="117">
        <v>810503</v>
      </c>
      <c r="K27" s="120">
        <f t="shared" si="10"/>
        <v>149.07173073386059</v>
      </c>
      <c r="L27" s="122">
        <f t="shared" si="5"/>
        <v>1983707.74</v>
      </c>
      <c r="M27" s="116">
        <f t="shared" si="6"/>
        <v>1173204.74</v>
      </c>
      <c r="N27" s="123">
        <f t="shared" si="7"/>
        <v>215.78163325363252</v>
      </c>
      <c r="O27" s="5"/>
      <c r="P27" s="5">
        <f t="shared" si="3"/>
        <v>1</v>
      </c>
      <c r="Q27" s="7">
        <f t="shared" si="4"/>
        <v>5437</v>
      </c>
      <c r="S27" s="124">
        <f>SUM(D24:D27)</f>
        <v>382837499</v>
      </c>
      <c r="T27" s="124">
        <f>SUM(F24:F27)</f>
        <v>227116607</v>
      </c>
      <c r="U27" s="124">
        <f>SUM(J24:J27)</f>
        <v>839543</v>
      </c>
    </row>
    <row r="28" spans="1:21">
      <c r="A28" s="23" t="s">
        <v>32</v>
      </c>
      <c r="B28" s="35" t="s">
        <v>33</v>
      </c>
      <c r="C28" s="36">
        <v>9926</v>
      </c>
      <c r="D28" s="113">
        <v>970682241</v>
      </c>
      <c r="E28" s="116">
        <f t="shared" si="8"/>
        <v>97791.884041910133</v>
      </c>
      <c r="F28" s="117">
        <v>819174583</v>
      </c>
      <c r="G28" s="117">
        <f t="shared" si="9"/>
        <v>82528.166733830338</v>
      </c>
      <c r="H28" s="7"/>
      <c r="I28" s="110">
        <v>4.0739000000000001</v>
      </c>
      <c r="J28" s="117">
        <v>3337235</v>
      </c>
      <c r="K28" s="120">
        <f t="shared" si="10"/>
        <v>336.21146483981465</v>
      </c>
      <c r="L28" s="122">
        <f t="shared" si="5"/>
        <v>8191745.8300000001</v>
      </c>
      <c r="M28" s="116">
        <f t="shared" si="6"/>
        <v>4854510.83</v>
      </c>
      <c r="N28" s="123">
        <f t="shared" si="7"/>
        <v>489.07020249848881</v>
      </c>
      <c r="O28" s="5"/>
      <c r="P28" s="5">
        <f t="shared" si="3"/>
        <v>1</v>
      </c>
      <c r="Q28" s="7">
        <f t="shared" si="4"/>
        <v>9926</v>
      </c>
    </row>
    <row r="29" spans="1:21">
      <c r="A29" s="23" t="s">
        <v>34</v>
      </c>
      <c r="B29" s="35" t="s">
        <v>33</v>
      </c>
      <c r="C29" s="36">
        <v>17259</v>
      </c>
      <c r="D29" s="113">
        <v>1118060816</v>
      </c>
      <c r="E29" s="116">
        <f t="shared" si="8"/>
        <v>64781.320818123881</v>
      </c>
      <c r="F29" s="117">
        <v>771008034</v>
      </c>
      <c r="G29" s="117">
        <f t="shared" si="9"/>
        <v>44672.810359812269</v>
      </c>
      <c r="H29" s="7"/>
      <c r="I29" s="109">
        <v>5.9810999999999996</v>
      </c>
      <c r="J29" s="117">
        <v>4611476</v>
      </c>
      <c r="K29" s="120">
        <f t="shared" si="10"/>
        <v>267.19253722695407</v>
      </c>
      <c r="L29" s="122">
        <f t="shared" si="5"/>
        <v>7710080.3399999999</v>
      </c>
      <c r="M29" s="116">
        <f t="shared" si="6"/>
        <v>3098604.34</v>
      </c>
      <c r="N29" s="123">
        <f t="shared" si="7"/>
        <v>179.53556637116867</v>
      </c>
      <c r="O29" s="5"/>
      <c r="P29" s="5">
        <f t="shared" si="3"/>
        <v>1</v>
      </c>
      <c r="Q29" s="7">
        <f t="shared" si="4"/>
        <v>17259</v>
      </c>
    </row>
    <row r="30" spans="1:21">
      <c r="A30" s="23" t="s">
        <v>35</v>
      </c>
      <c r="B30" s="35" t="s">
        <v>33</v>
      </c>
      <c r="C30" s="36">
        <v>11240</v>
      </c>
      <c r="D30" s="113">
        <v>1788952289</v>
      </c>
      <c r="E30" s="116">
        <f t="shared" si="8"/>
        <v>159159.45631672599</v>
      </c>
      <c r="F30" s="117">
        <v>1317345221</v>
      </c>
      <c r="G30" s="117">
        <f t="shared" si="9"/>
        <v>117201.53211743772</v>
      </c>
      <c r="H30" s="7"/>
      <c r="I30" s="109">
        <v>4.9798</v>
      </c>
      <c r="J30" s="117">
        <v>6560116</v>
      </c>
      <c r="K30" s="120">
        <f t="shared" si="10"/>
        <v>583.64021352313171</v>
      </c>
      <c r="L30" s="122">
        <f t="shared" si="5"/>
        <v>13173452.210000001</v>
      </c>
      <c r="M30" s="116">
        <f t="shared" si="6"/>
        <v>6613336.2100000009</v>
      </c>
      <c r="N30" s="123">
        <f t="shared" si="7"/>
        <v>588.37510765124568</v>
      </c>
      <c r="O30" s="5"/>
      <c r="P30" s="5">
        <f t="shared" si="3"/>
        <v>1</v>
      </c>
      <c r="Q30" s="7">
        <f t="shared" si="4"/>
        <v>11240</v>
      </c>
    </row>
    <row r="31" spans="1:21">
      <c r="A31" s="23" t="s">
        <v>530</v>
      </c>
      <c r="B31" s="35" t="s">
        <v>33</v>
      </c>
      <c r="C31" s="36">
        <v>3873</v>
      </c>
      <c r="D31" s="113">
        <v>397209340</v>
      </c>
      <c r="E31" s="116">
        <f t="shared" si="8"/>
        <v>102558.56958430157</v>
      </c>
      <c r="F31" s="117">
        <v>284046086</v>
      </c>
      <c r="G31" s="117">
        <f t="shared" si="9"/>
        <v>73340.068680609344</v>
      </c>
      <c r="H31" s="9"/>
      <c r="I31" s="109">
        <v>1</v>
      </c>
      <c r="J31" s="117">
        <v>284046</v>
      </c>
      <c r="K31" s="120">
        <f t="shared" si="10"/>
        <v>73.340046475600303</v>
      </c>
      <c r="L31" s="122">
        <f t="shared" si="5"/>
        <v>2840460.86</v>
      </c>
      <c r="M31" s="116">
        <f t="shared" si="6"/>
        <v>2556414.86</v>
      </c>
      <c r="N31" s="123">
        <f t="shared" si="7"/>
        <v>660.06064033049313</v>
      </c>
      <c r="O31" s="5"/>
      <c r="P31" s="5">
        <f t="shared" si="3"/>
        <v>1</v>
      </c>
      <c r="Q31" s="7">
        <f t="shared" si="4"/>
        <v>3873</v>
      </c>
    </row>
    <row r="32" spans="1:21">
      <c r="A32" s="23" t="s">
        <v>36</v>
      </c>
      <c r="B32" s="35" t="s">
        <v>33</v>
      </c>
      <c r="C32" s="36">
        <v>2782</v>
      </c>
      <c r="D32" s="113">
        <v>353355488</v>
      </c>
      <c r="E32" s="116">
        <f t="shared" si="8"/>
        <v>127014.91301222143</v>
      </c>
      <c r="F32" s="117">
        <v>270934763</v>
      </c>
      <c r="G32" s="117">
        <f t="shared" si="9"/>
        <v>97388.484184040266</v>
      </c>
      <c r="H32" s="7"/>
      <c r="I32" s="109">
        <v>6.7394999999999996</v>
      </c>
      <c r="J32" s="117">
        <v>1825965</v>
      </c>
      <c r="K32" s="120">
        <f t="shared" si="10"/>
        <v>656.34974838245864</v>
      </c>
      <c r="L32" s="122">
        <f t="shared" si="5"/>
        <v>2709347.63</v>
      </c>
      <c r="M32" s="116">
        <f t="shared" si="6"/>
        <v>883382.62999999989</v>
      </c>
      <c r="N32" s="123">
        <f t="shared" si="7"/>
        <v>317.5350934579439</v>
      </c>
      <c r="O32" s="5"/>
      <c r="P32" s="5">
        <f t="shared" si="3"/>
        <v>1</v>
      </c>
      <c r="Q32" s="7">
        <f t="shared" si="4"/>
        <v>2782</v>
      </c>
    </row>
    <row r="33" spans="1:21">
      <c r="A33" s="23" t="s">
        <v>37</v>
      </c>
      <c r="B33" s="35" t="s">
        <v>33</v>
      </c>
      <c r="C33" s="36">
        <v>8456</v>
      </c>
      <c r="D33" s="113">
        <v>797025238</v>
      </c>
      <c r="E33" s="116">
        <f t="shared" si="8"/>
        <v>94255.586329233687</v>
      </c>
      <c r="F33" s="117">
        <v>626761602</v>
      </c>
      <c r="G33" s="117">
        <f t="shared" si="9"/>
        <v>74120.340823084203</v>
      </c>
      <c r="H33" s="7"/>
      <c r="I33" s="109">
        <v>5.9352</v>
      </c>
      <c r="J33" s="117">
        <v>3719955</v>
      </c>
      <c r="K33" s="120">
        <f t="shared" si="10"/>
        <v>439.91899243140966</v>
      </c>
      <c r="L33" s="122">
        <f t="shared" si="5"/>
        <v>6267616.0200000005</v>
      </c>
      <c r="M33" s="116">
        <f t="shared" si="6"/>
        <v>2547661.0200000005</v>
      </c>
      <c r="N33" s="123">
        <f t="shared" si="7"/>
        <v>301.2844157994324</v>
      </c>
      <c r="O33" s="5"/>
      <c r="P33" s="5">
        <f t="shared" si="3"/>
        <v>1</v>
      </c>
      <c r="Q33" s="7">
        <f t="shared" si="4"/>
        <v>8456</v>
      </c>
    </row>
    <row r="34" spans="1:21">
      <c r="A34" s="23" t="s">
        <v>38</v>
      </c>
      <c r="B34" s="35" t="s">
        <v>33</v>
      </c>
      <c r="C34" s="36">
        <v>2738</v>
      </c>
      <c r="D34" s="113">
        <v>247659799</v>
      </c>
      <c r="E34" s="116">
        <f t="shared" si="8"/>
        <v>90452.811906501098</v>
      </c>
      <c r="F34" s="117">
        <v>179127058</v>
      </c>
      <c r="G34" s="117">
        <f t="shared" si="9"/>
        <v>65422.592403214025</v>
      </c>
      <c r="H34" s="7"/>
      <c r="I34" s="109">
        <v>1.663</v>
      </c>
      <c r="J34" s="117">
        <v>297888</v>
      </c>
      <c r="K34" s="120">
        <f t="shared" si="10"/>
        <v>108.79766252739226</v>
      </c>
      <c r="L34" s="122">
        <f t="shared" si="5"/>
        <v>1791270.58</v>
      </c>
      <c r="M34" s="116">
        <f t="shared" si="6"/>
        <v>1493382.58</v>
      </c>
      <c r="N34" s="123">
        <f t="shared" si="7"/>
        <v>545.42826150474798</v>
      </c>
      <c r="O34" s="5"/>
      <c r="P34" s="5">
        <f t="shared" si="3"/>
        <v>1</v>
      </c>
      <c r="Q34" s="7">
        <f t="shared" si="4"/>
        <v>2738</v>
      </c>
    </row>
    <row r="35" spans="1:21">
      <c r="A35" s="23" t="s">
        <v>39</v>
      </c>
      <c r="B35" s="35" t="s">
        <v>33</v>
      </c>
      <c r="C35" s="36">
        <v>77101</v>
      </c>
      <c r="D35" s="113">
        <v>5016303895</v>
      </c>
      <c r="E35" s="116">
        <f t="shared" si="8"/>
        <v>65061.463469993905</v>
      </c>
      <c r="F35" s="117">
        <v>3282374954</v>
      </c>
      <c r="G35" s="117">
        <f t="shared" si="9"/>
        <v>42572.404430552131</v>
      </c>
      <c r="H35" s="7"/>
      <c r="I35" s="109">
        <v>6.9</v>
      </c>
      <c r="J35" s="117">
        <v>22648387</v>
      </c>
      <c r="K35" s="120">
        <f t="shared" si="10"/>
        <v>293.74958820248764</v>
      </c>
      <c r="L35" s="122">
        <f t="shared" si="5"/>
        <v>32823749.539999999</v>
      </c>
      <c r="M35" s="116">
        <f t="shared" si="6"/>
        <v>10175362.539999999</v>
      </c>
      <c r="N35" s="123">
        <f t="shared" si="7"/>
        <v>131.97445610303367</v>
      </c>
      <c r="O35" s="5"/>
      <c r="P35" s="5">
        <f t="shared" si="3"/>
        <v>1</v>
      </c>
      <c r="Q35" s="7">
        <f t="shared" si="4"/>
        <v>77101</v>
      </c>
    </row>
    <row r="36" spans="1:21">
      <c r="A36" s="23" t="s">
        <v>40</v>
      </c>
      <c r="B36" s="35" t="s">
        <v>33</v>
      </c>
      <c r="C36" s="36">
        <v>3098</v>
      </c>
      <c r="D36" s="113">
        <v>373924261</v>
      </c>
      <c r="E36" s="116">
        <f t="shared" si="8"/>
        <v>120698.59941897998</v>
      </c>
      <c r="F36" s="117">
        <v>273033648</v>
      </c>
      <c r="G36" s="117">
        <f t="shared" si="9"/>
        <v>88132.229825693998</v>
      </c>
      <c r="H36" s="7"/>
      <c r="I36" s="109">
        <v>4.2300000000000004</v>
      </c>
      <c r="J36" s="117">
        <v>1154932</v>
      </c>
      <c r="K36" s="120">
        <f t="shared" si="10"/>
        <v>372.79922530664948</v>
      </c>
      <c r="L36" s="122">
        <f t="shared" si="5"/>
        <v>2730336.48</v>
      </c>
      <c r="M36" s="116">
        <f t="shared" si="6"/>
        <v>1575404.48</v>
      </c>
      <c r="N36" s="123">
        <f t="shared" si="7"/>
        <v>508.5230729502905</v>
      </c>
      <c r="O36" s="5"/>
      <c r="P36" s="5">
        <f t="shared" si="3"/>
        <v>1</v>
      </c>
      <c r="Q36" s="7">
        <f t="shared" si="4"/>
        <v>3098</v>
      </c>
    </row>
    <row r="37" spans="1:21">
      <c r="A37" s="23" t="s">
        <v>41</v>
      </c>
      <c r="B37" s="35" t="s">
        <v>33</v>
      </c>
      <c r="C37" s="36">
        <v>664</v>
      </c>
      <c r="D37" s="113">
        <v>48814893</v>
      </c>
      <c r="E37" s="116">
        <f t="shared" si="8"/>
        <v>73516.405120481926</v>
      </c>
      <c r="F37" s="117">
        <v>34478902</v>
      </c>
      <c r="G37" s="117">
        <f t="shared" si="9"/>
        <v>51926.057228915663</v>
      </c>
      <c r="H37" s="7"/>
      <c r="I37" s="109">
        <v>8.9149999999999991</v>
      </c>
      <c r="J37" s="117">
        <v>307379</v>
      </c>
      <c r="K37" s="120">
        <f t="shared" si="10"/>
        <v>462.92018072289159</v>
      </c>
      <c r="L37" s="122">
        <f t="shared" si="5"/>
        <v>344789.02</v>
      </c>
      <c r="M37" s="116">
        <f t="shared" si="6"/>
        <v>37410.020000000019</v>
      </c>
      <c r="N37" s="123">
        <f t="shared" si="7"/>
        <v>56.34039156626509</v>
      </c>
      <c r="O37" s="5"/>
      <c r="P37" s="5">
        <f t="shared" si="3"/>
        <v>1</v>
      </c>
      <c r="Q37" s="7">
        <f t="shared" si="4"/>
        <v>664</v>
      </c>
    </row>
    <row r="38" spans="1:21">
      <c r="A38" s="23" t="s">
        <v>42</v>
      </c>
      <c r="B38" s="35" t="s">
        <v>33</v>
      </c>
      <c r="C38" s="36">
        <v>103681</v>
      </c>
      <c r="D38" s="113">
        <v>4045404970</v>
      </c>
      <c r="E38" s="116">
        <f t="shared" si="8"/>
        <v>39017.804322874974</v>
      </c>
      <c r="F38" s="117">
        <v>2513754843</v>
      </c>
      <c r="G38" s="117">
        <f t="shared" si="9"/>
        <v>24245.086785428382</v>
      </c>
      <c r="H38" s="7"/>
      <c r="I38" s="109">
        <v>9</v>
      </c>
      <c r="J38" s="117">
        <v>22623794</v>
      </c>
      <c r="K38" s="120">
        <f t="shared" si="10"/>
        <v>218.2057850522275</v>
      </c>
      <c r="L38" s="122">
        <f t="shared" si="5"/>
        <v>25137548.43</v>
      </c>
      <c r="M38" s="116">
        <f t="shared" si="6"/>
        <v>2513754.4299999997</v>
      </c>
      <c r="N38" s="123">
        <f t="shared" si="7"/>
        <v>24.245082802056306</v>
      </c>
      <c r="O38" s="5"/>
      <c r="P38" s="5">
        <f t="shared" si="3"/>
        <v>1</v>
      </c>
      <c r="Q38" s="7">
        <f t="shared" si="4"/>
        <v>103681</v>
      </c>
    </row>
    <row r="39" spans="1:21">
      <c r="A39" s="23" t="s">
        <v>43</v>
      </c>
      <c r="B39" s="35" t="s">
        <v>33</v>
      </c>
      <c r="C39" s="36">
        <v>890</v>
      </c>
      <c r="D39" s="114" t="s">
        <v>564</v>
      </c>
      <c r="E39" s="116"/>
      <c r="F39" s="117"/>
      <c r="G39" s="117"/>
      <c r="H39" s="98" t="s">
        <v>588</v>
      </c>
      <c r="I39" s="109"/>
      <c r="J39" s="117"/>
      <c r="K39" s="120"/>
      <c r="L39" s="122">
        <f t="shared" si="5"/>
        <v>0</v>
      </c>
      <c r="M39" s="116">
        <f t="shared" si="6"/>
        <v>0</v>
      </c>
      <c r="N39" s="123">
        <f t="shared" si="7"/>
        <v>0</v>
      </c>
      <c r="O39" s="5"/>
      <c r="P39" s="5">
        <f t="shared" si="3"/>
        <v>0</v>
      </c>
      <c r="Q39" s="7">
        <f t="shared" si="4"/>
        <v>0</v>
      </c>
    </row>
    <row r="40" spans="1:21">
      <c r="A40" s="23" t="s">
        <v>44</v>
      </c>
      <c r="B40" s="35" t="s">
        <v>33</v>
      </c>
      <c r="C40" s="36">
        <v>25265</v>
      </c>
      <c r="D40" s="113">
        <v>1572906257</v>
      </c>
      <c r="E40" s="116">
        <f t="shared" ref="E40:E74" si="11">(D40/C40)</f>
        <v>62256.333148624581</v>
      </c>
      <c r="F40" s="117">
        <v>1009645129</v>
      </c>
      <c r="G40" s="117">
        <f t="shared" ref="G40:G74" si="12">(F40/C40)</f>
        <v>39962.205778745301</v>
      </c>
      <c r="H40" s="7"/>
      <c r="I40" s="109">
        <v>6.3658000000000001</v>
      </c>
      <c r="J40" s="117">
        <v>6427199</v>
      </c>
      <c r="K40" s="120">
        <f t="shared" ref="K40:K74" si="13">(J40/C40)</f>
        <v>254.39141104294478</v>
      </c>
      <c r="L40" s="122">
        <f t="shared" si="5"/>
        <v>10096451.290000001</v>
      </c>
      <c r="M40" s="116">
        <f t="shared" si="6"/>
        <v>3669252.290000001</v>
      </c>
      <c r="N40" s="123">
        <f t="shared" si="7"/>
        <v>145.23064674450825</v>
      </c>
      <c r="O40" s="5"/>
      <c r="P40" s="5">
        <f t="shared" si="3"/>
        <v>1</v>
      </c>
      <c r="Q40" s="7">
        <f t="shared" si="4"/>
        <v>25265</v>
      </c>
    </row>
    <row r="41" spans="1:21">
      <c r="A41" s="23" t="s">
        <v>45</v>
      </c>
      <c r="B41" s="35" t="s">
        <v>33</v>
      </c>
      <c r="C41" s="36">
        <v>10315</v>
      </c>
      <c r="D41" s="113">
        <v>871525341</v>
      </c>
      <c r="E41" s="116">
        <f t="shared" si="11"/>
        <v>84491.065535627728</v>
      </c>
      <c r="F41" s="117">
        <v>613335462</v>
      </c>
      <c r="G41" s="117">
        <f t="shared" si="12"/>
        <v>59460.539214735822</v>
      </c>
      <c r="H41" s="7"/>
      <c r="I41" s="109">
        <v>8.3559000000000001</v>
      </c>
      <c r="J41" s="121">
        <v>5124970</v>
      </c>
      <c r="K41" s="120">
        <f t="shared" si="13"/>
        <v>496.84634028114397</v>
      </c>
      <c r="L41" s="122">
        <f t="shared" si="5"/>
        <v>6133354.6200000001</v>
      </c>
      <c r="M41" s="116">
        <f t="shared" si="6"/>
        <v>1008384.6200000001</v>
      </c>
      <c r="N41" s="123">
        <f t="shared" si="7"/>
        <v>97.759051866214264</v>
      </c>
      <c r="O41" s="5"/>
      <c r="P41" s="5">
        <f t="shared" si="3"/>
        <v>1</v>
      </c>
      <c r="Q41" s="7">
        <f t="shared" si="4"/>
        <v>10315</v>
      </c>
    </row>
    <row r="42" spans="1:21">
      <c r="A42" s="23" t="s">
        <v>46</v>
      </c>
      <c r="B42" s="35" t="s">
        <v>33</v>
      </c>
      <c r="C42" s="36">
        <v>43529</v>
      </c>
      <c r="D42" s="113">
        <v>2116218684</v>
      </c>
      <c r="E42" s="116">
        <f t="shared" si="11"/>
        <v>48616.29451629948</v>
      </c>
      <c r="F42" s="117">
        <v>1278041034</v>
      </c>
      <c r="G42" s="117">
        <f t="shared" si="12"/>
        <v>29360.67986859335</v>
      </c>
      <c r="H42" s="7"/>
      <c r="I42" s="109">
        <v>7.5</v>
      </c>
      <c r="J42" s="117">
        <v>9585308</v>
      </c>
      <c r="K42" s="120">
        <f t="shared" si="13"/>
        <v>220.20510464288176</v>
      </c>
      <c r="L42" s="122">
        <f t="shared" si="5"/>
        <v>12780410.34</v>
      </c>
      <c r="M42" s="116">
        <f t="shared" si="6"/>
        <v>3195102.34</v>
      </c>
      <c r="N42" s="123">
        <f t="shared" si="7"/>
        <v>73.401694043051762</v>
      </c>
      <c r="O42" s="5"/>
      <c r="P42" s="5">
        <f t="shared" si="3"/>
        <v>1</v>
      </c>
      <c r="Q42" s="7">
        <f t="shared" si="4"/>
        <v>43529</v>
      </c>
    </row>
    <row r="43" spans="1:21">
      <c r="A43" s="23" t="s">
        <v>47</v>
      </c>
      <c r="B43" s="35" t="s">
        <v>33</v>
      </c>
      <c r="C43" s="36">
        <v>19118</v>
      </c>
      <c r="D43" s="113">
        <v>1258937136</v>
      </c>
      <c r="E43" s="116">
        <f t="shared" si="11"/>
        <v>65850.880636049798</v>
      </c>
      <c r="F43" s="117">
        <v>899823115</v>
      </c>
      <c r="G43" s="117">
        <f t="shared" si="12"/>
        <v>47066.801705199287</v>
      </c>
      <c r="H43" s="98"/>
      <c r="I43" s="109">
        <v>2.2974999999999999</v>
      </c>
      <c r="J43" s="117">
        <v>2067344</v>
      </c>
      <c r="K43" s="120">
        <f t="shared" si="13"/>
        <v>108.13599748927712</v>
      </c>
      <c r="L43" s="122">
        <f t="shared" si="5"/>
        <v>8998231.1500000004</v>
      </c>
      <c r="M43" s="116">
        <f t="shared" si="6"/>
        <v>6930887.1500000004</v>
      </c>
      <c r="N43" s="123">
        <f t="shared" si="7"/>
        <v>362.53201956271579</v>
      </c>
      <c r="O43" s="5"/>
      <c r="P43" s="5">
        <f t="shared" si="3"/>
        <v>1</v>
      </c>
      <c r="Q43" s="7">
        <f t="shared" si="4"/>
        <v>19118</v>
      </c>
      <c r="S43" s="124">
        <f>SUM(D28:D43)</f>
        <v>20976980648</v>
      </c>
      <c r="T43" s="124">
        <f>SUM(F28:F43)</f>
        <v>14172884434</v>
      </c>
      <c r="U43" s="124">
        <f>SUM(J28:J43)</f>
        <v>90575994</v>
      </c>
    </row>
    <row r="44" spans="1:21">
      <c r="A44" s="23" t="s">
        <v>48</v>
      </c>
      <c r="B44" s="35" t="s">
        <v>49</v>
      </c>
      <c r="C44" s="36">
        <v>53313</v>
      </c>
      <c r="D44" s="113">
        <v>4101123906</v>
      </c>
      <c r="E44" s="116">
        <f t="shared" si="11"/>
        <v>76925.401046649029</v>
      </c>
      <c r="F44" s="117">
        <v>2656712182</v>
      </c>
      <c r="G44" s="117">
        <f t="shared" si="12"/>
        <v>49832.351996698744</v>
      </c>
      <c r="H44" s="98"/>
      <c r="I44" s="110">
        <v>6.3250000000000002</v>
      </c>
      <c r="J44" s="117">
        <v>16803705</v>
      </c>
      <c r="K44" s="120">
        <f t="shared" si="13"/>
        <v>315.18963479826687</v>
      </c>
      <c r="L44" s="122">
        <f t="shared" si="5"/>
        <v>26567121.82</v>
      </c>
      <c r="M44" s="116">
        <f t="shared" si="6"/>
        <v>9763416.8200000003</v>
      </c>
      <c r="N44" s="123">
        <f t="shared" si="7"/>
        <v>183.13388516872058</v>
      </c>
      <c r="O44" s="5"/>
      <c r="P44" s="5">
        <f t="shared" si="3"/>
        <v>1</v>
      </c>
      <c r="Q44" s="7">
        <f t="shared" si="4"/>
        <v>53313</v>
      </c>
    </row>
    <row r="45" spans="1:21">
      <c r="A45" s="23" t="s">
        <v>50</v>
      </c>
      <c r="B45" s="35" t="s">
        <v>49</v>
      </c>
      <c r="C45" s="36">
        <v>30450</v>
      </c>
      <c r="D45" s="113">
        <v>3118688324</v>
      </c>
      <c r="E45" s="116">
        <f t="shared" si="11"/>
        <v>102419.97779967159</v>
      </c>
      <c r="F45" s="117">
        <v>2056723428</v>
      </c>
      <c r="G45" s="117">
        <f t="shared" si="12"/>
        <v>67544.283349753692</v>
      </c>
      <c r="H45" s="98"/>
      <c r="I45" s="109">
        <v>5.6866000000000003</v>
      </c>
      <c r="J45" s="117">
        <v>11695763</v>
      </c>
      <c r="K45" s="120">
        <f t="shared" si="13"/>
        <v>384.09730706075533</v>
      </c>
      <c r="L45" s="122">
        <f t="shared" si="5"/>
        <v>20567234.280000001</v>
      </c>
      <c r="M45" s="116">
        <f t="shared" si="6"/>
        <v>8871471.2800000012</v>
      </c>
      <c r="N45" s="123">
        <f t="shared" si="7"/>
        <v>291.34552643678165</v>
      </c>
      <c r="O45" s="5"/>
      <c r="P45" s="5">
        <f t="shared" si="3"/>
        <v>1</v>
      </c>
      <c r="Q45" s="7">
        <f t="shared" si="4"/>
        <v>30450</v>
      </c>
    </row>
    <row r="46" spans="1:21">
      <c r="A46" s="23" t="s">
        <v>51</v>
      </c>
      <c r="B46" s="35" t="s">
        <v>49</v>
      </c>
      <c r="C46" s="36">
        <v>122681</v>
      </c>
      <c r="D46" s="113">
        <v>10267066162</v>
      </c>
      <c r="E46" s="116">
        <f t="shared" si="11"/>
        <v>83689.130036435963</v>
      </c>
      <c r="F46" s="117">
        <v>7456848073</v>
      </c>
      <c r="G46" s="117">
        <f t="shared" si="12"/>
        <v>60782.420040593082</v>
      </c>
      <c r="H46" s="98"/>
      <c r="I46" s="109">
        <v>4.5697000000000001</v>
      </c>
      <c r="J46" s="117">
        <v>34075559</v>
      </c>
      <c r="K46" s="120">
        <f t="shared" si="13"/>
        <v>277.75742780055589</v>
      </c>
      <c r="L46" s="122">
        <f t="shared" si="5"/>
        <v>74568480.730000004</v>
      </c>
      <c r="M46" s="116">
        <f t="shared" si="6"/>
        <v>40492921.730000004</v>
      </c>
      <c r="N46" s="123">
        <f t="shared" si="7"/>
        <v>330.06677260537492</v>
      </c>
      <c r="O46" s="5"/>
      <c r="P46" s="5">
        <f t="shared" si="3"/>
        <v>1</v>
      </c>
      <c r="Q46" s="7">
        <f t="shared" si="4"/>
        <v>122681</v>
      </c>
    </row>
    <row r="47" spans="1:21">
      <c r="A47" s="23" t="s">
        <v>464</v>
      </c>
      <c r="B47" s="35" t="s">
        <v>49</v>
      </c>
      <c r="C47" s="36">
        <v>29873</v>
      </c>
      <c r="D47" s="113">
        <v>3293138528</v>
      </c>
      <c r="E47" s="116">
        <f t="shared" si="11"/>
        <v>110237.95829009473</v>
      </c>
      <c r="F47" s="117">
        <v>2553044486</v>
      </c>
      <c r="G47" s="117">
        <f t="shared" si="12"/>
        <v>85463.277407692571</v>
      </c>
      <c r="H47" s="98"/>
      <c r="I47" s="109">
        <v>5.9997999999999996</v>
      </c>
      <c r="J47" s="117">
        <v>15317756</v>
      </c>
      <c r="K47" s="120">
        <f t="shared" si="13"/>
        <v>512.76256151039399</v>
      </c>
      <c r="L47" s="122">
        <f t="shared" si="5"/>
        <v>25530444.859999999</v>
      </c>
      <c r="M47" s="116">
        <f t="shared" si="6"/>
        <v>10212688.859999999</v>
      </c>
      <c r="N47" s="123">
        <f t="shared" si="7"/>
        <v>341.87021256653162</v>
      </c>
      <c r="O47" s="5"/>
      <c r="P47" s="5">
        <f t="shared" si="3"/>
        <v>1</v>
      </c>
      <c r="Q47" s="7">
        <f t="shared" si="4"/>
        <v>29873</v>
      </c>
    </row>
    <row r="48" spans="1:21">
      <c r="A48" s="23" t="s">
        <v>52</v>
      </c>
      <c r="B48" s="35" t="s">
        <v>49</v>
      </c>
      <c r="C48" s="36">
        <v>92848</v>
      </c>
      <c r="D48" s="113">
        <v>9939798474</v>
      </c>
      <c r="E48" s="116">
        <f t="shared" si="11"/>
        <v>107054.5243193176</v>
      </c>
      <c r="F48" s="117">
        <v>6599064407</v>
      </c>
      <c r="G48" s="117">
        <f t="shared" si="12"/>
        <v>71073.84550017232</v>
      </c>
      <c r="H48" s="98"/>
      <c r="I48" s="110">
        <v>4.8120000000000003</v>
      </c>
      <c r="J48" s="117">
        <v>31754698</v>
      </c>
      <c r="K48" s="120">
        <f t="shared" si="13"/>
        <v>342.00734533861794</v>
      </c>
      <c r="L48" s="122">
        <f t="shared" si="5"/>
        <v>65990644.07</v>
      </c>
      <c r="M48" s="116">
        <f t="shared" si="6"/>
        <v>34235946.07</v>
      </c>
      <c r="N48" s="123">
        <f t="shared" si="7"/>
        <v>368.73110966310531</v>
      </c>
      <c r="O48" s="5"/>
      <c r="P48" s="5">
        <f t="shared" si="3"/>
        <v>1</v>
      </c>
      <c r="Q48" s="7">
        <f t="shared" si="4"/>
        <v>92848</v>
      </c>
    </row>
    <row r="49" spans="1:17">
      <c r="A49" s="23" t="s">
        <v>53</v>
      </c>
      <c r="B49" s="35" t="s">
        <v>49</v>
      </c>
      <c r="C49" s="36">
        <v>75506</v>
      </c>
      <c r="D49" s="113">
        <v>6458605612</v>
      </c>
      <c r="E49" s="116">
        <f t="shared" si="11"/>
        <v>85537.647498212056</v>
      </c>
      <c r="F49" s="117">
        <v>4843486472</v>
      </c>
      <c r="G49" s="117">
        <f t="shared" si="12"/>
        <v>64147.040923900087</v>
      </c>
      <c r="H49" s="98"/>
      <c r="I49" s="109">
        <v>5.1856</v>
      </c>
      <c r="J49" s="117">
        <v>25116383</v>
      </c>
      <c r="K49" s="120">
        <f t="shared" si="13"/>
        <v>332.64088946573781</v>
      </c>
      <c r="L49" s="122">
        <f t="shared" si="5"/>
        <v>48434864.719999999</v>
      </c>
      <c r="M49" s="116">
        <f t="shared" si="6"/>
        <v>23318481.719999999</v>
      </c>
      <c r="N49" s="123">
        <f t="shared" si="7"/>
        <v>308.82951977326303</v>
      </c>
      <c r="O49" s="5"/>
      <c r="P49" s="5">
        <f t="shared" si="3"/>
        <v>1</v>
      </c>
      <c r="Q49" s="7">
        <f t="shared" si="4"/>
        <v>75506</v>
      </c>
    </row>
    <row r="50" spans="1:17">
      <c r="A50" s="23" t="s">
        <v>54</v>
      </c>
      <c r="B50" s="35" t="s">
        <v>49</v>
      </c>
      <c r="C50" s="36">
        <v>168615</v>
      </c>
      <c r="D50" s="113">
        <v>31747478428</v>
      </c>
      <c r="E50" s="116">
        <f t="shared" si="11"/>
        <v>188283.83256531152</v>
      </c>
      <c r="F50" s="117">
        <v>23709180578</v>
      </c>
      <c r="G50" s="117">
        <f t="shared" si="12"/>
        <v>140611.33693918097</v>
      </c>
      <c r="H50" s="98"/>
      <c r="I50" s="109">
        <v>4.1193</v>
      </c>
      <c r="J50" s="117">
        <v>97665228</v>
      </c>
      <c r="K50" s="120">
        <f t="shared" si="13"/>
        <v>579.220282892981</v>
      </c>
      <c r="L50" s="122">
        <f t="shared" si="5"/>
        <v>237091805.78</v>
      </c>
      <c r="M50" s="116">
        <f t="shared" si="6"/>
        <v>139426577.78</v>
      </c>
      <c r="N50" s="123">
        <f t="shared" si="7"/>
        <v>826.89308649882867</v>
      </c>
      <c r="O50" s="5"/>
      <c r="P50" s="5">
        <f t="shared" si="3"/>
        <v>1</v>
      </c>
      <c r="Q50" s="7">
        <f t="shared" si="4"/>
        <v>168615</v>
      </c>
    </row>
    <row r="51" spans="1:17">
      <c r="A51" s="23" t="s">
        <v>465</v>
      </c>
      <c r="B51" s="35" t="s">
        <v>49</v>
      </c>
      <c r="C51" s="36">
        <v>37732</v>
      </c>
      <c r="D51" s="113">
        <v>4452380236</v>
      </c>
      <c r="E51" s="116">
        <f t="shared" si="11"/>
        <v>118000.11226545107</v>
      </c>
      <c r="F51" s="117">
        <v>3631138072</v>
      </c>
      <c r="G51" s="117">
        <f t="shared" si="12"/>
        <v>96234.974875437299</v>
      </c>
      <c r="H51" s="98"/>
      <c r="I51" s="109">
        <v>5.6833</v>
      </c>
      <c r="J51" s="117">
        <v>20636847</v>
      </c>
      <c r="K51" s="120">
        <f t="shared" si="13"/>
        <v>546.932232587724</v>
      </c>
      <c r="L51" s="122">
        <f t="shared" si="5"/>
        <v>36311380.719999999</v>
      </c>
      <c r="M51" s="116">
        <f t="shared" si="6"/>
        <v>15674533.719999999</v>
      </c>
      <c r="N51" s="123">
        <f t="shared" si="7"/>
        <v>415.41751616664897</v>
      </c>
      <c r="O51" s="5"/>
      <c r="P51" s="5">
        <f t="shared" si="3"/>
        <v>1</v>
      </c>
      <c r="Q51" s="7">
        <f t="shared" si="4"/>
        <v>37732</v>
      </c>
    </row>
    <row r="52" spans="1:17">
      <c r="A52" s="23" t="s">
        <v>55</v>
      </c>
      <c r="B52" s="35" t="s">
        <v>49</v>
      </c>
      <c r="C52" s="36">
        <v>1890</v>
      </c>
      <c r="D52" s="113">
        <v>1105457939</v>
      </c>
      <c r="E52" s="116">
        <f t="shared" si="11"/>
        <v>584898.38042328041</v>
      </c>
      <c r="F52" s="117">
        <v>965403658</v>
      </c>
      <c r="G52" s="117">
        <f t="shared" si="12"/>
        <v>510795.58624338626</v>
      </c>
      <c r="H52" s="98"/>
      <c r="I52" s="109">
        <v>3.39</v>
      </c>
      <c r="J52" s="117">
        <v>3272718</v>
      </c>
      <c r="K52" s="120">
        <f t="shared" si="13"/>
        <v>1731.5968253968254</v>
      </c>
      <c r="L52" s="122">
        <f t="shared" si="5"/>
        <v>9654036.5800000001</v>
      </c>
      <c r="M52" s="116">
        <f t="shared" si="6"/>
        <v>6381318.5800000001</v>
      </c>
      <c r="N52" s="123">
        <f t="shared" si="7"/>
        <v>3376.3590370370371</v>
      </c>
      <c r="O52" s="5"/>
      <c r="P52" s="5">
        <f t="shared" si="3"/>
        <v>1</v>
      </c>
      <c r="Q52" s="7">
        <f t="shared" si="4"/>
        <v>1890</v>
      </c>
    </row>
    <row r="53" spans="1:17">
      <c r="A53" s="23" t="s">
        <v>56</v>
      </c>
      <c r="B53" s="35" t="s">
        <v>49</v>
      </c>
      <c r="C53" s="36">
        <v>142374</v>
      </c>
      <c r="D53" s="113">
        <v>14454285566</v>
      </c>
      <c r="E53" s="116">
        <f t="shared" si="11"/>
        <v>101523.35093486171</v>
      </c>
      <c r="F53" s="117">
        <v>10093212613</v>
      </c>
      <c r="G53" s="117">
        <f t="shared" si="12"/>
        <v>70892.245866520578</v>
      </c>
      <c r="H53" s="98"/>
      <c r="I53" s="109">
        <v>7.4478999999999997</v>
      </c>
      <c r="J53" s="117">
        <v>75173238</v>
      </c>
      <c r="K53" s="120">
        <f t="shared" si="13"/>
        <v>527.99835644148516</v>
      </c>
      <c r="L53" s="122">
        <f t="shared" si="5"/>
        <v>100932126.13</v>
      </c>
      <c r="M53" s="116">
        <f t="shared" si="6"/>
        <v>25758888.129999995</v>
      </c>
      <c r="N53" s="123">
        <f t="shared" si="7"/>
        <v>180.92410222372058</v>
      </c>
      <c r="O53" s="5"/>
      <c r="P53" s="5">
        <f t="shared" si="3"/>
        <v>1</v>
      </c>
      <c r="Q53" s="7">
        <f t="shared" si="4"/>
        <v>142374</v>
      </c>
    </row>
    <row r="54" spans="1:17">
      <c r="A54" s="23" t="s">
        <v>57</v>
      </c>
      <c r="B54" s="35" t="s">
        <v>49</v>
      </c>
      <c r="C54" s="36">
        <v>33168</v>
      </c>
      <c r="D54" s="113">
        <v>1277058833</v>
      </c>
      <c r="E54" s="116">
        <f t="shared" si="11"/>
        <v>38502.738573323688</v>
      </c>
      <c r="F54" s="117">
        <v>764743948</v>
      </c>
      <c r="G54" s="117">
        <f t="shared" si="12"/>
        <v>23056.679570670527</v>
      </c>
      <c r="H54" s="98"/>
      <c r="I54" s="109">
        <v>9.5</v>
      </c>
      <c r="J54" s="117">
        <v>7265068</v>
      </c>
      <c r="K54" s="120">
        <f t="shared" si="13"/>
        <v>219.03847081524361</v>
      </c>
      <c r="L54" s="122">
        <f t="shared" si="5"/>
        <v>7647439.4800000004</v>
      </c>
      <c r="M54" s="116">
        <f t="shared" si="6"/>
        <v>382371.48000000045</v>
      </c>
      <c r="N54" s="123">
        <f t="shared" si="7"/>
        <v>11.528324891461663</v>
      </c>
      <c r="O54" s="5"/>
      <c r="P54" s="5">
        <f t="shared" si="3"/>
        <v>1</v>
      </c>
      <c r="Q54" s="7">
        <f t="shared" si="4"/>
        <v>33168</v>
      </c>
    </row>
    <row r="55" spans="1:17">
      <c r="A55" s="23" t="s">
        <v>560</v>
      </c>
      <c r="B55" s="35" t="s">
        <v>49</v>
      </c>
      <c r="C55" s="36">
        <v>6105</v>
      </c>
      <c r="D55" s="113">
        <v>2074647902</v>
      </c>
      <c r="E55" s="116">
        <f t="shared" si="11"/>
        <v>339827.6661752662</v>
      </c>
      <c r="F55" s="117">
        <v>1759179643</v>
      </c>
      <c r="G55" s="117">
        <f t="shared" si="12"/>
        <v>288153.91367731366</v>
      </c>
      <c r="H55" s="98"/>
      <c r="I55" s="109">
        <v>3.9312</v>
      </c>
      <c r="J55" s="117">
        <v>6915687</v>
      </c>
      <c r="K55" s="120">
        <f t="shared" si="13"/>
        <v>1132.7906633906634</v>
      </c>
      <c r="L55" s="122">
        <f t="shared" si="5"/>
        <v>17591796.43</v>
      </c>
      <c r="M55" s="116">
        <f t="shared" si="6"/>
        <v>10676109.43</v>
      </c>
      <c r="N55" s="123">
        <f t="shared" si="7"/>
        <v>1748.7484733824733</v>
      </c>
      <c r="O55" s="5"/>
      <c r="P55" s="5">
        <f t="shared" si="3"/>
        <v>1</v>
      </c>
      <c r="Q55" s="7">
        <f t="shared" si="4"/>
        <v>6105</v>
      </c>
    </row>
    <row r="56" spans="1:17">
      <c r="A56" s="23" t="s">
        <v>58</v>
      </c>
      <c r="B56" s="35" t="s">
        <v>49</v>
      </c>
      <c r="C56" s="36">
        <v>67037</v>
      </c>
      <c r="D56" s="113">
        <v>2680978036</v>
      </c>
      <c r="E56" s="116">
        <f t="shared" si="11"/>
        <v>39992.512135089579</v>
      </c>
      <c r="F56" s="117">
        <v>1754261980</v>
      </c>
      <c r="G56" s="117">
        <f t="shared" si="12"/>
        <v>26168.563330697973</v>
      </c>
      <c r="H56" s="98"/>
      <c r="I56" s="109">
        <v>7.4198000000000004</v>
      </c>
      <c r="J56" s="117">
        <v>13016273</v>
      </c>
      <c r="K56" s="120">
        <f t="shared" si="13"/>
        <v>194.16550561630146</v>
      </c>
      <c r="L56" s="122">
        <f t="shared" si="5"/>
        <v>17542619.800000001</v>
      </c>
      <c r="M56" s="116">
        <f t="shared" si="6"/>
        <v>4526346.8000000007</v>
      </c>
      <c r="N56" s="123">
        <f t="shared" si="7"/>
        <v>67.520127690678294</v>
      </c>
      <c r="O56" s="5"/>
      <c r="P56" s="5">
        <f t="shared" si="3"/>
        <v>1</v>
      </c>
      <c r="Q56" s="7">
        <f t="shared" si="4"/>
        <v>67037</v>
      </c>
    </row>
    <row r="57" spans="1:17">
      <c r="A57" s="23" t="s">
        <v>59</v>
      </c>
      <c r="B57" s="35" t="s">
        <v>49</v>
      </c>
      <c r="C57" s="36">
        <v>25</v>
      </c>
      <c r="D57" s="114">
        <v>6240116</v>
      </c>
      <c r="E57" s="116">
        <f t="shared" si="11"/>
        <v>249604.64</v>
      </c>
      <c r="F57" s="117">
        <v>4837415</v>
      </c>
      <c r="G57" s="117">
        <f t="shared" si="12"/>
        <v>193496.6</v>
      </c>
      <c r="H57" s="98"/>
      <c r="I57" s="109">
        <v>5.8349000000000002</v>
      </c>
      <c r="J57" s="117">
        <v>28226</v>
      </c>
      <c r="K57" s="120">
        <f t="shared" si="13"/>
        <v>1129.04</v>
      </c>
      <c r="L57" s="122">
        <f t="shared" si="5"/>
        <v>48374.15</v>
      </c>
      <c r="M57" s="116">
        <f t="shared" si="6"/>
        <v>20148.150000000001</v>
      </c>
      <c r="N57" s="123">
        <f t="shared" si="7"/>
        <v>805.92600000000004</v>
      </c>
      <c r="O57" s="5"/>
      <c r="P57" s="5">
        <f t="shared" si="3"/>
        <v>1</v>
      </c>
      <c r="Q57" s="7">
        <f t="shared" si="4"/>
        <v>25</v>
      </c>
    </row>
    <row r="58" spans="1:17">
      <c r="A58" s="23" t="s">
        <v>60</v>
      </c>
      <c r="B58" s="35" t="s">
        <v>49</v>
      </c>
      <c r="C58" s="36">
        <v>10419</v>
      </c>
      <c r="D58" s="113">
        <v>2183551325</v>
      </c>
      <c r="E58" s="116">
        <f t="shared" si="11"/>
        <v>209573.98262789135</v>
      </c>
      <c r="F58" s="117">
        <v>1707169924</v>
      </c>
      <c r="G58" s="117">
        <f t="shared" si="12"/>
        <v>163851.60994337269</v>
      </c>
      <c r="H58" s="98"/>
      <c r="I58" s="109">
        <v>3.5893000000000002</v>
      </c>
      <c r="J58" s="117">
        <v>6127545</v>
      </c>
      <c r="K58" s="120">
        <f t="shared" si="13"/>
        <v>588.11258278145692</v>
      </c>
      <c r="L58" s="122">
        <f t="shared" si="5"/>
        <v>17071699.240000002</v>
      </c>
      <c r="M58" s="116">
        <f t="shared" si="6"/>
        <v>10944154.240000002</v>
      </c>
      <c r="N58" s="123">
        <f t="shared" si="7"/>
        <v>1050.4035166522701</v>
      </c>
      <c r="O58" s="5"/>
      <c r="P58" s="5">
        <f t="shared" si="3"/>
        <v>1</v>
      </c>
      <c r="Q58" s="7">
        <f t="shared" si="4"/>
        <v>10419</v>
      </c>
    </row>
    <row r="59" spans="1:17">
      <c r="A59" s="23" t="s">
        <v>61</v>
      </c>
      <c r="B59" s="35" t="s">
        <v>49</v>
      </c>
      <c r="C59" s="36">
        <v>55116</v>
      </c>
      <c r="D59" s="113">
        <v>2971069976</v>
      </c>
      <c r="E59" s="116">
        <f t="shared" si="11"/>
        <v>53905.761956600625</v>
      </c>
      <c r="F59" s="117">
        <v>2008679931</v>
      </c>
      <c r="G59" s="117">
        <f t="shared" si="12"/>
        <v>36444.588340953625</v>
      </c>
      <c r="H59" s="98"/>
      <c r="I59" s="109">
        <v>7.5</v>
      </c>
      <c r="J59" s="117">
        <v>15065099</v>
      </c>
      <c r="K59" s="120">
        <f t="shared" si="13"/>
        <v>273.33440380288846</v>
      </c>
      <c r="L59" s="122">
        <f t="shared" si="5"/>
        <v>20086799.309999999</v>
      </c>
      <c r="M59" s="116">
        <f t="shared" si="6"/>
        <v>5021700.3099999987</v>
      </c>
      <c r="N59" s="123">
        <f t="shared" si="7"/>
        <v>91.111479606647777</v>
      </c>
      <c r="O59" s="5"/>
      <c r="P59" s="5">
        <f t="shared" si="3"/>
        <v>1</v>
      </c>
      <c r="Q59" s="7">
        <f t="shared" si="4"/>
        <v>55116</v>
      </c>
    </row>
    <row r="60" spans="1:17">
      <c r="A60" s="23" t="s">
        <v>62</v>
      </c>
      <c r="B60" s="35" t="s">
        <v>49</v>
      </c>
      <c r="C60" s="36">
        <v>123478</v>
      </c>
      <c r="D60" s="113">
        <v>9135360168</v>
      </c>
      <c r="E60" s="116">
        <f t="shared" si="11"/>
        <v>73983.706959944277</v>
      </c>
      <c r="F60" s="117">
        <v>6651698139</v>
      </c>
      <c r="G60" s="117">
        <f t="shared" si="12"/>
        <v>53869.500145774953</v>
      </c>
      <c r="H60" s="98"/>
      <c r="I60" s="109">
        <v>6.4653999999999998</v>
      </c>
      <c r="J60" s="117">
        <v>43005889</v>
      </c>
      <c r="K60" s="120">
        <f t="shared" si="13"/>
        <v>348.28786504478529</v>
      </c>
      <c r="L60" s="122">
        <f t="shared" si="5"/>
        <v>66516981.390000001</v>
      </c>
      <c r="M60" s="116">
        <f t="shared" si="6"/>
        <v>23511092.390000001</v>
      </c>
      <c r="N60" s="123">
        <f t="shared" si="7"/>
        <v>190.40713641296426</v>
      </c>
      <c r="O60" s="5"/>
      <c r="P60" s="5">
        <f t="shared" si="3"/>
        <v>1</v>
      </c>
      <c r="Q60" s="7">
        <f t="shared" si="4"/>
        <v>123478</v>
      </c>
    </row>
    <row r="61" spans="1:17">
      <c r="A61" s="23" t="s">
        <v>63</v>
      </c>
      <c r="B61" s="35" t="s">
        <v>49</v>
      </c>
      <c r="C61" s="36">
        <v>42269</v>
      </c>
      <c r="D61" s="113">
        <v>1439710171</v>
      </c>
      <c r="E61" s="116">
        <f t="shared" si="11"/>
        <v>34060.663157396673</v>
      </c>
      <c r="F61" s="117">
        <v>925275293</v>
      </c>
      <c r="G61" s="117">
        <f t="shared" si="12"/>
        <v>21890.162838013675</v>
      </c>
      <c r="H61" s="98"/>
      <c r="I61" s="109">
        <v>7.6078000000000001</v>
      </c>
      <c r="J61" s="117">
        <v>7039309</v>
      </c>
      <c r="K61" s="120">
        <f t="shared" si="13"/>
        <v>166.53597198892805</v>
      </c>
      <c r="L61" s="122">
        <f t="shared" si="5"/>
        <v>9252752.9299999997</v>
      </c>
      <c r="M61" s="116">
        <f t="shared" si="6"/>
        <v>2213443.9299999997</v>
      </c>
      <c r="N61" s="123">
        <f t="shared" si="7"/>
        <v>52.365656391208681</v>
      </c>
      <c r="O61" s="5"/>
      <c r="P61" s="5">
        <f t="shared" si="3"/>
        <v>1</v>
      </c>
      <c r="Q61" s="7">
        <f t="shared" si="4"/>
        <v>42269</v>
      </c>
    </row>
    <row r="62" spans="1:17">
      <c r="A62" s="23" t="s">
        <v>64</v>
      </c>
      <c r="B62" s="35" t="s">
        <v>49</v>
      </c>
      <c r="C62" s="36">
        <v>42020</v>
      </c>
      <c r="D62" s="113">
        <v>3046096676</v>
      </c>
      <c r="E62" s="116">
        <f t="shared" si="11"/>
        <v>72491.591527843877</v>
      </c>
      <c r="F62" s="117">
        <v>2096178433</v>
      </c>
      <c r="G62" s="117">
        <f t="shared" si="12"/>
        <v>49885.255425987627</v>
      </c>
      <c r="H62" s="98"/>
      <c r="I62" s="109">
        <v>6.3141999999999996</v>
      </c>
      <c r="J62" s="117">
        <v>13235690</v>
      </c>
      <c r="K62" s="120">
        <f t="shared" si="13"/>
        <v>314.98548310328414</v>
      </c>
      <c r="L62" s="122">
        <f t="shared" si="5"/>
        <v>20961784.330000002</v>
      </c>
      <c r="M62" s="116">
        <f t="shared" si="6"/>
        <v>7726094.3300000019</v>
      </c>
      <c r="N62" s="123">
        <f t="shared" si="7"/>
        <v>183.86707115659215</v>
      </c>
      <c r="O62" s="5"/>
      <c r="P62" s="5">
        <f t="shared" si="3"/>
        <v>1</v>
      </c>
      <c r="Q62" s="7">
        <f t="shared" si="4"/>
        <v>42020</v>
      </c>
    </row>
    <row r="63" spans="1:17">
      <c r="A63" s="23" t="s">
        <v>65</v>
      </c>
      <c r="B63" s="35" t="s">
        <v>49</v>
      </c>
      <c r="C63" s="36">
        <v>24872</v>
      </c>
      <c r="D63" s="113">
        <v>3870913834</v>
      </c>
      <c r="E63" s="116">
        <f t="shared" si="11"/>
        <v>155633.39634930846</v>
      </c>
      <c r="F63" s="117">
        <v>3000771545</v>
      </c>
      <c r="G63" s="117">
        <f t="shared" si="12"/>
        <v>120648.5825426182</v>
      </c>
      <c r="H63" s="98"/>
      <c r="I63" s="109">
        <v>3.9998999999999998</v>
      </c>
      <c r="J63" s="117">
        <v>12002786</v>
      </c>
      <c r="K63" s="120">
        <f t="shared" si="13"/>
        <v>482.58226117722739</v>
      </c>
      <c r="L63" s="122">
        <f t="shared" si="5"/>
        <v>30007715.449999999</v>
      </c>
      <c r="M63" s="116">
        <f t="shared" si="6"/>
        <v>18004929.449999999</v>
      </c>
      <c r="N63" s="123">
        <f t="shared" si="7"/>
        <v>723.90356424895458</v>
      </c>
      <c r="O63" s="5"/>
      <c r="P63" s="5">
        <f t="shared" si="3"/>
        <v>1</v>
      </c>
      <c r="Q63" s="7">
        <f t="shared" si="4"/>
        <v>24872</v>
      </c>
    </row>
    <row r="64" spans="1:17">
      <c r="A64" s="23" t="s">
        <v>66</v>
      </c>
      <c r="B64" s="35" t="s">
        <v>49</v>
      </c>
      <c r="C64" s="36">
        <v>6103</v>
      </c>
      <c r="D64" s="113">
        <v>652865096</v>
      </c>
      <c r="E64" s="116">
        <f t="shared" si="11"/>
        <v>106974.45453055874</v>
      </c>
      <c r="F64" s="117">
        <v>543293247</v>
      </c>
      <c r="G64" s="117">
        <f t="shared" si="12"/>
        <v>89020.686056038016</v>
      </c>
      <c r="H64" s="98"/>
      <c r="I64" s="109">
        <v>8.5</v>
      </c>
      <c r="J64" s="117">
        <v>4617993</v>
      </c>
      <c r="K64" s="120">
        <f t="shared" si="13"/>
        <v>756.67589709978699</v>
      </c>
      <c r="L64" s="122">
        <f t="shared" si="5"/>
        <v>5432932.4699999997</v>
      </c>
      <c r="M64" s="116">
        <f t="shared" si="6"/>
        <v>814939.46999999974</v>
      </c>
      <c r="N64" s="123">
        <f t="shared" si="7"/>
        <v>133.53096346059311</v>
      </c>
      <c r="O64" s="5"/>
      <c r="P64" s="5">
        <f t="shared" si="3"/>
        <v>1</v>
      </c>
      <c r="Q64" s="7">
        <f t="shared" si="4"/>
        <v>6103</v>
      </c>
    </row>
    <row r="65" spans="1:21">
      <c r="A65" s="23" t="s">
        <v>67</v>
      </c>
      <c r="B65" s="35" t="s">
        <v>49</v>
      </c>
      <c r="C65" s="36">
        <v>154508</v>
      </c>
      <c r="D65" s="113">
        <v>12559436057</v>
      </c>
      <c r="E65" s="116">
        <f t="shared" si="11"/>
        <v>81286.639248453153</v>
      </c>
      <c r="F65" s="117">
        <v>8518774530</v>
      </c>
      <c r="G65" s="117">
        <f t="shared" si="12"/>
        <v>55134.844344629404</v>
      </c>
      <c r="H65" s="98"/>
      <c r="I65" s="109">
        <v>5.6368</v>
      </c>
      <c r="J65" s="117">
        <v>48018628</v>
      </c>
      <c r="K65" s="120">
        <f t="shared" si="13"/>
        <v>310.7840888497683</v>
      </c>
      <c r="L65" s="122">
        <f t="shared" si="5"/>
        <v>85187745.299999997</v>
      </c>
      <c r="M65" s="116">
        <f t="shared" si="6"/>
        <v>37169117.299999997</v>
      </c>
      <c r="N65" s="123">
        <f t="shared" si="7"/>
        <v>240.56435459652573</v>
      </c>
      <c r="O65" s="5"/>
      <c r="P65" s="5">
        <f t="shared" si="3"/>
        <v>1</v>
      </c>
      <c r="Q65" s="7">
        <f t="shared" si="4"/>
        <v>154508</v>
      </c>
    </row>
    <row r="66" spans="1:21">
      <c r="A66" s="23" t="s">
        <v>68</v>
      </c>
      <c r="B66" s="35" t="s">
        <v>49</v>
      </c>
      <c r="C66" s="36">
        <v>85049</v>
      </c>
      <c r="D66" s="113">
        <v>9194218308</v>
      </c>
      <c r="E66" s="116">
        <f t="shared" si="11"/>
        <v>108104.9548848311</v>
      </c>
      <c r="F66" s="117">
        <v>6755035981</v>
      </c>
      <c r="G66" s="117">
        <f t="shared" si="12"/>
        <v>79425.225234864614</v>
      </c>
      <c r="H66" s="98"/>
      <c r="I66" s="109">
        <v>5.6142000000000003</v>
      </c>
      <c r="J66" s="117">
        <v>37924123</v>
      </c>
      <c r="K66" s="120">
        <f t="shared" si="13"/>
        <v>445.9090994603111</v>
      </c>
      <c r="L66" s="122">
        <f t="shared" si="5"/>
        <v>67550359.810000002</v>
      </c>
      <c r="M66" s="116">
        <f t="shared" si="6"/>
        <v>29626236.810000002</v>
      </c>
      <c r="N66" s="123">
        <f t="shared" si="7"/>
        <v>348.343152888335</v>
      </c>
      <c r="O66" s="5"/>
      <c r="P66" s="5">
        <f t="shared" si="3"/>
        <v>1</v>
      </c>
      <c r="Q66" s="7">
        <f t="shared" si="4"/>
        <v>85049</v>
      </c>
    </row>
    <row r="67" spans="1:21">
      <c r="A67" s="23" t="s">
        <v>69</v>
      </c>
      <c r="B67" s="35" t="s">
        <v>49</v>
      </c>
      <c r="C67" s="36">
        <v>102239</v>
      </c>
      <c r="D67" s="113">
        <v>11606150594</v>
      </c>
      <c r="E67" s="116">
        <f t="shared" si="11"/>
        <v>113519.797670165</v>
      </c>
      <c r="F67" s="117">
        <v>8720864208</v>
      </c>
      <c r="G67" s="117">
        <f t="shared" si="12"/>
        <v>85298.801905339453</v>
      </c>
      <c r="H67" s="98"/>
      <c r="I67" s="109">
        <v>4.97</v>
      </c>
      <c r="J67" s="117">
        <v>43342695</v>
      </c>
      <c r="K67" s="120">
        <f t="shared" si="13"/>
        <v>423.93504435685014</v>
      </c>
      <c r="L67" s="122">
        <f t="shared" si="5"/>
        <v>87208642.079999998</v>
      </c>
      <c r="M67" s="116">
        <f t="shared" si="6"/>
        <v>43865947.079999998</v>
      </c>
      <c r="N67" s="123">
        <f t="shared" si="7"/>
        <v>429.05297469654437</v>
      </c>
      <c r="O67" s="5"/>
      <c r="P67" s="5">
        <f t="shared" si="3"/>
        <v>1</v>
      </c>
      <c r="Q67" s="7">
        <f t="shared" si="4"/>
        <v>102239</v>
      </c>
    </row>
    <row r="68" spans="1:21">
      <c r="A68" s="23" t="s">
        <v>70</v>
      </c>
      <c r="B68" s="35" t="s">
        <v>49</v>
      </c>
      <c r="C68" s="36">
        <v>670</v>
      </c>
      <c r="D68" s="113">
        <v>197045744</v>
      </c>
      <c r="E68" s="116">
        <f t="shared" si="11"/>
        <v>294098.12537313433</v>
      </c>
      <c r="F68" s="117">
        <v>160199970</v>
      </c>
      <c r="G68" s="117">
        <f t="shared" si="12"/>
        <v>239104.43283582089</v>
      </c>
      <c r="H68" s="98"/>
      <c r="I68" s="109">
        <v>7.5</v>
      </c>
      <c r="J68" s="117">
        <v>1201500</v>
      </c>
      <c r="K68" s="120">
        <f t="shared" si="13"/>
        <v>1793.2835820895523</v>
      </c>
      <c r="L68" s="122">
        <f t="shared" si="5"/>
        <v>1601999.7</v>
      </c>
      <c r="M68" s="116">
        <f t="shared" si="6"/>
        <v>400499.69999999995</v>
      </c>
      <c r="N68" s="123">
        <f t="shared" si="7"/>
        <v>597.7607462686567</v>
      </c>
      <c r="O68" s="5"/>
      <c r="P68" s="5">
        <f t="shared" si="3"/>
        <v>1</v>
      </c>
      <c r="Q68" s="7">
        <f t="shared" si="4"/>
        <v>670</v>
      </c>
    </row>
    <row r="69" spans="1:21">
      <c r="A69" s="23" t="s">
        <v>450</v>
      </c>
      <c r="B69" s="35" t="s">
        <v>49</v>
      </c>
      <c r="C69" s="36">
        <v>7385</v>
      </c>
      <c r="D69" s="113">
        <v>1723189712</v>
      </c>
      <c r="E69" s="116">
        <f t="shared" si="11"/>
        <v>233336.4538930264</v>
      </c>
      <c r="F69" s="117">
        <v>1096266737</v>
      </c>
      <c r="G69" s="117">
        <f t="shared" si="12"/>
        <v>148445.055788761</v>
      </c>
      <c r="H69" s="98"/>
      <c r="I69" s="109">
        <v>3.9041999999999999</v>
      </c>
      <c r="J69" s="117">
        <v>4280045</v>
      </c>
      <c r="K69" s="120">
        <f t="shared" si="13"/>
        <v>579.55924170616117</v>
      </c>
      <c r="L69" s="122">
        <f t="shared" si="5"/>
        <v>10962667.370000001</v>
      </c>
      <c r="M69" s="116">
        <f t="shared" si="6"/>
        <v>6682622.370000001</v>
      </c>
      <c r="N69" s="123">
        <f t="shared" si="7"/>
        <v>904.89131618144904</v>
      </c>
      <c r="O69" s="5"/>
      <c r="P69" s="5">
        <f t="shared" si="3"/>
        <v>1</v>
      </c>
      <c r="Q69" s="7">
        <f t="shared" si="4"/>
        <v>7385</v>
      </c>
    </row>
    <row r="70" spans="1:21">
      <c r="A70" s="23" t="s">
        <v>71</v>
      </c>
      <c r="B70" s="35" t="s">
        <v>49</v>
      </c>
      <c r="C70" s="36">
        <v>86154</v>
      </c>
      <c r="D70" s="113">
        <v>7125003039</v>
      </c>
      <c r="E70" s="116">
        <f t="shared" si="11"/>
        <v>82700.780451284911</v>
      </c>
      <c r="F70" s="117">
        <v>4879550460</v>
      </c>
      <c r="G70" s="117">
        <f t="shared" si="12"/>
        <v>56637.538129396198</v>
      </c>
      <c r="H70" s="98"/>
      <c r="I70" s="109">
        <v>6.0542999999999996</v>
      </c>
      <c r="J70" s="117">
        <v>29542262</v>
      </c>
      <c r="K70" s="120">
        <f t="shared" si="13"/>
        <v>342.90064303456603</v>
      </c>
      <c r="L70" s="122">
        <f t="shared" si="5"/>
        <v>48795504.600000001</v>
      </c>
      <c r="M70" s="116">
        <f t="shared" si="6"/>
        <v>19253242.600000001</v>
      </c>
      <c r="N70" s="123">
        <f t="shared" si="7"/>
        <v>223.47473825939599</v>
      </c>
      <c r="O70" s="5"/>
      <c r="P70" s="5">
        <f t="shared" ref="P70:P133" si="14">IF(I70&gt;0,1,0)</f>
        <v>1</v>
      </c>
      <c r="Q70" s="7">
        <f t="shared" ref="Q70:Q133" si="15">IF(I70&gt;0,C70,0)</f>
        <v>86154</v>
      </c>
    </row>
    <row r="71" spans="1:21">
      <c r="A71" s="23" t="s">
        <v>72</v>
      </c>
      <c r="B71" s="35" t="s">
        <v>49</v>
      </c>
      <c r="C71" s="36">
        <v>61102</v>
      </c>
      <c r="D71" s="113">
        <v>3699126933</v>
      </c>
      <c r="E71" s="116">
        <f t="shared" si="11"/>
        <v>60540.193987103528</v>
      </c>
      <c r="F71" s="118">
        <v>2445879756</v>
      </c>
      <c r="G71" s="117">
        <f t="shared" si="12"/>
        <v>40029.454944191682</v>
      </c>
      <c r="H71" s="98"/>
      <c r="I71" s="109">
        <v>7.2899000000000003</v>
      </c>
      <c r="J71" s="117">
        <v>17830219</v>
      </c>
      <c r="K71" s="120">
        <f t="shared" si="13"/>
        <v>291.8107263264705</v>
      </c>
      <c r="L71" s="122">
        <f t="shared" si="5"/>
        <v>24458797.559999999</v>
      </c>
      <c r="M71" s="116">
        <f t="shared" si="6"/>
        <v>6628578.5599999987</v>
      </c>
      <c r="N71" s="123">
        <f t="shared" si="7"/>
        <v>108.48382311544628</v>
      </c>
      <c r="O71" s="5"/>
      <c r="P71" s="5">
        <f t="shared" si="14"/>
        <v>1</v>
      </c>
      <c r="Q71" s="7">
        <f t="shared" si="15"/>
        <v>61102</v>
      </c>
    </row>
    <row r="72" spans="1:21">
      <c r="A72" s="23" t="s">
        <v>507</v>
      </c>
      <c r="B72" s="35" t="s">
        <v>49</v>
      </c>
      <c r="C72" s="36">
        <v>14165</v>
      </c>
      <c r="D72" s="113">
        <v>508522442</v>
      </c>
      <c r="E72" s="116">
        <f t="shared" si="11"/>
        <v>35899.925308859863</v>
      </c>
      <c r="F72" s="117">
        <v>337150327</v>
      </c>
      <c r="G72" s="117">
        <f t="shared" si="12"/>
        <v>23801.646805506531</v>
      </c>
      <c r="H72" s="98"/>
      <c r="I72" s="109">
        <v>9.42</v>
      </c>
      <c r="J72" s="117">
        <v>3175956</v>
      </c>
      <c r="K72" s="120">
        <f t="shared" si="13"/>
        <v>224.21150723614542</v>
      </c>
      <c r="L72" s="122">
        <f t="shared" ref="L72:L135" si="16">(F72*0.01)</f>
        <v>3371503.27</v>
      </c>
      <c r="M72" s="116">
        <f t="shared" ref="M72:M135" si="17">(L72-J72)</f>
        <v>195547.27000000002</v>
      </c>
      <c r="N72" s="123">
        <f t="shared" ref="N72:N135" si="18">(M72/C72)</f>
        <v>13.804960818919874</v>
      </c>
      <c r="O72" s="5"/>
      <c r="P72" s="5">
        <f t="shared" si="14"/>
        <v>1</v>
      </c>
      <c r="Q72" s="7">
        <f t="shared" si="15"/>
        <v>14165</v>
      </c>
    </row>
    <row r="73" spans="1:21">
      <c r="A73" s="23" t="s">
        <v>73</v>
      </c>
      <c r="B73" s="35" t="s">
        <v>49</v>
      </c>
      <c r="C73" s="36">
        <v>65448</v>
      </c>
      <c r="D73" s="113">
        <v>8621825457</v>
      </c>
      <c r="E73" s="116">
        <f t="shared" si="11"/>
        <v>131735.50692152549</v>
      </c>
      <c r="F73" s="117">
        <v>6500572521</v>
      </c>
      <c r="G73" s="117">
        <f t="shared" si="12"/>
        <v>99324.23482764943</v>
      </c>
      <c r="H73" s="98"/>
      <c r="I73" s="109">
        <v>2</v>
      </c>
      <c r="J73" s="117">
        <v>13001145</v>
      </c>
      <c r="K73" s="120">
        <f t="shared" si="13"/>
        <v>198.64846901356802</v>
      </c>
      <c r="L73" s="122">
        <f t="shared" si="16"/>
        <v>65005725.210000001</v>
      </c>
      <c r="M73" s="116">
        <f t="shared" si="17"/>
        <v>52004580.210000001</v>
      </c>
      <c r="N73" s="123">
        <f t="shared" si="18"/>
        <v>794.59387926292629</v>
      </c>
      <c r="O73" s="5"/>
      <c r="P73" s="5">
        <f t="shared" si="14"/>
        <v>1</v>
      </c>
      <c r="Q73" s="7">
        <f t="shared" si="15"/>
        <v>65448</v>
      </c>
    </row>
    <row r="74" spans="1:21">
      <c r="A74" s="23" t="s">
        <v>74</v>
      </c>
      <c r="B74" s="35" t="s">
        <v>49</v>
      </c>
      <c r="C74" s="36">
        <v>11878</v>
      </c>
      <c r="D74" s="113">
        <v>1260992065</v>
      </c>
      <c r="E74" s="116">
        <f t="shared" si="11"/>
        <v>106161.98560363697</v>
      </c>
      <c r="F74" s="117">
        <v>876202294</v>
      </c>
      <c r="G74" s="117">
        <f t="shared" si="12"/>
        <v>73766.820508503122</v>
      </c>
      <c r="H74" s="98"/>
      <c r="I74" s="109">
        <v>6.2068000000000003</v>
      </c>
      <c r="J74" s="117">
        <v>5438412</v>
      </c>
      <c r="K74" s="120">
        <f t="shared" si="13"/>
        <v>457.85586799124434</v>
      </c>
      <c r="L74" s="122">
        <f t="shared" si="16"/>
        <v>8762022.9399999995</v>
      </c>
      <c r="M74" s="116">
        <f t="shared" si="17"/>
        <v>3323610.9399999995</v>
      </c>
      <c r="N74" s="123">
        <f t="shared" si="18"/>
        <v>279.81233709378677</v>
      </c>
      <c r="O74" s="5"/>
      <c r="P74" s="5">
        <f t="shared" si="14"/>
        <v>1</v>
      </c>
      <c r="Q74" s="7">
        <f t="shared" si="15"/>
        <v>11878</v>
      </c>
      <c r="S74" s="124">
        <f>SUM(D44:D74)</f>
        <v>174772025659</v>
      </c>
      <c r="T74" s="124">
        <f>SUM(F44:F74)</f>
        <v>126071400251</v>
      </c>
      <c r="U74" s="124">
        <f>SUM(J44:J74)</f>
        <v>663586445</v>
      </c>
    </row>
    <row r="75" spans="1:21">
      <c r="A75" s="23" t="s">
        <v>75</v>
      </c>
      <c r="B75" s="35" t="s">
        <v>76</v>
      </c>
      <c r="C75" s="36">
        <v>543</v>
      </c>
      <c r="D75" s="114" t="s">
        <v>564</v>
      </c>
      <c r="E75" s="116"/>
      <c r="F75" s="117"/>
      <c r="G75" s="117"/>
      <c r="H75" s="98" t="s">
        <v>588</v>
      </c>
      <c r="I75" s="109"/>
      <c r="J75" s="117"/>
      <c r="K75" s="120"/>
      <c r="L75" s="122">
        <f t="shared" si="16"/>
        <v>0</v>
      </c>
      <c r="M75" s="116">
        <f t="shared" si="17"/>
        <v>0</v>
      </c>
      <c r="N75" s="123">
        <f t="shared" si="18"/>
        <v>0</v>
      </c>
      <c r="O75" s="5"/>
      <c r="P75" s="5">
        <f t="shared" si="14"/>
        <v>0</v>
      </c>
      <c r="Q75" s="7">
        <f t="shared" si="15"/>
        <v>0</v>
      </c>
    </row>
    <row r="76" spans="1:21">
      <c r="A76" s="23" t="s">
        <v>77</v>
      </c>
      <c r="B76" s="35" t="s">
        <v>76</v>
      </c>
      <c r="C76" s="36">
        <v>2500</v>
      </c>
      <c r="D76" s="113">
        <v>109172604</v>
      </c>
      <c r="E76" s="116">
        <f t="shared" ref="E76:E82" si="19">(D76/C76)</f>
        <v>43669.041599999997</v>
      </c>
      <c r="F76" s="117">
        <v>60536425</v>
      </c>
      <c r="G76" s="117">
        <f t="shared" ref="G76:G82" si="20">(F76/C76)</f>
        <v>24214.57</v>
      </c>
      <c r="H76" s="7"/>
      <c r="I76" s="109">
        <v>1.5</v>
      </c>
      <c r="J76" s="117">
        <v>90805</v>
      </c>
      <c r="K76" s="120">
        <f t="shared" ref="K76:K82" si="21">(J76/C76)</f>
        <v>36.322000000000003</v>
      </c>
      <c r="L76" s="122">
        <f t="shared" si="16"/>
        <v>605364.25</v>
      </c>
      <c r="M76" s="116">
        <f t="shared" si="17"/>
        <v>514559.25</v>
      </c>
      <c r="N76" s="123">
        <f t="shared" si="18"/>
        <v>205.8237</v>
      </c>
      <c r="O76" s="5"/>
      <c r="P76" s="5">
        <f t="shared" si="14"/>
        <v>1</v>
      </c>
      <c r="Q76" s="7">
        <f t="shared" si="15"/>
        <v>2500</v>
      </c>
      <c r="S76" s="124">
        <f>SUM(D75:D76)</f>
        <v>109172604</v>
      </c>
      <c r="T76" s="124">
        <f>SUM(F75:F76)</f>
        <v>60536425</v>
      </c>
      <c r="U76" s="124">
        <f>SUM(J75:J76)</f>
        <v>90805</v>
      </c>
    </row>
    <row r="77" spans="1:21">
      <c r="A77" s="23" t="s">
        <v>78</v>
      </c>
      <c r="B77" s="35" t="s">
        <v>79</v>
      </c>
      <c r="C77" s="36">
        <v>16984</v>
      </c>
      <c r="D77" s="113">
        <v>2961266849</v>
      </c>
      <c r="E77" s="116">
        <f t="shared" si="19"/>
        <v>174356.26760480451</v>
      </c>
      <c r="F77" s="117">
        <v>2258765613</v>
      </c>
      <c r="G77" s="117">
        <f t="shared" si="20"/>
        <v>132993.73604569005</v>
      </c>
      <c r="H77" s="7"/>
      <c r="I77" s="109">
        <v>3.2462</v>
      </c>
      <c r="J77" s="117">
        <v>7332405</v>
      </c>
      <c r="K77" s="120">
        <f t="shared" si="21"/>
        <v>431.72426990108335</v>
      </c>
      <c r="L77" s="122">
        <f t="shared" si="16"/>
        <v>22587656.129999999</v>
      </c>
      <c r="M77" s="116">
        <f t="shared" si="17"/>
        <v>15255251.129999999</v>
      </c>
      <c r="N77" s="123">
        <f t="shared" si="18"/>
        <v>898.21309055581719</v>
      </c>
      <c r="O77" s="5"/>
      <c r="P77" s="5">
        <f t="shared" si="14"/>
        <v>1</v>
      </c>
      <c r="Q77" s="7">
        <f t="shared" si="15"/>
        <v>16984</v>
      </c>
      <c r="S77" s="124">
        <f>SUM(D77)</f>
        <v>2961266849</v>
      </c>
      <c r="T77" s="124">
        <f>SUM(F77)</f>
        <v>2258765613</v>
      </c>
      <c r="U77" s="124">
        <f>SUM(J77)</f>
        <v>7332405</v>
      </c>
    </row>
    <row r="78" spans="1:21">
      <c r="A78" s="23" t="s">
        <v>80</v>
      </c>
      <c r="B78" s="35" t="s">
        <v>81</v>
      </c>
      <c r="C78" s="36">
        <v>3076</v>
      </c>
      <c r="D78" s="113">
        <v>577820277</v>
      </c>
      <c r="E78" s="116">
        <f t="shared" si="19"/>
        <v>187847.94440832251</v>
      </c>
      <c r="F78" s="117">
        <v>439543850</v>
      </c>
      <c r="G78" s="117">
        <f t="shared" si="20"/>
        <v>142894.61963589076</v>
      </c>
      <c r="H78" s="7"/>
      <c r="I78" s="110">
        <v>3.8</v>
      </c>
      <c r="J78" s="117">
        <v>1670267</v>
      </c>
      <c r="K78" s="120">
        <f t="shared" si="21"/>
        <v>542.9996749024707</v>
      </c>
      <c r="L78" s="122">
        <f t="shared" si="16"/>
        <v>4395438.5</v>
      </c>
      <c r="M78" s="116">
        <f t="shared" si="17"/>
        <v>2725171.5</v>
      </c>
      <c r="N78" s="123">
        <f t="shared" si="18"/>
        <v>885.94652145643693</v>
      </c>
      <c r="O78" s="5"/>
      <c r="P78" s="5">
        <f t="shared" si="14"/>
        <v>1</v>
      </c>
      <c r="Q78" s="7">
        <f t="shared" si="15"/>
        <v>3076</v>
      </c>
    </row>
    <row r="79" spans="1:21">
      <c r="A79" s="23" t="s">
        <v>82</v>
      </c>
      <c r="B79" s="35" t="s">
        <v>81</v>
      </c>
      <c r="C79" s="36">
        <v>7195</v>
      </c>
      <c r="D79" s="113">
        <v>661455493</v>
      </c>
      <c r="E79" s="116">
        <f t="shared" si="19"/>
        <v>91932.660597637252</v>
      </c>
      <c r="F79" s="117">
        <v>348842640</v>
      </c>
      <c r="G79" s="117">
        <f t="shared" si="20"/>
        <v>48484.036136205701</v>
      </c>
      <c r="H79" s="7"/>
      <c r="I79" s="109">
        <v>6.4923000000000002</v>
      </c>
      <c r="J79" s="117">
        <v>2264791</v>
      </c>
      <c r="K79" s="120">
        <f t="shared" si="21"/>
        <v>314.77289784572622</v>
      </c>
      <c r="L79" s="122">
        <f t="shared" si="16"/>
        <v>3488426.4</v>
      </c>
      <c r="M79" s="116">
        <f t="shared" si="17"/>
        <v>1223635.3999999999</v>
      </c>
      <c r="N79" s="123">
        <f t="shared" si="18"/>
        <v>170.06746351633078</v>
      </c>
      <c r="O79" s="5"/>
      <c r="P79" s="5">
        <f t="shared" si="14"/>
        <v>1</v>
      </c>
      <c r="Q79" s="7">
        <f t="shared" si="15"/>
        <v>7195</v>
      </c>
      <c r="S79" s="124">
        <f>SUM(D78:D79)</f>
        <v>1239275770</v>
      </c>
      <c r="T79" s="124">
        <f>SUM(F78:F79)</f>
        <v>788386490</v>
      </c>
      <c r="U79" s="124">
        <f>SUM(J78:J79)</f>
        <v>3935058</v>
      </c>
    </row>
    <row r="80" spans="1:21">
      <c r="A80" s="23" t="s">
        <v>83</v>
      </c>
      <c r="B80" s="35" t="s">
        <v>84</v>
      </c>
      <c r="C80" s="36">
        <v>6911</v>
      </c>
      <c r="D80" s="113">
        <v>472918634</v>
      </c>
      <c r="E80" s="116">
        <f t="shared" si="19"/>
        <v>68429.841412241352</v>
      </c>
      <c r="F80" s="117">
        <v>322753032</v>
      </c>
      <c r="G80" s="117">
        <f t="shared" si="20"/>
        <v>46701.350311098249</v>
      </c>
      <c r="H80" s="7"/>
      <c r="I80" s="109">
        <v>2.9821</v>
      </c>
      <c r="J80" s="117">
        <v>962482</v>
      </c>
      <c r="K80" s="120">
        <f t="shared" si="21"/>
        <v>139.2681232817248</v>
      </c>
      <c r="L80" s="122">
        <f t="shared" si="16"/>
        <v>3227530.3200000003</v>
      </c>
      <c r="M80" s="116">
        <f t="shared" si="17"/>
        <v>2265048.3200000003</v>
      </c>
      <c r="N80" s="123">
        <f t="shared" si="18"/>
        <v>327.74537982925773</v>
      </c>
      <c r="O80" s="5"/>
      <c r="P80" s="5">
        <f t="shared" si="14"/>
        <v>1</v>
      </c>
      <c r="Q80" s="7">
        <f t="shared" si="15"/>
        <v>6911</v>
      </c>
    </row>
    <row r="81" spans="1:21">
      <c r="A81" s="23" t="s">
        <v>85</v>
      </c>
      <c r="B81" s="35" t="s">
        <v>84</v>
      </c>
      <c r="C81" s="36">
        <v>1336</v>
      </c>
      <c r="D81" s="113">
        <v>86260533</v>
      </c>
      <c r="E81" s="116">
        <f t="shared" si="19"/>
        <v>64566.267215568863</v>
      </c>
      <c r="F81" s="117">
        <v>50544715</v>
      </c>
      <c r="G81" s="117">
        <f t="shared" si="20"/>
        <v>37832.870508982036</v>
      </c>
      <c r="H81" s="7"/>
      <c r="I81" s="109">
        <v>2.5301999999999998</v>
      </c>
      <c r="J81" s="117">
        <v>127888</v>
      </c>
      <c r="K81" s="120">
        <f t="shared" si="21"/>
        <v>95.724550898203589</v>
      </c>
      <c r="L81" s="122">
        <f t="shared" si="16"/>
        <v>505447.15</v>
      </c>
      <c r="M81" s="116">
        <f t="shared" si="17"/>
        <v>377559.15</v>
      </c>
      <c r="N81" s="123">
        <f t="shared" si="18"/>
        <v>282.60415419161677</v>
      </c>
      <c r="O81" s="5"/>
      <c r="P81" s="5">
        <f t="shared" si="14"/>
        <v>1</v>
      </c>
      <c r="Q81" s="7">
        <f t="shared" si="15"/>
        <v>1336</v>
      </c>
    </row>
    <row r="82" spans="1:21">
      <c r="A82" s="23" t="s">
        <v>86</v>
      </c>
      <c r="B82" s="35" t="s">
        <v>84</v>
      </c>
      <c r="C82" s="36">
        <v>8403</v>
      </c>
      <c r="D82" s="113">
        <v>698761466</v>
      </c>
      <c r="E82" s="116">
        <f t="shared" si="19"/>
        <v>83156.190170177317</v>
      </c>
      <c r="F82" s="117">
        <v>454692053</v>
      </c>
      <c r="G82" s="117">
        <f t="shared" si="20"/>
        <v>54110.681066285848</v>
      </c>
      <c r="H82" s="9"/>
      <c r="I82" s="109">
        <v>6.3</v>
      </c>
      <c r="J82" s="117">
        <v>2864560</v>
      </c>
      <c r="K82" s="120">
        <f t="shared" si="21"/>
        <v>340.89729858383913</v>
      </c>
      <c r="L82" s="122">
        <f t="shared" si="16"/>
        <v>4546920.53</v>
      </c>
      <c r="M82" s="116">
        <f t="shared" si="17"/>
        <v>1682360.5300000003</v>
      </c>
      <c r="N82" s="123">
        <f t="shared" si="18"/>
        <v>200.20951207901942</v>
      </c>
      <c r="O82" s="5"/>
      <c r="P82" s="5">
        <f t="shared" si="14"/>
        <v>1</v>
      </c>
      <c r="Q82" s="7">
        <f t="shared" si="15"/>
        <v>8403</v>
      </c>
    </row>
    <row r="83" spans="1:21">
      <c r="A83" s="23" t="s">
        <v>87</v>
      </c>
      <c r="B83" s="35" t="s">
        <v>84</v>
      </c>
      <c r="C83" s="36">
        <v>744</v>
      </c>
      <c r="D83" s="114" t="s">
        <v>564</v>
      </c>
      <c r="E83" s="116"/>
      <c r="F83" s="117"/>
      <c r="G83" s="117"/>
      <c r="H83" s="98" t="s">
        <v>588</v>
      </c>
      <c r="I83" s="109"/>
      <c r="J83" s="117"/>
      <c r="K83" s="120"/>
      <c r="L83" s="122">
        <f t="shared" si="16"/>
        <v>0</v>
      </c>
      <c r="M83" s="116">
        <f t="shared" si="17"/>
        <v>0</v>
      </c>
      <c r="N83" s="123">
        <f t="shared" si="18"/>
        <v>0</v>
      </c>
      <c r="O83" s="5"/>
      <c r="P83" s="5">
        <f t="shared" si="14"/>
        <v>0</v>
      </c>
      <c r="Q83" s="7">
        <f t="shared" si="15"/>
        <v>0</v>
      </c>
      <c r="S83" s="124">
        <f>SUM(D80:D83)</f>
        <v>1257940633</v>
      </c>
      <c r="T83" s="124">
        <f>SUM(F80:F83)</f>
        <v>827989800</v>
      </c>
      <c r="U83" s="124">
        <f>SUM(J80:J83)</f>
        <v>3954930</v>
      </c>
    </row>
    <row r="84" spans="1:21">
      <c r="A84" s="23" t="s">
        <v>88</v>
      </c>
      <c r="B84" s="35" t="s">
        <v>89</v>
      </c>
      <c r="C84" s="36">
        <v>401</v>
      </c>
      <c r="D84" s="113">
        <v>115223775</v>
      </c>
      <c r="E84" s="116">
        <f>(D84/C84)</f>
        <v>287341.0847880299</v>
      </c>
      <c r="F84" s="117">
        <v>80382207</v>
      </c>
      <c r="G84" s="117">
        <f>(F84/C84)</f>
        <v>200454.38154613465</v>
      </c>
      <c r="H84" s="7"/>
      <c r="I84" s="109">
        <v>3.9594999999999998</v>
      </c>
      <c r="J84" s="117">
        <v>318273</v>
      </c>
      <c r="K84" s="120">
        <f>(J84/C84)</f>
        <v>793.69825436408973</v>
      </c>
      <c r="L84" s="122">
        <f t="shared" si="16"/>
        <v>803822.07000000007</v>
      </c>
      <c r="M84" s="116">
        <f t="shared" si="17"/>
        <v>485549.07000000007</v>
      </c>
      <c r="N84" s="123">
        <f t="shared" si="18"/>
        <v>1210.8455610972571</v>
      </c>
      <c r="O84" s="5"/>
      <c r="P84" s="5">
        <f t="shared" si="14"/>
        <v>1</v>
      </c>
      <c r="Q84" s="7">
        <f t="shared" si="15"/>
        <v>401</v>
      </c>
    </row>
    <row r="85" spans="1:21">
      <c r="A85" s="23" t="s">
        <v>90</v>
      </c>
      <c r="B85" s="35" t="s">
        <v>89</v>
      </c>
      <c r="C85" s="36">
        <v>16521</v>
      </c>
      <c r="D85" s="113">
        <v>8165954561</v>
      </c>
      <c r="E85" s="116">
        <f>(D85/C85)</f>
        <v>494277.25688517647</v>
      </c>
      <c r="F85" s="117">
        <v>7409103210</v>
      </c>
      <c r="G85" s="117">
        <f>(F85/C85)</f>
        <v>448465.78354821139</v>
      </c>
      <c r="H85" s="7"/>
      <c r="I85" s="109">
        <v>1.96</v>
      </c>
      <c r="J85" s="117">
        <v>14521842</v>
      </c>
      <c r="K85" s="120">
        <f>(J85/C85)</f>
        <v>878.99291810423097</v>
      </c>
      <c r="L85" s="122">
        <f t="shared" si="16"/>
        <v>74091032.100000009</v>
      </c>
      <c r="M85" s="116">
        <f t="shared" si="17"/>
        <v>59569190.100000009</v>
      </c>
      <c r="N85" s="123">
        <f t="shared" si="18"/>
        <v>3605.6649173778833</v>
      </c>
      <c r="O85" s="5"/>
      <c r="P85" s="5">
        <f t="shared" si="14"/>
        <v>1</v>
      </c>
      <c r="Q85" s="7">
        <f t="shared" si="15"/>
        <v>16521</v>
      </c>
    </row>
    <row r="86" spans="1:21">
      <c r="A86" s="23" t="s">
        <v>91</v>
      </c>
      <c r="B86" s="35" t="s">
        <v>89</v>
      </c>
      <c r="C86" s="36">
        <v>19584</v>
      </c>
      <c r="D86" s="113">
        <v>17730116109</v>
      </c>
      <c r="E86" s="116">
        <f>(D86/C86)</f>
        <v>905336.8111213235</v>
      </c>
      <c r="F86" s="117">
        <v>14982785178</v>
      </c>
      <c r="G86" s="117">
        <f>(F86/C86)</f>
        <v>765052.34773284313</v>
      </c>
      <c r="H86" s="9"/>
      <c r="I86" s="110">
        <v>1.18</v>
      </c>
      <c r="J86" s="117">
        <v>17679687</v>
      </c>
      <c r="K86" s="120">
        <f>(J86/C86)</f>
        <v>902.76179534313724</v>
      </c>
      <c r="L86" s="122">
        <f t="shared" si="16"/>
        <v>149827851.78</v>
      </c>
      <c r="M86" s="116">
        <f t="shared" si="17"/>
        <v>132148164.78</v>
      </c>
      <c r="N86" s="123">
        <f t="shared" si="18"/>
        <v>6747.7616819852938</v>
      </c>
      <c r="O86" s="5"/>
      <c r="P86" s="5">
        <f t="shared" si="14"/>
        <v>1</v>
      </c>
      <c r="Q86" s="7">
        <f t="shared" si="15"/>
        <v>19584</v>
      </c>
      <c r="S86" s="124">
        <f>SUM(D84:D86)</f>
        <v>26011294445</v>
      </c>
      <c r="T86" s="124">
        <f>SUM(F84:F86)</f>
        <v>22472270595</v>
      </c>
      <c r="U86" s="124">
        <f>SUM(J84:J86)</f>
        <v>32519802</v>
      </c>
    </row>
    <row r="87" spans="1:21">
      <c r="A87" s="23" t="s">
        <v>92</v>
      </c>
      <c r="B87" s="35" t="s">
        <v>93</v>
      </c>
      <c r="C87" s="36">
        <v>570</v>
      </c>
      <c r="D87" s="114" t="s">
        <v>564</v>
      </c>
      <c r="E87" s="116"/>
      <c r="F87" s="117"/>
      <c r="G87" s="117"/>
      <c r="H87" s="98" t="s">
        <v>588</v>
      </c>
      <c r="I87" s="109"/>
      <c r="J87" s="117"/>
      <c r="K87" s="120"/>
      <c r="L87" s="122">
        <f t="shared" si="16"/>
        <v>0</v>
      </c>
      <c r="M87" s="116">
        <f t="shared" si="17"/>
        <v>0</v>
      </c>
      <c r="N87" s="123">
        <f t="shared" si="18"/>
        <v>0</v>
      </c>
      <c r="O87" s="5"/>
      <c r="P87" s="5">
        <f t="shared" si="14"/>
        <v>0</v>
      </c>
      <c r="Q87" s="7">
        <f t="shared" si="15"/>
        <v>0</v>
      </c>
    </row>
    <row r="88" spans="1:21">
      <c r="A88" s="23" t="s">
        <v>94</v>
      </c>
      <c r="B88" s="35" t="s">
        <v>93</v>
      </c>
      <c r="C88" s="36">
        <v>12057</v>
      </c>
      <c r="D88" s="113">
        <v>1044921562</v>
      </c>
      <c r="E88" s="116">
        <f t="shared" ref="E88:E93" si="22">(D88/C88)</f>
        <v>86665.137430538278</v>
      </c>
      <c r="F88" s="117">
        <v>718924706</v>
      </c>
      <c r="G88" s="117">
        <f t="shared" ref="G88:G93" si="23">(F88/C88)</f>
        <v>59627.163141743389</v>
      </c>
      <c r="H88" s="7"/>
      <c r="I88" s="109">
        <v>3.9815999999999998</v>
      </c>
      <c r="J88" s="117">
        <v>2862471</v>
      </c>
      <c r="K88" s="120">
        <f t="shared" ref="K88:K93" si="24">(J88/C88)</f>
        <v>237.41154516048769</v>
      </c>
      <c r="L88" s="122">
        <f t="shared" si="16"/>
        <v>7189247.0600000005</v>
      </c>
      <c r="M88" s="116">
        <f t="shared" si="17"/>
        <v>4326776.0600000005</v>
      </c>
      <c r="N88" s="123">
        <f t="shared" si="18"/>
        <v>358.8600862569462</v>
      </c>
      <c r="O88" s="5"/>
      <c r="P88" s="5">
        <f t="shared" si="14"/>
        <v>1</v>
      </c>
      <c r="Q88" s="7">
        <f t="shared" si="15"/>
        <v>12057</v>
      </c>
      <c r="S88" s="124">
        <f>SUM(D87:D88)</f>
        <v>1044921562</v>
      </c>
      <c r="T88" s="124">
        <f>SUM(F87:F88)</f>
        <v>718924706</v>
      </c>
      <c r="U88" s="124">
        <f>SUM(J87:J88)</f>
        <v>2862471</v>
      </c>
    </row>
    <row r="89" spans="1:21">
      <c r="A89" s="23" t="s">
        <v>95</v>
      </c>
      <c r="B89" s="37" t="s">
        <v>575</v>
      </c>
      <c r="C89" s="36">
        <v>7585</v>
      </c>
      <c r="D89" s="113">
        <v>324722629</v>
      </c>
      <c r="E89" s="116">
        <f t="shared" si="22"/>
        <v>42811.157415952541</v>
      </c>
      <c r="F89" s="117">
        <v>177770566</v>
      </c>
      <c r="G89" s="117">
        <f t="shared" si="23"/>
        <v>23437.121423862889</v>
      </c>
      <c r="H89" s="8"/>
      <c r="I89" s="109">
        <v>8.5859000000000005</v>
      </c>
      <c r="J89" s="117">
        <v>1526320</v>
      </c>
      <c r="K89" s="120">
        <f t="shared" si="24"/>
        <v>201.22874093605802</v>
      </c>
      <c r="L89" s="122">
        <f t="shared" si="16"/>
        <v>1777705.6600000001</v>
      </c>
      <c r="M89" s="116">
        <f t="shared" si="17"/>
        <v>251385.66000000015</v>
      </c>
      <c r="N89" s="123">
        <f t="shared" si="18"/>
        <v>33.142473302570885</v>
      </c>
      <c r="O89" s="5"/>
      <c r="P89" s="5">
        <f t="shared" si="14"/>
        <v>1</v>
      </c>
      <c r="Q89" s="7">
        <f t="shared" si="15"/>
        <v>7585</v>
      </c>
      <c r="S89" s="124">
        <f>SUM(D89)</f>
        <v>324722629</v>
      </c>
      <c r="T89" s="124">
        <f>SUM(F89)</f>
        <v>177770566</v>
      </c>
      <c r="U89" s="124">
        <f>SUM(J89)</f>
        <v>1526320</v>
      </c>
    </row>
    <row r="90" spans="1:21">
      <c r="A90" s="23" t="s">
        <v>96</v>
      </c>
      <c r="B90" s="35" t="s">
        <v>97</v>
      </c>
      <c r="C90" s="36">
        <v>1710</v>
      </c>
      <c r="D90" s="113">
        <v>70081168</v>
      </c>
      <c r="E90" s="116">
        <f t="shared" si="22"/>
        <v>40983.139181286548</v>
      </c>
      <c r="F90" s="117">
        <v>27712415</v>
      </c>
      <c r="G90" s="117">
        <f t="shared" si="23"/>
        <v>16206.090643274854</v>
      </c>
      <c r="H90" s="8"/>
      <c r="I90" s="109">
        <v>7.5023</v>
      </c>
      <c r="J90" s="117">
        <v>207907</v>
      </c>
      <c r="K90" s="120">
        <f t="shared" si="24"/>
        <v>121.58304093567251</v>
      </c>
      <c r="L90" s="122">
        <f t="shared" si="16"/>
        <v>277124.15000000002</v>
      </c>
      <c r="M90" s="116">
        <f t="shared" si="17"/>
        <v>69217.150000000023</v>
      </c>
      <c r="N90" s="123">
        <f t="shared" si="18"/>
        <v>40.477865497076039</v>
      </c>
      <c r="O90" s="5"/>
      <c r="P90" s="5">
        <f t="shared" si="14"/>
        <v>1</v>
      </c>
      <c r="Q90" s="7">
        <f t="shared" si="15"/>
        <v>1710</v>
      </c>
    </row>
    <row r="91" spans="1:21">
      <c r="A91" s="23" t="s">
        <v>98</v>
      </c>
      <c r="B91" s="35" t="s">
        <v>97</v>
      </c>
      <c r="C91" s="36">
        <v>165</v>
      </c>
      <c r="D91" s="113">
        <v>50622807</v>
      </c>
      <c r="E91" s="116">
        <f t="shared" si="22"/>
        <v>306804.89090909093</v>
      </c>
      <c r="F91" s="117">
        <v>42312595</v>
      </c>
      <c r="G91" s="117">
        <f t="shared" si="23"/>
        <v>256439.9696969697</v>
      </c>
      <c r="H91" s="9"/>
      <c r="I91" s="110">
        <v>3</v>
      </c>
      <c r="J91" s="117">
        <v>126938</v>
      </c>
      <c r="K91" s="120">
        <f t="shared" si="24"/>
        <v>769.32121212121217</v>
      </c>
      <c r="L91" s="122">
        <f t="shared" si="16"/>
        <v>423125.95</v>
      </c>
      <c r="M91" s="116">
        <f t="shared" si="17"/>
        <v>296187.95</v>
      </c>
      <c r="N91" s="123">
        <f t="shared" si="18"/>
        <v>1795.078484848485</v>
      </c>
      <c r="O91" s="5"/>
      <c r="P91" s="5">
        <f t="shared" si="14"/>
        <v>1</v>
      </c>
      <c r="Q91" s="7">
        <f t="shared" si="15"/>
        <v>165</v>
      </c>
      <c r="S91" s="124">
        <f>SUM(D90:D91)</f>
        <v>120703975</v>
      </c>
      <c r="T91" s="124">
        <f>SUM(F90:F91)</f>
        <v>70025010</v>
      </c>
      <c r="U91" s="124">
        <f>SUM(J90:J91)</f>
        <v>334845</v>
      </c>
    </row>
    <row r="92" spans="1:21">
      <c r="A92" s="23" t="s">
        <v>99</v>
      </c>
      <c r="B92" s="35" t="s">
        <v>100</v>
      </c>
      <c r="C92" s="36">
        <v>12718</v>
      </c>
      <c r="D92" s="113">
        <v>1662176666</v>
      </c>
      <c r="E92" s="116">
        <f t="shared" si="22"/>
        <v>130694.81569429155</v>
      </c>
      <c r="F92" s="117">
        <v>1192693962</v>
      </c>
      <c r="G92" s="117">
        <f t="shared" si="23"/>
        <v>93779.993866960212</v>
      </c>
      <c r="H92" s="9"/>
      <c r="I92" s="109">
        <v>3.3285</v>
      </c>
      <c r="J92" s="117">
        <v>3969882</v>
      </c>
      <c r="K92" s="120">
        <f t="shared" si="24"/>
        <v>312.1467211825759</v>
      </c>
      <c r="L92" s="122">
        <f t="shared" si="16"/>
        <v>11926939.620000001</v>
      </c>
      <c r="M92" s="116">
        <f t="shared" si="17"/>
        <v>7957057.620000001</v>
      </c>
      <c r="N92" s="123">
        <f t="shared" si="18"/>
        <v>625.65321748702638</v>
      </c>
      <c r="O92" s="5"/>
      <c r="P92" s="5">
        <f t="shared" si="14"/>
        <v>1</v>
      </c>
      <c r="Q92" s="7">
        <f t="shared" si="15"/>
        <v>12718</v>
      </c>
    </row>
    <row r="93" spans="1:21">
      <c r="A93" s="23" t="s">
        <v>101</v>
      </c>
      <c r="B93" s="35" t="s">
        <v>100</v>
      </c>
      <c r="C93" s="36">
        <v>1419</v>
      </c>
      <c r="D93" s="113">
        <v>78157207</v>
      </c>
      <c r="E93" s="116">
        <f t="shared" si="22"/>
        <v>55079.074700493307</v>
      </c>
      <c r="F93" s="117">
        <v>40811669</v>
      </c>
      <c r="G93" s="117">
        <f t="shared" si="23"/>
        <v>28760.866102889358</v>
      </c>
      <c r="H93" s="9"/>
      <c r="I93" s="109">
        <v>3.1154999999999999</v>
      </c>
      <c r="J93" s="117">
        <v>127149</v>
      </c>
      <c r="K93" s="120">
        <f t="shared" si="24"/>
        <v>89.604651162790702</v>
      </c>
      <c r="L93" s="122">
        <f t="shared" si="16"/>
        <v>408116.69</v>
      </c>
      <c r="M93" s="116">
        <f t="shared" si="17"/>
        <v>280967.69</v>
      </c>
      <c r="N93" s="123">
        <f t="shared" si="18"/>
        <v>198.0040098661029</v>
      </c>
      <c r="O93" s="5"/>
      <c r="P93" s="5">
        <f t="shared" si="14"/>
        <v>1</v>
      </c>
      <c r="Q93" s="7">
        <f t="shared" si="15"/>
        <v>1419</v>
      </c>
    </row>
    <row r="94" spans="1:21">
      <c r="A94" s="23" t="s">
        <v>102</v>
      </c>
      <c r="B94" s="35" t="s">
        <v>100</v>
      </c>
      <c r="C94" s="36">
        <v>826865</v>
      </c>
      <c r="D94" s="115" t="s">
        <v>581</v>
      </c>
      <c r="E94" s="116"/>
      <c r="F94" s="117"/>
      <c r="G94" s="117"/>
      <c r="H94" s="9"/>
      <c r="I94" s="109"/>
      <c r="J94" s="117"/>
      <c r="K94" s="120"/>
      <c r="L94" s="122">
        <f t="shared" si="16"/>
        <v>0</v>
      </c>
      <c r="M94" s="116">
        <f t="shared" si="17"/>
        <v>0</v>
      </c>
      <c r="N94" s="123">
        <f t="shared" si="18"/>
        <v>0</v>
      </c>
      <c r="O94" s="5"/>
      <c r="P94" s="5">
        <f t="shared" si="14"/>
        <v>0</v>
      </c>
      <c r="Q94" s="7">
        <f t="shared" si="15"/>
        <v>0</v>
      </c>
    </row>
    <row r="95" spans="1:21">
      <c r="A95" s="23" t="s">
        <v>103</v>
      </c>
      <c r="B95" s="35" t="s">
        <v>100</v>
      </c>
      <c r="C95" s="36">
        <v>21615</v>
      </c>
      <c r="D95" s="113">
        <v>3312874812</v>
      </c>
      <c r="E95" s="116">
        <f t="shared" ref="E95:E158" si="25">(D95/C95)</f>
        <v>153267.39819569743</v>
      </c>
      <c r="F95" s="117">
        <v>2449726549</v>
      </c>
      <c r="G95" s="117">
        <f t="shared" ref="G95:G158" si="26">(F95/C95)</f>
        <v>113334.56160074023</v>
      </c>
      <c r="H95" s="9"/>
      <c r="I95" s="109">
        <v>4.0946999999999996</v>
      </c>
      <c r="J95" s="117">
        <v>10030895</v>
      </c>
      <c r="K95" s="120">
        <f t="shared" ref="K95:K133" si="27">(J95/C95)</f>
        <v>464.07101549849642</v>
      </c>
      <c r="L95" s="122">
        <f t="shared" si="16"/>
        <v>24497265.490000002</v>
      </c>
      <c r="M95" s="116">
        <f t="shared" si="17"/>
        <v>14466370.490000002</v>
      </c>
      <c r="N95" s="123">
        <f t="shared" si="18"/>
        <v>669.27460050890591</v>
      </c>
      <c r="O95" s="5"/>
      <c r="P95" s="5">
        <f t="shared" si="14"/>
        <v>1</v>
      </c>
      <c r="Q95" s="7">
        <f t="shared" si="15"/>
        <v>21615</v>
      </c>
    </row>
    <row r="96" spans="1:21">
      <c r="A96" s="23" t="s">
        <v>104</v>
      </c>
      <c r="B96" s="35" t="s">
        <v>100</v>
      </c>
      <c r="C96" s="36">
        <v>7112</v>
      </c>
      <c r="D96" s="113">
        <v>906072228</v>
      </c>
      <c r="E96" s="116">
        <f t="shared" si="25"/>
        <v>127400.48200224972</v>
      </c>
      <c r="F96" s="117">
        <v>633389683</v>
      </c>
      <c r="G96" s="117">
        <f t="shared" si="26"/>
        <v>89059.291760404943</v>
      </c>
      <c r="H96" s="7"/>
      <c r="I96" s="109">
        <v>3.3759000000000001</v>
      </c>
      <c r="J96" s="117">
        <v>2138260</v>
      </c>
      <c r="K96" s="120">
        <f t="shared" si="27"/>
        <v>300.6552305961755</v>
      </c>
      <c r="L96" s="122">
        <f t="shared" si="16"/>
        <v>6333896.8300000001</v>
      </c>
      <c r="M96" s="116">
        <f t="shared" si="17"/>
        <v>4195636.83</v>
      </c>
      <c r="N96" s="123">
        <f t="shared" si="18"/>
        <v>589.93768700787405</v>
      </c>
      <c r="O96" s="5"/>
      <c r="P96" s="5">
        <f t="shared" si="14"/>
        <v>1</v>
      </c>
      <c r="Q96" s="7">
        <f t="shared" si="15"/>
        <v>7112</v>
      </c>
      <c r="S96" s="124">
        <f>SUM(D92:D96)</f>
        <v>5959280913</v>
      </c>
      <c r="T96" s="124">
        <f>SUM(F92:F96)</f>
        <v>4316621863</v>
      </c>
      <c r="U96" s="124">
        <f>SUM(J92:J96)</f>
        <v>16266186</v>
      </c>
    </row>
    <row r="97" spans="1:21">
      <c r="A97" s="23" t="s">
        <v>105</v>
      </c>
      <c r="B97" s="35" t="s">
        <v>106</v>
      </c>
      <c r="C97" s="36">
        <v>1693</v>
      </c>
      <c r="D97" s="113">
        <v>53775153</v>
      </c>
      <c r="E97" s="116">
        <f t="shared" si="25"/>
        <v>31763.232722976965</v>
      </c>
      <c r="F97" s="117">
        <v>29781495</v>
      </c>
      <c r="G97" s="117">
        <f t="shared" si="26"/>
        <v>17590.959834613113</v>
      </c>
      <c r="H97" s="7"/>
      <c r="I97" s="109">
        <v>0.90480000000000005</v>
      </c>
      <c r="J97" s="117">
        <v>26946</v>
      </c>
      <c r="K97" s="120">
        <f t="shared" si="27"/>
        <v>15.916125221500295</v>
      </c>
      <c r="L97" s="122">
        <f t="shared" si="16"/>
        <v>297814.95</v>
      </c>
      <c r="M97" s="116">
        <f t="shared" si="17"/>
        <v>270868.95</v>
      </c>
      <c r="N97" s="123">
        <f t="shared" si="18"/>
        <v>159.99347312463084</v>
      </c>
      <c r="O97" s="5"/>
      <c r="P97" s="5">
        <f t="shared" si="14"/>
        <v>1</v>
      </c>
      <c r="Q97" s="7">
        <f t="shared" si="15"/>
        <v>1693</v>
      </c>
    </row>
    <row r="98" spans="1:21">
      <c r="A98" s="23" t="s">
        <v>107</v>
      </c>
      <c r="B98" s="35" t="s">
        <v>106</v>
      </c>
      <c r="C98" s="36">
        <v>52022</v>
      </c>
      <c r="D98" s="113">
        <v>4670510681</v>
      </c>
      <c r="E98" s="116">
        <f t="shared" si="25"/>
        <v>89779.529449079229</v>
      </c>
      <c r="F98" s="117">
        <v>2907222065</v>
      </c>
      <c r="G98" s="117">
        <f t="shared" si="26"/>
        <v>55884.473203644615</v>
      </c>
      <c r="H98" s="7"/>
      <c r="I98" s="109">
        <v>4.2895000000000003</v>
      </c>
      <c r="J98" s="117">
        <v>12470529</v>
      </c>
      <c r="K98" s="120">
        <f t="shared" si="27"/>
        <v>239.71644688785514</v>
      </c>
      <c r="L98" s="122">
        <f t="shared" si="16"/>
        <v>29072220.650000002</v>
      </c>
      <c r="M98" s="116">
        <f t="shared" si="17"/>
        <v>16601691.650000002</v>
      </c>
      <c r="N98" s="123">
        <f t="shared" si="18"/>
        <v>319.12828514859103</v>
      </c>
      <c r="O98" s="5"/>
      <c r="P98" s="5">
        <f t="shared" si="14"/>
        <v>1</v>
      </c>
      <c r="Q98" s="7">
        <f t="shared" si="15"/>
        <v>52022</v>
      </c>
      <c r="S98" s="124">
        <f>SUM(D97:D98)</f>
        <v>4724285834</v>
      </c>
      <c r="T98" s="124">
        <f>SUM(F97:F98)</f>
        <v>2937003560</v>
      </c>
      <c r="U98" s="124">
        <f>SUM(J97:J98)</f>
        <v>12497475</v>
      </c>
    </row>
    <row r="99" spans="1:21">
      <c r="A99" s="23" t="s">
        <v>108</v>
      </c>
      <c r="B99" s="35" t="s">
        <v>109</v>
      </c>
      <c r="C99" s="36">
        <v>334</v>
      </c>
      <c r="D99" s="113">
        <v>55908985</v>
      </c>
      <c r="E99" s="116">
        <f t="shared" si="25"/>
        <v>167392.17065868265</v>
      </c>
      <c r="F99" s="117">
        <v>46169974</v>
      </c>
      <c r="G99" s="117">
        <f t="shared" si="26"/>
        <v>138233.45508982035</v>
      </c>
      <c r="H99" s="7"/>
      <c r="I99" s="109">
        <v>2.2999999999999998</v>
      </c>
      <c r="J99" s="117">
        <v>106191</v>
      </c>
      <c r="K99" s="120">
        <f t="shared" si="27"/>
        <v>317.93712574850298</v>
      </c>
      <c r="L99" s="122">
        <f t="shared" si="16"/>
        <v>461699.74</v>
      </c>
      <c r="M99" s="116">
        <f t="shared" si="17"/>
        <v>355508.74</v>
      </c>
      <c r="N99" s="123">
        <f t="shared" si="18"/>
        <v>1064.3974251497007</v>
      </c>
      <c r="O99" s="5"/>
      <c r="P99" s="5">
        <f t="shared" si="14"/>
        <v>1</v>
      </c>
      <c r="Q99" s="7">
        <f t="shared" si="15"/>
        <v>334</v>
      </c>
    </row>
    <row r="100" spans="1:21">
      <c r="A100" s="23" t="s">
        <v>110</v>
      </c>
      <c r="B100" s="35" t="s">
        <v>109</v>
      </c>
      <c r="C100" s="36">
        <v>2685</v>
      </c>
      <c r="D100" s="113">
        <v>433261518</v>
      </c>
      <c r="E100" s="116">
        <f t="shared" si="25"/>
        <v>161363.69385474859</v>
      </c>
      <c r="F100" s="117">
        <v>143540899</v>
      </c>
      <c r="G100" s="117">
        <f t="shared" si="26"/>
        <v>53460.297579143393</v>
      </c>
      <c r="H100" s="7"/>
      <c r="I100" s="109">
        <v>6.9505999999999997</v>
      </c>
      <c r="J100" s="117">
        <v>997695</v>
      </c>
      <c r="K100" s="120">
        <f t="shared" si="27"/>
        <v>371.5810055865922</v>
      </c>
      <c r="L100" s="122">
        <f t="shared" si="16"/>
        <v>1435408.99</v>
      </c>
      <c r="M100" s="116">
        <f t="shared" si="17"/>
        <v>437713.99</v>
      </c>
      <c r="N100" s="123">
        <f t="shared" si="18"/>
        <v>163.02197020484172</v>
      </c>
      <c r="O100" s="5"/>
      <c r="P100" s="5">
        <f t="shared" si="14"/>
        <v>1</v>
      </c>
      <c r="Q100" s="7">
        <f t="shared" si="15"/>
        <v>2685</v>
      </c>
    </row>
    <row r="101" spans="1:21">
      <c r="A101" s="23" t="s">
        <v>447</v>
      </c>
      <c r="B101" s="35" t="s">
        <v>109</v>
      </c>
      <c r="C101" s="36">
        <v>76450</v>
      </c>
      <c r="D101" s="113">
        <v>5471631787</v>
      </c>
      <c r="E101" s="116">
        <f t="shared" si="25"/>
        <v>71571.377200784831</v>
      </c>
      <c r="F101" s="117">
        <v>3646122021</v>
      </c>
      <c r="G101" s="117">
        <f t="shared" si="26"/>
        <v>47692.897593198169</v>
      </c>
      <c r="H101" s="9"/>
      <c r="I101" s="109">
        <v>4.2957999999999998</v>
      </c>
      <c r="J101" s="117">
        <v>15663011</v>
      </c>
      <c r="K101" s="120">
        <f t="shared" si="27"/>
        <v>204.87914977109222</v>
      </c>
      <c r="L101" s="122">
        <f t="shared" si="16"/>
        <v>36461220.210000001</v>
      </c>
      <c r="M101" s="116">
        <f t="shared" si="17"/>
        <v>20798209.210000001</v>
      </c>
      <c r="N101" s="123">
        <f t="shared" si="18"/>
        <v>272.04982616088949</v>
      </c>
      <c r="O101" s="5"/>
      <c r="P101" s="5">
        <f t="shared" si="14"/>
        <v>1</v>
      </c>
      <c r="Q101" s="7">
        <f t="shared" si="15"/>
        <v>76450</v>
      </c>
    </row>
    <row r="102" spans="1:21">
      <c r="A102" s="23" t="s">
        <v>111</v>
      </c>
      <c r="B102" s="35" t="s">
        <v>557</v>
      </c>
      <c r="C102" s="36">
        <v>16</v>
      </c>
      <c r="D102" s="113">
        <v>14964257</v>
      </c>
      <c r="E102" s="116">
        <f t="shared" si="25"/>
        <v>935266.0625</v>
      </c>
      <c r="F102" s="117">
        <v>3854127</v>
      </c>
      <c r="G102" s="117">
        <f t="shared" si="26"/>
        <v>240882.9375</v>
      </c>
      <c r="H102" s="7"/>
      <c r="I102" s="109">
        <v>9.3911999999999995</v>
      </c>
      <c r="J102" s="117">
        <v>36195</v>
      </c>
      <c r="K102" s="120">
        <f t="shared" si="27"/>
        <v>2262.1875</v>
      </c>
      <c r="L102" s="122">
        <f t="shared" si="16"/>
        <v>38541.270000000004</v>
      </c>
      <c r="M102" s="116">
        <f t="shared" si="17"/>
        <v>2346.2700000000041</v>
      </c>
      <c r="N102" s="123">
        <f t="shared" si="18"/>
        <v>146.64187500000025</v>
      </c>
      <c r="O102" s="5"/>
      <c r="P102" s="5">
        <f t="shared" si="14"/>
        <v>1</v>
      </c>
      <c r="Q102" s="7">
        <f t="shared" si="15"/>
        <v>16</v>
      </c>
    </row>
    <row r="103" spans="1:21">
      <c r="A103" s="23" t="s">
        <v>112</v>
      </c>
      <c r="B103" s="35" t="s">
        <v>113</v>
      </c>
      <c r="C103" s="36">
        <v>4482</v>
      </c>
      <c r="D103" s="113">
        <f>(587086467+7273088)</f>
        <v>594359555</v>
      </c>
      <c r="E103" s="116">
        <f t="shared" si="25"/>
        <v>132610.34248103524</v>
      </c>
      <c r="F103" s="117">
        <f>(453778260+5008234)</f>
        <v>458786494</v>
      </c>
      <c r="G103" s="117">
        <f t="shared" si="26"/>
        <v>102362.00223114681</v>
      </c>
      <c r="H103" s="7"/>
      <c r="I103" s="109">
        <v>5.1243999999999996</v>
      </c>
      <c r="J103" s="117">
        <f>(2325341+25664)</f>
        <v>2351005</v>
      </c>
      <c r="K103" s="120">
        <f t="shared" si="27"/>
        <v>524.54373047746537</v>
      </c>
      <c r="L103" s="122">
        <f t="shared" si="16"/>
        <v>4587864.9400000004</v>
      </c>
      <c r="M103" s="116">
        <f t="shared" si="17"/>
        <v>2236859.9400000004</v>
      </c>
      <c r="N103" s="123">
        <f t="shared" si="18"/>
        <v>499.07629183400275</v>
      </c>
      <c r="O103" s="5"/>
      <c r="P103" s="5">
        <f t="shared" si="14"/>
        <v>1</v>
      </c>
      <c r="Q103" s="7">
        <f t="shared" si="15"/>
        <v>4482</v>
      </c>
      <c r="S103" s="124">
        <f>SUM(D99:D103)</f>
        <v>6570126102</v>
      </c>
      <c r="T103" s="124">
        <f>SUM(F99:F103)</f>
        <v>4298473515</v>
      </c>
      <c r="U103" s="124">
        <f>SUM(J99:J103)</f>
        <v>19154097</v>
      </c>
    </row>
    <row r="104" spans="1:21">
      <c r="A104" s="23" t="s">
        <v>114</v>
      </c>
      <c r="B104" s="35" t="s">
        <v>115</v>
      </c>
      <c r="C104" s="36">
        <v>2256</v>
      </c>
      <c r="D104" s="113">
        <v>213862073</v>
      </c>
      <c r="E104" s="116">
        <f t="shared" si="25"/>
        <v>94797.018173758872</v>
      </c>
      <c r="F104" s="117">
        <v>126353256</v>
      </c>
      <c r="G104" s="117">
        <f t="shared" si="26"/>
        <v>56007.648936170212</v>
      </c>
      <c r="H104" s="9"/>
      <c r="I104" s="110">
        <v>9.0090000000000003</v>
      </c>
      <c r="J104" s="117">
        <v>1138316</v>
      </c>
      <c r="K104" s="120">
        <f t="shared" si="27"/>
        <v>504.57269503546098</v>
      </c>
      <c r="L104" s="122">
        <f t="shared" si="16"/>
        <v>1263532.56</v>
      </c>
      <c r="M104" s="116">
        <f t="shared" si="17"/>
        <v>125216.56000000006</v>
      </c>
      <c r="N104" s="123">
        <f t="shared" si="18"/>
        <v>55.503794326241163</v>
      </c>
      <c r="O104" s="5"/>
      <c r="P104" s="5">
        <f t="shared" si="14"/>
        <v>1</v>
      </c>
      <c r="Q104" s="7">
        <f t="shared" si="15"/>
        <v>2256</v>
      </c>
    </row>
    <row r="105" spans="1:21">
      <c r="A105" s="23" t="s">
        <v>116</v>
      </c>
      <c r="B105" s="35" t="s">
        <v>115</v>
      </c>
      <c r="C105" s="36">
        <v>2843</v>
      </c>
      <c r="D105" s="113">
        <v>141203173</v>
      </c>
      <c r="E105" s="116">
        <f t="shared" si="25"/>
        <v>49666.9620119592</v>
      </c>
      <c r="F105" s="117">
        <v>101757413</v>
      </c>
      <c r="G105" s="117">
        <f t="shared" si="26"/>
        <v>35792.266268026731</v>
      </c>
      <c r="H105" s="9"/>
      <c r="I105" s="109">
        <v>8.77</v>
      </c>
      <c r="J105" s="117">
        <v>892413</v>
      </c>
      <c r="K105" s="120">
        <f t="shared" si="27"/>
        <v>313.8983468167429</v>
      </c>
      <c r="L105" s="122">
        <f t="shared" si="16"/>
        <v>1017574.13</v>
      </c>
      <c r="M105" s="116">
        <f t="shared" si="17"/>
        <v>125161.13</v>
      </c>
      <c r="N105" s="123">
        <f t="shared" si="18"/>
        <v>44.02431586352445</v>
      </c>
      <c r="O105" s="5"/>
      <c r="P105" s="5">
        <f t="shared" si="14"/>
        <v>1</v>
      </c>
      <c r="Q105" s="7">
        <f t="shared" si="15"/>
        <v>2843</v>
      </c>
      <c r="S105" s="124">
        <f>SUM(D104:D105)</f>
        <v>355065246</v>
      </c>
      <c r="T105" s="124">
        <f>SUM(F104:F105)</f>
        <v>228110669</v>
      </c>
      <c r="U105" s="124">
        <f>SUM(J104:J105)</f>
        <v>2030729</v>
      </c>
    </row>
    <row r="106" spans="1:21">
      <c r="A106" s="23" t="s">
        <v>117</v>
      </c>
      <c r="B106" s="35" t="s">
        <v>118</v>
      </c>
      <c r="C106" s="36">
        <v>3143</v>
      </c>
      <c r="D106" s="113">
        <v>232611726</v>
      </c>
      <c r="E106" s="116">
        <f t="shared" si="25"/>
        <v>74009.45784282533</v>
      </c>
      <c r="F106" s="117">
        <v>33983031</v>
      </c>
      <c r="G106" s="117">
        <f t="shared" si="26"/>
        <v>10812.291123130766</v>
      </c>
      <c r="H106" s="7"/>
      <c r="I106" s="109">
        <v>0.85140000000000005</v>
      </c>
      <c r="J106" s="117">
        <v>28933</v>
      </c>
      <c r="K106" s="120">
        <f t="shared" si="27"/>
        <v>9.2055361119949097</v>
      </c>
      <c r="L106" s="122">
        <f t="shared" si="16"/>
        <v>339830.31</v>
      </c>
      <c r="M106" s="116">
        <f t="shared" si="17"/>
        <v>310897.31</v>
      </c>
      <c r="N106" s="123">
        <f t="shared" si="18"/>
        <v>98.917375119312752</v>
      </c>
      <c r="O106" s="5"/>
      <c r="P106" s="5">
        <f t="shared" si="14"/>
        <v>1</v>
      </c>
      <c r="Q106" s="7">
        <f t="shared" si="15"/>
        <v>3143</v>
      </c>
    </row>
    <row r="107" spans="1:21">
      <c r="A107" s="23" t="s">
        <v>119</v>
      </c>
      <c r="B107" s="35" t="s">
        <v>118</v>
      </c>
      <c r="C107" s="36">
        <v>618</v>
      </c>
      <c r="D107" s="113">
        <v>22990715</v>
      </c>
      <c r="E107" s="116">
        <f t="shared" si="25"/>
        <v>37201.804207119741</v>
      </c>
      <c r="F107" s="117">
        <v>7850433</v>
      </c>
      <c r="G107" s="117">
        <f t="shared" si="26"/>
        <v>12702.966019417476</v>
      </c>
      <c r="H107" s="7"/>
      <c r="I107" s="109">
        <v>5</v>
      </c>
      <c r="J107" s="117">
        <v>39252</v>
      </c>
      <c r="K107" s="120">
        <f t="shared" si="27"/>
        <v>63.514563106796118</v>
      </c>
      <c r="L107" s="122">
        <f t="shared" si="16"/>
        <v>78504.33</v>
      </c>
      <c r="M107" s="116">
        <f t="shared" si="17"/>
        <v>39252.33</v>
      </c>
      <c r="N107" s="123">
        <f t="shared" si="18"/>
        <v>63.515097087378642</v>
      </c>
      <c r="O107" s="5"/>
      <c r="P107" s="5">
        <f t="shared" si="14"/>
        <v>1</v>
      </c>
      <c r="Q107" s="7">
        <f t="shared" si="15"/>
        <v>618</v>
      </c>
    </row>
    <row r="108" spans="1:21">
      <c r="A108" s="23" t="s">
        <v>120</v>
      </c>
      <c r="B108" s="35" t="s">
        <v>118</v>
      </c>
      <c r="C108" s="36">
        <v>1444</v>
      </c>
      <c r="D108" s="113">
        <v>40854027</v>
      </c>
      <c r="E108" s="116">
        <f t="shared" si="25"/>
        <v>28292.262465373962</v>
      </c>
      <c r="F108" s="117">
        <v>20732660</v>
      </c>
      <c r="G108" s="117">
        <f t="shared" si="26"/>
        <v>14357.797783933518</v>
      </c>
      <c r="H108" s="7"/>
      <c r="I108" s="109">
        <v>4.7362000000000002</v>
      </c>
      <c r="J108" s="117">
        <v>98194</v>
      </c>
      <c r="K108" s="120">
        <f t="shared" si="27"/>
        <v>68.001385041551245</v>
      </c>
      <c r="L108" s="122">
        <f t="shared" si="16"/>
        <v>207326.6</v>
      </c>
      <c r="M108" s="116">
        <f t="shared" si="17"/>
        <v>109132.6</v>
      </c>
      <c r="N108" s="123">
        <f t="shared" si="18"/>
        <v>75.576592797783931</v>
      </c>
      <c r="O108" s="5"/>
      <c r="P108" s="5">
        <f t="shared" si="14"/>
        <v>1</v>
      </c>
      <c r="Q108" s="7">
        <f t="shared" si="15"/>
        <v>1444</v>
      </c>
    </row>
    <row r="109" spans="1:21">
      <c r="A109" s="23" t="s">
        <v>121</v>
      </c>
      <c r="B109" s="35" t="s">
        <v>118</v>
      </c>
      <c r="C109" s="36">
        <v>1728</v>
      </c>
      <c r="D109" s="113">
        <v>92977274</v>
      </c>
      <c r="E109" s="116">
        <f t="shared" si="25"/>
        <v>53806.292824074073</v>
      </c>
      <c r="F109" s="117">
        <v>60232521</v>
      </c>
      <c r="G109" s="117">
        <f t="shared" si="26"/>
        <v>34856.782986111109</v>
      </c>
      <c r="H109" s="7"/>
      <c r="I109" s="109">
        <v>1.8239000000000001</v>
      </c>
      <c r="J109" s="117">
        <v>109858</v>
      </c>
      <c r="K109" s="120">
        <f t="shared" si="27"/>
        <v>63.575231481481481</v>
      </c>
      <c r="L109" s="122">
        <f t="shared" si="16"/>
        <v>602325.21</v>
      </c>
      <c r="M109" s="116">
        <f t="shared" si="17"/>
        <v>492467.20999999996</v>
      </c>
      <c r="N109" s="123">
        <f t="shared" si="18"/>
        <v>284.99259837962961</v>
      </c>
      <c r="O109" s="5"/>
      <c r="P109" s="5">
        <f t="shared" si="14"/>
        <v>1</v>
      </c>
      <c r="Q109" s="7">
        <f t="shared" si="15"/>
        <v>1728</v>
      </c>
    </row>
    <row r="110" spans="1:21">
      <c r="A110" s="23" t="s">
        <v>122</v>
      </c>
      <c r="B110" s="35" t="s">
        <v>118</v>
      </c>
      <c r="C110" s="36">
        <v>3119</v>
      </c>
      <c r="D110" s="113">
        <v>172397562</v>
      </c>
      <c r="E110" s="116">
        <f t="shared" si="25"/>
        <v>55273.344661750561</v>
      </c>
      <c r="F110" s="117">
        <v>119928963</v>
      </c>
      <c r="G110" s="117">
        <f t="shared" si="26"/>
        <v>38451.094260981081</v>
      </c>
      <c r="H110" s="7"/>
      <c r="I110" s="109">
        <v>4.0762999999999998</v>
      </c>
      <c r="J110" s="117">
        <v>488866</v>
      </c>
      <c r="K110" s="120">
        <f t="shared" si="27"/>
        <v>156.73805706957359</v>
      </c>
      <c r="L110" s="122">
        <f t="shared" si="16"/>
        <v>1199289.6300000001</v>
      </c>
      <c r="M110" s="116">
        <f t="shared" si="17"/>
        <v>710423.63000000012</v>
      </c>
      <c r="N110" s="123">
        <f t="shared" si="18"/>
        <v>227.7728855402373</v>
      </c>
      <c r="O110" s="5"/>
      <c r="P110" s="5">
        <f t="shared" si="14"/>
        <v>1</v>
      </c>
      <c r="Q110" s="7">
        <f t="shared" si="15"/>
        <v>3119</v>
      </c>
    </row>
    <row r="111" spans="1:21">
      <c r="A111" s="23" t="s">
        <v>123</v>
      </c>
      <c r="B111" s="35" t="s">
        <v>118</v>
      </c>
      <c r="C111" s="36">
        <v>7859</v>
      </c>
      <c r="D111" s="113">
        <v>401421045</v>
      </c>
      <c r="E111" s="116">
        <f t="shared" si="25"/>
        <v>51077.878228782291</v>
      </c>
      <c r="F111" s="117">
        <v>209514145</v>
      </c>
      <c r="G111" s="117">
        <f t="shared" si="26"/>
        <v>26659.13538618145</v>
      </c>
      <c r="H111" s="9"/>
      <c r="I111" s="109">
        <v>4.6561000000000003</v>
      </c>
      <c r="J111" s="117">
        <v>975519</v>
      </c>
      <c r="K111" s="120">
        <f t="shared" si="27"/>
        <v>124.12762437969208</v>
      </c>
      <c r="L111" s="122">
        <f t="shared" si="16"/>
        <v>2095141.45</v>
      </c>
      <c r="M111" s="116">
        <f t="shared" si="17"/>
        <v>1119622.45</v>
      </c>
      <c r="N111" s="123">
        <f t="shared" si="18"/>
        <v>142.4637294821224</v>
      </c>
      <c r="O111" s="5"/>
      <c r="P111" s="5">
        <f t="shared" si="14"/>
        <v>1</v>
      </c>
      <c r="Q111" s="7">
        <f t="shared" si="15"/>
        <v>7859</v>
      </c>
      <c r="S111" s="124">
        <f>SUM(D106:D111)</f>
        <v>963252349</v>
      </c>
      <c r="T111" s="124">
        <f>SUM(F106:F111)</f>
        <v>452241753</v>
      </c>
      <c r="U111" s="124">
        <f>SUM(J106:J111)</f>
        <v>1740622</v>
      </c>
    </row>
    <row r="112" spans="1:21">
      <c r="A112" s="23" t="s">
        <v>124</v>
      </c>
      <c r="B112" s="35" t="s">
        <v>125</v>
      </c>
      <c r="C112" s="36">
        <v>425</v>
      </c>
      <c r="D112" s="113">
        <v>38780662</v>
      </c>
      <c r="E112" s="116">
        <f t="shared" si="25"/>
        <v>91248.61647058824</v>
      </c>
      <c r="F112" s="117">
        <v>15940577</v>
      </c>
      <c r="G112" s="117">
        <f t="shared" si="26"/>
        <v>37507.24</v>
      </c>
      <c r="H112" s="9"/>
      <c r="I112" s="109">
        <v>2</v>
      </c>
      <c r="J112" s="117">
        <v>31881</v>
      </c>
      <c r="K112" s="120">
        <f t="shared" si="27"/>
        <v>75.014117647058825</v>
      </c>
      <c r="L112" s="122">
        <f t="shared" si="16"/>
        <v>159405.76999999999</v>
      </c>
      <c r="M112" s="116">
        <f t="shared" si="17"/>
        <v>127524.76999999999</v>
      </c>
      <c r="N112" s="123">
        <f t="shared" si="18"/>
        <v>300.05828235294115</v>
      </c>
      <c r="O112" s="5"/>
      <c r="P112" s="5">
        <f t="shared" si="14"/>
        <v>1</v>
      </c>
      <c r="Q112" s="7">
        <f t="shared" si="15"/>
        <v>425</v>
      </c>
    </row>
    <row r="113" spans="1:21">
      <c r="A113" s="23" t="s">
        <v>126</v>
      </c>
      <c r="B113" s="35" t="s">
        <v>125</v>
      </c>
      <c r="C113" s="36">
        <v>1956</v>
      </c>
      <c r="D113" s="113">
        <v>104169540</v>
      </c>
      <c r="E113" s="116">
        <f t="shared" si="25"/>
        <v>53256.411042944783</v>
      </c>
      <c r="F113" s="117">
        <v>51677391</v>
      </c>
      <c r="G113" s="117">
        <f t="shared" si="26"/>
        <v>26419.934049079755</v>
      </c>
      <c r="H113" s="9"/>
      <c r="I113" s="110">
        <v>3.1055000000000001</v>
      </c>
      <c r="J113" s="117">
        <v>160484</v>
      </c>
      <c r="K113" s="120">
        <f t="shared" si="27"/>
        <v>82.047034764826179</v>
      </c>
      <c r="L113" s="122">
        <f t="shared" si="16"/>
        <v>516773.91000000003</v>
      </c>
      <c r="M113" s="116">
        <f t="shared" si="17"/>
        <v>356289.91000000003</v>
      </c>
      <c r="N113" s="123">
        <f t="shared" si="18"/>
        <v>182.15230572597139</v>
      </c>
      <c r="O113" s="5"/>
      <c r="P113" s="5">
        <f t="shared" si="14"/>
        <v>1</v>
      </c>
      <c r="Q113" s="7">
        <f t="shared" si="15"/>
        <v>1956</v>
      </c>
    </row>
    <row r="114" spans="1:21">
      <c r="A114" s="23" t="s">
        <v>127</v>
      </c>
      <c r="B114" s="35" t="s">
        <v>128</v>
      </c>
      <c r="C114" s="36">
        <v>748</v>
      </c>
      <c r="D114" s="113">
        <f>(26254162+33358641)</f>
        <v>59612803</v>
      </c>
      <c r="E114" s="116">
        <f t="shared" si="25"/>
        <v>79696.260695187171</v>
      </c>
      <c r="F114" s="117">
        <f>(13917074+20440751)</f>
        <v>34357825</v>
      </c>
      <c r="G114" s="117">
        <f t="shared" si="26"/>
        <v>45932.921122994652</v>
      </c>
      <c r="H114" s="7"/>
      <c r="I114" s="110">
        <v>3</v>
      </c>
      <c r="J114" s="117">
        <f>(41751+61322)</f>
        <v>103073</v>
      </c>
      <c r="K114" s="120">
        <f t="shared" si="27"/>
        <v>137.798128342246</v>
      </c>
      <c r="L114" s="122">
        <f t="shared" si="16"/>
        <v>343578.25</v>
      </c>
      <c r="M114" s="116">
        <f t="shared" si="17"/>
        <v>240505.25</v>
      </c>
      <c r="N114" s="123">
        <f t="shared" si="18"/>
        <v>321.53108288770051</v>
      </c>
      <c r="O114" s="5"/>
      <c r="P114" s="5">
        <f t="shared" si="14"/>
        <v>1</v>
      </c>
      <c r="Q114" s="7">
        <f t="shared" si="15"/>
        <v>748</v>
      </c>
      <c r="S114" s="124">
        <f>SUM(D112:D114)</f>
        <v>202563005</v>
      </c>
      <c r="T114" s="124">
        <f>SUM(F112:F114)</f>
        <v>101975793</v>
      </c>
      <c r="U114" s="124">
        <f>SUM(J112:J114)</f>
        <v>295438</v>
      </c>
    </row>
    <row r="115" spans="1:21">
      <c r="A115" s="23" t="s">
        <v>129</v>
      </c>
      <c r="B115" s="35" t="s">
        <v>130</v>
      </c>
      <c r="C115" s="36">
        <v>1666</v>
      </c>
      <c r="D115" s="113">
        <v>82711953</v>
      </c>
      <c r="E115" s="116">
        <f t="shared" si="25"/>
        <v>49647.030612244896</v>
      </c>
      <c r="F115" s="117">
        <v>37423807</v>
      </c>
      <c r="G115" s="117">
        <f t="shared" si="26"/>
        <v>22463.269507803121</v>
      </c>
      <c r="H115" s="9"/>
      <c r="I115" s="109">
        <v>4.9476000000000004</v>
      </c>
      <c r="J115" s="117">
        <v>185158</v>
      </c>
      <c r="K115" s="120">
        <f t="shared" si="27"/>
        <v>111.13925570228091</v>
      </c>
      <c r="L115" s="122">
        <f t="shared" si="16"/>
        <v>374238.07</v>
      </c>
      <c r="M115" s="116">
        <f t="shared" si="17"/>
        <v>189080.07</v>
      </c>
      <c r="N115" s="123">
        <f t="shared" si="18"/>
        <v>113.4934393757503</v>
      </c>
      <c r="O115" s="5"/>
      <c r="P115" s="5">
        <f t="shared" si="14"/>
        <v>1</v>
      </c>
      <c r="Q115" s="7">
        <f t="shared" si="15"/>
        <v>1666</v>
      </c>
      <c r="S115" s="124">
        <f>SUM(D115)</f>
        <v>82711953</v>
      </c>
      <c r="T115" s="124">
        <f>SUM(F115)</f>
        <v>37423807</v>
      </c>
      <c r="U115" s="124">
        <f>SUM(J115)</f>
        <v>185158</v>
      </c>
    </row>
    <row r="116" spans="1:21">
      <c r="A116" s="24" t="s">
        <v>545</v>
      </c>
      <c r="B116" s="35" t="s">
        <v>131</v>
      </c>
      <c r="C116" s="36">
        <v>3472</v>
      </c>
      <c r="D116" s="113">
        <v>414082414</v>
      </c>
      <c r="E116" s="116">
        <f t="shared" si="25"/>
        <v>119263.36808755761</v>
      </c>
      <c r="F116" s="117">
        <v>275767150</v>
      </c>
      <c r="G116" s="117">
        <f t="shared" si="26"/>
        <v>79426.022465437782</v>
      </c>
      <c r="H116" s="9"/>
      <c r="I116" s="109">
        <v>3.5914000000000001</v>
      </c>
      <c r="J116" s="117">
        <v>990390</v>
      </c>
      <c r="K116" s="120">
        <f t="shared" si="27"/>
        <v>285.25057603686633</v>
      </c>
      <c r="L116" s="122">
        <f t="shared" si="16"/>
        <v>2757671.5</v>
      </c>
      <c r="M116" s="116">
        <f t="shared" si="17"/>
        <v>1767281.5</v>
      </c>
      <c r="N116" s="123">
        <f t="shared" si="18"/>
        <v>509.00964861751152</v>
      </c>
      <c r="O116" s="5"/>
      <c r="P116" s="5">
        <f t="shared" si="14"/>
        <v>1</v>
      </c>
      <c r="Q116" s="7">
        <f t="shared" si="15"/>
        <v>3472</v>
      </c>
    </row>
    <row r="117" spans="1:21">
      <c r="A117" s="23" t="s">
        <v>132</v>
      </c>
      <c r="B117" s="35" t="s">
        <v>131</v>
      </c>
      <c r="C117" s="36">
        <v>1977</v>
      </c>
      <c r="D117" s="113">
        <v>100829358</v>
      </c>
      <c r="E117" s="116">
        <f t="shared" si="25"/>
        <v>51001.192716236721</v>
      </c>
      <c r="F117" s="117">
        <v>61661312</v>
      </c>
      <c r="G117" s="117">
        <f t="shared" si="26"/>
        <v>31189.333333333332</v>
      </c>
      <c r="H117" s="9"/>
      <c r="I117" s="109">
        <v>6.3308999999999997</v>
      </c>
      <c r="J117" s="117">
        <v>390372</v>
      </c>
      <c r="K117" s="120">
        <f t="shared" si="27"/>
        <v>197.45675265553871</v>
      </c>
      <c r="L117" s="122">
        <f t="shared" si="16"/>
        <v>616613.12</v>
      </c>
      <c r="M117" s="116">
        <f t="shared" si="17"/>
        <v>226241.12</v>
      </c>
      <c r="N117" s="123">
        <f t="shared" si="18"/>
        <v>114.43658067779464</v>
      </c>
      <c r="O117" s="5"/>
      <c r="P117" s="5">
        <f t="shared" si="14"/>
        <v>1</v>
      </c>
      <c r="Q117" s="7">
        <f t="shared" si="15"/>
        <v>1977</v>
      </c>
      <c r="S117" s="124">
        <f>SUM(D116:D117)</f>
        <v>514911772</v>
      </c>
      <c r="T117" s="124">
        <f>SUM(F116:F117)</f>
        <v>337428462</v>
      </c>
      <c r="U117" s="124">
        <f>SUM(J116:J117)</f>
        <v>1380762</v>
      </c>
    </row>
    <row r="118" spans="1:21">
      <c r="A118" s="23" t="s">
        <v>133</v>
      </c>
      <c r="B118" s="35" t="s">
        <v>134</v>
      </c>
      <c r="C118" s="36">
        <v>2970</v>
      </c>
      <c r="D118" s="113">
        <v>97003086</v>
      </c>
      <c r="E118" s="116">
        <f t="shared" si="25"/>
        <v>32660.971717171717</v>
      </c>
      <c r="F118" s="117">
        <v>45187176</v>
      </c>
      <c r="G118" s="117">
        <f t="shared" si="26"/>
        <v>15214.537373737374</v>
      </c>
      <c r="H118" s="7"/>
      <c r="I118" s="109">
        <v>7.1677</v>
      </c>
      <c r="J118" s="117">
        <v>323888</v>
      </c>
      <c r="K118" s="120">
        <f t="shared" si="27"/>
        <v>109.05319865319865</v>
      </c>
      <c r="L118" s="122">
        <f t="shared" si="16"/>
        <v>451871.76</v>
      </c>
      <c r="M118" s="116">
        <f t="shared" si="17"/>
        <v>127983.76000000001</v>
      </c>
      <c r="N118" s="123">
        <f t="shared" si="18"/>
        <v>43.092175084175089</v>
      </c>
      <c r="O118" s="5"/>
      <c r="P118" s="5">
        <f t="shared" si="14"/>
        <v>1</v>
      </c>
      <c r="Q118" s="7">
        <f t="shared" si="15"/>
        <v>2970</v>
      </c>
    </row>
    <row r="119" spans="1:21">
      <c r="A119" s="23" t="s">
        <v>135</v>
      </c>
      <c r="B119" s="35" t="s">
        <v>134</v>
      </c>
      <c r="C119" s="36">
        <v>906</v>
      </c>
      <c r="D119" s="113">
        <v>19407891</v>
      </c>
      <c r="E119" s="116">
        <f t="shared" si="25"/>
        <v>21421.513245033111</v>
      </c>
      <c r="F119" s="117">
        <v>11453753</v>
      </c>
      <c r="G119" s="117">
        <f t="shared" si="26"/>
        <v>12642.111479028697</v>
      </c>
      <c r="H119" s="7"/>
      <c r="I119" s="109">
        <v>2</v>
      </c>
      <c r="J119" s="117">
        <v>22908</v>
      </c>
      <c r="K119" s="120">
        <f t="shared" si="27"/>
        <v>25.284768211920529</v>
      </c>
      <c r="L119" s="122">
        <f t="shared" si="16"/>
        <v>114537.53</v>
      </c>
      <c r="M119" s="116">
        <f t="shared" si="17"/>
        <v>91629.53</v>
      </c>
      <c r="N119" s="123">
        <f t="shared" si="18"/>
        <v>101.13634657836644</v>
      </c>
      <c r="O119" s="5"/>
      <c r="P119" s="5">
        <f t="shared" si="14"/>
        <v>1</v>
      </c>
      <c r="Q119" s="7">
        <f t="shared" si="15"/>
        <v>906</v>
      </c>
    </row>
    <row r="120" spans="1:21">
      <c r="A120" s="23" t="s">
        <v>136</v>
      </c>
      <c r="B120" s="35" t="s">
        <v>134</v>
      </c>
      <c r="C120" s="36">
        <v>770</v>
      </c>
      <c r="D120" s="113">
        <v>33194368</v>
      </c>
      <c r="E120" s="116">
        <f t="shared" si="25"/>
        <v>43109.568831168828</v>
      </c>
      <c r="F120" s="117">
        <v>15743689</v>
      </c>
      <c r="G120" s="117">
        <f t="shared" si="26"/>
        <v>20446.349350649351</v>
      </c>
      <c r="H120" s="7"/>
      <c r="I120" s="109">
        <v>4.2969999999999997</v>
      </c>
      <c r="J120" s="117">
        <v>67651</v>
      </c>
      <c r="K120" s="120">
        <f t="shared" si="27"/>
        <v>87.858441558441555</v>
      </c>
      <c r="L120" s="122">
        <f t="shared" si="16"/>
        <v>157436.89000000001</v>
      </c>
      <c r="M120" s="116">
        <f t="shared" si="17"/>
        <v>89785.890000000014</v>
      </c>
      <c r="N120" s="123">
        <f t="shared" si="18"/>
        <v>116.60505194805197</v>
      </c>
      <c r="O120" s="5"/>
      <c r="P120" s="5">
        <f t="shared" si="14"/>
        <v>1</v>
      </c>
      <c r="Q120" s="7">
        <f t="shared" si="15"/>
        <v>770</v>
      </c>
      <c r="S120" s="124">
        <f>SUM(D118:D120)</f>
        <v>149605345</v>
      </c>
      <c r="T120" s="124">
        <f>SUM(F118:F120)</f>
        <v>72384618</v>
      </c>
      <c r="U120" s="124">
        <f>SUM(J118:J120)</f>
        <v>414447</v>
      </c>
    </row>
    <row r="121" spans="1:21">
      <c r="A121" s="23" t="s">
        <v>137</v>
      </c>
      <c r="B121" s="35" t="s">
        <v>138</v>
      </c>
      <c r="C121" s="36">
        <v>2930</v>
      </c>
      <c r="D121" s="113">
        <v>59587459</v>
      </c>
      <c r="E121" s="116">
        <f t="shared" si="25"/>
        <v>20337.016723549488</v>
      </c>
      <c r="F121" s="117">
        <v>29532447</v>
      </c>
      <c r="G121" s="117">
        <f t="shared" si="26"/>
        <v>10079.333447098976</v>
      </c>
      <c r="H121" s="7"/>
      <c r="I121" s="109">
        <v>7.25</v>
      </c>
      <c r="J121" s="117">
        <v>214110</v>
      </c>
      <c r="K121" s="120">
        <f t="shared" si="27"/>
        <v>73.075085324232077</v>
      </c>
      <c r="L121" s="122">
        <f t="shared" si="16"/>
        <v>295324.47000000003</v>
      </c>
      <c r="M121" s="116">
        <f t="shared" si="17"/>
        <v>81214.47000000003</v>
      </c>
      <c r="N121" s="123">
        <f t="shared" si="18"/>
        <v>27.718249146757689</v>
      </c>
      <c r="O121" s="5"/>
      <c r="P121" s="5">
        <f t="shared" si="14"/>
        <v>1</v>
      </c>
      <c r="Q121" s="7">
        <f t="shared" si="15"/>
        <v>2930</v>
      </c>
    </row>
    <row r="122" spans="1:21">
      <c r="A122" s="23" t="s">
        <v>139</v>
      </c>
      <c r="B122" s="35" t="s">
        <v>138</v>
      </c>
      <c r="C122" s="36">
        <v>5072</v>
      </c>
      <c r="D122" s="113">
        <v>194409943</v>
      </c>
      <c r="E122" s="116">
        <f t="shared" si="25"/>
        <v>38330.036080441641</v>
      </c>
      <c r="F122" s="117">
        <v>102221932</v>
      </c>
      <c r="G122" s="117">
        <f t="shared" si="26"/>
        <v>20154.16640378549</v>
      </c>
      <c r="H122" s="7"/>
      <c r="I122" s="109">
        <v>5.6485000000000003</v>
      </c>
      <c r="J122" s="117">
        <v>577401</v>
      </c>
      <c r="K122" s="120">
        <f t="shared" si="27"/>
        <v>113.84089116719242</v>
      </c>
      <c r="L122" s="122">
        <f t="shared" si="16"/>
        <v>1022219.3200000001</v>
      </c>
      <c r="M122" s="116">
        <f t="shared" si="17"/>
        <v>444818.32000000007</v>
      </c>
      <c r="N122" s="123">
        <f t="shared" si="18"/>
        <v>87.700772870662476</v>
      </c>
      <c r="O122" s="5"/>
      <c r="P122" s="5">
        <f t="shared" si="14"/>
        <v>1</v>
      </c>
      <c r="Q122" s="7">
        <f t="shared" si="15"/>
        <v>5072</v>
      </c>
    </row>
    <row r="123" spans="1:21">
      <c r="A123" s="23" t="s">
        <v>140</v>
      </c>
      <c r="B123" s="35" t="s">
        <v>138</v>
      </c>
      <c r="C123" s="36">
        <v>1810</v>
      </c>
      <c r="D123" s="113">
        <v>46885203</v>
      </c>
      <c r="E123" s="116">
        <f t="shared" si="25"/>
        <v>25903.427071823204</v>
      </c>
      <c r="F123" s="117">
        <v>22770697</v>
      </c>
      <c r="G123" s="117">
        <f t="shared" si="26"/>
        <v>12580.495580110497</v>
      </c>
      <c r="H123" s="7"/>
      <c r="I123" s="109">
        <v>8.5540000000000003</v>
      </c>
      <c r="J123" s="117">
        <v>194781</v>
      </c>
      <c r="K123" s="120">
        <f t="shared" si="27"/>
        <v>107.61381215469613</v>
      </c>
      <c r="L123" s="122">
        <f t="shared" si="16"/>
        <v>227706.97</v>
      </c>
      <c r="M123" s="116">
        <f t="shared" si="17"/>
        <v>32925.97</v>
      </c>
      <c r="N123" s="123">
        <f t="shared" si="18"/>
        <v>18.19114364640884</v>
      </c>
      <c r="O123" s="5"/>
      <c r="P123" s="5">
        <f t="shared" si="14"/>
        <v>1</v>
      </c>
      <c r="Q123" s="7">
        <f t="shared" si="15"/>
        <v>1810</v>
      </c>
      <c r="S123" s="124">
        <f>SUM(D121:D123)</f>
        <v>300882605</v>
      </c>
      <c r="T123" s="124">
        <f>SUM(F121:F123)</f>
        <v>154525076</v>
      </c>
      <c r="U123" s="124">
        <f>SUM(J121:J123)</f>
        <v>986292</v>
      </c>
    </row>
    <row r="124" spans="1:21">
      <c r="A124" s="23" t="s">
        <v>141</v>
      </c>
      <c r="B124" s="35" t="s">
        <v>142</v>
      </c>
      <c r="C124" s="36">
        <v>7215</v>
      </c>
      <c r="D124" s="113">
        <v>418379724</v>
      </c>
      <c r="E124" s="116">
        <f t="shared" si="25"/>
        <v>57987.487733887734</v>
      </c>
      <c r="F124" s="117">
        <v>195467125</v>
      </c>
      <c r="G124" s="117">
        <f t="shared" si="26"/>
        <v>27091.770616770616</v>
      </c>
      <c r="H124" s="7"/>
      <c r="I124" s="109">
        <v>6.2210000000000001</v>
      </c>
      <c r="J124" s="117">
        <v>1216001</v>
      </c>
      <c r="K124" s="120">
        <f t="shared" si="27"/>
        <v>168.53790713790713</v>
      </c>
      <c r="L124" s="122">
        <f t="shared" si="16"/>
        <v>1954671.25</v>
      </c>
      <c r="M124" s="116">
        <f t="shared" si="17"/>
        <v>738670.25</v>
      </c>
      <c r="N124" s="123">
        <f t="shared" si="18"/>
        <v>102.37979902979903</v>
      </c>
      <c r="O124" s="5"/>
      <c r="P124" s="5">
        <f t="shared" si="14"/>
        <v>1</v>
      </c>
      <c r="Q124" s="7">
        <f t="shared" si="15"/>
        <v>7215</v>
      </c>
    </row>
    <row r="125" spans="1:21">
      <c r="A125" s="23" t="s">
        <v>558</v>
      </c>
      <c r="B125" s="35" t="s">
        <v>142</v>
      </c>
      <c r="C125" s="36">
        <v>4629</v>
      </c>
      <c r="D125" s="113">
        <v>342897968</v>
      </c>
      <c r="E125" s="116">
        <f t="shared" si="25"/>
        <v>74076.035428818315</v>
      </c>
      <c r="F125" s="117">
        <v>169555753</v>
      </c>
      <c r="G125" s="117">
        <f t="shared" si="26"/>
        <v>36629.024195290556</v>
      </c>
      <c r="H125" s="7"/>
      <c r="I125" s="109">
        <v>3.1046</v>
      </c>
      <c r="J125" s="117">
        <v>526403</v>
      </c>
      <c r="K125" s="120">
        <f t="shared" si="27"/>
        <v>113.71851371786563</v>
      </c>
      <c r="L125" s="122">
        <f t="shared" si="16"/>
        <v>1695557.53</v>
      </c>
      <c r="M125" s="116">
        <f t="shared" si="17"/>
        <v>1169154.53</v>
      </c>
      <c r="N125" s="123">
        <f t="shared" si="18"/>
        <v>252.57172823503998</v>
      </c>
      <c r="O125" s="5"/>
      <c r="P125" s="5">
        <f t="shared" si="14"/>
        <v>1</v>
      </c>
      <c r="Q125" s="7">
        <f t="shared" si="15"/>
        <v>4629</v>
      </c>
      <c r="S125" s="124">
        <f>SUM(D124:D125)</f>
        <v>761277692</v>
      </c>
      <c r="T125" s="124">
        <f>SUM(F124:F125)</f>
        <v>365022878</v>
      </c>
      <c r="U125" s="124">
        <f>SUM(J124:J125)</f>
        <v>1742404</v>
      </c>
    </row>
    <row r="126" spans="1:21">
      <c r="A126" s="23" t="s">
        <v>143</v>
      </c>
      <c r="B126" s="35" t="s">
        <v>144</v>
      </c>
      <c r="C126" s="36">
        <v>7702</v>
      </c>
      <c r="D126" s="113">
        <v>652624959</v>
      </c>
      <c r="E126" s="116">
        <f t="shared" si="25"/>
        <v>84734.479226175026</v>
      </c>
      <c r="F126" s="117">
        <v>373743243</v>
      </c>
      <c r="G126" s="117">
        <f t="shared" si="26"/>
        <v>48525.479485847834</v>
      </c>
      <c r="H126" s="7"/>
      <c r="I126" s="109">
        <v>6.6</v>
      </c>
      <c r="J126" s="117">
        <v>2466705</v>
      </c>
      <c r="K126" s="120">
        <f t="shared" si="27"/>
        <v>320.26811217865492</v>
      </c>
      <c r="L126" s="122">
        <f t="shared" si="16"/>
        <v>3737432.43</v>
      </c>
      <c r="M126" s="116">
        <f t="shared" si="17"/>
        <v>1270727.4300000002</v>
      </c>
      <c r="N126" s="123">
        <f t="shared" si="18"/>
        <v>164.98668267982345</v>
      </c>
      <c r="O126" s="5"/>
      <c r="P126" s="5">
        <f t="shared" si="14"/>
        <v>1</v>
      </c>
      <c r="Q126" s="7">
        <f t="shared" si="15"/>
        <v>7702</v>
      </c>
    </row>
    <row r="127" spans="1:21">
      <c r="A127" s="23" t="s">
        <v>145</v>
      </c>
      <c r="B127" s="35" t="s">
        <v>144</v>
      </c>
      <c r="C127" s="36">
        <v>5</v>
      </c>
      <c r="D127" s="113">
        <v>50664352</v>
      </c>
      <c r="E127" s="116">
        <f t="shared" si="25"/>
        <v>10132870.4</v>
      </c>
      <c r="F127" s="117">
        <v>19863164</v>
      </c>
      <c r="G127" s="117">
        <f t="shared" si="26"/>
        <v>3972632.8</v>
      </c>
      <c r="H127" s="7"/>
      <c r="I127" s="109">
        <v>2.7136999999999998</v>
      </c>
      <c r="J127" s="117">
        <v>53903</v>
      </c>
      <c r="K127" s="120">
        <f t="shared" si="27"/>
        <v>10780.6</v>
      </c>
      <c r="L127" s="122">
        <f t="shared" si="16"/>
        <v>198631.64</v>
      </c>
      <c r="M127" s="116">
        <f t="shared" si="17"/>
        <v>144728.64000000001</v>
      </c>
      <c r="N127" s="123">
        <f t="shared" si="18"/>
        <v>28945.728000000003</v>
      </c>
      <c r="O127" s="5"/>
      <c r="P127" s="5">
        <f t="shared" si="14"/>
        <v>1</v>
      </c>
      <c r="Q127" s="7">
        <f t="shared" si="15"/>
        <v>5</v>
      </c>
      <c r="S127" s="124">
        <f>SUM(D126:D127)</f>
        <v>703289311</v>
      </c>
      <c r="T127" s="124">
        <f>SUM(F126:F127)</f>
        <v>393606407</v>
      </c>
      <c r="U127" s="124">
        <f>SUM(J126:J127)</f>
        <v>2520608</v>
      </c>
    </row>
    <row r="128" spans="1:21">
      <c r="A128" s="23" t="s">
        <v>146</v>
      </c>
      <c r="B128" s="35" t="s">
        <v>147</v>
      </c>
      <c r="C128" s="36">
        <v>9086</v>
      </c>
      <c r="D128" s="113">
        <v>401297223</v>
      </c>
      <c r="E128" s="116">
        <f t="shared" si="25"/>
        <v>44166.544464010563</v>
      </c>
      <c r="F128" s="117">
        <v>228960864</v>
      </c>
      <c r="G128" s="117">
        <f t="shared" si="26"/>
        <v>25199.302663438255</v>
      </c>
      <c r="H128" s="7"/>
      <c r="I128" s="109">
        <v>3.6</v>
      </c>
      <c r="J128" s="117">
        <v>824259</v>
      </c>
      <c r="K128" s="120">
        <f t="shared" si="27"/>
        <v>90.717477437816427</v>
      </c>
      <c r="L128" s="122">
        <f t="shared" si="16"/>
        <v>2289608.64</v>
      </c>
      <c r="M128" s="116">
        <f t="shared" si="17"/>
        <v>1465349.6400000001</v>
      </c>
      <c r="N128" s="123">
        <f t="shared" si="18"/>
        <v>161.27554919656615</v>
      </c>
      <c r="O128" s="5"/>
      <c r="P128" s="5">
        <f t="shared" si="14"/>
        <v>1</v>
      </c>
      <c r="Q128" s="7">
        <f t="shared" si="15"/>
        <v>9086</v>
      </c>
    </row>
    <row r="129" spans="1:21">
      <c r="A129" s="23" t="s">
        <v>148</v>
      </c>
      <c r="B129" s="35" t="s">
        <v>147</v>
      </c>
      <c r="C129" s="36">
        <v>2268</v>
      </c>
      <c r="D129" s="113">
        <v>238499686</v>
      </c>
      <c r="E129" s="116">
        <f t="shared" si="25"/>
        <v>105158.59171075838</v>
      </c>
      <c r="F129" s="117">
        <v>163638475</v>
      </c>
      <c r="G129" s="117">
        <f t="shared" si="26"/>
        <v>72151.003086419747</v>
      </c>
      <c r="H129" s="7"/>
      <c r="I129" s="109">
        <v>3.65</v>
      </c>
      <c r="J129" s="117">
        <v>597280</v>
      </c>
      <c r="K129" s="120">
        <f t="shared" si="27"/>
        <v>263.35097001763671</v>
      </c>
      <c r="L129" s="122">
        <f t="shared" si="16"/>
        <v>1636384.75</v>
      </c>
      <c r="M129" s="116">
        <f t="shared" si="17"/>
        <v>1039104.75</v>
      </c>
      <c r="N129" s="123">
        <f t="shared" si="18"/>
        <v>458.15906084656086</v>
      </c>
      <c r="O129" s="5"/>
      <c r="P129" s="5">
        <f t="shared" si="14"/>
        <v>1</v>
      </c>
      <c r="Q129" s="7">
        <f t="shared" si="15"/>
        <v>2268</v>
      </c>
    </row>
    <row r="130" spans="1:21">
      <c r="A130" s="23" t="s">
        <v>149</v>
      </c>
      <c r="B130" s="35" t="s">
        <v>147</v>
      </c>
      <c r="C130" s="36">
        <v>10560</v>
      </c>
      <c r="D130" s="113">
        <v>823235550</v>
      </c>
      <c r="E130" s="116">
        <f t="shared" si="25"/>
        <v>77957.911931818177</v>
      </c>
      <c r="F130" s="117">
        <v>580106270</v>
      </c>
      <c r="G130" s="117">
        <f t="shared" si="26"/>
        <v>54934.30587121212</v>
      </c>
      <c r="H130" s="7"/>
      <c r="I130" s="109">
        <v>4.99</v>
      </c>
      <c r="J130" s="117">
        <v>2894730</v>
      </c>
      <c r="K130" s="120">
        <f t="shared" si="27"/>
        <v>274.12215909090907</v>
      </c>
      <c r="L130" s="122">
        <f t="shared" si="16"/>
        <v>5801062.7000000002</v>
      </c>
      <c r="M130" s="116">
        <f t="shared" si="17"/>
        <v>2906332.7</v>
      </c>
      <c r="N130" s="123">
        <f t="shared" si="18"/>
        <v>275.22089962121214</v>
      </c>
      <c r="O130" s="5"/>
      <c r="P130" s="5">
        <f t="shared" si="14"/>
        <v>1</v>
      </c>
      <c r="Q130" s="7">
        <f t="shared" si="15"/>
        <v>10560</v>
      </c>
      <c r="S130" s="124">
        <f>SUM(D128:D130)</f>
        <v>1463032459</v>
      </c>
      <c r="T130" s="124">
        <f>SUM(F128:F130)</f>
        <v>972705609</v>
      </c>
      <c r="U130" s="124">
        <f>SUM(J128:J130)</f>
        <v>4316269</v>
      </c>
    </row>
    <row r="131" spans="1:21">
      <c r="A131" s="23" t="s">
        <v>150</v>
      </c>
      <c r="B131" s="35" t="s">
        <v>151</v>
      </c>
      <c r="C131" s="36">
        <v>34963</v>
      </c>
      <c r="D131" s="113">
        <v>2092356688</v>
      </c>
      <c r="E131" s="116">
        <f t="shared" si="25"/>
        <v>59844.884249063296</v>
      </c>
      <c r="F131" s="117">
        <v>1452611428</v>
      </c>
      <c r="G131" s="117">
        <f t="shared" si="26"/>
        <v>41547.104882304149</v>
      </c>
      <c r="H131" s="7"/>
      <c r="I131" s="109">
        <v>4.7157</v>
      </c>
      <c r="J131" s="117">
        <v>6850080</v>
      </c>
      <c r="K131" s="120">
        <f t="shared" si="27"/>
        <v>195.92369075880217</v>
      </c>
      <c r="L131" s="122">
        <f t="shared" si="16"/>
        <v>14526114.280000001</v>
      </c>
      <c r="M131" s="116">
        <f t="shared" si="17"/>
        <v>7676034.2800000012</v>
      </c>
      <c r="N131" s="123">
        <f t="shared" si="18"/>
        <v>219.54735806423938</v>
      </c>
      <c r="O131" s="5"/>
      <c r="P131" s="5">
        <f t="shared" si="14"/>
        <v>1</v>
      </c>
      <c r="Q131" s="7">
        <f t="shared" si="15"/>
        <v>34963</v>
      </c>
    </row>
    <row r="132" spans="1:21">
      <c r="A132" s="23" t="s">
        <v>152</v>
      </c>
      <c r="B132" s="35" t="s">
        <v>151</v>
      </c>
      <c r="C132" s="36">
        <v>341771</v>
      </c>
      <c r="D132" s="113">
        <v>31103933306</v>
      </c>
      <c r="E132" s="116">
        <f t="shared" si="25"/>
        <v>91008.111589339067</v>
      </c>
      <c r="F132" s="117">
        <v>21122520259</v>
      </c>
      <c r="G132" s="117">
        <f t="shared" si="26"/>
        <v>61803.13794616863</v>
      </c>
      <c r="H132" s="7"/>
      <c r="I132" s="109">
        <v>5.7325999999999997</v>
      </c>
      <c r="J132" s="117">
        <v>121086960</v>
      </c>
      <c r="K132" s="120">
        <f t="shared" si="27"/>
        <v>354.29266965307181</v>
      </c>
      <c r="L132" s="122">
        <f t="shared" si="16"/>
        <v>211225202.59</v>
      </c>
      <c r="M132" s="116">
        <f t="shared" si="17"/>
        <v>90138242.590000004</v>
      </c>
      <c r="N132" s="123">
        <f t="shared" si="18"/>
        <v>263.73870980861454</v>
      </c>
      <c r="O132" s="5"/>
      <c r="P132" s="5">
        <f t="shared" si="14"/>
        <v>1</v>
      </c>
      <c r="Q132" s="7">
        <f t="shared" si="15"/>
        <v>341771</v>
      </c>
    </row>
    <row r="133" spans="1:21">
      <c r="A133" s="23" t="s">
        <v>153</v>
      </c>
      <c r="B133" s="35" t="s">
        <v>151</v>
      </c>
      <c r="C133" s="36">
        <v>24919</v>
      </c>
      <c r="D133" s="113">
        <v>1465311712</v>
      </c>
      <c r="E133" s="116">
        <f t="shared" si="25"/>
        <v>58802.990168144788</v>
      </c>
      <c r="F133" s="117">
        <v>1118879995</v>
      </c>
      <c r="G133" s="117">
        <f t="shared" si="26"/>
        <v>44900.677996709339</v>
      </c>
      <c r="H133" s="9"/>
      <c r="I133" s="109">
        <v>6.43</v>
      </c>
      <c r="J133" s="117">
        <v>7194398</v>
      </c>
      <c r="K133" s="120">
        <f t="shared" si="27"/>
        <v>288.71134475701274</v>
      </c>
      <c r="L133" s="122">
        <f t="shared" si="16"/>
        <v>11188799.950000001</v>
      </c>
      <c r="M133" s="116">
        <f t="shared" si="17"/>
        <v>3994401.9500000011</v>
      </c>
      <c r="N133" s="123">
        <f t="shared" si="18"/>
        <v>160.29543521008071</v>
      </c>
      <c r="O133" s="5"/>
      <c r="P133" s="5">
        <f t="shared" si="14"/>
        <v>1</v>
      </c>
      <c r="Q133" s="7">
        <f t="shared" si="15"/>
        <v>24919</v>
      </c>
      <c r="S133" s="124">
        <f>SUM(D131:D133)</f>
        <v>34661601706</v>
      </c>
      <c r="T133" s="124">
        <f>SUM(F131:F133)</f>
        <v>23694011682</v>
      </c>
      <c r="U133" s="124">
        <f>SUM(J131:J133)</f>
        <v>135131438</v>
      </c>
    </row>
    <row r="134" spans="1:21">
      <c r="A134" s="23" t="s">
        <v>154</v>
      </c>
      <c r="B134" s="35" t="s">
        <v>155</v>
      </c>
      <c r="C134" s="36">
        <v>2705</v>
      </c>
      <c r="D134" s="114" t="s">
        <v>564</v>
      </c>
      <c r="E134" s="116"/>
      <c r="F134" s="117"/>
      <c r="G134" s="117"/>
      <c r="H134" s="98" t="s">
        <v>588</v>
      </c>
      <c r="I134" s="109"/>
      <c r="J134" s="117"/>
      <c r="K134" s="120"/>
      <c r="L134" s="122">
        <f t="shared" si="16"/>
        <v>0</v>
      </c>
      <c r="M134" s="116">
        <f t="shared" si="17"/>
        <v>0</v>
      </c>
      <c r="N134" s="123">
        <f t="shared" si="18"/>
        <v>0</v>
      </c>
      <c r="O134" s="5"/>
      <c r="P134" s="5">
        <f t="shared" ref="P134:P197" si="28">IF(I134&gt;0,1,0)</f>
        <v>0</v>
      </c>
      <c r="Q134" s="7">
        <f t="shared" ref="Q134:Q197" si="29">IF(I134&gt;0,C134,0)</f>
        <v>0</v>
      </c>
    </row>
    <row r="135" spans="1:21">
      <c r="A135" s="23" t="s">
        <v>156</v>
      </c>
      <c r="B135" s="35" t="s">
        <v>155</v>
      </c>
      <c r="C135" s="36">
        <v>364</v>
      </c>
      <c r="D135" s="113">
        <v>10898744</v>
      </c>
      <c r="E135" s="116">
        <f t="shared" si="25"/>
        <v>29941.604395604394</v>
      </c>
      <c r="F135" s="117">
        <v>4866390</v>
      </c>
      <c r="G135" s="117">
        <f t="shared" si="26"/>
        <v>13369.203296703297</v>
      </c>
      <c r="H135" s="7"/>
      <c r="I135" s="111">
        <v>0.49990000000000001</v>
      </c>
      <c r="J135" s="117">
        <v>2433</v>
      </c>
      <c r="K135" s="120">
        <f>(J135/C135)</f>
        <v>6.6840659340659343</v>
      </c>
      <c r="L135" s="122">
        <f t="shared" si="16"/>
        <v>48663.9</v>
      </c>
      <c r="M135" s="116">
        <f t="shared" si="17"/>
        <v>46230.9</v>
      </c>
      <c r="N135" s="123">
        <f t="shared" si="18"/>
        <v>127.00796703296703</v>
      </c>
      <c r="O135" s="5"/>
      <c r="P135" s="5">
        <f t="shared" si="28"/>
        <v>1</v>
      </c>
      <c r="Q135" s="7">
        <f t="shared" si="29"/>
        <v>364</v>
      </c>
    </row>
    <row r="136" spans="1:21">
      <c r="A136" s="23" t="s">
        <v>157</v>
      </c>
      <c r="B136" s="35" t="s">
        <v>155</v>
      </c>
      <c r="C136" s="36">
        <v>194</v>
      </c>
      <c r="D136" s="113">
        <v>4285815</v>
      </c>
      <c r="E136" s="116">
        <f t="shared" si="25"/>
        <v>22091.829896907217</v>
      </c>
      <c r="F136" s="117">
        <v>1791017</v>
      </c>
      <c r="G136" s="117">
        <f t="shared" si="26"/>
        <v>9232.0463917525776</v>
      </c>
      <c r="H136" s="9"/>
      <c r="I136" s="109">
        <v>1.016</v>
      </c>
      <c r="J136" s="117">
        <v>1820</v>
      </c>
      <c r="K136" s="120">
        <f>(J136/C136)</f>
        <v>9.3814432989690726</v>
      </c>
      <c r="L136" s="122">
        <f t="shared" ref="L136:L199" si="30">(F136*0.01)</f>
        <v>17910.170000000002</v>
      </c>
      <c r="M136" s="116">
        <f t="shared" ref="M136:M199" si="31">(L136-J136)</f>
        <v>16090.170000000002</v>
      </c>
      <c r="N136" s="123">
        <f t="shared" ref="N136:N199" si="32">(M136/C136)</f>
        <v>82.939020618556711</v>
      </c>
      <c r="O136" s="5"/>
      <c r="P136" s="5">
        <f t="shared" si="28"/>
        <v>1</v>
      </c>
      <c r="Q136" s="7">
        <f t="shared" si="29"/>
        <v>194</v>
      </c>
    </row>
    <row r="137" spans="1:21">
      <c r="A137" s="23" t="s">
        <v>158</v>
      </c>
      <c r="B137" s="35" t="s">
        <v>155</v>
      </c>
      <c r="C137" s="36">
        <v>556</v>
      </c>
      <c r="D137" s="114" t="s">
        <v>564</v>
      </c>
      <c r="E137" s="116"/>
      <c r="F137" s="117"/>
      <c r="G137" s="117"/>
      <c r="H137" s="98" t="s">
        <v>588</v>
      </c>
      <c r="I137" s="109"/>
      <c r="J137" s="117"/>
      <c r="K137" s="120"/>
      <c r="L137" s="122">
        <f t="shared" si="30"/>
        <v>0</v>
      </c>
      <c r="M137" s="116">
        <f t="shared" si="31"/>
        <v>0</v>
      </c>
      <c r="N137" s="123">
        <f t="shared" si="32"/>
        <v>0</v>
      </c>
      <c r="O137" s="5"/>
      <c r="P137" s="5">
        <f t="shared" si="28"/>
        <v>0</v>
      </c>
      <c r="Q137" s="7">
        <f t="shared" si="29"/>
        <v>0</v>
      </c>
    </row>
    <row r="138" spans="1:21">
      <c r="A138" s="23" t="s">
        <v>159</v>
      </c>
      <c r="B138" s="35" t="s">
        <v>155</v>
      </c>
      <c r="C138" s="36">
        <v>297</v>
      </c>
      <c r="D138" s="114" t="s">
        <v>564</v>
      </c>
      <c r="E138" s="116"/>
      <c r="F138" s="117"/>
      <c r="G138" s="117"/>
      <c r="H138" s="98" t="s">
        <v>588</v>
      </c>
      <c r="I138" s="109"/>
      <c r="J138" s="117"/>
      <c r="K138" s="120"/>
      <c r="L138" s="122">
        <f t="shared" si="30"/>
        <v>0</v>
      </c>
      <c r="M138" s="116">
        <f t="shared" si="31"/>
        <v>0</v>
      </c>
      <c r="N138" s="123">
        <f t="shared" si="32"/>
        <v>0</v>
      </c>
      <c r="O138" s="5"/>
      <c r="P138" s="5">
        <f t="shared" si="28"/>
        <v>0</v>
      </c>
      <c r="Q138" s="7">
        <f t="shared" si="29"/>
        <v>0</v>
      </c>
      <c r="S138" s="124">
        <f>SUM(D134:D138)</f>
        <v>15184559</v>
      </c>
      <c r="T138" s="124">
        <f>SUM(F134:F138)</f>
        <v>6657407</v>
      </c>
      <c r="U138" s="124">
        <f>SUM(J134:J138)</f>
        <v>4253</v>
      </c>
    </row>
    <row r="139" spans="1:21">
      <c r="A139" s="23" t="s">
        <v>160</v>
      </c>
      <c r="B139" s="35" t="s">
        <v>161</v>
      </c>
      <c r="C139" s="36">
        <v>5201</v>
      </c>
      <c r="D139" s="113">
        <v>241971228</v>
      </c>
      <c r="E139" s="116">
        <f t="shared" si="25"/>
        <v>46523.981542011148</v>
      </c>
      <c r="F139" s="117">
        <v>91338081</v>
      </c>
      <c r="G139" s="117">
        <f t="shared" si="26"/>
        <v>17561.638338781002</v>
      </c>
      <c r="H139" s="7"/>
      <c r="I139" s="110">
        <v>5.4999000000000002</v>
      </c>
      <c r="J139" s="117">
        <v>502350</v>
      </c>
      <c r="K139" s="120">
        <f t="shared" ref="K139:K144" si="33">(J139/C139)</f>
        <v>96.587194770236493</v>
      </c>
      <c r="L139" s="122">
        <f t="shared" si="30"/>
        <v>913380.81</v>
      </c>
      <c r="M139" s="116">
        <f t="shared" si="31"/>
        <v>411030.81000000006</v>
      </c>
      <c r="N139" s="123">
        <f t="shared" si="32"/>
        <v>79.029188617573553</v>
      </c>
      <c r="O139" s="5"/>
      <c r="P139" s="5">
        <f t="shared" si="28"/>
        <v>1</v>
      </c>
      <c r="Q139" s="7">
        <f t="shared" si="29"/>
        <v>5201</v>
      </c>
    </row>
    <row r="140" spans="1:21">
      <c r="A140" s="23" t="s">
        <v>162</v>
      </c>
      <c r="B140" s="35" t="s">
        <v>161</v>
      </c>
      <c r="C140" s="36">
        <v>3936</v>
      </c>
      <c r="D140" s="113">
        <v>2634587011</v>
      </c>
      <c r="E140" s="116">
        <f t="shared" si="25"/>
        <v>669356.45604674798</v>
      </c>
      <c r="F140" s="117">
        <v>2364986600</v>
      </c>
      <c r="G140" s="117">
        <f t="shared" si="26"/>
        <v>600860.41666666663</v>
      </c>
      <c r="H140" s="7"/>
      <c r="I140" s="109">
        <v>1.4731000000000001</v>
      </c>
      <c r="J140" s="117">
        <v>3483862</v>
      </c>
      <c r="K140" s="120">
        <f t="shared" si="33"/>
        <v>885.12754065040656</v>
      </c>
      <c r="L140" s="122">
        <f t="shared" si="30"/>
        <v>23649866</v>
      </c>
      <c r="M140" s="116">
        <f t="shared" si="31"/>
        <v>20166004</v>
      </c>
      <c r="N140" s="123">
        <f t="shared" si="32"/>
        <v>5123.4766260162605</v>
      </c>
      <c r="O140" s="5"/>
      <c r="P140" s="5">
        <f t="shared" si="28"/>
        <v>1</v>
      </c>
      <c r="Q140" s="7">
        <f t="shared" si="29"/>
        <v>3936</v>
      </c>
    </row>
    <row r="141" spans="1:21">
      <c r="A141" s="23" t="s">
        <v>163</v>
      </c>
      <c r="B141" s="35" t="s">
        <v>161</v>
      </c>
      <c r="C141" s="36">
        <v>417</v>
      </c>
      <c r="D141" s="113">
        <v>385614727</v>
      </c>
      <c r="E141" s="116">
        <f t="shared" si="25"/>
        <v>924735.55635491607</v>
      </c>
      <c r="F141" s="117">
        <v>370854871</v>
      </c>
      <c r="G141" s="117">
        <f t="shared" si="26"/>
        <v>889340.21822541964</v>
      </c>
      <c r="H141" s="7"/>
      <c r="I141" s="109">
        <v>0.5</v>
      </c>
      <c r="J141" s="117">
        <v>185427</v>
      </c>
      <c r="K141" s="120">
        <f t="shared" si="33"/>
        <v>444.66906474820144</v>
      </c>
      <c r="L141" s="122">
        <f t="shared" si="30"/>
        <v>3708548.71</v>
      </c>
      <c r="M141" s="116">
        <f t="shared" si="31"/>
        <v>3523121.71</v>
      </c>
      <c r="N141" s="123">
        <f t="shared" si="32"/>
        <v>8448.7331175059953</v>
      </c>
      <c r="O141" s="5"/>
      <c r="P141" s="5">
        <f t="shared" si="28"/>
        <v>1</v>
      </c>
      <c r="Q141" s="7">
        <f t="shared" si="29"/>
        <v>417</v>
      </c>
    </row>
    <row r="142" spans="1:21">
      <c r="A142" s="23" t="s">
        <v>164</v>
      </c>
      <c r="B142" s="35" t="s">
        <v>161</v>
      </c>
      <c r="C142" s="36">
        <v>22188</v>
      </c>
      <c r="D142" s="113">
        <v>1271991745</v>
      </c>
      <c r="E142" s="116">
        <f t="shared" si="25"/>
        <v>57327.913511808183</v>
      </c>
      <c r="F142" s="117">
        <v>820699121</v>
      </c>
      <c r="G142" s="117">
        <f t="shared" si="26"/>
        <v>36988.422615828378</v>
      </c>
      <c r="H142" s="7"/>
      <c r="I142" s="109">
        <v>3.7166000000000001</v>
      </c>
      <c r="J142" s="117">
        <v>3050210</v>
      </c>
      <c r="K142" s="120">
        <f t="shared" si="33"/>
        <v>137.47115557959256</v>
      </c>
      <c r="L142" s="122">
        <f t="shared" si="30"/>
        <v>8206991.21</v>
      </c>
      <c r="M142" s="116">
        <f t="shared" si="31"/>
        <v>5156781.21</v>
      </c>
      <c r="N142" s="123">
        <f t="shared" si="32"/>
        <v>232.41307057869119</v>
      </c>
      <c r="O142" s="5"/>
      <c r="P142" s="5">
        <f t="shared" si="28"/>
        <v>1</v>
      </c>
      <c r="Q142" s="7">
        <f t="shared" si="29"/>
        <v>22188</v>
      </c>
    </row>
    <row r="143" spans="1:21">
      <c r="A143" s="23" t="s">
        <v>165</v>
      </c>
      <c r="B143" s="35" t="s">
        <v>161</v>
      </c>
      <c r="C143" s="36">
        <v>15326</v>
      </c>
      <c r="D143" s="113">
        <v>2738209638</v>
      </c>
      <c r="E143" s="116">
        <f t="shared" si="25"/>
        <v>178664.33759624168</v>
      </c>
      <c r="F143" s="117">
        <v>2093253890</v>
      </c>
      <c r="G143" s="117">
        <f t="shared" si="26"/>
        <v>136581.87981208405</v>
      </c>
      <c r="H143" s="7"/>
      <c r="I143" s="109">
        <v>2.0335999999999999</v>
      </c>
      <c r="J143" s="117">
        <v>4256841</v>
      </c>
      <c r="K143" s="120">
        <f t="shared" si="33"/>
        <v>277.75290356257341</v>
      </c>
      <c r="L143" s="122">
        <f t="shared" si="30"/>
        <v>20932538.900000002</v>
      </c>
      <c r="M143" s="116">
        <f t="shared" si="31"/>
        <v>16675697.900000002</v>
      </c>
      <c r="N143" s="123">
        <f t="shared" si="32"/>
        <v>1088.0658945582672</v>
      </c>
      <c r="O143" s="5"/>
      <c r="P143" s="5">
        <f t="shared" si="28"/>
        <v>1</v>
      </c>
      <c r="Q143" s="7">
        <f t="shared" si="29"/>
        <v>15326</v>
      </c>
      <c r="S143" s="124">
        <f>SUM(D139:D143)</f>
        <v>7272374349</v>
      </c>
      <c r="T143" s="124">
        <f>SUM(F139:F143)</f>
        <v>5741132563</v>
      </c>
      <c r="U143" s="124">
        <f>SUM(J139:J143)</f>
        <v>11478690</v>
      </c>
    </row>
    <row r="144" spans="1:21">
      <c r="A144" s="23" t="s">
        <v>166</v>
      </c>
      <c r="B144" s="35" t="s">
        <v>167</v>
      </c>
      <c r="C144" s="36">
        <v>485</v>
      </c>
      <c r="D144" s="113">
        <v>14671041</v>
      </c>
      <c r="E144" s="116">
        <f t="shared" si="25"/>
        <v>30249.569072164948</v>
      </c>
      <c r="F144" s="117">
        <v>8797704</v>
      </c>
      <c r="G144" s="117">
        <f t="shared" si="26"/>
        <v>18139.595876288658</v>
      </c>
      <c r="H144" s="9"/>
      <c r="I144" s="109">
        <v>1.3813</v>
      </c>
      <c r="J144" s="117">
        <v>12152</v>
      </c>
      <c r="K144" s="120">
        <f t="shared" si="33"/>
        <v>25.055670103092783</v>
      </c>
      <c r="L144" s="122">
        <f t="shared" si="30"/>
        <v>87977.040000000008</v>
      </c>
      <c r="M144" s="116">
        <f t="shared" si="31"/>
        <v>75825.040000000008</v>
      </c>
      <c r="N144" s="123">
        <f t="shared" si="32"/>
        <v>156.34028865979383</v>
      </c>
      <c r="O144" s="5"/>
      <c r="P144" s="5">
        <f t="shared" si="28"/>
        <v>1</v>
      </c>
      <c r="Q144" s="7">
        <f t="shared" si="29"/>
        <v>485</v>
      </c>
    </row>
    <row r="145" spans="1:21">
      <c r="A145" s="23" t="s">
        <v>168</v>
      </c>
      <c r="B145" s="35" t="s">
        <v>167</v>
      </c>
      <c r="C145" s="36">
        <v>119</v>
      </c>
      <c r="D145" s="114" t="s">
        <v>564</v>
      </c>
      <c r="E145" s="116"/>
      <c r="F145" s="117"/>
      <c r="G145" s="117"/>
      <c r="H145" s="98" t="s">
        <v>588</v>
      </c>
      <c r="I145" s="109"/>
      <c r="J145" s="117"/>
      <c r="K145" s="120"/>
      <c r="L145" s="122">
        <f t="shared" si="30"/>
        <v>0</v>
      </c>
      <c r="M145" s="116">
        <f t="shared" si="31"/>
        <v>0</v>
      </c>
      <c r="N145" s="123">
        <f t="shared" si="32"/>
        <v>0</v>
      </c>
      <c r="O145" s="5"/>
      <c r="P145" s="5">
        <f t="shared" si="28"/>
        <v>0</v>
      </c>
      <c r="Q145" s="7">
        <f t="shared" si="29"/>
        <v>0</v>
      </c>
    </row>
    <row r="146" spans="1:21">
      <c r="A146" s="23" t="s">
        <v>169</v>
      </c>
      <c r="B146" s="35" t="s">
        <v>167</v>
      </c>
      <c r="C146" s="36">
        <v>225</v>
      </c>
      <c r="D146" s="113">
        <v>13307532</v>
      </c>
      <c r="E146" s="116">
        <f t="shared" si="25"/>
        <v>59144.58666666667</v>
      </c>
      <c r="F146" s="117">
        <v>7697903</v>
      </c>
      <c r="G146" s="117">
        <f t="shared" si="26"/>
        <v>34212.902222222219</v>
      </c>
      <c r="H146" s="7"/>
      <c r="I146" s="111">
        <v>2</v>
      </c>
      <c r="J146" s="117">
        <v>15396</v>
      </c>
      <c r="K146" s="120">
        <f t="shared" ref="K146:K152" si="34">(J146/C146)</f>
        <v>68.426666666666662</v>
      </c>
      <c r="L146" s="122">
        <f t="shared" si="30"/>
        <v>76979.03</v>
      </c>
      <c r="M146" s="116">
        <f t="shared" si="31"/>
        <v>61583.03</v>
      </c>
      <c r="N146" s="123">
        <f t="shared" si="32"/>
        <v>273.70235555555553</v>
      </c>
      <c r="O146" s="5"/>
      <c r="P146" s="5">
        <f t="shared" si="28"/>
        <v>1</v>
      </c>
      <c r="Q146" s="7">
        <f t="shared" si="29"/>
        <v>225</v>
      </c>
    </row>
    <row r="147" spans="1:21">
      <c r="A147" s="23" t="s">
        <v>170</v>
      </c>
      <c r="B147" s="35" t="s">
        <v>167</v>
      </c>
      <c r="C147" s="36">
        <v>909</v>
      </c>
      <c r="D147" s="113">
        <v>31266590</v>
      </c>
      <c r="E147" s="116">
        <f t="shared" si="25"/>
        <v>34396.688668866889</v>
      </c>
      <c r="F147" s="117">
        <v>17204579</v>
      </c>
      <c r="G147" s="117">
        <f t="shared" si="26"/>
        <v>18926.929592959295</v>
      </c>
      <c r="H147" s="7"/>
      <c r="I147" s="109">
        <v>3.8542000000000001</v>
      </c>
      <c r="J147" s="117">
        <v>66310</v>
      </c>
      <c r="K147" s="120">
        <f t="shared" si="34"/>
        <v>72.948294829482947</v>
      </c>
      <c r="L147" s="122">
        <f t="shared" si="30"/>
        <v>172045.79</v>
      </c>
      <c r="M147" s="116">
        <f t="shared" si="31"/>
        <v>105735.79000000001</v>
      </c>
      <c r="N147" s="123">
        <f t="shared" si="32"/>
        <v>116.32100110011002</v>
      </c>
      <c r="O147" s="5"/>
      <c r="P147" s="5">
        <f t="shared" si="28"/>
        <v>1</v>
      </c>
      <c r="Q147" s="7">
        <f t="shared" si="29"/>
        <v>909</v>
      </c>
    </row>
    <row r="148" spans="1:21">
      <c r="A148" s="23" t="s">
        <v>171</v>
      </c>
      <c r="B148" s="35" t="s">
        <v>167</v>
      </c>
      <c r="C148" s="36">
        <v>2225</v>
      </c>
      <c r="D148" s="113">
        <v>113321836</v>
      </c>
      <c r="E148" s="116">
        <f t="shared" si="25"/>
        <v>50931.162247191009</v>
      </c>
      <c r="F148" s="117">
        <v>67625389</v>
      </c>
      <c r="G148" s="117">
        <f t="shared" si="26"/>
        <v>30393.433258426965</v>
      </c>
      <c r="H148" s="9"/>
      <c r="I148" s="109">
        <v>4</v>
      </c>
      <c r="J148" s="117">
        <v>270502</v>
      </c>
      <c r="K148" s="120">
        <f t="shared" si="34"/>
        <v>121.57393258426966</v>
      </c>
      <c r="L148" s="122">
        <f t="shared" si="30"/>
        <v>676253.89</v>
      </c>
      <c r="M148" s="116">
        <f t="shared" si="31"/>
        <v>405751.89</v>
      </c>
      <c r="N148" s="123">
        <f t="shared" si="32"/>
        <v>182.3604</v>
      </c>
      <c r="O148" s="5"/>
      <c r="P148" s="5">
        <f t="shared" si="28"/>
        <v>1</v>
      </c>
      <c r="Q148" s="7">
        <f t="shared" si="29"/>
        <v>2225</v>
      </c>
    </row>
    <row r="149" spans="1:21">
      <c r="A149" s="23" t="s">
        <v>172</v>
      </c>
      <c r="B149" s="35" t="s">
        <v>167</v>
      </c>
      <c r="C149" s="36">
        <v>947</v>
      </c>
      <c r="D149" s="114" t="s">
        <v>564</v>
      </c>
      <c r="E149" s="116"/>
      <c r="F149" s="117"/>
      <c r="G149" s="117"/>
      <c r="H149" s="98" t="s">
        <v>588</v>
      </c>
      <c r="I149" s="109"/>
      <c r="J149" s="117"/>
      <c r="K149" s="120"/>
      <c r="L149" s="122">
        <f t="shared" si="30"/>
        <v>0</v>
      </c>
      <c r="M149" s="116">
        <f t="shared" si="31"/>
        <v>0</v>
      </c>
      <c r="N149" s="123">
        <f t="shared" si="32"/>
        <v>0</v>
      </c>
      <c r="O149" s="5"/>
      <c r="P149" s="5">
        <f t="shared" si="28"/>
        <v>0</v>
      </c>
      <c r="Q149" s="7">
        <f t="shared" si="29"/>
        <v>0</v>
      </c>
    </row>
    <row r="150" spans="1:21">
      <c r="A150" s="23" t="s">
        <v>173</v>
      </c>
      <c r="B150" s="35" t="s">
        <v>167</v>
      </c>
      <c r="C150" s="36">
        <v>674</v>
      </c>
      <c r="D150" s="113">
        <v>23916827</v>
      </c>
      <c r="E150" s="116">
        <f t="shared" si="25"/>
        <v>35484.906528189909</v>
      </c>
      <c r="F150" s="117">
        <v>12634135</v>
      </c>
      <c r="G150" s="117">
        <f t="shared" si="26"/>
        <v>18745.007418397625</v>
      </c>
      <c r="H150" s="7"/>
      <c r="I150" s="110">
        <v>1</v>
      </c>
      <c r="J150" s="117">
        <v>12634</v>
      </c>
      <c r="K150" s="120">
        <f t="shared" si="34"/>
        <v>18.744807121661722</v>
      </c>
      <c r="L150" s="122">
        <f t="shared" si="30"/>
        <v>126341.35</v>
      </c>
      <c r="M150" s="116">
        <f t="shared" si="31"/>
        <v>113707.35</v>
      </c>
      <c r="N150" s="123">
        <f t="shared" si="32"/>
        <v>168.70526706231456</v>
      </c>
      <c r="O150" s="5"/>
      <c r="P150" s="5">
        <f t="shared" si="28"/>
        <v>1</v>
      </c>
      <c r="Q150" s="7">
        <f t="shared" si="29"/>
        <v>674</v>
      </c>
    </row>
    <row r="151" spans="1:21">
      <c r="A151" s="23" t="s">
        <v>508</v>
      </c>
      <c r="B151" s="35" t="s">
        <v>167</v>
      </c>
      <c r="C151" s="36">
        <v>255</v>
      </c>
      <c r="D151" s="113">
        <v>7451854</v>
      </c>
      <c r="E151" s="116">
        <f t="shared" si="25"/>
        <v>29222.956862745097</v>
      </c>
      <c r="F151" s="117">
        <v>3832600</v>
      </c>
      <c r="G151" s="117">
        <f t="shared" si="26"/>
        <v>15029.803921568628</v>
      </c>
      <c r="H151" s="9"/>
      <c r="I151" s="109">
        <v>3</v>
      </c>
      <c r="J151" s="117">
        <v>11498</v>
      </c>
      <c r="K151" s="120">
        <f t="shared" si="34"/>
        <v>45.090196078431376</v>
      </c>
      <c r="L151" s="122">
        <f t="shared" si="30"/>
        <v>38326</v>
      </c>
      <c r="M151" s="116">
        <f t="shared" si="31"/>
        <v>26828</v>
      </c>
      <c r="N151" s="123">
        <f t="shared" si="32"/>
        <v>105.2078431372549</v>
      </c>
      <c r="O151" s="5"/>
      <c r="P151" s="5">
        <f t="shared" si="28"/>
        <v>1</v>
      </c>
      <c r="Q151" s="7">
        <f t="shared" si="29"/>
        <v>255</v>
      </c>
    </row>
    <row r="152" spans="1:21">
      <c r="A152" s="23" t="s">
        <v>175</v>
      </c>
      <c r="B152" s="35" t="s">
        <v>167</v>
      </c>
      <c r="C152" s="36">
        <v>2360</v>
      </c>
      <c r="D152" s="114">
        <v>46271930</v>
      </c>
      <c r="E152" s="116">
        <f t="shared" si="25"/>
        <v>19606.75</v>
      </c>
      <c r="F152" s="117">
        <v>13049952</v>
      </c>
      <c r="G152" s="117">
        <f t="shared" si="26"/>
        <v>5529.640677966102</v>
      </c>
      <c r="H152" s="98"/>
      <c r="I152" s="109">
        <v>0</v>
      </c>
      <c r="J152" s="117">
        <v>0</v>
      </c>
      <c r="K152" s="120">
        <f t="shared" si="34"/>
        <v>0</v>
      </c>
      <c r="L152" s="122">
        <f t="shared" si="30"/>
        <v>130499.52</v>
      </c>
      <c r="M152" s="116">
        <f t="shared" si="31"/>
        <v>130499.52</v>
      </c>
      <c r="N152" s="123">
        <f t="shared" si="32"/>
        <v>55.296406779661019</v>
      </c>
      <c r="O152" s="5"/>
      <c r="P152" s="5">
        <f t="shared" si="28"/>
        <v>0</v>
      </c>
      <c r="Q152" s="7">
        <f t="shared" si="29"/>
        <v>0</v>
      </c>
    </row>
    <row r="153" spans="1:21">
      <c r="A153" s="23" t="s">
        <v>176</v>
      </c>
      <c r="B153" s="35" t="s">
        <v>167</v>
      </c>
      <c r="C153" s="36">
        <v>7604</v>
      </c>
      <c r="D153" s="113">
        <v>455125148</v>
      </c>
      <c r="E153" s="116">
        <f t="shared" si="25"/>
        <v>59853.386112572327</v>
      </c>
      <c r="F153" s="117">
        <v>231344559</v>
      </c>
      <c r="G153" s="117">
        <f t="shared" si="26"/>
        <v>30424.060889005785</v>
      </c>
      <c r="H153" s="7"/>
      <c r="I153" s="110">
        <v>2.8163999999999998</v>
      </c>
      <c r="J153" s="117">
        <v>651559</v>
      </c>
      <c r="K153" s="120">
        <f t="shared" ref="K153:K202" si="35">(J153/C153)</f>
        <v>85.686349289847442</v>
      </c>
      <c r="L153" s="122">
        <f t="shared" si="30"/>
        <v>2313445.59</v>
      </c>
      <c r="M153" s="116">
        <f t="shared" si="31"/>
        <v>1661886.5899999999</v>
      </c>
      <c r="N153" s="123">
        <f t="shared" si="32"/>
        <v>218.5542596002104</v>
      </c>
      <c r="O153" s="5"/>
      <c r="P153" s="5">
        <f t="shared" si="28"/>
        <v>1</v>
      </c>
      <c r="Q153" s="7">
        <f t="shared" si="29"/>
        <v>7604</v>
      </c>
    </row>
    <row r="154" spans="1:21">
      <c r="A154" s="23" t="s">
        <v>177</v>
      </c>
      <c r="B154" s="35" t="s">
        <v>167</v>
      </c>
      <c r="C154" s="36">
        <v>1906</v>
      </c>
      <c r="D154" s="113">
        <v>63110755</v>
      </c>
      <c r="E154" s="116">
        <f t="shared" si="25"/>
        <v>33111.623819517314</v>
      </c>
      <c r="F154" s="117">
        <v>33123960</v>
      </c>
      <c r="G154" s="117">
        <f t="shared" si="26"/>
        <v>17378.782791185728</v>
      </c>
      <c r="H154" s="7"/>
      <c r="I154" s="109">
        <v>0.62190000000000001</v>
      </c>
      <c r="J154" s="117">
        <v>20600</v>
      </c>
      <c r="K154" s="120">
        <f t="shared" si="35"/>
        <v>10.807974816369359</v>
      </c>
      <c r="L154" s="122">
        <f t="shared" si="30"/>
        <v>331239.60000000003</v>
      </c>
      <c r="M154" s="116">
        <f t="shared" si="31"/>
        <v>310639.60000000003</v>
      </c>
      <c r="N154" s="123">
        <f t="shared" si="32"/>
        <v>162.97985309548795</v>
      </c>
      <c r="O154" s="5"/>
      <c r="P154" s="5">
        <f t="shared" si="28"/>
        <v>1</v>
      </c>
      <c r="Q154" s="7">
        <f t="shared" si="29"/>
        <v>1906</v>
      </c>
      <c r="S154" s="124">
        <f>SUM(D144:D154)</f>
        <v>768443513</v>
      </c>
      <c r="T154" s="124">
        <f>SUM(F144:F154)</f>
        <v>395310781</v>
      </c>
      <c r="U154" s="124">
        <f>SUM(J144:J154)</f>
        <v>1060651</v>
      </c>
    </row>
    <row r="155" spans="1:21">
      <c r="A155" s="23" t="s">
        <v>178</v>
      </c>
      <c r="B155" s="35" t="s">
        <v>179</v>
      </c>
      <c r="C155" s="36">
        <v>2444</v>
      </c>
      <c r="D155" s="113">
        <v>150745032</v>
      </c>
      <c r="E155" s="116">
        <f t="shared" si="25"/>
        <v>61679.636661211131</v>
      </c>
      <c r="F155" s="117">
        <v>86621563</v>
      </c>
      <c r="G155" s="117">
        <f t="shared" si="26"/>
        <v>35442.538052373158</v>
      </c>
      <c r="H155" s="7"/>
      <c r="I155" s="109">
        <v>6.16</v>
      </c>
      <c r="J155" s="117">
        <v>533589</v>
      </c>
      <c r="K155" s="120">
        <f t="shared" si="35"/>
        <v>218.32610474631753</v>
      </c>
      <c r="L155" s="122">
        <f t="shared" si="30"/>
        <v>866215.63</v>
      </c>
      <c r="M155" s="116">
        <f t="shared" si="31"/>
        <v>332626.63</v>
      </c>
      <c r="N155" s="123">
        <f t="shared" si="32"/>
        <v>136.09927577741408</v>
      </c>
      <c r="O155" s="5"/>
      <c r="P155" s="5">
        <f t="shared" si="28"/>
        <v>1</v>
      </c>
      <c r="Q155" s="7">
        <f t="shared" si="29"/>
        <v>2444</v>
      </c>
      <c r="S155" s="124">
        <f>SUM(D155)</f>
        <v>150745032</v>
      </c>
      <c r="T155" s="124">
        <f>SUM(F155)</f>
        <v>86621563</v>
      </c>
      <c r="U155" s="124">
        <f>SUM(J155)</f>
        <v>533589</v>
      </c>
    </row>
    <row r="156" spans="1:21">
      <c r="A156" s="23" t="s">
        <v>180</v>
      </c>
      <c r="B156" s="35" t="s">
        <v>181</v>
      </c>
      <c r="C156" s="36">
        <v>1222</v>
      </c>
      <c r="D156" s="113">
        <v>45234310</v>
      </c>
      <c r="E156" s="116">
        <f t="shared" si="25"/>
        <v>37016.620294599015</v>
      </c>
      <c r="F156" s="117">
        <v>22280072</v>
      </c>
      <c r="G156" s="117">
        <f t="shared" si="26"/>
        <v>18232.464811783961</v>
      </c>
      <c r="H156" s="7"/>
      <c r="I156" s="109">
        <v>6.2210999999999999</v>
      </c>
      <c r="J156" s="117">
        <v>138607</v>
      </c>
      <c r="K156" s="120">
        <f t="shared" si="35"/>
        <v>113.42635024549918</v>
      </c>
      <c r="L156" s="122">
        <f t="shared" si="30"/>
        <v>222800.72</v>
      </c>
      <c r="M156" s="116">
        <f t="shared" si="31"/>
        <v>84193.72</v>
      </c>
      <c r="N156" s="123">
        <f t="shared" si="32"/>
        <v>68.898297872340422</v>
      </c>
      <c r="O156" s="5"/>
      <c r="P156" s="5">
        <f t="shared" si="28"/>
        <v>1</v>
      </c>
      <c r="Q156" s="7">
        <f t="shared" si="29"/>
        <v>1222</v>
      </c>
      <c r="S156" s="124">
        <f>SUM(D156)</f>
        <v>45234310</v>
      </c>
      <c r="T156" s="124">
        <f>SUM(F156)</f>
        <v>22280072</v>
      </c>
      <c r="U156" s="124">
        <f>SUM(J156)</f>
        <v>138607</v>
      </c>
    </row>
    <row r="157" spans="1:21">
      <c r="A157" s="23" t="s">
        <v>182</v>
      </c>
      <c r="B157" s="35" t="s">
        <v>183</v>
      </c>
      <c r="C157" s="36">
        <v>1783</v>
      </c>
      <c r="D157" s="114">
        <v>66861224</v>
      </c>
      <c r="E157" s="116">
        <f t="shared" si="25"/>
        <v>37499.284352215371</v>
      </c>
      <c r="F157" s="117">
        <v>46634419</v>
      </c>
      <c r="G157" s="117">
        <f t="shared" si="26"/>
        <v>26155.030286034773</v>
      </c>
      <c r="H157" s="9"/>
      <c r="I157" s="109">
        <v>6.25</v>
      </c>
      <c r="J157" s="117">
        <v>291465</v>
      </c>
      <c r="K157" s="120">
        <f t="shared" si="35"/>
        <v>163.46887268648345</v>
      </c>
      <c r="L157" s="122">
        <f t="shared" si="30"/>
        <v>466344.19</v>
      </c>
      <c r="M157" s="116">
        <f t="shared" si="31"/>
        <v>174879.19</v>
      </c>
      <c r="N157" s="123">
        <f t="shared" si="32"/>
        <v>98.081430173864277</v>
      </c>
      <c r="O157" s="5"/>
      <c r="P157" s="5">
        <f t="shared" si="28"/>
        <v>1</v>
      </c>
      <c r="Q157" s="7">
        <f t="shared" si="29"/>
        <v>1783</v>
      </c>
    </row>
    <row r="158" spans="1:21">
      <c r="A158" s="23" t="s">
        <v>184</v>
      </c>
      <c r="B158" s="35" t="s">
        <v>183</v>
      </c>
      <c r="C158" s="36">
        <v>29827</v>
      </c>
      <c r="D158" s="114">
        <v>2347832991</v>
      </c>
      <c r="E158" s="116">
        <f t="shared" si="25"/>
        <v>78715.022999295936</v>
      </c>
      <c r="F158" s="117">
        <v>1725772867</v>
      </c>
      <c r="G158" s="117">
        <f t="shared" si="26"/>
        <v>57859.4182116874</v>
      </c>
      <c r="H158" s="9"/>
      <c r="I158" s="109">
        <v>3.1419999999999999</v>
      </c>
      <c r="J158" s="117">
        <v>5422378</v>
      </c>
      <c r="K158" s="120">
        <f t="shared" si="35"/>
        <v>181.79428035001843</v>
      </c>
      <c r="L158" s="122">
        <f t="shared" si="30"/>
        <v>17257728.670000002</v>
      </c>
      <c r="M158" s="116">
        <f t="shared" si="31"/>
        <v>11835350.670000002</v>
      </c>
      <c r="N158" s="123">
        <f t="shared" si="32"/>
        <v>396.79990176685561</v>
      </c>
      <c r="O158" s="5"/>
      <c r="P158" s="5">
        <f t="shared" si="28"/>
        <v>1</v>
      </c>
      <c r="Q158" s="7">
        <f t="shared" si="29"/>
        <v>29827</v>
      </c>
    </row>
    <row r="159" spans="1:21">
      <c r="A159" s="23" t="s">
        <v>185</v>
      </c>
      <c r="B159" s="35" t="s">
        <v>183</v>
      </c>
      <c r="C159" s="36">
        <v>18571</v>
      </c>
      <c r="D159" s="113">
        <v>1042894874</v>
      </c>
      <c r="E159" s="116">
        <f t="shared" ref="E159:E221" si="36">(D159/C159)</f>
        <v>56157.173765548432</v>
      </c>
      <c r="F159" s="117">
        <v>726027791</v>
      </c>
      <c r="G159" s="117">
        <f t="shared" ref="G159:G221" si="37">(F159/C159)</f>
        <v>39094.706316299606</v>
      </c>
      <c r="H159" s="7"/>
      <c r="I159" s="109">
        <v>6.7157999999999998</v>
      </c>
      <c r="J159" s="117">
        <v>4875857</v>
      </c>
      <c r="K159" s="120">
        <f t="shared" si="35"/>
        <v>262.55220505088579</v>
      </c>
      <c r="L159" s="122">
        <f t="shared" si="30"/>
        <v>7260277.9100000001</v>
      </c>
      <c r="M159" s="116">
        <f t="shared" si="31"/>
        <v>2384420.91</v>
      </c>
      <c r="N159" s="123">
        <f t="shared" si="32"/>
        <v>128.39485811211028</v>
      </c>
      <c r="O159" s="5"/>
      <c r="P159" s="5">
        <f t="shared" si="28"/>
        <v>1</v>
      </c>
      <c r="Q159" s="7">
        <f t="shared" si="29"/>
        <v>18571</v>
      </c>
    </row>
    <row r="160" spans="1:21">
      <c r="A160" s="23" t="s">
        <v>186</v>
      </c>
      <c r="B160" s="35" t="s">
        <v>183</v>
      </c>
      <c r="C160" s="36">
        <v>4148</v>
      </c>
      <c r="D160" s="113">
        <v>224488460</v>
      </c>
      <c r="E160" s="116">
        <f t="shared" si="36"/>
        <v>54119.686595949854</v>
      </c>
      <c r="F160" s="117">
        <v>158800689</v>
      </c>
      <c r="G160" s="117">
        <f t="shared" si="37"/>
        <v>38283.676229508194</v>
      </c>
      <c r="H160" s="7"/>
      <c r="I160" s="109">
        <v>4.6441999999999997</v>
      </c>
      <c r="J160" s="117">
        <v>737502</v>
      </c>
      <c r="K160" s="120">
        <f t="shared" si="35"/>
        <v>177.79701060752168</v>
      </c>
      <c r="L160" s="122">
        <f t="shared" si="30"/>
        <v>1588006.8900000001</v>
      </c>
      <c r="M160" s="116">
        <f t="shared" si="31"/>
        <v>850504.89000000013</v>
      </c>
      <c r="N160" s="123">
        <f t="shared" si="32"/>
        <v>205.03975168756031</v>
      </c>
      <c r="O160" s="5"/>
      <c r="P160" s="5">
        <f t="shared" si="28"/>
        <v>1</v>
      </c>
      <c r="Q160" s="7">
        <f t="shared" si="29"/>
        <v>4148</v>
      </c>
    </row>
    <row r="161" spans="1:21">
      <c r="A161" s="23" t="s">
        <v>187</v>
      </c>
      <c r="B161" s="35" t="s">
        <v>183</v>
      </c>
      <c r="C161" s="36">
        <v>9060</v>
      </c>
      <c r="D161" s="113">
        <v>494402349</v>
      </c>
      <c r="E161" s="116">
        <f t="shared" si="36"/>
        <v>54569.795695364235</v>
      </c>
      <c r="F161" s="117">
        <v>370543703</v>
      </c>
      <c r="G161" s="117">
        <f t="shared" si="37"/>
        <v>40898.863465783666</v>
      </c>
      <c r="H161" s="7"/>
      <c r="I161" s="109">
        <v>5.6</v>
      </c>
      <c r="J161" s="117">
        <v>2075045</v>
      </c>
      <c r="K161" s="120">
        <f t="shared" si="35"/>
        <v>229.03366445916114</v>
      </c>
      <c r="L161" s="122">
        <f t="shared" si="30"/>
        <v>3705437.0300000003</v>
      </c>
      <c r="M161" s="116">
        <f t="shared" si="31"/>
        <v>1630392.0300000003</v>
      </c>
      <c r="N161" s="123">
        <f t="shared" si="32"/>
        <v>179.95497019867554</v>
      </c>
      <c r="O161" s="5"/>
      <c r="P161" s="5">
        <f t="shared" si="28"/>
        <v>1</v>
      </c>
      <c r="Q161" s="7">
        <f t="shared" si="29"/>
        <v>9060</v>
      </c>
    </row>
    <row r="162" spans="1:21">
      <c r="A162" s="23" t="s">
        <v>188</v>
      </c>
      <c r="B162" s="35" t="s">
        <v>183</v>
      </c>
      <c r="C162" s="36">
        <v>1097</v>
      </c>
      <c r="D162" s="113">
        <v>95334516</v>
      </c>
      <c r="E162" s="116">
        <f t="shared" si="36"/>
        <v>86904.754785779398</v>
      </c>
      <c r="F162" s="117">
        <v>69355277</v>
      </c>
      <c r="G162" s="117">
        <f t="shared" si="37"/>
        <v>63222.677301731994</v>
      </c>
      <c r="H162" s="7"/>
      <c r="I162" s="109">
        <v>8.6965000000000003</v>
      </c>
      <c r="J162" s="117">
        <v>603148</v>
      </c>
      <c r="K162" s="120">
        <f t="shared" si="35"/>
        <v>549.81586144029166</v>
      </c>
      <c r="L162" s="122">
        <f t="shared" si="30"/>
        <v>693552.77</v>
      </c>
      <c r="M162" s="116">
        <f t="shared" si="31"/>
        <v>90404.770000000019</v>
      </c>
      <c r="N162" s="123">
        <f t="shared" si="32"/>
        <v>82.410911577028273</v>
      </c>
      <c r="O162" s="5"/>
      <c r="P162" s="5">
        <f t="shared" si="28"/>
        <v>1</v>
      </c>
      <c r="Q162" s="7">
        <f t="shared" si="29"/>
        <v>1097</v>
      </c>
    </row>
    <row r="163" spans="1:21">
      <c r="A163" s="23" t="s">
        <v>189</v>
      </c>
      <c r="B163" s="35" t="s">
        <v>183</v>
      </c>
      <c r="C163" s="36">
        <v>13909</v>
      </c>
      <c r="D163" s="113">
        <v>1149952168</v>
      </c>
      <c r="E163" s="116">
        <f t="shared" si="36"/>
        <v>82676.840031634187</v>
      </c>
      <c r="F163" s="117">
        <v>785977451</v>
      </c>
      <c r="G163" s="117">
        <f t="shared" si="37"/>
        <v>56508.552088575743</v>
      </c>
      <c r="H163" s="7"/>
      <c r="I163" s="109">
        <v>3.2808000000000002</v>
      </c>
      <c r="J163" s="117">
        <v>2578635</v>
      </c>
      <c r="K163" s="120">
        <f t="shared" si="35"/>
        <v>185.39327054425192</v>
      </c>
      <c r="L163" s="122">
        <f t="shared" si="30"/>
        <v>7859774.5099999998</v>
      </c>
      <c r="M163" s="116">
        <f t="shared" si="31"/>
        <v>5281139.51</v>
      </c>
      <c r="N163" s="123">
        <f t="shared" si="32"/>
        <v>379.69225034150548</v>
      </c>
      <c r="O163" s="5"/>
      <c r="P163" s="5">
        <f t="shared" si="28"/>
        <v>1</v>
      </c>
      <c r="Q163" s="7">
        <f t="shared" si="29"/>
        <v>13909</v>
      </c>
    </row>
    <row r="164" spans="1:21">
      <c r="A164" s="23" t="s">
        <v>190</v>
      </c>
      <c r="B164" s="35" t="s">
        <v>183</v>
      </c>
      <c r="C164" s="36">
        <v>20263</v>
      </c>
      <c r="D164" s="113">
        <v>1579493633</v>
      </c>
      <c r="E164" s="116">
        <f t="shared" si="36"/>
        <v>77949.643833588314</v>
      </c>
      <c r="F164" s="117">
        <v>1117526555</v>
      </c>
      <c r="G164" s="117">
        <f t="shared" si="37"/>
        <v>55151.090904604454</v>
      </c>
      <c r="H164" s="7"/>
      <c r="I164" s="109">
        <v>4.3178999999999998</v>
      </c>
      <c r="J164" s="117">
        <v>4825368</v>
      </c>
      <c r="K164" s="120">
        <f t="shared" si="35"/>
        <v>238.13689976805014</v>
      </c>
      <c r="L164" s="122">
        <f t="shared" si="30"/>
        <v>11175265.550000001</v>
      </c>
      <c r="M164" s="116">
        <f t="shared" si="31"/>
        <v>6349897.5500000007</v>
      </c>
      <c r="N164" s="123">
        <f t="shared" si="32"/>
        <v>313.37400927799439</v>
      </c>
      <c r="O164" s="5"/>
      <c r="P164" s="5">
        <f t="shared" si="28"/>
        <v>1</v>
      </c>
      <c r="Q164" s="7">
        <f t="shared" si="29"/>
        <v>20263</v>
      </c>
    </row>
    <row r="165" spans="1:21">
      <c r="A165" s="23" t="s">
        <v>191</v>
      </c>
      <c r="B165" s="35" t="s">
        <v>183</v>
      </c>
      <c r="C165" s="36">
        <v>5127</v>
      </c>
      <c r="D165" s="113">
        <v>152029179</v>
      </c>
      <c r="E165" s="116">
        <f t="shared" si="36"/>
        <v>29652.65827969573</v>
      </c>
      <c r="F165" s="117">
        <v>92221353</v>
      </c>
      <c r="G165" s="117">
        <f t="shared" si="37"/>
        <v>17987.390871854885</v>
      </c>
      <c r="H165" s="7"/>
      <c r="I165" s="109">
        <v>9.6146999999999991</v>
      </c>
      <c r="J165" s="117">
        <v>886681</v>
      </c>
      <c r="K165" s="120">
        <f t="shared" si="35"/>
        <v>172.94343670762629</v>
      </c>
      <c r="L165" s="122">
        <f t="shared" si="30"/>
        <v>922213.53</v>
      </c>
      <c r="M165" s="116">
        <f t="shared" si="31"/>
        <v>35532.530000000028</v>
      </c>
      <c r="N165" s="123">
        <f t="shared" si="32"/>
        <v>6.9304720109225721</v>
      </c>
      <c r="O165" s="5"/>
      <c r="P165" s="5">
        <f t="shared" si="28"/>
        <v>1</v>
      </c>
      <c r="Q165" s="7">
        <f t="shared" si="29"/>
        <v>5127</v>
      </c>
    </row>
    <row r="166" spans="1:21">
      <c r="A166" s="23" t="s">
        <v>192</v>
      </c>
      <c r="B166" s="35" t="s">
        <v>183</v>
      </c>
      <c r="C166" s="36">
        <v>9562</v>
      </c>
      <c r="D166" s="113">
        <v>449343260</v>
      </c>
      <c r="E166" s="116">
        <f t="shared" si="36"/>
        <v>46992.601966115879</v>
      </c>
      <c r="F166" s="117">
        <v>308787481</v>
      </c>
      <c r="G166" s="117">
        <f t="shared" si="37"/>
        <v>32293.189813846475</v>
      </c>
      <c r="H166" s="7"/>
      <c r="I166" s="109">
        <v>6.3</v>
      </c>
      <c r="J166" s="117">
        <v>1945361</v>
      </c>
      <c r="K166" s="120">
        <f t="shared" si="35"/>
        <v>203.44708220037649</v>
      </c>
      <c r="L166" s="122">
        <f t="shared" si="30"/>
        <v>3087874.81</v>
      </c>
      <c r="M166" s="116">
        <f t="shared" si="31"/>
        <v>1142513.81</v>
      </c>
      <c r="N166" s="123">
        <f t="shared" si="32"/>
        <v>119.48481593808827</v>
      </c>
      <c r="O166" s="5"/>
      <c r="P166" s="5">
        <f t="shared" si="28"/>
        <v>1</v>
      </c>
      <c r="Q166" s="7">
        <f t="shared" si="29"/>
        <v>9562</v>
      </c>
    </row>
    <row r="167" spans="1:21">
      <c r="A167" s="23" t="s">
        <v>193</v>
      </c>
      <c r="B167" s="35" t="s">
        <v>183</v>
      </c>
      <c r="C167" s="36">
        <v>1447</v>
      </c>
      <c r="D167" s="113">
        <v>110436426</v>
      </c>
      <c r="E167" s="116">
        <f t="shared" si="36"/>
        <v>76320.957843814787</v>
      </c>
      <c r="F167" s="117">
        <v>74114218</v>
      </c>
      <c r="G167" s="117">
        <f t="shared" si="37"/>
        <v>51219.22460262612</v>
      </c>
      <c r="H167" s="7"/>
      <c r="I167" s="109">
        <v>2.83</v>
      </c>
      <c r="J167" s="117">
        <v>209743</v>
      </c>
      <c r="K167" s="120">
        <f t="shared" si="35"/>
        <v>144.95024187975122</v>
      </c>
      <c r="L167" s="122">
        <f t="shared" si="30"/>
        <v>741142.18</v>
      </c>
      <c r="M167" s="116">
        <f t="shared" si="31"/>
        <v>531399.18000000005</v>
      </c>
      <c r="N167" s="123">
        <f t="shared" si="32"/>
        <v>367.24200414651006</v>
      </c>
      <c r="O167" s="5"/>
      <c r="P167" s="5">
        <f t="shared" si="28"/>
        <v>1</v>
      </c>
      <c r="Q167" s="7">
        <f t="shared" si="29"/>
        <v>1447</v>
      </c>
    </row>
    <row r="168" spans="1:21">
      <c r="A168" s="23" t="s">
        <v>194</v>
      </c>
      <c r="B168" s="35" t="s">
        <v>183</v>
      </c>
      <c r="C168" s="36">
        <v>12693</v>
      </c>
      <c r="D168" s="113">
        <v>1088473061</v>
      </c>
      <c r="E168" s="116">
        <f t="shared" si="36"/>
        <v>85753.806113605926</v>
      </c>
      <c r="F168" s="117">
        <v>833882478</v>
      </c>
      <c r="G168" s="117">
        <f t="shared" si="37"/>
        <v>65696.248168281731</v>
      </c>
      <c r="H168" s="7"/>
      <c r="I168" s="109">
        <v>5.6666999999999996</v>
      </c>
      <c r="J168" s="117">
        <v>4725362</v>
      </c>
      <c r="K168" s="120">
        <f t="shared" si="35"/>
        <v>372.28094225163477</v>
      </c>
      <c r="L168" s="122">
        <f t="shared" si="30"/>
        <v>8338824.7800000003</v>
      </c>
      <c r="M168" s="116">
        <f t="shared" si="31"/>
        <v>3613462.7800000003</v>
      </c>
      <c r="N168" s="123">
        <f t="shared" si="32"/>
        <v>284.68153943118256</v>
      </c>
      <c r="O168" s="5"/>
      <c r="P168" s="5">
        <f t="shared" si="28"/>
        <v>1</v>
      </c>
      <c r="Q168" s="7">
        <f t="shared" si="29"/>
        <v>12693</v>
      </c>
    </row>
    <row r="169" spans="1:21">
      <c r="A169" s="23" t="s">
        <v>195</v>
      </c>
      <c r="B169" s="35" t="s">
        <v>183</v>
      </c>
      <c r="C169" s="36">
        <v>14054</v>
      </c>
      <c r="D169" s="113">
        <v>1055879616</v>
      </c>
      <c r="E169" s="116">
        <f t="shared" si="36"/>
        <v>75130.184716095057</v>
      </c>
      <c r="F169" s="117">
        <v>592010315</v>
      </c>
      <c r="G169" s="117">
        <f t="shared" si="37"/>
        <v>42123.972890280347</v>
      </c>
      <c r="H169" s="7"/>
      <c r="I169" s="109">
        <v>5.9850000000000003</v>
      </c>
      <c r="J169" s="117">
        <v>3543182</v>
      </c>
      <c r="K169" s="120">
        <f t="shared" si="35"/>
        <v>252.11199658460225</v>
      </c>
      <c r="L169" s="122">
        <f t="shared" si="30"/>
        <v>5920103.1500000004</v>
      </c>
      <c r="M169" s="116">
        <f t="shared" si="31"/>
        <v>2376921.1500000004</v>
      </c>
      <c r="N169" s="123">
        <f t="shared" si="32"/>
        <v>169.12773231820125</v>
      </c>
      <c r="O169" s="5"/>
      <c r="P169" s="5">
        <f t="shared" si="28"/>
        <v>1</v>
      </c>
      <c r="Q169" s="7">
        <f t="shared" si="29"/>
        <v>14054</v>
      </c>
    </row>
    <row r="170" spans="1:21">
      <c r="A170" s="23" t="s">
        <v>196</v>
      </c>
      <c r="B170" s="35" t="s">
        <v>183</v>
      </c>
      <c r="C170" s="36">
        <v>3481</v>
      </c>
      <c r="D170" s="113">
        <v>166776053</v>
      </c>
      <c r="E170" s="116">
        <f t="shared" si="36"/>
        <v>47910.385808675666</v>
      </c>
      <c r="F170" s="117">
        <v>109298959</v>
      </c>
      <c r="G170" s="117">
        <f t="shared" si="37"/>
        <v>31398.724217178973</v>
      </c>
      <c r="H170" s="7"/>
      <c r="I170" s="109">
        <v>8.2479999999999993</v>
      </c>
      <c r="J170" s="117">
        <v>901498</v>
      </c>
      <c r="K170" s="120">
        <f t="shared" si="35"/>
        <v>258.97673082447574</v>
      </c>
      <c r="L170" s="122">
        <f t="shared" si="30"/>
        <v>1092989.5900000001</v>
      </c>
      <c r="M170" s="116">
        <f t="shared" si="31"/>
        <v>191491.59000000008</v>
      </c>
      <c r="N170" s="123">
        <f t="shared" si="32"/>
        <v>55.010511347314015</v>
      </c>
      <c r="O170" s="5"/>
      <c r="P170" s="5">
        <f t="shared" si="28"/>
        <v>1</v>
      </c>
      <c r="Q170" s="7">
        <f t="shared" si="29"/>
        <v>3481</v>
      </c>
      <c r="S170" s="124">
        <f>SUM(D157:D170)</f>
        <v>10024197810</v>
      </c>
      <c r="T170" s="124">
        <f>SUM(F157:F170)</f>
        <v>7010953556</v>
      </c>
      <c r="U170" s="124">
        <f>SUM(J157:J170)</f>
        <v>33621225</v>
      </c>
    </row>
    <row r="171" spans="1:21">
      <c r="A171" s="23" t="s">
        <v>448</v>
      </c>
      <c r="B171" s="35" t="s">
        <v>198</v>
      </c>
      <c r="C171" s="36">
        <v>45072</v>
      </c>
      <c r="D171" s="113">
        <v>7916505615</v>
      </c>
      <c r="E171" s="116">
        <f t="shared" si="36"/>
        <v>175641.32088658147</v>
      </c>
      <c r="F171" s="117">
        <v>6809512386</v>
      </c>
      <c r="G171" s="117">
        <f t="shared" si="37"/>
        <v>151080.76823748669</v>
      </c>
      <c r="H171" s="7"/>
      <c r="I171" s="109">
        <v>0.81730000000000003</v>
      </c>
      <c r="J171" s="117">
        <v>5565414</v>
      </c>
      <c r="K171" s="120">
        <f t="shared" si="35"/>
        <v>123.47830138445154</v>
      </c>
      <c r="L171" s="122">
        <f t="shared" si="30"/>
        <v>68095123.859999999</v>
      </c>
      <c r="M171" s="116">
        <f t="shared" si="31"/>
        <v>62529709.859999999</v>
      </c>
      <c r="N171" s="123">
        <f t="shared" si="32"/>
        <v>1387.3293809904153</v>
      </c>
      <c r="O171" s="5"/>
      <c r="P171" s="5">
        <f t="shared" si="28"/>
        <v>1</v>
      </c>
      <c r="Q171" s="7">
        <f t="shared" si="29"/>
        <v>45072</v>
      </c>
    </row>
    <row r="172" spans="1:21">
      <c r="A172" s="23" t="s">
        <v>197</v>
      </c>
      <c r="B172" s="35" t="s">
        <v>198</v>
      </c>
      <c r="C172" s="36">
        <v>160184</v>
      </c>
      <c r="D172" s="113">
        <v>12451650079</v>
      </c>
      <c r="E172" s="116">
        <f t="shared" si="36"/>
        <v>77733.419561254559</v>
      </c>
      <c r="F172" s="117">
        <v>8903395043</v>
      </c>
      <c r="G172" s="117">
        <f t="shared" si="37"/>
        <v>55582.299374469359</v>
      </c>
      <c r="H172" s="7"/>
      <c r="I172" s="109">
        <v>7.9569999999999999</v>
      </c>
      <c r="J172" s="117">
        <v>70844314</v>
      </c>
      <c r="K172" s="120">
        <f t="shared" si="35"/>
        <v>442.268353893023</v>
      </c>
      <c r="L172" s="122">
        <f t="shared" si="30"/>
        <v>89033950.430000007</v>
      </c>
      <c r="M172" s="116">
        <f t="shared" si="31"/>
        <v>18189636.430000007</v>
      </c>
      <c r="N172" s="123">
        <f t="shared" si="32"/>
        <v>113.55463985167063</v>
      </c>
      <c r="O172" s="5"/>
      <c r="P172" s="5">
        <f t="shared" si="28"/>
        <v>1</v>
      </c>
      <c r="Q172" s="7">
        <f t="shared" si="29"/>
        <v>160184</v>
      </c>
    </row>
    <row r="173" spans="1:21">
      <c r="A173" s="23" t="s">
        <v>199</v>
      </c>
      <c r="B173" s="35" t="s">
        <v>198</v>
      </c>
      <c r="C173" s="36">
        <v>66835</v>
      </c>
      <c r="D173" s="113">
        <v>5687432048</v>
      </c>
      <c r="E173" s="116">
        <f t="shared" si="36"/>
        <v>85096.611775267447</v>
      </c>
      <c r="F173" s="117">
        <v>4065886024</v>
      </c>
      <c r="G173" s="117">
        <f t="shared" si="37"/>
        <v>60834.682785965437</v>
      </c>
      <c r="H173" s="7"/>
      <c r="I173" s="109">
        <v>8.7759999999999998</v>
      </c>
      <c r="J173" s="117">
        <v>35682216</v>
      </c>
      <c r="K173" s="120">
        <f t="shared" si="35"/>
        <v>533.88517992070024</v>
      </c>
      <c r="L173" s="122">
        <f t="shared" si="30"/>
        <v>40658860.240000002</v>
      </c>
      <c r="M173" s="116">
        <f t="shared" si="31"/>
        <v>4976644.2400000021</v>
      </c>
      <c r="N173" s="123">
        <f t="shared" si="32"/>
        <v>74.461647938954172</v>
      </c>
      <c r="O173" s="5"/>
      <c r="P173" s="5">
        <f t="shared" si="28"/>
        <v>1</v>
      </c>
      <c r="Q173" s="7">
        <f t="shared" si="29"/>
        <v>66835</v>
      </c>
    </row>
    <row r="174" spans="1:21">
      <c r="A174" s="23" t="s">
        <v>200</v>
      </c>
      <c r="B174" s="35" t="s">
        <v>198</v>
      </c>
      <c r="C174" s="36">
        <v>6253</v>
      </c>
      <c r="D174" s="113">
        <v>2836091577</v>
      </c>
      <c r="E174" s="116">
        <f t="shared" si="36"/>
        <v>453556.94498640654</v>
      </c>
      <c r="F174" s="117">
        <v>2472045685</v>
      </c>
      <c r="G174" s="117">
        <f t="shared" si="37"/>
        <v>395337.54757716297</v>
      </c>
      <c r="H174" s="7"/>
      <c r="I174" s="109">
        <v>0.76870000000000005</v>
      </c>
      <c r="J174" s="117">
        <v>1900262</v>
      </c>
      <c r="K174" s="120">
        <f t="shared" si="35"/>
        <v>303.89604989604987</v>
      </c>
      <c r="L174" s="122">
        <f t="shared" si="30"/>
        <v>24720456.850000001</v>
      </c>
      <c r="M174" s="116">
        <f t="shared" si="31"/>
        <v>22820194.850000001</v>
      </c>
      <c r="N174" s="123">
        <f t="shared" si="32"/>
        <v>3649.4794258755801</v>
      </c>
      <c r="O174" s="5"/>
      <c r="P174" s="5">
        <f t="shared" si="28"/>
        <v>1</v>
      </c>
      <c r="Q174" s="7">
        <f t="shared" si="29"/>
        <v>6253</v>
      </c>
    </row>
    <row r="175" spans="1:21">
      <c r="A175" s="23" t="s">
        <v>201</v>
      </c>
      <c r="B175" s="35" t="s">
        <v>198</v>
      </c>
      <c r="C175" s="36">
        <v>6489</v>
      </c>
      <c r="D175" s="113">
        <v>4663452449</v>
      </c>
      <c r="E175" s="116">
        <f t="shared" si="36"/>
        <v>718670.43442749267</v>
      </c>
      <c r="F175" s="117">
        <v>4070398782</v>
      </c>
      <c r="G175" s="117">
        <f t="shared" si="37"/>
        <v>627276.74248728622</v>
      </c>
      <c r="H175" s="7"/>
      <c r="I175" s="109">
        <v>2.1</v>
      </c>
      <c r="J175" s="117">
        <v>8547837</v>
      </c>
      <c r="K175" s="120">
        <f t="shared" si="35"/>
        <v>1317.2810910772075</v>
      </c>
      <c r="L175" s="122">
        <f t="shared" si="30"/>
        <v>40703987.82</v>
      </c>
      <c r="M175" s="116">
        <f t="shared" si="31"/>
        <v>32156150.82</v>
      </c>
      <c r="N175" s="123">
        <f t="shared" si="32"/>
        <v>4955.486333795654</v>
      </c>
      <c r="O175" s="5"/>
      <c r="P175" s="5">
        <f t="shared" si="28"/>
        <v>1</v>
      </c>
      <c r="Q175" s="7">
        <f t="shared" si="29"/>
        <v>6489</v>
      </c>
      <c r="S175" s="124">
        <f>SUM(D171:D175)</f>
        <v>33555131768</v>
      </c>
      <c r="T175" s="124">
        <f>SUM(F171:F175)</f>
        <v>26321237920</v>
      </c>
      <c r="U175" s="124">
        <f>SUM(J171:J175)</f>
        <v>122540043</v>
      </c>
    </row>
    <row r="176" spans="1:21">
      <c r="A176" s="23" t="s">
        <v>202</v>
      </c>
      <c r="B176" s="35" t="s">
        <v>203</v>
      </c>
      <c r="C176" s="36">
        <v>183643</v>
      </c>
      <c r="D176" s="113">
        <v>16163157138</v>
      </c>
      <c r="E176" s="116">
        <f t="shared" si="36"/>
        <v>88014.011631262823</v>
      </c>
      <c r="F176" s="117">
        <v>8808227231</v>
      </c>
      <c r="G176" s="117">
        <f t="shared" si="37"/>
        <v>47963.860484744859</v>
      </c>
      <c r="H176" s="7"/>
      <c r="I176" s="109">
        <v>3.7</v>
      </c>
      <c r="J176" s="117">
        <v>32590441</v>
      </c>
      <c r="K176" s="120">
        <f t="shared" si="35"/>
        <v>177.46628512929979</v>
      </c>
      <c r="L176" s="122">
        <f t="shared" si="30"/>
        <v>88082272.310000002</v>
      </c>
      <c r="M176" s="116">
        <f t="shared" si="31"/>
        <v>55491831.310000002</v>
      </c>
      <c r="N176" s="123">
        <f t="shared" si="32"/>
        <v>302.1723197181488</v>
      </c>
      <c r="O176" s="5"/>
      <c r="P176" s="5">
        <f t="shared" si="28"/>
        <v>1</v>
      </c>
      <c r="Q176" s="7">
        <f t="shared" si="29"/>
        <v>183643</v>
      </c>
      <c r="S176" s="124">
        <f>SUM(D176)</f>
        <v>16163157138</v>
      </c>
      <c r="T176" s="124">
        <f>SUM(F176)</f>
        <v>8808227231</v>
      </c>
      <c r="U176" s="124">
        <f>SUM(J176)</f>
        <v>32590441</v>
      </c>
    </row>
    <row r="177" spans="1:21">
      <c r="A177" s="23" t="s">
        <v>204</v>
      </c>
      <c r="B177" s="35" t="s">
        <v>205</v>
      </c>
      <c r="C177" s="36">
        <v>1106</v>
      </c>
      <c r="D177" s="113">
        <v>58929390</v>
      </c>
      <c r="E177" s="116">
        <f t="shared" si="36"/>
        <v>53281.546112115735</v>
      </c>
      <c r="F177" s="117">
        <v>34440116</v>
      </c>
      <c r="G177" s="117">
        <f t="shared" si="37"/>
        <v>31139.345388788428</v>
      </c>
      <c r="H177" s="7"/>
      <c r="I177" s="109">
        <v>3.6575000000000002</v>
      </c>
      <c r="J177" s="117">
        <v>125965</v>
      </c>
      <c r="K177" s="120">
        <f t="shared" si="35"/>
        <v>113.89240506329114</v>
      </c>
      <c r="L177" s="122">
        <f t="shared" si="30"/>
        <v>344401.16000000003</v>
      </c>
      <c r="M177" s="116">
        <f t="shared" si="31"/>
        <v>218436.16000000003</v>
      </c>
      <c r="N177" s="123">
        <f t="shared" si="32"/>
        <v>197.50104882459317</v>
      </c>
      <c r="O177" s="5"/>
      <c r="P177" s="5">
        <f t="shared" si="28"/>
        <v>1</v>
      </c>
      <c r="Q177" s="7">
        <f t="shared" si="29"/>
        <v>1106</v>
      </c>
    </row>
    <row r="178" spans="1:21">
      <c r="A178" s="23" t="s">
        <v>206</v>
      </c>
      <c r="B178" s="35" t="s">
        <v>205</v>
      </c>
      <c r="C178" s="36">
        <v>712</v>
      </c>
      <c r="D178" s="113">
        <v>168961915</v>
      </c>
      <c r="E178" s="116">
        <f t="shared" si="36"/>
        <v>237306.06039325843</v>
      </c>
      <c r="F178" s="117">
        <v>129615334</v>
      </c>
      <c r="G178" s="117">
        <f t="shared" si="37"/>
        <v>182044.00842696629</v>
      </c>
      <c r="H178" s="7"/>
      <c r="I178" s="109">
        <v>4.5</v>
      </c>
      <c r="J178" s="117">
        <v>583269</v>
      </c>
      <c r="K178" s="120">
        <f t="shared" si="35"/>
        <v>819.19803370786519</v>
      </c>
      <c r="L178" s="122">
        <f t="shared" si="30"/>
        <v>1296153.3400000001</v>
      </c>
      <c r="M178" s="116">
        <f t="shared" si="31"/>
        <v>712884.34000000008</v>
      </c>
      <c r="N178" s="123">
        <f t="shared" si="32"/>
        <v>1001.2420505617979</v>
      </c>
      <c r="O178" s="5"/>
      <c r="P178" s="5">
        <f t="shared" si="28"/>
        <v>1</v>
      </c>
      <c r="Q178" s="7">
        <f t="shared" si="29"/>
        <v>712</v>
      </c>
    </row>
    <row r="179" spans="1:21">
      <c r="A179" s="23" t="s">
        <v>207</v>
      </c>
      <c r="B179" s="35" t="s">
        <v>205</v>
      </c>
      <c r="C179" s="36">
        <v>2257</v>
      </c>
      <c r="D179" s="113">
        <v>168206735</v>
      </c>
      <c r="E179" s="116">
        <f t="shared" si="36"/>
        <v>74526.688081524146</v>
      </c>
      <c r="F179" s="117">
        <v>127681134</v>
      </c>
      <c r="G179" s="117">
        <f t="shared" si="37"/>
        <v>56571.171466548512</v>
      </c>
      <c r="H179" s="7"/>
      <c r="I179" s="109">
        <v>4.75</v>
      </c>
      <c r="J179" s="117">
        <v>606485</v>
      </c>
      <c r="K179" s="120">
        <f t="shared" si="35"/>
        <v>268.71289322108993</v>
      </c>
      <c r="L179" s="122">
        <f t="shared" si="30"/>
        <v>1276811.3400000001</v>
      </c>
      <c r="M179" s="116">
        <f t="shared" si="31"/>
        <v>670326.34000000008</v>
      </c>
      <c r="N179" s="123">
        <f t="shared" si="32"/>
        <v>296.99882144439528</v>
      </c>
      <c r="O179" s="5"/>
      <c r="P179" s="5">
        <f t="shared" si="28"/>
        <v>1</v>
      </c>
      <c r="Q179" s="7">
        <f t="shared" si="29"/>
        <v>2257</v>
      </c>
    </row>
    <row r="180" spans="1:21">
      <c r="A180" s="23" t="s">
        <v>208</v>
      </c>
      <c r="B180" s="35" t="s">
        <v>205</v>
      </c>
      <c r="C180" s="36">
        <v>1319</v>
      </c>
      <c r="D180" s="113">
        <v>82560024</v>
      </c>
      <c r="E180" s="116">
        <f t="shared" si="36"/>
        <v>62592.89158453374</v>
      </c>
      <c r="F180" s="117">
        <v>61177876</v>
      </c>
      <c r="G180" s="117">
        <f t="shared" si="37"/>
        <v>46382.013646702049</v>
      </c>
      <c r="H180" s="7"/>
      <c r="I180" s="109">
        <v>5</v>
      </c>
      <c r="J180" s="117">
        <v>305889</v>
      </c>
      <c r="K180" s="120">
        <f t="shared" si="35"/>
        <v>231.90978013646702</v>
      </c>
      <c r="L180" s="122">
        <f t="shared" si="30"/>
        <v>611778.76</v>
      </c>
      <c r="M180" s="116">
        <f t="shared" si="31"/>
        <v>305889.76</v>
      </c>
      <c r="N180" s="123">
        <f t="shared" si="32"/>
        <v>231.91035633055347</v>
      </c>
      <c r="O180" s="5"/>
      <c r="P180" s="5">
        <f t="shared" si="28"/>
        <v>1</v>
      </c>
      <c r="Q180" s="7">
        <f t="shared" si="29"/>
        <v>1319</v>
      </c>
    </row>
    <row r="181" spans="1:21">
      <c r="A181" s="23" t="s">
        <v>209</v>
      </c>
      <c r="B181" s="35" t="s">
        <v>205</v>
      </c>
      <c r="C181" s="36">
        <v>134</v>
      </c>
      <c r="D181" s="113">
        <v>10515593</v>
      </c>
      <c r="E181" s="116">
        <f t="shared" si="36"/>
        <v>78474.574626865666</v>
      </c>
      <c r="F181" s="117">
        <v>7106381</v>
      </c>
      <c r="G181" s="117">
        <f t="shared" si="37"/>
        <v>53032.694029850747</v>
      </c>
      <c r="H181" s="7"/>
      <c r="I181" s="109">
        <v>7.5</v>
      </c>
      <c r="J181" s="117">
        <v>53298</v>
      </c>
      <c r="K181" s="120">
        <f t="shared" si="35"/>
        <v>397.74626865671644</v>
      </c>
      <c r="L181" s="122">
        <f t="shared" si="30"/>
        <v>71063.81</v>
      </c>
      <c r="M181" s="116">
        <f t="shared" si="31"/>
        <v>17765.809999999998</v>
      </c>
      <c r="N181" s="123">
        <f t="shared" si="32"/>
        <v>132.58067164179101</v>
      </c>
      <c r="O181" s="5"/>
      <c r="P181" s="5">
        <f t="shared" si="28"/>
        <v>1</v>
      </c>
      <c r="Q181" s="7">
        <f t="shared" si="29"/>
        <v>134</v>
      </c>
    </row>
    <row r="182" spans="1:21">
      <c r="A182" s="23" t="s">
        <v>210</v>
      </c>
      <c r="B182" s="35" t="s">
        <v>205</v>
      </c>
      <c r="C182" s="36">
        <v>2768</v>
      </c>
      <c r="D182" s="113">
        <v>154452227</v>
      </c>
      <c r="E182" s="116">
        <f t="shared" si="36"/>
        <v>55799.214956647396</v>
      </c>
      <c r="F182" s="117">
        <v>91916789</v>
      </c>
      <c r="G182" s="117">
        <f t="shared" si="37"/>
        <v>33206.932442196528</v>
      </c>
      <c r="H182" s="7"/>
      <c r="I182" s="109">
        <v>5.9024999999999999</v>
      </c>
      <c r="J182" s="117">
        <v>542539</v>
      </c>
      <c r="K182" s="120">
        <f t="shared" si="35"/>
        <v>196.0039739884393</v>
      </c>
      <c r="L182" s="122">
        <f t="shared" si="30"/>
        <v>919167.89</v>
      </c>
      <c r="M182" s="116">
        <f t="shared" si="31"/>
        <v>376628.89</v>
      </c>
      <c r="N182" s="123">
        <f t="shared" si="32"/>
        <v>136.06535043352602</v>
      </c>
      <c r="O182" s="5"/>
      <c r="P182" s="5">
        <f t="shared" si="28"/>
        <v>1</v>
      </c>
      <c r="Q182" s="7">
        <f t="shared" si="29"/>
        <v>2768</v>
      </c>
    </row>
    <row r="183" spans="1:21">
      <c r="A183" s="23" t="s">
        <v>211</v>
      </c>
      <c r="B183" s="35" t="s">
        <v>205</v>
      </c>
      <c r="C183" s="36">
        <v>491</v>
      </c>
      <c r="D183" s="113">
        <v>73510520</v>
      </c>
      <c r="E183" s="116">
        <f t="shared" si="36"/>
        <v>149715.92668024439</v>
      </c>
      <c r="F183" s="117">
        <v>54158214</v>
      </c>
      <c r="G183" s="117">
        <f t="shared" si="37"/>
        <v>110301.86150712831</v>
      </c>
      <c r="H183" s="7"/>
      <c r="I183" s="109">
        <v>2.8986999999999998</v>
      </c>
      <c r="J183" s="117">
        <v>156988</v>
      </c>
      <c r="K183" s="120">
        <f t="shared" si="35"/>
        <v>319.73116089613035</v>
      </c>
      <c r="L183" s="122">
        <f t="shared" si="30"/>
        <v>541582.14</v>
      </c>
      <c r="M183" s="116">
        <f t="shared" si="31"/>
        <v>384594.14</v>
      </c>
      <c r="N183" s="123">
        <f t="shared" si="32"/>
        <v>783.28745417515279</v>
      </c>
      <c r="O183" s="5"/>
      <c r="P183" s="5">
        <f t="shared" si="28"/>
        <v>1</v>
      </c>
      <c r="Q183" s="7">
        <f t="shared" si="29"/>
        <v>491</v>
      </c>
      <c r="S183" s="124">
        <f>SUM(D177:D183)</f>
        <v>717136404</v>
      </c>
      <c r="T183" s="124">
        <f>SUM(F177:F183)</f>
        <v>506095844</v>
      </c>
      <c r="U183" s="124">
        <f>SUM(J177:J183)</f>
        <v>2374433</v>
      </c>
    </row>
    <row r="184" spans="1:21">
      <c r="A184" s="23" t="s">
        <v>212</v>
      </c>
      <c r="B184" s="35" t="s">
        <v>213</v>
      </c>
      <c r="C184" s="36">
        <v>995</v>
      </c>
      <c r="D184" s="113">
        <v>70513938</v>
      </c>
      <c r="E184" s="116">
        <f t="shared" si="36"/>
        <v>70868.27939698493</v>
      </c>
      <c r="F184" s="117">
        <v>18688695</v>
      </c>
      <c r="G184" s="117">
        <f t="shared" si="37"/>
        <v>18782.608040201005</v>
      </c>
      <c r="H184" s="7"/>
      <c r="I184" s="109">
        <v>4.5</v>
      </c>
      <c r="J184" s="117">
        <v>84099</v>
      </c>
      <c r="K184" s="120">
        <f t="shared" si="35"/>
        <v>84.521608040201002</v>
      </c>
      <c r="L184" s="122">
        <f t="shared" si="30"/>
        <v>186886.95</v>
      </c>
      <c r="M184" s="116">
        <f t="shared" si="31"/>
        <v>102787.95000000001</v>
      </c>
      <c r="N184" s="123">
        <f t="shared" si="32"/>
        <v>103.30447236180906</v>
      </c>
      <c r="O184" s="5"/>
      <c r="P184" s="5">
        <f t="shared" si="28"/>
        <v>1</v>
      </c>
      <c r="Q184" s="7">
        <f t="shared" si="29"/>
        <v>995</v>
      </c>
      <c r="S184" s="124">
        <f>SUM(D184)</f>
        <v>70513938</v>
      </c>
      <c r="T184" s="124">
        <f>SUM(F184)</f>
        <v>18688695</v>
      </c>
      <c r="U184" s="124">
        <f>SUM(J184)</f>
        <v>84099</v>
      </c>
    </row>
    <row r="185" spans="1:21">
      <c r="A185" s="23" t="s">
        <v>214</v>
      </c>
      <c r="B185" s="35" t="s">
        <v>215</v>
      </c>
      <c r="C185" s="36">
        <v>814</v>
      </c>
      <c r="D185" s="113">
        <v>18952669</v>
      </c>
      <c r="E185" s="116">
        <f t="shared" si="36"/>
        <v>23283.377149877149</v>
      </c>
      <c r="F185" s="117">
        <v>9981410</v>
      </c>
      <c r="G185" s="117">
        <f t="shared" si="37"/>
        <v>12262.174447174448</v>
      </c>
      <c r="H185" s="7"/>
      <c r="I185" s="109">
        <v>9.2385999999999999</v>
      </c>
      <c r="J185" s="117">
        <v>92214</v>
      </c>
      <c r="K185" s="120">
        <f t="shared" si="35"/>
        <v>113.28501228501229</v>
      </c>
      <c r="L185" s="122">
        <f t="shared" si="30"/>
        <v>99814.1</v>
      </c>
      <c r="M185" s="116">
        <f t="shared" si="31"/>
        <v>7600.1000000000058</v>
      </c>
      <c r="N185" s="123">
        <f t="shared" si="32"/>
        <v>9.3367321867321937</v>
      </c>
      <c r="O185" s="5"/>
      <c r="P185" s="5">
        <f t="shared" si="28"/>
        <v>1</v>
      </c>
      <c r="Q185" s="7">
        <f t="shared" si="29"/>
        <v>814</v>
      </c>
    </row>
    <row r="186" spans="1:21">
      <c r="A186" s="23" t="s">
        <v>198</v>
      </c>
      <c r="B186" s="35" t="s">
        <v>215</v>
      </c>
      <c r="C186" s="36">
        <v>340</v>
      </c>
      <c r="D186" s="113">
        <v>17279908</v>
      </c>
      <c r="E186" s="116">
        <f t="shared" si="36"/>
        <v>50823.25882352941</v>
      </c>
      <c r="F186" s="117">
        <v>6622640</v>
      </c>
      <c r="G186" s="117">
        <f t="shared" si="37"/>
        <v>19478.352941176472</v>
      </c>
      <c r="H186" s="7"/>
      <c r="I186" s="109">
        <v>6.38</v>
      </c>
      <c r="J186" s="117">
        <v>42252</v>
      </c>
      <c r="K186" s="120">
        <f t="shared" si="35"/>
        <v>124.27058823529411</v>
      </c>
      <c r="L186" s="122">
        <f t="shared" si="30"/>
        <v>66226.399999999994</v>
      </c>
      <c r="M186" s="116">
        <f t="shared" si="31"/>
        <v>23974.399999999994</v>
      </c>
      <c r="N186" s="123">
        <f t="shared" si="32"/>
        <v>70.512941176470576</v>
      </c>
      <c r="O186" s="5"/>
      <c r="P186" s="5">
        <f t="shared" si="28"/>
        <v>1</v>
      </c>
      <c r="Q186" s="7">
        <f t="shared" si="29"/>
        <v>340</v>
      </c>
    </row>
    <row r="187" spans="1:21">
      <c r="A187" s="23" t="s">
        <v>215</v>
      </c>
      <c r="B187" s="35" t="s">
        <v>215</v>
      </c>
      <c r="C187" s="36">
        <v>3068</v>
      </c>
      <c r="D187" s="113">
        <v>145086069</v>
      </c>
      <c r="E187" s="116">
        <f t="shared" si="36"/>
        <v>47290.113754889178</v>
      </c>
      <c r="F187" s="117">
        <v>87498600</v>
      </c>
      <c r="G187" s="117">
        <f t="shared" si="37"/>
        <v>28519.752281616689</v>
      </c>
      <c r="H187" s="7"/>
      <c r="I187" s="109">
        <v>6.0484</v>
      </c>
      <c r="J187" s="117">
        <v>529227</v>
      </c>
      <c r="K187" s="120">
        <f t="shared" si="35"/>
        <v>172.4990221642764</v>
      </c>
      <c r="L187" s="122">
        <f t="shared" si="30"/>
        <v>874986</v>
      </c>
      <c r="M187" s="116">
        <f t="shared" si="31"/>
        <v>345759</v>
      </c>
      <c r="N187" s="123">
        <f t="shared" si="32"/>
        <v>112.69850065189048</v>
      </c>
      <c r="O187" s="5"/>
      <c r="P187" s="5">
        <f t="shared" si="28"/>
        <v>1</v>
      </c>
      <c r="Q187" s="7">
        <f t="shared" si="29"/>
        <v>3068</v>
      </c>
      <c r="S187" s="124">
        <f>SUM(D185:D187)</f>
        <v>181318646</v>
      </c>
      <c r="T187" s="124">
        <f>SUM(F185:F187)</f>
        <v>104102650</v>
      </c>
      <c r="U187" s="124">
        <f>SUM(J185:J187)</f>
        <v>663693</v>
      </c>
    </row>
    <row r="188" spans="1:21">
      <c r="A188" s="23" t="s">
        <v>216</v>
      </c>
      <c r="B188" s="35" t="s">
        <v>217</v>
      </c>
      <c r="C188" s="36">
        <v>1521</v>
      </c>
      <c r="D188" s="113">
        <v>709871232</v>
      </c>
      <c r="E188" s="116">
        <f t="shared" si="36"/>
        <v>466713.49901380669</v>
      </c>
      <c r="F188" s="117">
        <v>592280918</v>
      </c>
      <c r="G188" s="117">
        <f t="shared" si="37"/>
        <v>389402.31295200525</v>
      </c>
      <c r="H188" s="7"/>
      <c r="I188" s="109">
        <v>2.0499999999999998</v>
      </c>
      <c r="J188" s="117">
        <v>1214176</v>
      </c>
      <c r="K188" s="120">
        <f t="shared" si="35"/>
        <v>798.27481919789614</v>
      </c>
      <c r="L188" s="122">
        <f t="shared" si="30"/>
        <v>5922809.1799999997</v>
      </c>
      <c r="M188" s="116">
        <f t="shared" si="31"/>
        <v>4708633.18</v>
      </c>
      <c r="N188" s="123">
        <f t="shared" si="32"/>
        <v>3095.7483103221562</v>
      </c>
      <c r="O188" s="5"/>
      <c r="P188" s="5">
        <f t="shared" si="28"/>
        <v>1</v>
      </c>
      <c r="Q188" s="7">
        <f t="shared" si="29"/>
        <v>1521</v>
      </c>
    </row>
    <row r="189" spans="1:21">
      <c r="A189" s="23" t="s">
        <v>218</v>
      </c>
      <c r="B189" s="35" t="s">
        <v>217</v>
      </c>
      <c r="C189" s="36">
        <v>50389</v>
      </c>
      <c r="D189" s="113">
        <v>3251086681</v>
      </c>
      <c r="E189" s="116">
        <f t="shared" si="36"/>
        <v>64519.769810871418</v>
      </c>
      <c r="F189" s="117">
        <v>2428782498</v>
      </c>
      <c r="G189" s="117">
        <f t="shared" si="37"/>
        <v>48200.648911468772</v>
      </c>
      <c r="H189" s="7"/>
      <c r="I189" s="109">
        <v>5.4356</v>
      </c>
      <c r="J189" s="117">
        <v>13201890</v>
      </c>
      <c r="K189" s="120">
        <f t="shared" si="35"/>
        <v>261.99944432316579</v>
      </c>
      <c r="L189" s="122">
        <f t="shared" si="30"/>
        <v>24287824.98</v>
      </c>
      <c r="M189" s="116">
        <f t="shared" si="31"/>
        <v>11085934.98</v>
      </c>
      <c r="N189" s="123">
        <f t="shared" si="32"/>
        <v>220.00704479152196</v>
      </c>
      <c r="O189" s="5"/>
      <c r="P189" s="5">
        <f t="shared" si="28"/>
        <v>1</v>
      </c>
      <c r="Q189" s="7">
        <f t="shared" si="29"/>
        <v>50389</v>
      </c>
    </row>
    <row r="190" spans="1:21">
      <c r="A190" s="23" t="s">
        <v>219</v>
      </c>
      <c r="B190" s="35" t="s">
        <v>217</v>
      </c>
      <c r="C190" s="36">
        <v>1175</v>
      </c>
      <c r="D190" s="113">
        <v>474878058</v>
      </c>
      <c r="E190" s="116">
        <f t="shared" si="36"/>
        <v>404151.53872340423</v>
      </c>
      <c r="F190" s="117">
        <v>394343634</v>
      </c>
      <c r="G190" s="117">
        <f t="shared" si="37"/>
        <v>335611.60340425529</v>
      </c>
      <c r="H190" s="7"/>
      <c r="I190" s="109">
        <v>2.3329</v>
      </c>
      <c r="J190" s="117">
        <v>919964</v>
      </c>
      <c r="K190" s="120">
        <f t="shared" si="35"/>
        <v>782.94808510638302</v>
      </c>
      <c r="L190" s="122">
        <f t="shared" si="30"/>
        <v>3943436.34</v>
      </c>
      <c r="M190" s="116">
        <f t="shared" si="31"/>
        <v>3023472.34</v>
      </c>
      <c r="N190" s="123">
        <f t="shared" si="32"/>
        <v>2573.16794893617</v>
      </c>
      <c r="O190" s="5"/>
      <c r="P190" s="5">
        <f t="shared" si="28"/>
        <v>1</v>
      </c>
      <c r="Q190" s="7">
        <f t="shared" si="29"/>
        <v>1175</v>
      </c>
    </row>
    <row r="191" spans="1:21">
      <c r="A191" s="23" t="s">
        <v>220</v>
      </c>
      <c r="B191" s="35" t="s">
        <v>217</v>
      </c>
      <c r="C191" s="36">
        <v>3858</v>
      </c>
      <c r="D191" s="113">
        <v>1434774927</v>
      </c>
      <c r="E191" s="116">
        <f t="shared" si="36"/>
        <v>371896.04121306376</v>
      </c>
      <c r="F191" s="117">
        <v>1236838415</v>
      </c>
      <c r="G191" s="117">
        <f t="shared" si="37"/>
        <v>320590.56894764124</v>
      </c>
      <c r="H191" s="7"/>
      <c r="I191" s="109">
        <v>1.75</v>
      </c>
      <c r="J191" s="117">
        <v>2164467</v>
      </c>
      <c r="K191" s="120">
        <f t="shared" si="35"/>
        <v>561.03343701399695</v>
      </c>
      <c r="L191" s="122">
        <f t="shared" si="30"/>
        <v>12368384.15</v>
      </c>
      <c r="M191" s="116">
        <f t="shared" si="31"/>
        <v>10203917.15</v>
      </c>
      <c r="N191" s="123">
        <f t="shared" si="32"/>
        <v>2644.8722524624159</v>
      </c>
      <c r="O191" s="5"/>
      <c r="P191" s="5">
        <f t="shared" si="28"/>
        <v>1</v>
      </c>
      <c r="Q191" s="7">
        <f t="shared" si="29"/>
        <v>3858</v>
      </c>
    </row>
    <row r="192" spans="1:21">
      <c r="A192" s="23" t="s">
        <v>221</v>
      </c>
      <c r="B192" s="35" t="s">
        <v>217</v>
      </c>
      <c r="C192" s="36">
        <v>12755</v>
      </c>
      <c r="D192" s="113">
        <v>881680759</v>
      </c>
      <c r="E192" s="116">
        <f t="shared" si="36"/>
        <v>69124.324500196002</v>
      </c>
      <c r="F192" s="117">
        <v>651204104</v>
      </c>
      <c r="G192" s="117">
        <f t="shared" si="37"/>
        <v>51054.810192081539</v>
      </c>
      <c r="H192" s="7"/>
      <c r="I192" s="109">
        <v>5.2171000000000003</v>
      </c>
      <c r="J192" s="117">
        <v>3397397</v>
      </c>
      <c r="K192" s="120">
        <f t="shared" si="35"/>
        <v>266.35805566444532</v>
      </c>
      <c r="L192" s="122">
        <f t="shared" si="30"/>
        <v>6512041.04</v>
      </c>
      <c r="M192" s="116">
        <f t="shared" si="31"/>
        <v>3114644.04</v>
      </c>
      <c r="N192" s="123">
        <f t="shared" si="32"/>
        <v>244.19004625637007</v>
      </c>
      <c r="O192" s="5"/>
      <c r="P192" s="5">
        <f t="shared" si="28"/>
        <v>1</v>
      </c>
      <c r="Q192" s="7">
        <f t="shared" si="29"/>
        <v>12755</v>
      </c>
    </row>
    <row r="193" spans="1:21">
      <c r="A193" s="23" t="s">
        <v>478</v>
      </c>
      <c r="B193" s="35" t="s">
        <v>222</v>
      </c>
      <c r="C193" s="36">
        <v>6878</v>
      </c>
      <c r="D193" s="113">
        <f>(1419956137+3578258408)</f>
        <v>4998214545</v>
      </c>
      <c r="E193" s="116">
        <f t="shared" si="36"/>
        <v>726695.92105263157</v>
      </c>
      <c r="F193" s="117">
        <f>(1276173127+3301413064)</f>
        <v>4577586191</v>
      </c>
      <c r="G193" s="117">
        <f t="shared" si="37"/>
        <v>665540.30110497237</v>
      </c>
      <c r="H193" s="7"/>
      <c r="I193" s="109">
        <v>1.8872</v>
      </c>
      <c r="J193" s="117">
        <f>(2408394+6230427)</f>
        <v>8638821</v>
      </c>
      <c r="K193" s="120">
        <f t="shared" si="35"/>
        <v>1256.0077057284095</v>
      </c>
      <c r="L193" s="122">
        <f t="shared" si="30"/>
        <v>45775861.910000004</v>
      </c>
      <c r="M193" s="116">
        <f t="shared" si="31"/>
        <v>37137040.910000004</v>
      </c>
      <c r="N193" s="123">
        <f t="shared" si="32"/>
        <v>5399.3953053213145</v>
      </c>
      <c r="O193" s="5"/>
      <c r="P193" s="5">
        <f t="shared" si="28"/>
        <v>1</v>
      </c>
      <c r="Q193" s="7">
        <f t="shared" si="29"/>
        <v>6878</v>
      </c>
      <c r="S193" s="124">
        <f>SUM(D188:D193)</f>
        <v>11750506202</v>
      </c>
      <c r="T193" s="124">
        <f>SUM(F188:F193)</f>
        <v>9881035760</v>
      </c>
      <c r="U193" s="124">
        <f>SUM(J188:J193)</f>
        <v>29536715</v>
      </c>
    </row>
    <row r="194" spans="1:21">
      <c r="A194" s="23" t="s">
        <v>223</v>
      </c>
      <c r="B194" s="35" t="s">
        <v>224</v>
      </c>
      <c r="C194" s="36">
        <v>4551</v>
      </c>
      <c r="D194" s="113">
        <v>251616725</v>
      </c>
      <c r="E194" s="116">
        <f t="shared" si="36"/>
        <v>55288.227862008353</v>
      </c>
      <c r="F194" s="117">
        <v>180887385</v>
      </c>
      <c r="G194" s="117">
        <f t="shared" si="37"/>
        <v>39746.733684904415</v>
      </c>
      <c r="H194" s="7"/>
      <c r="I194" s="109">
        <v>3.9912000000000001</v>
      </c>
      <c r="J194" s="117">
        <v>721958</v>
      </c>
      <c r="K194" s="120">
        <f t="shared" si="35"/>
        <v>158.63722258844211</v>
      </c>
      <c r="L194" s="122">
        <f t="shared" si="30"/>
        <v>1808873.85</v>
      </c>
      <c r="M194" s="116">
        <f t="shared" si="31"/>
        <v>1086915.8500000001</v>
      </c>
      <c r="N194" s="123">
        <f t="shared" si="32"/>
        <v>238.83011426060207</v>
      </c>
      <c r="O194" s="5"/>
      <c r="P194" s="5">
        <f t="shared" si="28"/>
        <v>1</v>
      </c>
      <c r="Q194" s="7">
        <f t="shared" si="29"/>
        <v>4551</v>
      </c>
    </row>
    <row r="195" spans="1:21">
      <c r="A195" s="23" t="s">
        <v>225</v>
      </c>
      <c r="B195" s="35" t="s">
        <v>224</v>
      </c>
      <c r="C195" s="36">
        <v>1740</v>
      </c>
      <c r="D195" s="113">
        <v>196648221</v>
      </c>
      <c r="E195" s="116">
        <f t="shared" si="36"/>
        <v>113016.21896551724</v>
      </c>
      <c r="F195" s="117">
        <v>131575849</v>
      </c>
      <c r="G195" s="117">
        <f t="shared" si="37"/>
        <v>75618.304022988508</v>
      </c>
      <c r="H195" s="7"/>
      <c r="I195" s="109">
        <v>6.8013000000000003</v>
      </c>
      <c r="J195" s="117">
        <v>894887</v>
      </c>
      <c r="K195" s="120">
        <f t="shared" si="35"/>
        <v>514.30287356321844</v>
      </c>
      <c r="L195" s="122">
        <f t="shared" si="30"/>
        <v>1315758.49</v>
      </c>
      <c r="M195" s="116">
        <f t="shared" si="31"/>
        <v>420871.49</v>
      </c>
      <c r="N195" s="123">
        <f t="shared" si="32"/>
        <v>241.88016666666667</v>
      </c>
      <c r="O195" s="5"/>
      <c r="P195" s="5">
        <f t="shared" si="28"/>
        <v>1</v>
      </c>
      <c r="Q195" s="7">
        <f t="shared" si="29"/>
        <v>1740</v>
      </c>
    </row>
    <row r="196" spans="1:21">
      <c r="A196" s="23" t="s">
        <v>226</v>
      </c>
      <c r="B196" s="35" t="s">
        <v>224</v>
      </c>
      <c r="C196" s="36">
        <v>455</v>
      </c>
      <c r="D196" s="113">
        <v>26297272</v>
      </c>
      <c r="E196" s="116">
        <f t="shared" si="36"/>
        <v>57796.202197802195</v>
      </c>
      <c r="F196" s="117">
        <v>15404349</v>
      </c>
      <c r="G196" s="117">
        <f t="shared" si="37"/>
        <v>33855.712087912085</v>
      </c>
      <c r="H196" s="7"/>
      <c r="I196" s="109">
        <v>2.5546000000000002</v>
      </c>
      <c r="J196" s="117">
        <v>39352</v>
      </c>
      <c r="K196" s="120">
        <f t="shared" si="35"/>
        <v>86.487912087912093</v>
      </c>
      <c r="L196" s="122">
        <f t="shared" si="30"/>
        <v>154043.49</v>
      </c>
      <c r="M196" s="116">
        <f t="shared" si="31"/>
        <v>114691.48999999999</v>
      </c>
      <c r="N196" s="123">
        <f t="shared" si="32"/>
        <v>252.06920879120878</v>
      </c>
      <c r="O196" s="5"/>
      <c r="P196" s="5">
        <f t="shared" si="28"/>
        <v>1</v>
      </c>
      <c r="Q196" s="7">
        <f t="shared" si="29"/>
        <v>455</v>
      </c>
    </row>
    <row r="197" spans="1:21">
      <c r="A197" s="23" t="s">
        <v>227</v>
      </c>
      <c r="B197" s="35" t="s">
        <v>224</v>
      </c>
      <c r="C197" s="36">
        <v>57041</v>
      </c>
      <c r="D197" s="113">
        <v>4830861828</v>
      </c>
      <c r="E197" s="116">
        <f t="shared" si="36"/>
        <v>84691.043775529877</v>
      </c>
      <c r="F197" s="117">
        <v>3534918843</v>
      </c>
      <c r="G197" s="117">
        <f t="shared" si="37"/>
        <v>61971.544029732999</v>
      </c>
      <c r="H197" s="9"/>
      <c r="I197" s="109">
        <v>6.1501999999999999</v>
      </c>
      <c r="J197" s="117">
        <v>21740458</v>
      </c>
      <c r="K197" s="120">
        <f t="shared" si="35"/>
        <v>381.1373924019565</v>
      </c>
      <c r="L197" s="122">
        <f t="shared" si="30"/>
        <v>35349188.43</v>
      </c>
      <c r="M197" s="116">
        <f t="shared" si="31"/>
        <v>13608730.43</v>
      </c>
      <c r="N197" s="123">
        <f t="shared" si="32"/>
        <v>238.57804789537349</v>
      </c>
      <c r="O197" s="5"/>
      <c r="P197" s="5">
        <f t="shared" si="28"/>
        <v>1</v>
      </c>
      <c r="Q197" s="7">
        <f t="shared" si="29"/>
        <v>57041</v>
      </c>
    </row>
    <row r="198" spans="1:21">
      <c r="A198" s="23" t="s">
        <v>228</v>
      </c>
      <c r="B198" s="35" t="s">
        <v>224</v>
      </c>
      <c r="C198" s="36">
        <v>516</v>
      </c>
      <c r="D198" s="114" t="s">
        <v>564</v>
      </c>
      <c r="E198" s="116"/>
      <c r="F198" s="117"/>
      <c r="G198" s="117"/>
      <c r="H198" s="98" t="s">
        <v>588</v>
      </c>
      <c r="I198" s="109"/>
      <c r="J198" s="117"/>
      <c r="K198" s="120"/>
      <c r="L198" s="122">
        <f t="shared" si="30"/>
        <v>0</v>
      </c>
      <c r="M198" s="116">
        <f t="shared" si="31"/>
        <v>0</v>
      </c>
      <c r="N198" s="123">
        <f t="shared" si="32"/>
        <v>0</v>
      </c>
      <c r="O198" s="5"/>
      <c r="P198" s="5">
        <f t="shared" ref="P198:P260" si="38">IF(I198&gt;0,1,0)</f>
        <v>0</v>
      </c>
      <c r="Q198" s="7">
        <f t="shared" ref="Q198:Q260" si="39">IF(I198&gt;0,C198,0)</f>
        <v>0</v>
      </c>
      <c r="S198" s="124">
        <f>SUM(D194:D198)</f>
        <v>5305424046</v>
      </c>
      <c r="T198" s="124">
        <f>SUM(F194:F198)</f>
        <v>3862786426</v>
      </c>
      <c r="U198" s="124">
        <f>SUM(J194:J198)</f>
        <v>23396655</v>
      </c>
    </row>
    <row r="199" spans="1:21">
      <c r="A199" s="23" t="s">
        <v>229</v>
      </c>
      <c r="B199" s="35" t="s">
        <v>230</v>
      </c>
      <c r="C199" s="36">
        <v>817</v>
      </c>
      <c r="D199" s="113">
        <v>2294416213</v>
      </c>
      <c r="E199" s="116">
        <f t="shared" si="36"/>
        <v>2808342.9779681764</v>
      </c>
      <c r="F199" s="117">
        <v>1916990937</v>
      </c>
      <c r="G199" s="117">
        <f t="shared" si="37"/>
        <v>2346378.135862913</v>
      </c>
      <c r="H199" s="9"/>
      <c r="I199" s="109">
        <v>2.7621000000000002</v>
      </c>
      <c r="J199" s="117">
        <v>5294921</v>
      </c>
      <c r="K199" s="120">
        <f t="shared" si="35"/>
        <v>6480.9314565483473</v>
      </c>
      <c r="L199" s="122">
        <f t="shared" si="30"/>
        <v>19169909.370000001</v>
      </c>
      <c r="M199" s="116">
        <f t="shared" si="31"/>
        <v>13874988.370000001</v>
      </c>
      <c r="N199" s="123">
        <f t="shared" si="32"/>
        <v>16982.849902080783</v>
      </c>
      <c r="O199" s="5"/>
      <c r="P199" s="5">
        <f t="shared" si="38"/>
        <v>1</v>
      </c>
      <c r="Q199" s="7">
        <f t="shared" si="39"/>
        <v>817</v>
      </c>
    </row>
    <row r="200" spans="1:21">
      <c r="A200" s="24" t="s">
        <v>582</v>
      </c>
      <c r="B200" s="35" t="s">
        <v>230</v>
      </c>
      <c r="C200" s="36">
        <v>324</v>
      </c>
      <c r="D200" s="113">
        <v>27347212</v>
      </c>
      <c r="E200" s="116">
        <f t="shared" si="36"/>
        <v>84404.975308641981</v>
      </c>
      <c r="F200" s="117">
        <v>25333097</v>
      </c>
      <c r="G200" s="117">
        <f t="shared" si="37"/>
        <v>78188.570987654326</v>
      </c>
      <c r="H200" s="9"/>
      <c r="I200" s="110">
        <v>4.7910000000000004</v>
      </c>
      <c r="J200" s="117">
        <v>121371</v>
      </c>
      <c r="K200" s="120">
        <f t="shared" si="35"/>
        <v>374.60185185185185</v>
      </c>
      <c r="L200" s="122">
        <f t="shared" ref="L200:L262" si="40">(F200*0.01)</f>
        <v>253330.97</v>
      </c>
      <c r="M200" s="116">
        <f t="shared" ref="M200:M262" si="41">(L200-J200)</f>
        <v>131959.97</v>
      </c>
      <c r="N200" s="123">
        <f t="shared" ref="N200:N262" si="42">(M200/C200)</f>
        <v>407.28385802469137</v>
      </c>
      <c r="O200" s="5"/>
      <c r="P200" s="5">
        <f t="shared" si="38"/>
        <v>1</v>
      </c>
      <c r="Q200" s="7">
        <f t="shared" si="39"/>
        <v>324</v>
      </c>
    </row>
    <row r="201" spans="1:21">
      <c r="A201" s="23" t="s">
        <v>446</v>
      </c>
      <c r="B201" s="35" t="s">
        <v>230</v>
      </c>
      <c r="C201" s="36">
        <v>2005</v>
      </c>
      <c r="D201" s="113">
        <v>696493464</v>
      </c>
      <c r="E201" s="116">
        <f t="shared" si="36"/>
        <v>347378.28628428926</v>
      </c>
      <c r="F201" s="117">
        <v>574477594</v>
      </c>
      <c r="G201" s="117">
        <f t="shared" si="37"/>
        <v>286522.49077306734</v>
      </c>
      <c r="H201" s="9"/>
      <c r="I201" s="109">
        <v>2.2896000000000001</v>
      </c>
      <c r="J201" s="117">
        <v>1315324</v>
      </c>
      <c r="K201" s="120">
        <f t="shared" si="35"/>
        <v>656.0219451371571</v>
      </c>
      <c r="L201" s="122">
        <f t="shared" si="40"/>
        <v>5744775.9400000004</v>
      </c>
      <c r="M201" s="116">
        <f t="shared" si="41"/>
        <v>4429451.9400000004</v>
      </c>
      <c r="N201" s="123">
        <f t="shared" si="42"/>
        <v>2209.2029625935165</v>
      </c>
      <c r="O201" s="5"/>
      <c r="P201" s="5">
        <f t="shared" si="38"/>
        <v>1</v>
      </c>
      <c r="Q201" s="7">
        <f t="shared" si="39"/>
        <v>2005</v>
      </c>
    </row>
    <row r="202" spans="1:21">
      <c r="A202" s="24" t="s">
        <v>231</v>
      </c>
      <c r="B202" s="37" t="s">
        <v>230</v>
      </c>
      <c r="C202" s="36">
        <v>15725</v>
      </c>
      <c r="D202" s="113">
        <v>2161185869</v>
      </c>
      <c r="E202" s="116">
        <f t="shared" si="36"/>
        <v>137436.30327503974</v>
      </c>
      <c r="F202" s="117">
        <v>1499414601</v>
      </c>
      <c r="G202" s="117">
        <f t="shared" si="37"/>
        <v>95352.27987281399</v>
      </c>
      <c r="H202" s="9"/>
      <c r="I202" s="109">
        <v>4.5523999999999996</v>
      </c>
      <c r="J202" s="117">
        <v>6825935</v>
      </c>
      <c r="K202" s="120">
        <f t="shared" si="35"/>
        <v>434.08171701112877</v>
      </c>
      <c r="L202" s="122">
        <f t="shared" si="40"/>
        <v>14994146.01</v>
      </c>
      <c r="M202" s="116">
        <f t="shared" si="41"/>
        <v>8168211.0099999998</v>
      </c>
      <c r="N202" s="123">
        <f t="shared" si="42"/>
        <v>519.44108171701112</v>
      </c>
      <c r="O202" s="5"/>
      <c r="P202" s="5">
        <f t="shared" si="38"/>
        <v>1</v>
      </c>
      <c r="Q202" s="7">
        <f t="shared" si="39"/>
        <v>15725</v>
      </c>
      <c r="S202" s="124">
        <f>SUM(D199:D202)</f>
        <v>5179442758</v>
      </c>
      <c r="T202" s="124">
        <f>SUM(F199:F202)</f>
        <v>4016216229</v>
      </c>
      <c r="U202" s="124">
        <f>SUM(J199:J202)</f>
        <v>13557551</v>
      </c>
    </row>
    <row r="203" spans="1:21">
      <c r="A203" s="23" t="s">
        <v>232</v>
      </c>
      <c r="B203" s="37" t="s">
        <v>233</v>
      </c>
      <c r="C203" s="36">
        <v>37239</v>
      </c>
      <c r="D203" s="113">
        <v>8503406304</v>
      </c>
      <c r="E203" s="116">
        <f t="shared" si="36"/>
        <v>228346.79513413357</v>
      </c>
      <c r="F203" s="117">
        <v>7497609805</v>
      </c>
      <c r="G203" s="117">
        <f t="shared" si="37"/>
        <v>201337.57096055211</v>
      </c>
      <c r="H203" s="9"/>
      <c r="I203" s="110">
        <v>1.7261</v>
      </c>
      <c r="J203" s="117">
        <v>12941624</v>
      </c>
      <c r="K203" s="120">
        <f t="shared" ref="K203:K216" si="43">(J203/C203)</f>
        <v>347.52877359757241</v>
      </c>
      <c r="L203" s="122">
        <f t="shared" si="40"/>
        <v>74976098.049999997</v>
      </c>
      <c r="M203" s="116">
        <f t="shared" si="41"/>
        <v>62034474.049999997</v>
      </c>
      <c r="N203" s="123">
        <f t="shared" si="42"/>
        <v>1665.8469360079487</v>
      </c>
      <c r="O203" s="5"/>
      <c r="P203" s="5">
        <f t="shared" si="38"/>
        <v>1</v>
      </c>
      <c r="Q203" s="7">
        <f t="shared" si="39"/>
        <v>37239</v>
      </c>
    </row>
    <row r="204" spans="1:21">
      <c r="A204" s="23" t="s">
        <v>234</v>
      </c>
      <c r="B204" s="37" t="s">
        <v>233</v>
      </c>
      <c r="C204" s="36">
        <v>2976</v>
      </c>
      <c r="D204" s="113">
        <v>3516477999</v>
      </c>
      <c r="E204" s="116">
        <f t="shared" si="36"/>
        <v>1181612.2308467743</v>
      </c>
      <c r="F204" s="117">
        <v>3168240285</v>
      </c>
      <c r="G204" s="117">
        <f t="shared" si="37"/>
        <v>1064596.8699596773</v>
      </c>
      <c r="H204" s="9"/>
      <c r="I204" s="109">
        <v>2.2677999999999998</v>
      </c>
      <c r="J204" s="117">
        <v>7184935</v>
      </c>
      <c r="K204" s="120">
        <f t="shared" si="43"/>
        <v>2414.2926747311826</v>
      </c>
      <c r="L204" s="122">
        <f t="shared" si="40"/>
        <v>31682402.850000001</v>
      </c>
      <c r="M204" s="116">
        <f t="shared" si="41"/>
        <v>24497467.850000001</v>
      </c>
      <c r="N204" s="123">
        <f t="shared" si="42"/>
        <v>8231.6760248655919</v>
      </c>
      <c r="O204" s="5"/>
      <c r="P204" s="5">
        <f t="shared" si="38"/>
        <v>1</v>
      </c>
      <c r="Q204" s="7">
        <f t="shared" si="39"/>
        <v>2976</v>
      </c>
    </row>
    <row r="205" spans="1:21">
      <c r="A205" s="23" t="s">
        <v>235</v>
      </c>
      <c r="B205" s="37" t="s">
        <v>233</v>
      </c>
      <c r="C205" s="36">
        <v>5755</v>
      </c>
      <c r="D205" s="113">
        <v>765612513</v>
      </c>
      <c r="E205" s="116">
        <f t="shared" si="36"/>
        <v>133034.32024326673</v>
      </c>
      <c r="F205" s="117">
        <v>578878752</v>
      </c>
      <c r="G205" s="117">
        <f t="shared" si="37"/>
        <v>100587.09852302345</v>
      </c>
      <c r="H205" s="9"/>
      <c r="I205" s="109">
        <v>5.2971000000000004</v>
      </c>
      <c r="J205" s="117">
        <v>3066379</v>
      </c>
      <c r="K205" s="120">
        <f t="shared" si="43"/>
        <v>532.81998262380534</v>
      </c>
      <c r="L205" s="122">
        <f t="shared" si="40"/>
        <v>5788787.5200000005</v>
      </c>
      <c r="M205" s="116">
        <f t="shared" si="41"/>
        <v>2722408.5200000005</v>
      </c>
      <c r="N205" s="123">
        <f t="shared" si="42"/>
        <v>473.05100260642928</v>
      </c>
      <c r="O205" s="5"/>
      <c r="P205" s="5">
        <f t="shared" si="38"/>
        <v>1</v>
      </c>
      <c r="Q205" s="7">
        <f t="shared" si="39"/>
        <v>5755</v>
      </c>
    </row>
    <row r="206" spans="1:21">
      <c r="A206" s="23" t="s">
        <v>236</v>
      </c>
      <c r="B206" s="37" t="s">
        <v>233</v>
      </c>
      <c r="C206" s="36">
        <v>3099</v>
      </c>
      <c r="D206" s="113">
        <v>199584221</v>
      </c>
      <c r="E206" s="116">
        <f t="shared" si="36"/>
        <v>64402.78186511778</v>
      </c>
      <c r="F206" s="117">
        <v>129665872</v>
      </c>
      <c r="G206" s="117">
        <f t="shared" si="37"/>
        <v>41841.197805743788</v>
      </c>
      <c r="H206" s="9"/>
      <c r="I206" s="109">
        <v>9.5</v>
      </c>
      <c r="J206" s="117">
        <v>1231826</v>
      </c>
      <c r="K206" s="120">
        <f t="shared" si="43"/>
        <v>397.49144885446918</v>
      </c>
      <c r="L206" s="122">
        <f t="shared" si="40"/>
        <v>1296658.72</v>
      </c>
      <c r="M206" s="116">
        <f t="shared" si="41"/>
        <v>64832.719999999972</v>
      </c>
      <c r="N206" s="123">
        <f t="shared" si="42"/>
        <v>20.920529202968691</v>
      </c>
      <c r="O206" s="5"/>
      <c r="P206" s="5">
        <f t="shared" si="38"/>
        <v>1</v>
      </c>
      <c r="Q206" s="7">
        <f t="shared" si="39"/>
        <v>3099</v>
      </c>
    </row>
    <row r="207" spans="1:21">
      <c r="A207" s="23" t="s">
        <v>237</v>
      </c>
      <c r="B207" s="37" t="s">
        <v>233</v>
      </c>
      <c r="C207" s="36">
        <v>47885</v>
      </c>
      <c r="D207" s="113">
        <v>15453056079</v>
      </c>
      <c r="E207" s="116">
        <f t="shared" si="36"/>
        <v>322711.83207685081</v>
      </c>
      <c r="F207" s="117">
        <v>11982679568</v>
      </c>
      <c r="G207" s="117">
        <f t="shared" si="37"/>
        <v>250238.68785632245</v>
      </c>
      <c r="H207" s="9"/>
      <c r="I207" s="109">
        <v>5.6689999999999996</v>
      </c>
      <c r="J207" s="117">
        <v>67929810</v>
      </c>
      <c r="K207" s="120">
        <f t="shared" si="43"/>
        <v>1418.6031116215934</v>
      </c>
      <c r="L207" s="122">
        <f t="shared" si="40"/>
        <v>119826795.68000001</v>
      </c>
      <c r="M207" s="116">
        <f t="shared" si="41"/>
        <v>51896985.680000007</v>
      </c>
      <c r="N207" s="123">
        <f t="shared" si="42"/>
        <v>1083.783766941631</v>
      </c>
      <c r="O207" s="5"/>
      <c r="P207" s="5">
        <f t="shared" si="38"/>
        <v>1</v>
      </c>
      <c r="Q207" s="7">
        <f t="shared" si="39"/>
        <v>47885</v>
      </c>
    </row>
    <row r="208" spans="1:21">
      <c r="A208" s="23" t="s">
        <v>524</v>
      </c>
      <c r="B208" s="37" t="s">
        <v>233</v>
      </c>
      <c r="C208" s="36">
        <v>41441</v>
      </c>
      <c r="D208" s="113">
        <v>2490027692</v>
      </c>
      <c r="E208" s="116">
        <f t="shared" si="36"/>
        <v>60086.090876185423</v>
      </c>
      <c r="F208" s="117">
        <v>1700971641</v>
      </c>
      <c r="G208" s="117">
        <f t="shared" si="37"/>
        <v>41045.622475326367</v>
      </c>
      <c r="H208" s="9"/>
      <c r="I208" s="109">
        <v>2.5701999999999998</v>
      </c>
      <c r="J208" s="117">
        <v>4371837</v>
      </c>
      <c r="K208" s="120">
        <f t="shared" si="43"/>
        <v>105.49545136459062</v>
      </c>
      <c r="L208" s="122">
        <f t="shared" si="40"/>
        <v>17009716.41</v>
      </c>
      <c r="M208" s="116">
        <f t="shared" si="41"/>
        <v>12637879.41</v>
      </c>
      <c r="N208" s="123">
        <f t="shared" si="42"/>
        <v>304.96077338867303</v>
      </c>
      <c r="O208" s="5"/>
      <c r="P208" s="5">
        <f t="shared" si="38"/>
        <v>1</v>
      </c>
      <c r="Q208" s="7">
        <f t="shared" si="39"/>
        <v>41441</v>
      </c>
    </row>
    <row r="209" spans="1:17">
      <c r="A209" s="23" t="s">
        <v>501</v>
      </c>
      <c r="B209" s="37" t="s">
        <v>233</v>
      </c>
      <c r="C209" s="36">
        <v>47534</v>
      </c>
      <c r="D209" s="113">
        <v>10333967794</v>
      </c>
      <c r="E209" s="116">
        <f t="shared" si="36"/>
        <v>217401.60293684521</v>
      </c>
      <c r="F209" s="117">
        <v>8662721054</v>
      </c>
      <c r="G209" s="117">
        <f t="shared" si="37"/>
        <v>182242.62746665545</v>
      </c>
      <c r="H209" s="9"/>
      <c r="I209" s="109">
        <v>2.2214999999999998</v>
      </c>
      <c r="J209" s="117">
        <v>19244235</v>
      </c>
      <c r="K209" s="120">
        <f t="shared" si="43"/>
        <v>404.85200067320233</v>
      </c>
      <c r="L209" s="122">
        <f t="shared" si="40"/>
        <v>86627210.540000007</v>
      </c>
      <c r="M209" s="116">
        <f t="shared" si="41"/>
        <v>67382975.540000007</v>
      </c>
      <c r="N209" s="123">
        <f t="shared" si="42"/>
        <v>1417.5742739933523</v>
      </c>
      <c r="O209" s="5"/>
      <c r="P209" s="5">
        <f t="shared" si="38"/>
        <v>1</v>
      </c>
      <c r="Q209" s="7">
        <f t="shared" si="39"/>
        <v>47534</v>
      </c>
    </row>
    <row r="210" spans="1:17">
      <c r="A210" s="23" t="s">
        <v>238</v>
      </c>
      <c r="B210" s="37" t="s">
        <v>233</v>
      </c>
      <c r="C210" s="36">
        <v>2361</v>
      </c>
      <c r="D210" s="113">
        <v>140304642</v>
      </c>
      <c r="E210" s="116">
        <f t="shared" si="36"/>
        <v>59425.939008894537</v>
      </c>
      <c r="F210" s="117">
        <v>85849948</v>
      </c>
      <c r="G210" s="117">
        <f t="shared" si="37"/>
        <v>36361.689114781875</v>
      </c>
      <c r="H210" s="9"/>
      <c r="I210" s="109">
        <v>8.3000000000000007</v>
      </c>
      <c r="J210" s="117">
        <v>712555</v>
      </c>
      <c r="K210" s="120">
        <f t="shared" si="43"/>
        <v>301.8022024565862</v>
      </c>
      <c r="L210" s="122">
        <f t="shared" si="40"/>
        <v>858499.48</v>
      </c>
      <c r="M210" s="116">
        <f t="shared" si="41"/>
        <v>145944.47999999998</v>
      </c>
      <c r="N210" s="123">
        <f t="shared" si="42"/>
        <v>61.814688691232519</v>
      </c>
      <c r="O210" s="5"/>
      <c r="P210" s="5">
        <f t="shared" si="38"/>
        <v>1</v>
      </c>
      <c r="Q210" s="7">
        <f t="shared" si="39"/>
        <v>2361</v>
      </c>
    </row>
    <row r="211" spans="1:17">
      <c r="A211" s="23" t="s">
        <v>239</v>
      </c>
      <c r="B211" s="37" t="s">
        <v>233</v>
      </c>
      <c r="C211" s="36">
        <v>11850</v>
      </c>
      <c r="D211" s="113">
        <v>625632043</v>
      </c>
      <c r="E211" s="116">
        <f t="shared" si="36"/>
        <v>52795.952995780593</v>
      </c>
      <c r="F211" s="117">
        <v>435387577</v>
      </c>
      <c r="G211" s="117">
        <f t="shared" si="37"/>
        <v>36741.567679324893</v>
      </c>
      <c r="H211" s="9"/>
      <c r="I211" s="109">
        <v>7.75</v>
      </c>
      <c r="J211" s="117">
        <v>3374254</v>
      </c>
      <c r="K211" s="120">
        <f t="shared" si="43"/>
        <v>284.7471729957806</v>
      </c>
      <c r="L211" s="122">
        <f t="shared" si="40"/>
        <v>4353875.7700000005</v>
      </c>
      <c r="M211" s="116">
        <f t="shared" si="41"/>
        <v>979621.77000000048</v>
      </c>
      <c r="N211" s="123">
        <f t="shared" si="42"/>
        <v>82.668503797468389</v>
      </c>
      <c r="O211" s="5"/>
      <c r="P211" s="5">
        <f t="shared" si="38"/>
        <v>1</v>
      </c>
      <c r="Q211" s="7">
        <f t="shared" si="39"/>
        <v>11850</v>
      </c>
    </row>
    <row r="212" spans="1:17">
      <c r="A212" s="23" t="s">
        <v>240</v>
      </c>
      <c r="B212" s="37" t="s">
        <v>233</v>
      </c>
      <c r="C212" s="36">
        <v>924</v>
      </c>
      <c r="D212" s="113">
        <v>777749446</v>
      </c>
      <c r="E212" s="116">
        <f t="shared" si="36"/>
        <v>841720.1796536796</v>
      </c>
      <c r="F212" s="117">
        <v>635089332</v>
      </c>
      <c r="G212" s="117">
        <f t="shared" si="37"/>
        <v>687326.11688311689</v>
      </c>
      <c r="H212" s="9"/>
      <c r="I212" s="109">
        <v>6.9950000000000001</v>
      </c>
      <c r="J212" s="117">
        <v>4442450</v>
      </c>
      <c r="K212" s="120">
        <f t="shared" si="43"/>
        <v>4807.8463203463207</v>
      </c>
      <c r="L212" s="122">
        <f t="shared" si="40"/>
        <v>6350893.3200000003</v>
      </c>
      <c r="M212" s="116">
        <f t="shared" si="41"/>
        <v>1908443.3200000003</v>
      </c>
      <c r="N212" s="123">
        <f t="shared" si="42"/>
        <v>2065.4148484848488</v>
      </c>
      <c r="O212" s="5"/>
      <c r="P212" s="5">
        <f t="shared" si="38"/>
        <v>1</v>
      </c>
      <c r="Q212" s="7">
        <f t="shared" si="39"/>
        <v>924</v>
      </c>
    </row>
    <row r="213" spans="1:17">
      <c r="A213" s="23" t="s">
        <v>241</v>
      </c>
      <c r="B213" s="37" t="s">
        <v>233</v>
      </c>
      <c r="C213" s="36">
        <v>227395</v>
      </c>
      <c r="D213" s="113">
        <v>10531423870</v>
      </c>
      <c r="E213" s="116">
        <f t="shared" si="36"/>
        <v>46313.348446535761</v>
      </c>
      <c r="F213" s="117">
        <v>7190267861</v>
      </c>
      <c r="G213" s="117">
        <f t="shared" si="37"/>
        <v>31620.166938587041</v>
      </c>
      <c r="H213" s="9"/>
      <c r="I213" s="109">
        <v>6.3018000000000001</v>
      </c>
      <c r="J213" s="117">
        <v>45311630</v>
      </c>
      <c r="K213" s="120">
        <f t="shared" si="43"/>
        <v>199.26396798522396</v>
      </c>
      <c r="L213" s="122">
        <f t="shared" si="40"/>
        <v>71902678.609999999</v>
      </c>
      <c r="M213" s="116">
        <f t="shared" si="41"/>
        <v>26591048.609999999</v>
      </c>
      <c r="N213" s="123">
        <f t="shared" si="42"/>
        <v>116.93770140064645</v>
      </c>
      <c r="O213" s="5"/>
      <c r="P213" s="5">
        <f t="shared" si="38"/>
        <v>1</v>
      </c>
      <c r="Q213" s="7">
        <f t="shared" si="39"/>
        <v>227395</v>
      </c>
    </row>
    <row r="214" spans="1:17">
      <c r="A214" s="23" t="s">
        <v>242</v>
      </c>
      <c r="B214" s="37" t="s">
        <v>233</v>
      </c>
      <c r="C214" s="36">
        <v>21957</v>
      </c>
      <c r="D214" s="113">
        <v>1418610015</v>
      </c>
      <c r="E214" s="116">
        <f t="shared" si="36"/>
        <v>64608.553764175434</v>
      </c>
      <c r="F214" s="117">
        <v>905334774</v>
      </c>
      <c r="G214" s="117">
        <f t="shared" si="37"/>
        <v>41232.170788359064</v>
      </c>
      <c r="H214" s="9"/>
      <c r="I214" s="109">
        <v>5.3811999999999998</v>
      </c>
      <c r="J214" s="117">
        <v>4871787</v>
      </c>
      <c r="K214" s="120">
        <f t="shared" si="43"/>
        <v>221.87853531903266</v>
      </c>
      <c r="L214" s="122">
        <f t="shared" si="40"/>
        <v>9053347.7400000002</v>
      </c>
      <c r="M214" s="116">
        <f t="shared" si="41"/>
        <v>4181560.74</v>
      </c>
      <c r="N214" s="123">
        <f t="shared" si="42"/>
        <v>190.44317256455801</v>
      </c>
      <c r="O214" s="5"/>
      <c r="P214" s="5">
        <f t="shared" si="38"/>
        <v>1</v>
      </c>
      <c r="Q214" s="7">
        <f t="shared" si="39"/>
        <v>21957</v>
      </c>
    </row>
    <row r="215" spans="1:17">
      <c r="A215" s="23" t="s">
        <v>243</v>
      </c>
      <c r="B215" s="37" t="s">
        <v>233</v>
      </c>
      <c r="C215" s="36">
        <v>63290</v>
      </c>
      <c r="D215" s="113">
        <v>2697193583</v>
      </c>
      <c r="E215" s="116">
        <f t="shared" si="36"/>
        <v>42616.425707062728</v>
      </c>
      <c r="F215" s="117">
        <v>1798381421</v>
      </c>
      <c r="G215" s="117">
        <f t="shared" si="37"/>
        <v>28414.937920682572</v>
      </c>
      <c r="H215" s="9"/>
      <c r="I215" s="109">
        <v>6.2916999999999996</v>
      </c>
      <c r="J215" s="117">
        <v>11314876</v>
      </c>
      <c r="K215" s="120">
        <f t="shared" si="43"/>
        <v>178.77825880865856</v>
      </c>
      <c r="L215" s="122">
        <f t="shared" si="40"/>
        <v>17983814.210000001</v>
      </c>
      <c r="M215" s="116">
        <f t="shared" si="41"/>
        <v>6668938.2100000009</v>
      </c>
      <c r="N215" s="123">
        <f t="shared" si="42"/>
        <v>105.37112039816718</v>
      </c>
      <c r="O215" s="5"/>
      <c r="P215" s="5">
        <f t="shared" si="38"/>
        <v>1</v>
      </c>
      <c r="Q215" s="7">
        <f t="shared" si="39"/>
        <v>63290</v>
      </c>
    </row>
    <row r="216" spans="1:17">
      <c r="A216" s="23" t="s">
        <v>244</v>
      </c>
      <c r="B216" s="37" t="s">
        <v>233</v>
      </c>
      <c r="C216" s="36">
        <v>92</v>
      </c>
      <c r="D216" s="113">
        <v>470941163</v>
      </c>
      <c r="E216" s="116">
        <f t="shared" si="36"/>
        <v>5118925.6847826084</v>
      </c>
      <c r="F216" s="117">
        <v>371257908</v>
      </c>
      <c r="G216" s="117">
        <f t="shared" si="37"/>
        <v>4035412.0434782607</v>
      </c>
      <c r="H216" s="9"/>
      <c r="I216" s="109">
        <v>7.9518000000000004</v>
      </c>
      <c r="J216" s="117">
        <v>2952169</v>
      </c>
      <c r="K216" s="120">
        <f t="shared" si="43"/>
        <v>32088.793478260868</v>
      </c>
      <c r="L216" s="122">
        <f t="shared" si="40"/>
        <v>3712579.08</v>
      </c>
      <c r="M216" s="116">
        <f t="shared" si="41"/>
        <v>760410.08000000007</v>
      </c>
      <c r="N216" s="123">
        <f t="shared" si="42"/>
        <v>8265.3269565217397</v>
      </c>
      <c r="O216" s="5"/>
      <c r="P216" s="5">
        <f t="shared" si="38"/>
        <v>1</v>
      </c>
      <c r="Q216" s="7">
        <f t="shared" si="39"/>
        <v>92</v>
      </c>
    </row>
    <row r="217" spans="1:17">
      <c r="A217" s="23" t="s">
        <v>246</v>
      </c>
      <c r="B217" s="37" t="s">
        <v>233</v>
      </c>
      <c r="C217" s="36">
        <v>12402</v>
      </c>
      <c r="D217" s="113">
        <v>6926764969</v>
      </c>
      <c r="E217" s="116">
        <f t="shared" si="36"/>
        <v>558519.99427511694</v>
      </c>
      <c r="F217" s="117">
        <v>5764175812</v>
      </c>
      <c r="G217" s="117">
        <f t="shared" si="37"/>
        <v>464777.92388324463</v>
      </c>
      <c r="H217" s="9"/>
      <c r="I217" s="109">
        <v>3.2</v>
      </c>
      <c r="J217" s="117">
        <v>18445363</v>
      </c>
      <c r="K217" s="120">
        <f t="shared" ref="K217:K274" si="44">(J217/C217)</f>
        <v>1487.2893888082567</v>
      </c>
      <c r="L217" s="122">
        <f t="shared" si="40"/>
        <v>57641758.120000005</v>
      </c>
      <c r="M217" s="116">
        <f t="shared" si="41"/>
        <v>39196395.120000005</v>
      </c>
      <c r="N217" s="123">
        <f t="shared" si="42"/>
        <v>3160.4898500241902</v>
      </c>
      <c r="O217" s="5"/>
      <c r="P217" s="5">
        <f t="shared" si="38"/>
        <v>1</v>
      </c>
      <c r="Q217" s="7">
        <f t="shared" si="39"/>
        <v>12402</v>
      </c>
    </row>
    <row r="218" spans="1:17">
      <c r="A218" s="23" t="s">
        <v>247</v>
      </c>
      <c r="B218" s="37" t="s">
        <v>233</v>
      </c>
      <c r="C218" s="36">
        <v>858</v>
      </c>
      <c r="D218" s="113">
        <v>1873870674</v>
      </c>
      <c r="E218" s="116">
        <f t="shared" si="36"/>
        <v>2183998.4545454546</v>
      </c>
      <c r="F218" s="117">
        <v>1755992455</v>
      </c>
      <c r="G218" s="117">
        <f t="shared" si="37"/>
        <v>2046611.2529137528</v>
      </c>
      <c r="H218" s="9"/>
      <c r="I218" s="109">
        <v>5.585</v>
      </c>
      <c r="J218" s="117">
        <v>9807218</v>
      </c>
      <c r="K218" s="120">
        <f t="shared" si="44"/>
        <v>11430.324009324009</v>
      </c>
      <c r="L218" s="122">
        <f t="shared" si="40"/>
        <v>17559924.550000001</v>
      </c>
      <c r="M218" s="116">
        <f t="shared" si="41"/>
        <v>7752706.5500000007</v>
      </c>
      <c r="N218" s="123">
        <f t="shared" si="42"/>
        <v>9035.7885198135209</v>
      </c>
      <c r="O218" s="5"/>
      <c r="P218" s="5">
        <f t="shared" si="38"/>
        <v>1</v>
      </c>
      <c r="Q218" s="7">
        <f t="shared" si="39"/>
        <v>858</v>
      </c>
    </row>
    <row r="219" spans="1:17">
      <c r="A219" s="23" t="s">
        <v>248</v>
      </c>
      <c r="B219" s="37" t="s">
        <v>233</v>
      </c>
      <c r="C219" s="36">
        <v>414751</v>
      </c>
      <c r="D219" s="113">
        <v>43670274607</v>
      </c>
      <c r="E219" s="116">
        <f t="shared" si="36"/>
        <v>105292.75301807591</v>
      </c>
      <c r="F219" s="117">
        <v>31472065264</v>
      </c>
      <c r="G219" s="117">
        <f t="shared" si="37"/>
        <v>75881.830939527572</v>
      </c>
      <c r="H219" s="9"/>
      <c r="I219" s="109">
        <v>7.5709999999999997</v>
      </c>
      <c r="J219" s="117">
        <v>238275006</v>
      </c>
      <c r="K219" s="120">
        <f t="shared" si="44"/>
        <v>574.50134176891675</v>
      </c>
      <c r="L219" s="122">
        <f t="shared" si="40"/>
        <v>314720652.63999999</v>
      </c>
      <c r="M219" s="116">
        <f t="shared" si="41"/>
        <v>76445646.639999986</v>
      </c>
      <c r="N219" s="123">
        <f t="shared" si="42"/>
        <v>184.31696762635892</v>
      </c>
      <c r="O219" s="5"/>
      <c r="P219" s="5">
        <f t="shared" si="38"/>
        <v>1</v>
      </c>
      <c r="Q219" s="7">
        <f t="shared" si="39"/>
        <v>414751</v>
      </c>
    </row>
    <row r="220" spans="1:17">
      <c r="A220" s="23" t="s">
        <v>249</v>
      </c>
      <c r="B220" s="37" t="s">
        <v>233</v>
      </c>
      <c r="C220" s="36">
        <v>90097</v>
      </c>
      <c r="D220" s="113">
        <v>29331148635</v>
      </c>
      <c r="E220" s="116">
        <f t="shared" si="36"/>
        <v>325550.78010366607</v>
      </c>
      <c r="F220" s="117">
        <v>23008190057</v>
      </c>
      <c r="G220" s="117">
        <f t="shared" si="37"/>
        <v>255371.32265225257</v>
      </c>
      <c r="H220" s="9"/>
      <c r="I220" s="109">
        <v>6.0909000000000004</v>
      </c>
      <c r="J220" s="117">
        <v>140140585</v>
      </c>
      <c r="K220" s="120">
        <f t="shared" si="44"/>
        <v>1555.441191160638</v>
      </c>
      <c r="L220" s="122">
        <f t="shared" si="40"/>
        <v>230081900.56999999</v>
      </c>
      <c r="M220" s="116">
        <f t="shared" si="41"/>
        <v>89941315.569999993</v>
      </c>
      <c r="N220" s="123">
        <f t="shared" si="42"/>
        <v>998.27203536188767</v>
      </c>
      <c r="O220" s="5"/>
      <c r="P220" s="5">
        <f t="shared" si="38"/>
        <v>1</v>
      </c>
      <c r="Q220" s="7">
        <f t="shared" si="39"/>
        <v>90097</v>
      </c>
    </row>
    <row r="221" spans="1:17">
      <c r="A221" s="23" t="s">
        <v>500</v>
      </c>
      <c r="B221" s="37" t="s">
        <v>233</v>
      </c>
      <c r="C221" s="36">
        <v>107147</v>
      </c>
      <c r="D221" s="113">
        <v>5103731656</v>
      </c>
      <c r="E221" s="116">
        <f t="shared" si="36"/>
        <v>47632.986980503418</v>
      </c>
      <c r="F221" s="117">
        <v>3390895119</v>
      </c>
      <c r="G221" s="117">
        <f t="shared" si="37"/>
        <v>31647.130754944141</v>
      </c>
      <c r="H221" s="9"/>
      <c r="I221" s="109">
        <v>6.3620000000000001</v>
      </c>
      <c r="J221" s="117">
        <v>21572875</v>
      </c>
      <c r="K221" s="120">
        <f t="shared" si="44"/>
        <v>201.33904822346869</v>
      </c>
      <c r="L221" s="122">
        <f t="shared" si="40"/>
        <v>33908951.189999998</v>
      </c>
      <c r="M221" s="116">
        <f t="shared" si="41"/>
        <v>12336076.189999998</v>
      </c>
      <c r="N221" s="123">
        <f t="shared" si="42"/>
        <v>115.13225932597271</v>
      </c>
      <c r="O221" s="5"/>
      <c r="P221" s="5">
        <f t="shared" si="38"/>
        <v>1</v>
      </c>
      <c r="Q221" s="7">
        <f t="shared" si="39"/>
        <v>107147</v>
      </c>
    </row>
    <row r="222" spans="1:17">
      <c r="A222" s="23" t="s">
        <v>459</v>
      </c>
      <c r="B222" s="37" t="s">
        <v>233</v>
      </c>
      <c r="C222" s="36">
        <v>29448</v>
      </c>
      <c r="D222" s="113">
        <v>3366593236</v>
      </c>
      <c r="E222" s="116">
        <f t="shared" ref="E222:E285" si="45">(D222/C222)</f>
        <v>114323.32368921489</v>
      </c>
      <c r="F222" s="117">
        <v>2472710409</v>
      </c>
      <c r="G222" s="117">
        <f t="shared" ref="G222:G285" si="46">(F222/C222)</f>
        <v>83968.704462102687</v>
      </c>
      <c r="H222" s="9"/>
      <c r="I222" s="109">
        <v>2.3517999999999999</v>
      </c>
      <c r="J222" s="117">
        <v>5815320</v>
      </c>
      <c r="K222" s="120">
        <f t="shared" si="44"/>
        <v>197.47758761206194</v>
      </c>
      <c r="L222" s="122">
        <f t="shared" si="40"/>
        <v>24727104.09</v>
      </c>
      <c r="M222" s="116">
        <f t="shared" si="41"/>
        <v>18911784.09</v>
      </c>
      <c r="N222" s="123">
        <f t="shared" si="42"/>
        <v>642.20945700896493</v>
      </c>
      <c r="O222" s="5"/>
      <c r="P222" s="5">
        <f t="shared" si="38"/>
        <v>1</v>
      </c>
      <c r="Q222" s="7">
        <f t="shared" si="39"/>
        <v>29448</v>
      </c>
    </row>
    <row r="223" spans="1:17">
      <c r="A223" s="23" t="s">
        <v>250</v>
      </c>
      <c r="B223" s="37" t="s">
        <v>233</v>
      </c>
      <c r="C223" s="36">
        <v>10659</v>
      </c>
      <c r="D223" s="113">
        <v>1284277736</v>
      </c>
      <c r="E223" s="116">
        <f t="shared" si="45"/>
        <v>120487.63823998498</v>
      </c>
      <c r="F223" s="117">
        <v>747396673</v>
      </c>
      <c r="G223" s="117">
        <f t="shared" si="46"/>
        <v>70118.836007130129</v>
      </c>
      <c r="H223" s="9"/>
      <c r="I223" s="109">
        <v>8</v>
      </c>
      <c r="J223" s="117">
        <v>5979173</v>
      </c>
      <c r="K223" s="120">
        <f t="shared" si="44"/>
        <v>560.95065203114734</v>
      </c>
      <c r="L223" s="122">
        <f t="shared" si="40"/>
        <v>7473966.7300000004</v>
      </c>
      <c r="M223" s="116">
        <f t="shared" si="41"/>
        <v>1494793.7300000004</v>
      </c>
      <c r="N223" s="123">
        <f t="shared" si="42"/>
        <v>140.2377080401539</v>
      </c>
      <c r="O223" s="5"/>
      <c r="P223" s="5">
        <f t="shared" si="38"/>
        <v>1</v>
      </c>
      <c r="Q223" s="7">
        <f t="shared" si="39"/>
        <v>10659</v>
      </c>
    </row>
    <row r="224" spans="1:17">
      <c r="A224" s="23" t="s">
        <v>251</v>
      </c>
      <c r="B224" s="37" t="s">
        <v>233</v>
      </c>
      <c r="C224" s="36">
        <v>14037</v>
      </c>
      <c r="D224" s="113">
        <v>1220394514</v>
      </c>
      <c r="E224" s="116">
        <f t="shared" si="45"/>
        <v>86941.263375365103</v>
      </c>
      <c r="F224" s="117">
        <v>884170680</v>
      </c>
      <c r="G224" s="117">
        <f t="shared" si="46"/>
        <v>62988.578756144474</v>
      </c>
      <c r="H224" s="9"/>
      <c r="I224" s="109">
        <v>6.9950000000000001</v>
      </c>
      <c r="J224" s="117">
        <v>6184774</v>
      </c>
      <c r="K224" s="120">
        <f t="shared" si="44"/>
        <v>440.60511505307403</v>
      </c>
      <c r="L224" s="122">
        <f t="shared" si="40"/>
        <v>8841706.8000000007</v>
      </c>
      <c r="M224" s="116">
        <f t="shared" si="41"/>
        <v>2656932.8000000007</v>
      </c>
      <c r="N224" s="123">
        <f t="shared" si="42"/>
        <v>189.2806725083708</v>
      </c>
      <c r="O224" s="5"/>
      <c r="P224" s="5">
        <f t="shared" si="38"/>
        <v>1</v>
      </c>
      <c r="Q224" s="7">
        <f t="shared" si="39"/>
        <v>14037</v>
      </c>
    </row>
    <row r="225" spans="1:21">
      <c r="A225" s="23" t="s">
        <v>252</v>
      </c>
      <c r="B225" s="37" t="s">
        <v>233</v>
      </c>
      <c r="C225" s="36">
        <v>7524</v>
      </c>
      <c r="D225" s="113">
        <v>744289216</v>
      </c>
      <c r="E225" s="116">
        <f t="shared" si="45"/>
        <v>98922.011695906433</v>
      </c>
      <c r="F225" s="117">
        <v>635231709</v>
      </c>
      <c r="G225" s="117">
        <f t="shared" si="46"/>
        <v>84427.393540669858</v>
      </c>
      <c r="H225" s="9"/>
      <c r="I225" s="109">
        <v>4.7771999999999997</v>
      </c>
      <c r="J225" s="117">
        <v>3034629</v>
      </c>
      <c r="K225" s="120">
        <f t="shared" si="44"/>
        <v>403.32655502392345</v>
      </c>
      <c r="L225" s="122">
        <f t="shared" si="40"/>
        <v>6352317.0899999999</v>
      </c>
      <c r="M225" s="116">
        <f t="shared" si="41"/>
        <v>3317688.09</v>
      </c>
      <c r="N225" s="123">
        <f t="shared" si="42"/>
        <v>440.94738038277512</v>
      </c>
      <c r="O225" s="5"/>
      <c r="P225" s="5">
        <f t="shared" si="38"/>
        <v>1</v>
      </c>
      <c r="Q225" s="7">
        <f t="shared" si="39"/>
        <v>7524</v>
      </c>
    </row>
    <row r="226" spans="1:21">
      <c r="A226" s="23" t="s">
        <v>253</v>
      </c>
      <c r="B226" s="37" t="s">
        <v>233</v>
      </c>
      <c r="C226" s="36">
        <v>60313</v>
      </c>
      <c r="D226" s="113">
        <v>3073758297</v>
      </c>
      <c r="E226" s="116">
        <f t="shared" si="45"/>
        <v>50963.445641901417</v>
      </c>
      <c r="F226" s="117">
        <v>2047821022</v>
      </c>
      <c r="G226" s="117">
        <f t="shared" si="46"/>
        <v>33953.227695521695</v>
      </c>
      <c r="H226" s="9"/>
      <c r="I226" s="109">
        <v>8.1</v>
      </c>
      <c r="J226" s="117">
        <v>16587350</v>
      </c>
      <c r="K226" s="120">
        <f t="shared" si="44"/>
        <v>275.02113972112147</v>
      </c>
      <c r="L226" s="122">
        <f t="shared" si="40"/>
        <v>20478210.219999999</v>
      </c>
      <c r="M226" s="116">
        <f t="shared" si="41"/>
        <v>3890860.2199999988</v>
      </c>
      <c r="N226" s="123">
        <f t="shared" si="42"/>
        <v>64.511137234095443</v>
      </c>
      <c r="O226" s="5"/>
      <c r="P226" s="5">
        <f t="shared" si="38"/>
        <v>1</v>
      </c>
      <c r="Q226" s="7">
        <f t="shared" si="39"/>
        <v>60313</v>
      </c>
    </row>
    <row r="227" spans="1:21">
      <c r="A227" s="23" t="s">
        <v>254</v>
      </c>
      <c r="B227" s="37" t="s">
        <v>233</v>
      </c>
      <c r="C227" s="36">
        <v>42113</v>
      </c>
      <c r="D227" s="113">
        <v>2493156239</v>
      </c>
      <c r="E227" s="116">
        <f t="shared" si="45"/>
        <v>59201.582385486668</v>
      </c>
      <c r="F227" s="117">
        <v>1734164294</v>
      </c>
      <c r="G227" s="117">
        <f t="shared" si="46"/>
        <v>41178.835371500485</v>
      </c>
      <c r="H227" s="9"/>
      <c r="I227" s="109">
        <v>6.6036000000000001</v>
      </c>
      <c r="J227" s="117">
        <v>11451727</v>
      </c>
      <c r="K227" s="120">
        <f t="shared" si="44"/>
        <v>271.92854937905162</v>
      </c>
      <c r="L227" s="122">
        <f t="shared" si="40"/>
        <v>17341642.940000001</v>
      </c>
      <c r="M227" s="116">
        <f t="shared" si="41"/>
        <v>5889915.9400000013</v>
      </c>
      <c r="N227" s="123">
        <f t="shared" si="42"/>
        <v>139.8598043359533</v>
      </c>
      <c r="O227" s="5"/>
      <c r="P227" s="5">
        <f t="shared" si="38"/>
        <v>1</v>
      </c>
      <c r="Q227" s="7">
        <f t="shared" si="39"/>
        <v>42113</v>
      </c>
    </row>
    <row r="228" spans="1:21">
      <c r="A228" s="23" t="s">
        <v>255</v>
      </c>
      <c r="B228" s="37" t="s">
        <v>233</v>
      </c>
      <c r="C228" s="36">
        <v>15610</v>
      </c>
      <c r="D228" s="113">
        <v>970680451</v>
      </c>
      <c r="E228" s="116">
        <f t="shared" si="45"/>
        <v>62183.244778987828</v>
      </c>
      <c r="F228" s="117">
        <v>695206614</v>
      </c>
      <c r="G228" s="117">
        <f t="shared" si="46"/>
        <v>44535.977834721336</v>
      </c>
      <c r="H228" s="9"/>
      <c r="I228" s="109">
        <v>9.1</v>
      </c>
      <c r="J228" s="117">
        <v>6326380</v>
      </c>
      <c r="K228" s="120">
        <f t="shared" si="44"/>
        <v>405.27738629083922</v>
      </c>
      <c r="L228" s="122">
        <f t="shared" si="40"/>
        <v>6952066.1400000006</v>
      </c>
      <c r="M228" s="116">
        <f t="shared" si="41"/>
        <v>625686.1400000006</v>
      </c>
      <c r="N228" s="123">
        <f t="shared" si="42"/>
        <v>40.082392056374154</v>
      </c>
      <c r="O228" s="5"/>
      <c r="P228" s="5">
        <f t="shared" si="38"/>
        <v>1</v>
      </c>
      <c r="Q228" s="7">
        <f t="shared" si="39"/>
        <v>15610</v>
      </c>
    </row>
    <row r="229" spans="1:21">
      <c r="A229" s="23" t="s">
        <v>493</v>
      </c>
      <c r="B229" s="37" t="s">
        <v>233</v>
      </c>
      <c r="C229" s="36">
        <v>23643</v>
      </c>
      <c r="D229" s="113">
        <v>3421437750</v>
      </c>
      <c r="E229" s="116">
        <f t="shared" si="45"/>
        <v>144712.50475827939</v>
      </c>
      <c r="F229" s="117">
        <v>2410205268</v>
      </c>
      <c r="G229" s="117">
        <f t="shared" si="46"/>
        <v>101941.60081207969</v>
      </c>
      <c r="H229" s="9"/>
      <c r="I229" s="109">
        <v>2.4470000000000001</v>
      </c>
      <c r="J229" s="117">
        <v>5897772</v>
      </c>
      <c r="K229" s="120">
        <f t="shared" si="44"/>
        <v>249.45108488770461</v>
      </c>
      <c r="L229" s="122">
        <f t="shared" si="40"/>
        <v>24102052.68</v>
      </c>
      <c r="M229" s="116">
        <f t="shared" si="41"/>
        <v>18204280.68</v>
      </c>
      <c r="N229" s="123">
        <f t="shared" si="42"/>
        <v>769.96492323309224</v>
      </c>
      <c r="O229" s="5"/>
      <c r="P229" s="5">
        <f t="shared" si="38"/>
        <v>1</v>
      </c>
      <c r="Q229" s="7">
        <f t="shared" si="39"/>
        <v>23643</v>
      </c>
    </row>
    <row r="230" spans="1:21">
      <c r="A230" s="23" t="s">
        <v>256</v>
      </c>
      <c r="B230" s="37" t="s">
        <v>233</v>
      </c>
      <c r="C230" s="36">
        <v>18447</v>
      </c>
      <c r="D230" s="113">
        <v>4744897737</v>
      </c>
      <c r="E230" s="116">
        <f t="shared" si="45"/>
        <v>257217.85314685316</v>
      </c>
      <c r="F230" s="117">
        <v>3619595266</v>
      </c>
      <c r="G230" s="117">
        <f t="shared" si="46"/>
        <v>196215.93028676749</v>
      </c>
      <c r="H230" s="9"/>
      <c r="I230" s="109">
        <v>2.2000000000000002</v>
      </c>
      <c r="J230" s="117">
        <v>7963110</v>
      </c>
      <c r="K230" s="120">
        <f t="shared" si="44"/>
        <v>431.67506911692959</v>
      </c>
      <c r="L230" s="122">
        <f t="shared" si="40"/>
        <v>36195952.660000004</v>
      </c>
      <c r="M230" s="116">
        <f t="shared" si="41"/>
        <v>28232842.660000004</v>
      </c>
      <c r="N230" s="123">
        <f t="shared" si="42"/>
        <v>1530.4842337507455</v>
      </c>
      <c r="O230" s="5"/>
      <c r="P230" s="5">
        <f t="shared" si="38"/>
        <v>1</v>
      </c>
      <c r="Q230" s="7">
        <f t="shared" si="39"/>
        <v>18447</v>
      </c>
    </row>
    <row r="231" spans="1:21">
      <c r="A231" s="23" t="s">
        <v>257</v>
      </c>
      <c r="B231" s="37" t="s">
        <v>233</v>
      </c>
      <c r="C231" s="36">
        <v>13576</v>
      </c>
      <c r="D231" s="113">
        <v>2022940829</v>
      </c>
      <c r="E231" s="116">
        <f t="shared" si="45"/>
        <v>149008.60555391869</v>
      </c>
      <c r="F231" s="117">
        <v>1424492533</v>
      </c>
      <c r="G231" s="117">
        <f t="shared" si="46"/>
        <v>104927.2637743076</v>
      </c>
      <c r="H231" s="9"/>
      <c r="I231" s="110">
        <v>4.3628999999999998</v>
      </c>
      <c r="J231" s="117">
        <v>6214918</v>
      </c>
      <c r="K231" s="120">
        <f t="shared" si="44"/>
        <v>457.78712433706539</v>
      </c>
      <c r="L231" s="122">
        <f t="shared" si="40"/>
        <v>14244925.33</v>
      </c>
      <c r="M231" s="116">
        <f t="shared" si="41"/>
        <v>8030007.3300000001</v>
      </c>
      <c r="N231" s="123">
        <f t="shared" si="42"/>
        <v>591.48551340601057</v>
      </c>
      <c r="O231" s="5"/>
      <c r="P231" s="5">
        <f t="shared" si="38"/>
        <v>1</v>
      </c>
      <c r="Q231" s="7">
        <f t="shared" si="39"/>
        <v>13576</v>
      </c>
    </row>
    <row r="232" spans="1:21">
      <c r="A232" s="23" t="s">
        <v>258</v>
      </c>
      <c r="B232" s="37" t="s">
        <v>233</v>
      </c>
      <c r="C232" s="36">
        <v>21395</v>
      </c>
      <c r="D232" s="113">
        <v>7017536753</v>
      </c>
      <c r="E232" s="116">
        <f t="shared" si="45"/>
        <v>327998.91343771911</v>
      </c>
      <c r="F232" s="117">
        <v>6204148528</v>
      </c>
      <c r="G232" s="117">
        <f t="shared" si="46"/>
        <v>289981.23524187895</v>
      </c>
      <c r="H232" s="9"/>
      <c r="I232" s="109">
        <v>2.8</v>
      </c>
      <c r="J232" s="117">
        <v>17371616</v>
      </c>
      <c r="K232" s="120">
        <f t="shared" si="44"/>
        <v>811.94746436083199</v>
      </c>
      <c r="L232" s="122">
        <f t="shared" si="40"/>
        <v>62041485.280000001</v>
      </c>
      <c r="M232" s="116">
        <f t="shared" si="41"/>
        <v>44669869.280000001</v>
      </c>
      <c r="N232" s="123">
        <f t="shared" si="42"/>
        <v>2087.8648880579576</v>
      </c>
      <c r="O232" s="5"/>
      <c r="P232" s="5">
        <f t="shared" si="38"/>
        <v>1</v>
      </c>
      <c r="Q232" s="7">
        <f t="shared" si="39"/>
        <v>21395</v>
      </c>
    </row>
    <row r="233" spans="1:21">
      <c r="A233" s="23" t="s">
        <v>259</v>
      </c>
      <c r="B233" s="37" t="s">
        <v>233</v>
      </c>
      <c r="C233" s="36">
        <v>5776</v>
      </c>
      <c r="D233" s="113">
        <v>1334938247</v>
      </c>
      <c r="E233" s="116">
        <f t="shared" si="45"/>
        <v>231118.11755540167</v>
      </c>
      <c r="F233" s="117">
        <v>1060438364</v>
      </c>
      <c r="G233" s="117">
        <f t="shared" si="46"/>
        <v>183593.89958448755</v>
      </c>
      <c r="H233" s="9"/>
      <c r="I233" s="109">
        <v>5.3</v>
      </c>
      <c r="J233" s="117">
        <v>5620323</v>
      </c>
      <c r="K233" s="120">
        <f t="shared" si="44"/>
        <v>973.04761080332412</v>
      </c>
      <c r="L233" s="122">
        <f t="shared" si="40"/>
        <v>10604383.640000001</v>
      </c>
      <c r="M233" s="116">
        <f t="shared" si="41"/>
        <v>4984060.6400000006</v>
      </c>
      <c r="N233" s="123">
        <f t="shared" si="42"/>
        <v>862.8913850415513</v>
      </c>
      <c r="O233" s="5"/>
      <c r="P233" s="5">
        <f t="shared" si="38"/>
        <v>1</v>
      </c>
      <c r="Q233" s="7">
        <f t="shared" si="39"/>
        <v>5776</v>
      </c>
    </row>
    <row r="234" spans="1:21">
      <c r="A234" s="23" t="s">
        <v>260</v>
      </c>
      <c r="B234" s="37" t="s">
        <v>233</v>
      </c>
      <c r="C234" s="36">
        <v>19963</v>
      </c>
      <c r="D234" s="113">
        <v>1540254668</v>
      </c>
      <c r="E234" s="116">
        <f t="shared" si="45"/>
        <v>77155.471021389574</v>
      </c>
      <c r="F234" s="117">
        <v>1240368526</v>
      </c>
      <c r="G234" s="117">
        <f t="shared" si="46"/>
        <v>62133.373040124228</v>
      </c>
      <c r="H234" s="9"/>
      <c r="I234" s="109">
        <v>2.92</v>
      </c>
      <c r="J234" s="117">
        <v>3621876</v>
      </c>
      <c r="K234" s="120">
        <f t="shared" si="44"/>
        <v>181.4294444722737</v>
      </c>
      <c r="L234" s="122">
        <f t="shared" si="40"/>
        <v>12403685.26</v>
      </c>
      <c r="M234" s="116">
        <f t="shared" si="41"/>
        <v>8781809.2599999998</v>
      </c>
      <c r="N234" s="123">
        <f t="shared" si="42"/>
        <v>439.90428592896859</v>
      </c>
      <c r="O234" s="5"/>
      <c r="P234" s="5">
        <f t="shared" si="38"/>
        <v>1</v>
      </c>
      <c r="Q234" s="7">
        <f t="shared" si="39"/>
        <v>19963</v>
      </c>
    </row>
    <row r="235" spans="1:21">
      <c r="A235" s="23" t="s">
        <v>261</v>
      </c>
      <c r="B235" s="35" t="s">
        <v>233</v>
      </c>
      <c r="C235" s="36">
        <v>2394</v>
      </c>
      <c r="D235" s="113">
        <v>229637769</v>
      </c>
      <c r="E235" s="116">
        <f t="shared" si="45"/>
        <v>95922.209273182962</v>
      </c>
      <c r="F235" s="117">
        <v>183157429</v>
      </c>
      <c r="G235" s="117">
        <f t="shared" si="46"/>
        <v>76506.86257309941</v>
      </c>
      <c r="H235" s="9"/>
      <c r="I235" s="110">
        <v>5.4233000000000002</v>
      </c>
      <c r="J235" s="117">
        <v>993318</v>
      </c>
      <c r="K235" s="120">
        <f t="shared" si="44"/>
        <v>414.91979949874684</v>
      </c>
      <c r="L235" s="122">
        <f t="shared" si="40"/>
        <v>1831574.29</v>
      </c>
      <c r="M235" s="116">
        <f t="shared" si="41"/>
        <v>838256.29</v>
      </c>
      <c r="N235" s="123">
        <f t="shared" si="42"/>
        <v>350.1488262322473</v>
      </c>
      <c r="O235" s="5"/>
      <c r="P235" s="5">
        <f t="shared" si="38"/>
        <v>1</v>
      </c>
      <c r="Q235" s="7">
        <f t="shared" si="39"/>
        <v>2394</v>
      </c>
    </row>
    <row r="236" spans="1:21">
      <c r="A236" s="23" t="s">
        <v>262</v>
      </c>
      <c r="B236" s="35" t="s">
        <v>233</v>
      </c>
      <c r="C236" s="36">
        <v>6024</v>
      </c>
      <c r="D236" s="113">
        <v>398339302</v>
      </c>
      <c r="E236" s="116">
        <f t="shared" si="45"/>
        <v>66125.382138114204</v>
      </c>
      <c r="F236" s="117">
        <v>288752018</v>
      </c>
      <c r="G236" s="117">
        <f t="shared" si="46"/>
        <v>47933.601925630814</v>
      </c>
      <c r="H236" s="9"/>
      <c r="I236" s="109">
        <v>6.8857999999999997</v>
      </c>
      <c r="J236" s="117">
        <v>1988289</v>
      </c>
      <c r="K236" s="120">
        <f t="shared" si="44"/>
        <v>330.0612549800797</v>
      </c>
      <c r="L236" s="122">
        <f t="shared" si="40"/>
        <v>2887520.18</v>
      </c>
      <c r="M236" s="116">
        <f t="shared" si="41"/>
        <v>899231.18000000017</v>
      </c>
      <c r="N236" s="123">
        <f t="shared" si="42"/>
        <v>149.27476427622844</v>
      </c>
      <c r="O236" s="5"/>
      <c r="P236" s="5">
        <f t="shared" si="38"/>
        <v>1</v>
      </c>
      <c r="Q236" s="7">
        <f t="shared" si="39"/>
        <v>6024</v>
      </c>
      <c r="S236" s="124">
        <f>SUM(D203:D236)</f>
        <v>178692910649</v>
      </c>
      <c r="T236" s="124">
        <f>SUM(F203:F236)</f>
        <v>136181513838</v>
      </c>
      <c r="U236" s="124">
        <f>SUM(J203:J236)</f>
        <v>722241989</v>
      </c>
    </row>
    <row r="237" spans="1:21">
      <c r="A237" s="23" t="s">
        <v>263</v>
      </c>
      <c r="B237" s="35" t="s">
        <v>264</v>
      </c>
      <c r="C237" s="36">
        <v>6165</v>
      </c>
      <c r="D237" s="113">
        <v>2934276383</v>
      </c>
      <c r="E237" s="116">
        <f t="shared" si="45"/>
        <v>475957.23974047042</v>
      </c>
      <c r="F237" s="117">
        <v>2449652829</v>
      </c>
      <c r="G237" s="117">
        <f t="shared" si="46"/>
        <v>397348.39075425791</v>
      </c>
      <c r="H237" s="7"/>
      <c r="I237" s="109">
        <v>2.5390000000000001</v>
      </c>
      <c r="J237" s="117">
        <v>6219669</v>
      </c>
      <c r="K237" s="120">
        <f t="shared" si="44"/>
        <v>1008.8676399026764</v>
      </c>
      <c r="L237" s="122">
        <f t="shared" si="40"/>
        <v>24496528.289999999</v>
      </c>
      <c r="M237" s="116">
        <f t="shared" si="41"/>
        <v>18276859.289999999</v>
      </c>
      <c r="N237" s="123">
        <f t="shared" si="42"/>
        <v>2964.6162676399026</v>
      </c>
      <c r="O237" s="5"/>
      <c r="P237" s="5">
        <f t="shared" si="38"/>
        <v>1</v>
      </c>
      <c r="Q237" s="7">
        <f t="shared" si="39"/>
        <v>6165</v>
      </c>
    </row>
    <row r="238" spans="1:21">
      <c r="A238" s="23" t="s">
        <v>265</v>
      </c>
      <c r="B238" s="35" t="s">
        <v>264</v>
      </c>
      <c r="C238" s="36">
        <v>802</v>
      </c>
      <c r="D238" s="113">
        <v>552003219</v>
      </c>
      <c r="E238" s="116">
        <f t="shared" si="45"/>
        <v>688283.31546134665</v>
      </c>
      <c r="F238" s="117">
        <v>504178624</v>
      </c>
      <c r="G238" s="117">
        <f t="shared" si="46"/>
        <v>628651.65087281796</v>
      </c>
      <c r="H238" s="7"/>
      <c r="I238" s="109">
        <v>2.3075999999999999</v>
      </c>
      <c r="J238" s="117">
        <v>1163443</v>
      </c>
      <c r="K238" s="120">
        <f t="shared" si="44"/>
        <v>1450.6770573566084</v>
      </c>
      <c r="L238" s="122">
        <f t="shared" si="40"/>
        <v>5041786.24</v>
      </c>
      <c r="M238" s="116">
        <f t="shared" si="41"/>
        <v>3878343.24</v>
      </c>
      <c r="N238" s="123">
        <f t="shared" si="42"/>
        <v>4835.8394513715712</v>
      </c>
      <c r="O238" s="5"/>
      <c r="P238" s="5">
        <f t="shared" si="38"/>
        <v>1</v>
      </c>
      <c r="Q238" s="7">
        <f t="shared" si="39"/>
        <v>802</v>
      </c>
    </row>
    <row r="239" spans="1:21">
      <c r="A239" s="23" t="s">
        <v>266</v>
      </c>
      <c r="B239" s="35" t="s">
        <v>264</v>
      </c>
      <c r="C239" s="36">
        <v>24607</v>
      </c>
      <c r="D239" s="113">
        <v>9099851933</v>
      </c>
      <c r="E239" s="116">
        <f t="shared" si="45"/>
        <v>369807.45044093142</v>
      </c>
      <c r="F239" s="117">
        <v>5068270051</v>
      </c>
      <c r="G239" s="117">
        <f t="shared" si="46"/>
        <v>205968.62888608931</v>
      </c>
      <c r="H239" s="7"/>
      <c r="I239" s="109">
        <v>2.9184999999999999</v>
      </c>
      <c r="J239" s="117">
        <v>14791746</v>
      </c>
      <c r="K239" s="120">
        <f t="shared" si="44"/>
        <v>601.11943755841833</v>
      </c>
      <c r="L239" s="122">
        <f t="shared" si="40"/>
        <v>50682700.509999998</v>
      </c>
      <c r="M239" s="116">
        <f t="shared" si="41"/>
        <v>35890954.509999998</v>
      </c>
      <c r="N239" s="123">
        <f t="shared" si="42"/>
        <v>1458.5668513024748</v>
      </c>
      <c r="O239" s="5"/>
      <c r="P239" s="5">
        <f t="shared" si="38"/>
        <v>1</v>
      </c>
      <c r="Q239" s="7">
        <f t="shared" si="39"/>
        <v>24607</v>
      </c>
    </row>
    <row r="240" spans="1:21">
      <c r="A240" s="23" t="s">
        <v>267</v>
      </c>
      <c r="B240" s="35" t="s">
        <v>264</v>
      </c>
      <c r="C240" s="36">
        <v>185</v>
      </c>
      <c r="D240" s="113">
        <v>58474498</v>
      </c>
      <c r="E240" s="116">
        <f t="shared" si="45"/>
        <v>316078.36756756756</v>
      </c>
      <c r="F240" s="117">
        <v>48210554</v>
      </c>
      <c r="G240" s="117">
        <f t="shared" si="46"/>
        <v>260597.5891891892</v>
      </c>
      <c r="H240" s="7"/>
      <c r="I240" s="109">
        <v>1.9443999999999999</v>
      </c>
      <c r="J240" s="117">
        <v>93741</v>
      </c>
      <c r="K240" s="120">
        <f t="shared" si="44"/>
        <v>506.70810810810809</v>
      </c>
      <c r="L240" s="122">
        <f t="shared" si="40"/>
        <v>482105.54000000004</v>
      </c>
      <c r="M240" s="116">
        <f t="shared" si="41"/>
        <v>388364.54000000004</v>
      </c>
      <c r="N240" s="123">
        <f t="shared" si="42"/>
        <v>2099.2677837837841</v>
      </c>
      <c r="O240" s="5"/>
      <c r="P240" s="5">
        <f t="shared" si="38"/>
        <v>1</v>
      </c>
      <c r="Q240" s="7">
        <f t="shared" si="39"/>
        <v>185</v>
      </c>
    </row>
    <row r="241" spans="1:21">
      <c r="A241" s="23" t="s">
        <v>449</v>
      </c>
      <c r="B241" s="35" t="s">
        <v>264</v>
      </c>
      <c r="C241" s="36">
        <v>8362</v>
      </c>
      <c r="D241" s="113">
        <v>2195737049</v>
      </c>
      <c r="E241" s="116">
        <f t="shared" si="45"/>
        <v>262585.15295383881</v>
      </c>
      <c r="F241" s="117">
        <v>1762469940</v>
      </c>
      <c r="G241" s="117">
        <f t="shared" si="46"/>
        <v>210771.33939248984</v>
      </c>
      <c r="H241" s="7"/>
      <c r="I241" s="109">
        <v>2.1989000000000001</v>
      </c>
      <c r="J241" s="117">
        <v>3875495</v>
      </c>
      <c r="K241" s="120">
        <f t="shared" si="44"/>
        <v>463.46508012437215</v>
      </c>
      <c r="L241" s="122">
        <f t="shared" si="40"/>
        <v>17624699.399999999</v>
      </c>
      <c r="M241" s="116">
        <f t="shared" si="41"/>
        <v>13749204.399999999</v>
      </c>
      <c r="N241" s="123">
        <f t="shared" si="42"/>
        <v>1644.2483138005259</v>
      </c>
      <c r="O241" s="5"/>
      <c r="P241" s="5">
        <f t="shared" si="38"/>
        <v>1</v>
      </c>
      <c r="Q241" s="7">
        <f t="shared" si="39"/>
        <v>8362</v>
      </c>
      <c r="S241" s="124">
        <f>SUM(D237:D241)</f>
        <v>14840343082</v>
      </c>
      <c r="T241" s="124">
        <f>SUM(F237:F241)</f>
        <v>9832781998</v>
      </c>
      <c r="U241" s="124">
        <f>SUM(J237:J241)</f>
        <v>26144094</v>
      </c>
    </row>
    <row r="242" spans="1:21">
      <c r="A242" s="23" t="s">
        <v>268</v>
      </c>
      <c r="B242" s="35" t="s">
        <v>269</v>
      </c>
      <c r="C242" s="36">
        <v>1138</v>
      </c>
      <c r="D242" s="113">
        <v>111780303</v>
      </c>
      <c r="E242" s="116">
        <f t="shared" si="45"/>
        <v>98225.2223198594</v>
      </c>
      <c r="F242" s="117">
        <v>67638323</v>
      </c>
      <c r="G242" s="117">
        <f t="shared" si="46"/>
        <v>59436.13620386643</v>
      </c>
      <c r="H242" s="7"/>
      <c r="I242" s="109">
        <v>3.4209999999999998</v>
      </c>
      <c r="J242" s="117">
        <v>231391</v>
      </c>
      <c r="K242" s="120">
        <f t="shared" si="44"/>
        <v>203.33128295254832</v>
      </c>
      <c r="L242" s="122">
        <f t="shared" si="40"/>
        <v>676383.23</v>
      </c>
      <c r="M242" s="116">
        <f t="shared" si="41"/>
        <v>444992.23</v>
      </c>
      <c r="N242" s="123">
        <f t="shared" si="42"/>
        <v>391.03007908611596</v>
      </c>
      <c r="O242" s="5"/>
      <c r="P242" s="5">
        <f t="shared" si="38"/>
        <v>1</v>
      </c>
      <c r="Q242" s="7">
        <f t="shared" si="39"/>
        <v>1138</v>
      </c>
    </row>
    <row r="243" spans="1:21">
      <c r="A243" s="23" t="s">
        <v>270</v>
      </c>
      <c r="B243" s="35" t="s">
        <v>269</v>
      </c>
      <c r="C243" s="36">
        <v>11541</v>
      </c>
      <c r="D243" s="113">
        <v>2201922020</v>
      </c>
      <c r="E243" s="116">
        <f t="shared" si="45"/>
        <v>190791.26765444936</v>
      </c>
      <c r="F243" s="117">
        <v>1560382061</v>
      </c>
      <c r="G243" s="117">
        <f t="shared" si="46"/>
        <v>135203.36721254658</v>
      </c>
      <c r="H243" s="7"/>
      <c r="I243" s="109">
        <v>6.0277000000000003</v>
      </c>
      <c r="J243" s="117">
        <v>9405515</v>
      </c>
      <c r="K243" s="120">
        <f t="shared" si="44"/>
        <v>814.96534095832249</v>
      </c>
      <c r="L243" s="122">
        <f t="shared" si="40"/>
        <v>15603820.609999999</v>
      </c>
      <c r="M243" s="116">
        <f t="shared" si="41"/>
        <v>6198305.6099999994</v>
      </c>
      <c r="N243" s="123">
        <f t="shared" si="42"/>
        <v>537.06833116714313</v>
      </c>
      <c r="O243" s="5"/>
      <c r="P243" s="5">
        <f t="shared" si="38"/>
        <v>1</v>
      </c>
      <c r="Q243" s="7">
        <f t="shared" si="39"/>
        <v>11541</v>
      </c>
    </row>
    <row r="244" spans="1:21">
      <c r="A244" s="23" t="s">
        <v>271</v>
      </c>
      <c r="B244" s="35" t="s">
        <v>269</v>
      </c>
      <c r="C244" s="36">
        <v>3069</v>
      </c>
      <c r="D244" s="113">
        <v>250633360</v>
      </c>
      <c r="E244" s="116">
        <f t="shared" si="45"/>
        <v>81666.132290648413</v>
      </c>
      <c r="F244" s="117">
        <v>71449749</v>
      </c>
      <c r="G244" s="117">
        <f t="shared" si="46"/>
        <v>23281.117302052786</v>
      </c>
      <c r="H244" s="7"/>
      <c r="I244" s="109">
        <v>0.58260000000000001</v>
      </c>
      <c r="J244" s="117">
        <v>41627</v>
      </c>
      <c r="K244" s="120">
        <f t="shared" si="44"/>
        <v>13.563701531443467</v>
      </c>
      <c r="L244" s="122">
        <f t="shared" si="40"/>
        <v>714497.49</v>
      </c>
      <c r="M244" s="116">
        <f t="shared" si="41"/>
        <v>672870.49</v>
      </c>
      <c r="N244" s="123">
        <f t="shared" si="42"/>
        <v>219.24747148908438</v>
      </c>
      <c r="O244" s="5"/>
      <c r="P244" s="5">
        <f t="shared" si="38"/>
        <v>1</v>
      </c>
      <c r="Q244" s="7">
        <f t="shared" si="39"/>
        <v>3069</v>
      </c>
      <c r="S244" s="124">
        <f>SUM(D242:D244)</f>
        <v>2564335683</v>
      </c>
      <c r="T244" s="124">
        <f>SUM(F242:F244)</f>
        <v>1699470133</v>
      </c>
      <c r="U244" s="124">
        <f>SUM(J242:J244)</f>
        <v>9678533</v>
      </c>
    </row>
    <row r="245" spans="1:21">
      <c r="A245" s="23" t="s">
        <v>272</v>
      </c>
      <c r="B245" s="35" t="s">
        <v>273</v>
      </c>
      <c r="C245" s="36">
        <v>385</v>
      </c>
      <c r="D245" s="113">
        <v>54454945</v>
      </c>
      <c r="E245" s="116">
        <f t="shared" si="45"/>
        <v>141441.41558441558</v>
      </c>
      <c r="F245" s="119">
        <v>45806239</v>
      </c>
      <c r="G245" s="117">
        <f t="shared" si="46"/>
        <v>118977.24415584415</v>
      </c>
      <c r="H245" s="7"/>
      <c r="I245" s="109">
        <v>2.35</v>
      </c>
      <c r="J245" s="117">
        <v>107645</v>
      </c>
      <c r="K245" s="120">
        <f t="shared" si="44"/>
        <v>279.59740259740261</v>
      </c>
      <c r="L245" s="122">
        <f t="shared" si="40"/>
        <v>458062.39</v>
      </c>
      <c r="M245" s="116">
        <f t="shared" si="41"/>
        <v>350417.39</v>
      </c>
      <c r="N245" s="123">
        <f t="shared" si="42"/>
        <v>910.17503896103904</v>
      </c>
      <c r="O245" s="5"/>
      <c r="P245" s="5">
        <f t="shared" si="38"/>
        <v>1</v>
      </c>
      <c r="Q245" s="7">
        <f t="shared" si="39"/>
        <v>385</v>
      </c>
    </row>
    <row r="246" spans="1:21">
      <c r="A246" s="23" t="s">
        <v>274</v>
      </c>
      <c r="B246" s="35" t="s">
        <v>273</v>
      </c>
      <c r="C246" s="36">
        <v>22742</v>
      </c>
      <c r="D246" s="113">
        <v>1311790425</v>
      </c>
      <c r="E246" s="116">
        <f t="shared" si="45"/>
        <v>57681.40115205347</v>
      </c>
      <c r="F246" s="117">
        <v>903774111</v>
      </c>
      <c r="G246" s="117">
        <f t="shared" si="46"/>
        <v>39740.30916366195</v>
      </c>
      <c r="H246" s="7"/>
      <c r="I246" s="109">
        <v>5.5965999999999996</v>
      </c>
      <c r="J246" s="117">
        <v>5058062</v>
      </c>
      <c r="K246" s="120">
        <f t="shared" si="44"/>
        <v>222.41060592735906</v>
      </c>
      <c r="L246" s="122">
        <f t="shared" si="40"/>
        <v>9037741.1099999994</v>
      </c>
      <c r="M246" s="116">
        <f t="shared" si="41"/>
        <v>3979679.1099999994</v>
      </c>
      <c r="N246" s="123">
        <f t="shared" si="42"/>
        <v>174.99248570926036</v>
      </c>
      <c r="O246" s="5"/>
      <c r="P246" s="5">
        <f t="shared" si="38"/>
        <v>1</v>
      </c>
      <c r="Q246" s="7">
        <f t="shared" si="39"/>
        <v>22742</v>
      </c>
    </row>
    <row r="247" spans="1:21">
      <c r="A247" s="23" t="s">
        <v>275</v>
      </c>
      <c r="B247" s="35" t="s">
        <v>273</v>
      </c>
      <c r="C247" s="36">
        <v>12404</v>
      </c>
      <c r="D247" s="113">
        <v>4180051450</v>
      </c>
      <c r="E247" s="116">
        <f t="shared" si="45"/>
        <v>336992.21622057399</v>
      </c>
      <c r="F247" s="117">
        <v>3767538791</v>
      </c>
      <c r="G247" s="117">
        <f t="shared" si="46"/>
        <v>303735.79417929699</v>
      </c>
      <c r="H247" s="9"/>
      <c r="I247" s="109">
        <v>1.4550000000000001</v>
      </c>
      <c r="J247" s="117">
        <v>5481769</v>
      </c>
      <c r="K247" s="120">
        <f t="shared" si="44"/>
        <v>441.93558529506612</v>
      </c>
      <c r="L247" s="122">
        <f t="shared" si="40"/>
        <v>37675387.910000004</v>
      </c>
      <c r="M247" s="116">
        <f t="shared" si="41"/>
        <v>32193618.910000004</v>
      </c>
      <c r="N247" s="123">
        <f t="shared" si="42"/>
        <v>2595.4223564979043</v>
      </c>
      <c r="O247" s="5"/>
      <c r="P247" s="5">
        <f t="shared" si="38"/>
        <v>1</v>
      </c>
      <c r="Q247" s="7">
        <f t="shared" si="39"/>
        <v>12404</v>
      </c>
    </row>
    <row r="248" spans="1:21">
      <c r="A248" s="23" t="s">
        <v>276</v>
      </c>
      <c r="B248" s="35" t="s">
        <v>273</v>
      </c>
      <c r="C248" s="36">
        <v>20194</v>
      </c>
      <c r="D248" s="113">
        <v>1644220966</v>
      </c>
      <c r="E248" s="116">
        <f t="shared" si="45"/>
        <v>81421.262058037042</v>
      </c>
      <c r="F248" s="117">
        <v>1119415974</v>
      </c>
      <c r="G248" s="117">
        <f t="shared" si="46"/>
        <v>55433.097652768149</v>
      </c>
      <c r="H248" s="9"/>
      <c r="I248" s="109">
        <v>4.5382999999999996</v>
      </c>
      <c r="J248" s="117">
        <v>5080246</v>
      </c>
      <c r="K248" s="120">
        <f t="shared" si="44"/>
        <v>251.57205110428839</v>
      </c>
      <c r="L248" s="122">
        <f t="shared" si="40"/>
        <v>11194159.74</v>
      </c>
      <c r="M248" s="116">
        <f t="shared" si="41"/>
        <v>6113913.7400000002</v>
      </c>
      <c r="N248" s="123">
        <f t="shared" si="42"/>
        <v>302.75892542339312</v>
      </c>
      <c r="O248" s="5"/>
      <c r="P248" s="5">
        <f t="shared" si="38"/>
        <v>1</v>
      </c>
      <c r="Q248" s="7">
        <f t="shared" si="39"/>
        <v>20194</v>
      </c>
    </row>
    <row r="249" spans="1:21">
      <c r="A249" s="23" t="s">
        <v>277</v>
      </c>
      <c r="B249" s="35" t="s">
        <v>273</v>
      </c>
      <c r="C249" s="36">
        <v>529</v>
      </c>
      <c r="D249" s="113">
        <v>28740391</v>
      </c>
      <c r="E249" s="116">
        <f t="shared" si="45"/>
        <v>54329.661625708883</v>
      </c>
      <c r="F249" s="117">
        <v>14991619</v>
      </c>
      <c r="G249" s="117">
        <f t="shared" si="46"/>
        <v>28339.544423440453</v>
      </c>
      <c r="H249" s="7"/>
      <c r="I249" s="110">
        <v>3.5</v>
      </c>
      <c r="J249" s="117">
        <v>52471</v>
      </c>
      <c r="K249" s="120">
        <f t="shared" si="44"/>
        <v>99.189035916824196</v>
      </c>
      <c r="L249" s="122">
        <f t="shared" si="40"/>
        <v>149916.19</v>
      </c>
      <c r="M249" s="116">
        <f t="shared" si="41"/>
        <v>97445.19</v>
      </c>
      <c r="N249" s="123">
        <f t="shared" si="42"/>
        <v>184.20640831758035</v>
      </c>
      <c r="O249" s="5"/>
      <c r="P249" s="5">
        <f t="shared" si="38"/>
        <v>1</v>
      </c>
      <c r="Q249" s="7">
        <f t="shared" si="39"/>
        <v>529</v>
      </c>
    </row>
    <row r="250" spans="1:21">
      <c r="A250" s="23" t="s">
        <v>278</v>
      </c>
      <c r="B250" s="35" t="s">
        <v>273</v>
      </c>
      <c r="C250" s="36">
        <v>3857</v>
      </c>
      <c r="D250" s="113">
        <v>357138866</v>
      </c>
      <c r="E250" s="116">
        <f t="shared" si="45"/>
        <v>92594.987295825777</v>
      </c>
      <c r="F250" s="117">
        <v>250175645</v>
      </c>
      <c r="G250" s="117">
        <f t="shared" si="46"/>
        <v>64862.754731656729</v>
      </c>
      <c r="H250" s="7"/>
      <c r="I250" s="109">
        <v>2.6435</v>
      </c>
      <c r="J250" s="117">
        <v>661339</v>
      </c>
      <c r="K250" s="120">
        <f t="shared" si="44"/>
        <v>171.46460980036298</v>
      </c>
      <c r="L250" s="122">
        <f t="shared" si="40"/>
        <v>2501756.4500000002</v>
      </c>
      <c r="M250" s="116">
        <f t="shared" si="41"/>
        <v>1840417.4500000002</v>
      </c>
      <c r="N250" s="123">
        <f t="shared" si="42"/>
        <v>477.16293751620435</v>
      </c>
      <c r="O250" s="5"/>
      <c r="P250" s="5">
        <f t="shared" si="38"/>
        <v>1</v>
      </c>
      <c r="Q250" s="7">
        <f t="shared" si="39"/>
        <v>3857</v>
      </c>
    </row>
    <row r="251" spans="1:21">
      <c r="A251" s="23" t="s">
        <v>279</v>
      </c>
      <c r="B251" s="35" t="s">
        <v>273</v>
      </c>
      <c r="C251" s="36">
        <v>13309</v>
      </c>
      <c r="D251" s="113">
        <v>1129964482</v>
      </c>
      <c r="E251" s="116">
        <f t="shared" si="45"/>
        <v>84902.282816139457</v>
      </c>
      <c r="F251" s="117">
        <v>777328847</v>
      </c>
      <c r="G251" s="117">
        <f t="shared" si="46"/>
        <v>58406.254940265986</v>
      </c>
      <c r="H251" s="7"/>
      <c r="I251" s="109">
        <v>3.7</v>
      </c>
      <c r="J251" s="117">
        <v>2876117</v>
      </c>
      <c r="K251" s="120">
        <f t="shared" si="44"/>
        <v>216.10316327297318</v>
      </c>
      <c r="L251" s="122">
        <f t="shared" si="40"/>
        <v>7773288.4699999997</v>
      </c>
      <c r="M251" s="116">
        <f t="shared" si="41"/>
        <v>4897171.47</v>
      </c>
      <c r="N251" s="123">
        <f t="shared" si="42"/>
        <v>367.95938612968666</v>
      </c>
      <c r="O251" s="5"/>
      <c r="P251" s="5">
        <f t="shared" si="38"/>
        <v>1</v>
      </c>
      <c r="Q251" s="7">
        <f t="shared" si="39"/>
        <v>13309</v>
      </c>
    </row>
    <row r="252" spans="1:21">
      <c r="A252" s="23" t="s">
        <v>280</v>
      </c>
      <c r="B252" s="35" t="s">
        <v>273</v>
      </c>
      <c r="C252" s="36">
        <v>731</v>
      </c>
      <c r="D252" s="113">
        <v>115167331</v>
      </c>
      <c r="E252" s="116">
        <f t="shared" si="45"/>
        <v>157547.64842681258</v>
      </c>
      <c r="F252" s="117">
        <v>85816095</v>
      </c>
      <c r="G252" s="117">
        <f t="shared" si="46"/>
        <v>117395.47879616963</v>
      </c>
      <c r="H252" s="7"/>
      <c r="I252" s="109">
        <v>2</v>
      </c>
      <c r="J252" s="117">
        <v>171632</v>
      </c>
      <c r="K252" s="120">
        <f t="shared" si="44"/>
        <v>234.7906976744186</v>
      </c>
      <c r="L252" s="122">
        <f t="shared" si="40"/>
        <v>858160.95000000007</v>
      </c>
      <c r="M252" s="116">
        <f t="shared" si="41"/>
        <v>686528.95000000007</v>
      </c>
      <c r="N252" s="123">
        <f t="shared" si="42"/>
        <v>939.16409028727776</v>
      </c>
      <c r="O252" s="5"/>
      <c r="P252" s="5">
        <f t="shared" si="38"/>
        <v>1</v>
      </c>
      <c r="Q252" s="7">
        <f t="shared" si="39"/>
        <v>731</v>
      </c>
    </row>
    <row r="253" spans="1:21">
      <c r="A253" s="23" t="s">
        <v>281</v>
      </c>
      <c r="B253" s="35" t="s">
        <v>273</v>
      </c>
      <c r="C253" s="36">
        <v>5226</v>
      </c>
      <c r="D253" s="113">
        <v>316469126</v>
      </c>
      <c r="E253" s="116">
        <f t="shared" si="45"/>
        <v>60556.663987753542</v>
      </c>
      <c r="F253" s="117">
        <v>179448630</v>
      </c>
      <c r="G253" s="117">
        <f t="shared" si="46"/>
        <v>34337.663605051668</v>
      </c>
      <c r="H253" s="7"/>
      <c r="I253" s="109">
        <v>4.524</v>
      </c>
      <c r="J253" s="117">
        <v>811826</v>
      </c>
      <c r="K253" s="120">
        <f t="shared" si="44"/>
        <v>155.34366628396478</v>
      </c>
      <c r="L253" s="122">
        <f t="shared" si="40"/>
        <v>1794486.3</v>
      </c>
      <c r="M253" s="116">
        <f t="shared" si="41"/>
        <v>982660.3</v>
      </c>
      <c r="N253" s="123">
        <f t="shared" si="42"/>
        <v>188.03296976655187</v>
      </c>
      <c r="O253" s="5"/>
      <c r="P253" s="5">
        <f t="shared" si="38"/>
        <v>1</v>
      </c>
      <c r="Q253" s="7">
        <f t="shared" si="39"/>
        <v>5226</v>
      </c>
      <c r="S253" s="124">
        <f>SUM(D245:D253)</f>
        <v>9137997982</v>
      </c>
      <c r="T253" s="124">
        <f>SUM(F245:F253)</f>
        <v>7144295951</v>
      </c>
      <c r="U253" s="124">
        <f>SUM(J245:J253)</f>
        <v>20301107</v>
      </c>
    </row>
    <row r="254" spans="1:21">
      <c r="A254" s="23" t="s">
        <v>282</v>
      </c>
      <c r="B254" s="35" t="s">
        <v>282</v>
      </c>
      <c r="C254" s="36">
        <v>5578</v>
      </c>
      <c r="D254" s="113">
        <v>327880659</v>
      </c>
      <c r="E254" s="116">
        <f t="shared" si="45"/>
        <v>58781.043205449983</v>
      </c>
      <c r="F254" s="117">
        <v>230286930</v>
      </c>
      <c r="G254" s="117">
        <f t="shared" si="46"/>
        <v>41284.856579419145</v>
      </c>
      <c r="H254" s="7"/>
      <c r="I254" s="109">
        <v>7.7431999999999999</v>
      </c>
      <c r="J254" s="117">
        <v>1783158</v>
      </c>
      <c r="K254" s="120">
        <f t="shared" si="44"/>
        <v>319.67694514162781</v>
      </c>
      <c r="L254" s="122">
        <f t="shared" si="40"/>
        <v>2302869.3000000003</v>
      </c>
      <c r="M254" s="116">
        <f t="shared" si="41"/>
        <v>519711.30000000028</v>
      </c>
      <c r="N254" s="123">
        <f t="shared" si="42"/>
        <v>93.171620652563689</v>
      </c>
      <c r="O254" s="5"/>
      <c r="P254" s="5">
        <f t="shared" si="38"/>
        <v>1</v>
      </c>
      <c r="Q254" s="7">
        <f t="shared" si="39"/>
        <v>5578</v>
      </c>
      <c r="S254" s="124">
        <f>SUM(D254)</f>
        <v>327880659</v>
      </c>
      <c r="T254" s="124">
        <f>SUM(F254)</f>
        <v>230286930</v>
      </c>
      <c r="U254" s="124">
        <f>SUM(J254)</f>
        <v>1783158</v>
      </c>
    </row>
    <row r="255" spans="1:21">
      <c r="A255" s="23" t="s">
        <v>283</v>
      </c>
      <c r="B255" s="35" t="s">
        <v>284</v>
      </c>
      <c r="C255" s="36">
        <v>42805</v>
      </c>
      <c r="D255" s="113">
        <v>2815433056</v>
      </c>
      <c r="E255" s="116">
        <f t="shared" si="45"/>
        <v>65773.462352528906</v>
      </c>
      <c r="F255" s="117">
        <v>1931425225</v>
      </c>
      <c r="G255" s="117">
        <f t="shared" si="46"/>
        <v>45121.486391776663</v>
      </c>
      <c r="H255" s="7"/>
      <c r="I255" s="109">
        <v>3.5160999999999998</v>
      </c>
      <c r="J255" s="117">
        <v>6791084</v>
      </c>
      <c r="K255" s="120">
        <f t="shared" si="44"/>
        <v>158.65165284429389</v>
      </c>
      <c r="L255" s="122">
        <f t="shared" si="40"/>
        <v>19314252.25</v>
      </c>
      <c r="M255" s="116">
        <f t="shared" si="41"/>
        <v>12523168.25</v>
      </c>
      <c r="N255" s="123">
        <f t="shared" si="42"/>
        <v>292.5632110734727</v>
      </c>
      <c r="O255" s="5"/>
      <c r="P255" s="5">
        <f t="shared" si="38"/>
        <v>1</v>
      </c>
      <c r="Q255" s="7">
        <f t="shared" si="39"/>
        <v>42805</v>
      </c>
    </row>
    <row r="256" spans="1:21">
      <c r="A256" s="23" t="s">
        <v>285</v>
      </c>
      <c r="B256" s="35" t="s">
        <v>284</v>
      </c>
      <c r="C256" s="36">
        <v>9</v>
      </c>
      <c r="D256" s="113">
        <v>5248758118</v>
      </c>
      <c r="E256" s="116">
        <f t="shared" si="45"/>
        <v>583195346.44444442</v>
      </c>
      <c r="F256" s="117">
        <v>4997448668</v>
      </c>
      <c r="G256" s="117">
        <f t="shared" si="46"/>
        <v>555272074.22222221</v>
      </c>
      <c r="H256" s="7"/>
      <c r="I256" s="109">
        <v>1.0900000000000001</v>
      </c>
      <c r="J256" s="117">
        <v>5447219</v>
      </c>
      <c r="K256" s="120">
        <f t="shared" si="44"/>
        <v>605246.5555555555</v>
      </c>
      <c r="L256" s="122">
        <f t="shared" si="40"/>
        <v>49974486.68</v>
      </c>
      <c r="M256" s="116">
        <f t="shared" si="41"/>
        <v>44527267.68</v>
      </c>
      <c r="N256" s="123">
        <f t="shared" si="42"/>
        <v>4947474.1866666665</v>
      </c>
      <c r="O256" s="5"/>
      <c r="P256" s="5">
        <f t="shared" si="38"/>
        <v>1</v>
      </c>
      <c r="Q256" s="7">
        <f t="shared" si="39"/>
        <v>9</v>
      </c>
    </row>
    <row r="257" spans="1:21">
      <c r="A257" s="23" t="s">
        <v>286</v>
      </c>
      <c r="B257" s="35" t="s">
        <v>284</v>
      </c>
      <c r="C257" s="36">
        <v>6361</v>
      </c>
      <c r="D257" s="113">
        <v>731108300</v>
      </c>
      <c r="E257" s="116">
        <f t="shared" si="45"/>
        <v>114936.06351202641</v>
      </c>
      <c r="F257" s="117">
        <v>561272183</v>
      </c>
      <c r="G257" s="117">
        <f t="shared" si="46"/>
        <v>88236.469580254678</v>
      </c>
      <c r="H257" s="7"/>
      <c r="I257" s="109">
        <v>4.4017999999999997</v>
      </c>
      <c r="J257" s="117">
        <v>2470608</v>
      </c>
      <c r="K257" s="120">
        <f t="shared" si="44"/>
        <v>388.39930828486087</v>
      </c>
      <c r="L257" s="122">
        <f t="shared" si="40"/>
        <v>5612721.8300000001</v>
      </c>
      <c r="M257" s="116">
        <f t="shared" si="41"/>
        <v>3142113.83</v>
      </c>
      <c r="N257" s="123">
        <f t="shared" si="42"/>
        <v>493.96538751768588</v>
      </c>
      <c r="O257" s="5"/>
      <c r="P257" s="5">
        <f t="shared" si="38"/>
        <v>1</v>
      </c>
      <c r="Q257" s="7">
        <f t="shared" si="39"/>
        <v>6361</v>
      </c>
    </row>
    <row r="258" spans="1:21">
      <c r="A258" s="23" t="s">
        <v>287</v>
      </c>
      <c r="B258" s="35" t="s">
        <v>284</v>
      </c>
      <c r="C258" s="36">
        <v>2232</v>
      </c>
      <c r="D258" s="113">
        <v>221412507</v>
      </c>
      <c r="E258" s="116">
        <f t="shared" si="45"/>
        <v>99199.151881720434</v>
      </c>
      <c r="F258" s="117">
        <v>173890955</v>
      </c>
      <c r="G258" s="117">
        <f t="shared" si="46"/>
        <v>77908.133960573483</v>
      </c>
      <c r="H258" s="7"/>
      <c r="I258" s="109">
        <v>7.2938000000000001</v>
      </c>
      <c r="J258" s="117">
        <v>1268326</v>
      </c>
      <c r="K258" s="120">
        <f t="shared" si="44"/>
        <v>568.24641577060936</v>
      </c>
      <c r="L258" s="122">
        <f t="shared" si="40"/>
        <v>1738909.55</v>
      </c>
      <c r="M258" s="116">
        <f t="shared" si="41"/>
        <v>470583.55000000005</v>
      </c>
      <c r="N258" s="123">
        <f t="shared" si="42"/>
        <v>210.83492383512547</v>
      </c>
      <c r="O258" s="5"/>
      <c r="P258" s="5">
        <f t="shared" si="38"/>
        <v>1</v>
      </c>
      <c r="Q258" s="7">
        <f t="shared" si="39"/>
        <v>2232</v>
      </c>
    </row>
    <row r="259" spans="1:21">
      <c r="A259" s="23" t="s">
        <v>288</v>
      </c>
      <c r="B259" s="35" t="s">
        <v>284</v>
      </c>
      <c r="C259" s="36">
        <v>2602</v>
      </c>
      <c r="D259" s="113">
        <v>324585433</v>
      </c>
      <c r="E259" s="116">
        <f t="shared" si="45"/>
        <v>124744.59377401999</v>
      </c>
      <c r="F259" s="117">
        <v>265900358</v>
      </c>
      <c r="G259" s="117">
        <f t="shared" si="46"/>
        <v>102190.76018447349</v>
      </c>
      <c r="H259" s="7"/>
      <c r="I259" s="109">
        <v>4.7</v>
      </c>
      <c r="J259" s="117">
        <v>1249732</v>
      </c>
      <c r="K259" s="120">
        <f t="shared" si="44"/>
        <v>480.29669485011527</v>
      </c>
      <c r="L259" s="122">
        <f t="shared" si="40"/>
        <v>2659003.58</v>
      </c>
      <c r="M259" s="116">
        <f t="shared" si="41"/>
        <v>1409271.58</v>
      </c>
      <c r="N259" s="123">
        <f t="shared" si="42"/>
        <v>541.61090699461954</v>
      </c>
      <c r="O259" s="5"/>
      <c r="P259" s="5">
        <f t="shared" si="38"/>
        <v>1</v>
      </c>
      <c r="Q259" s="7">
        <f t="shared" si="39"/>
        <v>2602</v>
      </c>
    </row>
    <row r="260" spans="1:21">
      <c r="A260" s="23" t="s">
        <v>289</v>
      </c>
      <c r="B260" s="35" t="s">
        <v>284</v>
      </c>
      <c r="C260" s="36">
        <v>22</v>
      </c>
      <c r="D260" s="113">
        <v>1816090712</v>
      </c>
      <c r="E260" s="116">
        <f t="shared" si="45"/>
        <v>82549577.818181813</v>
      </c>
      <c r="F260" s="117">
        <v>1746114097</v>
      </c>
      <c r="G260" s="117">
        <f t="shared" si="46"/>
        <v>79368822.590909094</v>
      </c>
      <c r="H260" s="7"/>
      <c r="I260" s="109">
        <v>1.2924</v>
      </c>
      <c r="J260" s="117">
        <v>2256678</v>
      </c>
      <c r="K260" s="120">
        <f t="shared" si="44"/>
        <v>102576.27272727272</v>
      </c>
      <c r="L260" s="122">
        <f t="shared" si="40"/>
        <v>17461140.969999999</v>
      </c>
      <c r="M260" s="116">
        <f t="shared" si="41"/>
        <v>15204462.969999999</v>
      </c>
      <c r="N260" s="123">
        <f t="shared" si="42"/>
        <v>691111.95318181813</v>
      </c>
      <c r="O260" s="5"/>
      <c r="P260" s="5">
        <f t="shared" si="38"/>
        <v>1</v>
      </c>
      <c r="Q260" s="7">
        <f t="shared" si="39"/>
        <v>22</v>
      </c>
    </row>
    <row r="261" spans="1:21">
      <c r="A261" s="23" t="s">
        <v>290</v>
      </c>
      <c r="B261" s="35" t="s">
        <v>284</v>
      </c>
      <c r="C261" s="36">
        <v>15911</v>
      </c>
      <c r="D261" s="113">
        <v>2394044520</v>
      </c>
      <c r="E261" s="116">
        <f t="shared" si="45"/>
        <v>150464.74263088428</v>
      </c>
      <c r="F261" s="117">
        <v>1944209849</v>
      </c>
      <c r="G261" s="117">
        <f t="shared" si="46"/>
        <v>122192.81308528691</v>
      </c>
      <c r="H261" s="7"/>
      <c r="I261" s="109">
        <v>3.88</v>
      </c>
      <c r="J261" s="117">
        <v>7543534</v>
      </c>
      <c r="K261" s="120">
        <f t="shared" si="44"/>
        <v>474.10810131355663</v>
      </c>
      <c r="L261" s="122">
        <f t="shared" si="40"/>
        <v>19442098.490000002</v>
      </c>
      <c r="M261" s="116">
        <f t="shared" si="41"/>
        <v>11898564.490000002</v>
      </c>
      <c r="N261" s="123">
        <f t="shared" si="42"/>
        <v>747.8200295393126</v>
      </c>
      <c r="O261" s="5"/>
      <c r="P261" s="5">
        <f t="shared" ref="P261:P324" si="47">IF(I261&gt;0,1,0)</f>
        <v>1</v>
      </c>
      <c r="Q261" s="7">
        <f t="shared" ref="Q261:Q324" si="48">IF(I261&gt;0,C261,0)</f>
        <v>15911</v>
      </c>
    </row>
    <row r="262" spans="1:21">
      <c r="A262" s="23" t="s">
        <v>291</v>
      </c>
      <c r="B262" s="35" t="s">
        <v>284</v>
      </c>
      <c r="C262" s="36">
        <v>2534</v>
      </c>
      <c r="D262" s="113">
        <v>261672617</v>
      </c>
      <c r="E262" s="116">
        <f t="shared" si="45"/>
        <v>103264.64759273875</v>
      </c>
      <c r="F262" s="117">
        <v>194856282</v>
      </c>
      <c r="G262" s="117">
        <f t="shared" si="46"/>
        <v>76896.717442778216</v>
      </c>
      <c r="H262" s="7"/>
      <c r="I262" s="109">
        <v>6.75</v>
      </c>
      <c r="J262" s="117">
        <v>1315280</v>
      </c>
      <c r="K262" s="120">
        <f t="shared" si="44"/>
        <v>519.05288082083666</v>
      </c>
      <c r="L262" s="122">
        <f t="shared" si="40"/>
        <v>1948562.82</v>
      </c>
      <c r="M262" s="116">
        <f t="shared" si="41"/>
        <v>633282.82000000007</v>
      </c>
      <c r="N262" s="123">
        <f t="shared" si="42"/>
        <v>249.91429360694556</v>
      </c>
      <c r="O262" s="5"/>
      <c r="P262" s="5">
        <f t="shared" si="47"/>
        <v>1</v>
      </c>
      <c r="Q262" s="7">
        <f t="shared" si="48"/>
        <v>2534</v>
      </c>
    </row>
    <row r="263" spans="1:21">
      <c r="A263" s="23" t="s">
        <v>292</v>
      </c>
      <c r="B263" s="35" t="s">
        <v>284</v>
      </c>
      <c r="C263" s="36">
        <v>36947</v>
      </c>
      <c r="D263" s="113">
        <v>2406850348</v>
      </c>
      <c r="E263" s="116">
        <f t="shared" si="45"/>
        <v>65143.322813760249</v>
      </c>
      <c r="F263" s="117">
        <v>1657352575</v>
      </c>
      <c r="G263" s="117">
        <f t="shared" si="46"/>
        <v>44857.568273472811</v>
      </c>
      <c r="H263" s="7"/>
      <c r="I263" s="109">
        <v>5.8460000000000001</v>
      </c>
      <c r="J263" s="117">
        <v>9688883</v>
      </c>
      <c r="K263" s="120">
        <f t="shared" si="44"/>
        <v>262.23733997347551</v>
      </c>
      <c r="L263" s="122">
        <f t="shared" ref="L263:L326" si="49">(F263*0.01)</f>
        <v>16573525.75</v>
      </c>
      <c r="M263" s="116">
        <f t="shared" ref="M263:M326" si="50">(L263-J263)</f>
        <v>6884642.75</v>
      </c>
      <c r="N263" s="123">
        <f t="shared" ref="N263:N326" si="51">(M263/C263)</f>
        <v>186.33834276125262</v>
      </c>
      <c r="O263" s="5"/>
      <c r="P263" s="5">
        <f t="shared" si="47"/>
        <v>1</v>
      </c>
      <c r="Q263" s="7">
        <f t="shared" si="48"/>
        <v>36947</v>
      </c>
    </row>
    <row r="264" spans="1:21">
      <c r="A264" s="23" t="s">
        <v>293</v>
      </c>
      <c r="B264" s="35" t="s">
        <v>284</v>
      </c>
      <c r="C264" s="36">
        <v>245402</v>
      </c>
      <c r="D264" s="113">
        <v>28671589650</v>
      </c>
      <c r="E264" s="116">
        <f t="shared" si="45"/>
        <v>116835.19144098255</v>
      </c>
      <c r="F264" s="117">
        <v>18070656794</v>
      </c>
      <c r="G264" s="117">
        <f t="shared" si="46"/>
        <v>73636.958109550862</v>
      </c>
      <c r="H264" s="7"/>
      <c r="I264" s="109">
        <v>5.65</v>
      </c>
      <c r="J264" s="117">
        <v>102099211</v>
      </c>
      <c r="K264" s="120">
        <f t="shared" si="44"/>
        <v>416.04881378309875</v>
      </c>
      <c r="L264" s="122">
        <f t="shared" si="49"/>
        <v>180706567.94</v>
      </c>
      <c r="M264" s="116">
        <f t="shared" si="50"/>
        <v>78607356.939999998</v>
      </c>
      <c r="N264" s="123">
        <f t="shared" si="51"/>
        <v>320.32076731240983</v>
      </c>
      <c r="O264" s="5"/>
      <c r="P264" s="5">
        <f t="shared" si="47"/>
        <v>1</v>
      </c>
      <c r="Q264" s="7">
        <f t="shared" si="48"/>
        <v>245402</v>
      </c>
    </row>
    <row r="265" spans="1:21">
      <c r="A265" s="23" t="s">
        <v>294</v>
      </c>
      <c r="B265" s="35" t="s">
        <v>284</v>
      </c>
      <c r="C265" s="36">
        <v>2855</v>
      </c>
      <c r="D265" s="113">
        <v>662169670</v>
      </c>
      <c r="E265" s="116">
        <f t="shared" si="45"/>
        <v>231933.33450087564</v>
      </c>
      <c r="F265" s="117">
        <v>531782038</v>
      </c>
      <c r="G265" s="117">
        <f t="shared" si="46"/>
        <v>186263.41085814362</v>
      </c>
      <c r="H265" s="7"/>
      <c r="I265" s="109">
        <v>3.7896000000000001</v>
      </c>
      <c r="J265" s="117">
        <v>2015241</v>
      </c>
      <c r="K265" s="120">
        <f t="shared" si="44"/>
        <v>705.86374781085817</v>
      </c>
      <c r="L265" s="122">
        <f t="shared" si="49"/>
        <v>5317820.38</v>
      </c>
      <c r="M265" s="116">
        <f t="shared" si="50"/>
        <v>3302579.38</v>
      </c>
      <c r="N265" s="123">
        <f t="shared" si="51"/>
        <v>1156.7703607705778</v>
      </c>
      <c r="O265" s="5"/>
      <c r="P265" s="5">
        <f t="shared" si="47"/>
        <v>1</v>
      </c>
      <c r="Q265" s="7">
        <f t="shared" si="48"/>
        <v>2855</v>
      </c>
    </row>
    <row r="266" spans="1:21">
      <c r="A266" s="23" t="s">
        <v>295</v>
      </c>
      <c r="B266" s="35" t="s">
        <v>284</v>
      </c>
      <c r="C266" s="36">
        <v>36063</v>
      </c>
      <c r="D266" s="113">
        <v>2538614292</v>
      </c>
      <c r="E266" s="116">
        <f t="shared" si="45"/>
        <v>70393.874386490308</v>
      </c>
      <c r="F266" s="117">
        <v>1897929375</v>
      </c>
      <c r="G266" s="117">
        <f t="shared" si="46"/>
        <v>52628.161134680973</v>
      </c>
      <c r="H266" s="7"/>
      <c r="I266" s="109">
        <v>4.25</v>
      </c>
      <c r="J266" s="117">
        <v>8066200</v>
      </c>
      <c r="K266" s="120">
        <f t="shared" si="44"/>
        <v>223.66968915508971</v>
      </c>
      <c r="L266" s="122">
        <f t="shared" si="49"/>
        <v>18979293.75</v>
      </c>
      <c r="M266" s="116">
        <f t="shared" si="50"/>
        <v>10913093.75</v>
      </c>
      <c r="N266" s="123">
        <f t="shared" si="51"/>
        <v>302.61192219172005</v>
      </c>
      <c r="O266" s="5"/>
      <c r="P266" s="5">
        <f t="shared" si="47"/>
        <v>1</v>
      </c>
      <c r="Q266" s="7">
        <f t="shared" si="48"/>
        <v>36063</v>
      </c>
    </row>
    <row r="267" spans="1:21">
      <c r="A267" s="23" t="s">
        <v>296</v>
      </c>
      <c r="B267" s="35" t="s">
        <v>284</v>
      </c>
      <c r="C267" s="36">
        <v>27728</v>
      </c>
      <c r="D267" s="113">
        <v>4984573215</v>
      </c>
      <c r="E267" s="116">
        <f t="shared" si="45"/>
        <v>179766.77780582805</v>
      </c>
      <c r="F267" s="117">
        <v>3772543918</v>
      </c>
      <c r="G267" s="117">
        <f t="shared" si="46"/>
        <v>136055.39231102134</v>
      </c>
      <c r="H267" s="7"/>
      <c r="I267" s="109">
        <v>4.0922999999999998</v>
      </c>
      <c r="J267" s="117">
        <v>15438381</v>
      </c>
      <c r="K267" s="120">
        <f t="shared" si="44"/>
        <v>556.77946480092328</v>
      </c>
      <c r="L267" s="122">
        <f t="shared" si="49"/>
        <v>37725439.18</v>
      </c>
      <c r="M267" s="116">
        <f t="shared" si="50"/>
        <v>22287058.18</v>
      </c>
      <c r="N267" s="123">
        <f t="shared" si="51"/>
        <v>803.77445830929025</v>
      </c>
      <c r="O267" s="5"/>
      <c r="P267" s="5">
        <f t="shared" si="47"/>
        <v>1</v>
      </c>
      <c r="Q267" s="7">
        <f t="shared" si="48"/>
        <v>27728</v>
      </c>
      <c r="S267" s="124">
        <f>SUM(D255:D267)</f>
        <v>53076902438</v>
      </c>
      <c r="T267" s="124">
        <f>SUM(F255:F267)</f>
        <v>37745382317</v>
      </c>
      <c r="U267" s="124">
        <f>SUM(J255:J267)</f>
        <v>165650377</v>
      </c>
    </row>
    <row r="268" spans="1:21">
      <c r="A268" s="23" t="s">
        <v>297</v>
      </c>
      <c r="B268" s="35" t="s">
        <v>298</v>
      </c>
      <c r="C268" s="36">
        <v>62322</v>
      </c>
      <c r="D268" s="113">
        <v>3319636296</v>
      </c>
      <c r="E268" s="116">
        <f t="shared" si="45"/>
        <v>53265.88196784442</v>
      </c>
      <c r="F268" s="117">
        <v>2173487336</v>
      </c>
      <c r="G268" s="117">
        <f t="shared" si="46"/>
        <v>34875.121722666154</v>
      </c>
      <c r="H268" s="7"/>
      <c r="I268" s="109">
        <v>4.6253000000000002</v>
      </c>
      <c r="J268" s="117">
        <v>10053031</v>
      </c>
      <c r="K268" s="120">
        <f t="shared" si="44"/>
        <v>161.30790090176825</v>
      </c>
      <c r="L268" s="122">
        <f t="shared" si="49"/>
        <v>21734873.359999999</v>
      </c>
      <c r="M268" s="116">
        <f t="shared" si="50"/>
        <v>11681842.359999999</v>
      </c>
      <c r="N268" s="123">
        <f t="shared" si="51"/>
        <v>187.44331632489329</v>
      </c>
      <c r="O268" s="5"/>
      <c r="P268" s="5">
        <f t="shared" si="47"/>
        <v>1</v>
      </c>
      <c r="Q268" s="7">
        <f t="shared" si="48"/>
        <v>62322</v>
      </c>
    </row>
    <row r="269" spans="1:21">
      <c r="A269" s="24" t="s">
        <v>546</v>
      </c>
      <c r="B269" s="35" t="s">
        <v>298</v>
      </c>
      <c r="C269" s="36">
        <v>37723</v>
      </c>
      <c r="D269" s="113">
        <v>2034190387</v>
      </c>
      <c r="E269" s="116">
        <f t="shared" si="45"/>
        <v>53924.406515918672</v>
      </c>
      <c r="F269" s="117">
        <v>1166282993</v>
      </c>
      <c r="G269" s="117">
        <f t="shared" si="46"/>
        <v>30917.026562044375</v>
      </c>
      <c r="H269" s="7"/>
      <c r="I269" s="109">
        <v>4.9127999999999998</v>
      </c>
      <c r="J269" s="117">
        <v>5729715</v>
      </c>
      <c r="K269" s="120">
        <f t="shared" si="44"/>
        <v>151.88916576094161</v>
      </c>
      <c r="L269" s="122">
        <f t="shared" si="49"/>
        <v>11662829.93</v>
      </c>
      <c r="M269" s="116">
        <f t="shared" si="50"/>
        <v>5933114.9299999997</v>
      </c>
      <c r="N269" s="123">
        <f t="shared" si="51"/>
        <v>157.28109985950215</v>
      </c>
      <c r="O269" s="5"/>
      <c r="P269" s="5">
        <f t="shared" si="47"/>
        <v>1</v>
      </c>
      <c r="Q269" s="7">
        <f t="shared" si="48"/>
        <v>37723</v>
      </c>
      <c r="S269" s="124">
        <f>SUM(D268:D269)</f>
        <v>5353826683</v>
      </c>
      <c r="T269" s="124">
        <f>SUM(F268:F269)</f>
        <v>3339770329</v>
      </c>
      <c r="U269" s="124">
        <f>SUM(J268:J269)</f>
        <v>15782746</v>
      </c>
    </row>
    <row r="270" spans="1:21">
      <c r="A270" s="23" t="s">
        <v>299</v>
      </c>
      <c r="B270" s="35" t="s">
        <v>300</v>
      </c>
      <c r="C270" s="36">
        <v>2017</v>
      </c>
      <c r="D270" s="113">
        <v>453696928</v>
      </c>
      <c r="E270" s="116">
        <f t="shared" si="45"/>
        <v>224936.50371839365</v>
      </c>
      <c r="F270" s="117">
        <v>394440914</v>
      </c>
      <c r="G270" s="117">
        <f t="shared" si="46"/>
        <v>195558.21219633118</v>
      </c>
      <c r="H270" s="7"/>
      <c r="I270" s="109">
        <v>7.4276999999999997</v>
      </c>
      <c r="J270" s="117">
        <v>2929789</v>
      </c>
      <c r="K270" s="120">
        <f t="shared" si="44"/>
        <v>1452.5478433316807</v>
      </c>
      <c r="L270" s="122">
        <f t="shared" si="49"/>
        <v>3944409.14</v>
      </c>
      <c r="M270" s="116">
        <f t="shared" si="50"/>
        <v>1014620.1400000001</v>
      </c>
      <c r="N270" s="123">
        <f t="shared" si="51"/>
        <v>503.0342786316312</v>
      </c>
      <c r="O270" s="5"/>
      <c r="P270" s="5">
        <f t="shared" si="47"/>
        <v>1</v>
      </c>
      <c r="Q270" s="7">
        <f t="shared" si="48"/>
        <v>2017</v>
      </c>
    </row>
    <row r="271" spans="1:21">
      <c r="A271" s="23" t="s">
        <v>301</v>
      </c>
      <c r="B271" s="35" t="s">
        <v>300</v>
      </c>
      <c r="C271" s="36">
        <v>17722</v>
      </c>
      <c r="D271" s="113">
        <v>450063694</v>
      </c>
      <c r="E271" s="116">
        <f t="shared" si="45"/>
        <v>25395.761990745967</v>
      </c>
      <c r="F271" s="117">
        <v>256777038</v>
      </c>
      <c r="G271" s="117">
        <f t="shared" si="46"/>
        <v>14489.168152578715</v>
      </c>
      <c r="H271" s="7"/>
      <c r="I271" s="109">
        <v>6.5419</v>
      </c>
      <c r="J271" s="117">
        <v>1679810</v>
      </c>
      <c r="K271" s="120">
        <f t="shared" si="44"/>
        <v>94.786705789414285</v>
      </c>
      <c r="L271" s="122">
        <f t="shared" si="49"/>
        <v>2567770.38</v>
      </c>
      <c r="M271" s="116">
        <f t="shared" si="50"/>
        <v>887960.37999999989</v>
      </c>
      <c r="N271" s="123">
        <f t="shared" si="51"/>
        <v>50.104975736372865</v>
      </c>
      <c r="O271" s="5"/>
      <c r="P271" s="5">
        <f t="shared" si="47"/>
        <v>1</v>
      </c>
      <c r="Q271" s="7">
        <f t="shared" si="48"/>
        <v>17722</v>
      </c>
    </row>
    <row r="272" spans="1:21">
      <c r="A272" s="23" t="s">
        <v>302</v>
      </c>
      <c r="B272" s="35" t="s">
        <v>300</v>
      </c>
      <c r="C272" s="36">
        <v>85413</v>
      </c>
      <c r="D272" s="113">
        <v>20698142609</v>
      </c>
      <c r="E272" s="116">
        <f t="shared" si="45"/>
        <v>242330.12081299099</v>
      </c>
      <c r="F272" s="117">
        <v>16588217273</v>
      </c>
      <c r="G272" s="117">
        <f t="shared" si="46"/>
        <v>194211.85619285121</v>
      </c>
      <c r="H272" s="9"/>
      <c r="I272" s="109">
        <v>3.41</v>
      </c>
      <c r="J272" s="117">
        <v>56565821</v>
      </c>
      <c r="K272" s="120">
        <f t="shared" si="44"/>
        <v>662.26243077751633</v>
      </c>
      <c r="L272" s="122">
        <f t="shared" si="49"/>
        <v>165882172.72999999</v>
      </c>
      <c r="M272" s="116">
        <f t="shared" si="50"/>
        <v>109316351.72999999</v>
      </c>
      <c r="N272" s="123">
        <f t="shared" si="51"/>
        <v>1279.8561311509957</v>
      </c>
      <c r="O272" s="5"/>
      <c r="P272" s="5">
        <f t="shared" si="47"/>
        <v>1</v>
      </c>
      <c r="Q272" s="7">
        <f t="shared" si="48"/>
        <v>85413</v>
      </c>
    </row>
    <row r="273" spans="1:17">
      <c r="A273" s="23" t="s">
        <v>303</v>
      </c>
      <c r="B273" s="35" t="s">
        <v>300</v>
      </c>
      <c r="C273" s="36">
        <v>68741</v>
      </c>
      <c r="D273" s="113">
        <v>5036721631</v>
      </c>
      <c r="E273" s="116">
        <f t="shared" si="45"/>
        <v>73270.99738147539</v>
      </c>
      <c r="F273" s="117">
        <v>3677646538</v>
      </c>
      <c r="G273" s="117">
        <f t="shared" si="46"/>
        <v>53500.04419487642</v>
      </c>
      <c r="H273" s="9"/>
      <c r="I273" s="109">
        <v>7.6</v>
      </c>
      <c r="J273" s="117">
        <v>27950114</v>
      </c>
      <c r="K273" s="120">
        <f t="shared" si="44"/>
        <v>406.60034040819892</v>
      </c>
      <c r="L273" s="122">
        <f t="shared" si="49"/>
        <v>36776465.380000003</v>
      </c>
      <c r="M273" s="116">
        <f t="shared" si="50"/>
        <v>8826351.3800000027</v>
      </c>
      <c r="N273" s="123">
        <f t="shared" si="51"/>
        <v>128.40010154056534</v>
      </c>
      <c r="O273" s="5"/>
      <c r="P273" s="5">
        <f t="shared" si="47"/>
        <v>1</v>
      </c>
      <c r="Q273" s="7">
        <f t="shared" si="48"/>
        <v>68741</v>
      </c>
    </row>
    <row r="274" spans="1:17">
      <c r="A274" s="23" t="s">
        <v>304</v>
      </c>
      <c r="B274" s="35" t="s">
        <v>300</v>
      </c>
      <c r="C274" s="36">
        <v>604</v>
      </c>
      <c r="D274" s="113">
        <v>47738984</v>
      </c>
      <c r="E274" s="116">
        <f t="shared" si="45"/>
        <v>79038.052980132445</v>
      </c>
      <c r="F274" s="117">
        <v>36168060</v>
      </c>
      <c r="G274" s="117">
        <f t="shared" si="46"/>
        <v>59880.894039735096</v>
      </c>
      <c r="H274" s="9"/>
      <c r="I274" s="109">
        <v>10</v>
      </c>
      <c r="J274" s="117">
        <v>361681</v>
      </c>
      <c r="K274" s="120">
        <f t="shared" si="44"/>
        <v>598.80960264900659</v>
      </c>
      <c r="L274" s="122">
        <f t="shared" si="49"/>
        <v>361680.60000000003</v>
      </c>
      <c r="M274" s="116">
        <f t="shared" si="50"/>
        <v>-0.3999999999650754</v>
      </c>
      <c r="N274" s="123">
        <f t="shared" si="51"/>
        <v>-6.6225165557131694E-4</v>
      </c>
      <c r="O274" s="5"/>
      <c r="P274" s="5">
        <f t="shared" si="47"/>
        <v>1</v>
      </c>
      <c r="Q274" s="7">
        <f t="shared" si="48"/>
        <v>604</v>
      </c>
    </row>
    <row r="275" spans="1:17">
      <c r="A275" s="23" t="s">
        <v>305</v>
      </c>
      <c r="B275" s="35" t="s">
        <v>300</v>
      </c>
      <c r="C275" s="36">
        <v>133</v>
      </c>
      <c r="D275" s="114" t="s">
        <v>564</v>
      </c>
      <c r="E275" s="116"/>
      <c r="F275" s="117"/>
      <c r="G275" s="117"/>
      <c r="H275" s="98" t="s">
        <v>588</v>
      </c>
      <c r="I275" s="110"/>
      <c r="J275" s="117"/>
      <c r="K275" s="120"/>
      <c r="L275" s="122">
        <f t="shared" si="49"/>
        <v>0</v>
      </c>
      <c r="M275" s="116">
        <f t="shared" si="50"/>
        <v>0</v>
      </c>
      <c r="N275" s="123">
        <f t="shared" si="51"/>
        <v>0</v>
      </c>
      <c r="O275" s="5"/>
      <c r="P275" s="5">
        <f t="shared" si="47"/>
        <v>0</v>
      </c>
      <c r="Q275" s="7">
        <f t="shared" si="48"/>
        <v>0</v>
      </c>
    </row>
    <row r="276" spans="1:17">
      <c r="A276" s="23" t="s">
        <v>306</v>
      </c>
      <c r="B276" s="35" t="s">
        <v>300</v>
      </c>
      <c r="C276" s="36">
        <v>61495</v>
      </c>
      <c r="D276" s="113">
        <v>7998166069</v>
      </c>
      <c r="E276" s="116">
        <f t="shared" si="45"/>
        <v>130062.05494755671</v>
      </c>
      <c r="F276" s="117">
        <v>6207019373</v>
      </c>
      <c r="G276" s="117">
        <f t="shared" si="46"/>
        <v>100935.35040247174</v>
      </c>
      <c r="H276" s="9"/>
      <c r="I276" s="109">
        <v>7.1992000000000003</v>
      </c>
      <c r="J276" s="117">
        <v>44685574</v>
      </c>
      <c r="K276" s="120">
        <f>(J276/C276)</f>
        <v>726.65377672981538</v>
      </c>
      <c r="L276" s="122">
        <f t="shared" si="49"/>
        <v>62070193.730000004</v>
      </c>
      <c r="M276" s="116">
        <f t="shared" si="50"/>
        <v>17384619.730000004</v>
      </c>
      <c r="N276" s="123">
        <f t="shared" si="51"/>
        <v>282.69972729490212</v>
      </c>
      <c r="O276" s="5"/>
      <c r="P276" s="5">
        <f t="shared" si="47"/>
        <v>1</v>
      </c>
      <c r="Q276" s="7">
        <f t="shared" si="48"/>
        <v>61495</v>
      </c>
    </row>
    <row r="277" spans="1:17">
      <c r="A277" s="23" t="s">
        <v>307</v>
      </c>
      <c r="B277" s="35" t="s">
        <v>300</v>
      </c>
      <c r="C277" s="36">
        <v>220</v>
      </c>
      <c r="D277" s="114" t="s">
        <v>564</v>
      </c>
      <c r="E277" s="116"/>
      <c r="F277" s="117"/>
      <c r="G277" s="117"/>
      <c r="H277" s="98" t="s">
        <v>588</v>
      </c>
      <c r="I277" s="111"/>
      <c r="J277" s="117"/>
      <c r="K277" s="120"/>
      <c r="L277" s="122">
        <f t="shared" si="49"/>
        <v>0</v>
      </c>
      <c r="M277" s="116">
        <f t="shared" si="50"/>
        <v>0</v>
      </c>
      <c r="N277" s="123">
        <f t="shared" si="51"/>
        <v>0</v>
      </c>
      <c r="O277" s="5"/>
      <c r="P277" s="5">
        <f t="shared" si="47"/>
        <v>0</v>
      </c>
      <c r="Q277" s="7">
        <f t="shared" si="48"/>
        <v>0</v>
      </c>
    </row>
    <row r="278" spans="1:17">
      <c r="A278" s="23" t="s">
        <v>308</v>
      </c>
      <c r="B278" s="35" t="s">
        <v>300</v>
      </c>
      <c r="C278" s="36">
        <v>252</v>
      </c>
      <c r="D278" s="113">
        <v>142196127</v>
      </c>
      <c r="E278" s="116">
        <f t="shared" si="45"/>
        <v>564270.34523809527</v>
      </c>
      <c r="F278" s="117">
        <v>119898703</v>
      </c>
      <c r="G278" s="117">
        <f t="shared" si="46"/>
        <v>475788.50396825396</v>
      </c>
      <c r="H278" s="9"/>
      <c r="I278" s="109">
        <v>7.5015999999999998</v>
      </c>
      <c r="J278" s="117">
        <v>899432</v>
      </c>
      <c r="K278" s="120">
        <f>(J278/C278)</f>
        <v>3569.1746031746034</v>
      </c>
      <c r="L278" s="122">
        <f t="shared" si="49"/>
        <v>1198987.03</v>
      </c>
      <c r="M278" s="116">
        <f t="shared" si="50"/>
        <v>299555.03000000003</v>
      </c>
      <c r="N278" s="123">
        <f t="shared" si="51"/>
        <v>1188.7104365079367</v>
      </c>
      <c r="O278" s="5"/>
      <c r="P278" s="5">
        <f t="shared" si="47"/>
        <v>1</v>
      </c>
      <c r="Q278" s="7">
        <f t="shared" si="48"/>
        <v>252</v>
      </c>
    </row>
    <row r="279" spans="1:17">
      <c r="A279" s="23" t="s">
        <v>309</v>
      </c>
      <c r="B279" s="35" t="s">
        <v>300</v>
      </c>
      <c r="C279" s="36">
        <v>38079</v>
      </c>
      <c r="D279" s="113">
        <v>1656239281</v>
      </c>
      <c r="E279" s="116">
        <f t="shared" si="45"/>
        <v>43494.820793613275</v>
      </c>
      <c r="F279" s="117">
        <v>1136699872</v>
      </c>
      <c r="G279" s="117">
        <f t="shared" si="46"/>
        <v>29851.095669529135</v>
      </c>
      <c r="H279" s="7"/>
      <c r="I279" s="109">
        <v>5.65</v>
      </c>
      <c r="J279" s="117">
        <v>6422354</v>
      </c>
      <c r="K279" s="120">
        <f t="shared" ref="K279:K342" si="52">(J279/C279)</f>
        <v>168.65868326374118</v>
      </c>
      <c r="L279" s="122">
        <f t="shared" si="49"/>
        <v>11366998.720000001</v>
      </c>
      <c r="M279" s="116">
        <f t="shared" si="50"/>
        <v>4944644.7200000007</v>
      </c>
      <c r="N279" s="123">
        <f t="shared" si="51"/>
        <v>129.8522734315502</v>
      </c>
      <c r="O279" s="5"/>
      <c r="P279" s="5">
        <f t="shared" si="47"/>
        <v>1</v>
      </c>
      <c r="Q279" s="7">
        <f t="shared" si="48"/>
        <v>38079</v>
      </c>
    </row>
    <row r="280" spans="1:17">
      <c r="A280" s="23" t="s">
        <v>310</v>
      </c>
      <c r="B280" s="35" t="s">
        <v>300</v>
      </c>
      <c r="C280" s="36">
        <v>928</v>
      </c>
      <c r="D280" s="113">
        <v>860415305</v>
      </c>
      <c r="E280" s="116">
        <f t="shared" si="45"/>
        <v>927171.66487068962</v>
      </c>
      <c r="F280" s="117">
        <v>729164514</v>
      </c>
      <c r="G280" s="117">
        <f t="shared" si="46"/>
        <v>785737.62284482759</v>
      </c>
      <c r="H280" s="7"/>
      <c r="I280" s="109">
        <v>3.1</v>
      </c>
      <c r="J280" s="117">
        <v>2260410</v>
      </c>
      <c r="K280" s="120">
        <f t="shared" si="52"/>
        <v>2435.7866379310344</v>
      </c>
      <c r="L280" s="122">
        <f t="shared" si="49"/>
        <v>7291645.1400000006</v>
      </c>
      <c r="M280" s="116">
        <f t="shared" si="50"/>
        <v>5031235.1400000006</v>
      </c>
      <c r="N280" s="123">
        <f t="shared" si="51"/>
        <v>5421.589590517242</v>
      </c>
      <c r="O280" s="5"/>
      <c r="P280" s="5">
        <f t="shared" si="47"/>
        <v>1</v>
      </c>
      <c r="Q280" s="7">
        <f t="shared" si="48"/>
        <v>928</v>
      </c>
    </row>
    <row r="281" spans="1:17">
      <c r="A281" s="23" t="s">
        <v>311</v>
      </c>
      <c r="B281" s="35" t="s">
        <v>300</v>
      </c>
      <c r="C281" s="36">
        <v>1885</v>
      </c>
      <c r="D281" s="113">
        <v>95271440</v>
      </c>
      <c r="E281" s="116">
        <f t="shared" si="45"/>
        <v>50541.87798408488</v>
      </c>
      <c r="F281" s="117">
        <v>61855653</v>
      </c>
      <c r="G281" s="117">
        <f t="shared" si="46"/>
        <v>32814.6700265252</v>
      </c>
      <c r="H281" s="7"/>
      <c r="I281" s="109">
        <v>4</v>
      </c>
      <c r="J281" s="117">
        <v>247423</v>
      </c>
      <c r="K281" s="120">
        <f t="shared" si="52"/>
        <v>131.25888594164456</v>
      </c>
      <c r="L281" s="122">
        <f t="shared" si="49"/>
        <v>618556.53</v>
      </c>
      <c r="M281" s="116">
        <f t="shared" si="50"/>
        <v>371133.53</v>
      </c>
      <c r="N281" s="123">
        <f t="shared" si="51"/>
        <v>196.88781432360744</v>
      </c>
      <c r="O281" s="5"/>
      <c r="P281" s="5">
        <f t="shared" si="47"/>
        <v>1</v>
      </c>
      <c r="Q281" s="7">
        <f t="shared" si="48"/>
        <v>1885</v>
      </c>
    </row>
    <row r="282" spans="1:17">
      <c r="A282" s="23" t="s">
        <v>312</v>
      </c>
      <c r="B282" s="35" t="s">
        <v>300</v>
      </c>
      <c r="C282" s="36">
        <v>3629</v>
      </c>
      <c r="D282" s="113">
        <v>1966422907</v>
      </c>
      <c r="E282" s="116">
        <f t="shared" si="45"/>
        <v>541863.57316065033</v>
      </c>
      <c r="F282" s="117">
        <v>1752273484</v>
      </c>
      <c r="G282" s="117">
        <f t="shared" si="46"/>
        <v>482852.98539542576</v>
      </c>
      <c r="H282" s="7"/>
      <c r="I282" s="109">
        <v>3.95</v>
      </c>
      <c r="J282" s="117">
        <v>6921480</v>
      </c>
      <c r="K282" s="120">
        <f t="shared" si="52"/>
        <v>1907.269220170846</v>
      </c>
      <c r="L282" s="122">
        <f t="shared" si="49"/>
        <v>17522734.84</v>
      </c>
      <c r="M282" s="116">
        <f t="shared" si="50"/>
        <v>10601254.84</v>
      </c>
      <c r="N282" s="123">
        <f t="shared" si="51"/>
        <v>2921.2606337834113</v>
      </c>
      <c r="O282" s="5"/>
      <c r="P282" s="5">
        <f t="shared" si="47"/>
        <v>1</v>
      </c>
      <c r="Q282" s="7">
        <f t="shared" si="48"/>
        <v>3629</v>
      </c>
    </row>
    <row r="283" spans="1:17">
      <c r="A283" s="23" t="s">
        <v>313</v>
      </c>
      <c r="B283" s="35" t="s">
        <v>300</v>
      </c>
      <c r="C283" s="36">
        <v>2631</v>
      </c>
      <c r="D283" s="113">
        <v>303734933</v>
      </c>
      <c r="E283" s="116">
        <f t="shared" si="45"/>
        <v>115444.67236792094</v>
      </c>
      <c r="F283" s="117">
        <v>245063868</v>
      </c>
      <c r="G283" s="117">
        <f t="shared" si="46"/>
        <v>93144.76168757127</v>
      </c>
      <c r="H283" s="7"/>
      <c r="I283" s="109">
        <v>3.9</v>
      </c>
      <c r="J283" s="117">
        <v>955749</v>
      </c>
      <c r="K283" s="120">
        <f t="shared" si="52"/>
        <v>363.26453819840367</v>
      </c>
      <c r="L283" s="122">
        <f t="shared" si="49"/>
        <v>2450638.6800000002</v>
      </c>
      <c r="M283" s="116">
        <f t="shared" si="50"/>
        <v>1494889.6800000002</v>
      </c>
      <c r="N283" s="123">
        <f t="shared" si="51"/>
        <v>568.18307867730903</v>
      </c>
      <c r="O283" s="5"/>
      <c r="P283" s="5">
        <f t="shared" si="47"/>
        <v>1</v>
      </c>
      <c r="Q283" s="7">
        <f t="shared" si="48"/>
        <v>2631</v>
      </c>
    </row>
    <row r="284" spans="1:17">
      <c r="A284" s="23" t="s">
        <v>314</v>
      </c>
      <c r="B284" s="35" t="s">
        <v>300</v>
      </c>
      <c r="C284" s="36">
        <v>3233</v>
      </c>
      <c r="D284" s="113">
        <v>1115189776</v>
      </c>
      <c r="E284" s="116">
        <f t="shared" si="45"/>
        <v>344939.6152180637</v>
      </c>
      <c r="F284" s="117">
        <v>930632595</v>
      </c>
      <c r="G284" s="117">
        <f t="shared" si="46"/>
        <v>287854.189607176</v>
      </c>
      <c r="H284" s="7"/>
      <c r="I284" s="109">
        <v>2.8786</v>
      </c>
      <c r="J284" s="117">
        <v>2678919</v>
      </c>
      <c r="K284" s="120">
        <f t="shared" si="52"/>
        <v>828.61707392514688</v>
      </c>
      <c r="L284" s="122">
        <f t="shared" si="49"/>
        <v>9306325.9500000011</v>
      </c>
      <c r="M284" s="116">
        <f t="shared" si="50"/>
        <v>6627406.9500000011</v>
      </c>
      <c r="N284" s="123">
        <f t="shared" si="51"/>
        <v>2049.9248221466132</v>
      </c>
      <c r="O284" s="5"/>
      <c r="P284" s="5">
        <f t="shared" si="47"/>
        <v>1</v>
      </c>
      <c r="Q284" s="7">
        <f t="shared" si="48"/>
        <v>3233</v>
      </c>
    </row>
    <row r="285" spans="1:17">
      <c r="A285" s="23" t="s">
        <v>315</v>
      </c>
      <c r="B285" s="35" t="s">
        <v>300</v>
      </c>
      <c r="C285" s="36">
        <v>56337</v>
      </c>
      <c r="D285" s="113">
        <v>9052504291</v>
      </c>
      <c r="E285" s="116">
        <f t="shared" si="45"/>
        <v>160684.88366437689</v>
      </c>
      <c r="F285" s="117">
        <v>7226449945</v>
      </c>
      <c r="G285" s="117">
        <f t="shared" si="46"/>
        <v>128271.8274846016</v>
      </c>
      <c r="H285" s="7"/>
      <c r="I285" s="109">
        <v>2.5142000000000002</v>
      </c>
      <c r="J285" s="117">
        <v>18168740</v>
      </c>
      <c r="K285" s="120">
        <f t="shared" si="52"/>
        <v>322.50102064362676</v>
      </c>
      <c r="L285" s="122">
        <f t="shared" si="49"/>
        <v>72264499.450000003</v>
      </c>
      <c r="M285" s="116">
        <f t="shared" si="50"/>
        <v>54095759.450000003</v>
      </c>
      <c r="N285" s="123">
        <f t="shared" si="51"/>
        <v>960.2172542023892</v>
      </c>
      <c r="O285" s="5"/>
      <c r="P285" s="5">
        <f t="shared" si="47"/>
        <v>1</v>
      </c>
      <c r="Q285" s="7">
        <f t="shared" si="48"/>
        <v>56337</v>
      </c>
    </row>
    <row r="286" spans="1:17">
      <c r="A286" s="23" t="s">
        <v>316</v>
      </c>
      <c r="B286" s="35" t="s">
        <v>300</v>
      </c>
      <c r="C286" s="36">
        <v>398</v>
      </c>
      <c r="D286" s="113">
        <v>276611880</v>
      </c>
      <c r="E286" s="116">
        <f t="shared" ref="E286:E349" si="53">(D286/C286)</f>
        <v>695004.7236180905</v>
      </c>
      <c r="F286" s="117">
        <v>226389296</v>
      </c>
      <c r="G286" s="117">
        <f t="shared" ref="G286:G349" si="54">(F286/C286)</f>
        <v>568817.32663316582</v>
      </c>
      <c r="H286" s="7"/>
      <c r="I286" s="109">
        <v>4.7</v>
      </c>
      <c r="J286" s="117">
        <v>1064030</v>
      </c>
      <c r="K286" s="120">
        <f t="shared" si="52"/>
        <v>2673.4422110552764</v>
      </c>
      <c r="L286" s="122">
        <f t="shared" si="49"/>
        <v>2263892.96</v>
      </c>
      <c r="M286" s="116">
        <f t="shared" si="50"/>
        <v>1199862.96</v>
      </c>
      <c r="N286" s="123">
        <f t="shared" si="51"/>
        <v>3014.731055276382</v>
      </c>
      <c r="O286" s="5"/>
      <c r="P286" s="5">
        <f t="shared" si="47"/>
        <v>1</v>
      </c>
      <c r="Q286" s="7">
        <f t="shared" si="48"/>
        <v>398</v>
      </c>
    </row>
    <row r="287" spans="1:17">
      <c r="A287" s="23" t="s">
        <v>317</v>
      </c>
      <c r="B287" s="35" t="s">
        <v>300</v>
      </c>
      <c r="C287" s="36">
        <v>3359</v>
      </c>
      <c r="D287" s="113">
        <v>258881441</v>
      </c>
      <c r="E287" s="116">
        <f t="shared" si="53"/>
        <v>77070.98571003275</v>
      </c>
      <c r="F287" s="117">
        <v>181938445</v>
      </c>
      <c r="G287" s="117">
        <f t="shared" si="54"/>
        <v>54164.467103304552</v>
      </c>
      <c r="H287" s="7"/>
      <c r="I287" s="109">
        <v>6.2797999999999998</v>
      </c>
      <c r="J287" s="117">
        <v>1142537</v>
      </c>
      <c r="K287" s="120">
        <f t="shared" si="52"/>
        <v>340.14200654956835</v>
      </c>
      <c r="L287" s="122">
        <f t="shared" si="49"/>
        <v>1819384.45</v>
      </c>
      <c r="M287" s="116">
        <f t="shared" si="50"/>
        <v>676847.45</v>
      </c>
      <c r="N287" s="123">
        <f t="shared" si="51"/>
        <v>201.50266448347722</v>
      </c>
      <c r="O287" s="5"/>
      <c r="P287" s="5">
        <f t="shared" si="47"/>
        <v>1</v>
      </c>
      <c r="Q287" s="7">
        <f t="shared" si="48"/>
        <v>3359</v>
      </c>
    </row>
    <row r="288" spans="1:17">
      <c r="A288" s="23" t="s">
        <v>318</v>
      </c>
      <c r="B288" s="35" t="s">
        <v>300</v>
      </c>
      <c r="C288" s="36">
        <v>8272</v>
      </c>
      <c r="D288" s="113">
        <v>550972240</v>
      </c>
      <c r="E288" s="116">
        <f t="shared" si="53"/>
        <v>66606.895551257257</v>
      </c>
      <c r="F288" s="117">
        <v>430557630</v>
      </c>
      <c r="G288" s="117">
        <f t="shared" si="54"/>
        <v>52050.003626692458</v>
      </c>
      <c r="H288" s="7"/>
      <c r="I288" s="109">
        <v>8.5</v>
      </c>
      <c r="J288" s="117">
        <v>3659740</v>
      </c>
      <c r="K288" s="120">
        <f t="shared" si="52"/>
        <v>442.42504835589943</v>
      </c>
      <c r="L288" s="122">
        <f t="shared" si="49"/>
        <v>4305576.3</v>
      </c>
      <c r="M288" s="116">
        <f t="shared" si="50"/>
        <v>645836.29999999981</v>
      </c>
      <c r="N288" s="123">
        <f t="shared" si="51"/>
        <v>78.074987911025119</v>
      </c>
      <c r="O288" s="5"/>
      <c r="P288" s="5">
        <f t="shared" si="47"/>
        <v>1</v>
      </c>
      <c r="Q288" s="7">
        <f t="shared" si="48"/>
        <v>8272</v>
      </c>
    </row>
    <row r="289" spans="1:17">
      <c r="A289" s="24" t="s">
        <v>628</v>
      </c>
      <c r="B289" s="35" t="s">
        <v>300</v>
      </c>
      <c r="C289" s="36">
        <v>35110</v>
      </c>
      <c r="D289" s="113">
        <v>1547497231</v>
      </c>
      <c r="E289" s="116">
        <f t="shared" si="53"/>
        <v>44075.683024779268</v>
      </c>
      <c r="F289" s="117">
        <v>1044570748</v>
      </c>
      <c r="G289" s="117">
        <f t="shared" si="54"/>
        <v>29751.374195385932</v>
      </c>
      <c r="H289" s="7"/>
      <c r="I289" s="109">
        <v>5.4945000000000004</v>
      </c>
      <c r="J289" s="117">
        <v>5739394</v>
      </c>
      <c r="K289" s="120">
        <f t="shared" si="52"/>
        <v>163.46892623184277</v>
      </c>
      <c r="L289" s="122">
        <f t="shared" si="49"/>
        <v>10445707.48</v>
      </c>
      <c r="M289" s="116">
        <f t="shared" si="50"/>
        <v>4706313.4800000004</v>
      </c>
      <c r="N289" s="123">
        <f t="shared" si="51"/>
        <v>134.04481572201652</v>
      </c>
      <c r="O289" s="5"/>
      <c r="P289" s="5">
        <f t="shared" si="47"/>
        <v>1</v>
      </c>
      <c r="Q289" s="7">
        <f t="shared" si="48"/>
        <v>35110</v>
      </c>
    </row>
    <row r="290" spans="1:17">
      <c r="A290" s="23" t="s">
        <v>319</v>
      </c>
      <c r="B290" s="35" t="s">
        <v>300</v>
      </c>
      <c r="C290" s="36">
        <v>10536</v>
      </c>
      <c r="D290" s="113">
        <v>921775729</v>
      </c>
      <c r="E290" s="116">
        <f t="shared" si="53"/>
        <v>87488.205106302208</v>
      </c>
      <c r="F290" s="117">
        <v>678145600</v>
      </c>
      <c r="G290" s="117">
        <f t="shared" si="54"/>
        <v>64364.616552771447</v>
      </c>
      <c r="H290" s="7"/>
      <c r="I290" s="109">
        <v>3.2395</v>
      </c>
      <c r="J290" s="117">
        <v>2196853</v>
      </c>
      <c r="K290" s="120">
        <f t="shared" si="52"/>
        <v>208.50920652999241</v>
      </c>
      <c r="L290" s="122">
        <f t="shared" si="49"/>
        <v>6781456</v>
      </c>
      <c r="M290" s="116">
        <f t="shared" si="50"/>
        <v>4584603</v>
      </c>
      <c r="N290" s="123">
        <f t="shared" si="51"/>
        <v>435.1369589977221</v>
      </c>
      <c r="O290" s="5"/>
      <c r="P290" s="5">
        <f t="shared" si="47"/>
        <v>1</v>
      </c>
      <c r="Q290" s="7">
        <f t="shared" si="48"/>
        <v>10536</v>
      </c>
    </row>
    <row r="291" spans="1:17">
      <c r="A291" s="23" t="s">
        <v>531</v>
      </c>
      <c r="B291" s="35" t="s">
        <v>300</v>
      </c>
      <c r="C291" s="36">
        <v>3173</v>
      </c>
      <c r="D291" s="113">
        <v>313126441</v>
      </c>
      <c r="E291" s="116">
        <f t="shared" si="53"/>
        <v>98684.664670658676</v>
      </c>
      <c r="F291" s="117">
        <v>179915488</v>
      </c>
      <c r="G291" s="117">
        <f t="shared" si="54"/>
        <v>56702.013236684528</v>
      </c>
      <c r="H291" s="9"/>
      <c r="I291" s="109">
        <v>1.2</v>
      </c>
      <c r="J291" s="117">
        <v>215899</v>
      </c>
      <c r="K291" s="120">
        <f t="shared" si="52"/>
        <v>68.042546485975421</v>
      </c>
      <c r="L291" s="122">
        <f t="shared" si="49"/>
        <v>1799154.8800000001</v>
      </c>
      <c r="M291" s="116">
        <f t="shared" si="50"/>
        <v>1583255.8800000001</v>
      </c>
      <c r="N291" s="123">
        <f t="shared" si="51"/>
        <v>498.97758588086987</v>
      </c>
      <c r="O291" s="5"/>
      <c r="P291" s="5">
        <f t="shared" si="47"/>
        <v>1</v>
      </c>
      <c r="Q291" s="7">
        <f t="shared" si="48"/>
        <v>3173</v>
      </c>
    </row>
    <row r="292" spans="1:17">
      <c r="A292" s="23" t="s">
        <v>320</v>
      </c>
      <c r="B292" s="35" t="s">
        <v>300</v>
      </c>
      <c r="C292" s="36">
        <v>410</v>
      </c>
      <c r="D292" s="113">
        <v>878082874</v>
      </c>
      <c r="E292" s="116">
        <f t="shared" si="53"/>
        <v>2141665.5463414635</v>
      </c>
      <c r="F292" s="117">
        <v>839909427</v>
      </c>
      <c r="G292" s="117">
        <f t="shared" si="54"/>
        <v>2048559.5780487806</v>
      </c>
      <c r="H292" s="7"/>
      <c r="I292" s="109">
        <v>2.8963999999999999</v>
      </c>
      <c r="J292" s="117">
        <v>2432714</v>
      </c>
      <c r="K292" s="120">
        <f t="shared" si="52"/>
        <v>5933.4487804878045</v>
      </c>
      <c r="L292" s="122">
        <f t="shared" si="49"/>
        <v>8399094.2699999996</v>
      </c>
      <c r="M292" s="116">
        <f t="shared" si="50"/>
        <v>5966380.2699999996</v>
      </c>
      <c r="N292" s="123">
        <f t="shared" si="51"/>
        <v>14552.146999999999</v>
      </c>
      <c r="O292" s="5"/>
      <c r="P292" s="5">
        <f t="shared" si="47"/>
        <v>1</v>
      </c>
      <c r="Q292" s="7">
        <f t="shared" si="48"/>
        <v>410</v>
      </c>
    </row>
    <row r="293" spans="1:17">
      <c r="A293" s="23" t="s">
        <v>321</v>
      </c>
      <c r="B293" s="35" t="s">
        <v>300</v>
      </c>
      <c r="C293" s="36">
        <v>1783</v>
      </c>
      <c r="D293" s="113">
        <v>154107254</v>
      </c>
      <c r="E293" s="116">
        <f t="shared" si="53"/>
        <v>86431.438025799216</v>
      </c>
      <c r="F293" s="117">
        <v>130041114</v>
      </c>
      <c r="G293" s="117">
        <f t="shared" si="54"/>
        <v>72933.883342680871</v>
      </c>
      <c r="H293" s="7"/>
      <c r="I293" s="109">
        <v>9.8000000000000007</v>
      </c>
      <c r="J293" s="117">
        <v>1274403</v>
      </c>
      <c r="K293" s="120">
        <f t="shared" si="52"/>
        <v>714.75210319685925</v>
      </c>
      <c r="L293" s="122">
        <f t="shared" si="49"/>
        <v>1300411.1400000001</v>
      </c>
      <c r="M293" s="116">
        <f t="shared" si="50"/>
        <v>26008.14000000013</v>
      </c>
      <c r="N293" s="123">
        <f t="shared" si="51"/>
        <v>14.586730229949596</v>
      </c>
      <c r="O293" s="5"/>
      <c r="P293" s="5">
        <f t="shared" si="47"/>
        <v>1</v>
      </c>
      <c r="Q293" s="7">
        <f t="shared" si="48"/>
        <v>1783</v>
      </c>
    </row>
    <row r="294" spans="1:17">
      <c r="A294" s="23" t="s">
        <v>322</v>
      </c>
      <c r="B294" s="35" t="s">
        <v>300</v>
      </c>
      <c r="C294" s="36">
        <v>12177</v>
      </c>
      <c r="D294" s="113">
        <v>1913413332</v>
      </c>
      <c r="E294" s="116">
        <f t="shared" si="53"/>
        <v>157133.39344666174</v>
      </c>
      <c r="F294" s="117">
        <v>1483106847</v>
      </c>
      <c r="G294" s="117">
        <f t="shared" si="54"/>
        <v>121795.74993840848</v>
      </c>
      <c r="H294" s="7"/>
      <c r="I294" s="109">
        <v>6.9722999999999997</v>
      </c>
      <c r="J294" s="117">
        <v>10340666</v>
      </c>
      <c r="K294" s="120">
        <f t="shared" si="52"/>
        <v>849.1965180257863</v>
      </c>
      <c r="L294" s="122">
        <f t="shared" si="49"/>
        <v>14831068.470000001</v>
      </c>
      <c r="M294" s="116">
        <f t="shared" si="50"/>
        <v>4490402.4700000007</v>
      </c>
      <c r="N294" s="123">
        <f t="shared" si="51"/>
        <v>368.76098135829847</v>
      </c>
      <c r="O294" s="5"/>
      <c r="P294" s="5">
        <f t="shared" si="47"/>
        <v>1</v>
      </c>
      <c r="Q294" s="7">
        <f t="shared" si="48"/>
        <v>12177</v>
      </c>
    </row>
    <row r="295" spans="1:17">
      <c r="A295" s="23" t="s">
        <v>323</v>
      </c>
      <c r="B295" s="35" t="s">
        <v>300</v>
      </c>
      <c r="C295" s="36">
        <v>1807</v>
      </c>
      <c r="D295" s="113">
        <v>833836752</v>
      </c>
      <c r="E295" s="116">
        <f t="shared" si="53"/>
        <v>461448.1195351411</v>
      </c>
      <c r="F295" s="117">
        <v>696018085</v>
      </c>
      <c r="G295" s="117">
        <f t="shared" si="54"/>
        <v>385178.79634753737</v>
      </c>
      <c r="H295" s="7"/>
      <c r="I295" s="109">
        <v>5.35</v>
      </c>
      <c r="J295" s="117">
        <v>3723697</v>
      </c>
      <c r="K295" s="120">
        <f t="shared" si="52"/>
        <v>2060.7066961815162</v>
      </c>
      <c r="L295" s="122">
        <f t="shared" si="49"/>
        <v>6960180.8500000006</v>
      </c>
      <c r="M295" s="116">
        <f t="shared" si="50"/>
        <v>3236483.8500000006</v>
      </c>
      <c r="N295" s="123">
        <f t="shared" si="51"/>
        <v>1791.0812672938575</v>
      </c>
      <c r="O295" s="5"/>
      <c r="P295" s="5">
        <f t="shared" si="47"/>
        <v>1</v>
      </c>
      <c r="Q295" s="7">
        <f t="shared" si="48"/>
        <v>1807</v>
      </c>
    </row>
    <row r="296" spans="1:17">
      <c r="A296" s="23" t="s">
        <v>324</v>
      </c>
      <c r="B296" s="35" t="s">
        <v>300</v>
      </c>
      <c r="C296" s="36">
        <v>5858</v>
      </c>
      <c r="D296" s="113">
        <v>161335441</v>
      </c>
      <c r="E296" s="116">
        <f t="shared" si="53"/>
        <v>27541.044895868898</v>
      </c>
      <c r="F296" s="117">
        <v>66637122</v>
      </c>
      <c r="G296" s="117">
        <f t="shared" si="54"/>
        <v>11375.404916353704</v>
      </c>
      <c r="H296" s="9"/>
      <c r="I296" s="109">
        <v>6.5419</v>
      </c>
      <c r="J296" s="117">
        <v>435933</v>
      </c>
      <c r="K296" s="120">
        <f t="shared" si="52"/>
        <v>74.41669511778764</v>
      </c>
      <c r="L296" s="122">
        <f t="shared" si="49"/>
        <v>666371.22</v>
      </c>
      <c r="M296" s="116">
        <f t="shared" si="50"/>
        <v>230438.21999999997</v>
      </c>
      <c r="N296" s="123">
        <f t="shared" si="51"/>
        <v>39.3373540457494</v>
      </c>
      <c r="O296" s="5"/>
      <c r="P296" s="5">
        <f t="shared" si="47"/>
        <v>1</v>
      </c>
      <c r="Q296" s="7">
        <f t="shared" si="48"/>
        <v>5858</v>
      </c>
    </row>
    <row r="297" spans="1:17">
      <c r="A297" s="23" t="s">
        <v>300</v>
      </c>
      <c r="B297" s="35" t="s">
        <v>300</v>
      </c>
      <c r="C297" s="36">
        <v>8171</v>
      </c>
      <c r="D297" s="113">
        <v>14309700211</v>
      </c>
      <c r="E297" s="116">
        <f t="shared" si="53"/>
        <v>1751278.9390527476</v>
      </c>
      <c r="F297" s="117">
        <v>11915116021</v>
      </c>
      <c r="G297" s="117">
        <f t="shared" si="54"/>
        <v>1458220.0490760005</v>
      </c>
      <c r="H297" s="7"/>
      <c r="I297" s="109">
        <v>3.2511999999999999</v>
      </c>
      <c r="J297" s="117">
        <v>38738425</v>
      </c>
      <c r="K297" s="120">
        <f t="shared" si="52"/>
        <v>4740.9649981642397</v>
      </c>
      <c r="L297" s="122">
        <f t="shared" si="49"/>
        <v>119151160.21000001</v>
      </c>
      <c r="M297" s="116">
        <f t="shared" si="50"/>
        <v>80412735.210000008</v>
      </c>
      <c r="N297" s="123">
        <f t="shared" si="51"/>
        <v>9841.2354925957661</v>
      </c>
      <c r="O297" s="5"/>
      <c r="P297" s="5">
        <f t="shared" si="47"/>
        <v>1</v>
      </c>
      <c r="Q297" s="7">
        <f t="shared" si="48"/>
        <v>8171</v>
      </c>
    </row>
    <row r="298" spans="1:17">
      <c r="A298" s="23" t="s">
        <v>325</v>
      </c>
      <c r="B298" s="35" t="s">
        <v>300</v>
      </c>
      <c r="C298" s="36">
        <v>49108</v>
      </c>
      <c r="D298" s="113">
        <v>9634287354</v>
      </c>
      <c r="E298" s="116">
        <f t="shared" si="53"/>
        <v>196185.69996741874</v>
      </c>
      <c r="F298" s="117">
        <v>7884717200</v>
      </c>
      <c r="G298" s="117">
        <f t="shared" si="54"/>
        <v>160558.71141158263</v>
      </c>
      <c r="H298" s="7"/>
      <c r="I298" s="109">
        <v>5.7404000000000002</v>
      </c>
      <c r="J298" s="117">
        <v>45261431</v>
      </c>
      <c r="K298" s="120">
        <f t="shared" si="52"/>
        <v>921.67123482935574</v>
      </c>
      <c r="L298" s="122">
        <f t="shared" si="49"/>
        <v>78847172</v>
      </c>
      <c r="M298" s="116">
        <f t="shared" si="50"/>
        <v>33585741</v>
      </c>
      <c r="N298" s="123">
        <f t="shared" si="51"/>
        <v>683.91587928647061</v>
      </c>
      <c r="O298" s="5"/>
      <c r="P298" s="5">
        <f t="shared" si="47"/>
        <v>1</v>
      </c>
      <c r="Q298" s="7">
        <f t="shared" si="48"/>
        <v>49108</v>
      </c>
    </row>
    <row r="299" spans="1:17">
      <c r="A299" s="23" t="s">
        <v>326</v>
      </c>
      <c r="B299" s="35" t="s">
        <v>300</v>
      </c>
      <c r="C299" s="36">
        <v>1150</v>
      </c>
      <c r="D299" s="113">
        <v>537785825</v>
      </c>
      <c r="E299" s="116">
        <f t="shared" si="53"/>
        <v>467639.84782608697</v>
      </c>
      <c r="F299" s="117">
        <v>489966686</v>
      </c>
      <c r="G299" s="117">
        <f t="shared" si="54"/>
        <v>426057.98782608693</v>
      </c>
      <c r="H299" s="7"/>
      <c r="I299" s="109">
        <v>6.2</v>
      </c>
      <c r="J299" s="117">
        <v>3037793</v>
      </c>
      <c r="K299" s="120">
        <f t="shared" si="52"/>
        <v>2641.5591304347827</v>
      </c>
      <c r="L299" s="122">
        <f t="shared" si="49"/>
        <v>4899666.8600000003</v>
      </c>
      <c r="M299" s="116">
        <f t="shared" si="50"/>
        <v>1861873.8600000003</v>
      </c>
      <c r="N299" s="123">
        <f t="shared" si="51"/>
        <v>1619.0207478260872</v>
      </c>
      <c r="O299" s="5"/>
      <c r="P299" s="5">
        <f t="shared" si="47"/>
        <v>1</v>
      </c>
      <c r="Q299" s="7">
        <f t="shared" si="48"/>
        <v>1150</v>
      </c>
    </row>
    <row r="300" spans="1:17">
      <c r="A300" s="23" t="s">
        <v>327</v>
      </c>
      <c r="B300" s="35" t="s">
        <v>300</v>
      </c>
      <c r="C300" s="36">
        <v>19769</v>
      </c>
      <c r="D300" s="113">
        <v>851519960</v>
      </c>
      <c r="E300" s="116">
        <f t="shared" si="53"/>
        <v>43073.496889068745</v>
      </c>
      <c r="F300" s="117">
        <v>579568060</v>
      </c>
      <c r="G300" s="117">
        <f t="shared" si="54"/>
        <v>29317.014517679196</v>
      </c>
      <c r="H300" s="9"/>
      <c r="I300" s="109">
        <v>3.5</v>
      </c>
      <c r="J300" s="117">
        <v>2028488</v>
      </c>
      <c r="K300" s="120">
        <f t="shared" si="52"/>
        <v>102.60954018918508</v>
      </c>
      <c r="L300" s="122">
        <f t="shared" si="49"/>
        <v>5795680.6000000006</v>
      </c>
      <c r="M300" s="116">
        <f t="shared" si="50"/>
        <v>3767192.6000000006</v>
      </c>
      <c r="N300" s="123">
        <f t="shared" si="51"/>
        <v>190.56060498760689</v>
      </c>
      <c r="O300" s="5"/>
      <c r="P300" s="5">
        <f t="shared" si="47"/>
        <v>1</v>
      </c>
      <c r="Q300" s="7">
        <f t="shared" si="48"/>
        <v>19769</v>
      </c>
    </row>
    <row r="301" spans="1:17">
      <c r="A301" s="23" t="s">
        <v>328</v>
      </c>
      <c r="B301" s="35" t="s">
        <v>300</v>
      </c>
      <c r="C301" s="36">
        <v>32723</v>
      </c>
      <c r="D301" s="113">
        <v>3890545594</v>
      </c>
      <c r="E301" s="116">
        <f t="shared" si="53"/>
        <v>118893.3042202732</v>
      </c>
      <c r="F301" s="117">
        <v>2992416249</v>
      </c>
      <c r="G301" s="117">
        <f t="shared" si="54"/>
        <v>91446.879839867979</v>
      </c>
      <c r="H301" s="7"/>
      <c r="I301" s="109">
        <v>8.9979999999999993</v>
      </c>
      <c r="J301" s="117">
        <v>26925761</v>
      </c>
      <c r="K301" s="120">
        <f t="shared" si="52"/>
        <v>822.83901231549669</v>
      </c>
      <c r="L301" s="122">
        <f t="shared" si="49"/>
        <v>29924162.490000002</v>
      </c>
      <c r="M301" s="116">
        <f t="shared" si="50"/>
        <v>2998401.4900000021</v>
      </c>
      <c r="N301" s="123">
        <f t="shared" si="51"/>
        <v>91.629786083183149</v>
      </c>
      <c r="O301" s="5"/>
      <c r="P301" s="5">
        <f t="shared" si="47"/>
        <v>1</v>
      </c>
      <c r="Q301" s="7">
        <f t="shared" si="48"/>
        <v>32723</v>
      </c>
    </row>
    <row r="302" spans="1:17">
      <c r="A302" s="23" t="s">
        <v>329</v>
      </c>
      <c r="B302" s="35" t="s">
        <v>300</v>
      </c>
      <c r="C302" s="36">
        <v>34421</v>
      </c>
      <c r="D302" s="113">
        <v>2452573909</v>
      </c>
      <c r="E302" s="116">
        <f t="shared" si="53"/>
        <v>71252.256151767811</v>
      </c>
      <c r="F302" s="117">
        <v>1802769504</v>
      </c>
      <c r="G302" s="117">
        <f t="shared" si="54"/>
        <v>52374.117660730371</v>
      </c>
      <c r="H302" s="7"/>
      <c r="I302" s="109">
        <v>1.92</v>
      </c>
      <c r="J302" s="117">
        <v>3461317</v>
      </c>
      <c r="K302" s="120">
        <f t="shared" si="52"/>
        <v>100.55829290258853</v>
      </c>
      <c r="L302" s="122">
        <f t="shared" si="49"/>
        <v>18027695.039999999</v>
      </c>
      <c r="M302" s="116">
        <f t="shared" si="50"/>
        <v>14566378.039999999</v>
      </c>
      <c r="N302" s="123">
        <f t="shared" si="51"/>
        <v>423.1828837047151</v>
      </c>
      <c r="O302" s="5"/>
      <c r="P302" s="5">
        <f t="shared" si="47"/>
        <v>1</v>
      </c>
      <c r="Q302" s="7">
        <f t="shared" si="48"/>
        <v>34421</v>
      </c>
    </row>
    <row r="303" spans="1:17">
      <c r="A303" s="23" t="s">
        <v>330</v>
      </c>
      <c r="B303" s="35" t="s">
        <v>300</v>
      </c>
      <c r="C303" s="36">
        <v>4711</v>
      </c>
      <c r="D303" s="113">
        <v>119974775</v>
      </c>
      <c r="E303" s="116">
        <f t="shared" si="53"/>
        <v>25466.944385480791</v>
      </c>
      <c r="F303" s="117">
        <v>46988496</v>
      </c>
      <c r="G303" s="117">
        <f t="shared" si="54"/>
        <v>9974.20844831246</v>
      </c>
      <c r="H303" s="7"/>
      <c r="I303" s="109">
        <v>6.3089000000000004</v>
      </c>
      <c r="J303" s="117">
        <v>296446</v>
      </c>
      <c r="K303" s="120">
        <f t="shared" si="52"/>
        <v>62.926342602419865</v>
      </c>
      <c r="L303" s="122">
        <f t="shared" si="49"/>
        <v>469884.96</v>
      </c>
      <c r="M303" s="116">
        <f t="shared" si="50"/>
        <v>173438.96000000002</v>
      </c>
      <c r="N303" s="123">
        <f t="shared" si="51"/>
        <v>36.815741880704735</v>
      </c>
      <c r="O303" s="5"/>
      <c r="P303" s="5">
        <f t="shared" si="47"/>
        <v>1</v>
      </c>
      <c r="Q303" s="7">
        <f t="shared" si="48"/>
        <v>4711</v>
      </c>
    </row>
    <row r="304" spans="1:17">
      <c r="A304" s="23" t="s">
        <v>331</v>
      </c>
      <c r="B304" s="35" t="s">
        <v>300</v>
      </c>
      <c r="C304" s="36">
        <v>1399</v>
      </c>
      <c r="D304" s="113">
        <v>303646919</v>
      </c>
      <c r="E304" s="116">
        <f t="shared" si="53"/>
        <v>217045.68906361688</v>
      </c>
      <c r="F304" s="117">
        <v>258028760</v>
      </c>
      <c r="G304" s="117">
        <f t="shared" si="54"/>
        <v>184437.99857040742</v>
      </c>
      <c r="H304" s="7"/>
      <c r="I304" s="109">
        <v>4.3174000000000001</v>
      </c>
      <c r="J304" s="117">
        <v>1114013</v>
      </c>
      <c r="K304" s="120">
        <f t="shared" si="52"/>
        <v>796.29235167977129</v>
      </c>
      <c r="L304" s="122">
        <f t="shared" si="49"/>
        <v>2580287.6</v>
      </c>
      <c r="M304" s="116">
        <f t="shared" si="50"/>
        <v>1466274.6</v>
      </c>
      <c r="N304" s="123">
        <f t="shared" si="51"/>
        <v>1048.087634024303</v>
      </c>
      <c r="O304" s="5"/>
      <c r="P304" s="5">
        <f t="shared" si="47"/>
        <v>1</v>
      </c>
      <c r="Q304" s="7">
        <f t="shared" si="48"/>
        <v>1399</v>
      </c>
    </row>
    <row r="305" spans="1:21">
      <c r="A305" s="23" t="s">
        <v>332</v>
      </c>
      <c r="B305" s="35" t="s">
        <v>300</v>
      </c>
      <c r="C305" s="36">
        <v>5652</v>
      </c>
      <c r="D305" s="113">
        <v>1009673919</v>
      </c>
      <c r="E305" s="116">
        <f t="shared" si="53"/>
        <v>178640.11305732484</v>
      </c>
      <c r="F305" s="117">
        <v>779911042</v>
      </c>
      <c r="G305" s="117">
        <f t="shared" si="54"/>
        <v>137988.50707714082</v>
      </c>
      <c r="H305" s="7"/>
      <c r="I305" s="109">
        <v>5.7671000000000001</v>
      </c>
      <c r="J305" s="117">
        <v>4497825</v>
      </c>
      <c r="K305" s="120">
        <f t="shared" si="52"/>
        <v>795.79352441613594</v>
      </c>
      <c r="L305" s="122">
        <f t="shared" si="49"/>
        <v>7799110.4199999999</v>
      </c>
      <c r="M305" s="116">
        <f t="shared" si="50"/>
        <v>3301285.42</v>
      </c>
      <c r="N305" s="123">
        <f t="shared" si="51"/>
        <v>584.0915463552725</v>
      </c>
      <c r="O305" s="5"/>
      <c r="P305" s="5">
        <f t="shared" si="47"/>
        <v>1</v>
      </c>
      <c r="Q305" s="7">
        <f t="shared" si="48"/>
        <v>5652</v>
      </c>
    </row>
    <row r="306" spans="1:21">
      <c r="A306" s="23" t="s">
        <v>333</v>
      </c>
      <c r="B306" s="35" t="s">
        <v>300</v>
      </c>
      <c r="C306" s="36">
        <v>57514</v>
      </c>
      <c r="D306" s="113">
        <v>7247545592</v>
      </c>
      <c r="E306" s="116">
        <f t="shared" si="53"/>
        <v>126013.58959557673</v>
      </c>
      <c r="F306" s="117">
        <v>5399943566</v>
      </c>
      <c r="G306" s="117">
        <f t="shared" si="54"/>
        <v>93889.202037764713</v>
      </c>
      <c r="H306" s="7"/>
      <c r="I306" s="109">
        <v>2.4700000000000002</v>
      </c>
      <c r="J306" s="117">
        <v>13337861</v>
      </c>
      <c r="K306" s="120">
        <f t="shared" si="52"/>
        <v>231.90633584866293</v>
      </c>
      <c r="L306" s="122">
        <f t="shared" si="49"/>
        <v>53999435.660000004</v>
      </c>
      <c r="M306" s="116">
        <f t="shared" si="50"/>
        <v>40661574.660000004</v>
      </c>
      <c r="N306" s="123">
        <f t="shared" si="51"/>
        <v>706.98568452898428</v>
      </c>
      <c r="O306" s="5"/>
      <c r="P306" s="5">
        <f t="shared" si="47"/>
        <v>1</v>
      </c>
      <c r="Q306" s="7">
        <f t="shared" si="48"/>
        <v>57514</v>
      </c>
    </row>
    <row r="307" spans="1:21">
      <c r="A307" s="23" t="s">
        <v>334</v>
      </c>
      <c r="B307" s="35" t="s">
        <v>300</v>
      </c>
      <c r="C307" s="36">
        <v>101668</v>
      </c>
      <c r="D307" s="113">
        <v>10922987336</v>
      </c>
      <c r="E307" s="116">
        <f t="shared" si="53"/>
        <v>107437.81067789275</v>
      </c>
      <c r="F307" s="117">
        <v>8112768199</v>
      </c>
      <c r="G307" s="117">
        <f t="shared" si="54"/>
        <v>79796.673476413431</v>
      </c>
      <c r="H307" s="7"/>
      <c r="I307" s="109">
        <v>8.3465000000000007</v>
      </c>
      <c r="J307" s="117">
        <v>67713220</v>
      </c>
      <c r="K307" s="120">
        <f t="shared" si="52"/>
        <v>666.02293740409959</v>
      </c>
      <c r="L307" s="122">
        <f t="shared" si="49"/>
        <v>81127681.989999995</v>
      </c>
      <c r="M307" s="116">
        <f t="shared" si="50"/>
        <v>13414461.989999995</v>
      </c>
      <c r="N307" s="123">
        <f t="shared" si="51"/>
        <v>131.94379736003458</v>
      </c>
      <c r="O307" s="5"/>
      <c r="P307" s="5">
        <f t="shared" si="47"/>
        <v>1</v>
      </c>
      <c r="Q307" s="7">
        <f t="shared" si="48"/>
        <v>101668</v>
      </c>
      <c r="S307" s="124">
        <f>SUM(D270:D307)</f>
        <v>108966385984</v>
      </c>
      <c r="T307" s="124">
        <f>SUM(F270:F307)</f>
        <v>85581731415</v>
      </c>
      <c r="U307" s="124">
        <f>SUM(J270:J307)</f>
        <v>411365742</v>
      </c>
    </row>
    <row r="308" spans="1:21">
      <c r="A308" s="23" t="s">
        <v>335</v>
      </c>
      <c r="B308" s="35" t="s">
        <v>336</v>
      </c>
      <c r="C308" s="36">
        <v>6467</v>
      </c>
      <c r="D308" s="113">
        <v>562848985</v>
      </c>
      <c r="E308" s="116">
        <f t="shared" si="53"/>
        <v>87034.016545538892</v>
      </c>
      <c r="F308" s="117">
        <v>254339441</v>
      </c>
      <c r="G308" s="117">
        <f t="shared" si="54"/>
        <v>39328.8141332921</v>
      </c>
      <c r="H308" s="7"/>
      <c r="I308" s="109">
        <v>7.1</v>
      </c>
      <c r="J308" s="117">
        <v>1805810</v>
      </c>
      <c r="K308" s="120">
        <f t="shared" si="52"/>
        <v>279.23457553734346</v>
      </c>
      <c r="L308" s="122">
        <f t="shared" si="49"/>
        <v>2543394.41</v>
      </c>
      <c r="M308" s="116">
        <f t="shared" si="50"/>
        <v>737584.41000000015</v>
      </c>
      <c r="N308" s="123">
        <f t="shared" si="51"/>
        <v>114.05356579557757</v>
      </c>
      <c r="O308" s="5"/>
      <c r="P308" s="5">
        <f t="shared" si="47"/>
        <v>1</v>
      </c>
      <c r="Q308" s="7">
        <f t="shared" si="48"/>
        <v>6467</v>
      </c>
    </row>
    <row r="309" spans="1:21">
      <c r="A309" s="23" t="s">
        <v>337</v>
      </c>
      <c r="B309" s="35" t="s">
        <v>336</v>
      </c>
      <c r="C309" s="36">
        <v>14849</v>
      </c>
      <c r="D309" s="113">
        <v>780638738</v>
      </c>
      <c r="E309" s="116">
        <f t="shared" si="53"/>
        <v>52571.805374099269</v>
      </c>
      <c r="F309" s="117">
        <v>501440591</v>
      </c>
      <c r="G309" s="117">
        <f t="shared" si="54"/>
        <v>33769.317193076975</v>
      </c>
      <c r="H309" s="7"/>
      <c r="I309" s="109">
        <v>9.5799000000000003</v>
      </c>
      <c r="J309" s="117">
        <v>4803751</v>
      </c>
      <c r="K309" s="120">
        <f t="shared" si="52"/>
        <v>323.50670078793183</v>
      </c>
      <c r="L309" s="122">
        <f t="shared" si="49"/>
        <v>5014405.91</v>
      </c>
      <c r="M309" s="116">
        <f t="shared" si="50"/>
        <v>210654.91000000015</v>
      </c>
      <c r="N309" s="123">
        <f t="shared" si="51"/>
        <v>14.186471142837911</v>
      </c>
      <c r="O309" s="5"/>
      <c r="P309" s="5">
        <f t="shared" si="47"/>
        <v>1</v>
      </c>
      <c r="Q309" s="7">
        <f t="shared" si="48"/>
        <v>14849</v>
      </c>
    </row>
    <row r="310" spans="1:21">
      <c r="A310" s="23" t="s">
        <v>338</v>
      </c>
      <c r="B310" s="35" t="s">
        <v>336</v>
      </c>
      <c r="C310" s="36">
        <v>2672</v>
      </c>
      <c r="D310" s="113">
        <v>304826377</v>
      </c>
      <c r="E310" s="116">
        <f t="shared" si="53"/>
        <v>114081.72791916168</v>
      </c>
      <c r="F310" s="117">
        <v>248007450</v>
      </c>
      <c r="G310" s="117">
        <f t="shared" si="54"/>
        <v>92817.159431137727</v>
      </c>
      <c r="H310" s="7"/>
      <c r="I310" s="109">
        <v>5.3201999999999998</v>
      </c>
      <c r="J310" s="117">
        <v>1319449</v>
      </c>
      <c r="K310" s="120">
        <f t="shared" si="52"/>
        <v>493.8057634730539</v>
      </c>
      <c r="L310" s="122">
        <f t="shared" si="49"/>
        <v>2480074.5</v>
      </c>
      <c r="M310" s="116">
        <f t="shared" si="50"/>
        <v>1160625.5</v>
      </c>
      <c r="N310" s="123">
        <f t="shared" si="51"/>
        <v>434.36583083832335</v>
      </c>
      <c r="O310" s="5"/>
      <c r="P310" s="5">
        <f t="shared" si="47"/>
        <v>1</v>
      </c>
      <c r="Q310" s="7">
        <f t="shared" si="48"/>
        <v>2672</v>
      </c>
    </row>
    <row r="311" spans="1:21">
      <c r="A311" s="23" t="s">
        <v>339</v>
      </c>
      <c r="B311" s="35" t="s">
        <v>336</v>
      </c>
      <c r="C311" s="36">
        <v>1134</v>
      </c>
      <c r="D311" s="113">
        <v>79266008</v>
      </c>
      <c r="E311" s="116">
        <f t="shared" si="53"/>
        <v>69899.477954144619</v>
      </c>
      <c r="F311" s="117">
        <v>44280106</v>
      </c>
      <c r="G311" s="117">
        <f t="shared" si="54"/>
        <v>39047.712522045855</v>
      </c>
      <c r="H311" s="7"/>
      <c r="I311" s="109">
        <v>2.9</v>
      </c>
      <c r="J311" s="117">
        <v>128412</v>
      </c>
      <c r="K311" s="120">
        <f t="shared" si="52"/>
        <v>113.23809523809524</v>
      </c>
      <c r="L311" s="122">
        <f t="shared" si="49"/>
        <v>442801.06</v>
      </c>
      <c r="M311" s="116">
        <f t="shared" si="50"/>
        <v>314389.06</v>
      </c>
      <c r="N311" s="123">
        <f t="shared" si="51"/>
        <v>277.23902998236332</v>
      </c>
      <c r="O311" s="5"/>
      <c r="P311" s="5">
        <f t="shared" si="47"/>
        <v>1</v>
      </c>
      <c r="Q311" s="7">
        <f t="shared" si="48"/>
        <v>1134</v>
      </c>
    </row>
    <row r="312" spans="1:21">
      <c r="A312" s="24" t="s">
        <v>547</v>
      </c>
      <c r="B312" s="35" t="s">
        <v>336</v>
      </c>
      <c r="C312" s="36">
        <v>1419</v>
      </c>
      <c r="D312" s="113">
        <v>87538094</v>
      </c>
      <c r="E312" s="116">
        <f t="shared" si="53"/>
        <v>61689.98872445384</v>
      </c>
      <c r="F312" s="117">
        <v>36716903</v>
      </c>
      <c r="G312" s="117">
        <f t="shared" si="54"/>
        <v>25875.195912614516</v>
      </c>
      <c r="H312" s="7"/>
      <c r="I312" s="109">
        <v>1.1499999999999999</v>
      </c>
      <c r="J312" s="117">
        <v>42224</v>
      </c>
      <c r="K312" s="120">
        <f t="shared" si="52"/>
        <v>29.756166314305847</v>
      </c>
      <c r="L312" s="122">
        <f t="shared" si="49"/>
        <v>367169.03</v>
      </c>
      <c r="M312" s="116">
        <f t="shared" si="50"/>
        <v>324945.03000000003</v>
      </c>
      <c r="N312" s="123">
        <f t="shared" si="51"/>
        <v>228.99579281183935</v>
      </c>
      <c r="O312" s="5"/>
      <c r="P312" s="5">
        <f t="shared" si="47"/>
        <v>1</v>
      </c>
      <c r="Q312" s="7">
        <f t="shared" si="48"/>
        <v>1419</v>
      </c>
    </row>
    <row r="313" spans="1:21">
      <c r="A313" s="23" t="s">
        <v>340</v>
      </c>
      <c r="B313" s="35" t="s">
        <v>336</v>
      </c>
      <c r="C313" s="36">
        <v>13702</v>
      </c>
      <c r="D313" s="113">
        <v>925315668</v>
      </c>
      <c r="E313" s="116">
        <f t="shared" si="53"/>
        <v>67531.431031966131</v>
      </c>
      <c r="F313" s="117">
        <v>586833989</v>
      </c>
      <c r="G313" s="117">
        <f t="shared" si="54"/>
        <v>42828.345424025691</v>
      </c>
      <c r="H313" s="7"/>
      <c r="I313" s="109">
        <v>6.1414999999999997</v>
      </c>
      <c r="J313" s="117">
        <v>3604041</v>
      </c>
      <c r="K313" s="120">
        <f t="shared" si="52"/>
        <v>263.03028754926288</v>
      </c>
      <c r="L313" s="122">
        <f t="shared" si="49"/>
        <v>5868339.8899999997</v>
      </c>
      <c r="M313" s="116">
        <f t="shared" si="50"/>
        <v>2264298.8899999997</v>
      </c>
      <c r="N313" s="123">
        <f t="shared" si="51"/>
        <v>165.25316669099399</v>
      </c>
      <c r="O313" s="5"/>
      <c r="P313" s="5">
        <f t="shared" si="47"/>
        <v>1</v>
      </c>
      <c r="Q313" s="7">
        <f t="shared" si="48"/>
        <v>13702</v>
      </c>
      <c r="S313" s="124">
        <f>SUM(D308:D313)</f>
        <v>2740433870</v>
      </c>
      <c r="T313" s="124">
        <f>SUM(F308:F313)</f>
        <v>1671618480</v>
      </c>
      <c r="U313" s="124">
        <f>SUM(J308:J313)</f>
        <v>11703687</v>
      </c>
    </row>
    <row r="314" spans="1:21">
      <c r="A314" s="23" t="s">
        <v>341</v>
      </c>
      <c r="B314" s="35" t="s">
        <v>342</v>
      </c>
      <c r="C314" s="36">
        <v>3897</v>
      </c>
      <c r="D314" s="113">
        <v>703970361</v>
      </c>
      <c r="E314" s="116">
        <f t="shared" si="53"/>
        <v>180644.1778290993</v>
      </c>
      <c r="F314" s="117">
        <v>580712681</v>
      </c>
      <c r="G314" s="117">
        <f t="shared" si="54"/>
        <v>149015.31460097511</v>
      </c>
      <c r="H314" s="7"/>
      <c r="I314" s="109">
        <v>5.9432</v>
      </c>
      <c r="J314" s="117">
        <v>3451292</v>
      </c>
      <c r="K314" s="120">
        <f t="shared" si="52"/>
        <v>885.62791891198356</v>
      </c>
      <c r="L314" s="122">
        <f t="shared" si="49"/>
        <v>5807126.8100000005</v>
      </c>
      <c r="M314" s="116">
        <f t="shared" si="50"/>
        <v>2355834.8100000005</v>
      </c>
      <c r="N314" s="123">
        <f t="shared" si="51"/>
        <v>604.5252270977677</v>
      </c>
      <c r="O314" s="5"/>
      <c r="P314" s="5">
        <f t="shared" si="47"/>
        <v>1</v>
      </c>
      <c r="Q314" s="7">
        <f t="shared" si="48"/>
        <v>3897</v>
      </c>
    </row>
    <row r="315" spans="1:21">
      <c r="A315" s="23" t="s">
        <v>343</v>
      </c>
      <c r="B315" s="35" t="s">
        <v>342</v>
      </c>
      <c r="C315" s="36">
        <v>1558</v>
      </c>
      <c r="D315" s="113">
        <v>438172202</v>
      </c>
      <c r="E315" s="116">
        <f t="shared" si="53"/>
        <v>281240.18100128369</v>
      </c>
      <c r="F315" s="117">
        <v>374276483</v>
      </c>
      <c r="G315" s="117">
        <f t="shared" si="54"/>
        <v>240228.8080872914</v>
      </c>
      <c r="H315" s="7"/>
      <c r="I315" s="109">
        <v>2.0394000000000001</v>
      </c>
      <c r="J315" s="117">
        <v>763299</v>
      </c>
      <c r="K315" s="120">
        <f t="shared" si="52"/>
        <v>489.92233632862644</v>
      </c>
      <c r="L315" s="122">
        <f t="shared" si="49"/>
        <v>3742764.83</v>
      </c>
      <c r="M315" s="116">
        <f t="shared" si="50"/>
        <v>2979465.83</v>
      </c>
      <c r="N315" s="123">
        <f t="shared" si="51"/>
        <v>1912.3657445442875</v>
      </c>
      <c r="O315" s="5"/>
      <c r="P315" s="5">
        <f t="shared" si="47"/>
        <v>1</v>
      </c>
      <c r="Q315" s="7">
        <f t="shared" si="48"/>
        <v>1558</v>
      </c>
    </row>
    <row r="316" spans="1:21">
      <c r="A316" s="23" t="s">
        <v>344</v>
      </c>
      <c r="B316" s="35" t="s">
        <v>342</v>
      </c>
      <c r="C316" s="36">
        <v>2029</v>
      </c>
      <c r="D316" s="113">
        <v>208669963</v>
      </c>
      <c r="E316" s="116">
        <f t="shared" si="53"/>
        <v>102843.74716609166</v>
      </c>
      <c r="F316" s="117">
        <v>158845774</v>
      </c>
      <c r="G316" s="117">
        <f t="shared" si="54"/>
        <v>78287.715130606215</v>
      </c>
      <c r="H316" s="7"/>
      <c r="I316" s="109">
        <v>5.35</v>
      </c>
      <c r="J316" s="117">
        <v>849825</v>
      </c>
      <c r="K316" s="120">
        <f t="shared" si="52"/>
        <v>418.83932971907342</v>
      </c>
      <c r="L316" s="122">
        <f t="shared" si="49"/>
        <v>1588457.74</v>
      </c>
      <c r="M316" s="116">
        <f t="shared" si="50"/>
        <v>738632.74</v>
      </c>
      <c r="N316" s="123">
        <f t="shared" si="51"/>
        <v>364.03782158698868</v>
      </c>
      <c r="O316" s="5"/>
      <c r="P316" s="5">
        <f t="shared" si="47"/>
        <v>1</v>
      </c>
      <c r="Q316" s="7">
        <f t="shared" si="48"/>
        <v>2029</v>
      </c>
    </row>
    <row r="317" spans="1:21">
      <c r="A317" s="23" t="s">
        <v>345</v>
      </c>
      <c r="B317" s="35" t="s">
        <v>342</v>
      </c>
      <c r="C317" s="36">
        <v>109</v>
      </c>
      <c r="D317" s="113">
        <v>109742904</v>
      </c>
      <c r="E317" s="116">
        <f t="shared" si="53"/>
        <v>1006815.6330275229</v>
      </c>
      <c r="F317" s="117">
        <v>95695446</v>
      </c>
      <c r="G317" s="117">
        <f t="shared" si="54"/>
        <v>877939.87155963306</v>
      </c>
      <c r="H317" s="7"/>
      <c r="I317" s="109">
        <v>0.66459999999999997</v>
      </c>
      <c r="J317" s="117">
        <v>63599</v>
      </c>
      <c r="K317" s="120">
        <f t="shared" si="52"/>
        <v>583.47706422018348</v>
      </c>
      <c r="L317" s="122">
        <f t="shared" si="49"/>
        <v>956954.46</v>
      </c>
      <c r="M317" s="116">
        <f t="shared" si="50"/>
        <v>893355.46</v>
      </c>
      <c r="N317" s="123">
        <f t="shared" si="51"/>
        <v>8195.9216513761457</v>
      </c>
      <c r="O317" s="5"/>
      <c r="P317" s="5">
        <f t="shared" si="47"/>
        <v>1</v>
      </c>
      <c r="Q317" s="7">
        <f t="shared" si="48"/>
        <v>109</v>
      </c>
    </row>
    <row r="318" spans="1:21">
      <c r="A318" s="23" t="s">
        <v>346</v>
      </c>
      <c r="B318" s="35" t="s">
        <v>342</v>
      </c>
      <c r="C318" s="36">
        <v>107906</v>
      </c>
      <c r="D318" s="113">
        <v>10406912282</v>
      </c>
      <c r="E318" s="116">
        <f t="shared" si="53"/>
        <v>96444.241117268728</v>
      </c>
      <c r="F318" s="117">
        <v>7492223855</v>
      </c>
      <c r="G318" s="117">
        <f t="shared" si="54"/>
        <v>69432.87541934647</v>
      </c>
      <c r="H318" s="7"/>
      <c r="I318" s="109">
        <v>5.1550000000000002</v>
      </c>
      <c r="J318" s="117">
        <v>38622414</v>
      </c>
      <c r="K318" s="120">
        <f t="shared" si="52"/>
        <v>357.92647304135079</v>
      </c>
      <c r="L318" s="122">
        <f t="shared" si="49"/>
        <v>74922238.549999997</v>
      </c>
      <c r="M318" s="116">
        <f t="shared" si="50"/>
        <v>36299824.549999997</v>
      </c>
      <c r="N318" s="123">
        <f t="shared" si="51"/>
        <v>336.40228115211386</v>
      </c>
      <c r="O318" s="5"/>
      <c r="P318" s="5">
        <f t="shared" si="47"/>
        <v>1</v>
      </c>
      <c r="Q318" s="7">
        <f t="shared" si="48"/>
        <v>107906</v>
      </c>
    </row>
    <row r="319" spans="1:21">
      <c r="A319" s="23" t="s">
        <v>347</v>
      </c>
      <c r="B319" s="35" t="s">
        <v>342</v>
      </c>
      <c r="C319" s="36">
        <v>35309</v>
      </c>
      <c r="D319" s="113">
        <v>2609865581</v>
      </c>
      <c r="E319" s="116">
        <f t="shared" si="53"/>
        <v>73915.023959896906</v>
      </c>
      <c r="F319" s="117">
        <v>1719145488</v>
      </c>
      <c r="G319" s="117">
        <f t="shared" si="54"/>
        <v>48688.591803789401</v>
      </c>
      <c r="H319" s="7"/>
      <c r="I319" s="109">
        <v>3.3816999999999999</v>
      </c>
      <c r="J319" s="117">
        <v>5813634</v>
      </c>
      <c r="K319" s="120">
        <f t="shared" si="52"/>
        <v>164.65020249794671</v>
      </c>
      <c r="L319" s="122">
        <f t="shared" si="49"/>
        <v>17191454.879999999</v>
      </c>
      <c r="M319" s="116">
        <f t="shared" si="50"/>
        <v>11377820.879999999</v>
      </c>
      <c r="N319" s="123">
        <f t="shared" si="51"/>
        <v>322.23571553994731</v>
      </c>
      <c r="O319" s="5"/>
      <c r="P319" s="5">
        <f t="shared" si="47"/>
        <v>1</v>
      </c>
      <c r="Q319" s="7">
        <f t="shared" si="48"/>
        <v>35309</v>
      </c>
    </row>
    <row r="320" spans="1:21">
      <c r="A320" s="23" t="s">
        <v>348</v>
      </c>
      <c r="B320" s="35" t="s">
        <v>342</v>
      </c>
      <c r="C320" s="36">
        <v>12016</v>
      </c>
      <c r="D320" s="113">
        <v>940661637</v>
      </c>
      <c r="E320" s="116">
        <f t="shared" si="53"/>
        <v>78284.090962050599</v>
      </c>
      <c r="F320" s="117">
        <v>649774153</v>
      </c>
      <c r="G320" s="117">
        <f t="shared" si="54"/>
        <v>54075.745089880162</v>
      </c>
      <c r="H320" s="7"/>
      <c r="I320" s="109">
        <v>4.0389999999999997</v>
      </c>
      <c r="J320" s="117">
        <v>2624438</v>
      </c>
      <c r="K320" s="120">
        <f t="shared" si="52"/>
        <v>218.41195073235687</v>
      </c>
      <c r="L320" s="122">
        <f t="shared" si="49"/>
        <v>6497741.5300000003</v>
      </c>
      <c r="M320" s="116">
        <f t="shared" si="50"/>
        <v>3873303.5300000003</v>
      </c>
      <c r="N320" s="123">
        <f t="shared" si="51"/>
        <v>322.34550016644477</v>
      </c>
      <c r="O320" s="5"/>
      <c r="P320" s="5">
        <f t="shared" si="47"/>
        <v>1</v>
      </c>
      <c r="Q320" s="7">
        <f t="shared" si="48"/>
        <v>12016</v>
      </c>
    </row>
    <row r="321" spans="1:17">
      <c r="A321" s="23" t="s">
        <v>349</v>
      </c>
      <c r="B321" s="35" t="s">
        <v>342</v>
      </c>
      <c r="C321" s="36">
        <v>4113</v>
      </c>
      <c r="D321" s="113">
        <v>871707977</v>
      </c>
      <c r="E321" s="116">
        <f t="shared" si="53"/>
        <v>211939.69778750304</v>
      </c>
      <c r="F321" s="117">
        <v>740181529</v>
      </c>
      <c r="G321" s="117">
        <f t="shared" si="54"/>
        <v>179961.47070265014</v>
      </c>
      <c r="H321" s="7"/>
      <c r="I321" s="109">
        <v>2</v>
      </c>
      <c r="J321" s="117">
        <v>1480363</v>
      </c>
      <c r="K321" s="120">
        <f t="shared" si="52"/>
        <v>359.92292730367126</v>
      </c>
      <c r="L321" s="122">
        <f t="shared" si="49"/>
        <v>7401815.29</v>
      </c>
      <c r="M321" s="116">
        <f t="shared" si="50"/>
        <v>5921452.29</v>
      </c>
      <c r="N321" s="123">
        <f t="shared" si="51"/>
        <v>1439.69177972283</v>
      </c>
      <c r="O321" s="5"/>
      <c r="P321" s="5">
        <f t="shared" si="47"/>
        <v>1</v>
      </c>
      <c r="Q321" s="7">
        <f t="shared" si="48"/>
        <v>4113</v>
      </c>
    </row>
    <row r="322" spans="1:17">
      <c r="A322" s="23" t="s">
        <v>350</v>
      </c>
      <c r="B322" s="35" t="s">
        <v>342</v>
      </c>
      <c r="C322" s="36">
        <v>1420</v>
      </c>
      <c r="D322" s="113">
        <v>685443426</v>
      </c>
      <c r="E322" s="116">
        <f t="shared" si="53"/>
        <v>482706.63802816899</v>
      </c>
      <c r="F322" s="117">
        <v>621010071</v>
      </c>
      <c r="G322" s="117">
        <f t="shared" si="54"/>
        <v>437331.03591549298</v>
      </c>
      <c r="H322" s="7"/>
      <c r="I322" s="109">
        <v>1.87</v>
      </c>
      <c r="J322" s="117">
        <v>1161289</v>
      </c>
      <c r="K322" s="120">
        <f t="shared" si="52"/>
        <v>817.80915492957752</v>
      </c>
      <c r="L322" s="122">
        <f t="shared" si="49"/>
        <v>6210100.71</v>
      </c>
      <c r="M322" s="116">
        <f t="shared" si="50"/>
        <v>5048811.71</v>
      </c>
      <c r="N322" s="123">
        <f t="shared" si="51"/>
        <v>3555.501204225352</v>
      </c>
      <c r="O322" s="5"/>
      <c r="P322" s="5">
        <f t="shared" si="47"/>
        <v>1</v>
      </c>
      <c r="Q322" s="7">
        <f t="shared" si="48"/>
        <v>1420</v>
      </c>
    </row>
    <row r="323" spans="1:17">
      <c r="A323" s="23" t="s">
        <v>351</v>
      </c>
      <c r="B323" s="35" t="s">
        <v>342</v>
      </c>
      <c r="C323" s="36">
        <v>4949</v>
      </c>
      <c r="D323" s="113">
        <v>175838545</v>
      </c>
      <c r="E323" s="116">
        <f t="shared" si="53"/>
        <v>35530.1161850879</v>
      </c>
      <c r="F323" s="117">
        <v>112075208</v>
      </c>
      <c r="G323" s="117">
        <f t="shared" si="54"/>
        <v>22646.031117397455</v>
      </c>
      <c r="H323" s="7"/>
      <c r="I323" s="109">
        <v>4.7591999999999999</v>
      </c>
      <c r="J323" s="117">
        <v>533388</v>
      </c>
      <c r="K323" s="120">
        <f t="shared" si="52"/>
        <v>107.77692463123863</v>
      </c>
      <c r="L323" s="122">
        <f t="shared" si="49"/>
        <v>1120752.08</v>
      </c>
      <c r="M323" s="116">
        <f t="shared" si="50"/>
        <v>587364.08000000007</v>
      </c>
      <c r="N323" s="123">
        <f t="shared" si="51"/>
        <v>118.68338654273592</v>
      </c>
      <c r="O323" s="5"/>
      <c r="P323" s="5">
        <f t="shared" si="47"/>
        <v>1</v>
      </c>
      <c r="Q323" s="7">
        <f t="shared" si="48"/>
        <v>4949</v>
      </c>
    </row>
    <row r="324" spans="1:17">
      <c r="A324" s="23" t="s">
        <v>352</v>
      </c>
      <c r="B324" s="35" t="s">
        <v>342</v>
      </c>
      <c r="C324" s="36">
        <v>77836</v>
      </c>
      <c r="D324" s="113">
        <v>4500534794</v>
      </c>
      <c r="E324" s="116">
        <f t="shared" si="53"/>
        <v>57820.735829179299</v>
      </c>
      <c r="F324" s="117">
        <v>3244615167</v>
      </c>
      <c r="G324" s="117">
        <f t="shared" si="54"/>
        <v>41685.276311732363</v>
      </c>
      <c r="H324" s="7"/>
      <c r="I324" s="109">
        <v>4.9989999999999997</v>
      </c>
      <c r="J324" s="117">
        <v>16219831</v>
      </c>
      <c r="K324" s="120">
        <f t="shared" si="52"/>
        <v>208.38469345803998</v>
      </c>
      <c r="L324" s="122">
        <f t="shared" si="49"/>
        <v>32446151.670000002</v>
      </c>
      <c r="M324" s="116">
        <f t="shared" si="50"/>
        <v>16226320.670000002</v>
      </c>
      <c r="N324" s="123">
        <f t="shared" si="51"/>
        <v>208.46806965928366</v>
      </c>
      <c r="O324" s="5"/>
      <c r="P324" s="5">
        <f t="shared" si="47"/>
        <v>1</v>
      </c>
      <c r="Q324" s="7">
        <f t="shared" si="48"/>
        <v>77836</v>
      </c>
    </row>
    <row r="325" spans="1:17">
      <c r="A325" s="23" t="s">
        <v>353</v>
      </c>
      <c r="B325" s="35" t="s">
        <v>342</v>
      </c>
      <c r="C325" s="36">
        <v>4305</v>
      </c>
      <c r="D325" s="113">
        <v>989317017</v>
      </c>
      <c r="E325" s="116">
        <f t="shared" si="53"/>
        <v>229806.50801393727</v>
      </c>
      <c r="F325" s="117">
        <v>822083226</v>
      </c>
      <c r="G325" s="117">
        <f t="shared" si="54"/>
        <v>190960.09895470383</v>
      </c>
      <c r="H325" s="7"/>
      <c r="I325" s="109">
        <v>1.79</v>
      </c>
      <c r="J325" s="117">
        <v>1471529</v>
      </c>
      <c r="K325" s="120">
        <f t="shared" si="52"/>
        <v>341.81858304297327</v>
      </c>
      <c r="L325" s="122">
        <f t="shared" si="49"/>
        <v>8220832.2599999998</v>
      </c>
      <c r="M325" s="116">
        <f t="shared" si="50"/>
        <v>6749303.2599999998</v>
      </c>
      <c r="N325" s="123">
        <f t="shared" si="51"/>
        <v>1567.782406504065</v>
      </c>
      <c r="O325" s="5"/>
      <c r="P325" s="5">
        <f t="shared" ref="P325:P388" si="55">IF(I325&gt;0,1,0)</f>
        <v>1</v>
      </c>
      <c r="Q325" s="7">
        <f t="shared" ref="Q325:Q388" si="56">IF(I325&gt;0,C325,0)</f>
        <v>4305</v>
      </c>
    </row>
    <row r="326" spans="1:17">
      <c r="A326" s="23" t="s">
        <v>354</v>
      </c>
      <c r="B326" s="35" t="s">
        <v>342</v>
      </c>
      <c r="C326" s="36">
        <v>1440</v>
      </c>
      <c r="D326" s="113">
        <v>396075942</v>
      </c>
      <c r="E326" s="116">
        <f t="shared" si="53"/>
        <v>275052.73749999999</v>
      </c>
      <c r="F326" s="117">
        <v>360486380</v>
      </c>
      <c r="G326" s="117">
        <f t="shared" si="54"/>
        <v>250337.76388888888</v>
      </c>
      <c r="H326" s="7"/>
      <c r="I326" s="109">
        <v>0.75109999999999999</v>
      </c>
      <c r="J326" s="117">
        <v>270761</v>
      </c>
      <c r="K326" s="120">
        <f t="shared" si="52"/>
        <v>188.02847222222223</v>
      </c>
      <c r="L326" s="122">
        <f t="shared" si="49"/>
        <v>3604863.8000000003</v>
      </c>
      <c r="M326" s="116">
        <f t="shared" si="50"/>
        <v>3334102.8000000003</v>
      </c>
      <c r="N326" s="123">
        <f t="shared" si="51"/>
        <v>2315.3491666666669</v>
      </c>
      <c r="O326" s="5"/>
      <c r="P326" s="5">
        <f t="shared" si="55"/>
        <v>1</v>
      </c>
      <c r="Q326" s="7">
        <f t="shared" si="56"/>
        <v>1440</v>
      </c>
    </row>
    <row r="327" spans="1:17">
      <c r="A327" s="23" t="s">
        <v>355</v>
      </c>
      <c r="B327" s="35" t="s">
        <v>342</v>
      </c>
      <c r="C327" s="36">
        <v>13583</v>
      </c>
      <c r="D327" s="113">
        <v>1291832238</v>
      </c>
      <c r="E327" s="116">
        <f t="shared" si="53"/>
        <v>95106.547743502902</v>
      </c>
      <c r="F327" s="117">
        <v>1010742496</v>
      </c>
      <c r="G327" s="117">
        <f t="shared" si="54"/>
        <v>74412.316572185824</v>
      </c>
      <c r="H327" s="7"/>
      <c r="I327" s="109">
        <v>4.05</v>
      </c>
      <c r="J327" s="117">
        <v>4093507</v>
      </c>
      <c r="K327" s="120">
        <f t="shared" si="52"/>
        <v>301.36987410734008</v>
      </c>
      <c r="L327" s="122">
        <f t="shared" ref="L327:L390" si="57">(F327*0.01)</f>
        <v>10107424.960000001</v>
      </c>
      <c r="M327" s="116">
        <f t="shared" ref="M327:M390" si="58">(L327-J327)</f>
        <v>6013917.9600000009</v>
      </c>
      <c r="N327" s="123">
        <f t="shared" ref="N327:N390" si="59">(M327/C327)</f>
        <v>442.75329161451822</v>
      </c>
      <c r="O327" s="5"/>
      <c r="P327" s="5">
        <f t="shared" si="55"/>
        <v>1</v>
      </c>
      <c r="Q327" s="7">
        <f t="shared" si="56"/>
        <v>13583</v>
      </c>
    </row>
    <row r="328" spans="1:17">
      <c r="A328" s="23" t="s">
        <v>356</v>
      </c>
      <c r="B328" s="35" t="s">
        <v>342</v>
      </c>
      <c r="C328" s="36">
        <v>49653</v>
      </c>
      <c r="D328" s="113">
        <v>3433171702</v>
      </c>
      <c r="E328" s="116">
        <f t="shared" si="53"/>
        <v>69143.288461925767</v>
      </c>
      <c r="F328" s="117">
        <v>2497594931</v>
      </c>
      <c r="G328" s="117">
        <f t="shared" si="54"/>
        <v>50300.987473063054</v>
      </c>
      <c r="H328" s="7"/>
      <c r="I328" s="109">
        <v>5.5861999999999998</v>
      </c>
      <c r="J328" s="117">
        <v>13952065</v>
      </c>
      <c r="K328" s="120">
        <f t="shared" si="52"/>
        <v>280.99138017843836</v>
      </c>
      <c r="L328" s="122">
        <f t="shared" si="57"/>
        <v>24975949.309999999</v>
      </c>
      <c r="M328" s="116">
        <f t="shared" si="58"/>
        <v>11023884.309999999</v>
      </c>
      <c r="N328" s="123">
        <f t="shared" si="59"/>
        <v>222.01849455219218</v>
      </c>
      <c r="O328" s="5"/>
      <c r="P328" s="5">
        <f t="shared" si="55"/>
        <v>1</v>
      </c>
      <c r="Q328" s="7">
        <f t="shared" si="56"/>
        <v>49653</v>
      </c>
    </row>
    <row r="329" spans="1:17">
      <c r="A329" s="23" t="s">
        <v>357</v>
      </c>
      <c r="B329" s="35" t="s">
        <v>342</v>
      </c>
      <c r="C329" s="36">
        <v>1435</v>
      </c>
      <c r="D329" s="113">
        <v>369288171</v>
      </c>
      <c r="E329" s="116">
        <f t="shared" si="53"/>
        <v>257343.67317073169</v>
      </c>
      <c r="F329" s="117">
        <v>311328681</v>
      </c>
      <c r="G329" s="117">
        <f t="shared" si="54"/>
        <v>216953.78466898954</v>
      </c>
      <c r="H329" s="7"/>
      <c r="I329" s="109">
        <v>1.9410000000000001</v>
      </c>
      <c r="J329" s="117">
        <v>604289</v>
      </c>
      <c r="K329" s="120">
        <f t="shared" si="52"/>
        <v>421.10731707317075</v>
      </c>
      <c r="L329" s="122">
        <f t="shared" si="57"/>
        <v>3113286.81</v>
      </c>
      <c r="M329" s="116">
        <f t="shared" si="58"/>
        <v>2508997.81</v>
      </c>
      <c r="N329" s="123">
        <f t="shared" si="59"/>
        <v>1748.4305296167247</v>
      </c>
      <c r="O329" s="5"/>
      <c r="P329" s="5">
        <f t="shared" si="55"/>
        <v>1</v>
      </c>
      <c r="Q329" s="7">
        <f t="shared" si="56"/>
        <v>1435</v>
      </c>
    </row>
    <row r="330" spans="1:17">
      <c r="A330" s="23" t="s">
        <v>358</v>
      </c>
      <c r="B330" s="35" t="s">
        <v>342</v>
      </c>
      <c r="C330" s="36">
        <v>2129</v>
      </c>
      <c r="D330" s="113">
        <v>542919493</v>
      </c>
      <c r="E330" s="116">
        <f t="shared" si="53"/>
        <v>255011.50446218881</v>
      </c>
      <c r="F330" s="117">
        <v>467977976</v>
      </c>
      <c r="G330" s="117">
        <f t="shared" si="54"/>
        <v>219811.16768435886</v>
      </c>
      <c r="H330" s="7"/>
      <c r="I330" s="109">
        <v>2</v>
      </c>
      <c r="J330" s="117">
        <v>935956</v>
      </c>
      <c r="K330" s="120">
        <f t="shared" si="52"/>
        <v>439.62235791451388</v>
      </c>
      <c r="L330" s="122">
        <f t="shared" si="57"/>
        <v>4679779.76</v>
      </c>
      <c r="M330" s="116">
        <f t="shared" si="58"/>
        <v>3743823.76</v>
      </c>
      <c r="N330" s="123">
        <f t="shared" si="59"/>
        <v>1758.4893189290747</v>
      </c>
      <c r="O330" s="5"/>
      <c r="P330" s="5">
        <f t="shared" si="55"/>
        <v>1</v>
      </c>
      <c r="Q330" s="7">
        <f t="shared" si="56"/>
        <v>2129</v>
      </c>
    </row>
    <row r="331" spans="1:17">
      <c r="A331" s="23" t="s">
        <v>359</v>
      </c>
      <c r="B331" s="35" t="s">
        <v>342</v>
      </c>
      <c r="C331" s="36">
        <v>16851</v>
      </c>
      <c r="D331" s="113">
        <v>1460132355</v>
      </c>
      <c r="E331" s="116">
        <f t="shared" si="53"/>
        <v>86649.596759836219</v>
      </c>
      <c r="F331" s="117">
        <v>947337696</v>
      </c>
      <c r="G331" s="117">
        <f t="shared" si="54"/>
        <v>56218.485312444369</v>
      </c>
      <c r="H331" s="7"/>
      <c r="I331" s="109">
        <v>3.3807999999999998</v>
      </c>
      <c r="J331" s="117">
        <v>3202759</v>
      </c>
      <c r="K331" s="120">
        <f t="shared" si="52"/>
        <v>190.06343837161</v>
      </c>
      <c r="L331" s="122">
        <f t="shared" si="57"/>
        <v>9473376.9600000009</v>
      </c>
      <c r="M331" s="116">
        <f t="shared" si="58"/>
        <v>6270617.9600000009</v>
      </c>
      <c r="N331" s="123">
        <f t="shared" si="59"/>
        <v>372.12141475283369</v>
      </c>
      <c r="O331" s="5"/>
      <c r="P331" s="5">
        <f t="shared" si="55"/>
        <v>1</v>
      </c>
      <c r="Q331" s="7">
        <f t="shared" si="56"/>
        <v>16851</v>
      </c>
    </row>
    <row r="332" spans="1:17">
      <c r="A332" s="23" t="s">
        <v>360</v>
      </c>
      <c r="B332" s="35" t="s">
        <v>342</v>
      </c>
      <c r="C332" s="36">
        <v>17184</v>
      </c>
      <c r="D332" s="113">
        <v>1360653716</v>
      </c>
      <c r="E332" s="116">
        <f t="shared" si="53"/>
        <v>79181.431331471133</v>
      </c>
      <c r="F332" s="117">
        <v>950423969</v>
      </c>
      <c r="G332" s="117">
        <f t="shared" si="54"/>
        <v>55308.65741387337</v>
      </c>
      <c r="H332" s="7"/>
      <c r="I332" s="109">
        <v>2.4792999999999998</v>
      </c>
      <c r="J332" s="117">
        <v>2356386</v>
      </c>
      <c r="K332" s="120">
        <f t="shared" si="52"/>
        <v>137.12674581005587</v>
      </c>
      <c r="L332" s="122">
        <f t="shared" si="57"/>
        <v>9504239.6899999995</v>
      </c>
      <c r="M332" s="116">
        <f t="shared" si="58"/>
        <v>7147853.6899999995</v>
      </c>
      <c r="N332" s="123">
        <f t="shared" si="59"/>
        <v>415.95982832867782</v>
      </c>
      <c r="O332" s="5"/>
      <c r="P332" s="5">
        <f t="shared" si="55"/>
        <v>1</v>
      </c>
      <c r="Q332" s="7">
        <f t="shared" si="56"/>
        <v>17184</v>
      </c>
    </row>
    <row r="333" spans="1:17">
      <c r="A333" s="23" t="s">
        <v>361</v>
      </c>
      <c r="B333" s="35" t="s">
        <v>342</v>
      </c>
      <c r="C333" s="36">
        <v>5046</v>
      </c>
      <c r="D333" s="113">
        <v>518928090</v>
      </c>
      <c r="E333" s="116">
        <f t="shared" si="53"/>
        <v>102839.49464922711</v>
      </c>
      <c r="F333" s="117">
        <v>418849851</v>
      </c>
      <c r="G333" s="117">
        <f t="shared" si="54"/>
        <v>83006.312128418547</v>
      </c>
      <c r="H333" s="7"/>
      <c r="I333" s="109">
        <v>1.6984999999999999</v>
      </c>
      <c r="J333" s="117">
        <v>711416</v>
      </c>
      <c r="K333" s="120">
        <f t="shared" si="52"/>
        <v>140.98612762584224</v>
      </c>
      <c r="L333" s="122">
        <f t="shared" si="57"/>
        <v>4188498.5100000002</v>
      </c>
      <c r="M333" s="116">
        <f t="shared" si="58"/>
        <v>3477082.5100000002</v>
      </c>
      <c r="N333" s="123">
        <f t="shared" si="59"/>
        <v>689.07699365834333</v>
      </c>
      <c r="O333" s="5"/>
      <c r="P333" s="5">
        <f t="shared" si="55"/>
        <v>1</v>
      </c>
      <c r="Q333" s="7">
        <f t="shared" si="56"/>
        <v>5046</v>
      </c>
    </row>
    <row r="334" spans="1:17">
      <c r="A334" s="24" t="s">
        <v>561</v>
      </c>
      <c r="B334" s="35" t="s">
        <v>342</v>
      </c>
      <c r="C334" s="36">
        <v>9357</v>
      </c>
      <c r="D334" s="113">
        <v>2387324798</v>
      </c>
      <c r="E334" s="116">
        <f t="shared" si="53"/>
        <v>255137.84311210859</v>
      </c>
      <c r="F334" s="117">
        <v>1984263326</v>
      </c>
      <c r="G334" s="117">
        <f t="shared" si="54"/>
        <v>212061.9136475366</v>
      </c>
      <c r="H334" s="7"/>
      <c r="I334" s="109">
        <v>3.2818999999999998</v>
      </c>
      <c r="J334" s="117">
        <v>6512154</v>
      </c>
      <c r="K334" s="120">
        <f t="shared" si="52"/>
        <v>695.96601474831675</v>
      </c>
      <c r="L334" s="122">
        <f t="shared" si="57"/>
        <v>19842633.260000002</v>
      </c>
      <c r="M334" s="116">
        <f t="shared" si="58"/>
        <v>13330479.260000002</v>
      </c>
      <c r="N334" s="123">
        <f t="shared" si="59"/>
        <v>1424.6531217270494</v>
      </c>
      <c r="O334" s="5"/>
      <c r="P334" s="5">
        <f t="shared" si="55"/>
        <v>1</v>
      </c>
      <c r="Q334" s="7">
        <f t="shared" si="56"/>
        <v>9357</v>
      </c>
    </row>
    <row r="335" spans="1:17">
      <c r="A335" s="24" t="s">
        <v>548</v>
      </c>
      <c r="B335" s="35" t="s">
        <v>342</v>
      </c>
      <c r="C335" s="36">
        <v>247673</v>
      </c>
      <c r="D335" s="113">
        <v>18069005769</v>
      </c>
      <c r="E335" s="116">
        <f t="shared" si="53"/>
        <v>72955.089044829278</v>
      </c>
      <c r="F335" s="117">
        <v>12067827749</v>
      </c>
      <c r="G335" s="117">
        <f t="shared" si="54"/>
        <v>48724.841823694951</v>
      </c>
      <c r="H335" s="7"/>
      <c r="I335" s="109">
        <v>6.7742000000000004</v>
      </c>
      <c r="J335" s="117">
        <v>81749879</v>
      </c>
      <c r="K335" s="120">
        <f t="shared" si="52"/>
        <v>330.07182454284481</v>
      </c>
      <c r="L335" s="122">
        <f t="shared" si="57"/>
        <v>120678277.49000001</v>
      </c>
      <c r="M335" s="116">
        <f t="shared" si="58"/>
        <v>38928398.49000001</v>
      </c>
      <c r="N335" s="123">
        <f t="shared" si="59"/>
        <v>157.17659369410475</v>
      </c>
      <c r="O335" s="5"/>
      <c r="P335" s="5">
        <f t="shared" si="55"/>
        <v>1</v>
      </c>
      <c r="Q335" s="7">
        <f t="shared" si="56"/>
        <v>247673</v>
      </c>
    </row>
    <row r="336" spans="1:17">
      <c r="A336" s="23" t="s">
        <v>362</v>
      </c>
      <c r="B336" s="35" t="s">
        <v>342</v>
      </c>
      <c r="C336" s="36">
        <v>23767</v>
      </c>
      <c r="D336" s="113">
        <v>1917621518</v>
      </c>
      <c r="E336" s="116">
        <f t="shared" si="53"/>
        <v>80684.205747464977</v>
      </c>
      <c r="F336" s="117">
        <v>1298345335</v>
      </c>
      <c r="G336" s="117">
        <f t="shared" si="54"/>
        <v>54628.069802667567</v>
      </c>
      <c r="H336" s="7"/>
      <c r="I336" s="109">
        <v>5.45</v>
      </c>
      <c r="J336" s="117">
        <v>7075982</v>
      </c>
      <c r="K336" s="120">
        <f t="shared" si="52"/>
        <v>297.7229772373459</v>
      </c>
      <c r="L336" s="122">
        <f t="shared" si="57"/>
        <v>12983453.35</v>
      </c>
      <c r="M336" s="116">
        <f t="shared" si="58"/>
        <v>5907471.3499999996</v>
      </c>
      <c r="N336" s="123">
        <f t="shared" si="59"/>
        <v>248.55772078932972</v>
      </c>
      <c r="O336" s="5"/>
      <c r="P336" s="5">
        <f t="shared" si="55"/>
        <v>1</v>
      </c>
      <c r="Q336" s="7">
        <f t="shared" si="56"/>
        <v>23767</v>
      </c>
    </row>
    <row r="337" spans="1:21">
      <c r="A337" s="23" t="s">
        <v>363</v>
      </c>
      <c r="B337" s="35" t="s">
        <v>342</v>
      </c>
      <c r="C337" s="36">
        <v>6707</v>
      </c>
      <c r="D337" s="113">
        <v>1505710777</v>
      </c>
      <c r="E337" s="116">
        <f t="shared" si="53"/>
        <v>224498.40122260325</v>
      </c>
      <c r="F337" s="117">
        <v>1244977194</v>
      </c>
      <c r="G337" s="117">
        <f t="shared" si="54"/>
        <v>185623.55658267482</v>
      </c>
      <c r="H337" s="7"/>
      <c r="I337" s="109">
        <v>3.1368</v>
      </c>
      <c r="J337" s="117">
        <v>3905244</v>
      </c>
      <c r="K337" s="120">
        <f t="shared" si="52"/>
        <v>582.26390338452359</v>
      </c>
      <c r="L337" s="122">
        <f t="shared" si="57"/>
        <v>12449771.939999999</v>
      </c>
      <c r="M337" s="116">
        <f t="shared" si="58"/>
        <v>8544527.9399999995</v>
      </c>
      <c r="N337" s="123">
        <f t="shared" si="59"/>
        <v>1273.9716624422244</v>
      </c>
      <c r="O337" s="5"/>
      <c r="P337" s="5">
        <f t="shared" si="55"/>
        <v>1</v>
      </c>
      <c r="Q337" s="7">
        <f t="shared" si="56"/>
        <v>6707</v>
      </c>
      <c r="S337" s="124">
        <f>SUM(D314:D337)</f>
        <v>55893501258</v>
      </c>
      <c r="T337" s="124">
        <f>SUM(F314:F337)</f>
        <v>40170794665</v>
      </c>
      <c r="U337" s="124">
        <f>SUM(J314:J337)</f>
        <v>198425299</v>
      </c>
    </row>
    <row r="338" spans="1:21">
      <c r="A338" s="23" t="s">
        <v>364</v>
      </c>
      <c r="B338" s="35" t="s">
        <v>365</v>
      </c>
      <c r="C338" s="36">
        <v>13792</v>
      </c>
      <c r="D338" s="113">
        <v>1092183088</v>
      </c>
      <c r="E338" s="116">
        <f t="shared" si="53"/>
        <v>79189.609048723898</v>
      </c>
      <c r="F338" s="117">
        <v>815568327</v>
      </c>
      <c r="G338" s="117">
        <f t="shared" si="54"/>
        <v>59133.434382250583</v>
      </c>
      <c r="H338" s="7"/>
      <c r="I338" s="109">
        <v>4.2656999999999998</v>
      </c>
      <c r="J338" s="117">
        <v>3478970</v>
      </c>
      <c r="K338" s="120">
        <f t="shared" si="52"/>
        <v>252.24550464037122</v>
      </c>
      <c r="L338" s="122">
        <f t="shared" si="57"/>
        <v>8155683.2700000005</v>
      </c>
      <c r="M338" s="116">
        <f t="shared" si="58"/>
        <v>4676713.2700000005</v>
      </c>
      <c r="N338" s="123">
        <f t="shared" si="59"/>
        <v>339.08883918213462</v>
      </c>
      <c r="O338" s="5"/>
      <c r="P338" s="5">
        <f t="shared" si="55"/>
        <v>1</v>
      </c>
      <c r="Q338" s="7">
        <f t="shared" si="56"/>
        <v>13792</v>
      </c>
    </row>
    <row r="339" spans="1:21">
      <c r="A339" s="23" t="s">
        <v>366</v>
      </c>
      <c r="B339" s="35" t="s">
        <v>365</v>
      </c>
      <c r="C339" s="36">
        <v>17316</v>
      </c>
      <c r="D339" s="113">
        <v>905962359</v>
      </c>
      <c r="E339" s="116">
        <f t="shared" si="53"/>
        <v>52319.37855162855</v>
      </c>
      <c r="F339" s="117">
        <v>511401814</v>
      </c>
      <c r="G339" s="117">
        <f t="shared" si="54"/>
        <v>29533.484291984292</v>
      </c>
      <c r="H339" s="7"/>
      <c r="I339" s="109">
        <v>3.9962</v>
      </c>
      <c r="J339" s="117">
        <v>2043664</v>
      </c>
      <c r="K339" s="120">
        <f t="shared" si="52"/>
        <v>118.02171402171402</v>
      </c>
      <c r="L339" s="122">
        <f t="shared" si="57"/>
        <v>5114018.1399999997</v>
      </c>
      <c r="M339" s="116">
        <f t="shared" si="58"/>
        <v>3070354.1399999997</v>
      </c>
      <c r="N339" s="123">
        <f t="shared" si="59"/>
        <v>177.31312889812887</v>
      </c>
      <c r="O339" s="5"/>
      <c r="P339" s="5">
        <f t="shared" si="55"/>
        <v>1</v>
      </c>
      <c r="Q339" s="7">
        <f t="shared" si="56"/>
        <v>17316</v>
      </c>
    </row>
    <row r="340" spans="1:21">
      <c r="A340" s="23" t="s">
        <v>367</v>
      </c>
      <c r="B340" s="35" t="s">
        <v>365</v>
      </c>
      <c r="C340" s="36">
        <v>2965</v>
      </c>
      <c r="D340" s="113">
        <v>143515165</v>
      </c>
      <c r="E340" s="116">
        <f t="shared" si="53"/>
        <v>48403.091062394604</v>
      </c>
      <c r="F340" s="117">
        <v>90147454</v>
      </c>
      <c r="G340" s="117">
        <f t="shared" si="54"/>
        <v>30403.863069139967</v>
      </c>
      <c r="H340" s="7"/>
      <c r="I340" s="109">
        <v>7.75</v>
      </c>
      <c r="J340" s="117">
        <v>698643</v>
      </c>
      <c r="K340" s="120">
        <f t="shared" si="52"/>
        <v>235.63001686340641</v>
      </c>
      <c r="L340" s="122">
        <f t="shared" si="57"/>
        <v>901474.54</v>
      </c>
      <c r="M340" s="116">
        <f t="shared" si="58"/>
        <v>202831.54000000004</v>
      </c>
      <c r="N340" s="123">
        <f t="shared" si="59"/>
        <v>68.408613827993264</v>
      </c>
      <c r="O340" s="5"/>
      <c r="P340" s="5">
        <f t="shared" si="55"/>
        <v>1</v>
      </c>
      <c r="Q340" s="7">
        <f t="shared" si="56"/>
        <v>2965</v>
      </c>
    </row>
    <row r="341" spans="1:21">
      <c r="A341" s="23" t="s">
        <v>368</v>
      </c>
      <c r="B341" s="35" t="s">
        <v>365</v>
      </c>
      <c r="C341" s="36">
        <v>3800</v>
      </c>
      <c r="D341" s="113">
        <v>195413208</v>
      </c>
      <c r="E341" s="116">
        <f t="shared" si="53"/>
        <v>51424.52842105263</v>
      </c>
      <c r="F341" s="117">
        <v>116265780</v>
      </c>
      <c r="G341" s="117">
        <f t="shared" si="54"/>
        <v>30596.257894736842</v>
      </c>
      <c r="H341" s="9"/>
      <c r="I341" s="109">
        <v>7.6494999999999997</v>
      </c>
      <c r="J341" s="117">
        <v>889375</v>
      </c>
      <c r="K341" s="120">
        <f t="shared" si="52"/>
        <v>234.04605263157896</v>
      </c>
      <c r="L341" s="122">
        <f t="shared" si="57"/>
        <v>1162657.8</v>
      </c>
      <c r="M341" s="116">
        <f t="shared" si="58"/>
        <v>273282.80000000005</v>
      </c>
      <c r="N341" s="123">
        <f t="shared" si="59"/>
        <v>71.916526315789483</v>
      </c>
      <c r="O341" s="5"/>
      <c r="P341" s="5">
        <f t="shared" si="55"/>
        <v>1</v>
      </c>
      <c r="Q341" s="7">
        <f t="shared" si="56"/>
        <v>3800</v>
      </c>
    </row>
    <row r="342" spans="1:21">
      <c r="A342" s="23" t="s">
        <v>369</v>
      </c>
      <c r="B342" s="35" t="s">
        <v>365</v>
      </c>
      <c r="C342" s="36">
        <v>2286</v>
      </c>
      <c r="D342" s="113">
        <v>107589515</v>
      </c>
      <c r="E342" s="116">
        <f t="shared" si="53"/>
        <v>47064.529746281718</v>
      </c>
      <c r="F342" s="117">
        <v>52810274</v>
      </c>
      <c r="G342" s="117">
        <f t="shared" si="54"/>
        <v>23101.607174103236</v>
      </c>
      <c r="H342" s="7"/>
      <c r="I342" s="109">
        <v>7.6516000000000002</v>
      </c>
      <c r="J342" s="117">
        <v>404083</v>
      </c>
      <c r="K342" s="120">
        <f t="shared" si="52"/>
        <v>176.76421697287839</v>
      </c>
      <c r="L342" s="122">
        <f t="shared" si="57"/>
        <v>528102.74</v>
      </c>
      <c r="M342" s="116">
        <f t="shared" si="58"/>
        <v>124019.73999999999</v>
      </c>
      <c r="N342" s="123">
        <f t="shared" si="59"/>
        <v>54.251854768153976</v>
      </c>
      <c r="O342" s="5"/>
      <c r="P342" s="5">
        <f t="shared" si="55"/>
        <v>1</v>
      </c>
      <c r="Q342" s="7">
        <f t="shared" si="56"/>
        <v>2286</v>
      </c>
    </row>
    <row r="343" spans="1:21">
      <c r="A343" s="23" t="s">
        <v>370</v>
      </c>
      <c r="B343" s="35" t="s">
        <v>365</v>
      </c>
      <c r="C343" s="36">
        <v>5595</v>
      </c>
      <c r="D343" s="113">
        <v>160789721</v>
      </c>
      <c r="E343" s="116">
        <f t="shared" si="53"/>
        <v>28738.109204647008</v>
      </c>
      <c r="F343" s="117">
        <v>85804098</v>
      </c>
      <c r="G343" s="117">
        <f t="shared" si="54"/>
        <v>15335.85308310992</v>
      </c>
      <c r="H343" s="7"/>
      <c r="I343" s="109">
        <v>5.6483999999999996</v>
      </c>
      <c r="J343" s="117">
        <v>484656</v>
      </c>
      <c r="K343" s="120">
        <f t="shared" ref="K343:K380" si="60">(J343/C343)</f>
        <v>86.62305630026809</v>
      </c>
      <c r="L343" s="122">
        <f t="shared" si="57"/>
        <v>858040.98</v>
      </c>
      <c r="M343" s="116">
        <f t="shared" si="58"/>
        <v>373384.98</v>
      </c>
      <c r="N343" s="123">
        <f t="shared" si="59"/>
        <v>66.735474530831098</v>
      </c>
      <c r="O343" s="5"/>
      <c r="P343" s="5">
        <f t="shared" si="55"/>
        <v>1</v>
      </c>
      <c r="Q343" s="7">
        <f t="shared" si="56"/>
        <v>5595</v>
      </c>
    </row>
    <row r="344" spans="1:21">
      <c r="A344" s="23" t="s">
        <v>371</v>
      </c>
      <c r="B344" s="35" t="s">
        <v>365</v>
      </c>
      <c r="C344" s="36">
        <v>2966</v>
      </c>
      <c r="D344" s="113">
        <v>192406359</v>
      </c>
      <c r="E344" s="116">
        <f t="shared" si="53"/>
        <v>64870.653742414026</v>
      </c>
      <c r="F344" s="117">
        <v>114533894</v>
      </c>
      <c r="G344" s="117">
        <f t="shared" si="54"/>
        <v>38615.608226567769</v>
      </c>
      <c r="H344" s="7"/>
      <c r="I344" s="110">
        <v>7.8209</v>
      </c>
      <c r="J344" s="117">
        <v>895758</v>
      </c>
      <c r="K344" s="120">
        <f t="shared" si="60"/>
        <v>302.0087660148348</v>
      </c>
      <c r="L344" s="122">
        <f t="shared" si="57"/>
        <v>1145338.94</v>
      </c>
      <c r="M344" s="116">
        <f t="shared" si="58"/>
        <v>249580.93999999994</v>
      </c>
      <c r="N344" s="123">
        <f t="shared" si="59"/>
        <v>84.147316250842863</v>
      </c>
      <c r="O344" s="5"/>
      <c r="P344" s="5">
        <f t="shared" si="55"/>
        <v>1</v>
      </c>
      <c r="Q344" s="7">
        <f t="shared" si="56"/>
        <v>2966</v>
      </c>
    </row>
    <row r="345" spans="1:21">
      <c r="A345" s="23" t="s">
        <v>372</v>
      </c>
      <c r="B345" s="35" t="s">
        <v>365</v>
      </c>
      <c r="C345" s="36">
        <v>20837</v>
      </c>
      <c r="D345" s="113">
        <v>1049710692</v>
      </c>
      <c r="E345" s="116">
        <f t="shared" si="53"/>
        <v>50377.24682055958</v>
      </c>
      <c r="F345" s="117">
        <v>726176551</v>
      </c>
      <c r="G345" s="117">
        <f t="shared" si="54"/>
        <v>34850.340788021305</v>
      </c>
      <c r="H345" s="7"/>
      <c r="I345" s="109">
        <v>7.99</v>
      </c>
      <c r="J345" s="117">
        <v>5802151</v>
      </c>
      <c r="K345" s="120">
        <f t="shared" si="60"/>
        <v>278.45424005375054</v>
      </c>
      <c r="L345" s="122">
        <f t="shared" si="57"/>
        <v>7261765.5099999998</v>
      </c>
      <c r="M345" s="116">
        <f t="shared" si="58"/>
        <v>1459614.5099999998</v>
      </c>
      <c r="N345" s="123">
        <f t="shared" si="59"/>
        <v>70.049167826462536</v>
      </c>
      <c r="O345" s="5"/>
      <c r="P345" s="5">
        <f t="shared" si="55"/>
        <v>1</v>
      </c>
      <c r="Q345" s="7">
        <f t="shared" si="56"/>
        <v>20837</v>
      </c>
    </row>
    <row r="346" spans="1:21">
      <c r="A346" s="23" t="s">
        <v>373</v>
      </c>
      <c r="B346" s="35" t="s">
        <v>365</v>
      </c>
      <c r="C346" s="36">
        <v>232</v>
      </c>
      <c r="D346" s="113">
        <v>13950105</v>
      </c>
      <c r="E346" s="116">
        <f t="shared" si="53"/>
        <v>60129.762931034486</v>
      </c>
      <c r="F346" s="117">
        <v>10653731</v>
      </c>
      <c r="G346" s="117">
        <f t="shared" si="54"/>
        <v>45921.254310344826</v>
      </c>
      <c r="H346" s="7"/>
      <c r="I346" s="109">
        <v>9.9758999999999993</v>
      </c>
      <c r="J346" s="117">
        <v>106281</v>
      </c>
      <c r="K346" s="120">
        <f t="shared" si="60"/>
        <v>458.10775862068965</v>
      </c>
      <c r="L346" s="122">
        <f t="shared" si="57"/>
        <v>106537.31</v>
      </c>
      <c r="M346" s="116">
        <f t="shared" si="58"/>
        <v>256.30999999999767</v>
      </c>
      <c r="N346" s="123">
        <f t="shared" si="59"/>
        <v>1.1047844827586106</v>
      </c>
      <c r="O346" s="5"/>
      <c r="P346" s="5">
        <f t="shared" si="55"/>
        <v>1</v>
      </c>
      <c r="Q346" s="7">
        <f t="shared" si="56"/>
        <v>232</v>
      </c>
    </row>
    <row r="347" spans="1:21">
      <c r="A347" s="23" t="s">
        <v>374</v>
      </c>
      <c r="B347" s="35" t="s">
        <v>365</v>
      </c>
      <c r="C347" s="36">
        <v>250</v>
      </c>
      <c r="D347" s="113">
        <v>14039201</v>
      </c>
      <c r="E347" s="116">
        <f t="shared" si="53"/>
        <v>56156.803999999996</v>
      </c>
      <c r="F347" s="117">
        <v>8915787</v>
      </c>
      <c r="G347" s="117">
        <f t="shared" si="54"/>
        <v>35663.148000000001</v>
      </c>
      <c r="H347" s="7"/>
      <c r="I347" s="109">
        <v>0.3075</v>
      </c>
      <c r="J347" s="117">
        <v>2742</v>
      </c>
      <c r="K347" s="120">
        <f t="shared" si="60"/>
        <v>10.968</v>
      </c>
      <c r="L347" s="122">
        <f t="shared" si="57"/>
        <v>89157.87</v>
      </c>
      <c r="M347" s="116">
        <f t="shared" si="58"/>
        <v>86415.87</v>
      </c>
      <c r="N347" s="123">
        <f t="shared" si="59"/>
        <v>345.66347999999999</v>
      </c>
      <c r="O347" s="5"/>
      <c r="P347" s="5">
        <f t="shared" si="55"/>
        <v>1</v>
      </c>
      <c r="Q347" s="7">
        <f t="shared" si="56"/>
        <v>250</v>
      </c>
    </row>
    <row r="348" spans="1:21">
      <c r="A348" s="23" t="s">
        <v>375</v>
      </c>
      <c r="B348" s="35" t="s">
        <v>365</v>
      </c>
      <c r="C348" s="36">
        <v>5018</v>
      </c>
      <c r="D348" s="113">
        <v>220696646</v>
      </c>
      <c r="E348" s="116">
        <f t="shared" si="53"/>
        <v>43980.99760860901</v>
      </c>
      <c r="F348" s="117">
        <v>126703741</v>
      </c>
      <c r="G348" s="117">
        <f t="shared" si="54"/>
        <v>25249.848744519728</v>
      </c>
      <c r="H348" s="7"/>
      <c r="I348" s="109">
        <v>7.5890000000000004</v>
      </c>
      <c r="J348" s="117">
        <v>961555</v>
      </c>
      <c r="K348" s="120">
        <f t="shared" si="60"/>
        <v>191.62116381028298</v>
      </c>
      <c r="L348" s="122">
        <f t="shared" si="57"/>
        <v>1267037.4099999999</v>
      </c>
      <c r="M348" s="116">
        <f t="shared" si="58"/>
        <v>305482.40999999992</v>
      </c>
      <c r="N348" s="123">
        <f t="shared" si="59"/>
        <v>60.877323634914291</v>
      </c>
      <c r="O348" s="5"/>
      <c r="P348" s="5">
        <f t="shared" si="55"/>
        <v>1</v>
      </c>
      <c r="Q348" s="7">
        <f t="shared" si="56"/>
        <v>5018</v>
      </c>
    </row>
    <row r="349" spans="1:21">
      <c r="A349" s="23" t="s">
        <v>376</v>
      </c>
      <c r="B349" s="35" t="s">
        <v>365</v>
      </c>
      <c r="C349" s="36">
        <v>1253</v>
      </c>
      <c r="D349" s="113">
        <v>78976187</v>
      </c>
      <c r="E349" s="116">
        <f t="shared" si="53"/>
        <v>63029.678371907423</v>
      </c>
      <c r="F349" s="117">
        <v>57411053</v>
      </c>
      <c r="G349" s="117">
        <f t="shared" si="54"/>
        <v>45818.877094972064</v>
      </c>
      <c r="H349" s="7"/>
      <c r="I349" s="109">
        <v>8.2117000000000004</v>
      </c>
      <c r="J349" s="117">
        <v>471442</v>
      </c>
      <c r="K349" s="120">
        <f t="shared" si="60"/>
        <v>376.25059856344774</v>
      </c>
      <c r="L349" s="122">
        <f t="shared" si="57"/>
        <v>574110.53</v>
      </c>
      <c r="M349" s="116">
        <f t="shared" si="58"/>
        <v>102668.53000000003</v>
      </c>
      <c r="N349" s="123">
        <f t="shared" si="59"/>
        <v>81.938172386272967</v>
      </c>
      <c r="O349" s="5"/>
      <c r="P349" s="5">
        <f t="shared" si="55"/>
        <v>1</v>
      </c>
      <c r="Q349" s="7">
        <f t="shared" si="56"/>
        <v>1253</v>
      </c>
    </row>
    <row r="350" spans="1:21">
      <c r="A350" s="23" t="s">
        <v>377</v>
      </c>
      <c r="B350" s="35" t="s">
        <v>365</v>
      </c>
      <c r="C350" s="36">
        <v>14323</v>
      </c>
      <c r="D350" s="113">
        <v>837598738</v>
      </c>
      <c r="E350" s="116">
        <f t="shared" ref="E350:E405" si="61">(D350/C350)</f>
        <v>58479.280737275709</v>
      </c>
      <c r="F350" s="117">
        <v>562225424</v>
      </c>
      <c r="G350" s="117">
        <f t="shared" ref="G350:G405" si="62">(F350/C350)</f>
        <v>39253.328492634224</v>
      </c>
      <c r="H350" s="9"/>
      <c r="I350" s="109">
        <v>8.5119000000000007</v>
      </c>
      <c r="J350" s="117">
        <v>4785607</v>
      </c>
      <c r="K350" s="120">
        <f t="shared" si="60"/>
        <v>334.12043566291976</v>
      </c>
      <c r="L350" s="122">
        <f t="shared" si="57"/>
        <v>5622254.2400000002</v>
      </c>
      <c r="M350" s="116">
        <f t="shared" si="58"/>
        <v>836647.24000000022</v>
      </c>
      <c r="N350" s="123">
        <f t="shared" si="59"/>
        <v>58.41284926342248</v>
      </c>
      <c r="O350" s="5"/>
      <c r="P350" s="5">
        <f t="shared" si="55"/>
        <v>1</v>
      </c>
      <c r="Q350" s="7">
        <f t="shared" si="56"/>
        <v>14323</v>
      </c>
    </row>
    <row r="351" spans="1:21">
      <c r="A351" s="23" t="s">
        <v>378</v>
      </c>
      <c r="B351" s="35" t="s">
        <v>365</v>
      </c>
      <c r="C351" s="36">
        <v>98200</v>
      </c>
      <c r="D351" s="113">
        <v>6398032582</v>
      </c>
      <c r="E351" s="116">
        <f t="shared" si="61"/>
        <v>65153.081283095722</v>
      </c>
      <c r="F351" s="117">
        <v>4262190596</v>
      </c>
      <c r="G351" s="117">
        <f t="shared" si="62"/>
        <v>43403.162892057029</v>
      </c>
      <c r="H351" s="9"/>
      <c r="I351" s="109">
        <v>4.6643999999999997</v>
      </c>
      <c r="J351" s="117">
        <v>19880562</v>
      </c>
      <c r="K351" s="120">
        <f t="shared" si="60"/>
        <v>202.4497148676171</v>
      </c>
      <c r="L351" s="122">
        <f t="shared" si="57"/>
        <v>42621905.960000001</v>
      </c>
      <c r="M351" s="116">
        <f t="shared" si="58"/>
        <v>22741343.960000001</v>
      </c>
      <c r="N351" s="123">
        <f t="shared" si="59"/>
        <v>231.58191405295315</v>
      </c>
      <c r="O351" s="5"/>
      <c r="P351" s="5">
        <f t="shared" si="55"/>
        <v>1</v>
      </c>
      <c r="Q351" s="7">
        <f t="shared" si="56"/>
        <v>98200</v>
      </c>
    </row>
    <row r="352" spans="1:21">
      <c r="A352" s="23" t="s">
        <v>379</v>
      </c>
      <c r="B352" s="35" t="s">
        <v>365</v>
      </c>
      <c r="C352" s="36">
        <v>3780</v>
      </c>
      <c r="D352" s="113">
        <v>219988590</v>
      </c>
      <c r="E352" s="116">
        <f t="shared" si="61"/>
        <v>58198.039682539682</v>
      </c>
      <c r="F352" s="117">
        <v>156453261</v>
      </c>
      <c r="G352" s="117">
        <f t="shared" si="62"/>
        <v>41389.751587301587</v>
      </c>
      <c r="H352" s="9"/>
      <c r="I352" s="109">
        <v>8.9</v>
      </c>
      <c r="J352" s="117">
        <v>1392434</v>
      </c>
      <c r="K352" s="120">
        <f t="shared" si="60"/>
        <v>368.36878306878305</v>
      </c>
      <c r="L352" s="122">
        <f t="shared" si="57"/>
        <v>1564532.61</v>
      </c>
      <c r="M352" s="116">
        <f t="shared" si="58"/>
        <v>172098.6100000001</v>
      </c>
      <c r="N352" s="123">
        <f t="shared" si="59"/>
        <v>45.528732804232831</v>
      </c>
      <c r="O352" s="5"/>
      <c r="P352" s="5">
        <f t="shared" si="55"/>
        <v>1</v>
      </c>
      <c r="Q352" s="7">
        <f t="shared" si="56"/>
        <v>3780</v>
      </c>
    </row>
    <row r="353" spans="1:21">
      <c r="A353" s="23" t="s">
        <v>380</v>
      </c>
      <c r="B353" s="35" t="s">
        <v>365</v>
      </c>
      <c r="C353" s="36">
        <v>1572</v>
      </c>
      <c r="D353" s="113">
        <v>76089792</v>
      </c>
      <c r="E353" s="116">
        <f t="shared" si="61"/>
        <v>48403.175572519081</v>
      </c>
      <c r="F353" s="117">
        <v>51389487</v>
      </c>
      <c r="G353" s="117">
        <f t="shared" si="62"/>
        <v>32690.513358778626</v>
      </c>
      <c r="H353" s="7"/>
      <c r="I353" s="109">
        <v>8.6547000000000001</v>
      </c>
      <c r="J353" s="117">
        <v>444761</v>
      </c>
      <c r="K353" s="120">
        <f t="shared" si="60"/>
        <v>282.92684478371501</v>
      </c>
      <c r="L353" s="122">
        <f t="shared" si="57"/>
        <v>513894.87</v>
      </c>
      <c r="M353" s="116">
        <f t="shared" si="58"/>
        <v>69133.87</v>
      </c>
      <c r="N353" s="123">
        <f t="shared" si="59"/>
        <v>43.978288804071241</v>
      </c>
      <c r="O353" s="5"/>
      <c r="P353" s="5">
        <f t="shared" si="55"/>
        <v>1</v>
      </c>
      <c r="Q353" s="7">
        <f t="shared" si="56"/>
        <v>1572</v>
      </c>
    </row>
    <row r="354" spans="1:21">
      <c r="A354" s="23" t="s">
        <v>381</v>
      </c>
      <c r="B354" s="35" t="s">
        <v>365</v>
      </c>
      <c r="C354" s="36">
        <v>34388</v>
      </c>
      <c r="D354" s="113">
        <v>2198628272</v>
      </c>
      <c r="E354" s="116">
        <f t="shared" si="61"/>
        <v>63935.915784576013</v>
      </c>
      <c r="F354" s="117">
        <v>1463638522</v>
      </c>
      <c r="G354" s="117">
        <f t="shared" si="62"/>
        <v>42562.478829824358</v>
      </c>
      <c r="H354" s="7"/>
      <c r="I354" s="109">
        <v>5.79</v>
      </c>
      <c r="J354" s="117">
        <v>8474467</v>
      </c>
      <c r="K354" s="120">
        <f t="shared" si="60"/>
        <v>246.43675119227638</v>
      </c>
      <c r="L354" s="122">
        <f t="shared" si="57"/>
        <v>14636385.220000001</v>
      </c>
      <c r="M354" s="116">
        <f t="shared" si="58"/>
        <v>6161918.2200000007</v>
      </c>
      <c r="N354" s="123">
        <f t="shared" si="59"/>
        <v>179.18803710596723</v>
      </c>
      <c r="O354" s="5"/>
      <c r="P354" s="5">
        <f t="shared" si="55"/>
        <v>1</v>
      </c>
      <c r="Q354" s="7">
        <f t="shared" si="56"/>
        <v>34388</v>
      </c>
      <c r="S354" s="124">
        <f>SUM(D338:D354)</f>
        <v>13905570220</v>
      </c>
      <c r="T354" s="124">
        <f>SUM(F338:F354)</f>
        <v>9212289794</v>
      </c>
      <c r="U354" s="124">
        <f>SUM(J338:J354)</f>
        <v>51217151</v>
      </c>
    </row>
    <row r="355" spans="1:21">
      <c r="A355" s="23" t="s">
        <v>382</v>
      </c>
      <c r="B355" s="35" t="s">
        <v>383</v>
      </c>
      <c r="C355" s="36">
        <v>1522</v>
      </c>
      <c r="D355" s="113">
        <v>99578495</v>
      </c>
      <c r="E355" s="116">
        <f t="shared" si="61"/>
        <v>65426.080814717476</v>
      </c>
      <c r="F355" s="117">
        <v>55480876</v>
      </c>
      <c r="G355" s="117">
        <f t="shared" si="62"/>
        <v>36452.612352168202</v>
      </c>
      <c r="H355" s="7"/>
      <c r="I355" s="109">
        <v>8.1722999999999999</v>
      </c>
      <c r="J355" s="117">
        <v>453406</v>
      </c>
      <c r="K355" s="120">
        <f t="shared" si="60"/>
        <v>297.90144546649145</v>
      </c>
      <c r="L355" s="122">
        <f t="shared" si="57"/>
        <v>554808.76</v>
      </c>
      <c r="M355" s="116">
        <f t="shared" si="58"/>
        <v>101402.76000000001</v>
      </c>
      <c r="N355" s="123">
        <f t="shared" si="59"/>
        <v>66.624678055190543</v>
      </c>
      <c r="O355" s="5"/>
      <c r="P355" s="5">
        <f t="shared" si="55"/>
        <v>1</v>
      </c>
      <c r="Q355" s="7">
        <f t="shared" si="56"/>
        <v>1522</v>
      </c>
    </row>
    <row r="356" spans="1:21">
      <c r="A356" s="23" t="s">
        <v>384</v>
      </c>
      <c r="B356" s="35" t="s">
        <v>383</v>
      </c>
      <c r="C356" s="36">
        <v>1375</v>
      </c>
      <c r="D356" s="113">
        <v>101423836</v>
      </c>
      <c r="E356" s="116">
        <f t="shared" si="61"/>
        <v>73762.789818181816</v>
      </c>
      <c r="F356" s="117">
        <v>47737659</v>
      </c>
      <c r="G356" s="117">
        <f t="shared" si="62"/>
        <v>34718.297454545456</v>
      </c>
      <c r="H356" s="7"/>
      <c r="I356" s="109">
        <v>8.8286999999999995</v>
      </c>
      <c r="J356" s="117">
        <v>421461</v>
      </c>
      <c r="K356" s="120">
        <f t="shared" si="60"/>
        <v>306.51709090909088</v>
      </c>
      <c r="L356" s="122">
        <f t="shared" si="57"/>
        <v>477376.59</v>
      </c>
      <c r="M356" s="116">
        <f t="shared" si="58"/>
        <v>55915.590000000026</v>
      </c>
      <c r="N356" s="123">
        <f t="shared" si="59"/>
        <v>40.665883636363652</v>
      </c>
      <c r="O356" s="5"/>
      <c r="P356" s="5">
        <f t="shared" si="55"/>
        <v>1</v>
      </c>
      <c r="Q356" s="7">
        <f t="shared" si="56"/>
        <v>1375</v>
      </c>
    </row>
    <row r="357" spans="1:21">
      <c r="A357" s="23" t="s">
        <v>385</v>
      </c>
      <c r="B357" s="35" t="s">
        <v>383</v>
      </c>
      <c r="C357" s="36">
        <v>10203</v>
      </c>
      <c r="D357" s="113">
        <v>718163006</v>
      </c>
      <c r="E357" s="116">
        <f t="shared" si="61"/>
        <v>70387.435656179558</v>
      </c>
      <c r="F357" s="117">
        <v>364305909</v>
      </c>
      <c r="G357" s="117">
        <f t="shared" si="62"/>
        <v>35705.763892972653</v>
      </c>
      <c r="H357" s="7"/>
      <c r="I357" s="109">
        <v>9.1748999999999992</v>
      </c>
      <c r="J357" s="117">
        <v>3342470</v>
      </c>
      <c r="K357" s="120">
        <f t="shared" si="60"/>
        <v>327.59678525923749</v>
      </c>
      <c r="L357" s="122">
        <f t="shared" si="57"/>
        <v>3643059.09</v>
      </c>
      <c r="M357" s="116">
        <f t="shared" si="58"/>
        <v>300589.08999999985</v>
      </c>
      <c r="N357" s="123">
        <f t="shared" si="59"/>
        <v>29.460853670489058</v>
      </c>
      <c r="O357" s="5"/>
      <c r="P357" s="5">
        <f t="shared" si="55"/>
        <v>1</v>
      </c>
      <c r="Q357" s="7">
        <f t="shared" si="56"/>
        <v>10203</v>
      </c>
    </row>
    <row r="358" spans="1:21">
      <c r="A358" s="23" t="s">
        <v>386</v>
      </c>
      <c r="B358" s="35" t="s">
        <v>383</v>
      </c>
      <c r="C358" s="36">
        <v>888</v>
      </c>
      <c r="D358" s="113">
        <v>41459324</v>
      </c>
      <c r="E358" s="116">
        <f t="shared" si="61"/>
        <v>46688.427927927929</v>
      </c>
      <c r="F358" s="117">
        <v>25738402</v>
      </c>
      <c r="G358" s="117">
        <f t="shared" si="62"/>
        <v>28984.686936936938</v>
      </c>
      <c r="H358" s="7"/>
      <c r="I358" s="109">
        <v>5.7873999999999999</v>
      </c>
      <c r="J358" s="117">
        <v>148958</v>
      </c>
      <c r="K358" s="120">
        <f t="shared" si="60"/>
        <v>167.7454954954955</v>
      </c>
      <c r="L358" s="122">
        <f t="shared" si="57"/>
        <v>257384.02000000002</v>
      </c>
      <c r="M358" s="116">
        <f t="shared" si="58"/>
        <v>108426.02000000002</v>
      </c>
      <c r="N358" s="123">
        <f t="shared" si="59"/>
        <v>122.1013738738739</v>
      </c>
      <c r="O358" s="5"/>
      <c r="P358" s="5">
        <f t="shared" si="55"/>
        <v>1</v>
      </c>
      <c r="Q358" s="7">
        <f t="shared" si="56"/>
        <v>888</v>
      </c>
    </row>
    <row r="359" spans="1:21">
      <c r="A359" s="23" t="s">
        <v>387</v>
      </c>
      <c r="B359" s="35" t="s">
        <v>383</v>
      </c>
      <c r="C359" s="36">
        <v>717</v>
      </c>
      <c r="D359" s="113">
        <v>66066340</v>
      </c>
      <c r="E359" s="116">
        <f t="shared" si="61"/>
        <v>92142.733612273354</v>
      </c>
      <c r="F359" s="117">
        <v>50484241</v>
      </c>
      <c r="G359" s="117">
        <f t="shared" si="62"/>
        <v>70410.377963737803</v>
      </c>
      <c r="H359" s="7"/>
      <c r="I359" s="109">
        <v>5.5049999999999999</v>
      </c>
      <c r="J359" s="117">
        <v>277916</v>
      </c>
      <c r="K359" s="120">
        <f t="shared" si="60"/>
        <v>387.60948396094841</v>
      </c>
      <c r="L359" s="122">
        <f t="shared" si="57"/>
        <v>504842.41000000003</v>
      </c>
      <c r="M359" s="116">
        <f t="shared" si="58"/>
        <v>226926.41000000003</v>
      </c>
      <c r="N359" s="123">
        <f t="shared" si="59"/>
        <v>316.4942956764296</v>
      </c>
      <c r="O359" s="5"/>
      <c r="P359" s="5">
        <f t="shared" si="55"/>
        <v>1</v>
      </c>
      <c r="Q359" s="7">
        <f t="shared" si="56"/>
        <v>717</v>
      </c>
      <c r="S359" s="124">
        <f>SUM(D355:D359)</f>
        <v>1026691001</v>
      </c>
      <c r="T359" s="124">
        <f>SUM(F355:F359)</f>
        <v>543747087</v>
      </c>
      <c r="U359" s="124">
        <f>SUM(J355:J359)</f>
        <v>4644211</v>
      </c>
    </row>
    <row r="360" spans="1:21">
      <c r="A360" s="23" t="s">
        <v>390</v>
      </c>
      <c r="B360" s="35" t="s">
        <v>391</v>
      </c>
      <c r="C360" s="36">
        <v>5790</v>
      </c>
      <c r="D360" s="113">
        <v>964046887</v>
      </c>
      <c r="E360" s="116">
        <f t="shared" si="61"/>
        <v>166502.05302245251</v>
      </c>
      <c r="F360" s="117">
        <v>631605965</v>
      </c>
      <c r="G360" s="117">
        <f t="shared" si="62"/>
        <v>109085.65889464594</v>
      </c>
      <c r="H360" s="9"/>
      <c r="I360" s="109">
        <v>1.9</v>
      </c>
      <c r="J360" s="117">
        <v>1200051</v>
      </c>
      <c r="K360" s="120">
        <f t="shared" si="60"/>
        <v>207.26269430051815</v>
      </c>
      <c r="L360" s="122">
        <f t="shared" si="57"/>
        <v>6316059.6500000004</v>
      </c>
      <c r="M360" s="116">
        <f t="shared" si="58"/>
        <v>5116008.6500000004</v>
      </c>
      <c r="N360" s="123">
        <f t="shared" si="59"/>
        <v>883.5938946459413</v>
      </c>
      <c r="O360" s="5"/>
      <c r="P360" s="5">
        <f t="shared" si="55"/>
        <v>1</v>
      </c>
      <c r="Q360" s="7">
        <f t="shared" si="56"/>
        <v>5790</v>
      </c>
    </row>
    <row r="361" spans="1:21">
      <c r="A361" s="23" t="s">
        <v>392</v>
      </c>
      <c r="B361" s="35" t="s">
        <v>391</v>
      </c>
      <c r="C361" s="36">
        <v>526</v>
      </c>
      <c r="D361" s="113">
        <v>58392923</v>
      </c>
      <c r="E361" s="116">
        <f t="shared" si="61"/>
        <v>111013.16159695818</v>
      </c>
      <c r="F361" s="117">
        <v>39056865</v>
      </c>
      <c r="G361" s="117">
        <f t="shared" si="62"/>
        <v>74252.595057034225</v>
      </c>
      <c r="H361" s="9"/>
      <c r="I361" s="109">
        <v>2</v>
      </c>
      <c r="J361" s="117">
        <v>78114</v>
      </c>
      <c r="K361" s="120">
        <f t="shared" si="60"/>
        <v>148.50570342205324</v>
      </c>
      <c r="L361" s="122">
        <f t="shared" si="57"/>
        <v>390568.65</v>
      </c>
      <c r="M361" s="116">
        <f t="shared" si="58"/>
        <v>312454.65000000002</v>
      </c>
      <c r="N361" s="123">
        <f t="shared" si="59"/>
        <v>594.02024714828906</v>
      </c>
      <c r="O361" s="5"/>
      <c r="P361" s="5">
        <f t="shared" si="55"/>
        <v>1</v>
      </c>
      <c r="Q361" s="7">
        <f t="shared" si="56"/>
        <v>526</v>
      </c>
    </row>
    <row r="362" spans="1:21">
      <c r="A362" s="23" t="s">
        <v>393</v>
      </c>
      <c r="B362" s="35" t="s">
        <v>391</v>
      </c>
      <c r="C362" s="36">
        <v>9139</v>
      </c>
      <c r="D362" s="113">
        <v>532870835</v>
      </c>
      <c r="E362" s="116">
        <f t="shared" si="61"/>
        <v>58307.345989714413</v>
      </c>
      <c r="F362" s="117">
        <v>293943173</v>
      </c>
      <c r="G362" s="117">
        <f t="shared" si="62"/>
        <v>32163.603567129881</v>
      </c>
      <c r="H362" s="9"/>
      <c r="I362" s="109">
        <v>3.2372999999999998</v>
      </c>
      <c r="J362" s="117">
        <v>951582</v>
      </c>
      <c r="K362" s="120">
        <f t="shared" si="60"/>
        <v>104.12320822847138</v>
      </c>
      <c r="L362" s="122">
        <f t="shared" si="57"/>
        <v>2939431.73</v>
      </c>
      <c r="M362" s="116">
        <f t="shared" si="58"/>
        <v>1987849.73</v>
      </c>
      <c r="N362" s="123">
        <f t="shared" si="59"/>
        <v>217.51282744282744</v>
      </c>
      <c r="O362" s="5"/>
      <c r="P362" s="5">
        <f t="shared" si="55"/>
        <v>1</v>
      </c>
      <c r="Q362" s="7">
        <f t="shared" si="56"/>
        <v>9139</v>
      </c>
      <c r="S362" s="124">
        <f>SUM(D360:D362)</f>
        <v>1555310645</v>
      </c>
      <c r="T362" s="124">
        <f>SUM(F360:F362)</f>
        <v>964606003</v>
      </c>
      <c r="U362" s="124">
        <f>SUM(J360:J362)</f>
        <v>2229747</v>
      </c>
    </row>
    <row r="363" spans="1:21">
      <c r="A363" s="23" t="s">
        <v>394</v>
      </c>
      <c r="B363" s="35" t="s">
        <v>395</v>
      </c>
      <c r="C363" s="36">
        <v>58674</v>
      </c>
      <c r="D363" s="113">
        <v>3383599194</v>
      </c>
      <c r="E363" s="116">
        <f t="shared" si="61"/>
        <v>57667.777789139996</v>
      </c>
      <c r="F363" s="117">
        <v>2269565210</v>
      </c>
      <c r="G363" s="117">
        <f t="shared" si="62"/>
        <v>38680.935508061491</v>
      </c>
      <c r="H363" s="7"/>
      <c r="I363" s="109">
        <v>3.6166999999999998</v>
      </c>
      <c r="J363" s="117">
        <v>8208336</v>
      </c>
      <c r="K363" s="120">
        <f t="shared" si="60"/>
        <v>139.89733101544124</v>
      </c>
      <c r="L363" s="122">
        <f t="shared" si="57"/>
        <v>22695652.100000001</v>
      </c>
      <c r="M363" s="116">
        <f t="shared" si="58"/>
        <v>14487316.100000001</v>
      </c>
      <c r="N363" s="123">
        <f t="shared" si="59"/>
        <v>246.91202406517371</v>
      </c>
      <c r="O363" s="5"/>
      <c r="P363" s="5">
        <f t="shared" si="55"/>
        <v>1</v>
      </c>
      <c r="Q363" s="7">
        <f t="shared" si="56"/>
        <v>58674</v>
      </c>
    </row>
    <row r="364" spans="1:21">
      <c r="A364" s="23" t="s">
        <v>395</v>
      </c>
      <c r="B364" s="35" t="s">
        <v>395</v>
      </c>
      <c r="C364" s="36">
        <v>52517</v>
      </c>
      <c r="D364" s="113">
        <v>10039605518</v>
      </c>
      <c r="E364" s="116">
        <f t="shared" si="61"/>
        <v>191168.67905630558</v>
      </c>
      <c r="F364" s="117">
        <v>6850420825</v>
      </c>
      <c r="G364" s="117">
        <f t="shared" si="62"/>
        <v>130441.96783898547</v>
      </c>
      <c r="H364" s="7"/>
      <c r="I364" s="109">
        <v>2.9249000000000001</v>
      </c>
      <c r="J364" s="117">
        <v>20036796</v>
      </c>
      <c r="K364" s="120">
        <f t="shared" si="60"/>
        <v>381.52971418778679</v>
      </c>
      <c r="L364" s="122">
        <f t="shared" si="57"/>
        <v>68504208.25</v>
      </c>
      <c r="M364" s="116">
        <f t="shared" si="58"/>
        <v>48467412.25</v>
      </c>
      <c r="N364" s="123">
        <f t="shared" si="59"/>
        <v>922.88996420206786</v>
      </c>
      <c r="O364" s="5"/>
      <c r="P364" s="5">
        <f t="shared" si="55"/>
        <v>1</v>
      </c>
      <c r="Q364" s="7">
        <f t="shared" si="56"/>
        <v>52517</v>
      </c>
    </row>
    <row r="365" spans="1:21">
      <c r="A365" s="23" t="s">
        <v>396</v>
      </c>
      <c r="B365" s="35" t="s">
        <v>395</v>
      </c>
      <c r="C365" s="36">
        <v>20918</v>
      </c>
      <c r="D365" s="113">
        <v>3443780129</v>
      </c>
      <c r="E365" s="116">
        <f t="shared" si="61"/>
        <v>164632.38019887178</v>
      </c>
      <c r="F365" s="117">
        <v>2693658273</v>
      </c>
      <c r="G365" s="117">
        <f t="shared" si="62"/>
        <v>128772.26661248686</v>
      </c>
      <c r="H365" s="7"/>
      <c r="I365" s="109">
        <v>2.9653</v>
      </c>
      <c r="J365" s="117">
        <v>7987505</v>
      </c>
      <c r="K365" s="120">
        <f t="shared" si="60"/>
        <v>381.84840806960511</v>
      </c>
      <c r="L365" s="122">
        <f t="shared" si="57"/>
        <v>26936582.73</v>
      </c>
      <c r="M365" s="116">
        <f t="shared" si="58"/>
        <v>18949077.73</v>
      </c>
      <c r="N365" s="123">
        <f t="shared" si="59"/>
        <v>905.87425805526345</v>
      </c>
      <c r="O365" s="5"/>
      <c r="P365" s="5">
        <f t="shared" si="55"/>
        <v>1</v>
      </c>
      <c r="Q365" s="7">
        <f t="shared" si="56"/>
        <v>20918</v>
      </c>
      <c r="S365" s="124">
        <f>SUM(D363:D365)</f>
        <v>16866984841</v>
      </c>
      <c r="T365" s="124">
        <f>SUM(F363:F365)</f>
        <v>11813644308</v>
      </c>
      <c r="U365" s="124">
        <f>SUM(J363:J365)</f>
        <v>36232637</v>
      </c>
    </row>
    <row r="366" spans="1:21">
      <c r="A366" s="23" t="s">
        <v>397</v>
      </c>
      <c r="B366" s="35" t="s">
        <v>360</v>
      </c>
      <c r="C366" s="36">
        <v>42159</v>
      </c>
      <c r="D366" s="113">
        <v>2968096630</v>
      </c>
      <c r="E366" s="116">
        <f t="shared" si="61"/>
        <v>70402.443843544679</v>
      </c>
      <c r="F366" s="117">
        <v>2302795937</v>
      </c>
      <c r="G366" s="117">
        <f t="shared" si="62"/>
        <v>54621.692568609309</v>
      </c>
      <c r="H366" s="7"/>
      <c r="I366" s="109">
        <v>2.89</v>
      </c>
      <c r="J366" s="117">
        <v>6655080</v>
      </c>
      <c r="K366" s="120">
        <f t="shared" si="60"/>
        <v>157.85668540525154</v>
      </c>
      <c r="L366" s="122">
        <f t="shared" si="57"/>
        <v>23027959.370000001</v>
      </c>
      <c r="M366" s="116">
        <f t="shared" si="58"/>
        <v>16372879.370000001</v>
      </c>
      <c r="N366" s="123">
        <f t="shared" si="59"/>
        <v>388.36024028084159</v>
      </c>
      <c r="O366" s="5"/>
      <c r="P366" s="5">
        <f t="shared" si="55"/>
        <v>1</v>
      </c>
      <c r="Q366" s="7">
        <f t="shared" si="56"/>
        <v>42159</v>
      </c>
    </row>
    <row r="367" spans="1:21">
      <c r="A367" s="23" t="s">
        <v>398</v>
      </c>
      <c r="B367" s="35" t="s">
        <v>360</v>
      </c>
      <c r="C367" s="36">
        <v>26361</v>
      </c>
      <c r="D367" s="113">
        <v>1394125505</v>
      </c>
      <c r="E367" s="116">
        <f t="shared" si="61"/>
        <v>52885.911194567736</v>
      </c>
      <c r="F367" s="117">
        <v>1033253496</v>
      </c>
      <c r="G367" s="117">
        <f t="shared" si="62"/>
        <v>39196.293615568451</v>
      </c>
      <c r="H367" s="7"/>
      <c r="I367" s="109">
        <v>5.45</v>
      </c>
      <c r="J367" s="117">
        <v>5631232</v>
      </c>
      <c r="K367" s="120">
        <f t="shared" si="60"/>
        <v>213.61981715412921</v>
      </c>
      <c r="L367" s="122">
        <f t="shared" si="57"/>
        <v>10332534.960000001</v>
      </c>
      <c r="M367" s="116">
        <f t="shared" si="58"/>
        <v>4701302.9600000009</v>
      </c>
      <c r="N367" s="123">
        <f t="shared" si="59"/>
        <v>178.34311900155535</v>
      </c>
      <c r="O367" s="5"/>
      <c r="P367" s="5">
        <f t="shared" si="55"/>
        <v>1</v>
      </c>
      <c r="Q367" s="7">
        <f t="shared" si="56"/>
        <v>26361</v>
      </c>
    </row>
    <row r="368" spans="1:21">
      <c r="A368" s="23" t="s">
        <v>399</v>
      </c>
      <c r="B368" s="35" t="s">
        <v>360</v>
      </c>
      <c r="C368" s="36">
        <v>13937</v>
      </c>
      <c r="D368" s="113">
        <v>2091729107</v>
      </c>
      <c r="E368" s="116">
        <f t="shared" si="61"/>
        <v>150084.60264045346</v>
      </c>
      <c r="F368" s="117">
        <v>1724478768</v>
      </c>
      <c r="G368" s="117">
        <f t="shared" si="62"/>
        <v>123733.85721460859</v>
      </c>
      <c r="H368" s="7"/>
      <c r="I368" s="109">
        <v>3.6355</v>
      </c>
      <c r="J368" s="117">
        <v>6269343</v>
      </c>
      <c r="K368" s="120">
        <f t="shared" si="60"/>
        <v>449.8344693980053</v>
      </c>
      <c r="L368" s="122">
        <f t="shared" si="57"/>
        <v>17244787.68</v>
      </c>
      <c r="M368" s="116">
        <f t="shared" si="58"/>
        <v>10975444.68</v>
      </c>
      <c r="N368" s="123">
        <f t="shared" si="59"/>
        <v>787.50410274808064</v>
      </c>
      <c r="O368" s="5"/>
      <c r="P368" s="5">
        <f t="shared" si="55"/>
        <v>1</v>
      </c>
      <c r="Q368" s="7">
        <f t="shared" si="56"/>
        <v>13937</v>
      </c>
    </row>
    <row r="369" spans="1:21">
      <c r="A369" s="23" t="s">
        <v>400</v>
      </c>
      <c r="B369" s="35" t="s">
        <v>360</v>
      </c>
      <c r="C369" s="36">
        <v>13606</v>
      </c>
      <c r="D369" s="113">
        <v>1121241181</v>
      </c>
      <c r="E369" s="116">
        <f t="shared" si="61"/>
        <v>82407.848081728647</v>
      </c>
      <c r="F369" s="117">
        <v>843758429</v>
      </c>
      <c r="G369" s="117">
        <f t="shared" si="62"/>
        <v>62013.701969719245</v>
      </c>
      <c r="H369" s="7"/>
      <c r="I369" s="109">
        <v>5.5</v>
      </c>
      <c r="J369" s="117">
        <v>4640671</v>
      </c>
      <c r="K369" s="120">
        <f t="shared" si="60"/>
        <v>341.07533441128913</v>
      </c>
      <c r="L369" s="122">
        <f t="shared" si="57"/>
        <v>8437584.290000001</v>
      </c>
      <c r="M369" s="116">
        <f t="shared" si="58"/>
        <v>3796913.290000001</v>
      </c>
      <c r="N369" s="123">
        <f t="shared" si="59"/>
        <v>279.06168528590337</v>
      </c>
      <c r="O369" s="5"/>
      <c r="P369" s="5">
        <f t="shared" si="55"/>
        <v>1</v>
      </c>
      <c r="Q369" s="7">
        <f t="shared" si="56"/>
        <v>13606</v>
      </c>
    </row>
    <row r="370" spans="1:21">
      <c r="A370" s="23" t="s">
        <v>401</v>
      </c>
      <c r="B370" s="35" t="s">
        <v>360</v>
      </c>
      <c r="C370" s="36">
        <v>34573</v>
      </c>
      <c r="D370" s="113">
        <v>2455515912</v>
      </c>
      <c r="E370" s="116">
        <f t="shared" si="61"/>
        <v>71024.0914008041</v>
      </c>
      <c r="F370" s="117">
        <v>1851053566</v>
      </c>
      <c r="G370" s="117">
        <f t="shared" si="62"/>
        <v>53540.438087524948</v>
      </c>
      <c r="H370" s="7"/>
      <c r="I370" s="109">
        <v>4.8625999999999996</v>
      </c>
      <c r="J370" s="117">
        <v>9000933</v>
      </c>
      <c r="K370" s="120">
        <f t="shared" si="60"/>
        <v>260.34573221878344</v>
      </c>
      <c r="L370" s="122">
        <f t="shared" si="57"/>
        <v>18510535.66</v>
      </c>
      <c r="M370" s="116">
        <f t="shared" si="58"/>
        <v>9509602.6600000001</v>
      </c>
      <c r="N370" s="123">
        <f t="shared" si="59"/>
        <v>275.058648656466</v>
      </c>
      <c r="O370" s="5"/>
      <c r="P370" s="5">
        <f t="shared" si="55"/>
        <v>1</v>
      </c>
      <c r="Q370" s="7">
        <f t="shared" si="56"/>
        <v>34573</v>
      </c>
    </row>
    <row r="371" spans="1:21">
      <c r="A371" s="23" t="s">
        <v>402</v>
      </c>
      <c r="B371" s="35" t="s">
        <v>360</v>
      </c>
      <c r="C371" s="36">
        <v>54064</v>
      </c>
      <c r="D371" s="113">
        <v>3266665922</v>
      </c>
      <c r="E371" s="116">
        <f t="shared" si="61"/>
        <v>60422.201871855577</v>
      </c>
      <c r="F371" s="117">
        <v>2289599477</v>
      </c>
      <c r="G371" s="117">
        <f t="shared" si="62"/>
        <v>42349.797961675053</v>
      </c>
      <c r="H371" s="7"/>
      <c r="I371" s="109">
        <v>6.8250000000000002</v>
      </c>
      <c r="J371" s="117">
        <v>15626516</v>
      </c>
      <c r="K371" s="120">
        <f t="shared" si="60"/>
        <v>289.03736312518498</v>
      </c>
      <c r="L371" s="122">
        <f t="shared" si="57"/>
        <v>22895994.77</v>
      </c>
      <c r="M371" s="116">
        <f t="shared" si="58"/>
        <v>7269478.7699999996</v>
      </c>
      <c r="N371" s="123">
        <f t="shared" si="59"/>
        <v>134.46061649156553</v>
      </c>
      <c r="O371" s="5"/>
      <c r="P371" s="5">
        <f t="shared" si="55"/>
        <v>1</v>
      </c>
      <c r="Q371" s="7">
        <f t="shared" si="56"/>
        <v>54064</v>
      </c>
    </row>
    <row r="372" spans="1:21">
      <c r="A372" s="23" t="s">
        <v>403</v>
      </c>
      <c r="B372" s="35" t="s">
        <v>360</v>
      </c>
      <c r="C372" s="36">
        <v>33430</v>
      </c>
      <c r="D372" s="113">
        <v>2154158532</v>
      </c>
      <c r="E372" s="116">
        <f t="shared" si="61"/>
        <v>64437.886090338019</v>
      </c>
      <c r="F372" s="117">
        <v>1572300619</v>
      </c>
      <c r="G372" s="117">
        <f t="shared" si="62"/>
        <v>47032.623960514509</v>
      </c>
      <c r="H372" s="7"/>
      <c r="I372" s="109">
        <v>2.4300000000000002</v>
      </c>
      <c r="J372" s="117">
        <v>3820691</v>
      </c>
      <c r="K372" s="120">
        <f t="shared" si="60"/>
        <v>114.28929105593778</v>
      </c>
      <c r="L372" s="122">
        <f t="shared" si="57"/>
        <v>15723006.189999999</v>
      </c>
      <c r="M372" s="116">
        <f t="shared" si="58"/>
        <v>11902315.189999999</v>
      </c>
      <c r="N372" s="123">
        <f t="shared" si="59"/>
        <v>356.0369485492073</v>
      </c>
      <c r="O372" s="5"/>
      <c r="P372" s="5">
        <f t="shared" si="55"/>
        <v>1</v>
      </c>
      <c r="Q372" s="7">
        <f t="shared" si="56"/>
        <v>33430</v>
      </c>
      <c r="S372" s="124">
        <f>SUM(D366:D372)</f>
        <v>15451532789</v>
      </c>
      <c r="T372" s="124">
        <f>SUM(F366:F372)</f>
        <v>11617240292</v>
      </c>
      <c r="U372" s="124">
        <f>SUM(J366:J372)</f>
        <v>51644466</v>
      </c>
    </row>
    <row r="373" spans="1:21">
      <c r="A373" s="23" t="s">
        <v>388</v>
      </c>
      <c r="B373" s="37" t="s">
        <v>551</v>
      </c>
      <c r="C373" s="36">
        <v>593</v>
      </c>
      <c r="D373" s="113">
        <v>35414888</v>
      </c>
      <c r="E373" s="116">
        <f t="shared" si="61"/>
        <v>59721.564924114675</v>
      </c>
      <c r="F373" s="117">
        <v>23032005</v>
      </c>
      <c r="G373" s="117">
        <f t="shared" si="62"/>
        <v>38839.806070826307</v>
      </c>
      <c r="H373" s="7"/>
      <c r="I373" s="109">
        <v>9.2396999999999991</v>
      </c>
      <c r="J373" s="117">
        <v>212809</v>
      </c>
      <c r="K373" s="120">
        <f t="shared" si="60"/>
        <v>358.86846543001684</v>
      </c>
      <c r="L373" s="122">
        <f t="shared" si="57"/>
        <v>230320.05000000002</v>
      </c>
      <c r="M373" s="116">
        <f t="shared" si="58"/>
        <v>17511.050000000017</v>
      </c>
      <c r="N373" s="123">
        <f t="shared" si="59"/>
        <v>29.529595278246234</v>
      </c>
      <c r="O373" s="5"/>
      <c r="P373" s="5">
        <f t="shared" si="55"/>
        <v>1</v>
      </c>
      <c r="Q373" s="7">
        <f t="shared" si="56"/>
        <v>593</v>
      </c>
    </row>
    <row r="374" spans="1:21">
      <c r="A374" s="24" t="s">
        <v>549</v>
      </c>
      <c r="B374" s="37" t="s">
        <v>551</v>
      </c>
      <c r="C374" s="36">
        <v>13092</v>
      </c>
      <c r="D374" s="113">
        <v>1707671061</v>
      </c>
      <c r="E374" s="116">
        <f t="shared" si="61"/>
        <v>130436.22525206233</v>
      </c>
      <c r="F374" s="117">
        <v>1073016956</v>
      </c>
      <c r="G374" s="117">
        <f t="shared" si="62"/>
        <v>81959.743049190351</v>
      </c>
      <c r="H374" s="7"/>
      <c r="I374" s="109">
        <v>7.5</v>
      </c>
      <c r="J374" s="117">
        <v>8047627</v>
      </c>
      <c r="K374" s="120">
        <f t="shared" si="60"/>
        <v>614.69805988389851</v>
      </c>
      <c r="L374" s="122">
        <f t="shared" si="57"/>
        <v>10730169.560000001</v>
      </c>
      <c r="M374" s="116">
        <f t="shared" si="58"/>
        <v>2682542.5600000005</v>
      </c>
      <c r="N374" s="123">
        <f t="shared" si="59"/>
        <v>204.89937060800492</v>
      </c>
      <c r="O374" s="5"/>
      <c r="P374" s="5">
        <f t="shared" si="55"/>
        <v>1</v>
      </c>
      <c r="Q374" s="7">
        <f t="shared" si="56"/>
        <v>13092</v>
      </c>
    </row>
    <row r="375" spans="1:21">
      <c r="A375" s="24" t="s">
        <v>550</v>
      </c>
      <c r="B375" s="37" t="s">
        <v>551</v>
      </c>
      <c r="C375" s="36">
        <v>6258</v>
      </c>
      <c r="D375" s="113">
        <v>987283204</v>
      </c>
      <c r="E375" s="116">
        <f t="shared" si="61"/>
        <v>157763.37551933524</v>
      </c>
      <c r="F375" s="117">
        <v>838503436</v>
      </c>
      <c r="G375" s="117">
        <f t="shared" si="62"/>
        <v>133989.04378395653</v>
      </c>
      <c r="H375" s="7"/>
      <c r="I375" s="109">
        <v>2.3992</v>
      </c>
      <c r="J375" s="117">
        <v>2011737</v>
      </c>
      <c r="K375" s="120">
        <f t="shared" si="60"/>
        <v>321.46644295302013</v>
      </c>
      <c r="L375" s="122">
        <f t="shared" si="57"/>
        <v>8385034.3600000003</v>
      </c>
      <c r="M375" s="116">
        <f t="shared" si="58"/>
        <v>6373297.3600000003</v>
      </c>
      <c r="N375" s="123">
        <f t="shared" si="59"/>
        <v>1018.4239948865453</v>
      </c>
      <c r="O375" s="5"/>
      <c r="P375" s="5">
        <f t="shared" si="55"/>
        <v>1</v>
      </c>
      <c r="Q375" s="7">
        <f t="shared" si="56"/>
        <v>6258</v>
      </c>
      <c r="S375" s="124">
        <f>SUM(D373:D375)</f>
        <v>2730369153</v>
      </c>
      <c r="T375" s="124">
        <f>SUM(F373:F375)</f>
        <v>1934552397</v>
      </c>
      <c r="U375" s="124">
        <f>SUM(J373:J375)</f>
        <v>10272173</v>
      </c>
    </row>
    <row r="376" spans="1:21">
      <c r="A376" s="23" t="s">
        <v>389</v>
      </c>
      <c r="B376" s="37" t="s">
        <v>552</v>
      </c>
      <c r="C376" s="36">
        <v>41646</v>
      </c>
      <c r="D376" s="113">
        <v>3084688049</v>
      </c>
      <c r="E376" s="116">
        <f t="shared" si="61"/>
        <v>74069.251524756284</v>
      </c>
      <c r="F376" s="117">
        <v>1867999879</v>
      </c>
      <c r="G376" s="117">
        <f t="shared" si="62"/>
        <v>44854.244801421504</v>
      </c>
      <c r="H376" s="7"/>
      <c r="I376" s="109">
        <v>5.7130999999999998</v>
      </c>
      <c r="J376" s="117">
        <v>10672070</v>
      </c>
      <c r="K376" s="120">
        <f t="shared" si="60"/>
        <v>256.25678336454882</v>
      </c>
      <c r="L376" s="122">
        <f t="shared" si="57"/>
        <v>18679998.789999999</v>
      </c>
      <c r="M376" s="116">
        <f t="shared" si="58"/>
        <v>8007928.7899999991</v>
      </c>
      <c r="N376" s="123">
        <f t="shared" si="59"/>
        <v>192.28566464966622</v>
      </c>
      <c r="O376" s="5"/>
      <c r="P376" s="5">
        <f t="shared" si="55"/>
        <v>1</v>
      </c>
      <c r="Q376" s="7">
        <f t="shared" si="56"/>
        <v>41646</v>
      </c>
    </row>
    <row r="377" spans="1:21">
      <c r="A377" s="24" t="s">
        <v>553</v>
      </c>
      <c r="B377" s="37" t="s">
        <v>552</v>
      </c>
      <c r="C377" s="36">
        <v>167252</v>
      </c>
      <c r="D377" s="113">
        <v>9408251935</v>
      </c>
      <c r="E377" s="116">
        <f t="shared" si="61"/>
        <v>56251.954744935785</v>
      </c>
      <c r="F377" s="117">
        <v>6301687711</v>
      </c>
      <c r="G377" s="117">
        <f t="shared" si="62"/>
        <v>37677.801825987131</v>
      </c>
      <c r="H377" s="7"/>
      <c r="I377" s="109">
        <v>4.4096000000000002</v>
      </c>
      <c r="J377" s="117">
        <v>27787922</v>
      </c>
      <c r="K377" s="120">
        <f t="shared" si="60"/>
        <v>166.14403415205797</v>
      </c>
      <c r="L377" s="122">
        <f t="shared" si="57"/>
        <v>63016877.109999999</v>
      </c>
      <c r="M377" s="116">
        <f t="shared" si="58"/>
        <v>35228955.109999999</v>
      </c>
      <c r="N377" s="123">
        <f t="shared" si="59"/>
        <v>210.63398410781335</v>
      </c>
      <c r="O377" s="5"/>
      <c r="P377" s="5">
        <f t="shared" si="55"/>
        <v>1</v>
      </c>
      <c r="Q377" s="7">
        <f t="shared" si="56"/>
        <v>167252</v>
      </c>
    </row>
    <row r="378" spans="1:21">
      <c r="A378" s="24" t="s">
        <v>554</v>
      </c>
      <c r="B378" s="37" t="s">
        <v>552</v>
      </c>
      <c r="C378" s="36">
        <v>585</v>
      </c>
      <c r="D378" s="113">
        <v>74862813</v>
      </c>
      <c r="E378" s="116">
        <f t="shared" si="61"/>
        <v>127970.62051282052</v>
      </c>
      <c r="F378" s="117">
        <v>54388337</v>
      </c>
      <c r="G378" s="117">
        <f t="shared" si="62"/>
        <v>92971.516239316246</v>
      </c>
      <c r="H378" s="7"/>
      <c r="I378" s="109">
        <v>1.72</v>
      </c>
      <c r="J378" s="117">
        <v>93548</v>
      </c>
      <c r="K378" s="120">
        <f t="shared" si="60"/>
        <v>159.9111111111111</v>
      </c>
      <c r="L378" s="122">
        <f t="shared" si="57"/>
        <v>543883.37</v>
      </c>
      <c r="M378" s="116">
        <f t="shared" si="58"/>
        <v>450335.37</v>
      </c>
      <c r="N378" s="123">
        <f t="shared" si="59"/>
        <v>769.80405128205132</v>
      </c>
      <c r="O378" s="5"/>
      <c r="P378" s="5">
        <f t="shared" si="55"/>
        <v>1</v>
      </c>
      <c r="Q378" s="7">
        <f t="shared" si="56"/>
        <v>585</v>
      </c>
      <c r="S378" s="124">
        <f>SUM(D376:D378)</f>
        <v>12567802797</v>
      </c>
      <c r="T378" s="124">
        <f>SUM(F376:F378)</f>
        <v>8224075927</v>
      </c>
      <c r="U378" s="124">
        <f>SUM(J376:J378)</f>
        <v>38553540</v>
      </c>
    </row>
    <row r="379" spans="1:21">
      <c r="A379" s="23" t="s">
        <v>404</v>
      </c>
      <c r="B379" s="35" t="s">
        <v>405</v>
      </c>
      <c r="C379" s="36">
        <v>2445</v>
      </c>
      <c r="D379" s="113">
        <v>174192959</v>
      </c>
      <c r="E379" s="116">
        <f t="shared" si="61"/>
        <v>71244.564008179965</v>
      </c>
      <c r="F379" s="117">
        <v>115281845</v>
      </c>
      <c r="G379" s="117">
        <f t="shared" si="62"/>
        <v>47150.038854805724</v>
      </c>
      <c r="H379" s="9"/>
      <c r="I379" s="109">
        <v>4.9917999999999996</v>
      </c>
      <c r="J379" s="117">
        <v>575464</v>
      </c>
      <c r="K379" s="120">
        <f t="shared" si="60"/>
        <v>235.36359918200409</v>
      </c>
      <c r="L379" s="122">
        <f t="shared" si="57"/>
        <v>1152818.45</v>
      </c>
      <c r="M379" s="116">
        <f t="shared" si="58"/>
        <v>577354.44999999995</v>
      </c>
      <c r="N379" s="123">
        <f t="shared" si="59"/>
        <v>236.13678936605314</v>
      </c>
      <c r="O379" s="5"/>
      <c r="P379" s="5">
        <f t="shared" si="55"/>
        <v>1</v>
      </c>
      <c r="Q379" s="7">
        <f t="shared" si="56"/>
        <v>2445</v>
      </c>
    </row>
    <row r="380" spans="1:21">
      <c r="A380" s="23" t="s">
        <v>406</v>
      </c>
      <c r="B380" s="35" t="s">
        <v>405</v>
      </c>
      <c r="C380" s="36">
        <v>944</v>
      </c>
      <c r="D380" s="113">
        <v>41083568</v>
      </c>
      <c r="E380" s="116">
        <f t="shared" si="61"/>
        <v>43520.728813559319</v>
      </c>
      <c r="F380" s="117">
        <v>23964623</v>
      </c>
      <c r="G380" s="117">
        <f t="shared" si="62"/>
        <v>25386.2531779661</v>
      </c>
      <c r="H380" s="9"/>
      <c r="I380" s="109">
        <v>4.3898999999999999</v>
      </c>
      <c r="J380" s="117">
        <v>105202</v>
      </c>
      <c r="K380" s="120">
        <f t="shared" si="60"/>
        <v>111.44279661016949</v>
      </c>
      <c r="L380" s="122">
        <f t="shared" si="57"/>
        <v>239646.23</v>
      </c>
      <c r="M380" s="116">
        <f t="shared" si="58"/>
        <v>134444.23000000001</v>
      </c>
      <c r="N380" s="123">
        <f t="shared" si="59"/>
        <v>142.41973516949153</v>
      </c>
      <c r="O380" s="5"/>
      <c r="P380" s="5">
        <f t="shared" si="55"/>
        <v>1</v>
      </c>
      <c r="Q380" s="7">
        <f t="shared" si="56"/>
        <v>944</v>
      </c>
    </row>
    <row r="381" spans="1:21">
      <c r="A381" s="23" t="s">
        <v>407</v>
      </c>
      <c r="B381" s="35" t="s">
        <v>405</v>
      </c>
      <c r="C381" s="36">
        <v>703</v>
      </c>
      <c r="D381" s="114" t="s">
        <v>564</v>
      </c>
      <c r="E381" s="116"/>
      <c r="F381" s="117"/>
      <c r="G381" s="117"/>
      <c r="H381" s="98" t="s">
        <v>588</v>
      </c>
      <c r="I381" s="109"/>
      <c r="J381" s="117"/>
      <c r="K381" s="120"/>
      <c r="L381" s="122">
        <f t="shared" si="57"/>
        <v>0</v>
      </c>
      <c r="M381" s="116">
        <f t="shared" si="58"/>
        <v>0</v>
      </c>
      <c r="N381" s="123">
        <f t="shared" si="59"/>
        <v>0</v>
      </c>
      <c r="O381" s="5"/>
      <c r="P381" s="5">
        <f t="shared" si="55"/>
        <v>0</v>
      </c>
      <c r="Q381" s="7">
        <f t="shared" si="56"/>
        <v>0</v>
      </c>
    </row>
    <row r="382" spans="1:21">
      <c r="A382" s="23" t="s">
        <v>408</v>
      </c>
      <c r="B382" s="35" t="s">
        <v>405</v>
      </c>
      <c r="C382" s="36">
        <v>774</v>
      </c>
      <c r="D382" s="113">
        <v>23248350</v>
      </c>
      <c r="E382" s="116">
        <f t="shared" si="61"/>
        <v>30036.627906976744</v>
      </c>
      <c r="F382" s="117">
        <v>14848587</v>
      </c>
      <c r="G382" s="117">
        <f t="shared" si="62"/>
        <v>19184.220930232557</v>
      </c>
      <c r="H382" s="7"/>
      <c r="I382" s="110">
        <v>7</v>
      </c>
      <c r="J382" s="117">
        <v>103940</v>
      </c>
      <c r="K382" s="120">
        <f t="shared" ref="K382:K387" si="63">(J382/C382)</f>
        <v>134.28940568475451</v>
      </c>
      <c r="L382" s="122">
        <f t="shared" si="57"/>
        <v>148485.87</v>
      </c>
      <c r="M382" s="116">
        <f t="shared" si="58"/>
        <v>44545.869999999995</v>
      </c>
      <c r="N382" s="123">
        <f t="shared" si="59"/>
        <v>57.552803617571051</v>
      </c>
      <c r="O382" s="5"/>
      <c r="P382" s="5">
        <f t="shared" si="55"/>
        <v>1</v>
      </c>
      <c r="Q382" s="7">
        <f t="shared" si="56"/>
        <v>774</v>
      </c>
    </row>
    <row r="383" spans="1:21">
      <c r="A383" s="23" t="s">
        <v>409</v>
      </c>
      <c r="B383" s="35" t="s">
        <v>405</v>
      </c>
      <c r="C383" s="36">
        <v>6969</v>
      </c>
      <c r="D383" s="113">
        <v>486499635</v>
      </c>
      <c r="E383" s="116">
        <f t="shared" si="61"/>
        <v>69809.102453723637</v>
      </c>
      <c r="F383" s="117">
        <v>361319757</v>
      </c>
      <c r="G383" s="117">
        <f t="shared" si="62"/>
        <v>51846.715023676283</v>
      </c>
      <c r="H383" s="7"/>
      <c r="I383" s="109">
        <v>4.1692999999999998</v>
      </c>
      <c r="J383" s="118">
        <v>1506450</v>
      </c>
      <c r="K383" s="120">
        <f t="shared" si="63"/>
        <v>216.16444253120963</v>
      </c>
      <c r="L383" s="122">
        <f t="shared" si="57"/>
        <v>3613197.5700000003</v>
      </c>
      <c r="M383" s="116">
        <f t="shared" si="58"/>
        <v>2106747.5700000003</v>
      </c>
      <c r="N383" s="123">
        <f t="shared" si="59"/>
        <v>302.30270770555319</v>
      </c>
      <c r="O383" s="5"/>
      <c r="P383" s="5">
        <f t="shared" si="55"/>
        <v>1</v>
      </c>
      <c r="Q383" s="7">
        <f t="shared" si="56"/>
        <v>6969</v>
      </c>
      <c r="S383" s="124">
        <f>SUM(D379:D383)</f>
        <v>725024512</v>
      </c>
      <c r="T383" s="124">
        <f>SUM(F379:F383)</f>
        <v>515414812</v>
      </c>
      <c r="U383" s="124">
        <f>SUM(J379:J383)</f>
        <v>2291056</v>
      </c>
    </row>
    <row r="384" spans="1:21">
      <c r="A384" s="23" t="s">
        <v>410</v>
      </c>
      <c r="B384" s="35" t="s">
        <v>411</v>
      </c>
      <c r="C384" s="36">
        <v>705</v>
      </c>
      <c r="D384" s="113">
        <v>40286747</v>
      </c>
      <c r="E384" s="116">
        <f t="shared" si="61"/>
        <v>57144.321985815601</v>
      </c>
      <c r="F384" s="117">
        <v>23691179</v>
      </c>
      <c r="G384" s="117">
        <f t="shared" si="62"/>
        <v>33604.509219858155</v>
      </c>
      <c r="H384" s="7"/>
      <c r="I384" s="109">
        <v>4.2572999999999999</v>
      </c>
      <c r="J384" s="117">
        <v>100860</v>
      </c>
      <c r="K384" s="120">
        <f t="shared" si="63"/>
        <v>143.06382978723406</v>
      </c>
      <c r="L384" s="122">
        <f t="shared" si="57"/>
        <v>236911.79</v>
      </c>
      <c r="M384" s="116">
        <f t="shared" si="58"/>
        <v>136051.79</v>
      </c>
      <c r="N384" s="123">
        <f t="shared" si="59"/>
        <v>192.98126241134753</v>
      </c>
      <c r="O384" s="5"/>
      <c r="P384" s="5">
        <f t="shared" si="55"/>
        <v>1</v>
      </c>
      <c r="Q384" s="7">
        <f t="shared" si="56"/>
        <v>705</v>
      </c>
    </row>
    <row r="385" spans="1:21">
      <c r="A385" s="23" t="s">
        <v>412</v>
      </c>
      <c r="B385" s="35" t="s">
        <v>411</v>
      </c>
      <c r="C385" s="36">
        <v>6826</v>
      </c>
      <c r="D385" s="113">
        <v>331816183</v>
      </c>
      <c r="E385" s="116">
        <f t="shared" si="61"/>
        <v>48610.633313800179</v>
      </c>
      <c r="F385" s="117">
        <v>207672814</v>
      </c>
      <c r="G385" s="117">
        <f t="shared" si="62"/>
        <v>30423.793436859069</v>
      </c>
      <c r="H385" s="7"/>
      <c r="I385" s="109">
        <v>6.5545999999999998</v>
      </c>
      <c r="J385" s="117">
        <v>1361212</v>
      </c>
      <c r="K385" s="120">
        <f t="shared" si="63"/>
        <v>199.41576325813068</v>
      </c>
      <c r="L385" s="122">
        <f t="shared" si="57"/>
        <v>2076728.1400000001</v>
      </c>
      <c r="M385" s="116">
        <f t="shared" si="58"/>
        <v>715516.14000000013</v>
      </c>
      <c r="N385" s="123">
        <f t="shared" si="59"/>
        <v>104.82217111046002</v>
      </c>
      <c r="O385" s="5"/>
      <c r="P385" s="5">
        <f t="shared" si="55"/>
        <v>1</v>
      </c>
      <c r="Q385" s="7">
        <f t="shared" si="56"/>
        <v>6826</v>
      </c>
      <c r="S385" s="124">
        <f>SUM(D384:D385)</f>
        <v>372102930</v>
      </c>
      <c r="T385" s="124">
        <f>SUM(F384:F385)</f>
        <v>231363993</v>
      </c>
      <c r="U385" s="124">
        <f>SUM(J384:J385)</f>
        <v>1462072</v>
      </c>
    </row>
    <row r="386" spans="1:21">
      <c r="A386" s="23" t="s">
        <v>413</v>
      </c>
      <c r="B386" s="35" t="s">
        <v>414</v>
      </c>
      <c r="C386" s="36">
        <v>7037</v>
      </c>
      <c r="D386" s="113">
        <v>403198355</v>
      </c>
      <c r="E386" s="116">
        <f t="shared" si="61"/>
        <v>57296.909904788976</v>
      </c>
      <c r="F386" s="117">
        <v>223873125</v>
      </c>
      <c r="G386" s="117">
        <f t="shared" si="62"/>
        <v>31813.716782719908</v>
      </c>
      <c r="H386" s="9"/>
      <c r="I386" s="109">
        <v>4.5</v>
      </c>
      <c r="J386" s="117">
        <v>1007429</v>
      </c>
      <c r="K386" s="120">
        <f t="shared" si="63"/>
        <v>143.16171664061389</v>
      </c>
      <c r="L386" s="122">
        <f t="shared" si="57"/>
        <v>2238731.25</v>
      </c>
      <c r="M386" s="116">
        <f t="shared" si="58"/>
        <v>1231302.25</v>
      </c>
      <c r="N386" s="123">
        <f t="shared" si="59"/>
        <v>174.97545118658519</v>
      </c>
      <c r="O386" s="5"/>
      <c r="P386" s="5">
        <f t="shared" si="55"/>
        <v>1</v>
      </c>
      <c r="Q386" s="7">
        <f t="shared" si="56"/>
        <v>7037</v>
      </c>
      <c r="S386" s="124">
        <f>SUM(D386)</f>
        <v>403198355</v>
      </c>
      <c r="T386" s="124">
        <f>SUM(F386)</f>
        <v>223873125</v>
      </c>
      <c r="U386" s="124">
        <f>SUM(J386)</f>
        <v>1007429</v>
      </c>
    </row>
    <row r="387" spans="1:21">
      <c r="A387" s="23" t="s">
        <v>415</v>
      </c>
      <c r="B387" s="35" t="s">
        <v>416</v>
      </c>
      <c r="C387" s="36">
        <v>1893</v>
      </c>
      <c r="D387" s="113">
        <v>67600117</v>
      </c>
      <c r="E387" s="116">
        <f t="shared" si="61"/>
        <v>35710.574220813527</v>
      </c>
      <c r="F387" s="117">
        <v>33263965</v>
      </c>
      <c r="G387" s="117">
        <f t="shared" si="62"/>
        <v>17572.089276281036</v>
      </c>
      <c r="H387" s="9"/>
      <c r="I387" s="109">
        <v>2.2599</v>
      </c>
      <c r="J387" s="117">
        <v>75173</v>
      </c>
      <c r="K387" s="120">
        <f t="shared" si="63"/>
        <v>39.711040676175386</v>
      </c>
      <c r="L387" s="122">
        <f t="shared" si="57"/>
        <v>332639.65000000002</v>
      </c>
      <c r="M387" s="116">
        <f t="shared" si="58"/>
        <v>257466.65000000002</v>
      </c>
      <c r="N387" s="123">
        <f t="shared" si="59"/>
        <v>136.00985208663499</v>
      </c>
      <c r="O387" s="5"/>
      <c r="P387" s="5">
        <f t="shared" si="55"/>
        <v>1</v>
      </c>
      <c r="Q387" s="7">
        <f t="shared" si="56"/>
        <v>1893</v>
      </c>
    </row>
    <row r="388" spans="1:21">
      <c r="A388" s="23" t="s">
        <v>417</v>
      </c>
      <c r="B388" s="35" t="s">
        <v>416</v>
      </c>
      <c r="C388" s="36">
        <v>255</v>
      </c>
      <c r="D388" s="114" t="s">
        <v>564</v>
      </c>
      <c r="E388" s="116"/>
      <c r="F388" s="117"/>
      <c r="G388" s="117"/>
      <c r="H388" s="98" t="s">
        <v>588</v>
      </c>
      <c r="I388" s="109"/>
      <c r="J388" s="117"/>
      <c r="K388" s="120"/>
      <c r="L388" s="122">
        <f t="shared" si="57"/>
        <v>0</v>
      </c>
      <c r="M388" s="116">
        <f t="shared" si="58"/>
        <v>0</v>
      </c>
      <c r="N388" s="123">
        <f t="shared" si="59"/>
        <v>0</v>
      </c>
      <c r="O388" s="5"/>
      <c r="P388" s="5">
        <f t="shared" si="55"/>
        <v>0</v>
      </c>
      <c r="Q388" s="7">
        <f t="shared" si="56"/>
        <v>0</v>
      </c>
    </row>
    <row r="389" spans="1:21">
      <c r="A389" s="23" t="s">
        <v>418</v>
      </c>
      <c r="B389" s="35" t="s">
        <v>416</v>
      </c>
      <c r="C389" s="36">
        <v>391</v>
      </c>
      <c r="D389" s="113">
        <v>11977424</v>
      </c>
      <c r="E389" s="116">
        <f t="shared" si="61"/>
        <v>30632.797953964193</v>
      </c>
      <c r="F389" s="117">
        <v>6027892</v>
      </c>
      <c r="G389" s="117">
        <f t="shared" si="62"/>
        <v>15416.60358056266</v>
      </c>
      <c r="H389" s="7"/>
      <c r="I389" s="110">
        <v>1.6621999999999999</v>
      </c>
      <c r="J389" s="117">
        <v>10020</v>
      </c>
      <c r="K389" s="120">
        <f t="shared" ref="K389:K405" si="64">(J389/C389)</f>
        <v>25.626598465473144</v>
      </c>
      <c r="L389" s="122">
        <f t="shared" si="57"/>
        <v>60278.92</v>
      </c>
      <c r="M389" s="116">
        <f t="shared" si="58"/>
        <v>50258.92</v>
      </c>
      <c r="N389" s="123">
        <f t="shared" si="59"/>
        <v>128.53943734015346</v>
      </c>
      <c r="O389" s="5"/>
      <c r="P389" s="5">
        <f t="shared" ref="P389:P415" si="65">IF(I389&gt;0,1,0)</f>
        <v>1</v>
      </c>
      <c r="Q389" s="7">
        <f t="shared" ref="Q389:Q415" si="66">IF(I389&gt;0,C389,0)</f>
        <v>391</v>
      </c>
      <c r="S389" s="124">
        <f>SUM(D387:D389)</f>
        <v>79577541</v>
      </c>
      <c r="T389" s="124">
        <f>SUM(F387:F389)</f>
        <v>39291857</v>
      </c>
      <c r="U389" s="124">
        <f>SUM(J387:J389)</f>
        <v>85193</v>
      </c>
    </row>
    <row r="390" spans="1:21">
      <c r="A390" s="23" t="s">
        <v>419</v>
      </c>
      <c r="B390" s="35" t="s">
        <v>420</v>
      </c>
      <c r="C390" s="36">
        <v>61859</v>
      </c>
      <c r="D390" s="113">
        <v>5119589411</v>
      </c>
      <c r="E390" s="116">
        <f t="shared" si="61"/>
        <v>82762.240110574043</v>
      </c>
      <c r="F390" s="117">
        <v>3196815715</v>
      </c>
      <c r="G390" s="117">
        <f t="shared" si="62"/>
        <v>51679.0720024572</v>
      </c>
      <c r="H390" s="7"/>
      <c r="I390" s="109">
        <v>6.5734000000000004</v>
      </c>
      <c r="J390" s="117">
        <v>21013948</v>
      </c>
      <c r="K390" s="120">
        <f t="shared" si="64"/>
        <v>339.70720509545902</v>
      </c>
      <c r="L390" s="122">
        <f t="shared" si="57"/>
        <v>31968157.150000002</v>
      </c>
      <c r="M390" s="116">
        <f t="shared" si="58"/>
        <v>10954209.150000002</v>
      </c>
      <c r="N390" s="123">
        <f t="shared" si="59"/>
        <v>177.08351492911302</v>
      </c>
      <c r="O390" s="5"/>
      <c r="P390" s="5">
        <f t="shared" si="65"/>
        <v>1</v>
      </c>
      <c r="Q390" s="7">
        <f t="shared" si="66"/>
        <v>61859</v>
      </c>
    </row>
    <row r="391" spans="1:21">
      <c r="A391" s="23" t="s">
        <v>421</v>
      </c>
      <c r="B391" s="35" t="s">
        <v>420</v>
      </c>
      <c r="C391" s="36">
        <v>4255</v>
      </c>
      <c r="D391" s="113">
        <v>1313425017</v>
      </c>
      <c r="E391" s="116">
        <f t="shared" si="61"/>
        <v>308678.02984723856</v>
      </c>
      <c r="F391" s="117">
        <v>1147304311</v>
      </c>
      <c r="G391" s="117">
        <f t="shared" si="62"/>
        <v>269636.73584018799</v>
      </c>
      <c r="H391" s="7"/>
      <c r="I391" s="109">
        <v>5.8818999999999999</v>
      </c>
      <c r="J391" s="117">
        <v>6748329</v>
      </c>
      <c r="K391" s="120">
        <f t="shared" si="64"/>
        <v>1585.9762632197414</v>
      </c>
      <c r="L391" s="122">
        <f t="shared" ref="L391:L415" si="67">(F391*0.01)</f>
        <v>11473043.109999999</v>
      </c>
      <c r="M391" s="116">
        <f t="shared" ref="M391:M415" si="68">(L391-J391)</f>
        <v>4724714.1099999994</v>
      </c>
      <c r="N391" s="123">
        <f t="shared" ref="N391:N415" si="69">(M391/C391)</f>
        <v>1110.3910951821385</v>
      </c>
      <c r="O391" s="5"/>
      <c r="P391" s="5">
        <f t="shared" si="65"/>
        <v>1</v>
      </c>
      <c r="Q391" s="7">
        <f t="shared" si="66"/>
        <v>4255</v>
      </c>
    </row>
    <row r="392" spans="1:21">
      <c r="A392" s="23" t="s">
        <v>462</v>
      </c>
      <c r="B392" s="35" t="s">
        <v>420</v>
      </c>
      <c r="C392" s="36">
        <v>19338</v>
      </c>
      <c r="D392" s="113">
        <v>1733911922</v>
      </c>
      <c r="E392" s="116">
        <f t="shared" si="61"/>
        <v>89663.456510497461</v>
      </c>
      <c r="F392" s="117">
        <v>1375831892</v>
      </c>
      <c r="G392" s="117">
        <f t="shared" si="62"/>
        <v>71146.545247698828</v>
      </c>
      <c r="H392" s="7"/>
      <c r="I392" s="109">
        <v>3.0935000000000001</v>
      </c>
      <c r="J392" s="117">
        <v>4256136</v>
      </c>
      <c r="K392" s="120">
        <f t="shared" si="64"/>
        <v>220.09183990071361</v>
      </c>
      <c r="L392" s="122">
        <f t="shared" si="67"/>
        <v>13758318.92</v>
      </c>
      <c r="M392" s="116">
        <f t="shared" si="68"/>
        <v>9502182.9199999999</v>
      </c>
      <c r="N392" s="123">
        <f t="shared" si="69"/>
        <v>491.3736125762747</v>
      </c>
      <c r="O392" s="5"/>
      <c r="P392" s="5">
        <f t="shared" si="65"/>
        <v>1</v>
      </c>
      <c r="Q392" s="7">
        <f t="shared" si="66"/>
        <v>19338</v>
      </c>
    </row>
    <row r="393" spans="1:21">
      <c r="A393" s="23" t="s">
        <v>463</v>
      </c>
      <c r="B393" s="35" t="s">
        <v>420</v>
      </c>
      <c r="C393" s="36">
        <v>27700</v>
      </c>
      <c r="D393" s="113">
        <v>1765721681</v>
      </c>
      <c r="E393" s="116">
        <f t="shared" si="61"/>
        <v>63744.465018050541</v>
      </c>
      <c r="F393" s="117">
        <v>1122249273</v>
      </c>
      <c r="G393" s="117">
        <f t="shared" si="62"/>
        <v>40514.414187725633</v>
      </c>
      <c r="H393" s="7"/>
      <c r="I393" s="109">
        <v>7.0167999999999999</v>
      </c>
      <c r="J393" s="117">
        <v>7874599</v>
      </c>
      <c r="K393" s="120">
        <f t="shared" si="64"/>
        <v>284.28155234657038</v>
      </c>
      <c r="L393" s="122">
        <f t="shared" si="67"/>
        <v>11222492.73</v>
      </c>
      <c r="M393" s="116">
        <f t="shared" si="68"/>
        <v>3347893.7300000004</v>
      </c>
      <c r="N393" s="123">
        <f t="shared" si="69"/>
        <v>120.86258953068594</v>
      </c>
      <c r="O393" s="5"/>
      <c r="P393" s="5">
        <f t="shared" si="65"/>
        <v>1</v>
      </c>
      <c r="Q393" s="7">
        <f t="shared" si="66"/>
        <v>27700</v>
      </c>
    </row>
    <row r="394" spans="1:21">
      <c r="A394" s="23" t="s">
        <v>422</v>
      </c>
      <c r="B394" s="35" t="s">
        <v>420</v>
      </c>
      <c r="C394" s="36">
        <v>85281</v>
      </c>
      <c r="D394" s="113">
        <v>2634757206</v>
      </c>
      <c r="E394" s="116">
        <f t="shared" si="61"/>
        <v>30895.008337144263</v>
      </c>
      <c r="F394" s="117">
        <v>1470498438</v>
      </c>
      <c r="G394" s="117">
        <f t="shared" si="62"/>
        <v>17242.978365638301</v>
      </c>
      <c r="H394" s="7"/>
      <c r="I394" s="109">
        <v>7.99</v>
      </c>
      <c r="J394" s="117">
        <v>11749283</v>
      </c>
      <c r="K394" s="120">
        <f t="shared" si="64"/>
        <v>137.77140277435771</v>
      </c>
      <c r="L394" s="122">
        <f t="shared" si="67"/>
        <v>14704984.380000001</v>
      </c>
      <c r="M394" s="116">
        <f t="shared" si="68"/>
        <v>2955701.3800000008</v>
      </c>
      <c r="N394" s="123">
        <f t="shared" si="69"/>
        <v>34.658380882025313</v>
      </c>
      <c r="O394" s="5"/>
      <c r="P394" s="5">
        <f t="shared" si="65"/>
        <v>1</v>
      </c>
      <c r="Q394" s="7">
        <f t="shared" si="66"/>
        <v>85281</v>
      </c>
    </row>
    <row r="395" spans="1:21">
      <c r="A395" s="23" t="s">
        <v>423</v>
      </c>
      <c r="B395" s="35" t="s">
        <v>420</v>
      </c>
      <c r="C395" s="36">
        <v>20776</v>
      </c>
      <c r="D395" s="113">
        <v>981258176</v>
      </c>
      <c r="E395" s="116">
        <f t="shared" si="61"/>
        <v>47230.370427416252</v>
      </c>
      <c r="F395" s="117">
        <v>590179171</v>
      </c>
      <c r="G395" s="117">
        <f t="shared" si="62"/>
        <v>28406.775654601464</v>
      </c>
      <c r="H395" s="7"/>
      <c r="I395" s="109">
        <v>6.5</v>
      </c>
      <c r="J395" s="117">
        <v>3836165</v>
      </c>
      <c r="K395" s="120">
        <f t="shared" si="64"/>
        <v>184.64406045437042</v>
      </c>
      <c r="L395" s="122">
        <f t="shared" si="67"/>
        <v>5901791.71</v>
      </c>
      <c r="M395" s="116">
        <f t="shared" si="68"/>
        <v>2065626.71</v>
      </c>
      <c r="N395" s="123">
        <f t="shared" si="69"/>
        <v>99.423696091644203</v>
      </c>
      <c r="O395" s="5"/>
      <c r="P395" s="5">
        <f t="shared" si="65"/>
        <v>1</v>
      </c>
      <c r="Q395" s="7">
        <f t="shared" si="66"/>
        <v>20776</v>
      </c>
    </row>
    <row r="396" spans="1:21">
      <c r="A396" s="23" t="s">
        <v>424</v>
      </c>
      <c r="B396" s="35" t="s">
        <v>420</v>
      </c>
      <c r="C396" s="36">
        <v>11665</v>
      </c>
      <c r="D396" s="113">
        <v>609030466</v>
      </c>
      <c r="E396" s="116">
        <f t="shared" si="61"/>
        <v>52210.069952850405</v>
      </c>
      <c r="F396" s="117">
        <v>450294567</v>
      </c>
      <c r="G396" s="117">
        <f t="shared" si="62"/>
        <v>38602.191770252895</v>
      </c>
      <c r="H396" s="7"/>
      <c r="I396" s="109">
        <v>7.35</v>
      </c>
      <c r="J396" s="117">
        <v>3309665</v>
      </c>
      <c r="K396" s="120">
        <f t="shared" si="64"/>
        <v>283.72610372910418</v>
      </c>
      <c r="L396" s="122">
        <f t="shared" si="67"/>
        <v>4502945.67</v>
      </c>
      <c r="M396" s="116">
        <f t="shared" si="68"/>
        <v>1193280.67</v>
      </c>
      <c r="N396" s="123">
        <f t="shared" si="69"/>
        <v>102.29581397342477</v>
      </c>
      <c r="O396" s="5"/>
      <c r="P396" s="5">
        <f t="shared" si="65"/>
        <v>1</v>
      </c>
      <c r="Q396" s="7">
        <f t="shared" si="66"/>
        <v>11665</v>
      </c>
    </row>
    <row r="397" spans="1:21">
      <c r="A397" s="23" t="s">
        <v>425</v>
      </c>
      <c r="B397" s="35" t="s">
        <v>420</v>
      </c>
      <c r="C397" s="36">
        <v>2619</v>
      </c>
      <c r="D397" s="113">
        <v>116765183</v>
      </c>
      <c r="E397" s="116">
        <f t="shared" si="61"/>
        <v>44583.880488736162</v>
      </c>
      <c r="F397" s="117">
        <v>69425377</v>
      </c>
      <c r="G397" s="117">
        <f t="shared" si="62"/>
        <v>26508.353188239787</v>
      </c>
      <c r="H397" s="7"/>
      <c r="I397" s="109">
        <v>6.2832999999999997</v>
      </c>
      <c r="J397" s="117">
        <v>436220</v>
      </c>
      <c r="K397" s="120">
        <f t="shared" si="64"/>
        <v>166.55975563192058</v>
      </c>
      <c r="L397" s="122">
        <f t="shared" si="67"/>
        <v>694253.77</v>
      </c>
      <c r="M397" s="116">
        <f t="shared" si="68"/>
        <v>258033.77000000002</v>
      </c>
      <c r="N397" s="123">
        <f t="shared" si="69"/>
        <v>98.523776250477283</v>
      </c>
      <c r="O397" s="5"/>
      <c r="P397" s="5">
        <f t="shared" si="65"/>
        <v>1</v>
      </c>
      <c r="Q397" s="7">
        <f t="shared" si="66"/>
        <v>2619</v>
      </c>
    </row>
    <row r="398" spans="1:21">
      <c r="A398" s="23" t="s">
        <v>426</v>
      </c>
      <c r="B398" s="35" t="s">
        <v>420</v>
      </c>
      <c r="C398" s="36">
        <v>22792</v>
      </c>
      <c r="D398" s="113">
        <v>3304068134</v>
      </c>
      <c r="E398" s="116">
        <f t="shared" si="61"/>
        <v>144966.13434538434</v>
      </c>
      <c r="F398" s="117">
        <v>2450360944</v>
      </c>
      <c r="G398" s="117">
        <f t="shared" si="62"/>
        <v>107509.69392769392</v>
      </c>
      <c r="H398" s="7"/>
      <c r="I398" s="109">
        <v>3.4445000000000001</v>
      </c>
      <c r="J398" s="117">
        <v>8440268</v>
      </c>
      <c r="K398" s="120">
        <f t="shared" si="64"/>
        <v>370.31712881712883</v>
      </c>
      <c r="L398" s="122">
        <f t="shared" si="67"/>
        <v>24503609.440000001</v>
      </c>
      <c r="M398" s="116">
        <f t="shared" si="68"/>
        <v>16063341.440000001</v>
      </c>
      <c r="N398" s="123">
        <f t="shared" si="69"/>
        <v>704.77981045981051</v>
      </c>
      <c r="O398" s="5"/>
      <c r="P398" s="5">
        <f t="shared" si="65"/>
        <v>1</v>
      </c>
      <c r="Q398" s="7">
        <f t="shared" si="66"/>
        <v>22792</v>
      </c>
    </row>
    <row r="399" spans="1:21">
      <c r="A399" s="23" t="s">
        <v>427</v>
      </c>
      <c r="B399" s="35" t="s">
        <v>420</v>
      </c>
      <c r="C399" s="36">
        <v>1788</v>
      </c>
      <c r="D399" s="113">
        <v>141221887</v>
      </c>
      <c r="E399" s="116">
        <f t="shared" si="61"/>
        <v>78983.158277404917</v>
      </c>
      <c r="F399" s="117">
        <v>79977084</v>
      </c>
      <c r="G399" s="117">
        <f t="shared" si="62"/>
        <v>44729.912751677854</v>
      </c>
      <c r="H399" s="7"/>
      <c r="I399" s="109">
        <v>5.9668999999999999</v>
      </c>
      <c r="J399" s="117">
        <v>477215</v>
      </c>
      <c r="K399" s="120">
        <f t="shared" si="64"/>
        <v>266.89876957494408</v>
      </c>
      <c r="L399" s="122">
        <f t="shared" si="67"/>
        <v>799770.84</v>
      </c>
      <c r="M399" s="116">
        <f t="shared" si="68"/>
        <v>322555.83999999997</v>
      </c>
      <c r="N399" s="123">
        <f t="shared" si="69"/>
        <v>180.40035794183444</v>
      </c>
      <c r="O399" s="5"/>
      <c r="P399" s="5">
        <f t="shared" si="65"/>
        <v>1</v>
      </c>
      <c r="Q399" s="7">
        <f t="shared" si="66"/>
        <v>1788</v>
      </c>
    </row>
    <row r="400" spans="1:21">
      <c r="A400" s="23" t="s">
        <v>428</v>
      </c>
      <c r="B400" s="35" t="s">
        <v>420</v>
      </c>
      <c r="C400" s="36">
        <v>11226</v>
      </c>
      <c r="D400" s="113">
        <v>673359437</v>
      </c>
      <c r="E400" s="116">
        <f t="shared" si="61"/>
        <v>59982.134063780511</v>
      </c>
      <c r="F400" s="117">
        <v>476368436</v>
      </c>
      <c r="G400" s="117">
        <f t="shared" si="62"/>
        <v>42434.387671476929</v>
      </c>
      <c r="H400" s="7"/>
      <c r="I400" s="109">
        <v>7.51</v>
      </c>
      <c r="J400" s="117">
        <v>3577527</v>
      </c>
      <c r="K400" s="120">
        <f t="shared" si="64"/>
        <v>318.6822554783538</v>
      </c>
      <c r="L400" s="122">
        <f t="shared" si="67"/>
        <v>4763684.3600000003</v>
      </c>
      <c r="M400" s="116">
        <f t="shared" si="68"/>
        <v>1186157.3600000003</v>
      </c>
      <c r="N400" s="123">
        <f t="shared" si="69"/>
        <v>105.6616212364155</v>
      </c>
      <c r="O400" s="5"/>
      <c r="P400" s="5">
        <f t="shared" si="65"/>
        <v>1</v>
      </c>
      <c r="Q400" s="7">
        <f t="shared" si="66"/>
        <v>11226</v>
      </c>
    </row>
    <row r="401" spans="1:21">
      <c r="A401" s="23" t="s">
        <v>429</v>
      </c>
      <c r="B401" s="35" t="s">
        <v>420</v>
      </c>
      <c r="C401" s="36">
        <v>38612</v>
      </c>
      <c r="D401" s="113">
        <v>3375410116</v>
      </c>
      <c r="E401" s="116">
        <f t="shared" si="61"/>
        <v>87418.681135398321</v>
      </c>
      <c r="F401" s="117">
        <v>2456162160</v>
      </c>
      <c r="G401" s="117">
        <f t="shared" si="62"/>
        <v>63611.368486480889</v>
      </c>
      <c r="H401" s="7"/>
      <c r="I401" s="109">
        <v>4.0132000000000003</v>
      </c>
      <c r="J401" s="117">
        <v>9857070</v>
      </c>
      <c r="K401" s="120">
        <f t="shared" si="64"/>
        <v>255.28514451465867</v>
      </c>
      <c r="L401" s="122">
        <f t="shared" si="67"/>
        <v>24561621.600000001</v>
      </c>
      <c r="M401" s="116">
        <f t="shared" si="68"/>
        <v>14704551.600000001</v>
      </c>
      <c r="N401" s="123">
        <f t="shared" si="69"/>
        <v>380.82854035015026</v>
      </c>
      <c r="O401" s="5"/>
      <c r="P401" s="5">
        <f t="shared" si="65"/>
        <v>1</v>
      </c>
      <c r="Q401" s="7">
        <f t="shared" si="66"/>
        <v>38612</v>
      </c>
    </row>
    <row r="402" spans="1:21">
      <c r="A402" s="23" t="s">
        <v>430</v>
      </c>
      <c r="B402" s="35" t="s">
        <v>420</v>
      </c>
      <c r="C402" s="36">
        <v>1691</v>
      </c>
      <c r="D402" s="113">
        <v>90269030</v>
      </c>
      <c r="E402" s="116">
        <f t="shared" si="61"/>
        <v>53382.040212891778</v>
      </c>
      <c r="F402" s="117">
        <v>41480568</v>
      </c>
      <c r="G402" s="117">
        <f t="shared" si="62"/>
        <v>24530.199881726789</v>
      </c>
      <c r="H402" s="7"/>
      <c r="I402" s="109">
        <v>5.8</v>
      </c>
      <c r="J402" s="117">
        <v>240587</v>
      </c>
      <c r="K402" s="120">
        <f t="shared" si="64"/>
        <v>142.2749852158486</v>
      </c>
      <c r="L402" s="122">
        <f t="shared" si="67"/>
        <v>414805.68</v>
      </c>
      <c r="M402" s="116">
        <f t="shared" si="68"/>
        <v>174218.68</v>
      </c>
      <c r="N402" s="123">
        <f t="shared" si="69"/>
        <v>103.02701360141927</v>
      </c>
      <c r="O402" s="5"/>
      <c r="P402" s="5">
        <f t="shared" si="65"/>
        <v>1</v>
      </c>
      <c r="Q402" s="7">
        <f t="shared" si="66"/>
        <v>1691</v>
      </c>
    </row>
    <row r="403" spans="1:21">
      <c r="A403" s="23" t="s">
        <v>431</v>
      </c>
      <c r="B403" s="35" t="s">
        <v>420</v>
      </c>
      <c r="C403" s="36">
        <v>3046</v>
      </c>
      <c r="D403" s="113">
        <v>809653491</v>
      </c>
      <c r="E403" s="116">
        <f t="shared" si="61"/>
        <v>265808.76263952727</v>
      </c>
      <c r="F403" s="117">
        <v>651040920</v>
      </c>
      <c r="G403" s="117">
        <f t="shared" si="62"/>
        <v>213736.34931057124</v>
      </c>
      <c r="H403" s="7"/>
      <c r="I403" s="109">
        <v>5.5</v>
      </c>
      <c r="J403" s="117">
        <v>3580725</v>
      </c>
      <c r="K403" s="120">
        <f t="shared" si="64"/>
        <v>1175.5499015101773</v>
      </c>
      <c r="L403" s="122">
        <f t="shared" si="67"/>
        <v>6510409.2000000002</v>
      </c>
      <c r="M403" s="116">
        <f t="shared" si="68"/>
        <v>2929684.2</v>
      </c>
      <c r="N403" s="123">
        <f t="shared" si="69"/>
        <v>961.81359159553517</v>
      </c>
      <c r="O403" s="5"/>
      <c r="P403" s="5">
        <f t="shared" si="65"/>
        <v>1</v>
      </c>
      <c r="Q403" s="7">
        <f t="shared" si="66"/>
        <v>3046</v>
      </c>
    </row>
    <row r="404" spans="1:21">
      <c r="A404" s="23" t="s">
        <v>432</v>
      </c>
      <c r="B404" s="35" t="s">
        <v>420</v>
      </c>
      <c r="C404" s="36">
        <v>56386</v>
      </c>
      <c r="D404" s="113">
        <v>3293711923</v>
      </c>
      <c r="E404" s="116">
        <f t="shared" si="61"/>
        <v>58413.647412478276</v>
      </c>
      <c r="F404" s="117">
        <v>2238764718</v>
      </c>
      <c r="G404" s="117">
        <f t="shared" si="62"/>
        <v>39704.265562373635</v>
      </c>
      <c r="H404" s="7"/>
      <c r="I404" s="109">
        <v>4.8051000000000004</v>
      </c>
      <c r="J404" s="117">
        <v>10757488</v>
      </c>
      <c r="K404" s="120">
        <f t="shared" si="64"/>
        <v>190.78296030929664</v>
      </c>
      <c r="L404" s="122">
        <f t="shared" si="67"/>
        <v>22387647.18</v>
      </c>
      <c r="M404" s="116">
        <f t="shared" si="68"/>
        <v>11630159.18</v>
      </c>
      <c r="N404" s="123">
        <f t="shared" si="69"/>
        <v>206.25969531443974</v>
      </c>
      <c r="O404" s="5"/>
      <c r="P404" s="5">
        <f t="shared" si="65"/>
        <v>1</v>
      </c>
      <c r="Q404" s="7">
        <f t="shared" si="66"/>
        <v>56386</v>
      </c>
    </row>
    <row r="405" spans="1:21">
      <c r="A405" s="23" t="s">
        <v>433</v>
      </c>
      <c r="B405" s="35" t="s">
        <v>420</v>
      </c>
      <c r="C405" s="36">
        <v>12294</v>
      </c>
      <c r="D405" s="113">
        <v>616976406</v>
      </c>
      <c r="E405" s="116">
        <f t="shared" si="61"/>
        <v>50185.163982430451</v>
      </c>
      <c r="F405" s="117">
        <v>428400627</v>
      </c>
      <c r="G405" s="117">
        <f t="shared" si="62"/>
        <v>34846.317471937531</v>
      </c>
      <c r="H405" s="9"/>
      <c r="I405" s="109">
        <v>5.9</v>
      </c>
      <c r="J405" s="117">
        <v>2527564</v>
      </c>
      <c r="K405" s="120">
        <f t="shared" si="64"/>
        <v>205.59329754351717</v>
      </c>
      <c r="L405" s="122">
        <f t="shared" si="67"/>
        <v>4284006.2700000005</v>
      </c>
      <c r="M405" s="116">
        <f t="shared" si="68"/>
        <v>1756442.2700000005</v>
      </c>
      <c r="N405" s="123">
        <f t="shared" si="69"/>
        <v>142.86987717585819</v>
      </c>
      <c r="O405" s="5"/>
      <c r="P405" s="5">
        <f t="shared" si="65"/>
        <v>1</v>
      </c>
      <c r="Q405" s="7">
        <f t="shared" si="66"/>
        <v>12294</v>
      </c>
      <c r="S405" s="124">
        <f>SUM(D390:D405)</f>
        <v>26579129486</v>
      </c>
      <c r="T405" s="124">
        <f>SUM(F390:F405)</f>
        <v>18245154201</v>
      </c>
      <c r="U405" s="124">
        <f>SUM(J390:J405)</f>
        <v>98682789</v>
      </c>
    </row>
    <row r="406" spans="1:21">
      <c r="A406" s="23" t="s">
        <v>435</v>
      </c>
      <c r="B406" s="35" t="s">
        <v>434</v>
      </c>
      <c r="C406" s="36">
        <v>448</v>
      </c>
      <c r="D406" s="114" t="s">
        <v>564</v>
      </c>
      <c r="E406" s="116"/>
      <c r="F406" s="117"/>
      <c r="G406" s="117"/>
      <c r="H406" s="98" t="s">
        <v>588</v>
      </c>
      <c r="I406" s="109"/>
      <c r="J406" s="117"/>
      <c r="K406" s="120"/>
      <c r="L406" s="122">
        <f t="shared" si="67"/>
        <v>0</v>
      </c>
      <c r="M406" s="116">
        <f t="shared" si="68"/>
        <v>0</v>
      </c>
      <c r="N406" s="123">
        <f t="shared" si="69"/>
        <v>0</v>
      </c>
      <c r="O406" s="5"/>
      <c r="P406" s="5">
        <f t="shared" si="65"/>
        <v>0</v>
      </c>
      <c r="Q406" s="7">
        <f t="shared" si="66"/>
        <v>0</v>
      </c>
    </row>
    <row r="407" spans="1:21">
      <c r="A407" s="24" t="s">
        <v>555</v>
      </c>
      <c r="B407" s="35" t="s">
        <v>434</v>
      </c>
      <c r="C407" s="36">
        <v>286</v>
      </c>
      <c r="D407" s="113">
        <v>43256721</v>
      </c>
      <c r="E407" s="116">
        <f t="shared" ref="E407:E414" si="70">(D407/C407)</f>
        <v>151247.27622377622</v>
      </c>
      <c r="F407" s="117">
        <v>28971013</v>
      </c>
      <c r="G407" s="117">
        <f t="shared" ref="G407:G414" si="71">(F407/C407)</f>
        <v>101297.24825174826</v>
      </c>
      <c r="H407" s="9"/>
      <c r="I407" s="109">
        <v>5.0327000000000002</v>
      </c>
      <c r="J407" s="117">
        <v>145802</v>
      </c>
      <c r="K407" s="120">
        <f t="shared" ref="K407:K414" si="72">(J407/C407)</f>
        <v>509.79720279720277</v>
      </c>
      <c r="L407" s="122">
        <f t="shared" si="67"/>
        <v>289710.13</v>
      </c>
      <c r="M407" s="116">
        <f t="shared" si="68"/>
        <v>143908.13</v>
      </c>
      <c r="N407" s="123">
        <f t="shared" si="69"/>
        <v>503.17527972027972</v>
      </c>
      <c r="O407" s="5"/>
      <c r="P407" s="5">
        <f t="shared" si="65"/>
        <v>1</v>
      </c>
      <c r="Q407" s="7">
        <f t="shared" si="66"/>
        <v>286</v>
      </c>
      <c r="S407" s="124">
        <f>SUM(D406:D407)</f>
        <v>43256721</v>
      </c>
      <c r="T407" s="124">
        <f>SUM(F406:F407)</f>
        <v>28971013</v>
      </c>
      <c r="U407" s="124">
        <f>SUM(J406:J407)</f>
        <v>145802</v>
      </c>
    </row>
    <row r="408" spans="1:21">
      <c r="A408" s="23" t="s">
        <v>436</v>
      </c>
      <c r="B408" s="35" t="s">
        <v>437</v>
      </c>
      <c r="C408" s="36">
        <v>5298</v>
      </c>
      <c r="D408" s="113">
        <v>309438829</v>
      </c>
      <c r="E408" s="116">
        <f t="shared" si="70"/>
        <v>58406.724990562478</v>
      </c>
      <c r="F408" s="117">
        <v>205999805</v>
      </c>
      <c r="G408" s="117">
        <f t="shared" si="71"/>
        <v>38882.560400151</v>
      </c>
      <c r="H408" s="9"/>
      <c r="I408" s="110">
        <v>4.5</v>
      </c>
      <c r="J408" s="117">
        <v>926999</v>
      </c>
      <c r="K408" s="120">
        <f t="shared" si="72"/>
        <v>174.97149867874668</v>
      </c>
      <c r="L408" s="122">
        <f t="shared" si="67"/>
        <v>2059998.05</v>
      </c>
      <c r="M408" s="116">
        <f t="shared" si="68"/>
        <v>1132999.05</v>
      </c>
      <c r="N408" s="123">
        <f t="shared" si="69"/>
        <v>213.8541053227633</v>
      </c>
      <c r="O408" s="5"/>
      <c r="P408" s="5">
        <f t="shared" si="65"/>
        <v>1</v>
      </c>
      <c r="Q408" s="7">
        <f t="shared" si="66"/>
        <v>5298</v>
      </c>
    </row>
    <row r="409" spans="1:21">
      <c r="A409" s="23" t="s">
        <v>438</v>
      </c>
      <c r="B409" s="35" t="s">
        <v>437</v>
      </c>
      <c r="C409" s="36">
        <v>2209</v>
      </c>
      <c r="D409" s="113">
        <v>208252455</v>
      </c>
      <c r="E409" s="116">
        <f t="shared" si="70"/>
        <v>94274.538252602986</v>
      </c>
      <c r="F409" s="117">
        <v>164494398</v>
      </c>
      <c r="G409" s="117">
        <f t="shared" si="71"/>
        <v>74465.549117247618</v>
      </c>
      <c r="H409" s="9"/>
      <c r="I409" s="110">
        <v>4.7302</v>
      </c>
      <c r="J409" s="117">
        <v>778091</v>
      </c>
      <c r="K409" s="120">
        <f t="shared" si="72"/>
        <v>352.2367587143504</v>
      </c>
      <c r="L409" s="122">
        <f t="shared" si="67"/>
        <v>1644943.98</v>
      </c>
      <c r="M409" s="116">
        <f t="shared" si="68"/>
        <v>866852.98</v>
      </c>
      <c r="N409" s="123">
        <f t="shared" si="69"/>
        <v>392.41873245812582</v>
      </c>
      <c r="O409" s="5"/>
      <c r="P409" s="5">
        <f t="shared" si="65"/>
        <v>1</v>
      </c>
      <c r="Q409" s="7">
        <f t="shared" si="66"/>
        <v>2209</v>
      </c>
    </row>
    <row r="410" spans="1:21">
      <c r="A410" s="23" t="s">
        <v>439</v>
      </c>
      <c r="B410" s="35" t="s">
        <v>437</v>
      </c>
      <c r="C410" s="36">
        <v>640</v>
      </c>
      <c r="D410" s="114" t="s">
        <v>564</v>
      </c>
      <c r="E410" s="116"/>
      <c r="F410" s="117"/>
      <c r="G410" s="117"/>
      <c r="H410" s="98" t="s">
        <v>588</v>
      </c>
      <c r="I410" s="109"/>
      <c r="J410" s="117"/>
      <c r="K410" s="120"/>
      <c r="L410" s="122">
        <f t="shared" si="67"/>
        <v>0</v>
      </c>
      <c r="M410" s="116">
        <f t="shared" si="68"/>
        <v>0</v>
      </c>
      <c r="N410" s="123">
        <f t="shared" si="69"/>
        <v>0</v>
      </c>
      <c r="O410" s="5"/>
      <c r="P410" s="5">
        <f t="shared" si="65"/>
        <v>0</v>
      </c>
      <c r="Q410" s="7">
        <f t="shared" si="66"/>
        <v>0</v>
      </c>
      <c r="S410" s="124">
        <f>SUM(D408:D410)</f>
        <v>517691284</v>
      </c>
      <c r="T410" s="124">
        <f>SUM(F408:F410)</f>
        <v>370494203</v>
      </c>
      <c r="U410" s="124">
        <f>SUM(J408:J410)</f>
        <v>1705090</v>
      </c>
    </row>
    <row r="411" spans="1:21">
      <c r="A411" s="23" t="s">
        <v>440</v>
      </c>
      <c r="B411" s="35" t="s">
        <v>441</v>
      </c>
      <c r="C411" s="36">
        <v>285</v>
      </c>
      <c r="D411" s="114" t="s">
        <v>564</v>
      </c>
      <c r="E411" s="116"/>
      <c r="F411" s="117"/>
      <c r="G411" s="117"/>
      <c r="H411" s="98" t="s">
        <v>588</v>
      </c>
      <c r="I411" s="109"/>
      <c r="J411" s="117"/>
      <c r="K411" s="120"/>
      <c r="L411" s="122">
        <f t="shared" si="67"/>
        <v>0</v>
      </c>
      <c r="M411" s="116">
        <f t="shared" si="68"/>
        <v>0</v>
      </c>
      <c r="N411" s="123">
        <f t="shared" si="69"/>
        <v>0</v>
      </c>
      <c r="O411" s="5"/>
      <c r="P411" s="5">
        <f t="shared" si="65"/>
        <v>0</v>
      </c>
      <c r="Q411" s="7">
        <f t="shared" si="66"/>
        <v>0</v>
      </c>
    </row>
    <row r="412" spans="1:21">
      <c r="A412" s="23" t="s">
        <v>442</v>
      </c>
      <c r="B412" s="35" t="s">
        <v>441</v>
      </c>
      <c r="C412" s="36">
        <v>3570</v>
      </c>
      <c r="D412" s="113">
        <v>211558324</v>
      </c>
      <c r="E412" s="116">
        <f t="shared" si="70"/>
        <v>59260.034733893561</v>
      </c>
      <c r="F412" s="117">
        <v>143807607</v>
      </c>
      <c r="G412" s="117">
        <f t="shared" si="71"/>
        <v>40282.242857142854</v>
      </c>
      <c r="H412" s="9"/>
      <c r="I412" s="110">
        <v>6</v>
      </c>
      <c r="J412" s="117">
        <v>862846</v>
      </c>
      <c r="K412" s="120">
        <f t="shared" si="72"/>
        <v>241.69355742296918</v>
      </c>
      <c r="L412" s="122">
        <f t="shared" si="67"/>
        <v>1438076.07</v>
      </c>
      <c r="M412" s="116">
        <f t="shared" si="68"/>
        <v>575230.07000000007</v>
      </c>
      <c r="N412" s="123">
        <f t="shared" si="69"/>
        <v>161.12887114845941</v>
      </c>
      <c r="O412" s="5"/>
      <c r="P412" s="5">
        <f t="shared" si="65"/>
        <v>1</v>
      </c>
      <c r="Q412" s="7">
        <f t="shared" si="66"/>
        <v>3570</v>
      </c>
    </row>
    <row r="413" spans="1:21">
      <c r="A413" s="23" t="s">
        <v>443</v>
      </c>
      <c r="B413" s="35" t="s">
        <v>441</v>
      </c>
      <c r="C413" s="36">
        <v>250</v>
      </c>
      <c r="D413" s="114" t="s">
        <v>564</v>
      </c>
      <c r="E413" s="116"/>
      <c r="F413" s="117"/>
      <c r="G413" s="117"/>
      <c r="H413" s="98" t="s">
        <v>588</v>
      </c>
      <c r="I413" s="109"/>
      <c r="J413" s="117"/>
      <c r="K413" s="120"/>
      <c r="L413" s="122">
        <f t="shared" si="67"/>
        <v>0</v>
      </c>
      <c r="M413" s="116">
        <f t="shared" si="68"/>
        <v>0</v>
      </c>
      <c r="N413" s="123">
        <f t="shared" si="69"/>
        <v>0</v>
      </c>
      <c r="O413" s="5"/>
      <c r="P413" s="5">
        <f t="shared" si="65"/>
        <v>0</v>
      </c>
      <c r="Q413" s="7">
        <f t="shared" si="66"/>
        <v>0</v>
      </c>
    </row>
    <row r="414" spans="1:21">
      <c r="A414" s="23" t="s">
        <v>444</v>
      </c>
      <c r="B414" s="35" t="s">
        <v>441</v>
      </c>
      <c r="C414" s="36">
        <v>691</v>
      </c>
      <c r="D414" s="113">
        <v>33527194</v>
      </c>
      <c r="E414" s="116">
        <f t="shared" si="70"/>
        <v>48519.817655571635</v>
      </c>
      <c r="F414" s="117">
        <v>17328459</v>
      </c>
      <c r="G414" s="117">
        <f t="shared" si="71"/>
        <v>25077.364688856731</v>
      </c>
      <c r="H414" s="9"/>
      <c r="I414" s="110">
        <v>2.4140999999999999</v>
      </c>
      <c r="J414" s="117">
        <v>41833</v>
      </c>
      <c r="K414" s="120">
        <f t="shared" si="72"/>
        <v>60.539797395079596</v>
      </c>
      <c r="L414" s="122">
        <f t="shared" si="67"/>
        <v>173284.59</v>
      </c>
      <c r="M414" s="116">
        <f t="shared" si="68"/>
        <v>131451.59</v>
      </c>
      <c r="N414" s="123">
        <f t="shared" si="69"/>
        <v>190.2338494934877</v>
      </c>
      <c r="O414" s="5"/>
      <c r="P414" s="5">
        <f t="shared" si="65"/>
        <v>1</v>
      </c>
      <c r="Q414" s="7">
        <f t="shared" si="66"/>
        <v>691</v>
      </c>
    </row>
    <row r="415" spans="1:21">
      <c r="A415" s="23" t="s">
        <v>445</v>
      </c>
      <c r="B415" s="35" t="s">
        <v>441</v>
      </c>
      <c r="C415" s="36">
        <v>396</v>
      </c>
      <c r="D415" s="114" t="s">
        <v>564</v>
      </c>
      <c r="E415" s="116"/>
      <c r="F415" s="117"/>
      <c r="G415" s="117"/>
      <c r="H415" s="98" t="s">
        <v>588</v>
      </c>
      <c r="I415" s="109"/>
      <c r="J415" s="117"/>
      <c r="K415" s="120"/>
      <c r="L415" s="122">
        <f t="shared" si="67"/>
        <v>0</v>
      </c>
      <c r="M415" s="116">
        <f t="shared" si="68"/>
        <v>0</v>
      </c>
      <c r="N415" s="123">
        <f t="shared" si="69"/>
        <v>0</v>
      </c>
      <c r="O415" s="5"/>
      <c r="P415" s="5">
        <f t="shared" si="65"/>
        <v>0</v>
      </c>
      <c r="Q415" s="7">
        <f t="shared" si="66"/>
        <v>0</v>
      </c>
      <c r="S415" s="124">
        <f>SUM(D411:D415)</f>
        <v>245085518</v>
      </c>
      <c r="T415" s="124">
        <f>SUM(F411:F415)</f>
        <v>161136066</v>
      </c>
      <c r="U415" s="124">
        <f>SUM(J411:J415)</f>
        <v>904679</v>
      </c>
    </row>
    <row r="416" spans="1:21">
      <c r="A416" s="70" t="s">
        <v>583</v>
      </c>
      <c r="B416" s="71"/>
      <c r="C416" s="72">
        <f>SUM(C6:C415)</f>
        <v>9603476</v>
      </c>
      <c r="D416" s="73">
        <f>SUM(D6:D415)</f>
        <v>923923986378</v>
      </c>
      <c r="E416" s="74">
        <f>(D416/Q416)</f>
        <v>105744.29753605816</v>
      </c>
      <c r="F416" s="75">
        <f>SUM(F6:F415)</f>
        <v>671349323129</v>
      </c>
      <c r="G416" s="76">
        <f>(F416/Q416)</f>
        <v>76836.800020624127</v>
      </c>
      <c r="H416" s="71"/>
      <c r="I416" s="112"/>
      <c r="J416" s="78">
        <f>SUM(J6:J415)</f>
        <v>3206989467</v>
      </c>
      <c r="K416" s="79">
        <f>(J416/Q416)</f>
        <v>367.04410037332866</v>
      </c>
      <c r="L416" s="79">
        <f>SUM(L6:L415)</f>
        <v>6713493231.289999</v>
      </c>
      <c r="M416" s="78">
        <f>SUM(M6:M415)</f>
        <v>3506503764.29</v>
      </c>
      <c r="N416" s="80">
        <f>(M416/Q416)</f>
        <v>401.32389983291256</v>
      </c>
      <c r="O416" s="20"/>
      <c r="P416" s="20">
        <f>SUM(P6:P415)</f>
        <v>385</v>
      </c>
      <c r="Q416" s="21">
        <f>SUM(Q6:Q415)</f>
        <v>8737341</v>
      </c>
      <c r="S416" s="124"/>
      <c r="T416" s="124"/>
      <c r="U416" s="124"/>
    </row>
    <row r="417" spans="1:21">
      <c r="A417" s="27" t="s">
        <v>453</v>
      </c>
      <c r="B417" s="13"/>
      <c r="C417" s="60">
        <f>(P416)</f>
        <v>385</v>
      </c>
      <c r="D417" s="14"/>
      <c r="E417" s="16"/>
      <c r="F417" s="16"/>
      <c r="G417" s="16"/>
      <c r="H417" s="16"/>
      <c r="I417" s="14"/>
      <c r="J417" s="17"/>
      <c r="K417" s="17"/>
      <c r="L417" s="2"/>
      <c r="M417" s="2"/>
      <c r="N417" s="63"/>
      <c r="O417" s="2"/>
      <c r="P417" s="2"/>
      <c r="Q417" s="2"/>
      <c r="S417" s="124"/>
      <c r="T417" s="124"/>
      <c r="U417" s="124"/>
    </row>
    <row r="418" spans="1:21">
      <c r="A418" s="22"/>
      <c r="B418" s="16"/>
      <c r="C418" s="16"/>
      <c r="D418" s="106"/>
      <c r="E418" s="16"/>
      <c r="F418" s="16"/>
      <c r="G418" s="16"/>
      <c r="H418" s="107"/>
      <c r="I418" s="17"/>
      <c r="J418" s="17"/>
      <c r="K418" s="17"/>
      <c r="L418" s="2"/>
      <c r="M418" s="2"/>
      <c r="N418" s="63"/>
      <c r="O418" s="2"/>
      <c r="P418" s="2"/>
      <c r="Q418" s="2"/>
      <c r="S418" s="124"/>
      <c r="T418" s="124"/>
      <c r="U418" s="124"/>
    </row>
    <row r="419" spans="1:21">
      <c r="A419" s="204" t="s">
        <v>498</v>
      </c>
      <c r="B419" s="192"/>
      <c r="C419" s="192"/>
      <c r="D419" s="192"/>
      <c r="E419" s="192"/>
      <c r="F419" s="192"/>
      <c r="G419" s="192"/>
      <c r="H419" s="192"/>
      <c r="I419" s="192"/>
      <c r="J419" s="192"/>
      <c r="K419" s="192"/>
      <c r="L419" s="192"/>
      <c r="M419" s="192"/>
      <c r="N419" s="193"/>
      <c r="O419" s="1"/>
      <c r="P419" s="1"/>
      <c r="Q419" s="1"/>
    </row>
    <row r="420" spans="1:21">
      <c r="A420" s="191" t="s">
        <v>565</v>
      </c>
      <c r="B420" s="192"/>
      <c r="C420" s="192"/>
      <c r="D420" s="192"/>
      <c r="E420" s="192"/>
      <c r="F420" s="192"/>
      <c r="G420" s="192"/>
      <c r="H420" s="192"/>
      <c r="I420" s="192"/>
      <c r="J420" s="192"/>
      <c r="K420" s="192"/>
      <c r="L420" s="192"/>
      <c r="M420" s="192"/>
      <c r="N420" s="193"/>
      <c r="O420" s="1"/>
      <c r="P420" s="1"/>
      <c r="Q420" s="1"/>
    </row>
    <row r="421" spans="1:21" ht="25.5" customHeight="1">
      <c r="A421" s="191" t="s">
        <v>577</v>
      </c>
      <c r="B421" s="192"/>
      <c r="C421" s="192"/>
      <c r="D421" s="192"/>
      <c r="E421" s="192"/>
      <c r="F421" s="192"/>
      <c r="G421" s="192"/>
      <c r="H421" s="192"/>
      <c r="I421" s="192"/>
      <c r="J421" s="192"/>
      <c r="K421" s="192"/>
      <c r="L421" s="192"/>
      <c r="M421" s="192"/>
      <c r="N421" s="193"/>
      <c r="O421" s="1"/>
      <c r="P421" s="1"/>
      <c r="Q421" s="1"/>
    </row>
    <row r="422" spans="1:21" ht="25.5" customHeight="1">
      <c r="A422" s="191" t="s">
        <v>578</v>
      </c>
      <c r="B422" s="192"/>
      <c r="C422" s="192"/>
      <c r="D422" s="192"/>
      <c r="E422" s="192"/>
      <c r="F422" s="192"/>
      <c r="G422" s="192"/>
      <c r="H422" s="192"/>
      <c r="I422" s="192"/>
      <c r="J422" s="192"/>
      <c r="K422" s="192"/>
      <c r="L422" s="192"/>
      <c r="M422" s="192"/>
      <c r="N422" s="193"/>
      <c r="O422" s="1"/>
      <c r="P422" s="1"/>
      <c r="Q422" s="1"/>
    </row>
    <row r="423" spans="1:21">
      <c r="A423" s="194"/>
      <c r="B423" s="192"/>
      <c r="C423" s="192"/>
      <c r="D423" s="192"/>
      <c r="E423" s="192"/>
      <c r="F423" s="192"/>
      <c r="G423" s="192"/>
      <c r="H423" s="192"/>
      <c r="I423" s="192"/>
      <c r="J423" s="192"/>
      <c r="K423" s="192"/>
      <c r="L423" s="192"/>
      <c r="M423" s="192"/>
      <c r="N423" s="193"/>
      <c r="O423" s="1"/>
      <c r="P423" s="1"/>
      <c r="Q423" s="1"/>
    </row>
    <row r="424" spans="1:21">
      <c r="A424" s="191" t="s">
        <v>579</v>
      </c>
      <c r="B424" s="192"/>
      <c r="C424" s="192"/>
      <c r="D424" s="192"/>
      <c r="E424" s="192"/>
      <c r="F424" s="192"/>
      <c r="G424" s="192"/>
      <c r="H424" s="192"/>
      <c r="I424" s="192"/>
      <c r="J424" s="192"/>
      <c r="K424" s="192"/>
      <c r="L424" s="192"/>
      <c r="M424" s="192"/>
      <c r="N424" s="193"/>
      <c r="O424" s="1"/>
      <c r="P424" s="1"/>
      <c r="Q424" s="1"/>
    </row>
    <row r="425" spans="1:21">
      <c r="A425" s="191" t="s">
        <v>602</v>
      </c>
      <c r="B425" s="192"/>
      <c r="C425" s="192"/>
      <c r="D425" s="192"/>
      <c r="E425" s="192"/>
      <c r="F425" s="192"/>
      <c r="G425" s="192"/>
      <c r="H425" s="192"/>
      <c r="I425" s="192"/>
      <c r="J425" s="192"/>
      <c r="K425" s="192"/>
      <c r="L425" s="192"/>
      <c r="M425" s="192"/>
      <c r="N425" s="193"/>
      <c r="O425" s="1"/>
      <c r="P425" s="1"/>
      <c r="Q425" s="1"/>
    </row>
    <row r="426" spans="1:21" ht="15" customHeight="1" thickBot="1">
      <c r="A426" s="188" t="s">
        <v>589</v>
      </c>
      <c r="B426" s="189"/>
      <c r="C426" s="189"/>
      <c r="D426" s="189"/>
      <c r="E426" s="189"/>
      <c r="F426" s="189"/>
      <c r="G426" s="189"/>
      <c r="H426" s="189"/>
      <c r="I426" s="189"/>
      <c r="J426" s="189"/>
      <c r="K426" s="189"/>
      <c r="L426" s="189"/>
      <c r="M426" s="189"/>
      <c r="N426" s="190"/>
      <c r="O426" s="1"/>
      <c r="P426" s="1"/>
      <c r="Q426" s="1"/>
    </row>
    <row r="427" spans="1:21">
      <c r="A427" s="4"/>
      <c r="B427" s="1"/>
      <c r="C427" s="1"/>
      <c r="D427" s="1"/>
      <c r="E427" s="1"/>
      <c r="F427" s="1"/>
      <c r="G427" s="1"/>
      <c r="H427" s="1"/>
      <c r="I427" s="3"/>
      <c r="J427" s="3"/>
      <c r="K427" s="3"/>
      <c r="L427" s="1"/>
      <c r="M427" s="1"/>
      <c r="N427" s="1"/>
      <c r="O427" s="1"/>
      <c r="P427" s="1"/>
      <c r="Q427" s="1"/>
    </row>
    <row r="428" spans="1:21">
      <c r="A428" s="4"/>
      <c r="B428" s="1"/>
      <c r="C428" s="1"/>
      <c r="D428" s="1"/>
      <c r="E428" s="1"/>
      <c r="F428" s="1"/>
      <c r="G428" s="1"/>
      <c r="H428" s="1"/>
      <c r="I428" s="3"/>
      <c r="J428" s="3"/>
      <c r="K428" s="3"/>
      <c r="L428" s="1"/>
      <c r="M428" s="1"/>
      <c r="N428" s="1"/>
      <c r="O428" s="1"/>
      <c r="P428" s="1"/>
      <c r="Q428" s="1"/>
    </row>
    <row r="429" spans="1:21">
      <c r="A429" s="2"/>
      <c r="B429" s="2"/>
      <c r="C429" s="2"/>
      <c r="D429" s="2"/>
      <c r="E429" s="2"/>
      <c r="F429" s="2"/>
      <c r="G429" s="2"/>
      <c r="H429" s="2"/>
      <c r="I429" s="2"/>
      <c r="J429" s="2"/>
      <c r="K429" s="2"/>
      <c r="L429" s="2"/>
      <c r="M429" s="2"/>
      <c r="N429" s="2"/>
      <c r="O429" s="2"/>
      <c r="P429" s="2"/>
      <c r="Q429" s="2"/>
    </row>
  </sheetData>
  <mergeCells count="12">
    <mergeCell ref="A422:N422"/>
    <mergeCell ref="A423:N423"/>
    <mergeCell ref="A424:N424"/>
    <mergeCell ref="A425:N425"/>
    <mergeCell ref="A426:N426"/>
    <mergeCell ref="A420:N420"/>
    <mergeCell ref="A421:N421"/>
    <mergeCell ref="S2:U2"/>
    <mergeCell ref="A1:N1"/>
    <mergeCell ref="D2:G2"/>
    <mergeCell ref="L2:N2"/>
    <mergeCell ref="A419:N419"/>
  </mergeCells>
  <printOptions horizontalCentered="1"/>
  <pageMargins left="0.5" right="0.5" top="0.5" bottom="0.5" header="0.3" footer="0.3"/>
  <pageSetup paperSize="5" scale="82" fitToHeight="0" orientation="landscape" r:id="rId1"/>
  <headerFooter>
    <oddFooter>&amp;L&amp;11Office of Economic and Demographic Research&amp;C&amp;11Page &amp;P of &amp;N&amp;R&amp;11January 22, 2014</oddFooter>
  </headerFooter>
  <rowBreaks count="1" manualBreakCount="1">
    <brk id="417"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U430"/>
  <sheetViews>
    <sheetView zoomScaleNormal="100" workbookViewId="0">
      <selection sqref="A1:N1"/>
    </sheetView>
  </sheetViews>
  <sheetFormatPr defaultRowHeight="12.75"/>
  <cols>
    <col min="1" max="1" width="25.7109375" customWidth="1"/>
    <col min="2" max="2" width="16.7109375" customWidth="1"/>
    <col min="3" max="3" width="11.7109375" customWidth="1"/>
    <col min="4" max="4" width="17.7109375" customWidth="1"/>
    <col min="5" max="5" width="13.7109375" customWidth="1"/>
    <col min="6" max="6" width="17.7109375" customWidth="1"/>
    <col min="7" max="7" width="13.7109375" customWidth="1"/>
    <col min="8" max="8" width="1.7109375" customWidth="1"/>
    <col min="9" max="9" width="10.7109375" customWidth="1"/>
    <col min="10" max="10" width="15.7109375" customWidth="1"/>
    <col min="11" max="11" width="13.7109375" customWidth="1"/>
    <col min="12" max="13" width="15.7109375" customWidth="1"/>
    <col min="14" max="14" width="14.7109375" customWidth="1"/>
    <col min="15" max="15" width="2.7109375" customWidth="1"/>
    <col min="16" max="16" width="4.5703125" customWidth="1"/>
    <col min="17" max="17" width="10.7109375" customWidth="1"/>
    <col min="19" max="20" width="17" bestFit="1" customWidth="1"/>
    <col min="21" max="21" width="13.42578125" bestFit="1" customWidth="1"/>
  </cols>
  <sheetData>
    <row r="1" spans="1:21" ht="26.25">
      <c r="A1" s="197" t="s">
        <v>573</v>
      </c>
      <c r="B1" s="198"/>
      <c r="C1" s="198"/>
      <c r="D1" s="198"/>
      <c r="E1" s="198"/>
      <c r="F1" s="198"/>
      <c r="G1" s="198"/>
      <c r="H1" s="198"/>
      <c r="I1" s="198"/>
      <c r="J1" s="198"/>
      <c r="K1" s="198"/>
      <c r="L1" s="198"/>
      <c r="M1" s="198"/>
      <c r="N1" s="199"/>
    </row>
    <row r="2" spans="1:21" ht="18">
      <c r="A2" s="41"/>
      <c r="B2" s="42"/>
      <c r="C2" s="43"/>
      <c r="D2" s="200" t="s">
        <v>562</v>
      </c>
      <c r="E2" s="201"/>
      <c r="F2" s="201"/>
      <c r="G2" s="202"/>
      <c r="H2" s="44"/>
      <c r="I2" s="61" t="s">
        <v>456</v>
      </c>
      <c r="J2" s="45"/>
      <c r="K2" s="68"/>
      <c r="L2" s="201" t="s">
        <v>503</v>
      </c>
      <c r="M2" s="201"/>
      <c r="N2" s="203"/>
    </row>
    <row r="3" spans="1:21" ht="12.75" customHeight="1">
      <c r="A3" s="46"/>
      <c r="B3" s="47"/>
      <c r="C3" s="48">
        <v>2011</v>
      </c>
      <c r="D3" s="49"/>
      <c r="E3" s="50" t="s">
        <v>1</v>
      </c>
      <c r="F3" s="51"/>
      <c r="G3" s="50" t="s">
        <v>1</v>
      </c>
      <c r="H3" s="52"/>
      <c r="I3" s="53"/>
      <c r="J3" s="54"/>
      <c r="K3" s="67" t="s">
        <v>1</v>
      </c>
      <c r="L3" s="66" t="s">
        <v>455</v>
      </c>
      <c r="M3" s="50" t="s">
        <v>455</v>
      </c>
      <c r="N3" s="59" t="s">
        <v>1</v>
      </c>
    </row>
    <row r="4" spans="1:21">
      <c r="A4" s="46"/>
      <c r="B4" s="47"/>
      <c r="C4" s="48" t="s">
        <v>3</v>
      </c>
      <c r="D4" s="49" t="s">
        <v>563</v>
      </c>
      <c r="E4" s="56" t="s">
        <v>563</v>
      </c>
      <c r="F4" s="56" t="s">
        <v>2</v>
      </c>
      <c r="G4" s="56" t="s">
        <v>2</v>
      </c>
      <c r="H4" s="52"/>
      <c r="I4" s="57" t="s">
        <v>0</v>
      </c>
      <c r="J4" s="58" t="s">
        <v>455</v>
      </c>
      <c r="K4" s="69" t="s">
        <v>455</v>
      </c>
      <c r="L4" s="67" t="s">
        <v>454</v>
      </c>
      <c r="M4" s="82" t="s">
        <v>495</v>
      </c>
      <c r="N4" s="55" t="s">
        <v>495</v>
      </c>
    </row>
    <row r="5" spans="1:21">
      <c r="A5" s="85" t="s">
        <v>5</v>
      </c>
      <c r="B5" s="86" t="s">
        <v>6</v>
      </c>
      <c r="C5" s="87" t="s">
        <v>458</v>
      </c>
      <c r="D5" s="88" t="s">
        <v>7</v>
      </c>
      <c r="E5" s="89" t="s">
        <v>7</v>
      </c>
      <c r="F5" s="90" t="s">
        <v>7</v>
      </c>
      <c r="G5" s="89" t="s">
        <v>7</v>
      </c>
      <c r="H5" s="91"/>
      <c r="I5" s="92" t="s">
        <v>4</v>
      </c>
      <c r="J5" s="90" t="s">
        <v>454</v>
      </c>
      <c r="K5" s="90" t="s">
        <v>454</v>
      </c>
      <c r="L5" s="93" t="s">
        <v>502</v>
      </c>
      <c r="M5" s="94" t="s">
        <v>496</v>
      </c>
      <c r="N5" s="95" t="s">
        <v>496</v>
      </c>
      <c r="O5" s="19"/>
      <c r="P5" s="19"/>
      <c r="Q5" s="19"/>
    </row>
    <row r="6" spans="1:21">
      <c r="A6" s="22" t="s">
        <v>8</v>
      </c>
      <c r="B6" s="33" t="s">
        <v>8</v>
      </c>
      <c r="C6" s="34">
        <v>9108</v>
      </c>
      <c r="D6" s="18">
        <v>1087165535</v>
      </c>
      <c r="E6" s="38">
        <f t="shared" ref="E6:E14" si="0">(D6/C6)</f>
        <v>119363.80489679403</v>
      </c>
      <c r="F6" s="18">
        <v>701923442</v>
      </c>
      <c r="G6" s="39">
        <f t="shared" ref="G6:G14" si="1">(F6/C6)</f>
        <v>77066.693236714971</v>
      </c>
      <c r="H6" s="15"/>
      <c r="I6" s="108">
        <v>5.5</v>
      </c>
      <c r="J6" s="40">
        <v>3860579</v>
      </c>
      <c r="K6" s="84">
        <f t="shared" ref="K6:K14" si="2">(J6/C6)</f>
        <v>423.86682037768992</v>
      </c>
      <c r="L6" s="65">
        <f>(F6*0.01)</f>
        <v>7019234.4199999999</v>
      </c>
      <c r="M6" s="83">
        <f>(L6-J6)</f>
        <v>3158655.42</v>
      </c>
      <c r="N6" s="62">
        <f>(M6/C6)</f>
        <v>346.80011198945982</v>
      </c>
      <c r="O6" s="5"/>
      <c r="P6" s="5">
        <f t="shared" ref="P6:P69" si="3">IF(I6&gt;0,1,0)</f>
        <v>1</v>
      </c>
      <c r="Q6" s="7">
        <f t="shared" ref="Q6:Q69" si="4">IF(I6&gt;0,C6,0)</f>
        <v>9108</v>
      </c>
    </row>
    <row r="7" spans="1:21">
      <c r="A7" s="23" t="s">
        <v>9</v>
      </c>
      <c r="B7" s="35" t="s">
        <v>8</v>
      </c>
      <c r="C7" s="36">
        <v>1139</v>
      </c>
      <c r="D7" s="113">
        <v>64616471</v>
      </c>
      <c r="E7" s="116">
        <f t="shared" si="0"/>
        <v>56730.878841088677</v>
      </c>
      <c r="F7" s="113">
        <v>33943012</v>
      </c>
      <c r="G7" s="117">
        <f t="shared" si="1"/>
        <v>29800.712906057946</v>
      </c>
      <c r="H7" s="7"/>
      <c r="I7" s="109">
        <v>5.2</v>
      </c>
      <c r="J7" s="117">
        <v>176504</v>
      </c>
      <c r="K7" s="120">
        <f t="shared" si="2"/>
        <v>154.9640035118525</v>
      </c>
      <c r="L7" s="122">
        <f>(F7*0.01)</f>
        <v>339430.12</v>
      </c>
      <c r="M7" s="116">
        <f>(L7-J7)</f>
        <v>162926.12</v>
      </c>
      <c r="N7" s="123">
        <f>(M7/C7)</f>
        <v>143.04312554872695</v>
      </c>
      <c r="O7" s="5"/>
      <c r="P7" s="5">
        <f t="shared" si="3"/>
        <v>1</v>
      </c>
      <c r="Q7" s="7">
        <f t="shared" si="4"/>
        <v>1139</v>
      </c>
    </row>
    <row r="8" spans="1:21">
      <c r="A8" s="23" t="s">
        <v>10</v>
      </c>
      <c r="B8" s="35" t="s">
        <v>8</v>
      </c>
      <c r="C8" s="36">
        <v>124501</v>
      </c>
      <c r="D8" s="113">
        <v>13072122228</v>
      </c>
      <c r="E8" s="116">
        <f t="shared" si="0"/>
        <v>104996.12234439884</v>
      </c>
      <c r="F8" s="113">
        <v>5408683497</v>
      </c>
      <c r="G8" s="117">
        <f t="shared" si="1"/>
        <v>43442.892000867461</v>
      </c>
      <c r="H8" s="7"/>
      <c r="I8" s="109">
        <v>4.2544000000000004</v>
      </c>
      <c r="J8" s="117">
        <v>23010703</v>
      </c>
      <c r="K8" s="120">
        <f t="shared" si="2"/>
        <v>184.82343916916329</v>
      </c>
      <c r="L8" s="122">
        <f t="shared" ref="L8:L71" si="5">(F8*0.01)</f>
        <v>54086834.969999999</v>
      </c>
      <c r="M8" s="116">
        <f t="shared" ref="M8:M71" si="6">(L8-J8)</f>
        <v>31076131.969999999</v>
      </c>
      <c r="N8" s="123">
        <f t="shared" ref="N8:N71" si="7">(M8/C8)</f>
        <v>249.60548083951133</v>
      </c>
      <c r="O8" s="5"/>
      <c r="P8" s="5">
        <f t="shared" si="3"/>
        <v>1</v>
      </c>
      <c r="Q8" s="7">
        <f t="shared" si="4"/>
        <v>124501</v>
      </c>
    </row>
    <row r="9" spans="1:21">
      <c r="A9" s="23" t="s">
        <v>11</v>
      </c>
      <c r="B9" s="35" t="s">
        <v>8</v>
      </c>
      <c r="C9" s="36">
        <v>1409</v>
      </c>
      <c r="D9" s="113">
        <v>107843026</v>
      </c>
      <c r="E9" s="116">
        <f t="shared" si="0"/>
        <v>76538.698367636622</v>
      </c>
      <c r="F9" s="117">
        <v>45887236</v>
      </c>
      <c r="G9" s="117">
        <f t="shared" si="1"/>
        <v>32567.236337828246</v>
      </c>
      <c r="H9" s="7"/>
      <c r="I9" s="109">
        <v>5.3193999999999999</v>
      </c>
      <c r="J9" s="117">
        <v>244093</v>
      </c>
      <c r="K9" s="120">
        <f t="shared" si="2"/>
        <v>173.23846699787083</v>
      </c>
      <c r="L9" s="122">
        <f t="shared" si="5"/>
        <v>458872.36</v>
      </c>
      <c r="M9" s="116">
        <f t="shared" si="6"/>
        <v>214779.36</v>
      </c>
      <c r="N9" s="123">
        <f t="shared" si="7"/>
        <v>152.43389638041162</v>
      </c>
      <c r="O9" s="5"/>
      <c r="P9" s="5">
        <f t="shared" si="3"/>
        <v>1</v>
      </c>
      <c r="Q9" s="7">
        <f t="shared" si="4"/>
        <v>1409</v>
      </c>
    </row>
    <row r="10" spans="1:21">
      <c r="A10" s="23" t="s">
        <v>12</v>
      </c>
      <c r="B10" s="35" t="s">
        <v>8</v>
      </c>
      <c r="C10" s="36">
        <v>5358</v>
      </c>
      <c r="D10" s="113">
        <v>384490365</v>
      </c>
      <c r="E10" s="116">
        <f t="shared" si="0"/>
        <v>71760.053191489365</v>
      </c>
      <c r="F10" s="117">
        <v>232735339</v>
      </c>
      <c r="G10" s="117">
        <f t="shared" si="1"/>
        <v>43436.980029861887</v>
      </c>
      <c r="H10" s="7"/>
      <c r="I10" s="109">
        <v>6.15</v>
      </c>
      <c r="J10" s="117">
        <v>1431322</v>
      </c>
      <c r="K10" s="120">
        <f t="shared" si="2"/>
        <v>267.13736468831655</v>
      </c>
      <c r="L10" s="122">
        <f t="shared" si="5"/>
        <v>2327353.39</v>
      </c>
      <c r="M10" s="116">
        <f t="shared" si="6"/>
        <v>896031.39000000013</v>
      </c>
      <c r="N10" s="123">
        <f t="shared" si="7"/>
        <v>167.23243561030239</v>
      </c>
      <c r="O10" s="5"/>
      <c r="P10" s="5">
        <f t="shared" si="3"/>
        <v>1</v>
      </c>
      <c r="Q10" s="7">
        <f t="shared" si="4"/>
        <v>5358</v>
      </c>
    </row>
    <row r="11" spans="1:21">
      <c r="A11" s="23" t="s">
        <v>559</v>
      </c>
      <c r="B11" s="35" t="s">
        <v>8</v>
      </c>
      <c r="C11" s="36">
        <v>352</v>
      </c>
      <c r="D11" s="113">
        <v>20937408</v>
      </c>
      <c r="E11" s="116">
        <f t="shared" si="0"/>
        <v>59481.272727272728</v>
      </c>
      <c r="F11" s="117">
        <v>10186017</v>
      </c>
      <c r="G11" s="117">
        <f t="shared" si="1"/>
        <v>28937.548295454544</v>
      </c>
      <c r="H11" s="7"/>
      <c r="I11" s="109">
        <v>2.5777000000000001</v>
      </c>
      <c r="J11" s="117">
        <v>26256</v>
      </c>
      <c r="K11" s="120">
        <f t="shared" si="2"/>
        <v>74.590909090909093</v>
      </c>
      <c r="L11" s="122">
        <f t="shared" si="5"/>
        <v>101860.17</v>
      </c>
      <c r="M11" s="116">
        <f t="shared" si="6"/>
        <v>75604.17</v>
      </c>
      <c r="N11" s="123">
        <f t="shared" si="7"/>
        <v>214.78457386363635</v>
      </c>
      <c r="O11" s="5"/>
      <c r="P11" s="5">
        <f t="shared" si="3"/>
        <v>1</v>
      </c>
      <c r="Q11" s="7">
        <f t="shared" si="4"/>
        <v>352</v>
      </c>
    </row>
    <row r="12" spans="1:21">
      <c r="A12" s="23" t="s">
        <v>13</v>
      </c>
      <c r="B12" s="35" t="s">
        <v>8</v>
      </c>
      <c r="C12" s="36">
        <v>594</v>
      </c>
      <c r="D12" s="113">
        <v>47924213</v>
      </c>
      <c r="E12" s="116">
        <f t="shared" si="0"/>
        <v>80680.493265993267</v>
      </c>
      <c r="F12" s="117">
        <v>27387413</v>
      </c>
      <c r="G12" s="117">
        <f t="shared" si="1"/>
        <v>46106.755892255889</v>
      </c>
      <c r="H12" s="7"/>
      <c r="I12" s="109">
        <v>8</v>
      </c>
      <c r="J12" s="117">
        <v>219099</v>
      </c>
      <c r="K12" s="120">
        <f t="shared" si="2"/>
        <v>368.85353535353534</v>
      </c>
      <c r="L12" s="122">
        <f t="shared" si="5"/>
        <v>273874.13</v>
      </c>
      <c r="M12" s="116">
        <f t="shared" si="6"/>
        <v>54775.130000000005</v>
      </c>
      <c r="N12" s="123">
        <f t="shared" si="7"/>
        <v>92.214023569023581</v>
      </c>
      <c r="O12" s="5"/>
      <c r="P12" s="5">
        <f t="shared" si="3"/>
        <v>1</v>
      </c>
      <c r="Q12" s="7">
        <f t="shared" si="4"/>
        <v>594</v>
      </c>
    </row>
    <row r="13" spans="1:21">
      <c r="A13" s="23" t="s">
        <v>14</v>
      </c>
      <c r="B13" s="35" t="s">
        <v>8</v>
      </c>
      <c r="C13" s="36">
        <v>4945</v>
      </c>
      <c r="D13" s="113">
        <v>578645881</v>
      </c>
      <c r="E13" s="116">
        <f t="shared" si="0"/>
        <v>117016.3561172902</v>
      </c>
      <c r="F13" s="117">
        <v>360477762</v>
      </c>
      <c r="G13" s="117">
        <f t="shared" si="1"/>
        <v>72897.424064711828</v>
      </c>
      <c r="H13" s="7"/>
      <c r="I13" s="109">
        <v>3.85</v>
      </c>
      <c r="J13" s="117">
        <v>1387839</v>
      </c>
      <c r="K13" s="120">
        <f t="shared" si="2"/>
        <v>280.65500505561175</v>
      </c>
      <c r="L13" s="122">
        <f t="shared" si="5"/>
        <v>3604777.62</v>
      </c>
      <c r="M13" s="116">
        <f t="shared" si="6"/>
        <v>2216938.62</v>
      </c>
      <c r="N13" s="123">
        <f t="shared" si="7"/>
        <v>448.31923559150658</v>
      </c>
      <c r="O13" s="5"/>
      <c r="P13" s="5">
        <f t="shared" si="3"/>
        <v>1</v>
      </c>
      <c r="Q13" s="7">
        <f t="shared" si="4"/>
        <v>4945</v>
      </c>
    </row>
    <row r="14" spans="1:21">
      <c r="A14" s="23" t="s">
        <v>15</v>
      </c>
      <c r="B14" s="35" t="s">
        <v>8</v>
      </c>
      <c r="C14" s="36">
        <v>1003</v>
      </c>
      <c r="D14" s="113">
        <v>46772359</v>
      </c>
      <c r="E14" s="116">
        <f t="shared" si="0"/>
        <v>46632.461615154534</v>
      </c>
      <c r="F14" s="117">
        <v>25654770</v>
      </c>
      <c r="G14" s="117">
        <f t="shared" si="1"/>
        <v>25578.035892323031</v>
      </c>
      <c r="H14" s="7"/>
      <c r="I14" s="109">
        <v>5.8685999999999998</v>
      </c>
      <c r="J14" s="117">
        <v>150558</v>
      </c>
      <c r="K14" s="120">
        <f t="shared" si="2"/>
        <v>150.10767696909272</v>
      </c>
      <c r="L14" s="122">
        <f t="shared" si="5"/>
        <v>256547.7</v>
      </c>
      <c r="M14" s="116">
        <f t="shared" si="6"/>
        <v>105989.70000000001</v>
      </c>
      <c r="N14" s="123">
        <f t="shared" si="7"/>
        <v>105.6726819541376</v>
      </c>
      <c r="O14" s="5"/>
      <c r="P14" s="5">
        <f t="shared" si="3"/>
        <v>1</v>
      </c>
      <c r="Q14" s="7">
        <f t="shared" si="4"/>
        <v>1003</v>
      </c>
      <c r="S14" s="124">
        <f>SUM(D6:D14)</f>
        <v>15410517486</v>
      </c>
      <c r="T14" s="124">
        <f>SUM(F6:F14)</f>
        <v>6846878488</v>
      </c>
      <c r="U14" s="124">
        <f>SUM(J6:J14)</f>
        <v>30506953</v>
      </c>
    </row>
    <row r="15" spans="1:21">
      <c r="A15" s="24" t="s">
        <v>544</v>
      </c>
      <c r="B15" s="35" t="s">
        <v>16</v>
      </c>
      <c r="C15" s="36">
        <v>433</v>
      </c>
      <c r="D15" s="114" t="s">
        <v>564</v>
      </c>
      <c r="E15" s="116"/>
      <c r="F15" s="117"/>
      <c r="G15" s="117"/>
      <c r="H15" s="9" t="s">
        <v>528</v>
      </c>
      <c r="I15" s="109"/>
      <c r="J15" s="117"/>
      <c r="K15" s="120"/>
      <c r="L15" s="122">
        <f t="shared" si="5"/>
        <v>0</v>
      </c>
      <c r="M15" s="116">
        <f t="shared" si="6"/>
        <v>0</v>
      </c>
      <c r="N15" s="123">
        <f t="shared" si="7"/>
        <v>0</v>
      </c>
      <c r="O15" s="5"/>
      <c r="P15" s="5">
        <f t="shared" si="3"/>
        <v>0</v>
      </c>
      <c r="Q15" s="7">
        <f t="shared" si="4"/>
        <v>0</v>
      </c>
    </row>
    <row r="16" spans="1:21">
      <c r="A16" s="23" t="s">
        <v>17</v>
      </c>
      <c r="B16" s="35" t="s">
        <v>16</v>
      </c>
      <c r="C16" s="36">
        <v>6347</v>
      </c>
      <c r="D16" s="113">
        <v>375070066</v>
      </c>
      <c r="E16" s="116">
        <f>(D16/C16)</f>
        <v>59094.070584528126</v>
      </c>
      <c r="F16" s="117">
        <v>216474755</v>
      </c>
      <c r="G16" s="117">
        <f>(F16/C16)</f>
        <v>34106.625965022846</v>
      </c>
      <c r="H16" s="7"/>
      <c r="I16" s="109">
        <v>3.6</v>
      </c>
      <c r="J16" s="117">
        <v>779309</v>
      </c>
      <c r="K16" s="120">
        <f>(J16/C16)</f>
        <v>122.7838348826217</v>
      </c>
      <c r="L16" s="122">
        <f t="shared" si="5"/>
        <v>2164747.5499999998</v>
      </c>
      <c r="M16" s="116">
        <f t="shared" si="6"/>
        <v>1385438.5499999998</v>
      </c>
      <c r="N16" s="123">
        <f t="shared" si="7"/>
        <v>218.28242476760673</v>
      </c>
      <c r="O16" s="5"/>
      <c r="P16" s="5">
        <f t="shared" si="3"/>
        <v>1</v>
      </c>
      <c r="Q16" s="7">
        <f t="shared" si="4"/>
        <v>6347</v>
      </c>
      <c r="S16" s="124">
        <f>SUM(D15:D16)</f>
        <v>375070066</v>
      </c>
      <c r="T16" s="124">
        <f>SUM(F15:F16)</f>
        <v>216474755</v>
      </c>
      <c r="U16" s="124">
        <f>SUM(J15:J16)</f>
        <v>779309</v>
      </c>
    </row>
    <row r="17" spans="1:21">
      <c r="A17" s="23" t="s">
        <v>18</v>
      </c>
      <c r="B17" s="35" t="s">
        <v>19</v>
      </c>
      <c r="C17" s="36">
        <v>14383</v>
      </c>
      <c r="D17" s="113">
        <v>776782060</v>
      </c>
      <c r="E17" s="116">
        <f>(D17/C17)</f>
        <v>54006.95682402837</v>
      </c>
      <c r="F17" s="117">
        <v>499820720</v>
      </c>
      <c r="G17" s="117">
        <f>(F17/C17)</f>
        <v>34750.797469234516</v>
      </c>
      <c r="H17" s="8"/>
      <c r="I17" s="109">
        <v>2.25</v>
      </c>
      <c r="J17" s="117">
        <v>1124597</v>
      </c>
      <c r="K17" s="120">
        <f>(J17/C17)</f>
        <v>78.189320725856916</v>
      </c>
      <c r="L17" s="122">
        <f t="shared" si="5"/>
        <v>4998207.2</v>
      </c>
      <c r="M17" s="116">
        <f t="shared" si="6"/>
        <v>3873610.2</v>
      </c>
      <c r="N17" s="123">
        <f t="shared" si="7"/>
        <v>269.31865396648823</v>
      </c>
      <c r="O17" s="5"/>
      <c r="P17" s="5">
        <f t="shared" si="3"/>
        <v>1</v>
      </c>
      <c r="Q17" s="7">
        <f t="shared" si="4"/>
        <v>14383</v>
      </c>
    </row>
    <row r="18" spans="1:21">
      <c r="A18" s="23" t="s">
        <v>21</v>
      </c>
      <c r="B18" s="35" t="s">
        <v>19</v>
      </c>
      <c r="C18" s="36">
        <v>18585</v>
      </c>
      <c r="D18" s="113">
        <v>1495355869</v>
      </c>
      <c r="E18" s="116">
        <f>(D18/C18)</f>
        <v>80460.364218455739</v>
      </c>
      <c r="F18" s="117">
        <v>1013000408</v>
      </c>
      <c r="G18" s="117">
        <f>(F18/C18)</f>
        <v>54506.34425612053</v>
      </c>
      <c r="H18" s="7"/>
      <c r="I18" s="109">
        <v>3.0886999999999998</v>
      </c>
      <c r="J18" s="117">
        <v>3128854</v>
      </c>
      <c r="K18" s="120">
        <f>(J18/C18)</f>
        <v>168.35372612321765</v>
      </c>
      <c r="L18" s="122">
        <f t="shared" si="5"/>
        <v>10130004.08</v>
      </c>
      <c r="M18" s="116">
        <f t="shared" si="6"/>
        <v>7001150.0800000001</v>
      </c>
      <c r="N18" s="123">
        <f t="shared" si="7"/>
        <v>376.70971643798765</v>
      </c>
      <c r="O18" s="5"/>
      <c r="P18" s="5">
        <f t="shared" si="3"/>
        <v>1</v>
      </c>
      <c r="Q18" s="7">
        <f t="shared" si="4"/>
        <v>18585</v>
      </c>
    </row>
    <row r="19" spans="1:21">
      <c r="A19" s="23" t="s">
        <v>22</v>
      </c>
      <c r="B19" s="35" t="s">
        <v>19</v>
      </c>
      <c r="C19" s="36">
        <v>1082</v>
      </c>
      <c r="D19" s="113">
        <v>444889318</v>
      </c>
      <c r="E19" s="116">
        <f>(D19/C19)</f>
        <v>411173.12199630315</v>
      </c>
      <c r="F19" s="117">
        <v>359733818</v>
      </c>
      <c r="G19" s="117">
        <f>(F19/C19)</f>
        <v>332471.18114602589</v>
      </c>
      <c r="H19" s="7"/>
      <c r="I19" s="110">
        <v>4.6159999999999997</v>
      </c>
      <c r="J19" s="117">
        <v>1660531</v>
      </c>
      <c r="K19" s="120">
        <f>(J19/C19)</f>
        <v>1534.6866913123845</v>
      </c>
      <c r="L19" s="122">
        <f t="shared" si="5"/>
        <v>3597338.18</v>
      </c>
      <c r="M19" s="116">
        <f t="shared" si="6"/>
        <v>1936807.1800000002</v>
      </c>
      <c r="N19" s="123">
        <f t="shared" si="7"/>
        <v>1790.0251201478745</v>
      </c>
      <c r="O19" s="5"/>
      <c r="P19" s="5">
        <f t="shared" si="3"/>
        <v>1</v>
      </c>
      <c r="Q19" s="7">
        <f t="shared" si="4"/>
        <v>1082</v>
      </c>
    </row>
    <row r="20" spans="1:21">
      <c r="A20" s="23" t="s">
        <v>23</v>
      </c>
      <c r="B20" s="35" t="s">
        <v>19</v>
      </c>
      <c r="C20" s="36">
        <v>35609</v>
      </c>
      <c r="D20" s="113">
        <v>3531563550</v>
      </c>
      <c r="E20" s="116">
        <f>(D20/C20)</f>
        <v>99176.150692240728</v>
      </c>
      <c r="F20" s="117">
        <v>2162564158</v>
      </c>
      <c r="G20" s="117">
        <f>(F20/C20)</f>
        <v>60730.830913533093</v>
      </c>
      <c r="H20" s="7"/>
      <c r="I20" s="109">
        <v>4.6159999999999997</v>
      </c>
      <c r="J20" s="117">
        <v>9982396</v>
      </c>
      <c r="K20" s="120">
        <f>(J20/C20)</f>
        <v>280.33351119099103</v>
      </c>
      <c r="L20" s="122">
        <f t="shared" si="5"/>
        <v>21625641.580000002</v>
      </c>
      <c r="M20" s="116">
        <f t="shared" si="6"/>
        <v>11643245.580000002</v>
      </c>
      <c r="N20" s="123">
        <f t="shared" si="7"/>
        <v>326.97479794433997</v>
      </c>
      <c r="O20" s="5"/>
      <c r="P20" s="5">
        <f t="shared" si="3"/>
        <v>1</v>
      </c>
      <c r="Q20" s="7">
        <f t="shared" si="4"/>
        <v>35609</v>
      </c>
    </row>
    <row r="21" spans="1:21">
      <c r="A21" s="23" t="s">
        <v>24</v>
      </c>
      <c r="B21" s="35" t="s">
        <v>19</v>
      </c>
      <c r="C21" s="36">
        <v>12025</v>
      </c>
      <c r="D21" s="114" t="s">
        <v>564</v>
      </c>
      <c r="E21" s="116"/>
      <c r="F21" s="117"/>
      <c r="G21" s="117"/>
      <c r="H21" s="9" t="s">
        <v>528</v>
      </c>
      <c r="I21" s="111"/>
      <c r="J21" s="117"/>
      <c r="K21" s="120"/>
      <c r="L21" s="122">
        <f t="shared" si="5"/>
        <v>0</v>
      </c>
      <c r="M21" s="116">
        <f t="shared" si="6"/>
        <v>0</v>
      </c>
      <c r="N21" s="123">
        <f t="shared" si="7"/>
        <v>0</v>
      </c>
      <c r="O21" s="5"/>
      <c r="P21" s="5">
        <f t="shared" si="3"/>
        <v>0</v>
      </c>
      <c r="Q21" s="7">
        <f t="shared" si="4"/>
        <v>0</v>
      </c>
    </row>
    <row r="22" spans="1:21">
      <c r="A22" s="23" t="s">
        <v>25</v>
      </c>
      <c r="B22" s="35" t="s">
        <v>19</v>
      </c>
      <c r="C22" s="36">
        <v>4329</v>
      </c>
      <c r="D22" s="114" t="s">
        <v>564</v>
      </c>
      <c r="E22" s="116"/>
      <c r="F22" s="117"/>
      <c r="G22" s="117"/>
      <c r="H22" s="9" t="s">
        <v>528</v>
      </c>
      <c r="I22" s="111"/>
      <c r="J22" s="117"/>
      <c r="K22" s="120"/>
      <c r="L22" s="122">
        <f t="shared" si="5"/>
        <v>0</v>
      </c>
      <c r="M22" s="116">
        <f t="shared" si="6"/>
        <v>0</v>
      </c>
      <c r="N22" s="123">
        <f t="shared" si="7"/>
        <v>0</v>
      </c>
      <c r="O22" s="5"/>
      <c r="P22" s="5">
        <f t="shared" si="3"/>
        <v>0</v>
      </c>
      <c r="Q22" s="7">
        <f t="shared" si="4"/>
        <v>0</v>
      </c>
    </row>
    <row r="23" spans="1:21">
      <c r="A23" s="23" t="s">
        <v>26</v>
      </c>
      <c r="B23" s="35" t="s">
        <v>19</v>
      </c>
      <c r="C23" s="36">
        <v>8908</v>
      </c>
      <c r="D23" s="114" t="s">
        <v>564</v>
      </c>
      <c r="E23" s="116"/>
      <c r="F23" s="117"/>
      <c r="G23" s="117"/>
      <c r="H23" s="9" t="s">
        <v>528</v>
      </c>
      <c r="I23" s="109"/>
      <c r="J23" s="117"/>
      <c r="K23" s="120"/>
      <c r="L23" s="122">
        <f t="shared" si="5"/>
        <v>0</v>
      </c>
      <c r="M23" s="116">
        <f t="shared" si="6"/>
        <v>0</v>
      </c>
      <c r="N23" s="123">
        <f t="shared" si="7"/>
        <v>0</v>
      </c>
      <c r="O23" s="5"/>
      <c r="P23" s="5">
        <f t="shared" si="3"/>
        <v>0</v>
      </c>
      <c r="Q23" s="7">
        <f t="shared" si="4"/>
        <v>0</v>
      </c>
      <c r="S23" s="124">
        <f>SUM(D17:D23)</f>
        <v>6248590797</v>
      </c>
      <c r="T23" s="124">
        <f>SUM(F17:F23)</f>
        <v>4035119104</v>
      </c>
      <c r="U23" s="124">
        <f>SUM(J17:J23)</f>
        <v>15896378</v>
      </c>
    </row>
    <row r="24" spans="1:21">
      <c r="A24" s="23" t="s">
        <v>27</v>
      </c>
      <c r="B24" s="35" t="s">
        <v>28</v>
      </c>
      <c r="C24" s="36">
        <v>327</v>
      </c>
      <c r="D24" s="113">
        <v>14521934</v>
      </c>
      <c r="E24" s="116">
        <f t="shared" ref="E24:E38" si="8">(D24/C24)</f>
        <v>44409.584097859326</v>
      </c>
      <c r="F24" s="117">
        <v>6834050</v>
      </c>
      <c r="G24" s="117">
        <f t="shared" ref="G24:G38" si="9">(F24/C24)</f>
        <v>20899.235474006116</v>
      </c>
      <c r="H24" s="7"/>
      <c r="I24" s="109">
        <v>0.34179999999999999</v>
      </c>
      <c r="J24" s="117">
        <v>2336</v>
      </c>
      <c r="K24" s="120">
        <f t="shared" ref="K24:K38" si="10">(J24/C24)</f>
        <v>7.143730886850153</v>
      </c>
      <c r="L24" s="122">
        <f t="shared" si="5"/>
        <v>68340.5</v>
      </c>
      <c r="M24" s="116">
        <f t="shared" si="6"/>
        <v>66004.5</v>
      </c>
      <c r="N24" s="123">
        <f t="shared" si="7"/>
        <v>201.848623853211</v>
      </c>
      <c r="O24" s="5"/>
      <c r="P24" s="5">
        <f t="shared" si="3"/>
        <v>1</v>
      </c>
      <c r="Q24" s="7">
        <f t="shared" si="4"/>
        <v>327</v>
      </c>
    </row>
    <row r="25" spans="1:21">
      <c r="A25" s="23" t="s">
        <v>29</v>
      </c>
      <c r="B25" s="35" t="s">
        <v>28</v>
      </c>
      <c r="C25" s="36">
        <v>490</v>
      </c>
      <c r="D25" s="113">
        <v>13053449</v>
      </c>
      <c r="E25" s="116">
        <f t="shared" si="8"/>
        <v>26639.691836734695</v>
      </c>
      <c r="F25" s="117">
        <v>7407880</v>
      </c>
      <c r="G25" s="117">
        <f t="shared" si="9"/>
        <v>15118.122448979591</v>
      </c>
      <c r="H25" s="7"/>
      <c r="I25" s="109">
        <v>0.3266</v>
      </c>
      <c r="J25" s="117">
        <v>2419</v>
      </c>
      <c r="K25" s="120">
        <f t="shared" si="10"/>
        <v>4.9367346938775514</v>
      </c>
      <c r="L25" s="122">
        <f t="shared" si="5"/>
        <v>74078.8</v>
      </c>
      <c r="M25" s="116">
        <f t="shared" si="6"/>
        <v>71659.8</v>
      </c>
      <c r="N25" s="123">
        <f t="shared" si="7"/>
        <v>146.24448979591838</v>
      </c>
      <c r="O25" s="5"/>
      <c r="P25" s="5">
        <f t="shared" si="3"/>
        <v>1</v>
      </c>
      <c r="Q25" s="7">
        <f t="shared" si="4"/>
        <v>490</v>
      </c>
    </row>
    <row r="26" spans="1:21">
      <c r="A26" s="23" t="s">
        <v>30</v>
      </c>
      <c r="B26" s="35" t="s">
        <v>28</v>
      </c>
      <c r="C26" s="36">
        <v>727</v>
      </c>
      <c r="D26" s="113">
        <v>26699714</v>
      </c>
      <c r="E26" s="116">
        <f t="shared" si="8"/>
        <v>36725.878954607979</v>
      </c>
      <c r="F26" s="117">
        <v>14887525</v>
      </c>
      <c r="G26" s="117">
        <f t="shared" si="9"/>
        <v>20478.026134800552</v>
      </c>
      <c r="H26" s="7"/>
      <c r="I26" s="110">
        <v>1.6097999999999999</v>
      </c>
      <c r="J26" s="117">
        <v>23966</v>
      </c>
      <c r="K26" s="120">
        <f t="shared" si="10"/>
        <v>32.965612104539204</v>
      </c>
      <c r="L26" s="122">
        <f t="shared" si="5"/>
        <v>148875.25</v>
      </c>
      <c r="M26" s="116">
        <f t="shared" si="6"/>
        <v>124909.25</v>
      </c>
      <c r="N26" s="123">
        <f t="shared" si="7"/>
        <v>171.81464924346631</v>
      </c>
      <c r="O26" s="5"/>
      <c r="P26" s="5">
        <f t="shared" si="3"/>
        <v>1</v>
      </c>
      <c r="Q26" s="7">
        <f t="shared" si="4"/>
        <v>727</v>
      </c>
    </row>
    <row r="27" spans="1:21">
      <c r="A27" s="23" t="s">
        <v>31</v>
      </c>
      <c r="B27" s="35" t="s">
        <v>28</v>
      </c>
      <c r="C27" s="36">
        <v>5441</v>
      </c>
      <c r="D27" s="113">
        <v>342828529</v>
      </c>
      <c r="E27" s="116">
        <f t="shared" si="8"/>
        <v>63008.367763278809</v>
      </c>
      <c r="F27" s="117">
        <v>203762979</v>
      </c>
      <c r="G27" s="117">
        <f t="shared" si="9"/>
        <v>37449.545855541262</v>
      </c>
      <c r="H27" s="7"/>
      <c r="I27" s="110">
        <v>3.9597000000000002</v>
      </c>
      <c r="J27" s="117">
        <v>806840</v>
      </c>
      <c r="K27" s="120">
        <f t="shared" si="10"/>
        <v>148.2889174784047</v>
      </c>
      <c r="L27" s="122">
        <f t="shared" si="5"/>
        <v>2037629.79</v>
      </c>
      <c r="M27" s="116">
        <f t="shared" si="6"/>
        <v>1230789.79</v>
      </c>
      <c r="N27" s="123">
        <f t="shared" si="7"/>
        <v>226.2065410770079</v>
      </c>
      <c r="O27" s="5"/>
      <c r="P27" s="5">
        <f t="shared" si="3"/>
        <v>1</v>
      </c>
      <c r="Q27" s="7">
        <f t="shared" si="4"/>
        <v>5441</v>
      </c>
      <c r="S27" s="124">
        <f>SUM(D24:D27)</f>
        <v>397103626</v>
      </c>
      <c r="T27" s="124">
        <f>SUM(F24:F27)</f>
        <v>232892434</v>
      </c>
      <c r="U27" s="124">
        <f>SUM(J24:J27)</f>
        <v>835561</v>
      </c>
    </row>
    <row r="28" spans="1:21">
      <c r="A28" s="23" t="s">
        <v>32</v>
      </c>
      <c r="B28" s="35" t="s">
        <v>33</v>
      </c>
      <c r="C28" s="36">
        <v>9936</v>
      </c>
      <c r="D28" s="113">
        <v>975010202</v>
      </c>
      <c r="E28" s="116">
        <f t="shared" si="8"/>
        <v>98129.046095008045</v>
      </c>
      <c r="F28" s="117">
        <v>822513734</v>
      </c>
      <c r="G28" s="117">
        <f t="shared" si="9"/>
        <v>82781.172906602253</v>
      </c>
      <c r="H28" s="7"/>
      <c r="I28" s="110">
        <v>4.0739000000000001</v>
      </c>
      <c r="J28" s="117">
        <v>3350839</v>
      </c>
      <c r="K28" s="120">
        <f t="shared" si="10"/>
        <v>337.24225040257647</v>
      </c>
      <c r="L28" s="122">
        <f t="shared" si="5"/>
        <v>8225137.3399999999</v>
      </c>
      <c r="M28" s="116">
        <f t="shared" si="6"/>
        <v>4874298.34</v>
      </c>
      <c r="N28" s="123">
        <f t="shared" si="7"/>
        <v>490.56947866344603</v>
      </c>
      <c r="O28" s="5"/>
      <c r="P28" s="5">
        <f t="shared" si="3"/>
        <v>1</v>
      </c>
      <c r="Q28" s="7">
        <f t="shared" si="4"/>
        <v>9936</v>
      </c>
    </row>
    <row r="29" spans="1:21">
      <c r="A29" s="23" t="s">
        <v>34</v>
      </c>
      <c r="B29" s="35" t="s">
        <v>33</v>
      </c>
      <c r="C29" s="36">
        <v>17238</v>
      </c>
      <c r="D29" s="113">
        <v>1143049515</v>
      </c>
      <c r="E29" s="116">
        <f t="shared" si="8"/>
        <v>66309.868604246425</v>
      </c>
      <c r="F29" s="117">
        <v>797666368</v>
      </c>
      <c r="G29" s="117">
        <f t="shared" si="9"/>
        <v>46273.718992922615</v>
      </c>
      <c r="H29" s="7"/>
      <c r="I29" s="109">
        <v>5.5812999999999997</v>
      </c>
      <c r="J29" s="117">
        <v>4452015</v>
      </c>
      <c r="K29" s="120">
        <f t="shared" si="10"/>
        <v>258.26749042812389</v>
      </c>
      <c r="L29" s="122">
        <f t="shared" si="5"/>
        <v>7976663.6799999997</v>
      </c>
      <c r="M29" s="116">
        <f t="shared" si="6"/>
        <v>3524648.6799999997</v>
      </c>
      <c r="N29" s="123">
        <f t="shared" si="7"/>
        <v>204.46969950110221</v>
      </c>
      <c r="O29" s="5"/>
      <c r="P29" s="5">
        <f t="shared" si="3"/>
        <v>1</v>
      </c>
      <c r="Q29" s="7">
        <f t="shared" si="4"/>
        <v>17238</v>
      </c>
    </row>
    <row r="30" spans="1:21">
      <c r="A30" s="23" t="s">
        <v>35</v>
      </c>
      <c r="B30" s="35" t="s">
        <v>33</v>
      </c>
      <c r="C30" s="36">
        <v>11233</v>
      </c>
      <c r="D30" s="113">
        <v>1794807385</v>
      </c>
      <c r="E30" s="116">
        <f t="shared" si="8"/>
        <v>159779.87937327518</v>
      </c>
      <c r="F30" s="117">
        <v>1305966601</v>
      </c>
      <c r="G30" s="117">
        <f t="shared" si="9"/>
        <v>116261.60429092852</v>
      </c>
      <c r="H30" s="7"/>
      <c r="I30" s="109">
        <v>5.024</v>
      </c>
      <c r="J30" s="117">
        <v>6561176</v>
      </c>
      <c r="K30" s="120">
        <f t="shared" si="10"/>
        <v>584.09828184812602</v>
      </c>
      <c r="L30" s="122">
        <f t="shared" si="5"/>
        <v>13059666.01</v>
      </c>
      <c r="M30" s="116">
        <f t="shared" si="6"/>
        <v>6498490.0099999998</v>
      </c>
      <c r="N30" s="123">
        <f t="shared" si="7"/>
        <v>578.51776106115904</v>
      </c>
      <c r="O30" s="5"/>
      <c r="P30" s="5">
        <f t="shared" si="3"/>
        <v>1</v>
      </c>
      <c r="Q30" s="7">
        <f t="shared" si="4"/>
        <v>11233</v>
      </c>
    </row>
    <row r="31" spans="1:21">
      <c r="A31" s="23" t="s">
        <v>530</v>
      </c>
      <c r="B31" s="35" t="s">
        <v>33</v>
      </c>
      <c r="C31" s="36">
        <v>3867</v>
      </c>
      <c r="D31" s="113">
        <v>399577845</v>
      </c>
      <c r="E31" s="116">
        <f t="shared" si="8"/>
        <v>103330.19006982156</v>
      </c>
      <c r="F31" s="117">
        <v>282198155</v>
      </c>
      <c r="G31" s="117">
        <f t="shared" si="9"/>
        <v>72975.990431859318</v>
      </c>
      <c r="H31" s="9"/>
      <c r="I31" s="109">
        <v>1</v>
      </c>
      <c r="J31" s="117">
        <v>282198</v>
      </c>
      <c r="K31" s="120">
        <f t="shared" si="10"/>
        <v>72.975950349107833</v>
      </c>
      <c r="L31" s="122">
        <f t="shared" si="5"/>
        <v>2821981.5500000003</v>
      </c>
      <c r="M31" s="116">
        <f t="shared" si="6"/>
        <v>2539783.5500000003</v>
      </c>
      <c r="N31" s="123">
        <f t="shared" si="7"/>
        <v>656.78395396948542</v>
      </c>
      <c r="O31" s="5"/>
      <c r="P31" s="5">
        <f t="shared" si="3"/>
        <v>1</v>
      </c>
      <c r="Q31" s="7">
        <f t="shared" si="4"/>
        <v>3867</v>
      </c>
    </row>
    <row r="32" spans="1:21">
      <c r="A32" s="23" t="s">
        <v>36</v>
      </c>
      <c r="B32" s="35" t="s">
        <v>33</v>
      </c>
      <c r="C32" s="36">
        <v>2731</v>
      </c>
      <c r="D32" s="113">
        <v>356545090</v>
      </c>
      <c r="E32" s="116">
        <f t="shared" si="8"/>
        <v>130554.77480776272</v>
      </c>
      <c r="F32" s="117">
        <v>268512323</v>
      </c>
      <c r="G32" s="117">
        <f t="shared" si="9"/>
        <v>98320.147564994506</v>
      </c>
      <c r="H32" s="7"/>
      <c r="I32" s="109">
        <v>6.7804000000000002</v>
      </c>
      <c r="J32" s="117">
        <v>1820621</v>
      </c>
      <c r="K32" s="120">
        <f t="shared" si="10"/>
        <v>666.64994507506412</v>
      </c>
      <c r="L32" s="122">
        <f t="shared" si="5"/>
        <v>2685123.23</v>
      </c>
      <c r="M32" s="116">
        <f t="shared" si="6"/>
        <v>864502.23</v>
      </c>
      <c r="N32" s="123">
        <f t="shared" si="7"/>
        <v>316.55153057488099</v>
      </c>
      <c r="O32" s="5"/>
      <c r="P32" s="5">
        <f t="shared" si="3"/>
        <v>1</v>
      </c>
      <c r="Q32" s="7">
        <f t="shared" si="4"/>
        <v>2731</v>
      </c>
    </row>
    <row r="33" spans="1:21">
      <c r="A33" s="23" t="s">
        <v>37</v>
      </c>
      <c r="B33" s="35" t="s">
        <v>33</v>
      </c>
      <c r="C33" s="36">
        <v>8272</v>
      </c>
      <c r="D33" s="113">
        <v>798805403</v>
      </c>
      <c r="E33" s="116">
        <f t="shared" si="8"/>
        <v>96567.384308510635</v>
      </c>
      <c r="F33" s="117">
        <v>619860903</v>
      </c>
      <c r="G33" s="117">
        <f t="shared" si="9"/>
        <v>74934.828699226302</v>
      </c>
      <c r="H33" s="7"/>
      <c r="I33" s="109">
        <v>5.95</v>
      </c>
      <c r="J33" s="117">
        <v>3688172</v>
      </c>
      <c r="K33" s="120">
        <f t="shared" si="10"/>
        <v>445.86218568665379</v>
      </c>
      <c r="L33" s="122">
        <f t="shared" si="5"/>
        <v>6198609.0300000003</v>
      </c>
      <c r="M33" s="116">
        <f t="shared" si="6"/>
        <v>2510437.0300000003</v>
      </c>
      <c r="N33" s="123">
        <f t="shared" si="7"/>
        <v>303.48610130560934</v>
      </c>
      <c r="O33" s="5"/>
      <c r="P33" s="5">
        <f t="shared" si="3"/>
        <v>1</v>
      </c>
      <c r="Q33" s="7">
        <f t="shared" si="4"/>
        <v>8272</v>
      </c>
    </row>
    <row r="34" spans="1:21">
      <c r="A34" s="23" t="s">
        <v>38</v>
      </c>
      <c r="B34" s="35" t="s">
        <v>33</v>
      </c>
      <c r="C34" s="36">
        <v>2750</v>
      </c>
      <c r="D34" s="113">
        <v>245164616</v>
      </c>
      <c r="E34" s="116">
        <f t="shared" si="8"/>
        <v>89150.769454545458</v>
      </c>
      <c r="F34" s="117">
        <v>176345168</v>
      </c>
      <c r="G34" s="117">
        <f t="shared" si="9"/>
        <v>64125.515636363634</v>
      </c>
      <c r="H34" s="7"/>
      <c r="I34" s="109">
        <v>1.663</v>
      </c>
      <c r="J34" s="117">
        <v>293262</v>
      </c>
      <c r="K34" s="120">
        <f t="shared" si="10"/>
        <v>106.64072727272728</v>
      </c>
      <c r="L34" s="122">
        <f t="shared" si="5"/>
        <v>1763451.68</v>
      </c>
      <c r="M34" s="116">
        <f t="shared" si="6"/>
        <v>1470189.68</v>
      </c>
      <c r="N34" s="123">
        <f t="shared" si="7"/>
        <v>534.61442909090908</v>
      </c>
      <c r="O34" s="5"/>
      <c r="P34" s="5">
        <f t="shared" si="3"/>
        <v>1</v>
      </c>
      <c r="Q34" s="7">
        <f t="shared" si="4"/>
        <v>2750</v>
      </c>
    </row>
    <row r="35" spans="1:21">
      <c r="A35" s="23" t="s">
        <v>39</v>
      </c>
      <c r="B35" s="35" t="s">
        <v>33</v>
      </c>
      <c r="C35" s="36">
        <v>76491</v>
      </c>
      <c r="D35" s="113">
        <v>5050776386</v>
      </c>
      <c r="E35" s="116">
        <f t="shared" si="8"/>
        <v>66030.989083683045</v>
      </c>
      <c r="F35" s="117">
        <v>3262489698</v>
      </c>
      <c r="G35" s="117">
        <f t="shared" si="9"/>
        <v>42651.942032395971</v>
      </c>
      <c r="H35" s="7"/>
      <c r="I35" s="109">
        <v>6.92</v>
      </c>
      <c r="J35" s="117">
        <v>22576429</v>
      </c>
      <c r="K35" s="120">
        <f t="shared" si="10"/>
        <v>295.15144265338404</v>
      </c>
      <c r="L35" s="122">
        <f t="shared" si="5"/>
        <v>32624896.98</v>
      </c>
      <c r="M35" s="116">
        <f t="shared" si="6"/>
        <v>10048467.98</v>
      </c>
      <c r="N35" s="123">
        <f t="shared" si="7"/>
        <v>131.36797767057564</v>
      </c>
      <c r="O35" s="5"/>
      <c r="P35" s="5">
        <f t="shared" si="3"/>
        <v>1</v>
      </c>
      <c r="Q35" s="7">
        <f t="shared" si="4"/>
        <v>76491</v>
      </c>
    </row>
    <row r="36" spans="1:21">
      <c r="A36" s="23" t="s">
        <v>40</v>
      </c>
      <c r="B36" s="35" t="s">
        <v>33</v>
      </c>
      <c r="C36" s="36">
        <v>3105</v>
      </c>
      <c r="D36" s="113">
        <v>389640398</v>
      </c>
      <c r="E36" s="116">
        <f t="shared" si="8"/>
        <v>125488.05088566827</v>
      </c>
      <c r="F36" s="117">
        <v>274894975</v>
      </c>
      <c r="G36" s="117">
        <f t="shared" si="9"/>
        <v>88533.003220611921</v>
      </c>
      <c r="H36" s="7"/>
      <c r="I36" s="109">
        <v>3.9855999999999998</v>
      </c>
      <c r="J36" s="117">
        <v>1095621</v>
      </c>
      <c r="K36" s="120">
        <f t="shared" si="10"/>
        <v>352.8570048309179</v>
      </c>
      <c r="L36" s="122">
        <f t="shared" si="5"/>
        <v>2748949.75</v>
      </c>
      <c r="M36" s="116">
        <f t="shared" si="6"/>
        <v>1653328.75</v>
      </c>
      <c r="N36" s="123">
        <f t="shared" si="7"/>
        <v>532.47302737520124</v>
      </c>
      <c r="O36" s="5"/>
      <c r="P36" s="5">
        <f t="shared" si="3"/>
        <v>1</v>
      </c>
      <c r="Q36" s="7">
        <f t="shared" si="4"/>
        <v>3105</v>
      </c>
    </row>
    <row r="37" spans="1:21">
      <c r="A37" s="23" t="s">
        <v>41</v>
      </c>
      <c r="B37" s="35" t="s">
        <v>33</v>
      </c>
      <c r="C37" s="36">
        <v>662</v>
      </c>
      <c r="D37" s="113">
        <v>50764383</v>
      </c>
      <c r="E37" s="116">
        <f t="shared" si="8"/>
        <v>76683.358006042297</v>
      </c>
      <c r="F37" s="117">
        <v>35484238</v>
      </c>
      <c r="G37" s="117">
        <f t="shared" si="9"/>
        <v>53601.567975830818</v>
      </c>
      <c r="H37" s="7"/>
      <c r="I37" s="109">
        <v>8.1019000000000005</v>
      </c>
      <c r="J37" s="117">
        <v>287490</v>
      </c>
      <c r="K37" s="120">
        <f t="shared" si="10"/>
        <v>434.27492447129907</v>
      </c>
      <c r="L37" s="122">
        <f t="shared" si="5"/>
        <v>354842.38</v>
      </c>
      <c r="M37" s="116">
        <f t="shared" si="6"/>
        <v>67352.38</v>
      </c>
      <c r="N37" s="123">
        <f t="shared" si="7"/>
        <v>101.74075528700907</v>
      </c>
      <c r="O37" s="5"/>
      <c r="P37" s="5">
        <f t="shared" si="3"/>
        <v>1</v>
      </c>
      <c r="Q37" s="7">
        <f t="shared" si="4"/>
        <v>662</v>
      </c>
    </row>
    <row r="38" spans="1:21">
      <c r="A38" s="23" t="s">
        <v>42</v>
      </c>
      <c r="B38" s="35" t="s">
        <v>33</v>
      </c>
      <c r="C38" s="36">
        <v>103504</v>
      </c>
      <c r="D38" s="113">
        <v>4152221167</v>
      </c>
      <c r="E38" s="116">
        <f t="shared" si="8"/>
        <v>40116.528510975419</v>
      </c>
      <c r="F38" s="117">
        <v>2584979733</v>
      </c>
      <c r="G38" s="117">
        <f t="shared" si="9"/>
        <v>24974.684389009119</v>
      </c>
      <c r="H38" s="7"/>
      <c r="I38" s="109">
        <v>9</v>
      </c>
      <c r="J38" s="117">
        <v>23264818</v>
      </c>
      <c r="K38" s="120">
        <f t="shared" si="10"/>
        <v>224.77216339465141</v>
      </c>
      <c r="L38" s="122">
        <f t="shared" si="5"/>
        <v>25849797.330000002</v>
      </c>
      <c r="M38" s="116">
        <f t="shared" si="6"/>
        <v>2584979.3300000019</v>
      </c>
      <c r="N38" s="123">
        <f t="shared" si="7"/>
        <v>24.974680495439809</v>
      </c>
      <c r="O38" s="5"/>
      <c r="P38" s="5">
        <f t="shared" si="3"/>
        <v>1</v>
      </c>
      <c r="Q38" s="7">
        <f t="shared" si="4"/>
        <v>103504</v>
      </c>
    </row>
    <row r="39" spans="1:21">
      <c r="A39" s="23" t="s">
        <v>43</v>
      </c>
      <c r="B39" s="35" t="s">
        <v>33</v>
      </c>
      <c r="C39" s="36">
        <v>876</v>
      </c>
      <c r="D39" s="114" t="s">
        <v>564</v>
      </c>
      <c r="E39" s="116"/>
      <c r="F39" s="117"/>
      <c r="G39" s="117"/>
      <c r="H39" s="9" t="s">
        <v>528</v>
      </c>
      <c r="I39" s="109"/>
      <c r="J39" s="117"/>
      <c r="K39" s="120"/>
      <c r="L39" s="122">
        <f t="shared" si="5"/>
        <v>0</v>
      </c>
      <c r="M39" s="116">
        <f t="shared" si="6"/>
        <v>0</v>
      </c>
      <c r="N39" s="123">
        <f t="shared" si="7"/>
        <v>0</v>
      </c>
      <c r="O39" s="5"/>
      <c r="P39" s="5">
        <f t="shared" si="3"/>
        <v>0</v>
      </c>
      <c r="Q39" s="7">
        <f t="shared" si="4"/>
        <v>0</v>
      </c>
    </row>
    <row r="40" spans="1:21">
      <c r="A40" s="23" t="s">
        <v>44</v>
      </c>
      <c r="B40" s="35" t="s">
        <v>33</v>
      </c>
      <c r="C40" s="36">
        <v>25026</v>
      </c>
      <c r="D40" s="113">
        <v>1594721438</v>
      </c>
      <c r="E40" s="116">
        <f t="shared" ref="E40:E57" si="11">(D40/C40)</f>
        <v>63722.586030528248</v>
      </c>
      <c r="F40" s="117">
        <v>1020672082</v>
      </c>
      <c r="G40" s="117">
        <f t="shared" ref="G40:G57" si="12">(F40/C40)</f>
        <v>40784.467433868776</v>
      </c>
      <c r="H40" s="7"/>
      <c r="I40" s="109">
        <v>6.25</v>
      </c>
      <c r="J40" s="117">
        <v>6379201</v>
      </c>
      <c r="K40" s="120">
        <f t="shared" ref="K40:K74" si="13">(J40/C40)</f>
        <v>254.90294094142092</v>
      </c>
      <c r="L40" s="122">
        <f t="shared" si="5"/>
        <v>10206720.82</v>
      </c>
      <c r="M40" s="116">
        <f t="shared" si="6"/>
        <v>3827519.8200000003</v>
      </c>
      <c r="N40" s="123">
        <f t="shared" si="7"/>
        <v>152.94173339726686</v>
      </c>
      <c r="O40" s="5"/>
      <c r="P40" s="5">
        <f t="shared" si="3"/>
        <v>1</v>
      </c>
      <c r="Q40" s="7">
        <f t="shared" si="4"/>
        <v>25026</v>
      </c>
    </row>
    <row r="41" spans="1:21">
      <c r="A41" s="23" t="s">
        <v>45</v>
      </c>
      <c r="B41" s="35" t="s">
        <v>33</v>
      </c>
      <c r="C41" s="36">
        <v>10166</v>
      </c>
      <c r="D41" s="113">
        <v>855315100</v>
      </c>
      <c r="E41" s="116">
        <f t="shared" si="11"/>
        <v>84134.87113909109</v>
      </c>
      <c r="F41" s="117">
        <v>593792397</v>
      </c>
      <c r="G41" s="117">
        <f t="shared" si="12"/>
        <v>58409.639681290573</v>
      </c>
      <c r="H41" s="7"/>
      <c r="I41" s="109">
        <v>8.5284999999999993</v>
      </c>
      <c r="J41" s="121">
        <v>5064158</v>
      </c>
      <c r="K41" s="120">
        <f t="shared" si="13"/>
        <v>498.14656698799922</v>
      </c>
      <c r="L41" s="122">
        <f t="shared" si="5"/>
        <v>5937923.9699999997</v>
      </c>
      <c r="M41" s="116">
        <f t="shared" si="6"/>
        <v>873765.96999999974</v>
      </c>
      <c r="N41" s="123">
        <f t="shared" si="7"/>
        <v>85.94982982490653</v>
      </c>
      <c r="O41" s="5"/>
      <c r="P41" s="5">
        <f t="shared" si="3"/>
        <v>1</v>
      </c>
      <c r="Q41" s="7">
        <f t="shared" si="4"/>
        <v>10166</v>
      </c>
    </row>
    <row r="42" spans="1:21">
      <c r="A42" s="23" t="s">
        <v>46</v>
      </c>
      <c r="B42" s="35" t="s">
        <v>33</v>
      </c>
      <c r="C42" s="36">
        <v>43852</v>
      </c>
      <c r="D42" s="113">
        <v>2201136018</v>
      </c>
      <c r="E42" s="116">
        <f t="shared" si="11"/>
        <v>50194.6551582596</v>
      </c>
      <c r="F42" s="117">
        <v>1327364447</v>
      </c>
      <c r="G42" s="117">
        <f t="shared" si="12"/>
        <v>30269.188338046155</v>
      </c>
      <c r="H42" s="7"/>
      <c r="I42" s="109">
        <v>7</v>
      </c>
      <c r="J42" s="117">
        <v>9291551</v>
      </c>
      <c r="K42" s="120">
        <f t="shared" si="13"/>
        <v>211.88431542461007</v>
      </c>
      <c r="L42" s="122">
        <f t="shared" si="5"/>
        <v>13273644.470000001</v>
      </c>
      <c r="M42" s="116">
        <f t="shared" si="6"/>
        <v>3982093.4700000007</v>
      </c>
      <c r="N42" s="123">
        <f t="shared" si="7"/>
        <v>90.807567955851511</v>
      </c>
      <c r="O42" s="5"/>
      <c r="P42" s="5">
        <f t="shared" si="3"/>
        <v>1</v>
      </c>
      <c r="Q42" s="7">
        <f t="shared" si="4"/>
        <v>43852</v>
      </c>
    </row>
    <row r="43" spans="1:21">
      <c r="A43" s="23" t="s">
        <v>47</v>
      </c>
      <c r="B43" s="35" t="s">
        <v>33</v>
      </c>
      <c r="C43" s="36">
        <v>18712</v>
      </c>
      <c r="D43" s="113">
        <v>1240400921</v>
      </c>
      <c r="E43" s="116">
        <f t="shared" si="11"/>
        <v>66289.061618212916</v>
      </c>
      <c r="F43" s="117">
        <v>887442075</v>
      </c>
      <c r="G43" s="117">
        <f t="shared" si="12"/>
        <v>47426.361425823001</v>
      </c>
      <c r="H43" s="98"/>
      <c r="I43" s="109">
        <v>2.2974999999999999</v>
      </c>
      <c r="J43" s="117">
        <v>2038898</v>
      </c>
      <c r="K43" s="120">
        <f t="shared" si="13"/>
        <v>108.96205643437366</v>
      </c>
      <c r="L43" s="122">
        <f t="shared" si="5"/>
        <v>8874420.75</v>
      </c>
      <c r="M43" s="116">
        <f t="shared" si="6"/>
        <v>6835522.75</v>
      </c>
      <c r="N43" s="123">
        <f t="shared" si="7"/>
        <v>365.30155782385634</v>
      </c>
      <c r="O43" s="5"/>
      <c r="P43" s="5">
        <f t="shared" si="3"/>
        <v>1</v>
      </c>
      <c r="Q43" s="7">
        <f t="shared" si="4"/>
        <v>18712</v>
      </c>
      <c r="S43" s="124">
        <f>SUM(D28:D43)</f>
        <v>21247935867</v>
      </c>
      <c r="T43" s="124">
        <f>SUM(F28:F43)</f>
        <v>14260182897</v>
      </c>
      <c r="U43" s="124">
        <f>SUM(J28:J43)</f>
        <v>90446449</v>
      </c>
    </row>
    <row r="44" spans="1:21">
      <c r="A44" s="23" t="s">
        <v>48</v>
      </c>
      <c r="B44" s="35" t="s">
        <v>49</v>
      </c>
      <c r="C44" s="36">
        <v>53155</v>
      </c>
      <c r="D44" s="113">
        <v>4073135555</v>
      </c>
      <c r="E44" s="116">
        <f t="shared" si="11"/>
        <v>76627.514909227728</v>
      </c>
      <c r="F44" s="117">
        <v>2613563717</v>
      </c>
      <c r="G44" s="117">
        <f t="shared" si="12"/>
        <v>49168.727626751948</v>
      </c>
      <c r="H44" s="98"/>
      <c r="I44" s="110">
        <v>6.3856999999999999</v>
      </c>
      <c r="J44" s="117">
        <v>16689434</v>
      </c>
      <c r="K44" s="120">
        <f t="shared" si="13"/>
        <v>313.97674724861253</v>
      </c>
      <c r="L44" s="122">
        <f t="shared" si="5"/>
        <v>26135637.170000002</v>
      </c>
      <c r="M44" s="116">
        <f t="shared" si="6"/>
        <v>9446203.1700000018</v>
      </c>
      <c r="N44" s="123">
        <f t="shared" si="7"/>
        <v>177.71052901890701</v>
      </c>
      <c r="O44" s="5"/>
      <c r="P44" s="5">
        <f t="shared" si="3"/>
        <v>1</v>
      </c>
      <c r="Q44" s="7">
        <f t="shared" si="4"/>
        <v>53155</v>
      </c>
    </row>
    <row r="45" spans="1:21">
      <c r="A45" s="23" t="s">
        <v>50</v>
      </c>
      <c r="B45" s="35" t="s">
        <v>49</v>
      </c>
      <c r="C45" s="36">
        <v>29159</v>
      </c>
      <c r="D45" s="113">
        <v>2974840679</v>
      </c>
      <c r="E45" s="116">
        <f t="shared" si="11"/>
        <v>102021.35460749683</v>
      </c>
      <c r="F45" s="117">
        <v>1898033961</v>
      </c>
      <c r="G45" s="117">
        <f t="shared" si="12"/>
        <v>65092.560135807129</v>
      </c>
      <c r="H45" s="98"/>
      <c r="I45" s="109">
        <v>5.0526</v>
      </c>
      <c r="J45" s="117">
        <v>9590006</v>
      </c>
      <c r="K45" s="120">
        <f t="shared" si="13"/>
        <v>328.88665592098494</v>
      </c>
      <c r="L45" s="122">
        <f t="shared" si="5"/>
        <v>18980339.609999999</v>
      </c>
      <c r="M45" s="116">
        <f t="shared" si="6"/>
        <v>9390333.6099999994</v>
      </c>
      <c r="N45" s="123">
        <f t="shared" si="7"/>
        <v>322.03894543708628</v>
      </c>
      <c r="O45" s="5"/>
      <c r="P45" s="5">
        <f t="shared" si="3"/>
        <v>1</v>
      </c>
      <c r="Q45" s="7">
        <f t="shared" si="4"/>
        <v>29159</v>
      </c>
    </row>
    <row r="46" spans="1:21">
      <c r="A46" s="23" t="s">
        <v>51</v>
      </c>
      <c r="B46" s="35" t="s">
        <v>49</v>
      </c>
      <c r="C46" s="36">
        <v>121651</v>
      </c>
      <c r="D46" s="113">
        <v>10280190410</v>
      </c>
      <c r="E46" s="116">
        <f t="shared" si="11"/>
        <v>84505.597241288604</v>
      </c>
      <c r="F46" s="117">
        <v>7372310434</v>
      </c>
      <c r="G46" s="117">
        <f t="shared" si="12"/>
        <v>60602.135896951113</v>
      </c>
      <c r="H46" s="98"/>
      <c r="I46" s="109">
        <v>4.3939000000000004</v>
      </c>
      <c r="J46" s="117">
        <v>32393195</v>
      </c>
      <c r="K46" s="120">
        <f t="shared" si="13"/>
        <v>266.27972643052669</v>
      </c>
      <c r="L46" s="122">
        <f t="shared" si="5"/>
        <v>73723104.340000004</v>
      </c>
      <c r="M46" s="116">
        <f t="shared" si="6"/>
        <v>41329909.340000004</v>
      </c>
      <c r="N46" s="123">
        <f t="shared" si="7"/>
        <v>339.7416325389845</v>
      </c>
      <c r="O46" s="5"/>
      <c r="P46" s="5">
        <f t="shared" si="3"/>
        <v>1</v>
      </c>
      <c r="Q46" s="7">
        <f t="shared" si="4"/>
        <v>121651</v>
      </c>
    </row>
    <row r="47" spans="1:21">
      <c r="A47" s="23" t="s">
        <v>464</v>
      </c>
      <c r="B47" s="35" t="s">
        <v>49</v>
      </c>
      <c r="C47" s="36">
        <v>29596</v>
      </c>
      <c r="D47" s="113">
        <v>3353094955</v>
      </c>
      <c r="E47" s="116">
        <f t="shared" si="11"/>
        <v>113295.54517502365</v>
      </c>
      <c r="F47" s="117">
        <v>2586183589</v>
      </c>
      <c r="G47" s="117">
        <f t="shared" si="12"/>
        <v>87382.875692661168</v>
      </c>
      <c r="H47" s="98"/>
      <c r="I47" s="109">
        <v>5.9997999999999996</v>
      </c>
      <c r="J47" s="117">
        <v>15516584</v>
      </c>
      <c r="K47" s="120">
        <f t="shared" si="13"/>
        <v>524.27976753615349</v>
      </c>
      <c r="L47" s="122">
        <f t="shared" si="5"/>
        <v>25861835.890000001</v>
      </c>
      <c r="M47" s="116">
        <f t="shared" si="6"/>
        <v>10345251.890000001</v>
      </c>
      <c r="N47" s="123">
        <f t="shared" si="7"/>
        <v>349.54898939045819</v>
      </c>
      <c r="O47" s="5"/>
      <c r="P47" s="5">
        <f t="shared" si="3"/>
        <v>1</v>
      </c>
      <c r="Q47" s="7">
        <f t="shared" si="4"/>
        <v>29596</v>
      </c>
    </row>
    <row r="48" spans="1:21">
      <c r="A48" s="23" t="s">
        <v>52</v>
      </c>
      <c r="B48" s="35" t="s">
        <v>49</v>
      </c>
      <c r="C48" s="36">
        <v>92151</v>
      </c>
      <c r="D48" s="113">
        <v>9979210203</v>
      </c>
      <c r="E48" s="116">
        <f t="shared" si="11"/>
        <v>108291.93609401959</v>
      </c>
      <c r="F48" s="117">
        <v>6517349146</v>
      </c>
      <c r="G48" s="117">
        <f t="shared" si="12"/>
        <v>70724.670877147291</v>
      </c>
      <c r="H48" s="98"/>
      <c r="I48" s="110">
        <v>4.8121999999999998</v>
      </c>
      <c r="J48" s="117">
        <v>31362788</v>
      </c>
      <c r="K48" s="120">
        <f t="shared" si="13"/>
        <v>340.34126596564334</v>
      </c>
      <c r="L48" s="122">
        <f t="shared" si="5"/>
        <v>65173491.460000001</v>
      </c>
      <c r="M48" s="116">
        <f t="shared" si="6"/>
        <v>33810703.460000001</v>
      </c>
      <c r="N48" s="123">
        <f t="shared" si="7"/>
        <v>366.90544280582958</v>
      </c>
      <c r="O48" s="5"/>
      <c r="P48" s="5">
        <f t="shared" si="3"/>
        <v>1</v>
      </c>
      <c r="Q48" s="7">
        <f t="shared" si="4"/>
        <v>92151</v>
      </c>
    </row>
    <row r="49" spans="1:17">
      <c r="A49" s="23" t="s">
        <v>53</v>
      </c>
      <c r="B49" s="35" t="s">
        <v>49</v>
      </c>
      <c r="C49" s="36">
        <v>75125</v>
      </c>
      <c r="D49" s="113">
        <v>6478426193</v>
      </c>
      <c r="E49" s="116">
        <f t="shared" si="11"/>
        <v>86235.290422628954</v>
      </c>
      <c r="F49" s="117">
        <v>4842076071</v>
      </c>
      <c r="G49" s="117">
        <f t="shared" si="12"/>
        <v>64453.591627287853</v>
      </c>
      <c r="H49" s="98"/>
      <c r="I49" s="109">
        <v>5.1864999999999997</v>
      </c>
      <c r="J49" s="117">
        <v>25113428</v>
      </c>
      <c r="K49" s="120">
        <f t="shared" si="13"/>
        <v>334.28855906821963</v>
      </c>
      <c r="L49" s="122">
        <f t="shared" si="5"/>
        <v>48420760.710000001</v>
      </c>
      <c r="M49" s="116">
        <f t="shared" si="6"/>
        <v>23307332.710000001</v>
      </c>
      <c r="N49" s="123">
        <f t="shared" si="7"/>
        <v>310.2473572046589</v>
      </c>
      <c r="O49" s="5"/>
      <c r="P49" s="5">
        <f t="shared" si="3"/>
        <v>1</v>
      </c>
      <c r="Q49" s="7">
        <f t="shared" si="4"/>
        <v>75125</v>
      </c>
    </row>
    <row r="50" spans="1:17">
      <c r="A50" s="23" t="s">
        <v>54</v>
      </c>
      <c r="B50" s="35" t="s">
        <v>49</v>
      </c>
      <c r="C50" s="36">
        <v>166205</v>
      </c>
      <c r="D50" s="113">
        <v>31739624582</v>
      </c>
      <c r="E50" s="116">
        <f t="shared" si="11"/>
        <v>190966.72532113956</v>
      </c>
      <c r="F50" s="117">
        <v>23490641321</v>
      </c>
      <c r="G50" s="117">
        <f t="shared" si="12"/>
        <v>141335.34683673776</v>
      </c>
      <c r="H50" s="98"/>
      <c r="I50" s="109">
        <v>4.1193</v>
      </c>
      <c r="J50" s="117">
        <v>96764999</v>
      </c>
      <c r="K50" s="120">
        <f t="shared" si="13"/>
        <v>582.20269546644204</v>
      </c>
      <c r="L50" s="122">
        <f t="shared" si="5"/>
        <v>234906413.21000001</v>
      </c>
      <c r="M50" s="116">
        <f t="shared" si="6"/>
        <v>138141414.21000001</v>
      </c>
      <c r="N50" s="123">
        <f t="shared" si="7"/>
        <v>831.15077290093564</v>
      </c>
      <c r="O50" s="5"/>
      <c r="P50" s="5">
        <f t="shared" si="3"/>
        <v>1</v>
      </c>
      <c r="Q50" s="7">
        <f t="shared" si="4"/>
        <v>166205</v>
      </c>
    </row>
    <row r="51" spans="1:17">
      <c r="A51" s="23" t="s">
        <v>465</v>
      </c>
      <c r="B51" s="35" t="s">
        <v>49</v>
      </c>
      <c r="C51" s="36">
        <v>37229</v>
      </c>
      <c r="D51" s="113">
        <v>4350759278</v>
      </c>
      <c r="E51" s="116">
        <f t="shared" si="11"/>
        <v>116864.79029788605</v>
      </c>
      <c r="F51" s="117">
        <v>3533541732</v>
      </c>
      <c r="G51" s="117">
        <f t="shared" si="12"/>
        <v>94913.689113325629</v>
      </c>
      <c r="H51" s="98"/>
      <c r="I51" s="109">
        <v>5.9</v>
      </c>
      <c r="J51" s="117">
        <v>20847896</v>
      </c>
      <c r="K51" s="120">
        <f t="shared" si="13"/>
        <v>559.99075989148241</v>
      </c>
      <c r="L51" s="122">
        <f t="shared" si="5"/>
        <v>35335417.32</v>
      </c>
      <c r="M51" s="116">
        <f t="shared" si="6"/>
        <v>14487521.32</v>
      </c>
      <c r="N51" s="123">
        <f t="shared" si="7"/>
        <v>389.1461312417739</v>
      </c>
      <c r="O51" s="5"/>
      <c r="P51" s="5">
        <f t="shared" si="3"/>
        <v>1</v>
      </c>
      <c r="Q51" s="7">
        <f t="shared" si="4"/>
        <v>37229</v>
      </c>
    </row>
    <row r="52" spans="1:17">
      <c r="A52" s="23" t="s">
        <v>55</v>
      </c>
      <c r="B52" s="35" t="s">
        <v>49</v>
      </c>
      <c r="C52" s="36">
        <v>1875</v>
      </c>
      <c r="D52" s="113">
        <v>1089179837</v>
      </c>
      <c r="E52" s="116">
        <f t="shared" si="11"/>
        <v>580895.91306666669</v>
      </c>
      <c r="F52" s="117">
        <v>957712176</v>
      </c>
      <c r="G52" s="117">
        <f t="shared" si="12"/>
        <v>510779.8272</v>
      </c>
      <c r="H52" s="98"/>
      <c r="I52" s="109">
        <v>3.39</v>
      </c>
      <c r="J52" s="117">
        <v>3246644</v>
      </c>
      <c r="K52" s="120">
        <f t="shared" si="13"/>
        <v>1731.5434666666667</v>
      </c>
      <c r="L52" s="122">
        <f t="shared" si="5"/>
        <v>9577121.7599999998</v>
      </c>
      <c r="M52" s="116">
        <f t="shared" si="6"/>
        <v>6330477.7599999998</v>
      </c>
      <c r="N52" s="123">
        <f t="shared" si="7"/>
        <v>3376.254805333333</v>
      </c>
      <c r="O52" s="5"/>
      <c r="P52" s="5">
        <f t="shared" si="3"/>
        <v>1</v>
      </c>
      <c r="Q52" s="7">
        <f t="shared" si="4"/>
        <v>1875</v>
      </c>
    </row>
    <row r="53" spans="1:17">
      <c r="A53" s="23" t="s">
        <v>56</v>
      </c>
      <c r="B53" s="35" t="s">
        <v>49</v>
      </c>
      <c r="C53" s="36">
        <v>140930</v>
      </c>
      <c r="D53" s="113">
        <v>14540894646</v>
      </c>
      <c r="E53" s="116">
        <f t="shared" si="11"/>
        <v>103178.13557085078</v>
      </c>
      <c r="F53" s="117">
        <v>10106959495</v>
      </c>
      <c r="G53" s="117">
        <f t="shared" si="12"/>
        <v>71716.167565458032</v>
      </c>
      <c r="H53" s="98"/>
      <c r="I53" s="109">
        <v>7.4478999999999997</v>
      </c>
      <c r="J53" s="117">
        <v>75275624</v>
      </c>
      <c r="K53" s="120">
        <f t="shared" si="13"/>
        <v>534.13484708720637</v>
      </c>
      <c r="L53" s="122">
        <f t="shared" si="5"/>
        <v>101069594.95</v>
      </c>
      <c r="M53" s="116">
        <f t="shared" si="6"/>
        <v>25793970.950000003</v>
      </c>
      <c r="N53" s="123">
        <f t="shared" si="7"/>
        <v>183.02682856737388</v>
      </c>
      <c r="O53" s="5"/>
      <c r="P53" s="5">
        <f t="shared" si="3"/>
        <v>1</v>
      </c>
      <c r="Q53" s="7">
        <f t="shared" si="4"/>
        <v>140930</v>
      </c>
    </row>
    <row r="54" spans="1:17">
      <c r="A54" s="23" t="s">
        <v>57</v>
      </c>
      <c r="B54" s="35" t="s">
        <v>49</v>
      </c>
      <c r="C54" s="36">
        <v>32766</v>
      </c>
      <c r="D54" s="113">
        <v>1321450651</v>
      </c>
      <c r="E54" s="116">
        <f t="shared" si="11"/>
        <v>40329.93502411036</v>
      </c>
      <c r="F54" s="117">
        <v>799456060</v>
      </c>
      <c r="G54" s="117">
        <f t="shared" si="12"/>
        <v>24398.95196240005</v>
      </c>
      <c r="H54" s="98"/>
      <c r="I54" s="109">
        <v>9.5</v>
      </c>
      <c r="J54" s="117">
        <v>7594833</v>
      </c>
      <c r="K54" s="120">
        <f t="shared" si="13"/>
        <v>231.79005676616003</v>
      </c>
      <c r="L54" s="122">
        <f t="shared" si="5"/>
        <v>7994560.6000000006</v>
      </c>
      <c r="M54" s="116">
        <f t="shared" si="6"/>
        <v>399727.60000000056</v>
      </c>
      <c r="N54" s="123">
        <f t="shared" si="7"/>
        <v>12.199462857840462</v>
      </c>
      <c r="O54" s="5"/>
      <c r="P54" s="5">
        <f t="shared" si="3"/>
        <v>1</v>
      </c>
      <c r="Q54" s="7">
        <f t="shared" si="4"/>
        <v>32766</v>
      </c>
    </row>
    <row r="55" spans="1:17">
      <c r="A55" s="23" t="s">
        <v>560</v>
      </c>
      <c r="B55" s="35" t="s">
        <v>49</v>
      </c>
      <c r="C55" s="36">
        <v>6074</v>
      </c>
      <c r="D55" s="113">
        <v>2053403794</v>
      </c>
      <c r="E55" s="116">
        <f t="shared" si="11"/>
        <v>338064.50345735921</v>
      </c>
      <c r="F55" s="117">
        <v>1730928559</v>
      </c>
      <c r="G55" s="117">
        <f t="shared" si="12"/>
        <v>284973.42097464605</v>
      </c>
      <c r="H55" s="98"/>
      <c r="I55" s="109">
        <v>3.9990000000000001</v>
      </c>
      <c r="J55" s="117">
        <v>6921983</v>
      </c>
      <c r="K55" s="120">
        <f t="shared" si="13"/>
        <v>1139.6086598617055</v>
      </c>
      <c r="L55" s="122">
        <f t="shared" si="5"/>
        <v>17309285.59</v>
      </c>
      <c r="M55" s="116">
        <f t="shared" si="6"/>
        <v>10387302.59</v>
      </c>
      <c r="N55" s="123">
        <f t="shared" si="7"/>
        <v>1710.1255498847547</v>
      </c>
      <c r="O55" s="5"/>
      <c r="P55" s="5">
        <f t="shared" si="3"/>
        <v>1</v>
      </c>
      <c r="Q55" s="7">
        <f t="shared" si="4"/>
        <v>6074</v>
      </c>
    </row>
    <row r="56" spans="1:17">
      <c r="A56" s="23" t="s">
        <v>58</v>
      </c>
      <c r="B56" s="35" t="s">
        <v>49</v>
      </c>
      <c r="C56" s="36">
        <v>66709</v>
      </c>
      <c r="D56" s="113">
        <v>2728129857</v>
      </c>
      <c r="E56" s="116">
        <f t="shared" si="11"/>
        <v>40895.978908393168</v>
      </c>
      <c r="F56" s="117">
        <v>1761094361</v>
      </c>
      <c r="G56" s="117">
        <f t="shared" si="12"/>
        <v>26399.651636211005</v>
      </c>
      <c r="H56" s="98"/>
      <c r="I56" s="109">
        <v>6.8197999999999999</v>
      </c>
      <c r="J56" s="117">
        <v>12010311</v>
      </c>
      <c r="K56" s="120">
        <f t="shared" si="13"/>
        <v>180.04033938449084</v>
      </c>
      <c r="L56" s="122">
        <f t="shared" si="5"/>
        <v>17610943.609999999</v>
      </c>
      <c r="M56" s="116">
        <f t="shared" si="6"/>
        <v>5600632.6099999994</v>
      </c>
      <c r="N56" s="123">
        <f t="shared" si="7"/>
        <v>83.956176977619208</v>
      </c>
      <c r="O56" s="5"/>
      <c r="P56" s="5">
        <f t="shared" si="3"/>
        <v>1</v>
      </c>
      <c r="Q56" s="7">
        <f t="shared" si="4"/>
        <v>66709</v>
      </c>
    </row>
    <row r="57" spans="1:17">
      <c r="A57" s="23" t="s">
        <v>59</v>
      </c>
      <c r="B57" s="35" t="s">
        <v>49</v>
      </c>
      <c r="C57" s="36">
        <v>24</v>
      </c>
      <c r="D57" s="114">
        <v>7050616</v>
      </c>
      <c r="E57" s="116">
        <f t="shared" si="11"/>
        <v>293775.66666666669</v>
      </c>
      <c r="F57" s="117">
        <v>5539505</v>
      </c>
      <c r="G57" s="117">
        <f t="shared" si="12"/>
        <v>230812.70833333334</v>
      </c>
      <c r="H57" s="98"/>
      <c r="I57" s="109">
        <v>4.9481000000000002</v>
      </c>
      <c r="J57" s="117">
        <v>27410</v>
      </c>
      <c r="K57" s="120">
        <f t="shared" si="13"/>
        <v>1142.0833333333333</v>
      </c>
      <c r="L57" s="122">
        <f t="shared" si="5"/>
        <v>55395.05</v>
      </c>
      <c r="M57" s="116">
        <f t="shared" si="6"/>
        <v>27985.050000000003</v>
      </c>
      <c r="N57" s="123">
        <f t="shared" si="7"/>
        <v>1166.04375</v>
      </c>
      <c r="O57" s="5"/>
      <c r="P57" s="5">
        <f t="shared" si="3"/>
        <v>1</v>
      </c>
      <c r="Q57" s="7">
        <f t="shared" si="4"/>
        <v>24</v>
      </c>
    </row>
    <row r="58" spans="1:17">
      <c r="A58" s="23" t="s">
        <v>60</v>
      </c>
      <c r="B58" s="35" t="s">
        <v>49</v>
      </c>
      <c r="C58" s="36">
        <v>10377</v>
      </c>
      <c r="D58" s="113">
        <v>2088133195</v>
      </c>
      <c r="E58" s="116">
        <f t="shared" ref="E58:E74" si="14">(D58/C58)</f>
        <v>201227.0593620507</v>
      </c>
      <c r="F58" s="117">
        <v>1648795869</v>
      </c>
      <c r="G58" s="117">
        <f t="shared" ref="G58:G74" si="15">(F58/C58)</f>
        <v>158889.45446660885</v>
      </c>
      <c r="H58" s="98"/>
      <c r="I58" s="109">
        <v>3.5893000000000002</v>
      </c>
      <c r="J58" s="117">
        <v>5918023</v>
      </c>
      <c r="K58" s="120">
        <f t="shared" si="13"/>
        <v>570.30191770261149</v>
      </c>
      <c r="L58" s="122">
        <f t="shared" si="5"/>
        <v>16487958.689999999</v>
      </c>
      <c r="M58" s="116">
        <f t="shared" si="6"/>
        <v>10569935.689999999</v>
      </c>
      <c r="N58" s="123">
        <f t="shared" si="7"/>
        <v>1018.5926269634768</v>
      </c>
      <c r="O58" s="5"/>
      <c r="P58" s="5">
        <f t="shared" si="3"/>
        <v>1</v>
      </c>
      <c r="Q58" s="7">
        <f t="shared" si="4"/>
        <v>10377</v>
      </c>
    </row>
    <row r="59" spans="1:17">
      <c r="A59" s="23" t="s">
        <v>61</v>
      </c>
      <c r="B59" s="35" t="s">
        <v>49</v>
      </c>
      <c r="C59" s="36">
        <v>53714</v>
      </c>
      <c r="D59" s="113">
        <v>2924138051</v>
      </c>
      <c r="E59" s="116">
        <f t="shared" si="14"/>
        <v>54439.02988047809</v>
      </c>
      <c r="F59" s="117">
        <v>1988990997</v>
      </c>
      <c r="G59" s="117">
        <f t="shared" si="15"/>
        <v>37029.284674386567</v>
      </c>
      <c r="H59" s="98"/>
      <c r="I59" s="109">
        <v>7.75</v>
      </c>
      <c r="J59" s="117">
        <v>15414680</v>
      </c>
      <c r="K59" s="120">
        <f t="shared" si="13"/>
        <v>286.97695200506388</v>
      </c>
      <c r="L59" s="122">
        <f t="shared" si="5"/>
        <v>19889909.969999999</v>
      </c>
      <c r="M59" s="116">
        <f t="shared" si="6"/>
        <v>4475229.9699999988</v>
      </c>
      <c r="N59" s="123">
        <f t="shared" si="7"/>
        <v>83.315894738801774</v>
      </c>
      <c r="O59" s="5"/>
      <c r="P59" s="5">
        <f t="shared" si="3"/>
        <v>1</v>
      </c>
      <c r="Q59" s="7">
        <f t="shared" si="4"/>
        <v>53714</v>
      </c>
    </row>
    <row r="60" spans="1:17">
      <c r="A60" s="23" t="s">
        <v>62</v>
      </c>
      <c r="B60" s="35" t="s">
        <v>49</v>
      </c>
      <c r="C60" s="36">
        <v>122982</v>
      </c>
      <c r="D60" s="113">
        <v>9119040793</v>
      </c>
      <c r="E60" s="116">
        <f t="shared" si="14"/>
        <v>74149.394163373508</v>
      </c>
      <c r="F60" s="117">
        <v>6579048547</v>
      </c>
      <c r="G60" s="117">
        <f t="shared" si="15"/>
        <v>53496.02825616757</v>
      </c>
      <c r="H60" s="98"/>
      <c r="I60" s="109">
        <v>6.4653999999999998</v>
      </c>
      <c r="J60" s="117">
        <v>42536180</v>
      </c>
      <c r="K60" s="120">
        <f t="shared" si="13"/>
        <v>345.87321721877998</v>
      </c>
      <c r="L60" s="122">
        <f t="shared" si="5"/>
        <v>65790485.469999999</v>
      </c>
      <c r="M60" s="116">
        <f t="shared" si="6"/>
        <v>23254305.469999999</v>
      </c>
      <c r="N60" s="123">
        <f t="shared" si="7"/>
        <v>189.0870653428957</v>
      </c>
      <c r="O60" s="5"/>
      <c r="P60" s="5">
        <f t="shared" si="3"/>
        <v>1</v>
      </c>
      <c r="Q60" s="7">
        <f t="shared" si="4"/>
        <v>122982</v>
      </c>
    </row>
    <row r="61" spans="1:17">
      <c r="A61" s="23" t="s">
        <v>63</v>
      </c>
      <c r="B61" s="35" t="s">
        <v>49</v>
      </c>
      <c r="C61" s="36">
        <v>41248</v>
      </c>
      <c r="D61" s="113">
        <v>1494142620</v>
      </c>
      <c r="E61" s="116">
        <f t="shared" si="14"/>
        <v>36223.395558572534</v>
      </c>
      <c r="F61" s="117">
        <v>953990882</v>
      </c>
      <c r="G61" s="117">
        <f t="shared" si="15"/>
        <v>23128.173050814585</v>
      </c>
      <c r="H61" s="98"/>
      <c r="I61" s="109">
        <v>7.4066000000000001</v>
      </c>
      <c r="J61" s="117">
        <v>7065829</v>
      </c>
      <c r="K61" s="120">
        <f t="shared" si="13"/>
        <v>171.30112975174555</v>
      </c>
      <c r="L61" s="122">
        <f t="shared" si="5"/>
        <v>9539908.8200000003</v>
      </c>
      <c r="M61" s="116">
        <f t="shared" si="6"/>
        <v>2474079.8200000003</v>
      </c>
      <c r="N61" s="123">
        <f t="shared" si="7"/>
        <v>59.980600756400321</v>
      </c>
      <c r="O61" s="5"/>
      <c r="P61" s="5">
        <f t="shared" si="3"/>
        <v>1</v>
      </c>
      <c r="Q61" s="7">
        <f t="shared" si="4"/>
        <v>41248</v>
      </c>
    </row>
    <row r="62" spans="1:17">
      <c r="A62" s="23" t="s">
        <v>64</v>
      </c>
      <c r="B62" s="35" t="s">
        <v>49</v>
      </c>
      <c r="C62" s="36">
        <v>41549</v>
      </c>
      <c r="D62" s="113">
        <v>3057504975</v>
      </c>
      <c r="E62" s="116">
        <f t="shared" si="14"/>
        <v>73587.931719174943</v>
      </c>
      <c r="F62" s="117">
        <v>2122920647</v>
      </c>
      <c r="G62" s="117">
        <f t="shared" si="15"/>
        <v>51094.386074273752</v>
      </c>
      <c r="H62" s="98"/>
      <c r="I62" s="109">
        <v>6.0137999999999998</v>
      </c>
      <c r="J62" s="117">
        <v>12766820</v>
      </c>
      <c r="K62" s="120">
        <f t="shared" si="13"/>
        <v>307.27141447447593</v>
      </c>
      <c r="L62" s="122">
        <f t="shared" si="5"/>
        <v>21229206.469999999</v>
      </c>
      <c r="M62" s="116">
        <f t="shared" si="6"/>
        <v>8462386.4699999988</v>
      </c>
      <c r="N62" s="123">
        <f t="shared" si="7"/>
        <v>203.67244626826155</v>
      </c>
      <c r="O62" s="5"/>
      <c r="P62" s="5">
        <f t="shared" si="3"/>
        <v>1</v>
      </c>
      <c r="Q62" s="7">
        <f t="shared" si="4"/>
        <v>41549</v>
      </c>
    </row>
    <row r="63" spans="1:17">
      <c r="A63" s="23" t="s">
        <v>65</v>
      </c>
      <c r="B63" s="35" t="s">
        <v>49</v>
      </c>
      <c r="C63" s="36">
        <v>24391</v>
      </c>
      <c r="D63" s="113">
        <v>3850976003</v>
      </c>
      <c r="E63" s="116">
        <f t="shared" si="14"/>
        <v>157885.12168422778</v>
      </c>
      <c r="F63" s="117">
        <v>2920976519</v>
      </c>
      <c r="G63" s="117">
        <f t="shared" si="15"/>
        <v>119756.32483293019</v>
      </c>
      <c r="H63" s="98"/>
      <c r="I63" s="109">
        <v>4.0198</v>
      </c>
      <c r="J63" s="117">
        <v>11741741</v>
      </c>
      <c r="K63" s="120">
        <f t="shared" si="13"/>
        <v>481.39645770981099</v>
      </c>
      <c r="L63" s="122">
        <f t="shared" si="5"/>
        <v>29209765.190000001</v>
      </c>
      <c r="M63" s="116">
        <f t="shared" si="6"/>
        <v>17468024.190000001</v>
      </c>
      <c r="N63" s="123">
        <f t="shared" si="7"/>
        <v>716.16679061949083</v>
      </c>
      <c r="O63" s="5"/>
      <c r="P63" s="5">
        <f t="shared" si="3"/>
        <v>1</v>
      </c>
      <c r="Q63" s="7">
        <f t="shared" si="4"/>
        <v>24391</v>
      </c>
    </row>
    <row r="64" spans="1:17">
      <c r="A64" s="23" t="s">
        <v>66</v>
      </c>
      <c r="B64" s="35" t="s">
        <v>49</v>
      </c>
      <c r="C64" s="36">
        <v>6099</v>
      </c>
      <c r="D64" s="113">
        <v>669820268</v>
      </c>
      <c r="E64" s="116">
        <f t="shared" si="14"/>
        <v>109824.60534513855</v>
      </c>
      <c r="F64" s="117">
        <v>547709705</v>
      </c>
      <c r="G64" s="117">
        <f t="shared" si="15"/>
        <v>89803.198065256598</v>
      </c>
      <c r="H64" s="98"/>
      <c r="I64" s="109">
        <v>8.5</v>
      </c>
      <c r="J64" s="117">
        <v>4655532</v>
      </c>
      <c r="K64" s="120">
        <f t="shared" si="13"/>
        <v>763.32710280373828</v>
      </c>
      <c r="L64" s="122">
        <f t="shared" si="5"/>
        <v>5477097.0499999998</v>
      </c>
      <c r="M64" s="116">
        <f t="shared" si="6"/>
        <v>821565.04999999981</v>
      </c>
      <c r="N64" s="123">
        <f t="shared" si="7"/>
        <v>134.70487784882764</v>
      </c>
      <c r="O64" s="5"/>
      <c r="P64" s="5">
        <f t="shared" si="3"/>
        <v>1</v>
      </c>
      <c r="Q64" s="7">
        <f t="shared" si="4"/>
        <v>6099</v>
      </c>
    </row>
    <row r="65" spans="1:21">
      <c r="A65" s="23" t="s">
        <v>67</v>
      </c>
      <c r="B65" s="35" t="s">
        <v>49</v>
      </c>
      <c r="C65" s="36">
        <v>154158</v>
      </c>
      <c r="D65" s="113">
        <v>12672170184</v>
      </c>
      <c r="E65" s="116">
        <f t="shared" si="14"/>
        <v>82202.481765461416</v>
      </c>
      <c r="F65" s="117">
        <v>8454499967</v>
      </c>
      <c r="G65" s="117">
        <f t="shared" si="15"/>
        <v>54843.082856549772</v>
      </c>
      <c r="H65" s="98"/>
      <c r="I65" s="109">
        <v>5.6368</v>
      </c>
      <c r="J65" s="117">
        <v>47656325</v>
      </c>
      <c r="K65" s="120">
        <f t="shared" si="13"/>
        <v>309.13948676033681</v>
      </c>
      <c r="L65" s="122">
        <f t="shared" si="5"/>
        <v>84544999.670000002</v>
      </c>
      <c r="M65" s="116">
        <f t="shared" si="6"/>
        <v>36888674.670000002</v>
      </c>
      <c r="N65" s="123">
        <f t="shared" si="7"/>
        <v>239.29134180516095</v>
      </c>
      <c r="O65" s="5"/>
      <c r="P65" s="5">
        <f t="shared" si="3"/>
        <v>1</v>
      </c>
      <c r="Q65" s="7">
        <f t="shared" si="4"/>
        <v>154158</v>
      </c>
    </row>
    <row r="66" spans="1:21">
      <c r="A66" s="23" t="s">
        <v>68</v>
      </c>
      <c r="B66" s="35" t="s">
        <v>49</v>
      </c>
      <c r="C66" s="36">
        <v>84687</v>
      </c>
      <c r="D66" s="113">
        <v>9164374390</v>
      </c>
      <c r="E66" s="116">
        <f t="shared" si="14"/>
        <v>108214.65384297472</v>
      </c>
      <c r="F66" s="117">
        <v>6649636106</v>
      </c>
      <c r="G66" s="117">
        <f t="shared" si="15"/>
        <v>78520.1519241442</v>
      </c>
      <c r="H66" s="98"/>
      <c r="I66" s="109">
        <v>4.6142000000000003</v>
      </c>
      <c r="J66" s="117">
        <v>30682751</v>
      </c>
      <c r="K66" s="120">
        <f t="shared" si="13"/>
        <v>362.30768594943731</v>
      </c>
      <c r="L66" s="122">
        <f t="shared" si="5"/>
        <v>66496361.060000002</v>
      </c>
      <c r="M66" s="116">
        <f t="shared" si="6"/>
        <v>35813610.060000002</v>
      </c>
      <c r="N66" s="123">
        <f t="shared" si="7"/>
        <v>422.89383329200473</v>
      </c>
      <c r="O66" s="5"/>
      <c r="P66" s="5">
        <f t="shared" si="3"/>
        <v>1</v>
      </c>
      <c r="Q66" s="7">
        <f t="shared" si="4"/>
        <v>84687</v>
      </c>
    </row>
    <row r="67" spans="1:21">
      <c r="A67" s="23" t="s">
        <v>69</v>
      </c>
      <c r="B67" s="35" t="s">
        <v>49</v>
      </c>
      <c r="C67" s="36">
        <v>100319</v>
      </c>
      <c r="D67" s="113">
        <v>11750483741</v>
      </c>
      <c r="E67" s="116">
        <f t="shared" si="14"/>
        <v>117131.18891735365</v>
      </c>
      <c r="F67" s="117">
        <v>8767924735</v>
      </c>
      <c r="G67" s="117">
        <f t="shared" si="15"/>
        <v>87400.439946570434</v>
      </c>
      <c r="H67" s="98"/>
      <c r="I67" s="109">
        <v>4.7027000000000001</v>
      </c>
      <c r="J67" s="117">
        <v>41232920</v>
      </c>
      <c r="K67" s="120">
        <f t="shared" si="13"/>
        <v>411.01805241280317</v>
      </c>
      <c r="L67" s="122">
        <f t="shared" si="5"/>
        <v>87679247.350000009</v>
      </c>
      <c r="M67" s="116">
        <f t="shared" si="6"/>
        <v>46446327.350000009</v>
      </c>
      <c r="N67" s="123">
        <f t="shared" si="7"/>
        <v>462.98634705290135</v>
      </c>
      <c r="O67" s="5"/>
      <c r="P67" s="5">
        <f t="shared" si="3"/>
        <v>1</v>
      </c>
      <c r="Q67" s="7">
        <f t="shared" si="4"/>
        <v>100319</v>
      </c>
    </row>
    <row r="68" spans="1:21">
      <c r="A68" s="23" t="s">
        <v>70</v>
      </c>
      <c r="B68" s="35" t="s">
        <v>49</v>
      </c>
      <c r="C68" s="36">
        <v>675</v>
      </c>
      <c r="D68" s="113">
        <v>202387781</v>
      </c>
      <c r="E68" s="116">
        <f t="shared" si="14"/>
        <v>299833.7496296296</v>
      </c>
      <c r="F68" s="117">
        <v>157484418</v>
      </c>
      <c r="G68" s="117">
        <f t="shared" si="15"/>
        <v>233310.24888888889</v>
      </c>
      <c r="H68" s="98"/>
      <c r="I68" s="109">
        <v>7.5</v>
      </c>
      <c r="J68" s="117">
        <v>1181133</v>
      </c>
      <c r="K68" s="120">
        <f t="shared" si="13"/>
        <v>1749.8266666666666</v>
      </c>
      <c r="L68" s="122">
        <f t="shared" si="5"/>
        <v>1574844.18</v>
      </c>
      <c r="M68" s="116">
        <f t="shared" si="6"/>
        <v>393711.17999999993</v>
      </c>
      <c r="N68" s="123">
        <f t="shared" si="7"/>
        <v>583.27582222222213</v>
      </c>
      <c r="O68" s="5"/>
      <c r="P68" s="5">
        <f t="shared" si="3"/>
        <v>1</v>
      </c>
      <c r="Q68" s="7">
        <f t="shared" si="4"/>
        <v>675</v>
      </c>
    </row>
    <row r="69" spans="1:21">
      <c r="A69" s="23" t="s">
        <v>450</v>
      </c>
      <c r="B69" s="35" t="s">
        <v>49</v>
      </c>
      <c r="C69" s="36">
        <v>7345</v>
      </c>
      <c r="D69" s="113">
        <v>1779343712</v>
      </c>
      <c r="E69" s="116">
        <f t="shared" si="14"/>
        <v>242252.37739959155</v>
      </c>
      <c r="F69" s="117">
        <v>1089246702</v>
      </c>
      <c r="G69" s="117">
        <f t="shared" si="15"/>
        <v>148297.7130020422</v>
      </c>
      <c r="H69" s="98"/>
      <c r="I69" s="109">
        <v>3.9403999999999999</v>
      </c>
      <c r="J69" s="117">
        <v>4292068</v>
      </c>
      <c r="K69" s="120">
        <f t="shared" si="13"/>
        <v>584.3523485364193</v>
      </c>
      <c r="L69" s="122">
        <f t="shared" si="5"/>
        <v>10892467.02</v>
      </c>
      <c r="M69" s="116">
        <f t="shared" si="6"/>
        <v>6600399.0199999996</v>
      </c>
      <c r="N69" s="123">
        <f t="shared" si="7"/>
        <v>898.62478148400271</v>
      </c>
      <c r="O69" s="5"/>
      <c r="P69" s="5">
        <f t="shared" si="3"/>
        <v>1</v>
      </c>
      <c r="Q69" s="7">
        <f t="shared" si="4"/>
        <v>7345</v>
      </c>
    </row>
    <row r="70" spans="1:21">
      <c r="A70" s="23" t="s">
        <v>71</v>
      </c>
      <c r="B70" s="35" t="s">
        <v>49</v>
      </c>
      <c r="C70" s="36">
        <v>84375</v>
      </c>
      <c r="D70" s="113">
        <v>7119965559</v>
      </c>
      <c r="E70" s="116">
        <f t="shared" si="14"/>
        <v>84384.776995555556</v>
      </c>
      <c r="F70" s="117">
        <v>4855572391</v>
      </c>
      <c r="G70" s="117">
        <f t="shared" si="15"/>
        <v>57547.52463407407</v>
      </c>
      <c r="H70" s="98"/>
      <c r="I70" s="109">
        <v>6.0542999999999996</v>
      </c>
      <c r="J70" s="117">
        <v>29397092</v>
      </c>
      <c r="K70" s="120">
        <f t="shared" si="13"/>
        <v>348.40997925925927</v>
      </c>
      <c r="L70" s="122">
        <f t="shared" si="5"/>
        <v>48555723.910000004</v>
      </c>
      <c r="M70" s="116">
        <f t="shared" si="6"/>
        <v>19158631.910000004</v>
      </c>
      <c r="N70" s="123">
        <f t="shared" si="7"/>
        <v>227.06526708148152</v>
      </c>
      <c r="O70" s="5"/>
      <c r="P70" s="5">
        <f t="shared" ref="P70:P133" si="16">IF(I70&gt;0,1,0)</f>
        <v>1</v>
      </c>
      <c r="Q70" s="7">
        <f t="shared" ref="Q70:Q133" si="17">IF(I70&gt;0,C70,0)</f>
        <v>84375</v>
      </c>
    </row>
    <row r="71" spans="1:21">
      <c r="A71" s="23" t="s">
        <v>72</v>
      </c>
      <c r="B71" s="35" t="s">
        <v>49</v>
      </c>
      <c r="C71" s="36">
        <v>60619</v>
      </c>
      <c r="D71" s="113">
        <v>3804425484</v>
      </c>
      <c r="E71" s="116">
        <f t="shared" si="14"/>
        <v>62759.62130685099</v>
      </c>
      <c r="F71" s="118">
        <v>2496995116</v>
      </c>
      <c r="G71" s="117">
        <f t="shared" si="15"/>
        <v>41191.625002062057</v>
      </c>
      <c r="H71" s="98"/>
      <c r="I71" s="109">
        <v>6.6849999999999996</v>
      </c>
      <c r="J71" s="117">
        <v>16692412</v>
      </c>
      <c r="K71" s="120">
        <f t="shared" si="13"/>
        <v>275.36600735742917</v>
      </c>
      <c r="L71" s="122">
        <f t="shared" si="5"/>
        <v>24969951.16</v>
      </c>
      <c r="M71" s="116">
        <f t="shared" si="6"/>
        <v>8277539.1600000001</v>
      </c>
      <c r="N71" s="123">
        <f t="shared" si="7"/>
        <v>136.5502426631914</v>
      </c>
      <c r="O71" s="5"/>
      <c r="P71" s="5">
        <f t="shared" si="16"/>
        <v>1</v>
      </c>
      <c r="Q71" s="7">
        <f t="shared" si="17"/>
        <v>60619</v>
      </c>
    </row>
    <row r="72" spans="1:21">
      <c r="A72" s="23" t="s">
        <v>507</v>
      </c>
      <c r="B72" s="35" t="s">
        <v>49</v>
      </c>
      <c r="C72" s="36">
        <v>14078</v>
      </c>
      <c r="D72" s="113">
        <v>564527830</v>
      </c>
      <c r="E72" s="116">
        <f t="shared" si="14"/>
        <v>40100.002130984518</v>
      </c>
      <c r="F72" s="117">
        <v>370636997</v>
      </c>
      <c r="G72" s="117">
        <f t="shared" si="15"/>
        <v>26327.390041199033</v>
      </c>
      <c r="H72" s="98"/>
      <c r="I72" s="109">
        <v>8.99</v>
      </c>
      <c r="J72" s="117">
        <v>3332027</v>
      </c>
      <c r="K72" s="120">
        <f t="shared" si="13"/>
        <v>236.68326466827673</v>
      </c>
      <c r="L72" s="122">
        <f t="shared" ref="L72:L135" si="18">(F72*0.01)</f>
        <v>3706369.97</v>
      </c>
      <c r="M72" s="116">
        <f t="shared" ref="M72:M135" si="19">(L72-J72)</f>
        <v>374342.9700000002</v>
      </c>
      <c r="N72" s="123">
        <f t="shared" ref="N72:N135" si="20">(M72/C72)</f>
        <v>26.590635743713609</v>
      </c>
      <c r="O72" s="5"/>
      <c r="P72" s="5">
        <f t="shared" si="16"/>
        <v>1</v>
      </c>
      <c r="Q72" s="7">
        <f t="shared" si="17"/>
        <v>14078</v>
      </c>
    </row>
    <row r="73" spans="1:21">
      <c r="A73" s="23" t="s">
        <v>73</v>
      </c>
      <c r="B73" s="35" t="s">
        <v>49</v>
      </c>
      <c r="C73" s="36">
        <v>65237</v>
      </c>
      <c r="D73" s="113">
        <v>8477866641</v>
      </c>
      <c r="E73" s="116">
        <f t="shared" si="14"/>
        <v>129954.88206079372</v>
      </c>
      <c r="F73" s="117">
        <v>6344298892</v>
      </c>
      <c r="G73" s="117">
        <f t="shared" si="15"/>
        <v>97250.00984104113</v>
      </c>
      <c r="H73" s="98"/>
      <c r="I73" s="109">
        <v>2</v>
      </c>
      <c r="J73" s="117">
        <v>12688598</v>
      </c>
      <c r="K73" s="120">
        <f t="shared" si="13"/>
        <v>194.50002299308676</v>
      </c>
      <c r="L73" s="122">
        <f t="shared" si="18"/>
        <v>63442988.920000002</v>
      </c>
      <c r="M73" s="116">
        <f t="shared" si="19"/>
        <v>50754390.920000002</v>
      </c>
      <c r="N73" s="123">
        <f t="shared" si="20"/>
        <v>778.00007541732452</v>
      </c>
      <c r="O73" s="5"/>
      <c r="P73" s="5">
        <f t="shared" si="16"/>
        <v>1</v>
      </c>
      <c r="Q73" s="7">
        <f t="shared" si="17"/>
        <v>65237</v>
      </c>
    </row>
    <row r="74" spans="1:21">
      <c r="A74" s="23" t="s">
        <v>74</v>
      </c>
      <c r="B74" s="35" t="s">
        <v>49</v>
      </c>
      <c r="C74" s="36">
        <v>11743</v>
      </c>
      <c r="D74" s="113">
        <v>1225722911</v>
      </c>
      <c r="E74" s="116">
        <f t="shared" si="14"/>
        <v>104379.02673933408</v>
      </c>
      <c r="F74" s="117">
        <v>853444447</v>
      </c>
      <c r="G74" s="117">
        <f t="shared" si="15"/>
        <v>72676.866814272333</v>
      </c>
      <c r="H74" s="98"/>
      <c r="I74" s="109">
        <v>6.2068000000000003</v>
      </c>
      <c r="J74" s="117">
        <v>5297159</v>
      </c>
      <c r="K74" s="120">
        <f t="shared" si="13"/>
        <v>451.09077748445884</v>
      </c>
      <c r="L74" s="122">
        <f t="shared" si="18"/>
        <v>8534444.4700000007</v>
      </c>
      <c r="M74" s="116">
        <f t="shared" si="19"/>
        <v>3237285.4700000007</v>
      </c>
      <c r="N74" s="123">
        <f t="shared" si="20"/>
        <v>275.67789065826457</v>
      </c>
      <c r="O74" s="5"/>
      <c r="P74" s="5">
        <f t="shared" si="16"/>
        <v>1</v>
      </c>
      <c r="Q74" s="7">
        <f t="shared" si="17"/>
        <v>11743</v>
      </c>
      <c r="S74" s="124">
        <f>SUM(D44:D74)</f>
        <v>174934415394</v>
      </c>
      <c r="T74" s="124">
        <f>SUM(F44:F74)</f>
        <v>125017563064</v>
      </c>
      <c r="U74" s="124">
        <f>SUM(J44:J74)</f>
        <v>645906425</v>
      </c>
    </row>
    <row r="75" spans="1:21">
      <c r="A75" s="23" t="s">
        <v>75</v>
      </c>
      <c r="B75" s="35" t="s">
        <v>76</v>
      </c>
      <c r="C75" s="36">
        <v>534</v>
      </c>
      <c r="D75" s="114" t="s">
        <v>564</v>
      </c>
      <c r="E75" s="116"/>
      <c r="F75" s="117"/>
      <c r="G75" s="117"/>
      <c r="H75" s="9" t="s">
        <v>528</v>
      </c>
      <c r="I75" s="109"/>
      <c r="J75" s="117"/>
      <c r="K75" s="120"/>
      <c r="L75" s="122">
        <f t="shared" si="18"/>
        <v>0</v>
      </c>
      <c r="M75" s="116">
        <f t="shared" si="19"/>
        <v>0</v>
      </c>
      <c r="N75" s="123">
        <f t="shared" si="20"/>
        <v>0</v>
      </c>
      <c r="O75" s="5"/>
      <c r="P75" s="5">
        <f t="shared" si="16"/>
        <v>0</v>
      </c>
      <c r="Q75" s="7">
        <f t="shared" si="17"/>
        <v>0</v>
      </c>
    </row>
    <row r="76" spans="1:21">
      <c r="A76" s="23" t="s">
        <v>77</v>
      </c>
      <c r="B76" s="35" t="s">
        <v>76</v>
      </c>
      <c r="C76" s="36">
        <v>2512</v>
      </c>
      <c r="D76" s="113">
        <v>112261023</v>
      </c>
      <c r="E76" s="116">
        <f t="shared" ref="E76:E82" si="21">(D76/C76)</f>
        <v>44689.897691082806</v>
      </c>
      <c r="F76" s="117">
        <v>63262194</v>
      </c>
      <c r="G76" s="117">
        <f t="shared" ref="G76:G82" si="22">(F76/C76)</f>
        <v>25183.994426751593</v>
      </c>
      <c r="H76" s="7"/>
      <c r="I76" s="109">
        <v>1.5</v>
      </c>
      <c r="J76" s="117">
        <v>94893</v>
      </c>
      <c r="K76" s="120">
        <f t="shared" ref="K76:K82" si="23">(J76/C76)</f>
        <v>37.775875796178347</v>
      </c>
      <c r="L76" s="122">
        <f t="shared" si="18"/>
        <v>632621.94000000006</v>
      </c>
      <c r="M76" s="116">
        <f t="shared" si="19"/>
        <v>537728.94000000006</v>
      </c>
      <c r="N76" s="123">
        <f t="shared" si="20"/>
        <v>214.06406847133761</v>
      </c>
      <c r="O76" s="5"/>
      <c r="P76" s="5">
        <f t="shared" si="16"/>
        <v>1</v>
      </c>
      <c r="Q76" s="7">
        <f t="shared" si="17"/>
        <v>2512</v>
      </c>
      <c r="S76" s="124">
        <f>SUM(D75:D76)</f>
        <v>112261023</v>
      </c>
      <c r="T76" s="124">
        <f>SUM(F75:F76)</f>
        <v>63262194</v>
      </c>
      <c r="U76" s="124">
        <f>SUM(J75:J76)</f>
        <v>94893</v>
      </c>
    </row>
    <row r="77" spans="1:21">
      <c r="A77" s="23" t="s">
        <v>78</v>
      </c>
      <c r="B77" s="35" t="s">
        <v>79</v>
      </c>
      <c r="C77" s="36">
        <v>16741</v>
      </c>
      <c r="D77" s="113">
        <v>3086647283</v>
      </c>
      <c r="E77" s="116">
        <f t="shared" si="21"/>
        <v>184376.5177110089</v>
      </c>
      <c r="F77" s="117">
        <v>2359176303</v>
      </c>
      <c r="G77" s="117">
        <f t="shared" si="22"/>
        <v>140922.06576668061</v>
      </c>
      <c r="H77" s="7"/>
      <c r="I77" s="109">
        <v>2.7462</v>
      </c>
      <c r="J77" s="117">
        <v>6478770</v>
      </c>
      <c r="K77" s="120">
        <f t="shared" si="23"/>
        <v>387.00017920076459</v>
      </c>
      <c r="L77" s="122">
        <f t="shared" si="18"/>
        <v>23591763.030000001</v>
      </c>
      <c r="M77" s="116">
        <f t="shared" si="19"/>
        <v>17112993.030000001</v>
      </c>
      <c r="N77" s="123">
        <f t="shared" si="20"/>
        <v>1022.2204784660415</v>
      </c>
      <c r="O77" s="5"/>
      <c r="P77" s="5">
        <f t="shared" si="16"/>
        <v>1</v>
      </c>
      <c r="Q77" s="7">
        <f t="shared" si="17"/>
        <v>16741</v>
      </c>
      <c r="S77" s="124">
        <f>SUM(D77)</f>
        <v>3086647283</v>
      </c>
      <c r="T77" s="124">
        <f>SUM(F77)</f>
        <v>2359176303</v>
      </c>
      <c r="U77" s="124">
        <f>SUM(J77)</f>
        <v>6478770</v>
      </c>
    </row>
    <row r="78" spans="1:21">
      <c r="A78" s="23" t="s">
        <v>80</v>
      </c>
      <c r="B78" s="35" t="s">
        <v>81</v>
      </c>
      <c r="C78" s="36">
        <v>3110</v>
      </c>
      <c r="D78" s="113">
        <v>602975161</v>
      </c>
      <c r="E78" s="116">
        <f t="shared" si="21"/>
        <v>193882.68842443731</v>
      </c>
      <c r="F78" s="117">
        <v>455837811</v>
      </c>
      <c r="G78" s="117">
        <f t="shared" si="22"/>
        <v>146571.64340836013</v>
      </c>
      <c r="H78" s="7"/>
      <c r="I78" s="110">
        <v>3.8</v>
      </c>
      <c r="J78" s="117">
        <v>1732184</v>
      </c>
      <c r="K78" s="120">
        <f t="shared" si="23"/>
        <v>556.972347266881</v>
      </c>
      <c r="L78" s="122">
        <f t="shared" si="18"/>
        <v>4558378.1100000003</v>
      </c>
      <c r="M78" s="116">
        <f t="shared" si="19"/>
        <v>2826194.1100000003</v>
      </c>
      <c r="N78" s="123">
        <f t="shared" si="20"/>
        <v>908.74408681672037</v>
      </c>
      <c r="O78" s="5"/>
      <c r="P78" s="5">
        <f t="shared" si="16"/>
        <v>1</v>
      </c>
      <c r="Q78" s="7">
        <f t="shared" si="17"/>
        <v>3110</v>
      </c>
    </row>
    <row r="79" spans="1:21">
      <c r="A79" s="23" t="s">
        <v>82</v>
      </c>
      <c r="B79" s="35" t="s">
        <v>81</v>
      </c>
      <c r="C79" s="36">
        <v>7200</v>
      </c>
      <c r="D79" s="113">
        <v>687835008</v>
      </c>
      <c r="E79" s="116">
        <f t="shared" si="21"/>
        <v>95532.64</v>
      </c>
      <c r="F79" s="117">
        <v>365243703</v>
      </c>
      <c r="G79" s="117">
        <f t="shared" si="22"/>
        <v>50728.292083333334</v>
      </c>
      <c r="H79" s="7"/>
      <c r="I79" s="109">
        <v>6.2159000000000004</v>
      </c>
      <c r="J79" s="117">
        <v>2270318</v>
      </c>
      <c r="K79" s="120">
        <f t="shared" si="23"/>
        <v>315.32194444444445</v>
      </c>
      <c r="L79" s="122">
        <f t="shared" si="18"/>
        <v>3652437.0300000003</v>
      </c>
      <c r="M79" s="116">
        <f t="shared" si="19"/>
        <v>1382119.0300000003</v>
      </c>
      <c r="N79" s="123">
        <f t="shared" si="20"/>
        <v>191.96097638888892</v>
      </c>
      <c r="O79" s="5"/>
      <c r="P79" s="5">
        <f t="shared" si="16"/>
        <v>1</v>
      </c>
      <c r="Q79" s="7">
        <f t="shared" si="17"/>
        <v>7200</v>
      </c>
      <c r="S79" s="124">
        <f>SUM(D78:D79)</f>
        <v>1290810169</v>
      </c>
      <c r="T79" s="124">
        <f>SUM(F78:F79)</f>
        <v>821081514</v>
      </c>
      <c r="U79" s="124">
        <f>SUM(J78:J79)</f>
        <v>4002502</v>
      </c>
    </row>
    <row r="80" spans="1:21">
      <c r="A80" s="23" t="s">
        <v>83</v>
      </c>
      <c r="B80" s="35" t="s">
        <v>84</v>
      </c>
      <c r="C80" s="36">
        <v>6898</v>
      </c>
      <c r="D80" s="113">
        <v>488282726</v>
      </c>
      <c r="E80" s="116">
        <f t="shared" si="21"/>
        <v>70786.13018266164</v>
      </c>
      <c r="F80" s="117">
        <v>329349558</v>
      </c>
      <c r="G80" s="117">
        <f t="shared" si="22"/>
        <v>47745.659321542473</v>
      </c>
      <c r="H80" s="7"/>
      <c r="I80" s="109">
        <v>2.57</v>
      </c>
      <c r="J80" s="117">
        <v>846428</v>
      </c>
      <c r="K80" s="120">
        <f t="shared" si="23"/>
        <v>122.70629167874746</v>
      </c>
      <c r="L80" s="122">
        <f t="shared" si="18"/>
        <v>3293495.58</v>
      </c>
      <c r="M80" s="116">
        <f t="shared" si="19"/>
        <v>2447067.58</v>
      </c>
      <c r="N80" s="123">
        <f t="shared" si="20"/>
        <v>354.75030153667728</v>
      </c>
      <c r="O80" s="5"/>
      <c r="P80" s="5">
        <f t="shared" si="16"/>
        <v>1</v>
      </c>
      <c r="Q80" s="7">
        <f t="shared" si="17"/>
        <v>6898</v>
      </c>
    </row>
    <row r="81" spans="1:21">
      <c r="A81" s="23" t="s">
        <v>85</v>
      </c>
      <c r="B81" s="35" t="s">
        <v>84</v>
      </c>
      <c r="C81" s="36">
        <v>1338</v>
      </c>
      <c r="D81" s="113">
        <v>89331228</v>
      </c>
      <c r="E81" s="116">
        <f t="shared" si="21"/>
        <v>66764.744394618829</v>
      </c>
      <c r="F81" s="117">
        <v>52092125</v>
      </c>
      <c r="G81" s="117">
        <f t="shared" si="22"/>
        <v>38932.828849028403</v>
      </c>
      <c r="H81" s="7"/>
      <c r="I81" s="109">
        <v>2.4573999999999998</v>
      </c>
      <c r="J81" s="117">
        <v>128011</v>
      </c>
      <c r="K81" s="120">
        <f t="shared" si="23"/>
        <v>95.673393124065768</v>
      </c>
      <c r="L81" s="122">
        <f t="shared" si="18"/>
        <v>520921.25</v>
      </c>
      <c r="M81" s="116">
        <f t="shared" si="19"/>
        <v>392910.25</v>
      </c>
      <c r="N81" s="123">
        <f t="shared" si="20"/>
        <v>293.65489536621823</v>
      </c>
      <c r="O81" s="5"/>
      <c r="P81" s="5">
        <f t="shared" si="16"/>
        <v>1</v>
      </c>
      <c r="Q81" s="7">
        <f t="shared" si="17"/>
        <v>1338</v>
      </c>
    </row>
    <row r="82" spans="1:21">
      <c r="A82" s="23" t="s">
        <v>86</v>
      </c>
      <c r="B82" s="35" t="s">
        <v>84</v>
      </c>
      <c r="C82" s="36">
        <v>8412</v>
      </c>
      <c r="D82" s="113">
        <v>726932447</v>
      </c>
      <c r="E82" s="116">
        <f t="shared" si="21"/>
        <v>86416.125416072275</v>
      </c>
      <c r="F82" s="117">
        <v>468718224</v>
      </c>
      <c r="G82" s="117">
        <f t="shared" si="22"/>
        <v>55720.188302425107</v>
      </c>
      <c r="H82" s="9"/>
      <c r="I82" s="109">
        <v>6.3</v>
      </c>
      <c r="J82" s="117">
        <v>2952925</v>
      </c>
      <c r="K82" s="120">
        <f t="shared" si="23"/>
        <v>351.03720874940564</v>
      </c>
      <c r="L82" s="122">
        <f t="shared" si="18"/>
        <v>4687182.24</v>
      </c>
      <c r="M82" s="116">
        <f t="shared" si="19"/>
        <v>1734257.2400000002</v>
      </c>
      <c r="N82" s="123">
        <f t="shared" si="20"/>
        <v>206.16467427484548</v>
      </c>
      <c r="O82" s="5"/>
      <c r="P82" s="5">
        <f t="shared" si="16"/>
        <v>1</v>
      </c>
      <c r="Q82" s="7">
        <f t="shared" si="17"/>
        <v>8412</v>
      </c>
    </row>
    <row r="83" spans="1:21">
      <c r="A83" s="23" t="s">
        <v>87</v>
      </c>
      <c r="B83" s="35" t="s">
        <v>84</v>
      </c>
      <c r="C83" s="36">
        <v>741</v>
      </c>
      <c r="D83" s="114" t="s">
        <v>564</v>
      </c>
      <c r="E83" s="116"/>
      <c r="F83" s="117"/>
      <c r="G83" s="117"/>
      <c r="H83" s="9" t="s">
        <v>528</v>
      </c>
      <c r="I83" s="109"/>
      <c r="J83" s="117"/>
      <c r="K83" s="120"/>
      <c r="L83" s="122">
        <f t="shared" si="18"/>
        <v>0</v>
      </c>
      <c r="M83" s="116">
        <f t="shared" si="19"/>
        <v>0</v>
      </c>
      <c r="N83" s="123">
        <f t="shared" si="20"/>
        <v>0</v>
      </c>
      <c r="O83" s="5"/>
      <c r="P83" s="5">
        <f t="shared" si="16"/>
        <v>0</v>
      </c>
      <c r="Q83" s="7">
        <f t="shared" si="17"/>
        <v>0</v>
      </c>
      <c r="S83" s="124">
        <f>SUM(D80:D83)</f>
        <v>1304546401</v>
      </c>
      <c r="T83" s="124">
        <f>SUM(F80:F83)</f>
        <v>850159907</v>
      </c>
      <c r="U83" s="124">
        <f>SUM(J80:J83)</f>
        <v>3927364</v>
      </c>
    </row>
    <row r="84" spans="1:21">
      <c r="A84" s="23" t="s">
        <v>88</v>
      </c>
      <c r="B84" s="35" t="s">
        <v>89</v>
      </c>
      <c r="C84" s="36">
        <v>406</v>
      </c>
      <c r="D84" s="113">
        <v>113781042</v>
      </c>
      <c r="E84" s="116">
        <f>(D84/C84)</f>
        <v>280248.87192118226</v>
      </c>
      <c r="F84" s="117">
        <v>79472200</v>
      </c>
      <c r="G84" s="117">
        <f>(F84/C84)</f>
        <v>195744.33497536945</v>
      </c>
      <c r="H84" s="7"/>
      <c r="I84" s="109">
        <v>3.8041999999999998</v>
      </c>
      <c r="J84" s="117">
        <v>302328</v>
      </c>
      <c r="K84" s="120">
        <f>(J84/C84)</f>
        <v>744.6502463054187</v>
      </c>
      <c r="L84" s="122">
        <f t="shared" si="18"/>
        <v>794722</v>
      </c>
      <c r="M84" s="116">
        <f t="shared" si="19"/>
        <v>492394</v>
      </c>
      <c r="N84" s="123">
        <f t="shared" si="20"/>
        <v>1212.7931034482758</v>
      </c>
      <c r="O84" s="5"/>
      <c r="P84" s="5">
        <f t="shared" si="16"/>
        <v>1</v>
      </c>
      <c r="Q84" s="7">
        <f t="shared" si="17"/>
        <v>406</v>
      </c>
    </row>
    <row r="85" spans="1:21">
      <c r="A85" s="23" t="s">
        <v>90</v>
      </c>
      <c r="B85" s="35" t="s">
        <v>89</v>
      </c>
      <c r="C85" s="36">
        <v>16443</v>
      </c>
      <c r="D85" s="113">
        <v>8309035613</v>
      </c>
      <c r="E85" s="116">
        <f>(D85/C85)</f>
        <v>505323.57921303896</v>
      </c>
      <c r="F85" s="117">
        <v>7558926598</v>
      </c>
      <c r="G85" s="117">
        <f>(F85/C85)</f>
        <v>459704.83476251294</v>
      </c>
      <c r="H85" s="7"/>
      <c r="I85" s="109">
        <v>1.9592000000000001</v>
      </c>
      <c r="J85" s="117">
        <v>14809449</v>
      </c>
      <c r="K85" s="120">
        <f>(J85/C85)</f>
        <v>900.65371282612659</v>
      </c>
      <c r="L85" s="122">
        <f t="shared" si="18"/>
        <v>75589265.980000004</v>
      </c>
      <c r="M85" s="116">
        <f t="shared" si="19"/>
        <v>60779816.980000004</v>
      </c>
      <c r="N85" s="123">
        <f t="shared" si="20"/>
        <v>3696.3946347990027</v>
      </c>
      <c r="O85" s="5"/>
      <c r="P85" s="5">
        <f t="shared" si="16"/>
        <v>1</v>
      </c>
      <c r="Q85" s="7">
        <f t="shared" si="17"/>
        <v>16443</v>
      </c>
    </row>
    <row r="86" spans="1:21">
      <c r="A86" s="23" t="s">
        <v>91</v>
      </c>
      <c r="B86" s="35" t="s">
        <v>89</v>
      </c>
      <c r="C86" s="36">
        <v>19451</v>
      </c>
      <c r="D86" s="113">
        <v>17045559026</v>
      </c>
      <c r="E86" s="116">
        <f>(D86/C86)</f>
        <v>876333.30039586651</v>
      </c>
      <c r="F86" s="117">
        <v>14556634579</v>
      </c>
      <c r="G86" s="117">
        <f>(F86/C86)</f>
        <v>748374.6120507943</v>
      </c>
      <c r="H86" s="9"/>
      <c r="I86" s="110">
        <v>1.18</v>
      </c>
      <c r="J86" s="117">
        <v>17176829</v>
      </c>
      <c r="K86" s="120">
        <f>(J86/C86)</f>
        <v>883.0820523366408</v>
      </c>
      <c r="L86" s="122">
        <f t="shared" si="18"/>
        <v>145566345.78999999</v>
      </c>
      <c r="M86" s="116">
        <f t="shared" si="19"/>
        <v>128389516.78999999</v>
      </c>
      <c r="N86" s="123">
        <f t="shared" si="20"/>
        <v>6600.6640681713016</v>
      </c>
      <c r="O86" s="5"/>
      <c r="P86" s="5">
        <f t="shared" si="16"/>
        <v>1</v>
      </c>
      <c r="Q86" s="7">
        <f t="shared" si="17"/>
        <v>19451</v>
      </c>
      <c r="S86" s="124">
        <f>SUM(D84:D86)</f>
        <v>25468375681</v>
      </c>
      <c r="T86" s="124">
        <f>SUM(F84:F86)</f>
        <v>22195033377</v>
      </c>
      <c r="U86" s="124">
        <f>SUM(J84:J86)</f>
        <v>32288606</v>
      </c>
    </row>
    <row r="87" spans="1:21">
      <c r="A87" s="23" t="s">
        <v>92</v>
      </c>
      <c r="B87" s="35" t="s">
        <v>93</v>
      </c>
      <c r="C87" s="36">
        <v>565</v>
      </c>
      <c r="D87" s="114" t="s">
        <v>564</v>
      </c>
      <c r="E87" s="116"/>
      <c r="F87" s="117"/>
      <c r="G87" s="117"/>
      <c r="H87" s="9" t="s">
        <v>528</v>
      </c>
      <c r="I87" s="109"/>
      <c r="J87" s="117"/>
      <c r="K87" s="120"/>
      <c r="L87" s="122">
        <f t="shared" si="18"/>
        <v>0</v>
      </c>
      <c r="M87" s="116">
        <f t="shared" si="19"/>
        <v>0</v>
      </c>
      <c r="N87" s="123">
        <f t="shared" si="20"/>
        <v>0</v>
      </c>
      <c r="O87" s="5"/>
      <c r="P87" s="5">
        <f t="shared" si="16"/>
        <v>0</v>
      </c>
      <c r="Q87" s="7">
        <f t="shared" si="17"/>
        <v>0</v>
      </c>
    </row>
    <row r="88" spans="1:21">
      <c r="A88" s="23" t="s">
        <v>94</v>
      </c>
      <c r="B88" s="35" t="s">
        <v>93</v>
      </c>
      <c r="C88" s="36">
        <v>12052</v>
      </c>
      <c r="D88" s="113">
        <v>1074382182</v>
      </c>
      <c r="E88" s="116">
        <f t="shared" ref="E88:E93" si="24">(D88/C88)</f>
        <v>89145.551111848661</v>
      </c>
      <c r="F88" s="117">
        <v>745907187</v>
      </c>
      <c r="G88" s="117">
        <f t="shared" ref="G88:G93" si="25">(F88/C88)</f>
        <v>61890.739047461</v>
      </c>
      <c r="H88" s="7"/>
      <c r="I88" s="109">
        <v>3.9815999999999998</v>
      </c>
      <c r="J88" s="117">
        <v>2969904</v>
      </c>
      <c r="K88" s="120">
        <f t="shared" ref="K88:K93" si="26">(J88/C88)</f>
        <v>246.42416196481912</v>
      </c>
      <c r="L88" s="122">
        <f t="shared" si="18"/>
        <v>7459071.8700000001</v>
      </c>
      <c r="M88" s="116">
        <f t="shared" si="19"/>
        <v>4489167.87</v>
      </c>
      <c r="N88" s="123">
        <f t="shared" si="20"/>
        <v>372.48322850979093</v>
      </c>
      <c r="O88" s="5"/>
      <c r="P88" s="5">
        <f t="shared" si="16"/>
        <v>1</v>
      </c>
      <c r="Q88" s="7">
        <f t="shared" si="17"/>
        <v>12052</v>
      </c>
      <c r="S88" s="124">
        <f>SUM(D87:D88)</f>
        <v>1074382182</v>
      </c>
      <c r="T88" s="124">
        <f>SUM(F87:F88)</f>
        <v>745907187</v>
      </c>
      <c r="U88" s="124">
        <f>SUM(J87:J88)</f>
        <v>2969904</v>
      </c>
    </row>
    <row r="89" spans="1:21">
      <c r="A89" s="23" t="s">
        <v>95</v>
      </c>
      <c r="B89" s="37" t="s">
        <v>575</v>
      </c>
      <c r="C89" s="36">
        <v>7592</v>
      </c>
      <c r="D89" s="113">
        <v>336382330</v>
      </c>
      <c r="E89" s="116">
        <f t="shared" si="24"/>
        <v>44307.472339304528</v>
      </c>
      <c r="F89" s="117">
        <v>186399782</v>
      </c>
      <c r="G89" s="117">
        <f t="shared" si="25"/>
        <v>24552.131454162278</v>
      </c>
      <c r="H89" s="8"/>
      <c r="I89" s="109">
        <v>8.0899000000000001</v>
      </c>
      <c r="J89" s="117">
        <v>1507956</v>
      </c>
      <c r="K89" s="120">
        <f t="shared" si="26"/>
        <v>198.62434141201265</v>
      </c>
      <c r="L89" s="122">
        <f t="shared" si="18"/>
        <v>1863997.82</v>
      </c>
      <c r="M89" s="116">
        <f t="shared" si="19"/>
        <v>356041.82000000007</v>
      </c>
      <c r="N89" s="123">
        <f t="shared" si="20"/>
        <v>46.896973129610124</v>
      </c>
      <c r="O89" s="5"/>
      <c r="P89" s="5">
        <f t="shared" si="16"/>
        <v>1</v>
      </c>
      <c r="Q89" s="7">
        <f t="shared" si="17"/>
        <v>7592</v>
      </c>
      <c r="S89" s="124">
        <f>SUM(D89)</f>
        <v>336382330</v>
      </c>
      <c r="T89" s="124">
        <f>SUM(F89)</f>
        <v>186399782</v>
      </c>
      <c r="U89" s="124">
        <f>SUM(J89)</f>
        <v>1507956</v>
      </c>
    </row>
    <row r="90" spans="1:21">
      <c r="A90" s="23" t="s">
        <v>96</v>
      </c>
      <c r="B90" s="35" t="s">
        <v>97</v>
      </c>
      <c r="C90" s="36">
        <v>1728</v>
      </c>
      <c r="D90" s="113">
        <v>70243501</v>
      </c>
      <c r="E90" s="116">
        <f t="shared" si="24"/>
        <v>40650.174189814818</v>
      </c>
      <c r="F90" s="117">
        <v>27791242</v>
      </c>
      <c r="G90" s="117">
        <f t="shared" si="25"/>
        <v>16082.894675925925</v>
      </c>
      <c r="H90" s="8"/>
      <c r="I90" s="109">
        <v>7.4991000000000003</v>
      </c>
      <c r="J90" s="117">
        <v>208409</v>
      </c>
      <c r="K90" s="120">
        <f t="shared" si="26"/>
        <v>120.60706018518519</v>
      </c>
      <c r="L90" s="122">
        <f t="shared" si="18"/>
        <v>277912.42</v>
      </c>
      <c r="M90" s="116">
        <f t="shared" si="19"/>
        <v>69503.419999999984</v>
      </c>
      <c r="N90" s="123">
        <f t="shared" si="20"/>
        <v>40.221886574074063</v>
      </c>
      <c r="O90" s="5"/>
      <c r="P90" s="5">
        <f t="shared" si="16"/>
        <v>1</v>
      </c>
      <c r="Q90" s="7">
        <f t="shared" si="17"/>
        <v>1728</v>
      </c>
    </row>
    <row r="91" spans="1:21">
      <c r="A91" s="23" t="s">
        <v>98</v>
      </c>
      <c r="B91" s="35" t="s">
        <v>97</v>
      </c>
      <c r="C91" s="36">
        <v>168</v>
      </c>
      <c r="D91" s="113">
        <v>52767884</v>
      </c>
      <c r="E91" s="116">
        <f t="shared" si="24"/>
        <v>314094.54761904763</v>
      </c>
      <c r="F91" s="117">
        <v>43427442</v>
      </c>
      <c r="G91" s="117">
        <f t="shared" si="25"/>
        <v>258496.67857142858</v>
      </c>
      <c r="H91" s="9"/>
      <c r="I91" s="110">
        <v>3</v>
      </c>
      <c r="J91" s="117">
        <v>130282</v>
      </c>
      <c r="K91" s="120">
        <f t="shared" si="26"/>
        <v>775.48809523809518</v>
      </c>
      <c r="L91" s="122">
        <f t="shared" si="18"/>
        <v>434274.42</v>
      </c>
      <c r="M91" s="116">
        <f t="shared" si="19"/>
        <v>303992.42</v>
      </c>
      <c r="N91" s="123">
        <f t="shared" si="20"/>
        <v>1809.4786904761904</v>
      </c>
      <c r="O91" s="5"/>
      <c r="P91" s="5">
        <f t="shared" si="16"/>
        <v>1</v>
      </c>
      <c r="Q91" s="7">
        <f t="shared" si="17"/>
        <v>168</v>
      </c>
      <c r="S91" s="124">
        <f>SUM(D90:D91)</f>
        <v>123011385</v>
      </c>
      <c r="T91" s="124">
        <f>SUM(F90:F91)</f>
        <v>71218684</v>
      </c>
      <c r="U91" s="124">
        <f>SUM(J90:J91)</f>
        <v>338691</v>
      </c>
    </row>
    <row r="92" spans="1:21">
      <c r="A92" s="23" t="s">
        <v>99</v>
      </c>
      <c r="B92" s="35" t="s">
        <v>100</v>
      </c>
      <c r="C92" s="36">
        <v>12670</v>
      </c>
      <c r="D92" s="113">
        <v>1767155712</v>
      </c>
      <c r="E92" s="116">
        <f t="shared" si="24"/>
        <v>139475.58895027623</v>
      </c>
      <c r="F92" s="117">
        <v>1234753077</v>
      </c>
      <c r="G92" s="117">
        <f t="shared" si="25"/>
        <v>97454.860063141285</v>
      </c>
      <c r="H92" s="9"/>
      <c r="I92" s="109">
        <v>3.3285</v>
      </c>
      <c r="J92" s="117">
        <v>4109876</v>
      </c>
      <c r="K92" s="120">
        <f t="shared" si="26"/>
        <v>324.37853196527232</v>
      </c>
      <c r="L92" s="122">
        <f t="shared" si="18"/>
        <v>12347530.77</v>
      </c>
      <c r="M92" s="116">
        <f t="shared" si="19"/>
        <v>8237654.7699999996</v>
      </c>
      <c r="N92" s="123">
        <f t="shared" si="20"/>
        <v>650.17006866614042</v>
      </c>
      <c r="O92" s="5"/>
      <c r="P92" s="5">
        <f t="shared" si="16"/>
        <v>1</v>
      </c>
      <c r="Q92" s="7">
        <f t="shared" si="17"/>
        <v>12670</v>
      </c>
    </row>
    <row r="93" spans="1:21">
      <c r="A93" s="23" t="s">
        <v>101</v>
      </c>
      <c r="B93" s="35" t="s">
        <v>100</v>
      </c>
      <c r="C93" s="36">
        <v>1406</v>
      </c>
      <c r="D93" s="113">
        <v>80354934</v>
      </c>
      <c r="E93" s="116">
        <f t="shared" si="24"/>
        <v>57151.4466571835</v>
      </c>
      <c r="F93" s="117">
        <v>42464422</v>
      </c>
      <c r="G93" s="117">
        <f t="shared" si="25"/>
        <v>30202.29160739687</v>
      </c>
      <c r="H93" s="9"/>
      <c r="I93" s="109">
        <v>2.9868999999999999</v>
      </c>
      <c r="J93" s="117">
        <v>126837</v>
      </c>
      <c r="K93" s="120">
        <f t="shared" si="26"/>
        <v>90.211237553342812</v>
      </c>
      <c r="L93" s="122">
        <f t="shared" si="18"/>
        <v>424644.22000000003</v>
      </c>
      <c r="M93" s="116">
        <f t="shared" si="19"/>
        <v>297807.22000000003</v>
      </c>
      <c r="N93" s="123">
        <f t="shared" si="20"/>
        <v>211.81167852062592</v>
      </c>
      <c r="O93" s="5"/>
      <c r="P93" s="5">
        <f t="shared" si="16"/>
        <v>1</v>
      </c>
      <c r="Q93" s="7">
        <f t="shared" si="17"/>
        <v>1406</v>
      </c>
    </row>
    <row r="94" spans="1:21">
      <c r="A94" s="23" t="s">
        <v>102</v>
      </c>
      <c r="B94" s="35" t="s">
        <v>100</v>
      </c>
      <c r="C94" s="36">
        <v>822038</v>
      </c>
      <c r="D94" s="115" t="s">
        <v>576</v>
      </c>
      <c r="E94" s="116"/>
      <c r="F94" s="117"/>
      <c r="G94" s="117"/>
      <c r="H94" s="9"/>
      <c r="I94" s="109"/>
      <c r="J94" s="117"/>
      <c r="K94" s="120"/>
      <c r="L94" s="122">
        <f t="shared" si="18"/>
        <v>0</v>
      </c>
      <c r="M94" s="116">
        <f t="shared" si="19"/>
        <v>0</v>
      </c>
      <c r="N94" s="123">
        <f t="shared" si="20"/>
        <v>0</v>
      </c>
      <c r="O94" s="5"/>
      <c r="P94" s="5">
        <f t="shared" si="16"/>
        <v>0</v>
      </c>
      <c r="Q94" s="7">
        <f t="shared" si="17"/>
        <v>0</v>
      </c>
    </row>
    <row r="95" spans="1:21">
      <c r="A95" s="23" t="s">
        <v>103</v>
      </c>
      <c r="B95" s="35" t="s">
        <v>100</v>
      </c>
      <c r="C95" s="36">
        <v>21441</v>
      </c>
      <c r="D95" s="113">
        <v>3414616418</v>
      </c>
      <c r="E95" s="116">
        <f t="shared" ref="E95:E158" si="27">(D95/C95)</f>
        <v>159256.39746280492</v>
      </c>
      <c r="F95" s="117">
        <v>2509326152</v>
      </c>
      <c r="G95" s="117">
        <f t="shared" ref="G95:G158" si="28">(F95/C95)</f>
        <v>117034.00736905928</v>
      </c>
      <c r="H95" s="9"/>
      <c r="I95" s="109">
        <v>4.0946999999999996</v>
      </c>
      <c r="J95" s="117">
        <v>10274938</v>
      </c>
      <c r="K95" s="120">
        <f t="shared" ref="K95:K133" si="29">(J95/C95)</f>
        <v>479.21915955412527</v>
      </c>
      <c r="L95" s="122">
        <f t="shared" si="18"/>
        <v>25093261.52</v>
      </c>
      <c r="M95" s="116">
        <f t="shared" si="19"/>
        <v>14818323.52</v>
      </c>
      <c r="N95" s="123">
        <f t="shared" si="20"/>
        <v>691.12091413646749</v>
      </c>
      <c r="O95" s="5"/>
      <c r="P95" s="5">
        <f t="shared" si="16"/>
        <v>1</v>
      </c>
      <c r="Q95" s="7">
        <f t="shared" si="17"/>
        <v>21441</v>
      </c>
    </row>
    <row r="96" spans="1:21">
      <c r="A96" s="23" t="s">
        <v>104</v>
      </c>
      <c r="B96" s="35" t="s">
        <v>100</v>
      </c>
      <c r="C96" s="36">
        <v>7046</v>
      </c>
      <c r="D96" s="113">
        <v>948466463</v>
      </c>
      <c r="E96" s="116">
        <f t="shared" si="27"/>
        <v>134610.62489355664</v>
      </c>
      <c r="F96" s="117">
        <v>646323554</v>
      </c>
      <c r="G96" s="117">
        <f t="shared" si="28"/>
        <v>91729.144762986092</v>
      </c>
      <c r="H96" s="7"/>
      <c r="I96" s="109">
        <v>3.3443000000000001</v>
      </c>
      <c r="J96" s="117">
        <v>2161500</v>
      </c>
      <c r="K96" s="120">
        <f t="shared" si="29"/>
        <v>306.76979846721542</v>
      </c>
      <c r="L96" s="122">
        <f t="shared" si="18"/>
        <v>6463235.54</v>
      </c>
      <c r="M96" s="116">
        <f t="shared" si="19"/>
        <v>4301735.54</v>
      </c>
      <c r="N96" s="123">
        <f t="shared" si="20"/>
        <v>610.52164916264553</v>
      </c>
      <c r="O96" s="5"/>
      <c r="P96" s="5">
        <f t="shared" si="16"/>
        <v>1</v>
      </c>
      <c r="Q96" s="7">
        <f t="shared" si="17"/>
        <v>7046</v>
      </c>
      <c r="S96" s="124">
        <f>SUM(D92:D96)</f>
        <v>6210593527</v>
      </c>
      <c r="T96" s="124">
        <f>SUM(F92:F96)</f>
        <v>4432867205</v>
      </c>
      <c r="U96" s="124">
        <f>SUM(J92:J96)</f>
        <v>16673151</v>
      </c>
    </row>
    <row r="97" spans="1:21">
      <c r="A97" s="23" t="s">
        <v>105</v>
      </c>
      <c r="B97" s="35" t="s">
        <v>106</v>
      </c>
      <c r="C97" s="36">
        <v>1690</v>
      </c>
      <c r="D97" s="113">
        <v>55496380</v>
      </c>
      <c r="E97" s="116">
        <f t="shared" si="27"/>
        <v>32838.094674556211</v>
      </c>
      <c r="F97" s="117">
        <v>30123307</v>
      </c>
      <c r="G97" s="117">
        <f t="shared" si="28"/>
        <v>17824.442011834319</v>
      </c>
      <c r="H97" s="7"/>
      <c r="I97" s="109">
        <v>0.90480000000000005</v>
      </c>
      <c r="J97" s="117">
        <v>27256</v>
      </c>
      <c r="K97" s="120">
        <f t="shared" si="29"/>
        <v>16.127810650887575</v>
      </c>
      <c r="L97" s="122">
        <f t="shared" si="18"/>
        <v>301233.07</v>
      </c>
      <c r="M97" s="116">
        <f t="shared" si="19"/>
        <v>273977.07</v>
      </c>
      <c r="N97" s="123">
        <f t="shared" si="20"/>
        <v>162.11660946745562</v>
      </c>
      <c r="O97" s="5"/>
      <c r="P97" s="5">
        <f t="shared" si="16"/>
        <v>1</v>
      </c>
      <c r="Q97" s="7">
        <f t="shared" si="17"/>
        <v>1690</v>
      </c>
    </row>
    <row r="98" spans="1:21">
      <c r="A98" s="23" t="s">
        <v>107</v>
      </c>
      <c r="B98" s="35" t="s">
        <v>106</v>
      </c>
      <c r="C98" s="36">
        <v>51939</v>
      </c>
      <c r="D98" s="113">
        <v>4840806934</v>
      </c>
      <c r="E98" s="116">
        <f t="shared" si="27"/>
        <v>93201.773888600088</v>
      </c>
      <c r="F98" s="117">
        <v>2967428147</v>
      </c>
      <c r="G98" s="117">
        <f t="shared" si="28"/>
        <v>57132.947245807583</v>
      </c>
      <c r="H98" s="7"/>
      <c r="I98" s="109">
        <v>4.2895000000000003</v>
      </c>
      <c r="J98" s="117">
        <v>12728783</v>
      </c>
      <c r="K98" s="120">
        <f t="shared" si="29"/>
        <v>245.07177650705634</v>
      </c>
      <c r="L98" s="122">
        <f t="shared" si="18"/>
        <v>29674281.469999999</v>
      </c>
      <c r="M98" s="116">
        <f t="shared" si="19"/>
        <v>16945498.469999999</v>
      </c>
      <c r="N98" s="123">
        <f t="shared" si="20"/>
        <v>326.25769595101946</v>
      </c>
      <c r="O98" s="5"/>
      <c r="P98" s="5">
        <f t="shared" si="16"/>
        <v>1</v>
      </c>
      <c r="Q98" s="7">
        <f t="shared" si="17"/>
        <v>51939</v>
      </c>
      <c r="S98" s="124">
        <f>SUM(D97:D98)</f>
        <v>4896303314</v>
      </c>
      <c r="T98" s="124">
        <f>SUM(F97:F98)</f>
        <v>2997551454</v>
      </c>
      <c r="U98" s="124">
        <f>SUM(J97:J98)</f>
        <v>12756039</v>
      </c>
    </row>
    <row r="99" spans="1:21">
      <c r="A99" s="23" t="s">
        <v>108</v>
      </c>
      <c r="B99" s="35" t="s">
        <v>109</v>
      </c>
      <c r="C99" s="36">
        <v>337</v>
      </c>
      <c r="D99" s="113">
        <v>61325914</v>
      </c>
      <c r="E99" s="116">
        <f t="shared" si="27"/>
        <v>181976.00593471809</v>
      </c>
      <c r="F99" s="117">
        <v>51395685</v>
      </c>
      <c r="G99" s="117">
        <f t="shared" si="28"/>
        <v>152509.45103857567</v>
      </c>
      <c r="H99" s="7"/>
      <c r="I99" s="109">
        <v>2.2999999999999998</v>
      </c>
      <c r="J99" s="117">
        <v>118210</v>
      </c>
      <c r="K99" s="120">
        <f t="shared" si="29"/>
        <v>350.77151335311572</v>
      </c>
      <c r="L99" s="122">
        <f t="shared" si="18"/>
        <v>513956.85000000003</v>
      </c>
      <c r="M99" s="116">
        <f t="shared" si="19"/>
        <v>395746.85000000003</v>
      </c>
      <c r="N99" s="123">
        <f t="shared" si="20"/>
        <v>1174.3229970326411</v>
      </c>
      <c r="O99" s="5"/>
      <c r="P99" s="5">
        <f t="shared" si="16"/>
        <v>1</v>
      </c>
      <c r="Q99" s="7">
        <f t="shared" si="17"/>
        <v>337</v>
      </c>
    </row>
    <row r="100" spans="1:21">
      <c r="A100" s="23" t="s">
        <v>110</v>
      </c>
      <c r="B100" s="35" t="s">
        <v>109</v>
      </c>
      <c r="C100" s="36">
        <v>2700</v>
      </c>
      <c r="D100" s="113">
        <v>470914833</v>
      </c>
      <c r="E100" s="116">
        <f t="shared" si="27"/>
        <v>174412.9011111111</v>
      </c>
      <c r="F100" s="117">
        <v>155695861</v>
      </c>
      <c r="G100" s="117">
        <f t="shared" si="28"/>
        <v>57665.133703703701</v>
      </c>
      <c r="H100" s="7"/>
      <c r="I100" s="109">
        <v>6.9505999999999997</v>
      </c>
      <c r="J100" s="117">
        <v>1082180</v>
      </c>
      <c r="K100" s="120">
        <f t="shared" si="29"/>
        <v>400.80740740740742</v>
      </c>
      <c r="L100" s="122">
        <f t="shared" si="18"/>
        <v>1556958.61</v>
      </c>
      <c r="M100" s="116">
        <f t="shared" si="19"/>
        <v>474778.6100000001</v>
      </c>
      <c r="N100" s="123">
        <f t="shared" si="20"/>
        <v>175.84392962962966</v>
      </c>
      <c r="O100" s="5"/>
      <c r="P100" s="5">
        <f t="shared" si="16"/>
        <v>1</v>
      </c>
      <c r="Q100" s="7">
        <f t="shared" si="17"/>
        <v>2700</v>
      </c>
    </row>
    <row r="101" spans="1:21">
      <c r="A101" s="23" t="s">
        <v>447</v>
      </c>
      <c r="B101" s="35" t="s">
        <v>109</v>
      </c>
      <c r="C101" s="36">
        <v>75617</v>
      </c>
      <c r="D101" s="113">
        <v>5739162510</v>
      </c>
      <c r="E101" s="116">
        <f t="shared" si="27"/>
        <v>75897.781054524778</v>
      </c>
      <c r="F101" s="117">
        <v>3891594126</v>
      </c>
      <c r="G101" s="117">
        <f t="shared" si="28"/>
        <v>51464.540063742279</v>
      </c>
      <c r="H101" s="9"/>
      <c r="I101" s="109">
        <v>3.99</v>
      </c>
      <c r="J101" s="117">
        <v>15527461</v>
      </c>
      <c r="K101" s="120">
        <f t="shared" si="29"/>
        <v>205.34352063689383</v>
      </c>
      <c r="L101" s="122">
        <f t="shared" si="18"/>
        <v>38915941.259999998</v>
      </c>
      <c r="M101" s="116">
        <f t="shared" si="19"/>
        <v>23388480.259999998</v>
      </c>
      <c r="N101" s="123">
        <f t="shared" si="20"/>
        <v>309.30188000052897</v>
      </c>
      <c r="O101" s="5"/>
      <c r="P101" s="5">
        <f t="shared" si="16"/>
        <v>1</v>
      </c>
      <c r="Q101" s="7">
        <f t="shared" si="17"/>
        <v>75617</v>
      </c>
    </row>
    <row r="102" spans="1:21">
      <c r="A102" s="23" t="s">
        <v>111</v>
      </c>
      <c r="B102" s="35" t="s">
        <v>557</v>
      </c>
      <c r="C102" s="36">
        <v>16</v>
      </c>
      <c r="D102" s="113">
        <v>19488044</v>
      </c>
      <c r="E102" s="116">
        <f t="shared" si="27"/>
        <v>1218002.75</v>
      </c>
      <c r="F102" s="117">
        <v>4894708</v>
      </c>
      <c r="G102" s="117">
        <f t="shared" si="28"/>
        <v>305919.25</v>
      </c>
      <c r="H102" s="7"/>
      <c r="I102" s="109">
        <v>7.3822999999999999</v>
      </c>
      <c r="J102" s="117">
        <v>36134</v>
      </c>
      <c r="K102" s="120">
        <f t="shared" si="29"/>
        <v>2258.375</v>
      </c>
      <c r="L102" s="122">
        <f t="shared" si="18"/>
        <v>48947.08</v>
      </c>
      <c r="M102" s="116">
        <f t="shared" si="19"/>
        <v>12813.080000000002</v>
      </c>
      <c r="N102" s="123">
        <f t="shared" si="20"/>
        <v>800.81750000000011</v>
      </c>
      <c r="O102" s="5"/>
      <c r="P102" s="5">
        <f t="shared" si="16"/>
        <v>1</v>
      </c>
      <c r="Q102" s="7">
        <f t="shared" si="17"/>
        <v>16</v>
      </c>
    </row>
    <row r="103" spans="1:21">
      <c r="A103" s="23" t="s">
        <v>112</v>
      </c>
      <c r="B103" s="35" t="s">
        <v>113</v>
      </c>
      <c r="C103" s="36">
        <v>4504</v>
      </c>
      <c r="D103" s="113">
        <f>(629027280+6167972)</f>
        <v>635195252</v>
      </c>
      <c r="E103" s="116">
        <f t="shared" si="27"/>
        <v>141029.14120781526</v>
      </c>
      <c r="F103" s="117">
        <f>(480788830+4431487)</f>
        <v>485220317</v>
      </c>
      <c r="G103" s="117">
        <f t="shared" si="28"/>
        <v>107730.97624333926</v>
      </c>
      <c r="H103" s="7"/>
      <c r="I103" s="109">
        <v>4.8499999999999996</v>
      </c>
      <c r="J103" s="117">
        <f>(2331826+21493)</f>
        <v>2353319</v>
      </c>
      <c r="K103" s="120">
        <f t="shared" si="29"/>
        <v>522.49533747779753</v>
      </c>
      <c r="L103" s="122">
        <f t="shared" si="18"/>
        <v>4852203.17</v>
      </c>
      <c r="M103" s="116">
        <f t="shared" si="19"/>
        <v>2498884.17</v>
      </c>
      <c r="N103" s="123">
        <f t="shared" si="20"/>
        <v>554.81442495559497</v>
      </c>
      <c r="O103" s="5"/>
      <c r="P103" s="5">
        <f t="shared" si="16"/>
        <v>1</v>
      </c>
      <c r="Q103" s="7">
        <f t="shared" si="17"/>
        <v>4504</v>
      </c>
      <c r="S103" s="124">
        <f>SUM(D99:D103)</f>
        <v>6926086553</v>
      </c>
      <c r="T103" s="124">
        <f>SUM(F99:F103)</f>
        <v>4588800697</v>
      </c>
      <c r="U103" s="124">
        <f>SUM(J99:J103)</f>
        <v>19117304</v>
      </c>
    </row>
    <row r="104" spans="1:21">
      <c r="A104" s="23" t="s">
        <v>114</v>
      </c>
      <c r="B104" s="35" t="s">
        <v>115</v>
      </c>
      <c r="C104" s="36">
        <v>2239</v>
      </c>
      <c r="D104" s="113">
        <v>219158494</v>
      </c>
      <c r="E104" s="116">
        <f t="shared" si="27"/>
        <v>97882.310853059404</v>
      </c>
      <c r="F104" s="117">
        <v>130864472</v>
      </c>
      <c r="G104" s="117">
        <f t="shared" si="28"/>
        <v>58447.732023224657</v>
      </c>
      <c r="H104" s="9"/>
      <c r="I104" s="110">
        <v>9.1735000000000007</v>
      </c>
      <c r="J104" s="117">
        <v>1200485</v>
      </c>
      <c r="K104" s="120">
        <f t="shared" si="29"/>
        <v>536.17016525234476</v>
      </c>
      <c r="L104" s="122">
        <f t="shared" si="18"/>
        <v>1308644.72</v>
      </c>
      <c r="M104" s="116">
        <f t="shared" si="19"/>
        <v>108159.71999999997</v>
      </c>
      <c r="N104" s="123">
        <f t="shared" si="20"/>
        <v>48.307154979901732</v>
      </c>
      <c r="O104" s="5"/>
      <c r="P104" s="5">
        <f t="shared" si="16"/>
        <v>1</v>
      </c>
      <c r="Q104" s="7">
        <f t="shared" si="17"/>
        <v>2239</v>
      </c>
    </row>
    <row r="105" spans="1:21">
      <c r="A105" s="23" t="s">
        <v>116</v>
      </c>
      <c r="B105" s="35" t="s">
        <v>115</v>
      </c>
      <c r="C105" s="36">
        <v>2737</v>
      </c>
      <c r="D105" s="113">
        <v>174058728</v>
      </c>
      <c r="E105" s="116">
        <f t="shared" si="27"/>
        <v>63594.712458896603</v>
      </c>
      <c r="F105" s="117">
        <v>130990053</v>
      </c>
      <c r="G105" s="117">
        <f t="shared" si="28"/>
        <v>47858.989039093896</v>
      </c>
      <c r="H105" s="9"/>
      <c r="I105" s="109">
        <v>8.27</v>
      </c>
      <c r="J105" s="117">
        <v>1083288</v>
      </c>
      <c r="K105" s="120">
        <f t="shared" si="29"/>
        <v>395.79393496529048</v>
      </c>
      <c r="L105" s="122">
        <f t="shared" si="18"/>
        <v>1309900.53</v>
      </c>
      <c r="M105" s="116">
        <f t="shared" si="19"/>
        <v>226612.53000000003</v>
      </c>
      <c r="N105" s="123">
        <f t="shared" si="20"/>
        <v>82.795955425648529</v>
      </c>
      <c r="O105" s="5"/>
      <c r="P105" s="5">
        <f t="shared" si="16"/>
        <v>1</v>
      </c>
      <c r="Q105" s="7">
        <f t="shared" si="17"/>
        <v>2737</v>
      </c>
      <c r="S105" s="124">
        <f>SUM(D104:D105)</f>
        <v>393217222</v>
      </c>
      <c r="T105" s="124">
        <f>SUM(F104:F105)</f>
        <v>261854525</v>
      </c>
      <c r="U105" s="124">
        <f>SUM(J104:J105)</f>
        <v>2283773</v>
      </c>
    </row>
    <row r="106" spans="1:21">
      <c r="A106" s="23" t="s">
        <v>117</v>
      </c>
      <c r="B106" s="35" t="s">
        <v>118</v>
      </c>
      <c r="C106" s="36">
        <v>3784</v>
      </c>
      <c r="D106" s="113">
        <v>235119688</v>
      </c>
      <c r="E106" s="116">
        <f t="shared" si="27"/>
        <v>62135.224101479915</v>
      </c>
      <c r="F106" s="117">
        <v>35954519</v>
      </c>
      <c r="G106" s="117">
        <f t="shared" si="28"/>
        <v>9501.7227801268491</v>
      </c>
      <c r="H106" s="7"/>
      <c r="I106" s="109">
        <v>0.80679999999999996</v>
      </c>
      <c r="J106" s="117">
        <v>29008</v>
      </c>
      <c r="K106" s="120">
        <f t="shared" si="29"/>
        <v>7.6659619450317127</v>
      </c>
      <c r="L106" s="122">
        <f t="shared" si="18"/>
        <v>359545.19</v>
      </c>
      <c r="M106" s="116">
        <f t="shared" si="19"/>
        <v>330537.19</v>
      </c>
      <c r="N106" s="123">
        <f t="shared" si="20"/>
        <v>87.351265856236793</v>
      </c>
      <c r="O106" s="5"/>
      <c r="P106" s="5">
        <f t="shared" si="16"/>
        <v>1</v>
      </c>
      <c r="Q106" s="7">
        <f t="shared" si="17"/>
        <v>3784</v>
      </c>
    </row>
    <row r="107" spans="1:21">
      <c r="A107" s="23" t="s">
        <v>119</v>
      </c>
      <c r="B107" s="35" t="s">
        <v>118</v>
      </c>
      <c r="C107" s="36">
        <v>602</v>
      </c>
      <c r="D107" s="113">
        <v>25376485</v>
      </c>
      <c r="E107" s="116">
        <f t="shared" si="27"/>
        <v>42153.629568106313</v>
      </c>
      <c r="F107" s="117">
        <v>8506619</v>
      </c>
      <c r="G107" s="117">
        <f t="shared" si="28"/>
        <v>14130.59634551495</v>
      </c>
      <c r="H107" s="7"/>
      <c r="I107" s="109">
        <v>5</v>
      </c>
      <c r="J107" s="117">
        <v>42533</v>
      </c>
      <c r="K107" s="120">
        <f t="shared" si="29"/>
        <v>70.652823920265774</v>
      </c>
      <c r="L107" s="122">
        <f t="shared" si="18"/>
        <v>85066.19</v>
      </c>
      <c r="M107" s="116">
        <f t="shared" si="19"/>
        <v>42533.19</v>
      </c>
      <c r="N107" s="123">
        <f t="shared" si="20"/>
        <v>70.653139534883721</v>
      </c>
      <c r="O107" s="5"/>
      <c r="P107" s="5">
        <f t="shared" si="16"/>
        <v>1</v>
      </c>
      <c r="Q107" s="7">
        <f t="shared" si="17"/>
        <v>602</v>
      </c>
    </row>
    <row r="108" spans="1:21">
      <c r="A108" s="23" t="s">
        <v>120</v>
      </c>
      <c r="B108" s="35" t="s">
        <v>118</v>
      </c>
      <c r="C108" s="36">
        <v>1460</v>
      </c>
      <c r="D108" s="113">
        <v>39508000</v>
      </c>
      <c r="E108" s="116">
        <f t="shared" si="27"/>
        <v>27060.273972602739</v>
      </c>
      <c r="F108" s="117">
        <v>15544390</v>
      </c>
      <c r="G108" s="117">
        <f t="shared" si="28"/>
        <v>10646.842465753425</v>
      </c>
      <c r="H108" s="7"/>
      <c r="I108" s="109">
        <v>4.7362000000000002</v>
      </c>
      <c r="J108" s="117">
        <v>73621</v>
      </c>
      <c r="K108" s="120">
        <f t="shared" si="29"/>
        <v>50.425342465753424</v>
      </c>
      <c r="L108" s="122">
        <f t="shared" si="18"/>
        <v>155443.9</v>
      </c>
      <c r="M108" s="116">
        <f t="shared" si="19"/>
        <v>81822.899999999994</v>
      </c>
      <c r="N108" s="123">
        <f t="shared" si="20"/>
        <v>56.043082191780819</v>
      </c>
      <c r="O108" s="5"/>
      <c r="P108" s="5">
        <f t="shared" si="16"/>
        <v>1</v>
      </c>
      <c r="Q108" s="7">
        <f t="shared" si="17"/>
        <v>1460</v>
      </c>
    </row>
    <row r="109" spans="1:21">
      <c r="A109" s="23" t="s">
        <v>121</v>
      </c>
      <c r="B109" s="35" t="s">
        <v>118</v>
      </c>
      <c r="C109" s="36">
        <v>1765</v>
      </c>
      <c r="D109" s="113">
        <v>102182415</v>
      </c>
      <c r="E109" s="116">
        <f t="shared" si="27"/>
        <v>57893.719546742206</v>
      </c>
      <c r="F109" s="117">
        <v>66313758</v>
      </c>
      <c r="G109" s="117">
        <f t="shared" si="28"/>
        <v>37571.534277620398</v>
      </c>
      <c r="H109" s="7"/>
      <c r="I109" s="109">
        <v>1.7304999999999999</v>
      </c>
      <c r="J109" s="117">
        <v>114756</v>
      </c>
      <c r="K109" s="120">
        <f t="shared" si="29"/>
        <v>65.017563739376769</v>
      </c>
      <c r="L109" s="122">
        <f t="shared" si="18"/>
        <v>663137.57999999996</v>
      </c>
      <c r="M109" s="116">
        <f t="shared" si="19"/>
        <v>548381.57999999996</v>
      </c>
      <c r="N109" s="123">
        <f t="shared" si="20"/>
        <v>310.69777903682717</v>
      </c>
      <c r="O109" s="5"/>
      <c r="P109" s="5">
        <f t="shared" si="16"/>
        <v>1</v>
      </c>
      <c r="Q109" s="7">
        <f t="shared" si="17"/>
        <v>1765</v>
      </c>
    </row>
    <row r="110" spans="1:21">
      <c r="A110" s="23" t="s">
        <v>122</v>
      </c>
      <c r="B110" s="35" t="s">
        <v>118</v>
      </c>
      <c r="C110" s="36">
        <v>3076</v>
      </c>
      <c r="D110" s="113">
        <v>186168619</v>
      </c>
      <c r="E110" s="116">
        <f t="shared" si="27"/>
        <v>60522.958062418729</v>
      </c>
      <c r="F110" s="117">
        <v>130480319</v>
      </c>
      <c r="G110" s="117">
        <f t="shared" si="28"/>
        <v>42418.829323797137</v>
      </c>
      <c r="H110" s="7"/>
      <c r="I110" s="109">
        <v>3.6667999999999998</v>
      </c>
      <c r="J110" s="117">
        <v>478445</v>
      </c>
      <c r="K110" s="120">
        <f t="shared" si="29"/>
        <v>155.54128738621586</v>
      </c>
      <c r="L110" s="122">
        <f t="shared" si="18"/>
        <v>1304803.19</v>
      </c>
      <c r="M110" s="116">
        <f t="shared" si="19"/>
        <v>826358.19</v>
      </c>
      <c r="N110" s="123">
        <f t="shared" si="20"/>
        <v>268.64700585175552</v>
      </c>
      <c r="O110" s="5"/>
      <c r="P110" s="5">
        <f t="shared" si="16"/>
        <v>1</v>
      </c>
      <c r="Q110" s="7">
        <f t="shared" si="17"/>
        <v>3076</v>
      </c>
    </row>
    <row r="111" spans="1:21">
      <c r="A111" s="23" t="s">
        <v>123</v>
      </c>
      <c r="B111" s="35" t="s">
        <v>118</v>
      </c>
      <c r="C111" s="36">
        <v>7868</v>
      </c>
      <c r="D111" s="113">
        <v>479813409</v>
      </c>
      <c r="E111" s="116">
        <f t="shared" si="27"/>
        <v>60982.893873919675</v>
      </c>
      <c r="F111" s="117">
        <v>223796946</v>
      </c>
      <c r="G111" s="117">
        <f t="shared" si="28"/>
        <v>28443.943314692424</v>
      </c>
      <c r="H111" s="9"/>
      <c r="I111" s="109">
        <v>4.6561000000000003</v>
      </c>
      <c r="J111" s="117">
        <v>1042021</v>
      </c>
      <c r="K111" s="120">
        <f t="shared" si="29"/>
        <v>132.437849517031</v>
      </c>
      <c r="L111" s="122">
        <f t="shared" si="18"/>
        <v>2237969.46</v>
      </c>
      <c r="M111" s="116">
        <f t="shared" si="19"/>
        <v>1195948.46</v>
      </c>
      <c r="N111" s="123">
        <f t="shared" si="20"/>
        <v>152.00158362989325</v>
      </c>
      <c r="O111" s="5"/>
      <c r="P111" s="5">
        <f t="shared" si="16"/>
        <v>1</v>
      </c>
      <c r="Q111" s="7">
        <f t="shared" si="17"/>
        <v>7868</v>
      </c>
      <c r="S111" s="124">
        <f>SUM(D106:D111)</f>
        <v>1068168616</v>
      </c>
      <c r="T111" s="124">
        <f>SUM(F106:F111)</f>
        <v>480596551</v>
      </c>
      <c r="U111" s="124">
        <f>SUM(J106:J111)</f>
        <v>1780384</v>
      </c>
    </row>
    <row r="112" spans="1:21">
      <c r="A112" s="23" t="s">
        <v>124</v>
      </c>
      <c r="B112" s="35" t="s">
        <v>125</v>
      </c>
      <c r="C112" s="36">
        <v>440</v>
      </c>
      <c r="D112" s="113">
        <v>40385184</v>
      </c>
      <c r="E112" s="116">
        <f t="shared" si="27"/>
        <v>91784.509090909094</v>
      </c>
      <c r="F112" s="117">
        <v>16873042</v>
      </c>
      <c r="G112" s="117">
        <f t="shared" si="28"/>
        <v>38347.822727272731</v>
      </c>
      <c r="H112" s="9"/>
      <c r="I112" s="109">
        <v>2</v>
      </c>
      <c r="J112" s="117">
        <v>33746</v>
      </c>
      <c r="K112" s="120">
        <f t="shared" si="29"/>
        <v>76.695454545454552</v>
      </c>
      <c r="L112" s="122">
        <f t="shared" si="18"/>
        <v>168730.42</v>
      </c>
      <c r="M112" s="116">
        <f t="shared" si="19"/>
        <v>134984.42000000001</v>
      </c>
      <c r="N112" s="123">
        <f t="shared" si="20"/>
        <v>306.78277272727274</v>
      </c>
      <c r="O112" s="5"/>
      <c r="P112" s="5">
        <f t="shared" si="16"/>
        <v>1</v>
      </c>
      <c r="Q112" s="7">
        <f t="shared" si="17"/>
        <v>440</v>
      </c>
    </row>
    <row r="113" spans="1:21">
      <c r="A113" s="23" t="s">
        <v>126</v>
      </c>
      <c r="B113" s="35" t="s">
        <v>125</v>
      </c>
      <c r="C113" s="36">
        <v>1985</v>
      </c>
      <c r="D113" s="113">
        <v>108410226</v>
      </c>
      <c r="E113" s="116">
        <f t="shared" si="27"/>
        <v>54614.723425692697</v>
      </c>
      <c r="F113" s="117">
        <v>54362502</v>
      </c>
      <c r="G113" s="117">
        <f t="shared" si="28"/>
        <v>27386.650881612091</v>
      </c>
      <c r="H113" s="9"/>
      <c r="I113" s="110">
        <v>3</v>
      </c>
      <c r="J113" s="117">
        <v>163088</v>
      </c>
      <c r="K113" s="120">
        <f t="shared" si="29"/>
        <v>82.160201511335018</v>
      </c>
      <c r="L113" s="122">
        <f t="shared" si="18"/>
        <v>543625.02</v>
      </c>
      <c r="M113" s="116">
        <f t="shared" si="19"/>
        <v>380537.02</v>
      </c>
      <c r="N113" s="123">
        <f t="shared" si="20"/>
        <v>191.70630730478589</v>
      </c>
      <c r="O113" s="5"/>
      <c r="P113" s="5">
        <f t="shared" si="16"/>
        <v>1</v>
      </c>
      <c r="Q113" s="7">
        <f t="shared" si="17"/>
        <v>1985</v>
      </c>
    </row>
    <row r="114" spans="1:21">
      <c r="A114" s="23" t="s">
        <v>127</v>
      </c>
      <c r="B114" s="35" t="s">
        <v>128</v>
      </c>
      <c r="C114" s="36">
        <v>754</v>
      </c>
      <c r="D114" s="113">
        <f>(22565479+36593137)</f>
        <v>59158616</v>
      </c>
      <c r="E114" s="116">
        <f t="shared" si="27"/>
        <v>78459.70291777188</v>
      </c>
      <c r="F114" s="117">
        <f>(16309264+22001051)</f>
        <v>38310315</v>
      </c>
      <c r="G114" s="117">
        <f t="shared" si="28"/>
        <v>50809.436339522545</v>
      </c>
      <c r="H114" s="7"/>
      <c r="I114" s="110">
        <v>3</v>
      </c>
      <c r="J114" s="117">
        <f>(48928+66003)</f>
        <v>114931</v>
      </c>
      <c r="K114" s="120">
        <f t="shared" si="29"/>
        <v>152.42838196286473</v>
      </c>
      <c r="L114" s="122">
        <f t="shared" si="18"/>
        <v>383103.15</v>
      </c>
      <c r="M114" s="116">
        <f t="shared" si="19"/>
        <v>268172.15000000002</v>
      </c>
      <c r="N114" s="123">
        <f t="shared" si="20"/>
        <v>355.66598143236075</v>
      </c>
      <c r="O114" s="5"/>
      <c r="P114" s="5">
        <f t="shared" si="16"/>
        <v>1</v>
      </c>
      <c r="Q114" s="7">
        <f t="shared" si="17"/>
        <v>754</v>
      </c>
      <c r="S114" s="124">
        <f>SUM(D112:D114)</f>
        <v>207954026</v>
      </c>
      <c r="T114" s="124">
        <f>SUM(F112:F114)</f>
        <v>109545859</v>
      </c>
      <c r="U114" s="124">
        <f>SUM(J112:J114)</f>
        <v>311765</v>
      </c>
    </row>
    <row r="115" spans="1:21">
      <c r="A115" s="23" t="s">
        <v>129</v>
      </c>
      <c r="B115" s="35" t="s">
        <v>130</v>
      </c>
      <c r="C115" s="36">
        <v>1637</v>
      </c>
      <c r="D115" s="113">
        <v>86564517</v>
      </c>
      <c r="E115" s="116">
        <f t="shared" si="27"/>
        <v>52879.973732437385</v>
      </c>
      <c r="F115" s="117">
        <v>38896025</v>
      </c>
      <c r="G115" s="117">
        <f t="shared" si="28"/>
        <v>23760.552840562003</v>
      </c>
      <c r="H115" s="9"/>
      <c r="I115" s="109">
        <v>4.8571</v>
      </c>
      <c r="J115" s="117">
        <v>188922</v>
      </c>
      <c r="K115" s="120"/>
      <c r="L115" s="122">
        <f t="shared" si="18"/>
        <v>388960.25</v>
      </c>
      <c r="M115" s="116">
        <f t="shared" si="19"/>
        <v>200038.25</v>
      </c>
      <c r="N115" s="123">
        <f t="shared" si="20"/>
        <v>122.19807574832009</v>
      </c>
      <c r="O115" s="5"/>
      <c r="P115" s="5">
        <f t="shared" si="16"/>
        <v>1</v>
      </c>
      <c r="Q115" s="7">
        <f t="shared" si="17"/>
        <v>1637</v>
      </c>
      <c r="S115" s="124">
        <f>SUM(D115)</f>
        <v>86564517</v>
      </c>
      <c r="T115" s="124">
        <f>SUM(F115)</f>
        <v>38896025</v>
      </c>
      <c r="U115" s="124">
        <f>SUM(J115)</f>
        <v>188922</v>
      </c>
    </row>
    <row r="116" spans="1:21">
      <c r="A116" s="24" t="s">
        <v>545</v>
      </c>
      <c r="B116" s="35" t="s">
        <v>131</v>
      </c>
      <c r="C116" s="36">
        <v>3462</v>
      </c>
      <c r="D116" s="113">
        <v>439384371</v>
      </c>
      <c r="E116" s="116">
        <f t="shared" si="27"/>
        <v>126916.34055459272</v>
      </c>
      <c r="F116" s="117">
        <v>291817422</v>
      </c>
      <c r="G116" s="117">
        <f t="shared" si="28"/>
        <v>84291.571923743497</v>
      </c>
      <c r="H116" s="9"/>
      <c r="I116" s="109">
        <v>3.5914000000000001</v>
      </c>
      <c r="J116" s="117">
        <v>1048033</v>
      </c>
      <c r="K116" s="120">
        <f t="shared" si="29"/>
        <v>302.72472559214327</v>
      </c>
      <c r="L116" s="122">
        <f t="shared" si="18"/>
        <v>2918174.22</v>
      </c>
      <c r="M116" s="116">
        <f t="shared" si="19"/>
        <v>1870141.2200000002</v>
      </c>
      <c r="N116" s="123">
        <f t="shared" si="20"/>
        <v>540.19099364529177</v>
      </c>
      <c r="O116" s="5"/>
      <c r="P116" s="5">
        <f t="shared" si="16"/>
        <v>1</v>
      </c>
      <c r="Q116" s="7">
        <f t="shared" si="17"/>
        <v>3462</v>
      </c>
    </row>
    <row r="117" spans="1:21">
      <c r="A117" s="23" t="s">
        <v>132</v>
      </c>
      <c r="B117" s="35" t="s">
        <v>131</v>
      </c>
      <c r="C117" s="36">
        <v>1967</v>
      </c>
      <c r="D117" s="113">
        <v>106982937</v>
      </c>
      <c r="E117" s="116">
        <f t="shared" si="27"/>
        <v>54388.885104219626</v>
      </c>
      <c r="F117" s="117">
        <v>64332627</v>
      </c>
      <c r="G117" s="117">
        <f t="shared" si="28"/>
        <v>32705.961870869345</v>
      </c>
      <c r="H117" s="9"/>
      <c r="I117" s="109">
        <v>6</v>
      </c>
      <c r="J117" s="117">
        <v>385996</v>
      </c>
      <c r="K117" s="120">
        <f t="shared" si="29"/>
        <v>196.23589222165734</v>
      </c>
      <c r="L117" s="122">
        <f t="shared" si="18"/>
        <v>643326.27</v>
      </c>
      <c r="M117" s="116">
        <f t="shared" si="19"/>
        <v>257330.27000000002</v>
      </c>
      <c r="N117" s="123">
        <f t="shared" si="20"/>
        <v>130.82372648703611</v>
      </c>
      <c r="O117" s="5"/>
      <c r="P117" s="5">
        <f t="shared" si="16"/>
        <v>1</v>
      </c>
      <c r="Q117" s="7">
        <f t="shared" si="17"/>
        <v>1967</v>
      </c>
      <c r="S117" s="124">
        <f>SUM(D116:D117)</f>
        <v>546367308</v>
      </c>
      <c r="T117" s="124">
        <f>SUM(F116:F117)</f>
        <v>356150049</v>
      </c>
      <c r="U117" s="124">
        <f>SUM(J116:J117)</f>
        <v>1434029</v>
      </c>
    </row>
    <row r="118" spans="1:21">
      <c r="A118" s="23" t="s">
        <v>133</v>
      </c>
      <c r="B118" s="35" t="s">
        <v>134</v>
      </c>
      <c r="C118" s="36">
        <v>2868</v>
      </c>
      <c r="D118" s="113">
        <v>97749976</v>
      </c>
      <c r="E118" s="116">
        <f t="shared" si="27"/>
        <v>34082.976290097627</v>
      </c>
      <c r="F118" s="117">
        <v>46377095</v>
      </c>
      <c r="G118" s="117">
        <f t="shared" si="28"/>
        <v>16170.535216178521</v>
      </c>
      <c r="H118" s="7"/>
      <c r="I118" s="109">
        <v>7.1677</v>
      </c>
      <c r="J118" s="117">
        <v>332417</v>
      </c>
      <c r="K118" s="120">
        <f t="shared" si="29"/>
        <v>115.9055090655509</v>
      </c>
      <c r="L118" s="122">
        <f t="shared" si="18"/>
        <v>463770.95</v>
      </c>
      <c r="M118" s="116">
        <f t="shared" si="19"/>
        <v>131353.95000000001</v>
      </c>
      <c r="N118" s="123">
        <f t="shared" si="20"/>
        <v>45.799843096234312</v>
      </c>
      <c r="O118" s="5"/>
      <c r="P118" s="5">
        <f t="shared" si="16"/>
        <v>1</v>
      </c>
      <c r="Q118" s="7">
        <f t="shared" si="17"/>
        <v>2868</v>
      </c>
    </row>
    <row r="119" spans="1:21">
      <c r="A119" s="23" t="s">
        <v>135</v>
      </c>
      <c r="B119" s="35" t="s">
        <v>134</v>
      </c>
      <c r="C119" s="36">
        <v>884</v>
      </c>
      <c r="D119" s="113">
        <v>19650005</v>
      </c>
      <c r="E119" s="116">
        <f t="shared" si="27"/>
        <v>22228.512443438914</v>
      </c>
      <c r="F119" s="117">
        <v>11543496</v>
      </c>
      <c r="G119" s="117">
        <f t="shared" si="28"/>
        <v>13058.253393665158</v>
      </c>
      <c r="H119" s="7"/>
      <c r="I119" s="109">
        <v>2</v>
      </c>
      <c r="J119" s="117">
        <v>23087</v>
      </c>
      <c r="K119" s="120">
        <f t="shared" si="29"/>
        <v>26.116515837104071</v>
      </c>
      <c r="L119" s="122">
        <f t="shared" si="18"/>
        <v>115434.96</v>
      </c>
      <c r="M119" s="116">
        <f t="shared" si="19"/>
        <v>92347.96</v>
      </c>
      <c r="N119" s="123">
        <f t="shared" si="20"/>
        <v>104.46601809954751</v>
      </c>
      <c r="O119" s="5"/>
      <c r="P119" s="5">
        <f t="shared" si="16"/>
        <v>1</v>
      </c>
      <c r="Q119" s="7">
        <f t="shared" si="17"/>
        <v>884</v>
      </c>
    </row>
    <row r="120" spans="1:21">
      <c r="A120" s="23" t="s">
        <v>136</v>
      </c>
      <c r="B120" s="35" t="s">
        <v>134</v>
      </c>
      <c r="C120" s="36">
        <v>784</v>
      </c>
      <c r="D120" s="113">
        <v>32670827</v>
      </c>
      <c r="E120" s="116">
        <f t="shared" si="27"/>
        <v>41671.973214285717</v>
      </c>
      <c r="F120" s="117">
        <v>15938080</v>
      </c>
      <c r="G120" s="117">
        <f t="shared" si="28"/>
        <v>20329.183673469386</v>
      </c>
      <c r="H120" s="7"/>
      <c r="I120" s="109">
        <v>4.2309999999999999</v>
      </c>
      <c r="J120" s="117">
        <v>67434</v>
      </c>
      <c r="K120" s="120">
        <f t="shared" si="29"/>
        <v>86.012755102040813</v>
      </c>
      <c r="L120" s="122">
        <f t="shared" si="18"/>
        <v>159380.80000000002</v>
      </c>
      <c r="M120" s="116">
        <f t="shared" si="19"/>
        <v>91946.800000000017</v>
      </c>
      <c r="N120" s="123">
        <f t="shared" si="20"/>
        <v>117.27908163265309</v>
      </c>
      <c r="O120" s="5"/>
      <c r="P120" s="5">
        <f t="shared" si="16"/>
        <v>1</v>
      </c>
      <c r="Q120" s="7">
        <f t="shared" si="17"/>
        <v>784</v>
      </c>
      <c r="S120" s="124">
        <f>SUM(D118:D120)</f>
        <v>150070808</v>
      </c>
      <c r="T120" s="124">
        <f>SUM(F118:F120)</f>
        <v>73858671</v>
      </c>
      <c r="U120" s="124">
        <f>SUM(J118:J120)</f>
        <v>422938</v>
      </c>
    </row>
    <row r="121" spans="1:21">
      <c r="A121" s="23" t="s">
        <v>137</v>
      </c>
      <c r="B121" s="35" t="s">
        <v>138</v>
      </c>
      <c r="C121" s="36">
        <v>2914</v>
      </c>
      <c r="D121" s="113">
        <v>60053261</v>
      </c>
      <c r="E121" s="116">
        <f t="shared" si="27"/>
        <v>20608.531571722717</v>
      </c>
      <c r="F121" s="117">
        <v>29830583</v>
      </c>
      <c r="G121" s="117">
        <f t="shared" si="28"/>
        <v>10236.987989018531</v>
      </c>
      <c r="H121" s="7"/>
      <c r="I121" s="109">
        <v>7.25</v>
      </c>
      <c r="J121" s="117">
        <v>216272</v>
      </c>
      <c r="K121" s="120">
        <f t="shared" si="29"/>
        <v>74.218256691832536</v>
      </c>
      <c r="L121" s="122">
        <f t="shared" si="18"/>
        <v>298305.83</v>
      </c>
      <c r="M121" s="116">
        <f t="shared" si="19"/>
        <v>82033.830000000016</v>
      </c>
      <c r="N121" s="123">
        <f t="shared" si="20"/>
        <v>28.151623198352784</v>
      </c>
      <c r="O121" s="5"/>
      <c r="P121" s="5">
        <f t="shared" si="16"/>
        <v>1</v>
      </c>
      <c r="Q121" s="7">
        <f t="shared" si="17"/>
        <v>2914</v>
      </c>
    </row>
    <row r="122" spans="1:21">
      <c r="A122" s="23" t="s">
        <v>139</v>
      </c>
      <c r="B122" s="35" t="s">
        <v>138</v>
      </c>
      <c r="C122" s="36">
        <v>4948</v>
      </c>
      <c r="D122" s="113">
        <v>193823257</v>
      </c>
      <c r="E122" s="116">
        <f t="shared" si="27"/>
        <v>39172.040622473723</v>
      </c>
      <c r="F122" s="117">
        <v>100772567</v>
      </c>
      <c r="G122" s="117">
        <f t="shared" si="28"/>
        <v>20366.323160873078</v>
      </c>
      <c r="H122" s="7"/>
      <c r="I122" s="109">
        <v>5.6485000000000003</v>
      </c>
      <c r="J122" s="117">
        <v>569214</v>
      </c>
      <c r="K122" s="120">
        <f t="shared" si="29"/>
        <v>115.03920776071139</v>
      </c>
      <c r="L122" s="122">
        <f t="shared" si="18"/>
        <v>1007725.67</v>
      </c>
      <c r="M122" s="116">
        <f t="shared" si="19"/>
        <v>438511.67000000004</v>
      </c>
      <c r="N122" s="123">
        <f t="shared" si="20"/>
        <v>88.624023848019405</v>
      </c>
      <c r="O122" s="5"/>
      <c r="P122" s="5">
        <f t="shared" si="16"/>
        <v>1</v>
      </c>
      <c r="Q122" s="7">
        <f t="shared" si="17"/>
        <v>4948</v>
      </c>
    </row>
    <row r="123" spans="1:21">
      <c r="A123" s="23" t="s">
        <v>140</v>
      </c>
      <c r="B123" s="35" t="s">
        <v>138</v>
      </c>
      <c r="C123" s="36">
        <v>1827</v>
      </c>
      <c r="D123" s="113">
        <v>47323834</v>
      </c>
      <c r="E123" s="116">
        <f t="shared" si="27"/>
        <v>25902.481663929939</v>
      </c>
      <c r="F123" s="117">
        <v>22630613</v>
      </c>
      <c r="G123" s="117">
        <f t="shared" si="28"/>
        <v>12386.76135741653</v>
      </c>
      <c r="H123" s="7"/>
      <c r="I123" s="109">
        <v>9</v>
      </c>
      <c r="J123" s="117">
        <v>203676</v>
      </c>
      <c r="K123" s="120">
        <f t="shared" si="29"/>
        <v>111.48111658456486</v>
      </c>
      <c r="L123" s="122">
        <f t="shared" si="18"/>
        <v>226306.13</v>
      </c>
      <c r="M123" s="116">
        <f t="shared" si="19"/>
        <v>22630.130000000005</v>
      </c>
      <c r="N123" s="123">
        <f t="shared" si="20"/>
        <v>12.38649698960044</v>
      </c>
      <c r="O123" s="5"/>
      <c r="P123" s="5">
        <f t="shared" si="16"/>
        <v>1</v>
      </c>
      <c r="Q123" s="7">
        <f t="shared" si="17"/>
        <v>1827</v>
      </c>
      <c r="S123" s="124">
        <f>SUM(D121:D123)</f>
        <v>301200352</v>
      </c>
      <c r="T123" s="124">
        <f>SUM(F121:F123)</f>
        <v>153233763</v>
      </c>
      <c r="U123" s="124">
        <f>SUM(J121:J123)</f>
        <v>989162</v>
      </c>
    </row>
    <row r="124" spans="1:21">
      <c r="A124" s="23" t="s">
        <v>141</v>
      </c>
      <c r="B124" s="35" t="s">
        <v>142</v>
      </c>
      <c r="C124" s="36">
        <v>7161</v>
      </c>
      <c r="D124" s="113">
        <v>420638847</v>
      </c>
      <c r="E124" s="116">
        <f t="shared" si="27"/>
        <v>58740.238374528701</v>
      </c>
      <c r="F124" s="117">
        <v>198945605</v>
      </c>
      <c r="G124" s="117">
        <f t="shared" si="28"/>
        <v>27781.818880044688</v>
      </c>
      <c r="H124" s="7"/>
      <c r="I124" s="109">
        <v>6.2</v>
      </c>
      <c r="J124" s="117">
        <v>1233463</v>
      </c>
      <c r="K124" s="120">
        <f t="shared" si="29"/>
        <v>172.24731182795699</v>
      </c>
      <c r="L124" s="122">
        <f t="shared" si="18"/>
        <v>1989456.05</v>
      </c>
      <c r="M124" s="116">
        <f t="shared" si="19"/>
        <v>755993.05</v>
      </c>
      <c r="N124" s="123">
        <f t="shared" si="20"/>
        <v>105.57087697248988</v>
      </c>
      <c r="O124" s="5"/>
      <c r="P124" s="5">
        <f t="shared" si="16"/>
        <v>1</v>
      </c>
      <c r="Q124" s="7">
        <f t="shared" si="17"/>
        <v>7161</v>
      </c>
    </row>
    <row r="125" spans="1:21">
      <c r="A125" s="23" t="s">
        <v>558</v>
      </c>
      <c r="B125" s="35" t="s">
        <v>142</v>
      </c>
      <c r="C125" s="36">
        <v>4628</v>
      </c>
      <c r="D125" s="113">
        <v>342702354</v>
      </c>
      <c r="E125" s="116">
        <f t="shared" si="27"/>
        <v>74049.773984442523</v>
      </c>
      <c r="F125" s="117">
        <v>176845730</v>
      </c>
      <c r="G125" s="117">
        <f t="shared" si="28"/>
        <v>38212.128349178915</v>
      </c>
      <c r="H125" s="7"/>
      <c r="I125" s="109">
        <v>3</v>
      </c>
      <c r="J125" s="117">
        <v>530537</v>
      </c>
      <c r="K125" s="120">
        <f t="shared" si="29"/>
        <v>114.63634399308556</v>
      </c>
      <c r="L125" s="122">
        <f t="shared" si="18"/>
        <v>1768457.3</v>
      </c>
      <c r="M125" s="116">
        <f t="shared" si="19"/>
        <v>1237920.3</v>
      </c>
      <c r="N125" s="123">
        <f t="shared" si="20"/>
        <v>267.48493949870357</v>
      </c>
      <c r="O125" s="5"/>
      <c r="P125" s="5">
        <f t="shared" si="16"/>
        <v>1</v>
      </c>
      <c r="Q125" s="7">
        <f t="shared" si="17"/>
        <v>4628</v>
      </c>
      <c r="S125" s="124">
        <f>SUM(D124:D125)</f>
        <v>763341201</v>
      </c>
      <c r="T125" s="124">
        <f>SUM(F124:F125)</f>
        <v>375791335</v>
      </c>
      <c r="U125" s="124">
        <f>SUM(J124:J125)</f>
        <v>1764000</v>
      </c>
    </row>
    <row r="126" spans="1:21">
      <c r="A126" s="23" t="s">
        <v>143</v>
      </c>
      <c r="B126" s="35" t="s">
        <v>144</v>
      </c>
      <c r="C126" s="36">
        <v>7711</v>
      </c>
      <c r="D126" s="113">
        <v>670602216</v>
      </c>
      <c r="E126" s="116">
        <f t="shared" si="27"/>
        <v>86966.958371158093</v>
      </c>
      <c r="F126" s="117">
        <v>389712486</v>
      </c>
      <c r="G126" s="117">
        <f t="shared" si="28"/>
        <v>50539.811438205164</v>
      </c>
      <c r="H126" s="7"/>
      <c r="I126" s="109">
        <v>6.37</v>
      </c>
      <c r="J126" s="117">
        <v>2482469</v>
      </c>
      <c r="K126" s="120">
        <f t="shared" si="29"/>
        <v>321.93865905848787</v>
      </c>
      <c r="L126" s="122">
        <f t="shared" si="18"/>
        <v>3897124.86</v>
      </c>
      <c r="M126" s="116">
        <f t="shared" si="19"/>
        <v>1414655.8599999999</v>
      </c>
      <c r="N126" s="123">
        <f t="shared" si="20"/>
        <v>183.45945532356373</v>
      </c>
      <c r="O126" s="5"/>
      <c r="P126" s="5">
        <f t="shared" si="16"/>
        <v>1</v>
      </c>
      <c r="Q126" s="7">
        <f t="shared" si="17"/>
        <v>7711</v>
      </c>
    </row>
    <row r="127" spans="1:21">
      <c r="A127" s="23" t="s">
        <v>145</v>
      </c>
      <c r="B127" s="35" t="s">
        <v>144</v>
      </c>
      <c r="C127" s="36">
        <v>12</v>
      </c>
      <c r="D127" s="113">
        <v>32505754</v>
      </c>
      <c r="E127" s="116">
        <f t="shared" si="27"/>
        <v>2708812.8333333335</v>
      </c>
      <c r="F127" s="117">
        <v>17622256</v>
      </c>
      <c r="G127" s="117">
        <f t="shared" si="28"/>
        <v>1468521.3333333333</v>
      </c>
      <c r="H127" s="7"/>
      <c r="I127" s="109">
        <v>2.7837999999999998</v>
      </c>
      <c r="J127" s="117">
        <v>49057</v>
      </c>
      <c r="K127" s="120">
        <f t="shared" si="29"/>
        <v>4088.0833333333335</v>
      </c>
      <c r="L127" s="122">
        <f t="shared" si="18"/>
        <v>176222.56</v>
      </c>
      <c r="M127" s="116">
        <f t="shared" si="19"/>
        <v>127165.56</v>
      </c>
      <c r="N127" s="123">
        <f t="shared" si="20"/>
        <v>10597.13</v>
      </c>
      <c r="O127" s="5"/>
      <c r="P127" s="5">
        <f t="shared" si="16"/>
        <v>1</v>
      </c>
      <c r="Q127" s="7">
        <f t="shared" si="17"/>
        <v>12</v>
      </c>
      <c r="S127" s="124">
        <f>SUM(D126:D127)</f>
        <v>703107970</v>
      </c>
      <c r="T127" s="124">
        <f>SUM(F126:F127)</f>
        <v>407334742</v>
      </c>
      <c r="U127" s="124">
        <f>SUM(J126:J127)</f>
        <v>2531526</v>
      </c>
    </row>
    <row r="128" spans="1:21">
      <c r="A128" s="23" t="s">
        <v>146</v>
      </c>
      <c r="B128" s="35" t="s">
        <v>147</v>
      </c>
      <c r="C128" s="36">
        <v>8865</v>
      </c>
      <c r="D128" s="113">
        <v>408846102</v>
      </c>
      <c r="E128" s="116">
        <f t="shared" si="27"/>
        <v>46119.13164128596</v>
      </c>
      <c r="F128" s="117">
        <v>232566224</v>
      </c>
      <c r="G128" s="117">
        <f t="shared" si="28"/>
        <v>26234.204624929498</v>
      </c>
      <c r="H128" s="7"/>
      <c r="I128" s="109">
        <v>5.8745000000000003</v>
      </c>
      <c r="J128" s="117">
        <v>1366210</v>
      </c>
      <c r="K128" s="120">
        <f t="shared" si="29"/>
        <v>154.11280315848845</v>
      </c>
      <c r="L128" s="122">
        <f t="shared" si="18"/>
        <v>2325662.2400000002</v>
      </c>
      <c r="M128" s="116">
        <f t="shared" si="19"/>
        <v>959452.24000000022</v>
      </c>
      <c r="N128" s="123">
        <f t="shared" si="20"/>
        <v>108.22924309080656</v>
      </c>
      <c r="O128" s="5"/>
      <c r="P128" s="5">
        <f t="shared" si="16"/>
        <v>1</v>
      </c>
      <c r="Q128" s="7">
        <f t="shared" si="17"/>
        <v>8865</v>
      </c>
    </row>
    <row r="129" spans="1:21">
      <c r="A129" s="23" t="s">
        <v>148</v>
      </c>
      <c r="B129" s="35" t="s">
        <v>147</v>
      </c>
      <c r="C129" s="36">
        <v>2175</v>
      </c>
      <c r="D129" s="113">
        <v>245006433</v>
      </c>
      <c r="E129" s="116">
        <f t="shared" si="27"/>
        <v>112646.63586206897</v>
      </c>
      <c r="F129" s="117">
        <v>167770365</v>
      </c>
      <c r="G129" s="117">
        <f t="shared" si="28"/>
        <v>77135.8</v>
      </c>
      <c r="H129" s="7"/>
      <c r="I129" s="109">
        <v>3.65</v>
      </c>
      <c r="J129" s="117">
        <v>612362</v>
      </c>
      <c r="K129" s="120">
        <f t="shared" si="29"/>
        <v>281.54574712643677</v>
      </c>
      <c r="L129" s="122">
        <f t="shared" si="18"/>
        <v>1677703.6500000001</v>
      </c>
      <c r="M129" s="116">
        <f t="shared" si="19"/>
        <v>1065341.6500000001</v>
      </c>
      <c r="N129" s="123">
        <f t="shared" si="20"/>
        <v>489.8122528735633</v>
      </c>
      <c r="O129" s="5"/>
      <c r="P129" s="5">
        <f t="shared" si="16"/>
        <v>1</v>
      </c>
      <c r="Q129" s="7">
        <f t="shared" si="17"/>
        <v>2175</v>
      </c>
    </row>
    <row r="130" spans="1:21">
      <c r="A130" s="23" t="s">
        <v>149</v>
      </c>
      <c r="B130" s="35" t="s">
        <v>147</v>
      </c>
      <c r="C130" s="36">
        <v>10540</v>
      </c>
      <c r="D130" s="113">
        <v>850780212</v>
      </c>
      <c r="E130" s="116">
        <f t="shared" si="27"/>
        <v>80719.185199240994</v>
      </c>
      <c r="F130" s="117">
        <v>597611896</v>
      </c>
      <c r="G130" s="117">
        <f t="shared" si="28"/>
        <v>56699.420872865274</v>
      </c>
      <c r="H130" s="7"/>
      <c r="I130" s="109">
        <v>5.25</v>
      </c>
      <c r="J130" s="117">
        <v>3137462</v>
      </c>
      <c r="K130" s="120">
        <f t="shared" si="29"/>
        <v>297.67191650853891</v>
      </c>
      <c r="L130" s="122">
        <f t="shared" si="18"/>
        <v>5976118.96</v>
      </c>
      <c r="M130" s="116">
        <f t="shared" si="19"/>
        <v>2838656.96</v>
      </c>
      <c r="N130" s="123">
        <f t="shared" si="20"/>
        <v>269.32229222011387</v>
      </c>
      <c r="O130" s="5"/>
      <c r="P130" s="5">
        <f t="shared" si="16"/>
        <v>1</v>
      </c>
      <c r="Q130" s="7">
        <f t="shared" si="17"/>
        <v>10540</v>
      </c>
      <c r="S130" s="124">
        <f>SUM(D128:D130)</f>
        <v>1504632747</v>
      </c>
      <c r="T130" s="124">
        <f>SUM(F128:F130)</f>
        <v>997948485</v>
      </c>
      <c r="U130" s="124">
        <f>SUM(J128:J130)</f>
        <v>5116034</v>
      </c>
    </row>
    <row r="131" spans="1:21">
      <c r="A131" s="23" t="s">
        <v>150</v>
      </c>
      <c r="B131" s="35" t="s">
        <v>151</v>
      </c>
      <c r="C131" s="36">
        <v>34746</v>
      </c>
      <c r="D131" s="113">
        <v>2134480841</v>
      </c>
      <c r="E131" s="116">
        <f t="shared" si="27"/>
        <v>61430.980285500489</v>
      </c>
      <c r="F131" s="117">
        <v>1489754928</v>
      </c>
      <c r="G131" s="117">
        <f t="shared" si="28"/>
        <v>42875.580728716974</v>
      </c>
      <c r="H131" s="7"/>
      <c r="I131" s="109">
        <v>4.7157</v>
      </c>
      <c r="J131" s="117">
        <v>7025237</v>
      </c>
      <c r="K131" s="120">
        <f t="shared" si="29"/>
        <v>202.18836700627409</v>
      </c>
      <c r="L131" s="122">
        <f t="shared" si="18"/>
        <v>14897549.280000001</v>
      </c>
      <c r="M131" s="116">
        <f t="shared" si="19"/>
        <v>7872312.2800000012</v>
      </c>
      <c r="N131" s="123">
        <f t="shared" si="20"/>
        <v>226.56744028089568</v>
      </c>
      <c r="O131" s="5"/>
      <c r="P131" s="5">
        <f t="shared" si="16"/>
        <v>1</v>
      </c>
      <c r="Q131" s="7">
        <f t="shared" si="17"/>
        <v>34746</v>
      </c>
    </row>
    <row r="132" spans="1:21">
      <c r="A132" s="23" t="s">
        <v>152</v>
      </c>
      <c r="B132" s="35" t="s">
        <v>151</v>
      </c>
      <c r="C132" s="36">
        <v>337368</v>
      </c>
      <c r="D132" s="113">
        <v>31633983598</v>
      </c>
      <c r="E132" s="116">
        <f t="shared" si="27"/>
        <v>93766.99508548528</v>
      </c>
      <c r="F132" s="117">
        <v>21371087190</v>
      </c>
      <c r="G132" s="117">
        <f t="shared" si="28"/>
        <v>63346.515348225083</v>
      </c>
      <c r="H132" s="7"/>
      <c r="I132" s="109">
        <v>5.7325999999999997</v>
      </c>
      <c r="J132" s="117">
        <v>122511894</v>
      </c>
      <c r="K132" s="120">
        <f t="shared" si="29"/>
        <v>363.14023262431527</v>
      </c>
      <c r="L132" s="122">
        <f t="shared" si="18"/>
        <v>213710871.90000001</v>
      </c>
      <c r="M132" s="116">
        <f t="shared" si="19"/>
        <v>91198977.900000006</v>
      </c>
      <c r="N132" s="123">
        <f t="shared" si="20"/>
        <v>270.32492085793558</v>
      </c>
      <c r="O132" s="5"/>
      <c r="P132" s="5">
        <f t="shared" si="16"/>
        <v>1</v>
      </c>
      <c r="Q132" s="7">
        <f t="shared" si="17"/>
        <v>337368</v>
      </c>
    </row>
    <row r="133" spans="1:21">
      <c r="A133" s="23" t="s">
        <v>153</v>
      </c>
      <c r="B133" s="35" t="s">
        <v>151</v>
      </c>
      <c r="C133" s="36">
        <v>24442</v>
      </c>
      <c r="D133" s="113">
        <v>1524720128</v>
      </c>
      <c r="E133" s="116">
        <f t="shared" si="27"/>
        <v>62381.152442516977</v>
      </c>
      <c r="F133" s="117">
        <v>1171799728</v>
      </c>
      <c r="G133" s="117">
        <f t="shared" si="28"/>
        <v>47942.05580558056</v>
      </c>
      <c r="H133" s="9"/>
      <c r="I133" s="109">
        <v>6.15</v>
      </c>
      <c r="J133" s="117">
        <v>7206568</v>
      </c>
      <c r="K133" s="120">
        <f t="shared" si="29"/>
        <v>294.84362981752719</v>
      </c>
      <c r="L133" s="122">
        <f t="shared" si="18"/>
        <v>11717997.279999999</v>
      </c>
      <c r="M133" s="116">
        <f t="shared" si="19"/>
        <v>4511429.2799999993</v>
      </c>
      <c r="N133" s="123">
        <f t="shared" si="20"/>
        <v>184.57692823827836</v>
      </c>
      <c r="O133" s="5"/>
      <c r="P133" s="5">
        <f t="shared" si="16"/>
        <v>1</v>
      </c>
      <c r="Q133" s="7">
        <f t="shared" si="17"/>
        <v>24442</v>
      </c>
      <c r="S133" s="124">
        <f>SUM(D131:D133)</f>
        <v>35293184567</v>
      </c>
      <c r="T133" s="124">
        <f>SUM(F131:F133)</f>
        <v>24032641846</v>
      </c>
      <c r="U133" s="124">
        <f>SUM(J131:J133)</f>
        <v>136743699</v>
      </c>
    </row>
    <row r="134" spans="1:21">
      <c r="A134" s="23" t="s">
        <v>154</v>
      </c>
      <c r="B134" s="35" t="s">
        <v>155</v>
      </c>
      <c r="C134" s="36">
        <v>2762</v>
      </c>
      <c r="D134" s="114" t="s">
        <v>564</v>
      </c>
      <c r="E134" s="116"/>
      <c r="F134" s="117"/>
      <c r="G134" s="117"/>
      <c r="H134" s="9" t="s">
        <v>528</v>
      </c>
      <c r="I134" s="109"/>
      <c r="J134" s="117"/>
      <c r="K134" s="120"/>
      <c r="L134" s="122">
        <f t="shared" si="18"/>
        <v>0</v>
      </c>
      <c r="M134" s="116">
        <f t="shared" si="19"/>
        <v>0</v>
      </c>
      <c r="N134" s="123">
        <f t="shared" si="20"/>
        <v>0</v>
      </c>
      <c r="O134" s="5"/>
      <c r="P134" s="5">
        <f t="shared" ref="P134:P197" si="30">IF(I134&gt;0,1,0)</f>
        <v>0</v>
      </c>
      <c r="Q134" s="7">
        <f t="shared" ref="Q134:Q197" si="31">IF(I134&gt;0,C134,0)</f>
        <v>0</v>
      </c>
    </row>
    <row r="135" spans="1:21">
      <c r="A135" s="23" t="s">
        <v>156</v>
      </c>
      <c r="B135" s="35" t="s">
        <v>155</v>
      </c>
      <c r="C135" s="36">
        <v>364</v>
      </c>
      <c r="D135" s="113">
        <v>11191459</v>
      </c>
      <c r="E135" s="116">
        <f t="shared" si="27"/>
        <v>30745.766483516483</v>
      </c>
      <c r="F135" s="117">
        <v>4762212</v>
      </c>
      <c r="G135" s="117">
        <f t="shared" si="28"/>
        <v>13083</v>
      </c>
      <c r="H135" s="7"/>
      <c r="I135" s="111">
        <v>0.50509999999999999</v>
      </c>
      <c r="J135" s="117">
        <v>2405</v>
      </c>
      <c r="K135" s="120">
        <f>(J135/C135)</f>
        <v>6.6071428571428568</v>
      </c>
      <c r="L135" s="122">
        <f t="shared" si="18"/>
        <v>47622.12</v>
      </c>
      <c r="M135" s="116">
        <f t="shared" si="19"/>
        <v>45217.120000000003</v>
      </c>
      <c r="N135" s="123">
        <f t="shared" si="20"/>
        <v>124.22285714285715</v>
      </c>
      <c r="O135" s="5"/>
      <c r="P135" s="5">
        <f t="shared" si="30"/>
        <v>1</v>
      </c>
      <c r="Q135" s="7">
        <f t="shared" si="31"/>
        <v>364</v>
      </c>
    </row>
    <row r="136" spans="1:21">
      <c r="A136" s="23" t="s">
        <v>157</v>
      </c>
      <c r="B136" s="35" t="s">
        <v>155</v>
      </c>
      <c r="C136" s="36">
        <v>198</v>
      </c>
      <c r="D136" s="113">
        <v>4343183</v>
      </c>
      <c r="E136" s="116">
        <f t="shared" si="27"/>
        <v>21935.267676767678</v>
      </c>
      <c r="F136" s="117">
        <v>1637492</v>
      </c>
      <c r="G136" s="117">
        <f t="shared" si="28"/>
        <v>8270.1616161616166</v>
      </c>
      <c r="H136" s="9"/>
      <c r="I136" s="109">
        <v>1.109</v>
      </c>
      <c r="J136" s="117">
        <v>1816</v>
      </c>
      <c r="K136" s="120">
        <f>(J136/C136)</f>
        <v>9.1717171717171713</v>
      </c>
      <c r="L136" s="122">
        <f t="shared" ref="L136:L199" si="32">(F136*0.01)</f>
        <v>16374.92</v>
      </c>
      <c r="M136" s="116">
        <f t="shared" ref="M136:M199" si="33">(L136-J136)</f>
        <v>14558.92</v>
      </c>
      <c r="N136" s="123">
        <f t="shared" ref="N136:N199" si="34">(M136/C136)</f>
        <v>73.529898989898996</v>
      </c>
      <c r="O136" s="5"/>
      <c r="P136" s="5">
        <f t="shared" si="30"/>
        <v>1</v>
      </c>
      <c r="Q136" s="7">
        <f t="shared" si="31"/>
        <v>198</v>
      </c>
    </row>
    <row r="137" spans="1:21">
      <c r="A137" s="23" t="s">
        <v>158</v>
      </c>
      <c r="B137" s="35" t="s">
        <v>155</v>
      </c>
      <c r="C137" s="36">
        <v>589</v>
      </c>
      <c r="D137" s="114" t="s">
        <v>564</v>
      </c>
      <c r="E137" s="116"/>
      <c r="F137" s="117"/>
      <c r="G137" s="117"/>
      <c r="H137" s="9" t="s">
        <v>528</v>
      </c>
      <c r="I137" s="109"/>
      <c r="J137" s="117"/>
      <c r="K137" s="120"/>
      <c r="L137" s="122">
        <f t="shared" si="32"/>
        <v>0</v>
      </c>
      <c r="M137" s="116">
        <f t="shared" si="33"/>
        <v>0</v>
      </c>
      <c r="N137" s="123">
        <f t="shared" si="34"/>
        <v>0</v>
      </c>
      <c r="O137" s="5"/>
      <c r="P137" s="5">
        <f t="shared" si="30"/>
        <v>0</v>
      </c>
      <c r="Q137" s="7">
        <f t="shared" si="31"/>
        <v>0</v>
      </c>
    </row>
    <row r="138" spans="1:21">
      <c r="A138" s="23" t="s">
        <v>159</v>
      </c>
      <c r="B138" s="35" t="s">
        <v>155</v>
      </c>
      <c r="C138" s="36">
        <v>294</v>
      </c>
      <c r="D138" s="114" t="s">
        <v>564</v>
      </c>
      <c r="E138" s="116"/>
      <c r="F138" s="117"/>
      <c r="G138" s="117"/>
      <c r="H138" s="9" t="s">
        <v>528</v>
      </c>
      <c r="I138" s="109"/>
      <c r="J138" s="117"/>
      <c r="K138" s="120"/>
      <c r="L138" s="122">
        <f t="shared" si="32"/>
        <v>0</v>
      </c>
      <c r="M138" s="116">
        <f t="shared" si="33"/>
        <v>0</v>
      </c>
      <c r="N138" s="123">
        <f t="shared" si="34"/>
        <v>0</v>
      </c>
      <c r="O138" s="5"/>
      <c r="P138" s="5">
        <f t="shared" si="30"/>
        <v>0</v>
      </c>
      <c r="Q138" s="7">
        <f t="shared" si="31"/>
        <v>0</v>
      </c>
      <c r="S138" s="124">
        <f>SUM(D134:D138)</f>
        <v>15534642</v>
      </c>
      <c r="T138" s="124">
        <f>SUM(F134:F138)</f>
        <v>6399704</v>
      </c>
      <c r="U138" s="124">
        <f>SUM(J134:J138)</f>
        <v>4221</v>
      </c>
    </row>
    <row r="139" spans="1:21">
      <c r="A139" s="23" t="s">
        <v>160</v>
      </c>
      <c r="B139" s="35" t="s">
        <v>161</v>
      </c>
      <c r="C139" s="36">
        <v>5220</v>
      </c>
      <c r="D139" s="113">
        <v>252767961</v>
      </c>
      <c r="E139" s="116">
        <f t="shared" si="27"/>
        <v>48422.981034482757</v>
      </c>
      <c r="F139" s="117">
        <v>96800611</v>
      </c>
      <c r="G139" s="117">
        <f t="shared" si="28"/>
        <v>18544.17835249042</v>
      </c>
      <c r="H139" s="7"/>
      <c r="I139" s="110">
        <v>5.2454999999999998</v>
      </c>
      <c r="J139" s="117">
        <v>507768</v>
      </c>
      <c r="K139" s="120">
        <f t="shared" ref="K139:K144" si="35">(J139/C139)</f>
        <v>97.273563218390805</v>
      </c>
      <c r="L139" s="122">
        <f t="shared" si="32"/>
        <v>968006.11</v>
      </c>
      <c r="M139" s="116">
        <f t="shared" si="33"/>
        <v>460238.11</v>
      </c>
      <c r="N139" s="123">
        <f t="shared" si="34"/>
        <v>88.168220306513405</v>
      </c>
      <c r="O139" s="5"/>
      <c r="P139" s="5">
        <f t="shared" si="30"/>
        <v>1</v>
      </c>
      <c r="Q139" s="7">
        <f t="shared" si="31"/>
        <v>5220</v>
      </c>
    </row>
    <row r="140" spans="1:21">
      <c r="A140" s="23" t="s">
        <v>162</v>
      </c>
      <c r="B140" s="35" t="s">
        <v>161</v>
      </c>
      <c r="C140" s="36">
        <v>3908</v>
      </c>
      <c r="D140" s="113">
        <v>2814433648</v>
      </c>
      <c r="E140" s="116">
        <f t="shared" si="27"/>
        <v>720172.37666325481</v>
      </c>
      <c r="F140" s="117">
        <v>2455523093</v>
      </c>
      <c r="G140" s="117">
        <f t="shared" si="28"/>
        <v>628332.41888433986</v>
      </c>
      <c r="H140" s="7"/>
      <c r="I140" s="109">
        <v>1.4731000000000001</v>
      </c>
      <c r="J140" s="117">
        <v>3617231</v>
      </c>
      <c r="K140" s="120">
        <f t="shared" si="35"/>
        <v>925.59646878198566</v>
      </c>
      <c r="L140" s="122">
        <f t="shared" si="32"/>
        <v>24555230.93</v>
      </c>
      <c r="M140" s="116">
        <f t="shared" si="33"/>
        <v>20937999.93</v>
      </c>
      <c r="N140" s="123">
        <f t="shared" si="34"/>
        <v>5357.7277200614126</v>
      </c>
      <c r="O140" s="5"/>
      <c r="P140" s="5">
        <f t="shared" si="30"/>
        <v>1</v>
      </c>
      <c r="Q140" s="7">
        <f t="shared" si="31"/>
        <v>3908</v>
      </c>
    </row>
    <row r="141" spans="1:21">
      <c r="A141" s="23" t="s">
        <v>163</v>
      </c>
      <c r="B141" s="35" t="s">
        <v>161</v>
      </c>
      <c r="C141" s="36">
        <v>416</v>
      </c>
      <c r="D141" s="113">
        <v>489193385</v>
      </c>
      <c r="E141" s="116">
        <f t="shared" si="27"/>
        <v>1175945.6370192308</v>
      </c>
      <c r="F141" s="117">
        <v>458478241</v>
      </c>
      <c r="G141" s="117">
        <f t="shared" si="28"/>
        <v>1102111.15625</v>
      </c>
      <c r="H141" s="7"/>
      <c r="I141" s="109">
        <v>0.45500000000000002</v>
      </c>
      <c r="J141" s="117">
        <v>208608</v>
      </c>
      <c r="K141" s="120">
        <f t="shared" si="35"/>
        <v>501.46153846153845</v>
      </c>
      <c r="L141" s="122">
        <f t="shared" si="32"/>
        <v>4584782.41</v>
      </c>
      <c r="M141" s="116">
        <f t="shared" si="33"/>
        <v>4376174.41</v>
      </c>
      <c r="N141" s="123">
        <f t="shared" si="34"/>
        <v>10519.650024038461</v>
      </c>
      <c r="O141" s="5"/>
      <c r="P141" s="5">
        <f t="shared" si="30"/>
        <v>1</v>
      </c>
      <c r="Q141" s="7">
        <f t="shared" si="31"/>
        <v>416</v>
      </c>
    </row>
    <row r="142" spans="1:21">
      <c r="A142" s="23" t="s">
        <v>164</v>
      </c>
      <c r="B142" s="35" t="s">
        <v>161</v>
      </c>
      <c r="C142" s="36">
        <v>21995</v>
      </c>
      <c r="D142" s="113">
        <v>1333022282</v>
      </c>
      <c r="E142" s="116">
        <f t="shared" si="27"/>
        <v>60605.695930893387</v>
      </c>
      <c r="F142" s="117">
        <v>877458060</v>
      </c>
      <c r="G142" s="117">
        <f t="shared" si="28"/>
        <v>39893.523982723345</v>
      </c>
      <c r="H142" s="7"/>
      <c r="I142" s="109">
        <v>3.3041</v>
      </c>
      <c r="J142" s="117">
        <v>2899209</v>
      </c>
      <c r="K142" s="120">
        <f t="shared" si="35"/>
        <v>131.81218458740622</v>
      </c>
      <c r="L142" s="122">
        <f t="shared" si="32"/>
        <v>8774580.5999999996</v>
      </c>
      <c r="M142" s="116">
        <f t="shared" si="33"/>
        <v>5875371.5999999996</v>
      </c>
      <c r="N142" s="123">
        <f t="shared" si="34"/>
        <v>267.12305523982724</v>
      </c>
      <c r="O142" s="5"/>
      <c r="P142" s="5">
        <f t="shared" si="30"/>
        <v>1</v>
      </c>
      <c r="Q142" s="7">
        <f t="shared" si="31"/>
        <v>21995</v>
      </c>
    </row>
    <row r="143" spans="1:21">
      <c r="A143" s="23" t="s">
        <v>165</v>
      </c>
      <c r="B143" s="35" t="s">
        <v>161</v>
      </c>
      <c r="C143" s="36">
        <v>15256</v>
      </c>
      <c r="D143" s="113">
        <v>2860127718</v>
      </c>
      <c r="E143" s="116">
        <f t="shared" si="27"/>
        <v>187475.59766649187</v>
      </c>
      <c r="F143" s="117">
        <v>2155715858</v>
      </c>
      <c r="G143" s="117">
        <f t="shared" si="28"/>
        <v>141302.82236497116</v>
      </c>
      <c r="H143" s="7"/>
      <c r="I143" s="109">
        <v>2.0335999999999999</v>
      </c>
      <c r="J143" s="117">
        <v>4383864</v>
      </c>
      <c r="K143" s="120">
        <f t="shared" si="35"/>
        <v>287.35343471421078</v>
      </c>
      <c r="L143" s="122">
        <f t="shared" si="32"/>
        <v>21557158.580000002</v>
      </c>
      <c r="M143" s="116">
        <f t="shared" si="33"/>
        <v>17173294.580000002</v>
      </c>
      <c r="N143" s="123">
        <f t="shared" si="34"/>
        <v>1125.6747889355008</v>
      </c>
      <c r="O143" s="5"/>
      <c r="P143" s="5">
        <f t="shared" si="30"/>
        <v>1</v>
      </c>
      <c r="Q143" s="7">
        <f t="shared" si="31"/>
        <v>15256</v>
      </c>
      <c r="S143" s="124">
        <f>SUM(D139:D143)</f>
        <v>7749544994</v>
      </c>
      <c r="T143" s="124">
        <f>SUM(F139:F143)</f>
        <v>6043975863</v>
      </c>
      <c r="U143" s="124">
        <f>SUM(J139:J143)</f>
        <v>11616680</v>
      </c>
    </row>
    <row r="144" spans="1:21">
      <c r="A144" s="23" t="s">
        <v>166</v>
      </c>
      <c r="B144" s="35" t="s">
        <v>167</v>
      </c>
      <c r="C144" s="36">
        <v>489</v>
      </c>
      <c r="D144" s="113">
        <v>14941098</v>
      </c>
      <c r="E144" s="116">
        <f t="shared" si="27"/>
        <v>30554.39263803681</v>
      </c>
      <c r="F144" s="117">
        <v>8896147</v>
      </c>
      <c r="G144" s="117">
        <f t="shared" si="28"/>
        <v>18192.529652351739</v>
      </c>
      <c r="H144" s="9"/>
      <c r="I144" s="109">
        <v>1.3674999999999999</v>
      </c>
      <c r="J144" s="117">
        <v>12165</v>
      </c>
      <c r="K144" s="120">
        <f t="shared" si="35"/>
        <v>24.877300613496931</v>
      </c>
      <c r="L144" s="122">
        <f t="shared" si="32"/>
        <v>88961.47</v>
      </c>
      <c r="M144" s="116">
        <f t="shared" si="33"/>
        <v>76796.47</v>
      </c>
      <c r="N144" s="123">
        <f t="shared" si="34"/>
        <v>157.04799591002046</v>
      </c>
      <c r="O144" s="5"/>
      <c r="P144" s="5">
        <f t="shared" si="30"/>
        <v>1</v>
      </c>
      <c r="Q144" s="7">
        <f t="shared" si="31"/>
        <v>489</v>
      </c>
    </row>
    <row r="145" spans="1:21">
      <c r="A145" s="23" t="s">
        <v>168</v>
      </c>
      <c r="B145" s="35" t="s">
        <v>167</v>
      </c>
      <c r="C145" s="36">
        <v>121</v>
      </c>
      <c r="D145" s="114" t="s">
        <v>564</v>
      </c>
      <c r="E145" s="116"/>
      <c r="F145" s="117"/>
      <c r="G145" s="117"/>
      <c r="H145" s="9" t="s">
        <v>528</v>
      </c>
      <c r="I145" s="109"/>
      <c r="J145" s="117"/>
      <c r="K145" s="120"/>
      <c r="L145" s="122">
        <f t="shared" si="32"/>
        <v>0</v>
      </c>
      <c r="M145" s="116">
        <f t="shared" si="33"/>
        <v>0</v>
      </c>
      <c r="N145" s="123">
        <f t="shared" si="34"/>
        <v>0</v>
      </c>
      <c r="O145" s="5"/>
      <c r="P145" s="5">
        <f t="shared" si="30"/>
        <v>0</v>
      </c>
      <c r="Q145" s="7">
        <f t="shared" si="31"/>
        <v>0</v>
      </c>
    </row>
    <row r="146" spans="1:21">
      <c r="A146" s="23" t="s">
        <v>169</v>
      </c>
      <c r="B146" s="35" t="s">
        <v>167</v>
      </c>
      <c r="C146" s="36">
        <v>232</v>
      </c>
      <c r="D146" s="113">
        <v>13585524</v>
      </c>
      <c r="E146" s="116">
        <f t="shared" si="27"/>
        <v>58558.293103448275</v>
      </c>
      <c r="F146" s="117">
        <v>7839579</v>
      </c>
      <c r="G146" s="117">
        <f t="shared" si="28"/>
        <v>33791.288793103449</v>
      </c>
      <c r="H146" s="7"/>
      <c r="I146" s="111">
        <v>2</v>
      </c>
      <c r="J146" s="117">
        <v>15679</v>
      </c>
      <c r="K146" s="120">
        <f t="shared" ref="K146:K151" si="36">(J146/C146)</f>
        <v>67.581896551724142</v>
      </c>
      <c r="L146" s="122">
        <f t="shared" si="32"/>
        <v>78395.790000000008</v>
      </c>
      <c r="M146" s="116">
        <f t="shared" si="33"/>
        <v>62716.790000000008</v>
      </c>
      <c r="N146" s="123">
        <f t="shared" si="34"/>
        <v>270.33099137931038</v>
      </c>
      <c r="O146" s="5"/>
      <c r="P146" s="5">
        <f t="shared" si="30"/>
        <v>1</v>
      </c>
      <c r="Q146" s="7">
        <f t="shared" si="31"/>
        <v>232</v>
      </c>
    </row>
    <row r="147" spans="1:21">
      <c r="A147" s="23" t="s">
        <v>170</v>
      </c>
      <c r="B147" s="35" t="s">
        <v>167</v>
      </c>
      <c r="C147" s="36">
        <v>931</v>
      </c>
      <c r="D147" s="113">
        <v>30620214</v>
      </c>
      <c r="E147" s="116">
        <f t="shared" si="27"/>
        <v>32889.59613319012</v>
      </c>
      <c r="F147" s="117">
        <v>16736500</v>
      </c>
      <c r="G147" s="117">
        <f t="shared" si="28"/>
        <v>17976.906552094522</v>
      </c>
      <c r="H147" s="7"/>
      <c r="I147" s="109">
        <v>3.6040999999999999</v>
      </c>
      <c r="J147" s="117">
        <v>60320</v>
      </c>
      <c r="K147" s="120">
        <f t="shared" si="36"/>
        <v>64.790547798066598</v>
      </c>
      <c r="L147" s="122">
        <f t="shared" si="32"/>
        <v>167365</v>
      </c>
      <c r="M147" s="116">
        <f t="shared" si="33"/>
        <v>107045</v>
      </c>
      <c r="N147" s="123">
        <f t="shared" si="34"/>
        <v>114.97851772287862</v>
      </c>
      <c r="O147" s="5"/>
      <c r="P147" s="5">
        <f t="shared" si="30"/>
        <v>1</v>
      </c>
      <c r="Q147" s="7">
        <f t="shared" si="31"/>
        <v>931</v>
      </c>
    </row>
    <row r="148" spans="1:21">
      <c r="A148" s="23" t="s">
        <v>171</v>
      </c>
      <c r="B148" s="35" t="s">
        <v>167</v>
      </c>
      <c r="C148" s="36">
        <v>2278</v>
      </c>
      <c r="D148" s="113">
        <v>116068180</v>
      </c>
      <c r="E148" s="116">
        <f t="shared" si="27"/>
        <v>50951.791044776117</v>
      </c>
      <c r="F148" s="117">
        <v>68519608</v>
      </c>
      <c r="G148" s="117">
        <f t="shared" si="28"/>
        <v>30078.84460052678</v>
      </c>
      <c r="H148" s="9"/>
      <c r="I148" s="109">
        <v>4</v>
      </c>
      <c r="J148" s="117">
        <v>274078</v>
      </c>
      <c r="K148" s="120">
        <f t="shared" si="36"/>
        <v>120.315188762072</v>
      </c>
      <c r="L148" s="122">
        <f t="shared" si="32"/>
        <v>685196.08</v>
      </c>
      <c r="M148" s="116">
        <f t="shared" si="33"/>
        <v>411118.07999999996</v>
      </c>
      <c r="N148" s="123">
        <f t="shared" si="34"/>
        <v>180.47325724319577</v>
      </c>
      <c r="O148" s="5"/>
      <c r="P148" s="5">
        <f t="shared" si="30"/>
        <v>1</v>
      </c>
      <c r="Q148" s="7">
        <f t="shared" si="31"/>
        <v>2278</v>
      </c>
    </row>
    <row r="149" spans="1:21">
      <c r="A149" s="23" t="s">
        <v>172</v>
      </c>
      <c r="B149" s="35" t="s">
        <v>167</v>
      </c>
      <c r="C149" s="36">
        <v>951</v>
      </c>
      <c r="D149" s="114" t="s">
        <v>564</v>
      </c>
      <c r="E149" s="116"/>
      <c r="F149" s="117"/>
      <c r="G149" s="117"/>
      <c r="H149" s="9" t="s">
        <v>528</v>
      </c>
      <c r="I149" s="109"/>
      <c r="J149" s="117"/>
      <c r="K149" s="120"/>
      <c r="L149" s="122">
        <f t="shared" si="32"/>
        <v>0</v>
      </c>
      <c r="M149" s="116">
        <f t="shared" si="33"/>
        <v>0</v>
      </c>
      <c r="N149" s="123">
        <f t="shared" si="34"/>
        <v>0</v>
      </c>
      <c r="O149" s="5"/>
      <c r="P149" s="5">
        <f t="shared" si="30"/>
        <v>0</v>
      </c>
      <c r="Q149" s="7">
        <f t="shared" si="31"/>
        <v>0</v>
      </c>
    </row>
    <row r="150" spans="1:21">
      <c r="A150" s="23" t="s">
        <v>173</v>
      </c>
      <c r="B150" s="35" t="s">
        <v>167</v>
      </c>
      <c r="C150" s="36">
        <v>684</v>
      </c>
      <c r="D150" s="113">
        <v>24647732</v>
      </c>
      <c r="E150" s="116">
        <f t="shared" si="27"/>
        <v>36034.695906432746</v>
      </c>
      <c r="F150" s="117">
        <v>12681854</v>
      </c>
      <c r="G150" s="117">
        <f t="shared" si="28"/>
        <v>18540.722222222223</v>
      </c>
      <c r="H150" s="7"/>
      <c r="I150" s="110">
        <v>1</v>
      </c>
      <c r="J150" s="117">
        <v>12682</v>
      </c>
      <c r="K150" s="120">
        <f t="shared" si="36"/>
        <v>18.540935672514621</v>
      </c>
      <c r="L150" s="122">
        <f t="shared" si="32"/>
        <v>126818.54000000001</v>
      </c>
      <c r="M150" s="116">
        <f t="shared" si="33"/>
        <v>114136.54000000001</v>
      </c>
      <c r="N150" s="123">
        <f t="shared" si="34"/>
        <v>166.86628654970761</v>
      </c>
      <c r="O150" s="5"/>
      <c r="P150" s="5">
        <f t="shared" si="30"/>
        <v>1</v>
      </c>
      <c r="Q150" s="7">
        <f t="shared" si="31"/>
        <v>684</v>
      </c>
    </row>
    <row r="151" spans="1:21">
      <c r="A151" s="23" t="s">
        <v>508</v>
      </c>
      <c r="B151" s="35" t="s">
        <v>167</v>
      </c>
      <c r="C151" s="36">
        <v>267</v>
      </c>
      <c r="D151" s="113">
        <v>7332003</v>
      </c>
      <c r="E151" s="116">
        <f t="shared" si="27"/>
        <v>27460.685393258427</v>
      </c>
      <c r="F151" s="117">
        <v>3701176</v>
      </c>
      <c r="G151" s="117">
        <f t="shared" si="28"/>
        <v>13862.082397003745</v>
      </c>
      <c r="H151" s="9"/>
      <c r="I151" s="109">
        <v>3</v>
      </c>
      <c r="J151" s="117">
        <v>11104</v>
      </c>
      <c r="K151" s="120">
        <f t="shared" si="36"/>
        <v>41.58801498127341</v>
      </c>
      <c r="L151" s="122">
        <f t="shared" si="32"/>
        <v>37011.760000000002</v>
      </c>
      <c r="M151" s="116">
        <f t="shared" si="33"/>
        <v>25907.760000000002</v>
      </c>
      <c r="N151" s="123">
        <f t="shared" si="34"/>
        <v>97.032808988764046</v>
      </c>
      <c r="O151" s="5"/>
      <c r="P151" s="5">
        <f t="shared" si="30"/>
        <v>1</v>
      </c>
      <c r="Q151" s="7">
        <f t="shared" si="31"/>
        <v>267</v>
      </c>
    </row>
    <row r="152" spans="1:21">
      <c r="A152" s="23" t="s">
        <v>175</v>
      </c>
      <c r="B152" s="35" t="s">
        <v>167</v>
      </c>
      <c r="C152" s="36">
        <v>2167</v>
      </c>
      <c r="D152" s="114" t="s">
        <v>564</v>
      </c>
      <c r="E152" s="116"/>
      <c r="F152" s="117"/>
      <c r="G152" s="117"/>
      <c r="H152" s="9" t="s">
        <v>528</v>
      </c>
      <c r="I152" s="109"/>
      <c r="J152" s="117"/>
      <c r="K152" s="120"/>
      <c r="L152" s="122">
        <f t="shared" si="32"/>
        <v>0</v>
      </c>
      <c r="M152" s="116">
        <f t="shared" si="33"/>
        <v>0</v>
      </c>
      <c r="N152" s="123">
        <f t="shared" si="34"/>
        <v>0</v>
      </c>
      <c r="O152" s="5"/>
      <c r="P152" s="5">
        <f t="shared" si="30"/>
        <v>0</v>
      </c>
      <c r="Q152" s="7">
        <f t="shared" si="31"/>
        <v>0</v>
      </c>
    </row>
    <row r="153" spans="1:21">
      <c r="A153" s="23" t="s">
        <v>176</v>
      </c>
      <c r="B153" s="35" t="s">
        <v>167</v>
      </c>
      <c r="C153" s="36">
        <v>6008</v>
      </c>
      <c r="D153" s="113">
        <v>389081015</v>
      </c>
      <c r="E153" s="116">
        <f t="shared" si="27"/>
        <v>64760.488515312914</v>
      </c>
      <c r="F153" s="117">
        <v>225781197</v>
      </c>
      <c r="G153" s="117">
        <f t="shared" si="28"/>
        <v>37580.092709720375</v>
      </c>
      <c r="H153" s="7"/>
      <c r="I153" s="110">
        <v>2.952</v>
      </c>
      <c r="J153" s="117">
        <v>666506</v>
      </c>
      <c r="K153" s="120">
        <f t="shared" ref="K153:K202" si="37">(J153/C153)</f>
        <v>110.93641810918776</v>
      </c>
      <c r="L153" s="122">
        <f t="shared" si="32"/>
        <v>2257811.9700000002</v>
      </c>
      <c r="M153" s="116">
        <f t="shared" si="33"/>
        <v>1591305.9700000002</v>
      </c>
      <c r="N153" s="123">
        <f t="shared" si="34"/>
        <v>264.86450898801598</v>
      </c>
      <c r="O153" s="5"/>
      <c r="P153" s="5">
        <f t="shared" si="30"/>
        <v>1</v>
      </c>
      <c r="Q153" s="7">
        <f t="shared" si="31"/>
        <v>6008</v>
      </c>
    </row>
    <row r="154" spans="1:21">
      <c r="A154" s="23" t="s">
        <v>177</v>
      </c>
      <c r="B154" s="35" t="s">
        <v>167</v>
      </c>
      <c r="C154" s="36">
        <v>1862</v>
      </c>
      <c r="D154" s="113">
        <v>64056544</v>
      </c>
      <c r="E154" s="116">
        <f t="shared" si="27"/>
        <v>34402.010741138562</v>
      </c>
      <c r="F154" s="117">
        <v>33295084</v>
      </c>
      <c r="G154" s="117">
        <f t="shared" si="28"/>
        <v>17881.35553168636</v>
      </c>
      <c r="H154" s="7"/>
      <c r="I154" s="109">
        <v>0.58789999999999998</v>
      </c>
      <c r="J154" s="117">
        <v>19574</v>
      </c>
      <c r="K154" s="120">
        <f t="shared" si="37"/>
        <v>10.51235230934479</v>
      </c>
      <c r="L154" s="122">
        <f t="shared" si="32"/>
        <v>332950.84000000003</v>
      </c>
      <c r="M154" s="116">
        <f t="shared" si="33"/>
        <v>313376.84000000003</v>
      </c>
      <c r="N154" s="123">
        <f t="shared" si="34"/>
        <v>168.30120300751881</v>
      </c>
      <c r="O154" s="5"/>
      <c r="P154" s="5">
        <f t="shared" si="30"/>
        <v>1</v>
      </c>
      <c r="Q154" s="7">
        <f t="shared" si="31"/>
        <v>1862</v>
      </c>
      <c r="S154" s="124">
        <f>SUM(D144:D154)</f>
        <v>660332310</v>
      </c>
      <c r="T154" s="124">
        <f>SUM(F144:F154)</f>
        <v>377451145</v>
      </c>
      <c r="U154" s="124">
        <f>SUM(J144:J154)</f>
        <v>1072108</v>
      </c>
    </row>
    <row r="155" spans="1:21">
      <c r="A155" s="23" t="s">
        <v>178</v>
      </c>
      <c r="B155" s="35" t="s">
        <v>179</v>
      </c>
      <c r="C155" s="36">
        <v>2456</v>
      </c>
      <c r="D155" s="113">
        <v>157922602</v>
      </c>
      <c r="E155" s="116">
        <f t="shared" si="27"/>
        <v>64300.733713355046</v>
      </c>
      <c r="F155" s="117">
        <v>88230515</v>
      </c>
      <c r="G155" s="117">
        <f t="shared" si="28"/>
        <v>35924.476791530942</v>
      </c>
      <c r="H155" s="7"/>
      <c r="I155" s="109">
        <v>6.0617000000000001</v>
      </c>
      <c r="J155" s="117">
        <v>534827</v>
      </c>
      <c r="K155" s="120">
        <f t="shared" si="37"/>
        <v>217.7634364820847</v>
      </c>
      <c r="L155" s="122">
        <f t="shared" si="32"/>
        <v>882305.15</v>
      </c>
      <c r="M155" s="116">
        <f t="shared" si="33"/>
        <v>347478.15</v>
      </c>
      <c r="N155" s="123">
        <f t="shared" si="34"/>
        <v>141.48133143322477</v>
      </c>
      <c r="O155" s="5"/>
      <c r="P155" s="5">
        <f t="shared" si="30"/>
        <v>1</v>
      </c>
      <c r="Q155" s="7">
        <f t="shared" si="31"/>
        <v>2456</v>
      </c>
      <c r="S155" s="124">
        <f>SUM(D155)</f>
        <v>157922602</v>
      </c>
      <c r="T155" s="124">
        <f>SUM(F155)</f>
        <v>88230515</v>
      </c>
      <c r="U155" s="124">
        <f>SUM(J155)</f>
        <v>534827</v>
      </c>
    </row>
    <row r="156" spans="1:21">
      <c r="A156" s="23" t="s">
        <v>180</v>
      </c>
      <c r="B156" s="35" t="s">
        <v>181</v>
      </c>
      <c r="C156" s="36">
        <v>1225</v>
      </c>
      <c r="D156" s="113">
        <v>43998827</v>
      </c>
      <c r="E156" s="116">
        <f t="shared" si="27"/>
        <v>35917.409795918371</v>
      </c>
      <c r="F156" s="117">
        <v>22743271</v>
      </c>
      <c r="G156" s="117">
        <f t="shared" si="28"/>
        <v>18565.935510204083</v>
      </c>
      <c r="H156" s="7"/>
      <c r="I156" s="109">
        <v>6</v>
      </c>
      <c r="J156" s="117">
        <v>136460</v>
      </c>
      <c r="K156" s="120">
        <f t="shared" si="37"/>
        <v>111.39591836734694</v>
      </c>
      <c r="L156" s="122">
        <f t="shared" si="32"/>
        <v>227432.71</v>
      </c>
      <c r="M156" s="116">
        <f t="shared" si="33"/>
        <v>90972.709999999992</v>
      </c>
      <c r="N156" s="123">
        <f t="shared" si="34"/>
        <v>74.263436734693869</v>
      </c>
      <c r="O156" s="5"/>
      <c r="P156" s="5">
        <f t="shared" si="30"/>
        <v>1</v>
      </c>
      <c r="Q156" s="7">
        <f t="shared" si="31"/>
        <v>1225</v>
      </c>
      <c r="S156" s="124">
        <f>SUM(D156)</f>
        <v>43998827</v>
      </c>
      <c r="T156" s="124">
        <f>SUM(F156)</f>
        <v>22743271</v>
      </c>
      <c r="U156" s="124">
        <f>SUM(J156)</f>
        <v>136460</v>
      </c>
    </row>
    <row r="157" spans="1:21">
      <c r="A157" s="23" t="s">
        <v>182</v>
      </c>
      <c r="B157" s="35" t="s">
        <v>183</v>
      </c>
      <c r="C157" s="36">
        <v>1795</v>
      </c>
      <c r="D157" s="114">
        <v>70433828</v>
      </c>
      <c r="E157" s="116">
        <f t="shared" si="27"/>
        <v>39238.90139275766</v>
      </c>
      <c r="F157" s="117">
        <v>48887670</v>
      </c>
      <c r="G157" s="117">
        <f t="shared" si="28"/>
        <v>27235.470752089135</v>
      </c>
      <c r="H157" s="9"/>
      <c r="I157" s="109">
        <v>6.5</v>
      </c>
      <c r="J157" s="117">
        <v>317770</v>
      </c>
      <c r="K157" s="120">
        <f t="shared" si="37"/>
        <v>177.03064066852369</v>
      </c>
      <c r="L157" s="122">
        <f t="shared" si="32"/>
        <v>488876.7</v>
      </c>
      <c r="M157" s="116">
        <f t="shared" si="33"/>
        <v>171106.7</v>
      </c>
      <c r="N157" s="123">
        <f t="shared" si="34"/>
        <v>95.324066852367693</v>
      </c>
      <c r="O157" s="5"/>
      <c r="P157" s="5">
        <f t="shared" si="30"/>
        <v>1</v>
      </c>
      <c r="Q157" s="7">
        <f t="shared" si="31"/>
        <v>1795</v>
      </c>
    </row>
    <row r="158" spans="1:21">
      <c r="A158" s="23" t="s">
        <v>184</v>
      </c>
      <c r="B158" s="35" t="s">
        <v>183</v>
      </c>
      <c r="C158" s="36">
        <v>29358</v>
      </c>
      <c r="D158" s="114">
        <v>2399047921</v>
      </c>
      <c r="E158" s="116">
        <f t="shared" si="27"/>
        <v>81717.008004632473</v>
      </c>
      <c r="F158" s="117">
        <v>1783353568</v>
      </c>
      <c r="G158" s="117">
        <f t="shared" si="28"/>
        <v>60745.063287689896</v>
      </c>
      <c r="H158" s="9"/>
      <c r="I158" s="109">
        <v>3.1419999999999999</v>
      </c>
      <c r="J158" s="117">
        <v>5603297</v>
      </c>
      <c r="K158" s="120">
        <f t="shared" si="37"/>
        <v>190.86099189318074</v>
      </c>
      <c r="L158" s="122">
        <f t="shared" si="32"/>
        <v>17833535.68</v>
      </c>
      <c r="M158" s="116">
        <f t="shared" si="33"/>
        <v>12230238.68</v>
      </c>
      <c r="N158" s="123">
        <f t="shared" si="34"/>
        <v>416.58964098371825</v>
      </c>
      <c r="O158" s="5"/>
      <c r="P158" s="5">
        <f t="shared" si="30"/>
        <v>1</v>
      </c>
      <c r="Q158" s="7">
        <f t="shared" si="31"/>
        <v>29358</v>
      </c>
    </row>
    <row r="159" spans="1:21">
      <c r="A159" s="23" t="s">
        <v>185</v>
      </c>
      <c r="B159" s="35" t="s">
        <v>183</v>
      </c>
      <c r="C159" s="36">
        <v>18483</v>
      </c>
      <c r="D159" s="113">
        <v>1109215949</v>
      </c>
      <c r="E159" s="116">
        <f t="shared" ref="E159:E222" si="38">(D159/C159)</f>
        <v>60012.765730671425</v>
      </c>
      <c r="F159" s="117">
        <v>773706712</v>
      </c>
      <c r="G159" s="117">
        <f t="shared" ref="G159:G222" si="39">(F159/C159)</f>
        <v>41860.450792620242</v>
      </c>
      <c r="H159" s="7"/>
      <c r="I159" s="109">
        <v>6.2431999999999999</v>
      </c>
      <c r="J159" s="117">
        <v>4830406</v>
      </c>
      <c r="K159" s="120">
        <f t="shared" si="37"/>
        <v>261.34318021966129</v>
      </c>
      <c r="L159" s="122">
        <f t="shared" si="32"/>
        <v>7737067.1200000001</v>
      </c>
      <c r="M159" s="116">
        <f t="shared" si="33"/>
        <v>2906661.12</v>
      </c>
      <c r="N159" s="123">
        <f t="shared" si="34"/>
        <v>157.26132770654115</v>
      </c>
      <c r="O159" s="5"/>
      <c r="P159" s="5">
        <f t="shared" si="30"/>
        <v>1</v>
      </c>
      <c r="Q159" s="7">
        <f t="shared" si="31"/>
        <v>18483</v>
      </c>
    </row>
    <row r="160" spans="1:21">
      <c r="A160" s="23" t="s">
        <v>186</v>
      </c>
      <c r="B160" s="35" t="s">
        <v>183</v>
      </c>
      <c r="C160" s="36">
        <v>4086</v>
      </c>
      <c r="D160" s="113">
        <v>233534704</v>
      </c>
      <c r="E160" s="116">
        <f t="shared" si="38"/>
        <v>57154.846793930497</v>
      </c>
      <c r="F160" s="117">
        <v>165894410</v>
      </c>
      <c r="G160" s="117">
        <f t="shared" si="39"/>
        <v>40600.687714145861</v>
      </c>
      <c r="H160" s="7"/>
      <c r="I160" s="109">
        <v>4.3284000000000002</v>
      </c>
      <c r="J160" s="117">
        <v>718057</v>
      </c>
      <c r="K160" s="120">
        <f t="shared" si="37"/>
        <v>175.73592755751346</v>
      </c>
      <c r="L160" s="122">
        <f t="shared" si="32"/>
        <v>1658944.1</v>
      </c>
      <c r="M160" s="116">
        <f t="shared" si="33"/>
        <v>940887.10000000009</v>
      </c>
      <c r="N160" s="123">
        <f t="shared" si="34"/>
        <v>230.2709495839452</v>
      </c>
      <c r="O160" s="5"/>
      <c r="P160" s="5">
        <f t="shared" si="30"/>
        <v>1</v>
      </c>
      <c r="Q160" s="7">
        <f t="shared" si="31"/>
        <v>4086</v>
      </c>
    </row>
    <row r="161" spans="1:21">
      <c r="A161" s="23" t="s">
        <v>187</v>
      </c>
      <c r="B161" s="35" t="s">
        <v>183</v>
      </c>
      <c r="C161" s="36">
        <v>8800</v>
      </c>
      <c r="D161" s="113">
        <v>536851426</v>
      </c>
      <c r="E161" s="116">
        <f t="shared" si="38"/>
        <v>61005.843863636364</v>
      </c>
      <c r="F161" s="117">
        <v>411431778</v>
      </c>
      <c r="G161" s="117">
        <f t="shared" si="39"/>
        <v>46753.611136363637</v>
      </c>
      <c r="H161" s="7"/>
      <c r="I161" s="109">
        <v>5.6</v>
      </c>
      <c r="J161" s="117">
        <v>2304018</v>
      </c>
      <c r="K161" s="120">
        <f t="shared" si="37"/>
        <v>261.82022727272727</v>
      </c>
      <c r="L161" s="122">
        <f t="shared" si="32"/>
        <v>4114317.7800000003</v>
      </c>
      <c r="M161" s="116">
        <f t="shared" si="33"/>
        <v>1810299.7800000003</v>
      </c>
      <c r="N161" s="123">
        <f t="shared" si="34"/>
        <v>205.71588409090913</v>
      </c>
      <c r="O161" s="5"/>
      <c r="P161" s="5">
        <f t="shared" si="30"/>
        <v>1</v>
      </c>
      <c r="Q161" s="7">
        <f t="shared" si="31"/>
        <v>8800</v>
      </c>
    </row>
    <row r="162" spans="1:21">
      <c r="A162" s="23" t="s">
        <v>188</v>
      </c>
      <c r="B162" s="35" t="s">
        <v>183</v>
      </c>
      <c r="C162" s="36">
        <v>1100</v>
      </c>
      <c r="D162" s="113">
        <v>101069267</v>
      </c>
      <c r="E162" s="116">
        <f t="shared" si="38"/>
        <v>91881.151818181825</v>
      </c>
      <c r="F162" s="117">
        <v>73537602</v>
      </c>
      <c r="G162" s="117">
        <f t="shared" si="39"/>
        <v>66852.365454545448</v>
      </c>
      <c r="H162" s="7"/>
      <c r="I162" s="109">
        <v>8</v>
      </c>
      <c r="J162" s="117">
        <v>588301</v>
      </c>
      <c r="K162" s="120">
        <f t="shared" si="37"/>
        <v>534.81909090909096</v>
      </c>
      <c r="L162" s="122">
        <f t="shared" si="32"/>
        <v>735376.02</v>
      </c>
      <c r="M162" s="116">
        <f t="shared" si="33"/>
        <v>147075.02000000002</v>
      </c>
      <c r="N162" s="123">
        <f t="shared" si="34"/>
        <v>133.70456363636364</v>
      </c>
      <c r="O162" s="5"/>
      <c r="P162" s="5">
        <f t="shared" si="30"/>
        <v>1</v>
      </c>
      <c r="Q162" s="7">
        <f t="shared" si="31"/>
        <v>1100</v>
      </c>
    </row>
    <row r="163" spans="1:21">
      <c r="A163" s="23" t="s">
        <v>189</v>
      </c>
      <c r="B163" s="35" t="s">
        <v>183</v>
      </c>
      <c r="C163" s="36">
        <v>13946</v>
      </c>
      <c r="D163" s="113">
        <v>1188122253</v>
      </c>
      <c r="E163" s="116">
        <f t="shared" si="38"/>
        <v>85194.482503943786</v>
      </c>
      <c r="F163" s="117">
        <v>803142992</v>
      </c>
      <c r="G163" s="117">
        <f t="shared" si="39"/>
        <v>57589.487451599023</v>
      </c>
      <c r="H163" s="7"/>
      <c r="I163" s="109">
        <v>3.2808000000000002</v>
      </c>
      <c r="J163" s="117">
        <v>2634952</v>
      </c>
      <c r="K163" s="120">
        <f t="shared" si="37"/>
        <v>188.93962426502222</v>
      </c>
      <c r="L163" s="122">
        <f t="shared" si="32"/>
        <v>8031429.9199999999</v>
      </c>
      <c r="M163" s="116">
        <f t="shared" si="33"/>
        <v>5396477.9199999999</v>
      </c>
      <c r="N163" s="123">
        <f t="shared" si="34"/>
        <v>386.95525025096799</v>
      </c>
      <c r="O163" s="5"/>
      <c r="P163" s="5">
        <f t="shared" si="30"/>
        <v>1</v>
      </c>
      <c r="Q163" s="7">
        <f t="shared" si="31"/>
        <v>13946</v>
      </c>
    </row>
    <row r="164" spans="1:21">
      <c r="A164" s="23" t="s">
        <v>190</v>
      </c>
      <c r="B164" s="35" t="s">
        <v>183</v>
      </c>
      <c r="C164" s="36">
        <v>20251</v>
      </c>
      <c r="D164" s="113">
        <v>1628802975</v>
      </c>
      <c r="E164" s="116">
        <f t="shared" si="38"/>
        <v>80430.742926275241</v>
      </c>
      <c r="F164" s="117">
        <v>1166846961</v>
      </c>
      <c r="G164" s="117">
        <f t="shared" si="39"/>
        <v>57619.226754234362</v>
      </c>
      <c r="H164" s="7"/>
      <c r="I164" s="109">
        <v>4.3178999999999998</v>
      </c>
      <c r="J164" s="117">
        <v>5038328</v>
      </c>
      <c r="K164" s="120">
        <f t="shared" si="37"/>
        <v>248.79403486247594</v>
      </c>
      <c r="L164" s="122">
        <f t="shared" si="32"/>
        <v>11668469.609999999</v>
      </c>
      <c r="M164" s="116">
        <f t="shared" si="33"/>
        <v>6630141.6099999994</v>
      </c>
      <c r="N164" s="123">
        <f t="shared" si="34"/>
        <v>327.39823267986765</v>
      </c>
      <c r="O164" s="5"/>
      <c r="P164" s="5">
        <f t="shared" si="30"/>
        <v>1</v>
      </c>
      <c r="Q164" s="7">
        <f t="shared" si="31"/>
        <v>20251</v>
      </c>
    </row>
    <row r="165" spans="1:21">
      <c r="A165" s="23" t="s">
        <v>191</v>
      </c>
      <c r="B165" s="35" t="s">
        <v>183</v>
      </c>
      <c r="C165" s="36">
        <v>5091</v>
      </c>
      <c r="D165" s="113">
        <v>180020985</v>
      </c>
      <c r="E165" s="116">
        <f t="shared" si="38"/>
        <v>35360.633470830879</v>
      </c>
      <c r="F165" s="117">
        <v>112177109</v>
      </c>
      <c r="G165" s="117">
        <f t="shared" si="39"/>
        <v>22034.395796503635</v>
      </c>
      <c r="H165" s="7"/>
      <c r="I165" s="109">
        <v>9.6146999999999991</v>
      </c>
      <c r="J165" s="117">
        <v>1078549</v>
      </c>
      <c r="K165" s="120">
        <f t="shared" si="37"/>
        <v>211.85405617756825</v>
      </c>
      <c r="L165" s="122">
        <f t="shared" si="32"/>
        <v>1121771.0900000001</v>
      </c>
      <c r="M165" s="116">
        <f t="shared" si="33"/>
        <v>43222.090000000084</v>
      </c>
      <c r="N165" s="123">
        <f t="shared" si="34"/>
        <v>8.4899017874680975</v>
      </c>
      <c r="O165" s="5"/>
      <c r="P165" s="5">
        <f t="shared" si="30"/>
        <v>1</v>
      </c>
      <c r="Q165" s="7">
        <f t="shared" si="31"/>
        <v>5091</v>
      </c>
    </row>
    <row r="166" spans="1:21">
      <c r="A166" s="23" t="s">
        <v>192</v>
      </c>
      <c r="B166" s="35" t="s">
        <v>183</v>
      </c>
      <c r="C166" s="36">
        <v>9485</v>
      </c>
      <c r="D166" s="113">
        <v>475328802</v>
      </c>
      <c r="E166" s="116">
        <f t="shared" si="38"/>
        <v>50113.737691091199</v>
      </c>
      <c r="F166" s="117">
        <v>331707253</v>
      </c>
      <c r="G166" s="117">
        <f t="shared" si="39"/>
        <v>34971.771534001055</v>
      </c>
      <c r="H166" s="7"/>
      <c r="I166" s="109">
        <v>6.5716000000000001</v>
      </c>
      <c r="J166" s="117">
        <v>2179847</v>
      </c>
      <c r="K166" s="120">
        <f t="shared" si="37"/>
        <v>229.82045334739061</v>
      </c>
      <c r="L166" s="122">
        <f t="shared" si="32"/>
        <v>3317072.5300000003</v>
      </c>
      <c r="M166" s="116">
        <f t="shared" si="33"/>
        <v>1137225.5300000003</v>
      </c>
      <c r="N166" s="123">
        <f t="shared" si="34"/>
        <v>119.89726199261996</v>
      </c>
      <c r="O166" s="5"/>
      <c r="P166" s="5">
        <f t="shared" si="30"/>
        <v>1</v>
      </c>
      <c r="Q166" s="7">
        <f t="shared" si="31"/>
        <v>9485</v>
      </c>
    </row>
    <row r="167" spans="1:21">
      <c r="A167" s="23" t="s">
        <v>193</v>
      </c>
      <c r="B167" s="35" t="s">
        <v>183</v>
      </c>
      <c r="C167" s="36">
        <v>1455</v>
      </c>
      <c r="D167" s="113">
        <v>112458279</v>
      </c>
      <c r="E167" s="116">
        <f t="shared" si="38"/>
        <v>77290.913402061851</v>
      </c>
      <c r="F167" s="117">
        <v>76190622</v>
      </c>
      <c r="G167" s="117">
        <f t="shared" si="39"/>
        <v>52364.688659793814</v>
      </c>
      <c r="H167" s="7"/>
      <c r="I167" s="109">
        <v>2.83</v>
      </c>
      <c r="J167" s="117">
        <v>215619</v>
      </c>
      <c r="K167" s="120">
        <f t="shared" si="37"/>
        <v>148.19175257731959</v>
      </c>
      <c r="L167" s="122">
        <f t="shared" si="32"/>
        <v>761906.22</v>
      </c>
      <c r="M167" s="116">
        <f t="shared" si="33"/>
        <v>546287.22</v>
      </c>
      <c r="N167" s="123">
        <f t="shared" si="34"/>
        <v>375.45513402061852</v>
      </c>
      <c r="O167" s="5"/>
      <c r="P167" s="5">
        <f t="shared" si="30"/>
        <v>1</v>
      </c>
      <c r="Q167" s="7">
        <f t="shared" si="31"/>
        <v>1455</v>
      </c>
    </row>
    <row r="168" spans="1:21">
      <c r="A168" s="23" t="s">
        <v>194</v>
      </c>
      <c r="B168" s="35" t="s">
        <v>183</v>
      </c>
      <c r="C168" s="36">
        <v>12557</v>
      </c>
      <c r="D168" s="113">
        <v>1135898442</v>
      </c>
      <c r="E168" s="116">
        <f t="shared" si="38"/>
        <v>90459.38058453452</v>
      </c>
      <c r="F168" s="117">
        <v>869338754</v>
      </c>
      <c r="G168" s="117">
        <f t="shared" si="39"/>
        <v>69231.405112686145</v>
      </c>
      <c r="H168" s="7"/>
      <c r="I168" s="109">
        <v>5.3891</v>
      </c>
      <c r="J168" s="117">
        <v>4684953</v>
      </c>
      <c r="K168" s="120">
        <f t="shared" si="37"/>
        <v>373.09492713227684</v>
      </c>
      <c r="L168" s="122">
        <f t="shared" si="32"/>
        <v>8693387.540000001</v>
      </c>
      <c r="M168" s="116">
        <f t="shared" si="33"/>
        <v>4008434.540000001</v>
      </c>
      <c r="N168" s="123">
        <f t="shared" si="34"/>
        <v>319.21912399458478</v>
      </c>
      <c r="O168" s="5"/>
      <c r="P168" s="5">
        <f t="shared" si="30"/>
        <v>1</v>
      </c>
      <c r="Q168" s="7">
        <f t="shared" si="31"/>
        <v>12557</v>
      </c>
    </row>
    <row r="169" spans="1:21">
      <c r="A169" s="23" t="s">
        <v>195</v>
      </c>
      <c r="B169" s="35" t="s">
        <v>183</v>
      </c>
      <c r="C169" s="36">
        <v>14015</v>
      </c>
      <c r="D169" s="113">
        <v>1101381095</v>
      </c>
      <c r="E169" s="116">
        <f t="shared" si="38"/>
        <v>78585.879058151986</v>
      </c>
      <c r="F169" s="117">
        <v>625512364</v>
      </c>
      <c r="G169" s="117">
        <f t="shared" si="39"/>
        <v>44631.634962540134</v>
      </c>
      <c r="H169" s="7"/>
      <c r="I169" s="109">
        <v>6.89</v>
      </c>
      <c r="J169" s="117">
        <v>4309780</v>
      </c>
      <c r="K169" s="120">
        <f t="shared" si="37"/>
        <v>307.51195148055655</v>
      </c>
      <c r="L169" s="122">
        <f t="shared" si="32"/>
        <v>6255123.6400000006</v>
      </c>
      <c r="M169" s="116">
        <f t="shared" si="33"/>
        <v>1945343.6400000006</v>
      </c>
      <c r="N169" s="123">
        <f t="shared" si="34"/>
        <v>138.80439814484484</v>
      </c>
      <c r="O169" s="5"/>
      <c r="P169" s="5">
        <f t="shared" si="30"/>
        <v>1</v>
      </c>
      <c r="Q169" s="7">
        <f t="shared" si="31"/>
        <v>14015</v>
      </c>
    </row>
    <row r="170" spans="1:21">
      <c r="A170" s="23" t="s">
        <v>196</v>
      </c>
      <c r="B170" s="35" t="s">
        <v>183</v>
      </c>
      <c r="C170" s="36">
        <v>3456</v>
      </c>
      <c r="D170" s="113">
        <v>176969221</v>
      </c>
      <c r="E170" s="116">
        <f t="shared" si="38"/>
        <v>51206.371817129628</v>
      </c>
      <c r="F170" s="117">
        <v>114930357</v>
      </c>
      <c r="G170" s="117">
        <f t="shared" si="39"/>
        <v>33255.311631944445</v>
      </c>
      <c r="H170" s="7"/>
      <c r="I170" s="109">
        <v>7.6418999999999997</v>
      </c>
      <c r="J170" s="117">
        <v>878286</v>
      </c>
      <c r="K170" s="120">
        <f t="shared" si="37"/>
        <v>254.13368055555554</v>
      </c>
      <c r="L170" s="122">
        <f t="shared" si="32"/>
        <v>1149303.57</v>
      </c>
      <c r="M170" s="116">
        <f t="shared" si="33"/>
        <v>271017.57000000007</v>
      </c>
      <c r="N170" s="123">
        <f t="shared" si="34"/>
        <v>78.419435763888913</v>
      </c>
      <c r="O170" s="5"/>
      <c r="P170" s="5">
        <f t="shared" si="30"/>
        <v>1</v>
      </c>
      <c r="Q170" s="7">
        <f t="shared" si="31"/>
        <v>3456</v>
      </c>
      <c r="S170" s="124">
        <f>SUM(D157:D170)</f>
        <v>10449135147</v>
      </c>
      <c r="T170" s="124">
        <f>SUM(F157:F170)</f>
        <v>7356658152</v>
      </c>
      <c r="U170" s="124">
        <f>SUM(J157:J170)</f>
        <v>35382163</v>
      </c>
    </row>
    <row r="171" spans="1:21">
      <c r="A171" s="23" t="s">
        <v>448</v>
      </c>
      <c r="B171" s="35" t="s">
        <v>198</v>
      </c>
      <c r="C171" s="36">
        <v>44307</v>
      </c>
      <c r="D171" s="113">
        <v>8208870225</v>
      </c>
      <c r="E171" s="116">
        <f t="shared" si="38"/>
        <v>185272.53537815696</v>
      </c>
      <c r="F171" s="117">
        <v>7012608521</v>
      </c>
      <c r="G171" s="117">
        <f t="shared" si="39"/>
        <v>158273.15144333852</v>
      </c>
      <c r="H171" s="7"/>
      <c r="I171" s="109">
        <v>0.82730000000000004</v>
      </c>
      <c r="J171" s="117">
        <v>5801531</v>
      </c>
      <c r="K171" s="120">
        <f t="shared" si="37"/>
        <v>130.93937752499605</v>
      </c>
      <c r="L171" s="122">
        <f t="shared" si="32"/>
        <v>70126085.210000008</v>
      </c>
      <c r="M171" s="116">
        <f t="shared" si="33"/>
        <v>64324554.210000008</v>
      </c>
      <c r="N171" s="123">
        <f t="shared" si="34"/>
        <v>1451.7921369083895</v>
      </c>
      <c r="O171" s="5"/>
      <c r="P171" s="5">
        <f t="shared" si="30"/>
        <v>1</v>
      </c>
      <c r="Q171" s="7">
        <f t="shared" si="31"/>
        <v>44307</v>
      </c>
    </row>
    <row r="172" spans="1:21">
      <c r="A172" s="23" t="s">
        <v>197</v>
      </c>
      <c r="B172" s="35" t="s">
        <v>198</v>
      </c>
      <c r="C172" s="36">
        <v>156369</v>
      </c>
      <c r="D172" s="113">
        <v>11694576532</v>
      </c>
      <c r="E172" s="116">
        <f t="shared" si="38"/>
        <v>74788.331011901333</v>
      </c>
      <c r="F172" s="117">
        <v>8566590016</v>
      </c>
      <c r="G172" s="117">
        <f t="shared" si="39"/>
        <v>54784.452263556079</v>
      </c>
      <c r="H172" s="7"/>
      <c r="I172" s="109">
        <v>7.9569999999999999</v>
      </c>
      <c r="J172" s="117">
        <v>68164357</v>
      </c>
      <c r="K172" s="120">
        <f t="shared" si="37"/>
        <v>435.91988821313686</v>
      </c>
      <c r="L172" s="122">
        <f t="shared" si="32"/>
        <v>85665900.159999996</v>
      </c>
      <c r="M172" s="116">
        <f t="shared" si="33"/>
        <v>17501543.159999996</v>
      </c>
      <c r="N172" s="123">
        <f t="shared" si="34"/>
        <v>111.92463442242386</v>
      </c>
      <c r="O172" s="5"/>
      <c r="P172" s="5">
        <f t="shared" si="30"/>
        <v>1</v>
      </c>
      <c r="Q172" s="7">
        <f t="shared" si="31"/>
        <v>156369</v>
      </c>
    </row>
    <row r="173" spans="1:21">
      <c r="A173" s="23" t="s">
        <v>199</v>
      </c>
      <c r="B173" s="35" t="s">
        <v>198</v>
      </c>
      <c r="C173" s="36">
        <v>63662</v>
      </c>
      <c r="D173" s="113">
        <v>5540103462</v>
      </c>
      <c r="E173" s="116">
        <f t="shared" si="38"/>
        <v>87023.71056517231</v>
      </c>
      <c r="F173" s="117">
        <v>4077042379</v>
      </c>
      <c r="G173" s="117">
        <f t="shared" si="39"/>
        <v>64042.00903207565</v>
      </c>
      <c r="H173" s="7"/>
      <c r="I173" s="109">
        <v>8.4</v>
      </c>
      <c r="J173" s="117">
        <v>34247156</v>
      </c>
      <c r="K173" s="120">
        <f t="shared" si="37"/>
        <v>537.95287612704601</v>
      </c>
      <c r="L173" s="122">
        <f t="shared" si="32"/>
        <v>40770423.789999999</v>
      </c>
      <c r="M173" s="116">
        <f t="shared" si="33"/>
        <v>6523267.7899999991</v>
      </c>
      <c r="N173" s="123">
        <f t="shared" si="34"/>
        <v>102.46721419371052</v>
      </c>
      <c r="O173" s="5"/>
      <c r="P173" s="5">
        <f t="shared" si="30"/>
        <v>1</v>
      </c>
      <c r="Q173" s="7">
        <f t="shared" si="31"/>
        <v>63662</v>
      </c>
    </row>
    <row r="174" spans="1:21">
      <c r="A174" s="23" t="s">
        <v>200</v>
      </c>
      <c r="B174" s="35" t="s">
        <v>198</v>
      </c>
      <c r="C174" s="36">
        <v>6262</v>
      </c>
      <c r="D174" s="113">
        <v>2886103724</v>
      </c>
      <c r="E174" s="116">
        <f t="shared" si="38"/>
        <v>460891.68380709039</v>
      </c>
      <c r="F174" s="117">
        <v>2526536475</v>
      </c>
      <c r="G174" s="117">
        <f t="shared" si="39"/>
        <v>403471.17135100608</v>
      </c>
      <c r="H174" s="7"/>
      <c r="I174" s="109">
        <v>0.81440000000000001</v>
      </c>
      <c r="J174" s="117">
        <v>2057611</v>
      </c>
      <c r="K174" s="120">
        <f t="shared" si="37"/>
        <v>328.58687320344939</v>
      </c>
      <c r="L174" s="122">
        <f t="shared" si="32"/>
        <v>25265364.75</v>
      </c>
      <c r="M174" s="116">
        <f t="shared" si="33"/>
        <v>23207753.75</v>
      </c>
      <c r="N174" s="123">
        <f t="shared" si="34"/>
        <v>3706.1248403066115</v>
      </c>
      <c r="O174" s="5"/>
      <c r="P174" s="5">
        <f t="shared" si="30"/>
        <v>1</v>
      </c>
      <c r="Q174" s="7">
        <f t="shared" si="31"/>
        <v>6262</v>
      </c>
    </row>
    <row r="175" spans="1:21">
      <c r="A175" s="23" t="s">
        <v>201</v>
      </c>
      <c r="B175" s="35" t="s">
        <v>198</v>
      </c>
      <c r="C175" s="36">
        <v>6470</v>
      </c>
      <c r="D175" s="113">
        <v>4696919831</v>
      </c>
      <c r="E175" s="116">
        <f t="shared" si="38"/>
        <v>725953.60602782073</v>
      </c>
      <c r="F175" s="117">
        <v>4159859288</v>
      </c>
      <c r="G175" s="117">
        <f t="shared" si="39"/>
        <v>642945.79412673879</v>
      </c>
      <c r="H175" s="7"/>
      <c r="I175" s="109">
        <v>2.1038000000000001</v>
      </c>
      <c r="J175" s="117">
        <v>8751512</v>
      </c>
      <c r="K175" s="120">
        <f t="shared" si="37"/>
        <v>1352.6293663060278</v>
      </c>
      <c r="L175" s="122">
        <f t="shared" si="32"/>
        <v>41598592.880000003</v>
      </c>
      <c r="M175" s="116">
        <f t="shared" si="33"/>
        <v>32847080.880000003</v>
      </c>
      <c r="N175" s="123">
        <f t="shared" si="34"/>
        <v>5076.8285749613606</v>
      </c>
      <c r="O175" s="5"/>
      <c r="P175" s="5">
        <f t="shared" si="30"/>
        <v>1</v>
      </c>
      <c r="Q175" s="7">
        <f t="shared" si="31"/>
        <v>6470</v>
      </c>
      <c r="S175" s="124">
        <f>SUM(D171:D175)</f>
        <v>33026573774</v>
      </c>
      <c r="T175" s="124">
        <f>SUM(F171:F175)</f>
        <v>26342636679</v>
      </c>
      <c r="U175" s="124">
        <f>SUM(J171:J175)</f>
        <v>119022167</v>
      </c>
    </row>
    <row r="176" spans="1:21">
      <c r="A176" s="23" t="s">
        <v>202</v>
      </c>
      <c r="B176" s="35" t="s">
        <v>203</v>
      </c>
      <c r="C176" s="36">
        <v>182482</v>
      </c>
      <c r="D176" s="113">
        <v>17095072162</v>
      </c>
      <c r="E176" s="116">
        <f t="shared" si="38"/>
        <v>93680.868041779468</v>
      </c>
      <c r="F176" s="117">
        <v>9260103724</v>
      </c>
      <c r="G176" s="117">
        <f t="shared" si="39"/>
        <v>50745.299393912821</v>
      </c>
      <c r="H176" s="7"/>
      <c r="I176" s="109">
        <v>3.7</v>
      </c>
      <c r="J176" s="117">
        <v>34262384</v>
      </c>
      <c r="K176" s="120">
        <f t="shared" si="37"/>
        <v>187.75760896965181</v>
      </c>
      <c r="L176" s="122">
        <f t="shared" si="32"/>
        <v>92601037.239999995</v>
      </c>
      <c r="M176" s="116">
        <f t="shared" si="33"/>
        <v>58338653.239999995</v>
      </c>
      <c r="N176" s="123">
        <f t="shared" si="34"/>
        <v>319.69538496947644</v>
      </c>
      <c r="O176" s="5"/>
      <c r="P176" s="5">
        <f t="shared" si="30"/>
        <v>1</v>
      </c>
      <c r="Q176" s="7">
        <f t="shared" si="31"/>
        <v>182482</v>
      </c>
      <c r="S176" s="124">
        <f>SUM(D176)</f>
        <v>17095072162</v>
      </c>
      <c r="T176" s="124">
        <f>SUM(F176)</f>
        <v>9260103724</v>
      </c>
      <c r="U176" s="124">
        <f>SUM(J176)</f>
        <v>34262384</v>
      </c>
    </row>
    <row r="177" spans="1:21">
      <c r="A177" s="23" t="s">
        <v>204</v>
      </c>
      <c r="B177" s="35" t="s">
        <v>205</v>
      </c>
      <c r="C177" s="36">
        <v>1100</v>
      </c>
      <c r="D177" s="113">
        <v>62708281</v>
      </c>
      <c r="E177" s="116">
        <f t="shared" si="38"/>
        <v>57007.528181818183</v>
      </c>
      <c r="F177" s="117">
        <v>35474272</v>
      </c>
      <c r="G177" s="117">
        <f t="shared" si="39"/>
        <v>32249.338181818181</v>
      </c>
      <c r="H177" s="7"/>
      <c r="I177" s="109">
        <v>3.44</v>
      </c>
      <c r="J177" s="117">
        <v>122031</v>
      </c>
      <c r="K177" s="120">
        <f t="shared" si="37"/>
        <v>110.93727272727273</v>
      </c>
      <c r="L177" s="122">
        <f t="shared" si="32"/>
        <v>354742.72000000003</v>
      </c>
      <c r="M177" s="116">
        <f t="shared" si="33"/>
        <v>232711.72000000003</v>
      </c>
      <c r="N177" s="123">
        <f t="shared" si="34"/>
        <v>211.55610909090913</v>
      </c>
      <c r="O177" s="5"/>
      <c r="P177" s="5">
        <f t="shared" si="30"/>
        <v>1</v>
      </c>
      <c r="Q177" s="7">
        <f t="shared" si="31"/>
        <v>1100</v>
      </c>
    </row>
    <row r="178" spans="1:21">
      <c r="A178" s="23" t="s">
        <v>206</v>
      </c>
      <c r="B178" s="35" t="s">
        <v>205</v>
      </c>
      <c r="C178" s="36">
        <v>707</v>
      </c>
      <c r="D178" s="113">
        <v>187198109</v>
      </c>
      <c r="E178" s="116">
        <f t="shared" si="38"/>
        <v>264778.08910891088</v>
      </c>
      <c r="F178" s="117">
        <v>143398398</v>
      </c>
      <c r="G178" s="117">
        <f t="shared" si="39"/>
        <v>202826.58840169731</v>
      </c>
      <c r="H178" s="7"/>
      <c r="I178" s="109">
        <v>3.7570000000000001</v>
      </c>
      <c r="J178" s="117">
        <v>538748</v>
      </c>
      <c r="K178" s="120">
        <f t="shared" si="37"/>
        <v>762.01980198019805</v>
      </c>
      <c r="L178" s="122">
        <f t="shared" si="32"/>
        <v>1433983.98</v>
      </c>
      <c r="M178" s="116">
        <f t="shared" si="33"/>
        <v>895235.98</v>
      </c>
      <c r="N178" s="123">
        <f t="shared" si="34"/>
        <v>1266.2460820367751</v>
      </c>
      <c r="O178" s="5"/>
      <c r="P178" s="5">
        <f t="shared" si="30"/>
        <v>1</v>
      </c>
      <c r="Q178" s="7">
        <f t="shared" si="31"/>
        <v>707</v>
      </c>
    </row>
    <row r="179" spans="1:21">
      <c r="A179" s="23" t="s">
        <v>207</v>
      </c>
      <c r="B179" s="35" t="s">
        <v>205</v>
      </c>
      <c r="C179" s="36">
        <v>2256</v>
      </c>
      <c r="D179" s="113">
        <v>180885477</v>
      </c>
      <c r="E179" s="116">
        <f t="shared" si="38"/>
        <v>80179.732712765952</v>
      </c>
      <c r="F179" s="117">
        <v>134459863</v>
      </c>
      <c r="G179" s="117">
        <f t="shared" si="39"/>
        <v>59601.003102836883</v>
      </c>
      <c r="H179" s="7"/>
      <c r="I179" s="109">
        <v>4.75</v>
      </c>
      <c r="J179" s="117">
        <v>638684</v>
      </c>
      <c r="K179" s="120">
        <f t="shared" si="37"/>
        <v>283.10460992907804</v>
      </c>
      <c r="L179" s="122">
        <f t="shared" si="32"/>
        <v>1344598.6300000001</v>
      </c>
      <c r="M179" s="116">
        <f t="shared" si="33"/>
        <v>705914.63000000012</v>
      </c>
      <c r="N179" s="123">
        <f t="shared" si="34"/>
        <v>312.90542109929083</v>
      </c>
      <c r="O179" s="5"/>
      <c r="P179" s="5">
        <f t="shared" si="30"/>
        <v>1</v>
      </c>
      <c r="Q179" s="7">
        <f t="shared" si="31"/>
        <v>2256</v>
      </c>
    </row>
    <row r="180" spans="1:21">
      <c r="A180" s="23" t="s">
        <v>208</v>
      </c>
      <c r="B180" s="35" t="s">
        <v>205</v>
      </c>
      <c r="C180" s="36">
        <v>1328</v>
      </c>
      <c r="D180" s="113">
        <v>96815496</v>
      </c>
      <c r="E180" s="116">
        <f t="shared" si="38"/>
        <v>72903.23493975903</v>
      </c>
      <c r="F180" s="117">
        <v>70095360</v>
      </c>
      <c r="G180" s="117">
        <f t="shared" si="39"/>
        <v>52782.650602409638</v>
      </c>
      <c r="H180" s="7"/>
      <c r="I180" s="109">
        <v>5</v>
      </c>
      <c r="J180" s="117">
        <v>350477</v>
      </c>
      <c r="K180" s="120">
        <f t="shared" si="37"/>
        <v>263.91340361445782</v>
      </c>
      <c r="L180" s="122">
        <f t="shared" si="32"/>
        <v>700953.59999999998</v>
      </c>
      <c r="M180" s="116">
        <f t="shared" si="33"/>
        <v>350476.6</v>
      </c>
      <c r="N180" s="123">
        <f t="shared" si="34"/>
        <v>263.91310240963855</v>
      </c>
      <c r="O180" s="5"/>
      <c r="P180" s="5">
        <f t="shared" si="30"/>
        <v>1</v>
      </c>
      <c r="Q180" s="7">
        <f t="shared" si="31"/>
        <v>1328</v>
      </c>
    </row>
    <row r="181" spans="1:21">
      <c r="A181" s="23" t="s">
        <v>209</v>
      </c>
      <c r="B181" s="35" t="s">
        <v>205</v>
      </c>
      <c r="C181" s="36">
        <v>134</v>
      </c>
      <c r="D181" s="113">
        <v>7504892</v>
      </c>
      <c r="E181" s="116">
        <f t="shared" si="38"/>
        <v>56006.656716417907</v>
      </c>
      <c r="F181" s="117">
        <v>3812501</v>
      </c>
      <c r="G181" s="117">
        <f t="shared" si="39"/>
        <v>28451.5</v>
      </c>
      <c r="H181" s="7"/>
      <c r="I181" s="109">
        <v>7</v>
      </c>
      <c r="J181" s="117">
        <v>26688</v>
      </c>
      <c r="K181" s="120">
        <f t="shared" si="37"/>
        <v>199.16417910447763</v>
      </c>
      <c r="L181" s="122">
        <f t="shared" si="32"/>
        <v>38125.01</v>
      </c>
      <c r="M181" s="116">
        <f t="shared" si="33"/>
        <v>11437.010000000002</v>
      </c>
      <c r="N181" s="123">
        <f t="shared" si="34"/>
        <v>85.350820895522403</v>
      </c>
      <c r="O181" s="5"/>
      <c r="P181" s="5">
        <f t="shared" si="30"/>
        <v>1</v>
      </c>
      <c r="Q181" s="7">
        <f t="shared" si="31"/>
        <v>134</v>
      </c>
    </row>
    <row r="182" spans="1:21">
      <c r="A182" s="23" t="s">
        <v>210</v>
      </c>
      <c r="B182" s="35" t="s">
        <v>205</v>
      </c>
      <c r="C182" s="36">
        <v>2765</v>
      </c>
      <c r="D182" s="113">
        <v>169343415</v>
      </c>
      <c r="E182" s="116">
        <f t="shared" si="38"/>
        <v>61245.358047016278</v>
      </c>
      <c r="F182" s="117">
        <v>100382502</v>
      </c>
      <c r="G182" s="117">
        <f t="shared" si="39"/>
        <v>36304.702350813743</v>
      </c>
      <c r="H182" s="7"/>
      <c r="I182" s="109">
        <v>5.9024999999999999</v>
      </c>
      <c r="J182" s="117">
        <v>592508</v>
      </c>
      <c r="K182" s="120">
        <f t="shared" si="37"/>
        <v>214.28860759493671</v>
      </c>
      <c r="L182" s="122">
        <f t="shared" si="32"/>
        <v>1003825.02</v>
      </c>
      <c r="M182" s="116">
        <f t="shared" si="33"/>
        <v>411317.02</v>
      </c>
      <c r="N182" s="123">
        <f t="shared" si="34"/>
        <v>148.75841591320074</v>
      </c>
      <c r="O182" s="5"/>
      <c r="P182" s="5">
        <f t="shared" si="30"/>
        <v>1</v>
      </c>
      <c r="Q182" s="7">
        <f t="shared" si="31"/>
        <v>2765</v>
      </c>
    </row>
    <row r="183" spans="1:21">
      <c r="A183" s="23" t="s">
        <v>211</v>
      </c>
      <c r="B183" s="35" t="s">
        <v>205</v>
      </c>
      <c r="C183" s="36">
        <v>494</v>
      </c>
      <c r="D183" s="113">
        <v>84363969</v>
      </c>
      <c r="E183" s="116">
        <f t="shared" si="38"/>
        <v>170777.26518218624</v>
      </c>
      <c r="F183" s="117">
        <v>61619323</v>
      </c>
      <c r="G183" s="117">
        <f t="shared" si="39"/>
        <v>124735.47165991903</v>
      </c>
      <c r="H183" s="7"/>
      <c r="I183" s="109">
        <v>2.5785</v>
      </c>
      <c r="J183" s="117">
        <v>158885</v>
      </c>
      <c r="K183" s="120">
        <f t="shared" si="37"/>
        <v>321.62955465587044</v>
      </c>
      <c r="L183" s="122">
        <f t="shared" si="32"/>
        <v>616193.23</v>
      </c>
      <c r="M183" s="116">
        <f t="shared" si="33"/>
        <v>457308.23</v>
      </c>
      <c r="N183" s="123">
        <f t="shared" si="34"/>
        <v>925.72516194331979</v>
      </c>
      <c r="O183" s="5"/>
      <c r="P183" s="5">
        <f t="shared" si="30"/>
        <v>1</v>
      </c>
      <c r="Q183" s="7">
        <f t="shared" si="31"/>
        <v>494</v>
      </c>
      <c r="S183" s="124">
        <f>SUM(D177:D183)</f>
        <v>788819639</v>
      </c>
      <c r="T183" s="124">
        <f>SUM(F177:F183)</f>
        <v>549242219</v>
      </c>
      <c r="U183" s="124">
        <f>SUM(J177:J183)</f>
        <v>2428021</v>
      </c>
    </row>
    <row r="184" spans="1:21">
      <c r="A184" s="23" t="s">
        <v>212</v>
      </c>
      <c r="B184" s="35" t="s">
        <v>213</v>
      </c>
      <c r="C184" s="36">
        <v>1000</v>
      </c>
      <c r="D184" s="113">
        <v>62222229</v>
      </c>
      <c r="E184" s="116">
        <f t="shared" si="38"/>
        <v>62222.228999999999</v>
      </c>
      <c r="F184" s="117">
        <v>27959638</v>
      </c>
      <c r="G184" s="117">
        <f t="shared" si="39"/>
        <v>27959.637999999999</v>
      </c>
      <c r="H184" s="7"/>
      <c r="I184" s="109">
        <v>3</v>
      </c>
      <c r="J184" s="117">
        <v>83879</v>
      </c>
      <c r="K184" s="120">
        <f t="shared" si="37"/>
        <v>83.879000000000005</v>
      </c>
      <c r="L184" s="122">
        <f t="shared" si="32"/>
        <v>279596.38</v>
      </c>
      <c r="M184" s="116">
        <f t="shared" si="33"/>
        <v>195717.38</v>
      </c>
      <c r="N184" s="123">
        <f t="shared" si="34"/>
        <v>195.71737999999999</v>
      </c>
      <c r="O184" s="5"/>
      <c r="P184" s="5">
        <f t="shared" si="30"/>
        <v>1</v>
      </c>
      <c r="Q184" s="7">
        <f t="shared" si="31"/>
        <v>1000</v>
      </c>
      <c r="S184" s="124">
        <f>SUM(D184)</f>
        <v>62222229</v>
      </c>
      <c r="T184" s="124">
        <f>SUM(F184)</f>
        <v>27959638</v>
      </c>
      <c r="U184" s="124">
        <f>SUM(J184)</f>
        <v>83879</v>
      </c>
    </row>
    <row r="185" spans="1:21">
      <c r="A185" s="23" t="s">
        <v>214</v>
      </c>
      <c r="B185" s="35" t="s">
        <v>215</v>
      </c>
      <c r="C185" s="36">
        <v>830</v>
      </c>
      <c r="D185" s="113">
        <v>19553836</v>
      </c>
      <c r="E185" s="116">
        <f t="shared" si="38"/>
        <v>23558.838554216869</v>
      </c>
      <c r="F185" s="117">
        <v>10264017</v>
      </c>
      <c r="G185" s="117">
        <f t="shared" si="39"/>
        <v>12366.285542168675</v>
      </c>
      <c r="H185" s="7"/>
      <c r="I185" s="109">
        <v>8.9959000000000007</v>
      </c>
      <c r="J185" s="117">
        <v>92334</v>
      </c>
      <c r="K185" s="120">
        <f t="shared" si="37"/>
        <v>111.24578313253012</v>
      </c>
      <c r="L185" s="122">
        <f t="shared" si="32"/>
        <v>102640.17</v>
      </c>
      <c r="M185" s="116">
        <f t="shared" si="33"/>
        <v>10306.169999999998</v>
      </c>
      <c r="N185" s="123">
        <f t="shared" si="34"/>
        <v>12.417072289156625</v>
      </c>
      <c r="O185" s="5"/>
      <c r="P185" s="5">
        <f t="shared" si="30"/>
        <v>1</v>
      </c>
      <c r="Q185" s="7">
        <f t="shared" si="31"/>
        <v>830</v>
      </c>
    </row>
    <row r="186" spans="1:21">
      <c r="A186" s="23" t="s">
        <v>198</v>
      </c>
      <c r="B186" s="35" t="s">
        <v>215</v>
      </c>
      <c r="C186" s="36">
        <v>340</v>
      </c>
      <c r="D186" s="113">
        <v>18827049</v>
      </c>
      <c r="E186" s="116">
        <f t="shared" si="38"/>
        <v>55373.673529411768</v>
      </c>
      <c r="F186" s="117">
        <v>7284574</v>
      </c>
      <c r="G186" s="117">
        <f t="shared" si="39"/>
        <v>21425.217647058824</v>
      </c>
      <c r="H186" s="7"/>
      <c r="I186" s="109">
        <v>6.3276000000000003</v>
      </c>
      <c r="J186" s="117">
        <v>46094</v>
      </c>
      <c r="K186" s="120">
        <f t="shared" si="37"/>
        <v>135.57058823529411</v>
      </c>
      <c r="L186" s="122">
        <f t="shared" si="32"/>
        <v>72845.740000000005</v>
      </c>
      <c r="M186" s="116">
        <f t="shared" si="33"/>
        <v>26751.740000000005</v>
      </c>
      <c r="N186" s="123">
        <f t="shared" si="34"/>
        <v>78.681588235294129</v>
      </c>
      <c r="O186" s="5"/>
      <c r="P186" s="5">
        <f t="shared" si="30"/>
        <v>1</v>
      </c>
      <c r="Q186" s="7">
        <f t="shared" si="31"/>
        <v>340</v>
      </c>
    </row>
    <row r="187" spans="1:21">
      <c r="A187" s="23" t="s">
        <v>215</v>
      </c>
      <c r="B187" s="35" t="s">
        <v>215</v>
      </c>
      <c r="C187" s="36">
        <v>3078</v>
      </c>
      <c r="D187" s="113">
        <v>148227150</v>
      </c>
      <c r="E187" s="116">
        <f t="shared" si="38"/>
        <v>48156.96881091618</v>
      </c>
      <c r="F187" s="117">
        <v>88991314</v>
      </c>
      <c r="G187" s="117">
        <f t="shared" si="39"/>
        <v>28912.057829759586</v>
      </c>
      <c r="H187" s="7"/>
      <c r="I187" s="109">
        <v>6.0484</v>
      </c>
      <c r="J187" s="117">
        <v>538255</v>
      </c>
      <c r="K187" s="120">
        <f t="shared" si="37"/>
        <v>174.87166991552957</v>
      </c>
      <c r="L187" s="122">
        <f t="shared" si="32"/>
        <v>889913.14</v>
      </c>
      <c r="M187" s="116">
        <f t="shared" si="33"/>
        <v>351658.14</v>
      </c>
      <c r="N187" s="123">
        <f t="shared" si="34"/>
        <v>114.24890838206628</v>
      </c>
      <c r="O187" s="5"/>
      <c r="P187" s="5">
        <f t="shared" si="30"/>
        <v>1</v>
      </c>
      <c r="Q187" s="7">
        <f t="shared" si="31"/>
        <v>3078</v>
      </c>
      <c r="S187" s="124">
        <f>SUM(D185:D187)</f>
        <v>186608035</v>
      </c>
      <c r="T187" s="124">
        <f>SUM(F185:F187)</f>
        <v>106539905</v>
      </c>
      <c r="U187" s="124">
        <f>SUM(J185:J187)</f>
        <v>676683</v>
      </c>
    </row>
    <row r="188" spans="1:21">
      <c r="A188" s="23" t="s">
        <v>216</v>
      </c>
      <c r="B188" s="35" t="s">
        <v>217</v>
      </c>
      <c r="C188" s="36">
        <v>1505</v>
      </c>
      <c r="D188" s="113">
        <v>699908749</v>
      </c>
      <c r="E188" s="116">
        <f t="shared" si="38"/>
        <v>465055.64717607974</v>
      </c>
      <c r="F188" s="117">
        <v>578392242</v>
      </c>
      <c r="G188" s="117">
        <f t="shared" si="39"/>
        <v>384313.78205980064</v>
      </c>
      <c r="H188" s="7"/>
      <c r="I188" s="109">
        <v>2.0499999999999998</v>
      </c>
      <c r="J188" s="117">
        <v>1185704</v>
      </c>
      <c r="K188" s="120">
        <f t="shared" si="37"/>
        <v>787.84318936877071</v>
      </c>
      <c r="L188" s="122">
        <f t="shared" si="32"/>
        <v>5783922.4199999999</v>
      </c>
      <c r="M188" s="116">
        <f t="shared" si="33"/>
        <v>4598218.42</v>
      </c>
      <c r="N188" s="123">
        <f t="shared" si="34"/>
        <v>3055.2946312292356</v>
      </c>
      <c r="O188" s="5"/>
      <c r="P188" s="5">
        <f t="shared" si="30"/>
        <v>1</v>
      </c>
      <c r="Q188" s="7">
        <f t="shared" si="31"/>
        <v>1505</v>
      </c>
    </row>
    <row r="189" spans="1:21">
      <c r="A189" s="23" t="s">
        <v>218</v>
      </c>
      <c r="B189" s="35" t="s">
        <v>217</v>
      </c>
      <c r="C189" s="36">
        <v>49724</v>
      </c>
      <c r="D189" s="113">
        <v>3430383096</v>
      </c>
      <c r="E189" s="116">
        <f t="shared" si="38"/>
        <v>68988.478320328213</v>
      </c>
      <c r="F189" s="117">
        <v>2543815540</v>
      </c>
      <c r="G189" s="117">
        <f t="shared" si="39"/>
        <v>51158.706861877567</v>
      </c>
      <c r="H189" s="7"/>
      <c r="I189" s="109">
        <v>5.2001999999999997</v>
      </c>
      <c r="J189" s="117">
        <v>13228350</v>
      </c>
      <c r="K189" s="120">
        <f t="shared" si="37"/>
        <v>266.03551604858819</v>
      </c>
      <c r="L189" s="122">
        <f t="shared" si="32"/>
        <v>25438155.400000002</v>
      </c>
      <c r="M189" s="116">
        <f t="shared" si="33"/>
        <v>12209805.400000002</v>
      </c>
      <c r="N189" s="123">
        <f t="shared" si="34"/>
        <v>245.55155257018748</v>
      </c>
      <c r="O189" s="5"/>
      <c r="P189" s="5">
        <f t="shared" si="30"/>
        <v>1</v>
      </c>
      <c r="Q189" s="7">
        <f t="shared" si="31"/>
        <v>49724</v>
      </c>
    </row>
    <row r="190" spans="1:21">
      <c r="A190" s="23" t="s">
        <v>219</v>
      </c>
      <c r="B190" s="35" t="s">
        <v>217</v>
      </c>
      <c r="C190" s="36">
        <v>1177</v>
      </c>
      <c r="D190" s="113">
        <v>475350854</v>
      </c>
      <c r="E190" s="116">
        <f t="shared" si="38"/>
        <v>403866.48598130839</v>
      </c>
      <c r="F190" s="117">
        <v>394789504</v>
      </c>
      <c r="G190" s="117">
        <f t="shared" si="39"/>
        <v>335420.13933729823</v>
      </c>
      <c r="H190" s="7"/>
      <c r="I190" s="109">
        <v>2.1358999999999999</v>
      </c>
      <c r="J190" s="117">
        <v>843231</v>
      </c>
      <c r="K190" s="120">
        <f t="shared" si="37"/>
        <v>716.4239592183518</v>
      </c>
      <c r="L190" s="122">
        <f t="shared" si="32"/>
        <v>3947895.04</v>
      </c>
      <c r="M190" s="116">
        <f t="shared" si="33"/>
        <v>3104664.04</v>
      </c>
      <c r="N190" s="123">
        <f t="shared" si="34"/>
        <v>2637.7774341546306</v>
      </c>
      <c r="O190" s="5"/>
      <c r="P190" s="5">
        <f t="shared" si="30"/>
        <v>1</v>
      </c>
      <c r="Q190" s="7">
        <f t="shared" si="31"/>
        <v>1177</v>
      </c>
    </row>
    <row r="191" spans="1:21">
      <c r="A191" s="23" t="s">
        <v>220</v>
      </c>
      <c r="B191" s="35" t="s">
        <v>217</v>
      </c>
      <c r="C191" s="36">
        <v>3840</v>
      </c>
      <c r="D191" s="113">
        <v>1448261905</v>
      </c>
      <c r="E191" s="116">
        <f t="shared" si="38"/>
        <v>377151.53776041669</v>
      </c>
      <c r="F191" s="117">
        <v>1230723089</v>
      </c>
      <c r="G191" s="117">
        <f t="shared" si="39"/>
        <v>320500.80442708335</v>
      </c>
      <c r="H191" s="7"/>
      <c r="I191" s="109">
        <v>1.75</v>
      </c>
      <c r="J191" s="117">
        <v>2153765</v>
      </c>
      <c r="K191" s="120">
        <f t="shared" si="37"/>
        <v>560.87630208333337</v>
      </c>
      <c r="L191" s="122">
        <f t="shared" si="32"/>
        <v>12307230.890000001</v>
      </c>
      <c r="M191" s="116">
        <f t="shared" si="33"/>
        <v>10153465.890000001</v>
      </c>
      <c r="N191" s="123">
        <f t="shared" si="34"/>
        <v>2644.1317421875001</v>
      </c>
      <c r="O191" s="5"/>
      <c r="P191" s="5">
        <f t="shared" si="30"/>
        <v>1</v>
      </c>
      <c r="Q191" s="7">
        <f t="shared" si="31"/>
        <v>3840</v>
      </c>
    </row>
    <row r="192" spans="1:21">
      <c r="A192" s="23" t="s">
        <v>221</v>
      </c>
      <c r="B192" s="35" t="s">
        <v>217</v>
      </c>
      <c r="C192" s="36">
        <v>12708</v>
      </c>
      <c r="D192" s="113">
        <v>929949456</v>
      </c>
      <c r="E192" s="116">
        <f t="shared" si="38"/>
        <v>73178.2700661001</v>
      </c>
      <c r="F192" s="117">
        <v>681445656</v>
      </c>
      <c r="G192" s="117">
        <f t="shared" si="39"/>
        <v>53623.359773371107</v>
      </c>
      <c r="H192" s="7"/>
      <c r="I192" s="109">
        <v>5.1185</v>
      </c>
      <c r="J192" s="117">
        <v>3487980</v>
      </c>
      <c r="K192" s="120">
        <f t="shared" si="37"/>
        <v>274.47119924457036</v>
      </c>
      <c r="L192" s="122">
        <f t="shared" si="32"/>
        <v>6814456.5600000005</v>
      </c>
      <c r="M192" s="116">
        <f t="shared" si="33"/>
        <v>3326476.5600000005</v>
      </c>
      <c r="N192" s="123">
        <f t="shared" si="34"/>
        <v>261.76239848914076</v>
      </c>
      <c r="O192" s="5"/>
      <c r="P192" s="5">
        <f t="shared" si="30"/>
        <v>1</v>
      </c>
      <c r="Q192" s="7">
        <f t="shared" si="31"/>
        <v>12708</v>
      </c>
    </row>
    <row r="193" spans="1:21">
      <c r="A193" s="23" t="s">
        <v>478</v>
      </c>
      <c r="B193" s="35" t="s">
        <v>222</v>
      </c>
      <c r="C193" s="36">
        <v>6882</v>
      </c>
      <c r="D193" s="113">
        <f>(1468963067+3655251540)</f>
        <v>5124214607</v>
      </c>
      <c r="E193" s="116">
        <f t="shared" si="38"/>
        <v>744582.1864283639</v>
      </c>
      <c r="F193" s="117">
        <f>(1298954253+3345653526)</f>
        <v>4644607779</v>
      </c>
      <c r="G193" s="117">
        <f t="shared" si="39"/>
        <v>674892.15039232781</v>
      </c>
      <c r="H193" s="7"/>
      <c r="I193" s="109">
        <v>1.8872</v>
      </c>
      <c r="J193" s="117">
        <f>(2451386+6313917)</f>
        <v>8765303</v>
      </c>
      <c r="K193" s="120">
        <f t="shared" si="37"/>
        <v>1273.6563498982853</v>
      </c>
      <c r="L193" s="122">
        <f t="shared" si="32"/>
        <v>46446077.789999999</v>
      </c>
      <c r="M193" s="116">
        <f t="shared" si="33"/>
        <v>37680774.789999999</v>
      </c>
      <c r="N193" s="123">
        <f t="shared" si="34"/>
        <v>5475.2651540249926</v>
      </c>
      <c r="O193" s="5"/>
      <c r="P193" s="5">
        <f t="shared" si="30"/>
        <v>1</v>
      </c>
      <c r="Q193" s="7">
        <f t="shared" si="31"/>
        <v>6882</v>
      </c>
      <c r="S193" s="124">
        <f>SUM(D188:D193)</f>
        <v>12108068667</v>
      </c>
      <c r="T193" s="124">
        <f>SUM(F188:F193)</f>
        <v>10073773810</v>
      </c>
      <c r="U193" s="124">
        <f>SUM(J188:J193)</f>
        <v>29664333</v>
      </c>
    </row>
    <row r="194" spans="1:21">
      <c r="A194" s="23" t="s">
        <v>223</v>
      </c>
      <c r="B194" s="35" t="s">
        <v>224</v>
      </c>
      <c r="C194" s="36">
        <v>4561</v>
      </c>
      <c r="D194" s="113">
        <v>262973626</v>
      </c>
      <c r="E194" s="116">
        <f t="shared" si="38"/>
        <v>57657.010743258055</v>
      </c>
      <c r="F194" s="117">
        <v>194150478</v>
      </c>
      <c r="G194" s="117">
        <f t="shared" si="39"/>
        <v>42567.524227143171</v>
      </c>
      <c r="H194" s="7"/>
      <c r="I194" s="109">
        <v>3.9912000000000001</v>
      </c>
      <c r="J194" s="117">
        <v>774893</v>
      </c>
      <c r="K194" s="120">
        <f t="shared" si="37"/>
        <v>169.89541767156325</v>
      </c>
      <c r="L194" s="122">
        <f t="shared" si="32"/>
        <v>1941504.78</v>
      </c>
      <c r="M194" s="116">
        <f t="shared" si="33"/>
        <v>1166611.78</v>
      </c>
      <c r="N194" s="123">
        <f t="shared" si="34"/>
        <v>255.77982459986845</v>
      </c>
      <c r="O194" s="5"/>
      <c r="P194" s="5">
        <f t="shared" si="30"/>
        <v>1</v>
      </c>
      <c r="Q194" s="7">
        <f t="shared" si="31"/>
        <v>4561</v>
      </c>
    </row>
    <row r="195" spans="1:21">
      <c r="A195" s="23" t="s">
        <v>225</v>
      </c>
      <c r="B195" s="35" t="s">
        <v>224</v>
      </c>
      <c r="C195" s="36">
        <v>1737</v>
      </c>
      <c r="D195" s="113">
        <v>206255093</v>
      </c>
      <c r="E195" s="116">
        <f t="shared" si="38"/>
        <v>118742.13759355211</v>
      </c>
      <c r="F195" s="117">
        <v>136095591</v>
      </c>
      <c r="G195" s="117">
        <f t="shared" si="39"/>
        <v>78350.944732297066</v>
      </c>
      <c r="H195" s="7"/>
      <c r="I195" s="109">
        <v>7.1479999999999997</v>
      </c>
      <c r="J195" s="117">
        <v>972811</v>
      </c>
      <c r="K195" s="120">
        <f t="shared" si="37"/>
        <v>560.05238917674149</v>
      </c>
      <c r="L195" s="122">
        <f t="shared" si="32"/>
        <v>1360955.91</v>
      </c>
      <c r="M195" s="116">
        <f t="shared" si="33"/>
        <v>388144.90999999992</v>
      </c>
      <c r="N195" s="123">
        <f t="shared" si="34"/>
        <v>223.45705814622909</v>
      </c>
      <c r="O195" s="5"/>
      <c r="P195" s="5">
        <f t="shared" si="30"/>
        <v>1</v>
      </c>
      <c r="Q195" s="7">
        <f t="shared" si="31"/>
        <v>1737</v>
      </c>
    </row>
    <row r="196" spans="1:21">
      <c r="A196" s="23" t="s">
        <v>226</v>
      </c>
      <c r="B196" s="35" t="s">
        <v>224</v>
      </c>
      <c r="C196" s="36">
        <v>452</v>
      </c>
      <c r="D196" s="113">
        <v>29271261</v>
      </c>
      <c r="E196" s="116">
        <f t="shared" si="38"/>
        <v>64759.426991150445</v>
      </c>
      <c r="F196" s="117">
        <v>17084228</v>
      </c>
      <c r="G196" s="117">
        <f t="shared" si="39"/>
        <v>37796.964601769912</v>
      </c>
      <c r="H196" s="7"/>
      <c r="I196" s="109">
        <v>2.2988</v>
      </c>
      <c r="J196" s="117">
        <v>39273</v>
      </c>
      <c r="K196" s="120">
        <f t="shared" si="37"/>
        <v>86.887168141592923</v>
      </c>
      <c r="L196" s="122">
        <f t="shared" si="32"/>
        <v>170842.28</v>
      </c>
      <c r="M196" s="116">
        <f t="shared" si="33"/>
        <v>131569.28</v>
      </c>
      <c r="N196" s="123">
        <f t="shared" si="34"/>
        <v>291.08247787610617</v>
      </c>
      <c r="O196" s="5"/>
      <c r="P196" s="5">
        <f t="shared" si="30"/>
        <v>1</v>
      </c>
      <c r="Q196" s="7">
        <f t="shared" si="31"/>
        <v>452</v>
      </c>
    </row>
    <row r="197" spans="1:21">
      <c r="A197" s="23" t="s">
        <v>227</v>
      </c>
      <c r="B197" s="35" t="s">
        <v>224</v>
      </c>
      <c r="C197" s="36">
        <v>56545</v>
      </c>
      <c r="D197" s="113">
        <v>5054380138</v>
      </c>
      <c r="E197" s="116">
        <f t="shared" si="38"/>
        <v>89386.862463524623</v>
      </c>
      <c r="F197" s="117">
        <v>3680573191</v>
      </c>
      <c r="G197" s="117">
        <f t="shared" si="39"/>
        <v>65091.045910336899</v>
      </c>
      <c r="H197" s="9"/>
      <c r="I197" s="109">
        <v>5.9332000000000003</v>
      </c>
      <c r="J197" s="117">
        <v>21837577</v>
      </c>
      <c r="K197" s="120">
        <f t="shared" si="37"/>
        <v>386.19819612697853</v>
      </c>
      <c r="L197" s="122">
        <f t="shared" si="32"/>
        <v>36805731.910000004</v>
      </c>
      <c r="M197" s="116">
        <f t="shared" si="33"/>
        <v>14968154.910000004</v>
      </c>
      <c r="N197" s="123">
        <f t="shared" si="34"/>
        <v>264.71226297639055</v>
      </c>
      <c r="O197" s="5"/>
      <c r="P197" s="5">
        <f t="shared" si="30"/>
        <v>1</v>
      </c>
      <c r="Q197" s="7">
        <f t="shared" si="31"/>
        <v>56545</v>
      </c>
    </row>
    <row r="198" spans="1:21">
      <c r="A198" s="23" t="s">
        <v>228</v>
      </c>
      <c r="B198" s="35" t="s">
        <v>224</v>
      </c>
      <c r="C198" s="36">
        <v>511</v>
      </c>
      <c r="D198" s="114" t="s">
        <v>564</v>
      </c>
      <c r="E198" s="116"/>
      <c r="F198" s="117"/>
      <c r="G198" s="117"/>
      <c r="H198" s="9" t="s">
        <v>528</v>
      </c>
      <c r="I198" s="109"/>
      <c r="J198" s="117"/>
      <c r="K198" s="120"/>
      <c r="L198" s="122">
        <f t="shared" si="32"/>
        <v>0</v>
      </c>
      <c r="M198" s="116">
        <f t="shared" si="33"/>
        <v>0</v>
      </c>
      <c r="N198" s="123">
        <f t="shared" si="34"/>
        <v>0</v>
      </c>
      <c r="O198" s="5"/>
      <c r="P198" s="5">
        <f t="shared" ref="P198:P261" si="40">IF(I198&gt;0,1,0)</f>
        <v>0</v>
      </c>
      <c r="Q198" s="7">
        <f t="shared" ref="Q198:Q261" si="41">IF(I198&gt;0,C198,0)</f>
        <v>0</v>
      </c>
      <c r="S198" s="124">
        <f>SUM(D194:D198)</f>
        <v>5552880118</v>
      </c>
      <c r="T198" s="124">
        <f>SUM(F194:F198)</f>
        <v>4027903488</v>
      </c>
      <c r="U198" s="124">
        <f>SUM(J194:J198)</f>
        <v>23624554</v>
      </c>
    </row>
    <row r="199" spans="1:21">
      <c r="A199" s="23" t="s">
        <v>229</v>
      </c>
      <c r="B199" s="35" t="s">
        <v>230</v>
      </c>
      <c r="C199" s="36">
        <v>815</v>
      </c>
      <c r="D199" s="113">
        <v>2325346987</v>
      </c>
      <c r="E199" s="116">
        <f t="shared" si="38"/>
        <v>2853186.4871165645</v>
      </c>
      <c r="F199" s="117">
        <v>1937470250</v>
      </c>
      <c r="G199" s="117">
        <f t="shared" si="39"/>
        <v>2377264.1104294481</v>
      </c>
      <c r="H199" s="9"/>
      <c r="I199" s="109">
        <v>2.6341000000000001</v>
      </c>
      <c r="J199" s="117">
        <v>5103490</v>
      </c>
      <c r="K199" s="120">
        <f t="shared" si="37"/>
        <v>6261.9509202453992</v>
      </c>
      <c r="L199" s="122">
        <f t="shared" si="32"/>
        <v>19374702.5</v>
      </c>
      <c r="M199" s="116">
        <f t="shared" si="33"/>
        <v>14271212.5</v>
      </c>
      <c r="N199" s="123">
        <f t="shared" si="34"/>
        <v>17510.690184049079</v>
      </c>
      <c r="O199" s="5"/>
      <c r="P199" s="5">
        <f t="shared" si="40"/>
        <v>1</v>
      </c>
      <c r="Q199" s="7">
        <f t="shared" si="41"/>
        <v>815</v>
      </c>
    </row>
    <row r="200" spans="1:21">
      <c r="A200" s="24" t="s">
        <v>582</v>
      </c>
      <c r="B200" s="35" t="s">
        <v>230</v>
      </c>
      <c r="C200" s="36">
        <v>320</v>
      </c>
      <c r="D200" s="113">
        <v>27857586</v>
      </c>
      <c r="E200" s="116">
        <f t="shared" si="38"/>
        <v>87054.956250000003</v>
      </c>
      <c r="F200" s="117">
        <v>25837183</v>
      </c>
      <c r="G200" s="117">
        <f t="shared" si="39"/>
        <v>80741.196874999994</v>
      </c>
      <c r="H200" s="9"/>
      <c r="I200" s="110">
        <v>4.6798999999999999</v>
      </c>
      <c r="J200" s="117">
        <v>120915</v>
      </c>
      <c r="K200" s="120">
        <f t="shared" si="37"/>
        <v>377.859375</v>
      </c>
      <c r="L200" s="122">
        <f t="shared" ref="L200:L263" si="42">(F200*0.01)</f>
        <v>258371.83000000002</v>
      </c>
      <c r="M200" s="116">
        <f t="shared" ref="M200:M263" si="43">(L200-J200)</f>
        <v>137456.83000000002</v>
      </c>
      <c r="N200" s="123">
        <f t="shared" ref="N200:N263" si="44">(M200/C200)</f>
        <v>429.55259375000003</v>
      </c>
      <c r="O200" s="5"/>
      <c r="P200" s="5">
        <f t="shared" si="40"/>
        <v>1</v>
      </c>
      <c r="Q200" s="7">
        <f t="shared" si="41"/>
        <v>320</v>
      </c>
    </row>
    <row r="201" spans="1:21">
      <c r="A201" s="23" t="s">
        <v>446</v>
      </c>
      <c r="B201" s="35" t="s">
        <v>230</v>
      </c>
      <c r="C201" s="36">
        <v>2002</v>
      </c>
      <c r="D201" s="113">
        <v>707187836</v>
      </c>
      <c r="E201" s="116">
        <f t="shared" si="38"/>
        <v>353240.67732267734</v>
      </c>
      <c r="F201" s="117">
        <v>567660683</v>
      </c>
      <c r="G201" s="117">
        <f t="shared" si="39"/>
        <v>283546.79470529471</v>
      </c>
      <c r="H201" s="9"/>
      <c r="I201" s="109">
        <v>2.2896000000000001</v>
      </c>
      <c r="J201" s="117">
        <v>1299716</v>
      </c>
      <c r="K201" s="120">
        <f t="shared" si="37"/>
        <v>649.20879120879124</v>
      </c>
      <c r="L201" s="122">
        <f t="shared" si="42"/>
        <v>5676606.8300000001</v>
      </c>
      <c r="M201" s="116">
        <f t="shared" si="43"/>
        <v>4376890.83</v>
      </c>
      <c r="N201" s="123">
        <f t="shared" si="44"/>
        <v>2186.2591558441559</v>
      </c>
      <c r="O201" s="5"/>
      <c r="P201" s="5">
        <f t="shared" si="40"/>
        <v>1</v>
      </c>
      <c r="Q201" s="7">
        <f t="shared" si="41"/>
        <v>2002</v>
      </c>
    </row>
    <row r="202" spans="1:21">
      <c r="A202" s="24" t="s">
        <v>231</v>
      </c>
      <c r="B202" s="37" t="s">
        <v>230</v>
      </c>
      <c r="C202" s="36">
        <v>15636</v>
      </c>
      <c r="D202" s="113">
        <v>2258915477</v>
      </c>
      <c r="E202" s="116">
        <f t="shared" si="38"/>
        <v>144468.88443335891</v>
      </c>
      <c r="F202" s="117">
        <v>1557981916</v>
      </c>
      <c r="G202" s="117">
        <f t="shared" si="39"/>
        <v>99640.695574315687</v>
      </c>
      <c r="H202" s="9"/>
      <c r="I202" s="109">
        <v>4.3329000000000004</v>
      </c>
      <c r="J202" s="117">
        <v>6750580</v>
      </c>
      <c r="K202" s="120">
        <f t="shared" si="37"/>
        <v>431.73317984139169</v>
      </c>
      <c r="L202" s="122">
        <f t="shared" si="42"/>
        <v>15579819.16</v>
      </c>
      <c r="M202" s="116">
        <f t="shared" si="43"/>
        <v>8829239.1600000001</v>
      </c>
      <c r="N202" s="123">
        <f t="shared" si="44"/>
        <v>564.67377590176511</v>
      </c>
      <c r="O202" s="5"/>
      <c r="P202" s="5">
        <f t="shared" si="40"/>
        <v>1</v>
      </c>
      <c r="Q202" s="7">
        <f t="shared" si="41"/>
        <v>15636</v>
      </c>
      <c r="S202" s="124">
        <f>SUM(D199:D202)</f>
        <v>5319307886</v>
      </c>
      <c r="T202" s="124">
        <f>SUM(F199:F202)</f>
        <v>4088950032</v>
      </c>
      <c r="U202" s="124">
        <f>SUM(J199:J202)</f>
        <v>13274701</v>
      </c>
    </row>
    <row r="203" spans="1:21">
      <c r="A203" s="23" t="s">
        <v>232</v>
      </c>
      <c r="B203" s="37" t="s">
        <v>233</v>
      </c>
      <c r="C203" s="36">
        <v>35723</v>
      </c>
      <c r="D203" s="113">
        <v>8206871709</v>
      </c>
      <c r="E203" s="116">
        <f t="shared" si="38"/>
        <v>229736.35218206758</v>
      </c>
      <c r="F203" s="117">
        <v>7271818407</v>
      </c>
      <c r="G203" s="117">
        <f t="shared" si="39"/>
        <v>203561.24645186574</v>
      </c>
      <c r="H203" s="9"/>
      <c r="I203" s="110">
        <v>1.7261</v>
      </c>
      <c r="J203" s="117">
        <v>12551886</v>
      </c>
      <c r="K203" s="120">
        <f t="shared" ref="K203:K216" si="45">(J203/C203)</f>
        <v>351.36707443383813</v>
      </c>
      <c r="L203" s="122">
        <f t="shared" si="42"/>
        <v>72718184.070000008</v>
      </c>
      <c r="M203" s="116">
        <f t="shared" si="43"/>
        <v>60166298.070000008</v>
      </c>
      <c r="N203" s="123">
        <f t="shared" si="44"/>
        <v>1684.2453900848195</v>
      </c>
      <c r="O203" s="5"/>
      <c r="P203" s="5">
        <f t="shared" si="40"/>
        <v>1</v>
      </c>
      <c r="Q203" s="7">
        <f t="shared" si="41"/>
        <v>35723</v>
      </c>
    </row>
    <row r="204" spans="1:21">
      <c r="A204" s="23" t="s">
        <v>234</v>
      </c>
      <c r="B204" s="37" t="s">
        <v>233</v>
      </c>
      <c r="C204" s="36">
        <v>2502</v>
      </c>
      <c r="D204" s="113">
        <v>2614518777</v>
      </c>
      <c r="E204" s="116">
        <f t="shared" si="38"/>
        <v>1044971.5335731414</v>
      </c>
      <c r="F204" s="117">
        <v>2341222227</v>
      </c>
      <c r="G204" s="117">
        <f t="shared" si="39"/>
        <v>935740.29856115102</v>
      </c>
      <c r="H204" s="9"/>
      <c r="I204" s="109">
        <v>2.4468000000000001</v>
      </c>
      <c r="J204" s="117">
        <v>5728503</v>
      </c>
      <c r="K204" s="120">
        <f t="shared" si="45"/>
        <v>2289.5695443645086</v>
      </c>
      <c r="L204" s="122">
        <f t="shared" si="42"/>
        <v>23412222.27</v>
      </c>
      <c r="M204" s="116">
        <f t="shared" si="43"/>
        <v>17683719.27</v>
      </c>
      <c r="N204" s="123">
        <f t="shared" si="44"/>
        <v>7067.8334412470022</v>
      </c>
      <c r="O204" s="5"/>
      <c r="P204" s="5">
        <f t="shared" si="40"/>
        <v>1</v>
      </c>
      <c r="Q204" s="7">
        <f t="shared" si="41"/>
        <v>2502</v>
      </c>
    </row>
    <row r="205" spans="1:21">
      <c r="A205" s="23" t="s">
        <v>235</v>
      </c>
      <c r="B205" s="37" t="s">
        <v>233</v>
      </c>
      <c r="C205" s="36">
        <v>5634</v>
      </c>
      <c r="D205" s="113">
        <v>774561280</v>
      </c>
      <c r="E205" s="116">
        <f t="shared" si="38"/>
        <v>137479.81540646078</v>
      </c>
      <c r="F205" s="117">
        <v>576297013</v>
      </c>
      <c r="G205" s="117">
        <f t="shared" si="39"/>
        <v>102289.13968761094</v>
      </c>
      <c r="H205" s="9"/>
      <c r="I205" s="109">
        <v>5.2971000000000004</v>
      </c>
      <c r="J205" s="117">
        <v>3052703</v>
      </c>
      <c r="K205" s="120">
        <f t="shared" si="45"/>
        <v>541.83581824636133</v>
      </c>
      <c r="L205" s="122">
        <f t="shared" si="42"/>
        <v>5762970.1299999999</v>
      </c>
      <c r="M205" s="116">
        <f t="shared" si="43"/>
        <v>2710267.13</v>
      </c>
      <c r="N205" s="123">
        <f t="shared" si="44"/>
        <v>481.05557862974791</v>
      </c>
      <c r="O205" s="5"/>
      <c r="P205" s="5">
        <f t="shared" si="40"/>
        <v>1</v>
      </c>
      <c r="Q205" s="7">
        <f t="shared" si="41"/>
        <v>5634</v>
      </c>
    </row>
    <row r="206" spans="1:21">
      <c r="A206" s="23" t="s">
        <v>236</v>
      </c>
      <c r="B206" s="37" t="s">
        <v>233</v>
      </c>
      <c r="C206" s="36">
        <v>3072</v>
      </c>
      <c r="D206" s="113">
        <v>198937590</v>
      </c>
      <c r="E206" s="116">
        <f t="shared" si="38"/>
        <v>64758.330078125</v>
      </c>
      <c r="F206" s="117">
        <v>127267350</v>
      </c>
      <c r="G206" s="117">
        <f t="shared" si="39"/>
        <v>41428.173828125</v>
      </c>
      <c r="H206" s="9"/>
      <c r="I206" s="109">
        <v>8.9</v>
      </c>
      <c r="J206" s="117">
        <v>1132679</v>
      </c>
      <c r="K206" s="120">
        <f t="shared" si="45"/>
        <v>368.71061197916669</v>
      </c>
      <c r="L206" s="122">
        <f t="shared" si="42"/>
        <v>1272673.5</v>
      </c>
      <c r="M206" s="116">
        <f t="shared" si="43"/>
        <v>139994.5</v>
      </c>
      <c r="N206" s="123">
        <f t="shared" si="44"/>
        <v>45.571126302083336</v>
      </c>
      <c r="O206" s="5"/>
      <c r="P206" s="5">
        <f t="shared" si="40"/>
        <v>1</v>
      </c>
      <c r="Q206" s="7">
        <f t="shared" si="41"/>
        <v>3072</v>
      </c>
    </row>
    <row r="207" spans="1:21">
      <c r="A207" s="23" t="s">
        <v>237</v>
      </c>
      <c r="B207" s="37" t="s">
        <v>233</v>
      </c>
      <c r="C207" s="36">
        <v>47027</v>
      </c>
      <c r="D207" s="113">
        <v>15311806525</v>
      </c>
      <c r="E207" s="116">
        <f t="shared" si="38"/>
        <v>325596.07300061669</v>
      </c>
      <c r="F207" s="117">
        <v>11848193886</v>
      </c>
      <c r="G207" s="117">
        <f t="shared" si="39"/>
        <v>251944.4975439641</v>
      </c>
      <c r="H207" s="9"/>
      <c r="I207" s="109">
        <v>5.8689999999999998</v>
      </c>
      <c r="J207" s="117">
        <v>69537050</v>
      </c>
      <c r="K207" s="120">
        <f t="shared" si="45"/>
        <v>1478.6622578518723</v>
      </c>
      <c r="L207" s="122">
        <f t="shared" si="42"/>
        <v>118481938.86</v>
      </c>
      <c r="M207" s="116">
        <f t="shared" si="43"/>
        <v>48944888.859999999</v>
      </c>
      <c r="N207" s="123">
        <f t="shared" si="44"/>
        <v>1040.7827175877687</v>
      </c>
      <c r="O207" s="5"/>
      <c r="P207" s="5">
        <f t="shared" si="40"/>
        <v>1</v>
      </c>
      <c r="Q207" s="7">
        <f t="shared" si="41"/>
        <v>47027</v>
      </c>
    </row>
    <row r="208" spans="1:21">
      <c r="A208" s="23" t="s">
        <v>524</v>
      </c>
      <c r="B208" s="37" t="s">
        <v>233</v>
      </c>
      <c r="C208" s="36">
        <v>40644</v>
      </c>
      <c r="D208" s="113">
        <v>2537918644</v>
      </c>
      <c r="E208" s="116">
        <f t="shared" si="38"/>
        <v>62442.639602401337</v>
      </c>
      <c r="F208" s="117">
        <v>1727559536</v>
      </c>
      <c r="G208" s="117">
        <f t="shared" si="39"/>
        <v>42504.663320539315</v>
      </c>
      <c r="H208" s="9"/>
      <c r="I208" s="109">
        <v>2.5888</v>
      </c>
      <c r="J208" s="117">
        <v>4472306</v>
      </c>
      <c r="K208" s="120">
        <f t="shared" si="45"/>
        <v>110.03606928451924</v>
      </c>
      <c r="L208" s="122">
        <f t="shared" si="42"/>
        <v>17275595.359999999</v>
      </c>
      <c r="M208" s="116">
        <f t="shared" si="43"/>
        <v>12803289.359999999</v>
      </c>
      <c r="N208" s="123">
        <f t="shared" si="44"/>
        <v>315.01056392087389</v>
      </c>
      <c r="O208" s="5"/>
      <c r="P208" s="5">
        <f t="shared" si="40"/>
        <v>1</v>
      </c>
      <c r="Q208" s="7">
        <f t="shared" si="41"/>
        <v>40644</v>
      </c>
    </row>
    <row r="209" spans="1:17">
      <c r="A209" s="23" t="s">
        <v>501</v>
      </c>
      <c r="B209" s="37" t="s">
        <v>233</v>
      </c>
      <c r="C209" s="36">
        <v>46521</v>
      </c>
      <c r="D209" s="113">
        <v>9961006784</v>
      </c>
      <c r="E209" s="116">
        <f t="shared" si="38"/>
        <v>214118.50097805294</v>
      </c>
      <c r="F209" s="117">
        <v>8479446166</v>
      </c>
      <c r="G209" s="117">
        <f t="shared" si="39"/>
        <v>182271.36488897487</v>
      </c>
      <c r="H209" s="9"/>
      <c r="I209" s="109">
        <v>2.4470000000000001</v>
      </c>
      <c r="J209" s="117">
        <v>20749205</v>
      </c>
      <c r="K209" s="120">
        <f t="shared" si="45"/>
        <v>446.01803486597453</v>
      </c>
      <c r="L209" s="122">
        <f t="shared" si="42"/>
        <v>84794461.659999996</v>
      </c>
      <c r="M209" s="116">
        <f t="shared" si="43"/>
        <v>64045256.659999996</v>
      </c>
      <c r="N209" s="123">
        <f t="shared" si="44"/>
        <v>1376.6956140237742</v>
      </c>
      <c r="O209" s="5"/>
      <c r="P209" s="5">
        <f t="shared" si="40"/>
        <v>1</v>
      </c>
      <c r="Q209" s="7">
        <f t="shared" si="41"/>
        <v>46521</v>
      </c>
    </row>
    <row r="210" spans="1:17">
      <c r="A210" s="23" t="s">
        <v>238</v>
      </c>
      <c r="B210" s="37" t="s">
        <v>233</v>
      </c>
      <c r="C210" s="36">
        <v>2341</v>
      </c>
      <c r="D210" s="113">
        <v>142639487</v>
      </c>
      <c r="E210" s="116">
        <f t="shared" si="38"/>
        <v>60931.006834686028</v>
      </c>
      <c r="F210" s="117">
        <v>89436157</v>
      </c>
      <c r="G210" s="117">
        <f t="shared" si="39"/>
        <v>38204.253310551045</v>
      </c>
      <c r="H210" s="9"/>
      <c r="I210" s="109">
        <v>8.3000000000000007</v>
      </c>
      <c r="J210" s="117">
        <v>742320</v>
      </c>
      <c r="K210" s="120">
        <f t="shared" si="45"/>
        <v>317.09525843656559</v>
      </c>
      <c r="L210" s="122">
        <f t="shared" si="42"/>
        <v>894361.57000000007</v>
      </c>
      <c r="M210" s="116">
        <f t="shared" si="43"/>
        <v>152041.57000000007</v>
      </c>
      <c r="N210" s="123">
        <f t="shared" si="44"/>
        <v>64.947274668944928</v>
      </c>
      <c r="O210" s="5"/>
      <c r="P210" s="5">
        <f t="shared" si="40"/>
        <v>1</v>
      </c>
      <c r="Q210" s="7">
        <f t="shared" si="41"/>
        <v>2341</v>
      </c>
    </row>
    <row r="211" spans="1:17">
      <c r="A211" s="23" t="s">
        <v>239</v>
      </c>
      <c r="B211" s="37" t="s">
        <v>233</v>
      </c>
      <c r="C211" s="36">
        <v>11704</v>
      </c>
      <c r="D211" s="113">
        <v>642722206</v>
      </c>
      <c r="E211" s="116">
        <f t="shared" si="38"/>
        <v>54914.747607655503</v>
      </c>
      <c r="F211" s="117">
        <v>459803684</v>
      </c>
      <c r="G211" s="117">
        <f t="shared" si="39"/>
        <v>39286.029049897472</v>
      </c>
      <c r="H211" s="9"/>
      <c r="I211" s="109">
        <v>7.75</v>
      </c>
      <c r="J211" s="117">
        <v>3563479</v>
      </c>
      <c r="K211" s="120">
        <f t="shared" si="45"/>
        <v>304.46676349965821</v>
      </c>
      <c r="L211" s="122">
        <f t="shared" si="42"/>
        <v>4598036.84</v>
      </c>
      <c r="M211" s="116">
        <f t="shared" si="43"/>
        <v>1034557.8399999999</v>
      </c>
      <c r="N211" s="123">
        <f t="shared" si="44"/>
        <v>88.393526999316464</v>
      </c>
      <c r="O211" s="5"/>
      <c r="P211" s="5">
        <f t="shared" si="40"/>
        <v>1</v>
      </c>
      <c r="Q211" s="7">
        <f t="shared" si="41"/>
        <v>11704</v>
      </c>
    </row>
    <row r="212" spans="1:17">
      <c r="A212" s="23" t="s">
        <v>240</v>
      </c>
      <c r="B212" s="37" t="s">
        <v>233</v>
      </c>
      <c r="C212" s="36">
        <v>922</v>
      </c>
      <c r="D212" s="113">
        <v>809462290</v>
      </c>
      <c r="E212" s="116">
        <f t="shared" si="38"/>
        <v>877941.74620390451</v>
      </c>
      <c r="F212" s="117">
        <v>628642357</v>
      </c>
      <c r="G212" s="117">
        <f t="shared" si="39"/>
        <v>681824.68221258139</v>
      </c>
      <c r="H212" s="9"/>
      <c r="I212" s="109">
        <v>6.9798999999999998</v>
      </c>
      <c r="J212" s="117">
        <v>4387861</v>
      </c>
      <c r="K212" s="120">
        <f t="shared" si="45"/>
        <v>4759.068329718004</v>
      </c>
      <c r="L212" s="122">
        <f t="shared" si="42"/>
        <v>6286423.5700000003</v>
      </c>
      <c r="M212" s="116">
        <f t="shared" si="43"/>
        <v>1898562.5700000003</v>
      </c>
      <c r="N212" s="123">
        <f t="shared" si="44"/>
        <v>2059.1784924078092</v>
      </c>
      <c r="O212" s="5"/>
      <c r="P212" s="5">
        <f t="shared" si="40"/>
        <v>1</v>
      </c>
      <c r="Q212" s="7">
        <f t="shared" si="41"/>
        <v>922</v>
      </c>
    </row>
    <row r="213" spans="1:17">
      <c r="A213" s="23" t="s">
        <v>241</v>
      </c>
      <c r="B213" s="37" t="s">
        <v>233</v>
      </c>
      <c r="C213" s="36">
        <v>226543</v>
      </c>
      <c r="D213" s="113">
        <v>10675698707</v>
      </c>
      <c r="E213" s="116">
        <f t="shared" si="38"/>
        <v>47124.381274195184</v>
      </c>
      <c r="F213" s="117">
        <v>7295452101</v>
      </c>
      <c r="G213" s="117">
        <f t="shared" si="39"/>
        <v>32203.387882212206</v>
      </c>
      <c r="H213" s="9"/>
      <c r="I213" s="109">
        <v>6.54</v>
      </c>
      <c r="J213" s="117">
        <v>47712257</v>
      </c>
      <c r="K213" s="120">
        <f t="shared" si="45"/>
        <v>210.61015789496918</v>
      </c>
      <c r="L213" s="122">
        <f t="shared" si="42"/>
        <v>72954521.010000005</v>
      </c>
      <c r="M213" s="116">
        <f t="shared" si="43"/>
        <v>25242264.010000005</v>
      </c>
      <c r="N213" s="123">
        <f t="shared" si="44"/>
        <v>111.42372092715293</v>
      </c>
      <c r="O213" s="5"/>
      <c r="P213" s="5">
        <f t="shared" si="40"/>
        <v>1</v>
      </c>
      <c r="Q213" s="7">
        <f t="shared" si="41"/>
        <v>226543</v>
      </c>
    </row>
    <row r="214" spans="1:17">
      <c r="A214" s="23" t="s">
        <v>242</v>
      </c>
      <c r="B214" s="37" t="s">
        <v>233</v>
      </c>
      <c r="C214" s="36">
        <v>21794</v>
      </c>
      <c r="D214" s="113">
        <v>1451316586</v>
      </c>
      <c r="E214" s="116">
        <f t="shared" si="38"/>
        <v>66592.483527576391</v>
      </c>
      <c r="F214" s="117">
        <v>926843669</v>
      </c>
      <c r="G214" s="117">
        <f t="shared" si="39"/>
        <v>42527.46944113059</v>
      </c>
      <c r="H214" s="9"/>
      <c r="I214" s="109">
        <v>5.5880000000000001</v>
      </c>
      <c r="J214" s="117">
        <v>5179202</v>
      </c>
      <c r="K214" s="120">
        <f t="shared" si="45"/>
        <v>237.64347985684134</v>
      </c>
      <c r="L214" s="122">
        <f t="shared" si="42"/>
        <v>9268436.6899999995</v>
      </c>
      <c r="M214" s="116">
        <f t="shared" si="43"/>
        <v>4089234.6899999995</v>
      </c>
      <c r="N214" s="123">
        <f t="shared" si="44"/>
        <v>187.63121455446452</v>
      </c>
      <c r="O214" s="5"/>
      <c r="P214" s="5">
        <f t="shared" si="40"/>
        <v>1</v>
      </c>
      <c r="Q214" s="7">
        <f t="shared" si="41"/>
        <v>21794</v>
      </c>
    </row>
    <row r="215" spans="1:17">
      <c r="A215" s="23" t="s">
        <v>243</v>
      </c>
      <c r="B215" s="37" t="s">
        <v>233</v>
      </c>
      <c r="C215" s="36">
        <v>61500</v>
      </c>
      <c r="D215" s="113">
        <v>2783008670</v>
      </c>
      <c r="E215" s="116">
        <f t="shared" si="38"/>
        <v>45252.173495934956</v>
      </c>
      <c r="F215" s="117">
        <v>1869722502</v>
      </c>
      <c r="G215" s="117">
        <f t="shared" si="39"/>
        <v>30401.991902439026</v>
      </c>
      <c r="H215" s="9"/>
      <c r="I215" s="109">
        <v>6.2916999999999996</v>
      </c>
      <c r="J215" s="117">
        <v>11763733</v>
      </c>
      <c r="K215" s="120">
        <f t="shared" si="45"/>
        <v>191.28021138211383</v>
      </c>
      <c r="L215" s="122">
        <f t="shared" si="42"/>
        <v>18697225.02</v>
      </c>
      <c r="M215" s="116">
        <f t="shared" si="43"/>
        <v>6933492.0199999996</v>
      </c>
      <c r="N215" s="123">
        <f t="shared" si="44"/>
        <v>112.73970764227641</v>
      </c>
      <c r="O215" s="5"/>
      <c r="P215" s="5">
        <f t="shared" si="40"/>
        <v>1</v>
      </c>
      <c r="Q215" s="7">
        <f t="shared" si="41"/>
        <v>61500</v>
      </c>
    </row>
    <row r="216" spans="1:17">
      <c r="A216" s="23" t="s">
        <v>244</v>
      </c>
      <c r="B216" s="37" t="s">
        <v>233</v>
      </c>
      <c r="C216" s="36">
        <v>89</v>
      </c>
      <c r="D216" s="113">
        <v>340262776</v>
      </c>
      <c r="E216" s="116">
        <f t="shared" si="38"/>
        <v>3823177.2584269661</v>
      </c>
      <c r="F216" s="117">
        <v>321454316</v>
      </c>
      <c r="G216" s="117">
        <f t="shared" si="39"/>
        <v>3611846.2471910114</v>
      </c>
      <c r="H216" s="9"/>
      <c r="I216" s="109">
        <v>2.72</v>
      </c>
      <c r="J216" s="117">
        <v>874356</v>
      </c>
      <c r="K216" s="120">
        <f t="shared" si="45"/>
        <v>9824.2247191011229</v>
      </c>
      <c r="L216" s="122">
        <f t="shared" si="42"/>
        <v>3214543.16</v>
      </c>
      <c r="M216" s="116">
        <f t="shared" si="43"/>
        <v>2340187.16</v>
      </c>
      <c r="N216" s="123">
        <f t="shared" si="44"/>
        <v>26294.237752808989</v>
      </c>
      <c r="O216" s="5"/>
      <c r="P216" s="5">
        <f t="shared" si="40"/>
        <v>1</v>
      </c>
      <c r="Q216" s="7">
        <f t="shared" si="41"/>
        <v>89</v>
      </c>
    </row>
    <row r="217" spans="1:17">
      <c r="A217" s="23" t="s">
        <v>245</v>
      </c>
      <c r="B217" s="37" t="s">
        <v>233</v>
      </c>
      <c r="C217" s="36">
        <v>18</v>
      </c>
      <c r="D217" s="114" t="s">
        <v>564</v>
      </c>
      <c r="E217" s="116"/>
      <c r="F217" s="117"/>
      <c r="G217" s="117"/>
      <c r="H217" s="9" t="s">
        <v>528</v>
      </c>
      <c r="I217" s="109"/>
      <c r="J217" s="117"/>
      <c r="K217" s="120"/>
      <c r="L217" s="122">
        <f t="shared" si="42"/>
        <v>0</v>
      </c>
      <c r="M217" s="116">
        <f t="shared" si="43"/>
        <v>0</v>
      </c>
      <c r="N217" s="123">
        <f t="shared" si="44"/>
        <v>0</v>
      </c>
      <c r="O217" s="5"/>
      <c r="P217" s="5">
        <f t="shared" si="40"/>
        <v>0</v>
      </c>
      <c r="Q217" s="7">
        <f t="shared" si="41"/>
        <v>0</v>
      </c>
    </row>
    <row r="218" spans="1:17">
      <c r="A218" s="23" t="s">
        <v>246</v>
      </c>
      <c r="B218" s="37" t="s">
        <v>233</v>
      </c>
      <c r="C218" s="36">
        <v>12363</v>
      </c>
      <c r="D218" s="113">
        <v>6427057499</v>
      </c>
      <c r="E218" s="116">
        <f t="shared" si="38"/>
        <v>519862.29062525276</v>
      </c>
      <c r="F218" s="117">
        <v>5512198929</v>
      </c>
      <c r="G218" s="117">
        <f t="shared" si="39"/>
        <v>445862.56806600338</v>
      </c>
      <c r="H218" s="9"/>
      <c r="I218" s="109">
        <v>3.2</v>
      </c>
      <c r="J218" s="117">
        <v>17639037</v>
      </c>
      <c r="K218" s="120">
        <f t="shared" ref="K218:K275" si="46">(J218/C218)</f>
        <v>1426.7602523659307</v>
      </c>
      <c r="L218" s="122">
        <f t="shared" si="42"/>
        <v>55121989.289999999</v>
      </c>
      <c r="M218" s="116">
        <f t="shared" si="43"/>
        <v>37482952.289999999</v>
      </c>
      <c r="N218" s="123">
        <f t="shared" si="44"/>
        <v>3031.8654282941034</v>
      </c>
      <c r="O218" s="5"/>
      <c r="P218" s="5">
        <f t="shared" si="40"/>
        <v>1</v>
      </c>
      <c r="Q218" s="7">
        <f t="shared" si="41"/>
        <v>12363</v>
      </c>
    </row>
    <row r="219" spans="1:17">
      <c r="A219" s="23" t="s">
        <v>247</v>
      </c>
      <c r="B219" s="37" t="s">
        <v>233</v>
      </c>
      <c r="C219" s="36">
        <v>834</v>
      </c>
      <c r="D219" s="113">
        <v>1829031227</v>
      </c>
      <c r="E219" s="116">
        <f t="shared" si="38"/>
        <v>2193083.0059952037</v>
      </c>
      <c r="F219" s="117">
        <v>1762934342</v>
      </c>
      <c r="G219" s="117">
        <f t="shared" si="39"/>
        <v>2113830.1462829737</v>
      </c>
      <c r="H219" s="9"/>
      <c r="I219" s="109">
        <v>5.65</v>
      </c>
      <c r="J219" s="117">
        <v>9960579</v>
      </c>
      <c r="K219" s="120">
        <f t="shared" si="46"/>
        <v>11943.140287769784</v>
      </c>
      <c r="L219" s="122">
        <f t="shared" si="42"/>
        <v>17629343.420000002</v>
      </c>
      <c r="M219" s="116">
        <f t="shared" si="43"/>
        <v>7668764.4200000018</v>
      </c>
      <c r="N219" s="123">
        <f t="shared" si="44"/>
        <v>9195.161175059955</v>
      </c>
      <c r="O219" s="5"/>
      <c r="P219" s="5">
        <f t="shared" si="40"/>
        <v>1</v>
      </c>
      <c r="Q219" s="7">
        <f t="shared" si="41"/>
        <v>834</v>
      </c>
    </row>
    <row r="220" spans="1:17">
      <c r="A220" s="23" t="s">
        <v>248</v>
      </c>
      <c r="B220" s="37" t="s">
        <v>233</v>
      </c>
      <c r="C220" s="36">
        <v>406436</v>
      </c>
      <c r="D220" s="113">
        <v>42335787321</v>
      </c>
      <c r="E220" s="116">
        <f t="shared" si="38"/>
        <v>104163.47794240668</v>
      </c>
      <c r="F220" s="117">
        <v>30263187141</v>
      </c>
      <c r="G220" s="117">
        <f t="shared" si="39"/>
        <v>74459.907933844443</v>
      </c>
      <c r="H220" s="9"/>
      <c r="I220" s="109">
        <v>7.5709999999999997</v>
      </c>
      <c r="J220" s="117">
        <v>229122590</v>
      </c>
      <c r="K220" s="120">
        <f t="shared" si="46"/>
        <v>563.7359633497033</v>
      </c>
      <c r="L220" s="122">
        <f t="shared" si="42"/>
        <v>302631871.41000003</v>
      </c>
      <c r="M220" s="116">
        <f t="shared" si="43"/>
        <v>73509281.410000026</v>
      </c>
      <c r="N220" s="123">
        <f t="shared" si="44"/>
        <v>180.86311598874121</v>
      </c>
      <c r="O220" s="5"/>
      <c r="P220" s="5">
        <f t="shared" si="40"/>
        <v>1</v>
      </c>
      <c r="Q220" s="7">
        <f t="shared" si="41"/>
        <v>406436</v>
      </c>
    </row>
    <row r="221" spans="1:17">
      <c r="A221" s="23" t="s">
        <v>249</v>
      </c>
      <c r="B221" s="37" t="s">
        <v>233</v>
      </c>
      <c r="C221" s="36">
        <v>88348</v>
      </c>
      <c r="D221" s="113">
        <v>26933619672</v>
      </c>
      <c r="E221" s="116">
        <f t="shared" si="38"/>
        <v>304858.28396794497</v>
      </c>
      <c r="F221" s="117">
        <v>21895608147</v>
      </c>
      <c r="G221" s="117">
        <f t="shared" si="39"/>
        <v>247833.65947163489</v>
      </c>
      <c r="H221" s="9"/>
      <c r="I221" s="109">
        <v>6.1654999999999998</v>
      </c>
      <c r="J221" s="117">
        <v>134997372</v>
      </c>
      <c r="K221" s="120">
        <f t="shared" si="46"/>
        <v>1528.0184271290805</v>
      </c>
      <c r="L221" s="122">
        <f t="shared" si="42"/>
        <v>218956081.47</v>
      </c>
      <c r="M221" s="116">
        <f t="shared" si="43"/>
        <v>83958709.469999999</v>
      </c>
      <c r="N221" s="123">
        <f t="shared" si="44"/>
        <v>950.31816758726848</v>
      </c>
      <c r="O221" s="5"/>
      <c r="P221" s="5">
        <f t="shared" si="40"/>
        <v>1</v>
      </c>
      <c r="Q221" s="7">
        <f t="shared" si="41"/>
        <v>88348</v>
      </c>
    </row>
    <row r="222" spans="1:17">
      <c r="A222" s="23" t="s">
        <v>500</v>
      </c>
      <c r="B222" s="37" t="s">
        <v>233</v>
      </c>
      <c r="C222" s="36">
        <v>107090</v>
      </c>
      <c r="D222" s="113">
        <v>5222632495</v>
      </c>
      <c r="E222" s="116">
        <f t="shared" si="38"/>
        <v>48768.629143710896</v>
      </c>
      <c r="F222" s="117">
        <v>3466823983</v>
      </c>
      <c r="G222" s="117">
        <f t="shared" si="39"/>
        <v>32372.994518629192</v>
      </c>
      <c r="H222" s="9"/>
      <c r="I222" s="109">
        <v>5.7141000000000002</v>
      </c>
      <c r="J222" s="117">
        <v>19809779</v>
      </c>
      <c r="K222" s="120">
        <f t="shared" si="46"/>
        <v>184.98252871416565</v>
      </c>
      <c r="L222" s="122">
        <f t="shared" si="42"/>
        <v>34668239.829999998</v>
      </c>
      <c r="M222" s="116">
        <f t="shared" si="43"/>
        <v>14858460.829999998</v>
      </c>
      <c r="N222" s="123">
        <f t="shared" si="44"/>
        <v>138.74741647212622</v>
      </c>
      <c r="O222" s="5"/>
      <c r="P222" s="5">
        <f t="shared" si="40"/>
        <v>1</v>
      </c>
      <c r="Q222" s="7">
        <f t="shared" si="41"/>
        <v>107090</v>
      </c>
    </row>
    <row r="223" spans="1:17">
      <c r="A223" s="23" t="s">
        <v>459</v>
      </c>
      <c r="B223" s="37" t="s">
        <v>233</v>
      </c>
      <c r="C223" s="36">
        <v>29369</v>
      </c>
      <c r="D223" s="113">
        <v>3388701090</v>
      </c>
      <c r="E223" s="116">
        <f t="shared" ref="E223:E286" si="47">(D223/C223)</f>
        <v>115383.60482141034</v>
      </c>
      <c r="F223" s="117">
        <v>2468985483</v>
      </c>
      <c r="G223" s="117">
        <f t="shared" ref="G223:G286" si="48">(F223/C223)</f>
        <v>84067.740917293748</v>
      </c>
      <c r="H223" s="9"/>
      <c r="I223" s="109">
        <v>2.3702000000000001</v>
      </c>
      <c r="J223" s="117">
        <v>5851989</v>
      </c>
      <c r="K223" s="120">
        <f t="shared" si="46"/>
        <v>199.25734618134769</v>
      </c>
      <c r="L223" s="122">
        <f t="shared" si="42"/>
        <v>24689854.830000002</v>
      </c>
      <c r="M223" s="116">
        <f t="shared" si="43"/>
        <v>18837865.830000002</v>
      </c>
      <c r="N223" s="123">
        <f t="shared" si="44"/>
        <v>641.42006299158982</v>
      </c>
      <c r="O223" s="5"/>
      <c r="P223" s="5">
        <f t="shared" si="40"/>
        <v>1</v>
      </c>
      <c r="Q223" s="7">
        <f t="shared" si="41"/>
        <v>29369</v>
      </c>
    </row>
    <row r="224" spans="1:17">
      <c r="A224" s="23" t="s">
        <v>250</v>
      </c>
      <c r="B224" s="37" t="s">
        <v>233</v>
      </c>
      <c r="C224" s="36">
        <v>10608</v>
      </c>
      <c r="D224" s="113">
        <v>1246667012</v>
      </c>
      <c r="E224" s="116">
        <f t="shared" si="47"/>
        <v>117521.40007541479</v>
      </c>
      <c r="F224" s="117">
        <v>717236678</v>
      </c>
      <c r="G224" s="117">
        <f t="shared" si="48"/>
        <v>67612.809012066369</v>
      </c>
      <c r="H224" s="9"/>
      <c r="I224" s="109">
        <v>8</v>
      </c>
      <c r="J224" s="117">
        <v>5737893</v>
      </c>
      <c r="K224" s="120">
        <f t="shared" si="46"/>
        <v>540.90243212669679</v>
      </c>
      <c r="L224" s="122">
        <f t="shared" si="42"/>
        <v>7172366.7800000003</v>
      </c>
      <c r="M224" s="116">
        <f t="shared" si="43"/>
        <v>1434473.7800000003</v>
      </c>
      <c r="N224" s="123">
        <f t="shared" si="44"/>
        <v>135.22565799396685</v>
      </c>
      <c r="O224" s="5"/>
      <c r="P224" s="5">
        <f t="shared" si="40"/>
        <v>1</v>
      </c>
      <c r="Q224" s="7">
        <f t="shared" si="41"/>
        <v>10608</v>
      </c>
    </row>
    <row r="225" spans="1:21">
      <c r="A225" s="23" t="s">
        <v>251</v>
      </c>
      <c r="B225" s="37" t="s">
        <v>233</v>
      </c>
      <c r="C225" s="36">
        <v>13844</v>
      </c>
      <c r="D225" s="113">
        <v>1300527830</v>
      </c>
      <c r="E225" s="116">
        <f t="shared" si="47"/>
        <v>93941.623085813349</v>
      </c>
      <c r="F225" s="117">
        <v>902334649</v>
      </c>
      <c r="G225" s="117">
        <f t="shared" si="48"/>
        <v>65178.752455937589</v>
      </c>
      <c r="H225" s="9"/>
      <c r="I225" s="109">
        <v>6.74</v>
      </c>
      <c r="J225" s="117">
        <v>6081736</v>
      </c>
      <c r="K225" s="120">
        <f t="shared" si="46"/>
        <v>439.30482519503033</v>
      </c>
      <c r="L225" s="122">
        <f t="shared" si="42"/>
        <v>9023346.4900000002</v>
      </c>
      <c r="M225" s="116">
        <f t="shared" si="43"/>
        <v>2941610.49</v>
      </c>
      <c r="N225" s="123">
        <f t="shared" si="44"/>
        <v>212.48269936434559</v>
      </c>
      <c r="O225" s="5"/>
      <c r="P225" s="5">
        <f t="shared" si="40"/>
        <v>1</v>
      </c>
      <c r="Q225" s="7">
        <f t="shared" si="41"/>
        <v>13844</v>
      </c>
    </row>
    <row r="226" spans="1:21">
      <c r="A226" s="23" t="s">
        <v>252</v>
      </c>
      <c r="B226" s="37" t="s">
        <v>233</v>
      </c>
      <c r="C226" s="36">
        <v>7349</v>
      </c>
      <c r="D226" s="113">
        <v>747710527</v>
      </c>
      <c r="E226" s="116">
        <f t="shared" si="47"/>
        <v>101743.16600898081</v>
      </c>
      <c r="F226" s="117">
        <v>644421932</v>
      </c>
      <c r="G226" s="117">
        <f t="shared" si="48"/>
        <v>87688.383725676962</v>
      </c>
      <c r="H226" s="9"/>
      <c r="I226" s="109">
        <v>4.7771999999999997</v>
      </c>
      <c r="J226" s="117">
        <v>3078532</v>
      </c>
      <c r="K226" s="120">
        <f t="shared" si="46"/>
        <v>418.90488501836984</v>
      </c>
      <c r="L226" s="122">
        <f t="shared" si="42"/>
        <v>6444219.3200000003</v>
      </c>
      <c r="M226" s="116">
        <f t="shared" si="43"/>
        <v>3365687.3200000003</v>
      </c>
      <c r="N226" s="123">
        <f t="shared" si="44"/>
        <v>457.97895223839981</v>
      </c>
      <c r="O226" s="5"/>
      <c r="P226" s="5">
        <f t="shared" si="40"/>
        <v>1</v>
      </c>
      <c r="Q226" s="7">
        <f t="shared" si="41"/>
        <v>7349</v>
      </c>
    </row>
    <row r="227" spans="1:21">
      <c r="A227" s="23" t="s">
        <v>253</v>
      </c>
      <c r="B227" s="37" t="s">
        <v>233</v>
      </c>
      <c r="C227" s="36">
        <v>58932</v>
      </c>
      <c r="D227" s="113">
        <v>3038372370</v>
      </c>
      <c r="E227" s="116">
        <f t="shared" si="47"/>
        <v>51557.258704948079</v>
      </c>
      <c r="F227" s="117">
        <v>2071226848</v>
      </c>
      <c r="G227" s="117">
        <f t="shared" si="48"/>
        <v>35146.047105138125</v>
      </c>
      <c r="H227" s="9"/>
      <c r="I227" s="109">
        <v>8.1954999999999991</v>
      </c>
      <c r="J227" s="117">
        <v>16974740</v>
      </c>
      <c r="K227" s="120">
        <f t="shared" si="46"/>
        <v>288.03943528134118</v>
      </c>
      <c r="L227" s="122">
        <f t="shared" si="42"/>
        <v>20712268.48</v>
      </c>
      <c r="M227" s="116">
        <f t="shared" si="43"/>
        <v>3737528.4800000004</v>
      </c>
      <c r="N227" s="123">
        <f t="shared" si="44"/>
        <v>63.421035770040056</v>
      </c>
      <c r="O227" s="5"/>
      <c r="P227" s="5">
        <f t="shared" si="40"/>
        <v>1</v>
      </c>
      <c r="Q227" s="7">
        <f t="shared" si="41"/>
        <v>58932</v>
      </c>
    </row>
    <row r="228" spans="1:21">
      <c r="A228" s="23" t="s">
        <v>254</v>
      </c>
      <c r="B228" s="37" t="s">
        <v>233</v>
      </c>
      <c r="C228" s="36">
        <v>41680</v>
      </c>
      <c r="D228" s="113">
        <v>2483031217</v>
      </c>
      <c r="E228" s="116">
        <f t="shared" si="47"/>
        <v>59573.685628598847</v>
      </c>
      <c r="F228" s="117">
        <v>1740211141</v>
      </c>
      <c r="G228" s="117">
        <f t="shared" si="48"/>
        <v>41751.7068378119</v>
      </c>
      <c r="H228" s="9"/>
      <c r="I228" s="109">
        <v>6.6036000000000001</v>
      </c>
      <c r="J228" s="117">
        <v>11491658</v>
      </c>
      <c r="K228" s="120">
        <f t="shared" si="46"/>
        <v>275.7115642994242</v>
      </c>
      <c r="L228" s="122">
        <f t="shared" si="42"/>
        <v>17402111.41</v>
      </c>
      <c r="M228" s="116">
        <f t="shared" si="43"/>
        <v>5910453.4100000001</v>
      </c>
      <c r="N228" s="123">
        <f t="shared" si="44"/>
        <v>141.80550407869481</v>
      </c>
      <c r="O228" s="5"/>
      <c r="P228" s="5">
        <f t="shared" si="40"/>
        <v>1</v>
      </c>
      <c r="Q228" s="7">
        <f t="shared" si="41"/>
        <v>41680</v>
      </c>
    </row>
    <row r="229" spans="1:21">
      <c r="A229" s="23" t="s">
        <v>255</v>
      </c>
      <c r="B229" s="37" t="s">
        <v>233</v>
      </c>
      <c r="C229" s="36">
        <v>15403</v>
      </c>
      <c r="D229" s="113">
        <v>993542934</v>
      </c>
      <c r="E229" s="116">
        <f t="shared" si="47"/>
        <v>64503.209374797116</v>
      </c>
      <c r="F229" s="117">
        <v>712158108</v>
      </c>
      <c r="G229" s="117">
        <f t="shared" si="48"/>
        <v>46235.026163734336</v>
      </c>
      <c r="H229" s="9"/>
      <c r="I229" s="109">
        <v>9.1525999999999996</v>
      </c>
      <c r="J229" s="117">
        <v>6518098</v>
      </c>
      <c r="K229" s="120">
        <f t="shared" si="46"/>
        <v>423.1706810361618</v>
      </c>
      <c r="L229" s="122">
        <f t="shared" si="42"/>
        <v>7121581.0800000001</v>
      </c>
      <c r="M229" s="116">
        <f t="shared" si="43"/>
        <v>603483.08000000007</v>
      </c>
      <c r="N229" s="123">
        <f t="shared" si="44"/>
        <v>39.179580601181591</v>
      </c>
      <c r="O229" s="5"/>
      <c r="P229" s="5">
        <f t="shared" si="40"/>
        <v>1</v>
      </c>
      <c r="Q229" s="7">
        <f t="shared" si="41"/>
        <v>15403</v>
      </c>
    </row>
    <row r="230" spans="1:21">
      <c r="A230" s="23" t="s">
        <v>493</v>
      </c>
      <c r="B230" s="37" t="s">
        <v>233</v>
      </c>
      <c r="C230" s="36">
        <v>23475</v>
      </c>
      <c r="D230" s="113">
        <v>3308516739</v>
      </c>
      <c r="E230" s="116">
        <f t="shared" si="47"/>
        <v>140937.88025559107</v>
      </c>
      <c r="F230" s="117">
        <v>2351027560</v>
      </c>
      <c r="G230" s="117">
        <f t="shared" si="48"/>
        <v>100150.26879659212</v>
      </c>
      <c r="H230" s="9"/>
      <c r="I230" s="109">
        <v>2.4470000000000001</v>
      </c>
      <c r="J230" s="117">
        <v>5752964</v>
      </c>
      <c r="K230" s="120">
        <f t="shared" si="46"/>
        <v>245.06768903088391</v>
      </c>
      <c r="L230" s="122">
        <f t="shared" si="42"/>
        <v>23510275.600000001</v>
      </c>
      <c r="M230" s="116">
        <f t="shared" si="43"/>
        <v>17757311.600000001</v>
      </c>
      <c r="N230" s="123">
        <f t="shared" si="44"/>
        <v>756.43499893503736</v>
      </c>
      <c r="O230" s="5"/>
      <c r="P230" s="5">
        <f t="shared" si="40"/>
        <v>1</v>
      </c>
      <c r="Q230" s="7">
        <f t="shared" si="41"/>
        <v>23475</v>
      </c>
    </row>
    <row r="231" spans="1:21">
      <c r="A231" s="23" t="s">
        <v>256</v>
      </c>
      <c r="B231" s="37" t="s">
        <v>233</v>
      </c>
      <c r="C231" s="36">
        <v>18255</v>
      </c>
      <c r="D231" s="113">
        <v>4639616958</v>
      </c>
      <c r="E231" s="116">
        <f t="shared" si="47"/>
        <v>254155.95497124075</v>
      </c>
      <c r="F231" s="117">
        <v>3537638209</v>
      </c>
      <c r="G231" s="117">
        <f t="shared" si="48"/>
        <v>193790.09635716243</v>
      </c>
      <c r="H231" s="9"/>
      <c r="I231" s="109">
        <v>2.2000000000000002</v>
      </c>
      <c r="J231" s="117">
        <v>7782804</v>
      </c>
      <c r="K231" s="120">
        <f t="shared" si="46"/>
        <v>426.33820870994248</v>
      </c>
      <c r="L231" s="122">
        <f t="shared" si="42"/>
        <v>35376382.090000004</v>
      </c>
      <c r="M231" s="116">
        <f t="shared" si="43"/>
        <v>27593578.090000004</v>
      </c>
      <c r="N231" s="123">
        <f t="shared" si="44"/>
        <v>1511.5627548616819</v>
      </c>
      <c r="O231" s="5"/>
      <c r="P231" s="5">
        <f t="shared" si="40"/>
        <v>1</v>
      </c>
      <c r="Q231" s="7">
        <f t="shared" si="41"/>
        <v>18255</v>
      </c>
    </row>
    <row r="232" spans="1:21">
      <c r="A232" s="23" t="s">
        <v>257</v>
      </c>
      <c r="B232" s="37" t="s">
        <v>233</v>
      </c>
      <c r="C232" s="36">
        <v>12363</v>
      </c>
      <c r="D232" s="113">
        <v>2005880133</v>
      </c>
      <c r="E232" s="116">
        <f t="shared" si="47"/>
        <v>162248.65590876</v>
      </c>
      <c r="F232" s="117">
        <v>1407363695</v>
      </c>
      <c r="G232" s="117">
        <f t="shared" si="48"/>
        <v>113836.74633988514</v>
      </c>
      <c r="H232" s="9"/>
      <c r="I232" s="110">
        <v>4.6661999999999999</v>
      </c>
      <c r="J232" s="117">
        <v>6567040</v>
      </c>
      <c r="K232" s="120">
        <f t="shared" si="46"/>
        <v>531.18498746259002</v>
      </c>
      <c r="L232" s="122">
        <f t="shared" si="42"/>
        <v>14073636.950000001</v>
      </c>
      <c r="M232" s="116">
        <f t="shared" si="43"/>
        <v>7506596.9500000011</v>
      </c>
      <c r="N232" s="123">
        <f t="shared" si="44"/>
        <v>607.18247593626154</v>
      </c>
      <c r="O232" s="5"/>
      <c r="P232" s="5">
        <f t="shared" si="40"/>
        <v>1</v>
      </c>
      <c r="Q232" s="7">
        <f t="shared" si="41"/>
        <v>12363</v>
      </c>
    </row>
    <row r="233" spans="1:21">
      <c r="A233" s="23" t="s">
        <v>258</v>
      </c>
      <c r="B233" s="37" t="s">
        <v>233</v>
      </c>
      <c r="C233" s="36">
        <v>21007</v>
      </c>
      <c r="D233" s="113">
        <v>6430588673</v>
      </c>
      <c r="E233" s="116">
        <f t="shared" si="47"/>
        <v>306116.46941495693</v>
      </c>
      <c r="F233" s="117">
        <v>5827237059</v>
      </c>
      <c r="G233" s="117">
        <f t="shared" si="48"/>
        <v>277395.01399533491</v>
      </c>
      <c r="H233" s="9"/>
      <c r="I233" s="109">
        <v>2.8860000000000001</v>
      </c>
      <c r="J233" s="117">
        <v>16817406</v>
      </c>
      <c r="K233" s="120">
        <f t="shared" si="46"/>
        <v>800.5620031418099</v>
      </c>
      <c r="L233" s="122">
        <f t="shared" si="42"/>
        <v>58272370.590000004</v>
      </c>
      <c r="M233" s="116">
        <f t="shared" si="43"/>
        <v>41454964.590000004</v>
      </c>
      <c r="N233" s="123">
        <f t="shared" si="44"/>
        <v>1973.3881368115392</v>
      </c>
      <c r="O233" s="5"/>
      <c r="P233" s="5">
        <f t="shared" si="40"/>
        <v>1</v>
      </c>
      <c r="Q233" s="7">
        <f t="shared" si="41"/>
        <v>21007</v>
      </c>
    </row>
    <row r="234" spans="1:21">
      <c r="A234" s="23" t="s">
        <v>259</v>
      </c>
      <c r="B234" s="37" t="s">
        <v>233</v>
      </c>
      <c r="C234" s="36">
        <v>5749</v>
      </c>
      <c r="D234" s="113">
        <v>1241187845</v>
      </c>
      <c r="E234" s="116">
        <f t="shared" si="47"/>
        <v>215896.30283527571</v>
      </c>
      <c r="F234" s="117">
        <v>1017517978</v>
      </c>
      <c r="G234" s="117">
        <f t="shared" si="48"/>
        <v>176990.4292920508</v>
      </c>
      <c r="H234" s="9"/>
      <c r="I234" s="109">
        <v>5.5</v>
      </c>
      <c r="J234" s="117">
        <v>5596349</v>
      </c>
      <c r="K234" s="120">
        <f t="shared" si="46"/>
        <v>973.44738215341795</v>
      </c>
      <c r="L234" s="122">
        <f t="shared" si="42"/>
        <v>10175179.779999999</v>
      </c>
      <c r="M234" s="116">
        <f t="shared" si="43"/>
        <v>4578830.7799999993</v>
      </c>
      <c r="N234" s="123">
        <f t="shared" si="44"/>
        <v>796.45691076708977</v>
      </c>
      <c r="O234" s="5"/>
      <c r="P234" s="5">
        <f t="shared" si="40"/>
        <v>1</v>
      </c>
      <c r="Q234" s="7">
        <f t="shared" si="41"/>
        <v>5749</v>
      </c>
    </row>
    <row r="235" spans="1:21">
      <c r="A235" s="23" t="s">
        <v>260</v>
      </c>
      <c r="B235" s="37" t="s">
        <v>233</v>
      </c>
      <c r="C235" s="36">
        <v>19963</v>
      </c>
      <c r="D235" s="113">
        <v>1466476268</v>
      </c>
      <c r="E235" s="116">
        <f t="shared" si="47"/>
        <v>73459.713870660722</v>
      </c>
      <c r="F235" s="117">
        <v>1204794246</v>
      </c>
      <c r="G235" s="117">
        <f t="shared" si="48"/>
        <v>60351.362320292545</v>
      </c>
      <c r="H235" s="9"/>
      <c r="I235" s="109">
        <v>2.92</v>
      </c>
      <c r="J235" s="117">
        <v>3517999</v>
      </c>
      <c r="K235" s="120">
        <f t="shared" si="46"/>
        <v>176.22596804087561</v>
      </c>
      <c r="L235" s="122">
        <f t="shared" si="42"/>
        <v>12047942.460000001</v>
      </c>
      <c r="M235" s="116">
        <f t="shared" si="43"/>
        <v>8529943.4600000009</v>
      </c>
      <c r="N235" s="123">
        <f t="shared" si="44"/>
        <v>427.28765516204982</v>
      </c>
      <c r="O235" s="5"/>
      <c r="P235" s="5">
        <f t="shared" si="40"/>
        <v>1</v>
      </c>
      <c r="Q235" s="7">
        <f t="shared" si="41"/>
        <v>19963</v>
      </c>
    </row>
    <row r="236" spans="1:21">
      <c r="A236" s="23" t="s">
        <v>261</v>
      </c>
      <c r="B236" s="35" t="s">
        <v>233</v>
      </c>
      <c r="C236" s="36">
        <v>2390</v>
      </c>
      <c r="D236" s="113">
        <v>238343600</v>
      </c>
      <c r="E236" s="116">
        <f t="shared" si="47"/>
        <v>99725.355648535566</v>
      </c>
      <c r="F236" s="117">
        <v>186084638</v>
      </c>
      <c r="G236" s="117">
        <f t="shared" si="48"/>
        <v>77859.681171548116</v>
      </c>
      <c r="H236" s="9"/>
      <c r="I236" s="110">
        <v>5.4233000000000002</v>
      </c>
      <c r="J236" s="117">
        <v>1009193</v>
      </c>
      <c r="K236" s="120">
        <f t="shared" si="46"/>
        <v>422.25648535564852</v>
      </c>
      <c r="L236" s="122">
        <f t="shared" si="42"/>
        <v>1860846.3800000001</v>
      </c>
      <c r="M236" s="116">
        <f t="shared" si="43"/>
        <v>851653.38000000012</v>
      </c>
      <c r="N236" s="123">
        <f t="shared" si="44"/>
        <v>356.34032635983266</v>
      </c>
      <c r="O236" s="5"/>
      <c r="P236" s="5">
        <f t="shared" si="40"/>
        <v>1</v>
      </c>
      <c r="Q236" s="7">
        <f t="shared" si="41"/>
        <v>2390</v>
      </c>
    </row>
    <row r="237" spans="1:21">
      <c r="A237" s="23" t="s">
        <v>262</v>
      </c>
      <c r="B237" s="35" t="s">
        <v>233</v>
      </c>
      <c r="C237" s="36">
        <v>5988</v>
      </c>
      <c r="D237" s="113">
        <v>419378682</v>
      </c>
      <c r="E237" s="116">
        <f t="shared" si="47"/>
        <v>70036.520040080155</v>
      </c>
      <c r="F237" s="117">
        <v>295492489</v>
      </c>
      <c r="G237" s="117">
        <f t="shared" si="48"/>
        <v>49347.443052772214</v>
      </c>
      <c r="H237" s="9"/>
      <c r="I237" s="109">
        <v>6.8857999999999997</v>
      </c>
      <c r="J237" s="117">
        <v>2034702</v>
      </c>
      <c r="K237" s="120">
        <f t="shared" si="46"/>
        <v>339.79659318637272</v>
      </c>
      <c r="L237" s="122">
        <f t="shared" si="42"/>
        <v>2954924.89</v>
      </c>
      <c r="M237" s="116">
        <f t="shared" si="43"/>
        <v>920222.89000000013</v>
      </c>
      <c r="N237" s="123">
        <f t="shared" si="44"/>
        <v>153.67783734134937</v>
      </c>
      <c r="O237" s="5"/>
      <c r="P237" s="5">
        <f t="shared" si="40"/>
        <v>1</v>
      </c>
      <c r="Q237" s="7">
        <f t="shared" si="41"/>
        <v>5988</v>
      </c>
      <c r="S237" s="124">
        <f>SUM(D203:D237)</f>
        <v>172147402123</v>
      </c>
      <c r="T237" s="124">
        <f>SUM(F203:F237)</f>
        <v>131947642626</v>
      </c>
      <c r="U237" s="124">
        <f>SUM(J203:J237)</f>
        <v>707790000</v>
      </c>
    </row>
    <row r="238" spans="1:21">
      <c r="A238" s="23" t="s">
        <v>263</v>
      </c>
      <c r="B238" s="35" t="s">
        <v>264</v>
      </c>
      <c r="C238" s="36">
        <v>6147</v>
      </c>
      <c r="D238" s="113">
        <v>2963302266</v>
      </c>
      <c r="E238" s="116">
        <f t="shared" si="47"/>
        <v>482072.92435334309</v>
      </c>
      <c r="F238" s="117">
        <v>2455886856</v>
      </c>
      <c r="G238" s="117">
        <f t="shared" si="48"/>
        <v>399526.08687164471</v>
      </c>
      <c r="H238" s="7"/>
      <c r="I238" s="109">
        <v>2.5217000000000001</v>
      </c>
      <c r="J238" s="117">
        <v>6193010</v>
      </c>
      <c r="K238" s="120">
        <f t="shared" si="46"/>
        <v>1007.4849520091101</v>
      </c>
      <c r="L238" s="122">
        <f t="shared" si="42"/>
        <v>24558868.559999999</v>
      </c>
      <c r="M238" s="116">
        <f t="shared" si="43"/>
        <v>18365858.559999999</v>
      </c>
      <c r="N238" s="123">
        <f t="shared" si="44"/>
        <v>2987.7759167073368</v>
      </c>
      <c r="O238" s="5"/>
      <c r="P238" s="5">
        <f t="shared" si="40"/>
        <v>1</v>
      </c>
      <c r="Q238" s="7">
        <f t="shared" si="41"/>
        <v>6147</v>
      </c>
    </row>
    <row r="239" spans="1:21">
      <c r="A239" s="23" t="s">
        <v>265</v>
      </c>
      <c r="B239" s="35" t="s">
        <v>264</v>
      </c>
      <c r="C239" s="36">
        <v>796</v>
      </c>
      <c r="D239" s="113">
        <v>560243485</v>
      </c>
      <c r="E239" s="116">
        <f t="shared" si="47"/>
        <v>703823.4736180905</v>
      </c>
      <c r="F239" s="117">
        <v>516988713</v>
      </c>
      <c r="G239" s="117">
        <f t="shared" si="48"/>
        <v>649483.30778894469</v>
      </c>
      <c r="H239" s="7"/>
      <c r="I239" s="109">
        <v>2.2465000000000002</v>
      </c>
      <c r="J239" s="117">
        <v>1161415</v>
      </c>
      <c r="K239" s="120">
        <f t="shared" si="46"/>
        <v>1459.0640703517588</v>
      </c>
      <c r="L239" s="122">
        <f t="shared" si="42"/>
        <v>5169887.13</v>
      </c>
      <c r="M239" s="116">
        <f t="shared" si="43"/>
        <v>4008472.13</v>
      </c>
      <c r="N239" s="123">
        <f t="shared" si="44"/>
        <v>5035.7690075376886</v>
      </c>
      <c r="O239" s="5"/>
      <c r="P239" s="5">
        <f t="shared" si="40"/>
        <v>1</v>
      </c>
      <c r="Q239" s="7">
        <f t="shared" si="41"/>
        <v>796</v>
      </c>
    </row>
    <row r="240" spans="1:21">
      <c r="A240" s="23" t="s">
        <v>266</v>
      </c>
      <c r="B240" s="35" t="s">
        <v>264</v>
      </c>
      <c r="C240" s="36">
        <v>24626</v>
      </c>
      <c r="D240" s="113">
        <v>9113192459</v>
      </c>
      <c r="E240" s="116">
        <f t="shared" si="47"/>
        <v>370063.8536100057</v>
      </c>
      <c r="F240" s="117">
        <v>4924659031</v>
      </c>
      <c r="G240" s="117">
        <f t="shared" si="48"/>
        <v>199978.03260781287</v>
      </c>
      <c r="H240" s="7"/>
      <c r="I240" s="109">
        <v>2.8626999999999998</v>
      </c>
      <c r="J240" s="117">
        <v>14097821</v>
      </c>
      <c r="K240" s="120">
        <f t="shared" si="46"/>
        <v>572.47709737675632</v>
      </c>
      <c r="L240" s="122">
        <f t="shared" si="42"/>
        <v>49246590.310000002</v>
      </c>
      <c r="M240" s="116">
        <f t="shared" si="43"/>
        <v>35148769.310000002</v>
      </c>
      <c r="N240" s="123">
        <f t="shared" si="44"/>
        <v>1427.3032287013725</v>
      </c>
      <c r="O240" s="5"/>
      <c r="P240" s="5">
        <f t="shared" si="40"/>
        <v>1</v>
      </c>
      <c r="Q240" s="7">
        <f t="shared" si="41"/>
        <v>24626</v>
      </c>
    </row>
    <row r="241" spans="1:21">
      <c r="A241" s="23" t="s">
        <v>267</v>
      </c>
      <c r="B241" s="35" t="s">
        <v>264</v>
      </c>
      <c r="C241" s="36">
        <v>182</v>
      </c>
      <c r="D241" s="113">
        <v>65412874</v>
      </c>
      <c r="E241" s="116">
        <f t="shared" si="47"/>
        <v>359411.3956043956</v>
      </c>
      <c r="F241" s="117">
        <v>53151224</v>
      </c>
      <c r="G241" s="117">
        <f t="shared" si="48"/>
        <v>292039.69230769231</v>
      </c>
      <c r="H241" s="7"/>
      <c r="I241" s="109">
        <v>1.7626999999999999</v>
      </c>
      <c r="J241" s="117">
        <v>93690</v>
      </c>
      <c r="K241" s="120">
        <f t="shared" si="46"/>
        <v>514.7802197802198</v>
      </c>
      <c r="L241" s="122">
        <f t="shared" si="42"/>
        <v>531512.24</v>
      </c>
      <c r="M241" s="116">
        <f t="shared" si="43"/>
        <v>437822.24</v>
      </c>
      <c r="N241" s="123">
        <f t="shared" si="44"/>
        <v>2405.6167032967032</v>
      </c>
      <c r="O241" s="5"/>
      <c r="P241" s="5">
        <f t="shared" si="40"/>
        <v>1</v>
      </c>
      <c r="Q241" s="7">
        <f t="shared" si="41"/>
        <v>182</v>
      </c>
    </row>
    <row r="242" spans="1:21">
      <c r="A242" s="23" t="s">
        <v>449</v>
      </c>
      <c r="B242" s="35" t="s">
        <v>264</v>
      </c>
      <c r="C242" s="36">
        <v>8316</v>
      </c>
      <c r="D242" s="113">
        <v>2239309723</v>
      </c>
      <c r="E242" s="116">
        <f t="shared" si="47"/>
        <v>269277.26346801349</v>
      </c>
      <c r="F242" s="117">
        <v>1804570623</v>
      </c>
      <c r="G242" s="117">
        <f t="shared" si="48"/>
        <v>216999.83441558442</v>
      </c>
      <c r="H242" s="7"/>
      <c r="I242" s="109">
        <v>1.9999</v>
      </c>
      <c r="J242" s="117">
        <v>3608961</v>
      </c>
      <c r="K242" s="120">
        <f t="shared" si="46"/>
        <v>433.9779942279942</v>
      </c>
      <c r="L242" s="122">
        <f t="shared" si="42"/>
        <v>18045706.23</v>
      </c>
      <c r="M242" s="116">
        <f t="shared" si="43"/>
        <v>14436745.23</v>
      </c>
      <c r="N242" s="123">
        <f t="shared" si="44"/>
        <v>1736.02034992785</v>
      </c>
      <c r="O242" s="5"/>
      <c r="P242" s="5">
        <f t="shared" si="40"/>
        <v>1</v>
      </c>
      <c r="Q242" s="7">
        <f t="shared" si="41"/>
        <v>8316</v>
      </c>
      <c r="S242" s="124">
        <f>SUM(D238:D242)</f>
        <v>14941460807</v>
      </c>
      <c r="T242" s="124">
        <f>SUM(F238:F242)</f>
        <v>9755256447</v>
      </c>
      <c r="U242" s="124">
        <f>SUM(J238:J242)</f>
        <v>25154897</v>
      </c>
    </row>
    <row r="243" spans="1:21">
      <c r="A243" s="23" t="s">
        <v>268</v>
      </c>
      <c r="B243" s="35" t="s">
        <v>269</v>
      </c>
      <c r="C243" s="36">
        <v>1125</v>
      </c>
      <c r="D243" s="113">
        <v>112487170</v>
      </c>
      <c r="E243" s="116">
        <f t="shared" si="47"/>
        <v>99988.595555555556</v>
      </c>
      <c r="F243" s="117">
        <v>70133531</v>
      </c>
      <c r="G243" s="117">
        <f t="shared" si="48"/>
        <v>62340.916444444447</v>
      </c>
      <c r="H243" s="7"/>
      <c r="I243" s="109">
        <v>3.286</v>
      </c>
      <c r="J243" s="117">
        <v>230459</v>
      </c>
      <c r="K243" s="120">
        <f t="shared" si="46"/>
        <v>204.85244444444444</v>
      </c>
      <c r="L243" s="122">
        <f t="shared" si="42"/>
        <v>701335.31</v>
      </c>
      <c r="M243" s="116">
        <f t="shared" si="43"/>
        <v>470876.31000000006</v>
      </c>
      <c r="N243" s="123">
        <f t="shared" si="44"/>
        <v>418.55672000000004</v>
      </c>
      <c r="O243" s="5"/>
      <c r="P243" s="5">
        <f t="shared" si="40"/>
        <v>1</v>
      </c>
      <c r="Q243" s="7">
        <f t="shared" si="41"/>
        <v>1125</v>
      </c>
    </row>
    <row r="244" spans="1:21">
      <c r="A244" s="23" t="s">
        <v>270</v>
      </c>
      <c r="B244" s="35" t="s">
        <v>269</v>
      </c>
      <c r="C244" s="36">
        <v>11510</v>
      </c>
      <c r="D244" s="113">
        <v>2357291857</v>
      </c>
      <c r="E244" s="116">
        <f t="shared" si="47"/>
        <v>204803.81033883578</v>
      </c>
      <c r="F244" s="117">
        <v>1633911536</v>
      </c>
      <c r="G244" s="117">
        <f t="shared" si="48"/>
        <v>141955.8241529105</v>
      </c>
      <c r="H244" s="7"/>
      <c r="I244" s="109">
        <v>5.1759000000000004</v>
      </c>
      <c r="J244" s="117">
        <v>8456963</v>
      </c>
      <c r="K244" s="120">
        <f t="shared" si="46"/>
        <v>734.74917463075587</v>
      </c>
      <c r="L244" s="122">
        <f t="shared" si="42"/>
        <v>16339115.360000001</v>
      </c>
      <c r="M244" s="116">
        <f t="shared" si="43"/>
        <v>7882152.3600000013</v>
      </c>
      <c r="N244" s="123">
        <f t="shared" si="44"/>
        <v>684.80906689834933</v>
      </c>
      <c r="O244" s="5"/>
      <c r="P244" s="5">
        <f t="shared" si="40"/>
        <v>1</v>
      </c>
      <c r="Q244" s="7">
        <f t="shared" si="41"/>
        <v>11510</v>
      </c>
    </row>
    <row r="245" spans="1:21">
      <c r="A245" s="23" t="s">
        <v>271</v>
      </c>
      <c r="B245" s="35" t="s">
        <v>269</v>
      </c>
      <c r="C245" s="36">
        <v>3095</v>
      </c>
      <c r="D245" s="113">
        <v>254992258</v>
      </c>
      <c r="E245" s="116">
        <f t="shared" si="47"/>
        <v>82388.451696284334</v>
      </c>
      <c r="F245" s="117">
        <v>75243478</v>
      </c>
      <c r="G245" s="117">
        <f t="shared" si="48"/>
        <v>24311.301453957996</v>
      </c>
      <c r="H245" s="7"/>
      <c r="I245" s="109">
        <v>0.55210000000000004</v>
      </c>
      <c r="J245" s="117">
        <v>41542</v>
      </c>
      <c r="K245" s="120">
        <f t="shared" si="46"/>
        <v>13.422294022617125</v>
      </c>
      <c r="L245" s="122">
        <f t="shared" si="42"/>
        <v>752434.78</v>
      </c>
      <c r="M245" s="116">
        <f t="shared" si="43"/>
        <v>710892.78</v>
      </c>
      <c r="N245" s="123">
        <f t="shared" si="44"/>
        <v>229.69072051696284</v>
      </c>
      <c r="O245" s="5"/>
      <c r="P245" s="5">
        <f t="shared" si="40"/>
        <v>1</v>
      </c>
      <c r="Q245" s="7">
        <f t="shared" si="41"/>
        <v>3095</v>
      </c>
      <c r="S245" s="124">
        <f>SUM(D243:D245)</f>
        <v>2724771285</v>
      </c>
      <c r="T245" s="124">
        <f>SUM(F243:F245)</f>
        <v>1779288545</v>
      </c>
      <c r="U245" s="124">
        <f>SUM(J243:J245)</f>
        <v>8728964</v>
      </c>
    </row>
    <row r="246" spans="1:21">
      <c r="A246" s="23" t="s">
        <v>272</v>
      </c>
      <c r="B246" s="35" t="s">
        <v>273</v>
      </c>
      <c r="C246" s="36">
        <v>384</v>
      </c>
      <c r="D246" s="113">
        <v>56523739</v>
      </c>
      <c r="E246" s="116">
        <f t="shared" si="47"/>
        <v>147197.23697916666</v>
      </c>
      <c r="F246" s="119">
        <v>47509918</v>
      </c>
      <c r="G246" s="117">
        <f t="shared" si="48"/>
        <v>123723.74479166667</v>
      </c>
      <c r="H246" s="7"/>
      <c r="I246" s="109">
        <v>2.2999999999999998</v>
      </c>
      <c r="J246" s="117">
        <v>109273</v>
      </c>
      <c r="K246" s="120">
        <f t="shared" si="46"/>
        <v>284.56510416666669</v>
      </c>
      <c r="L246" s="122">
        <f t="shared" si="42"/>
        <v>475099.18</v>
      </c>
      <c r="M246" s="116">
        <f t="shared" si="43"/>
        <v>365826.18</v>
      </c>
      <c r="N246" s="123">
        <f t="shared" si="44"/>
        <v>952.67234374999998</v>
      </c>
      <c r="O246" s="5"/>
      <c r="P246" s="5">
        <f t="shared" si="40"/>
        <v>1</v>
      </c>
      <c r="Q246" s="7">
        <f t="shared" si="41"/>
        <v>384</v>
      </c>
    </row>
    <row r="247" spans="1:21">
      <c r="A247" s="23" t="s">
        <v>274</v>
      </c>
      <c r="B247" s="35" t="s">
        <v>273</v>
      </c>
      <c r="C247" s="36">
        <v>21474</v>
      </c>
      <c r="D247" s="113">
        <v>1327887097</v>
      </c>
      <c r="E247" s="116">
        <f t="shared" si="47"/>
        <v>61836.970149948778</v>
      </c>
      <c r="F247" s="117">
        <v>904813996</v>
      </c>
      <c r="G247" s="117">
        <f t="shared" si="48"/>
        <v>42135.326255006054</v>
      </c>
      <c r="H247" s="7"/>
      <c r="I247" s="109">
        <v>5.5965999999999996</v>
      </c>
      <c r="J247" s="117">
        <v>5063882</v>
      </c>
      <c r="K247" s="120">
        <f t="shared" si="46"/>
        <v>235.81456645245413</v>
      </c>
      <c r="L247" s="122">
        <f t="shared" si="42"/>
        <v>9048139.9600000009</v>
      </c>
      <c r="M247" s="116">
        <f t="shared" si="43"/>
        <v>3984257.9600000009</v>
      </c>
      <c r="N247" s="123">
        <f t="shared" si="44"/>
        <v>185.53869609760645</v>
      </c>
      <c r="O247" s="5"/>
      <c r="P247" s="5">
        <f t="shared" si="40"/>
        <v>1</v>
      </c>
      <c r="Q247" s="7">
        <f t="shared" si="41"/>
        <v>21474</v>
      </c>
    </row>
    <row r="248" spans="1:21">
      <c r="A248" s="23" t="s">
        <v>275</v>
      </c>
      <c r="B248" s="35" t="s">
        <v>273</v>
      </c>
      <c r="C248" s="36">
        <v>12319</v>
      </c>
      <c r="D248" s="113">
        <v>4386724611</v>
      </c>
      <c r="E248" s="116">
        <f t="shared" si="47"/>
        <v>356094.21308547771</v>
      </c>
      <c r="F248" s="117">
        <v>3943665729</v>
      </c>
      <c r="G248" s="117">
        <f t="shared" si="48"/>
        <v>320128.72221771249</v>
      </c>
      <c r="H248" s="9"/>
      <c r="I248" s="109">
        <v>1.4550000000000001</v>
      </c>
      <c r="J248" s="117">
        <v>5738034</v>
      </c>
      <c r="K248" s="120">
        <f t="shared" si="46"/>
        <v>465.78732039938308</v>
      </c>
      <c r="L248" s="122">
        <f t="shared" si="42"/>
        <v>39436657.289999999</v>
      </c>
      <c r="M248" s="116">
        <f t="shared" si="43"/>
        <v>33698623.289999999</v>
      </c>
      <c r="N248" s="123">
        <f t="shared" si="44"/>
        <v>2735.4999017777418</v>
      </c>
      <c r="O248" s="5"/>
      <c r="P248" s="5">
        <f t="shared" si="40"/>
        <v>1</v>
      </c>
      <c r="Q248" s="7">
        <f t="shared" si="41"/>
        <v>12319</v>
      </c>
    </row>
    <row r="249" spans="1:21">
      <c r="A249" s="23" t="s">
        <v>276</v>
      </c>
      <c r="B249" s="35" t="s">
        <v>273</v>
      </c>
      <c r="C249" s="36">
        <v>19534</v>
      </c>
      <c r="D249" s="113">
        <v>1713982907</v>
      </c>
      <c r="E249" s="116">
        <f t="shared" si="47"/>
        <v>87743.570543667447</v>
      </c>
      <c r="F249" s="117">
        <v>1152106054</v>
      </c>
      <c r="G249" s="117">
        <f t="shared" si="48"/>
        <v>58979.525647588816</v>
      </c>
      <c r="H249" s="9"/>
      <c r="I249" s="109">
        <v>4.5382999999999996</v>
      </c>
      <c r="J249" s="117">
        <v>5228603</v>
      </c>
      <c r="K249" s="120">
        <f t="shared" si="46"/>
        <v>267.6667861165148</v>
      </c>
      <c r="L249" s="122">
        <f t="shared" si="42"/>
        <v>11521060.540000001</v>
      </c>
      <c r="M249" s="116">
        <f t="shared" si="43"/>
        <v>6292457.540000001</v>
      </c>
      <c r="N249" s="123">
        <f t="shared" si="44"/>
        <v>322.12847035937347</v>
      </c>
      <c r="O249" s="5"/>
      <c r="P249" s="5">
        <f t="shared" si="40"/>
        <v>1</v>
      </c>
      <c r="Q249" s="7">
        <f t="shared" si="41"/>
        <v>19534</v>
      </c>
    </row>
    <row r="250" spans="1:21">
      <c r="A250" s="23" t="s">
        <v>277</v>
      </c>
      <c r="B250" s="35" t="s">
        <v>273</v>
      </c>
      <c r="C250" s="36">
        <v>527</v>
      </c>
      <c r="D250" s="113">
        <v>28794356</v>
      </c>
      <c r="E250" s="116">
        <f t="shared" si="47"/>
        <v>54638.246679316886</v>
      </c>
      <c r="F250" s="117">
        <v>14498506</v>
      </c>
      <c r="G250" s="117">
        <f t="shared" si="48"/>
        <v>27511.396584440226</v>
      </c>
      <c r="H250" s="7"/>
      <c r="I250" s="110">
        <v>3.5</v>
      </c>
      <c r="J250" s="117">
        <v>50745</v>
      </c>
      <c r="K250" s="120">
        <f t="shared" si="46"/>
        <v>96.290322580645167</v>
      </c>
      <c r="L250" s="122">
        <f t="shared" si="42"/>
        <v>144985.06</v>
      </c>
      <c r="M250" s="116">
        <f t="shared" si="43"/>
        <v>94240.06</v>
      </c>
      <c r="N250" s="123">
        <f t="shared" si="44"/>
        <v>178.82364326375711</v>
      </c>
      <c r="O250" s="5"/>
      <c r="P250" s="5">
        <f t="shared" si="40"/>
        <v>1</v>
      </c>
      <c r="Q250" s="7">
        <f t="shared" si="41"/>
        <v>527</v>
      </c>
    </row>
    <row r="251" spans="1:21">
      <c r="A251" s="23" t="s">
        <v>278</v>
      </c>
      <c r="B251" s="35" t="s">
        <v>273</v>
      </c>
      <c r="C251" s="36">
        <v>3844</v>
      </c>
      <c r="D251" s="113">
        <v>379735439</v>
      </c>
      <c r="E251" s="116">
        <f t="shared" si="47"/>
        <v>98786.534599375649</v>
      </c>
      <c r="F251" s="117">
        <v>263032862</v>
      </c>
      <c r="G251" s="117">
        <f t="shared" si="48"/>
        <v>68426.863163371483</v>
      </c>
      <c r="H251" s="7"/>
      <c r="I251" s="109">
        <v>2.6435</v>
      </c>
      <c r="J251" s="117">
        <v>695327</v>
      </c>
      <c r="K251" s="120">
        <f t="shared" si="46"/>
        <v>180.8863163371488</v>
      </c>
      <c r="L251" s="122">
        <f t="shared" si="42"/>
        <v>2630328.62</v>
      </c>
      <c r="M251" s="116">
        <f t="shared" si="43"/>
        <v>1935001.62</v>
      </c>
      <c r="N251" s="123">
        <f t="shared" si="44"/>
        <v>503.38231529656611</v>
      </c>
      <c r="O251" s="5"/>
      <c r="P251" s="5">
        <f t="shared" si="40"/>
        <v>1</v>
      </c>
      <c r="Q251" s="7">
        <f t="shared" si="41"/>
        <v>3844</v>
      </c>
    </row>
    <row r="252" spans="1:21">
      <c r="A252" s="23" t="s">
        <v>279</v>
      </c>
      <c r="B252" s="35" t="s">
        <v>273</v>
      </c>
      <c r="C252" s="36">
        <v>12834</v>
      </c>
      <c r="D252" s="113">
        <v>1130505643</v>
      </c>
      <c r="E252" s="116">
        <f t="shared" si="47"/>
        <v>88086.772868941873</v>
      </c>
      <c r="F252" s="117">
        <v>754379636</v>
      </c>
      <c r="G252" s="117">
        <f t="shared" si="48"/>
        <v>58779.775284400814</v>
      </c>
      <c r="H252" s="7"/>
      <c r="I252" s="109">
        <v>3.65</v>
      </c>
      <c r="J252" s="117">
        <v>2753486</v>
      </c>
      <c r="K252" s="120">
        <f t="shared" si="46"/>
        <v>214.54620539192769</v>
      </c>
      <c r="L252" s="122">
        <f t="shared" si="42"/>
        <v>7543796.3600000003</v>
      </c>
      <c r="M252" s="116">
        <f t="shared" si="43"/>
        <v>4790310.3600000003</v>
      </c>
      <c r="N252" s="123">
        <f t="shared" si="44"/>
        <v>373.25154745208044</v>
      </c>
      <c r="O252" s="5"/>
      <c r="P252" s="5">
        <f t="shared" si="40"/>
        <v>1</v>
      </c>
      <c r="Q252" s="7">
        <f t="shared" si="41"/>
        <v>12834</v>
      </c>
    </row>
    <row r="253" spans="1:21">
      <c r="A253" s="23" t="s">
        <v>280</v>
      </c>
      <c r="B253" s="35" t="s">
        <v>273</v>
      </c>
      <c r="C253" s="36">
        <v>720</v>
      </c>
      <c r="D253" s="113">
        <v>117957832</v>
      </c>
      <c r="E253" s="116">
        <f t="shared" si="47"/>
        <v>163830.32222222222</v>
      </c>
      <c r="F253" s="117">
        <v>86067454</v>
      </c>
      <c r="G253" s="117">
        <f t="shared" si="48"/>
        <v>119538.13055555556</v>
      </c>
      <c r="H253" s="7"/>
      <c r="I253" s="109">
        <v>2</v>
      </c>
      <c r="J253" s="117">
        <v>172135</v>
      </c>
      <c r="K253" s="120">
        <f t="shared" si="46"/>
        <v>239.07638888888889</v>
      </c>
      <c r="L253" s="122">
        <f t="shared" si="42"/>
        <v>860674.54</v>
      </c>
      <c r="M253" s="116">
        <f t="shared" si="43"/>
        <v>688539.54</v>
      </c>
      <c r="N253" s="123">
        <f t="shared" si="44"/>
        <v>956.30491666666671</v>
      </c>
      <c r="O253" s="5"/>
      <c r="P253" s="5">
        <f t="shared" si="40"/>
        <v>1</v>
      </c>
      <c r="Q253" s="7">
        <f t="shared" si="41"/>
        <v>720</v>
      </c>
    </row>
    <row r="254" spans="1:21">
      <c r="A254" s="23" t="s">
        <v>281</v>
      </c>
      <c r="B254" s="35" t="s">
        <v>273</v>
      </c>
      <c r="C254" s="36">
        <v>5061</v>
      </c>
      <c r="D254" s="113">
        <v>323689442</v>
      </c>
      <c r="E254" s="116">
        <f t="shared" si="47"/>
        <v>63957.60561153922</v>
      </c>
      <c r="F254" s="117">
        <v>180299661</v>
      </c>
      <c r="G254" s="117">
        <f t="shared" si="48"/>
        <v>35625.303497332541</v>
      </c>
      <c r="H254" s="7"/>
      <c r="I254" s="109">
        <v>4.0644</v>
      </c>
      <c r="J254" s="117">
        <v>732810</v>
      </c>
      <c r="K254" s="120">
        <f t="shared" si="46"/>
        <v>144.79549496147007</v>
      </c>
      <c r="L254" s="122">
        <f t="shared" si="42"/>
        <v>1802996.61</v>
      </c>
      <c r="M254" s="116">
        <f t="shared" si="43"/>
        <v>1070186.6100000001</v>
      </c>
      <c r="N254" s="123">
        <f t="shared" si="44"/>
        <v>211.45754001185537</v>
      </c>
      <c r="O254" s="5"/>
      <c r="P254" s="5">
        <f t="shared" si="40"/>
        <v>1</v>
      </c>
      <c r="Q254" s="7">
        <f t="shared" si="41"/>
        <v>5061</v>
      </c>
      <c r="S254" s="124">
        <f>SUM(D246:D254)</f>
        <v>9465801066</v>
      </c>
      <c r="T254" s="124">
        <f>SUM(F246:F254)</f>
        <v>7346373816</v>
      </c>
      <c r="U254" s="124">
        <f>SUM(J246:J254)</f>
        <v>20544295</v>
      </c>
    </row>
    <row r="255" spans="1:21">
      <c r="A255" s="23" t="s">
        <v>282</v>
      </c>
      <c r="B255" s="35" t="s">
        <v>282</v>
      </c>
      <c r="C255" s="36">
        <v>5581</v>
      </c>
      <c r="D255" s="113">
        <v>338932629</v>
      </c>
      <c r="E255" s="116">
        <f t="shared" si="47"/>
        <v>60729.731051782837</v>
      </c>
      <c r="F255" s="117">
        <v>239357072</v>
      </c>
      <c r="G255" s="117">
        <f t="shared" si="48"/>
        <v>42887.846622469093</v>
      </c>
      <c r="H255" s="7"/>
      <c r="I255" s="109">
        <v>7.7431999999999999</v>
      </c>
      <c r="J255" s="117">
        <v>1853390</v>
      </c>
      <c r="K255" s="120">
        <f t="shared" si="46"/>
        <v>332.08923132055185</v>
      </c>
      <c r="L255" s="122">
        <f t="shared" si="42"/>
        <v>2393570.7200000002</v>
      </c>
      <c r="M255" s="116">
        <f t="shared" si="43"/>
        <v>540180.7200000002</v>
      </c>
      <c r="N255" s="123">
        <f t="shared" si="44"/>
        <v>96.789234904139079</v>
      </c>
      <c r="O255" s="5"/>
      <c r="P255" s="5">
        <f t="shared" si="40"/>
        <v>1</v>
      </c>
      <c r="Q255" s="7">
        <f t="shared" si="41"/>
        <v>5581</v>
      </c>
      <c r="S255" s="124">
        <f>SUM(D255)</f>
        <v>338932629</v>
      </c>
      <c r="T255" s="124">
        <f>SUM(F255)</f>
        <v>239357072</v>
      </c>
      <c r="U255" s="124">
        <f>SUM(J255)</f>
        <v>1853390</v>
      </c>
    </row>
    <row r="256" spans="1:21">
      <c r="A256" s="23" t="s">
        <v>283</v>
      </c>
      <c r="B256" s="35" t="s">
        <v>284</v>
      </c>
      <c r="C256" s="36">
        <v>42089</v>
      </c>
      <c r="D256" s="113">
        <v>2883572527</v>
      </c>
      <c r="E256" s="116">
        <f t="shared" si="47"/>
        <v>68511.310009741268</v>
      </c>
      <c r="F256" s="117">
        <v>1995744593</v>
      </c>
      <c r="G256" s="117">
        <f t="shared" si="48"/>
        <v>47417.248996174771</v>
      </c>
      <c r="H256" s="7"/>
      <c r="I256" s="109">
        <v>3.5164</v>
      </c>
      <c r="J256" s="117">
        <v>7017836</v>
      </c>
      <c r="K256" s="120">
        <f t="shared" si="46"/>
        <v>166.73800755541828</v>
      </c>
      <c r="L256" s="122">
        <f t="shared" si="42"/>
        <v>19957445.93</v>
      </c>
      <c r="M256" s="116">
        <f t="shared" si="43"/>
        <v>12939609.93</v>
      </c>
      <c r="N256" s="123">
        <f t="shared" si="44"/>
        <v>307.43448240632944</v>
      </c>
      <c r="O256" s="5"/>
      <c r="P256" s="5">
        <f t="shared" si="40"/>
        <v>1</v>
      </c>
      <c r="Q256" s="7">
        <f t="shared" si="41"/>
        <v>42089</v>
      </c>
    </row>
    <row r="257" spans="1:21">
      <c r="A257" s="23" t="s">
        <v>285</v>
      </c>
      <c r="B257" s="35" t="s">
        <v>284</v>
      </c>
      <c r="C257" s="36">
        <v>6</v>
      </c>
      <c r="D257" s="113">
        <v>5029361877</v>
      </c>
      <c r="E257" s="116">
        <f t="shared" si="47"/>
        <v>838226979.5</v>
      </c>
      <c r="F257" s="117">
        <v>4816234489</v>
      </c>
      <c r="G257" s="117">
        <f t="shared" si="48"/>
        <v>802705748.16666663</v>
      </c>
      <c r="H257" s="7"/>
      <c r="I257" s="109">
        <v>1.1394</v>
      </c>
      <c r="J257" s="117">
        <v>5487618</v>
      </c>
      <c r="K257" s="120">
        <f t="shared" si="46"/>
        <v>914603</v>
      </c>
      <c r="L257" s="122">
        <f t="shared" si="42"/>
        <v>48162344.890000001</v>
      </c>
      <c r="M257" s="116">
        <f t="shared" si="43"/>
        <v>42674726.890000001</v>
      </c>
      <c r="N257" s="123">
        <f t="shared" si="44"/>
        <v>7112454.4816666665</v>
      </c>
      <c r="O257" s="5"/>
      <c r="P257" s="5">
        <f t="shared" si="40"/>
        <v>1</v>
      </c>
      <c r="Q257" s="7">
        <f t="shared" si="41"/>
        <v>6</v>
      </c>
    </row>
    <row r="258" spans="1:21">
      <c r="A258" s="23" t="s">
        <v>286</v>
      </c>
      <c r="B258" s="35" t="s">
        <v>284</v>
      </c>
      <c r="C258" s="36">
        <v>6018</v>
      </c>
      <c r="D258" s="113">
        <v>742724896</v>
      </c>
      <c r="E258" s="116">
        <f t="shared" si="47"/>
        <v>123417.23097374543</v>
      </c>
      <c r="F258" s="117">
        <v>558020941</v>
      </c>
      <c r="G258" s="117">
        <f t="shared" si="48"/>
        <v>92725.314223994676</v>
      </c>
      <c r="H258" s="7"/>
      <c r="I258" s="109">
        <v>4.4017999999999997</v>
      </c>
      <c r="J258" s="117">
        <v>2456297</v>
      </c>
      <c r="K258" s="120">
        <f t="shared" si="46"/>
        <v>408.15835825855766</v>
      </c>
      <c r="L258" s="122">
        <f t="shared" si="42"/>
        <v>5580209.4100000001</v>
      </c>
      <c r="M258" s="116">
        <f t="shared" si="43"/>
        <v>3123912.41</v>
      </c>
      <c r="N258" s="123">
        <f t="shared" si="44"/>
        <v>519.09478398138924</v>
      </c>
      <c r="O258" s="5"/>
      <c r="P258" s="5">
        <f t="shared" si="40"/>
        <v>1</v>
      </c>
      <c r="Q258" s="7">
        <f t="shared" si="41"/>
        <v>6018</v>
      </c>
    </row>
    <row r="259" spans="1:21">
      <c r="A259" s="23" t="s">
        <v>287</v>
      </c>
      <c r="B259" s="35" t="s">
        <v>284</v>
      </c>
      <c r="C259" s="36">
        <v>2198</v>
      </c>
      <c r="D259" s="113">
        <v>233714155</v>
      </c>
      <c r="E259" s="116">
        <f t="shared" si="47"/>
        <v>106330.37079162875</v>
      </c>
      <c r="F259" s="117">
        <v>186318258</v>
      </c>
      <c r="G259" s="117">
        <f t="shared" si="48"/>
        <v>84767.178343949039</v>
      </c>
      <c r="H259" s="7"/>
      <c r="I259" s="109">
        <v>6.9039999999999999</v>
      </c>
      <c r="J259" s="117">
        <v>1286341</v>
      </c>
      <c r="K259" s="120">
        <f t="shared" si="46"/>
        <v>585.23248407643314</v>
      </c>
      <c r="L259" s="122">
        <f t="shared" si="42"/>
        <v>1863182.58</v>
      </c>
      <c r="M259" s="116">
        <f t="shared" si="43"/>
        <v>576841.58000000007</v>
      </c>
      <c r="N259" s="123">
        <f t="shared" si="44"/>
        <v>262.43929936305739</v>
      </c>
      <c r="O259" s="5"/>
      <c r="P259" s="5">
        <f t="shared" si="40"/>
        <v>1</v>
      </c>
      <c r="Q259" s="7">
        <f t="shared" si="41"/>
        <v>2198</v>
      </c>
    </row>
    <row r="260" spans="1:21">
      <c r="A260" s="23" t="s">
        <v>288</v>
      </c>
      <c r="B260" s="35" t="s">
        <v>284</v>
      </c>
      <c r="C260" s="36">
        <v>2503</v>
      </c>
      <c r="D260" s="113">
        <v>324076259</v>
      </c>
      <c r="E260" s="116">
        <f t="shared" si="47"/>
        <v>129475.13343987215</v>
      </c>
      <c r="F260" s="117">
        <v>264999076</v>
      </c>
      <c r="G260" s="117">
        <f t="shared" si="48"/>
        <v>105872.58330003996</v>
      </c>
      <c r="H260" s="7"/>
      <c r="I260" s="109">
        <v>4.7</v>
      </c>
      <c r="J260" s="117">
        <v>1245496</v>
      </c>
      <c r="K260" s="120">
        <f t="shared" si="46"/>
        <v>497.60127846584101</v>
      </c>
      <c r="L260" s="122">
        <f t="shared" si="42"/>
        <v>2649990.7600000002</v>
      </c>
      <c r="M260" s="116">
        <f t="shared" si="43"/>
        <v>1404494.7600000002</v>
      </c>
      <c r="N260" s="123">
        <f t="shared" si="44"/>
        <v>561.12455453455868</v>
      </c>
      <c r="O260" s="5"/>
      <c r="P260" s="5">
        <f t="shared" si="40"/>
        <v>1</v>
      </c>
      <c r="Q260" s="7">
        <f t="shared" si="41"/>
        <v>2503</v>
      </c>
    </row>
    <row r="261" spans="1:21">
      <c r="A261" s="23" t="s">
        <v>289</v>
      </c>
      <c r="B261" s="35" t="s">
        <v>284</v>
      </c>
      <c r="C261" s="36">
        <v>21</v>
      </c>
      <c r="D261" s="113">
        <v>1821521971</v>
      </c>
      <c r="E261" s="116">
        <f t="shared" si="47"/>
        <v>86739141.476190478</v>
      </c>
      <c r="F261" s="117">
        <v>1759464921</v>
      </c>
      <c r="G261" s="117">
        <f t="shared" si="48"/>
        <v>83784043.857142851</v>
      </c>
      <c r="H261" s="7"/>
      <c r="I261" s="109">
        <v>1.1986000000000001</v>
      </c>
      <c r="J261" s="117">
        <v>2108895</v>
      </c>
      <c r="K261" s="120">
        <f t="shared" si="46"/>
        <v>100423.57142857143</v>
      </c>
      <c r="L261" s="122">
        <f t="shared" si="42"/>
        <v>17594649.210000001</v>
      </c>
      <c r="M261" s="116">
        <f t="shared" si="43"/>
        <v>15485754.210000001</v>
      </c>
      <c r="N261" s="123">
        <f t="shared" si="44"/>
        <v>737416.86714285717</v>
      </c>
      <c r="O261" s="5"/>
      <c r="P261" s="5">
        <f t="shared" si="40"/>
        <v>1</v>
      </c>
      <c r="Q261" s="7">
        <f t="shared" si="41"/>
        <v>21</v>
      </c>
    </row>
    <row r="262" spans="1:21">
      <c r="A262" s="23" t="s">
        <v>290</v>
      </c>
      <c r="B262" s="35" t="s">
        <v>284</v>
      </c>
      <c r="C262" s="36">
        <v>15808</v>
      </c>
      <c r="D262" s="113">
        <v>2495781586</v>
      </c>
      <c r="E262" s="116">
        <f t="shared" si="47"/>
        <v>157880.92016700405</v>
      </c>
      <c r="F262" s="117">
        <v>2011810871</v>
      </c>
      <c r="G262" s="117">
        <f t="shared" si="48"/>
        <v>127265.36380313765</v>
      </c>
      <c r="H262" s="7"/>
      <c r="I262" s="109">
        <v>3.88</v>
      </c>
      <c r="J262" s="117">
        <v>7805826</v>
      </c>
      <c r="K262" s="120">
        <f t="shared" si="46"/>
        <v>493.78960020242914</v>
      </c>
      <c r="L262" s="122">
        <f t="shared" si="42"/>
        <v>20118108.710000001</v>
      </c>
      <c r="M262" s="116">
        <f t="shared" si="43"/>
        <v>12312282.710000001</v>
      </c>
      <c r="N262" s="123">
        <f t="shared" si="44"/>
        <v>778.8640378289474</v>
      </c>
      <c r="O262" s="5"/>
      <c r="P262" s="5">
        <f t="shared" ref="P262:P325" si="49">IF(I262&gt;0,1,0)</f>
        <v>1</v>
      </c>
      <c r="Q262" s="7">
        <f t="shared" ref="Q262:Q325" si="50">IF(I262&gt;0,C262,0)</f>
        <v>15808</v>
      </c>
    </row>
    <row r="263" spans="1:21">
      <c r="A263" s="23" t="s">
        <v>291</v>
      </c>
      <c r="B263" s="35" t="s">
        <v>284</v>
      </c>
      <c r="C263" s="36">
        <v>2556</v>
      </c>
      <c r="D263" s="113">
        <v>270248971</v>
      </c>
      <c r="E263" s="116">
        <f t="shared" si="47"/>
        <v>105731.2093114241</v>
      </c>
      <c r="F263" s="117">
        <v>202664977</v>
      </c>
      <c r="G263" s="117">
        <f t="shared" si="48"/>
        <v>79289.897104851334</v>
      </c>
      <c r="H263" s="7"/>
      <c r="I263" s="109">
        <v>6.75</v>
      </c>
      <c r="J263" s="117">
        <v>1367989</v>
      </c>
      <c r="K263" s="120">
        <f t="shared" si="46"/>
        <v>535.2069640062598</v>
      </c>
      <c r="L263" s="122">
        <f t="shared" si="42"/>
        <v>2026649.77</v>
      </c>
      <c r="M263" s="116">
        <f t="shared" si="43"/>
        <v>658660.77</v>
      </c>
      <c r="N263" s="123">
        <f t="shared" si="44"/>
        <v>257.69200704225352</v>
      </c>
      <c r="O263" s="5"/>
      <c r="P263" s="5">
        <f t="shared" si="49"/>
        <v>1</v>
      </c>
      <c r="Q263" s="7">
        <f t="shared" si="50"/>
        <v>2556</v>
      </c>
    </row>
    <row r="264" spans="1:21">
      <c r="A264" s="23" t="s">
        <v>292</v>
      </c>
      <c r="B264" s="35" t="s">
        <v>284</v>
      </c>
      <c r="C264" s="36">
        <v>36005</v>
      </c>
      <c r="D264" s="113">
        <v>2461715528</v>
      </c>
      <c r="E264" s="116">
        <f t="shared" si="47"/>
        <v>68371.490848493268</v>
      </c>
      <c r="F264" s="117">
        <v>1708842333</v>
      </c>
      <c r="G264" s="117">
        <f t="shared" si="48"/>
        <v>47461.250742952368</v>
      </c>
      <c r="H264" s="7"/>
      <c r="I264" s="109">
        <v>5.8460000000000001</v>
      </c>
      <c r="J264" s="117">
        <v>9989892</v>
      </c>
      <c r="K264" s="120">
        <f t="shared" si="46"/>
        <v>277.45846410220804</v>
      </c>
      <c r="L264" s="122">
        <f t="shared" ref="L264:L327" si="51">(F264*0.01)</f>
        <v>17088423.330000002</v>
      </c>
      <c r="M264" s="116">
        <f t="shared" ref="M264:M327" si="52">(L264-J264)</f>
        <v>7098531.3300000019</v>
      </c>
      <c r="N264" s="123">
        <f t="shared" ref="N264:N327" si="53">(M264/C264)</f>
        <v>197.15404332731569</v>
      </c>
      <c r="O264" s="5"/>
      <c r="P264" s="5">
        <f t="shared" si="49"/>
        <v>1</v>
      </c>
      <c r="Q264" s="7">
        <f t="shared" si="50"/>
        <v>36005</v>
      </c>
    </row>
    <row r="265" spans="1:21">
      <c r="A265" s="23" t="s">
        <v>293</v>
      </c>
      <c r="B265" s="35" t="s">
        <v>284</v>
      </c>
      <c r="C265" s="36">
        <v>241978</v>
      </c>
      <c r="D265" s="113">
        <v>28207349724</v>
      </c>
      <c r="E265" s="116">
        <f t="shared" si="47"/>
        <v>116569.89364322377</v>
      </c>
      <c r="F265" s="117">
        <v>18099179264</v>
      </c>
      <c r="G265" s="117">
        <f t="shared" si="48"/>
        <v>74796.796667465635</v>
      </c>
      <c r="H265" s="7"/>
      <c r="I265" s="109">
        <v>5.65</v>
      </c>
      <c r="J265" s="117">
        <v>102260363</v>
      </c>
      <c r="K265" s="120">
        <f t="shared" si="46"/>
        <v>422.60190182578583</v>
      </c>
      <c r="L265" s="122">
        <f t="shared" si="51"/>
        <v>180991792.64000002</v>
      </c>
      <c r="M265" s="116">
        <f t="shared" si="52"/>
        <v>78731429.640000015</v>
      </c>
      <c r="N265" s="123">
        <f t="shared" si="53"/>
        <v>325.36606484887062</v>
      </c>
      <c r="O265" s="5"/>
      <c r="P265" s="5">
        <f t="shared" si="49"/>
        <v>1</v>
      </c>
      <c r="Q265" s="7">
        <f t="shared" si="50"/>
        <v>241978</v>
      </c>
    </row>
    <row r="266" spans="1:21">
      <c r="A266" s="23" t="s">
        <v>294</v>
      </c>
      <c r="B266" s="35" t="s">
        <v>284</v>
      </c>
      <c r="C266" s="36">
        <v>2481</v>
      </c>
      <c r="D266" s="113">
        <v>671593005</v>
      </c>
      <c r="E266" s="116">
        <f t="shared" si="47"/>
        <v>270694.48004836758</v>
      </c>
      <c r="F266" s="117">
        <v>528132721</v>
      </c>
      <c r="G266" s="117">
        <f t="shared" si="48"/>
        <v>212870.90729544539</v>
      </c>
      <c r="H266" s="7"/>
      <c r="I266" s="109">
        <v>3.7896000000000001</v>
      </c>
      <c r="J266" s="117">
        <v>2001412</v>
      </c>
      <c r="K266" s="120">
        <f t="shared" si="46"/>
        <v>806.69568722289398</v>
      </c>
      <c r="L266" s="122">
        <f t="shared" si="51"/>
        <v>5281327.21</v>
      </c>
      <c r="M266" s="116">
        <f t="shared" si="52"/>
        <v>3279915.21</v>
      </c>
      <c r="N266" s="123">
        <f t="shared" si="53"/>
        <v>1322.0133857315598</v>
      </c>
      <c r="O266" s="5"/>
      <c r="P266" s="5">
        <f t="shared" si="49"/>
        <v>1</v>
      </c>
      <c r="Q266" s="7">
        <f t="shared" si="50"/>
        <v>2481</v>
      </c>
    </row>
    <row r="267" spans="1:21">
      <c r="A267" s="23" t="s">
        <v>295</v>
      </c>
      <c r="B267" s="35" t="s">
        <v>284</v>
      </c>
      <c r="C267" s="36">
        <v>35281</v>
      </c>
      <c r="D267" s="113">
        <v>2536743095</v>
      </c>
      <c r="E267" s="116">
        <f t="shared" si="47"/>
        <v>71901.110937898586</v>
      </c>
      <c r="F267" s="117">
        <v>1903153262</v>
      </c>
      <c r="G267" s="117">
        <f t="shared" si="48"/>
        <v>53942.724469261077</v>
      </c>
      <c r="H267" s="7"/>
      <c r="I267" s="109">
        <v>4.25</v>
      </c>
      <c r="J267" s="117">
        <v>8088401</v>
      </c>
      <c r="K267" s="120">
        <f t="shared" si="46"/>
        <v>229.25656869136361</v>
      </c>
      <c r="L267" s="122">
        <f t="shared" si="51"/>
        <v>19031532.620000001</v>
      </c>
      <c r="M267" s="116">
        <f t="shared" si="52"/>
        <v>10943131.620000001</v>
      </c>
      <c r="N267" s="123">
        <f t="shared" si="53"/>
        <v>310.17067600124716</v>
      </c>
      <c r="O267" s="5"/>
      <c r="P267" s="5">
        <f t="shared" si="49"/>
        <v>1</v>
      </c>
      <c r="Q267" s="7">
        <f t="shared" si="50"/>
        <v>35281</v>
      </c>
    </row>
    <row r="268" spans="1:21">
      <c r="A268" s="23" t="s">
        <v>296</v>
      </c>
      <c r="B268" s="35" t="s">
        <v>284</v>
      </c>
      <c r="C268" s="36">
        <v>27727</v>
      </c>
      <c r="D268" s="113">
        <v>5068174117</v>
      </c>
      <c r="E268" s="116">
        <f t="shared" si="47"/>
        <v>182788.40541710248</v>
      </c>
      <c r="F268" s="117">
        <v>3794040608</v>
      </c>
      <c r="G268" s="117">
        <f t="shared" si="48"/>
        <v>136835.59735997402</v>
      </c>
      <c r="H268" s="7"/>
      <c r="I268" s="109">
        <v>4.0922999999999998</v>
      </c>
      <c r="J268" s="117">
        <v>15526352</v>
      </c>
      <c r="K268" s="120">
        <f t="shared" si="46"/>
        <v>559.97230136689871</v>
      </c>
      <c r="L268" s="122">
        <f t="shared" si="51"/>
        <v>37940406.079999998</v>
      </c>
      <c r="M268" s="116">
        <f t="shared" si="52"/>
        <v>22414054.079999998</v>
      </c>
      <c r="N268" s="123">
        <f t="shared" si="53"/>
        <v>808.3836722328416</v>
      </c>
      <c r="O268" s="5"/>
      <c r="P268" s="5">
        <f t="shared" si="49"/>
        <v>1</v>
      </c>
      <c r="Q268" s="7">
        <f t="shared" si="50"/>
        <v>27727</v>
      </c>
      <c r="S268" s="124">
        <f>SUM(D256:D268)</f>
        <v>52746577711</v>
      </c>
      <c r="T268" s="124">
        <f>SUM(F256:F268)</f>
        <v>37828606314</v>
      </c>
      <c r="U268" s="124">
        <f>SUM(J256:J268)</f>
        <v>166642718</v>
      </c>
    </row>
    <row r="269" spans="1:21">
      <c r="A269" s="23" t="s">
        <v>297</v>
      </c>
      <c r="B269" s="35" t="s">
        <v>298</v>
      </c>
      <c r="C269" s="36">
        <v>60375</v>
      </c>
      <c r="D269" s="113">
        <v>3132856190</v>
      </c>
      <c r="E269" s="116">
        <f t="shared" si="47"/>
        <v>51889.957598343688</v>
      </c>
      <c r="F269" s="117">
        <v>2175362837</v>
      </c>
      <c r="G269" s="117">
        <f t="shared" si="48"/>
        <v>36030.854443064185</v>
      </c>
      <c r="H269" s="7"/>
      <c r="I269" s="109">
        <v>4.6253000000000002</v>
      </c>
      <c r="J269" s="117">
        <v>10061706</v>
      </c>
      <c r="K269" s="120">
        <f t="shared" si="46"/>
        <v>166.6535155279503</v>
      </c>
      <c r="L269" s="122">
        <f t="shared" si="51"/>
        <v>21753628.370000001</v>
      </c>
      <c r="M269" s="116">
        <f t="shared" si="52"/>
        <v>11691922.370000001</v>
      </c>
      <c r="N269" s="123">
        <f t="shared" si="53"/>
        <v>193.65502890269153</v>
      </c>
      <c r="O269" s="5"/>
      <c r="P269" s="5">
        <f t="shared" si="49"/>
        <v>1</v>
      </c>
      <c r="Q269" s="7">
        <f t="shared" si="50"/>
        <v>60375</v>
      </c>
    </row>
    <row r="270" spans="1:21">
      <c r="A270" s="24" t="s">
        <v>546</v>
      </c>
      <c r="B270" s="35" t="s">
        <v>298</v>
      </c>
      <c r="C270" s="36">
        <v>35844</v>
      </c>
      <c r="D270" s="113">
        <v>1784192506</v>
      </c>
      <c r="E270" s="116">
        <f t="shared" si="47"/>
        <v>49776.601551166168</v>
      </c>
      <c r="F270" s="117">
        <v>1198281770</v>
      </c>
      <c r="G270" s="117">
        <f t="shared" si="48"/>
        <v>33430.470092623589</v>
      </c>
      <c r="H270" s="7"/>
      <c r="I270" s="109">
        <v>4.9127999999999998</v>
      </c>
      <c r="J270" s="117">
        <v>5886919</v>
      </c>
      <c r="K270" s="120">
        <f t="shared" si="46"/>
        <v>164.23722240821337</v>
      </c>
      <c r="L270" s="122">
        <f t="shared" si="51"/>
        <v>11982817.700000001</v>
      </c>
      <c r="M270" s="116">
        <f t="shared" si="52"/>
        <v>6095898.7000000011</v>
      </c>
      <c r="N270" s="123">
        <f t="shared" si="53"/>
        <v>170.06747851802257</v>
      </c>
      <c r="O270" s="5"/>
      <c r="P270" s="5">
        <f t="shared" si="49"/>
        <v>1</v>
      </c>
      <c r="Q270" s="7">
        <f t="shared" si="50"/>
        <v>35844</v>
      </c>
      <c r="S270" s="124">
        <f>SUM(D269:D270)</f>
        <v>4917048696</v>
      </c>
      <c r="T270" s="124">
        <f>SUM(F269:F270)</f>
        <v>3373644607</v>
      </c>
      <c r="U270" s="124">
        <f>SUM(J269:J270)</f>
        <v>15948625</v>
      </c>
    </row>
    <row r="271" spans="1:21">
      <c r="A271" s="23" t="s">
        <v>299</v>
      </c>
      <c r="B271" s="35" t="s">
        <v>300</v>
      </c>
      <c r="C271" s="36">
        <v>2019</v>
      </c>
      <c r="D271" s="113">
        <v>441485163</v>
      </c>
      <c r="E271" s="116">
        <f t="shared" si="47"/>
        <v>218665.26151560177</v>
      </c>
      <c r="F271" s="117">
        <v>388429635</v>
      </c>
      <c r="G271" s="117">
        <f t="shared" si="48"/>
        <v>192387.1396731055</v>
      </c>
      <c r="H271" s="7"/>
      <c r="I271" s="109">
        <v>7.5202</v>
      </c>
      <c r="J271" s="117">
        <v>2921069</v>
      </c>
      <c r="K271" s="120">
        <f t="shared" si="46"/>
        <v>1446.789995047053</v>
      </c>
      <c r="L271" s="122">
        <f t="shared" si="51"/>
        <v>3884296.35</v>
      </c>
      <c r="M271" s="116">
        <f t="shared" si="52"/>
        <v>963227.35000000009</v>
      </c>
      <c r="N271" s="123">
        <f t="shared" si="53"/>
        <v>477.081401684002</v>
      </c>
      <c r="O271" s="5"/>
      <c r="P271" s="5">
        <f t="shared" si="49"/>
        <v>1</v>
      </c>
      <c r="Q271" s="7">
        <f t="shared" si="50"/>
        <v>2019</v>
      </c>
    </row>
    <row r="272" spans="1:21">
      <c r="A272" s="23" t="s">
        <v>301</v>
      </c>
      <c r="B272" s="35" t="s">
        <v>300</v>
      </c>
      <c r="C272" s="36">
        <v>17426</v>
      </c>
      <c r="D272" s="113">
        <v>492799893</v>
      </c>
      <c r="E272" s="116">
        <f t="shared" si="47"/>
        <v>28279.576093194079</v>
      </c>
      <c r="F272" s="117">
        <v>279225613</v>
      </c>
      <c r="G272" s="117">
        <f t="shared" si="48"/>
        <v>16023.505853322622</v>
      </c>
      <c r="H272" s="7"/>
      <c r="I272" s="109">
        <v>6.5419</v>
      </c>
      <c r="J272" s="117">
        <v>1826666</v>
      </c>
      <c r="K272" s="120">
        <f t="shared" si="46"/>
        <v>104.8241707792953</v>
      </c>
      <c r="L272" s="122">
        <f t="shared" si="51"/>
        <v>2792256.13</v>
      </c>
      <c r="M272" s="116">
        <f t="shared" si="52"/>
        <v>965590.12999999989</v>
      </c>
      <c r="N272" s="123">
        <f t="shared" si="53"/>
        <v>55.410887753930901</v>
      </c>
      <c r="O272" s="5"/>
      <c r="P272" s="5">
        <f t="shared" si="49"/>
        <v>1</v>
      </c>
      <c r="Q272" s="7">
        <f t="shared" si="50"/>
        <v>17426</v>
      </c>
    </row>
    <row r="273" spans="1:17">
      <c r="A273" s="23" t="s">
        <v>302</v>
      </c>
      <c r="B273" s="35" t="s">
        <v>300</v>
      </c>
      <c r="C273" s="36">
        <v>84652</v>
      </c>
      <c r="D273" s="113">
        <v>20483997494</v>
      </c>
      <c r="E273" s="116">
        <f t="shared" si="47"/>
        <v>241978.89587960119</v>
      </c>
      <c r="F273" s="117">
        <v>16363274000</v>
      </c>
      <c r="G273" s="117">
        <f t="shared" si="48"/>
        <v>193300.50087416719</v>
      </c>
      <c r="H273" s="9"/>
      <c r="I273" s="109">
        <v>3.15</v>
      </c>
      <c r="J273" s="117">
        <v>51544313</v>
      </c>
      <c r="K273" s="120">
        <f t="shared" si="46"/>
        <v>608.89657657231965</v>
      </c>
      <c r="L273" s="122">
        <f t="shared" si="51"/>
        <v>163632740</v>
      </c>
      <c r="M273" s="116">
        <f t="shared" si="52"/>
        <v>112088427</v>
      </c>
      <c r="N273" s="123">
        <f t="shared" si="53"/>
        <v>1324.1084321693522</v>
      </c>
      <c r="O273" s="5"/>
      <c r="P273" s="5">
        <f t="shared" si="49"/>
        <v>1</v>
      </c>
      <c r="Q273" s="7">
        <f t="shared" si="50"/>
        <v>84652</v>
      </c>
    </row>
    <row r="274" spans="1:17">
      <c r="A274" s="23" t="s">
        <v>303</v>
      </c>
      <c r="B274" s="35" t="s">
        <v>300</v>
      </c>
      <c r="C274" s="36">
        <v>68409</v>
      </c>
      <c r="D274" s="113">
        <v>5180031428</v>
      </c>
      <c r="E274" s="116">
        <f t="shared" si="47"/>
        <v>75721.490271747869</v>
      </c>
      <c r="F274" s="117">
        <v>3752272309</v>
      </c>
      <c r="G274" s="117">
        <f t="shared" si="48"/>
        <v>54850.565115701153</v>
      </c>
      <c r="H274" s="9"/>
      <c r="I274" s="109">
        <v>7.1940999999999997</v>
      </c>
      <c r="J274" s="117">
        <v>26994222</v>
      </c>
      <c r="K274" s="120">
        <f t="shared" si="46"/>
        <v>394.60044730956452</v>
      </c>
      <c r="L274" s="122">
        <f t="shared" si="51"/>
        <v>37522723.090000004</v>
      </c>
      <c r="M274" s="116">
        <f t="shared" si="52"/>
        <v>10528501.090000004</v>
      </c>
      <c r="N274" s="123">
        <f t="shared" si="53"/>
        <v>153.90520384744701</v>
      </c>
      <c r="O274" s="5"/>
      <c r="P274" s="5">
        <f t="shared" si="49"/>
        <v>1</v>
      </c>
      <c r="Q274" s="7">
        <f t="shared" si="50"/>
        <v>68409</v>
      </c>
    </row>
    <row r="275" spans="1:17">
      <c r="A275" s="23" t="s">
        <v>304</v>
      </c>
      <c r="B275" s="35" t="s">
        <v>300</v>
      </c>
      <c r="C275" s="36">
        <v>601</v>
      </c>
      <c r="D275" s="113">
        <v>51507545</v>
      </c>
      <c r="E275" s="116">
        <f t="shared" si="47"/>
        <v>85703.069883527452</v>
      </c>
      <c r="F275" s="117">
        <v>37552579</v>
      </c>
      <c r="G275" s="117">
        <f t="shared" si="48"/>
        <v>62483.492512479199</v>
      </c>
      <c r="H275" s="9"/>
      <c r="I275" s="109">
        <v>10</v>
      </c>
      <c r="J275" s="117">
        <v>375526</v>
      </c>
      <c r="K275" s="120">
        <f t="shared" si="46"/>
        <v>624.83527454242926</v>
      </c>
      <c r="L275" s="122">
        <f t="shared" si="51"/>
        <v>375525.79</v>
      </c>
      <c r="M275" s="116">
        <f t="shared" si="52"/>
        <v>-0.21000000002095476</v>
      </c>
      <c r="N275" s="123">
        <f t="shared" si="53"/>
        <v>-3.4941763730608115E-4</v>
      </c>
      <c r="O275" s="5"/>
      <c r="P275" s="5">
        <f t="shared" si="49"/>
        <v>1</v>
      </c>
      <c r="Q275" s="7">
        <f t="shared" si="50"/>
        <v>601</v>
      </c>
    </row>
    <row r="276" spans="1:17">
      <c r="A276" s="23" t="s">
        <v>305</v>
      </c>
      <c r="B276" s="35" t="s">
        <v>300</v>
      </c>
      <c r="C276" s="36">
        <v>137</v>
      </c>
      <c r="D276" s="114" t="s">
        <v>564</v>
      </c>
      <c r="E276" s="116"/>
      <c r="F276" s="117"/>
      <c r="G276" s="117"/>
      <c r="H276" s="9" t="s">
        <v>528</v>
      </c>
      <c r="I276" s="110"/>
      <c r="J276" s="117"/>
      <c r="K276" s="120"/>
      <c r="L276" s="122">
        <f t="shared" si="51"/>
        <v>0</v>
      </c>
      <c r="M276" s="116">
        <f t="shared" si="52"/>
        <v>0</v>
      </c>
      <c r="N276" s="123">
        <f t="shared" si="53"/>
        <v>0</v>
      </c>
      <c r="O276" s="5"/>
      <c r="P276" s="5">
        <f t="shared" si="49"/>
        <v>0</v>
      </c>
      <c r="Q276" s="7">
        <f t="shared" si="50"/>
        <v>0</v>
      </c>
    </row>
    <row r="277" spans="1:17">
      <c r="A277" s="23" t="s">
        <v>306</v>
      </c>
      <c r="B277" s="35" t="s">
        <v>300</v>
      </c>
      <c r="C277" s="36">
        <v>60831</v>
      </c>
      <c r="D277" s="113">
        <v>7942508722</v>
      </c>
      <c r="E277" s="116">
        <f t="shared" si="47"/>
        <v>130566.79525242063</v>
      </c>
      <c r="F277" s="117">
        <v>6149055201</v>
      </c>
      <c r="G277" s="117">
        <f t="shared" si="48"/>
        <v>101084.23667209153</v>
      </c>
      <c r="H277" s="9"/>
      <c r="I277" s="109">
        <v>7.19</v>
      </c>
      <c r="J277" s="117">
        <v>44211707</v>
      </c>
      <c r="K277" s="120">
        <f>(J277/C277)</f>
        <v>726.79566339530834</v>
      </c>
      <c r="L277" s="122">
        <f t="shared" si="51"/>
        <v>61490552.009999998</v>
      </c>
      <c r="M277" s="116">
        <f t="shared" si="52"/>
        <v>17278845.009999998</v>
      </c>
      <c r="N277" s="123">
        <f t="shared" si="53"/>
        <v>284.04670332560698</v>
      </c>
      <c r="O277" s="5"/>
      <c r="P277" s="5">
        <f t="shared" si="49"/>
        <v>1</v>
      </c>
      <c r="Q277" s="7">
        <f t="shared" si="50"/>
        <v>60831</v>
      </c>
    </row>
    <row r="278" spans="1:17">
      <c r="A278" s="23" t="s">
        <v>307</v>
      </c>
      <c r="B278" s="35" t="s">
        <v>300</v>
      </c>
      <c r="C278" s="36">
        <v>219</v>
      </c>
      <c r="D278" s="114" t="s">
        <v>564</v>
      </c>
      <c r="E278" s="116"/>
      <c r="F278" s="117"/>
      <c r="G278" s="117"/>
      <c r="H278" s="9" t="s">
        <v>528</v>
      </c>
      <c r="I278" s="111"/>
      <c r="J278" s="117"/>
      <c r="K278" s="120"/>
      <c r="L278" s="122">
        <f t="shared" si="51"/>
        <v>0</v>
      </c>
      <c r="M278" s="116">
        <f t="shared" si="52"/>
        <v>0</v>
      </c>
      <c r="N278" s="123">
        <f t="shared" si="53"/>
        <v>0</v>
      </c>
      <c r="O278" s="5"/>
      <c r="P278" s="5">
        <f t="shared" si="49"/>
        <v>0</v>
      </c>
      <c r="Q278" s="7">
        <f t="shared" si="50"/>
        <v>0</v>
      </c>
    </row>
    <row r="279" spans="1:17">
      <c r="A279" s="23" t="s">
        <v>308</v>
      </c>
      <c r="B279" s="35" t="s">
        <v>300</v>
      </c>
      <c r="C279" s="36">
        <v>250</v>
      </c>
      <c r="D279" s="113">
        <v>141674607</v>
      </c>
      <c r="E279" s="116">
        <f t="shared" si="47"/>
        <v>566698.42799999996</v>
      </c>
      <c r="F279" s="117">
        <v>119930349</v>
      </c>
      <c r="G279" s="117">
        <f t="shared" si="48"/>
        <v>479721.39600000001</v>
      </c>
      <c r="H279" s="9"/>
      <c r="I279" s="109">
        <v>7.5015999999999998</v>
      </c>
      <c r="J279" s="117">
        <v>899670</v>
      </c>
      <c r="K279" s="120">
        <f>(J279/C279)</f>
        <v>3598.68</v>
      </c>
      <c r="L279" s="122">
        <f t="shared" si="51"/>
        <v>1199303.49</v>
      </c>
      <c r="M279" s="116">
        <f t="shared" si="52"/>
        <v>299633.49</v>
      </c>
      <c r="N279" s="123">
        <f t="shared" si="53"/>
        <v>1198.53396</v>
      </c>
      <c r="O279" s="5"/>
      <c r="P279" s="5">
        <f t="shared" si="49"/>
        <v>1</v>
      </c>
      <c r="Q279" s="7">
        <f t="shared" si="50"/>
        <v>250</v>
      </c>
    </row>
    <row r="280" spans="1:17">
      <c r="A280" s="23" t="s">
        <v>309</v>
      </c>
      <c r="B280" s="35" t="s">
        <v>300</v>
      </c>
      <c r="C280" s="36">
        <v>37873</v>
      </c>
      <c r="D280" s="113">
        <v>1753479955</v>
      </c>
      <c r="E280" s="116">
        <f t="shared" si="47"/>
        <v>46298.945290840442</v>
      </c>
      <c r="F280" s="117">
        <v>1192441995</v>
      </c>
      <c r="G280" s="117">
        <f t="shared" si="48"/>
        <v>31485.279618725741</v>
      </c>
      <c r="H280" s="7"/>
      <c r="I280" s="109">
        <v>5.65</v>
      </c>
      <c r="J280" s="117">
        <v>6737297</v>
      </c>
      <c r="K280" s="120">
        <f t="shared" ref="K280:K343" si="54">(J280/C280)</f>
        <v>177.89182267050404</v>
      </c>
      <c r="L280" s="122">
        <f t="shared" si="51"/>
        <v>11924419.950000001</v>
      </c>
      <c r="M280" s="116">
        <f t="shared" si="52"/>
        <v>5187122.9500000011</v>
      </c>
      <c r="N280" s="123">
        <f t="shared" si="53"/>
        <v>136.9609735167534</v>
      </c>
      <c r="O280" s="5"/>
      <c r="P280" s="5">
        <f t="shared" si="49"/>
        <v>1</v>
      </c>
      <c r="Q280" s="7">
        <f t="shared" si="50"/>
        <v>37873</v>
      </c>
    </row>
    <row r="281" spans="1:17">
      <c r="A281" s="23" t="s">
        <v>310</v>
      </c>
      <c r="B281" s="35" t="s">
        <v>300</v>
      </c>
      <c r="C281" s="36">
        <v>885</v>
      </c>
      <c r="D281" s="113">
        <v>767294520</v>
      </c>
      <c r="E281" s="116">
        <f t="shared" si="47"/>
        <v>866999.45762711868</v>
      </c>
      <c r="F281" s="117">
        <v>655987005</v>
      </c>
      <c r="G281" s="117">
        <f t="shared" si="48"/>
        <v>741228.25423728814</v>
      </c>
      <c r="H281" s="7"/>
      <c r="I281" s="109">
        <v>2.9264999999999999</v>
      </c>
      <c r="J281" s="117">
        <v>1919746</v>
      </c>
      <c r="K281" s="120">
        <f t="shared" si="54"/>
        <v>2169.2045197740113</v>
      </c>
      <c r="L281" s="122">
        <f t="shared" si="51"/>
        <v>6559870.0499999998</v>
      </c>
      <c r="M281" s="116">
        <f t="shared" si="52"/>
        <v>4640124.05</v>
      </c>
      <c r="N281" s="123">
        <f t="shared" si="53"/>
        <v>5243.0780225988701</v>
      </c>
      <c r="O281" s="5"/>
      <c r="P281" s="5">
        <f t="shared" si="49"/>
        <v>1</v>
      </c>
      <c r="Q281" s="7">
        <f t="shared" si="50"/>
        <v>885</v>
      </c>
    </row>
    <row r="282" spans="1:17">
      <c r="A282" s="23" t="s">
        <v>311</v>
      </c>
      <c r="B282" s="35" t="s">
        <v>300</v>
      </c>
      <c r="C282" s="36">
        <v>1894</v>
      </c>
      <c r="D282" s="113">
        <v>93846807</v>
      </c>
      <c r="E282" s="116">
        <f t="shared" si="47"/>
        <v>49549.528511087643</v>
      </c>
      <c r="F282" s="117">
        <v>61889841</v>
      </c>
      <c r="G282" s="117">
        <f t="shared" si="48"/>
        <v>32676.790390707498</v>
      </c>
      <c r="H282" s="7"/>
      <c r="I282" s="109">
        <v>4</v>
      </c>
      <c r="J282" s="117">
        <v>247559</v>
      </c>
      <c r="K282" s="120">
        <f t="shared" si="54"/>
        <v>130.70696937697994</v>
      </c>
      <c r="L282" s="122">
        <f t="shared" si="51"/>
        <v>618898.41</v>
      </c>
      <c r="M282" s="116">
        <f t="shared" si="52"/>
        <v>371339.41000000003</v>
      </c>
      <c r="N282" s="123">
        <f t="shared" si="53"/>
        <v>196.06093453009507</v>
      </c>
      <c r="O282" s="5"/>
      <c r="P282" s="5">
        <f t="shared" si="49"/>
        <v>1</v>
      </c>
      <c r="Q282" s="7">
        <f t="shared" si="50"/>
        <v>1894</v>
      </c>
    </row>
    <row r="283" spans="1:17">
      <c r="A283" s="23" t="s">
        <v>312</v>
      </c>
      <c r="B283" s="35" t="s">
        <v>300</v>
      </c>
      <c r="C283" s="36">
        <v>3542</v>
      </c>
      <c r="D283" s="113">
        <v>1939540909</v>
      </c>
      <c r="E283" s="116">
        <f t="shared" si="47"/>
        <v>547583.54291360814</v>
      </c>
      <c r="F283" s="117">
        <v>1732047474</v>
      </c>
      <c r="G283" s="117">
        <f t="shared" si="48"/>
        <v>489002.67476002261</v>
      </c>
      <c r="H283" s="7"/>
      <c r="I283" s="109">
        <v>3.407</v>
      </c>
      <c r="J283" s="117">
        <v>5901086</v>
      </c>
      <c r="K283" s="120">
        <f t="shared" si="54"/>
        <v>1666.0321852060983</v>
      </c>
      <c r="L283" s="122">
        <f t="shared" si="51"/>
        <v>17320474.740000002</v>
      </c>
      <c r="M283" s="116">
        <f t="shared" si="52"/>
        <v>11419388.740000002</v>
      </c>
      <c r="N283" s="123">
        <f t="shared" si="53"/>
        <v>3223.994562394128</v>
      </c>
      <c r="O283" s="5"/>
      <c r="P283" s="5">
        <f t="shared" si="49"/>
        <v>1</v>
      </c>
      <c r="Q283" s="7">
        <f t="shared" si="50"/>
        <v>3542</v>
      </c>
    </row>
    <row r="284" spans="1:17">
      <c r="A284" s="23" t="s">
        <v>313</v>
      </c>
      <c r="B284" s="35" t="s">
        <v>300</v>
      </c>
      <c r="C284" s="36">
        <v>2636</v>
      </c>
      <c r="D284" s="113">
        <v>318785577</v>
      </c>
      <c r="E284" s="116">
        <f t="shared" si="47"/>
        <v>120935.34787556904</v>
      </c>
      <c r="F284" s="117">
        <v>252780829</v>
      </c>
      <c r="G284" s="117">
        <f t="shared" si="48"/>
        <v>95895.610394537172</v>
      </c>
      <c r="H284" s="7"/>
      <c r="I284" s="109">
        <v>3.5</v>
      </c>
      <c r="J284" s="117">
        <v>884733</v>
      </c>
      <c r="K284" s="120">
        <f t="shared" si="54"/>
        <v>335.63467374810318</v>
      </c>
      <c r="L284" s="122">
        <f t="shared" si="51"/>
        <v>2527808.29</v>
      </c>
      <c r="M284" s="116">
        <f t="shared" si="52"/>
        <v>1643075.29</v>
      </c>
      <c r="N284" s="123">
        <f t="shared" si="53"/>
        <v>623.32143019726857</v>
      </c>
      <c r="O284" s="5"/>
      <c r="P284" s="5">
        <f t="shared" si="49"/>
        <v>1</v>
      </c>
      <c r="Q284" s="7">
        <f t="shared" si="50"/>
        <v>2636</v>
      </c>
    </row>
    <row r="285" spans="1:17">
      <c r="A285" s="23" t="s">
        <v>314</v>
      </c>
      <c r="B285" s="35" t="s">
        <v>300</v>
      </c>
      <c r="C285" s="36">
        <v>3181</v>
      </c>
      <c r="D285" s="113">
        <v>1102313820</v>
      </c>
      <c r="E285" s="116">
        <f t="shared" si="47"/>
        <v>346530.59415278217</v>
      </c>
      <c r="F285" s="117">
        <v>923299324</v>
      </c>
      <c r="G285" s="117">
        <f t="shared" si="48"/>
        <v>290254.42439484439</v>
      </c>
      <c r="H285" s="7"/>
      <c r="I285" s="109">
        <v>2.9</v>
      </c>
      <c r="J285" s="117">
        <v>2677568</v>
      </c>
      <c r="K285" s="120">
        <f t="shared" si="54"/>
        <v>841.73781829613324</v>
      </c>
      <c r="L285" s="122">
        <f t="shared" si="51"/>
        <v>9232993.2400000002</v>
      </c>
      <c r="M285" s="116">
        <f t="shared" si="52"/>
        <v>6555425.2400000002</v>
      </c>
      <c r="N285" s="123">
        <f t="shared" si="53"/>
        <v>2060.8064256523107</v>
      </c>
      <c r="O285" s="5"/>
      <c r="P285" s="5">
        <f t="shared" si="49"/>
        <v>1</v>
      </c>
      <c r="Q285" s="7">
        <f t="shared" si="50"/>
        <v>3181</v>
      </c>
    </row>
    <row r="286" spans="1:17">
      <c r="A286" s="23" t="s">
        <v>315</v>
      </c>
      <c r="B286" s="35" t="s">
        <v>300</v>
      </c>
      <c r="C286" s="36">
        <v>55542</v>
      </c>
      <c r="D286" s="113">
        <v>9007929608</v>
      </c>
      <c r="E286" s="116">
        <f t="shared" si="47"/>
        <v>162182.30542652408</v>
      </c>
      <c r="F286" s="117">
        <v>7135152279</v>
      </c>
      <c r="G286" s="117">
        <f t="shared" si="48"/>
        <v>128464.08625904721</v>
      </c>
      <c r="H286" s="7"/>
      <c r="I286" s="109">
        <v>2.5142000000000002</v>
      </c>
      <c r="J286" s="117">
        <v>17939200</v>
      </c>
      <c r="K286" s="120">
        <f t="shared" si="54"/>
        <v>322.98440819559971</v>
      </c>
      <c r="L286" s="122">
        <f t="shared" si="51"/>
        <v>71351522.790000007</v>
      </c>
      <c r="M286" s="116">
        <f t="shared" si="52"/>
        <v>53412322.790000007</v>
      </c>
      <c r="N286" s="123">
        <f t="shared" si="53"/>
        <v>961.65645439487241</v>
      </c>
      <c r="O286" s="5"/>
      <c r="P286" s="5">
        <f t="shared" si="49"/>
        <v>1</v>
      </c>
      <c r="Q286" s="7">
        <f t="shared" si="50"/>
        <v>55542</v>
      </c>
    </row>
    <row r="287" spans="1:17">
      <c r="A287" s="23" t="s">
        <v>316</v>
      </c>
      <c r="B287" s="35" t="s">
        <v>300</v>
      </c>
      <c r="C287" s="36">
        <v>400</v>
      </c>
      <c r="D287" s="113">
        <v>275464969</v>
      </c>
      <c r="E287" s="116">
        <f t="shared" ref="E287:E350" si="55">(D287/C287)</f>
        <v>688662.42249999999</v>
      </c>
      <c r="F287" s="117">
        <v>219723894</v>
      </c>
      <c r="G287" s="117">
        <f t="shared" ref="G287:G350" si="56">(F287/C287)</f>
        <v>549309.73499999999</v>
      </c>
      <c r="H287" s="7"/>
      <c r="I287" s="109">
        <v>4.5</v>
      </c>
      <c r="J287" s="117">
        <v>988758</v>
      </c>
      <c r="K287" s="120">
        <f t="shared" si="54"/>
        <v>2471.895</v>
      </c>
      <c r="L287" s="122">
        <f t="shared" si="51"/>
        <v>2197238.94</v>
      </c>
      <c r="M287" s="116">
        <f t="shared" si="52"/>
        <v>1208480.94</v>
      </c>
      <c r="N287" s="123">
        <f t="shared" si="53"/>
        <v>3021.20235</v>
      </c>
      <c r="O287" s="5"/>
      <c r="P287" s="5">
        <f t="shared" si="49"/>
        <v>1</v>
      </c>
      <c r="Q287" s="7">
        <f t="shared" si="50"/>
        <v>400</v>
      </c>
    </row>
    <row r="288" spans="1:17">
      <c r="A288" s="23" t="s">
        <v>317</v>
      </c>
      <c r="B288" s="35" t="s">
        <v>300</v>
      </c>
      <c r="C288" s="36">
        <v>3374</v>
      </c>
      <c r="D288" s="113">
        <v>266406979</v>
      </c>
      <c r="E288" s="116">
        <f t="shared" si="55"/>
        <v>78958.796384113812</v>
      </c>
      <c r="F288" s="117">
        <v>183471629</v>
      </c>
      <c r="G288" s="117">
        <f t="shared" si="56"/>
        <v>54378.07617071725</v>
      </c>
      <c r="H288" s="7"/>
      <c r="I288" s="109">
        <v>6.2797999999999998</v>
      </c>
      <c r="J288" s="117">
        <v>1152165</v>
      </c>
      <c r="K288" s="120">
        <f t="shared" si="54"/>
        <v>341.48340248962654</v>
      </c>
      <c r="L288" s="122">
        <f t="shared" si="51"/>
        <v>1834716.29</v>
      </c>
      <c r="M288" s="116">
        <f t="shared" si="52"/>
        <v>682551.29</v>
      </c>
      <c r="N288" s="123">
        <f t="shared" si="53"/>
        <v>202.29735921754596</v>
      </c>
      <c r="O288" s="5"/>
      <c r="P288" s="5">
        <f t="shared" si="49"/>
        <v>1</v>
      </c>
      <c r="Q288" s="7">
        <f t="shared" si="50"/>
        <v>3374</v>
      </c>
    </row>
    <row r="289" spans="1:17">
      <c r="A289" s="23" t="s">
        <v>318</v>
      </c>
      <c r="B289" s="35" t="s">
        <v>300</v>
      </c>
      <c r="C289" s="36">
        <v>8198</v>
      </c>
      <c r="D289" s="113">
        <v>570726546</v>
      </c>
      <c r="E289" s="116">
        <f t="shared" si="55"/>
        <v>69617.778238594779</v>
      </c>
      <c r="F289" s="117">
        <v>446581002</v>
      </c>
      <c r="G289" s="117">
        <f t="shared" si="56"/>
        <v>54474.384240058549</v>
      </c>
      <c r="H289" s="7"/>
      <c r="I289" s="109">
        <v>8.5083000000000002</v>
      </c>
      <c r="J289" s="117">
        <v>3799645</v>
      </c>
      <c r="K289" s="120">
        <f t="shared" si="54"/>
        <v>463.48438643571603</v>
      </c>
      <c r="L289" s="122">
        <f t="shared" si="51"/>
        <v>4465810.0200000005</v>
      </c>
      <c r="M289" s="116">
        <f t="shared" si="52"/>
        <v>666165.02000000048</v>
      </c>
      <c r="N289" s="123">
        <f t="shared" si="53"/>
        <v>81.259455964869545</v>
      </c>
      <c r="O289" s="5"/>
      <c r="P289" s="5">
        <f t="shared" si="49"/>
        <v>1</v>
      </c>
      <c r="Q289" s="7">
        <f t="shared" si="50"/>
        <v>8198</v>
      </c>
    </row>
    <row r="290" spans="1:17">
      <c r="A290" s="24" t="s">
        <v>628</v>
      </c>
      <c r="B290" s="35" t="s">
        <v>300</v>
      </c>
      <c r="C290" s="36">
        <v>34901</v>
      </c>
      <c r="D290" s="113">
        <v>1672269898</v>
      </c>
      <c r="E290" s="116">
        <f t="shared" si="55"/>
        <v>47914.670009455316</v>
      </c>
      <c r="F290" s="117">
        <v>1106255651</v>
      </c>
      <c r="G290" s="117">
        <f t="shared" si="56"/>
        <v>31696.961433769808</v>
      </c>
      <c r="H290" s="7"/>
      <c r="I290" s="109">
        <v>5.4945000000000004</v>
      </c>
      <c r="J290" s="117">
        <v>6078322</v>
      </c>
      <c r="K290" s="120">
        <f t="shared" si="54"/>
        <v>174.15896392653505</v>
      </c>
      <c r="L290" s="122">
        <f t="shared" si="51"/>
        <v>11062556.51</v>
      </c>
      <c r="M290" s="116">
        <f t="shared" si="52"/>
        <v>4984234.51</v>
      </c>
      <c r="N290" s="123">
        <f t="shared" si="53"/>
        <v>142.81065041116301</v>
      </c>
      <c r="O290" s="5"/>
      <c r="P290" s="5">
        <f t="shared" si="49"/>
        <v>1</v>
      </c>
      <c r="Q290" s="7">
        <f t="shared" si="50"/>
        <v>34901</v>
      </c>
    </row>
    <row r="291" spans="1:17">
      <c r="A291" s="23" t="s">
        <v>319</v>
      </c>
      <c r="B291" s="35" t="s">
        <v>300</v>
      </c>
      <c r="C291" s="36">
        <v>10466</v>
      </c>
      <c r="D291" s="113">
        <v>972291070</v>
      </c>
      <c r="E291" s="116">
        <f t="shared" si="55"/>
        <v>92899.968469329251</v>
      </c>
      <c r="F291" s="117">
        <v>693539420</v>
      </c>
      <c r="G291" s="117">
        <f t="shared" si="56"/>
        <v>66265.948786546913</v>
      </c>
      <c r="H291" s="7"/>
      <c r="I291" s="109">
        <v>3.2395</v>
      </c>
      <c r="J291" s="117">
        <v>2246721</v>
      </c>
      <c r="K291" s="120">
        <f t="shared" si="54"/>
        <v>214.66854576724631</v>
      </c>
      <c r="L291" s="122">
        <f t="shared" si="51"/>
        <v>6935394.2000000002</v>
      </c>
      <c r="M291" s="116">
        <f t="shared" si="52"/>
        <v>4688673.2</v>
      </c>
      <c r="N291" s="123">
        <f t="shared" si="53"/>
        <v>447.99094209822283</v>
      </c>
      <c r="O291" s="5"/>
      <c r="P291" s="5">
        <f t="shared" si="49"/>
        <v>1</v>
      </c>
      <c r="Q291" s="7">
        <f t="shared" si="50"/>
        <v>10466</v>
      </c>
    </row>
    <row r="292" spans="1:17">
      <c r="A292" s="23" t="s">
        <v>531</v>
      </c>
      <c r="B292" s="35" t="s">
        <v>300</v>
      </c>
      <c r="C292" s="36">
        <v>3162</v>
      </c>
      <c r="D292" s="113">
        <v>327194990</v>
      </c>
      <c r="E292" s="116">
        <f t="shared" si="55"/>
        <v>103477.22643896268</v>
      </c>
      <c r="F292" s="117">
        <v>182211218</v>
      </c>
      <c r="G292" s="117">
        <f t="shared" si="56"/>
        <v>57625.306135357372</v>
      </c>
      <c r="H292" s="9"/>
      <c r="I292" s="109">
        <v>1.2</v>
      </c>
      <c r="J292" s="117">
        <v>218653</v>
      </c>
      <c r="K292" s="120">
        <f t="shared" si="54"/>
        <v>69.150221378874136</v>
      </c>
      <c r="L292" s="122">
        <f t="shared" si="51"/>
        <v>1822112.18</v>
      </c>
      <c r="M292" s="116">
        <f t="shared" si="52"/>
        <v>1603459.18</v>
      </c>
      <c r="N292" s="123">
        <f t="shared" si="53"/>
        <v>507.10283997469952</v>
      </c>
      <c r="O292" s="5"/>
      <c r="P292" s="5">
        <f t="shared" si="49"/>
        <v>1</v>
      </c>
      <c r="Q292" s="7">
        <f t="shared" si="50"/>
        <v>3162</v>
      </c>
    </row>
    <row r="293" spans="1:17">
      <c r="A293" s="23" t="s">
        <v>320</v>
      </c>
      <c r="B293" s="35" t="s">
        <v>300</v>
      </c>
      <c r="C293" s="36">
        <v>406</v>
      </c>
      <c r="D293" s="113">
        <v>869390529</v>
      </c>
      <c r="E293" s="116">
        <f t="shared" si="55"/>
        <v>2141355.9827586208</v>
      </c>
      <c r="F293" s="117">
        <v>827434621</v>
      </c>
      <c r="G293" s="117">
        <f t="shared" si="56"/>
        <v>2038016.3078817734</v>
      </c>
      <c r="H293" s="7"/>
      <c r="I293" s="109">
        <v>2.7829999999999999</v>
      </c>
      <c r="J293" s="117">
        <v>2302751</v>
      </c>
      <c r="K293" s="120">
        <f t="shared" si="54"/>
        <v>5671.8004926108379</v>
      </c>
      <c r="L293" s="122">
        <f t="shared" si="51"/>
        <v>8274346.21</v>
      </c>
      <c r="M293" s="116">
        <f t="shared" si="52"/>
        <v>5971595.21</v>
      </c>
      <c r="N293" s="123">
        <f t="shared" si="53"/>
        <v>14708.362586206897</v>
      </c>
      <c r="O293" s="5"/>
      <c r="P293" s="5">
        <f t="shared" si="49"/>
        <v>1</v>
      </c>
      <c r="Q293" s="7">
        <f t="shared" si="50"/>
        <v>406</v>
      </c>
    </row>
    <row r="294" spans="1:17">
      <c r="A294" s="23" t="s">
        <v>321</v>
      </c>
      <c r="B294" s="35" t="s">
        <v>300</v>
      </c>
      <c r="C294" s="36">
        <v>1812</v>
      </c>
      <c r="D294" s="113">
        <v>159101559</v>
      </c>
      <c r="E294" s="116">
        <f t="shared" si="55"/>
        <v>87804.392384105959</v>
      </c>
      <c r="F294" s="117">
        <v>134517228</v>
      </c>
      <c r="G294" s="117">
        <f t="shared" si="56"/>
        <v>74236.880794701981</v>
      </c>
      <c r="H294" s="7"/>
      <c r="I294" s="109">
        <v>9.8000000000000007</v>
      </c>
      <c r="J294" s="117">
        <v>1318269</v>
      </c>
      <c r="K294" s="120">
        <f t="shared" si="54"/>
        <v>727.52152317880791</v>
      </c>
      <c r="L294" s="122">
        <f t="shared" si="51"/>
        <v>1345172.28</v>
      </c>
      <c r="M294" s="116">
        <f t="shared" si="52"/>
        <v>26903.280000000028</v>
      </c>
      <c r="N294" s="123">
        <f t="shared" si="53"/>
        <v>14.847284768211935</v>
      </c>
      <c r="O294" s="5"/>
      <c r="P294" s="5">
        <f t="shared" si="49"/>
        <v>1</v>
      </c>
      <c r="Q294" s="7">
        <f t="shared" si="50"/>
        <v>1812</v>
      </c>
    </row>
    <row r="295" spans="1:17">
      <c r="A295" s="23" t="s">
        <v>322</v>
      </c>
      <c r="B295" s="35" t="s">
        <v>300</v>
      </c>
      <c r="C295" s="36">
        <v>12033</v>
      </c>
      <c r="D295" s="113">
        <v>1946739593</v>
      </c>
      <c r="E295" s="116">
        <f t="shared" si="55"/>
        <v>161783.39508019612</v>
      </c>
      <c r="F295" s="117">
        <v>1488137908</v>
      </c>
      <c r="G295" s="117">
        <f t="shared" si="56"/>
        <v>123671.39599434887</v>
      </c>
      <c r="H295" s="7"/>
      <c r="I295" s="109">
        <v>6.9722999999999997</v>
      </c>
      <c r="J295" s="117">
        <v>10375744</v>
      </c>
      <c r="K295" s="120">
        <f t="shared" si="54"/>
        <v>862.27407961439371</v>
      </c>
      <c r="L295" s="122">
        <f t="shared" si="51"/>
        <v>14881379.08</v>
      </c>
      <c r="M295" s="116">
        <f t="shared" si="52"/>
        <v>4505635.08</v>
      </c>
      <c r="N295" s="123">
        <f t="shared" si="53"/>
        <v>374.43988032909499</v>
      </c>
      <c r="O295" s="5"/>
      <c r="P295" s="5">
        <f t="shared" si="49"/>
        <v>1</v>
      </c>
      <c r="Q295" s="7">
        <f t="shared" si="50"/>
        <v>12033</v>
      </c>
    </row>
    <row r="296" spans="1:17">
      <c r="A296" s="23" t="s">
        <v>323</v>
      </c>
      <c r="B296" s="35" t="s">
        <v>300</v>
      </c>
      <c r="C296" s="36">
        <v>1783</v>
      </c>
      <c r="D296" s="113">
        <v>802560757</v>
      </c>
      <c r="E296" s="116">
        <f t="shared" si="55"/>
        <v>450118.20358945598</v>
      </c>
      <c r="F296" s="117">
        <v>679547225</v>
      </c>
      <c r="G296" s="117">
        <f t="shared" si="56"/>
        <v>381125.75715086929</v>
      </c>
      <c r="H296" s="7"/>
      <c r="I296" s="109">
        <v>5.25</v>
      </c>
      <c r="J296" s="117">
        <v>3567623</v>
      </c>
      <c r="K296" s="120">
        <f t="shared" si="54"/>
        <v>2000.910263600673</v>
      </c>
      <c r="L296" s="122">
        <f t="shared" si="51"/>
        <v>6795472.25</v>
      </c>
      <c r="M296" s="116">
        <f t="shared" si="52"/>
        <v>3227849.25</v>
      </c>
      <c r="N296" s="123">
        <f t="shared" si="53"/>
        <v>1810.3473079080202</v>
      </c>
      <c r="O296" s="5"/>
      <c r="P296" s="5">
        <f t="shared" si="49"/>
        <v>1</v>
      </c>
      <c r="Q296" s="7">
        <f t="shared" si="50"/>
        <v>1783</v>
      </c>
    </row>
    <row r="297" spans="1:17">
      <c r="A297" s="23" t="s">
        <v>324</v>
      </c>
      <c r="B297" s="35" t="s">
        <v>300</v>
      </c>
      <c r="C297" s="36">
        <v>5920</v>
      </c>
      <c r="D297" s="113">
        <v>185891087</v>
      </c>
      <c r="E297" s="116">
        <f t="shared" si="55"/>
        <v>31400.521452702702</v>
      </c>
      <c r="F297" s="117">
        <v>78899300</v>
      </c>
      <c r="G297" s="117">
        <f t="shared" si="56"/>
        <v>13327.58445945946</v>
      </c>
      <c r="H297" s="9"/>
      <c r="I297" s="109">
        <v>6.5419</v>
      </c>
      <c r="J297" s="117">
        <v>516151</v>
      </c>
      <c r="K297" s="120">
        <f t="shared" si="54"/>
        <v>87.187668918918916</v>
      </c>
      <c r="L297" s="122">
        <f t="shared" si="51"/>
        <v>788993</v>
      </c>
      <c r="M297" s="116">
        <f t="shared" si="52"/>
        <v>272842</v>
      </c>
      <c r="N297" s="123">
        <f t="shared" si="53"/>
        <v>46.088175675675679</v>
      </c>
      <c r="O297" s="5"/>
      <c r="P297" s="5">
        <f t="shared" si="49"/>
        <v>1</v>
      </c>
      <c r="Q297" s="7">
        <f t="shared" si="50"/>
        <v>5920</v>
      </c>
    </row>
    <row r="298" spans="1:17">
      <c r="A298" s="23" t="s">
        <v>300</v>
      </c>
      <c r="B298" s="35" t="s">
        <v>300</v>
      </c>
      <c r="C298" s="36">
        <v>8350</v>
      </c>
      <c r="D298" s="113">
        <v>13865931940</v>
      </c>
      <c r="E298" s="116">
        <f t="shared" si="55"/>
        <v>1660590.651497006</v>
      </c>
      <c r="F298" s="117">
        <v>11623306786</v>
      </c>
      <c r="G298" s="117">
        <f t="shared" si="56"/>
        <v>1392012.788742515</v>
      </c>
      <c r="H298" s="7"/>
      <c r="I298" s="109">
        <v>3.2511999999999999</v>
      </c>
      <c r="J298" s="117">
        <v>37789695</v>
      </c>
      <c r="K298" s="120">
        <f t="shared" si="54"/>
        <v>4525.7119760479045</v>
      </c>
      <c r="L298" s="122">
        <f t="shared" si="51"/>
        <v>116233067.86</v>
      </c>
      <c r="M298" s="116">
        <f t="shared" si="52"/>
        <v>78443372.859999999</v>
      </c>
      <c r="N298" s="123">
        <f t="shared" si="53"/>
        <v>9394.4159113772457</v>
      </c>
      <c r="O298" s="5"/>
      <c r="P298" s="5">
        <f t="shared" si="49"/>
        <v>1</v>
      </c>
      <c r="Q298" s="7">
        <f t="shared" si="50"/>
        <v>8350</v>
      </c>
    </row>
    <row r="299" spans="1:17">
      <c r="A299" s="23" t="s">
        <v>325</v>
      </c>
      <c r="B299" s="35" t="s">
        <v>300</v>
      </c>
      <c r="C299" s="36">
        <v>48618</v>
      </c>
      <c r="D299" s="113">
        <v>9553462204</v>
      </c>
      <c r="E299" s="116">
        <f t="shared" si="55"/>
        <v>196500.51840881977</v>
      </c>
      <c r="F299" s="117">
        <v>7793008109</v>
      </c>
      <c r="G299" s="117">
        <f t="shared" si="56"/>
        <v>160290.59420379283</v>
      </c>
      <c r="H299" s="7"/>
      <c r="I299" s="109">
        <v>5.7404000000000002</v>
      </c>
      <c r="J299" s="117">
        <v>44734984</v>
      </c>
      <c r="K299" s="120">
        <f t="shared" si="54"/>
        <v>920.13213213213214</v>
      </c>
      <c r="L299" s="122">
        <f t="shared" si="51"/>
        <v>77930081.090000004</v>
      </c>
      <c r="M299" s="116">
        <f t="shared" si="52"/>
        <v>33195097.090000004</v>
      </c>
      <c r="N299" s="123">
        <f t="shared" si="53"/>
        <v>682.77380990579627</v>
      </c>
      <c r="O299" s="5"/>
      <c r="P299" s="5">
        <f t="shared" si="49"/>
        <v>1</v>
      </c>
      <c r="Q299" s="7">
        <f t="shared" si="50"/>
        <v>48618</v>
      </c>
    </row>
    <row r="300" spans="1:17">
      <c r="A300" s="23" t="s">
        <v>326</v>
      </c>
      <c r="B300" s="35" t="s">
        <v>300</v>
      </c>
      <c r="C300" s="36">
        <v>1141</v>
      </c>
      <c r="D300" s="113">
        <v>554947786</v>
      </c>
      <c r="E300" s="116">
        <f t="shared" si="55"/>
        <v>486369.66345311131</v>
      </c>
      <c r="F300" s="117">
        <v>507453154</v>
      </c>
      <c r="G300" s="117">
        <f t="shared" si="56"/>
        <v>444744.2191060473</v>
      </c>
      <c r="H300" s="7"/>
      <c r="I300" s="109">
        <v>6.2</v>
      </c>
      <c r="J300" s="117">
        <v>3146210</v>
      </c>
      <c r="K300" s="120">
        <f t="shared" si="54"/>
        <v>2757.4145486415423</v>
      </c>
      <c r="L300" s="122">
        <f t="shared" si="51"/>
        <v>5074531.54</v>
      </c>
      <c r="M300" s="116">
        <f t="shared" si="52"/>
        <v>1928321.54</v>
      </c>
      <c r="N300" s="123">
        <f t="shared" si="53"/>
        <v>1690.0276424189308</v>
      </c>
      <c r="O300" s="5"/>
      <c r="P300" s="5">
        <f t="shared" si="49"/>
        <v>1</v>
      </c>
      <c r="Q300" s="7">
        <f t="shared" si="50"/>
        <v>1141</v>
      </c>
    </row>
    <row r="301" spans="1:17">
      <c r="A301" s="23" t="s">
        <v>327</v>
      </c>
      <c r="B301" s="35" t="s">
        <v>300</v>
      </c>
      <c r="C301" s="36">
        <v>19082</v>
      </c>
      <c r="D301" s="113">
        <v>887379101</v>
      </c>
      <c r="E301" s="116">
        <f t="shared" si="55"/>
        <v>46503.464049889946</v>
      </c>
      <c r="F301" s="117">
        <v>592925084</v>
      </c>
      <c r="G301" s="117">
        <f t="shared" si="56"/>
        <v>31072.481081647627</v>
      </c>
      <c r="H301" s="9"/>
      <c r="I301" s="109">
        <v>3.5</v>
      </c>
      <c r="J301" s="117">
        <v>2075238</v>
      </c>
      <c r="K301" s="120">
        <f t="shared" si="54"/>
        <v>108.75369458128078</v>
      </c>
      <c r="L301" s="122">
        <f t="shared" si="51"/>
        <v>5929250.8399999999</v>
      </c>
      <c r="M301" s="116">
        <f t="shared" si="52"/>
        <v>3854012.84</v>
      </c>
      <c r="N301" s="123">
        <f t="shared" si="53"/>
        <v>201.97111623519547</v>
      </c>
      <c r="O301" s="5"/>
      <c r="P301" s="5">
        <f t="shared" si="49"/>
        <v>1</v>
      </c>
      <c r="Q301" s="7">
        <f t="shared" si="50"/>
        <v>19082</v>
      </c>
    </row>
    <row r="302" spans="1:17">
      <c r="A302" s="23" t="s">
        <v>328</v>
      </c>
      <c r="B302" s="35" t="s">
        <v>300</v>
      </c>
      <c r="C302" s="36">
        <v>32535</v>
      </c>
      <c r="D302" s="113">
        <v>3898299833</v>
      </c>
      <c r="E302" s="116">
        <f t="shared" si="55"/>
        <v>119818.6516981712</v>
      </c>
      <c r="F302" s="117">
        <v>3015088751</v>
      </c>
      <c r="G302" s="117">
        <f t="shared" si="56"/>
        <v>92672.160780697712</v>
      </c>
      <c r="H302" s="7"/>
      <c r="I302" s="109">
        <v>8.9979999999999993</v>
      </c>
      <c r="J302" s="117">
        <v>27129769</v>
      </c>
      <c r="K302" s="120">
        <f t="shared" si="54"/>
        <v>833.86411556785004</v>
      </c>
      <c r="L302" s="122">
        <f t="shared" si="51"/>
        <v>30150887.510000002</v>
      </c>
      <c r="M302" s="116">
        <f t="shared" si="52"/>
        <v>3021118.5100000016</v>
      </c>
      <c r="N302" s="123">
        <f t="shared" si="53"/>
        <v>92.85749223912714</v>
      </c>
      <c r="O302" s="5"/>
      <c r="P302" s="5">
        <f t="shared" si="49"/>
        <v>1</v>
      </c>
      <c r="Q302" s="7">
        <f t="shared" si="50"/>
        <v>32535</v>
      </c>
    </row>
    <row r="303" spans="1:17">
      <c r="A303" s="23" t="s">
        <v>329</v>
      </c>
      <c r="B303" s="35" t="s">
        <v>300</v>
      </c>
      <c r="C303" s="36">
        <v>34234</v>
      </c>
      <c r="D303" s="113">
        <v>2530431795</v>
      </c>
      <c r="E303" s="116">
        <f t="shared" si="55"/>
        <v>73915.750277501895</v>
      </c>
      <c r="F303" s="117">
        <v>1839840870</v>
      </c>
      <c r="G303" s="117">
        <f t="shared" si="56"/>
        <v>53743.087865864349</v>
      </c>
      <c r="H303" s="7"/>
      <c r="I303" s="109">
        <v>1.92</v>
      </c>
      <c r="J303" s="117">
        <v>3532494</v>
      </c>
      <c r="K303" s="120">
        <f t="shared" si="54"/>
        <v>103.18671496173395</v>
      </c>
      <c r="L303" s="122">
        <f t="shared" si="51"/>
        <v>18398408.699999999</v>
      </c>
      <c r="M303" s="116">
        <f t="shared" si="52"/>
        <v>14865914.699999999</v>
      </c>
      <c r="N303" s="123">
        <f t="shared" si="53"/>
        <v>434.24416369690948</v>
      </c>
      <c r="O303" s="5"/>
      <c r="P303" s="5">
        <f t="shared" si="49"/>
        <v>1</v>
      </c>
      <c r="Q303" s="7">
        <f t="shared" si="50"/>
        <v>34234</v>
      </c>
    </row>
    <row r="304" spans="1:17">
      <c r="A304" s="23" t="s">
        <v>330</v>
      </c>
      <c r="B304" s="35" t="s">
        <v>300</v>
      </c>
      <c r="C304" s="36">
        <v>4827</v>
      </c>
      <c r="D304" s="113">
        <v>128759417</v>
      </c>
      <c r="E304" s="116">
        <f t="shared" si="55"/>
        <v>26674.832608245288</v>
      </c>
      <c r="F304" s="117">
        <v>47767240</v>
      </c>
      <c r="G304" s="117">
        <f t="shared" si="56"/>
        <v>9895.8442096540293</v>
      </c>
      <c r="H304" s="7"/>
      <c r="I304" s="109">
        <v>6.3089000000000004</v>
      </c>
      <c r="J304" s="117">
        <v>301359</v>
      </c>
      <c r="K304" s="120">
        <f t="shared" si="54"/>
        <v>62.431945307644497</v>
      </c>
      <c r="L304" s="122">
        <f t="shared" si="51"/>
        <v>477672.4</v>
      </c>
      <c r="M304" s="116">
        <f t="shared" si="52"/>
        <v>176313.40000000002</v>
      </c>
      <c r="N304" s="123">
        <f t="shared" si="53"/>
        <v>36.526496788895798</v>
      </c>
      <c r="O304" s="5"/>
      <c r="P304" s="5">
        <f t="shared" si="49"/>
        <v>1</v>
      </c>
      <c r="Q304" s="7">
        <f t="shared" si="50"/>
        <v>4827</v>
      </c>
    </row>
    <row r="305" spans="1:21">
      <c r="A305" s="23" t="s">
        <v>331</v>
      </c>
      <c r="B305" s="35" t="s">
        <v>300</v>
      </c>
      <c r="C305" s="36">
        <v>1174</v>
      </c>
      <c r="D305" s="113">
        <v>313100533</v>
      </c>
      <c r="E305" s="116">
        <f t="shared" si="55"/>
        <v>266695.51362862013</v>
      </c>
      <c r="F305" s="117">
        <v>262590986</v>
      </c>
      <c r="G305" s="117">
        <f t="shared" si="56"/>
        <v>223672.04940374786</v>
      </c>
      <c r="H305" s="7"/>
      <c r="I305" s="109">
        <v>4.3174000000000001</v>
      </c>
      <c r="J305" s="117">
        <v>1133710</v>
      </c>
      <c r="K305" s="120">
        <f t="shared" si="54"/>
        <v>965.68143100511077</v>
      </c>
      <c r="L305" s="122">
        <f t="shared" si="51"/>
        <v>2625909.86</v>
      </c>
      <c r="M305" s="116">
        <f t="shared" si="52"/>
        <v>1492199.8599999999</v>
      </c>
      <c r="N305" s="123">
        <f t="shared" si="53"/>
        <v>1271.0390630323679</v>
      </c>
      <c r="O305" s="5"/>
      <c r="P305" s="5">
        <f t="shared" si="49"/>
        <v>1</v>
      </c>
      <c r="Q305" s="7">
        <f t="shared" si="50"/>
        <v>1174</v>
      </c>
    </row>
    <row r="306" spans="1:21">
      <c r="A306" s="23" t="s">
        <v>332</v>
      </c>
      <c r="B306" s="35" t="s">
        <v>300</v>
      </c>
      <c r="C306" s="36">
        <v>5646</v>
      </c>
      <c r="D306" s="113">
        <v>996873967</v>
      </c>
      <c r="E306" s="116">
        <f t="shared" si="55"/>
        <v>176562.8705278073</v>
      </c>
      <c r="F306" s="117">
        <v>765017585</v>
      </c>
      <c r="G306" s="117">
        <f t="shared" si="56"/>
        <v>135497.26974849452</v>
      </c>
      <c r="H306" s="7"/>
      <c r="I306" s="109">
        <v>5.7671000000000001</v>
      </c>
      <c r="J306" s="117">
        <v>4411933</v>
      </c>
      <c r="K306" s="120">
        <f t="shared" si="54"/>
        <v>781.42631951824296</v>
      </c>
      <c r="L306" s="122">
        <f t="shared" si="51"/>
        <v>7650175.8500000006</v>
      </c>
      <c r="M306" s="116">
        <f t="shared" si="52"/>
        <v>3238242.8500000006</v>
      </c>
      <c r="N306" s="123">
        <f t="shared" si="53"/>
        <v>573.54637796670215</v>
      </c>
      <c r="O306" s="5"/>
      <c r="P306" s="5">
        <f t="shared" si="49"/>
        <v>1</v>
      </c>
      <c r="Q306" s="7">
        <f t="shared" si="50"/>
        <v>5646</v>
      </c>
    </row>
    <row r="307" spans="1:21">
      <c r="A307" s="23" t="s">
        <v>333</v>
      </c>
      <c r="B307" s="35" t="s">
        <v>300</v>
      </c>
      <c r="C307" s="36">
        <v>56752</v>
      </c>
      <c r="D307" s="113">
        <v>7194973093</v>
      </c>
      <c r="E307" s="116">
        <f t="shared" si="55"/>
        <v>126779.19884761771</v>
      </c>
      <c r="F307" s="117">
        <v>5321076907</v>
      </c>
      <c r="G307" s="117">
        <f t="shared" si="56"/>
        <v>93760.165403862426</v>
      </c>
      <c r="H307" s="7"/>
      <c r="I307" s="109">
        <v>2.5</v>
      </c>
      <c r="J307" s="117">
        <v>13302692</v>
      </c>
      <c r="K307" s="120">
        <f t="shared" si="54"/>
        <v>234.40040879616578</v>
      </c>
      <c r="L307" s="122">
        <f t="shared" si="51"/>
        <v>53210769.07</v>
      </c>
      <c r="M307" s="116">
        <f t="shared" si="52"/>
        <v>39908077.07</v>
      </c>
      <c r="N307" s="123">
        <f t="shared" si="53"/>
        <v>703.20124524245841</v>
      </c>
      <c r="O307" s="5"/>
      <c r="P307" s="5">
        <f t="shared" si="49"/>
        <v>1</v>
      </c>
      <c r="Q307" s="7">
        <f t="shared" si="50"/>
        <v>56752</v>
      </c>
    </row>
    <row r="308" spans="1:21">
      <c r="A308" s="23" t="s">
        <v>334</v>
      </c>
      <c r="B308" s="35" t="s">
        <v>300</v>
      </c>
      <c r="C308" s="36">
        <v>100801</v>
      </c>
      <c r="D308" s="113">
        <v>11371425631</v>
      </c>
      <c r="E308" s="116">
        <f t="shared" si="55"/>
        <v>112810.64305909663</v>
      </c>
      <c r="F308" s="117">
        <v>8373665157</v>
      </c>
      <c r="G308" s="117">
        <f t="shared" si="56"/>
        <v>83071.250850686003</v>
      </c>
      <c r="H308" s="7"/>
      <c r="I308" s="109">
        <v>8.0739000000000001</v>
      </c>
      <c r="J308" s="117">
        <v>67608135</v>
      </c>
      <c r="K308" s="120">
        <f t="shared" si="54"/>
        <v>670.70897114115928</v>
      </c>
      <c r="L308" s="122">
        <f t="shared" si="51"/>
        <v>83736651.570000008</v>
      </c>
      <c r="M308" s="116">
        <f t="shared" si="52"/>
        <v>16128516.570000008</v>
      </c>
      <c r="N308" s="123">
        <f t="shared" si="53"/>
        <v>160.00353736570082</v>
      </c>
      <c r="O308" s="5"/>
      <c r="P308" s="5">
        <f t="shared" si="49"/>
        <v>1</v>
      </c>
      <c r="Q308" s="7">
        <f t="shared" si="50"/>
        <v>100801</v>
      </c>
      <c r="S308" s="124">
        <f>SUM(D271:D308)</f>
        <v>109060819325</v>
      </c>
      <c r="T308" s="124">
        <f>SUM(F271:F308)</f>
        <v>85225398158</v>
      </c>
      <c r="U308" s="124">
        <f>SUM(J271:J308)</f>
        <v>402811383</v>
      </c>
    </row>
    <row r="309" spans="1:21">
      <c r="A309" s="23" t="s">
        <v>335</v>
      </c>
      <c r="B309" s="35" t="s">
        <v>336</v>
      </c>
      <c r="C309" s="36">
        <v>6485</v>
      </c>
      <c r="D309" s="113">
        <v>573386558</v>
      </c>
      <c r="E309" s="116">
        <f t="shared" si="55"/>
        <v>88417.356669236702</v>
      </c>
      <c r="F309" s="117">
        <v>266699509</v>
      </c>
      <c r="G309" s="117">
        <f t="shared" si="56"/>
        <v>41125.598920585966</v>
      </c>
      <c r="H309" s="7"/>
      <c r="I309" s="109">
        <v>7.1</v>
      </c>
      <c r="J309" s="117">
        <v>1893567</v>
      </c>
      <c r="K309" s="120">
        <f t="shared" si="54"/>
        <v>291.9918272937548</v>
      </c>
      <c r="L309" s="122">
        <f t="shared" si="51"/>
        <v>2666995.09</v>
      </c>
      <c r="M309" s="116">
        <f t="shared" si="52"/>
        <v>773428.08999999985</v>
      </c>
      <c r="N309" s="123">
        <f t="shared" si="53"/>
        <v>119.26416191210484</v>
      </c>
      <c r="O309" s="5"/>
      <c r="P309" s="5">
        <f t="shared" si="49"/>
        <v>1</v>
      </c>
      <c r="Q309" s="7">
        <f t="shared" si="50"/>
        <v>6485</v>
      </c>
    </row>
    <row r="310" spans="1:21">
      <c r="A310" s="23" t="s">
        <v>337</v>
      </c>
      <c r="B310" s="35" t="s">
        <v>336</v>
      </c>
      <c r="C310" s="36">
        <v>14959</v>
      </c>
      <c r="D310" s="113">
        <v>857012339</v>
      </c>
      <c r="E310" s="116">
        <f t="shared" si="55"/>
        <v>57290.750651781535</v>
      </c>
      <c r="F310" s="117">
        <v>558400794</v>
      </c>
      <c r="G310" s="117">
        <f t="shared" si="56"/>
        <v>37328.751520823585</v>
      </c>
      <c r="H310" s="7"/>
      <c r="I310" s="109">
        <v>8.3877000000000006</v>
      </c>
      <c r="J310" s="117">
        <v>4683698</v>
      </c>
      <c r="K310" s="120">
        <f t="shared" si="54"/>
        <v>313.10234641353031</v>
      </c>
      <c r="L310" s="122">
        <f t="shared" si="51"/>
        <v>5584007.9400000004</v>
      </c>
      <c r="M310" s="116">
        <f t="shared" si="52"/>
        <v>900309.94000000041</v>
      </c>
      <c r="N310" s="123">
        <f t="shared" si="53"/>
        <v>60.185168794705554</v>
      </c>
      <c r="O310" s="5"/>
      <c r="P310" s="5">
        <f t="shared" si="49"/>
        <v>1</v>
      </c>
      <c r="Q310" s="7">
        <f t="shared" si="50"/>
        <v>14959</v>
      </c>
    </row>
    <row r="311" spans="1:21">
      <c r="A311" s="23" t="s">
        <v>338</v>
      </c>
      <c r="B311" s="35" t="s">
        <v>336</v>
      </c>
      <c r="C311" s="36">
        <v>2652</v>
      </c>
      <c r="D311" s="113">
        <v>322560127</v>
      </c>
      <c r="E311" s="116">
        <f t="shared" si="55"/>
        <v>121629.00716440422</v>
      </c>
      <c r="F311" s="117">
        <v>257444913</v>
      </c>
      <c r="G311" s="117">
        <f t="shared" si="56"/>
        <v>97075.759049773755</v>
      </c>
      <c r="H311" s="7"/>
      <c r="I311" s="109">
        <v>5</v>
      </c>
      <c r="J311" s="117">
        <v>1287225</v>
      </c>
      <c r="K311" s="120">
        <f t="shared" si="54"/>
        <v>485.37895927601812</v>
      </c>
      <c r="L311" s="122">
        <f t="shared" si="51"/>
        <v>2574449.13</v>
      </c>
      <c r="M311" s="116">
        <f t="shared" si="52"/>
        <v>1287224.1299999999</v>
      </c>
      <c r="N311" s="123">
        <f t="shared" si="53"/>
        <v>485.37863122171939</v>
      </c>
      <c r="O311" s="5"/>
      <c r="P311" s="5">
        <f t="shared" si="49"/>
        <v>1</v>
      </c>
      <c r="Q311" s="7">
        <f t="shared" si="50"/>
        <v>2652</v>
      </c>
    </row>
    <row r="312" spans="1:21">
      <c r="A312" s="23" t="s">
        <v>339</v>
      </c>
      <c r="B312" s="35" t="s">
        <v>336</v>
      </c>
      <c r="C312" s="36">
        <v>1138</v>
      </c>
      <c r="D312" s="113">
        <v>82979385</v>
      </c>
      <c r="E312" s="116">
        <f t="shared" si="55"/>
        <v>72916.858523725838</v>
      </c>
      <c r="F312" s="117">
        <v>46739269</v>
      </c>
      <c r="G312" s="117">
        <f t="shared" si="56"/>
        <v>41071.41388400703</v>
      </c>
      <c r="H312" s="7"/>
      <c r="I312" s="109">
        <v>2.7433999999999998</v>
      </c>
      <c r="J312" s="117">
        <v>128225</v>
      </c>
      <c r="K312" s="120">
        <f t="shared" si="54"/>
        <v>112.67574692442882</v>
      </c>
      <c r="L312" s="122">
        <f t="shared" si="51"/>
        <v>467392.69</v>
      </c>
      <c r="M312" s="116">
        <f t="shared" si="52"/>
        <v>339167.69</v>
      </c>
      <c r="N312" s="123">
        <f t="shared" si="53"/>
        <v>298.03839191564145</v>
      </c>
      <c r="O312" s="5"/>
      <c r="P312" s="5">
        <f t="shared" si="49"/>
        <v>1</v>
      </c>
      <c r="Q312" s="7">
        <f t="shared" si="50"/>
        <v>1138</v>
      </c>
    </row>
    <row r="313" spans="1:21">
      <c r="A313" s="24" t="s">
        <v>547</v>
      </c>
      <c r="B313" s="35" t="s">
        <v>336</v>
      </c>
      <c r="C313" s="36">
        <v>1378</v>
      </c>
      <c r="D313" s="113">
        <v>84123493</v>
      </c>
      <c r="E313" s="116">
        <f t="shared" si="55"/>
        <v>61047.52757619739</v>
      </c>
      <c r="F313" s="117">
        <v>35743013</v>
      </c>
      <c r="G313" s="117">
        <f t="shared" si="56"/>
        <v>25938.325834542815</v>
      </c>
      <c r="H313" s="7"/>
      <c r="I313" s="109">
        <v>1.3</v>
      </c>
      <c r="J313" s="117">
        <v>46466</v>
      </c>
      <c r="K313" s="120">
        <f t="shared" si="54"/>
        <v>33.719883889695211</v>
      </c>
      <c r="L313" s="122">
        <f t="shared" si="51"/>
        <v>357430.13</v>
      </c>
      <c r="M313" s="116">
        <f t="shared" si="52"/>
        <v>310964.13</v>
      </c>
      <c r="N313" s="123">
        <f t="shared" si="53"/>
        <v>225.66337445573296</v>
      </c>
      <c r="O313" s="5"/>
      <c r="P313" s="5">
        <f t="shared" si="49"/>
        <v>1</v>
      </c>
      <c r="Q313" s="7">
        <f t="shared" si="50"/>
        <v>1378</v>
      </c>
    </row>
    <row r="314" spans="1:21">
      <c r="A314" s="23" t="s">
        <v>340</v>
      </c>
      <c r="B314" s="35" t="s">
        <v>336</v>
      </c>
      <c r="C314" s="36">
        <v>13317</v>
      </c>
      <c r="D314" s="113">
        <v>963740059</v>
      </c>
      <c r="E314" s="116">
        <f t="shared" si="55"/>
        <v>72369.156641886308</v>
      </c>
      <c r="F314" s="117">
        <v>621046075</v>
      </c>
      <c r="G314" s="117">
        <f t="shared" si="56"/>
        <v>46635.584215664188</v>
      </c>
      <c r="H314" s="7"/>
      <c r="I314" s="109">
        <v>5.9999000000000002</v>
      </c>
      <c r="J314" s="117">
        <v>3726214</v>
      </c>
      <c r="K314" s="120">
        <f t="shared" si="54"/>
        <v>279.80881579935419</v>
      </c>
      <c r="L314" s="122">
        <f t="shared" si="51"/>
        <v>6210460.75</v>
      </c>
      <c r="M314" s="116">
        <f t="shared" si="52"/>
        <v>2484246.75</v>
      </c>
      <c r="N314" s="123">
        <f t="shared" si="53"/>
        <v>186.54702635728768</v>
      </c>
      <c r="O314" s="5"/>
      <c r="P314" s="5">
        <f t="shared" si="49"/>
        <v>1</v>
      </c>
      <c r="Q314" s="7">
        <f t="shared" si="50"/>
        <v>13317</v>
      </c>
      <c r="S314" s="124">
        <f>SUM(D309:D314)</f>
        <v>2883801961</v>
      </c>
      <c r="T314" s="124">
        <f>SUM(F309:F314)</f>
        <v>1786073573</v>
      </c>
      <c r="U314" s="124">
        <f>SUM(J309:J314)</f>
        <v>11765395</v>
      </c>
    </row>
    <row r="315" spans="1:21">
      <c r="A315" s="23" t="s">
        <v>341</v>
      </c>
      <c r="B315" s="35" t="s">
        <v>342</v>
      </c>
      <c r="C315" s="36">
        <v>3877</v>
      </c>
      <c r="D315" s="113">
        <v>733408184</v>
      </c>
      <c r="E315" s="116">
        <f t="shared" si="55"/>
        <v>189168.9925199897</v>
      </c>
      <c r="F315" s="117">
        <v>595307227</v>
      </c>
      <c r="G315" s="117">
        <f t="shared" si="56"/>
        <v>153548.4206860975</v>
      </c>
      <c r="H315" s="7"/>
      <c r="I315" s="109">
        <v>5.9432</v>
      </c>
      <c r="J315" s="117">
        <v>3538030</v>
      </c>
      <c r="K315" s="120">
        <f t="shared" si="54"/>
        <v>912.56899664689195</v>
      </c>
      <c r="L315" s="122">
        <f t="shared" si="51"/>
        <v>5953072.2700000005</v>
      </c>
      <c r="M315" s="116">
        <f t="shared" si="52"/>
        <v>2415042.2700000005</v>
      </c>
      <c r="N315" s="123">
        <f t="shared" si="53"/>
        <v>622.91521021408323</v>
      </c>
      <c r="O315" s="5"/>
      <c r="P315" s="5">
        <f t="shared" si="49"/>
        <v>1</v>
      </c>
      <c r="Q315" s="7">
        <f t="shared" si="50"/>
        <v>3877</v>
      </c>
    </row>
    <row r="316" spans="1:21">
      <c r="A316" s="23" t="s">
        <v>343</v>
      </c>
      <c r="B316" s="35" t="s">
        <v>342</v>
      </c>
      <c r="C316" s="36">
        <v>1563</v>
      </c>
      <c r="D316" s="113">
        <v>464266834</v>
      </c>
      <c r="E316" s="116">
        <f t="shared" si="55"/>
        <v>297035.72232885478</v>
      </c>
      <c r="F316" s="117">
        <v>383127947</v>
      </c>
      <c r="G316" s="117">
        <f t="shared" si="56"/>
        <v>245123.44657709534</v>
      </c>
      <c r="H316" s="7"/>
      <c r="I316" s="109">
        <v>1.98</v>
      </c>
      <c r="J316" s="117">
        <v>758593</v>
      </c>
      <c r="K316" s="120">
        <f t="shared" si="54"/>
        <v>485.34420985284709</v>
      </c>
      <c r="L316" s="122">
        <f t="shared" si="51"/>
        <v>3831279.47</v>
      </c>
      <c r="M316" s="116">
        <f t="shared" si="52"/>
        <v>3072686.47</v>
      </c>
      <c r="N316" s="123">
        <f t="shared" si="53"/>
        <v>1965.8902559181063</v>
      </c>
      <c r="O316" s="5"/>
      <c r="P316" s="5">
        <f t="shared" si="49"/>
        <v>1</v>
      </c>
      <c r="Q316" s="7">
        <f t="shared" si="50"/>
        <v>1563</v>
      </c>
    </row>
    <row r="317" spans="1:21">
      <c r="A317" s="23" t="s">
        <v>344</v>
      </c>
      <c r="B317" s="35" t="s">
        <v>342</v>
      </c>
      <c r="C317" s="36">
        <v>2048</v>
      </c>
      <c r="D317" s="113">
        <v>208227269</v>
      </c>
      <c r="E317" s="116">
        <f t="shared" si="55"/>
        <v>101673.47119140625</v>
      </c>
      <c r="F317" s="117">
        <v>160791818</v>
      </c>
      <c r="G317" s="117">
        <f t="shared" si="56"/>
        <v>78511.6298828125</v>
      </c>
      <c r="H317" s="7"/>
      <c r="I317" s="109">
        <v>5.35</v>
      </c>
      <c r="J317" s="117">
        <v>860236</v>
      </c>
      <c r="K317" s="120">
        <f t="shared" si="54"/>
        <v>420.037109375</v>
      </c>
      <c r="L317" s="122">
        <f t="shared" si="51"/>
        <v>1607918.18</v>
      </c>
      <c r="M317" s="116">
        <f t="shared" si="52"/>
        <v>747682.17999999993</v>
      </c>
      <c r="N317" s="123">
        <f t="shared" si="53"/>
        <v>365.07918945312497</v>
      </c>
      <c r="O317" s="5"/>
      <c r="P317" s="5">
        <f t="shared" si="49"/>
        <v>1</v>
      </c>
      <c r="Q317" s="7">
        <f t="shared" si="50"/>
        <v>2048</v>
      </c>
    </row>
    <row r="318" spans="1:21">
      <c r="A318" s="23" t="s">
        <v>345</v>
      </c>
      <c r="B318" s="35" t="s">
        <v>342</v>
      </c>
      <c r="C318" s="36">
        <v>109</v>
      </c>
      <c r="D318" s="113">
        <v>104483581</v>
      </c>
      <c r="E318" s="116">
        <f t="shared" si="55"/>
        <v>958564.96330275224</v>
      </c>
      <c r="F318" s="117">
        <v>90643350</v>
      </c>
      <c r="G318" s="117">
        <f t="shared" si="56"/>
        <v>831590.36697247706</v>
      </c>
      <c r="H318" s="7"/>
      <c r="I318" s="109">
        <v>0.66459999999999997</v>
      </c>
      <c r="J318" s="117">
        <v>60242</v>
      </c>
      <c r="K318" s="120">
        <f t="shared" si="54"/>
        <v>552.67889908256882</v>
      </c>
      <c r="L318" s="122">
        <f t="shared" si="51"/>
        <v>906433.5</v>
      </c>
      <c r="M318" s="116">
        <f t="shared" si="52"/>
        <v>846191.5</v>
      </c>
      <c r="N318" s="123">
        <f t="shared" si="53"/>
        <v>7763.2247706422022</v>
      </c>
      <c r="O318" s="5"/>
      <c r="P318" s="5">
        <f t="shared" si="49"/>
        <v>1</v>
      </c>
      <c r="Q318" s="7">
        <f t="shared" si="50"/>
        <v>109</v>
      </c>
    </row>
    <row r="319" spans="1:21">
      <c r="A319" s="23" t="s">
        <v>346</v>
      </c>
      <c r="B319" s="35" t="s">
        <v>342</v>
      </c>
      <c r="C319" s="36">
        <v>107805</v>
      </c>
      <c r="D319" s="113">
        <v>10562196004</v>
      </c>
      <c r="E319" s="116">
        <f t="shared" si="55"/>
        <v>97975.010472612586</v>
      </c>
      <c r="F319" s="117">
        <v>7596948746</v>
      </c>
      <c r="G319" s="117">
        <f t="shared" si="56"/>
        <v>70469.354352766575</v>
      </c>
      <c r="H319" s="7"/>
      <c r="I319" s="109">
        <v>5.1550000000000002</v>
      </c>
      <c r="J319" s="117">
        <v>39162271</v>
      </c>
      <c r="K319" s="120">
        <f t="shared" si="54"/>
        <v>363.26952367700943</v>
      </c>
      <c r="L319" s="122">
        <f t="shared" si="51"/>
        <v>75969487.460000008</v>
      </c>
      <c r="M319" s="116">
        <f t="shared" si="52"/>
        <v>36807216.460000008</v>
      </c>
      <c r="N319" s="123">
        <f t="shared" si="53"/>
        <v>341.42401985065635</v>
      </c>
      <c r="O319" s="5"/>
      <c r="P319" s="5">
        <f t="shared" si="49"/>
        <v>1</v>
      </c>
      <c r="Q319" s="7">
        <f t="shared" si="50"/>
        <v>107805</v>
      </c>
    </row>
    <row r="320" spans="1:21">
      <c r="A320" s="23" t="s">
        <v>347</v>
      </c>
      <c r="B320" s="35" t="s">
        <v>342</v>
      </c>
      <c r="C320" s="36">
        <v>35307</v>
      </c>
      <c r="D320" s="113">
        <v>2742388004</v>
      </c>
      <c r="E320" s="116">
        <f t="shared" si="55"/>
        <v>77672.642931996481</v>
      </c>
      <c r="F320" s="117">
        <v>1771816194</v>
      </c>
      <c r="G320" s="117">
        <f t="shared" si="56"/>
        <v>50183.141983176138</v>
      </c>
      <c r="H320" s="7"/>
      <c r="I320" s="109">
        <v>3.3816999999999999</v>
      </c>
      <c r="J320" s="117">
        <v>5991751</v>
      </c>
      <c r="K320" s="120">
        <f t="shared" si="54"/>
        <v>169.70433625060187</v>
      </c>
      <c r="L320" s="122">
        <f t="shared" si="51"/>
        <v>17718161.940000001</v>
      </c>
      <c r="M320" s="116">
        <f t="shared" si="52"/>
        <v>11726410.940000001</v>
      </c>
      <c r="N320" s="123">
        <f t="shared" si="53"/>
        <v>332.12708358115958</v>
      </c>
      <c r="O320" s="5"/>
      <c r="P320" s="5">
        <f t="shared" si="49"/>
        <v>1</v>
      </c>
      <c r="Q320" s="7">
        <f t="shared" si="50"/>
        <v>35307</v>
      </c>
    </row>
    <row r="321" spans="1:17">
      <c r="A321" s="23" t="s">
        <v>348</v>
      </c>
      <c r="B321" s="35" t="s">
        <v>342</v>
      </c>
      <c r="C321" s="36">
        <v>12022</v>
      </c>
      <c r="D321" s="113">
        <v>954751483</v>
      </c>
      <c r="E321" s="116">
        <f t="shared" si="55"/>
        <v>79417.025702878062</v>
      </c>
      <c r="F321" s="117">
        <v>657170333</v>
      </c>
      <c r="G321" s="117">
        <f t="shared" si="56"/>
        <v>54663.977125270336</v>
      </c>
      <c r="H321" s="7"/>
      <c r="I321" s="109">
        <v>4</v>
      </c>
      <c r="J321" s="117">
        <v>2628681</v>
      </c>
      <c r="K321" s="120">
        <f t="shared" si="54"/>
        <v>218.6558808850441</v>
      </c>
      <c r="L321" s="122">
        <f t="shared" si="51"/>
        <v>6571703.3300000001</v>
      </c>
      <c r="M321" s="116">
        <f t="shared" si="52"/>
        <v>3943022.33</v>
      </c>
      <c r="N321" s="123">
        <f t="shared" si="53"/>
        <v>327.98389036765928</v>
      </c>
      <c r="O321" s="5"/>
      <c r="P321" s="5">
        <f t="shared" si="49"/>
        <v>1</v>
      </c>
      <c r="Q321" s="7">
        <f t="shared" si="50"/>
        <v>12022</v>
      </c>
    </row>
    <row r="322" spans="1:17">
      <c r="A322" s="23" t="s">
        <v>349</v>
      </c>
      <c r="B322" s="35" t="s">
        <v>342</v>
      </c>
      <c r="C322" s="36">
        <v>4102</v>
      </c>
      <c r="D322" s="113">
        <v>887199977</v>
      </c>
      <c r="E322" s="116">
        <f t="shared" si="55"/>
        <v>216284.73354461239</v>
      </c>
      <c r="F322" s="117">
        <v>746106228</v>
      </c>
      <c r="G322" s="117">
        <f t="shared" si="56"/>
        <v>181888.40273037544</v>
      </c>
      <c r="H322" s="7"/>
      <c r="I322" s="109">
        <v>2</v>
      </c>
      <c r="J322" s="117">
        <v>1492212</v>
      </c>
      <c r="K322" s="120">
        <f t="shared" si="54"/>
        <v>363.77669429546563</v>
      </c>
      <c r="L322" s="122">
        <f t="shared" si="51"/>
        <v>7461062.2800000003</v>
      </c>
      <c r="M322" s="116">
        <f t="shared" si="52"/>
        <v>5968850.2800000003</v>
      </c>
      <c r="N322" s="123">
        <f t="shared" si="53"/>
        <v>1455.1073330082886</v>
      </c>
      <c r="O322" s="5"/>
      <c r="P322" s="5">
        <f t="shared" si="49"/>
        <v>1</v>
      </c>
      <c r="Q322" s="7">
        <f t="shared" si="50"/>
        <v>4102</v>
      </c>
    </row>
    <row r="323" spans="1:17">
      <c r="A323" s="23" t="s">
        <v>350</v>
      </c>
      <c r="B323" s="35" t="s">
        <v>342</v>
      </c>
      <c r="C323" s="36">
        <v>1421</v>
      </c>
      <c r="D323" s="113">
        <v>694124132</v>
      </c>
      <c r="E323" s="116">
        <f t="shared" si="55"/>
        <v>488475.81421534129</v>
      </c>
      <c r="F323" s="117">
        <v>626782078</v>
      </c>
      <c r="G323" s="117">
        <f t="shared" si="56"/>
        <v>441085.20619282196</v>
      </c>
      <c r="H323" s="7"/>
      <c r="I323" s="109">
        <v>1.85</v>
      </c>
      <c r="J323" s="117">
        <v>1159547</v>
      </c>
      <c r="K323" s="120">
        <f t="shared" si="54"/>
        <v>816.00774102744549</v>
      </c>
      <c r="L323" s="122">
        <f t="shared" si="51"/>
        <v>6267820.7800000003</v>
      </c>
      <c r="M323" s="116">
        <f t="shared" si="52"/>
        <v>5108273.78</v>
      </c>
      <c r="N323" s="123">
        <f t="shared" si="53"/>
        <v>3594.8443209007742</v>
      </c>
      <c r="O323" s="5"/>
      <c r="P323" s="5">
        <f t="shared" si="49"/>
        <v>1</v>
      </c>
      <c r="Q323" s="7">
        <f t="shared" si="50"/>
        <v>1421</v>
      </c>
    </row>
    <row r="324" spans="1:17">
      <c r="A324" s="23" t="s">
        <v>351</v>
      </c>
      <c r="B324" s="35" t="s">
        <v>342</v>
      </c>
      <c r="C324" s="36">
        <v>4989</v>
      </c>
      <c r="D324" s="113">
        <v>180273509</v>
      </c>
      <c r="E324" s="116">
        <f t="shared" si="55"/>
        <v>36134.19703347364</v>
      </c>
      <c r="F324" s="117">
        <v>113967987</v>
      </c>
      <c r="G324" s="117">
        <f t="shared" si="56"/>
        <v>22843.853878532773</v>
      </c>
      <c r="H324" s="7"/>
      <c r="I324" s="109">
        <v>4.8998999999999997</v>
      </c>
      <c r="J324" s="117">
        <v>558432</v>
      </c>
      <c r="K324" s="120">
        <f t="shared" si="54"/>
        <v>111.93265183403487</v>
      </c>
      <c r="L324" s="122">
        <f t="shared" si="51"/>
        <v>1139679.8700000001</v>
      </c>
      <c r="M324" s="116">
        <f t="shared" si="52"/>
        <v>581247.87000000011</v>
      </c>
      <c r="N324" s="123">
        <f t="shared" si="53"/>
        <v>116.50588695129287</v>
      </c>
      <c r="O324" s="5"/>
      <c r="P324" s="5">
        <f t="shared" si="49"/>
        <v>1</v>
      </c>
      <c r="Q324" s="7">
        <f t="shared" si="50"/>
        <v>4989</v>
      </c>
    </row>
    <row r="325" spans="1:17">
      <c r="A325" s="23" t="s">
        <v>352</v>
      </c>
      <c r="B325" s="35" t="s">
        <v>342</v>
      </c>
      <c r="C325" s="36">
        <v>77653</v>
      </c>
      <c r="D325" s="113">
        <v>4621805717</v>
      </c>
      <c r="E325" s="116">
        <f t="shared" si="55"/>
        <v>59518.70136375929</v>
      </c>
      <c r="F325" s="117">
        <v>3306805549</v>
      </c>
      <c r="G325" s="117">
        <f t="shared" si="56"/>
        <v>42584.388871003051</v>
      </c>
      <c r="H325" s="7"/>
      <c r="I325" s="109">
        <v>4.5594000000000001</v>
      </c>
      <c r="J325" s="117">
        <v>15077049</v>
      </c>
      <c r="K325" s="120">
        <f t="shared" si="54"/>
        <v>194.15925978391047</v>
      </c>
      <c r="L325" s="122">
        <f t="shared" si="51"/>
        <v>33068055.490000002</v>
      </c>
      <c r="M325" s="116">
        <f t="shared" si="52"/>
        <v>17991006.490000002</v>
      </c>
      <c r="N325" s="123">
        <f t="shared" si="53"/>
        <v>231.68462892612007</v>
      </c>
      <c r="O325" s="5"/>
      <c r="P325" s="5">
        <f t="shared" si="49"/>
        <v>1</v>
      </c>
      <c r="Q325" s="7">
        <f t="shared" si="50"/>
        <v>77653</v>
      </c>
    </row>
    <row r="326" spans="1:17">
      <c r="A326" s="23" t="s">
        <v>353</v>
      </c>
      <c r="B326" s="35" t="s">
        <v>342</v>
      </c>
      <c r="C326" s="36">
        <v>4295</v>
      </c>
      <c r="D326" s="113">
        <v>998848811</v>
      </c>
      <c r="E326" s="116">
        <f t="shared" si="55"/>
        <v>232560.84074505238</v>
      </c>
      <c r="F326" s="117">
        <v>827583411</v>
      </c>
      <c r="G326" s="117">
        <f t="shared" si="56"/>
        <v>192685.31105937136</v>
      </c>
      <c r="H326" s="7"/>
      <c r="I326" s="109">
        <v>1.7954000000000001</v>
      </c>
      <c r="J326" s="117">
        <v>1485843</v>
      </c>
      <c r="K326" s="120">
        <f t="shared" si="54"/>
        <v>345.94714784633294</v>
      </c>
      <c r="L326" s="122">
        <f t="shared" si="51"/>
        <v>8275834.1100000003</v>
      </c>
      <c r="M326" s="116">
        <f t="shared" si="52"/>
        <v>6789991.1100000003</v>
      </c>
      <c r="N326" s="123">
        <f t="shared" si="53"/>
        <v>1580.9059627473807</v>
      </c>
      <c r="O326" s="5"/>
      <c r="P326" s="5">
        <f t="shared" ref="P326:P389" si="57">IF(I326&gt;0,1,0)</f>
        <v>1</v>
      </c>
      <c r="Q326" s="7">
        <f t="shared" ref="Q326:Q389" si="58">IF(I326&gt;0,C326,0)</f>
        <v>4295</v>
      </c>
    </row>
    <row r="327" spans="1:17">
      <c r="A327" s="23" t="s">
        <v>354</v>
      </c>
      <c r="B327" s="35" t="s">
        <v>342</v>
      </c>
      <c r="C327" s="36">
        <v>1427</v>
      </c>
      <c r="D327" s="113">
        <v>401891992</v>
      </c>
      <c r="E327" s="116">
        <f t="shared" si="55"/>
        <v>281634.19201121235</v>
      </c>
      <c r="F327" s="117">
        <v>361232890</v>
      </c>
      <c r="G327" s="117">
        <f t="shared" si="56"/>
        <v>253141.47862648914</v>
      </c>
      <c r="H327" s="7"/>
      <c r="I327" s="109">
        <v>0.75109999999999999</v>
      </c>
      <c r="J327" s="117">
        <v>271322</v>
      </c>
      <c r="K327" s="120">
        <f t="shared" si="54"/>
        <v>190.13454800280309</v>
      </c>
      <c r="L327" s="122">
        <f t="shared" si="51"/>
        <v>3612328.9</v>
      </c>
      <c r="M327" s="116">
        <f t="shared" si="52"/>
        <v>3341006.9</v>
      </c>
      <c r="N327" s="123">
        <f t="shared" si="53"/>
        <v>2341.280238262088</v>
      </c>
      <c r="O327" s="5"/>
      <c r="P327" s="5">
        <f t="shared" si="57"/>
        <v>1</v>
      </c>
      <c r="Q327" s="7">
        <f t="shared" si="58"/>
        <v>1427</v>
      </c>
    </row>
    <row r="328" spans="1:17">
      <c r="A328" s="23" t="s">
        <v>355</v>
      </c>
      <c r="B328" s="35" t="s">
        <v>342</v>
      </c>
      <c r="C328" s="36">
        <v>13597</v>
      </c>
      <c r="D328" s="113">
        <v>1330383901</v>
      </c>
      <c r="E328" s="116">
        <f t="shared" si="55"/>
        <v>97843.928881370884</v>
      </c>
      <c r="F328" s="117">
        <v>1027619847</v>
      </c>
      <c r="G328" s="117">
        <f t="shared" si="56"/>
        <v>75576.95425461499</v>
      </c>
      <c r="H328" s="7"/>
      <c r="I328" s="109">
        <v>4.05</v>
      </c>
      <c r="J328" s="117">
        <v>4161860</v>
      </c>
      <c r="K328" s="120">
        <f t="shared" si="54"/>
        <v>306.0866367581084</v>
      </c>
      <c r="L328" s="122">
        <f t="shared" ref="L328:L391" si="59">(F328*0.01)</f>
        <v>10276198.470000001</v>
      </c>
      <c r="M328" s="116">
        <f t="shared" ref="M328:M391" si="60">(L328-J328)</f>
        <v>6114338.4700000007</v>
      </c>
      <c r="N328" s="123">
        <f t="shared" ref="N328:N391" si="61">(M328/C328)</f>
        <v>449.68290578804152</v>
      </c>
      <c r="O328" s="5"/>
      <c r="P328" s="5">
        <f t="shared" si="57"/>
        <v>1</v>
      </c>
      <c r="Q328" s="7">
        <f t="shared" si="58"/>
        <v>13597</v>
      </c>
    </row>
    <row r="329" spans="1:17">
      <c r="A329" s="23" t="s">
        <v>356</v>
      </c>
      <c r="B329" s="35" t="s">
        <v>342</v>
      </c>
      <c r="C329" s="36">
        <v>49286</v>
      </c>
      <c r="D329" s="113">
        <v>3524552000</v>
      </c>
      <c r="E329" s="116">
        <f t="shared" si="55"/>
        <v>71512.234711682831</v>
      </c>
      <c r="F329" s="117">
        <v>2547628801</v>
      </c>
      <c r="G329" s="117">
        <f t="shared" si="56"/>
        <v>51690.719494379744</v>
      </c>
      <c r="H329" s="7"/>
      <c r="I329" s="109">
        <v>5.4268999999999998</v>
      </c>
      <c r="J329" s="117">
        <v>13825727</v>
      </c>
      <c r="K329" s="120">
        <f t="shared" si="54"/>
        <v>280.52037089640061</v>
      </c>
      <c r="L329" s="122">
        <f t="shared" si="59"/>
        <v>25476288.010000002</v>
      </c>
      <c r="M329" s="116">
        <f t="shared" si="60"/>
        <v>11650561.010000002</v>
      </c>
      <c r="N329" s="123">
        <f t="shared" si="61"/>
        <v>236.38682404739686</v>
      </c>
      <c r="O329" s="5"/>
      <c r="P329" s="5">
        <f t="shared" si="57"/>
        <v>1</v>
      </c>
      <c r="Q329" s="7">
        <f t="shared" si="58"/>
        <v>49286</v>
      </c>
    </row>
    <row r="330" spans="1:17">
      <c r="A330" s="23" t="s">
        <v>357</v>
      </c>
      <c r="B330" s="35" t="s">
        <v>342</v>
      </c>
      <c r="C330" s="36">
        <v>1424</v>
      </c>
      <c r="D330" s="113">
        <v>359592717</v>
      </c>
      <c r="E330" s="116">
        <f t="shared" si="55"/>
        <v>252522.97542134832</v>
      </c>
      <c r="F330" s="117">
        <v>302352534</v>
      </c>
      <c r="G330" s="117">
        <f t="shared" si="56"/>
        <v>212326.2176966292</v>
      </c>
      <c r="H330" s="7"/>
      <c r="I330" s="109">
        <v>1.9410000000000001</v>
      </c>
      <c r="J330" s="117">
        <v>586866</v>
      </c>
      <c r="K330" s="120">
        <f t="shared" si="54"/>
        <v>412.125</v>
      </c>
      <c r="L330" s="122">
        <f t="shared" si="59"/>
        <v>3023525.34</v>
      </c>
      <c r="M330" s="116">
        <f t="shared" si="60"/>
        <v>2436659.34</v>
      </c>
      <c r="N330" s="123">
        <f t="shared" si="61"/>
        <v>1711.1371769662919</v>
      </c>
      <c r="O330" s="5"/>
      <c r="P330" s="5">
        <f t="shared" si="57"/>
        <v>1</v>
      </c>
      <c r="Q330" s="7">
        <f t="shared" si="58"/>
        <v>1424</v>
      </c>
    </row>
    <row r="331" spans="1:17">
      <c r="A331" s="23" t="s">
        <v>358</v>
      </c>
      <c r="B331" s="35" t="s">
        <v>342</v>
      </c>
      <c r="C331" s="36">
        <v>2128</v>
      </c>
      <c r="D331" s="113">
        <v>531405184</v>
      </c>
      <c r="E331" s="116">
        <f t="shared" si="55"/>
        <v>249720.48120300751</v>
      </c>
      <c r="F331" s="117">
        <v>455103180</v>
      </c>
      <c r="G331" s="117">
        <f t="shared" si="56"/>
        <v>213864.27631578947</v>
      </c>
      <c r="H331" s="7"/>
      <c r="I331" s="109">
        <v>2</v>
      </c>
      <c r="J331" s="117">
        <v>910206</v>
      </c>
      <c r="K331" s="120">
        <f t="shared" si="54"/>
        <v>427.72838345864659</v>
      </c>
      <c r="L331" s="122">
        <f t="shared" si="59"/>
        <v>4551031.8</v>
      </c>
      <c r="M331" s="116">
        <f t="shared" si="60"/>
        <v>3640825.8</v>
      </c>
      <c r="N331" s="123">
        <f t="shared" si="61"/>
        <v>1710.914379699248</v>
      </c>
      <c r="O331" s="5"/>
      <c r="P331" s="5">
        <f t="shared" si="57"/>
        <v>1</v>
      </c>
      <c r="Q331" s="7">
        <f t="shared" si="58"/>
        <v>2128</v>
      </c>
    </row>
    <row r="332" spans="1:17">
      <c r="A332" s="23" t="s">
        <v>359</v>
      </c>
      <c r="B332" s="35" t="s">
        <v>342</v>
      </c>
      <c r="C332" s="36">
        <v>16881</v>
      </c>
      <c r="D332" s="113">
        <v>1482814922</v>
      </c>
      <c r="E332" s="116">
        <f t="shared" si="55"/>
        <v>87839.282151531312</v>
      </c>
      <c r="F332" s="117">
        <v>958447198</v>
      </c>
      <c r="G332" s="117">
        <f t="shared" si="56"/>
        <v>56776.683727267344</v>
      </c>
      <c r="H332" s="7"/>
      <c r="I332" s="109">
        <v>3.3807999999999998</v>
      </c>
      <c r="J332" s="117">
        <v>3240318</v>
      </c>
      <c r="K332" s="120">
        <f t="shared" si="54"/>
        <v>191.95059534387772</v>
      </c>
      <c r="L332" s="122">
        <f t="shared" si="59"/>
        <v>9584471.9800000004</v>
      </c>
      <c r="M332" s="116">
        <f t="shared" si="60"/>
        <v>6344153.9800000004</v>
      </c>
      <c r="N332" s="123">
        <f t="shared" si="61"/>
        <v>375.81624192879571</v>
      </c>
      <c r="O332" s="5"/>
      <c r="P332" s="5">
        <f t="shared" si="57"/>
        <v>1</v>
      </c>
      <c r="Q332" s="7">
        <f t="shared" si="58"/>
        <v>16881</v>
      </c>
    </row>
    <row r="333" spans="1:17">
      <c r="A333" s="23" t="s">
        <v>360</v>
      </c>
      <c r="B333" s="35" t="s">
        <v>342</v>
      </c>
      <c r="C333" s="36">
        <v>17215</v>
      </c>
      <c r="D333" s="113">
        <v>1434393663</v>
      </c>
      <c r="E333" s="116">
        <f t="shared" si="55"/>
        <v>83322.315596863205</v>
      </c>
      <c r="F333" s="117">
        <v>988540437</v>
      </c>
      <c r="G333" s="117">
        <f t="shared" si="56"/>
        <v>57423.202846354921</v>
      </c>
      <c r="H333" s="7"/>
      <c r="I333" s="109">
        <v>2.4792999999999998</v>
      </c>
      <c r="J333" s="117">
        <v>2450888</v>
      </c>
      <c r="K333" s="120">
        <f t="shared" si="54"/>
        <v>142.36932907348242</v>
      </c>
      <c r="L333" s="122">
        <f t="shared" si="59"/>
        <v>9885404.370000001</v>
      </c>
      <c r="M333" s="116">
        <f t="shared" si="60"/>
        <v>7434516.370000001</v>
      </c>
      <c r="N333" s="123">
        <f t="shared" si="61"/>
        <v>431.86269939006684</v>
      </c>
      <c r="O333" s="5"/>
      <c r="P333" s="5">
        <f t="shared" si="57"/>
        <v>1</v>
      </c>
      <c r="Q333" s="7">
        <f t="shared" si="58"/>
        <v>17215</v>
      </c>
    </row>
    <row r="334" spans="1:17">
      <c r="A334" s="23" t="s">
        <v>361</v>
      </c>
      <c r="B334" s="35" t="s">
        <v>342</v>
      </c>
      <c r="C334" s="36">
        <v>4981</v>
      </c>
      <c r="D334" s="113">
        <v>532816686</v>
      </c>
      <c r="E334" s="116">
        <f t="shared" si="55"/>
        <v>106969.82252559726</v>
      </c>
      <c r="F334" s="117">
        <v>424179143</v>
      </c>
      <c r="G334" s="117">
        <f t="shared" si="56"/>
        <v>85159.434450913468</v>
      </c>
      <c r="H334" s="7"/>
      <c r="I334" s="109">
        <v>1.6984999999999999</v>
      </c>
      <c r="J334" s="117">
        <v>720468</v>
      </c>
      <c r="K334" s="120">
        <f t="shared" si="54"/>
        <v>144.64324432844811</v>
      </c>
      <c r="L334" s="122">
        <f t="shared" si="59"/>
        <v>4241791.43</v>
      </c>
      <c r="M334" s="116">
        <f t="shared" si="60"/>
        <v>3521323.4299999997</v>
      </c>
      <c r="N334" s="123">
        <f t="shared" si="61"/>
        <v>706.95110018068658</v>
      </c>
      <c r="O334" s="5"/>
      <c r="P334" s="5">
        <f t="shared" si="57"/>
        <v>1</v>
      </c>
      <c r="Q334" s="7">
        <f t="shared" si="58"/>
        <v>4981</v>
      </c>
    </row>
    <row r="335" spans="1:17">
      <c r="A335" s="24" t="s">
        <v>561</v>
      </c>
      <c r="B335" s="35" t="s">
        <v>342</v>
      </c>
      <c r="C335" s="36">
        <v>9334</v>
      </c>
      <c r="D335" s="113">
        <v>2407528267</v>
      </c>
      <c r="E335" s="116">
        <f t="shared" si="55"/>
        <v>257931.03353331905</v>
      </c>
      <c r="F335" s="117">
        <v>1980753429</v>
      </c>
      <c r="G335" s="117">
        <f t="shared" si="56"/>
        <v>212208.42393400471</v>
      </c>
      <c r="H335" s="7"/>
      <c r="I335" s="109">
        <v>2.8569</v>
      </c>
      <c r="J335" s="117">
        <v>5658814</v>
      </c>
      <c r="K335" s="120">
        <f t="shared" si="54"/>
        <v>606.25819584315411</v>
      </c>
      <c r="L335" s="122">
        <f t="shared" si="59"/>
        <v>19807534.289999999</v>
      </c>
      <c r="M335" s="116">
        <f t="shared" si="60"/>
        <v>14148720.289999999</v>
      </c>
      <c r="N335" s="123">
        <f t="shared" si="61"/>
        <v>1515.8260434968929</v>
      </c>
      <c r="O335" s="5"/>
      <c r="P335" s="5">
        <f t="shared" si="57"/>
        <v>1</v>
      </c>
      <c r="Q335" s="7">
        <f t="shared" si="58"/>
        <v>9334</v>
      </c>
    </row>
    <row r="336" spans="1:17">
      <c r="A336" s="24" t="s">
        <v>548</v>
      </c>
      <c r="B336" s="35" t="s">
        <v>342</v>
      </c>
      <c r="C336" s="36">
        <v>246293</v>
      </c>
      <c r="D336" s="113">
        <v>18604315168</v>
      </c>
      <c r="E336" s="116">
        <f t="shared" si="55"/>
        <v>75537.328174166541</v>
      </c>
      <c r="F336" s="117">
        <v>12220784811</v>
      </c>
      <c r="G336" s="117">
        <f t="shared" si="56"/>
        <v>49618.88811699886</v>
      </c>
      <c r="H336" s="7"/>
      <c r="I336" s="109">
        <v>5.9124999999999996</v>
      </c>
      <c r="J336" s="117">
        <v>72255390</v>
      </c>
      <c r="K336" s="120">
        <f t="shared" si="54"/>
        <v>293.3716751998636</v>
      </c>
      <c r="L336" s="122">
        <f t="shared" si="59"/>
        <v>122207848.11</v>
      </c>
      <c r="M336" s="116">
        <f t="shared" si="60"/>
        <v>49952458.109999999</v>
      </c>
      <c r="N336" s="123">
        <f t="shared" si="61"/>
        <v>202.817205970125</v>
      </c>
      <c r="O336" s="5"/>
      <c r="P336" s="5">
        <f t="shared" si="57"/>
        <v>1</v>
      </c>
      <c r="Q336" s="7">
        <f t="shared" si="58"/>
        <v>246293</v>
      </c>
    </row>
    <row r="337" spans="1:21">
      <c r="A337" s="23" t="s">
        <v>362</v>
      </c>
      <c r="B337" s="35" t="s">
        <v>342</v>
      </c>
      <c r="C337" s="36">
        <v>23465</v>
      </c>
      <c r="D337" s="113">
        <v>1969470910</v>
      </c>
      <c r="E337" s="116">
        <f t="shared" si="55"/>
        <v>83932.278286810149</v>
      </c>
      <c r="F337" s="117">
        <v>1328709893</v>
      </c>
      <c r="G337" s="117">
        <f t="shared" si="56"/>
        <v>56625.181887918174</v>
      </c>
      <c r="H337" s="7"/>
      <c r="I337" s="109">
        <v>5.45</v>
      </c>
      <c r="J337" s="117">
        <v>7241469</v>
      </c>
      <c r="K337" s="120">
        <f t="shared" si="54"/>
        <v>308.60724483272958</v>
      </c>
      <c r="L337" s="122">
        <f t="shared" si="59"/>
        <v>13287098.93</v>
      </c>
      <c r="M337" s="116">
        <f t="shared" si="60"/>
        <v>6045629.9299999997</v>
      </c>
      <c r="N337" s="123">
        <f t="shared" si="61"/>
        <v>257.64457404645214</v>
      </c>
      <c r="O337" s="5"/>
      <c r="P337" s="5">
        <f t="shared" si="57"/>
        <v>1</v>
      </c>
      <c r="Q337" s="7">
        <f t="shared" si="58"/>
        <v>23465</v>
      </c>
    </row>
    <row r="338" spans="1:21">
      <c r="A338" s="23" t="s">
        <v>363</v>
      </c>
      <c r="B338" s="35" t="s">
        <v>342</v>
      </c>
      <c r="C338" s="36">
        <v>6715</v>
      </c>
      <c r="D338" s="113">
        <v>1565544347</v>
      </c>
      <c r="E338" s="116">
        <f t="shared" si="55"/>
        <v>233141.37706626955</v>
      </c>
      <c r="F338" s="117">
        <v>1272175299</v>
      </c>
      <c r="G338" s="117">
        <f t="shared" si="56"/>
        <v>189452.76232315711</v>
      </c>
      <c r="H338" s="7"/>
      <c r="I338" s="109">
        <v>3.1368</v>
      </c>
      <c r="J338" s="117">
        <v>3990559</v>
      </c>
      <c r="K338" s="120">
        <f t="shared" si="54"/>
        <v>594.2753536857781</v>
      </c>
      <c r="L338" s="122">
        <f t="shared" si="59"/>
        <v>12721752.99</v>
      </c>
      <c r="M338" s="116">
        <f t="shared" si="60"/>
        <v>8731193.9900000002</v>
      </c>
      <c r="N338" s="123">
        <f t="shared" si="61"/>
        <v>1300.2522695457931</v>
      </c>
      <c r="O338" s="5"/>
      <c r="P338" s="5">
        <f t="shared" si="57"/>
        <v>1</v>
      </c>
      <c r="Q338" s="7">
        <f t="shared" si="58"/>
        <v>6715</v>
      </c>
      <c r="S338" s="124">
        <f>SUM(D315:D338)</f>
        <v>57296683262</v>
      </c>
      <c r="T338" s="124">
        <f>SUM(F315:F338)</f>
        <v>40744578330</v>
      </c>
      <c r="U338" s="124">
        <f>SUM(J315:J338)</f>
        <v>188086774</v>
      </c>
    </row>
    <row r="339" spans="1:21">
      <c r="A339" s="23" t="s">
        <v>364</v>
      </c>
      <c r="B339" s="35" t="s">
        <v>365</v>
      </c>
      <c r="C339" s="36">
        <v>13593</v>
      </c>
      <c r="D339" s="113">
        <v>1176855604</v>
      </c>
      <c r="E339" s="116">
        <f t="shared" si="55"/>
        <v>86578.062532185679</v>
      </c>
      <c r="F339" s="117">
        <v>894910696</v>
      </c>
      <c r="G339" s="117">
        <f t="shared" si="56"/>
        <v>65836.143309056133</v>
      </c>
      <c r="H339" s="7"/>
      <c r="I339" s="109">
        <v>3.8393000000000002</v>
      </c>
      <c r="J339" s="117">
        <v>3435831</v>
      </c>
      <c r="K339" s="120">
        <f t="shared" si="54"/>
        <v>252.76473184727433</v>
      </c>
      <c r="L339" s="122">
        <f t="shared" si="59"/>
        <v>8949106.9600000009</v>
      </c>
      <c r="M339" s="116">
        <f t="shared" si="60"/>
        <v>5513275.9600000009</v>
      </c>
      <c r="N339" s="123">
        <f t="shared" si="61"/>
        <v>405.59670124328704</v>
      </c>
      <c r="O339" s="5"/>
      <c r="P339" s="5">
        <f t="shared" si="57"/>
        <v>1</v>
      </c>
      <c r="Q339" s="7">
        <f t="shared" si="58"/>
        <v>13593</v>
      </c>
    </row>
    <row r="340" spans="1:21">
      <c r="A340" s="23" t="s">
        <v>366</v>
      </c>
      <c r="B340" s="35" t="s">
        <v>365</v>
      </c>
      <c r="C340" s="36">
        <v>17323</v>
      </c>
      <c r="D340" s="113">
        <v>955740238</v>
      </c>
      <c r="E340" s="116">
        <f t="shared" si="55"/>
        <v>55171.750736015703</v>
      </c>
      <c r="F340" s="117">
        <v>542732258</v>
      </c>
      <c r="G340" s="117">
        <f t="shared" si="56"/>
        <v>31330.154014893495</v>
      </c>
      <c r="H340" s="7"/>
      <c r="I340" s="109">
        <v>3.9962</v>
      </c>
      <c r="J340" s="117">
        <v>2168867</v>
      </c>
      <c r="K340" s="120">
        <f t="shared" si="54"/>
        <v>125.20158171217457</v>
      </c>
      <c r="L340" s="122">
        <f t="shared" si="59"/>
        <v>5427322.5800000001</v>
      </c>
      <c r="M340" s="116">
        <f t="shared" si="60"/>
        <v>3258455.58</v>
      </c>
      <c r="N340" s="123">
        <f t="shared" si="61"/>
        <v>188.09995843676037</v>
      </c>
      <c r="O340" s="5"/>
      <c r="P340" s="5">
        <f t="shared" si="57"/>
        <v>1</v>
      </c>
      <c r="Q340" s="7">
        <f t="shared" si="58"/>
        <v>17323</v>
      </c>
    </row>
    <row r="341" spans="1:21">
      <c r="A341" s="23" t="s">
        <v>367</v>
      </c>
      <c r="B341" s="35" t="s">
        <v>365</v>
      </c>
      <c r="C341" s="36">
        <v>2961</v>
      </c>
      <c r="D341" s="113">
        <v>151573861</v>
      </c>
      <c r="E341" s="116">
        <f t="shared" si="55"/>
        <v>51190.091523134077</v>
      </c>
      <c r="F341" s="117">
        <v>96420897</v>
      </c>
      <c r="G341" s="117">
        <f t="shared" si="56"/>
        <v>32563.626139817628</v>
      </c>
      <c r="H341" s="7"/>
      <c r="I341" s="109">
        <v>6.99</v>
      </c>
      <c r="J341" s="117">
        <v>673982</v>
      </c>
      <c r="K341" s="120">
        <f t="shared" si="54"/>
        <v>227.61972306653158</v>
      </c>
      <c r="L341" s="122">
        <f t="shared" si="59"/>
        <v>964208.97</v>
      </c>
      <c r="M341" s="116">
        <f t="shared" si="60"/>
        <v>290226.96999999997</v>
      </c>
      <c r="N341" s="123">
        <f t="shared" si="61"/>
        <v>98.016538331644711</v>
      </c>
      <c r="O341" s="5"/>
      <c r="P341" s="5">
        <f t="shared" si="57"/>
        <v>1</v>
      </c>
      <c r="Q341" s="7">
        <f t="shared" si="58"/>
        <v>2961</v>
      </c>
    </row>
    <row r="342" spans="1:21">
      <c r="A342" s="23" t="s">
        <v>368</v>
      </c>
      <c r="B342" s="35" t="s">
        <v>365</v>
      </c>
      <c r="C342" s="36">
        <v>3749</v>
      </c>
      <c r="D342" s="113">
        <v>203215453</v>
      </c>
      <c r="E342" s="116">
        <f t="shared" si="55"/>
        <v>54205.242197919448</v>
      </c>
      <c r="F342" s="117">
        <v>121554056</v>
      </c>
      <c r="G342" s="117">
        <f t="shared" si="56"/>
        <v>32423.061082955453</v>
      </c>
      <c r="H342" s="9"/>
      <c r="I342" s="109">
        <v>7.6494999999999997</v>
      </c>
      <c r="J342" s="117">
        <v>929828</v>
      </c>
      <c r="K342" s="120">
        <f t="shared" si="54"/>
        <v>248.02027207255267</v>
      </c>
      <c r="L342" s="122">
        <f t="shared" si="59"/>
        <v>1215540.56</v>
      </c>
      <c r="M342" s="116">
        <f t="shared" si="60"/>
        <v>285712.56000000006</v>
      </c>
      <c r="N342" s="123">
        <f t="shared" si="61"/>
        <v>76.210338757001878</v>
      </c>
      <c r="O342" s="5"/>
      <c r="P342" s="5">
        <f t="shared" si="57"/>
        <v>1</v>
      </c>
      <c r="Q342" s="7">
        <f t="shared" si="58"/>
        <v>3749</v>
      </c>
    </row>
    <row r="343" spans="1:21">
      <c r="A343" s="23" t="s">
        <v>369</v>
      </c>
      <c r="B343" s="35" t="s">
        <v>365</v>
      </c>
      <c r="C343" s="36">
        <v>2286</v>
      </c>
      <c r="D343" s="113">
        <v>114010071</v>
      </c>
      <c r="E343" s="116">
        <f t="shared" si="55"/>
        <v>49873.171916010499</v>
      </c>
      <c r="F343" s="117">
        <v>57421198</v>
      </c>
      <c r="G343" s="117">
        <f t="shared" si="56"/>
        <v>25118.634295713036</v>
      </c>
      <c r="H343" s="7"/>
      <c r="I343" s="109">
        <v>7.6516000000000002</v>
      </c>
      <c r="J343" s="117">
        <v>439364</v>
      </c>
      <c r="K343" s="120">
        <f t="shared" si="54"/>
        <v>192.19772528433947</v>
      </c>
      <c r="L343" s="122">
        <f t="shared" si="59"/>
        <v>574211.98</v>
      </c>
      <c r="M343" s="116">
        <f t="shared" si="60"/>
        <v>134847.97999999998</v>
      </c>
      <c r="N343" s="123">
        <f t="shared" si="61"/>
        <v>58.988617672790895</v>
      </c>
      <c r="O343" s="5"/>
      <c r="P343" s="5">
        <f t="shared" si="57"/>
        <v>1</v>
      </c>
      <c r="Q343" s="7">
        <f t="shared" si="58"/>
        <v>2286</v>
      </c>
    </row>
    <row r="344" spans="1:21">
      <c r="A344" s="23" t="s">
        <v>370</v>
      </c>
      <c r="B344" s="35" t="s">
        <v>365</v>
      </c>
      <c r="C344" s="36">
        <v>5607</v>
      </c>
      <c r="D344" s="113">
        <v>172034564</v>
      </c>
      <c r="E344" s="116">
        <f t="shared" si="55"/>
        <v>30682.105225610845</v>
      </c>
      <c r="F344" s="117">
        <v>93658771</v>
      </c>
      <c r="G344" s="117">
        <f t="shared" si="56"/>
        <v>16703.900659889423</v>
      </c>
      <c r="H344" s="7"/>
      <c r="I344" s="109">
        <v>3.3509000000000002</v>
      </c>
      <c r="J344" s="117">
        <v>313841</v>
      </c>
      <c r="K344" s="120">
        <f t="shared" ref="K344:K381" si="62">(J344/C344)</f>
        <v>55.97306937756376</v>
      </c>
      <c r="L344" s="122">
        <f t="shared" si="59"/>
        <v>936587.71</v>
      </c>
      <c r="M344" s="116">
        <f t="shared" si="60"/>
        <v>622746.71</v>
      </c>
      <c r="N344" s="123">
        <f t="shared" si="61"/>
        <v>111.06593722133047</v>
      </c>
      <c r="O344" s="5"/>
      <c r="P344" s="5">
        <f t="shared" si="57"/>
        <v>1</v>
      </c>
      <c r="Q344" s="7">
        <f t="shared" si="58"/>
        <v>5607</v>
      </c>
    </row>
    <row r="345" spans="1:21">
      <c r="A345" s="23" t="s">
        <v>371</v>
      </c>
      <c r="B345" s="35" t="s">
        <v>365</v>
      </c>
      <c r="C345" s="36">
        <v>3008</v>
      </c>
      <c r="D345" s="113">
        <v>199981147</v>
      </c>
      <c r="E345" s="116">
        <f t="shared" si="55"/>
        <v>66483.094082446813</v>
      </c>
      <c r="F345" s="117">
        <v>118784350</v>
      </c>
      <c r="G345" s="117">
        <f t="shared" si="56"/>
        <v>39489.478058510642</v>
      </c>
      <c r="H345" s="7"/>
      <c r="I345" s="110">
        <v>7.8209</v>
      </c>
      <c r="J345" s="117">
        <v>929001</v>
      </c>
      <c r="K345" s="120">
        <f t="shared" si="62"/>
        <v>308.8434175531915</v>
      </c>
      <c r="L345" s="122">
        <f t="shared" si="59"/>
        <v>1187843.5</v>
      </c>
      <c r="M345" s="116">
        <f t="shared" si="60"/>
        <v>258842.5</v>
      </c>
      <c r="N345" s="123">
        <f t="shared" si="61"/>
        <v>86.051363031914889</v>
      </c>
      <c r="O345" s="5"/>
      <c r="P345" s="5">
        <f t="shared" si="57"/>
        <v>1</v>
      </c>
      <c r="Q345" s="7">
        <f t="shared" si="58"/>
        <v>3008</v>
      </c>
    </row>
    <row r="346" spans="1:21">
      <c r="A346" s="23" t="s">
        <v>372</v>
      </c>
      <c r="B346" s="35" t="s">
        <v>365</v>
      </c>
      <c r="C346" s="36">
        <v>20686</v>
      </c>
      <c r="D346" s="113">
        <v>1078718951</v>
      </c>
      <c r="E346" s="116">
        <f t="shared" si="55"/>
        <v>52147.295320506622</v>
      </c>
      <c r="F346" s="117">
        <v>753005053</v>
      </c>
      <c r="G346" s="117">
        <f t="shared" si="56"/>
        <v>36401.675190950402</v>
      </c>
      <c r="H346" s="7"/>
      <c r="I346" s="109">
        <v>6.99</v>
      </c>
      <c r="J346" s="117">
        <v>5263505</v>
      </c>
      <c r="K346" s="120">
        <f t="shared" si="62"/>
        <v>254.44769409262304</v>
      </c>
      <c r="L346" s="122">
        <f t="shared" si="59"/>
        <v>7530050.5300000003</v>
      </c>
      <c r="M346" s="116">
        <f t="shared" si="60"/>
        <v>2266545.5300000003</v>
      </c>
      <c r="N346" s="123">
        <f t="shared" si="61"/>
        <v>109.569057816881</v>
      </c>
      <c r="O346" s="5"/>
      <c r="P346" s="5">
        <f t="shared" si="57"/>
        <v>1</v>
      </c>
      <c r="Q346" s="7">
        <f t="shared" si="58"/>
        <v>20686</v>
      </c>
    </row>
    <row r="347" spans="1:21">
      <c r="A347" s="23" t="s">
        <v>373</v>
      </c>
      <c r="B347" s="35" t="s">
        <v>365</v>
      </c>
      <c r="C347" s="36">
        <v>230</v>
      </c>
      <c r="D347" s="113">
        <v>13770295</v>
      </c>
      <c r="E347" s="116">
        <f t="shared" si="55"/>
        <v>59870.84782608696</v>
      </c>
      <c r="F347" s="117">
        <v>10706397</v>
      </c>
      <c r="G347" s="117">
        <f t="shared" si="56"/>
        <v>46549.552173913042</v>
      </c>
      <c r="H347" s="7"/>
      <c r="I347" s="109">
        <v>9.9758999999999993</v>
      </c>
      <c r="J347" s="117">
        <v>106806</v>
      </c>
      <c r="K347" s="120">
        <f t="shared" si="62"/>
        <v>464.37391304347824</v>
      </c>
      <c r="L347" s="122">
        <f t="shared" si="59"/>
        <v>107063.97</v>
      </c>
      <c r="M347" s="116">
        <f t="shared" si="60"/>
        <v>257.97000000000116</v>
      </c>
      <c r="N347" s="123">
        <f t="shared" si="61"/>
        <v>1.1216086956521789</v>
      </c>
      <c r="O347" s="5"/>
      <c r="P347" s="5">
        <f t="shared" si="57"/>
        <v>1</v>
      </c>
      <c r="Q347" s="7">
        <f t="shared" si="58"/>
        <v>230</v>
      </c>
    </row>
    <row r="348" spans="1:21">
      <c r="A348" s="23" t="s">
        <v>374</v>
      </c>
      <c r="B348" s="35" t="s">
        <v>365</v>
      </c>
      <c r="C348" s="36">
        <v>248</v>
      </c>
      <c r="D348" s="113">
        <v>13900174</v>
      </c>
      <c r="E348" s="116">
        <f t="shared" si="55"/>
        <v>56049.088709677417</v>
      </c>
      <c r="F348" s="117">
        <v>9234230</v>
      </c>
      <c r="G348" s="117">
        <f t="shared" si="56"/>
        <v>37234.798387096773</v>
      </c>
      <c r="H348" s="7"/>
      <c r="I348" s="109">
        <v>0.31</v>
      </c>
      <c r="J348" s="117">
        <v>2863</v>
      </c>
      <c r="K348" s="120">
        <f t="shared" si="62"/>
        <v>11.544354838709678</v>
      </c>
      <c r="L348" s="122">
        <f t="shared" si="59"/>
        <v>92342.3</v>
      </c>
      <c r="M348" s="116">
        <f t="shared" si="60"/>
        <v>89479.3</v>
      </c>
      <c r="N348" s="123">
        <f t="shared" si="61"/>
        <v>360.80362903225807</v>
      </c>
      <c r="O348" s="5"/>
      <c r="P348" s="5">
        <f t="shared" si="57"/>
        <v>1</v>
      </c>
      <c r="Q348" s="7">
        <f t="shared" si="58"/>
        <v>248</v>
      </c>
    </row>
    <row r="349" spans="1:21">
      <c r="A349" s="23" t="s">
        <v>375</v>
      </c>
      <c r="B349" s="35" t="s">
        <v>365</v>
      </c>
      <c r="C349" s="36">
        <v>5023</v>
      </c>
      <c r="D349" s="113">
        <v>236746038</v>
      </c>
      <c r="E349" s="116">
        <f t="shared" si="55"/>
        <v>47132.398566593671</v>
      </c>
      <c r="F349" s="117">
        <v>136623027</v>
      </c>
      <c r="G349" s="117">
        <f t="shared" si="56"/>
        <v>27199.487756320923</v>
      </c>
      <c r="H349" s="7"/>
      <c r="I349" s="109">
        <v>6.9989999999999997</v>
      </c>
      <c r="J349" s="117">
        <v>956225</v>
      </c>
      <c r="K349" s="120">
        <f t="shared" si="62"/>
        <v>190.3693012144137</v>
      </c>
      <c r="L349" s="122">
        <f t="shared" si="59"/>
        <v>1366230.27</v>
      </c>
      <c r="M349" s="116">
        <f t="shared" si="60"/>
        <v>410005.27</v>
      </c>
      <c r="N349" s="123">
        <f t="shared" si="61"/>
        <v>81.625576348795548</v>
      </c>
      <c r="O349" s="5"/>
      <c r="P349" s="5">
        <f t="shared" si="57"/>
        <v>1</v>
      </c>
      <c r="Q349" s="7">
        <f t="shared" si="58"/>
        <v>5023</v>
      </c>
    </row>
    <row r="350" spans="1:21">
      <c r="A350" s="23" t="s">
        <v>376</v>
      </c>
      <c r="B350" s="35" t="s">
        <v>365</v>
      </c>
      <c r="C350" s="36">
        <v>1243</v>
      </c>
      <c r="D350" s="113">
        <v>85275453</v>
      </c>
      <c r="E350" s="116">
        <f t="shared" si="55"/>
        <v>68604.547868061141</v>
      </c>
      <c r="F350" s="117">
        <v>61701865</v>
      </c>
      <c r="G350" s="117">
        <f t="shared" si="56"/>
        <v>49639.473049074819</v>
      </c>
      <c r="H350" s="7"/>
      <c r="I350" s="109">
        <v>7.593</v>
      </c>
      <c r="J350" s="117">
        <v>468502</v>
      </c>
      <c r="K350" s="120">
        <f t="shared" si="62"/>
        <v>376.91230893000807</v>
      </c>
      <c r="L350" s="122">
        <f t="shared" si="59"/>
        <v>617018.65</v>
      </c>
      <c r="M350" s="116">
        <f t="shared" si="60"/>
        <v>148516.65000000002</v>
      </c>
      <c r="N350" s="123">
        <f t="shared" si="61"/>
        <v>119.48242156074016</v>
      </c>
      <c r="O350" s="5"/>
      <c r="P350" s="5">
        <f t="shared" si="57"/>
        <v>1</v>
      </c>
      <c r="Q350" s="7">
        <f t="shared" si="58"/>
        <v>1243</v>
      </c>
    </row>
    <row r="351" spans="1:21">
      <c r="A351" s="23" t="s">
        <v>377</v>
      </c>
      <c r="B351" s="35" t="s">
        <v>365</v>
      </c>
      <c r="C351" s="36">
        <v>14261</v>
      </c>
      <c r="D351" s="113">
        <v>882558375</v>
      </c>
      <c r="E351" s="116">
        <f t="shared" ref="E351:E406" si="63">(D351/C351)</f>
        <v>61886.149288268702</v>
      </c>
      <c r="F351" s="117">
        <v>598015567</v>
      </c>
      <c r="G351" s="117">
        <f t="shared" ref="G351:G406" si="64">(F351/C351)</f>
        <v>41933.63487833953</v>
      </c>
      <c r="H351" s="9"/>
      <c r="I351" s="109">
        <v>7.9997999999999996</v>
      </c>
      <c r="J351" s="117">
        <v>4784005</v>
      </c>
      <c r="K351" s="120">
        <f t="shared" si="62"/>
        <v>335.46069700582007</v>
      </c>
      <c r="L351" s="122">
        <f t="shared" si="59"/>
        <v>5980155.6699999999</v>
      </c>
      <c r="M351" s="116">
        <f t="shared" si="60"/>
        <v>1196150.67</v>
      </c>
      <c r="N351" s="123">
        <f t="shared" si="61"/>
        <v>83.8756517775752</v>
      </c>
      <c r="O351" s="5"/>
      <c r="P351" s="5">
        <f t="shared" si="57"/>
        <v>1</v>
      </c>
      <c r="Q351" s="7">
        <f t="shared" si="58"/>
        <v>14261</v>
      </c>
    </row>
    <row r="352" spans="1:21">
      <c r="A352" s="23" t="s">
        <v>378</v>
      </c>
      <c r="B352" s="35" t="s">
        <v>365</v>
      </c>
      <c r="C352" s="36">
        <v>97690</v>
      </c>
      <c r="D352" s="113">
        <v>6716650110</v>
      </c>
      <c r="E352" s="116">
        <f t="shared" si="63"/>
        <v>68754.735489814717</v>
      </c>
      <c r="F352" s="117">
        <v>4479820967</v>
      </c>
      <c r="G352" s="117">
        <f t="shared" si="64"/>
        <v>45857.518343740405</v>
      </c>
      <c r="H352" s="9"/>
      <c r="I352" s="109">
        <v>4.1643999999999997</v>
      </c>
      <c r="J352" s="117">
        <v>18655766</v>
      </c>
      <c r="K352" s="120">
        <f t="shared" si="62"/>
        <v>190.9690449380694</v>
      </c>
      <c r="L352" s="122">
        <f t="shared" si="59"/>
        <v>44798209.670000002</v>
      </c>
      <c r="M352" s="116">
        <f t="shared" si="60"/>
        <v>26142443.670000002</v>
      </c>
      <c r="N352" s="123">
        <f t="shared" si="61"/>
        <v>267.60613849933463</v>
      </c>
      <c r="O352" s="5"/>
      <c r="P352" s="5">
        <f t="shared" si="57"/>
        <v>1</v>
      </c>
      <c r="Q352" s="7">
        <f t="shared" si="58"/>
        <v>97690</v>
      </c>
    </row>
    <row r="353" spans="1:21">
      <c r="A353" s="23" t="s">
        <v>379</v>
      </c>
      <c r="B353" s="35" t="s">
        <v>365</v>
      </c>
      <c r="C353" s="36">
        <v>3785</v>
      </c>
      <c r="D353" s="113">
        <v>217259408</v>
      </c>
      <c r="E353" s="116">
        <f t="shared" si="63"/>
        <v>57400.10779392338</v>
      </c>
      <c r="F353" s="117">
        <v>158249594</v>
      </c>
      <c r="G353" s="117">
        <f t="shared" si="64"/>
        <v>41809.66816380449</v>
      </c>
      <c r="H353" s="9"/>
      <c r="I353" s="109">
        <v>8.9</v>
      </c>
      <c r="J353" s="117">
        <v>1408421</v>
      </c>
      <c r="K353" s="120">
        <f t="shared" si="62"/>
        <v>372.10594451783356</v>
      </c>
      <c r="L353" s="122">
        <f t="shared" si="59"/>
        <v>1582495.94</v>
      </c>
      <c r="M353" s="116">
        <f t="shared" si="60"/>
        <v>174074.93999999994</v>
      </c>
      <c r="N353" s="123">
        <f t="shared" si="61"/>
        <v>45.990737120211342</v>
      </c>
      <c r="O353" s="5"/>
      <c r="P353" s="5">
        <f t="shared" si="57"/>
        <v>1</v>
      </c>
      <c r="Q353" s="7">
        <f t="shared" si="58"/>
        <v>3785</v>
      </c>
    </row>
    <row r="354" spans="1:21">
      <c r="A354" s="23" t="s">
        <v>380</v>
      </c>
      <c r="B354" s="35" t="s">
        <v>365</v>
      </c>
      <c r="C354" s="36">
        <v>1562</v>
      </c>
      <c r="D354" s="113">
        <v>89393531</v>
      </c>
      <c r="E354" s="116">
        <f t="shared" si="63"/>
        <v>57230.173495518568</v>
      </c>
      <c r="F354" s="117">
        <v>63477821</v>
      </c>
      <c r="G354" s="117">
        <f t="shared" si="64"/>
        <v>40638.809859154928</v>
      </c>
      <c r="H354" s="7"/>
      <c r="I354" s="109">
        <v>8.6547000000000001</v>
      </c>
      <c r="J354" s="117">
        <v>549381</v>
      </c>
      <c r="K354" s="120">
        <f t="shared" si="62"/>
        <v>351.71638924455829</v>
      </c>
      <c r="L354" s="122">
        <f t="shared" si="59"/>
        <v>634778.21</v>
      </c>
      <c r="M354" s="116">
        <f t="shared" si="60"/>
        <v>85397.209999999963</v>
      </c>
      <c r="N354" s="123">
        <f t="shared" si="61"/>
        <v>54.671709346991015</v>
      </c>
      <c r="O354" s="5"/>
      <c r="P354" s="5">
        <f t="shared" si="57"/>
        <v>1</v>
      </c>
      <c r="Q354" s="7">
        <f t="shared" si="58"/>
        <v>1562</v>
      </c>
    </row>
    <row r="355" spans="1:21">
      <c r="A355" s="23" t="s">
        <v>381</v>
      </c>
      <c r="B355" s="35" t="s">
        <v>365</v>
      </c>
      <c r="C355" s="36">
        <v>34112</v>
      </c>
      <c r="D355" s="113">
        <v>2250029567</v>
      </c>
      <c r="E355" s="116">
        <f t="shared" si="63"/>
        <v>65960.060008208253</v>
      </c>
      <c r="F355" s="117">
        <v>1512852414</v>
      </c>
      <c r="G355" s="117">
        <f t="shared" si="64"/>
        <v>44349.566545497182</v>
      </c>
      <c r="H355" s="7"/>
      <c r="I355" s="109">
        <v>5.79</v>
      </c>
      <c r="J355" s="117">
        <v>8759415</v>
      </c>
      <c r="K355" s="120">
        <f t="shared" si="62"/>
        <v>256.78397631332081</v>
      </c>
      <c r="L355" s="122">
        <f t="shared" si="59"/>
        <v>15128524.140000001</v>
      </c>
      <c r="M355" s="116">
        <f t="shared" si="60"/>
        <v>6369109.1400000006</v>
      </c>
      <c r="N355" s="123">
        <f t="shared" si="61"/>
        <v>186.71168914165105</v>
      </c>
      <c r="O355" s="5"/>
      <c r="P355" s="5">
        <f t="shared" si="57"/>
        <v>1</v>
      </c>
      <c r="Q355" s="7">
        <f t="shared" si="58"/>
        <v>34112</v>
      </c>
      <c r="S355" s="124">
        <f>SUM(D339:D355)</f>
        <v>14557712840</v>
      </c>
      <c r="T355" s="124">
        <f>SUM(F339:F355)</f>
        <v>9709169161</v>
      </c>
      <c r="U355" s="124">
        <f>SUM(J339:J355)</f>
        <v>49845603</v>
      </c>
    </row>
    <row r="356" spans="1:21">
      <c r="A356" s="23" t="s">
        <v>382</v>
      </c>
      <c r="B356" s="35" t="s">
        <v>383</v>
      </c>
      <c r="C356" s="36">
        <v>1524</v>
      </c>
      <c r="D356" s="113">
        <v>107168621</v>
      </c>
      <c r="E356" s="116">
        <f t="shared" si="63"/>
        <v>70320.61745406824</v>
      </c>
      <c r="F356" s="117">
        <v>58771271</v>
      </c>
      <c r="G356" s="117">
        <f t="shared" si="64"/>
        <v>38563.826115485565</v>
      </c>
      <c r="H356" s="7"/>
      <c r="I356" s="109">
        <v>8.1722999999999999</v>
      </c>
      <c r="J356" s="117">
        <v>480296</v>
      </c>
      <c r="K356" s="120">
        <f t="shared" si="62"/>
        <v>315.15485564304464</v>
      </c>
      <c r="L356" s="122">
        <f t="shared" si="59"/>
        <v>587712.71</v>
      </c>
      <c r="M356" s="116">
        <f t="shared" si="60"/>
        <v>107416.70999999996</v>
      </c>
      <c r="N356" s="123">
        <f t="shared" si="61"/>
        <v>70.483405511811</v>
      </c>
      <c r="O356" s="5"/>
      <c r="P356" s="5">
        <f t="shared" si="57"/>
        <v>1</v>
      </c>
      <c r="Q356" s="7">
        <f t="shared" si="58"/>
        <v>1524</v>
      </c>
    </row>
    <row r="357" spans="1:21">
      <c r="A357" s="23" t="s">
        <v>384</v>
      </c>
      <c r="B357" s="35" t="s">
        <v>383</v>
      </c>
      <c r="C357" s="36">
        <v>1415</v>
      </c>
      <c r="D357" s="113">
        <v>109833505</v>
      </c>
      <c r="E357" s="116">
        <f t="shared" si="63"/>
        <v>77620.851590106002</v>
      </c>
      <c r="F357" s="117">
        <v>50667838</v>
      </c>
      <c r="G357" s="117">
        <f t="shared" si="64"/>
        <v>35807.659363957595</v>
      </c>
      <c r="H357" s="7"/>
      <c r="I357" s="109">
        <v>8.8286999999999995</v>
      </c>
      <c r="J357" s="117">
        <v>447331</v>
      </c>
      <c r="K357" s="120">
        <f t="shared" si="62"/>
        <v>316.13498233215546</v>
      </c>
      <c r="L357" s="122">
        <f t="shared" si="59"/>
        <v>506678.38</v>
      </c>
      <c r="M357" s="116">
        <f t="shared" si="60"/>
        <v>59347.380000000005</v>
      </c>
      <c r="N357" s="123">
        <f t="shared" si="61"/>
        <v>41.941611307420501</v>
      </c>
      <c r="O357" s="5"/>
      <c r="P357" s="5">
        <f t="shared" si="57"/>
        <v>1</v>
      </c>
      <c r="Q357" s="7">
        <f t="shared" si="58"/>
        <v>1415</v>
      </c>
    </row>
    <row r="358" spans="1:21">
      <c r="A358" s="23" t="s">
        <v>385</v>
      </c>
      <c r="B358" s="35" t="s">
        <v>383</v>
      </c>
      <c r="C358" s="36">
        <v>10522</v>
      </c>
      <c r="D358" s="113">
        <v>781289333</v>
      </c>
      <c r="E358" s="116">
        <f t="shared" si="63"/>
        <v>74252.930336437945</v>
      </c>
      <c r="F358" s="117">
        <v>388931104</v>
      </c>
      <c r="G358" s="117">
        <f t="shared" si="64"/>
        <v>36963.609960083631</v>
      </c>
      <c r="H358" s="7"/>
      <c r="I358" s="109">
        <v>8.65</v>
      </c>
      <c r="J358" s="117">
        <v>3364254</v>
      </c>
      <c r="K358" s="120">
        <f t="shared" si="62"/>
        <v>319.73522144079072</v>
      </c>
      <c r="L358" s="122">
        <f t="shared" si="59"/>
        <v>3889311.04</v>
      </c>
      <c r="M358" s="116">
        <f t="shared" si="60"/>
        <v>525057.04</v>
      </c>
      <c r="N358" s="123">
        <f t="shared" si="61"/>
        <v>49.900878160045622</v>
      </c>
      <c r="O358" s="5"/>
      <c r="P358" s="5">
        <f t="shared" si="57"/>
        <v>1</v>
      </c>
      <c r="Q358" s="7">
        <f t="shared" si="58"/>
        <v>10522</v>
      </c>
    </row>
    <row r="359" spans="1:21">
      <c r="A359" s="23" t="s">
        <v>386</v>
      </c>
      <c r="B359" s="35" t="s">
        <v>383</v>
      </c>
      <c r="C359" s="36">
        <v>920</v>
      </c>
      <c r="D359" s="113">
        <v>46347458</v>
      </c>
      <c r="E359" s="116">
        <f t="shared" si="63"/>
        <v>50377.671739130434</v>
      </c>
      <c r="F359" s="117">
        <v>27742152</v>
      </c>
      <c r="G359" s="117">
        <f t="shared" si="64"/>
        <v>30154.513043478262</v>
      </c>
      <c r="H359" s="7"/>
      <c r="I359" s="109">
        <v>6.2873999999999999</v>
      </c>
      <c r="J359" s="117">
        <v>174426</v>
      </c>
      <c r="K359" s="120">
        <f t="shared" si="62"/>
        <v>189.59347826086957</v>
      </c>
      <c r="L359" s="122">
        <f t="shared" si="59"/>
        <v>277421.52</v>
      </c>
      <c r="M359" s="116">
        <f t="shared" si="60"/>
        <v>102995.52000000002</v>
      </c>
      <c r="N359" s="123">
        <f t="shared" si="61"/>
        <v>111.95165217391306</v>
      </c>
      <c r="O359" s="5"/>
      <c r="P359" s="5">
        <f t="shared" si="57"/>
        <v>1</v>
      </c>
      <c r="Q359" s="7">
        <f t="shared" si="58"/>
        <v>920</v>
      </c>
    </row>
    <row r="360" spans="1:21">
      <c r="A360" s="23" t="s">
        <v>387</v>
      </c>
      <c r="B360" s="35" t="s">
        <v>383</v>
      </c>
      <c r="C360" s="36">
        <v>704</v>
      </c>
      <c r="D360" s="113">
        <v>72567156</v>
      </c>
      <c r="E360" s="116">
        <f t="shared" si="63"/>
        <v>103078.34659090909</v>
      </c>
      <c r="F360" s="117">
        <v>54799549</v>
      </c>
      <c r="G360" s="117">
        <f t="shared" si="64"/>
        <v>77840.268465909088</v>
      </c>
      <c r="H360" s="7"/>
      <c r="I360" s="109">
        <v>5.5049999999999999</v>
      </c>
      <c r="J360" s="117">
        <v>301672</v>
      </c>
      <c r="K360" s="120">
        <f t="shared" si="62"/>
        <v>428.51136363636363</v>
      </c>
      <c r="L360" s="122">
        <f t="shared" si="59"/>
        <v>547995.49</v>
      </c>
      <c r="M360" s="116">
        <f t="shared" si="60"/>
        <v>246323.49</v>
      </c>
      <c r="N360" s="123">
        <f t="shared" si="61"/>
        <v>349.89132102272725</v>
      </c>
      <c r="O360" s="5"/>
      <c r="P360" s="5">
        <f t="shared" si="57"/>
        <v>1</v>
      </c>
      <c r="Q360" s="7">
        <f t="shared" si="58"/>
        <v>704</v>
      </c>
      <c r="S360" s="124">
        <f>SUM(D356:D360)</f>
        <v>1117206073</v>
      </c>
      <c r="T360" s="124">
        <f>SUM(F356:F360)</f>
        <v>580911914</v>
      </c>
      <c r="U360" s="124">
        <f>SUM(J356:J360)</f>
        <v>4767979</v>
      </c>
    </row>
    <row r="361" spans="1:21">
      <c r="A361" s="23" t="s">
        <v>390</v>
      </c>
      <c r="B361" s="35" t="s">
        <v>391</v>
      </c>
      <c r="C361" s="36">
        <v>5765</v>
      </c>
      <c r="D361" s="113">
        <v>972623179</v>
      </c>
      <c r="E361" s="116">
        <f t="shared" si="63"/>
        <v>168711.73963573287</v>
      </c>
      <c r="F361" s="117">
        <v>628421112</v>
      </c>
      <c r="G361" s="117">
        <f t="shared" si="64"/>
        <v>109006.26400693842</v>
      </c>
      <c r="H361" s="9"/>
      <c r="I361" s="109">
        <v>1.9</v>
      </c>
      <c r="J361" s="117">
        <v>1194000</v>
      </c>
      <c r="K361" s="120">
        <f t="shared" si="62"/>
        <v>207.11188204683435</v>
      </c>
      <c r="L361" s="122">
        <f t="shared" si="59"/>
        <v>6284211.1200000001</v>
      </c>
      <c r="M361" s="116">
        <f t="shared" si="60"/>
        <v>5090211.12</v>
      </c>
      <c r="N361" s="123">
        <f t="shared" si="61"/>
        <v>882.95075802254985</v>
      </c>
      <c r="O361" s="5"/>
      <c r="P361" s="5">
        <f t="shared" si="57"/>
        <v>1</v>
      </c>
      <c r="Q361" s="7">
        <f t="shared" si="58"/>
        <v>5765</v>
      </c>
    </row>
    <row r="362" spans="1:21">
      <c r="A362" s="23" t="s">
        <v>392</v>
      </c>
      <c r="B362" s="35" t="s">
        <v>391</v>
      </c>
      <c r="C362" s="36">
        <v>522</v>
      </c>
      <c r="D362" s="113">
        <v>55712058</v>
      </c>
      <c r="E362" s="116">
        <f t="shared" si="63"/>
        <v>106728.08045977012</v>
      </c>
      <c r="F362" s="117">
        <v>36209947</v>
      </c>
      <c r="G362" s="117">
        <f t="shared" si="64"/>
        <v>69367.714559386979</v>
      </c>
      <c r="H362" s="9"/>
      <c r="I362" s="109">
        <v>2</v>
      </c>
      <c r="J362" s="117">
        <v>72420</v>
      </c>
      <c r="K362" s="120">
        <f t="shared" si="62"/>
        <v>138.73563218390805</v>
      </c>
      <c r="L362" s="122">
        <f t="shared" si="59"/>
        <v>362099.47000000003</v>
      </c>
      <c r="M362" s="116">
        <f t="shared" si="60"/>
        <v>289679.47000000003</v>
      </c>
      <c r="N362" s="123">
        <f t="shared" si="61"/>
        <v>554.94151340996177</v>
      </c>
      <c r="O362" s="5"/>
      <c r="P362" s="5">
        <f t="shared" si="57"/>
        <v>1</v>
      </c>
      <c r="Q362" s="7">
        <f t="shared" si="58"/>
        <v>522</v>
      </c>
    </row>
    <row r="363" spans="1:21">
      <c r="A363" s="23" t="s">
        <v>393</v>
      </c>
      <c r="B363" s="35" t="s">
        <v>391</v>
      </c>
      <c r="C363" s="36">
        <v>9115</v>
      </c>
      <c r="D363" s="113">
        <v>534469163</v>
      </c>
      <c r="E363" s="116">
        <f t="shared" si="63"/>
        <v>58636.221941854084</v>
      </c>
      <c r="F363" s="117">
        <v>297627518</v>
      </c>
      <c r="G363" s="117">
        <f t="shared" si="64"/>
        <v>32652.497860669228</v>
      </c>
      <c r="H363" s="9"/>
      <c r="I363" s="109">
        <v>3.2372999999999998</v>
      </c>
      <c r="J363" s="117">
        <v>963510</v>
      </c>
      <c r="K363" s="120">
        <f t="shared" si="62"/>
        <v>105.70597915523862</v>
      </c>
      <c r="L363" s="122">
        <f t="shared" si="59"/>
        <v>2976275.18</v>
      </c>
      <c r="M363" s="116">
        <f t="shared" si="60"/>
        <v>2012765.1800000002</v>
      </c>
      <c r="N363" s="123">
        <f t="shared" si="61"/>
        <v>220.81899945145366</v>
      </c>
      <c r="O363" s="5"/>
      <c r="P363" s="5">
        <f t="shared" si="57"/>
        <v>1</v>
      </c>
      <c r="Q363" s="7">
        <f t="shared" si="58"/>
        <v>9115</v>
      </c>
      <c r="S363" s="124">
        <f>SUM(D361:D363)</f>
        <v>1562804400</v>
      </c>
      <c r="T363" s="124">
        <f>SUM(F361:F363)</f>
        <v>962258577</v>
      </c>
      <c r="U363" s="124">
        <f>SUM(J361:J363)</f>
        <v>2229930</v>
      </c>
    </row>
    <row r="364" spans="1:21">
      <c r="A364" s="23" t="s">
        <v>394</v>
      </c>
      <c r="B364" s="35" t="s">
        <v>395</v>
      </c>
      <c r="C364" s="36">
        <v>57893</v>
      </c>
      <c r="D364" s="113">
        <v>3372560260</v>
      </c>
      <c r="E364" s="116">
        <f t="shared" si="63"/>
        <v>58255.061233655193</v>
      </c>
      <c r="F364" s="117">
        <v>2274923027</v>
      </c>
      <c r="G364" s="117">
        <f t="shared" si="64"/>
        <v>39295.303870934309</v>
      </c>
      <c r="H364" s="7"/>
      <c r="I364" s="109">
        <v>3.5680999999999998</v>
      </c>
      <c r="J364" s="117">
        <v>8117153</v>
      </c>
      <c r="K364" s="120">
        <f t="shared" si="62"/>
        <v>140.20957628728863</v>
      </c>
      <c r="L364" s="122">
        <f t="shared" si="59"/>
        <v>22749230.27</v>
      </c>
      <c r="M364" s="116">
        <f t="shared" si="60"/>
        <v>14632077.27</v>
      </c>
      <c r="N364" s="123">
        <f t="shared" si="61"/>
        <v>252.74346242205448</v>
      </c>
      <c r="O364" s="5"/>
      <c r="P364" s="5">
        <f t="shared" si="57"/>
        <v>1</v>
      </c>
      <c r="Q364" s="7">
        <f t="shared" si="58"/>
        <v>57893</v>
      </c>
    </row>
    <row r="365" spans="1:21">
      <c r="A365" s="23" t="s">
        <v>395</v>
      </c>
      <c r="B365" s="35" t="s">
        <v>395</v>
      </c>
      <c r="C365" s="36">
        <v>52114</v>
      </c>
      <c r="D365" s="113">
        <v>9946564527</v>
      </c>
      <c r="E365" s="116">
        <f t="shared" si="63"/>
        <v>190861.65957324326</v>
      </c>
      <c r="F365" s="117">
        <v>6793429833</v>
      </c>
      <c r="G365" s="117">
        <f t="shared" si="64"/>
        <v>130357.0985339832</v>
      </c>
      <c r="H365" s="7"/>
      <c r="I365" s="109">
        <v>2.9249000000000001</v>
      </c>
      <c r="J365" s="117">
        <v>19870103</v>
      </c>
      <c r="K365" s="120">
        <f t="shared" si="62"/>
        <v>381.28147906512646</v>
      </c>
      <c r="L365" s="122">
        <f t="shared" si="59"/>
        <v>67934298.329999998</v>
      </c>
      <c r="M365" s="116">
        <f t="shared" si="60"/>
        <v>48064195.329999998</v>
      </c>
      <c r="N365" s="123">
        <f t="shared" si="61"/>
        <v>922.28950627470545</v>
      </c>
      <c r="O365" s="5"/>
      <c r="P365" s="5">
        <f t="shared" si="57"/>
        <v>1</v>
      </c>
      <c r="Q365" s="7">
        <f t="shared" si="58"/>
        <v>52114</v>
      </c>
    </row>
    <row r="366" spans="1:21">
      <c r="A366" s="23" t="s">
        <v>396</v>
      </c>
      <c r="B366" s="35" t="s">
        <v>395</v>
      </c>
      <c r="C366" s="36">
        <v>20752</v>
      </c>
      <c r="D366" s="113">
        <v>3449405504</v>
      </c>
      <c r="E366" s="116">
        <f t="shared" si="63"/>
        <v>166220.38858905167</v>
      </c>
      <c r="F366" s="117">
        <v>2708002338</v>
      </c>
      <c r="G366" s="117">
        <f t="shared" si="64"/>
        <v>130493.55907864303</v>
      </c>
      <c r="H366" s="7"/>
      <c r="I366" s="109">
        <v>2.9350000000000001</v>
      </c>
      <c r="J366" s="117">
        <v>7947987</v>
      </c>
      <c r="K366" s="120">
        <f t="shared" si="62"/>
        <v>382.9986025443331</v>
      </c>
      <c r="L366" s="122">
        <f t="shared" si="59"/>
        <v>27080023.379999999</v>
      </c>
      <c r="M366" s="116">
        <f t="shared" si="60"/>
        <v>19132036.379999999</v>
      </c>
      <c r="N366" s="123">
        <f t="shared" si="61"/>
        <v>921.93698824209707</v>
      </c>
      <c r="O366" s="5"/>
      <c r="P366" s="5">
        <f t="shared" si="57"/>
        <v>1</v>
      </c>
      <c r="Q366" s="7">
        <f t="shared" si="58"/>
        <v>20752</v>
      </c>
      <c r="S366" s="124">
        <f>SUM(D364:D366)</f>
        <v>16768530291</v>
      </c>
      <c r="T366" s="124">
        <f>SUM(F364:F366)</f>
        <v>11776355198</v>
      </c>
      <c r="U366" s="124">
        <f>SUM(J364:J366)</f>
        <v>35935243</v>
      </c>
    </row>
    <row r="367" spans="1:21">
      <c r="A367" s="23" t="s">
        <v>397</v>
      </c>
      <c r="B367" s="35" t="s">
        <v>360</v>
      </c>
      <c r="C367" s="36">
        <v>41600</v>
      </c>
      <c r="D367" s="113">
        <v>2939964866</v>
      </c>
      <c r="E367" s="116">
        <f t="shared" si="63"/>
        <v>70672.232355769229</v>
      </c>
      <c r="F367" s="117">
        <v>2331293254</v>
      </c>
      <c r="G367" s="117">
        <f t="shared" si="64"/>
        <v>56040.703221153846</v>
      </c>
      <c r="H367" s="7"/>
      <c r="I367" s="109">
        <v>2.89</v>
      </c>
      <c r="J367" s="117">
        <v>6737438</v>
      </c>
      <c r="K367" s="120">
        <f t="shared" si="62"/>
        <v>161.95764423076923</v>
      </c>
      <c r="L367" s="122">
        <f t="shared" si="59"/>
        <v>23312932.539999999</v>
      </c>
      <c r="M367" s="116">
        <f t="shared" si="60"/>
        <v>16575494.539999999</v>
      </c>
      <c r="N367" s="123">
        <f t="shared" si="61"/>
        <v>398.44938798076919</v>
      </c>
      <c r="O367" s="5"/>
      <c r="P367" s="5">
        <f t="shared" si="57"/>
        <v>1</v>
      </c>
      <c r="Q367" s="7">
        <f t="shared" si="58"/>
        <v>41600</v>
      </c>
    </row>
    <row r="368" spans="1:21">
      <c r="A368" s="23" t="s">
        <v>398</v>
      </c>
      <c r="B368" s="35" t="s">
        <v>360</v>
      </c>
      <c r="C368" s="36">
        <v>26321</v>
      </c>
      <c r="D368" s="113">
        <v>1446613580</v>
      </c>
      <c r="E368" s="116">
        <f t="shared" si="63"/>
        <v>54960.433874092931</v>
      </c>
      <c r="F368" s="117">
        <v>1072531440</v>
      </c>
      <c r="G368" s="117">
        <f t="shared" si="64"/>
        <v>40748.126590934997</v>
      </c>
      <c r="H368" s="7"/>
      <c r="I368" s="109">
        <v>5.45</v>
      </c>
      <c r="J368" s="117">
        <v>5845296</v>
      </c>
      <c r="K368" s="120">
        <f t="shared" si="62"/>
        <v>222.07727669921354</v>
      </c>
      <c r="L368" s="122">
        <f t="shared" si="59"/>
        <v>10725314.4</v>
      </c>
      <c r="M368" s="116">
        <f t="shared" si="60"/>
        <v>4880018.4000000004</v>
      </c>
      <c r="N368" s="123">
        <f t="shared" si="61"/>
        <v>185.40398921013642</v>
      </c>
      <c r="O368" s="5"/>
      <c r="P368" s="5">
        <f t="shared" si="57"/>
        <v>1</v>
      </c>
      <c r="Q368" s="7">
        <f t="shared" si="58"/>
        <v>26321</v>
      </c>
    </row>
    <row r="369" spans="1:21">
      <c r="A369" s="23" t="s">
        <v>399</v>
      </c>
      <c r="B369" s="35" t="s">
        <v>360</v>
      </c>
      <c r="C369" s="36">
        <v>13868</v>
      </c>
      <c r="D369" s="113">
        <v>2096002018</v>
      </c>
      <c r="E369" s="116">
        <f t="shared" si="63"/>
        <v>151139.45904239977</v>
      </c>
      <c r="F369" s="117">
        <v>1726089027</v>
      </c>
      <c r="G369" s="117">
        <f t="shared" si="64"/>
        <v>124465.60621574848</v>
      </c>
      <c r="H369" s="7"/>
      <c r="I369" s="109">
        <v>3.6355</v>
      </c>
      <c r="J369" s="117">
        <v>6275197</v>
      </c>
      <c r="K369" s="120">
        <f t="shared" si="62"/>
        <v>452.49473608306891</v>
      </c>
      <c r="L369" s="122">
        <f t="shared" si="59"/>
        <v>17260890.27</v>
      </c>
      <c r="M369" s="116">
        <f t="shared" si="60"/>
        <v>10985693.27</v>
      </c>
      <c r="N369" s="123">
        <f t="shared" si="61"/>
        <v>792.16132607441591</v>
      </c>
      <c r="O369" s="5"/>
      <c r="P369" s="5">
        <f t="shared" si="57"/>
        <v>1</v>
      </c>
      <c r="Q369" s="7">
        <f t="shared" si="58"/>
        <v>13868</v>
      </c>
    </row>
    <row r="370" spans="1:21">
      <c r="A370" s="23" t="s">
        <v>400</v>
      </c>
      <c r="B370" s="35" t="s">
        <v>360</v>
      </c>
      <c r="C370" s="36">
        <v>13620</v>
      </c>
      <c r="D370" s="113">
        <v>1161127369</v>
      </c>
      <c r="E370" s="116">
        <f t="shared" si="63"/>
        <v>85251.642364170344</v>
      </c>
      <c r="F370" s="117">
        <v>862784776</v>
      </c>
      <c r="G370" s="117">
        <f t="shared" si="64"/>
        <v>63346.89985315712</v>
      </c>
      <c r="H370" s="7"/>
      <c r="I370" s="109">
        <v>4.99</v>
      </c>
      <c r="J370" s="117">
        <v>4305296</v>
      </c>
      <c r="K370" s="120">
        <f t="shared" si="62"/>
        <v>316.10102790014685</v>
      </c>
      <c r="L370" s="122">
        <f t="shared" si="59"/>
        <v>8627847.7599999998</v>
      </c>
      <c r="M370" s="116">
        <f t="shared" si="60"/>
        <v>4322551.76</v>
      </c>
      <c r="N370" s="123">
        <f t="shared" si="61"/>
        <v>317.36797063142438</v>
      </c>
      <c r="O370" s="5"/>
      <c r="P370" s="5">
        <f t="shared" si="57"/>
        <v>1</v>
      </c>
      <c r="Q370" s="7">
        <f t="shared" si="58"/>
        <v>13620</v>
      </c>
    </row>
    <row r="371" spans="1:21">
      <c r="A371" s="23" t="s">
        <v>401</v>
      </c>
      <c r="B371" s="35" t="s">
        <v>360</v>
      </c>
      <c r="C371" s="36">
        <v>33815</v>
      </c>
      <c r="D371" s="113">
        <v>2465293334</v>
      </c>
      <c r="E371" s="116">
        <f t="shared" si="63"/>
        <v>72905.31817240869</v>
      </c>
      <c r="F371" s="117">
        <v>1831647107</v>
      </c>
      <c r="G371" s="117">
        <f t="shared" si="64"/>
        <v>54166.704332396868</v>
      </c>
      <c r="H371" s="7"/>
      <c r="I371" s="109">
        <v>4.8625999999999996</v>
      </c>
      <c r="J371" s="117">
        <v>8906567</v>
      </c>
      <c r="K371" s="120">
        <f t="shared" si="62"/>
        <v>263.39100990684608</v>
      </c>
      <c r="L371" s="122">
        <f t="shared" si="59"/>
        <v>18316471.07</v>
      </c>
      <c r="M371" s="116">
        <f t="shared" si="60"/>
        <v>9409904.0700000003</v>
      </c>
      <c r="N371" s="123">
        <f t="shared" si="61"/>
        <v>278.27603341712256</v>
      </c>
      <c r="O371" s="5"/>
      <c r="P371" s="5">
        <f t="shared" si="57"/>
        <v>1</v>
      </c>
      <c r="Q371" s="7">
        <f t="shared" si="58"/>
        <v>33815</v>
      </c>
    </row>
    <row r="372" spans="1:21">
      <c r="A372" s="23" t="s">
        <v>402</v>
      </c>
      <c r="B372" s="35" t="s">
        <v>360</v>
      </c>
      <c r="C372" s="36">
        <v>53422</v>
      </c>
      <c r="D372" s="113">
        <v>3347324676</v>
      </c>
      <c r="E372" s="116">
        <f t="shared" si="63"/>
        <v>62658.168469918761</v>
      </c>
      <c r="F372" s="117">
        <v>2350048564</v>
      </c>
      <c r="G372" s="117">
        <f t="shared" si="64"/>
        <v>43990.276739919886</v>
      </c>
      <c r="H372" s="7"/>
      <c r="I372" s="109">
        <v>6.8250000000000002</v>
      </c>
      <c r="J372" s="117">
        <v>16039081</v>
      </c>
      <c r="K372" s="120">
        <f t="shared" si="62"/>
        <v>300.23363033956048</v>
      </c>
      <c r="L372" s="122">
        <f t="shared" si="59"/>
        <v>23500485.640000001</v>
      </c>
      <c r="M372" s="116">
        <f t="shared" si="60"/>
        <v>7461404.6400000006</v>
      </c>
      <c r="N372" s="123">
        <f t="shared" si="61"/>
        <v>139.66913705963836</v>
      </c>
      <c r="O372" s="5"/>
      <c r="P372" s="5">
        <f t="shared" si="57"/>
        <v>1</v>
      </c>
      <c r="Q372" s="7">
        <f t="shared" si="58"/>
        <v>53422</v>
      </c>
    </row>
    <row r="373" spans="1:21">
      <c r="A373" s="23" t="s">
        <v>403</v>
      </c>
      <c r="B373" s="35" t="s">
        <v>360</v>
      </c>
      <c r="C373" s="36">
        <v>33314</v>
      </c>
      <c r="D373" s="113">
        <v>2242652141</v>
      </c>
      <c r="E373" s="116">
        <f t="shared" si="63"/>
        <v>67318.609023233468</v>
      </c>
      <c r="F373" s="117">
        <v>1593864153</v>
      </c>
      <c r="G373" s="117">
        <f t="shared" si="64"/>
        <v>47843.673920874106</v>
      </c>
      <c r="H373" s="7"/>
      <c r="I373" s="109">
        <v>2.4500000000000002</v>
      </c>
      <c r="J373" s="117">
        <v>3904967</v>
      </c>
      <c r="K373" s="120">
        <f t="shared" si="62"/>
        <v>117.21699585759741</v>
      </c>
      <c r="L373" s="122">
        <f t="shared" si="59"/>
        <v>15938641.530000001</v>
      </c>
      <c r="M373" s="116">
        <f t="shared" si="60"/>
        <v>12033674.530000001</v>
      </c>
      <c r="N373" s="123">
        <f t="shared" si="61"/>
        <v>361.21974335114368</v>
      </c>
      <c r="O373" s="5"/>
      <c r="P373" s="5">
        <f t="shared" si="57"/>
        <v>1</v>
      </c>
      <c r="Q373" s="7">
        <f t="shared" si="58"/>
        <v>33314</v>
      </c>
      <c r="S373" s="124">
        <f>SUM(D367:D373)</f>
        <v>15698977984</v>
      </c>
      <c r="T373" s="124">
        <f>SUM(F367:F373)</f>
        <v>11768258321</v>
      </c>
      <c r="U373" s="124">
        <f>SUM(J367:J373)</f>
        <v>52013842</v>
      </c>
    </row>
    <row r="374" spans="1:21">
      <c r="A374" s="23" t="s">
        <v>388</v>
      </c>
      <c r="B374" s="37" t="s">
        <v>551</v>
      </c>
      <c r="C374" s="36">
        <v>602</v>
      </c>
      <c r="D374" s="113">
        <v>39909954</v>
      </c>
      <c r="E374" s="116">
        <f t="shared" si="63"/>
        <v>66295.604651162794</v>
      </c>
      <c r="F374" s="117">
        <v>26514618</v>
      </c>
      <c r="G374" s="117">
        <f t="shared" si="64"/>
        <v>44044.215946843855</v>
      </c>
      <c r="H374" s="7"/>
      <c r="I374" s="109">
        <v>8</v>
      </c>
      <c r="J374" s="117">
        <v>212117</v>
      </c>
      <c r="K374" s="120">
        <f t="shared" si="62"/>
        <v>352.35382059800662</v>
      </c>
      <c r="L374" s="122">
        <f t="shared" si="59"/>
        <v>265146.18</v>
      </c>
      <c r="M374" s="116">
        <f t="shared" si="60"/>
        <v>53029.179999999993</v>
      </c>
      <c r="N374" s="123">
        <f t="shared" si="61"/>
        <v>88.088338870431883</v>
      </c>
      <c r="O374" s="5"/>
      <c r="P374" s="5">
        <f t="shared" si="57"/>
        <v>1</v>
      </c>
      <c r="Q374" s="7">
        <f t="shared" si="58"/>
        <v>602</v>
      </c>
    </row>
    <row r="375" spans="1:21">
      <c r="A375" s="24" t="s">
        <v>549</v>
      </c>
      <c r="B375" s="37" t="s">
        <v>551</v>
      </c>
      <c r="C375" s="36">
        <v>13053</v>
      </c>
      <c r="D375" s="113">
        <v>1794384960</v>
      </c>
      <c r="E375" s="116">
        <f t="shared" si="63"/>
        <v>137469.16111238796</v>
      </c>
      <c r="F375" s="117">
        <v>1116446743</v>
      </c>
      <c r="G375" s="117">
        <f t="shared" si="64"/>
        <v>85531.81207385275</v>
      </c>
      <c r="H375" s="7"/>
      <c r="I375" s="109">
        <v>7.5</v>
      </c>
      <c r="J375" s="117">
        <v>8373351</v>
      </c>
      <c r="K375" s="120">
        <f t="shared" si="62"/>
        <v>641.48862330498741</v>
      </c>
      <c r="L375" s="122">
        <f t="shared" si="59"/>
        <v>11164467.43</v>
      </c>
      <c r="M375" s="116">
        <f t="shared" si="60"/>
        <v>2791116.4299999997</v>
      </c>
      <c r="N375" s="123">
        <f t="shared" si="61"/>
        <v>213.82949743354015</v>
      </c>
      <c r="O375" s="5"/>
      <c r="P375" s="5">
        <f t="shared" si="57"/>
        <v>1</v>
      </c>
      <c r="Q375" s="7">
        <f t="shared" si="58"/>
        <v>13053</v>
      </c>
    </row>
    <row r="376" spans="1:21">
      <c r="A376" s="24" t="s">
        <v>550</v>
      </c>
      <c r="B376" s="37" t="s">
        <v>551</v>
      </c>
      <c r="C376" s="36">
        <v>6234</v>
      </c>
      <c r="D376" s="113">
        <v>1002959817</v>
      </c>
      <c r="E376" s="116">
        <f t="shared" si="63"/>
        <v>160885.43743984599</v>
      </c>
      <c r="F376" s="117">
        <v>846643969</v>
      </c>
      <c r="G376" s="117">
        <f t="shared" si="64"/>
        <v>135810.71045877447</v>
      </c>
      <c r="H376" s="7"/>
      <c r="I376" s="109">
        <v>2.3992</v>
      </c>
      <c r="J376" s="117">
        <v>2031268</v>
      </c>
      <c r="K376" s="120">
        <f t="shared" si="62"/>
        <v>325.83702277831247</v>
      </c>
      <c r="L376" s="122">
        <f t="shared" si="59"/>
        <v>8466439.6899999995</v>
      </c>
      <c r="M376" s="116">
        <f t="shared" si="60"/>
        <v>6435171.6899999995</v>
      </c>
      <c r="N376" s="123">
        <f t="shared" si="61"/>
        <v>1032.270081809432</v>
      </c>
      <c r="O376" s="5"/>
      <c r="P376" s="5">
        <f t="shared" si="57"/>
        <v>1</v>
      </c>
      <c r="Q376" s="7">
        <f t="shared" si="58"/>
        <v>6234</v>
      </c>
      <c r="S376" s="124">
        <f>SUM(D374:D376)</f>
        <v>2837254731</v>
      </c>
      <c r="T376" s="124">
        <f>SUM(F374:F376)</f>
        <v>1989605330</v>
      </c>
      <c r="U376" s="124">
        <f>SUM(J374:J376)</f>
        <v>10616736</v>
      </c>
    </row>
    <row r="377" spans="1:21">
      <c r="A377" s="23" t="s">
        <v>389</v>
      </c>
      <c r="B377" s="37" t="s">
        <v>552</v>
      </c>
      <c r="C377" s="36">
        <v>41789</v>
      </c>
      <c r="D377" s="113">
        <v>3196777320</v>
      </c>
      <c r="E377" s="116">
        <f t="shared" si="63"/>
        <v>76498.057383521984</v>
      </c>
      <c r="F377" s="117">
        <v>1950013641</v>
      </c>
      <c r="G377" s="117">
        <f t="shared" si="64"/>
        <v>46663.32386513197</v>
      </c>
      <c r="H377" s="7"/>
      <c r="I377" s="109">
        <v>5.4673999999999996</v>
      </c>
      <c r="J377" s="117">
        <v>10661505</v>
      </c>
      <c r="K377" s="120">
        <f t="shared" si="62"/>
        <v>255.12706693148914</v>
      </c>
      <c r="L377" s="122">
        <f t="shared" si="59"/>
        <v>19500136.41</v>
      </c>
      <c r="M377" s="116">
        <f t="shared" si="60"/>
        <v>8838631.4100000001</v>
      </c>
      <c r="N377" s="123">
        <f t="shared" si="61"/>
        <v>211.50617171983058</v>
      </c>
      <c r="O377" s="5"/>
      <c r="P377" s="5">
        <f t="shared" si="57"/>
        <v>1</v>
      </c>
      <c r="Q377" s="7">
        <f t="shared" si="58"/>
        <v>41789</v>
      </c>
    </row>
    <row r="378" spans="1:21">
      <c r="A378" s="24" t="s">
        <v>553</v>
      </c>
      <c r="B378" s="37" t="s">
        <v>552</v>
      </c>
      <c r="C378" s="36">
        <v>166041</v>
      </c>
      <c r="D378" s="113">
        <v>9585033358</v>
      </c>
      <c r="E378" s="116">
        <f t="shared" si="63"/>
        <v>57726.906956715509</v>
      </c>
      <c r="F378" s="117">
        <v>6421915810</v>
      </c>
      <c r="G378" s="117">
        <f t="shared" si="64"/>
        <v>38676.687143536838</v>
      </c>
      <c r="H378" s="7"/>
      <c r="I378" s="109">
        <v>4.5095999999999998</v>
      </c>
      <c r="J378" s="117">
        <v>28960272</v>
      </c>
      <c r="K378" s="120">
        <f t="shared" si="62"/>
        <v>174.41639113231071</v>
      </c>
      <c r="L378" s="122">
        <f t="shared" si="59"/>
        <v>64219158.100000001</v>
      </c>
      <c r="M378" s="116">
        <f t="shared" si="60"/>
        <v>35258886.100000001</v>
      </c>
      <c r="N378" s="123">
        <f t="shared" si="61"/>
        <v>212.35048030305768</v>
      </c>
      <c r="O378" s="5"/>
      <c r="P378" s="5">
        <f t="shared" si="57"/>
        <v>1</v>
      </c>
      <c r="Q378" s="7">
        <f t="shared" si="58"/>
        <v>166041</v>
      </c>
    </row>
    <row r="379" spans="1:21">
      <c r="A379" s="24" t="s">
        <v>554</v>
      </c>
      <c r="B379" s="37" t="s">
        <v>552</v>
      </c>
      <c r="C379" s="36">
        <v>610</v>
      </c>
      <c r="D379" s="113">
        <v>74555000</v>
      </c>
      <c r="E379" s="116">
        <f t="shared" si="63"/>
        <v>122221.31147540984</v>
      </c>
      <c r="F379" s="117">
        <v>53923257</v>
      </c>
      <c r="G379" s="117">
        <f t="shared" si="64"/>
        <v>88398.781967213115</v>
      </c>
      <c r="H379" s="7"/>
      <c r="I379" s="109">
        <v>1.73</v>
      </c>
      <c r="J379" s="117">
        <v>93287</v>
      </c>
      <c r="K379" s="120">
        <f t="shared" si="62"/>
        <v>152.92950819672132</v>
      </c>
      <c r="L379" s="122">
        <f t="shared" si="59"/>
        <v>539232.57000000007</v>
      </c>
      <c r="M379" s="116">
        <f t="shared" si="60"/>
        <v>445945.57000000007</v>
      </c>
      <c r="N379" s="123">
        <f t="shared" si="61"/>
        <v>731.05831147540994</v>
      </c>
      <c r="O379" s="5"/>
      <c r="P379" s="5">
        <f t="shared" si="57"/>
        <v>1</v>
      </c>
      <c r="Q379" s="7">
        <f t="shared" si="58"/>
        <v>610</v>
      </c>
      <c r="S379" s="124">
        <f>SUM(D377:D379)</f>
        <v>12856365678</v>
      </c>
      <c r="T379" s="124">
        <f>SUM(F377:F379)</f>
        <v>8425852708</v>
      </c>
      <c r="U379" s="124">
        <f>SUM(J377:J379)</f>
        <v>39715064</v>
      </c>
    </row>
    <row r="380" spans="1:21">
      <c r="A380" s="23" t="s">
        <v>404</v>
      </c>
      <c r="B380" s="35" t="s">
        <v>405</v>
      </c>
      <c r="C380" s="36">
        <v>2439</v>
      </c>
      <c r="D380" s="113">
        <v>179532919</v>
      </c>
      <c r="E380" s="116">
        <f t="shared" si="63"/>
        <v>73609.232882328826</v>
      </c>
      <c r="F380" s="117">
        <v>117244694</v>
      </c>
      <c r="G380" s="117">
        <f t="shared" si="64"/>
        <v>48070.805248052478</v>
      </c>
      <c r="H380" s="9"/>
      <c r="I380" s="109">
        <v>5</v>
      </c>
      <c r="J380" s="117">
        <v>586223</v>
      </c>
      <c r="K380" s="120">
        <f t="shared" si="62"/>
        <v>240.35383353833538</v>
      </c>
      <c r="L380" s="122">
        <f t="shared" si="59"/>
        <v>1172446.94</v>
      </c>
      <c r="M380" s="116">
        <f t="shared" si="60"/>
        <v>586223.93999999994</v>
      </c>
      <c r="N380" s="123">
        <f t="shared" si="61"/>
        <v>240.35421894218939</v>
      </c>
      <c r="O380" s="5"/>
      <c r="P380" s="5">
        <f t="shared" si="57"/>
        <v>1</v>
      </c>
      <c r="Q380" s="7">
        <f t="shared" si="58"/>
        <v>2439</v>
      </c>
    </row>
    <row r="381" spans="1:21">
      <c r="A381" s="23" t="s">
        <v>406</v>
      </c>
      <c r="B381" s="35" t="s">
        <v>405</v>
      </c>
      <c r="C381" s="36">
        <v>962</v>
      </c>
      <c r="D381" s="113">
        <v>40778233</v>
      </c>
      <c r="E381" s="116">
        <f t="shared" si="63"/>
        <v>42389.015592515592</v>
      </c>
      <c r="F381" s="117">
        <v>24892690</v>
      </c>
      <c r="G381" s="117">
        <f t="shared" si="64"/>
        <v>25875.977130977131</v>
      </c>
      <c r="H381" s="9"/>
      <c r="I381" s="109">
        <v>4.0168999999999997</v>
      </c>
      <c r="J381" s="117">
        <v>99991</v>
      </c>
      <c r="K381" s="120">
        <f t="shared" si="62"/>
        <v>103.94074844074844</v>
      </c>
      <c r="L381" s="122">
        <f t="shared" si="59"/>
        <v>248926.9</v>
      </c>
      <c r="M381" s="116">
        <f t="shared" si="60"/>
        <v>148935.9</v>
      </c>
      <c r="N381" s="123">
        <f t="shared" si="61"/>
        <v>154.81902286902286</v>
      </c>
      <c r="O381" s="5"/>
      <c r="P381" s="5">
        <f t="shared" si="57"/>
        <v>1</v>
      </c>
      <c r="Q381" s="7">
        <f t="shared" si="58"/>
        <v>962</v>
      </c>
    </row>
    <row r="382" spans="1:21">
      <c r="A382" s="23" t="s">
        <v>407</v>
      </c>
      <c r="B382" s="35" t="s">
        <v>405</v>
      </c>
      <c r="C382" s="36">
        <v>705</v>
      </c>
      <c r="D382" s="114" t="s">
        <v>564</v>
      </c>
      <c r="E382" s="116"/>
      <c r="F382" s="117"/>
      <c r="G382" s="117"/>
      <c r="H382" s="9" t="s">
        <v>528</v>
      </c>
      <c r="I382" s="109"/>
      <c r="J382" s="117"/>
      <c r="K382" s="120"/>
      <c r="L382" s="122">
        <f t="shared" si="59"/>
        <v>0</v>
      </c>
      <c r="M382" s="116">
        <f t="shared" si="60"/>
        <v>0</v>
      </c>
      <c r="N382" s="123">
        <f t="shared" si="61"/>
        <v>0</v>
      </c>
      <c r="O382" s="5"/>
      <c r="P382" s="5">
        <f t="shared" si="57"/>
        <v>0</v>
      </c>
      <c r="Q382" s="7">
        <f t="shared" si="58"/>
        <v>0</v>
      </c>
    </row>
    <row r="383" spans="1:21">
      <c r="A383" s="23" t="s">
        <v>408</v>
      </c>
      <c r="B383" s="35" t="s">
        <v>405</v>
      </c>
      <c r="C383" s="36">
        <v>768</v>
      </c>
      <c r="D383" s="113">
        <v>24159114</v>
      </c>
      <c r="E383" s="116">
        <f t="shared" si="63"/>
        <v>31457.1796875</v>
      </c>
      <c r="F383" s="117">
        <v>15150492</v>
      </c>
      <c r="G383" s="117">
        <f t="shared" si="64"/>
        <v>19727.203125</v>
      </c>
      <c r="H383" s="7"/>
      <c r="I383" s="110">
        <v>7</v>
      </c>
      <c r="J383" s="117">
        <v>106053</v>
      </c>
      <c r="K383" s="120">
        <f t="shared" ref="K383:K388" si="65">(J383/C383)</f>
        <v>138.08984375</v>
      </c>
      <c r="L383" s="122">
        <f t="shared" si="59"/>
        <v>151504.92000000001</v>
      </c>
      <c r="M383" s="116">
        <f t="shared" si="60"/>
        <v>45451.920000000013</v>
      </c>
      <c r="N383" s="123">
        <f t="shared" si="61"/>
        <v>59.182187500000019</v>
      </c>
      <c r="O383" s="5"/>
      <c r="P383" s="5">
        <f t="shared" si="57"/>
        <v>1</v>
      </c>
      <c r="Q383" s="7">
        <f t="shared" si="58"/>
        <v>768</v>
      </c>
    </row>
    <row r="384" spans="1:21">
      <c r="A384" s="23" t="s">
        <v>409</v>
      </c>
      <c r="B384" s="35" t="s">
        <v>405</v>
      </c>
      <c r="C384" s="36">
        <v>6926</v>
      </c>
      <c r="D384" s="113">
        <v>495637221</v>
      </c>
      <c r="E384" s="116">
        <f t="shared" si="63"/>
        <v>71561.82803927231</v>
      </c>
      <c r="F384" s="117">
        <v>367693423</v>
      </c>
      <c r="G384" s="117">
        <f t="shared" si="64"/>
        <v>53088.856915968812</v>
      </c>
      <c r="H384" s="7"/>
      <c r="I384" s="109">
        <v>4.0713999999999997</v>
      </c>
      <c r="J384" s="118">
        <v>1497027</v>
      </c>
      <c r="K384" s="120">
        <f t="shared" si="65"/>
        <v>216.14597170083744</v>
      </c>
      <c r="L384" s="122">
        <f t="shared" si="59"/>
        <v>3676934.23</v>
      </c>
      <c r="M384" s="116">
        <f t="shared" si="60"/>
        <v>2179907.23</v>
      </c>
      <c r="N384" s="123">
        <f t="shared" si="61"/>
        <v>314.7425974588507</v>
      </c>
      <c r="O384" s="5"/>
      <c r="P384" s="5">
        <f t="shared" si="57"/>
        <v>1</v>
      </c>
      <c r="Q384" s="7">
        <f t="shared" si="58"/>
        <v>6926</v>
      </c>
      <c r="S384" s="124">
        <f>SUM(D380:D384)</f>
        <v>740107487</v>
      </c>
      <c r="T384" s="124">
        <f>SUM(F380:F384)</f>
        <v>524981299</v>
      </c>
      <c r="U384" s="124">
        <f>SUM(J380:J384)</f>
        <v>2289294</v>
      </c>
    </row>
    <row r="385" spans="1:21">
      <c r="A385" s="23" t="s">
        <v>410</v>
      </c>
      <c r="B385" s="35" t="s">
        <v>411</v>
      </c>
      <c r="C385" s="36">
        <v>705</v>
      </c>
      <c r="D385" s="113">
        <v>41991002</v>
      </c>
      <c r="E385" s="116">
        <f t="shared" si="63"/>
        <v>59561.704964539007</v>
      </c>
      <c r="F385" s="117">
        <v>24617538</v>
      </c>
      <c r="G385" s="117">
        <f t="shared" si="64"/>
        <v>34918.493617021275</v>
      </c>
      <c r="H385" s="7"/>
      <c r="I385" s="109">
        <v>4.2572999999999999</v>
      </c>
      <c r="J385" s="117">
        <v>104804</v>
      </c>
      <c r="K385" s="120">
        <f t="shared" si="65"/>
        <v>148.65815602836881</v>
      </c>
      <c r="L385" s="122">
        <f t="shared" si="59"/>
        <v>246175.38</v>
      </c>
      <c r="M385" s="116">
        <f t="shared" si="60"/>
        <v>141371.38</v>
      </c>
      <c r="N385" s="123">
        <f t="shared" si="61"/>
        <v>200.52678014184397</v>
      </c>
      <c r="O385" s="5"/>
      <c r="P385" s="5">
        <f t="shared" si="57"/>
        <v>1</v>
      </c>
      <c r="Q385" s="7">
        <f t="shared" si="58"/>
        <v>705</v>
      </c>
    </row>
    <row r="386" spans="1:21">
      <c r="A386" s="23" t="s">
        <v>412</v>
      </c>
      <c r="B386" s="35" t="s">
        <v>411</v>
      </c>
      <c r="C386" s="36">
        <v>6858</v>
      </c>
      <c r="D386" s="113">
        <v>343858021</v>
      </c>
      <c r="E386" s="116">
        <f t="shared" si="63"/>
        <v>50139.693934091571</v>
      </c>
      <c r="F386" s="117">
        <v>213650217</v>
      </c>
      <c r="G386" s="117">
        <f t="shared" si="64"/>
        <v>31153.429133858266</v>
      </c>
      <c r="H386" s="7"/>
      <c r="I386" s="109">
        <v>6.2119</v>
      </c>
      <c r="J386" s="117">
        <v>1327174</v>
      </c>
      <c r="K386" s="120">
        <f t="shared" si="65"/>
        <v>193.52201808107321</v>
      </c>
      <c r="L386" s="122">
        <f t="shared" si="59"/>
        <v>2136502.17</v>
      </c>
      <c r="M386" s="116">
        <f t="shared" si="60"/>
        <v>809328.16999999993</v>
      </c>
      <c r="N386" s="123">
        <f t="shared" si="61"/>
        <v>118.01227325750946</v>
      </c>
      <c r="O386" s="5"/>
      <c r="P386" s="5">
        <f t="shared" si="57"/>
        <v>1</v>
      </c>
      <c r="Q386" s="7">
        <f t="shared" si="58"/>
        <v>6858</v>
      </c>
      <c r="S386" s="124">
        <f>SUM(D385:D386)</f>
        <v>385849023</v>
      </c>
      <c r="T386" s="124">
        <f>SUM(F385:F386)</f>
        <v>238267755</v>
      </c>
      <c r="U386" s="124">
        <f>SUM(J385:J386)</f>
        <v>1431978</v>
      </c>
    </row>
    <row r="387" spans="1:21">
      <c r="A387" s="23" t="s">
        <v>413</v>
      </c>
      <c r="B387" s="35" t="s">
        <v>414</v>
      </c>
      <c r="C387" s="36">
        <v>6977</v>
      </c>
      <c r="D387" s="113">
        <v>409477987</v>
      </c>
      <c r="E387" s="116">
        <f t="shared" si="63"/>
        <v>58689.692847928913</v>
      </c>
      <c r="F387" s="117">
        <v>227870929</v>
      </c>
      <c r="G387" s="117">
        <f t="shared" si="64"/>
        <v>32660.302278916439</v>
      </c>
      <c r="H387" s="9"/>
      <c r="I387" s="109">
        <v>4.5</v>
      </c>
      <c r="J387" s="117">
        <v>1025419</v>
      </c>
      <c r="K387" s="120">
        <f t="shared" si="65"/>
        <v>146.97133438440591</v>
      </c>
      <c r="L387" s="122">
        <f t="shared" si="59"/>
        <v>2278709.29</v>
      </c>
      <c r="M387" s="116">
        <f t="shared" si="60"/>
        <v>1253290.29</v>
      </c>
      <c r="N387" s="123">
        <f t="shared" si="61"/>
        <v>179.63168840475851</v>
      </c>
      <c r="O387" s="5"/>
      <c r="P387" s="5">
        <f t="shared" si="57"/>
        <v>1</v>
      </c>
      <c r="Q387" s="7">
        <f t="shared" si="58"/>
        <v>6977</v>
      </c>
      <c r="S387" s="124">
        <f>SUM(D387)</f>
        <v>409477987</v>
      </c>
      <c r="T387" s="124">
        <f>SUM(F387)</f>
        <v>227870929</v>
      </c>
      <c r="U387" s="124">
        <f>SUM(J387)</f>
        <v>1025419</v>
      </c>
    </row>
    <row r="388" spans="1:21">
      <c r="A388" s="23" t="s">
        <v>415</v>
      </c>
      <c r="B388" s="35" t="s">
        <v>416</v>
      </c>
      <c r="C388" s="36">
        <v>1892</v>
      </c>
      <c r="D388" s="113">
        <v>68775088</v>
      </c>
      <c r="E388" s="116">
        <f t="shared" si="63"/>
        <v>36350.469344608879</v>
      </c>
      <c r="F388" s="117">
        <v>34735736</v>
      </c>
      <c r="G388" s="117">
        <f t="shared" si="64"/>
        <v>18359.268498942918</v>
      </c>
      <c r="H388" s="9"/>
      <c r="I388" s="109">
        <v>2.2599</v>
      </c>
      <c r="J388" s="117">
        <v>78499</v>
      </c>
      <c r="K388" s="120">
        <f t="shared" si="65"/>
        <v>41.489957716701902</v>
      </c>
      <c r="L388" s="122">
        <f t="shared" si="59"/>
        <v>347357.36</v>
      </c>
      <c r="M388" s="116">
        <f t="shared" si="60"/>
        <v>268858.36</v>
      </c>
      <c r="N388" s="123">
        <f t="shared" si="61"/>
        <v>142.10272727272726</v>
      </c>
      <c r="O388" s="5"/>
      <c r="P388" s="5">
        <f t="shared" si="57"/>
        <v>1</v>
      </c>
      <c r="Q388" s="7">
        <f t="shared" si="58"/>
        <v>1892</v>
      </c>
    </row>
    <row r="389" spans="1:21">
      <c r="A389" s="23" t="s">
        <v>417</v>
      </c>
      <c r="B389" s="35" t="s">
        <v>416</v>
      </c>
      <c r="C389" s="36">
        <v>255</v>
      </c>
      <c r="D389" s="114" t="s">
        <v>564</v>
      </c>
      <c r="E389" s="116"/>
      <c r="F389" s="117"/>
      <c r="G389" s="117"/>
      <c r="H389" s="9" t="s">
        <v>528</v>
      </c>
      <c r="I389" s="109"/>
      <c r="J389" s="117"/>
      <c r="K389" s="120"/>
      <c r="L389" s="122">
        <f t="shared" si="59"/>
        <v>0</v>
      </c>
      <c r="M389" s="116">
        <f t="shared" si="60"/>
        <v>0</v>
      </c>
      <c r="N389" s="123">
        <f t="shared" si="61"/>
        <v>0</v>
      </c>
      <c r="O389" s="5"/>
      <c r="P389" s="5">
        <f t="shared" si="57"/>
        <v>0</v>
      </c>
      <c r="Q389" s="7">
        <f t="shared" si="58"/>
        <v>0</v>
      </c>
    </row>
    <row r="390" spans="1:21">
      <c r="A390" s="23" t="s">
        <v>418</v>
      </c>
      <c r="B390" s="35" t="s">
        <v>416</v>
      </c>
      <c r="C390" s="36">
        <v>391</v>
      </c>
      <c r="D390" s="113">
        <v>10854013</v>
      </c>
      <c r="E390" s="116">
        <f t="shared" si="63"/>
        <v>27759.624040920717</v>
      </c>
      <c r="F390" s="117">
        <v>5544153</v>
      </c>
      <c r="G390" s="117">
        <f t="shared" si="64"/>
        <v>14179.419437340153</v>
      </c>
      <c r="H390" s="7"/>
      <c r="I390" s="110">
        <v>1.6708000000000001</v>
      </c>
      <c r="J390" s="117">
        <v>9263</v>
      </c>
      <c r="K390" s="120">
        <f t="shared" ref="K390:K406" si="66">(J390/C390)</f>
        <v>23.690537084398976</v>
      </c>
      <c r="L390" s="122">
        <f t="shared" si="59"/>
        <v>55441.53</v>
      </c>
      <c r="M390" s="116">
        <f t="shared" si="60"/>
        <v>46178.53</v>
      </c>
      <c r="N390" s="123">
        <f t="shared" si="61"/>
        <v>118.10365728900256</v>
      </c>
      <c r="O390" s="5"/>
      <c r="P390" s="5">
        <f t="shared" ref="P390:P416" si="67">IF(I390&gt;0,1,0)</f>
        <v>1</v>
      </c>
      <c r="Q390" s="7">
        <f t="shared" ref="Q390:Q416" si="68">IF(I390&gt;0,C390,0)</f>
        <v>391</v>
      </c>
      <c r="S390" s="124">
        <f>SUM(D388:D390)</f>
        <v>79629101</v>
      </c>
      <c r="T390" s="124">
        <f>SUM(F388:F390)</f>
        <v>40279889</v>
      </c>
      <c r="U390" s="124">
        <f>SUM(J388:J390)</f>
        <v>87762</v>
      </c>
    </row>
    <row r="391" spans="1:21">
      <c r="A391" s="23" t="s">
        <v>419</v>
      </c>
      <c r="B391" s="35" t="s">
        <v>420</v>
      </c>
      <c r="C391" s="36">
        <v>61031</v>
      </c>
      <c r="D391" s="113">
        <v>5355083935</v>
      </c>
      <c r="E391" s="116">
        <f t="shared" si="63"/>
        <v>87743.670184004848</v>
      </c>
      <c r="F391" s="117">
        <v>3370395598</v>
      </c>
      <c r="G391" s="117">
        <f t="shared" si="64"/>
        <v>55224.32203306516</v>
      </c>
      <c r="H391" s="7"/>
      <c r="I391" s="109">
        <v>6.2598000000000003</v>
      </c>
      <c r="J391" s="117">
        <v>21098002</v>
      </c>
      <c r="K391" s="120">
        <f t="shared" si="66"/>
        <v>345.693205092494</v>
      </c>
      <c r="L391" s="122">
        <f t="shared" si="59"/>
        <v>33703955.980000004</v>
      </c>
      <c r="M391" s="116">
        <f t="shared" si="60"/>
        <v>12605953.980000004</v>
      </c>
      <c r="N391" s="123">
        <f t="shared" si="61"/>
        <v>206.55001523815773</v>
      </c>
      <c r="O391" s="5"/>
      <c r="P391" s="5">
        <f t="shared" si="67"/>
        <v>1</v>
      </c>
      <c r="Q391" s="7">
        <f t="shared" si="68"/>
        <v>61031</v>
      </c>
    </row>
    <row r="392" spans="1:21">
      <c r="A392" s="23" t="s">
        <v>421</v>
      </c>
      <c r="B392" s="35" t="s">
        <v>420</v>
      </c>
      <c r="C392" s="36">
        <v>4259</v>
      </c>
      <c r="D392" s="113">
        <v>1234929805</v>
      </c>
      <c r="E392" s="116">
        <f t="shared" si="63"/>
        <v>289957.69077248179</v>
      </c>
      <c r="F392" s="117">
        <v>1109097299</v>
      </c>
      <c r="G392" s="117">
        <f t="shared" si="64"/>
        <v>260412.60835876968</v>
      </c>
      <c r="H392" s="7"/>
      <c r="I392" s="109">
        <v>6.09</v>
      </c>
      <c r="J392" s="117">
        <v>6754403</v>
      </c>
      <c r="K392" s="120">
        <f t="shared" si="66"/>
        <v>1585.9128903498474</v>
      </c>
      <c r="L392" s="122">
        <f t="shared" ref="L392:L416" si="69">(F392*0.01)</f>
        <v>11090972.99</v>
      </c>
      <c r="M392" s="116">
        <f t="shared" ref="M392:M416" si="70">(L392-J392)</f>
        <v>4336569.99</v>
      </c>
      <c r="N392" s="123">
        <f t="shared" ref="N392:N416" si="71">(M392/C392)</f>
        <v>1018.2131932378493</v>
      </c>
      <c r="O392" s="5"/>
      <c r="P392" s="5">
        <f t="shared" si="67"/>
        <v>1</v>
      </c>
      <c r="Q392" s="7">
        <f t="shared" si="68"/>
        <v>4259</v>
      </c>
    </row>
    <row r="393" spans="1:21">
      <c r="A393" s="23" t="s">
        <v>462</v>
      </c>
      <c r="B393" s="35" t="s">
        <v>420</v>
      </c>
      <c r="C393" s="36">
        <v>19315</v>
      </c>
      <c r="D393" s="113">
        <v>1779605685</v>
      </c>
      <c r="E393" s="116">
        <f t="shared" si="63"/>
        <v>92135.940201915611</v>
      </c>
      <c r="F393" s="117">
        <v>1424353832</v>
      </c>
      <c r="G393" s="117">
        <f t="shared" si="64"/>
        <v>73743.403158167232</v>
      </c>
      <c r="H393" s="7"/>
      <c r="I393" s="109">
        <v>2.99</v>
      </c>
      <c r="J393" s="117">
        <v>4258818</v>
      </c>
      <c r="K393" s="120">
        <f t="shared" si="66"/>
        <v>220.49277763396324</v>
      </c>
      <c r="L393" s="122">
        <f t="shared" si="69"/>
        <v>14243538.32</v>
      </c>
      <c r="M393" s="116">
        <f t="shared" si="70"/>
        <v>9984720.3200000003</v>
      </c>
      <c r="N393" s="123">
        <f t="shared" si="71"/>
        <v>516.94125394770901</v>
      </c>
      <c r="O393" s="5"/>
      <c r="P393" s="5">
        <f t="shared" si="67"/>
        <v>1</v>
      </c>
      <c r="Q393" s="7">
        <f t="shared" si="68"/>
        <v>19315</v>
      </c>
    </row>
    <row r="394" spans="1:21">
      <c r="A394" s="23" t="s">
        <v>463</v>
      </c>
      <c r="B394" s="35" t="s">
        <v>420</v>
      </c>
      <c r="C394" s="36">
        <v>27330</v>
      </c>
      <c r="D394" s="113">
        <v>1813186190</v>
      </c>
      <c r="E394" s="116">
        <f t="shared" si="63"/>
        <v>66344.170874496893</v>
      </c>
      <c r="F394" s="117">
        <v>1180368758</v>
      </c>
      <c r="G394" s="117">
        <f t="shared" si="64"/>
        <v>43189.489864617637</v>
      </c>
      <c r="H394" s="7"/>
      <c r="I394" s="109">
        <v>6.6409000000000002</v>
      </c>
      <c r="J394" s="117">
        <v>7838711</v>
      </c>
      <c r="K394" s="120">
        <f t="shared" si="66"/>
        <v>286.81708744968898</v>
      </c>
      <c r="L394" s="122">
        <f t="shared" si="69"/>
        <v>11803687.58</v>
      </c>
      <c r="M394" s="116">
        <f t="shared" si="70"/>
        <v>3964976.58</v>
      </c>
      <c r="N394" s="123">
        <f t="shared" si="71"/>
        <v>145.07781119648737</v>
      </c>
      <c r="O394" s="5"/>
      <c r="P394" s="5">
        <f t="shared" si="67"/>
        <v>1</v>
      </c>
      <c r="Q394" s="7">
        <f t="shared" si="68"/>
        <v>27330</v>
      </c>
    </row>
    <row r="395" spans="1:21">
      <c r="A395" s="23" t="s">
        <v>422</v>
      </c>
      <c r="B395" s="35" t="s">
        <v>420</v>
      </c>
      <c r="C395" s="36">
        <v>85233</v>
      </c>
      <c r="D395" s="113">
        <v>2655248715</v>
      </c>
      <c r="E395" s="116">
        <f t="shared" si="63"/>
        <v>31152.824786174369</v>
      </c>
      <c r="F395" s="117">
        <v>1475460356</v>
      </c>
      <c r="G395" s="117">
        <f t="shared" si="64"/>
        <v>17310.904884258445</v>
      </c>
      <c r="H395" s="7"/>
      <c r="I395" s="109">
        <v>8.2995000000000001</v>
      </c>
      <c r="J395" s="117">
        <v>12245583</v>
      </c>
      <c r="K395" s="120">
        <f t="shared" si="66"/>
        <v>143.67185245151526</v>
      </c>
      <c r="L395" s="122">
        <f t="shared" si="69"/>
        <v>14754603.560000001</v>
      </c>
      <c r="M395" s="116">
        <f t="shared" si="70"/>
        <v>2509020.5600000005</v>
      </c>
      <c r="N395" s="123">
        <f t="shared" si="71"/>
        <v>29.437196391069193</v>
      </c>
      <c r="O395" s="5"/>
      <c r="P395" s="5">
        <f t="shared" si="67"/>
        <v>1</v>
      </c>
      <c r="Q395" s="7">
        <f t="shared" si="68"/>
        <v>85233</v>
      </c>
    </row>
    <row r="396" spans="1:21">
      <c r="A396" s="23" t="s">
        <v>423</v>
      </c>
      <c r="B396" s="35" t="s">
        <v>420</v>
      </c>
      <c r="C396" s="36">
        <v>20734</v>
      </c>
      <c r="D396" s="113">
        <v>939497777</v>
      </c>
      <c r="E396" s="116">
        <f t="shared" si="63"/>
        <v>45311.940628918681</v>
      </c>
      <c r="F396" s="117">
        <v>579192821</v>
      </c>
      <c r="G396" s="117">
        <f t="shared" si="64"/>
        <v>27934.446850583583</v>
      </c>
      <c r="H396" s="7"/>
      <c r="I396" s="109">
        <v>6.47</v>
      </c>
      <c r="J396" s="117">
        <v>3747378</v>
      </c>
      <c r="K396" s="120">
        <f t="shared" si="66"/>
        <v>180.73589273656796</v>
      </c>
      <c r="L396" s="122">
        <f t="shared" si="69"/>
        <v>5791928.21</v>
      </c>
      <c r="M396" s="116">
        <f t="shared" si="70"/>
        <v>2044550.21</v>
      </c>
      <c r="N396" s="123">
        <f t="shared" si="71"/>
        <v>98.608575769267873</v>
      </c>
      <c r="O396" s="5"/>
      <c r="P396" s="5">
        <f t="shared" si="67"/>
        <v>1</v>
      </c>
      <c r="Q396" s="7">
        <f t="shared" si="68"/>
        <v>20734</v>
      </c>
    </row>
    <row r="397" spans="1:21">
      <c r="A397" s="23" t="s">
        <v>424</v>
      </c>
      <c r="B397" s="35" t="s">
        <v>420</v>
      </c>
      <c r="C397" s="36">
        <v>11652</v>
      </c>
      <c r="D397" s="113">
        <v>645952148</v>
      </c>
      <c r="E397" s="116">
        <f t="shared" si="63"/>
        <v>55437.019224167525</v>
      </c>
      <c r="F397" s="117">
        <v>475493674</v>
      </c>
      <c r="G397" s="117">
        <f t="shared" si="64"/>
        <v>40807.90199107449</v>
      </c>
      <c r="H397" s="7"/>
      <c r="I397" s="109">
        <v>6.95</v>
      </c>
      <c r="J397" s="117">
        <v>3304681</v>
      </c>
      <c r="K397" s="120">
        <f t="shared" si="66"/>
        <v>283.61491589426709</v>
      </c>
      <c r="L397" s="122">
        <f t="shared" si="69"/>
        <v>4754936.74</v>
      </c>
      <c r="M397" s="116">
        <f t="shared" si="70"/>
        <v>1450255.7400000002</v>
      </c>
      <c r="N397" s="123">
        <f t="shared" si="71"/>
        <v>124.46410401647788</v>
      </c>
      <c r="O397" s="5"/>
      <c r="P397" s="5">
        <f t="shared" si="67"/>
        <v>1</v>
      </c>
      <c r="Q397" s="7">
        <f t="shared" si="68"/>
        <v>11652</v>
      </c>
    </row>
    <row r="398" spans="1:21">
      <c r="A398" s="23" t="s">
        <v>425</v>
      </c>
      <c r="B398" s="35" t="s">
        <v>420</v>
      </c>
      <c r="C398" s="36">
        <v>2614</v>
      </c>
      <c r="D398" s="113">
        <v>123279175</v>
      </c>
      <c r="E398" s="116">
        <f t="shared" si="63"/>
        <v>47161.122800306046</v>
      </c>
      <c r="F398" s="117">
        <v>72637306</v>
      </c>
      <c r="G398" s="117">
        <f t="shared" si="64"/>
        <v>27787.798775822495</v>
      </c>
      <c r="H398" s="7"/>
      <c r="I398" s="109">
        <v>5.9870000000000001</v>
      </c>
      <c r="J398" s="117">
        <v>434880</v>
      </c>
      <c r="K398" s="120">
        <f t="shared" si="66"/>
        <v>166.36572302983933</v>
      </c>
      <c r="L398" s="122">
        <f t="shared" si="69"/>
        <v>726373.06</v>
      </c>
      <c r="M398" s="116">
        <f t="shared" si="70"/>
        <v>291493.06000000006</v>
      </c>
      <c r="N398" s="123">
        <f t="shared" si="71"/>
        <v>111.51226472838563</v>
      </c>
      <c r="O398" s="5"/>
      <c r="P398" s="5">
        <f t="shared" si="67"/>
        <v>1</v>
      </c>
      <c r="Q398" s="7">
        <f t="shared" si="68"/>
        <v>2614</v>
      </c>
    </row>
    <row r="399" spans="1:21">
      <c r="A399" s="23" t="s">
        <v>426</v>
      </c>
      <c r="B399" s="35" t="s">
        <v>420</v>
      </c>
      <c r="C399" s="36">
        <v>22668</v>
      </c>
      <c r="D399" s="113">
        <v>3193398466</v>
      </c>
      <c r="E399" s="116">
        <f t="shared" si="63"/>
        <v>140876.93956237868</v>
      </c>
      <c r="F399" s="117">
        <v>2405466120</v>
      </c>
      <c r="G399" s="117">
        <f t="shared" si="64"/>
        <v>106117.26310217046</v>
      </c>
      <c r="H399" s="7"/>
      <c r="I399" s="109">
        <v>3.4792999999999998</v>
      </c>
      <c r="J399" s="117">
        <v>8369338</v>
      </c>
      <c r="K399" s="120">
        <f t="shared" si="66"/>
        <v>369.21378154226221</v>
      </c>
      <c r="L399" s="122">
        <f t="shared" si="69"/>
        <v>24054661.199999999</v>
      </c>
      <c r="M399" s="116">
        <f t="shared" si="70"/>
        <v>15685323.199999999</v>
      </c>
      <c r="N399" s="123">
        <f t="shared" si="71"/>
        <v>691.95884947944239</v>
      </c>
      <c r="O399" s="5"/>
      <c r="P399" s="5">
        <f t="shared" si="67"/>
        <v>1</v>
      </c>
      <c r="Q399" s="7">
        <f t="shared" si="68"/>
        <v>22668</v>
      </c>
    </row>
    <row r="400" spans="1:21">
      <c r="A400" s="23" t="s">
        <v>427</v>
      </c>
      <c r="B400" s="35" t="s">
        <v>420</v>
      </c>
      <c r="C400" s="36">
        <v>1794</v>
      </c>
      <c r="D400" s="113">
        <v>139393117</v>
      </c>
      <c r="E400" s="116">
        <f t="shared" si="63"/>
        <v>77699.619286510584</v>
      </c>
      <c r="F400" s="117">
        <v>79419676</v>
      </c>
      <c r="G400" s="117">
        <f t="shared" si="64"/>
        <v>44269.607580824973</v>
      </c>
      <c r="H400" s="7"/>
      <c r="I400" s="109">
        <v>6.3926999999999996</v>
      </c>
      <c r="J400" s="117">
        <v>507706</v>
      </c>
      <c r="K400" s="120">
        <f t="shared" si="66"/>
        <v>283.00222965440355</v>
      </c>
      <c r="L400" s="122">
        <f t="shared" si="69"/>
        <v>794196.76</v>
      </c>
      <c r="M400" s="116">
        <f t="shared" si="70"/>
        <v>286490.76</v>
      </c>
      <c r="N400" s="123">
        <f t="shared" si="71"/>
        <v>159.69384615384615</v>
      </c>
      <c r="O400" s="5"/>
      <c r="P400" s="5">
        <f t="shared" si="67"/>
        <v>1</v>
      </c>
      <c r="Q400" s="7">
        <f t="shared" si="68"/>
        <v>1794</v>
      </c>
    </row>
    <row r="401" spans="1:21">
      <c r="A401" s="23" t="s">
        <v>428</v>
      </c>
      <c r="B401" s="35" t="s">
        <v>420</v>
      </c>
      <c r="C401" s="36">
        <v>11143</v>
      </c>
      <c r="D401" s="113">
        <v>689822163</v>
      </c>
      <c r="E401" s="116">
        <f t="shared" si="63"/>
        <v>61906.323521493316</v>
      </c>
      <c r="F401" s="117">
        <v>488456881</v>
      </c>
      <c r="G401" s="117">
        <f t="shared" si="64"/>
        <v>43835.311944718655</v>
      </c>
      <c r="H401" s="7"/>
      <c r="I401" s="109">
        <v>7.0757000000000003</v>
      </c>
      <c r="J401" s="117">
        <v>3456174</v>
      </c>
      <c r="K401" s="120">
        <f t="shared" si="66"/>
        <v>310.16548505788387</v>
      </c>
      <c r="L401" s="122">
        <f t="shared" si="69"/>
        <v>4884568.8100000005</v>
      </c>
      <c r="M401" s="116">
        <f t="shared" si="70"/>
        <v>1428394.8100000005</v>
      </c>
      <c r="N401" s="123">
        <f t="shared" si="71"/>
        <v>128.18763438930276</v>
      </c>
      <c r="O401" s="5"/>
      <c r="P401" s="5">
        <f t="shared" si="67"/>
        <v>1</v>
      </c>
      <c r="Q401" s="7">
        <f t="shared" si="68"/>
        <v>11143</v>
      </c>
    </row>
    <row r="402" spans="1:21">
      <c r="A402" s="23" t="s">
        <v>429</v>
      </c>
      <c r="B402" s="35" t="s">
        <v>420</v>
      </c>
      <c r="C402" s="36">
        <v>38376</v>
      </c>
      <c r="D402" s="113">
        <v>3463105637</v>
      </c>
      <c r="E402" s="116">
        <f t="shared" si="63"/>
        <v>90241.443532416088</v>
      </c>
      <c r="F402" s="117">
        <v>2471998059</v>
      </c>
      <c r="G402" s="117">
        <f t="shared" si="64"/>
        <v>64415.208958724201</v>
      </c>
      <c r="H402" s="7"/>
      <c r="I402" s="109">
        <v>3.8933</v>
      </c>
      <c r="J402" s="117">
        <v>9624230</v>
      </c>
      <c r="K402" s="120">
        <f t="shared" si="66"/>
        <v>250.78773191578068</v>
      </c>
      <c r="L402" s="122">
        <f t="shared" si="69"/>
        <v>24719980.59</v>
      </c>
      <c r="M402" s="116">
        <f t="shared" si="70"/>
        <v>15095750.59</v>
      </c>
      <c r="N402" s="123">
        <f t="shared" si="71"/>
        <v>393.36435767146133</v>
      </c>
      <c r="O402" s="5"/>
      <c r="P402" s="5">
        <f t="shared" si="67"/>
        <v>1</v>
      </c>
      <c r="Q402" s="7">
        <f t="shared" si="68"/>
        <v>38376</v>
      </c>
    </row>
    <row r="403" spans="1:21">
      <c r="A403" s="23" t="s">
        <v>430</v>
      </c>
      <c r="B403" s="35" t="s">
        <v>420</v>
      </c>
      <c r="C403" s="36">
        <v>1724</v>
      </c>
      <c r="D403" s="113">
        <v>92489110</v>
      </c>
      <c r="E403" s="116">
        <f t="shared" si="63"/>
        <v>53647.975638051044</v>
      </c>
      <c r="F403" s="117">
        <v>43060893</v>
      </c>
      <c r="G403" s="117">
        <f t="shared" si="64"/>
        <v>24977.316125290025</v>
      </c>
      <c r="H403" s="7"/>
      <c r="I403" s="109">
        <v>5.8</v>
      </c>
      <c r="J403" s="117">
        <v>249753</v>
      </c>
      <c r="K403" s="120">
        <f t="shared" si="66"/>
        <v>144.8683294663573</v>
      </c>
      <c r="L403" s="122">
        <f t="shared" si="69"/>
        <v>430608.93</v>
      </c>
      <c r="M403" s="116">
        <f t="shared" si="70"/>
        <v>180855.93</v>
      </c>
      <c r="N403" s="123">
        <f t="shared" si="71"/>
        <v>104.90483178654291</v>
      </c>
      <c r="O403" s="5"/>
      <c r="P403" s="5">
        <f t="shared" si="67"/>
        <v>1</v>
      </c>
      <c r="Q403" s="7">
        <f t="shared" si="68"/>
        <v>1724</v>
      </c>
    </row>
    <row r="404" spans="1:21">
      <c r="A404" s="23" t="s">
        <v>431</v>
      </c>
      <c r="B404" s="35" t="s">
        <v>420</v>
      </c>
      <c r="C404" s="36">
        <v>3039</v>
      </c>
      <c r="D404" s="113">
        <v>791089481</v>
      </c>
      <c r="E404" s="116">
        <f t="shared" si="63"/>
        <v>260312.43205001645</v>
      </c>
      <c r="F404" s="117">
        <v>644481574</v>
      </c>
      <c r="G404" s="117">
        <f t="shared" si="64"/>
        <v>212070.27772293516</v>
      </c>
      <c r="H404" s="7"/>
      <c r="I404" s="109">
        <v>4.7618</v>
      </c>
      <c r="J404" s="117">
        <v>3068892</v>
      </c>
      <c r="K404" s="120">
        <f t="shared" si="66"/>
        <v>1009.8361303060217</v>
      </c>
      <c r="L404" s="122">
        <f t="shared" si="69"/>
        <v>6444815.7400000002</v>
      </c>
      <c r="M404" s="116">
        <f t="shared" si="70"/>
        <v>3375923.74</v>
      </c>
      <c r="N404" s="123">
        <f t="shared" si="71"/>
        <v>1110.8666469233301</v>
      </c>
      <c r="O404" s="5"/>
      <c r="P404" s="5">
        <f t="shared" si="67"/>
        <v>1</v>
      </c>
      <c r="Q404" s="7">
        <f t="shared" si="68"/>
        <v>3039</v>
      </c>
    </row>
    <row r="405" spans="1:21">
      <c r="A405" s="23" t="s">
        <v>432</v>
      </c>
      <c r="B405" s="35" t="s">
        <v>420</v>
      </c>
      <c r="C405" s="36">
        <v>56313</v>
      </c>
      <c r="D405" s="113">
        <v>3331284754</v>
      </c>
      <c r="E405" s="116">
        <f t="shared" si="63"/>
        <v>59156.58469625131</v>
      </c>
      <c r="F405" s="117">
        <v>2247807133</v>
      </c>
      <c r="G405" s="117">
        <f t="shared" si="64"/>
        <v>39916.309431214817</v>
      </c>
      <c r="H405" s="7"/>
      <c r="I405" s="109">
        <v>4.95</v>
      </c>
      <c r="J405" s="117">
        <v>11126645</v>
      </c>
      <c r="K405" s="120">
        <f t="shared" si="66"/>
        <v>197.58572620886829</v>
      </c>
      <c r="L405" s="122">
        <f t="shared" si="69"/>
        <v>22478071.330000002</v>
      </c>
      <c r="M405" s="116">
        <f t="shared" si="70"/>
        <v>11351426.330000002</v>
      </c>
      <c r="N405" s="123">
        <f t="shared" si="71"/>
        <v>201.57736810327992</v>
      </c>
      <c r="O405" s="5"/>
      <c r="P405" s="5">
        <f t="shared" si="67"/>
        <v>1</v>
      </c>
      <c r="Q405" s="7">
        <f t="shared" si="68"/>
        <v>56313</v>
      </c>
    </row>
    <row r="406" spans="1:21">
      <c r="A406" s="23" t="s">
        <v>433</v>
      </c>
      <c r="B406" s="35" t="s">
        <v>420</v>
      </c>
      <c r="C406" s="36">
        <v>12285</v>
      </c>
      <c r="D406" s="113">
        <v>654220562</v>
      </c>
      <c r="E406" s="116">
        <f t="shared" si="63"/>
        <v>53253.607000406999</v>
      </c>
      <c r="F406" s="117">
        <v>450101640</v>
      </c>
      <c r="G406" s="117">
        <f t="shared" si="64"/>
        <v>36638.310134310137</v>
      </c>
      <c r="H406" s="9"/>
      <c r="I406" s="109">
        <v>5.9</v>
      </c>
      <c r="J406" s="117">
        <v>2655600</v>
      </c>
      <c r="K406" s="120">
        <f t="shared" si="66"/>
        <v>216.16605616605617</v>
      </c>
      <c r="L406" s="122">
        <f t="shared" si="69"/>
        <v>4501016.4000000004</v>
      </c>
      <c r="M406" s="116">
        <f t="shared" si="70"/>
        <v>1845416.4000000004</v>
      </c>
      <c r="N406" s="123">
        <f t="shared" si="71"/>
        <v>150.21704517704521</v>
      </c>
      <c r="O406" s="5"/>
      <c r="P406" s="5">
        <f t="shared" si="67"/>
        <v>1</v>
      </c>
      <c r="Q406" s="7">
        <f t="shared" si="68"/>
        <v>12285</v>
      </c>
      <c r="S406" s="124">
        <f>SUM(D391:D406)</f>
        <v>26901586720</v>
      </c>
      <c r="T406" s="124">
        <f>SUM(F391:F406)</f>
        <v>18517791620</v>
      </c>
      <c r="U406" s="124">
        <f>SUM(J391:J406)</f>
        <v>98740794</v>
      </c>
    </row>
    <row r="407" spans="1:21">
      <c r="A407" s="23" t="s">
        <v>435</v>
      </c>
      <c r="B407" s="35" t="s">
        <v>434</v>
      </c>
      <c r="C407" s="36">
        <v>457</v>
      </c>
      <c r="D407" s="114" t="s">
        <v>564</v>
      </c>
      <c r="E407" s="116"/>
      <c r="F407" s="117"/>
      <c r="G407" s="117"/>
      <c r="H407" s="9" t="s">
        <v>528</v>
      </c>
      <c r="I407" s="109"/>
      <c r="J407" s="117"/>
      <c r="K407" s="120"/>
      <c r="L407" s="122">
        <f t="shared" si="69"/>
        <v>0</v>
      </c>
      <c r="M407" s="116">
        <f t="shared" si="70"/>
        <v>0</v>
      </c>
      <c r="N407" s="123">
        <f t="shared" si="71"/>
        <v>0</v>
      </c>
      <c r="O407" s="5"/>
      <c r="P407" s="5">
        <f t="shared" si="67"/>
        <v>0</v>
      </c>
      <c r="Q407" s="7">
        <f t="shared" si="68"/>
        <v>0</v>
      </c>
    </row>
    <row r="408" spans="1:21">
      <c r="A408" s="24" t="s">
        <v>555</v>
      </c>
      <c r="B408" s="35" t="s">
        <v>434</v>
      </c>
      <c r="C408" s="36">
        <v>289</v>
      </c>
      <c r="D408" s="113">
        <v>45915420</v>
      </c>
      <c r="E408" s="116">
        <f t="shared" ref="E408:E415" si="72">(D408/C408)</f>
        <v>158876.88581314878</v>
      </c>
      <c r="F408" s="117">
        <v>28303909</v>
      </c>
      <c r="G408" s="117">
        <f t="shared" ref="G408:G415" si="73">(F408/C408)</f>
        <v>97937.401384083045</v>
      </c>
      <c r="H408" s="9"/>
      <c r="I408" s="109">
        <v>5.0327000000000002</v>
      </c>
      <c r="J408" s="117">
        <v>142445</v>
      </c>
      <c r="K408" s="120">
        <f t="shared" ref="K408:K415" si="74">(J408/C408)</f>
        <v>492.88927335640136</v>
      </c>
      <c r="L408" s="122">
        <f t="shared" si="69"/>
        <v>283039.09000000003</v>
      </c>
      <c r="M408" s="116">
        <f t="shared" si="70"/>
        <v>140594.09000000003</v>
      </c>
      <c r="N408" s="123">
        <f t="shared" si="71"/>
        <v>486.48474048442915</v>
      </c>
      <c r="O408" s="5"/>
      <c r="P408" s="5">
        <f t="shared" si="67"/>
        <v>1</v>
      </c>
      <c r="Q408" s="7">
        <f t="shared" si="68"/>
        <v>289</v>
      </c>
      <c r="S408" s="124">
        <f>SUM(D407:D408)</f>
        <v>45915420</v>
      </c>
      <c r="T408" s="124">
        <f>SUM(F407:F408)</f>
        <v>28303909</v>
      </c>
      <c r="U408" s="124">
        <f>SUM(J407:J408)</f>
        <v>142445</v>
      </c>
    </row>
    <row r="409" spans="1:21">
      <c r="A409" s="23" t="s">
        <v>436</v>
      </c>
      <c r="B409" s="35" t="s">
        <v>437</v>
      </c>
      <c r="C409" s="36">
        <v>5149</v>
      </c>
      <c r="D409" s="113">
        <v>313622846</v>
      </c>
      <c r="E409" s="116">
        <f t="shared" si="72"/>
        <v>60909.4670809866</v>
      </c>
      <c r="F409" s="117">
        <v>205831053</v>
      </c>
      <c r="G409" s="117">
        <f t="shared" si="73"/>
        <v>39974.956884832005</v>
      </c>
      <c r="H409" s="9"/>
      <c r="I409" s="110">
        <v>4</v>
      </c>
      <c r="J409" s="117">
        <v>823324</v>
      </c>
      <c r="K409" s="120">
        <f t="shared" si="74"/>
        <v>159.89978636628473</v>
      </c>
      <c r="L409" s="122">
        <f t="shared" si="69"/>
        <v>2058310.53</v>
      </c>
      <c r="M409" s="116">
        <f t="shared" si="70"/>
        <v>1234986.53</v>
      </c>
      <c r="N409" s="123">
        <f t="shared" si="71"/>
        <v>239.84978248203535</v>
      </c>
      <c r="O409" s="5"/>
      <c r="P409" s="5">
        <f t="shared" si="67"/>
        <v>1</v>
      </c>
      <c r="Q409" s="7">
        <f t="shared" si="68"/>
        <v>5149</v>
      </c>
    </row>
    <row r="410" spans="1:21">
      <c r="A410" s="23" t="s">
        <v>438</v>
      </c>
      <c r="B410" s="35" t="s">
        <v>437</v>
      </c>
      <c r="C410" s="36">
        <v>1860</v>
      </c>
      <c r="D410" s="113">
        <v>207264800</v>
      </c>
      <c r="E410" s="116">
        <f t="shared" si="72"/>
        <v>111432.68817204301</v>
      </c>
      <c r="F410" s="117">
        <v>165007792</v>
      </c>
      <c r="G410" s="117">
        <f t="shared" si="73"/>
        <v>88713.866666666669</v>
      </c>
      <c r="H410" s="9"/>
      <c r="I410" s="110">
        <v>4.7302</v>
      </c>
      <c r="J410" s="117">
        <v>780520</v>
      </c>
      <c r="K410" s="120">
        <f t="shared" si="74"/>
        <v>419.63440860215053</v>
      </c>
      <c r="L410" s="122">
        <f t="shared" si="69"/>
        <v>1650077.92</v>
      </c>
      <c r="M410" s="116">
        <f t="shared" si="70"/>
        <v>869557.91999999993</v>
      </c>
      <c r="N410" s="123">
        <f t="shared" si="71"/>
        <v>467.50425806451608</v>
      </c>
      <c r="O410" s="5"/>
      <c r="P410" s="5">
        <f t="shared" si="67"/>
        <v>1</v>
      </c>
      <c r="Q410" s="7">
        <f t="shared" si="68"/>
        <v>1860</v>
      </c>
    </row>
    <row r="411" spans="1:21">
      <c r="A411" s="23" t="s">
        <v>439</v>
      </c>
      <c r="B411" s="35" t="s">
        <v>437</v>
      </c>
      <c r="C411" s="36">
        <v>633</v>
      </c>
      <c r="D411" s="114" t="s">
        <v>564</v>
      </c>
      <c r="E411" s="116"/>
      <c r="F411" s="117"/>
      <c r="G411" s="117"/>
      <c r="H411" s="9" t="s">
        <v>528</v>
      </c>
      <c r="I411" s="109"/>
      <c r="J411" s="117"/>
      <c r="K411" s="120"/>
      <c r="L411" s="122">
        <f t="shared" si="69"/>
        <v>0</v>
      </c>
      <c r="M411" s="116">
        <f t="shared" si="70"/>
        <v>0</v>
      </c>
      <c r="N411" s="123">
        <f t="shared" si="71"/>
        <v>0</v>
      </c>
      <c r="O411" s="5"/>
      <c r="P411" s="5">
        <f t="shared" si="67"/>
        <v>0</v>
      </c>
      <c r="Q411" s="7">
        <f t="shared" si="68"/>
        <v>0</v>
      </c>
      <c r="S411" s="124">
        <f>SUM(D409:D411)</f>
        <v>520887646</v>
      </c>
      <c r="T411" s="124">
        <f>SUM(F409:F411)</f>
        <v>370838845</v>
      </c>
      <c r="U411" s="124">
        <f>SUM(J409:J411)</f>
        <v>1603844</v>
      </c>
    </row>
    <row r="412" spans="1:21">
      <c r="A412" s="23" t="s">
        <v>440</v>
      </c>
      <c r="B412" s="35" t="s">
        <v>441</v>
      </c>
      <c r="C412" s="36">
        <v>409</v>
      </c>
      <c r="D412" s="114" t="s">
        <v>564</v>
      </c>
      <c r="E412" s="116"/>
      <c r="F412" s="117"/>
      <c r="G412" s="117"/>
      <c r="H412" s="9" t="s">
        <v>528</v>
      </c>
      <c r="I412" s="109"/>
      <c r="J412" s="117"/>
      <c r="K412" s="120"/>
      <c r="L412" s="122">
        <f t="shared" si="69"/>
        <v>0</v>
      </c>
      <c r="M412" s="116">
        <f t="shared" si="70"/>
        <v>0</v>
      </c>
      <c r="N412" s="123">
        <f t="shared" si="71"/>
        <v>0</v>
      </c>
      <c r="O412" s="5"/>
      <c r="P412" s="5">
        <f t="shared" si="67"/>
        <v>0</v>
      </c>
      <c r="Q412" s="7">
        <f t="shared" si="68"/>
        <v>0</v>
      </c>
    </row>
    <row r="413" spans="1:21">
      <c r="A413" s="23" t="s">
        <v>442</v>
      </c>
      <c r="B413" s="35" t="s">
        <v>441</v>
      </c>
      <c r="C413" s="36">
        <v>3620</v>
      </c>
      <c r="D413" s="113">
        <v>219360883</v>
      </c>
      <c r="E413" s="116">
        <f t="shared" si="72"/>
        <v>60596.929005524864</v>
      </c>
      <c r="F413" s="117">
        <v>148529942</v>
      </c>
      <c r="G413" s="117">
        <f t="shared" si="73"/>
        <v>41030.370718232043</v>
      </c>
      <c r="H413" s="9"/>
      <c r="I413" s="110">
        <v>6</v>
      </c>
      <c r="J413" s="117">
        <v>891180</v>
      </c>
      <c r="K413" s="120">
        <f t="shared" si="74"/>
        <v>246.18232044198896</v>
      </c>
      <c r="L413" s="122">
        <f t="shared" si="69"/>
        <v>1485299.42</v>
      </c>
      <c r="M413" s="116">
        <f t="shared" si="70"/>
        <v>594119.41999999993</v>
      </c>
      <c r="N413" s="123">
        <f t="shared" si="71"/>
        <v>164.12138674033147</v>
      </c>
      <c r="O413" s="5"/>
      <c r="P413" s="5">
        <f t="shared" si="67"/>
        <v>1</v>
      </c>
      <c r="Q413" s="7">
        <f t="shared" si="68"/>
        <v>3620</v>
      </c>
    </row>
    <row r="414" spans="1:21">
      <c r="A414" s="23" t="s">
        <v>443</v>
      </c>
      <c r="B414" s="35" t="s">
        <v>441</v>
      </c>
      <c r="C414" s="36">
        <v>260</v>
      </c>
      <c r="D414" s="114" t="s">
        <v>564</v>
      </c>
      <c r="E414" s="116"/>
      <c r="F414" s="117"/>
      <c r="G414" s="117"/>
      <c r="H414" s="9" t="s">
        <v>528</v>
      </c>
      <c r="I414" s="109"/>
      <c r="J414" s="117"/>
      <c r="K414" s="120"/>
      <c r="L414" s="122">
        <f t="shared" si="69"/>
        <v>0</v>
      </c>
      <c r="M414" s="116">
        <f t="shared" si="70"/>
        <v>0</v>
      </c>
      <c r="N414" s="123">
        <f t="shared" si="71"/>
        <v>0</v>
      </c>
      <c r="O414" s="5"/>
      <c r="P414" s="5">
        <f t="shared" si="67"/>
        <v>0</v>
      </c>
      <c r="Q414" s="7">
        <f t="shared" si="68"/>
        <v>0</v>
      </c>
    </row>
    <row r="415" spans="1:21">
      <c r="A415" s="23" t="s">
        <v>444</v>
      </c>
      <c r="B415" s="35" t="s">
        <v>441</v>
      </c>
      <c r="C415" s="36">
        <v>705</v>
      </c>
      <c r="D415" s="113">
        <v>34720863</v>
      </c>
      <c r="E415" s="116">
        <f t="shared" si="72"/>
        <v>49249.451063829787</v>
      </c>
      <c r="F415" s="117">
        <v>17189188</v>
      </c>
      <c r="G415" s="117">
        <f t="shared" si="73"/>
        <v>24381.826950354611</v>
      </c>
      <c r="H415" s="9"/>
      <c r="I415" s="110">
        <v>2.4140999999999999</v>
      </c>
      <c r="J415" s="117">
        <v>41496</v>
      </c>
      <c r="K415" s="120">
        <f t="shared" si="74"/>
        <v>58.859574468085107</v>
      </c>
      <c r="L415" s="122">
        <f t="shared" si="69"/>
        <v>171891.88</v>
      </c>
      <c r="M415" s="116">
        <f t="shared" si="70"/>
        <v>130395.88</v>
      </c>
      <c r="N415" s="123">
        <f t="shared" si="71"/>
        <v>184.95869503546101</v>
      </c>
      <c r="O415" s="5"/>
      <c r="P415" s="5">
        <f t="shared" si="67"/>
        <v>1</v>
      </c>
      <c r="Q415" s="7">
        <f t="shared" si="68"/>
        <v>705</v>
      </c>
    </row>
    <row r="416" spans="1:21">
      <c r="A416" s="23" t="s">
        <v>445</v>
      </c>
      <c r="B416" s="35" t="s">
        <v>441</v>
      </c>
      <c r="C416" s="36">
        <v>389</v>
      </c>
      <c r="D416" s="114" t="s">
        <v>564</v>
      </c>
      <c r="E416" s="116"/>
      <c r="F416" s="117"/>
      <c r="G416" s="117"/>
      <c r="H416" s="9" t="s">
        <v>528</v>
      </c>
      <c r="I416" s="109"/>
      <c r="J416" s="117"/>
      <c r="K416" s="120"/>
      <c r="L416" s="122">
        <f t="shared" si="69"/>
        <v>0</v>
      </c>
      <c r="M416" s="116">
        <f t="shared" si="70"/>
        <v>0</v>
      </c>
      <c r="N416" s="123">
        <f t="shared" si="71"/>
        <v>0</v>
      </c>
      <c r="O416" s="5"/>
      <c r="P416" s="5">
        <f t="shared" si="67"/>
        <v>0</v>
      </c>
      <c r="Q416" s="7">
        <f t="shared" si="68"/>
        <v>0</v>
      </c>
      <c r="S416" s="124">
        <f>SUM(D412:D416)</f>
        <v>254081746</v>
      </c>
      <c r="T416" s="124">
        <f>SUM(F412:F416)</f>
        <v>165719130</v>
      </c>
      <c r="U416" s="124">
        <f>SUM(J412:J416)</f>
        <v>932676</v>
      </c>
    </row>
    <row r="417" spans="1:17">
      <c r="A417" s="70" t="s">
        <v>451</v>
      </c>
      <c r="B417" s="71"/>
      <c r="C417" s="72">
        <f>SUM(C6:C416)</f>
        <v>9506339</v>
      </c>
      <c r="D417" s="73">
        <f>SUM(D6:D416)</f>
        <v>924936549442</v>
      </c>
      <c r="E417" s="74">
        <f>(D417/Q417)</f>
        <v>106990.76443748552</v>
      </c>
      <c r="F417" s="75">
        <f>SUM(F6:F416)</f>
        <v>670933673115</v>
      </c>
      <c r="G417" s="76">
        <f>(F417/Q417)</f>
        <v>77609.330733799943</v>
      </c>
      <c r="H417" s="71"/>
      <c r="I417" s="112"/>
      <c r="J417" s="78">
        <f>SUM(J6:J416)</f>
        <v>3160580718</v>
      </c>
      <c r="K417" s="79">
        <f>(J417/Q417)</f>
        <v>365.59583172402404</v>
      </c>
      <c r="L417" s="79">
        <f>SUM(L6:L416)</f>
        <v>6709336731.1499987</v>
      </c>
      <c r="M417" s="78">
        <f>SUM(M6:M416)</f>
        <v>3548756013.1499996</v>
      </c>
      <c r="N417" s="80">
        <f>(M417/Q417)</f>
        <v>410.49747561397533</v>
      </c>
      <c r="O417" s="20"/>
      <c r="P417" s="20">
        <f>SUM(P6:P416)</f>
        <v>385</v>
      </c>
      <c r="Q417" s="21">
        <f>SUM(Q6:Q416)</f>
        <v>8645013</v>
      </c>
    </row>
    <row r="418" spans="1:17">
      <c r="A418" s="27" t="s">
        <v>453</v>
      </c>
      <c r="B418" s="13"/>
      <c r="C418" s="60">
        <f>(P417)</f>
        <v>385</v>
      </c>
      <c r="D418" s="14"/>
      <c r="E418" s="16"/>
      <c r="F418" s="16"/>
      <c r="G418" s="16"/>
      <c r="H418" s="16"/>
      <c r="I418" s="14"/>
      <c r="J418" s="17"/>
      <c r="K418" s="17"/>
      <c r="L418" s="2"/>
      <c r="M418" s="2"/>
      <c r="N418" s="63"/>
      <c r="O418" s="2"/>
      <c r="P418" s="2"/>
      <c r="Q418" s="2"/>
    </row>
    <row r="419" spans="1:17">
      <c r="A419" s="22"/>
      <c r="B419" s="16"/>
      <c r="C419" s="16"/>
      <c r="D419" s="106"/>
      <c r="E419" s="16"/>
      <c r="F419" s="16"/>
      <c r="G419" s="16"/>
      <c r="H419" s="107"/>
      <c r="I419" s="17"/>
      <c r="J419" s="17"/>
      <c r="K419" s="17"/>
      <c r="L419" s="2"/>
      <c r="M419" s="2"/>
      <c r="N419" s="63"/>
      <c r="O419" s="2"/>
      <c r="P419" s="2"/>
      <c r="Q419" s="2"/>
    </row>
    <row r="420" spans="1:17">
      <c r="A420" s="204" t="s">
        <v>498</v>
      </c>
      <c r="B420" s="192"/>
      <c r="C420" s="192"/>
      <c r="D420" s="192"/>
      <c r="E420" s="192"/>
      <c r="F420" s="192"/>
      <c r="G420" s="192"/>
      <c r="H420" s="192"/>
      <c r="I420" s="192"/>
      <c r="J420" s="192"/>
      <c r="K420" s="192"/>
      <c r="L420" s="192"/>
      <c r="M420" s="192"/>
      <c r="N420" s="193"/>
      <c r="O420" s="1"/>
      <c r="P420" s="1"/>
      <c r="Q420" s="1"/>
    </row>
    <row r="421" spans="1:17">
      <c r="A421" s="191" t="s">
        <v>565</v>
      </c>
      <c r="B421" s="192"/>
      <c r="C421" s="192"/>
      <c r="D421" s="192"/>
      <c r="E421" s="192"/>
      <c r="F421" s="192"/>
      <c r="G421" s="192"/>
      <c r="H421" s="192"/>
      <c r="I421" s="192"/>
      <c r="J421" s="192"/>
      <c r="K421" s="192"/>
      <c r="L421" s="192"/>
      <c r="M421" s="192"/>
      <c r="N421" s="193"/>
      <c r="O421" s="1"/>
      <c r="P421" s="1"/>
      <c r="Q421" s="1"/>
    </row>
    <row r="422" spans="1:17" ht="25.5" customHeight="1">
      <c r="A422" s="191" t="s">
        <v>577</v>
      </c>
      <c r="B422" s="192"/>
      <c r="C422" s="192"/>
      <c r="D422" s="192"/>
      <c r="E422" s="192"/>
      <c r="F422" s="192"/>
      <c r="G422" s="192"/>
      <c r="H422" s="192"/>
      <c r="I422" s="192"/>
      <c r="J422" s="192"/>
      <c r="K422" s="192"/>
      <c r="L422" s="192"/>
      <c r="M422" s="192"/>
      <c r="N422" s="193"/>
      <c r="O422" s="1"/>
      <c r="P422" s="1"/>
      <c r="Q422" s="1"/>
    </row>
    <row r="423" spans="1:17" ht="25.5" customHeight="1">
      <c r="A423" s="191" t="s">
        <v>578</v>
      </c>
      <c r="B423" s="192"/>
      <c r="C423" s="192"/>
      <c r="D423" s="192"/>
      <c r="E423" s="192"/>
      <c r="F423" s="192"/>
      <c r="G423" s="192"/>
      <c r="H423" s="192"/>
      <c r="I423" s="192"/>
      <c r="J423" s="192"/>
      <c r="K423" s="192"/>
      <c r="L423" s="192"/>
      <c r="M423" s="192"/>
      <c r="N423" s="193"/>
      <c r="O423" s="1"/>
      <c r="P423" s="1"/>
      <c r="Q423" s="1"/>
    </row>
    <row r="424" spans="1:17">
      <c r="A424" s="194"/>
      <c r="B424" s="192"/>
      <c r="C424" s="192"/>
      <c r="D424" s="192"/>
      <c r="E424" s="192"/>
      <c r="F424" s="192"/>
      <c r="G424" s="192"/>
      <c r="H424" s="192"/>
      <c r="I424" s="192"/>
      <c r="J424" s="192"/>
      <c r="K424" s="192"/>
      <c r="L424" s="192"/>
      <c r="M424" s="192"/>
      <c r="N424" s="193"/>
      <c r="O424" s="1"/>
      <c r="P424" s="1"/>
      <c r="Q424" s="1"/>
    </row>
    <row r="425" spans="1:17">
      <c r="A425" s="191" t="s">
        <v>579</v>
      </c>
      <c r="B425" s="192"/>
      <c r="C425" s="192"/>
      <c r="D425" s="192"/>
      <c r="E425" s="192"/>
      <c r="F425" s="192"/>
      <c r="G425" s="192"/>
      <c r="H425" s="192"/>
      <c r="I425" s="192"/>
      <c r="J425" s="192"/>
      <c r="K425" s="192"/>
      <c r="L425" s="192"/>
      <c r="M425" s="192"/>
      <c r="N425" s="193"/>
      <c r="O425" s="1"/>
      <c r="P425" s="1"/>
      <c r="Q425" s="1"/>
    </row>
    <row r="426" spans="1:17" ht="12.75" customHeight="1">
      <c r="A426" s="191" t="s">
        <v>603</v>
      </c>
      <c r="B426" s="192"/>
      <c r="C426" s="192"/>
      <c r="D426" s="192"/>
      <c r="E426" s="192"/>
      <c r="F426" s="192"/>
      <c r="G426" s="192"/>
      <c r="H426" s="192"/>
      <c r="I426" s="192"/>
      <c r="J426" s="192"/>
      <c r="K426" s="192"/>
      <c r="L426" s="192"/>
      <c r="M426" s="192"/>
      <c r="N426" s="193"/>
      <c r="O426" s="1"/>
      <c r="P426" s="1"/>
      <c r="Q426" s="1"/>
    </row>
    <row r="427" spans="1:17" ht="27" customHeight="1" thickBot="1">
      <c r="A427" s="188" t="s">
        <v>584</v>
      </c>
      <c r="B427" s="189"/>
      <c r="C427" s="189"/>
      <c r="D427" s="189"/>
      <c r="E427" s="189"/>
      <c r="F427" s="189"/>
      <c r="G427" s="189"/>
      <c r="H427" s="189"/>
      <c r="I427" s="189"/>
      <c r="J427" s="189"/>
      <c r="K427" s="189"/>
      <c r="L427" s="189"/>
      <c r="M427" s="189"/>
      <c r="N427" s="190"/>
      <c r="O427" s="1"/>
      <c r="P427" s="1"/>
      <c r="Q427" s="1"/>
    </row>
    <row r="428" spans="1:17">
      <c r="A428" s="4"/>
      <c r="B428" s="1"/>
      <c r="C428" s="1"/>
      <c r="D428" s="1"/>
      <c r="E428" s="1"/>
      <c r="F428" s="1"/>
      <c r="G428" s="1"/>
      <c r="H428" s="1"/>
      <c r="I428" s="3"/>
      <c r="J428" s="3"/>
      <c r="K428" s="3"/>
      <c r="L428" s="1"/>
      <c r="M428" s="1"/>
      <c r="N428" s="1"/>
      <c r="O428" s="1"/>
      <c r="P428" s="1"/>
      <c r="Q428" s="1"/>
    </row>
    <row r="429" spans="1:17">
      <c r="A429" s="4"/>
      <c r="B429" s="1"/>
      <c r="C429" s="1"/>
      <c r="D429" s="1"/>
      <c r="E429" s="1"/>
      <c r="F429" s="1"/>
      <c r="G429" s="1"/>
      <c r="H429" s="1"/>
      <c r="I429" s="3"/>
      <c r="J429" s="3"/>
      <c r="K429" s="3"/>
      <c r="L429" s="1"/>
      <c r="M429" s="1"/>
      <c r="N429" s="1"/>
      <c r="O429" s="1"/>
      <c r="P429" s="1"/>
      <c r="Q429" s="1"/>
    </row>
    <row r="430" spans="1:17">
      <c r="A430" s="2"/>
      <c r="B430" s="2"/>
      <c r="C430" s="2"/>
      <c r="D430" s="2"/>
      <c r="E430" s="2"/>
      <c r="F430" s="2"/>
      <c r="G430" s="2"/>
      <c r="H430" s="2"/>
      <c r="I430" s="2"/>
      <c r="J430" s="2"/>
      <c r="K430" s="2"/>
      <c r="L430" s="2"/>
      <c r="M430" s="2"/>
      <c r="N430" s="2"/>
      <c r="O430" s="2"/>
      <c r="P430" s="2"/>
      <c r="Q430" s="2"/>
    </row>
  </sheetData>
  <mergeCells count="11">
    <mergeCell ref="A1:N1"/>
    <mergeCell ref="D2:G2"/>
    <mergeCell ref="L2:N2"/>
    <mergeCell ref="A420:N420"/>
    <mergeCell ref="A421:N421"/>
    <mergeCell ref="A427:N427"/>
    <mergeCell ref="A422:N422"/>
    <mergeCell ref="A423:N423"/>
    <mergeCell ref="A424:N424"/>
    <mergeCell ref="A425:N425"/>
    <mergeCell ref="A426:N426"/>
  </mergeCells>
  <printOptions horizontalCentered="1"/>
  <pageMargins left="0.5" right="0.5" top="0.5" bottom="0.5" header="0.3" footer="0.3"/>
  <pageSetup paperSize="5" scale="82" fitToHeight="0" orientation="landscape" r:id="rId1"/>
  <headerFooter>
    <oddFooter>&amp;L&amp;11Office of Economic and Demographic Research&amp;C&amp;11Page &amp;P of &amp;N&amp;R&amp;11February 7, 2013</oddFooter>
  </headerFooter>
  <rowBreaks count="1" manualBreakCount="1">
    <brk id="418" max="13" man="1"/>
  </rowBreaks>
  <ignoredErrors>
    <ignoredError sqref="E417 K417"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430"/>
  <sheetViews>
    <sheetView zoomScaleNormal="100" workbookViewId="0">
      <selection sqref="A1:N1"/>
    </sheetView>
  </sheetViews>
  <sheetFormatPr defaultRowHeight="12.75"/>
  <cols>
    <col min="1" max="1" width="25.7109375" customWidth="1"/>
    <col min="2" max="2" width="16.7109375" customWidth="1"/>
    <col min="3" max="3" width="11.7109375" customWidth="1"/>
    <col min="4" max="4" width="17.7109375" customWidth="1"/>
    <col min="5" max="5" width="13.7109375" customWidth="1"/>
    <col min="6" max="6" width="17.7109375" customWidth="1"/>
    <col min="7" max="7" width="13.7109375" customWidth="1"/>
    <col min="8" max="8" width="1.7109375" customWidth="1"/>
    <col min="9" max="9" width="10.7109375" customWidth="1"/>
    <col min="10" max="10" width="15.7109375" customWidth="1"/>
    <col min="11" max="11" width="13.7109375" customWidth="1"/>
    <col min="12" max="13" width="15.7109375" customWidth="1"/>
    <col min="14" max="14" width="14.7109375" customWidth="1"/>
    <col min="15" max="15" width="2.7109375" customWidth="1"/>
    <col min="16" max="16" width="4.5703125" customWidth="1"/>
    <col min="17" max="17" width="10.7109375" customWidth="1"/>
  </cols>
  <sheetData>
    <row r="1" spans="1:17" ht="26.25">
      <c r="A1" s="197" t="s">
        <v>543</v>
      </c>
      <c r="B1" s="198"/>
      <c r="C1" s="198"/>
      <c r="D1" s="198"/>
      <c r="E1" s="198"/>
      <c r="F1" s="198"/>
      <c r="G1" s="198"/>
      <c r="H1" s="198"/>
      <c r="I1" s="198"/>
      <c r="J1" s="198"/>
      <c r="K1" s="198"/>
      <c r="L1" s="198"/>
      <c r="M1" s="198"/>
      <c r="N1" s="199"/>
    </row>
    <row r="2" spans="1:17" ht="18">
      <c r="A2" s="41"/>
      <c r="B2" s="42"/>
      <c r="C2" s="43"/>
      <c r="D2" s="200" t="s">
        <v>562</v>
      </c>
      <c r="E2" s="201"/>
      <c r="F2" s="201"/>
      <c r="G2" s="202"/>
      <c r="H2" s="44"/>
      <c r="I2" s="61" t="s">
        <v>456</v>
      </c>
      <c r="J2" s="45"/>
      <c r="K2" s="68"/>
      <c r="L2" s="201" t="s">
        <v>503</v>
      </c>
      <c r="M2" s="201"/>
      <c r="N2" s="203"/>
    </row>
    <row r="3" spans="1:17" ht="12.75" customHeight="1">
      <c r="A3" s="46"/>
      <c r="B3" s="47"/>
      <c r="C3" s="48">
        <v>2010</v>
      </c>
      <c r="D3" s="49"/>
      <c r="E3" s="50" t="s">
        <v>1</v>
      </c>
      <c r="F3" s="51"/>
      <c r="G3" s="50" t="s">
        <v>1</v>
      </c>
      <c r="H3" s="52"/>
      <c r="I3" s="53"/>
      <c r="J3" s="54"/>
      <c r="K3" s="67" t="s">
        <v>1</v>
      </c>
      <c r="L3" s="66" t="s">
        <v>455</v>
      </c>
      <c r="M3" s="50" t="s">
        <v>455</v>
      </c>
      <c r="N3" s="59" t="s">
        <v>1</v>
      </c>
    </row>
    <row r="4" spans="1:17">
      <c r="A4" s="46"/>
      <c r="B4" s="47"/>
      <c r="C4" s="48" t="s">
        <v>3</v>
      </c>
      <c r="D4" s="49" t="s">
        <v>563</v>
      </c>
      <c r="E4" s="56" t="s">
        <v>563</v>
      </c>
      <c r="F4" s="56" t="s">
        <v>2</v>
      </c>
      <c r="G4" s="56" t="s">
        <v>2</v>
      </c>
      <c r="H4" s="52"/>
      <c r="I4" s="57" t="s">
        <v>0</v>
      </c>
      <c r="J4" s="58" t="s">
        <v>455</v>
      </c>
      <c r="K4" s="69" t="s">
        <v>455</v>
      </c>
      <c r="L4" s="67" t="s">
        <v>454</v>
      </c>
      <c r="M4" s="82" t="s">
        <v>495</v>
      </c>
      <c r="N4" s="55" t="s">
        <v>495</v>
      </c>
    </row>
    <row r="5" spans="1:17">
      <c r="A5" s="85" t="s">
        <v>5</v>
      </c>
      <c r="B5" s="86" t="s">
        <v>6</v>
      </c>
      <c r="C5" s="87" t="s">
        <v>574</v>
      </c>
      <c r="D5" s="88" t="s">
        <v>7</v>
      </c>
      <c r="E5" s="89" t="s">
        <v>7</v>
      </c>
      <c r="F5" s="90" t="s">
        <v>7</v>
      </c>
      <c r="G5" s="89" t="s">
        <v>7</v>
      </c>
      <c r="H5" s="91"/>
      <c r="I5" s="92" t="s">
        <v>4</v>
      </c>
      <c r="J5" s="90" t="s">
        <v>454</v>
      </c>
      <c r="K5" s="90" t="s">
        <v>454</v>
      </c>
      <c r="L5" s="93" t="s">
        <v>502</v>
      </c>
      <c r="M5" s="94" t="s">
        <v>496</v>
      </c>
      <c r="N5" s="95" t="s">
        <v>496</v>
      </c>
      <c r="O5" s="19"/>
      <c r="P5" s="19"/>
      <c r="Q5" s="19"/>
    </row>
    <row r="6" spans="1:17">
      <c r="A6" s="22" t="s">
        <v>8</v>
      </c>
      <c r="B6" s="33" t="s">
        <v>8</v>
      </c>
      <c r="C6" s="34">
        <v>9059</v>
      </c>
      <c r="D6" s="18">
        <v>1181127173</v>
      </c>
      <c r="E6" s="38">
        <f t="shared" ref="E6:E14" si="0">(D6/C6)</f>
        <v>130381.62854619716</v>
      </c>
      <c r="F6" s="18">
        <v>763481560</v>
      </c>
      <c r="G6" s="39">
        <f t="shared" ref="G6:G14" si="1">(F6/C6)</f>
        <v>84278.790153438575</v>
      </c>
      <c r="H6" s="15"/>
      <c r="I6" s="108">
        <v>5.5</v>
      </c>
      <c r="J6" s="40">
        <v>4199149</v>
      </c>
      <c r="K6" s="84">
        <f t="shared" ref="K6:K14" si="2">(J6/C6)</f>
        <v>463.53339220664532</v>
      </c>
      <c r="L6" s="65">
        <f>(F6*0.01)</f>
        <v>7634815.6000000006</v>
      </c>
      <c r="M6" s="83">
        <f>(L6-J6)</f>
        <v>3435666.6000000006</v>
      </c>
      <c r="N6" s="62">
        <f>(M6/C6)</f>
        <v>379.25450932774044</v>
      </c>
      <c r="O6" s="5"/>
      <c r="P6" s="5">
        <f t="shared" ref="P6:P69" si="3">IF(I6&gt;0,1,0)</f>
        <v>1</v>
      </c>
      <c r="Q6" s="7">
        <f t="shared" ref="Q6:Q69" si="4">IF(I6&gt;0,C6,0)</f>
        <v>9059</v>
      </c>
    </row>
    <row r="7" spans="1:17">
      <c r="A7" s="23" t="s">
        <v>9</v>
      </c>
      <c r="B7" s="35" t="s">
        <v>8</v>
      </c>
      <c r="C7" s="36">
        <v>1118</v>
      </c>
      <c r="D7" s="113">
        <v>65666071</v>
      </c>
      <c r="E7" s="116">
        <f t="shared" si="0"/>
        <v>58735.305008944546</v>
      </c>
      <c r="F7" s="113">
        <v>33561387</v>
      </c>
      <c r="G7" s="117">
        <f t="shared" si="1"/>
        <v>30019.129695885509</v>
      </c>
      <c r="H7" s="7"/>
      <c r="I7" s="109">
        <v>5</v>
      </c>
      <c r="J7" s="117">
        <v>167807</v>
      </c>
      <c r="K7" s="120">
        <f t="shared" si="2"/>
        <v>150.09570661896242</v>
      </c>
      <c r="L7" s="122">
        <f>(F7*0.01)</f>
        <v>335613.87</v>
      </c>
      <c r="M7" s="116">
        <f>(L7-J7)</f>
        <v>167806.87</v>
      </c>
      <c r="N7" s="123">
        <f>(M7/C7)</f>
        <v>150.09559033989265</v>
      </c>
      <c r="O7" s="5"/>
      <c r="P7" s="5">
        <f t="shared" si="3"/>
        <v>1</v>
      </c>
      <c r="Q7" s="7">
        <f t="shared" si="4"/>
        <v>1118</v>
      </c>
    </row>
    <row r="8" spans="1:17">
      <c r="A8" s="23" t="s">
        <v>10</v>
      </c>
      <c r="B8" s="35" t="s">
        <v>8</v>
      </c>
      <c r="C8" s="36">
        <v>124476</v>
      </c>
      <c r="D8" s="113">
        <v>12812711099</v>
      </c>
      <c r="E8" s="116">
        <f t="shared" si="0"/>
        <v>102933.18470227193</v>
      </c>
      <c r="F8" s="113">
        <v>5608220528</v>
      </c>
      <c r="G8" s="117">
        <f t="shared" si="1"/>
        <v>45054.633246569618</v>
      </c>
      <c r="H8" s="7"/>
      <c r="I8" s="109">
        <v>4.2544000000000004</v>
      </c>
      <c r="J8" s="117">
        <v>23859613</v>
      </c>
      <c r="K8" s="120">
        <f t="shared" si="2"/>
        <v>191.68042835566695</v>
      </c>
      <c r="L8" s="122">
        <f t="shared" ref="L8:L71" si="5">(F8*0.01)</f>
        <v>56082205.280000001</v>
      </c>
      <c r="M8" s="116">
        <f t="shared" ref="M8:M71" si="6">(L8-J8)</f>
        <v>32222592.280000001</v>
      </c>
      <c r="N8" s="123">
        <f t="shared" ref="N8:N71" si="7">(M8/C8)</f>
        <v>258.86590411002925</v>
      </c>
      <c r="O8" s="5"/>
      <c r="P8" s="5">
        <f t="shared" si="3"/>
        <v>1</v>
      </c>
      <c r="Q8" s="7">
        <f t="shared" si="4"/>
        <v>124476</v>
      </c>
    </row>
    <row r="9" spans="1:17">
      <c r="A9" s="23" t="s">
        <v>11</v>
      </c>
      <c r="B9" s="35" t="s">
        <v>8</v>
      </c>
      <c r="C9" s="36">
        <v>1417</v>
      </c>
      <c r="D9" s="113">
        <v>107306645</v>
      </c>
      <c r="E9" s="116">
        <f t="shared" si="0"/>
        <v>75728.048694424841</v>
      </c>
      <c r="F9" s="117">
        <v>48557650</v>
      </c>
      <c r="G9" s="117">
        <f t="shared" si="1"/>
        <v>34267.925194071984</v>
      </c>
      <c r="H9" s="7"/>
      <c r="I9" s="109">
        <v>5.3193999999999999</v>
      </c>
      <c r="J9" s="117">
        <v>258298</v>
      </c>
      <c r="K9" s="120">
        <f t="shared" si="2"/>
        <v>182.28510938602682</v>
      </c>
      <c r="L9" s="122">
        <f t="shared" si="5"/>
        <v>485576.5</v>
      </c>
      <c r="M9" s="116">
        <f t="shared" si="6"/>
        <v>227278.5</v>
      </c>
      <c r="N9" s="123">
        <f t="shared" si="7"/>
        <v>160.39414255469302</v>
      </c>
      <c r="O9" s="5"/>
      <c r="P9" s="5">
        <f t="shared" si="3"/>
        <v>1</v>
      </c>
      <c r="Q9" s="7">
        <f t="shared" si="4"/>
        <v>1417</v>
      </c>
    </row>
    <row r="10" spans="1:17">
      <c r="A10" s="23" t="s">
        <v>12</v>
      </c>
      <c r="B10" s="35" t="s">
        <v>8</v>
      </c>
      <c r="C10" s="36">
        <v>5350</v>
      </c>
      <c r="D10" s="113">
        <v>417625980</v>
      </c>
      <c r="E10" s="116">
        <f t="shared" si="0"/>
        <v>78060.930841121502</v>
      </c>
      <c r="F10" s="117">
        <v>247338864</v>
      </c>
      <c r="G10" s="117">
        <f t="shared" si="1"/>
        <v>46231.563364485984</v>
      </c>
      <c r="H10" s="7"/>
      <c r="I10" s="109">
        <v>6.15</v>
      </c>
      <c r="J10" s="117">
        <v>1521134</v>
      </c>
      <c r="K10" s="120">
        <f t="shared" si="2"/>
        <v>284.32411214953271</v>
      </c>
      <c r="L10" s="122">
        <f t="shared" si="5"/>
        <v>2473388.64</v>
      </c>
      <c r="M10" s="116">
        <f t="shared" si="6"/>
        <v>952254.64000000013</v>
      </c>
      <c r="N10" s="123">
        <f t="shared" si="7"/>
        <v>177.99152149532713</v>
      </c>
      <c r="O10" s="5"/>
      <c r="P10" s="5">
        <f t="shared" si="3"/>
        <v>1</v>
      </c>
      <c r="Q10" s="7">
        <f t="shared" si="4"/>
        <v>5350</v>
      </c>
    </row>
    <row r="11" spans="1:17">
      <c r="A11" s="23" t="s">
        <v>559</v>
      </c>
      <c r="B11" s="35" t="s">
        <v>8</v>
      </c>
      <c r="C11" s="36">
        <v>360</v>
      </c>
      <c r="D11" s="113">
        <v>22114233</v>
      </c>
      <c r="E11" s="116">
        <f t="shared" si="0"/>
        <v>61428.425000000003</v>
      </c>
      <c r="F11" s="117">
        <v>11177602</v>
      </c>
      <c r="G11" s="117">
        <f t="shared" si="1"/>
        <v>31048.894444444446</v>
      </c>
      <c r="H11" s="7"/>
      <c r="I11" s="109">
        <v>2.2907999999999999</v>
      </c>
      <c r="J11" s="117">
        <v>25606</v>
      </c>
      <c r="K11" s="120">
        <f t="shared" si="2"/>
        <v>71.12777777777778</v>
      </c>
      <c r="L11" s="122">
        <f t="shared" si="5"/>
        <v>111776.02</v>
      </c>
      <c r="M11" s="116">
        <f t="shared" si="6"/>
        <v>86170.02</v>
      </c>
      <c r="N11" s="123">
        <f t="shared" si="7"/>
        <v>239.36116666666669</v>
      </c>
      <c r="O11" s="5"/>
      <c r="P11" s="5">
        <f t="shared" si="3"/>
        <v>1</v>
      </c>
      <c r="Q11" s="7">
        <f t="shared" si="4"/>
        <v>360</v>
      </c>
    </row>
    <row r="12" spans="1:17">
      <c r="A12" s="23" t="s">
        <v>13</v>
      </c>
      <c r="B12" s="35" t="s">
        <v>8</v>
      </c>
      <c r="C12" s="36">
        <v>600</v>
      </c>
      <c r="D12" s="113">
        <v>48906706</v>
      </c>
      <c r="E12" s="116">
        <f t="shared" si="0"/>
        <v>81511.176666666666</v>
      </c>
      <c r="F12" s="117">
        <v>27281251</v>
      </c>
      <c r="G12" s="117">
        <f t="shared" si="1"/>
        <v>45468.751666666663</v>
      </c>
      <c r="H12" s="7"/>
      <c r="I12" s="109">
        <v>8</v>
      </c>
      <c r="J12" s="117">
        <v>218250</v>
      </c>
      <c r="K12" s="120">
        <f t="shared" si="2"/>
        <v>363.75</v>
      </c>
      <c r="L12" s="122">
        <f t="shared" si="5"/>
        <v>272812.51</v>
      </c>
      <c r="M12" s="116">
        <f t="shared" si="6"/>
        <v>54562.510000000009</v>
      </c>
      <c r="N12" s="123">
        <f t="shared" si="7"/>
        <v>90.937516666666681</v>
      </c>
      <c r="O12" s="5"/>
      <c r="P12" s="5">
        <f t="shared" si="3"/>
        <v>1</v>
      </c>
      <c r="Q12" s="7">
        <f t="shared" si="4"/>
        <v>600</v>
      </c>
    </row>
    <row r="13" spans="1:17">
      <c r="A13" s="23" t="s">
        <v>14</v>
      </c>
      <c r="B13" s="35" t="s">
        <v>8</v>
      </c>
      <c r="C13" s="36">
        <v>4950</v>
      </c>
      <c r="D13" s="113">
        <v>529116316</v>
      </c>
      <c r="E13" s="116">
        <f t="shared" si="0"/>
        <v>106892.18505050505</v>
      </c>
      <c r="F13" s="117">
        <v>292377851</v>
      </c>
      <c r="G13" s="117">
        <f t="shared" si="1"/>
        <v>59066.232525252526</v>
      </c>
      <c r="H13" s="7"/>
      <c r="I13" s="109">
        <v>3.85</v>
      </c>
      <c r="J13" s="117">
        <v>1125655</v>
      </c>
      <c r="K13" s="120">
        <f t="shared" si="2"/>
        <v>227.4050505050505</v>
      </c>
      <c r="L13" s="122">
        <f t="shared" si="5"/>
        <v>2923778.5100000002</v>
      </c>
      <c r="M13" s="116">
        <f t="shared" si="6"/>
        <v>1798123.5100000002</v>
      </c>
      <c r="N13" s="123">
        <f t="shared" si="7"/>
        <v>363.25727474747481</v>
      </c>
      <c r="O13" s="5"/>
      <c r="P13" s="5">
        <f t="shared" si="3"/>
        <v>1</v>
      </c>
      <c r="Q13" s="7">
        <f t="shared" si="4"/>
        <v>4950</v>
      </c>
    </row>
    <row r="14" spans="1:17">
      <c r="A14" s="23" t="s">
        <v>15</v>
      </c>
      <c r="B14" s="35" t="s">
        <v>8</v>
      </c>
      <c r="C14" s="36">
        <v>1015</v>
      </c>
      <c r="D14" s="113">
        <v>48256856</v>
      </c>
      <c r="E14" s="116">
        <f t="shared" si="0"/>
        <v>47543.700492610835</v>
      </c>
      <c r="F14" s="117">
        <v>25576292</v>
      </c>
      <c r="G14" s="117">
        <f t="shared" si="1"/>
        <v>25198.317241379311</v>
      </c>
      <c r="H14" s="7"/>
      <c r="I14" s="109">
        <v>5.8685999999999998</v>
      </c>
      <c r="J14" s="117">
        <v>150097</v>
      </c>
      <c r="K14" s="120">
        <f t="shared" si="2"/>
        <v>147.87881773399016</v>
      </c>
      <c r="L14" s="122">
        <f t="shared" si="5"/>
        <v>255762.92</v>
      </c>
      <c r="M14" s="116">
        <f t="shared" si="6"/>
        <v>105665.92000000001</v>
      </c>
      <c r="N14" s="123">
        <f t="shared" si="7"/>
        <v>104.10435467980297</v>
      </c>
      <c r="O14" s="5"/>
      <c r="P14" s="5">
        <f t="shared" si="3"/>
        <v>1</v>
      </c>
      <c r="Q14" s="7">
        <f t="shared" si="4"/>
        <v>1015</v>
      </c>
    </row>
    <row r="15" spans="1:17">
      <c r="A15" s="24" t="s">
        <v>544</v>
      </c>
      <c r="B15" s="35" t="s">
        <v>16</v>
      </c>
      <c r="C15" s="36">
        <v>437</v>
      </c>
      <c r="D15" s="114" t="s">
        <v>564</v>
      </c>
      <c r="E15" s="116"/>
      <c r="F15" s="117"/>
      <c r="G15" s="117"/>
      <c r="H15" s="9" t="s">
        <v>528</v>
      </c>
      <c r="I15" s="109"/>
      <c r="J15" s="117"/>
      <c r="K15" s="120"/>
      <c r="L15" s="122">
        <f t="shared" si="5"/>
        <v>0</v>
      </c>
      <c r="M15" s="116">
        <f t="shared" si="6"/>
        <v>0</v>
      </c>
      <c r="N15" s="123">
        <f t="shared" si="7"/>
        <v>0</v>
      </c>
      <c r="O15" s="5"/>
      <c r="P15" s="5">
        <f t="shared" si="3"/>
        <v>0</v>
      </c>
      <c r="Q15" s="7">
        <f t="shared" si="4"/>
        <v>0</v>
      </c>
    </row>
    <row r="16" spans="1:17">
      <c r="A16" s="23" t="s">
        <v>17</v>
      </c>
      <c r="B16" s="35" t="s">
        <v>16</v>
      </c>
      <c r="C16" s="36">
        <v>6374</v>
      </c>
      <c r="D16" s="113">
        <v>372916744</v>
      </c>
      <c r="E16" s="116">
        <f>(D16/C16)</f>
        <v>58505.921556322559</v>
      </c>
      <c r="F16" s="117">
        <v>224664577</v>
      </c>
      <c r="G16" s="117">
        <f>(F16/C16)</f>
        <v>35247.031220583624</v>
      </c>
      <c r="H16" s="7"/>
      <c r="I16" s="109">
        <v>3.6</v>
      </c>
      <c r="J16" s="117">
        <v>808792</v>
      </c>
      <c r="K16" s="120">
        <f>(J16/C16)</f>
        <v>126.88923752745529</v>
      </c>
      <c r="L16" s="122">
        <f t="shared" si="5"/>
        <v>2246645.77</v>
      </c>
      <c r="M16" s="116">
        <f t="shared" si="6"/>
        <v>1437853.77</v>
      </c>
      <c r="N16" s="123">
        <f t="shared" si="7"/>
        <v>225.58107467838093</v>
      </c>
      <c r="O16" s="5"/>
      <c r="P16" s="5">
        <f t="shared" si="3"/>
        <v>1</v>
      </c>
      <c r="Q16" s="7">
        <f t="shared" si="4"/>
        <v>6374</v>
      </c>
    </row>
    <row r="17" spans="1:17">
      <c r="A17" s="23" t="s">
        <v>18</v>
      </c>
      <c r="B17" s="35" t="s">
        <v>19</v>
      </c>
      <c r="C17" s="36">
        <v>14405</v>
      </c>
      <c r="D17" s="113">
        <v>843176523</v>
      </c>
      <c r="E17" s="116">
        <f>(D17/C17)</f>
        <v>58533.601041305104</v>
      </c>
      <c r="F17" s="117">
        <v>527945210</v>
      </c>
      <c r="G17" s="117">
        <f>(F17/C17)</f>
        <v>36650.13606386671</v>
      </c>
      <c r="H17" s="8"/>
      <c r="I17" s="109">
        <v>2.25</v>
      </c>
      <c r="J17" s="117">
        <v>1187877</v>
      </c>
      <c r="K17" s="120">
        <f>(J17/C17)</f>
        <v>82.462825407844505</v>
      </c>
      <c r="L17" s="122">
        <f t="shared" si="5"/>
        <v>5279452.1000000006</v>
      </c>
      <c r="M17" s="116">
        <f t="shared" si="6"/>
        <v>4091575.1000000006</v>
      </c>
      <c r="N17" s="123">
        <f t="shared" si="7"/>
        <v>284.03853523082267</v>
      </c>
      <c r="O17" s="5"/>
      <c r="P17" s="5">
        <f t="shared" si="3"/>
        <v>1</v>
      </c>
      <c r="Q17" s="7">
        <f t="shared" si="4"/>
        <v>14405</v>
      </c>
    </row>
    <row r="18" spans="1:17">
      <c r="A18" s="23" t="s">
        <v>21</v>
      </c>
      <c r="B18" s="35" t="s">
        <v>19</v>
      </c>
      <c r="C18" s="36">
        <v>18493</v>
      </c>
      <c r="D18" s="113">
        <v>1605139434</v>
      </c>
      <c r="E18" s="116">
        <f>(D18/C18)</f>
        <v>86797.135889255398</v>
      </c>
      <c r="F18" s="117">
        <v>1056370856</v>
      </c>
      <c r="G18" s="117">
        <f>(F18/C18)</f>
        <v>57122.74136159628</v>
      </c>
      <c r="H18" s="7"/>
      <c r="I18" s="109">
        <v>3.0886999999999998</v>
      </c>
      <c r="J18" s="117">
        <v>3262813</v>
      </c>
      <c r="K18" s="120">
        <f>(J18/C18)</f>
        <v>176.43502947061049</v>
      </c>
      <c r="L18" s="122">
        <f t="shared" si="5"/>
        <v>10563708.560000001</v>
      </c>
      <c r="M18" s="116">
        <f t="shared" si="6"/>
        <v>7300895.5600000005</v>
      </c>
      <c r="N18" s="123">
        <f t="shared" si="7"/>
        <v>394.79238414535234</v>
      </c>
      <c r="O18" s="5"/>
      <c r="P18" s="5">
        <f t="shared" si="3"/>
        <v>1</v>
      </c>
      <c r="Q18" s="7">
        <f t="shared" si="4"/>
        <v>18493</v>
      </c>
    </row>
    <row r="19" spans="1:17">
      <c r="A19" s="23" t="s">
        <v>22</v>
      </c>
      <c r="B19" s="35" t="s">
        <v>19</v>
      </c>
      <c r="C19" s="36">
        <v>1072</v>
      </c>
      <c r="D19" s="113">
        <v>514865644</v>
      </c>
      <c r="E19" s="116">
        <f>(D19/C19)</f>
        <v>480285.11567164178</v>
      </c>
      <c r="F19" s="117">
        <v>412344531</v>
      </c>
      <c r="G19" s="117">
        <f>(F19/C19)</f>
        <v>384649.7490671642</v>
      </c>
      <c r="H19" s="7"/>
      <c r="I19" s="110">
        <v>4.1059999999999999</v>
      </c>
      <c r="J19" s="117">
        <v>1693087</v>
      </c>
      <c r="K19" s="120">
        <f>(J19/C19)</f>
        <v>1579.3722014925372</v>
      </c>
      <c r="L19" s="122">
        <f t="shared" si="5"/>
        <v>4123445.31</v>
      </c>
      <c r="M19" s="116">
        <f t="shared" si="6"/>
        <v>2430358.31</v>
      </c>
      <c r="N19" s="123">
        <f t="shared" si="7"/>
        <v>2267.1252891791046</v>
      </c>
      <c r="O19" s="5"/>
      <c r="P19" s="5">
        <f t="shared" si="3"/>
        <v>1</v>
      </c>
      <c r="Q19" s="7">
        <f t="shared" si="4"/>
        <v>1072</v>
      </c>
    </row>
    <row r="20" spans="1:17">
      <c r="A20" s="23" t="s">
        <v>23</v>
      </c>
      <c r="B20" s="35" t="s">
        <v>19</v>
      </c>
      <c r="C20" s="36">
        <v>35505</v>
      </c>
      <c r="D20" s="113">
        <v>3634373343</v>
      </c>
      <c r="E20" s="116">
        <f>(D20/C20)</f>
        <v>102362.29666244191</v>
      </c>
      <c r="F20" s="117">
        <v>2220863094</v>
      </c>
      <c r="G20" s="117">
        <f>(F20/C20)</f>
        <v>62550.713814955641</v>
      </c>
      <c r="H20" s="7"/>
      <c r="I20" s="109">
        <v>3.8151999999999999</v>
      </c>
      <c r="J20" s="117">
        <v>8473037</v>
      </c>
      <c r="K20" s="120">
        <f>(J20/C20)</f>
        <v>238.64348683284044</v>
      </c>
      <c r="L20" s="122">
        <f t="shared" si="5"/>
        <v>22208630.940000001</v>
      </c>
      <c r="M20" s="116">
        <f t="shared" si="6"/>
        <v>13735593.940000001</v>
      </c>
      <c r="N20" s="123">
        <f t="shared" si="7"/>
        <v>386.86365131671602</v>
      </c>
      <c r="O20" s="5"/>
      <c r="P20" s="5">
        <f t="shared" si="3"/>
        <v>1</v>
      </c>
      <c r="Q20" s="7">
        <f t="shared" si="4"/>
        <v>35505</v>
      </c>
    </row>
    <row r="21" spans="1:17">
      <c r="A21" s="23" t="s">
        <v>24</v>
      </c>
      <c r="B21" s="35" t="s">
        <v>19</v>
      </c>
      <c r="C21" s="36">
        <v>12018</v>
      </c>
      <c r="D21" s="114" t="s">
        <v>564</v>
      </c>
      <c r="E21" s="116"/>
      <c r="F21" s="117"/>
      <c r="G21" s="117"/>
      <c r="H21" s="9" t="s">
        <v>528</v>
      </c>
      <c r="I21" s="111"/>
      <c r="J21" s="117"/>
      <c r="K21" s="120"/>
      <c r="L21" s="122">
        <f t="shared" si="5"/>
        <v>0</v>
      </c>
      <c r="M21" s="116">
        <f t="shared" si="6"/>
        <v>0</v>
      </c>
      <c r="N21" s="123">
        <f t="shared" si="7"/>
        <v>0</v>
      </c>
      <c r="O21" s="5"/>
      <c r="P21" s="5">
        <f t="shared" si="3"/>
        <v>0</v>
      </c>
      <c r="Q21" s="7">
        <f t="shared" si="4"/>
        <v>0</v>
      </c>
    </row>
    <row r="22" spans="1:17">
      <c r="A22" s="23" t="s">
        <v>25</v>
      </c>
      <c r="B22" s="35" t="s">
        <v>19</v>
      </c>
      <c r="C22" s="36">
        <v>4317</v>
      </c>
      <c r="D22" s="114" t="s">
        <v>564</v>
      </c>
      <c r="E22" s="116"/>
      <c r="F22" s="117"/>
      <c r="G22" s="117"/>
      <c r="H22" s="9" t="s">
        <v>528</v>
      </c>
      <c r="I22" s="111"/>
      <c r="J22" s="117"/>
      <c r="K22" s="120"/>
      <c r="L22" s="122">
        <f t="shared" si="5"/>
        <v>0</v>
      </c>
      <c r="M22" s="116">
        <f t="shared" si="6"/>
        <v>0</v>
      </c>
      <c r="N22" s="123">
        <f t="shared" si="7"/>
        <v>0</v>
      </c>
      <c r="O22" s="5"/>
      <c r="P22" s="5">
        <f t="shared" si="3"/>
        <v>0</v>
      </c>
      <c r="Q22" s="7">
        <f t="shared" si="4"/>
        <v>0</v>
      </c>
    </row>
    <row r="23" spans="1:17">
      <c r="A23" s="23" t="s">
        <v>26</v>
      </c>
      <c r="B23" s="35" t="s">
        <v>19</v>
      </c>
      <c r="C23" s="36">
        <v>8903</v>
      </c>
      <c r="D23" s="114" t="s">
        <v>564</v>
      </c>
      <c r="E23" s="116"/>
      <c r="F23" s="117"/>
      <c r="G23" s="117"/>
      <c r="H23" s="9" t="s">
        <v>528</v>
      </c>
      <c r="I23" s="109"/>
      <c r="J23" s="117"/>
      <c r="K23" s="120"/>
      <c r="L23" s="122">
        <f t="shared" si="5"/>
        <v>0</v>
      </c>
      <c r="M23" s="116">
        <f t="shared" si="6"/>
        <v>0</v>
      </c>
      <c r="N23" s="123">
        <f t="shared" si="7"/>
        <v>0</v>
      </c>
      <c r="O23" s="5"/>
      <c r="P23" s="5">
        <f t="shared" si="3"/>
        <v>0</v>
      </c>
      <c r="Q23" s="7">
        <f t="shared" si="4"/>
        <v>0</v>
      </c>
    </row>
    <row r="24" spans="1:17">
      <c r="A24" s="23" t="s">
        <v>27</v>
      </c>
      <c r="B24" s="35" t="s">
        <v>28</v>
      </c>
      <c r="C24" s="36">
        <v>338</v>
      </c>
      <c r="D24" s="113">
        <v>15166902</v>
      </c>
      <c r="E24" s="116">
        <f t="shared" ref="E24:E38" si="8">(D24/C24)</f>
        <v>44872.491124260356</v>
      </c>
      <c r="F24" s="117">
        <v>6834216</v>
      </c>
      <c r="G24" s="117">
        <f t="shared" ref="G24:G39" si="9">(F24/C24)</f>
        <v>20219.573964497042</v>
      </c>
      <c r="H24" s="7"/>
      <c r="I24" s="109">
        <v>0.33989999999999998</v>
      </c>
      <c r="J24" s="117">
        <v>2323</v>
      </c>
      <c r="K24" s="120">
        <f t="shared" ref="K24:K38" si="10">(J24/C24)</f>
        <v>6.8727810650887573</v>
      </c>
      <c r="L24" s="122">
        <f t="shared" si="5"/>
        <v>68342.16</v>
      </c>
      <c r="M24" s="116">
        <f t="shared" si="6"/>
        <v>66019.16</v>
      </c>
      <c r="N24" s="123">
        <f t="shared" si="7"/>
        <v>195.32295857988166</v>
      </c>
      <c r="O24" s="5"/>
      <c r="P24" s="5">
        <f t="shared" si="3"/>
        <v>1</v>
      </c>
      <c r="Q24" s="7">
        <f t="shared" si="4"/>
        <v>338</v>
      </c>
    </row>
    <row r="25" spans="1:17">
      <c r="A25" s="23" t="s">
        <v>29</v>
      </c>
      <c r="B25" s="35" t="s">
        <v>28</v>
      </c>
      <c r="C25" s="36">
        <v>500</v>
      </c>
      <c r="D25" s="113">
        <v>13786875</v>
      </c>
      <c r="E25" s="116">
        <f t="shared" si="8"/>
        <v>27573.75</v>
      </c>
      <c r="F25" s="117">
        <v>7506066</v>
      </c>
      <c r="G25" s="117">
        <f t="shared" si="9"/>
        <v>15012.132</v>
      </c>
      <c r="H25" s="7"/>
      <c r="I25" s="109">
        <v>0.32040000000000002</v>
      </c>
      <c r="J25" s="117">
        <v>2405</v>
      </c>
      <c r="K25" s="120">
        <f t="shared" si="10"/>
        <v>4.8099999999999996</v>
      </c>
      <c r="L25" s="122">
        <f t="shared" si="5"/>
        <v>75060.66</v>
      </c>
      <c r="M25" s="116">
        <f t="shared" si="6"/>
        <v>72655.66</v>
      </c>
      <c r="N25" s="123">
        <f t="shared" si="7"/>
        <v>145.31131999999999</v>
      </c>
      <c r="O25" s="5"/>
      <c r="P25" s="5">
        <f t="shared" si="3"/>
        <v>1</v>
      </c>
      <c r="Q25" s="7">
        <f t="shared" si="4"/>
        <v>500</v>
      </c>
    </row>
    <row r="26" spans="1:17">
      <c r="A26" s="23" t="s">
        <v>30</v>
      </c>
      <c r="B26" s="35" t="s">
        <v>28</v>
      </c>
      <c r="C26" s="36">
        <v>730</v>
      </c>
      <c r="D26" s="113">
        <v>28416541</v>
      </c>
      <c r="E26" s="116">
        <f t="shared" si="8"/>
        <v>38926.768493150688</v>
      </c>
      <c r="F26" s="117">
        <v>15505773</v>
      </c>
      <c r="G26" s="117">
        <f t="shared" si="9"/>
        <v>21240.784931506849</v>
      </c>
      <c r="H26" s="7"/>
      <c r="I26" s="110">
        <v>1.5550999999999999</v>
      </c>
      <c r="J26" s="117">
        <v>24113</v>
      </c>
      <c r="K26" s="120">
        <f t="shared" si="10"/>
        <v>33.031506849315072</v>
      </c>
      <c r="L26" s="122">
        <f t="shared" si="5"/>
        <v>155057.73000000001</v>
      </c>
      <c r="M26" s="116">
        <f t="shared" si="6"/>
        <v>130944.73000000001</v>
      </c>
      <c r="N26" s="123">
        <f t="shared" si="7"/>
        <v>179.37634246575345</v>
      </c>
      <c r="O26" s="5"/>
      <c r="P26" s="5">
        <f t="shared" si="3"/>
        <v>1</v>
      </c>
      <c r="Q26" s="7">
        <f t="shared" si="4"/>
        <v>730</v>
      </c>
    </row>
    <row r="27" spans="1:17">
      <c r="A27" s="23" t="s">
        <v>31</v>
      </c>
      <c r="B27" s="35" t="s">
        <v>28</v>
      </c>
      <c r="C27" s="36">
        <v>5449</v>
      </c>
      <c r="D27" s="113">
        <v>354963797</v>
      </c>
      <c r="E27" s="116">
        <f t="shared" si="8"/>
        <v>65142.924756836117</v>
      </c>
      <c r="F27" s="117">
        <v>199765214</v>
      </c>
      <c r="G27" s="117">
        <f t="shared" si="9"/>
        <v>36660.894476050649</v>
      </c>
      <c r="H27" s="7"/>
      <c r="I27" s="110">
        <v>3.9672000000000001</v>
      </c>
      <c r="J27" s="117">
        <v>792509</v>
      </c>
      <c r="K27" s="120">
        <f t="shared" si="10"/>
        <v>145.44118186823269</v>
      </c>
      <c r="L27" s="122">
        <f t="shared" si="5"/>
        <v>1997652.1400000001</v>
      </c>
      <c r="M27" s="116">
        <f t="shared" si="6"/>
        <v>1205143.1400000001</v>
      </c>
      <c r="N27" s="123">
        <f t="shared" si="7"/>
        <v>221.16776289227383</v>
      </c>
      <c r="O27" s="5"/>
      <c r="P27" s="5">
        <f t="shared" si="3"/>
        <v>1</v>
      </c>
      <c r="Q27" s="7">
        <f t="shared" si="4"/>
        <v>5449</v>
      </c>
    </row>
    <row r="28" spans="1:17">
      <c r="A28" s="23" t="s">
        <v>32</v>
      </c>
      <c r="B28" s="35" t="s">
        <v>33</v>
      </c>
      <c r="C28" s="36">
        <v>9912</v>
      </c>
      <c r="D28" s="113">
        <v>1124440953</v>
      </c>
      <c r="E28" s="116">
        <f t="shared" si="8"/>
        <v>113442.38831719129</v>
      </c>
      <c r="F28" s="117">
        <v>944641929</v>
      </c>
      <c r="G28" s="117">
        <f t="shared" si="9"/>
        <v>95302.858050847455</v>
      </c>
      <c r="H28" s="7"/>
      <c r="I28" s="110">
        <v>4.0739000000000001</v>
      </c>
      <c r="J28" s="117">
        <v>3848377</v>
      </c>
      <c r="K28" s="120">
        <f t="shared" si="10"/>
        <v>388.25433817594836</v>
      </c>
      <c r="L28" s="122">
        <f t="shared" si="5"/>
        <v>9446419.290000001</v>
      </c>
      <c r="M28" s="116">
        <f t="shared" si="6"/>
        <v>5598042.290000001</v>
      </c>
      <c r="N28" s="123">
        <f t="shared" si="7"/>
        <v>564.77424233252634</v>
      </c>
      <c r="O28" s="5"/>
      <c r="P28" s="5">
        <f t="shared" si="3"/>
        <v>1</v>
      </c>
      <c r="Q28" s="7">
        <f t="shared" si="4"/>
        <v>9912</v>
      </c>
    </row>
    <row r="29" spans="1:17">
      <c r="A29" s="23" t="s">
        <v>34</v>
      </c>
      <c r="B29" s="35" t="s">
        <v>33</v>
      </c>
      <c r="C29" s="36">
        <v>17140</v>
      </c>
      <c r="D29" s="113">
        <v>1304776420</v>
      </c>
      <c r="E29" s="116">
        <f t="shared" si="8"/>
        <v>76124.645274212366</v>
      </c>
      <c r="F29" s="117">
        <v>906151634</v>
      </c>
      <c r="G29" s="117">
        <f t="shared" si="9"/>
        <v>52867.656592765459</v>
      </c>
      <c r="H29" s="7"/>
      <c r="I29" s="109">
        <v>4.9661999999999997</v>
      </c>
      <c r="J29" s="117">
        <v>4500130</v>
      </c>
      <c r="K29" s="120">
        <f t="shared" si="10"/>
        <v>262.55134189031503</v>
      </c>
      <c r="L29" s="122">
        <f t="shared" si="5"/>
        <v>9061516.3399999999</v>
      </c>
      <c r="M29" s="116">
        <f t="shared" si="6"/>
        <v>4561386.34</v>
      </c>
      <c r="N29" s="123">
        <f t="shared" si="7"/>
        <v>266.12522403733954</v>
      </c>
      <c r="O29" s="5"/>
      <c r="P29" s="5">
        <f t="shared" si="3"/>
        <v>1</v>
      </c>
      <c r="Q29" s="7">
        <f t="shared" si="4"/>
        <v>17140</v>
      </c>
    </row>
    <row r="30" spans="1:17">
      <c r="A30" s="23" t="s">
        <v>35</v>
      </c>
      <c r="B30" s="35" t="s">
        <v>33</v>
      </c>
      <c r="C30" s="36">
        <v>11231</v>
      </c>
      <c r="D30" s="113">
        <v>2031341647</v>
      </c>
      <c r="E30" s="116">
        <f t="shared" si="8"/>
        <v>180869.16988692014</v>
      </c>
      <c r="F30" s="117">
        <v>1457119766</v>
      </c>
      <c r="G30" s="117">
        <f t="shared" si="9"/>
        <v>129740.87489983083</v>
      </c>
      <c r="H30" s="7"/>
      <c r="I30" s="109">
        <v>4.5</v>
      </c>
      <c r="J30" s="117">
        <v>6557039</v>
      </c>
      <c r="K30" s="120">
        <f t="shared" si="10"/>
        <v>583.83394176831985</v>
      </c>
      <c r="L30" s="122">
        <f t="shared" si="5"/>
        <v>14571197.66</v>
      </c>
      <c r="M30" s="116">
        <f t="shared" si="6"/>
        <v>8014158.6600000001</v>
      </c>
      <c r="N30" s="123">
        <f t="shared" si="7"/>
        <v>713.57480722998844</v>
      </c>
      <c r="O30" s="5"/>
      <c r="P30" s="5">
        <f t="shared" si="3"/>
        <v>1</v>
      </c>
      <c r="Q30" s="7">
        <f t="shared" si="4"/>
        <v>11231</v>
      </c>
    </row>
    <row r="31" spans="1:17">
      <c r="A31" s="23" t="s">
        <v>530</v>
      </c>
      <c r="B31" s="35" t="s">
        <v>33</v>
      </c>
      <c r="C31" s="36">
        <v>3850</v>
      </c>
      <c r="D31" s="113">
        <v>498491912</v>
      </c>
      <c r="E31" s="116">
        <f t="shared" si="8"/>
        <v>129478.41870129869</v>
      </c>
      <c r="F31" s="117">
        <v>342212651</v>
      </c>
      <c r="G31" s="117">
        <f t="shared" si="9"/>
        <v>88886.402857142864</v>
      </c>
      <c r="H31" s="9"/>
      <c r="I31" s="109">
        <v>1</v>
      </c>
      <c r="J31" s="117">
        <v>342213</v>
      </c>
      <c r="K31" s="120">
        <f t="shared" si="10"/>
        <v>88.886493506493508</v>
      </c>
      <c r="L31" s="122">
        <f t="shared" si="5"/>
        <v>3422126.5100000002</v>
      </c>
      <c r="M31" s="116">
        <f t="shared" si="6"/>
        <v>3079913.5100000002</v>
      </c>
      <c r="N31" s="123">
        <f t="shared" si="7"/>
        <v>799.97753506493518</v>
      </c>
      <c r="O31" s="5"/>
      <c r="P31" s="5">
        <f t="shared" si="3"/>
        <v>1</v>
      </c>
      <c r="Q31" s="7">
        <f t="shared" si="4"/>
        <v>3850</v>
      </c>
    </row>
    <row r="32" spans="1:17">
      <c r="A32" s="23" t="s">
        <v>36</v>
      </c>
      <c r="B32" s="35" t="s">
        <v>33</v>
      </c>
      <c r="C32" s="36">
        <v>2720</v>
      </c>
      <c r="D32" s="113">
        <v>417139591</v>
      </c>
      <c r="E32" s="116">
        <f t="shared" si="8"/>
        <v>153360.14374999999</v>
      </c>
      <c r="F32" s="117">
        <v>299778136</v>
      </c>
      <c r="G32" s="117">
        <f t="shared" si="9"/>
        <v>110212.55</v>
      </c>
      <c r="H32" s="7"/>
      <c r="I32" s="109">
        <v>6.0697999999999999</v>
      </c>
      <c r="J32" s="117">
        <v>1819593</v>
      </c>
      <c r="K32" s="120">
        <f t="shared" si="10"/>
        <v>668.9680147058823</v>
      </c>
      <c r="L32" s="122">
        <f t="shared" si="5"/>
        <v>2997781.36</v>
      </c>
      <c r="M32" s="116">
        <f t="shared" si="6"/>
        <v>1178188.3599999999</v>
      </c>
      <c r="N32" s="123">
        <f t="shared" si="7"/>
        <v>433.15748529411758</v>
      </c>
      <c r="O32" s="5"/>
      <c r="P32" s="5">
        <f t="shared" si="3"/>
        <v>1</v>
      </c>
      <c r="Q32" s="7">
        <f t="shared" si="4"/>
        <v>2720</v>
      </c>
    </row>
    <row r="33" spans="1:17">
      <c r="A33" s="23" t="s">
        <v>37</v>
      </c>
      <c r="B33" s="35" t="s">
        <v>33</v>
      </c>
      <c r="C33" s="36">
        <v>8225</v>
      </c>
      <c r="D33" s="113">
        <v>902394212</v>
      </c>
      <c r="E33" s="116">
        <f t="shared" si="8"/>
        <v>109713.58200607903</v>
      </c>
      <c r="F33" s="117">
        <v>679189476</v>
      </c>
      <c r="G33" s="117">
        <f t="shared" si="9"/>
        <v>82576.228085106384</v>
      </c>
      <c r="H33" s="7"/>
      <c r="I33" s="109">
        <v>5.4077000000000002</v>
      </c>
      <c r="J33" s="117">
        <v>3672853</v>
      </c>
      <c r="K33" s="120">
        <f t="shared" si="10"/>
        <v>446.54747720364742</v>
      </c>
      <c r="L33" s="122">
        <f t="shared" si="5"/>
        <v>6791894.7599999998</v>
      </c>
      <c r="M33" s="116">
        <f t="shared" si="6"/>
        <v>3119041.76</v>
      </c>
      <c r="N33" s="123">
        <f t="shared" si="7"/>
        <v>379.21480364741637</v>
      </c>
      <c r="O33" s="5"/>
      <c r="P33" s="5">
        <f t="shared" si="3"/>
        <v>1</v>
      </c>
      <c r="Q33" s="7">
        <f t="shared" si="4"/>
        <v>8225</v>
      </c>
    </row>
    <row r="34" spans="1:17">
      <c r="A34" s="23" t="s">
        <v>38</v>
      </c>
      <c r="B34" s="35" t="s">
        <v>33</v>
      </c>
      <c r="C34" s="36">
        <v>2757</v>
      </c>
      <c r="D34" s="113">
        <v>302416785</v>
      </c>
      <c r="E34" s="116">
        <f t="shared" si="8"/>
        <v>109690.52774755169</v>
      </c>
      <c r="F34" s="117">
        <v>215737907</v>
      </c>
      <c r="G34" s="117">
        <f t="shared" si="9"/>
        <v>78250.963728690607</v>
      </c>
      <c r="H34" s="7"/>
      <c r="I34" s="109">
        <v>1.663</v>
      </c>
      <c r="J34" s="117">
        <v>358772</v>
      </c>
      <c r="K34" s="120">
        <f t="shared" si="10"/>
        <v>130.13130214000725</v>
      </c>
      <c r="L34" s="122">
        <f t="shared" si="5"/>
        <v>2157379.0699999998</v>
      </c>
      <c r="M34" s="116">
        <f t="shared" si="6"/>
        <v>1798607.0699999998</v>
      </c>
      <c r="N34" s="123">
        <f t="shared" si="7"/>
        <v>652.37833514689873</v>
      </c>
      <c r="O34" s="5"/>
      <c r="P34" s="5">
        <f t="shared" si="3"/>
        <v>1</v>
      </c>
      <c r="Q34" s="7">
        <f t="shared" si="4"/>
        <v>2757</v>
      </c>
    </row>
    <row r="35" spans="1:17">
      <c r="A35" s="23" t="s">
        <v>39</v>
      </c>
      <c r="B35" s="35" t="s">
        <v>33</v>
      </c>
      <c r="C35" s="36">
        <v>76205</v>
      </c>
      <c r="D35" s="113">
        <v>5953360318</v>
      </c>
      <c r="E35" s="116">
        <f t="shared" si="8"/>
        <v>78122.961984121779</v>
      </c>
      <c r="F35" s="117">
        <v>3869625275</v>
      </c>
      <c r="G35" s="117">
        <f t="shared" si="9"/>
        <v>50779.151958532908</v>
      </c>
      <c r="H35" s="7"/>
      <c r="I35" s="109">
        <v>5.9222999999999999</v>
      </c>
      <c r="J35" s="117">
        <v>22917082</v>
      </c>
      <c r="K35" s="120">
        <f t="shared" si="10"/>
        <v>300.72937471294534</v>
      </c>
      <c r="L35" s="122">
        <f t="shared" si="5"/>
        <v>38696252.75</v>
      </c>
      <c r="M35" s="116">
        <f t="shared" si="6"/>
        <v>15779170.75</v>
      </c>
      <c r="N35" s="123">
        <f t="shared" si="7"/>
        <v>207.0621448723837</v>
      </c>
      <c r="O35" s="5"/>
      <c r="P35" s="5">
        <f t="shared" si="3"/>
        <v>1</v>
      </c>
      <c r="Q35" s="7">
        <f t="shared" si="4"/>
        <v>76205</v>
      </c>
    </row>
    <row r="36" spans="1:17">
      <c r="A36" s="23" t="s">
        <v>40</v>
      </c>
      <c r="B36" s="35" t="s">
        <v>33</v>
      </c>
      <c r="C36" s="36">
        <v>3101</v>
      </c>
      <c r="D36" s="113">
        <v>444361102</v>
      </c>
      <c r="E36" s="116">
        <f t="shared" si="8"/>
        <v>143296.06643018383</v>
      </c>
      <c r="F36" s="117">
        <v>296082368</v>
      </c>
      <c r="G36" s="117">
        <f t="shared" si="9"/>
        <v>95479.64140599806</v>
      </c>
      <c r="H36" s="7"/>
      <c r="I36" s="109">
        <v>3.3443000000000001</v>
      </c>
      <c r="J36" s="117">
        <v>990188</v>
      </c>
      <c r="K36" s="120">
        <f t="shared" si="10"/>
        <v>319.31247984521121</v>
      </c>
      <c r="L36" s="122">
        <f t="shared" si="5"/>
        <v>2960823.68</v>
      </c>
      <c r="M36" s="116">
        <f t="shared" si="6"/>
        <v>1970635.6800000002</v>
      </c>
      <c r="N36" s="123">
        <f t="shared" si="7"/>
        <v>635.48393421476953</v>
      </c>
      <c r="O36" s="5"/>
      <c r="P36" s="5">
        <f t="shared" si="3"/>
        <v>1</v>
      </c>
      <c r="Q36" s="7">
        <f t="shared" si="4"/>
        <v>3101</v>
      </c>
    </row>
    <row r="37" spans="1:17">
      <c r="A37" s="23" t="s">
        <v>41</v>
      </c>
      <c r="B37" s="35" t="s">
        <v>33</v>
      </c>
      <c r="C37" s="36">
        <v>662</v>
      </c>
      <c r="D37" s="113">
        <v>57025222</v>
      </c>
      <c r="E37" s="116">
        <f t="shared" si="8"/>
        <v>86140.818731117819</v>
      </c>
      <c r="F37" s="117">
        <v>40191323</v>
      </c>
      <c r="G37" s="117">
        <f t="shared" si="9"/>
        <v>60711.96827794562</v>
      </c>
      <c r="H37" s="7"/>
      <c r="I37" s="109">
        <v>7.0758999999999999</v>
      </c>
      <c r="J37" s="117">
        <v>284390</v>
      </c>
      <c r="K37" s="120">
        <f t="shared" si="10"/>
        <v>429.59214501510576</v>
      </c>
      <c r="L37" s="122">
        <f t="shared" si="5"/>
        <v>401913.23</v>
      </c>
      <c r="M37" s="116">
        <f t="shared" si="6"/>
        <v>117523.22999999998</v>
      </c>
      <c r="N37" s="123">
        <f t="shared" si="7"/>
        <v>177.52753776435043</v>
      </c>
      <c r="O37" s="5"/>
      <c r="P37" s="5">
        <f t="shared" si="3"/>
        <v>1</v>
      </c>
      <c r="Q37" s="7">
        <f t="shared" si="4"/>
        <v>662</v>
      </c>
    </row>
    <row r="38" spans="1:17">
      <c r="A38" s="23" t="s">
        <v>42</v>
      </c>
      <c r="B38" s="35" t="s">
        <v>33</v>
      </c>
      <c r="C38" s="36">
        <v>103190</v>
      </c>
      <c r="D38" s="113">
        <v>5122384121</v>
      </c>
      <c r="E38" s="116">
        <f t="shared" si="8"/>
        <v>49640.315156507415</v>
      </c>
      <c r="F38" s="117">
        <v>3333386670</v>
      </c>
      <c r="G38" s="117">
        <f t="shared" si="9"/>
        <v>32303.388603546857</v>
      </c>
      <c r="H38" s="7"/>
      <c r="I38" s="109">
        <v>7.5</v>
      </c>
      <c r="J38" s="117">
        <v>25000400</v>
      </c>
      <c r="K38" s="120">
        <f t="shared" si="10"/>
        <v>242.27541428432988</v>
      </c>
      <c r="L38" s="122">
        <f t="shared" si="5"/>
        <v>33333866.699999999</v>
      </c>
      <c r="M38" s="116">
        <f t="shared" si="6"/>
        <v>8333466.6999999993</v>
      </c>
      <c r="N38" s="123">
        <f t="shared" si="7"/>
        <v>80.758471751138671</v>
      </c>
      <c r="O38" s="5"/>
      <c r="P38" s="5">
        <f t="shared" si="3"/>
        <v>1</v>
      </c>
      <c r="Q38" s="7">
        <f t="shared" si="4"/>
        <v>103190</v>
      </c>
    </row>
    <row r="39" spans="1:17">
      <c r="A39" s="23" t="s">
        <v>43</v>
      </c>
      <c r="B39" s="35" t="s">
        <v>33</v>
      </c>
      <c r="C39" s="36">
        <v>900</v>
      </c>
      <c r="D39" s="114" t="s">
        <v>564</v>
      </c>
      <c r="E39" s="116"/>
      <c r="F39" s="117"/>
      <c r="G39" s="117">
        <f t="shared" si="9"/>
        <v>0</v>
      </c>
      <c r="H39" s="9" t="s">
        <v>528</v>
      </c>
      <c r="I39" s="109"/>
      <c r="J39" s="117"/>
      <c r="K39" s="120"/>
      <c r="L39" s="122">
        <f t="shared" si="5"/>
        <v>0</v>
      </c>
      <c r="M39" s="116">
        <f t="shared" si="6"/>
        <v>0</v>
      </c>
      <c r="N39" s="123">
        <f t="shared" si="7"/>
        <v>0</v>
      </c>
      <c r="O39" s="5"/>
      <c r="P39" s="5">
        <f t="shared" si="3"/>
        <v>0</v>
      </c>
      <c r="Q39" s="7">
        <f t="shared" si="4"/>
        <v>0</v>
      </c>
    </row>
    <row r="40" spans="1:17">
      <c r="A40" s="23" t="s">
        <v>44</v>
      </c>
      <c r="B40" s="35" t="s">
        <v>33</v>
      </c>
      <c r="C40" s="36">
        <v>24926</v>
      </c>
      <c r="D40" s="113">
        <v>1853769603</v>
      </c>
      <c r="E40" s="116">
        <f t="shared" ref="E40:E57" si="11">(D40/C40)</f>
        <v>74370.922049265821</v>
      </c>
      <c r="F40" s="117">
        <v>1139118013</v>
      </c>
      <c r="G40" s="117">
        <f t="shared" ref="G40:G57" si="12">(F40/C40)</f>
        <v>45699.992497793472</v>
      </c>
      <c r="H40" s="7"/>
      <c r="I40" s="109">
        <v>5.65</v>
      </c>
      <c r="J40" s="117">
        <v>6436017</v>
      </c>
      <c r="K40" s="120">
        <f t="shared" ref="K40:K54" si="13">(J40/C40)</f>
        <v>258.20496670143626</v>
      </c>
      <c r="L40" s="122">
        <f t="shared" si="5"/>
        <v>11391180.130000001</v>
      </c>
      <c r="M40" s="116">
        <f t="shared" si="6"/>
        <v>4955163.1300000008</v>
      </c>
      <c r="N40" s="123">
        <f t="shared" si="7"/>
        <v>198.79495827649848</v>
      </c>
      <c r="O40" s="5"/>
      <c r="P40" s="5">
        <f t="shared" si="3"/>
        <v>1</v>
      </c>
      <c r="Q40" s="7">
        <f t="shared" si="4"/>
        <v>24926</v>
      </c>
    </row>
    <row r="41" spans="1:17">
      <c r="A41" s="23" t="s">
        <v>45</v>
      </c>
      <c r="B41" s="35" t="s">
        <v>33</v>
      </c>
      <c r="C41" s="36">
        <v>10109</v>
      </c>
      <c r="D41" s="113">
        <v>959687538</v>
      </c>
      <c r="E41" s="116">
        <f t="shared" si="11"/>
        <v>94933.973488970223</v>
      </c>
      <c r="F41" s="117">
        <v>651947637</v>
      </c>
      <c r="G41" s="117">
        <f t="shared" si="12"/>
        <v>64491.803046789988</v>
      </c>
      <c r="H41" s="7"/>
      <c r="I41" s="109">
        <v>8.1439000000000004</v>
      </c>
      <c r="J41" s="121">
        <v>5309396</v>
      </c>
      <c r="K41" s="120">
        <f t="shared" si="13"/>
        <v>525.21475912553171</v>
      </c>
      <c r="L41" s="122">
        <f t="shared" si="5"/>
        <v>6519476.3700000001</v>
      </c>
      <c r="M41" s="116">
        <f t="shared" si="6"/>
        <v>1210080.3700000001</v>
      </c>
      <c r="N41" s="123">
        <f t="shared" si="7"/>
        <v>119.7032713423682</v>
      </c>
      <c r="O41" s="5"/>
      <c r="P41" s="5">
        <f t="shared" si="3"/>
        <v>1</v>
      </c>
      <c r="Q41" s="7">
        <f t="shared" si="4"/>
        <v>10109</v>
      </c>
    </row>
    <row r="42" spans="1:17">
      <c r="A42" s="23" t="s">
        <v>46</v>
      </c>
      <c r="B42" s="35" t="s">
        <v>33</v>
      </c>
      <c r="C42" s="36">
        <v>43761</v>
      </c>
      <c r="D42" s="113">
        <v>2625297219</v>
      </c>
      <c r="E42" s="116">
        <f t="shared" si="11"/>
        <v>59991.709947213269</v>
      </c>
      <c r="F42" s="117">
        <v>1618349789</v>
      </c>
      <c r="G42" s="117">
        <f t="shared" si="12"/>
        <v>36981.554100683257</v>
      </c>
      <c r="H42" s="7"/>
      <c r="I42" s="109">
        <v>6.4196</v>
      </c>
      <c r="J42" s="117">
        <v>10389158</v>
      </c>
      <c r="K42" s="120">
        <f t="shared" si="13"/>
        <v>237.40677772445784</v>
      </c>
      <c r="L42" s="122">
        <f t="shared" si="5"/>
        <v>16183497.890000001</v>
      </c>
      <c r="M42" s="116">
        <f t="shared" si="6"/>
        <v>5794339.8900000006</v>
      </c>
      <c r="N42" s="123">
        <f t="shared" si="7"/>
        <v>132.40876328237474</v>
      </c>
      <c r="O42" s="5"/>
      <c r="P42" s="5">
        <f t="shared" si="3"/>
        <v>1</v>
      </c>
      <c r="Q42" s="7">
        <f t="shared" si="4"/>
        <v>43761</v>
      </c>
    </row>
    <row r="43" spans="1:17">
      <c r="A43" s="23" t="s">
        <v>47</v>
      </c>
      <c r="B43" s="35" t="s">
        <v>33</v>
      </c>
      <c r="C43" s="36">
        <v>18355</v>
      </c>
      <c r="D43" s="113">
        <v>1429062512</v>
      </c>
      <c r="E43" s="116">
        <f t="shared" si="11"/>
        <v>77856.851648052296</v>
      </c>
      <c r="F43" s="117">
        <v>1047797442</v>
      </c>
      <c r="G43" s="117">
        <f t="shared" si="12"/>
        <v>57085.123508580771</v>
      </c>
      <c r="H43" s="98"/>
      <c r="I43" s="109">
        <v>2.2974999999999999</v>
      </c>
      <c r="J43" s="117">
        <v>2407315</v>
      </c>
      <c r="K43" s="120">
        <f t="shared" si="13"/>
        <v>131.1530918005993</v>
      </c>
      <c r="L43" s="122">
        <f t="shared" si="5"/>
        <v>10477974.42</v>
      </c>
      <c r="M43" s="116">
        <f t="shared" si="6"/>
        <v>8070659.4199999999</v>
      </c>
      <c r="N43" s="123">
        <f t="shared" si="7"/>
        <v>439.6981432852084</v>
      </c>
      <c r="O43" s="5"/>
      <c r="P43" s="5">
        <f t="shared" si="3"/>
        <v>1</v>
      </c>
      <c r="Q43" s="7">
        <f t="shared" si="4"/>
        <v>18355</v>
      </c>
    </row>
    <row r="44" spans="1:17">
      <c r="A44" s="23" t="s">
        <v>48</v>
      </c>
      <c r="B44" s="35" t="s">
        <v>49</v>
      </c>
      <c r="C44" s="36">
        <v>52909</v>
      </c>
      <c r="D44" s="113">
        <v>4045948551</v>
      </c>
      <c r="E44" s="116">
        <f t="shared" si="11"/>
        <v>76469.949365892375</v>
      </c>
      <c r="F44" s="117">
        <v>2624514914</v>
      </c>
      <c r="G44" s="117">
        <f t="shared" si="12"/>
        <v>49604.319000548108</v>
      </c>
      <c r="H44" s="98"/>
      <c r="I44" s="110">
        <v>6.4036</v>
      </c>
      <c r="J44" s="117">
        <v>16806344</v>
      </c>
      <c r="K44" s="120">
        <f t="shared" si="13"/>
        <v>317.64622275983294</v>
      </c>
      <c r="L44" s="122">
        <f t="shared" si="5"/>
        <v>26245149.140000001</v>
      </c>
      <c r="M44" s="116">
        <f t="shared" si="6"/>
        <v>9438805.1400000006</v>
      </c>
      <c r="N44" s="123">
        <f t="shared" si="7"/>
        <v>178.3969672456482</v>
      </c>
      <c r="O44" s="5"/>
      <c r="P44" s="5">
        <f t="shared" si="3"/>
        <v>1</v>
      </c>
      <c r="Q44" s="7">
        <f t="shared" si="4"/>
        <v>52909</v>
      </c>
    </row>
    <row r="45" spans="1:17">
      <c r="A45" s="23" t="s">
        <v>50</v>
      </c>
      <c r="B45" s="35" t="s">
        <v>49</v>
      </c>
      <c r="C45" s="36">
        <v>28547</v>
      </c>
      <c r="D45" s="113">
        <v>2914161500</v>
      </c>
      <c r="E45" s="116">
        <f t="shared" si="11"/>
        <v>102082.93340806389</v>
      </c>
      <c r="F45" s="117">
        <v>1865243929</v>
      </c>
      <c r="G45" s="117">
        <f t="shared" si="12"/>
        <v>65339.40270431219</v>
      </c>
      <c r="H45" s="98"/>
      <c r="I45" s="109">
        <v>5.0479000000000003</v>
      </c>
      <c r="J45" s="117">
        <v>9415565</v>
      </c>
      <c r="K45" s="120">
        <f t="shared" si="13"/>
        <v>329.82677689424457</v>
      </c>
      <c r="L45" s="122">
        <f t="shared" si="5"/>
        <v>18652439.289999999</v>
      </c>
      <c r="M45" s="116">
        <f t="shared" si="6"/>
        <v>9236874.2899999991</v>
      </c>
      <c r="N45" s="123">
        <f t="shared" si="7"/>
        <v>323.56725014887724</v>
      </c>
      <c r="O45" s="5"/>
      <c r="P45" s="5">
        <f t="shared" si="3"/>
        <v>1</v>
      </c>
      <c r="Q45" s="7">
        <f t="shared" si="4"/>
        <v>28547</v>
      </c>
    </row>
    <row r="46" spans="1:17">
      <c r="A46" s="23" t="s">
        <v>51</v>
      </c>
      <c r="B46" s="35" t="s">
        <v>49</v>
      </c>
      <c r="C46" s="36">
        <v>121096</v>
      </c>
      <c r="D46" s="113">
        <v>10366278163</v>
      </c>
      <c r="E46" s="116">
        <f t="shared" si="11"/>
        <v>85603.803288300187</v>
      </c>
      <c r="F46" s="117">
        <v>7527806331</v>
      </c>
      <c r="G46" s="117">
        <f t="shared" si="12"/>
        <v>62163.955299927329</v>
      </c>
      <c r="H46" s="98"/>
      <c r="I46" s="109">
        <v>4.3559000000000001</v>
      </c>
      <c r="J46" s="117">
        <v>32790372</v>
      </c>
      <c r="K46" s="120">
        <f t="shared" si="13"/>
        <v>270.77997621721607</v>
      </c>
      <c r="L46" s="122">
        <f t="shared" si="5"/>
        <v>75278063.310000002</v>
      </c>
      <c r="M46" s="116">
        <f t="shared" si="6"/>
        <v>42487691.310000002</v>
      </c>
      <c r="N46" s="123">
        <f t="shared" si="7"/>
        <v>350.85957678205722</v>
      </c>
      <c r="O46" s="5"/>
      <c r="P46" s="5">
        <f t="shared" si="3"/>
        <v>1</v>
      </c>
      <c r="Q46" s="7">
        <f t="shared" si="4"/>
        <v>121096</v>
      </c>
    </row>
    <row r="47" spans="1:17">
      <c r="A47" s="23" t="s">
        <v>464</v>
      </c>
      <c r="B47" s="35" t="s">
        <v>49</v>
      </c>
      <c r="C47" s="36">
        <v>29639</v>
      </c>
      <c r="D47" s="113">
        <v>3415049712</v>
      </c>
      <c r="E47" s="116">
        <f t="shared" si="11"/>
        <v>115221.48898410877</v>
      </c>
      <c r="F47" s="117">
        <v>2658062641</v>
      </c>
      <c r="G47" s="117">
        <f t="shared" si="12"/>
        <v>89681.252437666582</v>
      </c>
      <c r="H47" s="98"/>
      <c r="I47" s="109">
        <v>5.9997999999999996</v>
      </c>
      <c r="J47" s="117">
        <v>15947844</v>
      </c>
      <c r="K47" s="120">
        <f t="shared" si="13"/>
        <v>538.06957049832988</v>
      </c>
      <c r="L47" s="122">
        <f t="shared" si="5"/>
        <v>26580626.41</v>
      </c>
      <c r="M47" s="116">
        <f t="shared" si="6"/>
        <v>10632782.41</v>
      </c>
      <c r="N47" s="123">
        <f t="shared" si="7"/>
        <v>358.74295387833598</v>
      </c>
      <c r="O47" s="5"/>
      <c r="P47" s="5">
        <f t="shared" si="3"/>
        <v>1</v>
      </c>
      <c r="Q47" s="7">
        <f t="shared" si="4"/>
        <v>29639</v>
      </c>
    </row>
    <row r="48" spans="1:17">
      <c r="A48" s="23" t="s">
        <v>52</v>
      </c>
      <c r="B48" s="35" t="s">
        <v>49</v>
      </c>
      <c r="C48" s="36">
        <v>91992</v>
      </c>
      <c r="D48" s="113">
        <v>10064573741</v>
      </c>
      <c r="E48" s="116">
        <f t="shared" si="11"/>
        <v>109407.05431994087</v>
      </c>
      <c r="F48" s="117">
        <v>6676188156</v>
      </c>
      <c r="G48" s="117">
        <f t="shared" si="12"/>
        <v>72573.57331072267</v>
      </c>
      <c r="H48" s="98"/>
      <c r="I48" s="110">
        <v>4.8124000000000002</v>
      </c>
      <c r="J48" s="117">
        <v>32128488</v>
      </c>
      <c r="K48" s="120">
        <f t="shared" si="13"/>
        <v>349.25306548395514</v>
      </c>
      <c r="L48" s="122">
        <f t="shared" si="5"/>
        <v>66761881.560000002</v>
      </c>
      <c r="M48" s="116">
        <f t="shared" si="6"/>
        <v>34633393.560000002</v>
      </c>
      <c r="N48" s="123">
        <f t="shared" si="7"/>
        <v>376.4826676232716</v>
      </c>
      <c r="O48" s="5"/>
      <c r="P48" s="5">
        <f t="shared" si="3"/>
        <v>1</v>
      </c>
      <c r="Q48" s="7">
        <f t="shared" si="4"/>
        <v>91992</v>
      </c>
    </row>
    <row r="49" spans="1:17">
      <c r="A49" s="23" t="s">
        <v>53</v>
      </c>
      <c r="B49" s="35" t="s">
        <v>49</v>
      </c>
      <c r="C49" s="36">
        <v>75018</v>
      </c>
      <c r="D49" s="113">
        <v>6824608051</v>
      </c>
      <c r="E49" s="116">
        <f t="shared" si="11"/>
        <v>90972.940507611507</v>
      </c>
      <c r="F49" s="117">
        <v>5140306662</v>
      </c>
      <c r="G49" s="117">
        <f t="shared" si="12"/>
        <v>68520.977125489881</v>
      </c>
      <c r="H49" s="98"/>
      <c r="I49" s="109">
        <v>6.2481999999999998</v>
      </c>
      <c r="J49" s="117">
        <v>32117664</v>
      </c>
      <c r="K49" s="120">
        <f t="shared" si="13"/>
        <v>428.13276813564744</v>
      </c>
      <c r="L49" s="122">
        <f t="shared" si="5"/>
        <v>51403066.620000005</v>
      </c>
      <c r="M49" s="116">
        <f t="shared" si="6"/>
        <v>19285402.620000005</v>
      </c>
      <c r="N49" s="123">
        <f t="shared" si="7"/>
        <v>257.07700311925146</v>
      </c>
      <c r="O49" s="5"/>
      <c r="P49" s="5">
        <f t="shared" si="3"/>
        <v>1</v>
      </c>
      <c r="Q49" s="7">
        <f t="shared" si="4"/>
        <v>75018</v>
      </c>
    </row>
    <row r="50" spans="1:17">
      <c r="A50" s="23" t="s">
        <v>54</v>
      </c>
      <c r="B50" s="35" t="s">
        <v>49</v>
      </c>
      <c r="C50" s="36">
        <v>165521</v>
      </c>
      <c r="D50" s="113">
        <v>32846694540</v>
      </c>
      <c r="E50" s="116">
        <f t="shared" si="11"/>
        <v>198444.27317379668</v>
      </c>
      <c r="F50" s="117">
        <v>24590585895</v>
      </c>
      <c r="G50" s="117">
        <f t="shared" si="12"/>
        <v>148564.74945777273</v>
      </c>
      <c r="H50" s="98"/>
      <c r="I50" s="109">
        <v>4.1193</v>
      </c>
      <c r="J50" s="117">
        <v>101296000</v>
      </c>
      <c r="K50" s="120">
        <f t="shared" si="13"/>
        <v>611.98276955794131</v>
      </c>
      <c r="L50" s="122">
        <f t="shared" si="5"/>
        <v>245905858.95000002</v>
      </c>
      <c r="M50" s="116">
        <f t="shared" si="6"/>
        <v>144609858.95000002</v>
      </c>
      <c r="N50" s="123">
        <f t="shared" si="7"/>
        <v>873.66472501978615</v>
      </c>
      <c r="O50" s="5"/>
      <c r="P50" s="5">
        <f t="shared" si="3"/>
        <v>1</v>
      </c>
      <c r="Q50" s="7">
        <f t="shared" si="4"/>
        <v>165521</v>
      </c>
    </row>
    <row r="51" spans="1:17">
      <c r="A51" s="23" t="s">
        <v>465</v>
      </c>
      <c r="B51" s="35" t="s">
        <v>49</v>
      </c>
      <c r="C51" s="36">
        <v>37113</v>
      </c>
      <c r="D51" s="113">
        <v>4373831302</v>
      </c>
      <c r="E51" s="116">
        <f t="shared" si="11"/>
        <v>117851.73125319969</v>
      </c>
      <c r="F51" s="117">
        <v>3545483716</v>
      </c>
      <c r="G51" s="117">
        <f t="shared" si="12"/>
        <v>95532.123945787185</v>
      </c>
      <c r="H51" s="98"/>
      <c r="I51" s="109">
        <v>5.9</v>
      </c>
      <c r="J51" s="117">
        <v>20918354</v>
      </c>
      <c r="K51" s="120">
        <f t="shared" si="13"/>
        <v>563.63953331716652</v>
      </c>
      <c r="L51" s="122">
        <f t="shared" si="5"/>
        <v>35454837.160000004</v>
      </c>
      <c r="M51" s="116">
        <f t="shared" si="6"/>
        <v>14536483.160000004</v>
      </c>
      <c r="N51" s="123">
        <f t="shared" si="7"/>
        <v>391.6817061407055</v>
      </c>
      <c r="O51" s="5"/>
      <c r="P51" s="5">
        <f t="shared" si="3"/>
        <v>1</v>
      </c>
      <c r="Q51" s="7">
        <f t="shared" si="4"/>
        <v>37113</v>
      </c>
    </row>
    <row r="52" spans="1:17">
      <c r="A52" s="23" t="s">
        <v>55</v>
      </c>
      <c r="B52" s="35" t="s">
        <v>49</v>
      </c>
      <c r="C52" s="36">
        <v>1875</v>
      </c>
      <c r="D52" s="113">
        <v>1118385920</v>
      </c>
      <c r="E52" s="116">
        <f t="shared" si="11"/>
        <v>596472.49066666665</v>
      </c>
      <c r="F52" s="117">
        <v>971303765</v>
      </c>
      <c r="G52" s="117">
        <f t="shared" si="12"/>
        <v>518028.67466666666</v>
      </c>
      <c r="H52" s="98"/>
      <c r="I52" s="109">
        <v>3.39</v>
      </c>
      <c r="J52" s="117">
        <v>3292720</v>
      </c>
      <c r="K52" s="120">
        <f t="shared" si="13"/>
        <v>1756.1173333333334</v>
      </c>
      <c r="L52" s="122">
        <f t="shared" si="5"/>
        <v>9713037.6500000004</v>
      </c>
      <c r="M52" s="116">
        <f t="shared" si="6"/>
        <v>6420317.6500000004</v>
      </c>
      <c r="N52" s="123">
        <f t="shared" si="7"/>
        <v>3424.1694133333335</v>
      </c>
      <c r="O52" s="5"/>
      <c r="P52" s="5">
        <f t="shared" si="3"/>
        <v>1</v>
      </c>
      <c r="Q52" s="7">
        <f t="shared" si="4"/>
        <v>1875</v>
      </c>
    </row>
    <row r="53" spans="1:17">
      <c r="A53" s="23" t="s">
        <v>56</v>
      </c>
      <c r="B53" s="35" t="s">
        <v>49</v>
      </c>
      <c r="C53" s="36">
        <v>140768</v>
      </c>
      <c r="D53" s="113">
        <v>14806468333</v>
      </c>
      <c r="E53" s="116">
        <f t="shared" si="11"/>
        <v>105183.4815654126</v>
      </c>
      <c r="F53" s="117">
        <v>10418612943</v>
      </c>
      <c r="G53" s="117">
        <f t="shared" si="12"/>
        <v>74012.651618265518</v>
      </c>
      <c r="H53" s="98"/>
      <c r="I53" s="109">
        <v>6.71</v>
      </c>
      <c r="J53" s="117">
        <v>69908893</v>
      </c>
      <c r="K53" s="120">
        <f t="shared" si="13"/>
        <v>496.62489344169131</v>
      </c>
      <c r="L53" s="122">
        <f t="shared" si="5"/>
        <v>104186129.43000001</v>
      </c>
      <c r="M53" s="116">
        <f t="shared" si="6"/>
        <v>34277236.430000007</v>
      </c>
      <c r="N53" s="123">
        <f t="shared" si="7"/>
        <v>243.50162274096391</v>
      </c>
      <c r="O53" s="5"/>
      <c r="P53" s="5">
        <f t="shared" si="3"/>
        <v>1</v>
      </c>
      <c r="Q53" s="7">
        <f t="shared" si="4"/>
        <v>140768</v>
      </c>
    </row>
    <row r="54" spans="1:17">
      <c r="A54" s="23" t="s">
        <v>57</v>
      </c>
      <c r="B54" s="35" t="s">
        <v>49</v>
      </c>
      <c r="C54" s="36">
        <v>32593</v>
      </c>
      <c r="D54" s="113">
        <v>1372063683</v>
      </c>
      <c r="E54" s="116">
        <f t="shared" si="11"/>
        <v>42096.88224465376</v>
      </c>
      <c r="F54" s="117">
        <v>839169265</v>
      </c>
      <c r="G54" s="117">
        <f t="shared" si="12"/>
        <v>25746.916976037799</v>
      </c>
      <c r="H54" s="98"/>
      <c r="I54" s="109">
        <v>7</v>
      </c>
      <c r="J54" s="117">
        <v>5874185</v>
      </c>
      <c r="K54" s="120">
        <f t="shared" si="13"/>
        <v>180.22842328107262</v>
      </c>
      <c r="L54" s="122">
        <f t="shared" si="5"/>
        <v>8391692.6500000004</v>
      </c>
      <c r="M54" s="116">
        <f t="shared" si="6"/>
        <v>2517507.6500000004</v>
      </c>
      <c r="N54" s="123">
        <f t="shared" si="7"/>
        <v>77.240746479305386</v>
      </c>
      <c r="O54" s="5"/>
      <c r="P54" s="5">
        <f t="shared" si="3"/>
        <v>1</v>
      </c>
      <c r="Q54" s="7">
        <f t="shared" si="4"/>
        <v>32593</v>
      </c>
    </row>
    <row r="55" spans="1:17">
      <c r="A55" s="23" t="s">
        <v>560</v>
      </c>
      <c r="B55" s="35" t="s">
        <v>49</v>
      </c>
      <c r="C55" s="36">
        <v>6056</v>
      </c>
      <c r="D55" s="113">
        <v>2093258086</v>
      </c>
      <c r="E55" s="116">
        <f t="shared" si="11"/>
        <v>345650.27840158518</v>
      </c>
      <c r="F55" s="117">
        <v>1769568325</v>
      </c>
      <c r="G55" s="117">
        <f t="shared" si="12"/>
        <v>292200.84626816382</v>
      </c>
      <c r="H55" s="98"/>
      <c r="I55" s="109">
        <v>3.9990000000000001</v>
      </c>
      <c r="J55" s="117">
        <v>7076504</v>
      </c>
      <c r="K55" s="120">
        <f t="shared" ref="K55:K74" si="14">(J55/C55)</f>
        <v>1168.5112285336857</v>
      </c>
      <c r="L55" s="122">
        <f t="shared" si="5"/>
        <v>17695683.25</v>
      </c>
      <c r="M55" s="116">
        <f t="shared" si="6"/>
        <v>10619179.25</v>
      </c>
      <c r="N55" s="123">
        <f t="shared" si="7"/>
        <v>1753.4972341479524</v>
      </c>
      <c r="O55" s="5"/>
      <c r="P55" s="5">
        <f t="shared" si="3"/>
        <v>1</v>
      </c>
      <c r="Q55" s="7">
        <f t="shared" si="4"/>
        <v>6056</v>
      </c>
    </row>
    <row r="56" spans="1:17">
      <c r="A56" s="23" t="s">
        <v>58</v>
      </c>
      <c r="B56" s="35" t="s">
        <v>49</v>
      </c>
      <c r="C56" s="36">
        <v>66887</v>
      </c>
      <c r="D56" s="113">
        <v>2871869776</v>
      </c>
      <c r="E56" s="116">
        <f t="shared" si="11"/>
        <v>42936.142688414788</v>
      </c>
      <c r="F56" s="117">
        <v>1852925615</v>
      </c>
      <c r="G56" s="117">
        <f t="shared" si="12"/>
        <v>27702.328030858014</v>
      </c>
      <c r="H56" s="98"/>
      <c r="I56" s="109">
        <v>5.9573999999999998</v>
      </c>
      <c r="J56" s="117">
        <v>11038619</v>
      </c>
      <c r="K56" s="120">
        <f t="shared" si="14"/>
        <v>165.033848131924</v>
      </c>
      <c r="L56" s="122">
        <f t="shared" si="5"/>
        <v>18529256.150000002</v>
      </c>
      <c r="M56" s="116">
        <f t="shared" si="6"/>
        <v>7490637.1500000022</v>
      </c>
      <c r="N56" s="123">
        <f t="shared" si="7"/>
        <v>111.98943217665618</v>
      </c>
      <c r="O56" s="5"/>
      <c r="P56" s="5">
        <f t="shared" si="3"/>
        <v>1</v>
      </c>
      <c r="Q56" s="7">
        <f t="shared" si="4"/>
        <v>66887</v>
      </c>
    </row>
    <row r="57" spans="1:17">
      <c r="A57" s="23" t="s">
        <v>59</v>
      </c>
      <c r="B57" s="35" t="s">
        <v>49</v>
      </c>
      <c r="C57" s="36">
        <v>24</v>
      </c>
      <c r="D57" s="114">
        <v>6654804</v>
      </c>
      <c r="E57" s="116">
        <f t="shared" si="11"/>
        <v>277283.5</v>
      </c>
      <c r="F57" s="117">
        <v>5440993</v>
      </c>
      <c r="G57" s="117">
        <f t="shared" si="12"/>
        <v>226708.04166666666</v>
      </c>
      <c r="H57" s="98"/>
      <c r="I57" s="109">
        <v>4.9481000000000002</v>
      </c>
      <c r="J57" s="117">
        <v>26922</v>
      </c>
      <c r="K57" s="120">
        <f t="shared" si="14"/>
        <v>1121.75</v>
      </c>
      <c r="L57" s="122">
        <f t="shared" si="5"/>
        <v>54409.93</v>
      </c>
      <c r="M57" s="116">
        <f t="shared" si="6"/>
        <v>27487.93</v>
      </c>
      <c r="N57" s="123">
        <f t="shared" si="7"/>
        <v>1145.3304166666667</v>
      </c>
      <c r="O57" s="5"/>
      <c r="P57" s="5">
        <f t="shared" si="3"/>
        <v>1</v>
      </c>
      <c r="Q57" s="7">
        <f t="shared" si="4"/>
        <v>24</v>
      </c>
    </row>
    <row r="58" spans="1:17">
      <c r="A58" s="23" t="s">
        <v>60</v>
      </c>
      <c r="B58" s="35" t="s">
        <v>49</v>
      </c>
      <c r="C58" s="36">
        <v>10344</v>
      </c>
      <c r="D58" s="113">
        <v>2050942366</v>
      </c>
      <c r="E58" s="116">
        <f t="shared" ref="E58:E74" si="15">(D58/C58)</f>
        <v>198273.6239365816</v>
      </c>
      <c r="F58" s="117">
        <v>1639956477</v>
      </c>
      <c r="G58" s="117">
        <f t="shared" ref="G58:G74" si="16">(F58/C58)</f>
        <v>158541.80945475638</v>
      </c>
      <c r="H58" s="98"/>
      <c r="I58" s="109">
        <v>3.6187999999999998</v>
      </c>
      <c r="J58" s="117">
        <v>5934674</v>
      </c>
      <c r="K58" s="120">
        <f t="shared" si="14"/>
        <v>573.73105181747871</v>
      </c>
      <c r="L58" s="122">
        <f t="shared" si="5"/>
        <v>16399564.77</v>
      </c>
      <c r="M58" s="116">
        <f t="shared" si="6"/>
        <v>10464890.77</v>
      </c>
      <c r="N58" s="123">
        <f t="shared" si="7"/>
        <v>1011.6870427300851</v>
      </c>
      <c r="O58" s="5"/>
      <c r="P58" s="5">
        <f t="shared" si="3"/>
        <v>1</v>
      </c>
      <c r="Q58" s="7">
        <f t="shared" si="4"/>
        <v>10344</v>
      </c>
    </row>
    <row r="59" spans="1:17">
      <c r="A59" s="23" t="s">
        <v>61</v>
      </c>
      <c r="B59" s="35" t="s">
        <v>49</v>
      </c>
      <c r="C59" s="36">
        <v>53284</v>
      </c>
      <c r="D59" s="113">
        <v>2999709893</v>
      </c>
      <c r="E59" s="116">
        <f t="shared" si="15"/>
        <v>56296.634881014936</v>
      </c>
      <c r="F59" s="117">
        <v>2076351127</v>
      </c>
      <c r="G59" s="117">
        <f t="shared" si="16"/>
        <v>38967.6286877862</v>
      </c>
      <c r="H59" s="98"/>
      <c r="I59" s="109">
        <v>7.75</v>
      </c>
      <c r="J59" s="117">
        <v>16091721</v>
      </c>
      <c r="K59" s="120">
        <f t="shared" si="14"/>
        <v>301.99911793408904</v>
      </c>
      <c r="L59" s="122">
        <f t="shared" si="5"/>
        <v>20763511.27</v>
      </c>
      <c r="M59" s="116">
        <f t="shared" si="6"/>
        <v>4671790.2699999996</v>
      </c>
      <c r="N59" s="123">
        <f t="shared" si="7"/>
        <v>87.677168943772983</v>
      </c>
      <c r="O59" s="5"/>
      <c r="P59" s="5">
        <f t="shared" si="3"/>
        <v>1</v>
      </c>
      <c r="Q59" s="7">
        <f t="shared" si="4"/>
        <v>53284</v>
      </c>
    </row>
    <row r="60" spans="1:17">
      <c r="A60" s="23" t="s">
        <v>62</v>
      </c>
      <c r="B60" s="35" t="s">
        <v>49</v>
      </c>
      <c r="C60" s="36">
        <v>122041</v>
      </c>
      <c r="D60" s="113">
        <v>9200577600</v>
      </c>
      <c r="E60" s="116">
        <f t="shared" si="15"/>
        <v>75389.234765365734</v>
      </c>
      <c r="F60" s="117">
        <v>6735567579</v>
      </c>
      <c r="G60" s="117">
        <f t="shared" si="16"/>
        <v>55191.022517022968</v>
      </c>
      <c r="H60" s="98"/>
      <c r="I60" s="109">
        <v>6.4653999999999998</v>
      </c>
      <c r="J60" s="117">
        <v>43548139</v>
      </c>
      <c r="K60" s="120">
        <f t="shared" si="14"/>
        <v>356.83204005211365</v>
      </c>
      <c r="L60" s="122">
        <f t="shared" si="5"/>
        <v>67355675.790000007</v>
      </c>
      <c r="M60" s="116">
        <f t="shared" si="6"/>
        <v>23807536.790000007</v>
      </c>
      <c r="N60" s="123">
        <f t="shared" si="7"/>
        <v>195.0781851181161</v>
      </c>
      <c r="O60" s="5"/>
      <c r="P60" s="5">
        <f t="shared" si="3"/>
        <v>1</v>
      </c>
      <c r="Q60" s="7">
        <f t="shared" si="4"/>
        <v>122041</v>
      </c>
    </row>
    <row r="61" spans="1:17">
      <c r="A61" s="23" t="s">
        <v>63</v>
      </c>
      <c r="B61" s="35" t="s">
        <v>49</v>
      </c>
      <c r="C61" s="36">
        <v>41023</v>
      </c>
      <c r="D61" s="113">
        <v>1604017263</v>
      </c>
      <c r="E61" s="116">
        <f t="shared" si="15"/>
        <v>39100.437876313285</v>
      </c>
      <c r="F61" s="117">
        <v>1035542822</v>
      </c>
      <c r="G61" s="117">
        <f t="shared" si="16"/>
        <v>25242.981303171393</v>
      </c>
      <c r="H61" s="98"/>
      <c r="I61" s="109">
        <v>6.9184999999999999</v>
      </c>
      <c r="J61" s="117">
        <v>7164403</v>
      </c>
      <c r="K61" s="120">
        <f t="shared" si="14"/>
        <v>174.64356580454867</v>
      </c>
      <c r="L61" s="122">
        <f t="shared" si="5"/>
        <v>10355428.220000001</v>
      </c>
      <c r="M61" s="116">
        <f t="shared" si="6"/>
        <v>3191025.2200000007</v>
      </c>
      <c r="N61" s="123">
        <f t="shared" si="7"/>
        <v>77.786247227165262</v>
      </c>
      <c r="O61" s="5"/>
      <c r="P61" s="5">
        <f t="shared" si="3"/>
        <v>1</v>
      </c>
      <c r="Q61" s="7">
        <f t="shared" si="4"/>
        <v>41023</v>
      </c>
    </row>
    <row r="62" spans="1:17">
      <c r="A62" s="23" t="s">
        <v>64</v>
      </c>
      <c r="B62" s="35" t="s">
        <v>49</v>
      </c>
      <c r="C62" s="36">
        <v>41363</v>
      </c>
      <c r="D62" s="113">
        <v>3208682434</v>
      </c>
      <c r="E62" s="116">
        <f t="shared" si="15"/>
        <v>77573.735802528827</v>
      </c>
      <c r="F62" s="117">
        <v>2259101646</v>
      </c>
      <c r="G62" s="117">
        <f t="shared" si="16"/>
        <v>54616.484442617795</v>
      </c>
      <c r="H62" s="98"/>
      <c r="I62" s="109">
        <v>5.7252000000000001</v>
      </c>
      <c r="J62" s="117">
        <v>12933809</v>
      </c>
      <c r="K62" s="120">
        <f t="shared" si="14"/>
        <v>312.69030292773738</v>
      </c>
      <c r="L62" s="122">
        <f t="shared" si="5"/>
        <v>22591016.460000001</v>
      </c>
      <c r="M62" s="116">
        <f t="shared" si="6"/>
        <v>9657207.4600000009</v>
      </c>
      <c r="N62" s="123">
        <f t="shared" si="7"/>
        <v>233.47454149844066</v>
      </c>
      <c r="O62" s="5"/>
      <c r="P62" s="5">
        <f t="shared" si="3"/>
        <v>1</v>
      </c>
      <c r="Q62" s="7">
        <f t="shared" si="4"/>
        <v>41363</v>
      </c>
    </row>
    <row r="63" spans="1:17">
      <c r="A63" s="23" t="s">
        <v>65</v>
      </c>
      <c r="B63" s="35" t="s">
        <v>49</v>
      </c>
      <c r="C63" s="36">
        <v>23962</v>
      </c>
      <c r="D63" s="113">
        <v>3615985244</v>
      </c>
      <c r="E63" s="116">
        <f t="shared" si="15"/>
        <v>150904.98472581588</v>
      </c>
      <c r="F63" s="117">
        <v>2822018389</v>
      </c>
      <c r="G63" s="117">
        <f t="shared" si="16"/>
        <v>117770.56961021617</v>
      </c>
      <c r="H63" s="98"/>
      <c r="I63" s="109">
        <v>4.0198</v>
      </c>
      <c r="J63" s="117">
        <v>11343950</v>
      </c>
      <c r="K63" s="120">
        <f t="shared" si="14"/>
        <v>473.41415574659879</v>
      </c>
      <c r="L63" s="122">
        <f t="shared" si="5"/>
        <v>28220183.890000001</v>
      </c>
      <c r="M63" s="116">
        <f t="shared" si="6"/>
        <v>16876233.890000001</v>
      </c>
      <c r="N63" s="123">
        <f t="shared" si="7"/>
        <v>704.29154035556303</v>
      </c>
      <c r="O63" s="5"/>
      <c r="P63" s="5">
        <f t="shared" si="3"/>
        <v>1</v>
      </c>
      <c r="Q63" s="7">
        <f t="shared" si="4"/>
        <v>23962</v>
      </c>
    </row>
    <row r="64" spans="1:17">
      <c r="A64" s="23" t="s">
        <v>66</v>
      </c>
      <c r="B64" s="35" t="s">
        <v>49</v>
      </c>
      <c r="C64" s="36">
        <v>6102</v>
      </c>
      <c r="D64" s="113">
        <v>667815713</v>
      </c>
      <c r="E64" s="116">
        <f t="shared" si="15"/>
        <v>109442.10308095707</v>
      </c>
      <c r="F64" s="117">
        <v>575469839</v>
      </c>
      <c r="G64" s="117">
        <f t="shared" si="16"/>
        <v>94308.397082923635</v>
      </c>
      <c r="H64" s="98"/>
      <c r="I64" s="109">
        <v>8.5</v>
      </c>
      <c r="J64" s="117">
        <v>4891494</v>
      </c>
      <c r="K64" s="120">
        <f t="shared" si="14"/>
        <v>801.62143559488698</v>
      </c>
      <c r="L64" s="122">
        <f t="shared" si="5"/>
        <v>5754698.3899999997</v>
      </c>
      <c r="M64" s="116">
        <f t="shared" si="6"/>
        <v>863204.38999999966</v>
      </c>
      <c r="N64" s="123">
        <f t="shared" si="7"/>
        <v>141.46253523434933</v>
      </c>
      <c r="O64" s="5"/>
      <c r="P64" s="5">
        <f t="shared" si="3"/>
        <v>1</v>
      </c>
      <c r="Q64" s="7">
        <f t="shared" si="4"/>
        <v>6102</v>
      </c>
    </row>
    <row r="65" spans="1:17">
      <c r="A65" s="23" t="s">
        <v>67</v>
      </c>
      <c r="B65" s="35" t="s">
        <v>49</v>
      </c>
      <c r="C65" s="36">
        <v>154019</v>
      </c>
      <c r="D65" s="113">
        <v>12597755293</v>
      </c>
      <c r="E65" s="116">
        <f t="shared" si="15"/>
        <v>81793.514391081626</v>
      </c>
      <c r="F65" s="117">
        <v>8421308896</v>
      </c>
      <c r="G65" s="117">
        <f t="shared" si="16"/>
        <v>54677.078126724628</v>
      </c>
      <c r="H65" s="98"/>
      <c r="I65" s="109">
        <v>5.6879999999999997</v>
      </c>
      <c r="J65" s="117">
        <v>47900405</v>
      </c>
      <c r="K65" s="120">
        <f t="shared" si="14"/>
        <v>311.00322038190092</v>
      </c>
      <c r="L65" s="122">
        <f t="shared" si="5"/>
        <v>84213088.960000008</v>
      </c>
      <c r="M65" s="116">
        <f t="shared" si="6"/>
        <v>36312683.960000008</v>
      </c>
      <c r="N65" s="123">
        <f t="shared" si="7"/>
        <v>235.76756088534538</v>
      </c>
      <c r="O65" s="5"/>
      <c r="P65" s="5">
        <f t="shared" si="3"/>
        <v>1</v>
      </c>
      <c r="Q65" s="7">
        <f t="shared" si="4"/>
        <v>154019</v>
      </c>
    </row>
    <row r="66" spans="1:17">
      <c r="A66" s="23" t="s">
        <v>68</v>
      </c>
      <c r="B66" s="35" t="s">
        <v>49</v>
      </c>
      <c r="C66" s="36">
        <v>84955</v>
      </c>
      <c r="D66" s="113">
        <v>9111682576</v>
      </c>
      <c r="E66" s="116">
        <f t="shared" si="15"/>
        <v>107253.04662468366</v>
      </c>
      <c r="F66" s="117">
        <v>6656899758</v>
      </c>
      <c r="G66" s="117">
        <f t="shared" si="16"/>
        <v>78357.951362486026</v>
      </c>
      <c r="H66" s="98"/>
      <c r="I66" s="109">
        <v>4.5141999999999998</v>
      </c>
      <c r="J66" s="117">
        <v>30050577</v>
      </c>
      <c r="K66" s="120">
        <f t="shared" si="14"/>
        <v>353.72346536401625</v>
      </c>
      <c r="L66" s="122">
        <f t="shared" si="5"/>
        <v>66568997.579999998</v>
      </c>
      <c r="M66" s="116">
        <f t="shared" si="6"/>
        <v>36518420.579999998</v>
      </c>
      <c r="N66" s="123">
        <f t="shared" si="7"/>
        <v>429.85604826084398</v>
      </c>
      <c r="O66" s="5"/>
      <c r="P66" s="5">
        <f t="shared" si="3"/>
        <v>1</v>
      </c>
      <c r="Q66" s="7">
        <f t="shared" si="4"/>
        <v>84955</v>
      </c>
    </row>
    <row r="67" spans="1:17">
      <c r="A67" s="23" t="s">
        <v>69</v>
      </c>
      <c r="B67" s="35" t="s">
        <v>49</v>
      </c>
      <c r="C67" s="36">
        <v>99845</v>
      </c>
      <c r="D67" s="113">
        <v>12214907817</v>
      </c>
      <c r="E67" s="116">
        <f t="shared" si="15"/>
        <v>122338.70315989784</v>
      </c>
      <c r="F67" s="117">
        <v>9248750530</v>
      </c>
      <c r="G67" s="117">
        <f t="shared" si="16"/>
        <v>92631.083479393055</v>
      </c>
      <c r="H67" s="98"/>
      <c r="I67" s="109">
        <v>4.4077000000000002</v>
      </c>
      <c r="J67" s="117">
        <v>40765718</v>
      </c>
      <c r="K67" s="120">
        <f t="shared" si="14"/>
        <v>408.29002954579596</v>
      </c>
      <c r="L67" s="122">
        <f t="shared" si="5"/>
        <v>92487505.299999997</v>
      </c>
      <c r="M67" s="116">
        <f t="shared" si="6"/>
        <v>51721787.299999997</v>
      </c>
      <c r="N67" s="123">
        <f t="shared" si="7"/>
        <v>518.02080524813459</v>
      </c>
      <c r="O67" s="5"/>
      <c r="P67" s="5">
        <f t="shared" si="3"/>
        <v>1</v>
      </c>
      <c r="Q67" s="7">
        <f t="shared" si="4"/>
        <v>99845</v>
      </c>
    </row>
    <row r="68" spans="1:17">
      <c r="A68" s="23" t="s">
        <v>70</v>
      </c>
      <c r="B68" s="35" t="s">
        <v>49</v>
      </c>
      <c r="C68" s="36">
        <v>670</v>
      </c>
      <c r="D68" s="113">
        <v>195675325</v>
      </c>
      <c r="E68" s="116">
        <f t="shared" si="15"/>
        <v>292052.72388059704</v>
      </c>
      <c r="F68" s="117">
        <v>157384540</v>
      </c>
      <c r="G68" s="117">
        <f t="shared" si="16"/>
        <v>234902.29850746269</v>
      </c>
      <c r="H68" s="98"/>
      <c r="I68" s="109">
        <v>7.5</v>
      </c>
      <c r="J68" s="117">
        <v>1180384</v>
      </c>
      <c r="K68" s="120">
        <f t="shared" si="14"/>
        <v>1761.7671641791044</v>
      </c>
      <c r="L68" s="122">
        <f t="shared" si="5"/>
        <v>1573845.4000000001</v>
      </c>
      <c r="M68" s="116">
        <f t="shared" si="6"/>
        <v>393461.40000000014</v>
      </c>
      <c r="N68" s="123">
        <f t="shared" si="7"/>
        <v>587.25582089552256</v>
      </c>
      <c r="O68" s="5"/>
      <c r="P68" s="5">
        <f t="shared" si="3"/>
        <v>1</v>
      </c>
      <c r="Q68" s="7">
        <f t="shared" si="4"/>
        <v>670</v>
      </c>
    </row>
    <row r="69" spans="1:17">
      <c r="A69" s="23" t="s">
        <v>450</v>
      </c>
      <c r="B69" s="35" t="s">
        <v>49</v>
      </c>
      <c r="C69" s="36">
        <v>7345</v>
      </c>
      <c r="D69" s="113">
        <v>1916774272</v>
      </c>
      <c r="E69" s="116">
        <f t="shared" si="15"/>
        <v>260963.14118447923</v>
      </c>
      <c r="F69" s="117">
        <v>1126625871</v>
      </c>
      <c r="G69" s="117">
        <f t="shared" si="16"/>
        <v>153386.77617426822</v>
      </c>
      <c r="H69" s="98"/>
      <c r="I69" s="109">
        <v>3.9403999999999999</v>
      </c>
      <c r="J69" s="117">
        <v>4439357</v>
      </c>
      <c r="K69" s="120">
        <f t="shared" si="14"/>
        <v>604.40530973451325</v>
      </c>
      <c r="L69" s="122">
        <f t="shared" si="5"/>
        <v>11266258.710000001</v>
      </c>
      <c r="M69" s="116">
        <f t="shared" si="6"/>
        <v>6826901.7100000009</v>
      </c>
      <c r="N69" s="123">
        <f t="shared" si="7"/>
        <v>929.46245200816895</v>
      </c>
      <c r="O69" s="5"/>
      <c r="P69" s="5">
        <f t="shared" si="3"/>
        <v>1</v>
      </c>
      <c r="Q69" s="7">
        <f t="shared" si="4"/>
        <v>7345</v>
      </c>
    </row>
    <row r="70" spans="1:17">
      <c r="A70" s="23" t="s">
        <v>71</v>
      </c>
      <c r="B70" s="35" t="s">
        <v>49</v>
      </c>
      <c r="C70" s="36">
        <v>84439</v>
      </c>
      <c r="D70" s="113">
        <v>7288667795</v>
      </c>
      <c r="E70" s="116">
        <f t="shared" si="15"/>
        <v>86318.736543540304</v>
      </c>
      <c r="F70" s="117">
        <v>5067339664</v>
      </c>
      <c r="G70" s="117">
        <f t="shared" si="16"/>
        <v>60011.83888961262</v>
      </c>
      <c r="H70" s="98"/>
      <c r="I70" s="109">
        <v>6.0542999999999996</v>
      </c>
      <c r="J70" s="117">
        <v>30679195</v>
      </c>
      <c r="K70" s="120">
        <f t="shared" si="14"/>
        <v>363.3296817821149</v>
      </c>
      <c r="L70" s="122">
        <f t="shared" si="5"/>
        <v>50673396.640000001</v>
      </c>
      <c r="M70" s="116">
        <f t="shared" si="6"/>
        <v>19994201.640000001</v>
      </c>
      <c r="N70" s="123">
        <f t="shared" si="7"/>
        <v>236.78870711401132</v>
      </c>
      <c r="O70" s="5"/>
      <c r="P70" s="5">
        <f t="shared" ref="P70:P133" si="17">IF(I70&gt;0,1,0)</f>
        <v>1</v>
      </c>
      <c r="Q70" s="7">
        <f t="shared" ref="Q70:Q133" si="18">IF(I70&gt;0,C70,0)</f>
        <v>84439</v>
      </c>
    </row>
    <row r="71" spans="1:17">
      <c r="A71" s="23" t="s">
        <v>72</v>
      </c>
      <c r="B71" s="35" t="s">
        <v>49</v>
      </c>
      <c r="C71" s="36">
        <v>60427</v>
      </c>
      <c r="D71" s="113">
        <v>3900343960</v>
      </c>
      <c r="E71" s="116">
        <f t="shared" si="15"/>
        <v>64546.377612656594</v>
      </c>
      <c r="F71" s="118">
        <v>2594386538</v>
      </c>
      <c r="G71" s="117">
        <f t="shared" si="16"/>
        <v>42934.227050821653</v>
      </c>
      <c r="H71" s="98"/>
      <c r="I71" s="109">
        <v>6.5</v>
      </c>
      <c r="J71" s="117">
        <v>16863512</v>
      </c>
      <c r="K71" s="120">
        <f t="shared" si="14"/>
        <v>279.07246760554057</v>
      </c>
      <c r="L71" s="122">
        <f t="shared" si="5"/>
        <v>25943865.379999999</v>
      </c>
      <c r="M71" s="116">
        <f t="shared" si="6"/>
        <v>9080353.379999999</v>
      </c>
      <c r="N71" s="123">
        <f t="shared" si="7"/>
        <v>150.26980290267593</v>
      </c>
      <c r="O71" s="5"/>
      <c r="P71" s="5">
        <f t="shared" si="17"/>
        <v>1</v>
      </c>
      <c r="Q71" s="7">
        <f t="shared" si="18"/>
        <v>60427</v>
      </c>
    </row>
    <row r="72" spans="1:17">
      <c r="A72" s="23" t="s">
        <v>507</v>
      </c>
      <c r="B72" s="35" t="s">
        <v>49</v>
      </c>
      <c r="C72" s="36">
        <v>14156</v>
      </c>
      <c r="D72" s="113">
        <v>627281186</v>
      </c>
      <c r="E72" s="116">
        <f t="shared" si="15"/>
        <v>44312.036309692005</v>
      </c>
      <c r="F72" s="117">
        <v>407407003</v>
      </c>
      <c r="G72" s="117">
        <f t="shared" si="16"/>
        <v>28779.810892907601</v>
      </c>
      <c r="H72" s="98"/>
      <c r="I72" s="109">
        <v>8.5</v>
      </c>
      <c r="J72" s="117">
        <v>3462960</v>
      </c>
      <c r="K72" s="120">
        <f t="shared" si="14"/>
        <v>244.62842610907035</v>
      </c>
      <c r="L72" s="122">
        <f t="shared" ref="L72:L135" si="19">(F72*0.01)</f>
        <v>4074070.0300000003</v>
      </c>
      <c r="M72" s="116">
        <f t="shared" ref="M72:M135" si="20">(L72-J72)</f>
        <v>611110.03000000026</v>
      </c>
      <c r="N72" s="123">
        <f t="shared" ref="N72:N135" si="21">(M72/C72)</f>
        <v>43.169682820005669</v>
      </c>
      <c r="O72" s="5"/>
      <c r="P72" s="5">
        <f t="shared" si="17"/>
        <v>1</v>
      </c>
      <c r="Q72" s="7">
        <f t="shared" si="18"/>
        <v>14156</v>
      </c>
    </row>
    <row r="73" spans="1:17">
      <c r="A73" s="23" t="s">
        <v>73</v>
      </c>
      <c r="B73" s="35" t="s">
        <v>49</v>
      </c>
      <c r="C73" s="36">
        <v>65333</v>
      </c>
      <c r="D73" s="113">
        <v>8046777323</v>
      </c>
      <c r="E73" s="116">
        <f t="shared" si="15"/>
        <v>123165.5874213644</v>
      </c>
      <c r="F73" s="117">
        <v>6292207608</v>
      </c>
      <c r="G73" s="117">
        <f t="shared" si="16"/>
        <v>96309.791498936218</v>
      </c>
      <c r="H73" s="98"/>
      <c r="I73" s="109">
        <v>2</v>
      </c>
      <c r="J73" s="117">
        <v>12584415</v>
      </c>
      <c r="K73" s="120">
        <f t="shared" si="14"/>
        <v>192.61957969173312</v>
      </c>
      <c r="L73" s="122">
        <f t="shared" si="19"/>
        <v>62922076.079999998</v>
      </c>
      <c r="M73" s="116">
        <f t="shared" si="20"/>
        <v>50337661.079999998</v>
      </c>
      <c r="N73" s="123">
        <f t="shared" si="21"/>
        <v>770.47833529762909</v>
      </c>
      <c r="O73" s="5"/>
      <c r="P73" s="5">
        <f t="shared" si="17"/>
        <v>1</v>
      </c>
      <c r="Q73" s="7">
        <f t="shared" si="18"/>
        <v>65333</v>
      </c>
    </row>
    <row r="74" spans="1:17">
      <c r="A74" s="23" t="s">
        <v>74</v>
      </c>
      <c r="B74" s="35" t="s">
        <v>49</v>
      </c>
      <c r="C74" s="36">
        <v>11632</v>
      </c>
      <c r="D74" s="113">
        <v>1259860002</v>
      </c>
      <c r="E74" s="116">
        <f t="shared" si="15"/>
        <v>108309.83511004127</v>
      </c>
      <c r="F74" s="117">
        <v>888120558</v>
      </c>
      <c r="G74" s="117">
        <f t="shared" si="16"/>
        <v>76351.492262723521</v>
      </c>
      <c r="H74" s="98"/>
      <c r="I74" s="109">
        <v>6.0854999999999997</v>
      </c>
      <c r="J74" s="117">
        <v>5404658</v>
      </c>
      <c r="K74" s="120">
        <f t="shared" si="14"/>
        <v>464.63703576341129</v>
      </c>
      <c r="L74" s="122">
        <f t="shared" si="19"/>
        <v>8881205.5800000001</v>
      </c>
      <c r="M74" s="116">
        <f t="shared" si="20"/>
        <v>3476547.58</v>
      </c>
      <c r="N74" s="123">
        <f t="shared" si="21"/>
        <v>298.87788686382396</v>
      </c>
      <c r="O74" s="5"/>
      <c r="P74" s="5">
        <f t="shared" si="17"/>
        <v>1</v>
      </c>
      <c r="Q74" s="7">
        <f t="shared" si="18"/>
        <v>11632</v>
      </c>
    </row>
    <row r="75" spans="1:17">
      <c r="A75" s="23" t="s">
        <v>75</v>
      </c>
      <c r="B75" s="35" t="s">
        <v>76</v>
      </c>
      <c r="C75" s="36">
        <v>536</v>
      </c>
      <c r="D75" s="114" t="s">
        <v>564</v>
      </c>
      <c r="E75" s="116"/>
      <c r="F75" s="117"/>
      <c r="G75" s="117"/>
      <c r="H75" s="9" t="s">
        <v>528</v>
      </c>
      <c r="I75" s="109"/>
      <c r="J75" s="117"/>
      <c r="K75" s="120"/>
      <c r="L75" s="122">
        <f t="shared" si="19"/>
        <v>0</v>
      </c>
      <c r="M75" s="116">
        <f t="shared" si="20"/>
        <v>0</v>
      </c>
      <c r="N75" s="123">
        <f t="shared" si="21"/>
        <v>0</v>
      </c>
      <c r="O75" s="5"/>
      <c r="P75" s="5">
        <f t="shared" si="17"/>
        <v>0</v>
      </c>
      <c r="Q75" s="7">
        <f t="shared" si="18"/>
        <v>0</v>
      </c>
    </row>
    <row r="76" spans="1:17">
      <c r="A76" s="23" t="s">
        <v>77</v>
      </c>
      <c r="B76" s="35" t="s">
        <v>76</v>
      </c>
      <c r="C76" s="36">
        <v>2514</v>
      </c>
      <c r="D76" s="113">
        <v>112787331</v>
      </c>
      <c r="E76" s="116">
        <f t="shared" ref="E76:E82" si="22">(D76/C76)</f>
        <v>44863.695704057282</v>
      </c>
      <c r="F76" s="117">
        <v>62585850</v>
      </c>
      <c r="G76" s="117">
        <f t="shared" ref="G76:G82" si="23">(F76/C76)</f>
        <v>24894.928400954654</v>
      </c>
      <c r="H76" s="7"/>
      <c r="I76" s="109">
        <v>1.5</v>
      </c>
      <c r="J76" s="117">
        <v>93879</v>
      </c>
      <c r="K76" s="120">
        <f t="shared" ref="K76:K82" si="24">(J76/C76)</f>
        <v>37.342482100238662</v>
      </c>
      <c r="L76" s="122">
        <f t="shared" si="19"/>
        <v>625858.5</v>
      </c>
      <c r="M76" s="116">
        <f t="shared" si="20"/>
        <v>531979.5</v>
      </c>
      <c r="N76" s="123">
        <f t="shared" si="21"/>
        <v>211.60680190930788</v>
      </c>
      <c r="O76" s="5"/>
      <c r="P76" s="5">
        <f t="shared" si="17"/>
        <v>1</v>
      </c>
      <c r="Q76" s="7">
        <f t="shared" si="18"/>
        <v>2514</v>
      </c>
    </row>
    <row r="77" spans="1:17">
      <c r="A77" s="23" t="s">
        <v>78</v>
      </c>
      <c r="B77" s="35" t="s">
        <v>79</v>
      </c>
      <c r="C77" s="36">
        <v>16641</v>
      </c>
      <c r="D77" s="113">
        <v>3149680376</v>
      </c>
      <c r="E77" s="116">
        <f t="shared" si="22"/>
        <v>189272.30190493359</v>
      </c>
      <c r="F77" s="117">
        <v>2447711908</v>
      </c>
      <c r="G77" s="117">
        <f t="shared" si="23"/>
        <v>147089.23189712156</v>
      </c>
      <c r="H77" s="7"/>
      <c r="I77" s="109">
        <v>2.7250999999999999</v>
      </c>
      <c r="J77" s="117">
        <v>6670260</v>
      </c>
      <c r="K77" s="120">
        <f t="shared" si="24"/>
        <v>400.83288263926448</v>
      </c>
      <c r="L77" s="122">
        <f t="shared" si="19"/>
        <v>24477119.080000002</v>
      </c>
      <c r="M77" s="116">
        <f t="shared" si="20"/>
        <v>17806859.080000002</v>
      </c>
      <c r="N77" s="123">
        <f t="shared" si="21"/>
        <v>1070.0594363319512</v>
      </c>
      <c r="O77" s="5"/>
      <c r="P77" s="5">
        <f t="shared" si="17"/>
        <v>1</v>
      </c>
      <c r="Q77" s="7">
        <f t="shared" si="18"/>
        <v>16641</v>
      </c>
    </row>
    <row r="78" spans="1:17">
      <c r="A78" s="23" t="s">
        <v>80</v>
      </c>
      <c r="B78" s="35" t="s">
        <v>81</v>
      </c>
      <c r="C78" s="36">
        <v>3108</v>
      </c>
      <c r="D78" s="113">
        <v>628503855</v>
      </c>
      <c r="E78" s="116">
        <f t="shared" si="22"/>
        <v>202221.31756756757</v>
      </c>
      <c r="F78" s="117">
        <v>468189434</v>
      </c>
      <c r="G78" s="117">
        <f t="shared" si="23"/>
        <v>150640.10102960104</v>
      </c>
      <c r="H78" s="7"/>
      <c r="I78" s="110">
        <v>3.8</v>
      </c>
      <c r="J78" s="117">
        <v>1779120</v>
      </c>
      <c r="K78" s="120">
        <f t="shared" si="24"/>
        <v>572.43243243243239</v>
      </c>
      <c r="L78" s="122">
        <f t="shared" si="19"/>
        <v>4681894.34</v>
      </c>
      <c r="M78" s="116">
        <f t="shared" si="20"/>
        <v>2902774.34</v>
      </c>
      <c r="N78" s="123">
        <f t="shared" si="21"/>
        <v>933.96857786357782</v>
      </c>
      <c r="O78" s="5"/>
      <c r="P78" s="5">
        <f t="shared" si="17"/>
        <v>1</v>
      </c>
      <c r="Q78" s="7">
        <f t="shared" si="18"/>
        <v>3108</v>
      </c>
    </row>
    <row r="79" spans="1:17">
      <c r="A79" s="23" t="s">
        <v>82</v>
      </c>
      <c r="B79" s="35" t="s">
        <v>81</v>
      </c>
      <c r="C79" s="36">
        <v>7210</v>
      </c>
      <c r="D79" s="113">
        <v>722263985</v>
      </c>
      <c r="E79" s="116">
        <f t="shared" si="22"/>
        <v>100175.30998613038</v>
      </c>
      <c r="F79" s="117">
        <v>378525784</v>
      </c>
      <c r="G79" s="117">
        <f t="shared" si="23"/>
        <v>52500.10873786408</v>
      </c>
      <c r="H79" s="7"/>
      <c r="I79" s="109">
        <v>5.9809999999999999</v>
      </c>
      <c r="J79" s="117">
        <v>2263963</v>
      </c>
      <c r="K79" s="120">
        <f t="shared" si="24"/>
        <v>314.00319001386964</v>
      </c>
      <c r="L79" s="122">
        <f t="shared" si="19"/>
        <v>3785257.84</v>
      </c>
      <c r="M79" s="116">
        <f t="shared" si="20"/>
        <v>1521294.8399999999</v>
      </c>
      <c r="N79" s="123">
        <f t="shared" si="21"/>
        <v>210.99789736477112</v>
      </c>
      <c r="O79" s="5"/>
      <c r="P79" s="5">
        <f t="shared" si="17"/>
        <v>1</v>
      </c>
      <c r="Q79" s="7">
        <f t="shared" si="18"/>
        <v>7210</v>
      </c>
    </row>
    <row r="80" spans="1:17">
      <c r="A80" s="23" t="s">
        <v>83</v>
      </c>
      <c r="B80" s="35" t="s">
        <v>84</v>
      </c>
      <c r="C80" s="36">
        <v>6908</v>
      </c>
      <c r="D80" s="113">
        <v>509937303</v>
      </c>
      <c r="E80" s="116">
        <f t="shared" si="22"/>
        <v>73818.370440069484</v>
      </c>
      <c r="F80" s="117">
        <v>341107906</v>
      </c>
      <c r="G80" s="117">
        <f t="shared" si="23"/>
        <v>49378.677764910251</v>
      </c>
      <c r="H80" s="7"/>
      <c r="I80" s="109">
        <v>2.57</v>
      </c>
      <c r="J80" s="117">
        <v>876647</v>
      </c>
      <c r="K80" s="120">
        <f t="shared" si="24"/>
        <v>126.90315576143601</v>
      </c>
      <c r="L80" s="122">
        <f t="shared" si="19"/>
        <v>3411079.06</v>
      </c>
      <c r="M80" s="116">
        <f t="shared" si="20"/>
        <v>2534432.06</v>
      </c>
      <c r="N80" s="123">
        <f t="shared" si="21"/>
        <v>366.88362188766649</v>
      </c>
      <c r="O80" s="5"/>
      <c r="P80" s="5">
        <f t="shared" si="17"/>
        <v>1</v>
      </c>
      <c r="Q80" s="7">
        <f t="shared" si="18"/>
        <v>6908</v>
      </c>
    </row>
    <row r="81" spans="1:17">
      <c r="A81" s="23" t="s">
        <v>85</v>
      </c>
      <c r="B81" s="35" t="s">
        <v>84</v>
      </c>
      <c r="C81" s="36">
        <v>1350</v>
      </c>
      <c r="D81" s="113">
        <v>97490833</v>
      </c>
      <c r="E81" s="116">
        <f t="shared" si="22"/>
        <v>72215.431851851856</v>
      </c>
      <c r="F81" s="117">
        <v>55617420</v>
      </c>
      <c r="G81" s="117">
        <f t="shared" si="23"/>
        <v>41198.088888888888</v>
      </c>
      <c r="H81" s="7"/>
      <c r="I81" s="109">
        <v>2.3414000000000001</v>
      </c>
      <c r="J81" s="117">
        <v>130223</v>
      </c>
      <c r="K81" s="120">
        <f t="shared" si="24"/>
        <v>96.461481481481485</v>
      </c>
      <c r="L81" s="122">
        <f t="shared" si="19"/>
        <v>556174.19999999995</v>
      </c>
      <c r="M81" s="116">
        <f t="shared" si="20"/>
        <v>425951.19999999995</v>
      </c>
      <c r="N81" s="123">
        <f t="shared" si="21"/>
        <v>315.51940740740736</v>
      </c>
      <c r="O81" s="5"/>
      <c r="P81" s="5">
        <f t="shared" si="17"/>
        <v>1</v>
      </c>
      <c r="Q81" s="7">
        <f t="shared" si="18"/>
        <v>1350</v>
      </c>
    </row>
    <row r="82" spans="1:17">
      <c r="A82" s="23" t="s">
        <v>86</v>
      </c>
      <c r="B82" s="35" t="s">
        <v>84</v>
      </c>
      <c r="C82" s="36">
        <v>8412</v>
      </c>
      <c r="D82" s="113">
        <v>782080600</v>
      </c>
      <c r="E82" s="116">
        <f t="shared" si="22"/>
        <v>92972.01616737993</v>
      </c>
      <c r="F82" s="117">
        <v>498613547</v>
      </c>
      <c r="G82" s="117">
        <f t="shared" si="23"/>
        <v>59274.078340466003</v>
      </c>
      <c r="H82" s="9"/>
      <c r="I82" s="109">
        <v>6.3</v>
      </c>
      <c r="J82" s="117">
        <v>3141265</v>
      </c>
      <c r="K82" s="120">
        <f t="shared" si="24"/>
        <v>373.42665240133141</v>
      </c>
      <c r="L82" s="122">
        <f t="shared" si="19"/>
        <v>4986135.47</v>
      </c>
      <c r="M82" s="116">
        <f t="shared" si="20"/>
        <v>1844870.4699999997</v>
      </c>
      <c r="N82" s="123">
        <f t="shared" si="21"/>
        <v>219.31413100332855</v>
      </c>
      <c r="O82" s="5"/>
      <c r="P82" s="5">
        <f t="shared" si="17"/>
        <v>1</v>
      </c>
      <c r="Q82" s="7">
        <f t="shared" si="18"/>
        <v>8412</v>
      </c>
    </row>
    <row r="83" spans="1:17">
      <c r="A83" s="23" t="s">
        <v>87</v>
      </c>
      <c r="B83" s="35" t="s">
        <v>84</v>
      </c>
      <c r="C83" s="36">
        <v>749</v>
      </c>
      <c r="D83" s="114" t="s">
        <v>564</v>
      </c>
      <c r="E83" s="116"/>
      <c r="F83" s="117"/>
      <c r="G83" s="117"/>
      <c r="H83" s="9" t="s">
        <v>528</v>
      </c>
      <c r="I83" s="109"/>
      <c r="J83" s="117"/>
      <c r="K83" s="120"/>
      <c r="L83" s="122">
        <f t="shared" si="19"/>
        <v>0</v>
      </c>
      <c r="M83" s="116">
        <f t="shared" si="20"/>
        <v>0</v>
      </c>
      <c r="N83" s="123">
        <f t="shared" si="21"/>
        <v>0</v>
      </c>
      <c r="O83" s="5"/>
      <c r="P83" s="5">
        <f t="shared" si="17"/>
        <v>0</v>
      </c>
      <c r="Q83" s="7">
        <f t="shared" si="18"/>
        <v>0</v>
      </c>
    </row>
    <row r="84" spans="1:17">
      <c r="A84" s="23" t="s">
        <v>88</v>
      </c>
      <c r="B84" s="35" t="s">
        <v>89</v>
      </c>
      <c r="C84" s="36">
        <v>400</v>
      </c>
      <c r="D84" s="113">
        <v>114591066</v>
      </c>
      <c r="E84" s="116">
        <f>(D84/C84)</f>
        <v>286477.66499999998</v>
      </c>
      <c r="F84" s="117">
        <v>85780584</v>
      </c>
      <c r="G84" s="117">
        <f>(F84/C84)</f>
        <v>214451.46</v>
      </c>
      <c r="H84" s="7"/>
      <c r="I84" s="109">
        <v>3.4718</v>
      </c>
      <c r="J84" s="117">
        <v>297813</v>
      </c>
      <c r="K84" s="120">
        <f>(J84/C84)</f>
        <v>744.53250000000003</v>
      </c>
      <c r="L84" s="122">
        <f t="shared" si="19"/>
        <v>857805.84</v>
      </c>
      <c r="M84" s="116">
        <f t="shared" si="20"/>
        <v>559992.84</v>
      </c>
      <c r="N84" s="123">
        <f t="shared" si="21"/>
        <v>1399.9820999999999</v>
      </c>
      <c r="O84" s="5"/>
      <c r="P84" s="5">
        <f t="shared" si="17"/>
        <v>1</v>
      </c>
      <c r="Q84" s="7">
        <f t="shared" si="18"/>
        <v>400</v>
      </c>
    </row>
    <row r="85" spans="1:17">
      <c r="A85" s="23" t="s">
        <v>90</v>
      </c>
      <c r="B85" s="35" t="s">
        <v>89</v>
      </c>
      <c r="C85" s="36">
        <v>16413</v>
      </c>
      <c r="D85" s="113">
        <v>9160842422</v>
      </c>
      <c r="E85" s="116">
        <f>(D85/C85)</f>
        <v>558145.52013647719</v>
      </c>
      <c r="F85" s="117">
        <v>8232627927</v>
      </c>
      <c r="G85" s="117">
        <f>(F85/C85)</f>
        <v>501591.9044050448</v>
      </c>
      <c r="H85" s="7"/>
      <c r="I85" s="109">
        <v>1.89</v>
      </c>
      <c r="J85" s="117">
        <v>15559667</v>
      </c>
      <c r="K85" s="120">
        <f>(J85/C85)</f>
        <v>948.00871260586121</v>
      </c>
      <c r="L85" s="122">
        <f t="shared" si="19"/>
        <v>82326279.269999996</v>
      </c>
      <c r="M85" s="116">
        <f t="shared" si="20"/>
        <v>66766612.269999996</v>
      </c>
      <c r="N85" s="123">
        <f t="shared" si="21"/>
        <v>4067.9103314445865</v>
      </c>
      <c r="O85" s="5"/>
      <c r="P85" s="5">
        <f t="shared" si="17"/>
        <v>1</v>
      </c>
      <c r="Q85" s="7">
        <f t="shared" si="18"/>
        <v>16413</v>
      </c>
    </row>
    <row r="86" spans="1:17">
      <c r="A86" s="23" t="s">
        <v>91</v>
      </c>
      <c r="B86" s="35" t="s">
        <v>89</v>
      </c>
      <c r="C86" s="36">
        <v>19537</v>
      </c>
      <c r="D86" s="113">
        <v>17719816637</v>
      </c>
      <c r="E86" s="116">
        <f>(D86/C86)</f>
        <v>906987.59466653015</v>
      </c>
      <c r="F86" s="117">
        <v>14976570653</v>
      </c>
      <c r="G86" s="117">
        <f>(F86/C86)</f>
        <v>766574.73783078266</v>
      </c>
      <c r="H86" s="9"/>
      <c r="I86" s="110">
        <v>1.18</v>
      </c>
      <c r="J86" s="117">
        <v>17672353</v>
      </c>
      <c r="K86" s="120">
        <f>(J86/C86)</f>
        <v>904.55817167425914</v>
      </c>
      <c r="L86" s="122">
        <f t="shared" si="19"/>
        <v>149765706.53</v>
      </c>
      <c r="M86" s="116">
        <f t="shared" si="20"/>
        <v>132093353.53</v>
      </c>
      <c r="N86" s="123">
        <f t="shared" si="21"/>
        <v>6761.1892066335668</v>
      </c>
      <c r="O86" s="5"/>
      <c r="P86" s="5">
        <f t="shared" si="17"/>
        <v>1</v>
      </c>
      <c r="Q86" s="7">
        <f t="shared" si="18"/>
        <v>19537</v>
      </c>
    </row>
    <row r="87" spans="1:17">
      <c r="A87" s="23" t="s">
        <v>92</v>
      </c>
      <c r="B87" s="35" t="s">
        <v>93</v>
      </c>
      <c r="C87" s="36">
        <v>567</v>
      </c>
      <c r="D87" s="114" t="s">
        <v>564</v>
      </c>
      <c r="E87" s="116"/>
      <c r="F87" s="117"/>
      <c r="G87" s="117"/>
      <c r="H87" s="9" t="s">
        <v>528</v>
      </c>
      <c r="I87" s="109"/>
      <c r="J87" s="117"/>
      <c r="K87" s="120"/>
      <c r="L87" s="122">
        <f t="shared" si="19"/>
        <v>0</v>
      </c>
      <c r="M87" s="116">
        <f t="shared" si="20"/>
        <v>0</v>
      </c>
      <c r="N87" s="123">
        <f t="shared" si="21"/>
        <v>0</v>
      </c>
      <c r="O87" s="5"/>
      <c r="P87" s="5">
        <f t="shared" si="17"/>
        <v>0</v>
      </c>
      <c r="Q87" s="7">
        <f t="shared" si="18"/>
        <v>0</v>
      </c>
    </row>
    <row r="88" spans="1:17">
      <c r="A88" s="23" t="s">
        <v>94</v>
      </c>
      <c r="B88" s="35" t="s">
        <v>93</v>
      </c>
      <c r="C88" s="36">
        <v>12046</v>
      </c>
      <c r="D88" s="113">
        <v>1129300303</v>
      </c>
      <c r="E88" s="116">
        <f t="shared" ref="E88:E93" si="25">(D88/C88)</f>
        <v>93748.987464718579</v>
      </c>
      <c r="F88" s="117">
        <v>762353737</v>
      </c>
      <c r="G88" s="117">
        <f t="shared" ref="G88:G93" si="26">(F88/C88)</f>
        <v>63286.878382865681</v>
      </c>
      <c r="H88" s="7"/>
      <c r="I88" s="109">
        <v>3.9815999999999998</v>
      </c>
      <c r="J88" s="117">
        <v>3035388</v>
      </c>
      <c r="K88" s="120">
        <f t="shared" ref="K88:K93" si="27">(J88/C88)</f>
        <v>251.98306491781503</v>
      </c>
      <c r="L88" s="122">
        <f t="shared" si="19"/>
        <v>7623537.3700000001</v>
      </c>
      <c r="M88" s="116">
        <f t="shared" si="20"/>
        <v>4588149.37</v>
      </c>
      <c r="N88" s="123">
        <f t="shared" si="21"/>
        <v>380.88571891084177</v>
      </c>
      <c r="O88" s="5"/>
      <c r="P88" s="5">
        <f t="shared" si="17"/>
        <v>1</v>
      </c>
      <c r="Q88" s="7">
        <f t="shared" si="18"/>
        <v>12046</v>
      </c>
    </row>
    <row r="89" spans="1:17">
      <c r="A89" s="23" t="s">
        <v>95</v>
      </c>
      <c r="B89" s="37" t="s">
        <v>575</v>
      </c>
      <c r="C89" s="36">
        <v>7637</v>
      </c>
      <c r="D89" s="113">
        <v>359545815</v>
      </c>
      <c r="E89" s="116">
        <f t="shared" si="25"/>
        <v>47079.45724761032</v>
      </c>
      <c r="F89" s="117">
        <v>197069757</v>
      </c>
      <c r="G89" s="117">
        <f t="shared" si="26"/>
        <v>25804.603509231372</v>
      </c>
      <c r="H89" s="8"/>
      <c r="I89" s="109">
        <v>8.0899000000000001</v>
      </c>
      <c r="J89" s="117">
        <v>1594275</v>
      </c>
      <c r="K89" s="120">
        <f t="shared" si="27"/>
        <v>208.75671075029462</v>
      </c>
      <c r="L89" s="122">
        <f t="shared" si="19"/>
        <v>1970697.57</v>
      </c>
      <c r="M89" s="116">
        <f t="shared" si="20"/>
        <v>376422.57000000007</v>
      </c>
      <c r="N89" s="123">
        <f t="shared" si="21"/>
        <v>49.289324342019128</v>
      </c>
      <c r="O89" s="5"/>
      <c r="P89" s="5">
        <f t="shared" si="17"/>
        <v>1</v>
      </c>
      <c r="Q89" s="7">
        <f t="shared" si="18"/>
        <v>7637</v>
      </c>
    </row>
    <row r="90" spans="1:17">
      <c r="A90" s="23" t="s">
        <v>96</v>
      </c>
      <c r="B90" s="35" t="s">
        <v>97</v>
      </c>
      <c r="C90" s="36">
        <v>1728</v>
      </c>
      <c r="D90" s="113">
        <v>67188788</v>
      </c>
      <c r="E90" s="116">
        <f t="shared" si="25"/>
        <v>38882.400462962964</v>
      </c>
      <c r="F90" s="117">
        <v>28175140</v>
      </c>
      <c r="G90" s="117">
        <f t="shared" si="26"/>
        <v>16305.05787037037</v>
      </c>
      <c r="H90" s="8"/>
      <c r="I90" s="109">
        <v>7.5368000000000004</v>
      </c>
      <c r="J90" s="117">
        <v>212350</v>
      </c>
      <c r="K90" s="120">
        <f t="shared" si="27"/>
        <v>122.88773148148148</v>
      </c>
      <c r="L90" s="122">
        <f t="shared" si="19"/>
        <v>281751.40000000002</v>
      </c>
      <c r="M90" s="116">
        <f t="shared" si="20"/>
        <v>69401.400000000023</v>
      </c>
      <c r="N90" s="123">
        <f t="shared" si="21"/>
        <v>40.162847222222233</v>
      </c>
      <c r="O90" s="5"/>
      <c r="P90" s="5">
        <f t="shared" si="17"/>
        <v>1</v>
      </c>
      <c r="Q90" s="7">
        <f t="shared" si="18"/>
        <v>1728</v>
      </c>
    </row>
    <row r="91" spans="1:17">
      <c r="A91" s="23" t="s">
        <v>98</v>
      </c>
      <c r="B91" s="35" t="s">
        <v>97</v>
      </c>
      <c r="C91" s="36">
        <v>169</v>
      </c>
      <c r="D91" s="113">
        <v>60258240</v>
      </c>
      <c r="E91" s="116">
        <f t="shared" si="25"/>
        <v>356557.63313609466</v>
      </c>
      <c r="F91" s="117">
        <v>49653826</v>
      </c>
      <c r="G91" s="117">
        <f t="shared" si="26"/>
        <v>293809.62130177516</v>
      </c>
      <c r="H91" s="9"/>
      <c r="I91" s="110">
        <v>3</v>
      </c>
      <c r="J91" s="117">
        <v>148961</v>
      </c>
      <c r="K91" s="120">
        <f t="shared" si="27"/>
        <v>881.4260355029586</v>
      </c>
      <c r="L91" s="122">
        <f t="shared" si="19"/>
        <v>496538.26</v>
      </c>
      <c r="M91" s="116">
        <f t="shared" si="20"/>
        <v>347577.26</v>
      </c>
      <c r="N91" s="123">
        <f t="shared" si="21"/>
        <v>2056.6701775147931</v>
      </c>
      <c r="O91" s="5"/>
      <c r="P91" s="5">
        <f t="shared" si="17"/>
        <v>1</v>
      </c>
      <c r="Q91" s="7">
        <f t="shared" si="18"/>
        <v>169</v>
      </c>
    </row>
    <row r="92" spans="1:17">
      <c r="A92" s="23" t="s">
        <v>99</v>
      </c>
      <c r="B92" s="35" t="s">
        <v>100</v>
      </c>
      <c r="C92" s="36">
        <v>12655</v>
      </c>
      <c r="D92" s="113">
        <v>1963837910</v>
      </c>
      <c r="E92" s="116">
        <f t="shared" si="25"/>
        <v>155182.76649545634</v>
      </c>
      <c r="F92" s="117">
        <v>1312761298</v>
      </c>
      <c r="G92" s="117">
        <f t="shared" si="26"/>
        <v>103734.59486369025</v>
      </c>
      <c r="H92" s="9"/>
      <c r="I92" s="109">
        <v>3.1553</v>
      </c>
      <c r="J92" s="117">
        <v>4142156</v>
      </c>
      <c r="K92" s="120">
        <f t="shared" si="27"/>
        <v>327.31378901619911</v>
      </c>
      <c r="L92" s="122">
        <f t="shared" si="19"/>
        <v>13127612.98</v>
      </c>
      <c r="M92" s="116">
        <f t="shared" si="20"/>
        <v>8985456.9800000004</v>
      </c>
      <c r="N92" s="123">
        <f t="shared" si="21"/>
        <v>710.03215962070328</v>
      </c>
      <c r="O92" s="5"/>
      <c r="P92" s="5">
        <f t="shared" si="17"/>
        <v>1</v>
      </c>
      <c r="Q92" s="7">
        <f t="shared" si="18"/>
        <v>12655</v>
      </c>
    </row>
    <row r="93" spans="1:17">
      <c r="A93" s="23" t="s">
        <v>101</v>
      </c>
      <c r="B93" s="35" t="s">
        <v>100</v>
      </c>
      <c r="C93" s="36">
        <v>1425</v>
      </c>
      <c r="D93" s="113">
        <v>91853382</v>
      </c>
      <c r="E93" s="116">
        <f t="shared" si="25"/>
        <v>64458.513684210528</v>
      </c>
      <c r="F93" s="117">
        <v>49405751</v>
      </c>
      <c r="G93" s="117">
        <f t="shared" si="26"/>
        <v>34670.702456140352</v>
      </c>
      <c r="H93" s="9"/>
      <c r="I93" s="109">
        <v>2.5962000000000001</v>
      </c>
      <c r="J93" s="117">
        <v>128267</v>
      </c>
      <c r="K93" s="120">
        <f t="shared" si="27"/>
        <v>90.011929824561406</v>
      </c>
      <c r="L93" s="122">
        <f t="shared" si="19"/>
        <v>494057.51</v>
      </c>
      <c r="M93" s="116">
        <f t="shared" si="20"/>
        <v>365790.51</v>
      </c>
      <c r="N93" s="123">
        <f t="shared" si="21"/>
        <v>256.69509473684212</v>
      </c>
      <c r="O93" s="5"/>
      <c r="P93" s="5">
        <f t="shared" si="17"/>
        <v>1</v>
      </c>
      <c r="Q93" s="7">
        <f t="shared" si="18"/>
        <v>1425</v>
      </c>
    </row>
    <row r="94" spans="1:17">
      <c r="A94" s="23" t="s">
        <v>102</v>
      </c>
      <c r="B94" s="35" t="s">
        <v>100</v>
      </c>
      <c r="C94" s="36">
        <v>821784</v>
      </c>
      <c r="D94" s="115" t="s">
        <v>556</v>
      </c>
      <c r="E94" s="116"/>
      <c r="F94" s="117"/>
      <c r="G94" s="117"/>
      <c r="H94" s="9"/>
      <c r="I94" s="109"/>
      <c r="J94" s="117"/>
      <c r="K94" s="120"/>
      <c r="L94" s="122">
        <f t="shared" si="19"/>
        <v>0</v>
      </c>
      <c r="M94" s="116">
        <f t="shared" si="20"/>
        <v>0</v>
      </c>
      <c r="N94" s="123">
        <f t="shared" si="21"/>
        <v>0</v>
      </c>
      <c r="O94" s="5"/>
      <c r="P94" s="5">
        <f t="shared" si="17"/>
        <v>0</v>
      </c>
      <c r="Q94" s="7">
        <f t="shared" si="18"/>
        <v>0</v>
      </c>
    </row>
    <row r="95" spans="1:17">
      <c r="A95" s="23" t="s">
        <v>103</v>
      </c>
      <c r="B95" s="35" t="s">
        <v>100</v>
      </c>
      <c r="C95" s="36">
        <v>21362</v>
      </c>
      <c r="D95" s="113">
        <v>3872393020</v>
      </c>
      <c r="E95" s="116">
        <f t="shared" ref="E95:E158" si="28">(D95/C95)</f>
        <v>181274.83475330027</v>
      </c>
      <c r="F95" s="117">
        <v>2800256363</v>
      </c>
      <c r="G95" s="117">
        <f t="shared" ref="G95:G158" si="29">(F95/C95)</f>
        <v>131085.87037730549</v>
      </c>
      <c r="H95" s="9"/>
      <c r="I95" s="109">
        <v>4.0946999999999996</v>
      </c>
      <c r="J95" s="117">
        <v>11466210</v>
      </c>
      <c r="K95" s="120">
        <f t="shared" ref="K95:K133" si="30">(J95/C95)</f>
        <v>536.75732609306249</v>
      </c>
      <c r="L95" s="122">
        <f t="shared" si="19"/>
        <v>28002563.629999999</v>
      </c>
      <c r="M95" s="116">
        <f t="shared" si="20"/>
        <v>16536353.629999999</v>
      </c>
      <c r="N95" s="123">
        <f t="shared" si="21"/>
        <v>774.10137767999242</v>
      </c>
      <c r="O95" s="5"/>
      <c r="P95" s="5">
        <f t="shared" si="17"/>
        <v>1</v>
      </c>
      <c r="Q95" s="7">
        <f t="shared" si="18"/>
        <v>21362</v>
      </c>
    </row>
    <row r="96" spans="1:17">
      <c r="A96" s="23" t="s">
        <v>104</v>
      </c>
      <c r="B96" s="35" t="s">
        <v>100</v>
      </c>
      <c r="C96" s="36">
        <v>7037</v>
      </c>
      <c r="D96" s="113">
        <v>1040877629</v>
      </c>
      <c r="E96" s="116">
        <f t="shared" si="28"/>
        <v>147914.96788404149</v>
      </c>
      <c r="F96" s="117">
        <v>683686130</v>
      </c>
      <c r="G96" s="117">
        <f t="shared" si="29"/>
        <v>97155.908767940884</v>
      </c>
      <c r="H96" s="7"/>
      <c r="I96" s="109">
        <v>3.1825999999999999</v>
      </c>
      <c r="J96" s="117">
        <v>2175899</v>
      </c>
      <c r="K96" s="120">
        <f t="shared" si="30"/>
        <v>309.20832741224956</v>
      </c>
      <c r="L96" s="122">
        <f t="shared" si="19"/>
        <v>6836861.2999999998</v>
      </c>
      <c r="M96" s="116">
        <f t="shared" si="20"/>
        <v>4660962.3</v>
      </c>
      <c r="N96" s="123">
        <f t="shared" si="21"/>
        <v>662.35076026715933</v>
      </c>
      <c r="O96" s="5"/>
      <c r="P96" s="5">
        <f t="shared" si="17"/>
        <v>1</v>
      </c>
      <c r="Q96" s="7">
        <f t="shared" si="18"/>
        <v>7037</v>
      </c>
    </row>
    <row r="97" spans="1:17">
      <c r="A97" s="23" t="s">
        <v>105</v>
      </c>
      <c r="B97" s="35" t="s">
        <v>106</v>
      </c>
      <c r="C97" s="36">
        <v>1698</v>
      </c>
      <c r="D97" s="113">
        <v>56318572</v>
      </c>
      <c r="E97" s="116">
        <f t="shared" si="28"/>
        <v>33167.592461719672</v>
      </c>
      <c r="F97" s="117">
        <v>29807517</v>
      </c>
      <c r="G97" s="117">
        <f t="shared" si="29"/>
        <v>17554.485865724382</v>
      </c>
      <c r="H97" s="7"/>
      <c r="I97" s="109">
        <v>0.90480000000000005</v>
      </c>
      <c r="J97" s="117">
        <v>26970</v>
      </c>
      <c r="K97" s="120">
        <f t="shared" si="30"/>
        <v>15.883392226148409</v>
      </c>
      <c r="L97" s="122">
        <f t="shared" si="19"/>
        <v>298075.17</v>
      </c>
      <c r="M97" s="116">
        <f t="shared" si="20"/>
        <v>271105.17</v>
      </c>
      <c r="N97" s="123">
        <f t="shared" si="21"/>
        <v>159.66146643109539</v>
      </c>
      <c r="O97" s="5"/>
      <c r="P97" s="5">
        <f t="shared" si="17"/>
        <v>1</v>
      </c>
      <c r="Q97" s="7">
        <f t="shared" si="18"/>
        <v>1698</v>
      </c>
    </row>
    <row r="98" spans="1:17">
      <c r="A98" s="23" t="s">
        <v>107</v>
      </c>
      <c r="B98" s="35" t="s">
        <v>106</v>
      </c>
      <c r="C98" s="36">
        <v>51923</v>
      </c>
      <c r="D98" s="113">
        <v>4995691457</v>
      </c>
      <c r="E98" s="116">
        <f t="shared" si="28"/>
        <v>96213.459488088134</v>
      </c>
      <c r="F98" s="117">
        <v>3017791689</v>
      </c>
      <c r="G98" s="117">
        <f t="shared" si="29"/>
        <v>58120.518633360938</v>
      </c>
      <c r="H98" s="7"/>
      <c r="I98" s="109">
        <v>4.5395000000000003</v>
      </c>
      <c r="J98" s="117">
        <v>13699265</v>
      </c>
      <c r="K98" s="120">
        <f t="shared" si="30"/>
        <v>263.83808716753657</v>
      </c>
      <c r="L98" s="122">
        <f t="shared" si="19"/>
        <v>30177916.890000001</v>
      </c>
      <c r="M98" s="116">
        <f t="shared" si="20"/>
        <v>16478651.890000001</v>
      </c>
      <c r="N98" s="123">
        <f t="shared" si="21"/>
        <v>317.36709916607288</v>
      </c>
      <c r="O98" s="5"/>
      <c r="P98" s="5">
        <f t="shared" si="17"/>
        <v>1</v>
      </c>
      <c r="Q98" s="7">
        <f t="shared" si="18"/>
        <v>51923</v>
      </c>
    </row>
    <row r="99" spans="1:17">
      <c r="A99" s="23" t="s">
        <v>108</v>
      </c>
      <c r="B99" s="35" t="s">
        <v>109</v>
      </c>
      <c r="C99" s="36">
        <v>338</v>
      </c>
      <c r="D99" s="113">
        <v>76165475</v>
      </c>
      <c r="E99" s="116">
        <f t="shared" si="28"/>
        <v>225341.64201183431</v>
      </c>
      <c r="F99" s="117">
        <v>64239814</v>
      </c>
      <c r="G99" s="117">
        <f t="shared" si="29"/>
        <v>190058.62130177516</v>
      </c>
      <c r="H99" s="7"/>
      <c r="I99" s="109">
        <v>2.2999999999999998</v>
      </c>
      <c r="J99" s="117">
        <v>147752</v>
      </c>
      <c r="K99" s="120">
        <f t="shared" si="30"/>
        <v>437.1360946745562</v>
      </c>
      <c r="L99" s="122">
        <f t="shared" si="19"/>
        <v>642398.14</v>
      </c>
      <c r="M99" s="116">
        <f t="shared" si="20"/>
        <v>494646.14</v>
      </c>
      <c r="N99" s="123">
        <f t="shared" si="21"/>
        <v>1463.4501183431953</v>
      </c>
      <c r="O99" s="5"/>
      <c r="P99" s="5">
        <f t="shared" si="17"/>
        <v>1</v>
      </c>
      <c r="Q99" s="7">
        <f t="shared" si="18"/>
        <v>338</v>
      </c>
    </row>
    <row r="100" spans="1:17">
      <c r="A100" s="23" t="s">
        <v>110</v>
      </c>
      <c r="B100" s="35" t="s">
        <v>109</v>
      </c>
      <c r="C100" s="36">
        <v>2676</v>
      </c>
      <c r="D100" s="113">
        <v>527257837</v>
      </c>
      <c r="E100" s="116">
        <f t="shared" si="28"/>
        <v>197032.07660687593</v>
      </c>
      <c r="F100" s="117">
        <v>179954670</v>
      </c>
      <c r="G100" s="117">
        <f t="shared" si="29"/>
        <v>67247.634529147981</v>
      </c>
      <c r="H100" s="7"/>
      <c r="I100" s="109">
        <v>6.0544000000000002</v>
      </c>
      <c r="J100" s="117">
        <v>1089518</v>
      </c>
      <c r="K100" s="120">
        <f t="shared" si="30"/>
        <v>407.144245142003</v>
      </c>
      <c r="L100" s="122">
        <f t="shared" si="19"/>
        <v>1799546.7</v>
      </c>
      <c r="M100" s="116">
        <f t="shared" si="20"/>
        <v>710028.7</v>
      </c>
      <c r="N100" s="123">
        <f t="shared" si="21"/>
        <v>265.33210014947679</v>
      </c>
      <c r="O100" s="5"/>
      <c r="P100" s="5">
        <f t="shared" si="17"/>
        <v>1</v>
      </c>
      <c r="Q100" s="7">
        <f t="shared" si="18"/>
        <v>2676</v>
      </c>
    </row>
    <row r="101" spans="1:17">
      <c r="A101" s="23" t="s">
        <v>447</v>
      </c>
      <c r="B101" s="35" t="s">
        <v>109</v>
      </c>
      <c r="C101" s="36">
        <v>75180</v>
      </c>
      <c r="D101" s="113">
        <v>6381105667</v>
      </c>
      <c r="E101" s="116">
        <f t="shared" si="28"/>
        <v>84877.702407555204</v>
      </c>
      <c r="F101" s="117">
        <v>4466504753</v>
      </c>
      <c r="G101" s="117">
        <f t="shared" si="29"/>
        <v>59410.81076084065</v>
      </c>
      <c r="H101" s="9"/>
      <c r="I101" s="109">
        <v>3.5</v>
      </c>
      <c r="J101" s="117">
        <v>15632767</v>
      </c>
      <c r="K101" s="120">
        <f t="shared" si="30"/>
        <v>207.9378425113062</v>
      </c>
      <c r="L101" s="122">
        <f t="shared" si="19"/>
        <v>44665047.530000001</v>
      </c>
      <c r="M101" s="116">
        <f t="shared" si="20"/>
        <v>29032280.530000001</v>
      </c>
      <c r="N101" s="123">
        <f t="shared" si="21"/>
        <v>386.1702650971003</v>
      </c>
      <c r="O101" s="5"/>
      <c r="P101" s="5">
        <f t="shared" si="17"/>
        <v>1</v>
      </c>
      <c r="Q101" s="7">
        <f t="shared" si="18"/>
        <v>75180</v>
      </c>
    </row>
    <row r="102" spans="1:17">
      <c r="A102" s="23" t="s">
        <v>111</v>
      </c>
      <c r="B102" s="35" t="s">
        <v>557</v>
      </c>
      <c r="C102" s="36">
        <v>16</v>
      </c>
      <c r="D102" s="113">
        <v>29927519</v>
      </c>
      <c r="E102" s="116">
        <f t="shared" si="28"/>
        <v>1870469.9375</v>
      </c>
      <c r="F102" s="117">
        <v>11681081</v>
      </c>
      <c r="G102" s="117">
        <f t="shared" si="29"/>
        <v>730067.5625</v>
      </c>
      <c r="H102" s="7"/>
      <c r="I102" s="109">
        <v>3.0895999999999999</v>
      </c>
      <c r="J102" s="117">
        <v>36090</v>
      </c>
      <c r="K102" s="120">
        <f t="shared" si="30"/>
        <v>2255.625</v>
      </c>
      <c r="L102" s="122">
        <f t="shared" si="19"/>
        <v>116810.81</v>
      </c>
      <c r="M102" s="116">
        <f t="shared" si="20"/>
        <v>80720.81</v>
      </c>
      <c r="N102" s="123">
        <f t="shared" si="21"/>
        <v>5045.0506249999999</v>
      </c>
      <c r="O102" s="5"/>
      <c r="P102" s="5">
        <f t="shared" si="17"/>
        <v>1</v>
      </c>
      <c r="Q102" s="7">
        <f t="shared" si="18"/>
        <v>16</v>
      </c>
    </row>
    <row r="103" spans="1:17">
      <c r="A103" s="23" t="s">
        <v>112</v>
      </c>
      <c r="B103" s="35" t="s">
        <v>113</v>
      </c>
      <c r="C103" s="36">
        <v>4484</v>
      </c>
      <c r="D103" s="113">
        <f>(765747713+7846253)</f>
        <v>773593966</v>
      </c>
      <c r="E103" s="116">
        <f t="shared" si="28"/>
        <v>172523.18599464765</v>
      </c>
      <c r="F103" s="117">
        <f>(580557953+5599792)</f>
        <v>586157745</v>
      </c>
      <c r="G103" s="117">
        <f t="shared" si="29"/>
        <v>130722.06623550401</v>
      </c>
      <c r="H103" s="7"/>
      <c r="I103" s="109">
        <v>4.2023000000000001</v>
      </c>
      <c r="J103" s="117">
        <f>(2439679+23532)</f>
        <v>2463211</v>
      </c>
      <c r="K103" s="120">
        <f t="shared" si="30"/>
        <v>549.33340767172172</v>
      </c>
      <c r="L103" s="122">
        <f t="shared" si="19"/>
        <v>5861577.4500000002</v>
      </c>
      <c r="M103" s="116">
        <f t="shared" si="20"/>
        <v>3398366.45</v>
      </c>
      <c r="N103" s="123">
        <f t="shared" si="21"/>
        <v>757.88725468331847</v>
      </c>
      <c r="O103" s="5"/>
      <c r="P103" s="5">
        <f t="shared" si="17"/>
        <v>1</v>
      </c>
      <c r="Q103" s="7">
        <f t="shared" si="18"/>
        <v>4484</v>
      </c>
    </row>
    <row r="104" spans="1:17">
      <c r="A104" s="23" t="s">
        <v>114</v>
      </c>
      <c r="B104" s="35" t="s">
        <v>115</v>
      </c>
      <c r="C104" s="36">
        <v>2231</v>
      </c>
      <c r="D104" s="113">
        <v>251191775</v>
      </c>
      <c r="E104" s="116">
        <f t="shared" si="28"/>
        <v>112591.56207978485</v>
      </c>
      <c r="F104" s="117">
        <v>146382214</v>
      </c>
      <c r="G104" s="117">
        <f t="shared" si="29"/>
        <v>65612.825638727023</v>
      </c>
      <c r="H104" s="9"/>
      <c r="I104" s="110">
        <v>8.625</v>
      </c>
      <c r="J104" s="117">
        <v>1262547</v>
      </c>
      <c r="K104" s="120">
        <f t="shared" si="30"/>
        <v>565.91080233079333</v>
      </c>
      <c r="L104" s="122">
        <f t="shared" si="19"/>
        <v>1463822.1400000001</v>
      </c>
      <c r="M104" s="116">
        <f t="shared" si="20"/>
        <v>201275.14000000013</v>
      </c>
      <c r="N104" s="123">
        <f t="shared" si="21"/>
        <v>90.217454056476981</v>
      </c>
      <c r="O104" s="5"/>
      <c r="P104" s="5">
        <f t="shared" si="17"/>
        <v>1</v>
      </c>
      <c r="Q104" s="7">
        <f t="shared" si="18"/>
        <v>2231</v>
      </c>
    </row>
    <row r="105" spans="1:17">
      <c r="A105" s="23" t="s">
        <v>116</v>
      </c>
      <c r="B105" s="35" t="s">
        <v>115</v>
      </c>
      <c r="C105" s="36">
        <v>2778</v>
      </c>
      <c r="D105" s="113">
        <v>186330284</v>
      </c>
      <c r="E105" s="116">
        <f t="shared" si="28"/>
        <v>67073.536357091434</v>
      </c>
      <c r="F105" s="117">
        <v>141976938</v>
      </c>
      <c r="G105" s="117">
        <f t="shared" si="29"/>
        <v>51107.609071274295</v>
      </c>
      <c r="H105" s="9"/>
      <c r="I105" s="109">
        <v>8.27</v>
      </c>
      <c r="J105" s="117">
        <v>1174149</v>
      </c>
      <c r="K105" s="120">
        <f t="shared" si="30"/>
        <v>422.65982721382289</v>
      </c>
      <c r="L105" s="122">
        <f t="shared" si="19"/>
        <v>1419769.3800000001</v>
      </c>
      <c r="M105" s="116">
        <f t="shared" si="20"/>
        <v>245620.38000000012</v>
      </c>
      <c r="N105" s="123">
        <f t="shared" si="21"/>
        <v>88.416263498920131</v>
      </c>
      <c r="O105" s="5"/>
      <c r="P105" s="5">
        <f t="shared" si="17"/>
        <v>1</v>
      </c>
      <c r="Q105" s="7">
        <f t="shared" si="18"/>
        <v>2778</v>
      </c>
    </row>
    <row r="106" spans="1:17">
      <c r="A106" s="23" t="s">
        <v>117</v>
      </c>
      <c r="B106" s="35" t="s">
        <v>118</v>
      </c>
      <c r="C106" s="36">
        <v>3652</v>
      </c>
      <c r="D106" s="113">
        <v>235352346</v>
      </c>
      <c r="E106" s="116">
        <f t="shared" si="28"/>
        <v>64444.782584884997</v>
      </c>
      <c r="F106" s="117">
        <v>36305191</v>
      </c>
      <c r="G106" s="117">
        <f t="shared" si="29"/>
        <v>9941.1804490690029</v>
      </c>
      <c r="H106" s="7"/>
      <c r="I106" s="109">
        <v>0.79910000000000003</v>
      </c>
      <c r="J106" s="117">
        <v>29011</v>
      </c>
      <c r="K106" s="120">
        <f t="shared" si="30"/>
        <v>7.9438663745892661</v>
      </c>
      <c r="L106" s="122">
        <f t="shared" si="19"/>
        <v>363051.91000000003</v>
      </c>
      <c r="M106" s="116">
        <f t="shared" si="20"/>
        <v>334040.91000000003</v>
      </c>
      <c r="N106" s="123">
        <f t="shared" si="21"/>
        <v>91.467938116100783</v>
      </c>
      <c r="O106" s="5"/>
      <c r="P106" s="5">
        <f t="shared" si="17"/>
        <v>1</v>
      </c>
      <c r="Q106" s="7">
        <f t="shared" si="18"/>
        <v>3652</v>
      </c>
    </row>
    <row r="107" spans="1:17">
      <c r="A107" s="23" t="s">
        <v>119</v>
      </c>
      <c r="B107" s="35" t="s">
        <v>118</v>
      </c>
      <c r="C107" s="36">
        <v>602</v>
      </c>
      <c r="D107" s="113">
        <v>16421368</v>
      </c>
      <c r="E107" s="116">
        <f t="shared" si="28"/>
        <v>27278.019933554817</v>
      </c>
      <c r="F107" s="117">
        <v>7570331</v>
      </c>
      <c r="G107" s="117">
        <f t="shared" si="29"/>
        <v>12575.300664451826</v>
      </c>
      <c r="H107" s="7"/>
      <c r="I107" s="109">
        <v>5</v>
      </c>
      <c r="J107" s="117">
        <v>37852</v>
      </c>
      <c r="K107" s="120">
        <f t="shared" si="30"/>
        <v>62.877076411960132</v>
      </c>
      <c r="L107" s="122">
        <f t="shared" si="19"/>
        <v>75703.31</v>
      </c>
      <c r="M107" s="116">
        <f t="shared" si="20"/>
        <v>37851.31</v>
      </c>
      <c r="N107" s="123">
        <f t="shared" si="21"/>
        <v>62.875930232558133</v>
      </c>
      <c r="O107" s="5"/>
      <c r="P107" s="5">
        <f t="shared" si="17"/>
        <v>1</v>
      </c>
      <c r="Q107" s="7">
        <f t="shared" si="18"/>
        <v>602</v>
      </c>
    </row>
    <row r="108" spans="1:17">
      <c r="A108" s="23" t="s">
        <v>120</v>
      </c>
      <c r="B108" s="35" t="s">
        <v>118</v>
      </c>
      <c r="C108" s="36">
        <v>1460</v>
      </c>
      <c r="D108" s="113">
        <v>38362596</v>
      </c>
      <c r="E108" s="116">
        <f t="shared" si="28"/>
        <v>26275.750684931507</v>
      </c>
      <c r="F108" s="117">
        <v>14648006</v>
      </c>
      <c r="G108" s="117">
        <f t="shared" si="29"/>
        <v>10032.880821917808</v>
      </c>
      <c r="H108" s="7"/>
      <c r="I108" s="109">
        <v>4.7362000000000002</v>
      </c>
      <c r="J108" s="117">
        <v>69376</v>
      </c>
      <c r="K108" s="120">
        <f t="shared" si="30"/>
        <v>47.517808219178079</v>
      </c>
      <c r="L108" s="122">
        <f t="shared" si="19"/>
        <v>146480.06</v>
      </c>
      <c r="M108" s="116">
        <f t="shared" si="20"/>
        <v>77104.06</v>
      </c>
      <c r="N108" s="123">
        <f t="shared" si="21"/>
        <v>52.811</v>
      </c>
      <c r="O108" s="5"/>
      <c r="P108" s="5">
        <f t="shared" si="17"/>
        <v>1</v>
      </c>
      <c r="Q108" s="7">
        <f t="shared" si="18"/>
        <v>1460</v>
      </c>
    </row>
    <row r="109" spans="1:17">
      <c r="A109" s="23" t="s">
        <v>121</v>
      </c>
      <c r="B109" s="35" t="s">
        <v>118</v>
      </c>
      <c r="C109" s="36">
        <v>1754</v>
      </c>
      <c r="D109" s="113">
        <v>105555868</v>
      </c>
      <c r="E109" s="116">
        <f t="shared" si="28"/>
        <v>60180.084378563282</v>
      </c>
      <c r="F109" s="117">
        <v>68740668</v>
      </c>
      <c r="G109" s="117">
        <f t="shared" si="29"/>
        <v>39190.802736602054</v>
      </c>
      <c r="H109" s="7"/>
      <c r="I109" s="109">
        <v>1.6787000000000001</v>
      </c>
      <c r="J109" s="117">
        <v>115395</v>
      </c>
      <c r="K109" s="120">
        <f t="shared" si="30"/>
        <v>65.789623717217793</v>
      </c>
      <c r="L109" s="122">
        <f t="shared" si="19"/>
        <v>687406.68</v>
      </c>
      <c r="M109" s="116">
        <f t="shared" si="20"/>
        <v>572011.68000000005</v>
      </c>
      <c r="N109" s="123">
        <f t="shared" si="21"/>
        <v>326.11840364880277</v>
      </c>
      <c r="O109" s="5"/>
      <c r="P109" s="5">
        <f t="shared" si="17"/>
        <v>1</v>
      </c>
      <c r="Q109" s="7">
        <f t="shared" si="18"/>
        <v>1754</v>
      </c>
    </row>
    <row r="110" spans="1:17">
      <c r="A110" s="23" t="s">
        <v>122</v>
      </c>
      <c r="B110" s="35" t="s">
        <v>118</v>
      </c>
      <c r="C110" s="36">
        <v>3004</v>
      </c>
      <c r="D110" s="113">
        <v>184311942</v>
      </c>
      <c r="E110" s="116">
        <f t="shared" si="28"/>
        <v>61355.506657789614</v>
      </c>
      <c r="F110" s="117">
        <v>130852667</v>
      </c>
      <c r="G110" s="117">
        <f t="shared" si="29"/>
        <v>43559.476364846872</v>
      </c>
      <c r="H110" s="7"/>
      <c r="I110" s="109">
        <v>3.4984999999999999</v>
      </c>
      <c r="J110" s="117">
        <v>457788</v>
      </c>
      <c r="K110" s="120">
        <f t="shared" si="30"/>
        <v>152.39280958721704</v>
      </c>
      <c r="L110" s="122">
        <f t="shared" si="19"/>
        <v>1308526.67</v>
      </c>
      <c r="M110" s="116">
        <f t="shared" si="20"/>
        <v>850738.66999999993</v>
      </c>
      <c r="N110" s="123">
        <f t="shared" si="21"/>
        <v>283.20195406125163</v>
      </c>
      <c r="O110" s="5"/>
      <c r="P110" s="5">
        <f t="shared" si="17"/>
        <v>1</v>
      </c>
      <c r="Q110" s="7">
        <f t="shared" si="18"/>
        <v>3004</v>
      </c>
    </row>
    <row r="111" spans="1:17">
      <c r="A111" s="23" t="s">
        <v>123</v>
      </c>
      <c r="B111" s="35" t="s">
        <v>118</v>
      </c>
      <c r="C111" s="36">
        <v>7972</v>
      </c>
      <c r="D111" s="113">
        <v>475511785</v>
      </c>
      <c r="E111" s="116">
        <f t="shared" si="28"/>
        <v>59647.740215755141</v>
      </c>
      <c r="F111" s="117">
        <v>224568925</v>
      </c>
      <c r="G111" s="117">
        <f t="shared" si="29"/>
        <v>28169.709608630204</v>
      </c>
      <c r="H111" s="9"/>
      <c r="I111" s="109">
        <v>4</v>
      </c>
      <c r="J111" s="117">
        <v>898276</v>
      </c>
      <c r="K111" s="120">
        <f t="shared" si="30"/>
        <v>112.67887606623181</v>
      </c>
      <c r="L111" s="122">
        <f t="shared" si="19"/>
        <v>2245689.25</v>
      </c>
      <c r="M111" s="116">
        <f t="shared" si="20"/>
        <v>1347413.25</v>
      </c>
      <c r="N111" s="123">
        <f t="shared" si="21"/>
        <v>169.01822002007026</v>
      </c>
      <c r="O111" s="5"/>
      <c r="P111" s="5">
        <f t="shared" si="17"/>
        <v>1</v>
      </c>
      <c r="Q111" s="7">
        <f t="shared" si="18"/>
        <v>7972</v>
      </c>
    </row>
    <row r="112" spans="1:17">
      <c r="A112" s="23" t="s">
        <v>124</v>
      </c>
      <c r="B112" s="35" t="s">
        <v>125</v>
      </c>
      <c r="C112" s="36">
        <v>456</v>
      </c>
      <c r="D112" s="113">
        <v>43037268</v>
      </c>
      <c r="E112" s="116">
        <f t="shared" si="28"/>
        <v>94379.973684210519</v>
      </c>
      <c r="F112" s="117">
        <v>18257008</v>
      </c>
      <c r="G112" s="117">
        <f t="shared" si="29"/>
        <v>40037.298245614038</v>
      </c>
      <c r="H112" s="9"/>
      <c r="I112" s="109">
        <v>2</v>
      </c>
      <c r="J112" s="117">
        <v>36514</v>
      </c>
      <c r="K112" s="120">
        <f t="shared" si="30"/>
        <v>80.074561403508767</v>
      </c>
      <c r="L112" s="122">
        <f t="shared" si="19"/>
        <v>182570.08000000002</v>
      </c>
      <c r="M112" s="116">
        <f t="shared" si="20"/>
        <v>146056.08000000002</v>
      </c>
      <c r="N112" s="123">
        <f t="shared" si="21"/>
        <v>320.29842105263162</v>
      </c>
      <c r="O112" s="5"/>
      <c r="P112" s="5">
        <f t="shared" si="17"/>
        <v>1</v>
      </c>
      <c r="Q112" s="7">
        <f t="shared" si="18"/>
        <v>456</v>
      </c>
    </row>
    <row r="113" spans="1:17">
      <c r="A113" s="23" t="s">
        <v>126</v>
      </c>
      <c r="B113" s="35" t="s">
        <v>125</v>
      </c>
      <c r="C113" s="36">
        <v>1999</v>
      </c>
      <c r="D113" s="113">
        <v>112960038</v>
      </c>
      <c r="E113" s="116">
        <f t="shared" si="28"/>
        <v>56508.273136568285</v>
      </c>
      <c r="F113" s="117">
        <v>51564281</v>
      </c>
      <c r="G113" s="117">
        <f t="shared" si="29"/>
        <v>25795.038019009506</v>
      </c>
      <c r="H113" s="9"/>
      <c r="I113" s="110">
        <v>3</v>
      </c>
      <c r="J113" s="117">
        <v>154693</v>
      </c>
      <c r="K113" s="120">
        <f t="shared" si="30"/>
        <v>77.385192596298154</v>
      </c>
      <c r="L113" s="122">
        <f t="shared" si="19"/>
        <v>515642.81</v>
      </c>
      <c r="M113" s="116">
        <f t="shared" si="20"/>
        <v>360949.81</v>
      </c>
      <c r="N113" s="123">
        <f t="shared" si="21"/>
        <v>180.56518759379691</v>
      </c>
      <c r="O113" s="5"/>
      <c r="P113" s="5">
        <f t="shared" si="17"/>
        <v>1</v>
      </c>
      <c r="Q113" s="7">
        <f t="shared" si="18"/>
        <v>1999</v>
      </c>
    </row>
    <row r="114" spans="1:17">
      <c r="A114" s="23" t="s">
        <v>127</v>
      </c>
      <c r="B114" s="35" t="s">
        <v>128</v>
      </c>
      <c r="C114" s="36">
        <v>764</v>
      </c>
      <c r="D114" s="113">
        <f>(24509557+40287617)</f>
        <v>64797174</v>
      </c>
      <c r="E114" s="116">
        <f t="shared" si="28"/>
        <v>84813.054973821985</v>
      </c>
      <c r="F114" s="117">
        <f>(18425360+23962569)</f>
        <v>42387929</v>
      </c>
      <c r="G114" s="117">
        <f t="shared" si="29"/>
        <v>55481.582460732985</v>
      </c>
      <c r="H114" s="7"/>
      <c r="I114" s="110">
        <v>2</v>
      </c>
      <c r="J114" s="117">
        <f>(36851+47925)</f>
        <v>84776</v>
      </c>
      <c r="K114" s="120">
        <f t="shared" si="30"/>
        <v>110.96335078534031</v>
      </c>
      <c r="L114" s="122">
        <f t="shared" si="19"/>
        <v>423879.29000000004</v>
      </c>
      <c r="M114" s="116">
        <f t="shared" si="20"/>
        <v>339103.29000000004</v>
      </c>
      <c r="N114" s="123">
        <f t="shared" si="21"/>
        <v>443.85247382198958</v>
      </c>
      <c r="O114" s="5"/>
      <c r="P114" s="5">
        <f t="shared" si="17"/>
        <v>1</v>
      </c>
      <c r="Q114" s="7">
        <f t="shared" si="18"/>
        <v>764</v>
      </c>
    </row>
    <row r="115" spans="1:17">
      <c r="A115" s="23" t="s">
        <v>129</v>
      </c>
      <c r="B115" s="35" t="s">
        <v>130</v>
      </c>
      <c r="C115" s="36">
        <v>1680</v>
      </c>
      <c r="D115" s="113">
        <v>92488031</v>
      </c>
      <c r="E115" s="116">
        <f t="shared" si="28"/>
        <v>55052.399404761905</v>
      </c>
      <c r="F115" s="117">
        <v>42642006</v>
      </c>
      <c r="G115" s="117">
        <f t="shared" si="29"/>
        <v>25382.146428571428</v>
      </c>
      <c r="H115" s="7"/>
      <c r="I115" s="109">
        <v>4.4664999999999999</v>
      </c>
      <c r="J115" s="117">
        <v>190461</v>
      </c>
      <c r="K115" s="120">
        <f t="shared" si="30"/>
        <v>113.36964285714286</v>
      </c>
      <c r="L115" s="122">
        <f t="shared" si="19"/>
        <v>426420.06</v>
      </c>
      <c r="M115" s="116">
        <f t="shared" si="20"/>
        <v>235959.06</v>
      </c>
      <c r="N115" s="123">
        <f t="shared" si="21"/>
        <v>140.45182142857144</v>
      </c>
      <c r="O115" s="5"/>
      <c r="P115" s="5">
        <f t="shared" si="17"/>
        <v>1</v>
      </c>
      <c r="Q115" s="7">
        <f t="shared" si="18"/>
        <v>1680</v>
      </c>
    </row>
    <row r="116" spans="1:17">
      <c r="A116" s="24" t="s">
        <v>545</v>
      </c>
      <c r="B116" s="35" t="s">
        <v>131</v>
      </c>
      <c r="C116" s="36">
        <v>3445</v>
      </c>
      <c r="D116" s="113">
        <v>476897078</v>
      </c>
      <c r="E116" s="116">
        <f t="shared" si="28"/>
        <v>138431.66269956459</v>
      </c>
      <c r="F116" s="117">
        <v>327994234</v>
      </c>
      <c r="G116" s="117">
        <f t="shared" si="29"/>
        <v>95208.776197387517</v>
      </c>
      <c r="H116" s="9"/>
      <c r="I116" s="109">
        <v>3.5914000000000001</v>
      </c>
      <c r="J116" s="117">
        <v>1177958</v>
      </c>
      <c r="K116" s="120">
        <f t="shared" si="30"/>
        <v>341.93265602322208</v>
      </c>
      <c r="L116" s="122">
        <f t="shared" si="19"/>
        <v>3279942.34</v>
      </c>
      <c r="M116" s="116">
        <f t="shared" si="20"/>
        <v>2101984.34</v>
      </c>
      <c r="N116" s="123">
        <f t="shared" si="21"/>
        <v>610.15510595065302</v>
      </c>
      <c r="O116" s="5"/>
      <c r="P116" s="5">
        <f t="shared" si="17"/>
        <v>1</v>
      </c>
      <c r="Q116" s="7">
        <f t="shared" si="18"/>
        <v>3445</v>
      </c>
    </row>
    <row r="117" spans="1:17">
      <c r="A117" s="23" t="s">
        <v>132</v>
      </c>
      <c r="B117" s="35" t="s">
        <v>131</v>
      </c>
      <c r="C117" s="36">
        <v>1981</v>
      </c>
      <c r="D117" s="113">
        <v>111487023</v>
      </c>
      <c r="E117" s="116">
        <f t="shared" si="28"/>
        <v>56278.153962645127</v>
      </c>
      <c r="F117" s="117">
        <v>66683585</v>
      </c>
      <c r="G117" s="117">
        <f t="shared" si="29"/>
        <v>33661.57748611812</v>
      </c>
      <c r="H117" s="9"/>
      <c r="I117" s="109">
        <v>6</v>
      </c>
      <c r="J117" s="117">
        <v>400102</v>
      </c>
      <c r="K117" s="120">
        <f t="shared" si="30"/>
        <v>201.96971226653204</v>
      </c>
      <c r="L117" s="122">
        <f t="shared" si="19"/>
        <v>666835.85</v>
      </c>
      <c r="M117" s="116">
        <f t="shared" si="20"/>
        <v>266733.84999999998</v>
      </c>
      <c r="N117" s="123">
        <f t="shared" si="21"/>
        <v>134.64606259464915</v>
      </c>
      <c r="O117" s="5"/>
      <c r="P117" s="5">
        <f t="shared" si="17"/>
        <v>1</v>
      </c>
      <c r="Q117" s="7">
        <f t="shared" si="18"/>
        <v>1981</v>
      </c>
    </row>
    <row r="118" spans="1:17">
      <c r="A118" s="23" t="s">
        <v>133</v>
      </c>
      <c r="B118" s="35" t="s">
        <v>134</v>
      </c>
      <c r="C118" s="36">
        <v>4546</v>
      </c>
      <c r="D118" s="113">
        <v>107306546</v>
      </c>
      <c r="E118" s="116">
        <f t="shared" si="28"/>
        <v>23604.607567091949</v>
      </c>
      <c r="F118" s="117">
        <v>49823277</v>
      </c>
      <c r="G118" s="117">
        <f t="shared" si="29"/>
        <v>10959.805763308403</v>
      </c>
      <c r="H118" s="7"/>
      <c r="I118" s="109">
        <v>6.0038999999999998</v>
      </c>
      <c r="J118" s="117">
        <v>299134</v>
      </c>
      <c r="K118" s="120">
        <f t="shared" si="30"/>
        <v>65.801583809942812</v>
      </c>
      <c r="L118" s="122">
        <f t="shared" si="19"/>
        <v>498232.77</v>
      </c>
      <c r="M118" s="116">
        <f t="shared" si="20"/>
        <v>199098.77000000002</v>
      </c>
      <c r="N118" s="123">
        <f t="shared" si="21"/>
        <v>43.796473823141227</v>
      </c>
      <c r="O118" s="5"/>
      <c r="P118" s="5">
        <f t="shared" si="17"/>
        <v>1</v>
      </c>
      <c r="Q118" s="7">
        <f t="shared" si="18"/>
        <v>4546</v>
      </c>
    </row>
    <row r="119" spans="1:17">
      <c r="A119" s="23" t="s">
        <v>135</v>
      </c>
      <c r="B119" s="35" t="s">
        <v>134</v>
      </c>
      <c r="C119" s="36">
        <v>878</v>
      </c>
      <c r="D119" s="113">
        <v>22506771</v>
      </c>
      <c r="E119" s="116">
        <f t="shared" si="28"/>
        <v>25634.135535307516</v>
      </c>
      <c r="F119" s="117">
        <v>12414822</v>
      </c>
      <c r="G119" s="117">
        <f t="shared" si="29"/>
        <v>14139.888382687926</v>
      </c>
      <c r="H119" s="7"/>
      <c r="I119" s="109">
        <v>1.43</v>
      </c>
      <c r="J119" s="117">
        <v>17753</v>
      </c>
      <c r="K119" s="120">
        <f t="shared" si="30"/>
        <v>20.219817767653758</v>
      </c>
      <c r="L119" s="122">
        <f t="shared" si="19"/>
        <v>124148.22</v>
      </c>
      <c r="M119" s="116">
        <f t="shared" si="20"/>
        <v>106395.22</v>
      </c>
      <c r="N119" s="123">
        <f t="shared" si="21"/>
        <v>121.17906605922552</v>
      </c>
      <c r="O119" s="5"/>
      <c r="P119" s="5">
        <f t="shared" si="17"/>
        <v>1</v>
      </c>
      <c r="Q119" s="7">
        <f t="shared" si="18"/>
        <v>878</v>
      </c>
    </row>
    <row r="120" spans="1:17">
      <c r="A120" s="23" t="s">
        <v>136</v>
      </c>
      <c r="B120" s="35" t="s">
        <v>134</v>
      </c>
      <c r="C120" s="36">
        <v>777</v>
      </c>
      <c r="D120" s="113">
        <v>35964865</v>
      </c>
      <c r="E120" s="116">
        <f t="shared" si="28"/>
        <v>46286.827541827544</v>
      </c>
      <c r="F120" s="117">
        <v>17230978</v>
      </c>
      <c r="G120" s="117">
        <f t="shared" si="29"/>
        <v>22176.290862290862</v>
      </c>
      <c r="H120" s="7"/>
      <c r="I120" s="109">
        <v>3.9083999999999999</v>
      </c>
      <c r="J120" s="117">
        <v>67346</v>
      </c>
      <c r="K120" s="120">
        <f t="shared" si="30"/>
        <v>86.67438867438868</v>
      </c>
      <c r="L120" s="122">
        <f t="shared" si="19"/>
        <v>172309.78</v>
      </c>
      <c r="M120" s="116">
        <f t="shared" si="20"/>
        <v>104963.78</v>
      </c>
      <c r="N120" s="123">
        <f t="shared" si="21"/>
        <v>135.08851994851995</v>
      </c>
      <c r="O120" s="5"/>
      <c r="P120" s="5">
        <f t="shared" si="17"/>
        <v>1</v>
      </c>
      <c r="Q120" s="7">
        <f t="shared" si="18"/>
        <v>777</v>
      </c>
    </row>
    <row r="121" spans="1:17">
      <c r="A121" s="23" t="s">
        <v>137</v>
      </c>
      <c r="B121" s="35" t="s">
        <v>138</v>
      </c>
      <c r="C121" s="36">
        <v>2930</v>
      </c>
      <c r="D121" s="113">
        <v>70128414</v>
      </c>
      <c r="E121" s="116">
        <f t="shared" si="28"/>
        <v>23934.612286689418</v>
      </c>
      <c r="F121" s="117">
        <v>34614175</v>
      </c>
      <c r="G121" s="117">
        <f t="shared" si="29"/>
        <v>11813.711604095563</v>
      </c>
      <c r="H121" s="7"/>
      <c r="I121" s="109">
        <v>7.25</v>
      </c>
      <c r="J121" s="117">
        <v>250953</v>
      </c>
      <c r="K121" s="120">
        <f t="shared" si="30"/>
        <v>85.649488054607502</v>
      </c>
      <c r="L121" s="122">
        <f t="shared" si="19"/>
        <v>346141.75</v>
      </c>
      <c r="M121" s="116">
        <f t="shared" si="20"/>
        <v>95188.75</v>
      </c>
      <c r="N121" s="123">
        <f t="shared" si="21"/>
        <v>32.487627986348123</v>
      </c>
      <c r="O121" s="5"/>
      <c r="P121" s="5">
        <f t="shared" si="17"/>
        <v>1</v>
      </c>
      <c r="Q121" s="7">
        <f t="shared" si="18"/>
        <v>2930</v>
      </c>
    </row>
    <row r="122" spans="1:17">
      <c r="A122" s="23" t="s">
        <v>139</v>
      </c>
      <c r="B122" s="35" t="s">
        <v>138</v>
      </c>
      <c r="C122" s="36">
        <v>5001</v>
      </c>
      <c r="D122" s="113">
        <v>216428561</v>
      </c>
      <c r="E122" s="116">
        <f t="shared" si="28"/>
        <v>43277.056788642272</v>
      </c>
      <c r="F122" s="117">
        <v>112368673</v>
      </c>
      <c r="G122" s="117">
        <f t="shared" si="29"/>
        <v>22469.240751849629</v>
      </c>
      <c r="H122" s="7"/>
      <c r="I122" s="109">
        <v>5.4420000000000002</v>
      </c>
      <c r="J122" s="117">
        <v>611510</v>
      </c>
      <c r="K122" s="120">
        <f t="shared" si="30"/>
        <v>122.27754449110178</v>
      </c>
      <c r="L122" s="122">
        <f t="shared" si="19"/>
        <v>1123686.73</v>
      </c>
      <c r="M122" s="116">
        <f t="shared" si="20"/>
        <v>512176.73</v>
      </c>
      <c r="N122" s="123">
        <f t="shared" si="21"/>
        <v>102.41486302739452</v>
      </c>
      <c r="O122" s="5"/>
      <c r="P122" s="5">
        <f t="shared" si="17"/>
        <v>1</v>
      </c>
      <c r="Q122" s="7">
        <f t="shared" si="18"/>
        <v>5001</v>
      </c>
    </row>
    <row r="123" spans="1:17">
      <c r="A123" s="23" t="s">
        <v>140</v>
      </c>
      <c r="B123" s="35" t="s">
        <v>138</v>
      </c>
      <c r="C123" s="36">
        <v>1827</v>
      </c>
      <c r="D123" s="113">
        <v>55244505</v>
      </c>
      <c r="E123" s="116">
        <f t="shared" si="28"/>
        <v>30237.824302134646</v>
      </c>
      <c r="F123" s="117">
        <v>25656327</v>
      </c>
      <c r="G123" s="117">
        <f t="shared" si="29"/>
        <v>14042.871921182266</v>
      </c>
      <c r="H123" s="7"/>
      <c r="I123" s="109">
        <v>9</v>
      </c>
      <c r="J123" s="117">
        <v>230907</v>
      </c>
      <c r="K123" s="120">
        <f t="shared" si="30"/>
        <v>126.38587848932677</v>
      </c>
      <c r="L123" s="122">
        <f t="shared" si="19"/>
        <v>256563.27000000002</v>
      </c>
      <c r="M123" s="116">
        <f t="shared" si="20"/>
        <v>25656.270000000019</v>
      </c>
      <c r="N123" s="123">
        <f t="shared" si="21"/>
        <v>14.042840722495905</v>
      </c>
      <c r="O123" s="5"/>
      <c r="P123" s="5">
        <f t="shared" si="17"/>
        <v>1</v>
      </c>
      <c r="Q123" s="7">
        <f t="shared" si="18"/>
        <v>1827</v>
      </c>
    </row>
    <row r="124" spans="1:17">
      <c r="A124" s="23" t="s">
        <v>141</v>
      </c>
      <c r="B124" s="35" t="s">
        <v>142</v>
      </c>
      <c r="C124" s="36">
        <v>7155</v>
      </c>
      <c r="D124" s="113">
        <v>459136310</v>
      </c>
      <c r="E124" s="116">
        <f t="shared" si="28"/>
        <v>64169.994409503845</v>
      </c>
      <c r="F124" s="117">
        <v>217987013</v>
      </c>
      <c r="G124" s="117">
        <f t="shared" si="29"/>
        <v>30466.388958770091</v>
      </c>
      <c r="H124" s="7"/>
      <c r="I124" s="109">
        <v>6.2210000000000001</v>
      </c>
      <c r="J124" s="117">
        <v>1356097</v>
      </c>
      <c r="K124" s="120">
        <f t="shared" si="30"/>
        <v>189.53137665967856</v>
      </c>
      <c r="L124" s="122">
        <f t="shared" si="19"/>
        <v>2179870.13</v>
      </c>
      <c r="M124" s="116">
        <f t="shared" si="20"/>
        <v>823773.12999999989</v>
      </c>
      <c r="N124" s="123">
        <f t="shared" si="21"/>
        <v>115.13251292802235</v>
      </c>
      <c r="O124" s="5"/>
      <c r="P124" s="5">
        <f t="shared" si="17"/>
        <v>1</v>
      </c>
      <c r="Q124" s="7">
        <f t="shared" si="18"/>
        <v>7155</v>
      </c>
    </row>
    <row r="125" spans="1:17">
      <c r="A125" s="23" t="s">
        <v>558</v>
      </c>
      <c r="B125" s="35" t="s">
        <v>142</v>
      </c>
      <c r="C125" s="36">
        <v>4640</v>
      </c>
      <c r="D125" s="113">
        <v>382040710</v>
      </c>
      <c r="E125" s="116">
        <f t="shared" si="28"/>
        <v>82336.359913793101</v>
      </c>
      <c r="F125" s="117">
        <v>200999573</v>
      </c>
      <c r="G125" s="117">
        <f t="shared" si="29"/>
        <v>43318.873491379309</v>
      </c>
      <c r="H125" s="7"/>
      <c r="I125" s="109">
        <v>3</v>
      </c>
      <c r="J125" s="117">
        <v>602999</v>
      </c>
      <c r="K125" s="120">
        <f t="shared" si="30"/>
        <v>129.95668103448276</v>
      </c>
      <c r="L125" s="122">
        <f t="shared" si="19"/>
        <v>2009995.73</v>
      </c>
      <c r="M125" s="116">
        <f t="shared" si="20"/>
        <v>1406996.73</v>
      </c>
      <c r="N125" s="123">
        <f t="shared" si="21"/>
        <v>303.23205387931034</v>
      </c>
      <c r="O125" s="5"/>
      <c r="P125" s="5">
        <f t="shared" si="17"/>
        <v>1</v>
      </c>
      <c r="Q125" s="7">
        <f t="shared" si="18"/>
        <v>4640</v>
      </c>
    </row>
    <row r="126" spans="1:17">
      <c r="A126" s="23" t="s">
        <v>143</v>
      </c>
      <c r="B126" s="35" t="s">
        <v>144</v>
      </c>
      <c r="C126" s="36">
        <v>7719</v>
      </c>
      <c r="D126" s="113">
        <v>705929357</v>
      </c>
      <c r="E126" s="116">
        <f t="shared" si="28"/>
        <v>91453.472859178655</v>
      </c>
      <c r="F126" s="117">
        <v>415589550</v>
      </c>
      <c r="G126" s="117">
        <f t="shared" si="29"/>
        <v>53839.817333851533</v>
      </c>
      <c r="H126" s="7"/>
      <c r="I126" s="109">
        <v>6.37</v>
      </c>
      <c r="J126" s="117">
        <v>2647305</v>
      </c>
      <c r="K126" s="120">
        <f t="shared" si="30"/>
        <v>342.95958025650992</v>
      </c>
      <c r="L126" s="122">
        <f t="shared" si="19"/>
        <v>4155895.5</v>
      </c>
      <c r="M126" s="116">
        <f t="shared" si="20"/>
        <v>1508590.5</v>
      </c>
      <c r="N126" s="123">
        <f t="shared" si="21"/>
        <v>195.43859308200544</v>
      </c>
      <c r="O126" s="5"/>
      <c r="P126" s="5">
        <f t="shared" si="17"/>
        <v>1</v>
      </c>
      <c r="Q126" s="7">
        <f t="shared" si="18"/>
        <v>7719</v>
      </c>
    </row>
    <row r="127" spans="1:17">
      <c r="A127" s="23" t="s">
        <v>145</v>
      </c>
      <c r="B127" s="35" t="s">
        <v>144</v>
      </c>
      <c r="C127" s="36">
        <v>12</v>
      </c>
      <c r="D127" s="113">
        <v>30297211</v>
      </c>
      <c r="E127" s="116">
        <f t="shared" si="28"/>
        <v>2524767.5833333335</v>
      </c>
      <c r="F127" s="117">
        <v>17075968</v>
      </c>
      <c r="G127" s="117">
        <f t="shared" si="29"/>
        <v>1422997.3333333333</v>
      </c>
      <c r="H127" s="7"/>
      <c r="I127" s="109">
        <v>2.6587000000000001</v>
      </c>
      <c r="J127" s="117">
        <v>45400</v>
      </c>
      <c r="K127" s="120">
        <f t="shared" si="30"/>
        <v>3783.3333333333335</v>
      </c>
      <c r="L127" s="122">
        <f t="shared" si="19"/>
        <v>170759.67999999999</v>
      </c>
      <c r="M127" s="116">
        <f t="shared" si="20"/>
        <v>125359.67999999999</v>
      </c>
      <c r="N127" s="123">
        <f t="shared" si="21"/>
        <v>10446.64</v>
      </c>
      <c r="O127" s="5"/>
      <c r="P127" s="5">
        <f t="shared" si="17"/>
        <v>1</v>
      </c>
      <c r="Q127" s="7">
        <f t="shared" si="18"/>
        <v>12</v>
      </c>
    </row>
    <row r="128" spans="1:17">
      <c r="A128" s="23" t="s">
        <v>146</v>
      </c>
      <c r="B128" s="35" t="s">
        <v>147</v>
      </c>
      <c r="C128" s="36">
        <v>8836</v>
      </c>
      <c r="D128" s="113">
        <v>412944234</v>
      </c>
      <c r="E128" s="116">
        <f t="shared" si="28"/>
        <v>46734.295382526027</v>
      </c>
      <c r="F128" s="117">
        <v>241156997</v>
      </c>
      <c r="G128" s="117">
        <f t="shared" si="29"/>
        <v>27292.552851969216</v>
      </c>
      <c r="H128" s="7"/>
      <c r="I128" s="109">
        <v>5.8745000000000003</v>
      </c>
      <c r="J128" s="117">
        <v>1416677</v>
      </c>
      <c r="K128" s="120">
        <f t="shared" si="30"/>
        <v>160.3301267541874</v>
      </c>
      <c r="L128" s="122">
        <f t="shared" si="19"/>
        <v>2411569.9700000002</v>
      </c>
      <c r="M128" s="116">
        <f t="shared" si="20"/>
        <v>994892.9700000002</v>
      </c>
      <c r="N128" s="123">
        <f t="shared" si="21"/>
        <v>112.59540176550477</v>
      </c>
      <c r="O128" s="5"/>
      <c r="P128" s="5">
        <f t="shared" si="17"/>
        <v>1</v>
      </c>
      <c r="Q128" s="7">
        <f t="shared" si="18"/>
        <v>8836</v>
      </c>
    </row>
    <row r="129" spans="1:17">
      <c r="A129" s="23" t="s">
        <v>148</v>
      </c>
      <c r="B129" s="35" t="s">
        <v>147</v>
      </c>
      <c r="C129" s="36">
        <v>2223</v>
      </c>
      <c r="D129" s="113">
        <v>245326763</v>
      </c>
      <c r="E129" s="116">
        <f t="shared" si="28"/>
        <v>110358.41790373369</v>
      </c>
      <c r="F129" s="117">
        <v>169371535</v>
      </c>
      <c r="G129" s="117">
        <f t="shared" si="29"/>
        <v>76190.524066576705</v>
      </c>
      <c r="H129" s="7"/>
      <c r="I129" s="109">
        <v>3.81</v>
      </c>
      <c r="J129" s="117">
        <v>645306</v>
      </c>
      <c r="K129" s="120">
        <f t="shared" si="30"/>
        <v>290.28609986504722</v>
      </c>
      <c r="L129" s="122">
        <f t="shared" si="19"/>
        <v>1693715.35</v>
      </c>
      <c r="M129" s="116">
        <f t="shared" si="20"/>
        <v>1048409.3500000001</v>
      </c>
      <c r="N129" s="123">
        <f t="shared" si="21"/>
        <v>471.61914080071978</v>
      </c>
      <c r="O129" s="5"/>
      <c r="P129" s="5">
        <f t="shared" si="17"/>
        <v>1</v>
      </c>
      <c r="Q129" s="7">
        <f t="shared" si="18"/>
        <v>2223</v>
      </c>
    </row>
    <row r="130" spans="1:17">
      <c r="A130" s="23" t="s">
        <v>149</v>
      </c>
      <c r="B130" s="35" t="s">
        <v>147</v>
      </c>
      <c r="C130" s="36">
        <v>10491</v>
      </c>
      <c r="D130" s="113">
        <v>855273839</v>
      </c>
      <c r="E130" s="116">
        <f t="shared" si="28"/>
        <v>81524.52950147746</v>
      </c>
      <c r="F130" s="117">
        <v>594389452</v>
      </c>
      <c r="G130" s="117">
        <f t="shared" si="29"/>
        <v>56657.082451625203</v>
      </c>
      <c r="H130" s="7"/>
      <c r="I130" s="109">
        <v>5.4337999999999997</v>
      </c>
      <c r="J130" s="117">
        <v>3229793</v>
      </c>
      <c r="K130" s="120">
        <f t="shared" si="30"/>
        <v>307.8632160899819</v>
      </c>
      <c r="L130" s="122">
        <f t="shared" si="19"/>
        <v>5943894.5200000005</v>
      </c>
      <c r="M130" s="116">
        <f t="shared" si="20"/>
        <v>2714101.5200000005</v>
      </c>
      <c r="N130" s="123">
        <f t="shared" si="21"/>
        <v>258.70760842627016</v>
      </c>
      <c r="O130" s="5"/>
      <c r="P130" s="5">
        <f t="shared" si="17"/>
        <v>1</v>
      </c>
      <c r="Q130" s="7">
        <f t="shared" si="18"/>
        <v>10491</v>
      </c>
    </row>
    <row r="131" spans="1:17">
      <c r="A131" s="23" t="s">
        <v>150</v>
      </c>
      <c r="B131" s="35" t="s">
        <v>151</v>
      </c>
      <c r="C131" s="36">
        <v>34721</v>
      </c>
      <c r="D131" s="113">
        <v>2307794499</v>
      </c>
      <c r="E131" s="116">
        <f t="shared" si="28"/>
        <v>66466.821203306361</v>
      </c>
      <c r="F131" s="117">
        <v>1604053175</v>
      </c>
      <c r="G131" s="117">
        <f t="shared" si="29"/>
        <v>46198.357622188298</v>
      </c>
      <c r="H131" s="7"/>
      <c r="I131" s="109">
        <v>4.7157</v>
      </c>
      <c r="J131" s="117">
        <v>7564234</v>
      </c>
      <c r="K131" s="120">
        <f t="shared" si="30"/>
        <v>217.85760778779414</v>
      </c>
      <c r="L131" s="122">
        <f t="shared" si="19"/>
        <v>16040531.75</v>
      </c>
      <c r="M131" s="116">
        <f t="shared" si="20"/>
        <v>8476297.75</v>
      </c>
      <c r="N131" s="123">
        <f t="shared" si="21"/>
        <v>244.12596843408889</v>
      </c>
      <c r="O131" s="5"/>
      <c r="P131" s="5">
        <f t="shared" si="17"/>
        <v>1</v>
      </c>
      <c r="Q131" s="7">
        <f t="shared" si="18"/>
        <v>34721</v>
      </c>
    </row>
    <row r="132" spans="1:17">
      <c r="A132" s="23" t="s">
        <v>152</v>
      </c>
      <c r="B132" s="35" t="s">
        <v>151</v>
      </c>
      <c r="C132" s="36">
        <v>335709</v>
      </c>
      <c r="D132" s="113">
        <v>33031303442</v>
      </c>
      <c r="E132" s="116">
        <f t="shared" si="28"/>
        <v>98392.665796865738</v>
      </c>
      <c r="F132" s="117">
        <v>22217793836</v>
      </c>
      <c r="G132" s="117">
        <f t="shared" si="29"/>
        <v>66181.704500028296</v>
      </c>
      <c r="H132" s="7"/>
      <c r="I132" s="109">
        <v>5.7325999999999997</v>
      </c>
      <c r="J132" s="117">
        <v>127365725</v>
      </c>
      <c r="K132" s="120">
        <f t="shared" si="30"/>
        <v>379.39323938291795</v>
      </c>
      <c r="L132" s="122">
        <f t="shared" si="19"/>
        <v>222177938.36000001</v>
      </c>
      <c r="M132" s="116">
        <f t="shared" si="20"/>
        <v>94812213.360000014</v>
      </c>
      <c r="N132" s="123">
        <f t="shared" si="21"/>
        <v>282.42380561736508</v>
      </c>
      <c r="O132" s="5"/>
      <c r="P132" s="5">
        <f t="shared" si="17"/>
        <v>1</v>
      </c>
      <c r="Q132" s="7">
        <f t="shared" si="18"/>
        <v>335709</v>
      </c>
    </row>
    <row r="133" spans="1:17">
      <c r="A133" s="23" t="s">
        <v>153</v>
      </c>
      <c r="B133" s="35" t="s">
        <v>151</v>
      </c>
      <c r="C133" s="36">
        <v>24541</v>
      </c>
      <c r="D133" s="113">
        <v>1624051426</v>
      </c>
      <c r="E133" s="116">
        <f t="shared" si="28"/>
        <v>66177.068008638598</v>
      </c>
      <c r="F133" s="117">
        <v>1231566035</v>
      </c>
      <c r="G133" s="117">
        <f t="shared" si="29"/>
        <v>50184.020007334664</v>
      </c>
      <c r="H133" s="9"/>
      <c r="I133" s="109">
        <v>5.95</v>
      </c>
      <c r="J133" s="117">
        <v>7327818</v>
      </c>
      <c r="K133" s="120">
        <f t="shared" si="30"/>
        <v>298.59492278228271</v>
      </c>
      <c r="L133" s="122">
        <f t="shared" si="19"/>
        <v>12315660.35</v>
      </c>
      <c r="M133" s="116">
        <f t="shared" si="20"/>
        <v>4987842.3499999996</v>
      </c>
      <c r="N133" s="123">
        <f t="shared" si="21"/>
        <v>203.24527729106393</v>
      </c>
      <c r="O133" s="5"/>
      <c r="P133" s="5">
        <f t="shared" si="17"/>
        <v>1</v>
      </c>
      <c r="Q133" s="7">
        <f t="shared" si="18"/>
        <v>24541</v>
      </c>
    </row>
    <row r="134" spans="1:17">
      <c r="A134" s="23" t="s">
        <v>154</v>
      </c>
      <c r="B134" s="35" t="s">
        <v>155</v>
      </c>
      <c r="C134" s="36">
        <v>2793</v>
      </c>
      <c r="D134" s="114" t="s">
        <v>564</v>
      </c>
      <c r="E134" s="116"/>
      <c r="F134" s="117"/>
      <c r="G134" s="117"/>
      <c r="H134" s="9" t="s">
        <v>528</v>
      </c>
      <c r="I134" s="109"/>
      <c r="J134" s="117"/>
      <c r="K134" s="120"/>
      <c r="L134" s="122">
        <f t="shared" si="19"/>
        <v>0</v>
      </c>
      <c r="M134" s="116">
        <f t="shared" si="20"/>
        <v>0</v>
      </c>
      <c r="N134" s="123">
        <f t="shared" si="21"/>
        <v>0</v>
      </c>
      <c r="O134" s="5"/>
      <c r="P134" s="5">
        <f t="shared" ref="P134:P197" si="31">IF(I134&gt;0,1,0)</f>
        <v>0</v>
      </c>
      <c r="Q134" s="7">
        <f t="shared" ref="Q134:Q197" si="32">IF(I134&gt;0,C134,0)</f>
        <v>0</v>
      </c>
    </row>
    <row r="135" spans="1:17">
      <c r="A135" s="23" t="s">
        <v>156</v>
      </c>
      <c r="B135" s="35" t="s">
        <v>155</v>
      </c>
      <c r="C135" s="36">
        <v>364</v>
      </c>
      <c r="D135" s="113">
        <v>11413376</v>
      </c>
      <c r="E135" s="116">
        <f t="shared" si="28"/>
        <v>31355.428571428572</v>
      </c>
      <c r="F135" s="117">
        <v>4735879</v>
      </c>
      <c r="G135" s="117">
        <f t="shared" si="29"/>
        <v>13010.656593406593</v>
      </c>
      <c r="H135" s="7"/>
      <c r="I135" s="111">
        <v>5.0839999999999996</v>
      </c>
      <c r="J135" s="117">
        <v>24077</v>
      </c>
      <c r="K135" s="120">
        <f>(J135/C135)</f>
        <v>66.145604395604394</v>
      </c>
      <c r="L135" s="122">
        <f t="shared" si="19"/>
        <v>47358.79</v>
      </c>
      <c r="M135" s="116">
        <f t="shared" si="20"/>
        <v>23281.79</v>
      </c>
      <c r="N135" s="123">
        <f t="shared" si="21"/>
        <v>63.96096153846154</v>
      </c>
      <c r="O135" s="5"/>
      <c r="P135" s="5">
        <f t="shared" si="31"/>
        <v>1</v>
      </c>
      <c r="Q135" s="7">
        <f t="shared" si="32"/>
        <v>364</v>
      </c>
    </row>
    <row r="136" spans="1:17">
      <c r="A136" s="23" t="s">
        <v>157</v>
      </c>
      <c r="B136" s="35" t="s">
        <v>155</v>
      </c>
      <c r="C136" s="36">
        <v>211</v>
      </c>
      <c r="D136" s="113">
        <v>4405801</v>
      </c>
      <c r="E136" s="116">
        <f t="shared" si="28"/>
        <v>20880.573459715641</v>
      </c>
      <c r="F136" s="117">
        <v>1682302</v>
      </c>
      <c r="G136" s="117">
        <f t="shared" si="29"/>
        <v>7972.995260663507</v>
      </c>
      <c r="H136" s="9"/>
      <c r="I136" s="109">
        <v>1.08</v>
      </c>
      <c r="J136" s="117">
        <v>1817</v>
      </c>
      <c r="K136" s="120">
        <f>(J136/C136)</f>
        <v>8.6113744075829377</v>
      </c>
      <c r="L136" s="122">
        <f t="shared" ref="L136:L199" si="33">(F136*0.01)</f>
        <v>16823.02</v>
      </c>
      <c r="M136" s="116">
        <f t="shared" ref="M136:M199" si="34">(L136-J136)</f>
        <v>15006.02</v>
      </c>
      <c r="N136" s="123">
        <f t="shared" ref="N136:N199" si="35">(M136/C136)</f>
        <v>71.118578199052138</v>
      </c>
      <c r="O136" s="5"/>
      <c r="P136" s="5">
        <f t="shared" si="31"/>
        <v>1</v>
      </c>
      <c r="Q136" s="7">
        <f t="shared" si="32"/>
        <v>211</v>
      </c>
    </row>
    <row r="137" spans="1:17">
      <c r="A137" s="23" t="s">
        <v>158</v>
      </c>
      <c r="B137" s="35" t="s">
        <v>155</v>
      </c>
      <c r="C137" s="36">
        <v>598</v>
      </c>
      <c r="D137" s="114" t="s">
        <v>564</v>
      </c>
      <c r="E137" s="116"/>
      <c r="F137" s="117"/>
      <c r="G137" s="117"/>
      <c r="H137" s="9" t="s">
        <v>528</v>
      </c>
      <c r="I137" s="109"/>
      <c r="J137" s="117"/>
      <c r="K137" s="120"/>
      <c r="L137" s="122">
        <f t="shared" si="33"/>
        <v>0</v>
      </c>
      <c r="M137" s="116">
        <f t="shared" si="34"/>
        <v>0</v>
      </c>
      <c r="N137" s="123">
        <f t="shared" si="35"/>
        <v>0</v>
      </c>
      <c r="O137" s="5"/>
      <c r="P137" s="5">
        <f t="shared" si="31"/>
        <v>0</v>
      </c>
      <c r="Q137" s="7">
        <f t="shared" si="32"/>
        <v>0</v>
      </c>
    </row>
    <row r="138" spans="1:17">
      <c r="A138" s="23" t="s">
        <v>159</v>
      </c>
      <c r="B138" s="35" t="s">
        <v>155</v>
      </c>
      <c r="C138" s="36">
        <v>289</v>
      </c>
      <c r="D138" s="114" t="s">
        <v>564</v>
      </c>
      <c r="E138" s="116"/>
      <c r="F138" s="117"/>
      <c r="G138" s="117"/>
      <c r="H138" s="9" t="s">
        <v>528</v>
      </c>
      <c r="I138" s="110"/>
      <c r="J138" s="117"/>
      <c r="K138" s="120"/>
      <c r="L138" s="122">
        <f t="shared" si="33"/>
        <v>0</v>
      </c>
      <c r="M138" s="116">
        <f t="shared" si="34"/>
        <v>0</v>
      </c>
      <c r="N138" s="123">
        <f t="shared" si="35"/>
        <v>0</v>
      </c>
      <c r="O138" s="5"/>
      <c r="P138" s="5">
        <f t="shared" si="31"/>
        <v>0</v>
      </c>
      <c r="Q138" s="7">
        <f t="shared" si="32"/>
        <v>0</v>
      </c>
    </row>
    <row r="139" spans="1:17">
      <c r="A139" s="23" t="s">
        <v>160</v>
      </c>
      <c r="B139" s="35" t="s">
        <v>161</v>
      </c>
      <c r="C139" s="36">
        <v>5197</v>
      </c>
      <c r="D139" s="113">
        <v>290385461</v>
      </c>
      <c r="E139" s="116">
        <f t="shared" si="28"/>
        <v>55875.593804117758</v>
      </c>
      <c r="F139" s="117">
        <v>115712211</v>
      </c>
      <c r="G139" s="117">
        <f t="shared" si="29"/>
        <v>22265.193573215318</v>
      </c>
      <c r="H139" s="7"/>
      <c r="I139" s="110">
        <v>4.43</v>
      </c>
      <c r="J139" s="117">
        <v>512605</v>
      </c>
      <c r="K139" s="120">
        <f t="shared" ref="K139:K144" si="36">(J139/C139)</f>
        <v>98.634789301520101</v>
      </c>
      <c r="L139" s="122">
        <f t="shared" si="33"/>
        <v>1157122.1100000001</v>
      </c>
      <c r="M139" s="116">
        <f t="shared" si="34"/>
        <v>644517.1100000001</v>
      </c>
      <c r="N139" s="123">
        <f t="shared" si="35"/>
        <v>124.01714643063308</v>
      </c>
      <c r="O139" s="5"/>
      <c r="P139" s="5">
        <f t="shared" si="31"/>
        <v>1</v>
      </c>
      <c r="Q139" s="7">
        <f t="shared" si="32"/>
        <v>5197</v>
      </c>
    </row>
    <row r="140" spans="1:17">
      <c r="A140" s="23" t="s">
        <v>162</v>
      </c>
      <c r="B140" s="35" t="s">
        <v>161</v>
      </c>
      <c r="C140" s="36">
        <v>3901</v>
      </c>
      <c r="D140" s="113">
        <v>2963129569</v>
      </c>
      <c r="E140" s="116">
        <f t="shared" si="28"/>
        <v>759582.04793642659</v>
      </c>
      <c r="F140" s="117">
        <v>2505058154</v>
      </c>
      <c r="G140" s="117">
        <f t="shared" si="29"/>
        <v>642157.94770571648</v>
      </c>
      <c r="H140" s="7"/>
      <c r="I140" s="109">
        <v>1.4105000000000001</v>
      </c>
      <c r="J140" s="117">
        <v>3533385</v>
      </c>
      <c r="K140" s="120">
        <f t="shared" si="36"/>
        <v>905.76390669059219</v>
      </c>
      <c r="L140" s="122">
        <f t="shared" si="33"/>
        <v>25050581.539999999</v>
      </c>
      <c r="M140" s="116">
        <f t="shared" si="34"/>
        <v>21517196.539999999</v>
      </c>
      <c r="N140" s="123">
        <f t="shared" si="35"/>
        <v>5515.8155703665725</v>
      </c>
      <c r="O140" s="5"/>
      <c r="P140" s="5">
        <f t="shared" si="31"/>
        <v>1</v>
      </c>
      <c r="Q140" s="7">
        <f t="shared" si="32"/>
        <v>3901</v>
      </c>
    </row>
    <row r="141" spans="1:17">
      <c r="A141" s="23" t="s">
        <v>163</v>
      </c>
      <c r="B141" s="35" t="s">
        <v>161</v>
      </c>
      <c r="C141" s="36">
        <v>415</v>
      </c>
      <c r="D141" s="113">
        <v>480308531</v>
      </c>
      <c r="E141" s="116">
        <f t="shared" si="28"/>
        <v>1157369.9542168675</v>
      </c>
      <c r="F141" s="117">
        <v>457078838</v>
      </c>
      <c r="G141" s="117">
        <f t="shared" si="29"/>
        <v>1101394.7903614459</v>
      </c>
      <c r="H141" s="7"/>
      <c r="I141" s="109">
        <v>4.55</v>
      </c>
      <c r="J141" s="117">
        <v>2079709</v>
      </c>
      <c r="K141" s="120">
        <f t="shared" si="36"/>
        <v>5011.346987951807</v>
      </c>
      <c r="L141" s="122">
        <f t="shared" si="33"/>
        <v>4570788.38</v>
      </c>
      <c r="M141" s="116">
        <f t="shared" si="34"/>
        <v>2491079.38</v>
      </c>
      <c r="N141" s="123">
        <f t="shared" si="35"/>
        <v>6002.6009156626506</v>
      </c>
      <c r="O141" s="5"/>
      <c r="P141" s="5">
        <f t="shared" si="31"/>
        <v>1</v>
      </c>
      <c r="Q141" s="7">
        <f t="shared" si="32"/>
        <v>415</v>
      </c>
    </row>
    <row r="142" spans="1:17">
      <c r="A142" s="23" t="s">
        <v>164</v>
      </c>
      <c r="B142" s="35" t="s">
        <v>161</v>
      </c>
      <c r="C142" s="36">
        <v>21929</v>
      </c>
      <c r="D142" s="113">
        <v>1471939466</v>
      </c>
      <c r="E142" s="116">
        <f t="shared" si="28"/>
        <v>67122.963473026583</v>
      </c>
      <c r="F142" s="117">
        <v>986748734</v>
      </c>
      <c r="G142" s="117">
        <f t="shared" si="29"/>
        <v>44997.434173924943</v>
      </c>
      <c r="H142" s="7"/>
      <c r="I142" s="109">
        <v>3.3041</v>
      </c>
      <c r="J142" s="117">
        <v>3260316</v>
      </c>
      <c r="K142" s="120">
        <f t="shared" si="36"/>
        <v>148.67599981759315</v>
      </c>
      <c r="L142" s="122">
        <f t="shared" si="33"/>
        <v>9867487.3399999999</v>
      </c>
      <c r="M142" s="116">
        <f t="shared" si="34"/>
        <v>6607171.3399999999</v>
      </c>
      <c r="N142" s="123">
        <f t="shared" si="35"/>
        <v>301.29834192165623</v>
      </c>
      <c r="O142" s="5"/>
      <c r="P142" s="5">
        <f t="shared" si="31"/>
        <v>1</v>
      </c>
      <c r="Q142" s="7">
        <f t="shared" si="32"/>
        <v>21929</v>
      </c>
    </row>
    <row r="143" spans="1:17">
      <c r="A143" s="23" t="s">
        <v>165</v>
      </c>
      <c r="B143" s="35" t="s">
        <v>161</v>
      </c>
      <c r="C143" s="36">
        <v>15220</v>
      </c>
      <c r="D143" s="113">
        <v>3050744715</v>
      </c>
      <c r="E143" s="116">
        <f t="shared" si="28"/>
        <v>200443.14816031538</v>
      </c>
      <c r="F143" s="117">
        <v>2257030379</v>
      </c>
      <c r="G143" s="117">
        <f t="shared" si="29"/>
        <v>148293.71741130092</v>
      </c>
      <c r="H143" s="7"/>
      <c r="I143" s="109">
        <v>1.9367000000000001</v>
      </c>
      <c r="J143" s="117">
        <v>4371191</v>
      </c>
      <c r="K143" s="120">
        <f t="shared" si="36"/>
        <v>287.20045992115638</v>
      </c>
      <c r="L143" s="122">
        <f t="shared" si="33"/>
        <v>22570303.789999999</v>
      </c>
      <c r="M143" s="116">
        <f t="shared" si="34"/>
        <v>18199112.789999999</v>
      </c>
      <c r="N143" s="123">
        <f t="shared" si="35"/>
        <v>1195.7367141918528</v>
      </c>
      <c r="O143" s="5"/>
      <c r="P143" s="5">
        <f t="shared" si="31"/>
        <v>1</v>
      </c>
      <c r="Q143" s="7">
        <f t="shared" si="32"/>
        <v>15220</v>
      </c>
    </row>
    <row r="144" spans="1:17">
      <c r="A144" s="23" t="s">
        <v>166</v>
      </c>
      <c r="B144" s="35" t="s">
        <v>167</v>
      </c>
      <c r="C144" s="36">
        <v>489</v>
      </c>
      <c r="D144" s="113">
        <v>14285041</v>
      </c>
      <c r="E144" s="116">
        <f t="shared" si="28"/>
        <v>29212.762781186095</v>
      </c>
      <c r="F144" s="117">
        <v>7989212</v>
      </c>
      <c r="G144" s="117">
        <f t="shared" si="29"/>
        <v>16337.856850715747</v>
      </c>
      <c r="H144" s="9"/>
      <c r="I144" s="109">
        <v>1.37</v>
      </c>
      <c r="J144" s="117">
        <v>10945</v>
      </c>
      <c r="K144" s="120">
        <f t="shared" si="36"/>
        <v>22.382413087934559</v>
      </c>
      <c r="L144" s="122">
        <f t="shared" si="33"/>
        <v>79892.12</v>
      </c>
      <c r="M144" s="116">
        <f t="shared" si="34"/>
        <v>68947.12</v>
      </c>
      <c r="N144" s="123">
        <f t="shared" si="35"/>
        <v>140.9961554192229</v>
      </c>
      <c r="O144" s="5"/>
      <c r="P144" s="5">
        <f t="shared" si="31"/>
        <v>1</v>
      </c>
      <c r="Q144" s="7">
        <f t="shared" si="32"/>
        <v>489</v>
      </c>
    </row>
    <row r="145" spans="1:17">
      <c r="A145" s="23" t="s">
        <v>168</v>
      </c>
      <c r="B145" s="35" t="s">
        <v>167</v>
      </c>
      <c r="C145" s="36">
        <v>121</v>
      </c>
      <c r="D145" s="114" t="s">
        <v>564</v>
      </c>
      <c r="E145" s="116"/>
      <c r="F145" s="117"/>
      <c r="G145" s="117"/>
      <c r="H145" s="9" t="s">
        <v>528</v>
      </c>
      <c r="I145" s="109"/>
      <c r="J145" s="117"/>
      <c r="K145" s="120"/>
      <c r="L145" s="122">
        <f t="shared" si="33"/>
        <v>0</v>
      </c>
      <c r="M145" s="116">
        <f t="shared" si="34"/>
        <v>0</v>
      </c>
      <c r="N145" s="123">
        <f t="shared" si="35"/>
        <v>0</v>
      </c>
      <c r="O145" s="5"/>
      <c r="P145" s="5">
        <f t="shared" si="31"/>
        <v>0</v>
      </c>
      <c r="Q145" s="7">
        <f t="shared" si="32"/>
        <v>0</v>
      </c>
    </row>
    <row r="146" spans="1:17">
      <c r="A146" s="23" t="s">
        <v>169</v>
      </c>
      <c r="B146" s="35" t="s">
        <v>167</v>
      </c>
      <c r="C146" s="36">
        <v>230</v>
      </c>
      <c r="D146" s="113">
        <v>13852291</v>
      </c>
      <c r="E146" s="116">
        <f t="shared" si="28"/>
        <v>60227.352173913045</v>
      </c>
      <c r="F146" s="117">
        <v>8064908</v>
      </c>
      <c r="G146" s="117">
        <f t="shared" si="29"/>
        <v>35064.81739130435</v>
      </c>
      <c r="H146" s="7"/>
      <c r="I146" s="111">
        <v>2</v>
      </c>
      <c r="J146" s="117">
        <v>16130</v>
      </c>
      <c r="K146" s="120">
        <f t="shared" ref="K146:K151" si="37">(J146/C146)</f>
        <v>70.130434782608702</v>
      </c>
      <c r="L146" s="122">
        <f t="shared" si="33"/>
        <v>80649.08</v>
      </c>
      <c r="M146" s="116">
        <f t="shared" si="34"/>
        <v>64519.08</v>
      </c>
      <c r="N146" s="123">
        <f t="shared" si="35"/>
        <v>280.51773913043479</v>
      </c>
      <c r="O146" s="5"/>
      <c r="P146" s="5">
        <f t="shared" si="31"/>
        <v>1</v>
      </c>
      <c r="Q146" s="7">
        <f t="shared" si="32"/>
        <v>230</v>
      </c>
    </row>
    <row r="147" spans="1:17">
      <c r="A147" s="23" t="s">
        <v>170</v>
      </c>
      <c r="B147" s="35" t="s">
        <v>167</v>
      </c>
      <c r="C147" s="36">
        <v>933</v>
      </c>
      <c r="D147" s="113">
        <v>31924473</v>
      </c>
      <c r="E147" s="116">
        <f t="shared" si="28"/>
        <v>34217.012861736337</v>
      </c>
      <c r="F147" s="117">
        <v>16729569</v>
      </c>
      <c r="G147" s="117">
        <f t="shared" si="29"/>
        <v>17930.942122186494</v>
      </c>
      <c r="H147" s="7"/>
      <c r="I147" s="109">
        <v>3.53</v>
      </c>
      <c r="J147" s="117">
        <v>59055</v>
      </c>
      <c r="K147" s="120">
        <f t="shared" si="37"/>
        <v>63.29581993569132</v>
      </c>
      <c r="L147" s="122">
        <f t="shared" si="33"/>
        <v>167295.69</v>
      </c>
      <c r="M147" s="116">
        <f t="shared" si="34"/>
        <v>108240.69</v>
      </c>
      <c r="N147" s="123">
        <f t="shared" si="35"/>
        <v>116.01360128617364</v>
      </c>
      <c r="O147" s="5"/>
      <c r="P147" s="5">
        <f t="shared" si="31"/>
        <v>1</v>
      </c>
      <c r="Q147" s="7">
        <f t="shared" si="32"/>
        <v>933</v>
      </c>
    </row>
    <row r="148" spans="1:17">
      <c r="A148" s="23" t="s">
        <v>171</v>
      </c>
      <c r="B148" s="35" t="s">
        <v>167</v>
      </c>
      <c r="C148" s="36">
        <v>2278</v>
      </c>
      <c r="D148" s="113">
        <v>117147197</v>
      </c>
      <c r="E148" s="116">
        <f t="shared" si="28"/>
        <v>51425.459613696228</v>
      </c>
      <c r="F148" s="117">
        <v>68865101</v>
      </c>
      <c r="G148" s="117">
        <f t="shared" si="29"/>
        <v>30230.509657594383</v>
      </c>
      <c r="H148" s="9"/>
      <c r="I148" s="109">
        <v>4</v>
      </c>
      <c r="J148" s="117">
        <v>275460</v>
      </c>
      <c r="K148" s="120">
        <f t="shared" si="37"/>
        <v>120.92186128182617</v>
      </c>
      <c r="L148" s="122">
        <f t="shared" si="33"/>
        <v>688651.01</v>
      </c>
      <c r="M148" s="116">
        <f t="shared" si="34"/>
        <v>413191.01</v>
      </c>
      <c r="N148" s="123">
        <f t="shared" si="35"/>
        <v>181.38323529411764</v>
      </c>
      <c r="O148" s="5"/>
      <c r="P148" s="5">
        <f t="shared" si="31"/>
        <v>1</v>
      </c>
      <c r="Q148" s="7">
        <f t="shared" si="32"/>
        <v>2278</v>
      </c>
    </row>
    <row r="149" spans="1:17">
      <c r="A149" s="23" t="s">
        <v>172</v>
      </c>
      <c r="B149" s="35" t="s">
        <v>167</v>
      </c>
      <c r="C149" s="36">
        <v>892</v>
      </c>
      <c r="D149" s="114" t="s">
        <v>564</v>
      </c>
      <c r="E149" s="116"/>
      <c r="F149" s="117"/>
      <c r="G149" s="117"/>
      <c r="H149" s="9" t="s">
        <v>528</v>
      </c>
      <c r="I149" s="109"/>
      <c r="J149" s="117"/>
      <c r="K149" s="120"/>
      <c r="L149" s="122">
        <f t="shared" si="33"/>
        <v>0</v>
      </c>
      <c r="M149" s="116">
        <f t="shared" si="34"/>
        <v>0</v>
      </c>
      <c r="N149" s="123">
        <f t="shared" si="35"/>
        <v>0</v>
      </c>
      <c r="O149" s="5"/>
      <c r="P149" s="5">
        <f t="shared" si="31"/>
        <v>0</v>
      </c>
      <c r="Q149" s="7">
        <f t="shared" si="32"/>
        <v>0</v>
      </c>
    </row>
    <row r="150" spans="1:17">
      <c r="A150" s="23" t="s">
        <v>173</v>
      </c>
      <c r="B150" s="35" t="s">
        <v>167</v>
      </c>
      <c r="C150" s="36">
        <v>686</v>
      </c>
      <c r="D150" s="113">
        <v>24872445</v>
      </c>
      <c r="E150" s="116">
        <f t="shared" si="28"/>
        <v>36257.208454810498</v>
      </c>
      <c r="F150" s="117">
        <v>12681236</v>
      </c>
      <c r="G150" s="117">
        <f t="shared" si="29"/>
        <v>18485.766763848398</v>
      </c>
      <c r="H150" s="7"/>
      <c r="I150" s="110">
        <v>1</v>
      </c>
      <c r="J150" s="117">
        <v>12681</v>
      </c>
      <c r="K150" s="120">
        <f t="shared" si="37"/>
        <v>18.485422740524783</v>
      </c>
      <c r="L150" s="122">
        <f t="shared" si="33"/>
        <v>126812.36</v>
      </c>
      <c r="M150" s="116">
        <f t="shared" si="34"/>
        <v>114131.36</v>
      </c>
      <c r="N150" s="123">
        <f t="shared" si="35"/>
        <v>166.37224489795918</v>
      </c>
      <c r="O150" s="5"/>
      <c r="P150" s="5">
        <f t="shared" si="31"/>
        <v>1</v>
      </c>
      <c r="Q150" s="7">
        <f t="shared" si="32"/>
        <v>686</v>
      </c>
    </row>
    <row r="151" spans="1:17">
      <c r="A151" s="23" t="s">
        <v>508</v>
      </c>
      <c r="B151" s="35" t="s">
        <v>167</v>
      </c>
      <c r="C151" s="36">
        <v>250</v>
      </c>
      <c r="D151" s="113">
        <v>7231299</v>
      </c>
      <c r="E151" s="116">
        <f t="shared" si="28"/>
        <v>28925.196</v>
      </c>
      <c r="F151" s="117">
        <v>3598384</v>
      </c>
      <c r="G151" s="117">
        <f t="shared" si="29"/>
        <v>14393.536</v>
      </c>
      <c r="H151" s="9"/>
      <c r="I151" s="109">
        <v>3</v>
      </c>
      <c r="J151" s="117">
        <v>10795</v>
      </c>
      <c r="K151" s="120">
        <f t="shared" si="37"/>
        <v>43.18</v>
      </c>
      <c r="L151" s="122">
        <f t="shared" si="33"/>
        <v>35983.840000000004</v>
      </c>
      <c r="M151" s="116">
        <f t="shared" si="34"/>
        <v>25188.840000000004</v>
      </c>
      <c r="N151" s="123">
        <f t="shared" si="35"/>
        <v>100.75536000000001</v>
      </c>
      <c r="O151" s="5"/>
      <c r="P151" s="5">
        <f t="shared" si="31"/>
        <v>1</v>
      </c>
      <c r="Q151" s="7">
        <f t="shared" si="32"/>
        <v>250</v>
      </c>
    </row>
    <row r="152" spans="1:17">
      <c r="A152" s="23" t="s">
        <v>175</v>
      </c>
      <c r="B152" s="35" t="s">
        <v>167</v>
      </c>
      <c r="C152" s="36">
        <v>2088</v>
      </c>
      <c r="D152" s="114" t="s">
        <v>564</v>
      </c>
      <c r="E152" s="116"/>
      <c r="F152" s="117"/>
      <c r="G152" s="117"/>
      <c r="H152" s="9" t="s">
        <v>528</v>
      </c>
      <c r="I152" s="109"/>
      <c r="J152" s="117"/>
      <c r="K152" s="120"/>
      <c r="L152" s="122">
        <f t="shared" si="33"/>
        <v>0</v>
      </c>
      <c r="M152" s="116">
        <f t="shared" si="34"/>
        <v>0</v>
      </c>
      <c r="N152" s="123">
        <f t="shared" si="35"/>
        <v>0</v>
      </c>
      <c r="O152" s="5"/>
      <c r="P152" s="5">
        <f t="shared" si="31"/>
        <v>0</v>
      </c>
      <c r="Q152" s="7">
        <f t="shared" si="32"/>
        <v>0</v>
      </c>
    </row>
    <row r="153" spans="1:17">
      <c r="A153" s="23" t="s">
        <v>176</v>
      </c>
      <c r="B153" s="35" t="s">
        <v>167</v>
      </c>
      <c r="C153" s="36">
        <v>6102</v>
      </c>
      <c r="D153" s="113">
        <v>398375047</v>
      </c>
      <c r="E153" s="116">
        <f t="shared" si="28"/>
        <v>65285.979514913146</v>
      </c>
      <c r="F153" s="117">
        <v>231856710</v>
      </c>
      <c r="G153" s="117">
        <f t="shared" si="29"/>
        <v>37996.838741396263</v>
      </c>
      <c r="H153" s="7"/>
      <c r="I153" s="110">
        <v>2.952</v>
      </c>
      <c r="J153" s="117">
        <v>684441</v>
      </c>
      <c r="K153" s="120">
        <f t="shared" ref="K153:K197" si="38">(J153/C153)</f>
        <v>112.16666666666667</v>
      </c>
      <c r="L153" s="122">
        <f t="shared" si="33"/>
        <v>2318567.1</v>
      </c>
      <c r="M153" s="116">
        <f t="shared" si="34"/>
        <v>1634126.1</v>
      </c>
      <c r="N153" s="123">
        <f t="shared" si="35"/>
        <v>267.80172074729597</v>
      </c>
      <c r="O153" s="5"/>
      <c r="P153" s="5">
        <f t="shared" si="31"/>
        <v>1</v>
      </c>
      <c r="Q153" s="7">
        <f t="shared" si="32"/>
        <v>6102</v>
      </c>
    </row>
    <row r="154" spans="1:17">
      <c r="A154" s="23" t="s">
        <v>177</v>
      </c>
      <c r="B154" s="35" t="s">
        <v>167</v>
      </c>
      <c r="C154" s="36">
        <v>1849</v>
      </c>
      <c r="D154" s="113">
        <v>65299808</v>
      </c>
      <c r="E154" s="116">
        <f t="shared" si="28"/>
        <v>35316.283396430503</v>
      </c>
      <c r="F154" s="117">
        <v>33622430</v>
      </c>
      <c r="G154" s="117">
        <f t="shared" si="29"/>
        <v>18184.115738236884</v>
      </c>
      <c r="H154" s="7"/>
      <c r="I154" s="109">
        <v>0.54720000000000002</v>
      </c>
      <c r="J154" s="117">
        <v>18398</v>
      </c>
      <c r="K154" s="120">
        <f t="shared" si="38"/>
        <v>9.9502433747971875</v>
      </c>
      <c r="L154" s="122">
        <f t="shared" si="33"/>
        <v>336224.3</v>
      </c>
      <c r="M154" s="116">
        <f t="shared" si="34"/>
        <v>317826.3</v>
      </c>
      <c r="N154" s="123">
        <f t="shared" si="35"/>
        <v>171.89091400757167</v>
      </c>
      <c r="O154" s="5"/>
      <c r="P154" s="5">
        <f t="shared" si="31"/>
        <v>1</v>
      </c>
      <c r="Q154" s="7">
        <f t="shared" si="32"/>
        <v>1849</v>
      </c>
    </row>
    <row r="155" spans="1:17">
      <c r="A155" s="23" t="s">
        <v>178</v>
      </c>
      <c r="B155" s="35" t="s">
        <v>179</v>
      </c>
      <c r="C155" s="36">
        <v>2506</v>
      </c>
      <c r="D155" s="113">
        <v>159891295</v>
      </c>
      <c r="E155" s="116">
        <f t="shared" si="28"/>
        <v>63803.389864325618</v>
      </c>
      <c r="F155" s="117">
        <v>89914621</v>
      </c>
      <c r="G155" s="117">
        <f t="shared" si="29"/>
        <v>35879.737031125296</v>
      </c>
      <c r="H155" s="7"/>
      <c r="I155" s="109">
        <v>6.1</v>
      </c>
      <c r="J155" s="117">
        <v>548479</v>
      </c>
      <c r="K155" s="120">
        <f t="shared" si="38"/>
        <v>218.86632083000799</v>
      </c>
      <c r="L155" s="122">
        <f t="shared" si="33"/>
        <v>899146.21</v>
      </c>
      <c r="M155" s="116">
        <f t="shared" si="34"/>
        <v>350667.20999999996</v>
      </c>
      <c r="N155" s="123">
        <f t="shared" si="35"/>
        <v>139.931049481245</v>
      </c>
      <c r="O155" s="5"/>
      <c r="P155" s="5">
        <f t="shared" si="31"/>
        <v>1</v>
      </c>
      <c r="Q155" s="7">
        <f t="shared" si="32"/>
        <v>2506</v>
      </c>
    </row>
    <row r="156" spans="1:17">
      <c r="A156" s="23" t="s">
        <v>180</v>
      </c>
      <c r="B156" s="35" t="s">
        <v>181</v>
      </c>
      <c r="C156" s="36">
        <v>1237</v>
      </c>
      <c r="D156" s="113">
        <v>45732889</v>
      </c>
      <c r="E156" s="116">
        <f t="shared" si="28"/>
        <v>36970.807599029911</v>
      </c>
      <c r="F156" s="117">
        <v>23103699</v>
      </c>
      <c r="G156" s="117">
        <f t="shared" si="29"/>
        <v>18677.202101859337</v>
      </c>
      <c r="H156" s="7"/>
      <c r="I156" s="109">
        <v>6</v>
      </c>
      <c r="J156" s="117">
        <v>138622</v>
      </c>
      <c r="K156" s="120">
        <f t="shared" si="38"/>
        <v>112.06305578011317</v>
      </c>
      <c r="L156" s="122">
        <f t="shared" si="33"/>
        <v>231036.99</v>
      </c>
      <c r="M156" s="116">
        <f t="shared" si="34"/>
        <v>92414.989999999991</v>
      </c>
      <c r="N156" s="123">
        <f t="shared" si="35"/>
        <v>74.708965238480189</v>
      </c>
      <c r="O156" s="5"/>
      <c r="P156" s="5">
        <f t="shared" si="31"/>
        <v>1</v>
      </c>
      <c r="Q156" s="7">
        <f t="shared" si="32"/>
        <v>1237</v>
      </c>
    </row>
    <row r="157" spans="1:17">
      <c r="A157" s="23" t="s">
        <v>182</v>
      </c>
      <c r="B157" s="35" t="s">
        <v>183</v>
      </c>
      <c r="C157" s="36">
        <v>1810</v>
      </c>
      <c r="D157" s="113">
        <v>80183036</v>
      </c>
      <c r="E157" s="116">
        <f t="shared" si="28"/>
        <v>44300.019889502764</v>
      </c>
      <c r="F157" s="113">
        <v>55200614</v>
      </c>
      <c r="G157" s="117">
        <f t="shared" si="29"/>
        <v>30497.576795580109</v>
      </c>
      <c r="H157" s="7"/>
      <c r="I157" s="109">
        <v>4.8499999999999996</v>
      </c>
      <c r="J157" s="117">
        <v>267723</v>
      </c>
      <c r="K157" s="120">
        <f t="shared" si="38"/>
        <v>147.91325966850829</v>
      </c>
      <c r="L157" s="122">
        <f t="shared" si="33"/>
        <v>552006.14</v>
      </c>
      <c r="M157" s="116">
        <f t="shared" si="34"/>
        <v>284283.14</v>
      </c>
      <c r="N157" s="123">
        <f t="shared" si="35"/>
        <v>157.06250828729281</v>
      </c>
      <c r="O157" s="5"/>
      <c r="P157" s="5">
        <f t="shared" si="31"/>
        <v>1</v>
      </c>
      <c r="Q157" s="7">
        <f t="shared" si="32"/>
        <v>1810</v>
      </c>
    </row>
    <row r="158" spans="1:17">
      <c r="A158" s="23" t="s">
        <v>184</v>
      </c>
      <c r="B158" s="35" t="s">
        <v>183</v>
      </c>
      <c r="C158" s="36">
        <v>28742</v>
      </c>
      <c r="D158" s="113">
        <v>2540296320</v>
      </c>
      <c r="E158" s="116">
        <f t="shared" si="28"/>
        <v>88382.72632384664</v>
      </c>
      <c r="F158" s="117">
        <v>1909837041</v>
      </c>
      <c r="G158" s="117">
        <f t="shared" si="29"/>
        <v>66447.604237700929</v>
      </c>
      <c r="H158" s="7"/>
      <c r="I158" s="109">
        <v>3.1419999999999999</v>
      </c>
      <c r="J158" s="117">
        <v>6000708</v>
      </c>
      <c r="K158" s="120">
        <f t="shared" si="38"/>
        <v>208.77837311251827</v>
      </c>
      <c r="L158" s="122">
        <f t="shared" si="33"/>
        <v>19098370.41</v>
      </c>
      <c r="M158" s="116">
        <f t="shared" si="34"/>
        <v>13097662.41</v>
      </c>
      <c r="N158" s="123">
        <f t="shared" si="35"/>
        <v>455.69766926449097</v>
      </c>
      <c r="O158" s="5"/>
      <c r="P158" s="5">
        <f t="shared" si="31"/>
        <v>1</v>
      </c>
      <c r="Q158" s="7">
        <f t="shared" si="32"/>
        <v>28742</v>
      </c>
    </row>
    <row r="159" spans="1:17">
      <c r="A159" s="23" t="s">
        <v>185</v>
      </c>
      <c r="B159" s="35" t="s">
        <v>183</v>
      </c>
      <c r="C159" s="36">
        <v>18558</v>
      </c>
      <c r="D159" s="113">
        <v>1225470432</v>
      </c>
      <c r="E159" s="116">
        <f t="shared" ref="E159:E222" si="39">(D159/C159)</f>
        <v>66034.617523440029</v>
      </c>
      <c r="F159" s="117">
        <v>849763765</v>
      </c>
      <c r="G159" s="117">
        <f t="shared" ref="G159:G222" si="40">(F159/C159)</f>
        <v>45789.619840500054</v>
      </c>
      <c r="H159" s="7"/>
      <c r="I159" s="109">
        <v>5.6848999999999998</v>
      </c>
      <c r="J159" s="117">
        <v>4830822</v>
      </c>
      <c r="K159" s="120">
        <f t="shared" si="38"/>
        <v>260.30940834141609</v>
      </c>
      <c r="L159" s="122">
        <f t="shared" si="33"/>
        <v>8497637.6500000004</v>
      </c>
      <c r="M159" s="116">
        <f t="shared" si="34"/>
        <v>3666815.6500000004</v>
      </c>
      <c r="N159" s="123">
        <f t="shared" si="35"/>
        <v>197.58679006358446</v>
      </c>
      <c r="O159" s="5"/>
      <c r="P159" s="5">
        <f t="shared" si="31"/>
        <v>1</v>
      </c>
      <c r="Q159" s="7">
        <f t="shared" si="32"/>
        <v>18558</v>
      </c>
    </row>
    <row r="160" spans="1:17">
      <c r="A160" s="23" t="s">
        <v>186</v>
      </c>
      <c r="B160" s="35" t="s">
        <v>183</v>
      </c>
      <c r="C160" s="36">
        <v>4078</v>
      </c>
      <c r="D160" s="113">
        <v>256822843</v>
      </c>
      <c r="E160" s="116">
        <f t="shared" si="39"/>
        <v>62977.646640510051</v>
      </c>
      <c r="F160" s="117">
        <v>182288845</v>
      </c>
      <c r="G160" s="117">
        <f t="shared" si="40"/>
        <v>44700.550514958311</v>
      </c>
      <c r="H160" s="7"/>
      <c r="I160" s="109">
        <v>4.3600000000000003</v>
      </c>
      <c r="J160" s="117">
        <v>794779</v>
      </c>
      <c r="K160" s="120">
        <f t="shared" si="38"/>
        <v>194.89431093673369</v>
      </c>
      <c r="L160" s="122">
        <f t="shared" si="33"/>
        <v>1822888.45</v>
      </c>
      <c r="M160" s="116">
        <f t="shared" si="34"/>
        <v>1028109.45</v>
      </c>
      <c r="N160" s="123">
        <f t="shared" si="35"/>
        <v>252.11119421284943</v>
      </c>
      <c r="O160" s="5"/>
      <c r="P160" s="5">
        <f t="shared" si="31"/>
        <v>1</v>
      </c>
      <c r="Q160" s="7">
        <f t="shared" si="32"/>
        <v>4078</v>
      </c>
    </row>
    <row r="161" spans="1:17">
      <c r="A161" s="23" t="s">
        <v>187</v>
      </c>
      <c r="B161" s="35" t="s">
        <v>183</v>
      </c>
      <c r="C161" s="36">
        <v>8729</v>
      </c>
      <c r="D161" s="113">
        <v>602307637</v>
      </c>
      <c r="E161" s="116">
        <f t="shared" si="39"/>
        <v>69000.76033909955</v>
      </c>
      <c r="F161" s="117">
        <v>474019051</v>
      </c>
      <c r="G161" s="117">
        <f t="shared" si="40"/>
        <v>54303.935273227173</v>
      </c>
      <c r="H161" s="7"/>
      <c r="I161" s="109">
        <v>5.18</v>
      </c>
      <c r="J161" s="117">
        <v>2455419</v>
      </c>
      <c r="K161" s="120">
        <f t="shared" si="38"/>
        <v>281.29442089586433</v>
      </c>
      <c r="L161" s="122">
        <f t="shared" si="33"/>
        <v>4740190.51</v>
      </c>
      <c r="M161" s="116">
        <f t="shared" si="34"/>
        <v>2284771.5099999998</v>
      </c>
      <c r="N161" s="123">
        <f t="shared" si="35"/>
        <v>261.74493183640737</v>
      </c>
      <c r="O161" s="5"/>
      <c r="P161" s="5">
        <f t="shared" si="31"/>
        <v>1</v>
      </c>
      <c r="Q161" s="7">
        <f t="shared" si="32"/>
        <v>8729</v>
      </c>
    </row>
    <row r="162" spans="1:17">
      <c r="A162" s="23" t="s">
        <v>188</v>
      </c>
      <c r="B162" s="35" t="s">
        <v>183</v>
      </c>
      <c r="C162" s="36">
        <v>1098</v>
      </c>
      <c r="D162" s="113">
        <v>117966712</v>
      </c>
      <c r="E162" s="116">
        <f t="shared" si="39"/>
        <v>107437.80692167577</v>
      </c>
      <c r="F162" s="117">
        <v>86986584</v>
      </c>
      <c r="G162" s="117">
        <f t="shared" si="40"/>
        <v>79222.75409836066</v>
      </c>
      <c r="H162" s="7"/>
      <c r="I162" s="109">
        <v>7</v>
      </c>
      <c r="J162" s="117">
        <v>608906</v>
      </c>
      <c r="K162" s="120">
        <f t="shared" si="38"/>
        <v>554.55919854280512</v>
      </c>
      <c r="L162" s="122">
        <f t="shared" si="33"/>
        <v>869865.84</v>
      </c>
      <c r="M162" s="116">
        <f t="shared" si="34"/>
        <v>260959.83999999997</v>
      </c>
      <c r="N162" s="123">
        <f t="shared" si="35"/>
        <v>237.66834244080144</v>
      </c>
      <c r="O162" s="5"/>
      <c r="P162" s="5">
        <f t="shared" si="31"/>
        <v>1</v>
      </c>
      <c r="Q162" s="7">
        <f t="shared" si="32"/>
        <v>1098</v>
      </c>
    </row>
    <row r="163" spans="1:17">
      <c r="A163" s="23" t="s">
        <v>189</v>
      </c>
      <c r="B163" s="35" t="s">
        <v>183</v>
      </c>
      <c r="C163" s="36">
        <v>13926</v>
      </c>
      <c r="D163" s="113">
        <v>1227072455</v>
      </c>
      <c r="E163" s="116">
        <f t="shared" si="39"/>
        <v>88113.776748527933</v>
      </c>
      <c r="F163" s="117">
        <v>824276917</v>
      </c>
      <c r="G163" s="117">
        <f t="shared" si="40"/>
        <v>59189.782924027</v>
      </c>
      <c r="H163" s="7"/>
      <c r="I163" s="109">
        <v>3.2080000000000002</v>
      </c>
      <c r="J163" s="117">
        <v>2644280</v>
      </c>
      <c r="K163" s="120">
        <f t="shared" si="38"/>
        <v>189.88079850639093</v>
      </c>
      <c r="L163" s="122">
        <f t="shared" si="33"/>
        <v>8242769.1699999999</v>
      </c>
      <c r="M163" s="116">
        <f t="shared" si="34"/>
        <v>5598489.1699999999</v>
      </c>
      <c r="N163" s="123">
        <f t="shared" si="35"/>
        <v>402.0170307338791</v>
      </c>
      <c r="O163" s="5"/>
      <c r="P163" s="5">
        <f t="shared" si="31"/>
        <v>1</v>
      </c>
      <c r="Q163" s="7">
        <f t="shared" si="32"/>
        <v>13926</v>
      </c>
    </row>
    <row r="164" spans="1:17">
      <c r="A164" s="23" t="s">
        <v>190</v>
      </c>
      <c r="B164" s="35" t="s">
        <v>183</v>
      </c>
      <c r="C164" s="36">
        <v>20117</v>
      </c>
      <c r="D164" s="113">
        <v>1755840888</v>
      </c>
      <c r="E164" s="116">
        <f t="shared" si="39"/>
        <v>87281.447929611764</v>
      </c>
      <c r="F164" s="117">
        <v>1274456068</v>
      </c>
      <c r="G164" s="117">
        <f t="shared" si="40"/>
        <v>63352.19307053736</v>
      </c>
      <c r="H164" s="7"/>
      <c r="I164" s="109">
        <v>4.3178999999999998</v>
      </c>
      <c r="J164" s="117">
        <v>5502974</v>
      </c>
      <c r="K164" s="120">
        <f t="shared" si="38"/>
        <v>273.54844161654324</v>
      </c>
      <c r="L164" s="122">
        <f t="shared" si="33"/>
        <v>12744560.68</v>
      </c>
      <c r="M164" s="116">
        <f t="shared" si="34"/>
        <v>7241586.6799999997</v>
      </c>
      <c r="N164" s="123">
        <f t="shared" si="35"/>
        <v>359.97348908883032</v>
      </c>
      <c r="O164" s="5"/>
      <c r="P164" s="5">
        <f t="shared" si="31"/>
        <v>1</v>
      </c>
      <c r="Q164" s="7">
        <f t="shared" si="32"/>
        <v>20117</v>
      </c>
    </row>
    <row r="165" spans="1:17">
      <c r="A165" s="23" t="s">
        <v>191</v>
      </c>
      <c r="B165" s="35" t="s">
        <v>183</v>
      </c>
      <c r="C165" s="36">
        <v>5101</v>
      </c>
      <c r="D165" s="113">
        <v>212809452</v>
      </c>
      <c r="E165" s="116">
        <f t="shared" si="39"/>
        <v>41719.163301313471</v>
      </c>
      <c r="F165" s="117">
        <v>138901308</v>
      </c>
      <c r="G165" s="117">
        <f t="shared" si="40"/>
        <v>27230.211331111546</v>
      </c>
      <c r="H165" s="7"/>
      <c r="I165" s="109">
        <v>7.98</v>
      </c>
      <c r="J165" s="117">
        <v>1108432</v>
      </c>
      <c r="K165" s="120">
        <f t="shared" si="38"/>
        <v>217.29700058811997</v>
      </c>
      <c r="L165" s="122">
        <f t="shared" si="33"/>
        <v>1389013.08</v>
      </c>
      <c r="M165" s="116">
        <f t="shared" si="34"/>
        <v>280581.08000000007</v>
      </c>
      <c r="N165" s="123">
        <f t="shared" si="35"/>
        <v>55.005112722995506</v>
      </c>
      <c r="O165" s="5"/>
      <c r="P165" s="5">
        <f t="shared" si="31"/>
        <v>1</v>
      </c>
      <c r="Q165" s="7">
        <f t="shared" si="32"/>
        <v>5101</v>
      </c>
    </row>
    <row r="166" spans="1:17">
      <c r="A166" s="23" t="s">
        <v>192</v>
      </c>
      <c r="B166" s="35" t="s">
        <v>183</v>
      </c>
      <c r="C166" s="36">
        <v>9403</v>
      </c>
      <c r="D166" s="113">
        <v>537614888</v>
      </c>
      <c r="E166" s="116">
        <f t="shared" si="39"/>
        <v>57174.825906625549</v>
      </c>
      <c r="F166" s="117">
        <v>389733172</v>
      </c>
      <c r="G166" s="117">
        <f t="shared" si="40"/>
        <v>41447.747740082952</v>
      </c>
      <c r="H166" s="7"/>
      <c r="I166" s="109">
        <v>5.4825999999999997</v>
      </c>
      <c r="J166" s="117">
        <v>2136751</v>
      </c>
      <c r="K166" s="120">
        <f t="shared" si="38"/>
        <v>227.24141231521855</v>
      </c>
      <c r="L166" s="122">
        <f t="shared" si="33"/>
        <v>3897331.72</v>
      </c>
      <c r="M166" s="116">
        <f t="shared" si="34"/>
        <v>1760580.7200000002</v>
      </c>
      <c r="N166" s="123">
        <f t="shared" si="35"/>
        <v>187.23606508561099</v>
      </c>
      <c r="O166" s="5"/>
      <c r="P166" s="5">
        <f t="shared" si="31"/>
        <v>1</v>
      </c>
      <c r="Q166" s="7">
        <f t="shared" si="32"/>
        <v>9403</v>
      </c>
    </row>
    <row r="167" spans="1:17">
      <c r="A167" s="23" t="s">
        <v>193</v>
      </c>
      <c r="B167" s="35" t="s">
        <v>183</v>
      </c>
      <c r="C167" s="36">
        <v>1463</v>
      </c>
      <c r="D167" s="113">
        <v>132424772</v>
      </c>
      <c r="E167" s="116">
        <f t="shared" si="39"/>
        <v>90515.907040328093</v>
      </c>
      <c r="F167" s="117">
        <v>90736941</v>
      </c>
      <c r="G167" s="117">
        <f t="shared" si="40"/>
        <v>62021.149008885848</v>
      </c>
      <c r="H167" s="7"/>
      <c r="I167" s="109">
        <v>2.83</v>
      </c>
      <c r="J167" s="117">
        <v>256786</v>
      </c>
      <c r="K167" s="120">
        <f t="shared" si="38"/>
        <v>175.52016404647983</v>
      </c>
      <c r="L167" s="122">
        <f t="shared" si="33"/>
        <v>907369.41</v>
      </c>
      <c r="M167" s="116">
        <f t="shared" si="34"/>
        <v>650583.41</v>
      </c>
      <c r="N167" s="123">
        <f t="shared" si="35"/>
        <v>444.69132604237871</v>
      </c>
      <c r="O167" s="5"/>
      <c r="P167" s="5">
        <f t="shared" si="31"/>
        <v>1</v>
      </c>
      <c r="Q167" s="7">
        <f t="shared" si="32"/>
        <v>1463</v>
      </c>
    </row>
    <row r="168" spans="1:17">
      <c r="A168" s="23" t="s">
        <v>194</v>
      </c>
      <c r="B168" s="35" t="s">
        <v>183</v>
      </c>
      <c r="C168" s="36">
        <v>12370</v>
      </c>
      <c r="D168" s="113">
        <v>1203229080</v>
      </c>
      <c r="E168" s="116">
        <f t="shared" si="39"/>
        <v>97269.933710590136</v>
      </c>
      <c r="F168" s="117">
        <v>918851498</v>
      </c>
      <c r="G168" s="117">
        <f t="shared" si="40"/>
        <v>74280.638480194015</v>
      </c>
      <c r="H168" s="7"/>
      <c r="I168" s="109">
        <v>5.0190000000000001</v>
      </c>
      <c r="J168" s="117">
        <v>4611716</v>
      </c>
      <c r="K168" s="120">
        <f t="shared" si="38"/>
        <v>372.81455133387226</v>
      </c>
      <c r="L168" s="122">
        <f t="shared" si="33"/>
        <v>9188514.9800000004</v>
      </c>
      <c r="M168" s="116">
        <f t="shared" si="34"/>
        <v>4576798.9800000004</v>
      </c>
      <c r="N168" s="123">
        <f t="shared" si="35"/>
        <v>369.99183346806797</v>
      </c>
      <c r="O168" s="5"/>
      <c r="P168" s="5">
        <f t="shared" si="31"/>
        <v>1</v>
      </c>
      <c r="Q168" s="7">
        <f t="shared" si="32"/>
        <v>12370</v>
      </c>
    </row>
    <row r="169" spans="1:17">
      <c r="A169" s="23" t="s">
        <v>195</v>
      </c>
      <c r="B169" s="35" t="s">
        <v>183</v>
      </c>
      <c r="C169" s="36">
        <v>13951</v>
      </c>
      <c r="D169" s="113">
        <v>1171831492</v>
      </c>
      <c r="E169" s="116">
        <f t="shared" si="39"/>
        <v>83996.236255465556</v>
      </c>
      <c r="F169" s="117">
        <v>675786540</v>
      </c>
      <c r="G169" s="117">
        <f t="shared" si="40"/>
        <v>48440.007167944947</v>
      </c>
      <c r="H169" s="7"/>
      <c r="I169" s="109">
        <v>6.95</v>
      </c>
      <c r="J169" s="117">
        <v>4696716</v>
      </c>
      <c r="K169" s="120">
        <f t="shared" si="38"/>
        <v>336.65801734642679</v>
      </c>
      <c r="L169" s="122">
        <f t="shared" si="33"/>
        <v>6757865.4000000004</v>
      </c>
      <c r="M169" s="116">
        <f t="shared" si="34"/>
        <v>2061149.4000000004</v>
      </c>
      <c r="N169" s="123">
        <f t="shared" si="35"/>
        <v>147.74205433302274</v>
      </c>
      <c r="O169" s="5"/>
      <c r="P169" s="5">
        <f t="shared" si="31"/>
        <v>1</v>
      </c>
      <c r="Q169" s="7">
        <f t="shared" si="32"/>
        <v>13951</v>
      </c>
    </row>
    <row r="170" spans="1:17">
      <c r="A170" s="23" t="s">
        <v>196</v>
      </c>
      <c r="B170" s="35" t="s">
        <v>183</v>
      </c>
      <c r="C170" s="36">
        <v>3456</v>
      </c>
      <c r="D170" s="113">
        <v>194734009</v>
      </c>
      <c r="E170" s="116">
        <f t="shared" si="39"/>
        <v>56346.646122685182</v>
      </c>
      <c r="F170" s="117">
        <v>128678915</v>
      </c>
      <c r="G170" s="117">
        <f t="shared" si="40"/>
        <v>37233.482349537036</v>
      </c>
      <c r="H170" s="7"/>
      <c r="I170" s="109">
        <v>6.8795000000000002</v>
      </c>
      <c r="J170" s="117">
        <v>885247</v>
      </c>
      <c r="K170" s="120">
        <f t="shared" si="38"/>
        <v>256.1478587962963</v>
      </c>
      <c r="L170" s="122">
        <f t="shared" si="33"/>
        <v>1286789.1500000001</v>
      </c>
      <c r="M170" s="116">
        <f t="shared" si="34"/>
        <v>401542.15000000014</v>
      </c>
      <c r="N170" s="123">
        <f t="shared" si="35"/>
        <v>116.18696469907411</v>
      </c>
      <c r="O170" s="5"/>
      <c r="P170" s="5">
        <f t="shared" si="31"/>
        <v>1</v>
      </c>
      <c r="Q170" s="7">
        <f t="shared" si="32"/>
        <v>3456</v>
      </c>
    </row>
    <row r="171" spans="1:17">
      <c r="A171" s="23" t="s">
        <v>448</v>
      </c>
      <c r="B171" s="35" t="s">
        <v>198</v>
      </c>
      <c r="C171" s="36">
        <v>43914</v>
      </c>
      <c r="D171" s="113">
        <v>8317419930</v>
      </c>
      <c r="E171" s="116">
        <f t="shared" si="39"/>
        <v>189402.46686705833</v>
      </c>
      <c r="F171" s="117">
        <v>7262384994</v>
      </c>
      <c r="G171" s="117">
        <f t="shared" si="40"/>
        <v>165377.44213690396</v>
      </c>
      <c r="H171" s="7"/>
      <c r="I171" s="109">
        <v>0.82730000000000004</v>
      </c>
      <c r="J171" s="117">
        <v>6008171</v>
      </c>
      <c r="K171" s="120">
        <f t="shared" si="38"/>
        <v>136.81675547661339</v>
      </c>
      <c r="L171" s="122">
        <f t="shared" si="33"/>
        <v>72623849.939999998</v>
      </c>
      <c r="M171" s="116">
        <f t="shared" si="34"/>
        <v>66615678.939999998</v>
      </c>
      <c r="N171" s="123">
        <f t="shared" si="35"/>
        <v>1516.9576658924261</v>
      </c>
      <c r="O171" s="5"/>
      <c r="P171" s="5">
        <f t="shared" si="31"/>
        <v>1</v>
      </c>
      <c r="Q171" s="7">
        <f t="shared" si="32"/>
        <v>43914</v>
      </c>
    </row>
    <row r="172" spans="1:17">
      <c r="A172" s="23" t="s">
        <v>197</v>
      </c>
      <c r="B172" s="35" t="s">
        <v>198</v>
      </c>
      <c r="C172" s="36">
        <v>154305</v>
      </c>
      <c r="D172" s="113">
        <v>11836120991</v>
      </c>
      <c r="E172" s="116">
        <f t="shared" si="39"/>
        <v>76706.010764395192</v>
      </c>
      <c r="F172" s="117">
        <v>8888383376</v>
      </c>
      <c r="G172" s="117">
        <f t="shared" si="40"/>
        <v>57602.691915362433</v>
      </c>
      <c r="H172" s="7"/>
      <c r="I172" s="109">
        <v>7.9702000000000002</v>
      </c>
      <c r="J172" s="117">
        <v>70842193</v>
      </c>
      <c r="K172" s="120">
        <f t="shared" si="38"/>
        <v>459.10497391529765</v>
      </c>
      <c r="L172" s="122">
        <f t="shared" si="33"/>
        <v>88883833.760000005</v>
      </c>
      <c r="M172" s="116">
        <f t="shared" si="34"/>
        <v>18041640.760000005</v>
      </c>
      <c r="N172" s="123">
        <f t="shared" si="35"/>
        <v>116.92194523832673</v>
      </c>
      <c r="O172" s="5"/>
      <c r="P172" s="5">
        <f t="shared" si="31"/>
        <v>1</v>
      </c>
      <c r="Q172" s="7">
        <f t="shared" si="32"/>
        <v>154305</v>
      </c>
    </row>
    <row r="173" spans="1:17">
      <c r="A173" s="23" t="s">
        <v>199</v>
      </c>
      <c r="B173" s="35" t="s">
        <v>198</v>
      </c>
      <c r="C173" s="36">
        <v>62298</v>
      </c>
      <c r="D173" s="113">
        <v>5817869231</v>
      </c>
      <c r="E173" s="116">
        <f t="shared" si="39"/>
        <v>93387.736861536483</v>
      </c>
      <c r="F173" s="117">
        <v>4340690277</v>
      </c>
      <c r="G173" s="117">
        <f t="shared" si="40"/>
        <v>69676.238033323709</v>
      </c>
      <c r="H173" s="7"/>
      <c r="I173" s="109">
        <v>8.4</v>
      </c>
      <c r="J173" s="117">
        <v>36461798</v>
      </c>
      <c r="K173" s="120">
        <f t="shared" si="38"/>
        <v>585.28039423416487</v>
      </c>
      <c r="L173" s="122">
        <f t="shared" si="33"/>
        <v>43406902.770000003</v>
      </c>
      <c r="M173" s="116">
        <f t="shared" si="34"/>
        <v>6945104.7700000033</v>
      </c>
      <c r="N173" s="123">
        <f t="shared" si="35"/>
        <v>111.48198609907226</v>
      </c>
      <c r="O173" s="5"/>
      <c r="P173" s="5">
        <f t="shared" si="31"/>
        <v>1</v>
      </c>
      <c r="Q173" s="7">
        <f t="shared" si="32"/>
        <v>62298</v>
      </c>
    </row>
    <row r="174" spans="1:17">
      <c r="A174" s="23" t="s">
        <v>200</v>
      </c>
      <c r="B174" s="35" t="s">
        <v>198</v>
      </c>
      <c r="C174" s="36">
        <v>6277</v>
      </c>
      <c r="D174" s="113">
        <v>3001806346</v>
      </c>
      <c r="E174" s="116">
        <f t="shared" si="39"/>
        <v>478223.09160426958</v>
      </c>
      <c r="F174" s="117">
        <v>2639001882</v>
      </c>
      <c r="G174" s="117">
        <f t="shared" si="40"/>
        <v>420424.06914130953</v>
      </c>
      <c r="H174" s="7"/>
      <c r="I174" s="109">
        <v>0.91439999999999999</v>
      </c>
      <c r="J174" s="117">
        <v>2413103</v>
      </c>
      <c r="K174" s="120">
        <f t="shared" si="38"/>
        <v>384.43571769953797</v>
      </c>
      <c r="L174" s="122">
        <f t="shared" si="33"/>
        <v>26390018.82</v>
      </c>
      <c r="M174" s="116">
        <f t="shared" si="34"/>
        <v>23976915.82</v>
      </c>
      <c r="N174" s="123">
        <f t="shared" si="35"/>
        <v>3819.8049737135575</v>
      </c>
      <c r="O174" s="5"/>
      <c r="P174" s="5">
        <f t="shared" si="31"/>
        <v>1</v>
      </c>
      <c r="Q174" s="7">
        <f t="shared" si="32"/>
        <v>6277</v>
      </c>
    </row>
    <row r="175" spans="1:17">
      <c r="A175" s="23" t="s">
        <v>201</v>
      </c>
      <c r="B175" s="35" t="s">
        <v>198</v>
      </c>
      <c r="C175" s="36">
        <v>6469</v>
      </c>
      <c r="D175" s="113">
        <v>4719727882</v>
      </c>
      <c r="E175" s="116">
        <f t="shared" si="39"/>
        <v>729591.57242232189</v>
      </c>
      <c r="F175" s="117">
        <v>4211120410</v>
      </c>
      <c r="G175" s="117">
        <f t="shared" si="40"/>
        <v>650969.30128304218</v>
      </c>
      <c r="H175" s="7"/>
      <c r="I175" s="109">
        <v>2.1560999999999999</v>
      </c>
      <c r="J175" s="117">
        <v>9079597</v>
      </c>
      <c r="K175" s="120">
        <f t="shared" si="38"/>
        <v>1403.5549543978977</v>
      </c>
      <c r="L175" s="122">
        <f t="shared" si="33"/>
        <v>42111204.100000001</v>
      </c>
      <c r="M175" s="116">
        <f t="shared" si="34"/>
        <v>33031607.100000001</v>
      </c>
      <c r="N175" s="123">
        <f t="shared" si="35"/>
        <v>5106.1380584325243</v>
      </c>
      <c r="O175" s="5"/>
      <c r="P175" s="5">
        <f t="shared" si="31"/>
        <v>1</v>
      </c>
      <c r="Q175" s="7">
        <f t="shared" si="32"/>
        <v>6469</v>
      </c>
    </row>
    <row r="176" spans="1:17">
      <c r="A176" s="23" t="s">
        <v>202</v>
      </c>
      <c r="B176" s="35" t="s">
        <v>203</v>
      </c>
      <c r="C176" s="36">
        <v>181376</v>
      </c>
      <c r="D176" s="113">
        <v>17337336277</v>
      </c>
      <c r="E176" s="116">
        <f t="shared" si="39"/>
        <v>95587.819099550106</v>
      </c>
      <c r="F176" s="117">
        <v>9671794943</v>
      </c>
      <c r="G176" s="117">
        <f t="shared" si="40"/>
        <v>53324.557510365208</v>
      </c>
      <c r="H176" s="7"/>
      <c r="I176" s="109">
        <v>3.7</v>
      </c>
      <c r="J176" s="117">
        <v>35785641</v>
      </c>
      <c r="K176" s="120">
        <f t="shared" si="38"/>
        <v>197.30086119442484</v>
      </c>
      <c r="L176" s="122">
        <f t="shared" si="33"/>
        <v>96717949.430000007</v>
      </c>
      <c r="M176" s="116">
        <f t="shared" si="34"/>
        <v>60932308.430000007</v>
      </c>
      <c r="N176" s="123">
        <f t="shared" si="35"/>
        <v>335.94471390922729</v>
      </c>
      <c r="O176" s="5"/>
      <c r="P176" s="5">
        <f t="shared" si="31"/>
        <v>1</v>
      </c>
      <c r="Q176" s="7">
        <f t="shared" si="32"/>
        <v>181376</v>
      </c>
    </row>
    <row r="177" spans="1:17">
      <c r="A177" s="23" t="s">
        <v>204</v>
      </c>
      <c r="B177" s="35" t="s">
        <v>205</v>
      </c>
      <c r="C177" s="36">
        <v>1113</v>
      </c>
      <c r="D177" s="113">
        <v>60487117</v>
      </c>
      <c r="E177" s="116">
        <f t="shared" si="39"/>
        <v>54346.017070979338</v>
      </c>
      <c r="F177" s="117">
        <v>34745120</v>
      </c>
      <c r="G177" s="117">
        <f t="shared" si="40"/>
        <v>31217.538185085356</v>
      </c>
      <c r="H177" s="7"/>
      <c r="I177" s="109">
        <v>3.44</v>
      </c>
      <c r="J177" s="117">
        <v>119523</v>
      </c>
      <c r="K177" s="120">
        <f t="shared" si="38"/>
        <v>107.38814016172506</v>
      </c>
      <c r="L177" s="122">
        <f t="shared" si="33"/>
        <v>347451.2</v>
      </c>
      <c r="M177" s="116">
        <f t="shared" si="34"/>
        <v>227928.2</v>
      </c>
      <c r="N177" s="123">
        <f t="shared" si="35"/>
        <v>204.78724168912848</v>
      </c>
      <c r="O177" s="5"/>
      <c r="P177" s="5">
        <f t="shared" si="31"/>
        <v>1</v>
      </c>
      <c r="Q177" s="7">
        <f t="shared" si="32"/>
        <v>1113</v>
      </c>
    </row>
    <row r="178" spans="1:17">
      <c r="A178" s="23" t="s">
        <v>206</v>
      </c>
      <c r="B178" s="35" t="s">
        <v>205</v>
      </c>
      <c r="C178" s="36">
        <v>702</v>
      </c>
      <c r="D178" s="113">
        <v>196192535</v>
      </c>
      <c r="E178" s="116">
        <f t="shared" si="39"/>
        <v>279476.54558404558</v>
      </c>
      <c r="F178" s="117">
        <v>150257539</v>
      </c>
      <c r="G178" s="117">
        <f t="shared" si="40"/>
        <v>214042.07834757835</v>
      </c>
      <c r="H178" s="7"/>
      <c r="I178" s="109">
        <v>3.6547999999999998</v>
      </c>
      <c r="J178" s="117">
        <v>549161</v>
      </c>
      <c r="K178" s="120">
        <f t="shared" si="38"/>
        <v>782.28062678062679</v>
      </c>
      <c r="L178" s="122">
        <f t="shared" si="33"/>
        <v>1502575.3900000001</v>
      </c>
      <c r="M178" s="116">
        <f t="shared" si="34"/>
        <v>953414.39000000013</v>
      </c>
      <c r="N178" s="123">
        <f t="shared" si="35"/>
        <v>1358.140156695157</v>
      </c>
      <c r="O178" s="5"/>
      <c r="P178" s="5">
        <f t="shared" si="31"/>
        <v>1</v>
      </c>
      <c r="Q178" s="7">
        <f t="shared" si="32"/>
        <v>702</v>
      </c>
    </row>
    <row r="179" spans="1:17">
      <c r="A179" s="23" t="s">
        <v>207</v>
      </c>
      <c r="B179" s="35" t="s">
        <v>205</v>
      </c>
      <c r="C179" s="36">
        <v>2245</v>
      </c>
      <c r="D179" s="113">
        <v>193420200</v>
      </c>
      <c r="E179" s="116">
        <f t="shared" si="39"/>
        <v>86155.991091314034</v>
      </c>
      <c r="F179" s="117">
        <v>139962027</v>
      </c>
      <c r="G179" s="117">
        <f t="shared" si="40"/>
        <v>62343.887305122495</v>
      </c>
      <c r="H179" s="7"/>
      <c r="I179" s="109">
        <v>4.75</v>
      </c>
      <c r="J179" s="117">
        <v>664820</v>
      </c>
      <c r="K179" s="120">
        <f t="shared" si="38"/>
        <v>296.13363028953228</v>
      </c>
      <c r="L179" s="122">
        <f t="shared" si="33"/>
        <v>1399620.27</v>
      </c>
      <c r="M179" s="116">
        <f t="shared" si="34"/>
        <v>734800.27</v>
      </c>
      <c r="N179" s="123">
        <f t="shared" si="35"/>
        <v>327.30524276169268</v>
      </c>
      <c r="O179" s="5"/>
      <c r="P179" s="5">
        <f t="shared" si="31"/>
        <v>1</v>
      </c>
      <c r="Q179" s="7">
        <f t="shared" si="32"/>
        <v>2245</v>
      </c>
    </row>
    <row r="180" spans="1:17">
      <c r="A180" s="23" t="s">
        <v>208</v>
      </c>
      <c r="B180" s="35" t="s">
        <v>205</v>
      </c>
      <c r="C180" s="36">
        <v>1325</v>
      </c>
      <c r="D180" s="113">
        <v>104428616</v>
      </c>
      <c r="E180" s="116">
        <f t="shared" si="39"/>
        <v>78814.049811320758</v>
      </c>
      <c r="F180" s="117">
        <v>72619566</v>
      </c>
      <c r="G180" s="117">
        <f t="shared" si="40"/>
        <v>54807.219622641511</v>
      </c>
      <c r="H180" s="7"/>
      <c r="I180" s="109">
        <v>5</v>
      </c>
      <c r="J180" s="117">
        <v>363098</v>
      </c>
      <c r="K180" s="120">
        <f t="shared" si="38"/>
        <v>274.03622641509435</v>
      </c>
      <c r="L180" s="122">
        <f t="shared" si="33"/>
        <v>726195.66</v>
      </c>
      <c r="M180" s="116">
        <f t="shared" si="34"/>
        <v>363097.66000000003</v>
      </c>
      <c r="N180" s="123">
        <f t="shared" si="35"/>
        <v>274.0359698113208</v>
      </c>
      <c r="O180" s="5"/>
      <c r="P180" s="5">
        <f t="shared" si="31"/>
        <v>1</v>
      </c>
      <c r="Q180" s="7">
        <f t="shared" si="32"/>
        <v>1325</v>
      </c>
    </row>
    <row r="181" spans="1:17">
      <c r="A181" s="23" t="s">
        <v>209</v>
      </c>
      <c r="B181" s="35" t="s">
        <v>205</v>
      </c>
      <c r="C181" s="36">
        <v>134</v>
      </c>
      <c r="D181" s="113">
        <v>8193340</v>
      </c>
      <c r="E181" s="116">
        <f t="shared" si="39"/>
        <v>61144.328358208957</v>
      </c>
      <c r="F181" s="117">
        <v>4079482</v>
      </c>
      <c r="G181" s="117">
        <f t="shared" si="40"/>
        <v>30443.895522388058</v>
      </c>
      <c r="H181" s="7"/>
      <c r="I181" s="109">
        <v>5</v>
      </c>
      <c r="J181" s="117">
        <v>20397</v>
      </c>
      <c r="K181" s="120">
        <f t="shared" si="38"/>
        <v>152.21641791044777</v>
      </c>
      <c r="L181" s="122">
        <f t="shared" si="33"/>
        <v>40794.82</v>
      </c>
      <c r="M181" s="116">
        <f t="shared" si="34"/>
        <v>20397.82</v>
      </c>
      <c r="N181" s="123">
        <f t="shared" si="35"/>
        <v>152.22253731343284</v>
      </c>
      <c r="O181" s="5"/>
      <c r="P181" s="5">
        <f t="shared" si="31"/>
        <v>1</v>
      </c>
      <c r="Q181" s="7">
        <f t="shared" si="32"/>
        <v>134</v>
      </c>
    </row>
    <row r="182" spans="1:17">
      <c r="A182" s="23" t="s">
        <v>210</v>
      </c>
      <c r="B182" s="35" t="s">
        <v>205</v>
      </c>
      <c r="C182" s="36">
        <v>2768</v>
      </c>
      <c r="D182" s="113">
        <v>184381220</v>
      </c>
      <c r="E182" s="116">
        <f t="shared" si="39"/>
        <v>66611.712427745661</v>
      </c>
      <c r="F182" s="117">
        <v>109992635</v>
      </c>
      <c r="G182" s="117">
        <f t="shared" si="40"/>
        <v>39737.22362716763</v>
      </c>
      <c r="H182" s="7"/>
      <c r="I182" s="109">
        <v>5.9024999999999999</v>
      </c>
      <c r="J182" s="117">
        <v>649232</v>
      </c>
      <c r="K182" s="120">
        <f t="shared" si="38"/>
        <v>234.54913294797689</v>
      </c>
      <c r="L182" s="122">
        <f t="shared" si="33"/>
        <v>1099926.3500000001</v>
      </c>
      <c r="M182" s="116">
        <f t="shared" si="34"/>
        <v>450694.35000000009</v>
      </c>
      <c r="N182" s="123">
        <f t="shared" si="35"/>
        <v>162.82310332369946</v>
      </c>
      <c r="O182" s="5"/>
      <c r="P182" s="5">
        <f t="shared" si="31"/>
        <v>1</v>
      </c>
      <c r="Q182" s="7">
        <f t="shared" si="32"/>
        <v>2768</v>
      </c>
    </row>
    <row r="183" spans="1:17">
      <c r="A183" s="23" t="s">
        <v>211</v>
      </c>
      <c r="B183" s="35" t="s">
        <v>205</v>
      </c>
      <c r="C183" s="36">
        <v>502</v>
      </c>
      <c r="D183" s="113">
        <v>95588431</v>
      </c>
      <c r="E183" s="116">
        <f t="shared" si="39"/>
        <v>190415.20119521912</v>
      </c>
      <c r="F183" s="117">
        <v>66860087</v>
      </c>
      <c r="G183" s="117">
        <f t="shared" si="40"/>
        <v>133187.42430278886</v>
      </c>
      <c r="H183" s="7"/>
      <c r="I183" s="109">
        <v>2.4956</v>
      </c>
      <c r="J183" s="117">
        <v>166856</v>
      </c>
      <c r="K183" s="120">
        <f t="shared" si="38"/>
        <v>332.38247011952194</v>
      </c>
      <c r="L183" s="122">
        <f t="shared" si="33"/>
        <v>668600.87</v>
      </c>
      <c r="M183" s="116">
        <f t="shared" si="34"/>
        <v>501744.87</v>
      </c>
      <c r="N183" s="123">
        <f t="shared" si="35"/>
        <v>999.49177290836656</v>
      </c>
      <c r="O183" s="5"/>
      <c r="P183" s="5">
        <f t="shared" si="31"/>
        <v>1</v>
      </c>
      <c r="Q183" s="7">
        <f t="shared" si="32"/>
        <v>502</v>
      </c>
    </row>
    <row r="184" spans="1:17">
      <c r="A184" s="23" t="s">
        <v>212</v>
      </c>
      <c r="B184" s="35" t="s">
        <v>213</v>
      </c>
      <c r="C184" s="36">
        <v>996</v>
      </c>
      <c r="D184" s="113">
        <v>62872761</v>
      </c>
      <c r="E184" s="116">
        <f t="shared" si="39"/>
        <v>63125.262048192773</v>
      </c>
      <c r="F184" s="117">
        <v>28415595</v>
      </c>
      <c r="G184" s="117">
        <f t="shared" si="40"/>
        <v>28529.713855421687</v>
      </c>
      <c r="H184" s="7"/>
      <c r="I184" s="109">
        <v>3</v>
      </c>
      <c r="J184" s="117">
        <v>85247</v>
      </c>
      <c r="K184" s="120">
        <f t="shared" si="38"/>
        <v>85.589357429718874</v>
      </c>
      <c r="L184" s="122">
        <f t="shared" si="33"/>
        <v>284155.95</v>
      </c>
      <c r="M184" s="116">
        <f t="shared" si="34"/>
        <v>198908.95</v>
      </c>
      <c r="N184" s="123">
        <f t="shared" si="35"/>
        <v>199.70778112449801</v>
      </c>
      <c r="O184" s="5"/>
      <c r="P184" s="5">
        <f t="shared" si="31"/>
        <v>1</v>
      </c>
      <c r="Q184" s="7">
        <f t="shared" si="32"/>
        <v>996</v>
      </c>
    </row>
    <row r="185" spans="1:17">
      <c r="A185" s="23" t="s">
        <v>214</v>
      </c>
      <c r="B185" s="35" t="s">
        <v>215</v>
      </c>
      <c r="C185" s="36">
        <v>843</v>
      </c>
      <c r="D185" s="113">
        <v>20426035</v>
      </c>
      <c r="E185" s="116">
        <f t="shared" si="39"/>
        <v>24230.17200474496</v>
      </c>
      <c r="F185" s="117">
        <v>10558212</v>
      </c>
      <c r="G185" s="117">
        <f t="shared" si="40"/>
        <v>12524.569395017794</v>
      </c>
      <c r="H185" s="7"/>
      <c r="I185" s="109">
        <v>8.9959000000000007</v>
      </c>
      <c r="J185" s="117">
        <v>94981</v>
      </c>
      <c r="K185" s="120">
        <f t="shared" si="38"/>
        <v>112.67022538552787</v>
      </c>
      <c r="L185" s="122">
        <f t="shared" si="33"/>
        <v>105582.12</v>
      </c>
      <c r="M185" s="116">
        <f t="shared" si="34"/>
        <v>10601.119999999995</v>
      </c>
      <c r="N185" s="123">
        <f t="shared" si="35"/>
        <v>12.575468564650054</v>
      </c>
      <c r="O185" s="5"/>
      <c r="P185" s="5">
        <f t="shared" si="31"/>
        <v>1</v>
      </c>
      <c r="Q185" s="7">
        <f t="shared" si="32"/>
        <v>843</v>
      </c>
    </row>
    <row r="186" spans="1:17">
      <c r="A186" s="23" t="s">
        <v>198</v>
      </c>
      <c r="B186" s="35" t="s">
        <v>215</v>
      </c>
      <c r="C186" s="36">
        <v>352</v>
      </c>
      <c r="D186" s="113">
        <v>18978712</v>
      </c>
      <c r="E186" s="116">
        <f t="shared" si="39"/>
        <v>53916.795454545456</v>
      </c>
      <c r="F186" s="117">
        <v>7106501</v>
      </c>
      <c r="G186" s="117">
        <f t="shared" si="40"/>
        <v>20188.923295454544</v>
      </c>
      <c r="H186" s="7"/>
      <c r="I186" s="109">
        <v>6.38</v>
      </c>
      <c r="J186" s="117">
        <v>45339</v>
      </c>
      <c r="K186" s="120">
        <f t="shared" si="38"/>
        <v>128.80397727272728</v>
      </c>
      <c r="L186" s="122">
        <f t="shared" si="33"/>
        <v>71065.009999999995</v>
      </c>
      <c r="M186" s="116">
        <f t="shared" si="34"/>
        <v>25726.009999999995</v>
      </c>
      <c r="N186" s="123">
        <f t="shared" si="35"/>
        <v>73.085255681818168</v>
      </c>
      <c r="O186" s="5"/>
      <c r="P186" s="5">
        <f t="shared" si="31"/>
        <v>1</v>
      </c>
      <c r="Q186" s="7">
        <f t="shared" si="32"/>
        <v>352</v>
      </c>
    </row>
    <row r="187" spans="1:17">
      <c r="A187" s="23" t="s">
        <v>215</v>
      </c>
      <c r="B187" s="35" t="s">
        <v>215</v>
      </c>
      <c r="C187" s="36">
        <v>3049</v>
      </c>
      <c r="D187" s="113">
        <v>149867804</v>
      </c>
      <c r="E187" s="116">
        <f t="shared" si="39"/>
        <v>49153.100688750412</v>
      </c>
      <c r="F187" s="117">
        <v>87777649</v>
      </c>
      <c r="G187" s="117">
        <f t="shared" si="40"/>
        <v>28788.996064283372</v>
      </c>
      <c r="H187" s="7"/>
      <c r="I187" s="109">
        <v>6.0484</v>
      </c>
      <c r="J187" s="117">
        <v>530914</v>
      </c>
      <c r="K187" s="120">
        <f t="shared" si="38"/>
        <v>174.12725483765169</v>
      </c>
      <c r="L187" s="122">
        <f t="shared" si="33"/>
        <v>877776.49</v>
      </c>
      <c r="M187" s="116">
        <f t="shared" si="34"/>
        <v>346862.49</v>
      </c>
      <c r="N187" s="123">
        <f t="shared" si="35"/>
        <v>113.76270580518202</v>
      </c>
      <c r="O187" s="5"/>
      <c r="P187" s="5">
        <f t="shared" si="31"/>
        <v>1</v>
      </c>
      <c r="Q187" s="7">
        <f t="shared" si="32"/>
        <v>3049</v>
      </c>
    </row>
    <row r="188" spans="1:17">
      <c r="A188" s="23" t="s">
        <v>216</v>
      </c>
      <c r="B188" s="35" t="s">
        <v>217</v>
      </c>
      <c r="C188" s="36">
        <v>1503</v>
      </c>
      <c r="D188" s="113">
        <v>746758834</v>
      </c>
      <c r="E188" s="116">
        <f t="shared" si="39"/>
        <v>496845.53160345973</v>
      </c>
      <c r="F188" s="117">
        <v>609147976</v>
      </c>
      <c r="G188" s="117">
        <f t="shared" si="40"/>
        <v>405288.07451763138</v>
      </c>
      <c r="H188" s="7"/>
      <c r="I188" s="109">
        <v>1.7882</v>
      </c>
      <c r="J188" s="117">
        <v>1089278</v>
      </c>
      <c r="K188" s="120">
        <f t="shared" si="38"/>
        <v>724.73586161011315</v>
      </c>
      <c r="L188" s="122">
        <f t="shared" si="33"/>
        <v>6091479.7599999998</v>
      </c>
      <c r="M188" s="116">
        <f t="shared" si="34"/>
        <v>5002201.76</v>
      </c>
      <c r="N188" s="123">
        <f t="shared" si="35"/>
        <v>3328.1448835662009</v>
      </c>
      <c r="O188" s="5"/>
      <c r="P188" s="5">
        <f t="shared" si="31"/>
        <v>1</v>
      </c>
      <c r="Q188" s="7">
        <f t="shared" si="32"/>
        <v>1503</v>
      </c>
    </row>
    <row r="189" spans="1:17">
      <c r="A189" s="23" t="s">
        <v>218</v>
      </c>
      <c r="B189" s="35" t="s">
        <v>217</v>
      </c>
      <c r="C189" s="36">
        <v>49546</v>
      </c>
      <c r="D189" s="113">
        <v>3635181495</v>
      </c>
      <c r="E189" s="116">
        <f t="shared" si="39"/>
        <v>73369.827937674083</v>
      </c>
      <c r="F189" s="117">
        <v>2669095787</v>
      </c>
      <c r="G189" s="117">
        <f t="shared" si="40"/>
        <v>53871.065010293467</v>
      </c>
      <c r="H189" s="7"/>
      <c r="I189" s="109">
        <v>4.9451999999999998</v>
      </c>
      <c r="J189" s="117">
        <v>13199212</v>
      </c>
      <c r="K189" s="120">
        <f t="shared" si="38"/>
        <v>266.4031808824123</v>
      </c>
      <c r="L189" s="122">
        <f t="shared" si="33"/>
        <v>26690957.870000001</v>
      </c>
      <c r="M189" s="116">
        <f t="shared" si="34"/>
        <v>13491745.870000001</v>
      </c>
      <c r="N189" s="123">
        <f t="shared" si="35"/>
        <v>272.30746922052236</v>
      </c>
      <c r="O189" s="5"/>
      <c r="P189" s="5">
        <f t="shared" si="31"/>
        <v>1</v>
      </c>
      <c r="Q189" s="7">
        <f t="shared" si="32"/>
        <v>49546</v>
      </c>
    </row>
    <row r="190" spans="1:17">
      <c r="A190" s="23" t="s">
        <v>219</v>
      </c>
      <c r="B190" s="35" t="s">
        <v>217</v>
      </c>
      <c r="C190" s="36">
        <v>1171</v>
      </c>
      <c r="D190" s="113">
        <v>482584448</v>
      </c>
      <c r="E190" s="116">
        <f t="shared" si="39"/>
        <v>412113.10674637061</v>
      </c>
      <c r="F190" s="117">
        <v>403596403</v>
      </c>
      <c r="G190" s="117">
        <f t="shared" si="40"/>
        <v>344659.60973526898</v>
      </c>
      <c r="H190" s="7"/>
      <c r="I190" s="109">
        <v>2.1539000000000001</v>
      </c>
      <c r="J190" s="117">
        <v>869306</v>
      </c>
      <c r="K190" s="120">
        <f t="shared" si="38"/>
        <v>742.36208368915459</v>
      </c>
      <c r="L190" s="122">
        <f t="shared" si="33"/>
        <v>4035964.0300000003</v>
      </c>
      <c r="M190" s="116">
        <f t="shared" si="34"/>
        <v>3166658.0300000003</v>
      </c>
      <c r="N190" s="123">
        <f t="shared" si="35"/>
        <v>2704.2340136635357</v>
      </c>
      <c r="O190" s="5"/>
      <c r="P190" s="5">
        <f t="shared" si="31"/>
        <v>1</v>
      </c>
      <c r="Q190" s="7">
        <f t="shared" si="32"/>
        <v>1171</v>
      </c>
    </row>
    <row r="191" spans="1:17">
      <c r="A191" s="23" t="s">
        <v>220</v>
      </c>
      <c r="B191" s="35" t="s">
        <v>217</v>
      </c>
      <c r="C191" s="36">
        <v>3836</v>
      </c>
      <c r="D191" s="113">
        <v>1477775447</v>
      </c>
      <c r="E191" s="116">
        <f t="shared" si="39"/>
        <v>385238.64624608966</v>
      </c>
      <c r="F191" s="117">
        <v>1237726504</v>
      </c>
      <c r="G191" s="117">
        <f t="shared" si="40"/>
        <v>322660.71532846714</v>
      </c>
      <c r="H191" s="7"/>
      <c r="I191" s="109">
        <v>1.75</v>
      </c>
      <c r="J191" s="117">
        <v>2166021</v>
      </c>
      <c r="K191" s="120">
        <f t="shared" si="38"/>
        <v>564.65615224191868</v>
      </c>
      <c r="L191" s="122">
        <f t="shared" si="33"/>
        <v>12377265.040000001</v>
      </c>
      <c r="M191" s="116">
        <f t="shared" si="34"/>
        <v>10211244.040000001</v>
      </c>
      <c r="N191" s="123">
        <f t="shared" si="35"/>
        <v>2661.951001042753</v>
      </c>
      <c r="O191" s="5"/>
      <c r="P191" s="5">
        <f t="shared" si="31"/>
        <v>1</v>
      </c>
      <c r="Q191" s="7">
        <f t="shared" si="32"/>
        <v>3836</v>
      </c>
    </row>
    <row r="192" spans="1:17">
      <c r="A192" s="23" t="s">
        <v>221</v>
      </c>
      <c r="B192" s="35" t="s">
        <v>217</v>
      </c>
      <c r="C192" s="36">
        <v>12606</v>
      </c>
      <c r="D192" s="113">
        <v>1033852047</v>
      </c>
      <c r="E192" s="116">
        <f t="shared" si="39"/>
        <v>82012.696097096617</v>
      </c>
      <c r="F192" s="117">
        <v>758796522</v>
      </c>
      <c r="G192" s="117">
        <f t="shared" si="40"/>
        <v>60193.28272251309</v>
      </c>
      <c r="H192" s="7"/>
      <c r="I192" s="109">
        <v>4.6661999999999999</v>
      </c>
      <c r="J192" s="117">
        <v>3540696</v>
      </c>
      <c r="K192" s="120">
        <f t="shared" si="38"/>
        <v>280.87386958591145</v>
      </c>
      <c r="L192" s="122">
        <f t="shared" si="33"/>
        <v>7587965.2199999997</v>
      </c>
      <c r="M192" s="116">
        <f t="shared" si="34"/>
        <v>4047269.2199999997</v>
      </c>
      <c r="N192" s="123">
        <f t="shared" si="35"/>
        <v>321.05895763921939</v>
      </c>
      <c r="O192" s="5"/>
      <c r="P192" s="5">
        <f t="shared" si="31"/>
        <v>1</v>
      </c>
      <c r="Q192" s="7">
        <f t="shared" si="32"/>
        <v>12606</v>
      </c>
    </row>
    <row r="193" spans="1:17">
      <c r="A193" s="23" t="s">
        <v>478</v>
      </c>
      <c r="B193" s="35" t="s">
        <v>222</v>
      </c>
      <c r="C193" s="36">
        <v>6888</v>
      </c>
      <c r="D193" s="113">
        <f>(1549965607+3838724841)</f>
        <v>5388690448</v>
      </c>
      <c r="E193" s="116">
        <f t="shared" si="39"/>
        <v>782330.20441347267</v>
      </c>
      <c r="F193" s="117">
        <f>(1364896458+3504013002)</f>
        <v>4868909460</v>
      </c>
      <c r="G193" s="117">
        <f t="shared" si="40"/>
        <v>706868.38850174216</v>
      </c>
      <c r="H193" s="7"/>
      <c r="I193" s="109">
        <v>1.8872</v>
      </c>
      <c r="J193" s="117">
        <f>(2575833+6612773)</f>
        <v>9188606</v>
      </c>
      <c r="K193" s="120">
        <f t="shared" si="38"/>
        <v>1334.0020325203252</v>
      </c>
      <c r="L193" s="122">
        <f t="shared" si="33"/>
        <v>48689094.600000001</v>
      </c>
      <c r="M193" s="116">
        <f t="shared" si="34"/>
        <v>39500488.600000001</v>
      </c>
      <c r="N193" s="123">
        <f t="shared" si="35"/>
        <v>5734.6818524970968</v>
      </c>
      <c r="O193" s="5"/>
      <c r="P193" s="5">
        <f t="shared" si="31"/>
        <v>1</v>
      </c>
      <c r="Q193" s="7">
        <f t="shared" si="32"/>
        <v>6888</v>
      </c>
    </row>
    <row r="194" spans="1:17">
      <c r="A194" s="23" t="s">
        <v>223</v>
      </c>
      <c r="B194" s="35" t="s">
        <v>224</v>
      </c>
      <c r="C194" s="36">
        <v>4492</v>
      </c>
      <c r="D194" s="113">
        <v>283035173</v>
      </c>
      <c r="E194" s="116">
        <f t="shared" si="39"/>
        <v>63008.720614425649</v>
      </c>
      <c r="F194" s="117">
        <v>205031164</v>
      </c>
      <c r="G194" s="117">
        <f t="shared" si="40"/>
        <v>45643.625111308997</v>
      </c>
      <c r="H194" s="7"/>
      <c r="I194" s="109">
        <v>3.3472</v>
      </c>
      <c r="J194" s="117">
        <v>686280</v>
      </c>
      <c r="K194" s="120">
        <f t="shared" si="38"/>
        <v>152.77827248441673</v>
      </c>
      <c r="L194" s="122">
        <f t="shared" si="33"/>
        <v>2050311.6400000001</v>
      </c>
      <c r="M194" s="116">
        <f t="shared" si="34"/>
        <v>1364031.6400000001</v>
      </c>
      <c r="N194" s="123">
        <f t="shared" si="35"/>
        <v>303.65797862867322</v>
      </c>
      <c r="O194" s="5"/>
      <c r="P194" s="5">
        <f t="shared" si="31"/>
        <v>1</v>
      </c>
      <c r="Q194" s="7">
        <f t="shared" si="32"/>
        <v>4492</v>
      </c>
    </row>
    <row r="195" spans="1:17">
      <c r="A195" s="23" t="s">
        <v>225</v>
      </c>
      <c r="B195" s="35" t="s">
        <v>224</v>
      </c>
      <c r="C195" s="36">
        <v>1733</v>
      </c>
      <c r="D195" s="113">
        <v>210929807</v>
      </c>
      <c r="E195" s="116">
        <f t="shared" si="39"/>
        <v>121713.67974610502</v>
      </c>
      <c r="F195" s="117">
        <v>142896456</v>
      </c>
      <c r="G195" s="117">
        <f t="shared" si="40"/>
        <v>82456.120023081356</v>
      </c>
      <c r="H195" s="7"/>
      <c r="I195" s="109">
        <v>6.9100999999999999</v>
      </c>
      <c r="J195" s="117">
        <v>987429</v>
      </c>
      <c r="K195" s="120">
        <f t="shared" si="38"/>
        <v>569.78015002885172</v>
      </c>
      <c r="L195" s="122">
        <f t="shared" si="33"/>
        <v>1428964.56</v>
      </c>
      <c r="M195" s="116">
        <f t="shared" si="34"/>
        <v>441535.56000000006</v>
      </c>
      <c r="N195" s="123">
        <f t="shared" si="35"/>
        <v>254.78105020196196</v>
      </c>
      <c r="O195" s="5"/>
      <c r="P195" s="5">
        <f t="shared" si="31"/>
        <v>1</v>
      </c>
      <c r="Q195" s="7">
        <f t="shared" si="32"/>
        <v>1733</v>
      </c>
    </row>
    <row r="196" spans="1:17">
      <c r="A196" s="23" t="s">
        <v>226</v>
      </c>
      <c r="B196" s="35" t="s">
        <v>224</v>
      </c>
      <c r="C196" s="36">
        <v>452</v>
      </c>
      <c r="D196" s="113">
        <v>32119280</v>
      </c>
      <c r="E196" s="116">
        <f t="shared" si="39"/>
        <v>71060.35398230089</v>
      </c>
      <c r="F196" s="117">
        <v>18370229</v>
      </c>
      <c r="G196" s="117">
        <f t="shared" si="40"/>
        <v>40642.099557522124</v>
      </c>
      <c r="H196" s="7"/>
      <c r="I196" s="109">
        <v>2.1343999999999999</v>
      </c>
      <c r="J196" s="117">
        <v>39209</v>
      </c>
      <c r="K196" s="120">
        <f t="shared" si="38"/>
        <v>86.745575221238937</v>
      </c>
      <c r="L196" s="122">
        <f t="shared" si="33"/>
        <v>183702.29</v>
      </c>
      <c r="M196" s="116">
        <f t="shared" si="34"/>
        <v>144493.29</v>
      </c>
      <c r="N196" s="123">
        <f t="shared" si="35"/>
        <v>319.6754203539823</v>
      </c>
      <c r="O196" s="5"/>
      <c r="P196" s="5">
        <f t="shared" si="31"/>
        <v>1</v>
      </c>
      <c r="Q196" s="7">
        <f t="shared" si="32"/>
        <v>452</v>
      </c>
    </row>
    <row r="197" spans="1:17">
      <c r="A197" s="23" t="s">
        <v>227</v>
      </c>
      <c r="B197" s="35" t="s">
        <v>224</v>
      </c>
      <c r="C197" s="36">
        <v>56315</v>
      </c>
      <c r="D197" s="113">
        <v>5386664706</v>
      </c>
      <c r="E197" s="116">
        <f t="shared" si="39"/>
        <v>95652.396448548345</v>
      </c>
      <c r="F197" s="117">
        <v>3901639476</v>
      </c>
      <c r="G197" s="117">
        <f t="shared" si="40"/>
        <v>69282.419888129269</v>
      </c>
      <c r="H197" s="9"/>
      <c r="I197" s="109">
        <v>5.6182999999999996</v>
      </c>
      <c r="J197" s="117">
        <v>21920581</v>
      </c>
      <c r="K197" s="120">
        <f t="shared" si="38"/>
        <v>389.24941844979134</v>
      </c>
      <c r="L197" s="122">
        <f t="shared" si="33"/>
        <v>39016394.759999998</v>
      </c>
      <c r="M197" s="116">
        <f t="shared" si="34"/>
        <v>17095813.759999998</v>
      </c>
      <c r="N197" s="123">
        <f t="shared" si="35"/>
        <v>303.57478043150132</v>
      </c>
      <c r="O197" s="5"/>
      <c r="P197" s="5">
        <f t="shared" si="31"/>
        <v>1</v>
      </c>
      <c r="Q197" s="7">
        <f t="shared" si="32"/>
        <v>56315</v>
      </c>
    </row>
    <row r="198" spans="1:17">
      <c r="A198" s="23" t="s">
        <v>228</v>
      </c>
      <c r="B198" s="35" t="s">
        <v>224</v>
      </c>
      <c r="C198" s="36">
        <v>506</v>
      </c>
      <c r="D198" s="114" t="s">
        <v>564</v>
      </c>
      <c r="E198" s="116"/>
      <c r="F198" s="117"/>
      <c r="G198" s="117"/>
      <c r="H198" s="9" t="s">
        <v>528</v>
      </c>
      <c r="I198" s="109"/>
      <c r="J198" s="117"/>
      <c r="K198" s="120"/>
      <c r="L198" s="122">
        <f t="shared" si="33"/>
        <v>0</v>
      </c>
      <c r="M198" s="116">
        <f t="shared" si="34"/>
        <v>0</v>
      </c>
      <c r="N198" s="123">
        <f t="shared" si="35"/>
        <v>0</v>
      </c>
      <c r="O198" s="5"/>
      <c r="P198" s="5">
        <f t="shared" ref="P198:P261" si="41">IF(I198&gt;0,1,0)</f>
        <v>0</v>
      </c>
      <c r="Q198" s="7">
        <f t="shared" ref="Q198:Q261" si="42">IF(I198&gt;0,C198,0)</f>
        <v>0</v>
      </c>
    </row>
    <row r="199" spans="1:17">
      <c r="A199" s="23" t="s">
        <v>229</v>
      </c>
      <c r="B199" s="35" t="s">
        <v>230</v>
      </c>
      <c r="C199" s="36">
        <v>817</v>
      </c>
      <c r="D199" s="113">
        <v>2340801985</v>
      </c>
      <c r="E199" s="116">
        <f t="shared" si="39"/>
        <v>2865118.7086903304</v>
      </c>
      <c r="F199" s="117">
        <v>1937426623</v>
      </c>
      <c r="G199" s="117">
        <f t="shared" si="40"/>
        <v>2371391.2154222764</v>
      </c>
      <c r="H199" s="9"/>
      <c r="I199" s="109">
        <v>3.3841000000000001</v>
      </c>
      <c r="J199" s="117">
        <v>6556445</v>
      </c>
      <c r="K199" s="120">
        <f t="shared" ref="K199:K216" si="43">(J199/C199)</f>
        <v>8025.0244798041613</v>
      </c>
      <c r="L199" s="122">
        <f t="shared" si="33"/>
        <v>19374266.23</v>
      </c>
      <c r="M199" s="116">
        <f t="shared" si="34"/>
        <v>12817821.23</v>
      </c>
      <c r="N199" s="123">
        <f t="shared" si="35"/>
        <v>15688.887674418605</v>
      </c>
      <c r="O199" s="5"/>
      <c r="P199" s="5">
        <f t="shared" si="41"/>
        <v>1</v>
      </c>
      <c r="Q199" s="7">
        <f t="shared" si="42"/>
        <v>817</v>
      </c>
    </row>
    <row r="200" spans="1:17">
      <c r="A200" s="24" t="s">
        <v>582</v>
      </c>
      <c r="B200" s="35" t="s">
        <v>230</v>
      </c>
      <c r="C200" s="36">
        <v>355</v>
      </c>
      <c r="D200" s="113">
        <v>23765003</v>
      </c>
      <c r="E200" s="116">
        <f t="shared" si="39"/>
        <v>66943.670422535215</v>
      </c>
      <c r="F200" s="117">
        <v>22067810</v>
      </c>
      <c r="G200" s="117">
        <f t="shared" si="40"/>
        <v>62162.845070422532</v>
      </c>
      <c r="H200" s="7"/>
      <c r="I200" s="110">
        <v>2.6295000000000002</v>
      </c>
      <c r="J200" s="117">
        <v>58027</v>
      </c>
      <c r="K200" s="120">
        <f t="shared" si="43"/>
        <v>163.456338028169</v>
      </c>
      <c r="L200" s="122">
        <f t="shared" ref="L200:L263" si="44">(F200*0.01)</f>
        <v>220678.1</v>
      </c>
      <c r="M200" s="116">
        <f t="shared" ref="M200:M263" si="45">(L200-J200)</f>
        <v>162651.1</v>
      </c>
      <c r="N200" s="123">
        <f t="shared" ref="N200:N263" si="46">(M200/C200)</f>
        <v>458.17211267605637</v>
      </c>
      <c r="O200" s="5"/>
      <c r="P200" s="5">
        <f t="shared" si="41"/>
        <v>1</v>
      </c>
      <c r="Q200" s="7">
        <f t="shared" si="42"/>
        <v>355</v>
      </c>
    </row>
    <row r="201" spans="1:17">
      <c r="A201" s="23" t="s">
        <v>446</v>
      </c>
      <c r="B201" s="35" t="s">
        <v>230</v>
      </c>
      <c r="C201" s="36">
        <v>1996</v>
      </c>
      <c r="D201" s="113">
        <v>766282348</v>
      </c>
      <c r="E201" s="116">
        <f t="shared" si="39"/>
        <v>383908.99198396795</v>
      </c>
      <c r="F201" s="117">
        <v>595749100</v>
      </c>
      <c r="G201" s="117">
        <f t="shared" si="40"/>
        <v>298471.49298597197</v>
      </c>
      <c r="H201" s="7"/>
      <c r="I201" s="109">
        <v>2.1800000000000002</v>
      </c>
      <c r="J201" s="117">
        <v>1298733</v>
      </c>
      <c r="K201" s="120">
        <f t="shared" si="43"/>
        <v>650.66783567134269</v>
      </c>
      <c r="L201" s="122">
        <f t="shared" si="44"/>
        <v>5957491</v>
      </c>
      <c r="M201" s="116">
        <f t="shared" si="45"/>
        <v>4658758</v>
      </c>
      <c r="N201" s="123">
        <f t="shared" si="46"/>
        <v>2334.0470941883768</v>
      </c>
      <c r="O201" s="5"/>
      <c r="P201" s="5">
        <f t="shared" si="41"/>
        <v>1</v>
      </c>
      <c r="Q201" s="7">
        <f t="shared" si="42"/>
        <v>1996</v>
      </c>
    </row>
    <row r="202" spans="1:17">
      <c r="A202" s="24" t="s">
        <v>231</v>
      </c>
      <c r="B202" s="37" t="s">
        <v>230</v>
      </c>
      <c r="C202" s="36">
        <v>15593</v>
      </c>
      <c r="D202" s="113">
        <v>2479240216</v>
      </c>
      <c r="E202" s="116">
        <f t="shared" si="39"/>
        <v>158996.99967934331</v>
      </c>
      <c r="F202" s="117">
        <v>1698721302</v>
      </c>
      <c r="G202" s="117">
        <f t="shared" si="40"/>
        <v>108941.27505932149</v>
      </c>
      <c r="H202" s="7"/>
      <c r="I202" s="109">
        <v>4.3329000000000004</v>
      </c>
      <c r="J202" s="117">
        <v>7360390</v>
      </c>
      <c r="K202" s="120">
        <f t="shared" si="43"/>
        <v>472.03168088244723</v>
      </c>
      <c r="L202" s="122">
        <f t="shared" si="44"/>
        <v>16987213.02</v>
      </c>
      <c r="M202" s="116">
        <f t="shared" si="45"/>
        <v>9626823.0199999996</v>
      </c>
      <c r="N202" s="123">
        <f t="shared" si="46"/>
        <v>617.38106971076763</v>
      </c>
      <c r="O202" s="5"/>
      <c r="P202" s="5">
        <f t="shared" si="41"/>
        <v>1</v>
      </c>
      <c r="Q202" s="7">
        <f t="shared" si="42"/>
        <v>15593</v>
      </c>
    </row>
    <row r="203" spans="1:17">
      <c r="A203" s="23" t="s">
        <v>232</v>
      </c>
      <c r="B203" s="37" t="s">
        <v>233</v>
      </c>
      <c r="C203" s="36">
        <v>35762</v>
      </c>
      <c r="D203" s="113">
        <v>8055964997</v>
      </c>
      <c r="E203" s="116">
        <f t="shared" si="39"/>
        <v>225266.06445388962</v>
      </c>
      <c r="F203" s="117">
        <v>7237161850</v>
      </c>
      <c r="G203" s="117">
        <f t="shared" si="40"/>
        <v>202370.16525921368</v>
      </c>
      <c r="H203" s="9"/>
      <c r="I203" s="110">
        <v>1.7261</v>
      </c>
      <c r="J203" s="117">
        <v>12492065</v>
      </c>
      <c r="K203" s="120">
        <f t="shared" si="43"/>
        <v>349.31114031653709</v>
      </c>
      <c r="L203" s="122">
        <f t="shared" si="44"/>
        <v>72371618.5</v>
      </c>
      <c r="M203" s="116">
        <f t="shared" si="45"/>
        <v>59879553.5</v>
      </c>
      <c r="N203" s="123">
        <f t="shared" si="46"/>
        <v>1674.3905122755998</v>
      </c>
      <c r="O203" s="5"/>
      <c r="P203" s="5">
        <f t="shared" si="41"/>
        <v>1</v>
      </c>
      <c r="Q203" s="7">
        <f t="shared" si="42"/>
        <v>35762</v>
      </c>
    </row>
    <row r="204" spans="1:17">
      <c r="A204" s="23" t="s">
        <v>234</v>
      </c>
      <c r="B204" s="37" t="s">
        <v>233</v>
      </c>
      <c r="C204" s="36">
        <v>2513</v>
      </c>
      <c r="D204" s="113">
        <v>2574495173</v>
      </c>
      <c r="E204" s="116">
        <f t="shared" si="39"/>
        <v>1024470.820931158</v>
      </c>
      <c r="F204" s="117">
        <v>2373517970</v>
      </c>
      <c r="G204" s="117">
        <f t="shared" si="40"/>
        <v>944495.8097890967</v>
      </c>
      <c r="H204" s="9"/>
      <c r="I204" s="109">
        <v>2.5567000000000002</v>
      </c>
      <c r="J204" s="117">
        <v>6068373</v>
      </c>
      <c r="K204" s="120">
        <f t="shared" si="43"/>
        <v>2414.7922801432551</v>
      </c>
      <c r="L204" s="122">
        <f t="shared" si="44"/>
        <v>23735179.699999999</v>
      </c>
      <c r="M204" s="116">
        <f t="shared" si="45"/>
        <v>17666806.699999999</v>
      </c>
      <c r="N204" s="123">
        <f t="shared" si="46"/>
        <v>7030.165817747712</v>
      </c>
      <c r="O204" s="5"/>
      <c r="P204" s="5">
        <f t="shared" si="41"/>
        <v>1</v>
      </c>
      <c r="Q204" s="7">
        <f t="shared" si="42"/>
        <v>2513</v>
      </c>
    </row>
    <row r="205" spans="1:17">
      <c r="A205" s="23" t="s">
        <v>235</v>
      </c>
      <c r="B205" s="37" t="s">
        <v>233</v>
      </c>
      <c r="C205" s="36">
        <v>5628</v>
      </c>
      <c r="D205" s="113">
        <v>801161666</v>
      </c>
      <c r="E205" s="116">
        <f t="shared" si="39"/>
        <v>142352.81911869225</v>
      </c>
      <c r="F205" s="117">
        <v>604418087</v>
      </c>
      <c r="G205" s="117">
        <f t="shared" si="40"/>
        <v>107394.82711442786</v>
      </c>
      <c r="H205" s="9"/>
      <c r="I205" s="109">
        <v>5.2971000000000004</v>
      </c>
      <c r="J205" s="117">
        <v>3201663</v>
      </c>
      <c r="K205" s="120">
        <f t="shared" si="43"/>
        <v>568.88113006396588</v>
      </c>
      <c r="L205" s="122">
        <f t="shared" si="44"/>
        <v>6044180.8700000001</v>
      </c>
      <c r="M205" s="116">
        <f t="shared" si="45"/>
        <v>2842517.87</v>
      </c>
      <c r="N205" s="123">
        <f t="shared" si="46"/>
        <v>505.06714108031275</v>
      </c>
      <c r="O205" s="5"/>
      <c r="P205" s="5">
        <f t="shared" si="41"/>
        <v>1</v>
      </c>
      <c r="Q205" s="7">
        <f t="shared" si="42"/>
        <v>5628</v>
      </c>
    </row>
    <row r="206" spans="1:17">
      <c r="A206" s="23" t="s">
        <v>236</v>
      </c>
      <c r="B206" s="37" t="s">
        <v>233</v>
      </c>
      <c r="C206" s="36">
        <v>3055</v>
      </c>
      <c r="D206" s="113">
        <v>210935577</v>
      </c>
      <c r="E206" s="116">
        <f t="shared" si="39"/>
        <v>69046.015384615384</v>
      </c>
      <c r="F206" s="117">
        <v>131621203</v>
      </c>
      <c r="G206" s="117">
        <f t="shared" si="40"/>
        <v>43083.863502454995</v>
      </c>
      <c r="H206" s="9"/>
      <c r="I206" s="109">
        <v>8.9932999999999996</v>
      </c>
      <c r="J206" s="117">
        <v>1183709</v>
      </c>
      <c r="K206" s="120">
        <f t="shared" si="43"/>
        <v>387.46612111292961</v>
      </c>
      <c r="L206" s="122">
        <f t="shared" si="44"/>
        <v>1316212.03</v>
      </c>
      <c r="M206" s="116">
        <f t="shared" si="45"/>
        <v>132503.03000000003</v>
      </c>
      <c r="N206" s="123">
        <f t="shared" si="46"/>
        <v>43.372513911620302</v>
      </c>
      <c r="O206" s="5"/>
      <c r="P206" s="5">
        <f t="shared" si="41"/>
        <v>1</v>
      </c>
      <c r="Q206" s="7">
        <f t="shared" si="42"/>
        <v>3055</v>
      </c>
    </row>
    <row r="207" spans="1:17">
      <c r="A207" s="23" t="s">
        <v>237</v>
      </c>
      <c r="B207" s="37" t="s">
        <v>233</v>
      </c>
      <c r="C207" s="36">
        <v>46776</v>
      </c>
      <c r="D207" s="113">
        <v>15257301183</v>
      </c>
      <c r="E207" s="116">
        <f t="shared" si="39"/>
        <v>326177.97979733197</v>
      </c>
      <c r="F207" s="117">
        <v>11791871129</v>
      </c>
      <c r="G207" s="117">
        <f t="shared" si="40"/>
        <v>252092.33643321361</v>
      </c>
      <c r="H207" s="9"/>
      <c r="I207" s="109">
        <v>6.0720000000000001</v>
      </c>
      <c r="J207" s="117">
        <v>71600241</v>
      </c>
      <c r="K207" s="120">
        <f t="shared" si="43"/>
        <v>1530.704656233966</v>
      </c>
      <c r="L207" s="122">
        <f t="shared" si="44"/>
        <v>117918711.29000001</v>
      </c>
      <c r="M207" s="116">
        <f t="shared" si="45"/>
        <v>46318470.290000007</v>
      </c>
      <c r="N207" s="123">
        <f t="shared" si="46"/>
        <v>990.21870809817017</v>
      </c>
      <c r="O207" s="5"/>
      <c r="P207" s="5">
        <f t="shared" si="41"/>
        <v>1</v>
      </c>
      <c r="Q207" s="7">
        <f t="shared" si="42"/>
        <v>46776</v>
      </c>
    </row>
    <row r="208" spans="1:17">
      <c r="A208" s="23" t="s">
        <v>524</v>
      </c>
      <c r="B208" s="37" t="s">
        <v>233</v>
      </c>
      <c r="C208" s="36">
        <v>40286</v>
      </c>
      <c r="D208" s="113">
        <v>2532903019</v>
      </c>
      <c r="E208" s="116">
        <f t="shared" si="39"/>
        <v>62873.033286997961</v>
      </c>
      <c r="F208" s="117">
        <v>1734665729</v>
      </c>
      <c r="G208" s="117">
        <f t="shared" si="40"/>
        <v>43058.772998063847</v>
      </c>
      <c r="H208" s="9"/>
      <c r="I208" s="109">
        <v>2.5888</v>
      </c>
      <c r="J208" s="117">
        <v>4490703</v>
      </c>
      <c r="K208" s="120">
        <f t="shared" si="43"/>
        <v>111.47056049247878</v>
      </c>
      <c r="L208" s="122">
        <f t="shared" si="44"/>
        <v>17346657.289999999</v>
      </c>
      <c r="M208" s="116">
        <f t="shared" si="45"/>
        <v>12855954.289999999</v>
      </c>
      <c r="N208" s="123">
        <f t="shared" si="46"/>
        <v>319.11716948815962</v>
      </c>
      <c r="O208" s="5"/>
      <c r="P208" s="5">
        <f t="shared" si="41"/>
        <v>1</v>
      </c>
      <c r="Q208" s="7">
        <f t="shared" si="42"/>
        <v>40286</v>
      </c>
    </row>
    <row r="209" spans="1:17">
      <c r="A209" s="23" t="s">
        <v>501</v>
      </c>
      <c r="B209" s="37" t="s">
        <v>233</v>
      </c>
      <c r="C209" s="36">
        <v>45709</v>
      </c>
      <c r="D209" s="113">
        <v>10281653698</v>
      </c>
      <c r="E209" s="116">
        <f t="shared" si="39"/>
        <v>224937.18300553501</v>
      </c>
      <c r="F209" s="117">
        <v>8844372060</v>
      </c>
      <c r="G209" s="117">
        <f t="shared" si="40"/>
        <v>193493.01144194798</v>
      </c>
      <c r="H209" s="9"/>
      <c r="I209" s="109">
        <v>2.4470000000000001</v>
      </c>
      <c r="J209" s="117">
        <v>21642178</v>
      </c>
      <c r="K209" s="120">
        <f t="shared" si="43"/>
        <v>473.47738957316938</v>
      </c>
      <c r="L209" s="122">
        <f t="shared" si="44"/>
        <v>88443720.600000009</v>
      </c>
      <c r="M209" s="116">
        <f t="shared" si="45"/>
        <v>66801542.600000009</v>
      </c>
      <c r="N209" s="123">
        <f t="shared" si="46"/>
        <v>1461.4527248463105</v>
      </c>
      <c r="O209" s="5"/>
      <c r="P209" s="5">
        <f t="shared" si="41"/>
        <v>1</v>
      </c>
      <c r="Q209" s="7">
        <f t="shared" si="42"/>
        <v>45709</v>
      </c>
    </row>
    <row r="210" spans="1:17">
      <c r="A210" s="23" t="s">
        <v>238</v>
      </c>
      <c r="B210" s="37" t="s">
        <v>233</v>
      </c>
      <c r="C210" s="36">
        <v>2325</v>
      </c>
      <c r="D210" s="113">
        <v>148423378</v>
      </c>
      <c r="E210" s="116">
        <f t="shared" si="39"/>
        <v>63838.012043010756</v>
      </c>
      <c r="F210" s="117">
        <v>86595460</v>
      </c>
      <c r="G210" s="117">
        <f t="shared" si="40"/>
        <v>37245.359139784945</v>
      </c>
      <c r="H210" s="9"/>
      <c r="I210" s="109">
        <v>7.9</v>
      </c>
      <c r="J210" s="117">
        <v>684104</v>
      </c>
      <c r="K210" s="120">
        <f t="shared" si="43"/>
        <v>294.23827956989248</v>
      </c>
      <c r="L210" s="122">
        <f t="shared" si="44"/>
        <v>865954.6</v>
      </c>
      <c r="M210" s="116">
        <f t="shared" si="45"/>
        <v>181850.59999999998</v>
      </c>
      <c r="N210" s="123">
        <f t="shared" si="46"/>
        <v>78.215311827956981</v>
      </c>
      <c r="O210" s="5"/>
      <c r="P210" s="5">
        <f t="shared" si="41"/>
        <v>1</v>
      </c>
      <c r="Q210" s="7">
        <f t="shared" si="42"/>
        <v>2325</v>
      </c>
    </row>
    <row r="211" spans="1:17">
      <c r="A211" s="23" t="s">
        <v>239</v>
      </c>
      <c r="B211" s="37" t="s">
        <v>233</v>
      </c>
      <c r="C211" s="36">
        <v>11245</v>
      </c>
      <c r="D211" s="113">
        <v>772750218</v>
      </c>
      <c r="E211" s="116">
        <f t="shared" si="39"/>
        <v>68719.45024455314</v>
      </c>
      <c r="F211" s="117">
        <v>548887159</v>
      </c>
      <c r="G211" s="117">
        <f t="shared" si="40"/>
        <v>48811.663761671851</v>
      </c>
      <c r="H211" s="9"/>
      <c r="I211" s="109">
        <v>7.75</v>
      </c>
      <c r="J211" s="117">
        <v>4253875</v>
      </c>
      <c r="K211" s="120">
        <f t="shared" si="43"/>
        <v>378.29035126722988</v>
      </c>
      <c r="L211" s="122">
        <f t="shared" si="44"/>
        <v>5488871.5899999999</v>
      </c>
      <c r="M211" s="116">
        <f t="shared" si="45"/>
        <v>1234996.5899999999</v>
      </c>
      <c r="N211" s="123">
        <f t="shared" si="46"/>
        <v>109.82628634948865</v>
      </c>
      <c r="O211" s="5"/>
      <c r="P211" s="5">
        <f t="shared" si="41"/>
        <v>1</v>
      </c>
      <c r="Q211" s="7">
        <f t="shared" si="42"/>
        <v>11245</v>
      </c>
    </row>
    <row r="212" spans="1:17">
      <c r="A212" s="23" t="s">
        <v>240</v>
      </c>
      <c r="B212" s="37" t="s">
        <v>233</v>
      </c>
      <c r="C212" s="36">
        <v>919</v>
      </c>
      <c r="D212" s="113">
        <v>833970003</v>
      </c>
      <c r="E212" s="116">
        <f t="shared" si="39"/>
        <v>907475.52013057668</v>
      </c>
      <c r="F212" s="117">
        <v>642915953</v>
      </c>
      <c r="G212" s="117">
        <f t="shared" si="40"/>
        <v>699582.10337323172</v>
      </c>
      <c r="H212" s="9"/>
      <c r="I212" s="109">
        <v>7.0140000000000002</v>
      </c>
      <c r="J212" s="117">
        <v>4509412</v>
      </c>
      <c r="K212" s="120">
        <f t="shared" si="43"/>
        <v>4906.868335146899</v>
      </c>
      <c r="L212" s="122">
        <f t="shared" si="44"/>
        <v>6429159.5300000003</v>
      </c>
      <c r="M212" s="116">
        <f t="shared" si="45"/>
        <v>1919747.5300000003</v>
      </c>
      <c r="N212" s="123">
        <f t="shared" si="46"/>
        <v>2088.9526985854191</v>
      </c>
      <c r="O212" s="5"/>
      <c r="P212" s="5">
        <f t="shared" si="41"/>
        <v>1</v>
      </c>
      <c r="Q212" s="7">
        <f t="shared" si="42"/>
        <v>919</v>
      </c>
    </row>
    <row r="213" spans="1:17">
      <c r="A213" s="23" t="s">
        <v>241</v>
      </c>
      <c r="B213" s="37" t="s">
        <v>233</v>
      </c>
      <c r="C213" s="36">
        <v>224667</v>
      </c>
      <c r="D213" s="113">
        <v>11621174535</v>
      </c>
      <c r="E213" s="116">
        <f t="shared" si="39"/>
        <v>51726.219404718984</v>
      </c>
      <c r="F213" s="117">
        <v>7754143834</v>
      </c>
      <c r="G213" s="117">
        <f t="shared" si="40"/>
        <v>34513.942118780236</v>
      </c>
      <c r="H213" s="9"/>
      <c r="I213" s="109">
        <v>6.54</v>
      </c>
      <c r="J213" s="117">
        <v>50712101</v>
      </c>
      <c r="K213" s="120">
        <f t="shared" si="43"/>
        <v>225.72118290625681</v>
      </c>
      <c r="L213" s="122">
        <f t="shared" si="44"/>
        <v>77541438.340000004</v>
      </c>
      <c r="M213" s="116">
        <f t="shared" si="45"/>
        <v>26829337.340000004</v>
      </c>
      <c r="N213" s="123">
        <f t="shared" si="46"/>
        <v>119.4182382815456</v>
      </c>
      <c r="O213" s="5"/>
      <c r="P213" s="5">
        <f t="shared" si="41"/>
        <v>1</v>
      </c>
      <c r="Q213" s="7">
        <f t="shared" si="42"/>
        <v>224667</v>
      </c>
    </row>
    <row r="214" spans="1:17">
      <c r="A214" s="23" t="s">
        <v>242</v>
      </c>
      <c r="B214" s="37" t="s">
        <v>233</v>
      </c>
      <c r="C214" s="36">
        <v>21744</v>
      </c>
      <c r="D214" s="113">
        <v>1530663204</v>
      </c>
      <c r="E214" s="116">
        <f t="shared" si="39"/>
        <v>70394.738962472402</v>
      </c>
      <c r="F214" s="117">
        <v>985166272</v>
      </c>
      <c r="G214" s="117">
        <f t="shared" si="40"/>
        <v>45307.499632082414</v>
      </c>
      <c r="H214" s="9"/>
      <c r="I214" s="109">
        <v>5.46</v>
      </c>
      <c r="J214" s="117">
        <v>5379008</v>
      </c>
      <c r="K214" s="120">
        <f t="shared" si="43"/>
        <v>247.37895511405446</v>
      </c>
      <c r="L214" s="122">
        <f t="shared" si="44"/>
        <v>9851662.7200000007</v>
      </c>
      <c r="M214" s="116">
        <f t="shared" si="45"/>
        <v>4472654.7200000007</v>
      </c>
      <c r="N214" s="123">
        <f t="shared" si="46"/>
        <v>205.69604120676971</v>
      </c>
      <c r="O214" s="5"/>
      <c r="P214" s="5">
        <f t="shared" si="41"/>
        <v>1</v>
      </c>
      <c r="Q214" s="7">
        <f t="shared" si="42"/>
        <v>21744</v>
      </c>
    </row>
    <row r="215" spans="1:17">
      <c r="A215" s="23" t="s">
        <v>243</v>
      </c>
      <c r="B215" s="37" t="s">
        <v>233</v>
      </c>
      <c r="C215" s="36">
        <v>60509</v>
      </c>
      <c r="D215" s="113">
        <v>3042488907</v>
      </c>
      <c r="E215" s="116">
        <f t="shared" si="39"/>
        <v>50281.592936587949</v>
      </c>
      <c r="F215" s="117">
        <v>2052731552</v>
      </c>
      <c r="G215" s="117">
        <f t="shared" si="40"/>
        <v>33924.400535457535</v>
      </c>
      <c r="H215" s="9"/>
      <c r="I215" s="109">
        <v>6.2916999999999996</v>
      </c>
      <c r="J215" s="117">
        <v>12915171</v>
      </c>
      <c r="K215" s="120">
        <f t="shared" si="43"/>
        <v>213.4421491017865</v>
      </c>
      <c r="L215" s="122">
        <f t="shared" si="44"/>
        <v>20527315.52</v>
      </c>
      <c r="M215" s="116">
        <f t="shared" si="45"/>
        <v>7612144.5199999996</v>
      </c>
      <c r="N215" s="123">
        <f t="shared" si="46"/>
        <v>125.80185625278884</v>
      </c>
      <c r="O215" s="5"/>
      <c r="P215" s="5">
        <f t="shared" si="41"/>
        <v>1</v>
      </c>
      <c r="Q215" s="7">
        <f t="shared" si="42"/>
        <v>60509</v>
      </c>
    </row>
    <row r="216" spans="1:17">
      <c r="A216" s="23" t="s">
        <v>244</v>
      </c>
      <c r="B216" s="37" t="s">
        <v>233</v>
      </c>
      <c r="C216" s="36">
        <v>86</v>
      </c>
      <c r="D216" s="113">
        <v>339710587</v>
      </c>
      <c r="E216" s="116">
        <f t="shared" si="39"/>
        <v>3950123.1046511629</v>
      </c>
      <c r="F216" s="117">
        <v>322167086</v>
      </c>
      <c r="G216" s="117">
        <f t="shared" si="40"/>
        <v>3746128.9069767441</v>
      </c>
      <c r="H216" s="9"/>
      <c r="I216" s="109">
        <v>1.8038000000000001</v>
      </c>
      <c r="J216" s="117">
        <v>581125</v>
      </c>
      <c r="K216" s="120">
        <f t="shared" si="43"/>
        <v>6757.2674418604647</v>
      </c>
      <c r="L216" s="122">
        <f t="shared" si="44"/>
        <v>3221670.86</v>
      </c>
      <c r="M216" s="116">
        <f t="shared" si="45"/>
        <v>2640545.86</v>
      </c>
      <c r="N216" s="123">
        <f t="shared" si="46"/>
        <v>30704.021627906975</v>
      </c>
      <c r="O216" s="5"/>
      <c r="P216" s="5">
        <f t="shared" si="41"/>
        <v>1</v>
      </c>
      <c r="Q216" s="7">
        <f t="shared" si="42"/>
        <v>86</v>
      </c>
    </row>
    <row r="217" spans="1:17">
      <c r="A217" s="23" t="s">
        <v>245</v>
      </c>
      <c r="B217" s="37" t="s">
        <v>233</v>
      </c>
      <c r="C217" s="36">
        <v>18</v>
      </c>
      <c r="D217" s="114" t="s">
        <v>564</v>
      </c>
      <c r="E217" s="116"/>
      <c r="F217" s="117"/>
      <c r="G217" s="117"/>
      <c r="H217" s="9" t="s">
        <v>528</v>
      </c>
      <c r="I217" s="109"/>
      <c r="J217" s="117"/>
      <c r="K217" s="120"/>
      <c r="L217" s="122">
        <f t="shared" si="44"/>
        <v>0</v>
      </c>
      <c r="M217" s="116">
        <f t="shared" si="45"/>
        <v>0</v>
      </c>
      <c r="N217" s="123">
        <f t="shared" si="46"/>
        <v>0</v>
      </c>
      <c r="O217" s="5"/>
      <c r="P217" s="5">
        <f t="shared" si="41"/>
        <v>0</v>
      </c>
      <c r="Q217" s="7">
        <f t="shared" si="42"/>
        <v>0</v>
      </c>
    </row>
    <row r="218" spans="1:17">
      <c r="A218" s="23" t="s">
        <v>246</v>
      </c>
      <c r="B218" s="37" t="s">
        <v>233</v>
      </c>
      <c r="C218" s="36">
        <v>12344</v>
      </c>
      <c r="D218" s="113">
        <v>6327072233</v>
      </c>
      <c r="E218" s="116">
        <f t="shared" si="39"/>
        <v>512562.55938107584</v>
      </c>
      <c r="F218" s="117">
        <v>5442072733</v>
      </c>
      <c r="G218" s="117">
        <f t="shared" si="40"/>
        <v>440867.84940051846</v>
      </c>
      <c r="H218" s="9"/>
      <c r="I218" s="109">
        <v>3.2</v>
      </c>
      <c r="J218" s="117">
        <v>17414633</v>
      </c>
      <c r="K218" s="120">
        <f t="shared" ref="K218:K249" si="47">(J218/C218)</f>
        <v>1410.7771386908619</v>
      </c>
      <c r="L218" s="122">
        <f t="shared" si="44"/>
        <v>54420727.329999998</v>
      </c>
      <c r="M218" s="116">
        <f t="shared" si="45"/>
        <v>37006094.329999998</v>
      </c>
      <c r="N218" s="123">
        <f t="shared" si="46"/>
        <v>2997.9013553143227</v>
      </c>
      <c r="O218" s="5"/>
      <c r="P218" s="5">
        <f t="shared" si="41"/>
        <v>1</v>
      </c>
      <c r="Q218" s="7">
        <f t="shared" si="42"/>
        <v>12344</v>
      </c>
    </row>
    <row r="219" spans="1:17">
      <c r="A219" s="23" t="s">
        <v>247</v>
      </c>
      <c r="B219" s="37" t="s">
        <v>233</v>
      </c>
      <c r="C219" s="36">
        <v>838</v>
      </c>
      <c r="D219" s="113">
        <v>1951425188</v>
      </c>
      <c r="E219" s="116">
        <f t="shared" si="39"/>
        <v>2328669.6754176612</v>
      </c>
      <c r="F219" s="117">
        <v>1873029115</v>
      </c>
      <c r="G219" s="117">
        <f t="shared" si="40"/>
        <v>2235118.2756563248</v>
      </c>
      <c r="H219" s="9"/>
      <c r="I219" s="109">
        <v>5.65</v>
      </c>
      <c r="J219" s="117">
        <v>10582614</v>
      </c>
      <c r="K219" s="120">
        <f t="shared" si="47"/>
        <v>12628.417661097852</v>
      </c>
      <c r="L219" s="122">
        <f t="shared" si="44"/>
        <v>18730291.150000002</v>
      </c>
      <c r="M219" s="116">
        <f t="shared" si="45"/>
        <v>8147677.1500000022</v>
      </c>
      <c r="N219" s="123">
        <f t="shared" si="46"/>
        <v>9722.7650954653964</v>
      </c>
      <c r="O219" s="5"/>
      <c r="P219" s="5">
        <f t="shared" si="41"/>
        <v>1</v>
      </c>
      <c r="Q219" s="7">
        <f t="shared" si="42"/>
        <v>838</v>
      </c>
    </row>
    <row r="220" spans="1:17">
      <c r="A220" s="23" t="s">
        <v>248</v>
      </c>
      <c r="B220" s="37" t="s">
        <v>233</v>
      </c>
      <c r="C220" s="36">
        <v>399508</v>
      </c>
      <c r="D220" s="113">
        <v>43785245304</v>
      </c>
      <c r="E220" s="116">
        <f t="shared" si="39"/>
        <v>109597.918700001</v>
      </c>
      <c r="F220" s="117">
        <v>31447314287</v>
      </c>
      <c r="G220" s="117">
        <f t="shared" si="40"/>
        <v>78715.105297015325</v>
      </c>
      <c r="H220" s="9"/>
      <c r="I220" s="109">
        <v>7.6740000000000004</v>
      </c>
      <c r="J220" s="117">
        <v>241326690</v>
      </c>
      <c r="K220" s="120">
        <f t="shared" si="47"/>
        <v>604.059718453698</v>
      </c>
      <c r="L220" s="122">
        <f t="shared" si="44"/>
        <v>314473142.87</v>
      </c>
      <c r="M220" s="116">
        <f t="shared" si="45"/>
        <v>73146452.870000005</v>
      </c>
      <c r="N220" s="123">
        <f t="shared" si="46"/>
        <v>183.09133451645525</v>
      </c>
      <c r="O220" s="5"/>
      <c r="P220" s="5">
        <f t="shared" si="41"/>
        <v>1</v>
      </c>
      <c r="Q220" s="7">
        <f t="shared" si="42"/>
        <v>399508</v>
      </c>
    </row>
    <row r="221" spans="1:17">
      <c r="A221" s="23" t="s">
        <v>249</v>
      </c>
      <c r="B221" s="37" t="s">
        <v>233</v>
      </c>
      <c r="C221" s="36">
        <v>87778</v>
      </c>
      <c r="D221" s="113">
        <v>26429125256</v>
      </c>
      <c r="E221" s="116">
        <f t="shared" si="39"/>
        <v>301090.53813028324</v>
      </c>
      <c r="F221" s="117">
        <v>22056478293</v>
      </c>
      <c r="G221" s="117">
        <f t="shared" si="40"/>
        <v>251275.69884253456</v>
      </c>
      <c r="H221" s="9"/>
      <c r="I221" s="109">
        <v>6.2154999999999996</v>
      </c>
      <c r="J221" s="117">
        <v>137092041</v>
      </c>
      <c r="K221" s="120">
        <f t="shared" si="47"/>
        <v>1561.8041080908656</v>
      </c>
      <c r="L221" s="122">
        <f t="shared" si="44"/>
        <v>220564782.93000001</v>
      </c>
      <c r="M221" s="116">
        <f t="shared" si="45"/>
        <v>83472741.930000007</v>
      </c>
      <c r="N221" s="123">
        <f t="shared" si="46"/>
        <v>950.95288033448026</v>
      </c>
      <c r="O221" s="5"/>
      <c r="P221" s="5">
        <f t="shared" si="41"/>
        <v>1</v>
      </c>
      <c r="Q221" s="7">
        <f t="shared" si="42"/>
        <v>87778</v>
      </c>
    </row>
    <row r="222" spans="1:17">
      <c r="A222" s="23" t="s">
        <v>500</v>
      </c>
      <c r="B222" s="37" t="s">
        <v>233</v>
      </c>
      <c r="C222" s="36">
        <v>107166</v>
      </c>
      <c r="D222" s="113">
        <v>5722012569</v>
      </c>
      <c r="E222" s="116">
        <f t="shared" si="39"/>
        <v>53393.917557807516</v>
      </c>
      <c r="F222" s="117">
        <v>3715355356</v>
      </c>
      <c r="G222" s="117">
        <f t="shared" si="40"/>
        <v>34669.161450460037</v>
      </c>
      <c r="H222" s="9"/>
      <c r="I222" s="109">
        <v>5.7141000000000002</v>
      </c>
      <c r="J222" s="117">
        <v>21229912</v>
      </c>
      <c r="K222" s="120">
        <f t="shared" si="47"/>
        <v>198.10305507343747</v>
      </c>
      <c r="L222" s="122">
        <f t="shared" si="44"/>
        <v>37153553.560000002</v>
      </c>
      <c r="M222" s="116">
        <f t="shared" si="45"/>
        <v>15923641.560000002</v>
      </c>
      <c r="N222" s="123">
        <f t="shared" si="46"/>
        <v>148.58855943116288</v>
      </c>
      <c r="O222" s="5"/>
      <c r="P222" s="5">
        <f t="shared" si="41"/>
        <v>1</v>
      </c>
      <c r="Q222" s="7">
        <f t="shared" si="42"/>
        <v>107166</v>
      </c>
    </row>
    <row r="223" spans="1:17">
      <c r="A223" s="23" t="s">
        <v>459</v>
      </c>
      <c r="B223" s="37" t="s">
        <v>233</v>
      </c>
      <c r="C223" s="36">
        <v>29361</v>
      </c>
      <c r="D223" s="113">
        <v>3500152417</v>
      </c>
      <c r="E223" s="116">
        <f t="shared" ref="E223:E286" si="48">(D223/C223)</f>
        <v>119210.9402608903</v>
      </c>
      <c r="F223" s="117">
        <v>2551140510</v>
      </c>
      <c r="G223" s="117">
        <f t="shared" ref="G223:G286" si="49">(F223/C223)</f>
        <v>86888.747317870642</v>
      </c>
      <c r="H223" s="9"/>
      <c r="I223" s="109">
        <v>2.3702000000000001</v>
      </c>
      <c r="J223" s="117">
        <v>6046713</v>
      </c>
      <c r="K223" s="120">
        <f t="shared" si="47"/>
        <v>205.94370082762848</v>
      </c>
      <c r="L223" s="122">
        <f t="shared" si="44"/>
        <v>25511405.100000001</v>
      </c>
      <c r="M223" s="116">
        <f t="shared" si="45"/>
        <v>19464692.100000001</v>
      </c>
      <c r="N223" s="123">
        <f t="shared" si="46"/>
        <v>662.943772351078</v>
      </c>
      <c r="O223" s="5"/>
      <c r="P223" s="5">
        <f t="shared" si="41"/>
        <v>1</v>
      </c>
      <c r="Q223" s="7">
        <f t="shared" si="42"/>
        <v>29361</v>
      </c>
    </row>
    <row r="224" spans="1:17">
      <c r="A224" s="23" t="s">
        <v>250</v>
      </c>
      <c r="B224" s="37" t="s">
        <v>233</v>
      </c>
      <c r="C224" s="36">
        <v>10493</v>
      </c>
      <c r="D224" s="113">
        <v>1283953769</v>
      </c>
      <c r="E224" s="116">
        <f t="shared" si="48"/>
        <v>122362.88659106071</v>
      </c>
      <c r="F224" s="117">
        <v>719497755</v>
      </c>
      <c r="G224" s="117">
        <f t="shared" si="49"/>
        <v>68569.308586676838</v>
      </c>
      <c r="H224" s="9"/>
      <c r="I224" s="109">
        <v>8</v>
      </c>
      <c r="J224" s="117">
        <v>5755982</v>
      </c>
      <c r="K224" s="120">
        <f t="shared" si="47"/>
        <v>548.55446488134942</v>
      </c>
      <c r="L224" s="122">
        <f t="shared" si="44"/>
        <v>7194977.5499999998</v>
      </c>
      <c r="M224" s="116">
        <f t="shared" si="45"/>
        <v>1438995.5499999998</v>
      </c>
      <c r="N224" s="123">
        <f t="shared" si="46"/>
        <v>137.13862098541884</v>
      </c>
      <c r="O224" s="5"/>
      <c r="P224" s="5">
        <f t="shared" si="41"/>
        <v>1</v>
      </c>
      <c r="Q224" s="7">
        <f t="shared" si="42"/>
        <v>10493</v>
      </c>
    </row>
    <row r="225" spans="1:17">
      <c r="A225" s="23" t="s">
        <v>251</v>
      </c>
      <c r="B225" s="37" t="s">
        <v>233</v>
      </c>
      <c r="C225" s="36">
        <v>13809</v>
      </c>
      <c r="D225" s="113">
        <v>1310513650</v>
      </c>
      <c r="E225" s="116">
        <f t="shared" si="48"/>
        <v>94902.864074154539</v>
      </c>
      <c r="F225" s="117">
        <v>899669046</v>
      </c>
      <c r="G225" s="117">
        <f t="shared" si="49"/>
        <v>65150.919400391052</v>
      </c>
      <c r="H225" s="9"/>
      <c r="I225" s="109">
        <v>6.4710000000000001</v>
      </c>
      <c r="J225" s="117">
        <v>5821758</v>
      </c>
      <c r="K225" s="120">
        <f t="shared" si="47"/>
        <v>421.59157071475124</v>
      </c>
      <c r="L225" s="122">
        <f t="shared" si="44"/>
        <v>8996690.4600000009</v>
      </c>
      <c r="M225" s="116">
        <f t="shared" si="45"/>
        <v>3174932.4600000009</v>
      </c>
      <c r="N225" s="123">
        <f t="shared" si="46"/>
        <v>229.91762328915931</v>
      </c>
      <c r="O225" s="5"/>
      <c r="P225" s="5">
        <f t="shared" si="41"/>
        <v>1</v>
      </c>
      <c r="Q225" s="7">
        <f t="shared" si="42"/>
        <v>13809</v>
      </c>
    </row>
    <row r="226" spans="1:17">
      <c r="A226" s="23" t="s">
        <v>252</v>
      </c>
      <c r="B226" s="37" t="s">
        <v>233</v>
      </c>
      <c r="C226" s="36">
        <v>7137</v>
      </c>
      <c r="D226" s="113">
        <v>811354472</v>
      </c>
      <c r="E226" s="116">
        <f t="shared" si="48"/>
        <v>113682.84601373126</v>
      </c>
      <c r="F226" s="117">
        <v>704077069</v>
      </c>
      <c r="G226" s="117">
        <f t="shared" si="49"/>
        <v>98651.684040913548</v>
      </c>
      <c r="H226" s="9"/>
      <c r="I226" s="109">
        <v>4.7771999999999997</v>
      </c>
      <c r="J226" s="117">
        <v>3363517</v>
      </c>
      <c r="K226" s="120">
        <f t="shared" si="47"/>
        <v>471.2788286394844</v>
      </c>
      <c r="L226" s="122">
        <f t="shared" si="44"/>
        <v>7040770.6900000004</v>
      </c>
      <c r="M226" s="116">
        <f t="shared" si="45"/>
        <v>3677253.6900000004</v>
      </c>
      <c r="N226" s="123">
        <f t="shared" si="46"/>
        <v>515.23801176965117</v>
      </c>
      <c r="O226" s="5"/>
      <c r="P226" s="5">
        <f t="shared" si="41"/>
        <v>1</v>
      </c>
      <c r="Q226" s="7">
        <f t="shared" si="42"/>
        <v>7137</v>
      </c>
    </row>
    <row r="227" spans="1:17">
      <c r="A227" s="23" t="s">
        <v>253</v>
      </c>
      <c r="B227" s="37" t="s">
        <v>233</v>
      </c>
      <c r="C227" s="36">
        <v>58912</v>
      </c>
      <c r="D227" s="113">
        <v>3304059144</v>
      </c>
      <c r="E227" s="116">
        <f t="shared" si="48"/>
        <v>56084.6541281912</v>
      </c>
      <c r="F227" s="117">
        <v>2238213055</v>
      </c>
      <c r="G227" s="117">
        <f t="shared" si="49"/>
        <v>37992.481243210212</v>
      </c>
      <c r="H227" s="9"/>
      <c r="I227" s="109">
        <v>8.1954999999999991</v>
      </c>
      <c r="J227" s="117">
        <v>18343275</v>
      </c>
      <c r="K227" s="120">
        <f t="shared" si="47"/>
        <v>311.36737846279198</v>
      </c>
      <c r="L227" s="122">
        <f t="shared" si="44"/>
        <v>22382130.550000001</v>
      </c>
      <c r="M227" s="116">
        <f t="shared" si="45"/>
        <v>4038855.5500000007</v>
      </c>
      <c r="N227" s="123">
        <f t="shared" si="46"/>
        <v>68.557433969310168</v>
      </c>
      <c r="O227" s="5"/>
      <c r="P227" s="5">
        <f t="shared" si="41"/>
        <v>1</v>
      </c>
      <c r="Q227" s="7">
        <f t="shared" si="42"/>
        <v>58912</v>
      </c>
    </row>
    <row r="228" spans="1:17">
      <c r="A228" s="23" t="s">
        <v>254</v>
      </c>
      <c r="B228" s="37" t="s">
        <v>233</v>
      </c>
      <c r="C228" s="36">
        <v>41523</v>
      </c>
      <c r="D228" s="113">
        <v>2579244394</v>
      </c>
      <c r="E228" s="116">
        <f t="shared" si="48"/>
        <v>62116.041567324137</v>
      </c>
      <c r="F228" s="117">
        <v>1810621618</v>
      </c>
      <c r="G228" s="117">
        <f t="shared" si="49"/>
        <v>43605.269802278257</v>
      </c>
      <c r="H228" s="9"/>
      <c r="I228" s="109">
        <v>6.6036000000000001</v>
      </c>
      <c r="J228" s="117">
        <v>11956621</v>
      </c>
      <c r="K228" s="120">
        <f t="shared" si="47"/>
        <v>287.95176167425285</v>
      </c>
      <c r="L228" s="122">
        <f t="shared" si="44"/>
        <v>18106216.18</v>
      </c>
      <c r="M228" s="116">
        <f t="shared" si="45"/>
        <v>6149595.1799999997</v>
      </c>
      <c r="N228" s="123">
        <f t="shared" si="46"/>
        <v>148.10093634852973</v>
      </c>
      <c r="O228" s="5"/>
      <c r="P228" s="5">
        <f t="shared" si="41"/>
        <v>1</v>
      </c>
      <c r="Q228" s="7">
        <f t="shared" si="42"/>
        <v>41523</v>
      </c>
    </row>
    <row r="229" spans="1:17">
      <c r="A229" s="23" t="s">
        <v>255</v>
      </c>
      <c r="B229" s="37" t="s">
        <v>233</v>
      </c>
      <c r="C229" s="36">
        <v>15219</v>
      </c>
      <c r="D229" s="113">
        <v>1092637898</v>
      </c>
      <c r="E229" s="116">
        <f t="shared" si="48"/>
        <v>71794.329325185623</v>
      </c>
      <c r="F229" s="117">
        <v>784321156</v>
      </c>
      <c r="G229" s="117">
        <f t="shared" si="49"/>
        <v>51535.656482029044</v>
      </c>
      <c r="H229" s="9"/>
      <c r="I229" s="109">
        <v>8.8000000000000007</v>
      </c>
      <c r="J229" s="117">
        <v>6902026</v>
      </c>
      <c r="K229" s="120">
        <f t="shared" si="47"/>
        <v>453.51376568762731</v>
      </c>
      <c r="L229" s="122">
        <f t="shared" si="44"/>
        <v>7843211.5600000005</v>
      </c>
      <c r="M229" s="116">
        <f t="shared" si="45"/>
        <v>941185.56000000052</v>
      </c>
      <c r="N229" s="123">
        <f t="shared" si="46"/>
        <v>61.842799132663153</v>
      </c>
      <c r="O229" s="5"/>
      <c r="P229" s="5">
        <f t="shared" si="41"/>
        <v>1</v>
      </c>
      <c r="Q229" s="7">
        <f t="shared" si="42"/>
        <v>15219</v>
      </c>
    </row>
    <row r="230" spans="1:17">
      <c r="A230" s="23" t="s">
        <v>493</v>
      </c>
      <c r="B230" s="37" t="s">
        <v>233</v>
      </c>
      <c r="C230" s="36">
        <v>23408</v>
      </c>
      <c r="D230" s="113">
        <v>3363742829</v>
      </c>
      <c r="E230" s="116">
        <f t="shared" si="48"/>
        <v>143700.56514866711</v>
      </c>
      <c r="F230" s="117">
        <v>2413050591</v>
      </c>
      <c r="G230" s="117">
        <f t="shared" si="49"/>
        <v>103086.57685406698</v>
      </c>
      <c r="H230" s="9"/>
      <c r="I230" s="109">
        <v>2.4470000000000001</v>
      </c>
      <c r="J230" s="117">
        <v>5904735</v>
      </c>
      <c r="K230" s="120">
        <f t="shared" si="47"/>
        <v>252.25286226930965</v>
      </c>
      <c r="L230" s="122">
        <f t="shared" si="44"/>
        <v>24130505.91</v>
      </c>
      <c r="M230" s="116">
        <f t="shared" si="45"/>
        <v>18225770.91</v>
      </c>
      <c r="N230" s="123">
        <f t="shared" si="46"/>
        <v>778.6129062713602</v>
      </c>
      <c r="O230" s="5"/>
      <c r="P230" s="5">
        <f t="shared" si="41"/>
        <v>1</v>
      </c>
      <c r="Q230" s="7">
        <f t="shared" si="42"/>
        <v>23408</v>
      </c>
    </row>
    <row r="231" spans="1:17">
      <c r="A231" s="23" t="s">
        <v>256</v>
      </c>
      <c r="B231" s="37" t="s">
        <v>233</v>
      </c>
      <c r="C231" s="36">
        <v>18223</v>
      </c>
      <c r="D231" s="113">
        <v>4600558224</v>
      </c>
      <c r="E231" s="116">
        <f t="shared" si="48"/>
        <v>252458.88295011799</v>
      </c>
      <c r="F231" s="117">
        <v>3534429951</v>
      </c>
      <c r="G231" s="117">
        <f t="shared" si="49"/>
        <v>193954.34072326182</v>
      </c>
      <c r="H231" s="9"/>
      <c r="I231" s="109">
        <v>2.1040000000000001</v>
      </c>
      <c r="J231" s="117">
        <v>7436441</v>
      </c>
      <c r="K231" s="120">
        <f t="shared" si="47"/>
        <v>408.07995390440652</v>
      </c>
      <c r="L231" s="122">
        <f t="shared" si="44"/>
        <v>35344299.509999998</v>
      </c>
      <c r="M231" s="116">
        <f t="shared" si="45"/>
        <v>27907858.509999998</v>
      </c>
      <c r="N231" s="123">
        <f t="shared" si="46"/>
        <v>1531.4634533282115</v>
      </c>
      <c r="O231" s="5"/>
      <c r="P231" s="5">
        <f t="shared" si="41"/>
        <v>1</v>
      </c>
      <c r="Q231" s="7">
        <f t="shared" si="42"/>
        <v>18223</v>
      </c>
    </row>
    <row r="232" spans="1:17">
      <c r="A232" s="23" t="s">
        <v>257</v>
      </c>
      <c r="B232" s="37" t="s">
        <v>233</v>
      </c>
      <c r="C232" s="36">
        <v>11657</v>
      </c>
      <c r="D232" s="113">
        <v>2025600309</v>
      </c>
      <c r="E232" s="116">
        <f t="shared" si="48"/>
        <v>173766.86188556234</v>
      </c>
      <c r="F232" s="117">
        <v>1407176617</v>
      </c>
      <c r="G232" s="117">
        <f t="shared" si="49"/>
        <v>120715.15973234967</v>
      </c>
      <c r="H232" s="9"/>
      <c r="I232" s="110">
        <v>4.9526000000000003</v>
      </c>
      <c r="J232" s="117">
        <v>6969183</v>
      </c>
      <c r="K232" s="120">
        <f t="shared" si="47"/>
        <v>597.85390752337651</v>
      </c>
      <c r="L232" s="122">
        <f t="shared" si="44"/>
        <v>14071766.17</v>
      </c>
      <c r="M232" s="116">
        <f t="shared" si="45"/>
        <v>7102583.1699999999</v>
      </c>
      <c r="N232" s="123">
        <f t="shared" si="46"/>
        <v>609.29768980012011</v>
      </c>
      <c r="O232" s="5"/>
      <c r="P232" s="5">
        <f t="shared" si="41"/>
        <v>1</v>
      </c>
      <c r="Q232" s="7">
        <f t="shared" si="42"/>
        <v>11657</v>
      </c>
    </row>
    <row r="233" spans="1:17">
      <c r="A233" s="23" t="s">
        <v>258</v>
      </c>
      <c r="B233" s="37" t="s">
        <v>233</v>
      </c>
      <c r="C233" s="36">
        <v>20832</v>
      </c>
      <c r="D233" s="113">
        <v>6096021081</v>
      </c>
      <c r="E233" s="116">
        <f t="shared" si="48"/>
        <v>292627.74006336404</v>
      </c>
      <c r="F233" s="117">
        <v>5628162893</v>
      </c>
      <c r="G233" s="117">
        <f t="shared" si="49"/>
        <v>270169.10968701995</v>
      </c>
      <c r="H233" s="9"/>
      <c r="I233" s="109">
        <v>2.8860000000000001</v>
      </c>
      <c r="J233" s="117">
        <v>16242878</v>
      </c>
      <c r="K233" s="120">
        <f t="shared" si="47"/>
        <v>779.70804531490012</v>
      </c>
      <c r="L233" s="122">
        <f t="shared" si="44"/>
        <v>56281628.93</v>
      </c>
      <c r="M233" s="116">
        <f t="shared" si="45"/>
        <v>40038750.93</v>
      </c>
      <c r="N233" s="123">
        <f t="shared" si="46"/>
        <v>1921.9830515552994</v>
      </c>
      <c r="O233" s="5"/>
      <c r="P233" s="5">
        <f t="shared" si="41"/>
        <v>1</v>
      </c>
      <c r="Q233" s="7">
        <f t="shared" si="42"/>
        <v>20832</v>
      </c>
    </row>
    <row r="234" spans="1:17">
      <c r="A234" s="23" t="s">
        <v>259</v>
      </c>
      <c r="B234" s="37" t="s">
        <v>233</v>
      </c>
      <c r="C234" s="36">
        <v>5744</v>
      </c>
      <c r="D234" s="113">
        <v>1316228491</v>
      </c>
      <c r="E234" s="116">
        <f t="shared" si="48"/>
        <v>229148.41417130918</v>
      </c>
      <c r="F234" s="117">
        <v>1059305678</v>
      </c>
      <c r="G234" s="117">
        <f t="shared" si="49"/>
        <v>184419.51218662952</v>
      </c>
      <c r="H234" s="9"/>
      <c r="I234" s="109">
        <v>5.6029999999999998</v>
      </c>
      <c r="J234" s="117">
        <v>5935290</v>
      </c>
      <c r="K234" s="120">
        <f t="shared" si="47"/>
        <v>1033.3025766016713</v>
      </c>
      <c r="L234" s="122">
        <f t="shared" si="44"/>
        <v>10593056.779999999</v>
      </c>
      <c r="M234" s="116">
        <f t="shared" si="45"/>
        <v>4657766.7799999993</v>
      </c>
      <c r="N234" s="123">
        <f t="shared" si="46"/>
        <v>810.89254526462389</v>
      </c>
      <c r="O234" s="5"/>
      <c r="P234" s="5">
        <f t="shared" si="41"/>
        <v>1</v>
      </c>
      <c r="Q234" s="7">
        <f t="shared" si="42"/>
        <v>5744</v>
      </c>
    </row>
    <row r="235" spans="1:17">
      <c r="A235" s="23" t="s">
        <v>260</v>
      </c>
      <c r="B235" s="37" t="s">
        <v>233</v>
      </c>
      <c r="C235" s="36">
        <v>13499</v>
      </c>
      <c r="D235" s="113">
        <v>516438668</v>
      </c>
      <c r="E235" s="116">
        <f t="shared" si="48"/>
        <v>38257.550040743758</v>
      </c>
      <c r="F235" s="117">
        <v>336937480</v>
      </c>
      <c r="G235" s="117">
        <f t="shared" si="49"/>
        <v>24960.180754129935</v>
      </c>
      <c r="H235" s="9"/>
      <c r="I235" s="109">
        <v>4.6618000000000004</v>
      </c>
      <c r="J235" s="117">
        <v>1570735</v>
      </c>
      <c r="K235" s="120">
        <f t="shared" si="47"/>
        <v>116.35935995258907</v>
      </c>
      <c r="L235" s="122">
        <f t="shared" si="44"/>
        <v>3369374.8000000003</v>
      </c>
      <c r="M235" s="116">
        <f t="shared" si="45"/>
        <v>1798639.8000000003</v>
      </c>
      <c r="N235" s="123">
        <f t="shared" si="46"/>
        <v>133.24244758871029</v>
      </c>
      <c r="O235" s="5"/>
      <c r="P235" s="5">
        <f t="shared" si="41"/>
        <v>1</v>
      </c>
      <c r="Q235" s="7">
        <f t="shared" si="42"/>
        <v>13499</v>
      </c>
    </row>
    <row r="236" spans="1:17">
      <c r="A236" s="23" t="s">
        <v>261</v>
      </c>
      <c r="B236" s="35" t="s">
        <v>233</v>
      </c>
      <c r="C236" s="36">
        <v>2375</v>
      </c>
      <c r="D236" s="113">
        <v>247641883</v>
      </c>
      <c r="E236" s="116">
        <f t="shared" si="48"/>
        <v>104270.26652631578</v>
      </c>
      <c r="F236" s="117">
        <v>194829792</v>
      </c>
      <c r="G236" s="117">
        <f t="shared" si="49"/>
        <v>82033.596631578941</v>
      </c>
      <c r="H236" s="9"/>
      <c r="I236" s="110">
        <v>5.7484999999999999</v>
      </c>
      <c r="J236" s="117">
        <v>1119979</v>
      </c>
      <c r="K236" s="120">
        <f t="shared" si="47"/>
        <v>471.57010526315787</v>
      </c>
      <c r="L236" s="122">
        <f t="shared" si="44"/>
        <v>1948297.92</v>
      </c>
      <c r="M236" s="116">
        <f t="shared" si="45"/>
        <v>828318.91999999993</v>
      </c>
      <c r="N236" s="123">
        <f t="shared" si="46"/>
        <v>348.76586105263152</v>
      </c>
      <c r="O236" s="5"/>
      <c r="P236" s="5">
        <f t="shared" si="41"/>
        <v>1</v>
      </c>
      <c r="Q236" s="7">
        <f t="shared" si="42"/>
        <v>2375</v>
      </c>
    </row>
    <row r="237" spans="1:17">
      <c r="A237" s="23" t="s">
        <v>262</v>
      </c>
      <c r="B237" s="35" t="s">
        <v>233</v>
      </c>
      <c r="C237" s="36">
        <v>5965</v>
      </c>
      <c r="D237" s="113">
        <v>439957226</v>
      </c>
      <c r="E237" s="116">
        <f t="shared" si="48"/>
        <v>73756.450293378031</v>
      </c>
      <c r="F237" s="117">
        <v>302778979</v>
      </c>
      <c r="G237" s="117">
        <f t="shared" si="49"/>
        <v>50759.258843252304</v>
      </c>
      <c r="H237" s="9"/>
      <c r="I237" s="109">
        <v>6.8857999999999997</v>
      </c>
      <c r="J237" s="117">
        <v>2084875</v>
      </c>
      <c r="K237" s="120">
        <f t="shared" si="47"/>
        <v>349.51802179379717</v>
      </c>
      <c r="L237" s="122">
        <f t="shared" si="44"/>
        <v>3027789.79</v>
      </c>
      <c r="M237" s="116">
        <f t="shared" si="45"/>
        <v>942914.79</v>
      </c>
      <c r="N237" s="123">
        <f t="shared" si="46"/>
        <v>158.07456663872591</v>
      </c>
      <c r="O237" s="5"/>
      <c r="P237" s="5">
        <f t="shared" si="41"/>
        <v>1</v>
      </c>
      <c r="Q237" s="7">
        <f t="shared" si="42"/>
        <v>5965</v>
      </c>
    </row>
    <row r="238" spans="1:17">
      <c r="A238" s="23" t="s">
        <v>263</v>
      </c>
      <c r="B238" s="35" t="s">
        <v>264</v>
      </c>
      <c r="C238" s="36">
        <v>6119</v>
      </c>
      <c r="D238" s="113">
        <v>3236098061</v>
      </c>
      <c r="E238" s="116">
        <f t="shared" si="48"/>
        <v>528860.60810589965</v>
      </c>
      <c r="F238" s="117">
        <v>2698697501</v>
      </c>
      <c r="G238" s="117">
        <f t="shared" si="49"/>
        <v>441035.70861251839</v>
      </c>
      <c r="H238" s="7"/>
      <c r="I238" s="109">
        <v>2.2839</v>
      </c>
      <c r="J238" s="117">
        <v>6163555</v>
      </c>
      <c r="K238" s="120">
        <f t="shared" si="47"/>
        <v>1007.2814185324399</v>
      </c>
      <c r="L238" s="122">
        <f t="shared" si="44"/>
        <v>26986975.010000002</v>
      </c>
      <c r="M238" s="116">
        <f t="shared" si="45"/>
        <v>20823420.010000002</v>
      </c>
      <c r="N238" s="123">
        <f t="shared" si="46"/>
        <v>3403.0756675927441</v>
      </c>
      <c r="O238" s="5"/>
      <c r="P238" s="5">
        <f t="shared" si="41"/>
        <v>1</v>
      </c>
      <c r="Q238" s="7">
        <f t="shared" si="42"/>
        <v>6119</v>
      </c>
    </row>
    <row r="239" spans="1:17">
      <c r="A239" s="23" t="s">
        <v>265</v>
      </c>
      <c r="B239" s="35" t="s">
        <v>264</v>
      </c>
      <c r="C239" s="36">
        <v>797</v>
      </c>
      <c r="D239" s="113">
        <v>610804015</v>
      </c>
      <c r="E239" s="116">
        <f t="shared" si="48"/>
        <v>766378.93977415306</v>
      </c>
      <c r="F239" s="117">
        <v>561529538</v>
      </c>
      <c r="G239" s="117">
        <f t="shared" si="49"/>
        <v>704554</v>
      </c>
      <c r="H239" s="7"/>
      <c r="I239" s="109">
        <v>2.0674000000000001</v>
      </c>
      <c r="J239" s="117">
        <v>1160906</v>
      </c>
      <c r="K239" s="120">
        <f t="shared" si="47"/>
        <v>1456.594730238394</v>
      </c>
      <c r="L239" s="122">
        <f t="shared" si="44"/>
        <v>5615295.3799999999</v>
      </c>
      <c r="M239" s="116">
        <f t="shared" si="45"/>
        <v>4454389.38</v>
      </c>
      <c r="N239" s="123">
        <f t="shared" si="46"/>
        <v>5588.9452697616061</v>
      </c>
      <c r="O239" s="5"/>
      <c r="P239" s="5">
        <f t="shared" si="41"/>
        <v>1</v>
      </c>
      <c r="Q239" s="7">
        <f t="shared" si="42"/>
        <v>797</v>
      </c>
    </row>
    <row r="240" spans="1:17">
      <c r="A240" s="23" t="s">
        <v>266</v>
      </c>
      <c r="B240" s="35" t="s">
        <v>264</v>
      </c>
      <c r="C240" s="36">
        <v>24649</v>
      </c>
      <c r="D240" s="113">
        <v>9046241319</v>
      </c>
      <c r="E240" s="116">
        <f t="shared" si="48"/>
        <v>367002.36597833585</v>
      </c>
      <c r="F240" s="117">
        <v>4947877614</v>
      </c>
      <c r="G240" s="117">
        <f t="shared" si="49"/>
        <v>200733.40151730293</v>
      </c>
      <c r="H240" s="7"/>
      <c r="I240" s="109">
        <v>2.9131999999999998</v>
      </c>
      <c r="J240" s="117">
        <v>14414157</v>
      </c>
      <c r="K240" s="120">
        <f t="shared" si="47"/>
        <v>584.77654265893136</v>
      </c>
      <c r="L240" s="122">
        <f t="shared" si="44"/>
        <v>49478776.140000001</v>
      </c>
      <c r="M240" s="116">
        <f t="shared" si="45"/>
        <v>35064619.140000001</v>
      </c>
      <c r="N240" s="123">
        <f t="shared" si="46"/>
        <v>1422.557472514098</v>
      </c>
      <c r="O240" s="5"/>
      <c r="P240" s="5">
        <f t="shared" si="41"/>
        <v>1</v>
      </c>
      <c r="Q240" s="7">
        <f t="shared" si="42"/>
        <v>24649</v>
      </c>
    </row>
    <row r="241" spans="1:17">
      <c r="A241" s="23" t="s">
        <v>267</v>
      </c>
      <c r="B241" s="35" t="s">
        <v>264</v>
      </c>
      <c r="C241" s="36">
        <v>184</v>
      </c>
      <c r="D241" s="113">
        <v>69642150</v>
      </c>
      <c r="E241" s="116">
        <f t="shared" si="48"/>
        <v>378489.94565217389</v>
      </c>
      <c r="F241" s="117">
        <v>55369244</v>
      </c>
      <c r="G241" s="117">
        <f t="shared" si="49"/>
        <v>300919.80434782611</v>
      </c>
      <c r="H241" s="7"/>
      <c r="I241" s="109">
        <v>1.7722</v>
      </c>
      <c r="J241" s="117">
        <v>98125</v>
      </c>
      <c r="K241" s="120">
        <f t="shared" si="47"/>
        <v>533.28804347826087</v>
      </c>
      <c r="L241" s="122">
        <f t="shared" si="44"/>
        <v>553692.44000000006</v>
      </c>
      <c r="M241" s="116">
        <f t="shared" si="45"/>
        <v>455567.44000000006</v>
      </c>
      <c r="N241" s="123">
        <f t="shared" si="46"/>
        <v>2475.9100000000003</v>
      </c>
      <c r="O241" s="5"/>
      <c r="P241" s="5">
        <f t="shared" si="41"/>
        <v>1</v>
      </c>
      <c r="Q241" s="7">
        <f t="shared" si="42"/>
        <v>184</v>
      </c>
    </row>
    <row r="242" spans="1:17">
      <c r="A242" s="23" t="s">
        <v>449</v>
      </c>
      <c r="B242" s="35" t="s">
        <v>264</v>
      </c>
      <c r="C242" s="36">
        <v>8297</v>
      </c>
      <c r="D242" s="113">
        <v>2466492773</v>
      </c>
      <c r="E242" s="116">
        <f t="shared" si="48"/>
        <v>297275.25286248041</v>
      </c>
      <c r="F242" s="117">
        <v>1984278290</v>
      </c>
      <c r="G242" s="117">
        <f t="shared" si="49"/>
        <v>239156.11546342052</v>
      </c>
      <c r="H242" s="7"/>
      <c r="I242" s="109">
        <v>1.8458000000000001</v>
      </c>
      <c r="J242" s="117">
        <v>3662581</v>
      </c>
      <c r="K242" s="120">
        <f t="shared" si="47"/>
        <v>441.4343738700735</v>
      </c>
      <c r="L242" s="122">
        <f t="shared" si="44"/>
        <v>19842782.900000002</v>
      </c>
      <c r="M242" s="116">
        <f t="shared" si="45"/>
        <v>16180201.900000002</v>
      </c>
      <c r="N242" s="123">
        <f t="shared" si="46"/>
        <v>1950.1267807641318</v>
      </c>
      <c r="O242" s="5"/>
      <c r="P242" s="5">
        <f t="shared" si="41"/>
        <v>1</v>
      </c>
      <c r="Q242" s="7">
        <f t="shared" si="42"/>
        <v>8297</v>
      </c>
    </row>
    <row r="243" spans="1:17">
      <c r="A243" s="23" t="s">
        <v>268</v>
      </c>
      <c r="B243" s="35" t="s">
        <v>269</v>
      </c>
      <c r="C243" s="36">
        <v>1123</v>
      </c>
      <c r="D243" s="113">
        <v>113168509</v>
      </c>
      <c r="E243" s="116">
        <f t="shared" si="48"/>
        <v>100773.38290293855</v>
      </c>
      <c r="F243" s="117">
        <v>69630579</v>
      </c>
      <c r="G243" s="117">
        <f t="shared" si="49"/>
        <v>62004.07747105966</v>
      </c>
      <c r="H243" s="7"/>
      <c r="I243" s="109">
        <v>3.2</v>
      </c>
      <c r="J243" s="117">
        <v>222818</v>
      </c>
      <c r="K243" s="120">
        <f t="shared" si="47"/>
        <v>198.41317898486199</v>
      </c>
      <c r="L243" s="122">
        <f t="shared" si="44"/>
        <v>696305.79</v>
      </c>
      <c r="M243" s="116">
        <f t="shared" si="45"/>
        <v>473487.79000000004</v>
      </c>
      <c r="N243" s="123">
        <f t="shared" si="46"/>
        <v>421.62759572573469</v>
      </c>
      <c r="O243" s="5"/>
      <c r="P243" s="5">
        <f t="shared" si="41"/>
        <v>1</v>
      </c>
      <c r="Q243" s="7">
        <f t="shared" si="42"/>
        <v>1123</v>
      </c>
    </row>
    <row r="244" spans="1:17">
      <c r="A244" s="23" t="s">
        <v>270</v>
      </c>
      <c r="B244" s="35" t="s">
        <v>269</v>
      </c>
      <c r="C244" s="36">
        <v>11487</v>
      </c>
      <c r="D244" s="113">
        <v>2307814796</v>
      </c>
      <c r="E244" s="116">
        <f t="shared" si="48"/>
        <v>200906.65935405242</v>
      </c>
      <c r="F244" s="117">
        <v>1709450718</v>
      </c>
      <c r="G244" s="117">
        <f t="shared" si="49"/>
        <v>148816.11543483939</v>
      </c>
      <c r="H244" s="7"/>
      <c r="I244" s="109">
        <v>4.6612</v>
      </c>
      <c r="J244" s="117">
        <v>7968092</v>
      </c>
      <c r="K244" s="120">
        <f t="shared" si="47"/>
        <v>693.66170453556197</v>
      </c>
      <c r="L244" s="122">
        <f t="shared" si="44"/>
        <v>17094507.18</v>
      </c>
      <c r="M244" s="116">
        <f t="shared" si="45"/>
        <v>9126415.1799999997</v>
      </c>
      <c r="N244" s="123">
        <f t="shared" si="46"/>
        <v>794.49944981283193</v>
      </c>
      <c r="O244" s="5"/>
      <c r="P244" s="5">
        <f t="shared" si="41"/>
        <v>1</v>
      </c>
      <c r="Q244" s="7">
        <f t="shared" si="42"/>
        <v>11487</v>
      </c>
    </row>
    <row r="245" spans="1:17">
      <c r="A245" s="23" t="s">
        <v>271</v>
      </c>
      <c r="B245" s="35" t="s">
        <v>269</v>
      </c>
      <c r="C245" s="36">
        <v>3086</v>
      </c>
      <c r="D245" s="113">
        <v>258419190</v>
      </c>
      <c r="E245" s="116">
        <f t="shared" si="48"/>
        <v>83739.206092028515</v>
      </c>
      <c r="F245" s="117">
        <v>75500126</v>
      </c>
      <c r="G245" s="117">
        <f t="shared" si="49"/>
        <v>24465.368114063513</v>
      </c>
      <c r="H245" s="7"/>
      <c r="I245" s="109">
        <v>0.55310000000000004</v>
      </c>
      <c r="J245" s="117">
        <v>41759</v>
      </c>
      <c r="K245" s="120">
        <f t="shared" si="47"/>
        <v>13.531756318859365</v>
      </c>
      <c r="L245" s="122">
        <f t="shared" si="44"/>
        <v>755001.26</v>
      </c>
      <c r="M245" s="116">
        <f t="shared" si="45"/>
        <v>713242.26</v>
      </c>
      <c r="N245" s="123">
        <f t="shared" si="46"/>
        <v>231.12192482177576</v>
      </c>
      <c r="O245" s="5"/>
      <c r="P245" s="5">
        <f t="shared" si="41"/>
        <v>1</v>
      </c>
      <c r="Q245" s="7">
        <f t="shared" si="42"/>
        <v>3086</v>
      </c>
    </row>
    <row r="246" spans="1:17">
      <c r="A246" s="23" t="s">
        <v>272</v>
      </c>
      <c r="B246" s="35" t="s">
        <v>273</v>
      </c>
      <c r="C246" s="36">
        <v>383</v>
      </c>
      <c r="D246" s="113">
        <v>66265574</v>
      </c>
      <c r="E246" s="116">
        <f t="shared" si="48"/>
        <v>173017.16449086161</v>
      </c>
      <c r="F246" s="119">
        <v>56001127</v>
      </c>
      <c r="G246" s="117">
        <f t="shared" si="49"/>
        <v>146217.04177545692</v>
      </c>
      <c r="H246" s="7"/>
      <c r="I246" s="109">
        <v>2.1</v>
      </c>
      <c r="J246" s="117">
        <v>117602</v>
      </c>
      <c r="K246" s="120">
        <f t="shared" si="47"/>
        <v>307.05483028720624</v>
      </c>
      <c r="L246" s="122">
        <f t="shared" si="44"/>
        <v>560011.27</v>
      </c>
      <c r="M246" s="116">
        <f t="shared" si="45"/>
        <v>442409.27</v>
      </c>
      <c r="N246" s="123">
        <f t="shared" si="46"/>
        <v>1155.115587467363</v>
      </c>
      <c r="O246" s="5"/>
      <c r="P246" s="5">
        <f t="shared" si="41"/>
        <v>1</v>
      </c>
      <c r="Q246" s="7">
        <f t="shared" si="42"/>
        <v>383</v>
      </c>
    </row>
    <row r="247" spans="1:17">
      <c r="A247" s="23" t="s">
        <v>274</v>
      </c>
      <c r="B247" s="35" t="s">
        <v>273</v>
      </c>
      <c r="C247" s="36">
        <v>20978</v>
      </c>
      <c r="D247" s="113">
        <v>1364783986</v>
      </c>
      <c r="E247" s="116">
        <f t="shared" si="48"/>
        <v>65057.869482314803</v>
      </c>
      <c r="F247" s="117">
        <v>923457659</v>
      </c>
      <c r="G247" s="117">
        <f t="shared" si="49"/>
        <v>44020.290733149013</v>
      </c>
      <c r="H247" s="7"/>
      <c r="I247" s="109">
        <v>5.8465999999999996</v>
      </c>
      <c r="J247" s="117">
        <v>5399088</v>
      </c>
      <c r="K247" s="120">
        <f t="shared" si="47"/>
        <v>257.36905329392698</v>
      </c>
      <c r="L247" s="122">
        <f t="shared" si="44"/>
        <v>9234576.5899999999</v>
      </c>
      <c r="M247" s="116">
        <f t="shared" si="45"/>
        <v>3835488.59</v>
      </c>
      <c r="N247" s="123">
        <f t="shared" si="46"/>
        <v>182.83385403756316</v>
      </c>
      <c r="O247" s="5"/>
      <c r="P247" s="5">
        <f t="shared" si="41"/>
        <v>1</v>
      </c>
      <c r="Q247" s="7">
        <f t="shared" si="42"/>
        <v>20978</v>
      </c>
    </row>
    <row r="248" spans="1:17">
      <c r="A248" s="23" t="s">
        <v>275</v>
      </c>
      <c r="B248" s="35" t="s">
        <v>273</v>
      </c>
      <c r="C248" s="36">
        <v>12305</v>
      </c>
      <c r="D248" s="113">
        <v>4808127569</v>
      </c>
      <c r="E248" s="116">
        <f t="shared" si="48"/>
        <v>390745.84063388867</v>
      </c>
      <c r="F248" s="117">
        <v>4286696989</v>
      </c>
      <c r="G248" s="117">
        <f t="shared" si="49"/>
        <v>348370.33636733034</v>
      </c>
      <c r="H248" s="9"/>
      <c r="I248" s="109">
        <v>1.4550000000000001</v>
      </c>
      <c r="J248" s="117">
        <v>6237144</v>
      </c>
      <c r="K248" s="120">
        <f t="shared" si="47"/>
        <v>506.87882974400651</v>
      </c>
      <c r="L248" s="122">
        <f t="shared" si="44"/>
        <v>42866969.890000001</v>
      </c>
      <c r="M248" s="116">
        <f t="shared" si="45"/>
        <v>36629825.890000001</v>
      </c>
      <c r="N248" s="123">
        <f t="shared" si="46"/>
        <v>2976.8245339292971</v>
      </c>
      <c r="O248" s="5"/>
      <c r="P248" s="5">
        <f t="shared" si="41"/>
        <v>1</v>
      </c>
      <c r="Q248" s="7">
        <f t="shared" si="42"/>
        <v>12305</v>
      </c>
    </row>
    <row r="249" spans="1:17">
      <c r="A249" s="23" t="s">
        <v>276</v>
      </c>
      <c r="B249" s="35" t="s">
        <v>273</v>
      </c>
      <c r="C249" s="36">
        <v>19507</v>
      </c>
      <c r="D249" s="113">
        <v>1818356031</v>
      </c>
      <c r="E249" s="116">
        <f t="shared" si="48"/>
        <v>93215.565232993278</v>
      </c>
      <c r="F249" s="117">
        <v>1209740504</v>
      </c>
      <c r="G249" s="117">
        <f t="shared" si="49"/>
        <v>62015.71251345671</v>
      </c>
      <c r="H249" s="9"/>
      <c r="I249" s="109">
        <v>4.5382999999999996</v>
      </c>
      <c r="J249" s="117">
        <v>5490165</v>
      </c>
      <c r="K249" s="120">
        <f t="shared" si="47"/>
        <v>281.44589121853693</v>
      </c>
      <c r="L249" s="122">
        <f t="shared" si="44"/>
        <v>12097405.040000001</v>
      </c>
      <c r="M249" s="116">
        <f t="shared" si="45"/>
        <v>6607240.040000001</v>
      </c>
      <c r="N249" s="123">
        <f t="shared" si="46"/>
        <v>338.71123391603021</v>
      </c>
      <c r="O249" s="5"/>
      <c r="P249" s="5">
        <f t="shared" si="41"/>
        <v>1</v>
      </c>
      <c r="Q249" s="7">
        <f t="shared" si="42"/>
        <v>19507</v>
      </c>
    </row>
    <row r="250" spans="1:17">
      <c r="A250" s="23" t="s">
        <v>277</v>
      </c>
      <c r="B250" s="35" t="s">
        <v>273</v>
      </c>
      <c r="C250" s="36">
        <v>537</v>
      </c>
      <c r="D250" s="113">
        <v>29923989</v>
      </c>
      <c r="E250" s="116">
        <f t="shared" si="48"/>
        <v>55724.374301675976</v>
      </c>
      <c r="F250" s="117">
        <v>14185882</v>
      </c>
      <c r="G250" s="117">
        <f t="shared" si="49"/>
        <v>26416.912476722533</v>
      </c>
      <c r="H250" s="7"/>
      <c r="I250" s="110">
        <v>3.5</v>
      </c>
      <c r="J250" s="117">
        <v>49651</v>
      </c>
      <c r="K250" s="120">
        <f t="shared" ref="K250:K275" si="50">(J250/C250)</f>
        <v>92.459962756052136</v>
      </c>
      <c r="L250" s="122">
        <f t="shared" si="44"/>
        <v>141858.82</v>
      </c>
      <c r="M250" s="116">
        <f t="shared" si="45"/>
        <v>92207.82</v>
      </c>
      <c r="N250" s="123">
        <f t="shared" si="46"/>
        <v>171.70916201117319</v>
      </c>
      <c r="O250" s="5"/>
      <c r="P250" s="5">
        <f t="shared" si="41"/>
        <v>1</v>
      </c>
      <c r="Q250" s="7">
        <f t="shared" si="42"/>
        <v>537</v>
      </c>
    </row>
    <row r="251" spans="1:17">
      <c r="A251" s="23" t="s">
        <v>278</v>
      </c>
      <c r="B251" s="35" t="s">
        <v>273</v>
      </c>
      <c r="C251" s="36">
        <v>3851</v>
      </c>
      <c r="D251" s="113">
        <v>400563679</v>
      </c>
      <c r="E251" s="116">
        <f t="shared" si="48"/>
        <v>104015.49701376267</v>
      </c>
      <c r="F251" s="117">
        <v>276865176</v>
      </c>
      <c r="G251" s="117">
        <f t="shared" si="49"/>
        <v>71894.358867826537</v>
      </c>
      <c r="H251" s="7"/>
      <c r="I251" s="109">
        <v>2.6435</v>
      </c>
      <c r="J251" s="117">
        <v>731893</v>
      </c>
      <c r="K251" s="120">
        <f t="shared" si="50"/>
        <v>190.05271358088808</v>
      </c>
      <c r="L251" s="122">
        <f t="shared" si="44"/>
        <v>2768651.7600000002</v>
      </c>
      <c r="M251" s="116">
        <f t="shared" si="45"/>
        <v>2036758.7600000002</v>
      </c>
      <c r="N251" s="123">
        <f t="shared" si="46"/>
        <v>528.89087509737737</v>
      </c>
      <c r="O251" s="5"/>
      <c r="P251" s="5">
        <f t="shared" si="41"/>
        <v>1</v>
      </c>
      <c r="Q251" s="7">
        <f t="shared" si="42"/>
        <v>3851</v>
      </c>
    </row>
    <row r="252" spans="1:17">
      <c r="A252" s="23" t="s">
        <v>279</v>
      </c>
      <c r="B252" s="35" t="s">
        <v>273</v>
      </c>
      <c r="C252" s="36">
        <v>12749</v>
      </c>
      <c r="D252" s="113">
        <v>1155626906</v>
      </c>
      <c r="E252" s="116">
        <f t="shared" si="48"/>
        <v>90644.513765785552</v>
      </c>
      <c r="F252" s="117">
        <v>754586037</v>
      </c>
      <c r="G252" s="117">
        <f t="shared" si="49"/>
        <v>59187.860773393993</v>
      </c>
      <c r="H252" s="7"/>
      <c r="I252" s="109">
        <v>3.6301000000000001</v>
      </c>
      <c r="J252" s="117">
        <v>2739223</v>
      </c>
      <c r="K252" s="120">
        <f t="shared" si="50"/>
        <v>214.85787120558476</v>
      </c>
      <c r="L252" s="122">
        <f t="shared" si="44"/>
        <v>7545860.3700000001</v>
      </c>
      <c r="M252" s="116">
        <f t="shared" si="45"/>
        <v>4806637.37</v>
      </c>
      <c r="N252" s="123">
        <f t="shared" si="46"/>
        <v>377.0207365283552</v>
      </c>
      <c r="O252" s="5"/>
      <c r="P252" s="5">
        <f t="shared" si="41"/>
        <v>1</v>
      </c>
      <c r="Q252" s="7">
        <f t="shared" si="42"/>
        <v>12749</v>
      </c>
    </row>
    <row r="253" spans="1:17">
      <c r="A253" s="23" t="s">
        <v>280</v>
      </c>
      <c r="B253" s="35" t="s">
        <v>273</v>
      </c>
      <c r="C253" s="36">
        <v>717</v>
      </c>
      <c r="D253" s="113">
        <v>124791418</v>
      </c>
      <c r="E253" s="116">
        <f t="shared" si="48"/>
        <v>174046.60808926082</v>
      </c>
      <c r="F253" s="117">
        <v>89501465</v>
      </c>
      <c r="G253" s="117">
        <f t="shared" si="49"/>
        <v>124827.70571827058</v>
      </c>
      <c r="H253" s="7"/>
      <c r="I253" s="109">
        <v>2</v>
      </c>
      <c r="J253" s="117">
        <v>179003</v>
      </c>
      <c r="K253" s="120">
        <f t="shared" si="50"/>
        <v>249.65550906555092</v>
      </c>
      <c r="L253" s="122">
        <f t="shared" si="44"/>
        <v>895014.65</v>
      </c>
      <c r="M253" s="116">
        <f t="shared" si="45"/>
        <v>716011.65</v>
      </c>
      <c r="N253" s="123">
        <f t="shared" si="46"/>
        <v>998.62154811715482</v>
      </c>
      <c r="O253" s="5"/>
      <c r="P253" s="5">
        <f t="shared" si="41"/>
        <v>1</v>
      </c>
      <c r="Q253" s="7">
        <f t="shared" si="42"/>
        <v>717</v>
      </c>
    </row>
    <row r="254" spans="1:17">
      <c r="A254" s="23" t="s">
        <v>281</v>
      </c>
      <c r="B254" s="35" t="s">
        <v>273</v>
      </c>
      <c r="C254" s="36">
        <v>5036</v>
      </c>
      <c r="D254" s="113">
        <v>343882977</v>
      </c>
      <c r="E254" s="116">
        <f t="shared" si="48"/>
        <v>68284.943804606824</v>
      </c>
      <c r="F254" s="117">
        <v>185890579</v>
      </c>
      <c r="G254" s="117">
        <f t="shared" si="49"/>
        <v>36912.346902303412</v>
      </c>
      <c r="H254" s="7"/>
      <c r="I254" s="109">
        <v>3.9329999999999998</v>
      </c>
      <c r="J254" s="117">
        <v>731108</v>
      </c>
      <c r="K254" s="120">
        <f t="shared" si="50"/>
        <v>145.17633042096901</v>
      </c>
      <c r="L254" s="122">
        <f t="shared" si="44"/>
        <v>1858905.79</v>
      </c>
      <c r="M254" s="116">
        <f t="shared" si="45"/>
        <v>1127797.79</v>
      </c>
      <c r="N254" s="123">
        <f t="shared" si="46"/>
        <v>223.94713860206514</v>
      </c>
      <c r="O254" s="5"/>
      <c r="P254" s="5">
        <f t="shared" si="41"/>
        <v>1</v>
      </c>
      <c r="Q254" s="7">
        <f t="shared" si="42"/>
        <v>5036</v>
      </c>
    </row>
    <row r="255" spans="1:17">
      <c r="A255" s="23" t="s">
        <v>282</v>
      </c>
      <c r="B255" s="35" t="s">
        <v>282</v>
      </c>
      <c r="C255" s="36">
        <v>5621</v>
      </c>
      <c r="D255" s="113">
        <v>355842195</v>
      </c>
      <c r="E255" s="116">
        <f t="shared" si="48"/>
        <v>63305.852161537092</v>
      </c>
      <c r="F255" s="117">
        <v>249183659</v>
      </c>
      <c r="G255" s="117">
        <f t="shared" si="49"/>
        <v>44330.841309375559</v>
      </c>
      <c r="H255" s="7"/>
      <c r="I255" s="109">
        <v>7.2431999999999999</v>
      </c>
      <c r="J255" s="117">
        <v>1804887</v>
      </c>
      <c r="K255" s="120">
        <f t="shared" si="50"/>
        <v>321.09713574097134</v>
      </c>
      <c r="L255" s="122">
        <f t="shared" si="44"/>
        <v>2491836.59</v>
      </c>
      <c r="M255" s="116">
        <f t="shared" si="45"/>
        <v>686949.58999999985</v>
      </c>
      <c r="N255" s="123">
        <f t="shared" si="46"/>
        <v>122.21127735278418</v>
      </c>
      <c r="O255" s="5"/>
      <c r="P255" s="5">
        <f t="shared" si="41"/>
        <v>1</v>
      </c>
      <c r="Q255" s="7">
        <f t="shared" si="42"/>
        <v>5621</v>
      </c>
    </row>
    <row r="256" spans="1:17">
      <c r="A256" s="23" t="s">
        <v>283</v>
      </c>
      <c r="B256" s="35" t="s">
        <v>284</v>
      </c>
      <c r="C256" s="36">
        <v>41542</v>
      </c>
      <c r="D256" s="113">
        <v>2987571141</v>
      </c>
      <c r="E256" s="116">
        <f t="shared" si="48"/>
        <v>71916.882697029519</v>
      </c>
      <c r="F256" s="117">
        <v>2090910962</v>
      </c>
      <c r="G256" s="117">
        <f t="shared" si="49"/>
        <v>50332.457801742814</v>
      </c>
      <c r="H256" s="7"/>
      <c r="I256" s="109">
        <v>3.5165999999999999</v>
      </c>
      <c r="J256" s="117">
        <v>7352897</v>
      </c>
      <c r="K256" s="120">
        <f t="shared" si="50"/>
        <v>176.9991093351307</v>
      </c>
      <c r="L256" s="122">
        <f t="shared" si="44"/>
        <v>20909109.620000001</v>
      </c>
      <c r="M256" s="116">
        <f t="shared" si="45"/>
        <v>13556212.620000001</v>
      </c>
      <c r="N256" s="123">
        <f t="shared" si="46"/>
        <v>326.32546868229747</v>
      </c>
      <c r="O256" s="5"/>
      <c r="P256" s="5">
        <f t="shared" si="41"/>
        <v>1</v>
      </c>
      <c r="Q256" s="7">
        <f t="shared" si="42"/>
        <v>41542</v>
      </c>
    </row>
    <row r="257" spans="1:17">
      <c r="A257" s="23" t="s">
        <v>285</v>
      </c>
      <c r="B257" s="35" t="s">
        <v>284</v>
      </c>
      <c r="C257" s="36">
        <v>47</v>
      </c>
      <c r="D257" s="113">
        <v>4846005452</v>
      </c>
      <c r="E257" s="116">
        <f t="shared" si="48"/>
        <v>103106498.97872341</v>
      </c>
      <c r="F257" s="117">
        <v>4609577279</v>
      </c>
      <c r="G257" s="117">
        <f t="shared" si="49"/>
        <v>98076112.319148943</v>
      </c>
      <c r="H257" s="7"/>
      <c r="I257" s="109">
        <v>1.1819</v>
      </c>
      <c r="J257" s="117">
        <v>5448059</v>
      </c>
      <c r="K257" s="120">
        <f t="shared" si="50"/>
        <v>115916.14893617021</v>
      </c>
      <c r="L257" s="122">
        <f t="shared" si="44"/>
        <v>46095772.789999999</v>
      </c>
      <c r="M257" s="116">
        <f t="shared" si="45"/>
        <v>40647713.789999999</v>
      </c>
      <c r="N257" s="123">
        <f t="shared" si="46"/>
        <v>864844.9742553191</v>
      </c>
      <c r="O257" s="5"/>
      <c r="P257" s="5">
        <f t="shared" si="41"/>
        <v>1</v>
      </c>
      <c r="Q257" s="7">
        <f t="shared" si="42"/>
        <v>47</v>
      </c>
    </row>
    <row r="258" spans="1:17">
      <c r="A258" s="23" t="s">
        <v>286</v>
      </c>
      <c r="B258" s="35" t="s">
        <v>284</v>
      </c>
      <c r="C258" s="36">
        <v>5988</v>
      </c>
      <c r="D258" s="113">
        <v>760547548</v>
      </c>
      <c r="E258" s="116">
        <f t="shared" si="48"/>
        <v>127011.94856379426</v>
      </c>
      <c r="F258" s="117">
        <v>561567436</v>
      </c>
      <c r="G258" s="117">
        <f t="shared" si="49"/>
        <v>93782.13694054776</v>
      </c>
      <c r="H258" s="7"/>
      <c r="I258" s="109">
        <v>4.4017999999999997</v>
      </c>
      <c r="J258" s="117">
        <v>2471908</v>
      </c>
      <c r="K258" s="120">
        <f t="shared" si="50"/>
        <v>412.81028724114896</v>
      </c>
      <c r="L258" s="122">
        <f t="shared" si="44"/>
        <v>5615674.3600000003</v>
      </c>
      <c r="M258" s="116">
        <f t="shared" si="45"/>
        <v>3143766.3600000003</v>
      </c>
      <c r="N258" s="123">
        <f t="shared" si="46"/>
        <v>525.01108216432874</v>
      </c>
      <c r="O258" s="5"/>
      <c r="P258" s="5">
        <f t="shared" si="41"/>
        <v>1</v>
      </c>
      <c r="Q258" s="7">
        <f t="shared" si="42"/>
        <v>5988</v>
      </c>
    </row>
    <row r="259" spans="1:17">
      <c r="A259" s="23" t="s">
        <v>287</v>
      </c>
      <c r="B259" s="35" t="s">
        <v>284</v>
      </c>
      <c r="C259" s="36">
        <v>2159</v>
      </c>
      <c r="D259" s="113">
        <v>263499829</v>
      </c>
      <c r="E259" s="116">
        <f t="shared" si="48"/>
        <v>122047.16489115331</v>
      </c>
      <c r="F259" s="117">
        <v>213948566</v>
      </c>
      <c r="G259" s="117">
        <f t="shared" si="49"/>
        <v>99096.139879573879</v>
      </c>
      <c r="H259" s="7"/>
      <c r="I259" s="109">
        <v>6.9039999999999999</v>
      </c>
      <c r="J259" s="117">
        <v>1477101</v>
      </c>
      <c r="K259" s="120">
        <f t="shared" si="50"/>
        <v>684.15979620194537</v>
      </c>
      <c r="L259" s="122">
        <f t="shared" si="44"/>
        <v>2139485.66</v>
      </c>
      <c r="M259" s="116">
        <f t="shared" si="45"/>
        <v>662384.66000000015</v>
      </c>
      <c r="N259" s="123">
        <f t="shared" si="46"/>
        <v>306.80160259379352</v>
      </c>
      <c r="O259" s="5"/>
      <c r="P259" s="5">
        <f t="shared" si="41"/>
        <v>1</v>
      </c>
      <c r="Q259" s="7">
        <f t="shared" si="42"/>
        <v>2159</v>
      </c>
    </row>
    <row r="260" spans="1:17">
      <c r="A260" s="23" t="s">
        <v>288</v>
      </c>
      <c r="B260" s="35" t="s">
        <v>284</v>
      </c>
      <c r="C260" s="36">
        <v>2503</v>
      </c>
      <c r="D260" s="113">
        <v>333304456</v>
      </c>
      <c r="E260" s="116">
        <f t="shared" si="48"/>
        <v>133161.98801438275</v>
      </c>
      <c r="F260" s="117">
        <v>270766099</v>
      </c>
      <c r="G260" s="117">
        <f t="shared" si="49"/>
        <v>108176.62764682381</v>
      </c>
      <c r="H260" s="7"/>
      <c r="I260" s="109">
        <v>3.95</v>
      </c>
      <c r="J260" s="117">
        <v>1069526</v>
      </c>
      <c r="K260" s="120">
        <f t="shared" si="50"/>
        <v>427.29764282860566</v>
      </c>
      <c r="L260" s="122">
        <f t="shared" si="44"/>
        <v>2707660.99</v>
      </c>
      <c r="M260" s="116">
        <f t="shared" si="45"/>
        <v>1638134.9900000002</v>
      </c>
      <c r="N260" s="123">
        <f t="shared" si="46"/>
        <v>654.46863363963257</v>
      </c>
      <c r="O260" s="5"/>
      <c r="P260" s="5">
        <f t="shared" si="41"/>
        <v>1</v>
      </c>
      <c r="Q260" s="7">
        <f t="shared" si="42"/>
        <v>2503</v>
      </c>
    </row>
    <row r="261" spans="1:17">
      <c r="A261" s="23" t="s">
        <v>289</v>
      </c>
      <c r="B261" s="35" t="s">
        <v>284</v>
      </c>
      <c r="C261" s="36">
        <v>10</v>
      </c>
      <c r="D261" s="113">
        <v>1880269170</v>
      </c>
      <c r="E261" s="116">
        <f t="shared" si="48"/>
        <v>188026917</v>
      </c>
      <c r="F261" s="117">
        <v>1804619782</v>
      </c>
      <c r="G261" s="117">
        <f t="shared" si="49"/>
        <v>180461978.19999999</v>
      </c>
      <c r="H261" s="7"/>
      <c r="I261" s="109">
        <v>1.1688000000000001</v>
      </c>
      <c r="J261" s="117">
        <v>2109240</v>
      </c>
      <c r="K261" s="120">
        <f t="shared" si="50"/>
        <v>210924</v>
      </c>
      <c r="L261" s="122">
        <f t="shared" si="44"/>
        <v>18046197.82</v>
      </c>
      <c r="M261" s="116">
        <f t="shared" si="45"/>
        <v>15936957.82</v>
      </c>
      <c r="N261" s="123">
        <f t="shared" si="46"/>
        <v>1593695.7820000001</v>
      </c>
      <c r="O261" s="5"/>
      <c r="P261" s="5">
        <f t="shared" si="41"/>
        <v>1</v>
      </c>
      <c r="Q261" s="7">
        <f t="shared" si="42"/>
        <v>10</v>
      </c>
    </row>
    <row r="262" spans="1:17">
      <c r="A262" s="23" t="s">
        <v>290</v>
      </c>
      <c r="B262" s="35" t="s">
        <v>284</v>
      </c>
      <c r="C262" s="36">
        <v>15751</v>
      </c>
      <c r="D262" s="113">
        <v>2559284133</v>
      </c>
      <c r="E262" s="116">
        <f t="shared" si="48"/>
        <v>162483.91422766808</v>
      </c>
      <c r="F262" s="117">
        <v>2032912695</v>
      </c>
      <c r="G262" s="117">
        <f t="shared" si="49"/>
        <v>129065.62726176115</v>
      </c>
      <c r="H262" s="7"/>
      <c r="I262" s="109">
        <v>3.88</v>
      </c>
      <c r="J262" s="117">
        <v>7887701</v>
      </c>
      <c r="K262" s="120">
        <f t="shared" si="50"/>
        <v>500.77461748460416</v>
      </c>
      <c r="L262" s="122">
        <f t="shared" si="44"/>
        <v>20329126.949999999</v>
      </c>
      <c r="M262" s="116">
        <f t="shared" si="45"/>
        <v>12441425.949999999</v>
      </c>
      <c r="N262" s="123">
        <f t="shared" si="46"/>
        <v>789.88165513300737</v>
      </c>
      <c r="O262" s="5"/>
      <c r="P262" s="5">
        <f t="shared" ref="P262:P325" si="51">IF(I262&gt;0,1,0)</f>
        <v>1</v>
      </c>
      <c r="Q262" s="7">
        <f t="shared" ref="Q262:Q325" si="52">IF(I262&gt;0,C262,0)</f>
        <v>15751</v>
      </c>
    </row>
    <row r="263" spans="1:17">
      <c r="A263" s="23" t="s">
        <v>291</v>
      </c>
      <c r="B263" s="35" t="s">
        <v>284</v>
      </c>
      <c r="C263" s="36">
        <v>2538</v>
      </c>
      <c r="D263" s="113">
        <v>287543216</v>
      </c>
      <c r="E263" s="116">
        <f t="shared" si="48"/>
        <v>113295.19936958235</v>
      </c>
      <c r="F263" s="117">
        <v>216333774</v>
      </c>
      <c r="G263" s="117">
        <f t="shared" si="49"/>
        <v>85237.893617021284</v>
      </c>
      <c r="H263" s="7"/>
      <c r="I263" s="109">
        <v>6.75</v>
      </c>
      <c r="J263" s="117">
        <v>1460253</v>
      </c>
      <c r="K263" s="120">
        <f t="shared" si="50"/>
        <v>575.35579196217498</v>
      </c>
      <c r="L263" s="122">
        <f t="shared" si="44"/>
        <v>2163337.7400000002</v>
      </c>
      <c r="M263" s="116">
        <f t="shared" si="45"/>
        <v>703084.74000000022</v>
      </c>
      <c r="N263" s="123">
        <f t="shared" si="46"/>
        <v>277.02314420803793</v>
      </c>
      <c r="O263" s="5"/>
      <c r="P263" s="5">
        <f t="shared" si="51"/>
        <v>1</v>
      </c>
      <c r="Q263" s="7">
        <f t="shared" si="52"/>
        <v>2538</v>
      </c>
    </row>
    <row r="264" spans="1:17">
      <c r="A264" s="23" t="s">
        <v>292</v>
      </c>
      <c r="B264" s="35" t="s">
        <v>284</v>
      </c>
      <c r="C264" s="36">
        <v>35579</v>
      </c>
      <c r="D264" s="113">
        <v>2583572629</v>
      </c>
      <c r="E264" s="116">
        <f t="shared" si="48"/>
        <v>72615.09960932011</v>
      </c>
      <c r="F264" s="117">
        <v>1806894332</v>
      </c>
      <c r="G264" s="117">
        <f t="shared" si="49"/>
        <v>50785.416453525955</v>
      </c>
      <c r="H264" s="7"/>
      <c r="I264" s="109">
        <v>5.5574000000000003</v>
      </c>
      <c r="J264" s="117">
        <v>10041635</v>
      </c>
      <c r="K264" s="120">
        <f t="shared" si="50"/>
        <v>282.23488574721046</v>
      </c>
      <c r="L264" s="122">
        <f t="shared" ref="L264:L327" si="53">(F264*0.01)</f>
        <v>18068943.32</v>
      </c>
      <c r="M264" s="116">
        <f t="shared" ref="M264:M327" si="54">(L264-J264)</f>
        <v>8027308.3200000003</v>
      </c>
      <c r="N264" s="123">
        <f t="shared" ref="N264:N327" si="55">(M264/C264)</f>
        <v>225.61927878804914</v>
      </c>
      <c r="O264" s="5"/>
      <c r="P264" s="5">
        <f t="shared" si="51"/>
        <v>1</v>
      </c>
      <c r="Q264" s="7">
        <f t="shared" si="52"/>
        <v>35579</v>
      </c>
    </row>
    <row r="265" spans="1:17">
      <c r="A265" s="23" t="s">
        <v>293</v>
      </c>
      <c r="B265" s="35" t="s">
        <v>284</v>
      </c>
      <c r="C265" s="36">
        <v>238300</v>
      </c>
      <c r="D265" s="113">
        <v>28701833533</v>
      </c>
      <c r="E265" s="116">
        <f t="shared" si="48"/>
        <v>120444.11889634914</v>
      </c>
      <c r="F265" s="117">
        <v>18709098669</v>
      </c>
      <c r="G265" s="117">
        <f t="shared" si="49"/>
        <v>78510.695211917744</v>
      </c>
      <c r="H265" s="7"/>
      <c r="I265" s="109">
        <v>5.65</v>
      </c>
      <c r="J265" s="117">
        <v>105706407</v>
      </c>
      <c r="K265" s="120">
        <f t="shared" si="50"/>
        <v>443.58542593369702</v>
      </c>
      <c r="L265" s="122">
        <f t="shared" si="53"/>
        <v>187090986.69</v>
      </c>
      <c r="M265" s="116">
        <f t="shared" si="54"/>
        <v>81384579.689999998</v>
      </c>
      <c r="N265" s="123">
        <f t="shared" si="55"/>
        <v>341.52152618548047</v>
      </c>
      <c r="O265" s="5"/>
      <c r="P265" s="5">
        <f t="shared" si="51"/>
        <v>1</v>
      </c>
      <c r="Q265" s="7">
        <f t="shared" si="52"/>
        <v>238300</v>
      </c>
    </row>
    <row r="266" spans="1:17">
      <c r="A266" s="23" t="s">
        <v>294</v>
      </c>
      <c r="B266" s="35" t="s">
        <v>284</v>
      </c>
      <c r="C266" s="36">
        <v>2462</v>
      </c>
      <c r="D266" s="113">
        <v>647851173</v>
      </c>
      <c r="E266" s="116">
        <f t="shared" si="48"/>
        <v>263140.20024370431</v>
      </c>
      <c r="F266" s="117">
        <v>491141646</v>
      </c>
      <c r="G266" s="117">
        <f t="shared" si="49"/>
        <v>199488.88952071487</v>
      </c>
      <c r="H266" s="7"/>
      <c r="I266" s="109">
        <v>3.2280000000000002</v>
      </c>
      <c r="J266" s="117">
        <v>1585405</v>
      </c>
      <c r="K266" s="120">
        <f t="shared" si="50"/>
        <v>643.95004061738427</v>
      </c>
      <c r="L266" s="122">
        <f t="shared" si="53"/>
        <v>4911416.46</v>
      </c>
      <c r="M266" s="116">
        <f t="shared" si="54"/>
        <v>3326011.46</v>
      </c>
      <c r="N266" s="123">
        <f t="shared" si="55"/>
        <v>1350.9388545897643</v>
      </c>
      <c r="O266" s="5"/>
      <c r="P266" s="5">
        <f t="shared" si="51"/>
        <v>1</v>
      </c>
      <c r="Q266" s="7">
        <f t="shared" si="52"/>
        <v>2462</v>
      </c>
    </row>
    <row r="267" spans="1:17">
      <c r="A267" s="23" t="s">
        <v>295</v>
      </c>
      <c r="B267" s="35" t="s">
        <v>284</v>
      </c>
      <c r="C267" s="36">
        <v>34568</v>
      </c>
      <c r="D267" s="113">
        <v>2660277103</v>
      </c>
      <c r="E267" s="116">
        <f t="shared" si="48"/>
        <v>76957.796314510531</v>
      </c>
      <c r="F267" s="117">
        <v>2031506273</v>
      </c>
      <c r="G267" s="117">
        <f t="shared" si="49"/>
        <v>58768.40641633881</v>
      </c>
      <c r="H267" s="7"/>
      <c r="I267" s="109">
        <v>4.25</v>
      </c>
      <c r="J267" s="117">
        <v>8633902</v>
      </c>
      <c r="K267" s="120">
        <f t="shared" si="50"/>
        <v>249.765737097894</v>
      </c>
      <c r="L267" s="122">
        <f t="shared" si="53"/>
        <v>20315062.73</v>
      </c>
      <c r="M267" s="116">
        <f t="shared" si="54"/>
        <v>11681160.73</v>
      </c>
      <c r="N267" s="123">
        <f t="shared" si="55"/>
        <v>337.91832706549411</v>
      </c>
      <c r="O267" s="5"/>
      <c r="P267" s="5">
        <f t="shared" si="51"/>
        <v>1</v>
      </c>
      <c r="Q267" s="7">
        <f t="shared" si="52"/>
        <v>34568</v>
      </c>
    </row>
    <row r="268" spans="1:17">
      <c r="A268" s="23" t="s">
        <v>296</v>
      </c>
      <c r="B268" s="35" t="s">
        <v>284</v>
      </c>
      <c r="C268" s="36">
        <v>27852</v>
      </c>
      <c r="D268" s="113">
        <v>5262605270</v>
      </c>
      <c r="E268" s="116">
        <f t="shared" si="48"/>
        <v>188948.91821054142</v>
      </c>
      <c r="F268" s="117">
        <v>3908162271</v>
      </c>
      <c r="G268" s="117">
        <f t="shared" si="49"/>
        <v>140318.90962947006</v>
      </c>
      <c r="H268" s="7"/>
      <c r="I268" s="109">
        <v>4.0922999999999998</v>
      </c>
      <c r="J268" s="117">
        <v>15993372</v>
      </c>
      <c r="K268" s="120">
        <f t="shared" si="50"/>
        <v>574.22705730288669</v>
      </c>
      <c r="L268" s="122">
        <f t="shared" si="53"/>
        <v>39081622.710000001</v>
      </c>
      <c r="M268" s="116">
        <f t="shared" si="54"/>
        <v>23088250.710000001</v>
      </c>
      <c r="N268" s="123">
        <f t="shared" si="55"/>
        <v>828.96203899181387</v>
      </c>
      <c r="O268" s="5"/>
      <c r="P268" s="5">
        <f t="shared" si="51"/>
        <v>1</v>
      </c>
      <c r="Q268" s="7">
        <f t="shared" si="52"/>
        <v>27852</v>
      </c>
    </row>
    <row r="269" spans="1:17">
      <c r="A269" s="23" t="s">
        <v>297</v>
      </c>
      <c r="B269" s="35" t="s">
        <v>298</v>
      </c>
      <c r="C269" s="36">
        <v>59682</v>
      </c>
      <c r="D269" s="113">
        <v>3380043383</v>
      </c>
      <c r="E269" s="116">
        <f t="shared" si="48"/>
        <v>56634.217737341241</v>
      </c>
      <c r="F269" s="117">
        <v>2398721189</v>
      </c>
      <c r="G269" s="117">
        <f t="shared" si="49"/>
        <v>40191.702506618414</v>
      </c>
      <c r="H269" s="7"/>
      <c r="I269" s="109">
        <v>4.6253000000000002</v>
      </c>
      <c r="J269" s="117">
        <v>11094805</v>
      </c>
      <c r="K269" s="120">
        <f t="shared" si="50"/>
        <v>185.89867966891191</v>
      </c>
      <c r="L269" s="122">
        <f t="shared" si="53"/>
        <v>23987211.890000001</v>
      </c>
      <c r="M269" s="116">
        <f t="shared" si="54"/>
        <v>12892406.890000001</v>
      </c>
      <c r="N269" s="123">
        <f t="shared" si="55"/>
        <v>216.01834539727221</v>
      </c>
      <c r="O269" s="5"/>
      <c r="P269" s="5">
        <f t="shared" si="51"/>
        <v>1</v>
      </c>
      <c r="Q269" s="7">
        <f t="shared" si="52"/>
        <v>59682</v>
      </c>
    </row>
    <row r="270" spans="1:17">
      <c r="A270" s="24" t="s">
        <v>546</v>
      </c>
      <c r="B270" s="35" t="s">
        <v>298</v>
      </c>
      <c r="C270" s="36">
        <v>35183</v>
      </c>
      <c r="D270" s="113">
        <v>1946832244</v>
      </c>
      <c r="E270" s="116">
        <f t="shared" si="48"/>
        <v>55334.458232669189</v>
      </c>
      <c r="F270" s="117">
        <v>1336007751</v>
      </c>
      <c r="G270" s="117">
        <f t="shared" si="49"/>
        <v>37973.104937043456</v>
      </c>
      <c r="H270" s="7"/>
      <c r="I270" s="109">
        <v>4.9127999999999998</v>
      </c>
      <c r="J270" s="117">
        <v>6563539</v>
      </c>
      <c r="K270" s="120">
        <f t="shared" si="50"/>
        <v>186.55427337066197</v>
      </c>
      <c r="L270" s="122">
        <f t="shared" si="53"/>
        <v>13360077.51</v>
      </c>
      <c r="M270" s="116">
        <f t="shared" si="54"/>
        <v>6796538.5099999998</v>
      </c>
      <c r="N270" s="123">
        <f t="shared" si="55"/>
        <v>193.17677599977262</v>
      </c>
      <c r="O270" s="5"/>
      <c r="P270" s="5">
        <f t="shared" si="51"/>
        <v>1</v>
      </c>
      <c r="Q270" s="7">
        <f t="shared" si="52"/>
        <v>35183</v>
      </c>
    </row>
    <row r="271" spans="1:17">
      <c r="A271" s="23" t="s">
        <v>299</v>
      </c>
      <c r="B271" s="35" t="s">
        <v>300</v>
      </c>
      <c r="C271" s="36">
        <v>2005</v>
      </c>
      <c r="D271" s="113">
        <v>467875889</v>
      </c>
      <c r="E271" s="116">
        <f t="shared" si="48"/>
        <v>233354.55810473816</v>
      </c>
      <c r="F271" s="117">
        <v>407784561</v>
      </c>
      <c r="G271" s="117">
        <f t="shared" si="49"/>
        <v>203383.82094763091</v>
      </c>
      <c r="H271" s="7"/>
      <c r="I271" s="109">
        <v>7.1638999999999999</v>
      </c>
      <c r="J271" s="117">
        <v>2921328</v>
      </c>
      <c r="K271" s="120">
        <f t="shared" si="50"/>
        <v>1457.0214463840398</v>
      </c>
      <c r="L271" s="122">
        <f t="shared" si="53"/>
        <v>4077845.61</v>
      </c>
      <c r="M271" s="116">
        <f t="shared" si="54"/>
        <v>1156517.6099999999</v>
      </c>
      <c r="N271" s="123">
        <f t="shared" si="55"/>
        <v>576.8167630922693</v>
      </c>
      <c r="O271" s="5"/>
      <c r="P271" s="5">
        <f t="shared" si="51"/>
        <v>1</v>
      </c>
      <c r="Q271" s="7">
        <f t="shared" si="52"/>
        <v>2005</v>
      </c>
    </row>
    <row r="272" spans="1:17">
      <c r="A272" s="23" t="s">
        <v>301</v>
      </c>
      <c r="B272" s="35" t="s">
        <v>300</v>
      </c>
      <c r="C272" s="36">
        <v>17467</v>
      </c>
      <c r="D272" s="113">
        <v>500601009</v>
      </c>
      <c r="E272" s="116">
        <f t="shared" si="48"/>
        <v>28659.81616763039</v>
      </c>
      <c r="F272" s="117">
        <v>276610619</v>
      </c>
      <c r="G272" s="117">
        <f t="shared" si="49"/>
        <v>15836.183603366348</v>
      </c>
      <c r="H272" s="7"/>
      <c r="I272" s="109">
        <v>6.5419</v>
      </c>
      <c r="J272" s="117">
        <v>1809559</v>
      </c>
      <c r="K272" s="120">
        <f t="shared" si="50"/>
        <v>103.59872903188871</v>
      </c>
      <c r="L272" s="122">
        <f t="shared" si="53"/>
        <v>2766106.19</v>
      </c>
      <c r="M272" s="116">
        <f t="shared" si="54"/>
        <v>956547.19</v>
      </c>
      <c r="N272" s="123">
        <f t="shared" si="55"/>
        <v>54.76310700177477</v>
      </c>
      <c r="O272" s="5"/>
      <c r="P272" s="5">
        <f t="shared" si="51"/>
        <v>1</v>
      </c>
      <c r="Q272" s="7">
        <f t="shared" si="52"/>
        <v>17467</v>
      </c>
    </row>
    <row r="273" spans="1:17">
      <c r="A273" s="23" t="s">
        <v>302</v>
      </c>
      <c r="B273" s="35" t="s">
        <v>300</v>
      </c>
      <c r="C273" s="36">
        <v>84392</v>
      </c>
      <c r="D273" s="113">
        <v>20592839660</v>
      </c>
      <c r="E273" s="116">
        <f t="shared" si="48"/>
        <v>244014.12053275193</v>
      </c>
      <c r="F273" s="117">
        <v>16501001756</v>
      </c>
      <c r="G273" s="117">
        <f t="shared" si="49"/>
        <v>195528.03294151105</v>
      </c>
      <c r="H273" s="9"/>
      <c r="I273" s="109">
        <v>3.02</v>
      </c>
      <c r="J273" s="117">
        <v>49833025</v>
      </c>
      <c r="K273" s="120">
        <f t="shared" si="50"/>
        <v>590.49465589155375</v>
      </c>
      <c r="L273" s="122">
        <f t="shared" si="53"/>
        <v>165010017.56</v>
      </c>
      <c r="M273" s="116">
        <f t="shared" si="54"/>
        <v>115176992.56</v>
      </c>
      <c r="N273" s="123">
        <f t="shared" si="55"/>
        <v>1364.7856735235569</v>
      </c>
      <c r="O273" s="5"/>
      <c r="P273" s="5">
        <f t="shared" si="51"/>
        <v>1</v>
      </c>
      <c r="Q273" s="7">
        <f t="shared" si="52"/>
        <v>84392</v>
      </c>
    </row>
    <row r="274" spans="1:17">
      <c r="A274" s="23" t="s">
        <v>303</v>
      </c>
      <c r="B274" s="35" t="s">
        <v>300</v>
      </c>
      <c r="C274" s="36">
        <v>68217</v>
      </c>
      <c r="D274" s="113">
        <v>5380721213</v>
      </c>
      <c r="E274" s="116">
        <f t="shared" si="48"/>
        <v>78876.544160546488</v>
      </c>
      <c r="F274" s="117">
        <v>3889477697</v>
      </c>
      <c r="G274" s="117">
        <f t="shared" si="49"/>
        <v>57016.252503041767</v>
      </c>
      <c r="H274" s="9"/>
      <c r="I274" s="109">
        <v>6.7625999999999999</v>
      </c>
      <c r="J274" s="117">
        <v>26302982</v>
      </c>
      <c r="K274" s="120">
        <f t="shared" si="50"/>
        <v>385.57811102804288</v>
      </c>
      <c r="L274" s="122">
        <f t="shared" si="53"/>
        <v>38894776.969999999</v>
      </c>
      <c r="M274" s="116">
        <f t="shared" si="54"/>
        <v>12591794.969999999</v>
      </c>
      <c r="N274" s="123">
        <f t="shared" si="55"/>
        <v>184.58441400237476</v>
      </c>
      <c r="O274" s="5"/>
      <c r="P274" s="5">
        <f t="shared" si="51"/>
        <v>1</v>
      </c>
      <c r="Q274" s="7">
        <f t="shared" si="52"/>
        <v>68217</v>
      </c>
    </row>
    <row r="275" spans="1:17">
      <c r="A275" s="23" t="s">
        <v>304</v>
      </c>
      <c r="B275" s="35" t="s">
        <v>300</v>
      </c>
      <c r="C275" s="36">
        <v>601</v>
      </c>
      <c r="D275" s="113">
        <v>48888913</v>
      </c>
      <c r="E275" s="116">
        <f t="shared" si="48"/>
        <v>81345.94509151415</v>
      </c>
      <c r="F275" s="117">
        <v>36635108</v>
      </c>
      <c r="G275" s="117">
        <f t="shared" si="49"/>
        <v>60956.91846921797</v>
      </c>
      <c r="H275" s="9"/>
      <c r="I275" s="109">
        <v>10</v>
      </c>
      <c r="J275" s="117">
        <v>366351</v>
      </c>
      <c r="K275" s="120">
        <f t="shared" si="50"/>
        <v>609.56905158069878</v>
      </c>
      <c r="L275" s="122">
        <f t="shared" si="53"/>
        <v>366351.08</v>
      </c>
      <c r="M275" s="116">
        <f t="shared" si="54"/>
        <v>8.0000000016298145E-2</v>
      </c>
      <c r="N275" s="123">
        <f t="shared" si="55"/>
        <v>1.33111480892343E-4</v>
      </c>
      <c r="O275" s="5"/>
      <c r="P275" s="5">
        <f t="shared" si="51"/>
        <v>1</v>
      </c>
      <c r="Q275" s="7">
        <f t="shared" si="52"/>
        <v>601</v>
      </c>
    </row>
    <row r="276" spans="1:17">
      <c r="A276" s="23" t="s">
        <v>305</v>
      </c>
      <c r="B276" s="35" t="s">
        <v>300</v>
      </c>
      <c r="C276" s="36">
        <v>135</v>
      </c>
      <c r="D276" s="114" t="s">
        <v>564</v>
      </c>
      <c r="E276" s="116"/>
      <c r="F276" s="117"/>
      <c r="G276" s="117"/>
      <c r="H276" s="9" t="s">
        <v>528</v>
      </c>
      <c r="I276" s="110"/>
      <c r="J276" s="117"/>
      <c r="K276" s="120"/>
      <c r="L276" s="122">
        <f t="shared" si="53"/>
        <v>0</v>
      </c>
      <c r="M276" s="116">
        <f t="shared" si="54"/>
        <v>0</v>
      </c>
      <c r="N276" s="123">
        <f t="shared" si="55"/>
        <v>0</v>
      </c>
      <c r="O276" s="5"/>
      <c r="P276" s="5">
        <f t="shared" si="51"/>
        <v>0</v>
      </c>
      <c r="Q276" s="7">
        <f t="shared" si="52"/>
        <v>0</v>
      </c>
    </row>
    <row r="277" spans="1:17">
      <c r="A277" s="23" t="s">
        <v>306</v>
      </c>
      <c r="B277" s="35" t="s">
        <v>300</v>
      </c>
      <c r="C277" s="36">
        <v>60522</v>
      </c>
      <c r="D277" s="113">
        <v>8119548674</v>
      </c>
      <c r="E277" s="116">
        <f t="shared" si="48"/>
        <v>134158.6311423945</v>
      </c>
      <c r="F277" s="117">
        <v>6249668019</v>
      </c>
      <c r="G277" s="117">
        <f t="shared" si="49"/>
        <v>103262.7477446218</v>
      </c>
      <c r="H277" s="9"/>
      <c r="I277" s="109">
        <v>7.19</v>
      </c>
      <c r="J277" s="117">
        <v>44935113</v>
      </c>
      <c r="K277" s="120">
        <f>(J277/C277)</f>
        <v>742.45915534846836</v>
      </c>
      <c r="L277" s="122">
        <f t="shared" si="53"/>
        <v>62496680.189999998</v>
      </c>
      <c r="M277" s="116">
        <f t="shared" si="54"/>
        <v>17561567.189999998</v>
      </c>
      <c r="N277" s="123">
        <f t="shared" si="55"/>
        <v>290.16832209774952</v>
      </c>
      <c r="O277" s="5"/>
      <c r="P277" s="5">
        <f t="shared" si="51"/>
        <v>1</v>
      </c>
      <c r="Q277" s="7">
        <f t="shared" si="52"/>
        <v>60522</v>
      </c>
    </row>
    <row r="278" spans="1:17">
      <c r="A278" s="23" t="s">
        <v>307</v>
      </c>
      <c r="B278" s="35" t="s">
        <v>300</v>
      </c>
      <c r="C278" s="36">
        <v>219</v>
      </c>
      <c r="D278" s="114" t="s">
        <v>564</v>
      </c>
      <c r="E278" s="116"/>
      <c r="F278" s="117"/>
      <c r="G278" s="117"/>
      <c r="H278" s="9" t="s">
        <v>528</v>
      </c>
      <c r="I278" s="111"/>
      <c r="J278" s="117"/>
      <c r="K278" s="120"/>
      <c r="L278" s="122">
        <f t="shared" si="53"/>
        <v>0</v>
      </c>
      <c r="M278" s="116">
        <f t="shared" si="54"/>
        <v>0</v>
      </c>
      <c r="N278" s="123">
        <f t="shared" si="55"/>
        <v>0</v>
      </c>
      <c r="O278" s="5"/>
      <c r="P278" s="5">
        <f t="shared" si="51"/>
        <v>0</v>
      </c>
      <c r="Q278" s="7">
        <f t="shared" si="52"/>
        <v>0</v>
      </c>
    </row>
    <row r="279" spans="1:17">
      <c r="A279" s="23" t="s">
        <v>308</v>
      </c>
      <c r="B279" s="35" t="s">
        <v>300</v>
      </c>
      <c r="C279" s="36">
        <v>252</v>
      </c>
      <c r="D279" s="113">
        <v>144377991</v>
      </c>
      <c r="E279" s="116">
        <f t="shared" si="48"/>
        <v>572928.53571428568</v>
      </c>
      <c r="F279" s="117">
        <v>121579767</v>
      </c>
      <c r="G279" s="117">
        <f t="shared" si="49"/>
        <v>482459.39285714284</v>
      </c>
      <c r="H279" s="9"/>
      <c r="I279" s="109">
        <v>7.5015999999999998</v>
      </c>
      <c r="J279" s="117">
        <v>912043</v>
      </c>
      <c r="K279" s="120">
        <f>(J279/C279)</f>
        <v>3619.218253968254</v>
      </c>
      <c r="L279" s="122">
        <f t="shared" si="53"/>
        <v>1215797.67</v>
      </c>
      <c r="M279" s="116">
        <f t="shared" si="54"/>
        <v>303754.66999999993</v>
      </c>
      <c r="N279" s="123">
        <f t="shared" si="55"/>
        <v>1205.3756746031743</v>
      </c>
      <c r="O279" s="5"/>
      <c r="P279" s="5">
        <f t="shared" si="51"/>
        <v>1</v>
      </c>
      <c r="Q279" s="7">
        <f t="shared" si="52"/>
        <v>252</v>
      </c>
    </row>
    <row r="280" spans="1:17">
      <c r="A280" s="23" t="s">
        <v>309</v>
      </c>
      <c r="B280" s="35" t="s">
        <v>300</v>
      </c>
      <c r="C280" s="36">
        <v>37573</v>
      </c>
      <c r="D280" s="113">
        <v>1800408426</v>
      </c>
      <c r="E280" s="116">
        <f t="shared" si="48"/>
        <v>47917.611742474648</v>
      </c>
      <c r="F280" s="117">
        <v>1222199230</v>
      </c>
      <c r="G280" s="117">
        <f t="shared" si="49"/>
        <v>32528.657014345408</v>
      </c>
      <c r="H280" s="7"/>
      <c r="I280" s="109">
        <v>5.65</v>
      </c>
      <c r="J280" s="117">
        <v>6905426</v>
      </c>
      <c r="K280" s="120">
        <f t="shared" ref="K280:K301" si="56">(J280/C280)</f>
        <v>183.78692145955873</v>
      </c>
      <c r="L280" s="122">
        <f t="shared" si="53"/>
        <v>12221992.300000001</v>
      </c>
      <c r="M280" s="116">
        <f t="shared" si="54"/>
        <v>5316566.3000000007</v>
      </c>
      <c r="N280" s="123">
        <f t="shared" si="55"/>
        <v>141.49964868389537</v>
      </c>
      <c r="O280" s="5"/>
      <c r="P280" s="5">
        <f t="shared" si="51"/>
        <v>1</v>
      </c>
      <c r="Q280" s="7">
        <f t="shared" si="52"/>
        <v>37573</v>
      </c>
    </row>
    <row r="281" spans="1:17">
      <c r="A281" s="23" t="s">
        <v>310</v>
      </c>
      <c r="B281" s="35" t="s">
        <v>300</v>
      </c>
      <c r="C281" s="36">
        <v>786</v>
      </c>
      <c r="D281" s="113">
        <v>791549665</v>
      </c>
      <c r="E281" s="116">
        <f t="shared" si="48"/>
        <v>1007060.6424936387</v>
      </c>
      <c r="F281" s="117">
        <v>666690596</v>
      </c>
      <c r="G281" s="117">
        <f t="shared" si="49"/>
        <v>848206.86513994914</v>
      </c>
      <c r="H281" s="7"/>
      <c r="I281" s="109">
        <v>2.8654999999999999</v>
      </c>
      <c r="J281" s="117">
        <v>1910402</v>
      </c>
      <c r="K281" s="120">
        <f t="shared" si="56"/>
        <v>2430.5368956743005</v>
      </c>
      <c r="L281" s="122">
        <f t="shared" si="53"/>
        <v>6666905.96</v>
      </c>
      <c r="M281" s="116">
        <f t="shared" si="54"/>
        <v>4756503.96</v>
      </c>
      <c r="N281" s="123">
        <f t="shared" si="55"/>
        <v>6051.531755725191</v>
      </c>
      <c r="O281" s="5"/>
      <c r="P281" s="5">
        <f t="shared" si="51"/>
        <v>1</v>
      </c>
      <c r="Q281" s="7">
        <f t="shared" si="52"/>
        <v>786</v>
      </c>
    </row>
    <row r="282" spans="1:17">
      <c r="A282" s="23" t="s">
        <v>311</v>
      </c>
      <c r="B282" s="35" t="s">
        <v>300</v>
      </c>
      <c r="C282" s="36">
        <v>1873</v>
      </c>
      <c r="D282" s="113">
        <v>101488040</v>
      </c>
      <c r="E282" s="116">
        <f t="shared" si="48"/>
        <v>54184.751735184196</v>
      </c>
      <c r="F282" s="117">
        <v>67396916</v>
      </c>
      <c r="G282" s="117">
        <f t="shared" si="49"/>
        <v>35983.404164442072</v>
      </c>
      <c r="H282" s="7"/>
      <c r="I282" s="109">
        <v>4.2952000000000004</v>
      </c>
      <c r="J282" s="117">
        <v>289483</v>
      </c>
      <c r="K282" s="120">
        <f t="shared" si="56"/>
        <v>154.55579284570209</v>
      </c>
      <c r="L282" s="122">
        <f t="shared" si="53"/>
        <v>673969.16</v>
      </c>
      <c r="M282" s="116">
        <f t="shared" si="54"/>
        <v>384486.16000000003</v>
      </c>
      <c r="N282" s="123">
        <f t="shared" si="55"/>
        <v>205.27824879871866</v>
      </c>
      <c r="O282" s="5"/>
      <c r="P282" s="5">
        <f t="shared" si="51"/>
        <v>1</v>
      </c>
      <c r="Q282" s="7">
        <f t="shared" si="52"/>
        <v>1873</v>
      </c>
    </row>
    <row r="283" spans="1:17">
      <c r="A283" s="23" t="s">
        <v>312</v>
      </c>
      <c r="B283" s="35" t="s">
        <v>300</v>
      </c>
      <c r="C283" s="36">
        <v>3539</v>
      </c>
      <c r="D283" s="113">
        <v>2051532163</v>
      </c>
      <c r="E283" s="116">
        <f t="shared" si="48"/>
        <v>579692.61458038993</v>
      </c>
      <c r="F283" s="117">
        <v>1815718250</v>
      </c>
      <c r="G283" s="117">
        <f t="shared" si="49"/>
        <v>513059.69200339081</v>
      </c>
      <c r="H283" s="7"/>
      <c r="I283" s="109">
        <v>3.2542</v>
      </c>
      <c r="J283" s="117">
        <v>5908710</v>
      </c>
      <c r="K283" s="120">
        <f t="shared" si="56"/>
        <v>1669.5987567109353</v>
      </c>
      <c r="L283" s="122">
        <f t="shared" si="53"/>
        <v>18157182.5</v>
      </c>
      <c r="M283" s="116">
        <f t="shared" si="54"/>
        <v>12248472.5</v>
      </c>
      <c r="N283" s="123">
        <f t="shared" si="55"/>
        <v>3460.9981633229727</v>
      </c>
      <c r="O283" s="5"/>
      <c r="P283" s="5">
        <f t="shared" si="51"/>
        <v>1</v>
      </c>
      <c r="Q283" s="7">
        <f t="shared" si="52"/>
        <v>3539</v>
      </c>
    </row>
    <row r="284" spans="1:17">
      <c r="A284" s="23" t="s">
        <v>313</v>
      </c>
      <c r="B284" s="35" t="s">
        <v>300</v>
      </c>
      <c r="C284" s="36">
        <v>2588</v>
      </c>
      <c r="D284" s="113">
        <v>329727371</v>
      </c>
      <c r="E284" s="116">
        <f t="shared" si="48"/>
        <v>127406.24845440495</v>
      </c>
      <c r="F284" s="117">
        <v>262433560</v>
      </c>
      <c r="G284" s="117">
        <f t="shared" si="49"/>
        <v>101404.00309119011</v>
      </c>
      <c r="H284" s="7"/>
      <c r="I284" s="109">
        <v>3.5</v>
      </c>
      <c r="J284" s="117">
        <v>918517</v>
      </c>
      <c r="K284" s="120">
        <f t="shared" si="56"/>
        <v>354.91383307573415</v>
      </c>
      <c r="L284" s="122">
        <f t="shared" si="53"/>
        <v>2624335.6</v>
      </c>
      <c r="M284" s="116">
        <f t="shared" si="54"/>
        <v>1705818.6</v>
      </c>
      <c r="N284" s="123">
        <f t="shared" si="55"/>
        <v>659.12619783616697</v>
      </c>
      <c r="O284" s="5"/>
      <c r="P284" s="5">
        <f t="shared" si="51"/>
        <v>1</v>
      </c>
      <c r="Q284" s="7">
        <f t="shared" si="52"/>
        <v>2588</v>
      </c>
    </row>
    <row r="285" spans="1:17">
      <c r="A285" s="23" t="s">
        <v>314</v>
      </c>
      <c r="B285" s="35" t="s">
        <v>300</v>
      </c>
      <c r="C285" s="36">
        <v>3176</v>
      </c>
      <c r="D285" s="113">
        <v>1124930638</v>
      </c>
      <c r="E285" s="116">
        <f t="shared" si="48"/>
        <v>354197.30415617127</v>
      </c>
      <c r="F285" s="117">
        <v>934444485</v>
      </c>
      <c r="G285" s="117">
        <f t="shared" si="49"/>
        <v>294220.55573047861</v>
      </c>
      <c r="H285" s="7"/>
      <c r="I285" s="109">
        <v>2.9</v>
      </c>
      <c r="J285" s="117">
        <v>2709889</v>
      </c>
      <c r="K285" s="120">
        <f t="shared" si="56"/>
        <v>853.23960957178838</v>
      </c>
      <c r="L285" s="122">
        <f t="shared" si="53"/>
        <v>9344444.8499999996</v>
      </c>
      <c r="M285" s="116">
        <f t="shared" si="54"/>
        <v>6634555.8499999996</v>
      </c>
      <c r="N285" s="123">
        <f t="shared" si="55"/>
        <v>2088.9659477329974</v>
      </c>
      <c r="O285" s="5"/>
      <c r="P285" s="5">
        <f t="shared" si="51"/>
        <v>1</v>
      </c>
      <c r="Q285" s="7">
        <f t="shared" si="52"/>
        <v>3176</v>
      </c>
    </row>
    <row r="286" spans="1:17">
      <c r="A286" s="23" t="s">
        <v>315</v>
      </c>
      <c r="B286" s="35" t="s">
        <v>300</v>
      </c>
      <c r="C286" s="36">
        <v>55156</v>
      </c>
      <c r="D286" s="113">
        <v>9026203121</v>
      </c>
      <c r="E286" s="116">
        <f t="shared" si="48"/>
        <v>163648.61703169192</v>
      </c>
      <c r="F286" s="117">
        <v>7132882150</v>
      </c>
      <c r="G286" s="117">
        <f t="shared" si="49"/>
        <v>129321.96225252013</v>
      </c>
      <c r="H286" s="7"/>
      <c r="I286" s="109">
        <v>2.5142000000000002</v>
      </c>
      <c r="J286" s="117">
        <v>17933492</v>
      </c>
      <c r="K286" s="120">
        <f t="shared" si="56"/>
        <v>325.14127202842843</v>
      </c>
      <c r="L286" s="122">
        <f t="shared" si="53"/>
        <v>71328821.5</v>
      </c>
      <c r="M286" s="116">
        <f t="shared" si="54"/>
        <v>53395329.5</v>
      </c>
      <c r="N286" s="123">
        <f t="shared" si="55"/>
        <v>968.07835049677283</v>
      </c>
      <c r="O286" s="5"/>
      <c r="P286" s="5">
        <f t="shared" si="51"/>
        <v>1</v>
      </c>
      <c r="Q286" s="7">
        <f t="shared" si="52"/>
        <v>55156</v>
      </c>
    </row>
    <row r="287" spans="1:17">
      <c r="A287" s="23" t="s">
        <v>316</v>
      </c>
      <c r="B287" s="35" t="s">
        <v>300</v>
      </c>
      <c r="C287" s="36">
        <v>400</v>
      </c>
      <c r="D287" s="113">
        <v>267970550</v>
      </c>
      <c r="E287" s="116">
        <f t="shared" ref="E287:E350" si="57">(D287/C287)</f>
        <v>669926.375</v>
      </c>
      <c r="F287" s="117">
        <v>212485624</v>
      </c>
      <c r="G287" s="117">
        <f t="shared" ref="G287:G350" si="58">(F287/C287)</f>
        <v>531214.06000000006</v>
      </c>
      <c r="H287" s="7"/>
      <c r="I287" s="109">
        <v>4.2</v>
      </c>
      <c r="J287" s="117">
        <v>892440</v>
      </c>
      <c r="K287" s="120">
        <f t="shared" si="56"/>
        <v>2231.1</v>
      </c>
      <c r="L287" s="122">
        <f t="shared" si="53"/>
        <v>2124856.2400000002</v>
      </c>
      <c r="M287" s="116">
        <f t="shared" si="54"/>
        <v>1232416.2400000002</v>
      </c>
      <c r="N287" s="123">
        <f t="shared" si="55"/>
        <v>3081.0406000000007</v>
      </c>
      <c r="O287" s="5"/>
      <c r="P287" s="5">
        <f t="shared" si="51"/>
        <v>1</v>
      </c>
      <c r="Q287" s="7">
        <f t="shared" si="52"/>
        <v>400</v>
      </c>
    </row>
    <row r="288" spans="1:17">
      <c r="A288" s="23" t="s">
        <v>317</v>
      </c>
      <c r="B288" s="35" t="s">
        <v>300</v>
      </c>
      <c r="C288" s="36">
        <v>3376</v>
      </c>
      <c r="D288" s="113">
        <v>287618458</v>
      </c>
      <c r="E288" s="116">
        <f t="shared" si="57"/>
        <v>85195.040876777246</v>
      </c>
      <c r="F288" s="117">
        <v>190798877</v>
      </c>
      <c r="G288" s="117">
        <f t="shared" si="58"/>
        <v>56516.255035545022</v>
      </c>
      <c r="H288" s="7"/>
      <c r="I288" s="109">
        <v>6.2797999999999998</v>
      </c>
      <c r="J288" s="117">
        <v>1198179</v>
      </c>
      <c r="K288" s="120">
        <f t="shared" si="56"/>
        <v>354.91084123222748</v>
      </c>
      <c r="L288" s="122">
        <f t="shared" si="53"/>
        <v>1907988.77</v>
      </c>
      <c r="M288" s="116">
        <f t="shared" si="54"/>
        <v>709809.77</v>
      </c>
      <c r="N288" s="123">
        <f t="shared" si="55"/>
        <v>210.25170912322275</v>
      </c>
      <c r="O288" s="5"/>
      <c r="P288" s="5">
        <f t="shared" si="51"/>
        <v>1</v>
      </c>
      <c r="Q288" s="7">
        <f t="shared" si="52"/>
        <v>3376</v>
      </c>
    </row>
    <row r="289" spans="1:17">
      <c r="A289" s="23" t="s">
        <v>318</v>
      </c>
      <c r="B289" s="35" t="s">
        <v>300</v>
      </c>
      <c r="C289" s="36">
        <v>8155</v>
      </c>
      <c r="D289" s="113">
        <v>596833460</v>
      </c>
      <c r="E289" s="116">
        <f t="shared" si="57"/>
        <v>73186.199877375839</v>
      </c>
      <c r="F289" s="117">
        <v>472024293</v>
      </c>
      <c r="G289" s="117">
        <f t="shared" si="58"/>
        <v>57881.580993255673</v>
      </c>
      <c r="H289" s="7"/>
      <c r="I289" s="109">
        <v>8.5162999999999993</v>
      </c>
      <c r="J289" s="117">
        <v>4019900</v>
      </c>
      <c r="K289" s="120">
        <f t="shared" si="56"/>
        <v>492.93684855916615</v>
      </c>
      <c r="L289" s="122">
        <f t="shared" si="53"/>
        <v>4720242.93</v>
      </c>
      <c r="M289" s="116">
        <f t="shared" si="54"/>
        <v>700342.9299999997</v>
      </c>
      <c r="N289" s="123">
        <f t="shared" si="55"/>
        <v>85.878961373390524</v>
      </c>
      <c r="O289" s="5"/>
      <c r="P289" s="5">
        <f t="shared" si="51"/>
        <v>1</v>
      </c>
      <c r="Q289" s="7">
        <f t="shared" si="52"/>
        <v>8155</v>
      </c>
    </row>
    <row r="290" spans="1:17">
      <c r="A290" s="24" t="s">
        <v>628</v>
      </c>
      <c r="B290" s="35" t="s">
        <v>300</v>
      </c>
      <c r="C290" s="36">
        <v>34910</v>
      </c>
      <c r="D290" s="113">
        <v>1681955878</v>
      </c>
      <c r="E290" s="116">
        <f t="shared" si="57"/>
        <v>48179.773073617871</v>
      </c>
      <c r="F290" s="117">
        <v>1147575332</v>
      </c>
      <c r="G290" s="117">
        <f t="shared" si="58"/>
        <v>32872.395645946723</v>
      </c>
      <c r="H290" s="7"/>
      <c r="I290" s="109">
        <v>4.9999000000000002</v>
      </c>
      <c r="J290" s="117">
        <v>5737762</v>
      </c>
      <c r="K290" s="120">
        <f t="shared" si="56"/>
        <v>164.35869378401605</v>
      </c>
      <c r="L290" s="122">
        <f t="shared" si="53"/>
        <v>11475753.32</v>
      </c>
      <c r="M290" s="116">
        <f t="shared" si="54"/>
        <v>5737991.3200000003</v>
      </c>
      <c r="N290" s="123">
        <f t="shared" si="55"/>
        <v>164.36526267545116</v>
      </c>
      <c r="O290" s="5"/>
      <c r="P290" s="5">
        <f t="shared" si="51"/>
        <v>1</v>
      </c>
      <c r="Q290" s="7">
        <f t="shared" si="52"/>
        <v>34910</v>
      </c>
    </row>
    <row r="291" spans="1:17">
      <c r="A291" s="23" t="s">
        <v>319</v>
      </c>
      <c r="B291" s="35" t="s">
        <v>300</v>
      </c>
      <c r="C291" s="36">
        <v>10423</v>
      </c>
      <c r="D291" s="113">
        <v>1007356851</v>
      </c>
      <c r="E291" s="116">
        <f t="shared" si="57"/>
        <v>96647.496018420803</v>
      </c>
      <c r="F291" s="117">
        <v>721056235</v>
      </c>
      <c r="G291" s="117">
        <f t="shared" si="58"/>
        <v>69179.33752278614</v>
      </c>
      <c r="H291" s="7"/>
      <c r="I291" s="109">
        <v>3.2395</v>
      </c>
      <c r="J291" s="117">
        <v>2335862</v>
      </c>
      <c r="K291" s="120">
        <f t="shared" si="56"/>
        <v>224.10649525088746</v>
      </c>
      <c r="L291" s="122">
        <f t="shared" si="53"/>
        <v>7210562.3500000006</v>
      </c>
      <c r="M291" s="116">
        <f t="shared" si="54"/>
        <v>4874700.3500000006</v>
      </c>
      <c r="N291" s="123">
        <f t="shared" si="55"/>
        <v>467.68687997697407</v>
      </c>
      <c r="O291" s="5"/>
      <c r="P291" s="5">
        <f t="shared" si="51"/>
        <v>1</v>
      </c>
      <c r="Q291" s="7">
        <f t="shared" si="52"/>
        <v>10423</v>
      </c>
    </row>
    <row r="292" spans="1:17">
      <c r="A292" s="23" t="s">
        <v>531</v>
      </c>
      <c r="B292" s="35" t="s">
        <v>300</v>
      </c>
      <c r="C292" s="36">
        <v>3180</v>
      </c>
      <c r="D292" s="113">
        <v>373137684</v>
      </c>
      <c r="E292" s="116">
        <f t="shared" si="57"/>
        <v>117338.89433962264</v>
      </c>
      <c r="F292" s="117">
        <v>196470794</v>
      </c>
      <c r="G292" s="117">
        <f t="shared" si="58"/>
        <v>61783.268553459122</v>
      </c>
      <c r="H292" s="9"/>
      <c r="I292" s="109">
        <v>1.4</v>
      </c>
      <c r="J292" s="117">
        <v>275059</v>
      </c>
      <c r="K292" s="120">
        <f t="shared" si="56"/>
        <v>86.496540880503147</v>
      </c>
      <c r="L292" s="122">
        <f t="shared" si="53"/>
        <v>1964707.94</v>
      </c>
      <c r="M292" s="116">
        <f t="shared" si="54"/>
        <v>1689648.94</v>
      </c>
      <c r="N292" s="123">
        <f t="shared" si="55"/>
        <v>531.336144654088</v>
      </c>
      <c r="O292" s="5"/>
      <c r="P292" s="5">
        <f t="shared" si="51"/>
        <v>1</v>
      </c>
      <c r="Q292" s="7">
        <f t="shared" si="52"/>
        <v>3180</v>
      </c>
    </row>
    <row r="293" spans="1:17">
      <c r="A293" s="23" t="s">
        <v>320</v>
      </c>
      <c r="B293" s="35" t="s">
        <v>300</v>
      </c>
      <c r="C293" s="36">
        <v>406</v>
      </c>
      <c r="D293" s="113">
        <v>949533351</v>
      </c>
      <c r="E293" s="116">
        <f t="shared" si="57"/>
        <v>2338752.0960591133</v>
      </c>
      <c r="F293" s="117">
        <v>894600697</v>
      </c>
      <c r="G293" s="117">
        <f t="shared" si="58"/>
        <v>2203449.9926108373</v>
      </c>
      <c r="H293" s="7"/>
      <c r="I293" s="109">
        <v>2.8</v>
      </c>
      <c r="J293" s="117">
        <v>2504882</v>
      </c>
      <c r="K293" s="120">
        <f t="shared" si="56"/>
        <v>6169.6600985221676</v>
      </c>
      <c r="L293" s="122">
        <f t="shared" si="53"/>
        <v>8946006.9700000007</v>
      </c>
      <c r="M293" s="116">
        <f t="shared" si="54"/>
        <v>6441124.9700000007</v>
      </c>
      <c r="N293" s="123">
        <f t="shared" si="55"/>
        <v>15864.839827586209</v>
      </c>
      <c r="O293" s="5"/>
      <c r="P293" s="5">
        <f t="shared" si="51"/>
        <v>1</v>
      </c>
      <c r="Q293" s="7">
        <f t="shared" si="52"/>
        <v>406</v>
      </c>
    </row>
    <row r="294" spans="1:17">
      <c r="A294" s="23" t="s">
        <v>321</v>
      </c>
      <c r="B294" s="35" t="s">
        <v>300</v>
      </c>
      <c r="C294" s="36">
        <v>1888</v>
      </c>
      <c r="D294" s="113">
        <v>173138159</v>
      </c>
      <c r="E294" s="116">
        <f t="shared" si="57"/>
        <v>91704.533368644072</v>
      </c>
      <c r="F294" s="117">
        <v>146970162</v>
      </c>
      <c r="G294" s="117">
        <f t="shared" si="58"/>
        <v>77844.365466101692</v>
      </c>
      <c r="H294" s="7"/>
      <c r="I294" s="109">
        <v>9.8000000000000007</v>
      </c>
      <c r="J294" s="117">
        <v>1440308</v>
      </c>
      <c r="K294" s="120">
        <f t="shared" si="56"/>
        <v>762.875</v>
      </c>
      <c r="L294" s="122">
        <f t="shared" si="53"/>
        <v>1469701.62</v>
      </c>
      <c r="M294" s="116">
        <f t="shared" si="54"/>
        <v>29393.620000000112</v>
      </c>
      <c r="N294" s="123">
        <f t="shared" si="55"/>
        <v>15.568654661017009</v>
      </c>
      <c r="O294" s="5"/>
      <c r="P294" s="5">
        <f t="shared" si="51"/>
        <v>1</v>
      </c>
      <c r="Q294" s="7">
        <f t="shared" si="52"/>
        <v>1888</v>
      </c>
    </row>
    <row r="295" spans="1:17">
      <c r="A295" s="23" t="s">
        <v>322</v>
      </c>
      <c r="B295" s="35" t="s">
        <v>300</v>
      </c>
      <c r="C295" s="36">
        <v>12015</v>
      </c>
      <c r="D295" s="113">
        <v>2057286288</v>
      </c>
      <c r="E295" s="116">
        <f t="shared" si="57"/>
        <v>171226.49088639201</v>
      </c>
      <c r="F295" s="117">
        <v>1544203050</v>
      </c>
      <c r="G295" s="117">
        <f t="shared" si="58"/>
        <v>128522.93383270911</v>
      </c>
      <c r="H295" s="7"/>
      <c r="I295" s="109">
        <v>6.9722999999999997</v>
      </c>
      <c r="J295" s="117">
        <v>10766647</v>
      </c>
      <c r="K295" s="120">
        <f t="shared" si="56"/>
        <v>896.10045776113191</v>
      </c>
      <c r="L295" s="122">
        <f t="shared" si="53"/>
        <v>15442030.5</v>
      </c>
      <c r="M295" s="116">
        <f t="shared" si="54"/>
        <v>4675383.5</v>
      </c>
      <c r="N295" s="123">
        <f t="shared" si="55"/>
        <v>389.12888056595921</v>
      </c>
      <c r="O295" s="5"/>
      <c r="P295" s="5">
        <f t="shared" si="51"/>
        <v>1</v>
      </c>
      <c r="Q295" s="7">
        <f t="shared" si="52"/>
        <v>12015</v>
      </c>
    </row>
    <row r="296" spans="1:17">
      <c r="A296" s="23" t="s">
        <v>323</v>
      </c>
      <c r="B296" s="35" t="s">
        <v>300</v>
      </c>
      <c r="C296" s="36">
        <v>1786</v>
      </c>
      <c r="D296" s="113">
        <v>802584062</v>
      </c>
      <c r="E296" s="116">
        <f t="shared" si="57"/>
        <v>449375.17469204927</v>
      </c>
      <c r="F296" s="117">
        <v>678196264</v>
      </c>
      <c r="G296" s="117">
        <f t="shared" si="58"/>
        <v>379729.15117581189</v>
      </c>
      <c r="H296" s="7"/>
      <c r="I296" s="109">
        <v>5.25</v>
      </c>
      <c r="J296" s="117">
        <v>3560530</v>
      </c>
      <c r="K296" s="120">
        <f t="shared" si="56"/>
        <v>1993.5778275475923</v>
      </c>
      <c r="L296" s="122">
        <f t="shared" si="53"/>
        <v>6781962.6400000006</v>
      </c>
      <c r="M296" s="116">
        <f t="shared" si="54"/>
        <v>3221432.6400000006</v>
      </c>
      <c r="N296" s="123">
        <f t="shared" si="55"/>
        <v>1803.7136842105267</v>
      </c>
      <c r="O296" s="5"/>
      <c r="P296" s="5">
        <f t="shared" si="51"/>
        <v>1</v>
      </c>
      <c r="Q296" s="7">
        <f t="shared" si="52"/>
        <v>1786</v>
      </c>
    </row>
    <row r="297" spans="1:17">
      <c r="A297" s="23" t="s">
        <v>324</v>
      </c>
      <c r="B297" s="35" t="s">
        <v>300</v>
      </c>
      <c r="C297" s="36">
        <v>5649</v>
      </c>
      <c r="D297" s="113">
        <v>188128872</v>
      </c>
      <c r="E297" s="116">
        <f t="shared" si="57"/>
        <v>33303.03983005842</v>
      </c>
      <c r="F297" s="117">
        <v>84000222</v>
      </c>
      <c r="G297" s="117">
        <f t="shared" si="58"/>
        <v>14869.927774827403</v>
      </c>
      <c r="H297" s="9"/>
      <c r="I297" s="109">
        <v>6.5419</v>
      </c>
      <c r="J297" s="117">
        <v>549521</v>
      </c>
      <c r="K297" s="120">
        <f t="shared" si="56"/>
        <v>97.277571251548949</v>
      </c>
      <c r="L297" s="122">
        <f t="shared" si="53"/>
        <v>840002.22</v>
      </c>
      <c r="M297" s="116">
        <f t="shared" si="54"/>
        <v>290481.21999999997</v>
      </c>
      <c r="N297" s="123">
        <f t="shared" si="55"/>
        <v>51.421706496725079</v>
      </c>
      <c r="O297" s="5"/>
      <c r="P297" s="5">
        <f t="shared" si="51"/>
        <v>1</v>
      </c>
      <c r="Q297" s="7">
        <f t="shared" si="52"/>
        <v>5649</v>
      </c>
    </row>
    <row r="298" spans="1:17">
      <c r="A298" s="23" t="s">
        <v>300</v>
      </c>
      <c r="B298" s="35" t="s">
        <v>300</v>
      </c>
      <c r="C298" s="36">
        <v>8348</v>
      </c>
      <c r="D298" s="113">
        <v>14005642453</v>
      </c>
      <c r="E298" s="116">
        <f t="shared" si="57"/>
        <v>1677724.2995927169</v>
      </c>
      <c r="F298" s="117">
        <v>11662503790</v>
      </c>
      <c r="G298" s="117">
        <f t="shared" si="58"/>
        <v>1397041.6614758025</v>
      </c>
      <c r="H298" s="7"/>
      <c r="I298" s="109">
        <v>3.2511999999999999</v>
      </c>
      <c r="J298" s="117">
        <v>37917132</v>
      </c>
      <c r="K298" s="120">
        <f t="shared" si="56"/>
        <v>4542.0618112122665</v>
      </c>
      <c r="L298" s="122">
        <f t="shared" si="53"/>
        <v>116625037.90000001</v>
      </c>
      <c r="M298" s="116">
        <f t="shared" si="54"/>
        <v>78707905.900000006</v>
      </c>
      <c r="N298" s="123">
        <f t="shared" si="55"/>
        <v>9428.3548035457607</v>
      </c>
      <c r="O298" s="5"/>
      <c r="P298" s="5">
        <f t="shared" si="51"/>
        <v>1</v>
      </c>
      <c r="Q298" s="7">
        <f t="shared" si="52"/>
        <v>8348</v>
      </c>
    </row>
    <row r="299" spans="1:17">
      <c r="A299" s="23" t="s">
        <v>325</v>
      </c>
      <c r="B299" s="35" t="s">
        <v>300</v>
      </c>
      <c r="C299" s="36">
        <v>48440</v>
      </c>
      <c r="D299" s="113">
        <v>9665099006</v>
      </c>
      <c r="E299" s="116">
        <f t="shared" si="57"/>
        <v>199527.22968620976</v>
      </c>
      <c r="F299" s="117">
        <v>7924777476</v>
      </c>
      <c r="G299" s="117">
        <f t="shared" si="58"/>
        <v>163599.86531791909</v>
      </c>
      <c r="H299" s="7"/>
      <c r="I299" s="109">
        <v>5.7404000000000002</v>
      </c>
      <c r="J299" s="117">
        <v>45491393</v>
      </c>
      <c r="K299" s="120">
        <f t="shared" si="56"/>
        <v>939.12867464905037</v>
      </c>
      <c r="L299" s="122">
        <f t="shared" si="53"/>
        <v>79247774.760000005</v>
      </c>
      <c r="M299" s="116">
        <f t="shared" si="54"/>
        <v>33756381.760000005</v>
      </c>
      <c r="N299" s="123">
        <f t="shared" si="55"/>
        <v>696.86997853014054</v>
      </c>
      <c r="O299" s="5"/>
      <c r="P299" s="5">
        <f t="shared" si="51"/>
        <v>1</v>
      </c>
      <c r="Q299" s="7">
        <f t="shared" si="52"/>
        <v>48440</v>
      </c>
    </row>
    <row r="300" spans="1:17">
      <c r="A300" s="23" t="s">
        <v>326</v>
      </c>
      <c r="B300" s="35" t="s">
        <v>300</v>
      </c>
      <c r="C300" s="36">
        <v>1142</v>
      </c>
      <c r="D300" s="113">
        <v>571707780</v>
      </c>
      <c r="E300" s="116">
        <f t="shared" si="57"/>
        <v>500619.77232924692</v>
      </c>
      <c r="F300" s="117">
        <v>519162014</v>
      </c>
      <c r="G300" s="117">
        <f t="shared" si="58"/>
        <v>454607.71803852892</v>
      </c>
      <c r="H300" s="7"/>
      <c r="I300" s="109">
        <v>5.9989999999999997</v>
      </c>
      <c r="J300" s="117">
        <v>3114453</v>
      </c>
      <c r="K300" s="120">
        <f t="shared" si="56"/>
        <v>2727.1917688266199</v>
      </c>
      <c r="L300" s="122">
        <f t="shared" si="53"/>
        <v>5191620.1399999997</v>
      </c>
      <c r="M300" s="116">
        <f t="shared" si="54"/>
        <v>2077167.1399999997</v>
      </c>
      <c r="N300" s="123">
        <f t="shared" si="55"/>
        <v>1818.8854115586687</v>
      </c>
      <c r="O300" s="5"/>
      <c r="P300" s="5">
        <f t="shared" si="51"/>
        <v>1</v>
      </c>
      <c r="Q300" s="7">
        <f t="shared" si="52"/>
        <v>1142</v>
      </c>
    </row>
    <row r="301" spans="1:17">
      <c r="A301" s="23" t="s">
        <v>327</v>
      </c>
      <c r="B301" s="35" t="s">
        <v>300</v>
      </c>
      <c r="C301" s="36">
        <v>18928</v>
      </c>
      <c r="D301" s="113">
        <v>908134043</v>
      </c>
      <c r="E301" s="116">
        <f t="shared" si="57"/>
        <v>47978.341240490277</v>
      </c>
      <c r="F301" s="117">
        <v>609835495</v>
      </c>
      <c r="G301" s="117">
        <f t="shared" si="58"/>
        <v>32218.69690405748</v>
      </c>
      <c r="H301" s="9"/>
      <c r="I301" s="109">
        <v>3.5</v>
      </c>
      <c r="J301" s="117">
        <v>2134424</v>
      </c>
      <c r="K301" s="120">
        <f t="shared" si="56"/>
        <v>112.76542688081149</v>
      </c>
      <c r="L301" s="122">
        <f t="shared" si="53"/>
        <v>6098354.9500000002</v>
      </c>
      <c r="M301" s="116">
        <f t="shared" si="54"/>
        <v>3963930.95</v>
      </c>
      <c r="N301" s="123">
        <f t="shared" si="55"/>
        <v>209.42154215976333</v>
      </c>
      <c r="O301" s="5"/>
      <c r="P301" s="5">
        <f t="shared" si="51"/>
        <v>1</v>
      </c>
      <c r="Q301" s="7">
        <f t="shared" si="52"/>
        <v>18928</v>
      </c>
    </row>
    <row r="302" spans="1:17">
      <c r="A302" s="23" t="s">
        <v>328</v>
      </c>
      <c r="B302" s="35" t="s">
        <v>300</v>
      </c>
      <c r="C302" s="36">
        <v>32488</v>
      </c>
      <c r="D302" s="113">
        <v>4028156547</v>
      </c>
      <c r="E302" s="116">
        <f t="shared" si="57"/>
        <v>123989.05894484118</v>
      </c>
      <c r="F302" s="117">
        <v>3170261303</v>
      </c>
      <c r="G302" s="117">
        <f t="shared" si="58"/>
        <v>97582.532104161539</v>
      </c>
      <c r="H302" s="7"/>
      <c r="I302" s="109">
        <v>8.9979999999999993</v>
      </c>
      <c r="J302" s="117">
        <v>28526011</v>
      </c>
      <c r="K302" s="120">
        <f t="shared" ref="K302:K333" si="59">(J302/C302)</f>
        <v>878.04761758187635</v>
      </c>
      <c r="L302" s="122">
        <f t="shared" si="53"/>
        <v>31702613.030000001</v>
      </c>
      <c r="M302" s="116">
        <f t="shared" si="54"/>
        <v>3176602.0300000012</v>
      </c>
      <c r="N302" s="123">
        <f t="shared" si="55"/>
        <v>97.777703459739016</v>
      </c>
      <c r="O302" s="5"/>
      <c r="P302" s="5">
        <f t="shared" si="51"/>
        <v>1</v>
      </c>
      <c r="Q302" s="7">
        <f t="shared" si="52"/>
        <v>32488</v>
      </c>
    </row>
    <row r="303" spans="1:17">
      <c r="A303" s="23" t="s">
        <v>329</v>
      </c>
      <c r="B303" s="35" t="s">
        <v>300</v>
      </c>
      <c r="C303" s="36">
        <v>34140</v>
      </c>
      <c r="D303" s="113">
        <v>2589889723</v>
      </c>
      <c r="E303" s="116">
        <f t="shared" si="57"/>
        <v>75860.858904510838</v>
      </c>
      <c r="F303" s="117">
        <v>1890698688</v>
      </c>
      <c r="G303" s="117">
        <f t="shared" si="58"/>
        <v>55380.746572934971</v>
      </c>
      <c r="H303" s="7"/>
      <c r="I303" s="109">
        <v>1.92</v>
      </c>
      <c r="J303" s="117">
        <v>3630141</v>
      </c>
      <c r="K303" s="120">
        <f t="shared" si="59"/>
        <v>106.33101933216169</v>
      </c>
      <c r="L303" s="122">
        <f t="shared" si="53"/>
        <v>18906986.879999999</v>
      </c>
      <c r="M303" s="116">
        <f t="shared" si="54"/>
        <v>15276845.879999999</v>
      </c>
      <c r="N303" s="123">
        <f t="shared" si="55"/>
        <v>447.476446397188</v>
      </c>
      <c r="O303" s="5"/>
      <c r="P303" s="5">
        <f t="shared" si="51"/>
        <v>1</v>
      </c>
      <c r="Q303" s="7">
        <f t="shared" si="52"/>
        <v>34140</v>
      </c>
    </row>
    <row r="304" spans="1:17">
      <c r="A304" s="23" t="s">
        <v>330</v>
      </c>
      <c r="B304" s="35" t="s">
        <v>300</v>
      </c>
      <c r="C304" s="36">
        <v>4876</v>
      </c>
      <c r="D304" s="113">
        <v>130467649</v>
      </c>
      <c r="E304" s="116">
        <f t="shared" si="57"/>
        <v>26757.106029532402</v>
      </c>
      <c r="F304" s="117">
        <v>48219867</v>
      </c>
      <c r="G304" s="117">
        <f t="shared" si="58"/>
        <v>9889.2262100082025</v>
      </c>
      <c r="H304" s="7"/>
      <c r="I304" s="109">
        <v>6.3089000000000004</v>
      </c>
      <c r="J304" s="117">
        <v>304214</v>
      </c>
      <c r="K304" s="120">
        <f t="shared" si="59"/>
        <v>62.390073831009026</v>
      </c>
      <c r="L304" s="122">
        <f t="shared" si="53"/>
        <v>482198.67</v>
      </c>
      <c r="M304" s="116">
        <f t="shared" si="54"/>
        <v>177984.66999999998</v>
      </c>
      <c r="N304" s="123">
        <f t="shared" si="55"/>
        <v>36.50218826907301</v>
      </c>
      <c r="O304" s="5"/>
      <c r="P304" s="5">
        <f t="shared" si="51"/>
        <v>1</v>
      </c>
      <c r="Q304" s="7">
        <f t="shared" si="52"/>
        <v>4876</v>
      </c>
    </row>
    <row r="305" spans="1:17">
      <c r="A305" s="23" t="s">
        <v>331</v>
      </c>
      <c r="B305" s="35" t="s">
        <v>300</v>
      </c>
      <c r="C305" s="36">
        <v>1171</v>
      </c>
      <c r="D305" s="113">
        <v>318069434</v>
      </c>
      <c r="E305" s="116">
        <f t="shared" si="57"/>
        <v>271622.06148590951</v>
      </c>
      <c r="F305" s="117">
        <v>264362442</v>
      </c>
      <c r="G305" s="117">
        <f t="shared" si="58"/>
        <v>225757.84970111016</v>
      </c>
      <c r="H305" s="7"/>
      <c r="I305" s="109">
        <v>4.3174000000000001</v>
      </c>
      <c r="J305" s="117">
        <v>1141358</v>
      </c>
      <c r="K305" s="120">
        <f t="shared" si="59"/>
        <v>974.68659265584972</v>
      </c>
      <c r="L305" s="122">
        <f t="shared" si="53"/>
        <v>2643624.42</v>
      </c>
      <c r="M305" s="116">
        <f t="shared" si="54"/>
        <v>1502266.42</v>
      </c>
      <c r="N305" s="123">
        <f t="shared" si="55"/>
        <v>1282.8919043552519</v>
      </c>
      <c r="O305" s="5"/>
      <c r="P305" s="5">
        <f t="shared" si="51"/>
        <v>1</v>
      </c>
      <c r="Q305" s="7">
        <f t="shared" si="52"/>
        <v>1171</v>
      </c>
    </row>
    <row r="306" spans="1:17">
      <c r="A306" s="23" t="s">
        <v>332</v>
      </c>
      <c r="B306" s="35" t="s">
        <v>300</v>
      </c>
      <c r="C306" s="36">
        <v>5629</v>
      </c>
      <c r="D306" s="113">
        <v>1017424078</v>
      </c>
      <c r="E306" s="116">
        <f t="shared" si="57"/>
        <v>180746.86054361344</v>
      </c>
      <c r="F306" s="117">
        <v>780222257</v>
      </c>
      <c r="G306" s="117">
        <f t="shared" si="58"/>
        <v>138607.61360810092</v>
      </c>
      <c r="H306" s="7"/>
      <c r="I306" s="109">
        <v>5.7671000000000001</v>
      </c>
      <c r="J306" s="117">
        <v>4499620</v>
      </c>
      <c r="K306" s="120">
        <f t="shared" si="59"/>
        <v>799.36400781666373</v>
      </c>
      <c r="L306" s="122">
        <f t="shared" si="53"/>
        <v>7802222.5700000003</v>
      </c>
      <c r="M306" s="116">
        <f t="shared" si="54"/>
        <v>3302602.5700000003</v>
      </c>
      <c r="N306" s="123">
        <f t="shared" si="55"/>
        <v>586.71212826434544</v>
      </c>
      <c r="O306" s="5"/>
      <c r="P306" s="5">
        <f t="shared" si="51"/>
        <v>1</v>
      </c>
      <c r="Q306" s="7">
        <f t="shared" si="52"/>
        <v>5629</v>
      </c>
    </row>
    <row r="307" spans="1:17">
      <c r="A307" s="23" t="s">
        <v>333</v>
      </c>
      <c r="B307" s="35" t="s">
        <v>300</v>
      </c>
      <c r="C307" s="36">
        <v>56508</v>
      </c>
      <c r="D307" s="113">
        <v>7151659447</v>
      </c>
      <c r="E307" s="116">
        <f t="shared" si="57"/>
        <v>126560.1232922772</v>
      </c>
      <c r="F307" s="117">
        <v>5382129909</v>
      </c>
      <c r="G307" s="117">
        <f t="shared" si="58"/>
        <v>95245.450361010837</v>
      </c>
      <c r="H307" s="7"/>
      <c r="I307" s="109">
        <v>2.5</v>
      </c>
      <c r="J307" s="117">
        <v>13455325</v>
      </c>
      <c r="K307" s="120">
        <f t="shared" si="59"/>
        <v>238.1136299285057</v>
      </c>
      <c r="L307" s="122">
        <f t="shared" si="53"/>
        <v>53821299.090000004</v>
      </c>
      <c r="M307" s="116">
        <f t="shared" si="54"/>
        <v>40365974.090000004</v>
      </c>
      <c r="N307" s="123">
        <f t="shared" si="55"/>
        <v>714.34087368160272</v>
      </c>
      <c r="O307" s="5"/>
      <c r="P307" s="5">
        <f t="shared" si="51"/>
        <v>1</v>
      </c>
      <c r="Q307" s="7">
        <f t="shared" si="52"/>
        <v>56508</v>
      </c>
    </row>
    <row r="308" spans="1:17">
      <c r="A308" s="23" t="s">
        <v>334</v>
      </c>
      <c r="B308" s="35" t="s">
        <v>300</v>
      </c>
      <c r="C308" s="36">
        <v>99919</v>
      </c>
      <c r="D308" s="113">
        <v>11854487445</v>
      </c>
      <c r="E308" s="116">
        <f t="shared" si="57"/>
        <v>118640.97363864731</v>
      </c>
      <c r="F308" s="117">
        <v>8724900368</v>
      </c>
      <c r="G308" s="117">
        <f t="shared" si="58"/>
        <v>87319.732663457398</v>
      </c>
      <c r="H308" s="7"/>
      <c r="I308" s="109">
        <v>8.0739000000000001</v>
      </c>
      <c r="J308" s="117">
        <v>70443973</v>
      </c>
      <c r="K308" s="120">
        <f t="shared" si="59"/>
        <v>705.01078873887855</v>
      </c>
      <c r="L308" s="122">
        <f t="shared" si="53"/>
        <v>87249003.680000007</v>
      </c>
      <c r="M308" s="116">
        <f t="shared" si="54"/>
        <v>16805030.680000007</v>
      </c>
      <c r="N308" s="123">
        <f t="shared" si="55"/>
        <v>168.18653789569558</v>
      </c>
      <c r="O308" s="5"/>
      <c r="P308" s="5">
        <f t="shared" si="51"/>
        <v>1</v>
      </c>
      <c r="Q308" s="7">
        <f t="shared" si="52"/>
        <v>99919</v>
      </c>
    </row>
    <row r="309" spans="1:17">
      <c r="A309" s="23" t="s">
        <v>335</v>
      </c>
      <c r="B309" s="35" t="s">
        <v>336</v>
      </c>
      <c r="C309" s="36">
        <v>6437</v>
      </c>
      <c r="D309" s="113">
        <v>558880749</v>
      </c>
      <c r="E309" s="116">
        <f t="shared" si="57"/>
        <v>86823.170576355449</v>
      </c>
      <c r="F309" s="117">
        <v>257422027</v>
      </c>
      <c r="G309" s="117">
        <f t="shared" si="58"/>
        <v>39990.993785925122</v>
      </c>
      <c r="H309" s="7"/>
      <c r="I309" s="109">
        <v>7.1</v>
      </c>
      <c r="J309" s="117">
        <v>1827696</v>
      </c>
      <c r="K309" s="120">
        <f t="shared" si="59"/>
        <v>283.93599502874008</v>
      </c>
      <c r="L309" s="122">
        <f t="shared" si="53"/>
        <v>2574220.27</v>
      </c>
      <c r="M309" s="116">
        <f t="shared" si="54"/>
        <v>746524.27</v>
      </c>
      <c r="N309" s="123">
        <f t="shared" si="55"/>
        <v>115.97394283051111</v>
      </c>
      <c r="O309" s="5"/>
      <c r="P309" s="5">
        <f t="shared" si="51"/>
        <v>1</v>
      </c>
      <c r="Q309" s="7">
        <f t="shared" si="52"/>
        <v>6437</v>
      </c>
    </row>
    <row r="310" spans="1:17">
      <c r="A310" s="23" t="s">
        <v>337</v>
      </c>
      <c r="B310" s="35" t="s">
        <v>336</v>
      </c>
      <c r="C310" s="36">
        <v>14911</v>
      </c>
      <c r="D310" s="113">
        <v>915968481</v>
      </c>
      <c r="E310" s="116">
        <f t="shared" si="57"/>
        <v>61429.044396754078</v>
      </c>
      <c r="F310" s="117">
        <v>600999309</v>
      </c>
      <c r="G310" s="117">
        <f t="shared" si="58"/>
        <v>40305.768157735896</v>
      </c>
      <c r="H310" s="7"/>
      <c r="I310" s="109">
        <v>8.1036999999999999</v>
      </c>
      <c r="J310" s="117">
        <v>4870318</v>
      </c>
      <c r="K310" s="120">
        <f t="shared" si="59"/>
        <v>326.62584669036283</v>
      </c>
      <c r="L310" s="122">
        <f t="shared" si="53"/>
        <v>6009993.0899999999</v>
      </c>
      <c r="M310" s="116">
        <f t="shared" si="54"/>
        <v>1139675.0899999999</v>
      </c>
      <c r="N310" s="123">
        <f t="shared" si="55"/>
        <v>76.431834886996171</v>
      </c>
      <c r="O310" s="5"/>
      <c r="P310" s="5">
        <f t="shared" si="51"/>
        <v>1</v>
      </c>
      <c r="Q310" s="7">
        <f t="shared" si="52"/>
        <v>14911</v>
      </c>
    </row>
    <row r="311" spans="1:17">
      <c r="A311" s="23" t="s">
        <v>338</v>
      </c>
      <c r="B311" s="35" t="s">
        <v>336</v>
      </c>
      <c r="C311" s="36">
        <v>2671</v>
      </c>
      <c r="D311" s="113">
        <v>327660220</v>
      </c>
      <c r="E311" s="116">
        <f t="shared" si="57"/>
        <v>122673.23848745789</v>
      </c>
      <c r="F311" s="117">
        <v>265134702</v>
      </c>
      <c r="G311" s="117">
        <f t="shared" si="58"/>
        <v>99264.208910520407</v>
      </c>
      <c r="H311" s="7"/>
      <c r="I311" s="109">
        <v>4.625</v>
      </c>
      <c r="J311" s="117">
        <v>1226248</v>
      </c>
      <c r="K311" s="120">
        <f t="shared" si="59"/>
        <v>459.0969674279296</v>
      </c>
      <c r="L311" s="122">
        <f t="shared" si="53"/>
        <v>2651347.02</v>
      </c>
      <c r="M311" s="116">
        <f t="shared" si="54"/>
        <v>1425099.02</v>
      </c>
      <c r="N311" s="123">
        <f t="shared" si="55"/>
        <v>533.54512167727444</v>
      </c>
      <c r="O311" s="5"/>
      <c r="P311" s="5">
        <f t="shared" si="51"/>
        <v>1</v>
      </c>
      <c r="Q311" s="7">
        <f t="shared" si="52"/>
        <v>2671</v>
      </c>
    </row>
    <row r="312" spans="1:17">
      <c r="A312" s="23" t="s">
        <v>339</v>
      </c>
      <c r="B312" s="35" t="s">
        <v>336</v>
      </c>
      <c r="C312" s="36">
        <v>1138</v>
      </c>
      <c r="D312" s="113">
        <v>84532847</v>
      </c>
      <c r="E312" s="116">
        <f t="shared" si="57"/>
        <v>74281.939367311075</v>
      </c>
      <c r="F312" s="117">
        <v>48163282</v>
      </c>
      <c r="G312" s="117">
        <f t="shared" si="58"/>
        <v>42322.743409490336</v>
      </c>
      <c r="H312" s="7"/>
      <c r="I312" s="109">
        <v>2.7433999999999998</v>
      </c>
      <c r="J312" s="117">
        <v>132131</v>
      </c>
      <c r="K312" s="120">
        <f t="shared" si="59"/>
        <v>116.10808435852373</v>
      </c>
      <c r="L312" s="122">
        <f t="shared" si="53"/>
        <v>481632.82</v>
      </c>
      <c r="M312" s="116">
        <f t="shared" si="54"/>
        <v>349501.82</v>
      </c>
      <c r="N312" s="123">
        <f t="shared" si="55"/>
        <v>307.1193497363796</v>
      </c>
      <c r="O312" s="5"/>
      <c r="P312" s="5">
        <f t="shared" si="51"/>
        <v>1</v>
      </c>
      <c r="Q312" s="7">
        <f t="shared" si="52"/>
        <v>1138</v>
      </c>
    </row>
    <row r="313" spans="1:17">
      <c r="A313" s="24" t="s">
        <v>547</v>
      </c>
      <c r="B313" s="35" t="s">
        <v>336</v>
      </c>
      <c r="C313" s="36">
        <v>1340</v>
      </c>
      <c r="D313" s="113">
        <v>85387129</v>
      </c>
      <c r="E313" s="116">
        <f t="shared" si="57"/>
        <v>63721.738059701493</v>
      </c>
      <c r="F313" s="117">
        <v>35881938</v>
      </c>
      <c r="G313" s="117">
        <f t="shared" si="58"/>
        <v>26777.565671641791</v>
      </c>
      <c r="H313" s="7"/>
      <c r="I313" s="109">
        <v>1.3</v>
      </c>
      <c r="J313" s="117">
        <v>46647</v>
      </c>
      <c r="K313" s="120">
        <f t="shared" si="59"/>
        <v>34.811194029850746</v>
      </c>
      <c r="L313" s="122">
        <f t="shared" si="53"/>
        <v>358819.38</v>
      </c>
      <c r="M313" s="116">
        <f t="shared" si="54"/>
        <v>312172.38</v>
      </c>
      <c r="N313" s="123">
        <f t="shared" si="55"/>
        <v>232.96446268656717</v>
      </c>
      <c r="O313" s="5"/>
      <c r="P313" s="5">
        <f t="shared" si="51"/>
        <v>1</v>
      </c>
      <c r="Q313" s="7">
        <f t="shared" si="52"/>
        <v>1340</v>
      </c>
    </row>
    <row r="314" spans="1:17">
      <c r="A314" s="23" t="s">
        <v>340</v>
      </c>
      <c r="B314" s="35" t="s">
        <v>336</v>
      </c>
      <c r="C314" s="36">
        <v>13288</v>
      </c>
      <c r="D314" s="113">
        <v>994714290</v>
      </c>
      <c r="E314" s="116">
        <f t="shared" si="57"/>
        <v>74858.089253461774</v>
      </c>
      <c r="F314" s="117">
        <v>632178563</v>
      </c>
      <c r="G314" s="117">
        <f t="shared" si="58"/>
        <v>47575.147727272728</v>
      </c>
      <c r="H314" s="7"/>
      <c r="I314" s="109">
        <v>5.9999000000000002</v>
      </c>
      <c r="J314" s="117">
        <v>3793008</v>
      </c>
      <c r="K314" s="120">
        <f t="shared" si="59"/>
        <v>285.44611679711016</v>
      </c>
      <c r="L314" s="122">
        <f t="shared" si="53"/>
        <v>6321785.6299999999</v>
      </c>
      <c r="M314" s="116">
        <f t="shared" si="54"/>
        <v>2528777.63</v>
      </c>
      <c r="N314" s="123">
        <f t="shared" si="55"/>
        <v>190.30536047561708</v>
      </c>
      <c r="O314" s="5"/>
      <c r="P314" s="5">
        <f t="shared" si="51"/>
        <v>1</v>
      </c>
      <c r="Q314" s="7">
        <f t="shared" si="52"/>
        <v>13288</v>
      </c>
    </row>
    <row r="315" spans="1:17">
      <c r="A315" s="23" t="s">
        <v>341</v>
      </c>
      <c r="B315" s="35" t="s">
        <v>342</v>
      </c>
      <c r="C315" s="36">
        <v>3869</v>
      </c>
      <c r="D315" s="113">
        <v>765237291</v>
      </c>
      <c r="E315" s="116">
        <f t="shared" si="57"/>
        <v>197786.84181959162</v>
      </c>
      <c r="F315" s="117">
        <v>621660713</v>
      </c>
      <c r="G315" s="117">
        <f t="shared" si="58"/>
        <v>160677.36185060738</v>
      </c>
      <c r="H315" s="7"/>
      <c r="I315" s="109">
        <v>5.1464999999999996</v>
      </c>
      <c r="J315" s="117">
        <v>3199377</v>
      </c>
      <c r="K315" s="120">
        <f t="shared" si="59"/>
        <v>826.92607909020421</v>
      </c>
      <c r="L315" s="122">
        <f t="shared" si="53"/>
        <v>6216607.1299999999</v>
      </c>
      <c r="M315" s="116">
        <f t="shared" si="54"/>
        <v>3017230.13</v>
      </c>
      <c r="N315" s="123">
        <f t="shared" si="55"/>
        <v>779.84753941586973</v>
      </c>
      <c r="O315" s="5"/>
      <c r="P315" s="5">
        <f t="shared" si="51"/>
        <v>1</v>
      </c>
      <c r="Q315" s="7">
        <f t="shared" si="52"/>
        <v>3869</v>
      </c>
    </row>
    <row r="316" spans="1:17">
      <c r="A316" s="23" t="s">
        <v>343</v>
      </c>
      <c r="B316" s="35" t="s">
        <v>342</v>
      </c>
      <c r="C316" s="36">
        <v>1560</v>
      </c>
      <c r="D316" s="113">
        <v>447044355</v>
      </c>
      <c r="E316" s="116">
        <f t="shared" si="57"/>
        <v>286566.89423076925</v>
      </c>
      <c r="F316" s="117">
        <v>371223287</v>
      </c>
      <c r="G316" s="117">
        <f t="shared" si="58"/>
        <v>237963.64551282051</v>
      </c>
      <c r="H316" s="7"/>
      <c r="I316" s="109">
        <v>1.98</v>
      </c>
      <c r="J316" s="117">
        <v>735022</v>
      </c>
      <c r="K316" s="120">
        <f t="shared" si="59"/>
        <v>471.16794871794872</v>
      </c>
      <c r="L316" s="122">
        <f t="shared" si="53"/>
        <v>3712232.87</v>
      </c>
      <c r="M316" s="116">
        <f t="shared" si="54"/>
        <v>2977210.87</v>
      </c>
      <c r="N316" s="123">
        <f t="shared" si="55"/>
        <v>1908.4685064102564</v>
      </c>
      <c r="O316" s="5"/>
      <c r="P316" s="5">
        <f t="shared" si="51"/>
        <v>1</v>
      </c>
      <c r="Q316" s="7">
        <f t="shared" si="52"/>
        <v>1560</v>
      </c>
    </row>
    <row r="317" spans="1:17">
      <c r="A317" s="23" t="s">
        <v>344</v>
      </c>
      <c r="B317" s="35" t="s">
        <v>342</v>
      </c>
      <c r="C317" s="36">
        <v>2031</v>
      </c>
      <c r="D317" s="113">
        <v>229095623</v>
      </c>
      <c r="E317" s="116">
        <f t="shared" si="57"/>
        <v>112799.42048252093</v>
      </c>
      <c r="F317" s="117">
        <v>173858503</v>
      </c>
      <c r="G317" s="117">
        <f t="shared" si="58"/>
        <v>85602.414081733135</v>
      </c>
      <c r="H317" s="7"/>
      <c r="I317" s="109">
        <v>4.3499999999999996</v>
      </c>
      <c r="J317" s="117">
        <v>756284</v>
      </c>
      <c r="K317" s="120">
        <f t="shared" si="59"/>
        <v>372.37026095519451</v>
      </c>
      <c r="L317" s="122">
        <f t="shared" si="53"/>
        <v>1738585.03</v>
      </c>
      <c r="M317" s="116">
        <f t="shared" si="54"/>
        <v>982301.03</v>
      </c>
      <c r="N317" s="123">
        <f t="shared" si="55"/>
        <v>483.65387986213688</v>
      </c>
      <c r="O317" s="5"/>
      <c r="P317" s="5">
        <f t="shared" si="51"/>
        <v>1</v>
      </c>
      <c r="Q317" s="7">
        <f t="shared" si="52"/>
        <v>2031</v>
      </c>
    </row>
    <row r="318" spans="1:17">
      <c r="A318" s="23" t="s">
        <v>345</v>
      </c>
      <c r="B318" s="35" t="s">
        <v>342</v>
      </c>
      <c r="C318" s="36">
        <v>109</v>
      </c>
      <c r="D318" s="113">
        <v>113818966</v>
      </c>
      <c r="E318" s="116">
        <f t="shared" si="57"/>
        <v>1044210.6972477065</v>
      </c>
      <c r="F318" s="117">
        <v>95706558</v>
      </c>
      <c r="G318" s="117">
        <f t="shared" si="58"/>
        <v>878041.81651376141</v>
      </c>
      <c r="H318" s="7"/>
      <c r="I318" s="109">
        <v>0.66459999999999997</v>
      </c>
      <c r="J318" s="117">
        <v>63607</v>
      </c>
      <c r="K318" s="120">
        <f t="shared" si="59"/>
        <v>583.55045871559628</v>
      </c>
      <c r="L318" s="122">
        <f t="shared" si="53"/>
        <v>957065.58000000007</v>
      </c>
      <c r="M318" s="116">
        <f t="shared" si="54"/>
        <v>893458.58000000007</v>
      </c>
      <c r="N318" s="123">
        <f t="shared" si="55"/>
        <v>8196.8677064220192</v>
      </c>
      <c r="O318" s="5"/>
      <c r="P318" s="5">
        <f t="shared" si="51"/>
        <v>1</v>
      </c>
      <c r="Q318" s="7">
        <f t="shared" si="52"/>
        <v>109</v>
      </c>
    </row>
    <row r="319" spans="1:17">
      <c r="A319" s="23" t="s">
        <v>346</v>
      </c>
      <c r="B319" s="35" t="s">
        <v>342</v>
      </c>
      <c r="C319" s="36">
        <v>107685</v>
      </c>
      <c r="D319" s="113">
        <v>11018369991</v>
      </c>
      <c r="E319" s="116">
        <f t="shared" si="57"/>
        <v>102320.37879927567</v>
      </c>
      <c r="F319" s="117">
        <v>7866410324</v>
      </c>
      <c r="G319" s="117">
        <f t="shared" si="58"/>
        <v>73050.195700422526</v>
      </c>
      <c r="H319" s="7"/>
      <c r="I319" s="109">
        <v>5.1550000000000002</v>
      </c>
      <c r="J319" s="117">
        <v>40551345</v>
      </c>
      <c r="K319" s="120">
        <f t="shared" si="59"/>
        <v>376.57375679063938</v>
      </c>
      <c r="L319" s="122">
        <f t="shared" si="53"/>
        <v>78664103.239999995</v>
      </c>
      <c r="M319" s="116">
        <f t="shared" si="54"/>
        <v>38112758.239999995</v>
      </c>
      <c r="N319" s="123">
        <f t="shared" si="55"/>
        <v>353.92820021358585</v>
      </c>
      <c r="O319" s="5"/>
      <c r="P319" s="5">
        <f t="shared" si="51"/>
        <v>1</v>
      </c>
      <c r="Q319" s="7">
        <f t="shared" si="52"/>
        <v>107685</v>
      </c>
    </row>
    <row r="320" spans="1:17">
      <c r="A320" s="23" t="s">
        <v>347</v>
      </c>
      <c r="B320" s="35" t="s">
        <v>342</v>
      </c>
      <c r="C320" s="36">
        <v>35321</v>
      </c>
      <c r="D320" s="113">
        <v>2884900277</v>
      </c>
      <c r="E320" s="116">
        <f t="shared" si="57"/>
        <v>81676.630814529606</v>
      </c>
      <c r="F320" s="117">
        <v>1827408488</v>
      </c>
      <c r="G320" s="117">
        <f t="shared" si="58"/>
        <v>51737.167350867756</v>
      </c>
      <c r="H320" s="7"/>
      <c r="I320" s="109">
        <v>3.5596999999999999</v>
      </c>
      <c r="J320" s="117">
        <v>6505026</v>
      </c>
      <c r="K320" s="120">
        <f t="shared" si="59"/>
        <v>184.16879476798505</v>
      </c>
      <c r="L320" s="122">
        <f t="shared" si="53"/>
        <v>18274084.879999999</v>
      </c>
      <c r="M320" s="116">
        <f t="shared" si="54"/>
        <v>11769058.879999999</v>
      </c>
      <c r="N320" s="123">
        <f t="shared" si="55"/>
        <v>333.20287874069248</v>
      </c>
      <c r="O320" s="5"/>
      <c r="P320" s="5">
        <f t="shared" si="51"/>
        <v>1</v>
      </c>
      <c r="Q320" s="7">
        <f t="shared" si="52"/>
        <v>35321</v>
      </c>
    </row>
    <row r="321" spans="1:17">
      <c r="A321" s="23" t="s">
        <v>348</v>
      </c>
      <c r="B321" s="35" t="s">
        <v>342</v>
      </c>
      <c r="C321" s="36">
        <v>12029</v>
      </c>
      <c r="D321" s="113">
        <v>1070485988</v>
      </c>
      <c r="E321" s="116">
        <f t="shared" si="57"/>
        <v>88992.101421564555</v>
      </c>
      <c r="F321" s="117">
        <v>718451015</v>
      </c>
      <c r="G321" s="117">
        <f t="shared" si="58"/>
        <v>59726.578684844957</v>
      </c>
      <c r="H321" s="7"/>
      <c r="I321" s="109">
        <v>3.4742000000000002</v>
      </c>
      <c r="J321" s="117">
        <v>2496043</v>
      </c>
      <c r="K321" s="120">
        <f t="shared" si="59"/>
        <v>207.502119876964</v>
      </c>
      <c r="L321" s="122">
        <f t="shared" si="53"/>
        <v>7184510.1500000004</v>
      </c>
      <c r="M321" s="116">
        <f t="shared" si="54"/>
        <v>4688467.1500000004</v>
      </c>
      <c r="N321" s="123">
        <f t="shared" si="55"/>
        <v>389.76366697148563</v>
      </c>
      <c r="O321" s="5"/>
      <c r="P321" s="5">
        <f t="shared" si="51"/>
        <v>1</v>
      </c>
      <c r="Q321" s="7">
        <f t="shared" si="52"/>
        <v>12029</v>
      </c>
    </row>
    <row r="322" spans="1:17">
      <c r="A322" s="23" t="s">
        <v>349</v>
      </c>
      <c r="B322" s="35" t="s">
        <v>342</v>
      </c>
      <c r="C322" s="36">
        <v>4113</v>
      </c>
      <c r="D322" s="113">
        <v>973552378</v>
      </c>
      <c r="E322" s="116">
        <f t="shared" si="57"/>
        <v>236701.28324823731</v>
      </c>
      <c r="F322" s="117">
        <v>806105202</v>
      </c>
      <c r="G322" s="117">
        <f t="shared" si="58"/>
        <v>195989.59445660101</v>
      </c>
      <c r="H322" s="7"/>
      <c r="I322" s="109">
        <v>2</v>
      </c>
      <c r="J322" s="117">
        <v>1612210</v>
      </c>
      <c r="K322" s="120">
        <f t="shared" si="59"/>
        <v>391.97909068806223</v>
      </c>
      <c r="L322" s="122">
        <f t="shared" si="53"/>
        <v>8061052.0200000005</v>
      </c>
      <c r="M322" s="116">
        <f t="shared" si="54"/>
        <v>6448842.0200000005</v>
      </c>
      <c r="N322" s="123">
        <f t="shared" si="55"/>
        <v>1567.9168538779481</v>
      </c>
      <c r="O322" s="5"/>
      <c r="P322" s="5">
        <f t="shared" si="51"/>
        <v>1</v>
      </c>
      <c r="Q322" s="7">
        <f t="shared" si="52"/>
        <v>4113</v>
      </c>
    </row>
    <row r="323" spans="1:17">
      <c r="A323" s="23" t="s">
        <v>350</v>
      </c>
      <c r="B323" s="35" t="s">
        <v>342</v>
      </c>
      <c r="C323" s="36">
        <v>1420</v>
      </c>
      <c r="D323" s="113">
        <v>747095662</v>
      </c>
      <c r="E323" s="116">
        <f t="shared" si="57"/>
        <v>526123.70563380281</v>
      </c>
      <c r="F323" s="117">
        <v>670029812</v>
      </c>
      <c r="G323" s="117">
        <f t="shared" si="58"/>
        <v>471851.98028169014</v>
      </c>
      <c r="H323" s="7"/>
      <c r="I323" s="109">
        <v>1.75</v>
      </c>
      <c r="J323" s="117">
        <v>1172552</v>
      </c>
      <c r="K323" s="120">
        <f t="shared" si="59"/>
        <v>825.74084507042255</v>
      </c>
      <c r="L323" s="122">
        <f t="shared" si="53"/>
        <v>6700298.1200000001</v>
      </c>
      <c r="M323" s="116">
        <f t="shared" si="54"/>
        <v>5527746.1200000001</v>
      </c>
      <c r="N323" s="123">
        <f t="shared" si="55"/>
        <v>3892.7789577464791</v>
      </c>
      <c r="O323" s="5"/>
      <c r="P323" s="5">
        <f t="shared" si="51"/>
        <v>1</v>
      </c>
      <c r="Q323" s="7">
        <f t="shared" si="52"/>
        <v>1420</v>
      </c>
    </row>
    <row r="324" spans="1:17">
      <c r="A324" s="23" t="s">
        <v>351</v>
      </c>
      <c r="B324" s="35" t="s">
        <v>342</v>
      </c>
      <c r="C324" s="36">
        <v>4980</v>
      </c>
      <c r="D324" s="113">
        <v>203395510</v>
      </c>
      <c r="E324" s="116">
        <f t="shared" si="57"/>
        <v>40842.4718875502</v>
      </c>
      <c r="F324" s="117">
        <v>124623532</v>
      </c>
      <c r="G324" s="117">
        <f t="shared" si="58"/>
        <v>25024.805622489959</v>
      </c>
      <c r="H324" s="7"/>
      <c r="I324" s="109">
        <v>4.6234999999999999</v>
      </c>
      <c r="J324" s="117">
        <v>576197</v>
      </c>
      <c r="K324" s="120">
        <f t="shared" si="59"/>
        <v>115.70220883534137</v>
      </c>
      <c r="L324" s="122">
        <f t="shared" si="53"/>
        <v>1246235.32</v>
      </c>
      <c r="M324" s="116">
        <f t="shared" si="54"/>
        <v>670038.32000000007</v>
      </c>
      <c r="N324" s="123">
        <f t="shared" si="55"/>
        <v>134.54584738955825</v>
      </c>
      <c r="O324" s="5"/>
      <c r="P324" s="5">
        <f t="shared" si="51"/>
        <v>1</v>
      </c>
      <c r="Q324" s="7">
        <f t="shared" si="52"/>
        <v>4980</v>
      </c>
    </row>
    <row r="325" spans="1:17">
      <c r="A325" s="23" t="s">
        <v>352</v>
      </c>
      <c r="B325" s="35" t="s">
        <v>342</v>
      </c>
      <c r="C325" s="36">
        <v>77648</v>
      </c>
      <c r="D325" s="113">
        <v>4910470555</v>
      </c>
      <c r="E325" s="116">
        <f t="shared" si="57"/>
        <v>63240.14211570163</v>
      </c>
      <c r="F325" s="117">
        <v>3486118909</v>
      </c>
      <c r="G325" s="117">
        <f t="shared" si="58"/>
        <v>44896.441749948484</v>
      </c>
      <c r="H325" s="7"/>
      <c r="I325" s="109">
        <v>4.3113000000000001</v>
      </c>
      <c r="J325" s="117">
        <v>15029704</v>
      </c>
      <c r="K325" s="120">
        <f t="shared" si="59"/>
        <v>193.56202349062437</v>
      </c>
      <c r="L325" s="122">
        <f t="shared" si="53"/>
        <v>34861189.090000004</v>
      </c>
      <c r="M325" s="116">
        <f t="shared" si="54"/>
        <v>19831485.090000004</v>
      </c>
      <c r="N325" s="123">
        <f t="shared" si="55"/>
        <v>255.40239400886054</v>
      </c>
      <c r="O325" s="5"/>
      <c r="P325" s="5">
        <f t="shared" si="51"/>
        <v>1</v>
      </c>
      <c r="Q325" s="7">
        <f t="shared" si="52"/>
        <v>77648</v>
      </c>
    </row>
    <row r="326" spans="1:17">
      <c r="A326" s="23" t="s">
        <v>353</v>
      </c>
      <c r="B326" s="35" t="s">
        <v>342</v>
      </c>
      <c r="C326" s="36">
        <v>4263</v>
      </c>
      <c r="D326" s="113">
        <v>1058852050</v>
      </c>
      <c r="E326" s="116">
        <f t="shared" si="57"/>
        <v>248381.90241613888</v>
      </c>
      <c r="F326" s="117">
        <v>864868511</v>
      </c>
      <c r="G326" s="117">
        <f t="shared" si="58"/>
        <v>202877.90546563454</v>
      </c>
      <c r="H326" s="7"/>
      <c r="I326" s="109">
        <v>1.7954000000000001</v>
      </c>
      <c r="J326" s="117">
        <v>1552785</v>
      </c>
      <c r="K326" s="120">
        <f t="shared" si="59"/>
        <v>364.247009148487</v>
      </c>
      <c r="L326" s="122">
        <f t="shared" si="53"/>
        <v>8648685.1099999994</v>
      </c>
      <c r="M326" s="116">
        <f t="shared" si="54"/>
        <v>7095900.1099999994</v>
      </c>
      <c r="N326" s="123">
        <f t="shared" si="55"/>
        <v>1664.5320455078581</v>
      </c>
      <c r="O326" s="5"/>
      <c r="P326" s="5">
        <f t="shared" ref="P326:P389" si="60">IF(I326&gt;0,1,0)</f>
        <v>1</v>
      </c>
      <c r="Q326" s="7">
        <f t="shared" ref="Q326:Q389" si="61">IF(I326&gt;0,C326,0)</f>
        <v>4263</v>
      </c>
    </row>
    <row r="327" spans="1:17">
      <c r="A327" s="23" t="s">
        <v>354</v>
      </c>
      <c r="B327" s="35" t="s">
        <v>342</v>
      </c>
      <c r="C327" s="36">
        <v>1417</v>
      </c>
      <c r="D327" s="113">
        <v>427669671</v>
      </c>
      <c r="E327" s="116">
        <f t="shared" si="57"/>
        <v>301813.45871559635</v>
      </c>
      <c r="F327" s="117">
        <v>381740312</v>
      </c>
      <c r="G327" s="117">
        <f t="shared" si="58"/>
        <v>269400.36132674664</v>
      </c>
      <c r="H327" s="7"/>
      <c r="I327" s="109">
        <v>0.75109999999999999</v>
      </c>
      <c r="J327" s="117">
        <v>286725</v>
      </c>
      <c r="K327" s="120">
        <f t="shared" si="59"/>
        <v>202.34650670430486</v>
      </c>
      <c r="L327" s="122">
        <f t="shared" si="53"/>
        <v>3817403.12</v>
      </c>
      <c r="M327" s="116">
        <f t="shared" si="54"/>
        <v>3530678.12</v>
      </c>
      <c r="N327" s="123">
        <f t="shared" si="55"/>
        <v>2491.6571065631615</v>
      </c>
      <c r="O327" s="5"/>
      <c r="P327" s="5">
        <f t="shared" si="60"/>
        <v>1</v>
      </c>
      <c r="Q327" s="7">
        <f t="shared" si="61"/>
        <v>1417</v>
      </c>
    </row>
    <row r="328" spans="1:17">
      <c r="A328" s="23" t="s">
        <v>355</v>
      </c>
      <c r="B328" s="35" t="s">
        <v>342</v>
      </c>
      <c r="C328" s="36">
        <v>13591</v>
      </c>
      <c r="D328" s="113">
        <v>1397696805</v>
      </c>
      <c r="E328" s="116">
        <f t="shared" si="57"/>
        <v>102839.87969980134</v>
      </c>
      <c r="F328" s="117">
        <v>1083604920</v>
      </c>
      <c r="G328" s="117">
        <f t="shared" si="58"/>
        <v>79729.594584651612</v>
      </c>
      <c r="H328" s="7"/>
      <c r="I328" s="109">
        <v>4.05</v>
      </c>
      <c r="J328" s="117">
        <v>4388600</v>
      </c>
      <c r="K328" s="120">
        <f t="shared" si="59"/>
        <v>322.90486351261865</v>
      </c>
      <c r="L328" s="122">
        <f t="shared" ref="L328:L391" si="62">(F328*0.01)</f>
        <v>10836049.200000001</v>
      </c>
      <c r="M328" s="116">
        <f t="shared" ref="M328:M391" si="63">(L328-J328)</f>
        <v>6447449.2000000011</v>
      </c>
      <c r="N328" s="123">
        <f t="shared" ref="N328:N391" si="64">(M328/C328)</f>
        <v>474.39108233389749</v>
      </c>
      <c r="O328" s="5"/>
      <c r="P328" s="5">
        <f t="shared" si="60"/>
        <v>1</v>
      </c>
      <c r="Q328" s="7">
        <f t="shared" si="61"/>
        <v>13591</v>
      </c>
    </row>
    <row r="329" spans="1:17">
      <c r="A329" s="23" t="s">
        <v>356</v>
      </c>
      <c r="B329" s="35" t="s">
        <v>342</v>
      </c>
      <c r="C329" s="36">
        <v>49079</v>
      </c>
      <c r="D329" s="113">
        <v>3800715215</v>
      </c>
      <c r="E329" s="116">
        <f t="shared" si="57"/>
        <v>77440.763157358539</v>
      </c>
      <c r="F329" s="117">
        <v>2731468693</v>
      </c>
      <c r="G329" s="117">
        <f t="shared" si="58"/>
        <v>55654.530308278489</v>
      </c>
      <c r="H329" s="7"/>
      <c r="I329" s="109">
        <v>5.1067</v>
      </c>
      <c r="J329" s="117">
        <v>13948791</v>
      </c>
      <c r="K329" s="120">
        <f t="shared" si="59"/>
        <v>284.21098636891543</v>
      </c>
      <c r="L329" s="122">
        <f t="shared" si="62"/>
        <v>27314686.93</v>
      </c>
      <c r="M329" s="116">
        <f t="shared" si="63"/>
        <v>13365895.93</v>
      </c>
      <c r="N329" s="123">
        <f t="shared" si="64"/>
        <v>272.3343167138695</v>
      </c>
      <c r="O329" s="5"/>
      <c r="P329" s="5">
        <f t="shared" si="60"/>
        <v>1</v>
      </c>
      <c r="Q329" s="7">
        <f t="shared" si="61"/>
        <v>49079</v>
      </c>
    </row>
    <row r="330" spans="1:17">
      <c r="A330" s="23" t="s">
        <v>357</v>
      </c>
      <c r="B330" s="35" t="s">
        <v>342</v>
      </c>
      <c r="C330" s="36">
        <v>1427</v>
      </c>
      <c r="D330" s="113">
        <v>382226196</v>
      </c>
      <c r="E330" s="116">
        <f t="shared" si="57"/>
        <v>267852.97547302034</v>
      </c>
      <c r="F330" s="117">
        <v>314200869</v>
      </c>
      <c r="G330" s="117">
        <f t="shared" si="58"/>
        <v>220182.80939032935</v>
      </c>
      <c r="H330" s="7"/>
      <c r="I330" s="109">
        <v>1.9410000000000001</v>
      </c>
      <c r="J330" s="117">
        <v>609864</v>
      </c>
      <c r="K330" s="120">
        <f t="shared" si="59"/>
        <v>427.37491240364403</v>
      </c>
      <c r="L330" s="122">
        <f t="shared" si="62"/>
        <v>3142008.69</v>
      </c>
      <c r="M330" s="116">
        <f t="shared" si="63"/>
        <v>2532144.69</v>
      </c>
      <c r="N330" s="123">
        <f t="shared" si="64"/>
        <v>1774.4531814996496</v>
      </c>
      <c r="O330" s="5"/>
      <c r="P330" s="5">
        <f t="shared" si="60"/>
        <v>1</v>
      </c>
      <c r="Q330" s="7">
        <f t="shared" si="61"/>
        <v>1427</v>
      </c>
    </row>
    <row r="331" spans="1:17">
      <c r="A331" s="23" t="s">
        <v>358</v>
      </c>
      <c r="B331" s="35" t="s">
        <v>342</v>
      </c>
      <c r="C331" s="36">
        <v>2121</v>
      </c>
      <c r="D331" s="113">
        <v>567534082</v>
      </c>
      <c r="E331" s="116">
        <f t="shared" si="57"/>
        <v>267578.53936822253</v>
      </c>
      <c r="F331" s="117">
        <v>481148950</v>
      </c>
      <c r="G331" s="117">
        <f t="shared" si="58"/>
        <v>226850.0471475719</v>
      </c>
      <c r="H331" s="7"/>
      <c r="I331" s="109">
        <v>2</v>
      </c>
      <c r="J331" s="117">
        <v>962298</v>
      </c>
      <c r="K331" s="120">
        <f t="shared" si="59"/>
        <v>453.70014144271568</v>
      </c>
      <c r="L331" s="122">
        <f t="shared" si="62"/>
        <v>4811489.5</v>
      </c>
      <c r="M331" s="116">
        <f t="shared" si="63"/>
        <v>3849191.5</v>
      </c>
      <c r="N331" s="123">
        <f t="shared" si="64"/>
        <v>1814.8003300330033</v>
      </c>
      <c r="O331" s="5"/>
      <c r="P331" s="5">
        <f t="shared" si="60"/>
        <v>1</v>
      </c>
      <c r="Q331" s="7">
        <f t="shared" si="61"/>
        <v>2121</v>
      </c>
    </row>
    <row r="332" spans="1:17">
      <c r="A332" s="23" t="s">
        <v>359</v>
      </c>
      <c r="B332" s="35" t="s">
        <v>342</v>
      </c>
      <c r="C332" s="36">
        <v>16884</v>
      </c>
      <c r="D332" s="113">
        <v>1553013604</v>
      </c>
      <c r="E332" s="116">
        <f t="shared" si="57"/>
        <v>91981.379057095473</v>
      </c>
      <c r="F332" s="117">
        <v>989829396</v>
      </c>
      <c r="G332" s="117">
        <f t="shared" si="58"/>
        <v>58625.28997867804</v>
      </c>
      <c r="H332" s="7"/>
      <c r="I332" s="109">
        <v>3.3807999999999998</v>
      </c>
      <c r="J332" s="117">
        <v>3346415</v>
      </c>
      <c r="K332" s="120">
        <f t="shared" si="59"/>
        <v>198.20036721156123</v>
      </c>
      <c r="L332" s="122">
        <f t="shared" si="62"/>
        <v>9898293.9600000009</v>
      </c>
      <c r="M332" s="116">
        <f t="shared" si="63"/>
        <v>6551878.9600000009</v>
      </c>
      <c r="N332" s="123">
        <f t="shared" si="64"/>
        <v>388.05253257521917</v>
      </c>
      <c r="O332" s="5"/>
      <c r="P332" s="5">
        <f t="shared" si="60"/>
        <v>1</v>
      </c>
      <c r="Q332" s="7">
        <f t="shared" si="61"/>
        <v>16884</v>
      </c>
    </row>
    <row r="333" spans="1:17">
      <c r="A333" s="23" t="s">
        <v>360</v>
      </c>
      <c r="B333" s="35" t="s">
        <v>342</v>
      </c>
      <c r="C333" s="36">
        <v>17233</v>
      </c>
      <c r="D333" s="113">
        <v>1496115176</v>
      </c>
      <c r="E333" s="116">
        <f t="shared" si="57"/>
        <v>86816.873208379271</v>
      </c>
      <c r="F333" s="117">
        <v>1020688444</v>
      </c>
      <c r="G333" s="117">
        <f t="shared" si="58"/>
        <v>59228.714907445021</v>
      </c>
      <c r="H333" s="7"/>
      <c r="I333" s="109">
        <v>2.4792999999999998</v>
      </c>
      <c r="J333" s="117">
        <v>2530593</v>
      </c>
      <c r="K333" s="120">
        <f t="shared" si="59"/>
        <v>146.84576103986538</v>
      </c>
      <c r="L333" s="122">
        <f t="shared" si="62"/>
        <v>10206884.439999999</v>
      </c>
      <c r="M333" s="116">
        <f t="shared" si="63"/>
        <v>7676291.4399999995</v>
      </c>
      <c r="N333" s="123">
        <f t="shared" si="64"/>
        <v>445.4413880345848</v>
      </c>
      <c r="O333" s="5"/>
      <c r="P333" s="5">
        <f t="shared" si="60"/>
        <v>1</v>
      </c>
      <c r="Q333" s="7">
        <f t="shared" si="61"/>
        <v>17233</v>
      </c>
    </row>
    <row r="334" spans="1:17">
      <c r="A334" s="23" t="s">
        <v>361</v>
      </c>
      <c r="B334" s="35" t="s">
        <v>342</v>
      </c>
      <c r="C334" s="36">
        <v>4964</v>
      </c>
      <c r="D334" s="113">
        <v>559803580</v>
      </c>
      <c r="E334" s="116">
        <f t="shared" si="57"/>
        <v>112772.67929089443</v>
      </c>
      <c r="F334" s="117">
        <v>437238757</v>
      </c>
      <c r="G334" s="117">
        <f t="shared" si="58"/>
        <v>88081.94137792103</v>
      </c>
      <c r="H334" s="7"/>
      <c r="I334" s="109">
        <v>1.6984999999999999</v>
      </c>
      <c r="J334" s="117">
        <v>742650</v>
      </c>
      <c r="K334" s="120">
        <f t="shared" ref="K334:K365" si="65">(J334/C334)</f>
        <v>149.6071716357776</v>
      </c>
      <c r="L334" s="122">
        <f t="shared" si="62"/>
        <v>4372387.57</v>
      </c>
      <c r="M334" s="116">
        <f t="shared" si="63"/>
        <v>3629737.5700000003</v>
      </c>
      <c r="N334" s="123">
        <f t="shared" si="64"/>
        <v>731.21224214343283</v>
      </c>
      <c r="O334" s="5"/>
      <c r="P334" s="5">
        <f t="shared" si="60"/>
        <v>1</v>
      </c>
      <c r="Q334" s="7">
        <f t="shared" si="61"/>
        <v>4964</v>
      </c>
    </row>
    <row r="335" spans="1:17">
      <c r="A335" s="24" t="s">
        <v>561</v>
      </c>
      <c r="B335" s="35" t="s">
        <v>342</v>
      </c>
      <c r="C335" s="36">
        <v>9346</v>
      </c>
      <c r="D335" s="113">
        <v>2635664540</v>
      </c>
      <c r="E335" s="116">
        <f t="shared" si="57"/>
        <v>282009.90156216564</v>
      </c>
      <c r="F335" s="117">
        <v>2120961041</v>
      </c>
      <c r="G335" s="117">
        <f t="shared" si="58"/>
        <v>226937.83875454741</v>
      </c>
      <c r="H335" s="7"/>
      <c r="I335" s="109">
        <v>2.6718000000000002</v>
      </c>
      <c r="J335" s="117">
        <v>5666784</v>
      </c>
      <c r="K335" s="120">
        <f t="shared" si="65"/>
        <v>606.33254868392896</v>
      </c>
      <c r="L335" s="122">
        <f t="shared" si="62"/>
        <v>21209610.41</v>
      </c>
      <c r="M335" s="116">
        <f t="shared" si="63"/>
        <v>15542826.41</v>
      </c>
      <c r="N335" s="123">
        <f t="shared" si="64"/>
        <v>1663.045838861545</v>
      </c>
      <c r="O335" s="5"/>
      <c r="P335" s="5">
        <f t="shared" si="60"/>
        <v>1</v>
      </c>
      <c r="Q335" s="7">
        <f t="shared" si="61"/>
        <v>9346</v>
      </c>
    </row>
    <row r="336" spans="1:17">
      <c r="A336" s="24" t="s">
        <v>548</v>
      </c>
      <c r="B336" s="35" t="s">
        <v>342</v>
      </c>
      <c r="C336" s="36">
        <v>244769</v>
      </c>
      <c r="D336" s="113">
        <v>20004865865</v>
      </c>
      <c r="E336" s="116">
        <f t="shared" si="57"/>
        <v>81729.573046423364</v>
      </c>
      <c r="F336" s="117">
        <v>13067079244</v>
      </c>
      <c r="G336" s="117">
        <f t="shared" si="58"/>
        <v>53385.352082984362</v>
      </c>
      <c r="H336" s="7"/>
      <c r="I336" s="109">
        <v>5.9124999999999996</v>
      </c>
      <c r="J336" s="117">
        <v>77259106</v>
      </c>
      <c r="K336" s="120">
        <f t="shared" si="65"/>
        <v>315.64089406746768</v>
      </c>
      <c r="L336" s="122">
        <f t="shared" si="62"/>
        <v>130670792.44</v>
      </c>
      <c r="M336" s="116">
        <f t="shared" si="63"/>
        <v>53411686.439999998</v>
      </c>
      <c r="N336" s="123">
        <f t="shared" si="64"/>
        <v>218.21262676237595</v>
      </c>
      <c r="O336" s="5"/>
      <c r="P336" s="5">
        <f t="shared" si="60"/>
        <v>1</v>
      </c>
      <c r="Q336" s="7">
        <f t="shared" si="61"/>
        <v>244769</v>
      </c>
    </row>
    <row r="337" spans="1:17">
      <c r="A337" s="23" t="s">
        <v>362</v>
      </c>
      <c r="B337" s="35" t="s">
        <v>342</v>
      </c>
      <c r="C337" s="36">
        <v>23484</v>
      </c>
      <c r="D337" s="113">
        <v>2066135932</v>
      </c>
      <c r="E337" s="116">
        <f t="shared" si="57"/>
        <v>87980.579628683365</v>
      </c>
      <c r="F337" s="117">
        <v>1394806436</v>
      </c>
      <c r="G337" s="117">
        <f t="shared" si="58"/>
        <v>59393.903764265029</v>
      </c>
      <c r="H337" s="7"/>
      <c r="I337" s="109">
        <v>5.45</v>
      </c>
      <c r="J337" s="117">
        <v>7601695</v>
      </c>
      <c r="K337" s="120">
        <f t="shared" si="65"/>
        <v>323.69677227048203</v>
      </c>
      <c r="L337" s="122">
        <f t="shared" si="62"/>
        <v>13948064.359999999</v>
      </c>
      <c r="M337" s="116">
        <f t="shared" si="63"/>
        <v>6346369.3599999994</v>
      </c>
      <c r="N337" s="123">
        <f t="shared" si="64"/>
        <v>270.24226537216828</v>
      </c>
      <c r="O337" s="5"/>
      <c r="P337" s="5">
        <f t="shared" si="60"/>
        <v>1</v>
      </c>
      <c r="Q337" s="7">
        <f t="shared" si="61"/>
        <v>23484</v>
      </c>
    </row>
    <row r="338" spans="1:17">
      <c r="A338" s="23" t="s">
        <v>363</v>
      </c>
      <c r="B338" s="35" t="s">
        <v>342</v>
      </c>
      <c r="C338" s="36">
        <v>6705</v>
      </c>
      <c r="D338" s="113">
        <v>1613815175</v>
      </c>
      <c r="E338" s="116">
        <f t="shared" si="57"/>
        <v>240688.31841909024</v>
      </c>
      <c r="F338" s="117">
        <v>1318741517</v>
      </c>
      <c r="G338" s="117">
        <f t="shared" si="58"/>
        <v>196680.31573452646</v>
      </c>
      <c r="H338" s="7"/>
      <c r="I338" s="109">
        <v>2.6867999999999999</v>
      </c>
      <c r="J338" s="117">
        <v>3543195</v>
      </c>
      <c r="K338" s="120">
        <f t="shared" si="65"/>
        <v>528.44071588366887</v>
      </c>
      <c r="L338" s="122">
        <f t="shared" si="62"/>
        <v>13187415.17</v>
      </c>
      <c r="M338" s="116">
        <f t="shared" si="63"/>
        <v>9644220.1699999999</v>
      </c>
      <c r="N338" s="123">
        <f t="shared" si="64"/>
        <v>1438.3624414615958</v>
      </c>
      <c r="O338" s="5"/>
      <c r="P338" s="5">
        <f t="shared" si="60"/>
        <v>1</v>
      </c>
      <c r="Q338" s="7">
        <f t="shared" si="61"/>
        <v>6705</v>
      </c>
    </row>
    <row r="339" spans="1:17">
      <c r="A339" s="23" t="s">
        <v>364</v>
      </c>
      <c r="B339" s="35" t="s">
        <v>365</v>
      </c>
      <c r="C339" s="36">
        <v>13507</v>
      </c>
      <c r="D339" s="113">
        <v>1207294071</v>
      </c>
      <c r="E339" s="116">
        <f t="shared" si="57"/>
        <v>89382.843784704222</v>
      </c>
      <c r="F339" s="117">
        <v>932575861</v>
      </c>
      <c r="G339" s="117">
        <f t="shared" si="58"/>
        <v>69043.892870363517</v>
      </c>
      <c r="H339" s="7"/>
      <c r="I339" s="109">
        <v>3.8393000000000002</v>
      </c>
      <c r="J339" s="117">
        <v>3580439</v>
      </c>
      <c r="K339" s="120">
        <f t="shared" si="65"/>
        <v>265.08025468275707</v>
      </c>
      <c r="L339" s="122">
        <f t="shared" si="62"/>
        <v>9325758.6099999994</v>
      </c>
      <c r="M339" s="116">
        <f t="shared" si="63"/>
        <v>5745319.6099999994</v>
      </c>
      <c r="N339" s="123">
        <f t="shared" si="64"/>
        <v>425.35867402087803</v>
      </c>
      <c r="O339" s="5"/>
      <c r="P339" s="5">
        <f t="shared" si="60"/>
        <v>1</v>
      </c>
      <c r="Q339" s="7">
        <f t="shared" si="61"/>
        <v>13507</v>
      </c>
    </row>
    <row r="340" spans="1:17">
      <c r="A340" s="23" t="s">
        <v>366</v>
      </c>
      <c r="B340" s="35" t="s">
        <v>365</v>
      </c>
      <c r="C340" s="36">
        <v>17298</v>
      </c>
      <c r="D340" s="113">
        <v>1045412218</v>
      </c>
      <c r="E340" s="116">
        <f t="shared" si="57"/>
        <v>60435.438663429297</v>
      </c>
      <c r="F340" s="117">
        <v>583723228</v>
      </c>
      <c r="G340" s="117">
        <f t="shared" si="58"/>
        <v>33745.128222915941</v>
      </c>
      <c r="H340" s="7"/>
      <c r="I340" s="109">
        <v>3.9962</v>
      </c>
      <c r="J340" s="117">
        <v>2332675</v>
      </c>
      <c r="K340" s="120">
        <f t="shared" si="65"/>
        <v>134.85229506301306</v>
      </c>
      <c r="L340" s="122">
        <f t="shared" si="62"/>
        <v>5837232.2800000003</v>
      </c>
      <c r="M340" s="116">
        <f t="shared" si="63"/>
        <v>3504557.2800000003</v>
      </c>
      <c r="N340" s="123">
        <f t="shared" si="64"/>
        <v>202.5989871661464</v>
      </c>
      <c r="O340" s="5"/>
      <c r="P340" s="5">
        <f t="shared" si="60"/>
        <v>1</v>
      </c>
      <c r="Q340" s="7">
        <f t="shared" si="61"/>
        <v>17298</v>
      </c>
    </row>
    <row r="341" spans="1:17">
      <c r="A341" s="23" t="s">
        <v>367</v>
      </c>
      <c r="B341" s="35" t="s">
        <v>365</v>
      </c>
      <c r="C341" s="36">
        <v>2888</v>
      </c>
      <c r="D341" s="113">
        <v>171005737</v>
      </c>
      <c r="E341" s="116">
        <f t="shared" si="57"/>
        <v>59212.512811634348</v>
      </c>
      <c r="F341" s="117">
        <v>109544182</v>
      </c>
      <c r="G341" s="117">
        <f t="shared" si="58"/>
        <v>37930.810941828255</v>
      </c>
      <c r="H341" s="7"/>
      <c r="I341" s="109">
        <v>6</v>
      </c>
      <c r="J341" s="117">
        <v>657265</v>
      </c>
      <c r="K341" s="120">
        <f t="shared" si="65"/>
        <v>227.58483379501385</v>
      </c>
      <c r="L341" s="122">
        <f t="shared" si="62"/>
        <v>1095441.82</v>
      </c>
      <c r="M341" s="116">
        <f t="shared" si="63"/>
        <v>438176.82000000007</v>
      </c>
      <c r="N341" s="123">
        <f t="shared" si="64"/>
        <v>151.72327562326873</v>
      </c>
      <c r="O341" s="5"/>
      <c r="P341" s="5">
        <f t="shared" si="60"/>
        <v>1</v>
      </c>
      <c r="Q341" s="7">
        <f t="shared" si="61"/>
        <v>2888</v>
      </c>
    </row>
    <row r="342" spans="1:17">
      <c r="A342" s="23" t="s">
        <v>368</v>
      </c>
      <c r="B342" s="35" t="s">
        <v>365</v>
      </c>
      <c r="C342" s="36">
        <v>3717</v>
      </c>
      <c r="D342" s="113">
        <v>224146351</v>
      </c>
      <c r="E342" s="116">
        <f t="shared" si="57"/>
        <v>60303.026903416736</v>
      </c>
      <c r="F342" s="117">
        <v>132088230</v>
      </c>
      <c r="G342" s="117">
        <f t="shared" si="58"/>
        <v>35536.246973365618</v>
      </c>
      <c r="H342" s="9"/>
      <c r="I342" s="109">
        <v>7</v>
      </c>
      <c r="J342" s="117">
        <v>924618</v>
      </c>
      <c r="K342" s="120">
        <f t="shared" si="65"/>
        <v>248.75383373688459</v>
      </c>
      <c r="L342" s="122">
        <f t="shared" si="62"/>
        <v>1320882.3</v>
      </c>
      <c r="M342" s="116">
        <f t="shared" si="63"/>
        <v>396264.30000000005</v>
      </c>
      <c r="N342" s="123">
        <f t="shared" si="64"/>
        <v>106.6086359967716</v>
      </c>
      <c r="O342" s="5"/>
      <c r="P342" s="5">
        <f t="shared" si="60"/>
        <v>1</v>
      </c>
      <c r="Q342" s="7">
        <f t="shared" si="61"/>
        <v>3717</v>
      </c>
    </row>
    <row r="343" spans="1:17">
      <c r="A343" s="23" t="s">
        <v>369</v>
      </c>
      <c r="B343" s="35" t="s">
        <v>365</v>
      </c>
      <c r="C343" s="36">
        <v>2255</v>
      </c>
      <c r="D343" s="113">
        <v>123196843</v>
      </c>
      <c r="E343" s="116">
        <f t="shared" si="57"/>
        <v>54632.746341463411</v>
      </c>
      <c r="F343" s="117">
        <v>61730346</v>
      </c>
      <c r="G343" s="117">
        <f t="shared" si="58"/>
        <v>27374.876274944567</v>
      </c>
      <c r="H343" s="7"/>
      <c r="I343" s="109">
        <v>7.6516000000000002</v>
      </c>
      <c r="J343" s="117">
        <v>472336</v>
      </c>
      <c r="K343" s="120">
        <f t="shared" si="65"/>
        <v>209.46164079822617</v>
      </c>
      <c r="L343" s="122">
        <f t="shared" si="62"/>
        <v>617303.46</v>
      </c>
      <c r="M343" s="116">
        <f t="shared" si="63"/>
        <v>144967.45999999996</v>
      </c>
      <c r="N343" s="123">
        <f t="shared" si="64"/>
        <v>64.28712195121949</v>
      </c>
      <c r="O343" s="5"/>
      <c r="P343" s="5">
        <f t="shared" si="60"/>
        <v>1</v>
      </c>
      <c r="Q343" s="7">
        <f t="shared" si="61"/>
        <v>2255</v>
      </c>
    </row>
    <row r="344" spans="1:17">
      <c r="A344" s="23" t="s">
        <v>370</v>
      </c>
      <c r="B344" s="35" t="s">
        <v>365</v>
      </c>
      <c r="C344" s="36">
        <v>5626</v>
      </c>
      <c r="D344" s="113">
        <v>190389078</v>
      </c>
      <c r="E344" s="116">
        <f t="shared" si="57"/>
        <v>33840.931034482761</v>
      </c>
      <c r="F344" s="117">
        <v>101863944</v>
      </c>
      <c r="G344" s="117">
        <f t="shared" si="58"/>
        <v>18105.926768574474</v>
      </c>
      <c r="H344" s="7"/>
      <c r="I344" s="109">
        <v>3.3509000000000002</v>
      </c>
      <c r="J344" s="117">
        <v>341336</v>
      </c>
      <c r="K344" s="120">
        <f t="shared" si="65"/>
        <v>60.67116956985425</v>
      </c>
      <c r="L344" s="122">
        <f t="shared" si="62"/>
        <v>1018639.4400000001</v>
      </c>
      <c r="M344" s="116">
        <f t="shared" si="63"/>
        <v>677303.44000000006</v>
      </c>
      <c r="N344" s="123">
        <f t="shared" si="64"/>
        <v>120.38809811589051</v>
      </c>
      <c r="O344" s="5"/>
      <c r="P344" s="5">
        <f t="shared" si="60"/>
        <v>1</v>
      </c>
      <c r="Q344" s="7">
        <f t="shared" si="61"/>
        <v>5626</v>
      </c>
    </row>
    <row r="345" spans="1:17">
      <c r="A345" s="23" t="s">
        <v>371</v>
      </c>
      <c r="B345" s="35" t="s">
        <v>365</v>
      </c>
      <c r="C345" s="36">
        <v>2992</v>
      </c>
      <c r="D345" s="113">
        <v>209035307</v>
      </c>
      <c r="E345" s="116">
        <f t="shared" si="57"/>
        <v>69864.741644385023</v>
      </c>
      <c r="F345" s="117">
        <v>124599453</v>
      </c>
      <c r="G345" s="117">
        <f t="shared" si="58"/>
        <v>41644.20220588235</v>
      </c>
      <c r="H345" s="7"/>
      <c r="I345" s="110">
        <v>7.8209</v>
      </c>
      <c r="J345" s="117">
        <v>974480</v>
      </c>
      <c r="K345" s="120">
        <f t="shared" si="65"/>
        <v>325.69518716577539</v>
      </c>
      <c r="L345" s="122">
        <f t="shared" si="62"/>
        <v>1245994.53</v>
      </c>
      <c r="M345" s="116">
        <f t="shared" si="63"/>
        <v>271514.53000000003</v>
      </c>
      <c r="N345" s="123">
        <f t="shared" si="64"/>
        <v>90.746834893048131</v>
      </c>
      <c r="O345" s="5"/>
      <c r="P345" s="5">
        <f t="shared" si="60"/>
        <v>1</v>
      </c>
      <c r="Q345" s="7">
        <f t="shared" si="61"/>
        <v>2992</v>
      </c>
    </row>
    <row r="346" spans="1:17">
      <c r="A346" s="23" t="s">
        <v>372</v>
      </c>
      <c r="B346" s="35" t="s">
        <v>365</v>
      </c>
      <c r="C346" s="36">
        <v>20560</v>
      </c>
      <c r="D346" s="113">
        <v>1176493884</v>
      </c>
      <c r="E346" s="116">
        <f t="shared" si="57"/>
        <v>57222.465175097277</v>
      </c>
      <c r="F346" s="117">
        <v>825364260</v>
      </c>
      <c r="G346" s="117">
        <f t="shared" si="58"/>
        <v>40144.176070038913</v>
      </c>
      <c r="H346" s="7"/>
      <c r="I346" s="109">
        <v>6.99</v>
      </c>
      <c r="J346" s="117">
        <v>5769296</v>
      </c>
      <c r="K346" s="120">
        <f t="shared" si="65"/>
        <v>280.60778210116729</v>
      </c>
      <c r="L346" s="122">
        <f t="shared" si="62"/>
        <v>8253642.6000000006</v>
      </c>
      <c r="M346" s="116">
        <f t="shared" si="63"/>
        <v>2484346.6000000006</v>
      </c>
      <c r="N346" s="123">
        <f t="shared" si="64"/>
        <v>120.83397859922182</v>
      </c>
      <c r="O346" s="5"/>
      <c r="P346" s="5">
        <f t="shared" si="60"/>
        <v>1</v>
      </c>
      <c r="Q346" s="7">
        <f t="shared" si="61"/>
        <v>20560</v>
      </c>
    </row>
    <row r="347" spans="1:17">
      <c r="A347" s="23" t="s">
        <v>373</v>
      </c>
      <c r="B347" s="35" t="s">
        <v>365</v>
      </c>
      <c r="C347" s="36">
        <v>230</v>
      </c>
      <c r="D347" s="113">
        <v>13877372</v>
      </c>
      <c r="E347" s="116">
        <f t="shared" si="57"/>
        <v>60336.4</v>
      </c>
      <c r="F347" s="117">
        <v>10674925</v>
      </c>
      <c r="G347" s="117">
        <f t="shared" si="58"/>
        <v>46412.717391304344</v>
      </c>
      <c r="H347" s="7"/>
      <c r="I347" s="109">
        <v>9.9758999999999993</v>
      </c>
      <c r="J347" s="117">
        <v>106492</v>
      </c>
      <c r="K347" s="120">
        <f t="shared" si="65"/>
        <v>463.00869565217391</v>
      </c>
      <c r="L347" s="122">
        <f t="shared" si="62"/>
        <v>106749.25</v>
      </c>
      <c r="M347" s="116">
        <f t="shared" si="63"/>
        <v>257.25</v>
      </c>
      <c r="N347" s="123">
        <f t="shared" si="64"/>
        <v>1.1184782608695651</v>
      </c>
      <c r="O347" s="5"/>
      <c r="P347" s="5">
        <f t="shared" si="60"/>
        <v>1</v>
      </c>
      <c r="Q347" s="7">
        <f t="shared" si="61"/>
        <v>230</v>
      </c>
    </row>
    <row r="348" spans="1:17">
      <c r="A348" s="23" t="s">
        <v>374</v>
      </c>
      <c r="B348" s="35" t="s">
        <v>365</v>
      </c>
      <c r="C348" s="36">
        <v>254</v>
      </c>
      <c r="D348" s="113">
        <v>15375380</v>
      </c>
      <c r="E348" s="116">
        <f t="shared" si="57"/>
        <v>60532.992125984252</v>
      </c>
      <c r="F348" s="117">
        <v>9791147</v>
      </c>
      <c r="G348" s="117">
        <f t="shared" si="58"/>
        <v>38547.822834645667</v>
      </c>
      <c r="H348" s="7"/>
      <c r="I348" s="109">
        <v>0.31</v>
      </c>
      <c r="J348" s="117">
        <v>3035</v>
      </c>
      <c r="K348" s="120">
        <f t="shared" si="65"/>
        <v>11.948818897637794</v>
      </c>
      <c r="L348" s="122">
        <f t="shared" si="62"/>
        <v>97911.47</v>
      </c>
      <c r="M348" s="116">
        <f t="shared" si="63"/>
        <v>94876.47</v>
      </c>
      <c r="N348" s="123">
        <f t="shared" si="64"/>
        <v>373.52940944881891</v>
      </c>
      <c r="O348" s="5"/>
      <c r="P348" s="5">
        <f t="shared" si="60"/>
        <v>1</v>
      </c>
      <c r="Q348" s="7">
        <f t="shared" si="61"/>
        <v>254</v>
      </c>
    </row>
    <row r="349" spans="1:17">
      <c r="A349" s="23" t="s">
        <v>375</v>
      </c>
      <c r="B349" s="35" t="s">
        <v>365</v>
      </c>
      <c r="C349" s="36">
        <v>5015</v>
      </c>
      <c r="D349" s="113">
        <v>264129446</v>
      </c>
      <c r="E349" s="116">
        <f t="shared" si="57"/>
        <v>52667.885543369892</v>
      </c>
      <c r="F349" s="117">
        <v>155998757</v>
      </c>
      <c r="G349" s="117">
        <f t="shared" si="58"/>
        <v>31106.432103688934</v>
      </c>
      <c r="H349" s="7"/>
      <c r="I349" s="109">
        <v>6.58</v>
      </c>
      <c r="J349" s="117">
        <v>1026472</v>
      </c>
      <c r="K349" s="120">
        <f t="shared" si="65"/>
        <v>204.6803589232303</v>
      </c>
      <c r="L349" s="122">
        <f t="shared" si="62"/>
        <v>1559987.57</v>
      </c>
      <c r="M349" s="116">
        <f t="shared" si="63"/>
        <v>533515.57000000007</v>
      </c>
      <c r="N349" s="123">
        <f t="shared" si="64"/>
        <v>106.38396211365904</v>
      </c>
      <c r="O349" s="5"/>
      <c r="P349" s="5">
        <f t="shared" si="60"/>
        <v>1</v>
      </c>
      <c r="Q349" s="7">
        <f t="shared" si="61"/>
        <v>5015</v>
      </c>
    </row>
    <row r="350" spans="1:17">
      <c r="A350" s="23" t="s">
        <v>376</v>
      </c>
      <c r="B350" s="35" t="s">
        <v>365</v>
      </c>
      <c r="C350" s="36">
        <v>1231</v>
      </c>
      <c r="D350" s="113">
        <v>93574469</v>
      </c>
      <c r="E350" s="116">
        <f t="shared" si="57"/>
        <v>76015.003249390735</v>
      </c>
      <c r="F350" s="117">
        <v>66926244</v>
      </c>
      <c r="G350" s="117">
        <f t="shared" si="58"/>
        <v>54367.379366368805</v>
      </c>
      <c r="H350" s="7"/>
      <c r="I350" s="109">
        <v>7</v>
      </c>
      <c r="J350" s="117">
        <v>468484</v>
      </c>
      <c r="K350" s="120">
        <f t="shared" si="65"/>
        <v>380.57189277010559</v>
      </c>
      <c r="L350" s="122">
        <f t="shared" si="62"/>
        <v>669262.44000000006</v>
      </c>
      <c r="M350" s="116">
        <f t="shared" si="63"/>
        <v>200778.44000000006</v>
      </c>
      <c r="N350" s="123">
        <f t="shared" si="64"/>
        <v>163.1019008935825</v>
      </c>
      <c r="O350" s="5"/>
      <c r="P350" s="5">
        <f t="shared" si="60"/>
        <v>1</v>
      </c>
      <c r="Q350" s="7">
        <f t="shared" si="61"/>
        <v>1231</v>
      </c>
    </row>
    <row r="351" spans="1:17">
      <c r="A351" s="23" t="s">
        <v>377</v>
      </c>
      <c r="B351" s="35" t="s">
        <v>365</v>
      </c>
      <c r="C351" s="36">
        <v>14225</v>
      </c>
      <c r="D351" s="113">
        <v>954112823</v>
      </c>
      <c r="E351" s="116">
        <f t="shared" ref="E351:E406" si="66">(D351/C351)</f>
        <v>67072.957680140593</v>
      </c>
      <c r="F351" s="117">
        <v>644916830</v>
      </c>
      <c r="G351" s="117">
        <f t="shared" ref="G351:G406" si="67">(F351/C351)</f>
        <v>45336.859753954304</v>
      </c>
      <c r="H351" s="9"/>
      <c r="I351" s="109">
        <v>7.3277000000000001</v>
      </c>
      <c r="J351" s="117">
        <v>4725757</v>
      </c>
      <c r="K351" s="120">
        <f t="shared" si="65"/>
        <v>332.21490333919155</v>
      </c>
      <c r="L351" s="122">
        <f t="shared" si="62"/>
        <v>6449168.2999999998</v>
      </c>
      <c r="M351" s="116">
        <f t="shared" si="63"/>
        <v>1723411.2999999998</v>
      </c>
      <c r="N351" s="123">
        <f t="shared" si="64"/>
        <v>121.15369420035148</v>
      </c>
      <c r="O351" s="5"/>
      <c r="P351" s="5">
        <f t="shared" si="60"/>
        <v>1</v>
      </c>
      <c r="Q351" s="7">
        <f t="shared" si="61"/>
        <v>14225</v>
      </c>
    </row>
    <row r="352" spans="1:17">
      <c r="A352" s="23" t="s">
        <v>378</v>
      </c>
      <c r="B352" s="35" t="s">
        <v>365</v>
      </c>
      <c r="C352" s="36">
        <v>97422</v>
      </c>
      <c r="D352" s="113">
        <v>7134691549</v>
      </c>
      <c r="E352" s="116">
        <f t="shared" si="66"/>
        <v>73234.911508694131</v>
      </c>
      <c r="F352" s="117">
        <v>4759791244</v>
      </c>
      <c r="G352" s="117">
        <f t="shared" si="67"/>
        <v>48857.45769949293</v>
      </c>
      <c r="H352" s="9"/>
      <c r="I352" s="109">
        <v>4.1643999999999997</v>
      </c>
      <c r="J352" s="117">
        <v>19821675</v>
      </c>
      <c r="K352" s="120">
        <f t="shared" si="65"/>
        <v>203.46200036952638</v>
      </c>
      <c r="L352" s="122">
        <f t="shared" si="62"/>
        <v>47597912.439999998</v>
      </c>
      <c r="M352" s="116">
        <f t="shared" si="63"/>
        <v>27776237.439999998</v>
      </c>
      <c r="N352" s="123">
        <f t="shared" si="64"/>
        <v>285.11257662540288</v>
      </c>
      <c r="O352" s="5"/>
      <c r="P352" s="5">
        <f t="shared" si="60"/>
        <v>1</v>
      </c>
      <c r="Q352" s="7">
        <f t="shared" si="61"/>
        <v>97422</v>
      </c>
    </row>
    <row r="353" spans="1:17">
      <c r="A353" s="23" t="s">
        <v>379</v>
      </c>
      <c r="B353" s="35" t="s">
        <v>365</v>
      </c>
      <c r="C353" s="36">
        <v>3817</v>
      </c>
      <c r="D353" s="113">
        <v>230479670</v>
      </c>
      <c r="E353" s="116">
        <f t="shared" si="66"/>
        <v>60382.412889703955</v>
      </c>
      <c r="F353" s="117">
        <v>165241674</v>
      </c>
      <c r="G353" s="117">
        <f t="shared" si="67"/>
        <v>43290.98087503275</v>
      </c>
      <c r="H353" s="9"/>
      <c r="I353" s="109">
        <v>8.9</v>
      </c>
      <c r="J353" s="117">
        <v>1470651</v>
      </c>
      <c r="K353" s="120">
        <f t="shared" si="65"/>
        <v>385.28975635315692</v>
      </c>
      <c r="L353" s="122">
        <f t="shared" si="62"/>
        <v>1652416.74</v>
      </c>
      <c r="M353" s="116">
        <f t="shared" si="63"/>
        <v>181765.74</v>
      </c>
      <c r="N353" s="123">
        <f t="shared" si="64"/>
        <v>47.620052397170554</v>
      </c>
      <c r="O353" s="5"/>
      <c r="P353" s="5">
        <f t="shared" si="60"/>
        <v>1</v>
      </c>
      <c r="Q353" s="7">
        <f t="shared" si="61"/>
        <v>3817</v>
      </c>
    </row>
    <row r="354" spans="1:17">
      <c r="A354" s="23" t="s">
        <v>380</v>
      </c>
      <c r="B354" s="35" t="s">
        <v>365</v>
      </c>
      <c r="C354" s="36">
        <v>1562</v>
      </c>
      <c r="D354" s="113">
        <v>94774498</v>
      </c>
      <c r="E354" s="116">
        <f t="shared" si="66"/>
        <v>60675.094750320102</v>
      </c>
      <c r="F354" s="117">
        <v>67387229</v>
      </c>
      <c r="G354" s="117">
        <f t="shared" si="67"/>
        <v>43141.631882202302</v>
      </c>
      <c r="H354" s="7"/>
      <c r="I354" s="109">
        <v>8.6547000000000001</v>
      </c>
      <c r="J354" s="117">
        <v>583216</v>
      </c>
      <c r="K354" s="120">
        <f t="shared" si="65"/>
        <v>373.37772087067862</v>
      </c>
      <c r="L354" s="122">
        <f t="shared" si="62"/>
        <v>673872.29</v>
      </c>
      <c r="M354" s="116">
        <f t="shared" si="63"/>
        <v>90656.290000000037</v>
      </c>
      <c r="N354" s="123">
        <f t="shared" si="64"/>
        <v>58.038597951344457</v>
      </c>
      <c r="O354" s="5"/>
      <c r="P354" s="5">
        <f t="shared" si="60"/>
        <v>1</v>
      </c>
      <c r="Q354" s="7">
        <f t="shared" si="61"/>
        <v>1562</v>
      </c>
    </row>
    <row r="355" spans="1:17">
      <c r="A355" s="23" t="s">
        <v>381</v>
      </c>
      <c r="B355" s="35" t="s">
        <v>365</v>
      </c>
      <c r="C355" s="36">
        <v>33874</v>
      </c>
      <c r="D355" s="113">
        <v>2415561048</v>
      </c>
      <c r="E355" s="116">
        <f t="shared" si="66"/>
        <v>71310.180315286067</v>
      </c>
      <c r="F355" s="117">
        <v>1628353670</v>
      </c>
      <c r="G355" s="117">
        <f t="shared" si="67"/>
        <v>48070.900100371968</v>
      </c>
      <c r="H355" s="7"/>
      <c r="I355" s="109">
        <v>5.79</v>
      </c>
      <c r="J355" s="117">
        <v>9428168</v>
      </c>
      <c r="K355" s="120">
        <f t="shared" si="65"/>
        <v>278.33051898211016</v>
      </c>
      <c r="L355" s="122">
        <f t="shared" si="62"/>
        <v>16283536.700000001</v>
      </c>
      <c r="M355" s="116">
        <f t="shared" si="63"/>
        <v>6855368.7000000011</v>
      </c>
      <c r="N355" s="123">
        <f t="shared" si="64"/>
        <v>202.37848202160953</v>
      </c>
      <c r="O355" s="5"/>
      <c r="P355" s="5">
        <f t="shared" si="60"/>
        <v>1</v>
      </c>
      <c r="Q355" s="7">
        <f t="shared" si="61"/>
        <v>33874</v>
      </c>
    </row>
    <row r="356" spans="1:17">
      <c r="A356" s="23" t="s">
        <v>382</v>
      </c>
      <c r="B356" s="35" t="s">
        <v>383</v>
      </c>
      <c r="C356" s="36">
        <v>1577</v>
      </c>
      <c r="D356" s="113">
        <v>120540123</v>
      </c>
      <c r="E356" s="116">
        <f t="shared" si="66"/>
        <v>76436.349397590355</v>
      </c>
      <c r="F356" s="117">
        <v>64824177</v>
      </c>
      <c r="G356" s="117">
        <f t="shared" si="67"/>
        <v>41106.009511731136</v>
      </c>
      <c r="H356" s="7"/>
      <c r="I356" s="109">
        <v>8.1722999999999999</v>
      </c>
      <c r="J356" s="117">
        <v>529763</v>
      </c>
      <c r="K356" s="120">
        <f t="shared" si="65"/>
        <v>335.93088142041853</v>
      </c>
      <c r="L356" s="122">
        <f t="shared" si="62"/>
        <v>648241.77</v>
      </c>
      <c r="M356" s="116">
        <f t="shared" si="63"/>
        <v>118478.77000000002</v>
      </c>
      <c r="N356" s="123">
        <f t="shared" si="64"/>
        <v>75.129213696892847</v>
      </c>
      <c r="O356" s="5"/>
      <c r="P356" s="5">
        <f t="shared" si="60"/>
        <v>1</v>
      </c>
      <c r="Q356" s="7">
        <f t="shared" si="61"/>
        <v>1577</v>
      </c>
    </row>
    <row r="357" spans="1:17">
      <c r="A357" s="23" t="s">
        <v>384</v>
      </c>
      <c r="B357" s="35" t="s">
        <v>383</v>
      </c>
      <c r="C357" s="36">
        <v>1403</v>
      </c>
      <c r="D357" s="113">
        <v>122137737</v>
      </c>
      <c r="E357" s="116">
        <f t="shared" si="66"/>
        <v>87054.694939415538</v>
      </c>
      <c r="F357" s="117">
        <v>56043717</v>
      </c>
      <c r="G357" s="117">
        <f t="shared" si="67"/>
        <v>39945.628652886669</v>
      </c>
      <c r="H357" s="7"/>
      <c r="I357" s="109">
        <v>8.8286999999999995</v>
      </c>
      <c r="J357" s="117">
        <v>494793</v>
      </c>
      <c r="K357" s="120">
        <f t="shared" si="65"/>
        <v>352.66785459729152</v>
      </c>
      <c r="L357" s="122">
        <f t="shared" si="62"/>
        <v>560437.17000000004</v>
      </c>
      <c r="M357" s="116">
        <f t="shared" si="63"/>
        <v>65644.170000000042</v>
      </c>
      <c r="N357" s="123">
        <f t="shared" si="64"/>
        <v>46.788431931575225</v>
      </c>
      <c r="O357" s="5"/>
      <c r="P357" s="5">
        <f t="shared" si="60"/>
        <v>1</v>
      </c>
      <c r="Q357" s="7">
        <f t="shared" si="61"/>
        <v>1403</v>
      </c>
    </row>
    <row r="358" spans="1:17">
      <c r="A358" s="23" t="s">
        <v>385</v>
      </c>
      <c r="B358" s="35" t="s">
        <v>383</v>
      </c>
      <c r="C358" s="36">
        <v>10558</v>
      </c>
      <c r="D358" s="113">
        <v>840312752</v>
      </c>
      <c r="E358" s="116">
        <f t="shared" si="66"/>
        <v>79590.145103239251</v>
      </c>
      <c r="F358" s="117">
        <v>412847084</v>
      </c>
      <c r="G358" s="117">
        <f t="shared" si="67"/>
        <v>39102.773631369579</v>
      </c>
      <c r="H358" s="7"/>
      <c r="I358" s="109">
        <v>8.65</v>
      </c>
      <c r="J358" s="117">
        <v>3571127</v>
      </c>
      <c r="K358" s="120">
        <f t="shared" si="65"/>
        <v>338.23896571320324</v>
      </c>
      <c r="L358" s="122">
        <f t="shared" si="62"/>
        <v>4128470.8400000003</v>
      </c>
      <c r="M358" s="116">
        <f t="shared" si="63"/>
        <v>557343.84000000032</v>
      </c>
      <c r="N358" s="123">
        <f t="shared" si="64"/>
        <v>52.788770600492548</v>
      </c>
      <c r="O358" s="5"/>
      <c r="P358" s="5">
        <f t="shared" si="60"/>
        <v>1</v>
      </c>
      <c r="Q358" s="7">
        <f t="shared" si="61"/>
        <v>10558</v>
      </c>
    </row>
    <row r="359" spans="1:17">
      <c r="A359" s="23" t="s">
        <v>386</v>
      </c>
      <c r="B359" s="35" t="s">
        <v>383</v>
      </c>
      <c r="C359" s="36">
        <v>912</v>
      </c>
      <c r="D359" s="113">
        <v>55631235</v>
      </c>
      <c r="E359" s="116">
        <f t="shared" si="66"/>
        <v>60999.161184210527</v>
      </c>
      <c r="F359" s="117">
        <v>31479051</v>
      </c>
      <c r="G359" s="117">
        <f t="shared" si="67"/>
        <v>34516.503289473687</v>
      </c>
      <c r="H359" s="7"/>
      <c r="I359" s="109">
        <v>6.2873999999999999</v>
      </c>
      <c r="J359" s="117">
        <v>197921</v>
      </c>
      <c r="K359" s="120">
        <f t="shared" si="65"/>
        <v>217.01864035087721</v>
      </c>
      <c r="L359" s="122">
        <f t="shared" si="62"/>
        <v>314790.51</v>
      </c>
      <c r="M359" s="116">
        <f t="shared" si="63"/>
        <v>116869.51000000001</v>
      </c>
      <c r="N359" s="123">
        <f t="shared" si="64"/>
        <v>128.14639254385966</v>
      </c>
      <c r="O359" s="5"/>
      <c r="P359" s="5">
        <f t="shared" si="60"/>
        <v>1</v>
      </c>
      <c r="Q359" s="7">
        <f t="shared" si="61"/>
        <v>912</v>
      </c>
    </row>
    <row r="360" spans="1:17">
      <c r="A360" s="23" t="s">
        <v>387</v>
      </c>
      <c r="B360" s="35" t="s">
        <v>383</v>
      </c>
      <c r="C360" s="36">
        <v>701</v>
      </c>
      <c r="D360" s="113">
        <v>82725309</v>
      </c>
      <c r="E360" s="116">
        <f t="shared" si="66"/>
        <v>118010.42653352354</v>
      </c>
      <c r="F360" s="117">
        <v>61037272</v>
      </c>
      <c r="G360" s="117">
        <f t="shared" si="67"/>
        <v>87071.714693295289</v>
      </c>
      <c r="H360" s="7"/>
      <c r="I360" s="109">
        <v>5.5049999999999999</v>
      </c>
      <c r="J360" s="117">
        <v>336010</v>
      </c>
      <c r="K360" s="120">
        <f t="shared" si="65"/>
        <v>479.32952924393726</v>
      </c>
      <c r="L360" s="122">
        <f t="shared" si="62"/>
        <v>610372.72</v>
      </c>
      <c r="M360" s="116">
        <f t="shared" si="63"/>
        <v>274362.71999999997</v>
      </c>
      <c r="N360" s="123">
        <f t="shared" si="64"/>
        <v>391.38761768901566</v>
      </c>
      <c r="O360" s="5"/>
      <c r="P360" s="5">
        <f t="shared" si="60"/>
        <v>1</v>
      </c>
      <c r="Q360" s="7">
        <f t="shared" si="61"/>
        <v>701</v>
      </c>
    </row>
    <row r="361" spans="1:17">
      <c r="A361" s="23" t="s">
        <v>390</v>
      </c>
      <c r="B361" s="35" t="s">
        <v>391</v>
      </c>
      <c r="C361" s="36">
        <v>5763</v>
      </c>
      <c r="D361" s="113">
        <v>997298783</v>
      </c>
      <c r="E361" s="116">
        <f t="shared" si="66"/>
        <v>173052.01856671873</v>
      </c>
      <c r="F361" s="117">
        <v>634514000</v>
      </c>
      <c r="G361" s="117">
        <f t="shared" si="67"/>
        <v>110101.33610966511</v>
      </c>
      <c r="H361" s="9"/>
      <c r="I361" s="109">
        <v>1.9</v>
      </c>
      <c r="J361" s="117">
        <v>1205577</v>
      </c>
      <c r="K361" s="120">
        <f t="shared" si="65"/>
        <v>209.192608016658</v>
      </c>
      <c r="L361" s="122">
        <f t="shared" si="62"/>
        <v>6345140</v>
      </c>
      <c r="M361" s="116">
        <f t="shared" si="63"/>
        <v>5139563</v>
      </c>
      <c r="N361" s="123">
        <f t="shared" si="64"/>
        <v>891.8207530799931</v>
      </c>
      <c r="O361" s="5"/>
      <c r="P361" s="5">
        <f t="shared" si="60"/>
        <v>1</v>
      </c>
      <c r="Q361" s="7">
        <f t="shared" si="61"/>
        <v>5763</v>
      </c>
    </row>
    <row r="362" spans="1:17">
      <c r="A362" s="23" t="s">
        <v>392</v>
      </c>
      <c r="B362" s="35" t="s">
        <v>391</v>
      </c>
      <c r="C362" s="36">
        <v>533</v>
      </c>
      <c r="D362" s="113">
        <v>57922323</v>
      </c>
      <c r="E362" s="116">
        <f t="shared" si="66"/>
        <v>108672.27579737335</v>
      </c>
      <c r="F362" s="117">
        <v>37733727</v>
      </c>
      <c r="G362" s="117">
        <f t="shared" si="67"/>
        <v>70794.984990619138</v>
      </c>
      <c r="H362" s="9"/>
      <c r="I362" s="109">
        <v>2</v>
      </c>
      <c r="J362" s="117">
        <v>75467</v>
      </c>
      <c r="K362" s="120">
        <f t="shared" si="65"/>
        <v>141.5891181988743</v>
      </c>
      <c r="L362" s="122">
        <f t="shared" si="62"/>
        <v>377337.27</v>
      </c>
      <c r="M362" s="116">
        <f t="shared" si="63"/>
        <v>301870.27</v>
      </c>
      <c r="N362" s="123">
        <f t="shared" si="64"/>
        <v>566.36073170731709</v>
      </c>
      <c r="O362" s="5"/>
      <c r="P362" s="5">
        <f t="shared" si="60"/>
        <v>1</v>
      </c>
      <c r="Q362" s="7">
        <f t="shared" si="61"/>
        <v>533</v>
      </c>
    </row>
    <row r="363" spans="1:17">
      <c r="A363" s="23" t="s">
        <v>393</v>
      </c>
      <c r="B363" s="35" t="s">
        <v>391</v>
      </c>
      <c r="C363" s="36">
        <v>8826</v>
      </c>
      <c r="D363" s="113">
        <v>541627225</v>
      </c>
      <c r="E363" s="116">
        <f t="shared" si="66"/>
        <v>61367.236007251304</v>
      </c>
      <c r="F363" s="117">
        <v>301801404</v>
      </c>
      <c r="G363" s="117">
        <f t="shared" si="67"/>
        <v>34194.584636301835</v>
      </c>
      <c r="H363" s="9"/>
      <c r="I363" s="109">
        <v>3.2372999999999998</v>
      </c>
      <c r="J363" s="117">
        <v>977022</v>
      </c>
      <c r="K363" s="120">
        <f t="shared" si="65"/>
        <v>110.69816451393609</v>
      </c>
      <c r="L363" s="122">
        <f t="shared" si="62"/>
        <v>3018014.04</v>
      </c>
      <c r="M363" s="116">
        <f t="shared" si="63"/>
        <v>2040992.04</v>
      </c>
      <c r="N363" s="123">
        <f t="shared" si="64"/>
        <v>231.24768184908226</v>
      </c>
      <c r="O363" s="5"/>
      <c r="P363" s="5">
        <f t="shared" si="60"/>
        <v>1</v>
      </c>
      <c r="Q363" s="7">
        <f t="shared" si="61"/>
        <v>8826</v>
      </c>
    </row>
    <row r="364" spans="1:17">
      <c r="A364" s="23" t="s">
        <v>394</v>
      </c>
      <c r="B364" s="35" t="s">
        <v>395</v>
      </c>
      <c r="C364" s="36">
        <v>57357</v>
      </c>
      <c r="D364" s="113">
        <v>3608571316</v>
      </c>
      <c r="E364" s="116">
        <f t="shared" si="66"/>
        <v>62914.226964450718</v>
      </c>
      <c r="F364" s="117">
        <v>2471693077</v>
      </c>
      <c r="G364" s="117">
        <f t="shared" si="67"/>
        <v>43093.137315410502</v>
      </c>
      <c r="H364" s="7"/>
      <c r="I364" s="109">
        <v>3.34</v>
      </c>
      <c r="J364" s="117">
        <v>8255455</v>
      </c>
      <c r="K364" s="120">
        <f t="shared" si="65"/>
        <v>143.93108077479644</v>
      </c>
      <c r="L364" s="122">
        <f t="shared" si="62"/>
        <v>24716930.77</v>
      </c>
      <c r="M364" s="116">
        <f t="shared" si="63"/>
        <v>16461475.77</v>
      </c>
      <c r="N364" s="123">
        <f t="shared" si="64"/>
        <v>287.00029237930852</v>
      </c>
      <c r="O364" s="5"/>
      <c r="P364" s="5">
        <f t="shared" si="60"/>
        <v>1</v>
      </c>
      <c r="Q364" s="7">
        <f t="shared" si="61"/>
        <v>57357</v>
      </c>
    </row>
    <row r="365" spans="1:17">
      <c r="A365" s="23" t="s">
        <v>395</v>
      </c>
      <c r="B365" s="35" t="s">
        <v>395</v>
      </c>
      <c r="C365" s="36">
        <v>51917</v>
      </c>
      <c r="D365" s="113">
        <v>10670770677</v>
      </c>
      <c r="E365" s="116">
        <f t="shared" si="66"/>
        <v>205535.19419457982</v>
      </c>
      <c r="F365" s="117">
        <v>7322222525</v>
      </c>
      <c r="G365" s="117">
        <f t="shared" si="67"/>
        <v>141037.08852591636</v>
      </c>
      <c r="H365" s="7"/>
      <c r="I365" s="109">
        <v>2.7770999999999999</v>
      </c>
      <c r="J365" s="117">
        <v>20334544</v>
      </c>
      <c r="K365" s="120">
        <f t="shared" si="65"/>
        <v>391.67409519040007</v>
      </c>
      <c r="L365" s="122">
        <f t="shared" si="62"/>
        <v>73222225.25</v>
      </c>
      <c r="M365" s="116">
        <f t="shared" si="63"/>
        <v>52887681.25</v>
      </c>
      <c r="N365" s="123">
        <f t="shared" si="64"/>
        <v>1018.6967900687636</v>
      </c>
      <c r="O365" s="5"/>
      <c r="P365" s="5">
        <f t="shared" si="60"/>
        <v>1</v>
      </c>
      <c r="Q365" s="7">
        <f t="shared" si="61"/>
        <v>51917</v>
      </c>
    </row>
    <row r="366" spans="1:17">
      <c r="A366" s="23" t="s">
        <v>396</v>
      </c>
      <c r="B366" s="35" t="s">
        <v>395</v>
      </c>
      <c r="C366" s="36">
        <v>20748</v>
      </c>
      <c r="D366" s="113">
        <v>3663121832</v>
      </c>
      <c r="E366" s="116">
        <f t="shared" si="66"/>
        <v>176553.00906111434</v>
      </c>
      <c r="F366" s="117">
        <v>2849902357</v>
      </c>
      <c r="G366" s="117">
        <f t="shared" si="67"/>
        <v>137357.93122228648</v>
      </c>
      <c r="H366" s="7"/>
      <c r="I366" s="109">
        <v>2.7789999999999999</v>
      </c>
      <c r="J366" s="117">
        <v>7919879</v>
      </c>
      <c r="K366" s="120">
        <f t="shared" ref="K366:K381" si="68">(J366/C366)</f>
        <v>381.71770773086564</v>
      </c>
      <c r="L366" s="122">
        <f t="shared" si="62"/>
        <v>28499023.57</v>
      </c>
      <c r="M366" s="116">
        <f t="shared" si="63"/>
        <v>20579144.57</v>
      </c>
      <c r="N366" s="123">
        <f t="shared" si="64"/>
        <v>991.86160449199929</v>
      </c>
      <c r="O366" s="5"/>
      <c r="P366" s="5">
        <f t="shared" si="60"/>
        <v>1</v>
      </c>
      <c r="Q366" s="7">
        <f t="shared" si="61"/>
        <v>20748</v>
      </c>
    </row>
    <row r="367" spans="1:17">
      <c r="A367" s="23" t="s">
        <v>397</v>
      </c>
      <c r="B367" s="35" t="s">
        <v>360</v>
      </c>
      <c r="C367" s="36">
        <v>41496</v>
      </c>
      <c r="D367" s="113">
        <v>3144396990</v>
      </c>
      <c r="E367" s="116">
        <f t="shared" si="66"/>
        <v>75775.905870445349</v>
      </c>
      <c r="F367" s="117">
        <v>2472712893</v>
      </c>
      <c r="G367" s="117">
        <f t="shared" si="67"/>
        <v>59589.186740890691</v>
      </c>
      <c r="H367" s="7"/>
      <c r="I367" s="109">
        <v>2.89</v>
      </c>
      <c r="J367" s="117">
        <v>7146140</v>
      </c>
      <c r="K367" s="120">
        <f t="shared" si="68"/>
        <v>172.21274339695393</v>
      </c>
      <c r="L367" s="122">
        <f t="shared" si="62"/>
        <v>24727128.93</v>
      </c>
      <c r="M367" s="116">
        <f t="shared" si="63"/>
        <v>17580988.93</v>
      </c>
      <c r="N367" s="123">
        <f t="shared" si="64"/>
        <v>423.67912401195298</v>
      </c>
      <c r="O367" s="5"/>
      <c r="P367" s="5">
        <f t="shared" si="60"/>
        <v>1</v>
      </c>
      <c r="Q367" s="7">
        <f t="shared" si="61"/>
        <v>41496</v>
      </c>
    </row>
    <row r="368" spans="1:17">
      <c r="A368" s="23" t="s">
        <v>398</v>
      </c>
      <c r="B368" s="35" t="s">
        <v>360</v>
      </c>
      <c r="C368" s="36">
        <v>26241</v>
      </c>
      <c r="D368" s="113">
        <v>1577919925</v>
      </c>
      <c r="E368" s="116">
        <f t="shared" si="66"/>
        <v>60131.85187302313</v>
      </c>
      <c r="F368" s="117">
        <v>1145761975</v>
      </c>
      <c r="G368" s="117">
        <f t="shared" si="67"/>
        <v>43663.045425098127</v>
      </c>
      <c r="H368" s="7"/>
      <c r="I368" s="109">
        <v>5.45</v>
      </c>
      <c r="J368" s="117">
        <v>6244403</v>
      </c>
      <c r="K368" s="120">
        <f t="shared" si="68"/>
        <v>237.96360656987159</v>
      </c>
      <c r="L368" s="122">
        <f t="shared" si="62"/>
        <v>11457619.75</v>
      </c>
      <c r="M368" s="116">
        <f t="shared" si="63"/>
        <v>5213216.75</v>
      </c>
      <c r="N368" s="123">
        <f t="shared" si="64"/>
        <v>198.66684768110972</v>
      </c>
      <c r="O368" s="5"/>
      <c r="P368" s="5">
        <f t="shared" si="60"/>
        <v>1</v>
      </c>
      <c r="Q368" s="7">
        <f t="shared" si="61"/>
        <v>26241</v>
      </c>
    </row>
    <row r="369" spans="1:17">
      <c r="A369" s="23" t="s">
        <v>399</v>
      </c>
      <c r="B369" s="35" t="s">
        <v>360</v>
      </c>
      <c r="C369" s="36">
        <v>13822</v>
      </c>
      <c r="D369" s="113">
        <v>2244335183</v>
      </c>
      <c r="E369" s="116">
        <f t="shared" si="66"/>
        <v>162374.12697149473</v>
      </c>
      <c r="F369" s="117">
        <v>1832249027</v>
      </c>
      <c r="G369" s="117">
        <f t="shared" si="67"/>
        <v>132560.34054406019</v>
      </c>
      <c r="H369" s="7"/>
      <c r="I369" s="109">
        <v>3.6355</v>
      </c>
      <c r="J369" s="117">
        <v>6661141</v>
      </c>
      <c r="K369" s="120">
        <f t="shared" si="68"/>
        <v>481.92309361886845</v>
      </c>
      <c r="L369" s="122">
        <f t="shared" si="62"/>
        <v>18322490.27</v>
      </c>
      <c r="M369" s="116">
        <f t="shared" si="63"/>
        <v>11661349.27</v>
      </c>
      <c r="N369" s="123">
        <f t="shared" si="64"/>
        <v>843.68031182173343</v>
      </c>
      <c r="O369" s="5"/>
      <c r="P369" s="5">
        <f t="shared" si="60"/>
        <v>1</v>
      </c>
      <c r="Q369" s="7">
        <f t="shared" si="61"/>
        <v>13822</v>
      </c>
    </row>
    <row r="370" spans="1:17">
      <c r="A370" s="23" t="s">
        <v>400</v>
      </c>
      <c r="B370" s="35" t="s">
        <v>360</v>
      </c>
      <c r="C370" s="36">
        <v>13657</v>
      </c>
      <c r="D370" s="113">
        <v>1244542278</v>
      </c>
      <c r="E370" s="116">
        <f t="shared" si="66"/>
        <v>91128.525884161965</v>
      </c>
      <c r="F370" s="117">
        <v>920270775</v>
      </c>
      <c r="G370" s="117">
        <f t="shared" si="67"/>
        <v>67384.548217031552</v>
      </c>
      <c r="H370" s="7"/>
      <c r="I370" s="109">
        <v>4.99</v>
      </c>
      <c r="J370" s="117">
        <v>4592151</v>
      </c>
      <c r="K370" s="120">
        <f t="shared" si="68"/>
        <v>336.24888335652048</v>
      </c>
      <c r="L370" s="122">
        <f t="shared" si="62"/>
        <v>9202707.75</v>
      </c>
      <c r="M370" s="116">
        <f t="shared" si="63"/>
        <v>4610556.75</v>
      </c>
      <c r="N370" s="123">
        <f t="shared" si="64"/>
        <v>337.59659881379514</v>
      </c>
      <c r="O370" s="5"/>
      <c r="P370" s="5">
        <f t="shared" si="60"/>
        <v>1</v>
      </c>
      <c r="Q370" s="7">
        <f t="shared" si="61"/>
        <v>13657</v>
      </c>
    </row>
    <row r="371" spans="1:17">
      <c r="A371" s="23" t="s">
        <v>401</v>
      </c>
      <c r="B371" s="35" t="s">
        <v>360</v>
      </c>
      <c r="C371" s="36">
        <v>33342</v>
      </c>
      <c r="D371" s="113">
        <v>2648994367</v>
      </c>
      <c r="E371" s="116">
        <f t="shared" si="66"/>
        <v>79449.174224701579</v>
      </c>
      <c r="F371" s="117">
        <v>1938260572</v>
      </c>
      <c r="G371" s="117">
        <f t="shared" si="67"/>
        <v>58132.702657309099</v>
      </c>
      <c r="H371" s="7"/>
      <c r="I371" s="109">
        <v>5.1536</v>
      </c>
      <c r="J371" s="117">
        <v>9989020</v>
      </c>
      <c r="K371" s="120">
        <f t="shared" si="68"/>
        <v>299.5927058964669</v>
      </c>
      <c r="L371" s="122">
        <f t="shared" si="62"/>
        <v>19382605.719999999</v>
      </c>
      <c r="M371" s="116">
        <f t="shared" si="63"/>
        <v>9393585.7199999988</v>
      </c>
      <c r="N371" s="123">
        <f t="shared" si="64"/>
        <v>281.73432067662407</v>
      </c>
      <c r="O371" s="5"/>
      <c r="P371" s="5">
        <f t="shared" si="60"/>
        <v>1</v>
      </c>
      <c r="Q371" s="7">
        <f t="shared" si="61"/>
        <v>33342</v>
      </c>
    </row>
    <row r="372" spans="1:17">
      <c r="A372" s="23" t="s">
        <v>402</v>
      </c>
      <c r="B372" s="35" t="s">
        <v>360</v>
      </c>
      <c r="C372" s="36">
        <v>53570</v>
      </c>
      <c r="D372" s="113">
        <v>3585539464</v>
      </c>
      <c r="E372" s="116">
        <f t="shared" si="66"/>
        <v>66931.854844129179</v>
      </c>
      <c r="F372" s="117">
        <v>2505937292</v>
      </c>
      <c r="G372" s="117">
        <f t="shared" si="67"/>
        <v>46778.743550494677</v>
      </c>
      <c r="H372" s="7"/>
      <c r="I372" s="109">
        <v>6.8250000000000002</v>
      </c>
      <c r="J372" s="117">
        <v>17103022</v>
      </c>
      <c r="K372" s="120">
        <f t="shared" si="68"/>
        <v>319.26492439798392</v>
      </c>
      <c r="L372" s="122">
        <f t="shared" si="62"/>
        <v>25059372.920000002</v>
      </c>
      <c r="M372" s="116">
        <f t="shared" si="63"/>
        <v>7956350.9200000018</v>
      </c>
      <c r="N372" s="123">
        <f t="shared" si="64"/>
        <v>148.5225111069629</v>
      </c>
      <c r="O372" s="5"/>
      <c r="P372" s="5">
        <f t="shared" si="60"/>
        <v>1</v>
      </c>
      <c r="Q372" s="7">
        <f t="shared" si="61"/>
        <v>53570</v>
      </c>
    </row>
    <row r="373" spans="1:17">
      <c r="A373" s="23" t="s">
        <v>403</v>
      </c>
      <c r="B373" s="35" t="s">
        <v>360</v>
      </c>
      <c r="C373" s="36">
        <v>33282</v>
      </c>
      <c r="D373" s="113">
        <v>2466429800</v>
      </c>
      <c r="E373" s="116">
        <f t="shared" si="66"/>
        <v>74107.018808965804</v>
      </c>
      <c r="F373" s="117">
        <v>1687434206</v>
      </c>
      <c r="G373" s="117">
        <f t="shared" si="67"/>
        <v>50701.105883059914</v>
      </c>
      <c r="H373" s="7"/>
      <c r="I373" s="109">
        <v>2.5813999999999999</v>
      </c>
      <c r="J373" s="117">
        <v>4355943</v>
      </c>
      <c r="K373" s="120">
        <f t="shared" si="68"/>
        <v>130.87984496124031</v>
      </c>
      <c r="L373" s="122">
        <f t="shared" si="62"/>
        <v>16874342.059999999</v>
      </c>
      <c r="M373" s="116">
        <f t="shared" si="63"/>
        <v>12518399.059999999</v>
      </c>
      <c r="N373" s="123">
        <f t="shared" si="64"/>
        <v>376.13121386935876</v>
      </c>
      <c r="O373" s="5"/>
      <c r="P373" s="5">
        <f t="shared" si="60"/>
        <v>1</v>
      </c>
      <c r="Q373" s="7">
        <f t="shared" si="61"/>
        <v>33282</v>
      </c>
    </row>
    <row r="374" spans="1:17">
      <c r="A374" s="23" t="s">
        <v>388</v>
      </c>
      <c r="B374" s="37" t="s">
        <v>551</v>
      </c>
      <c r="C374" s="36">
        <v>580</v>
      </c>
      <c r="D374" s="113">
        <v>43436926</v>
      </c>
      <c r="E374" s="116">
        <f t="shared" si="66"/>
        <v>74891.251724137925</v>
      </c>
      <c r="F374" s="117">
        <v>28046009</v>
      </c>
      <c r="G374" s="117">
        <f t="shared" si="67"/>
        <v>48355.187931034481</v>
      </c>
      <c r="H374" s="7"/>
      <c r="I374" s="109">
        <v>8</v>
      </c>
      <c r="J374" s="117">
        <v>224368</v>
      </c>
      <c r="K374" s="120">
        <f t="shared" si="68"/>
        <v>386.84137931034485</v>
      </c>
      <c r="L374" s="122">
        <f t="shared" si="62"/>
        <v>280460.09000000003</v>
      </c>
      <c r="M374" s="116">
        <f t="shared" si="63"/>
        <v>56092.090000000026</v>
      </c>
      <c r="N374" s="123">
        <f t="shared" si="64"/>
        <v>96.710500000000039</v>
      </c>
      <c r="O374" s="5"/>
      <c r="P374" s="5">
        <f t="shared" si="60"/>
        <v>1</v>
      </c>
      <c r="Q374" s="7">
        <f t="shared" si="61"/>
        <v>580</v>
      </c>
    </row>
    <row r="375" spans="1:17">
      <c r="A375" s="24" t="s">
        <v>549</v>
      </c>
      <c r="B375" s="37" t="s">
        <v>551</v>
      </c>
      <c r="C375" s="36">
        <v>12975</v>
      </c>
      <c r="D375" s="113">
        <v>1932417748</v>
      </c>
      <c r="E375" s="116">
        <f t="shared" si="66"/>
        <v>148933.93048169557</v>
      </c>
      <c r="F375" s="117">
        <v>1211761029</v>
      </c>
      <c r="G375" s="117">
        <f t="shared" si="67"/>
        <v>93391.986820809252</v>
      </c>
      <c r="H375" s="7"/>
      <c r="I375" s="109">
        <v>7.5</v>
      </c>
      <c r="J375" s="117">
        <v>9088208</v>
      </c>
      <c r="K375" s="120">
        <f t="shared" si="68"/>
        <v>700.43992292870905</v>
      </c>
      <c r="L375" s="122">
        <f t="shared" si="62"/>
        <v>12117610.290000001</v>
      </c>
      <c r="M375" s="116">
        <f t="shared" si="63"/>
        <v>3029402.290000001</v>
      </c>
      <c r="N375" s="123">
        <f t="shared" si="64"/>
        <v>233.47994527938351</v>
      </c>
      <c r="O375" s="5"/>
      <c r="P375" s="5">
        <f t="shared" si="60"/>
        <v>1</v>
      </c>
      <c r="Q375" s="7">
        <f t="shared" si="61"/>
        <v>12975</v>
      </c>
    </row>
    <row r="376" spans="1:17">
      <c r="A376" s="24" t="s">
        <v>550</v>
      </c>
      <c r="B376" s="37" t="s">
        <v>551</v>
      </c>
      <c r="C376" s="36">
        <v>6176</v>
      </c>
      <c r="D376" s="113">
        <v>1066218068</v>
      </c>
      <c r="E376" s="116">
        <f t="shared" si="66"/>
        <v>172638.93588082903</v>
      </c>
      <c r="F376" s="117">
        <v>899765548</v>
      </c>
      <c r="G376" s="117">
        <f t="shared" si="67"/>
        <v>145687.42681347151</v>
      </c>
      <c r="H376" s="7"/>
      <c r="I376" s="109">
        <v>2.5992000000000002</v>
      </c>
      <c r="J376" s="117">
        <v>2338671</v>
      </c>
      <c r="K376" s="120">
        <f t="shared" si="68"/>
        <v>378.67082253886008</v>
      </c>
      <c r="L376" s="122">
        <f t="shared" si="62"/>
        <v>8997655.4800000004</v>
      </c>
      <c r="M376" s="116">
        <f t="shared" si="63"/>
        <v>6658984.4800000004</v>
      </c>
      <c r="N376" s="123">
        <f t="shared" si="64"/>
        <v>1078.2034455958551</v>
      </c>
      <c r="O376" s="5"/>
      <c r="P376" s="5">
        <f t="shared" si="60"/>
        <v>1</v>
      </c>
      <c r="Q376" s="7">
        <f t="shared" si="61"/>
        <v>6176</v>
      </c>
    </row>
    <row r="377" spans="1:17">
      <c r="A377" s="23" t="s">
        <v>389</v>
      </c>
      <c r="B377" s="37" t="s">
        <v>552</v>
      </c>
      <c r="C377" s="36">
        <v>41590</v>
      </c>
      <c r="D377" s="113">
        <v>3285940388</v>
      </c>
      <c r="E377" s="116">
        <f t="shared" si="66"/>
        <v>79007.943928829045</v>
      </c>
      <c r="F377" s="117">
        <v>2091842939</v>
      </c>
      <c r="G377" s="117">
        <f t="shared" si="67"/>
        <v>50296.776604953113</v>
      </c>
      <c r="H377" s="7"/>
      <c r="I377" s="109">
        <v>5.4673999999999996</v>
      </c>
      <c r="J377" s="117">
        <v>11436942</v>
      </c>
      <c r="K377" s="120">
        <f t="shared" si="68"/>
        <v>274.99259437364753</v>
      </c>
      <c r="L377" s="122">
        <f t="shared" si="62"/>
        <v>20918429.390000001</v>
      </c>
      <c r="M377" s="116">
        <f t="shared" si="63"/>
        <v>9481487.3900000006</v>
      </c>
      <c r="N377" s="123">
        <f t="shared" si="64"/>
        <v>227.97517167588364</v>
      </c>
      <c r="O377" s="5"/>
      <c r="P377" s="5">
        <f t="shared" si="60"/>
        <v>1</v>
      </c>
      <c r="Q377" s="7">
        <f t="shared" si="61"/>
        <v>41590</v>
      </c>
    </row>
    <row r="378" spans="1:17">
      <c r="A378" s="24" t="s">
        <v>553</v>
      </c>
      <c r="B378" s="37" t="s">
        <v>552</v>
      </c>
      <c r="C378" s="36">
        <v>164603</v>
      </c>
      <c r="D378" s="113">
        <v>9897386166</v>
      </c>
      <c r="E378" s="116">
        <f t="shared" si="66"/>
        <v>60128.832196254014</v>
      </c>
      <c r="F378" s="117">
        <v>6675917203</v>
      </c>
      <c r="G378" s="117">
        <f t="shared" si="67"/>
        <v>40557.688517220224</v>
      </c>
      <c r="H378" s="7"/>
      <c r="I378" s="109">
        <v>4.3098000000000001</v>
      </c>
      <c r="J378" s="117">
        <v>28771868</v>
      </c>
      <c r="K378" s="120">
        <f t="shared" si="68"/>
        <v>174.79552620547619</v>
      </c>
      <c r="L378" s="122">
        <f t="shared" si="62"/>
        <v>66759172.030000001</v>
      </c>
      <c r="M378" s="116">
        <f t="shared" si="63"/>
        <v>37987304.030000001</v>
      </c>
      <c r="N378" s="123">
        <f t="shared" si="64"/>
        <v>230.781358966726</v>
      </c>
      <c r="O378" s="5"/>
      <c r="P378" s="5">
        <f t="shared" si="60"/>
        <v>1</v>
      </c>
      <c r="Q378" s="7">
        <f t="shared" si="61"/>
        <v>164603</v>
      </c>
    </row>
    <row r="379" spans="1:17">
      <c r="A379" s="24" t="s">
        <v>554</v>
      </c>
      <c r="B379" s="37" t="s">
        <v>552</v>
      </c>
      <c r="C379" s="36">
        <v>590</v>
      </c>
      <c r="D379" s="113">
        <v>78769808</v>
      </c>
      <c r="E379" s="116">
        <f t="shared" si="66"/>
        <v>133508.14915254238</v>
      </c>
      <c r="F379" s="117">
        <v>56342231</v>
      </c>
      <c r="G379" s="117">
        <f t="shared" si="67"/>
        <v>95495.306779661012</v>
      </c>
      <c r="H379" s="7"/>
      <c r="I379" s="109">
        <v>1.67</v>
      </c>
      <c r="J379" s="117">
        <v>94092</v>
      </c>
      <c r="K379" s="120">
        <f t="shared" si="68"/>
        <v>159.4779661016949</v>
      </c>
      <c r="L379" s="122">
        <f t="shared" si="62"/>
        <v>563422.31000000006</v>
      </c>
      <c r="M379" s="116">
        <f t="shared" si="63"/>
        <v>469330.31000000006</v>
      </c>
      <c r="N379" s="123">
        <f t="shared" si="64"/>
        <v>795.47510169491534</v>
      </c>
      <c r="O379" s="5"/>
      <c r="P379" s="5">
        <f t="shared" si="60"/>
        <v>1</v>
      </c>
      <c r="Q379" s="7">
        <f t="shared" si="61"/>
        <v>590</v>
      </c>
    </row>
    <row r="380" spans="1:17">
      <c r="A380" s="23" t="s">
        <v>404</v>
      </c>
      <c r="B380" s="35" t="s">
        <v>405</v>
      </c>
      <c r="C380" s="36">
        <v>2418</v>
      </c>
      <c r="D380" s="113">
        <v>179127604</v>
      </c>
      <c r="E380" s="116">
        <f t="shared" si="66"/>
        <v>74080.894954507865</v>
      </c>
      <c r="F380" s="117">
        <v>119463265</v>
      </c>
      <c r="G380" s="117">
        <f t="shared" si="67"/>
        <v>49405.816790736142</v>
      </c>
      <c r="H380" s="9"/>
      <c r="I380" s="109">
        <v>4.9078999999999997</v>
      </c>
      <c r="J380" s="117">
        <v>586314</v>
      </c>
      <c r="K380" s="120">
        <f t="shared" si="68"/>
        <v>242.47890818858562</v>
      </c>
      <c r="L380" s="122">
        <f t="shared" si="62"/>
        <v>1194632.6500000001</v>
      </c>
      <c r="M380" s="116">
        <f t="shared" si="63"/>
        <v>608318.65000000014</v>
      </c>
      <c r="N380" s="123">
        <f t="shared" si="64"/>
        <v>251.57925971877592</v>
      </c>
      <c r="O380" s="5"/>
      <c r="P380" s="5">
        <f t="shared" si="60"/>
        <v>1</v>
      </c>
      <c r="Q380" s="7">
        <f t="shared" si="61"/>
        <v>2418</v>
      </c>
    </row>
    <row r="381" spans="1:17">
      <c r="A381" s="23" t="s">
        <v>406</v>
      </c>
      <c r="B381" s="35" t="s">
        <v>405</v>
      </c>
      <c r="C381" s="36">
        <v>988</v>
      </c>
      <c r="D381" s="113">
        <v>38561158</v>
      </c>
      <c r="E381" s="116">
        <f t="shared" si="66"/>
        <v>39029.512145748988</v>
      </c>
      <c r="F381" s="117">
        <v>22969329</v>
      </c>
      <c r="G381" s="117">
        <f t="shared" si="67"/>
        <v>23248.30870445344</v>
      </c>
      <c r="H381" s="9"/>
      <c r="I381" s="109">
        <v>4.0012999999999996</v>
      </c>
      <c r="J381" s="117">
        <v>91907</v>
      </c>
      <c r="K381" s="120">
        <f t="shared" si="68"/>
        <v>93.023279352226723</v>
      </c>
      <c r="L381" s="122">
        <f t="shared" si="62"/>
        <v>229693.29</v>
      </c>
      <c r="M381" s="116">
        <f t="shared" si="63"/>
        <v>137786.29</v>
      </c>
      <c r="N381" s="123">
        <f t="shared" si="64"/>
        <v>139.45980769230769</v>
      </c>
      <c r="O381" s="5"/>
      <c r="P381" s="5">
        <f t="shared" si="60"/>
        <v>1</v>
      </c>
      <c r="Q381" s="7">
        <f t="shared" si="61"/>
        <v>988</v>
      </c>
    </row>
    <row r="382" spans="1:17">
      <c r="A382" s="23" t="s">
        <v>407</v>
      </c>
      <c r="B382" s="35" t="s">
        <v>405</v>
      </c>
      <c r="C382" s="36">
        <v>703</v>
      </c>
      <c r="D382" s="114" t="s">
        <v>564</v>
      </c>
      <c r="E382" s="116"/>
      <c r="F382" s="117"/>
      <c r="G382" s="117"/>
      <c r="H382" s="9" t="s">
        <v>528</v>
      </c>
      <c r="I382" s="109"/>
      <c r="J382" s="117"/>
      <c r="K382" s="120"/>
      <c r="L382" s="122">
        <f t="shared" si="62"/>
        <v>0</v>
      </c>
      <c r="M382" s="116">
        <f t="shared" si="63"/>
        <v>0</v>
      </c>
      <c r="N382" s="123">
        <f t="shared" si="64"/>
        <v>0</v>
      </c>
      <c r="O382" s="5"/>
      <c r="P382" s="5">
        <f t="shared" si="60"/>
        <v>0</v>
      </c>
      <c r="Q382" s="7">
        <f t="shared" si="61"/>
        <v>0</v>
      </c>
    </row>
    <row r="383" spans="1:17">
      <c r="A383" s="23" t="s">
        <v>408</v>
      </c>
      <c r="B383" s="35" t="s">
        <v>405</v>
      </c>
      <c r="C383" s="36">
        <v>785</v>
      </c>
      <c r="D383" s="113">
        <v>24115463</v>
      </c>
      <c r="E383" s="116">
        <f t="shared" si="66"/>
        <v>30720.335031847135</v>
      </c>
      <c r="F383" s="117">
        <v>14869544</v>
      </c>
      <c r="G383" s="117">
        <f t="shared" si="67"/>
        <v>18942.094267515924</v>
      </c>
      <c r="H383" s="7"/>
      <c r="I383" s="110">
        <v>7</v>
      </c>
      <c r="J383" s="117">
        <v>104087</v>
      </c>
      <c r="K383" s="120">
        <f t="shared" ref="K383:K388" si="69">(J383/C383)</f>
        <v>132.59490445859873</v>
      </c>
      <c r="L383" s="122">
        <f t="shared" si="62"/>
        <v>148695.44</v>
      </c>
      <c r="M383" s="116">
        <f t="shared" si="63"/>
        <v>44608.44</v>
      </c>
      <c r="N383" s="123">
        <f t="shared" si="64"/>
        <v>56.826038216560512</v>
      </c>
      <c r="O383" s="5"/>
      <c r="P383" s="5">
        <f t="shared" si="60"/>
        <v>1</v>
      </c>
      <c r="Q383" s="7">
        <f t="shared" si="61"/>
        <v>785</v>
      </c>
    </row>
    <row r="384" spans="1:17">
      <c r="A384" s="23" t="s">
        <v>409</v>
      </c>
      <c r="B384" s="35" t="s">
        <v>405</v>
      </c>
      <c r="C384" s="36">
        <v>6709</v>
      </c>
      <c r="D384" s="113">
        <v>401703672</v>
      </c>
      <c r="E384" s="116">
        <f t="shared" si="66"/>
        <v>59875.342375912951</v>
      </c>
      <c r="F384" s="117">
        <v>275810665</v>
      </c>
      <c r="G384" s="117">
        <f t="shared" si="67"/>
        <v>41110.547771650025</v>
      </c>
      <c r="H384" s="7"/>
      <c r="I384" s="109">
        <v>4.2145000000000001</v>
      </c>
      <c r="J384" s="118">
        <v>1162404</v>
      </c>
      <c r="K384" s="120">
        <f t="shared" si="69"/>
        <v>173.26039648233717</v>
      </c>
      <c r="L384" s="122">
        <f t="shared" si="62"/>
        <v>2758106.65</v>
      </c>
      <c r="M384" s="116">
        <f t="shared" si="63"/>
        <v>1595702.65</v>
      </c>
      <c r="N384" s="123">
        <f t="shared" si="64"/>
        <v>237.84508123416305</v>
      </c>
      <c r="O384" s="5"/>
      <c r="P384" s="5">
        <f t="shared" si="60"/>
        <v>1</v>
      </c>
      <c r="Q384" s="7">
        <f t="shared" si="61"/>
        <v>6709</v>
      </c>
    </row>
    <row r="385" spans="1:17">
      <c r="A385" s="23" t="s">
        <v>410</v>
      </c>
      <c r="B385" s="35" t="s">
        <v>411</v>
      </c>
      <c r="C385" s="36">
        <v>712</v>
      </c>
      <c r="D385" s="113">
        <v>39212392</v>
      </c>
      <c r="E385" s="116">
        <f t="shared" si="66"/>
        <v>55073.584269662919</v>
      </c>
      <c r="F385" s="117">
        <v>22078310</v>
      </c>
      <c r="G385" s="117">
        <f t="shared" si="67"/>
        <v>31008.862359550563</v>
      </c>
      <c r="H385" s="7"/>
      <c r="I385" s="109">
        <v>4.2572999999999999</v>
      </c>
      <c r="J385" s="117">
        <v>93994</v>
      </c>
      <c r="K385" s="120">
        <f t="shared" si="69"/>
        <v>132.01404494382024</v>
      </c>
      <c r="L385" s="122">
        <f t="shared" si="62"/>
        <v>220783.1</v>
      </c>
      <c r="M385" s="116">
        <f t="shared" si="63"/>
        <v>126789.1</v>
      </c>
      <c r="N385" s="123">
        <f t="shared" si="64"/>
        <v>178.07457865168541</v>
      </c>
      <c r="O385" s="5"/>
      <c r="P385" s="5">
        <f t="shared" si="60"/>
        <v>1</v>
      </c>
      <c r="Q385" s="7">
        <f t="shared" si="61"/>
        <v>712</v>
      </c>
    </row>
    <row r="386" spans="1:17">
      <c r="A386" s="23" t="s">
        <v>412</v>
      </c>
      <c r="B386" s="35" t="s">
        <v>411</v>
      </c>
      <c r="C386" s="36">
        <v>6850</v>
      </c>
      <c r="D386" s="113">
        <v>344198318</v>
      </c>
      <c r="E386" s="116">
        <f t="shared" si="66"/>
        <v>50247.929635036497</v>
      </c>
      <c r="F386" s="117">
        <v>206368057</v>
      </c>
      <c r="G386" s="117">
        <f t="shared" si="67"/>
        <v>30126.723649635038</v>
      </c>
      <c r="H386" s="7"/>
      <c r="I386" s="109">
        <v>6.1134000000000004</v>
      </c>
      <c r="J386" s="117">
        <v>1261610</v>
      </c>
      <c r="K386" s="120">
        <f t="shared" si="69"/>
        <v>184.17664233576642</v>
      </c>
      <c r="L386" s="122">
        <f t="shared" si="62"/>
        <v>2063680.57</v>
      </c>
      <c r="M386" s="116">
        <f t="shared" si="63"/>
        <v>802070.57000000007</v>
      </c>
      <c r="N386" s="123">
        <f t="shared" si="64"/>
        <v>117.09059416058395</v>
      </c>
      <c r="O386" s="5"/>
      <c r="P386" s="5">
        <f t="shared" si="60"/>
        <v>1</v>
      </c>
      <c r="Q386" s="7">
        <f t="shared" si="61"/>
        <v>6850</v>
      </c>
    </row>
    <row r="387" spans="1:17">
      <c r="A387" s="23" t="s">
        <v>413</v>
      </c>
      <c r="B387" s="35" t="s">
        <v>414</v>
      </c>
      <c r="C387" s="36">
        <v>7017</v>
      </c>
      <c r="D387" s="113">
        <v>427835720</v>
      </c>
      <c r="E387" s="116">
        <f t="shared" si="66"/>
        <v>60971.315376941711</v>
      </c>
      <c r="F387" s="117">
        <v>240076124</v>
      </c>
      <c r="G387" s="117">
        <f t="shared" si="67"/>
        <v>34213.499216189251</v>
      </c>
      <c r="H387" s="9"/>
      <c r="I387" s="109">
        <v>4.5</v>
      </c>
      <c r="J387" s="117">
        <v>1080343</v>
      </c>
      <c r="K387" s="120">
        <f t="shared" si="69"/>
        <v>153.96080946273335</v>
      </c>
      <c r="L387" s="122">
        <f t="shared" si="62"/>
        <v>2400761.2400000002</v>
      </c>
      <c r="M387" s="116">
        <f t="shared" si="63"/>
        <v>1320418.2400000002</v>
      </c>
      <c r="N387" s="123">
        <f t="shared" si="64"/>
        <v>188.17418269915922</v>
      </c>
      <c r="O387" s="5"/>
      <c r="P387" s="5">
        <f t="shared" si="60"/>
        <v>1</v>
      </c>
      <c r="Q387" s="7">
        <f t="shared" si="61"/>
        <v>7017</v>
      </c>
    </row>
    <row r="388" spans="1:17">
      <c r="A388" s="23" t="s">
        <v>415</v>
      </c>
      <c r="B388" s="35" t="s">
        <v>416</v>
      </c>
      <c r="C388" s="36">
        <v>1897</v>
      </c>
      <c r="D388" s="113">
        <v>71353755</v>
      </c>
      <c r="E388" s="116">
        <f t="shared" si="66"/>
        <v>37613.998418555617</v>
      </c>
      <c r="F388" s="117">
        <v>36581131</v>
      </c>
      <c r="G388" s="117">
        <f t="shared" si="67"/>
        <v>19283.674749604637</v>
      </c>
      <c r="H388" s="9"/>
      <c r="I388" s="109">
        <v>2.2599</v>
      </c>
      <c r="J388" s="117">
        <v>82670</v>
      </c>
      <c r="K388" s="120">
        <f t="shared" si="69"/>
        <v>43.579335793357934</v>
      </c>
      <c r="L388" s="122">
        <f t="shared" si="62"/>
        <v>365811.31</v>
      </c>
      <c r="M388" s="116">
        <f t="shared" si="63"/>
        <v>283141.31</v>
      </c>
      <c r="N388" s="123">
        <f t="shared" si="64"/>
        <v>149.25741170268844</v>
      </c>
      <c r="O388" s="5"/>
      <c r="P388" s="5">
        <f t="shared" si="60"/>
        <v>1</v>
      </c>
      <c r="Q388" s="7">
        <f t="shared" si="61"/>
        <v>1897</v>
      </c>
    </row>
    <row r="389" spans="1:17">
      <c r="A389" s="23" t="s">
        <v>417</v>
      </c>
      <c r="B389" s="35" t="s">
        <v>416</v>
      </c>
      <c r="C389" s="36">
        <v>255</v>
      </c>
      <c r="D389" s="114" t="s">
        <v>564</v>
      </c>
      <c r="E389" s="116"/>
      <c r="F389" s="117"/>
      <c r="G389" s="117"/>
      <c r="H389" s="9" t="s">
        <v>528</v>
      </c>
      <c r="I389" s="109"/>
      <c r="J389" s="117"/>
      <c r="K389" s="120"/>
      <c r="L389" s="122">
        <f t="shared" si="62"/>
        <v>0</v>
      </c>
      <c r="M389" s="116">
        <f t="shared" si="63"/>
        <v>0</v>
      </c>
      <c r="N389" s="123">
        <f t="shared" si="64"/>
        <v>0</v>
      </c>
      <c r="O389" s="5"/>
      <c r="P389" s="5">
        <f t="shared" si="60"/>
        <v>0</v>
      </c>
      <c r="Q389" s="7">
        <f t="shared" si="61"/>
        <v>0</v>
      </c>
    </row>
    <row r="390" spans="1:17">
      <c r="A390" s="23" t="s">
        <v>418</v>
      </c>
      <c r="B390" s="35" t="s">
        <v>416</v>
      </c>
      <c r="C390" s="36">
        <v>181</v>
      </c>
      <c r="D390" s="113">
        <v>11190937</v>
      </c>
      <c r="E390" s="116">
        <f t="shared" si="66"/>
        <v>61828.381215469613</v>
      </c>
      <c r="F390" s="117">
        <v>5628370</v>
      </c>
      <c r="G390" s="117">
        <f t="shared" si="67"/>
        <v>31095.966850828729</v>
      </c>
      <c r="H390" s="7"/>
      <c r="I390" s="110">
        <v>1.6438999999999999</v>
      </c>
      <c r="J390" s="117">
        <v>9252</v>
      </c>
      <c r="K390" s="120">
        <f t="shared" ref="K390:K406" si="70">(J390/C390)</f>
        <v>51.116022099447513</v>
      </c>
      <c r="L390" s="122">
        <f t="shared" si="62"/>
        <v>56283.700000000004</v>
      </c>
      <c r="M390" s="116">
        <f t="shared" si="63"/>
        <v>47031.700000000004</v>
      </c>
      <c r="N390" s="123">
        <f t="shared" si="64"/>
        <v>259.84364640883979</v>
      </c>
      <c r="O390" s="5"/>
      <c r="P390" s="5">
        <f t="shared" ref="P390:P416" si="71">IF(I390&gt;0,1,0)</f>
        <v>1</v>
      </c>
      <c r="Q390" s="7">
        <f t="shared" ref="Q390:Q416" si="72">IF(I390&gt;0,C390,0)</f>
        <v>181</v>
      </c>
    </row>
    <row r="391" spans="1:17">
      <c r="A391" s="23" t="s">
        <v>419</v>
      </c>
      <c r="B391" s="35" t="s">
        <v>420</v>
      </c>
      <c r="C391" s="36">
        <v>61005</v>
      </c>
      <c r="D391" s="113">
        <v>5815765509</v>
      </c>
      <c r="E391" s="116">
        <f t="shared" si="66"/>
        <v>95332.604032456351</v>
      </c>
      <c r="F391" s="117">
        <v>3672525005</v>
      </c>
      <c r="G391" s="117">
        <f t="shared" si="67"/>
        <v>60200.393492336691</v>
      </c>
      <c r="H391" s="7"/>
      <c r="I391" s="109">
        <v>6.3044000000000002</v>
      </c>
      <c r="J391" s="117">
        <v>23153067</v>
      </c>
      <c r="K391" s="120">
        <f t="shared" si="70"/>
        <v>379.52736660929435</v>
      </c>
      <c r="L391" s="122">
        <f t="shared" si="62"/>
        <v>36725250.050000004</v>
      </c>
      <c r="M391" s="116">
        <f t="shared" si="63"/>
        <v>13572183.050000004</v>
      </c>
      <c r="N391" s="123">
        <f t="shared" si="64"/>
        <v>222.47656831407269</v>
      </c>
      <c r="O391" s="5"/>
      <c r="P391" s="5">
        <f t="shared" si="71"/>
        <v>1</v>
      </c>
      <c r="Q391" s="7">
        <f t="shared" si="72"/>
        <v>61005</v>
      </c>
    </row>
    <row r="392" spans="1:17">
      <c r="A392" s="23" t="s">
        <v>421</v>
      </c>
      <c r="B392" s="35" t="s">
        <v>420</v>
      </c>
      <c r="C392" s="36">
        <v>4247</v>
      </c>
      <c r="D392" s="113">
        <v>1384395922</v>
      </c>
      <c r="E392" s="116">
        <f t="shared" si="66"/>
        <v>325970.31363315281</v>
      </c>
      <c r="F392" s="117">
        <v>1245461640</v>
      </c>
      <c r="G392" s="117">
        <f t="shared" si="67"/>
        <v>293256.80244878738</v>
      </c>
      <c r="H392" s="7"/>
      <c r="I392" s="109">
        <v>5.4720000000000004</v>
      </c>
      <c r="J392" s="117">
        <v>6815166</v>
      </c>
      <c r="K392" s="120">
        <f t="shared" si="70"/>
        <v>1604.7012008476572</v>
      </c>
      <c r="L392" s="122">
        <f t="shared" ref="L392:L416" si="73">(F392*0.01)</f>
        <v>12454616.4</v>
      </c>
      <c r="M392" s="116">
        <f t="shared" ref="M392:M416" si="74">(L392-J392)</f>
        <v>5639450.4000000004</v>
      </c>
      <c r="N392" s="123">
        <f t="shared" ref="N392:N416" si="75">(M392/C392)</f>
        <v>1327.8668236402168</v>
      </c>
      <c r="O392" s="5"/>
      <c r="P392" s="5">
        <f t="shared" si="71"/>
        <v>1</v>
      </c>
      <c r="Q392" s="7">
        <f t="shared" si="72"/>
        <v>4247</v>
      </c>
    </row>
    <row r="393" spans="1:17">
      <c r="A393" s="23" t="s">
        <v>462</v>
      </c>
      <c r="B393" s="35" t="s">
        <v>420</v>
      </c>
      <c r="C393" s="36">
        <v>19320</v>
      </c>
      <c r="D393" s="113">
        <v>1906107784</v>
      </c>
      <c r="E393" s="116">
        <f t="shared" si="66"/>
        <v>98659.823188405804</v>
      </c>
      <c r="F393" s="117">
        <v>1512991330</v>
      </c>
      <c r="G393" s="117">
        <f t="shared" si="67"/>
        <v>78312.180641821949</v>
      </c>
      <c r="H393" s="7"/>
      <c r="I393" s="109">
        <v>2.8706999999999998</v>
      </c>
      <c r="J393" s="117">
        <v>4343344</v>
      </c>
      <c r="K393" s="120">
        <f t="shared" si="70"/>
        <v>224.81076604554866</v>
      </c>
      <c r="L393" s="122">
        <f t="shared" si="73"/>
        <v>15129913.300000001</v>
      </c>
      <c r="M393" s="116">
        <f t="shared" si="74"/>
        <v>10786569.300000001</v>
      </c>
      <c r="N393" s="123">
        <f t="shared" si="75"/>
        <v>558.31104037267085</v>
      </c>
      <c r="O393" s="5"/>
      <c r="P393" s="5">
        <f t="shared" si="71"/>
        <v>1</v>
      </c>
      <c r="Q393" s="7">
        <f t="shared" si="72"/>
        <v>19320</v>
      </c>
    </row>
    <row r="394" spans="1:17">
      <c r="A394" s="23" t="s">
        <v>463</v>
      </c>
      <c r="B394" s="35" t="s">
        <v>420</v>
      </c>
      <c r="C394" s="36">
        <v>27031</v>
      </c>
      <c r="D394" s="113">
        <v>1958622390</v>
      </c>
      <c r="E394" s="116">
        <f t="shared" si="66"/>
        <v>72458.377048573864</v>
      </c>
      <c r="F394" s="117">
        <v>1290199930</v>
      </c>
      <c r="G394" s="117">
        <f t="shared" si="67"/>
        <v>47730.381043986534</v>
      </c>
      <c r="H394" s="7"/>
      <c r="I394" s="109">
        <v>5.9995000000000003</v>
      </c>
      <c r="J394" s="117">
        <v>7740554</v>
      </c>
      <c r="K394" s="120">
        <f t="shared" si="70"/>
        <v>286.35840331471275</v>
      </c>
      <c r="L394" s="122">
        <f t="shared" si="73"/>
        <v>12901999.300000001</v>
      </c>
      <c r="M394" s="116">
        <f t="shared" si="74"/>
        <v>5161445.3000000007</v>
      </c>
      <c r="N394" s="123">
        <f t="shared" si="75"/>
        <v>190.94540712515263</v>
      </c>
      <c r="O394" s="5"/>
      <c r="P394" s="5">
        <f t="shared" si="71"/>
        <v>1</v>
      </c>
      <c r="Q394" s="7">
        <f t="shared" si="72"/>
        <v>27031</v>
      </c>
    </row>
    <row r="395" spans="1:17">
      <c r="A395" s="23" t="s">
        <v>422</v>
      </c>
      <c r="B395" s="35" t="s">
        <v>420</v>
      </c>
      <c r="C395" s="36">
        <v>85182</v>
      </c>
      <c r="D395" s="113">
        <v>3304266839</v>
      </c>
      <c r="E395" s="116">
        <f t="shared" si="66"/>
        <v>38790.669848089972</v>
      </c>
      <c r="F395" s="117">
        <v>1906995896</v>
      </c>
      <c r="G395" s="117">
        <f t="shared" si="67"/>
        <v>22387.310652485266</v>
      </c>
      <c r="H395" s="7"/>
      <c r="I395" s="109">
        <v>6.3776000000000002</v>
      </c>
      <c r="J395" s="117">
        <v>12162057</v>
      </c>
      <c r="K395" s="120">
        <f t="shared" si="70"/>
        <v>142.77731210819186</v>
      </c>
      <c r="L395" s="122">
        <f t="shared" si="73"/>
        <v>19069958.960000001</v>
      </c>
      <c r="M395" s="116">
        <f t="shared" si="74"/>
        <v>6907901.9600000009</v>
      </c>
      <c r="N395" s="123">
        <f t="shared" si="75"/>
        <v>81.095794416660809</v>
      </c>
      <c r="O395" s="5"/>
      <c r="P395" s="5">
        <f t="shared" si="71"/>
        <v>1</v>
      </c>
      <c r="Q395" s="7">
        <f t="shared" si="72"/>
        <v>85182</v>
      </c>
    </row>
    <row r="396" spans="1:17">
      <c r="A396" s="23" t="s">
        <v>423</v>
      </c>
      <c r="B396" s="35" t="s">
        <v>420</v>
      </c>
      <c r="C396" s="36">
        <v>20750</v>
      </c>
      <c r="D396" s="113">
        <v>1116851347</v>
      </c>
      <c r="E396" s="116">
        <f t="shared" si="66"/>
        <v>53824.161301204818</v>
      </c>
      <c r="F396" s="117">
        <v>687385361</v>
      </c>
      <c r="G396" s="117">
        <f t="shared" si="67"/>
        <v>33127.005349397594</v>
      </c>
      <c r="H396" s="7"/>
      <c r="I396" s="109">
        <v>6.5910000000000002</v>
      </c>
      <c r="J396" s="117">
        <v>4530557</v>
      </c>
      <c r="K396" s="120">
        <f t="shared" si="70"/>
        <v>218.34009638554218</v>
      </c>
      <c r="L396" s="122">
        <f t="shared" si="73"/>
        <v>6873853.6100000003</v>
      </c>
      <c r="M396" s="116">
        <f t="shared" si="74"/>
        <v>2343296.6100000003</v>
      </c>
      <c r="N396" s="123">
        <f t="shared" si="75"/>
        <v>112.92995710843375</v>
      </c>
      <c r="O396" s="5"/>
      <c r="P396" s="5">
        <f t="shared" si="71"/>
        <v>1</v>
      </c>
      <c r="Q396" s="7">
        <f t="shared" si="72"/>
        <v>20750</v>
      </c>
    </row>
    <row r="397" spans="1:17">
      <c r="A397" s="23" t="s">
        <v>424</v>
      </c>
      <c r="B397" s="35" t="s">
        <v>420</v>
      </c>
      <c r="C397" s="36">
        <v>11659</v>
      </c>
      <c r="D397" s="113">
        <v>729004118</v>
      </c>
      <c r="E397" s="116">
        <f t="shared" si="66"/>
        <v>62527.156531434943</v>
      </c>
      <c r="F397" s="117">
        <v>541938368</v>
      </c>
      <c r="G397" s="117">
        <f t="shared" si="67"/>
        <v>46482.40569517111</v>
      </c>
      <c r="H397" s="7"/>
      <c r="I397" s="109">
        <v>6.5594999999999999</v>
      </c>
      <c r="J397" s="117">
        <v>3554845</v>
      </c>
      <c r="K397" s="120">
        <f t="shared" si="70"/>
        <v>304.90136375332361</v>
      </c>
      <c r="L397" s="122">
        <f t="shared" si="73"/>
        <v>5419383.6799999997</v>
      </c>
      <c r="M397" s="116">
        <f t="shared" si="74"/>
        <v>1864538.6799999997</v>
      </c>
      <c r="N397" s="123">
        <f t="shared" si="75"/>
        <v>159.92269319838749</v>
      </c>
      <c r="O397" s="5"/>
      <c r="P397" s="5">
        <f t="shared" si="71"/>
        <v>1</v>
      </c>
      <c r="Q397" s="7">
        <f t="shared" si="72"/>
        <v>11659</v>
      </c>
    </row>
    <row r="398" spans="1:17">
      <c r="A398" s="23" t="s">
        <v>425</v>
      </c>
      <c r="B398" s="35" t="s">
        <v>420</v>
      </c>
      <c r="C398" s="36">
        <v>2624</v>
      </c>
      <c r="D398" s="113">
        <v>145868752</v>
      </c>
      <c r="E398" s="116">
        <f t="shared" si="66"/>
        <v>55590.225609756097</v>
      </c>
      <c r="F398" s="117">
        <v>83824310</v>
      </c>
      <c r="G398" s="117">
        <f t="shared" si="67"/>
        <v>31945.240091463416</v>
      </c>
      <c r="H398" s="7"/>
      <c r="I398" s="109">
        <v>5.218</v>
      </c>
      <c r="J398" s="117">
        <v>437395</v>
      </c>
      <c r="K398" s="120">
        <f t="shared" si="70"/>
        <v>166.69016768292684</v>
      </c>
      <c r="L398" s="122">
        <f t="shared" si="73"/>
        <v>838243.1</v>
      </c>
      <c r="M398" s="116">
        <f t="shared" si="74"/>
        <v>400848.1</v>
      </c>
      <c r="N398" s="123">
        <f t="shared" si="75"/>
        <v>152.76223323170731</v>
      </c>
      <c r="O398" s="5"/>
      <c r="P398" s="5">
        <f t="shared" si="71"/>
        <v>1</v>
      </c>
      <c r="Q398" s="7">
        <f t="shared" si="72"/>
        <v>2624</v>
      </c>
    </row>
    <row r="399" spans="1:17">
      <c r="A399" s="23" t="s">
        <v>426</v>
      </c>
      <c r="B399" s="35" t="s">
        <v>420</v>
      </c>
      <c r="C399" s="36">
        <v>22464</v>
      </c>
      <c r="D399" s="113">
        <v>3297765299</v>
      </c>
      <c r="E399" s="116">
        <f t="shared" si="66"/>
        <v>146802.23019052707</v>
      </c>
      <c r="F399" s="117">
        <v>2505075495</v>
      </c>
      <c r="G399" s="117">
        <f t="shared" si="67"/>
        <v>111515.11284722222</v>
      </c>
      <c r="H399" s="7"/>
      <c r="I399" s="109">
        <v>3.4792999999999998</v>
      </c>
      <c r="J399" s="117">
        <v>8715909</v>
      </c>
      <c r="K399" s="120">
        <f t="shared" si="70"/>
        <v>387.9945245726496</v>
      </c>
      <c r="L399" s="122">
        <f t="shared" si="73"/>
        <v>25050754.949999999</v>
      </c>
      <c r="M399" s="116">
        <f t="shared" si="74"/>
        <v>16334845.949999999</v>
      </c>
      <c r="N399" s="123">
        <f t="shared" si="75"/>
        <v>727.15660389957259</v>
      </c>
      <c r="O399" s="5"/>
      <c r="P399" s="5">
        <f t="shared" si="71"/>
        <v>1</v>
      </c>
      <c r="Q399" s="7">
        <f t="shared" si="72"/>
        <v>22464</v>
      </c>
    </row>
    <row r="400" spans="1:17">
      <c r="A400" s="23" t="s">
        <v>427</v>
      </c>
      <c r="B400" s="35" t="s">
        <v>420</v>
      </c>
      <c r="C400" s="36">
        <v>1792</v>
      </c>
      <c r="D400" s="113">
        <v>148041680</v>
      </c>
      <c r="E400" s="116">
        <f t="shared" si="66"/>
        <v>82612.544642857145</v>
      </c>
      <c r="F400" s="117">
        <v>84260211</v>
      </c>
      <c r="G400" s="117">
        <f t="shared" si="67"/>
        <v>47020.20703125</v>
      </c>
      <c r="H400" s="7"/>
      <c r="I400" s="109">
        <v>6.4579000000000004</v>
      </c>
      <c r="J400" s="117">
        <v>544144</v>
      </c>
      <c r="K400" s="120">
        <f t="shared" si="70"/>
        <v>303.65178571428572</v>
      </c>
      <c r="L400" s="122">
        <f t="shared" si="73"/>
        <v>842602.11</v>
      </c>
      <c r="M400" s="116">
        <f t="shared" si="74"/>
        <v>298458.11</v>
      </c>
      <c r="N400" s="123">
        <f t="shared" si="75"/>
        <v>166.55028459821429</v>
      </c>
      <c r="O400" s="5"/>
      <c r="P400" s="5">
        <f t="shared" si="71"/>
        <v>1</v>
      </c>
      <c r="Q400" s="7">
        <f t="shared" si="72"/>
        <v>1792</v>
      </c>
    </row>
    <row r="401" spans="1:17">
      <c r="A401" s="23" t="s">
        <v>428</v>
      </c>
      <c r="B401" s="35" t="s">
        <v>420</v>
      </c>
      <c r="C401" s="36">
        <v>10599</v>
      </c>
      <c r="D401" s="113">
        <v>734490220</v>
      </c>
      <c r="E401" s="116">
        <f t="shared" si="66"/>
        <v>69298.067742239829</v>
      </c>
      <c r="F401" s="117">
        <v>528951130</v>
      </c>
      <c r="G401" s="117">
        <f t="shared" si="67"/>
        <v>49905.758090385883</v>
      </c>
      <c r="H401" s="7"/>
      <c r="I401" s="109">
        <v>6.3445</v>
      </c>
      <c r="J401" s="117">
        <v>3355930</v>
      </c>
      <c r="K401" s="120">
        <f t="shared" si="70"/>
        <v>316.62704028681952</v>
      </c>
      <c r="L401" s="122">
        <f t="shared" si="73"/>
        <v>5289511.3</v>
      </c>
      <c r="M401" s="116">
        <f t="shared" si="74"/>
        <v>1933581.2999999998</v>
      </c>
      <c r="N401" s="123">
        <f t="shared" si="75"/>
        <v>182.43054061703933</v>
      </c>
      <c r="O401" s="5"/>
      <c r="P401" s="5">
        <f t="shared" si="71"/>
        <v>1</v>
      </c>
      <c r="Q401" s="7">
        <f t="shared" si="72"/>
        <v>10599</v>
      </c>
    </row>
    <row r="402" spans="1:17">
      <c r="A402" s="23" t="s">
        <v>429</v>
      </c>
      <c r="B402" s="35" t="s">
        <v>420</v>
      </c>
      <c r="C402" s="36">
        <v>38137</v>
      </c>
      <c r="D402" s="113">
        <v>3694872945</v>
      </c>
      <c r="E402" s="116">
        <f t="shared" si="66"/>
        <v>96884.205495975039</v>
      </c>
      <c r="F402" s="117">
        <v>2625207845</v>
      </c>
      <c r="G402" s="117">
        <f t="shared" si="67"/>
        <v>68836.244198547342</v>
      </c>
      <c r="H402" s="7"/>
      <c r="I402" s="109">
        <v>3.6536</v>
      </c>
      <c r="J402" s="117">
        <v>9591459</v>
      </c>
      <c r="K402" s="120">
        <f t="shared" si="70"/>
        <v>251.50009177439233</v>
      </c>
      <c r="L402" s="122">
        <f t="shared" si="73"/>
        <v>26252078.449999999</v>
      </c>
      <c r="M402" s="116">
        <f t="shared" si="74"/>
        <v>16660619.449999999</v>
      </c>
      <c r="N402" s="123">
        <f t="shared" si="75"/>
        <v>436.86235021108109</v>
      </c>
      <c r="O402" s="5"/>
      <c r="P402" s="5">
        <f t="shared" si="71"/>
        <v>1</v>
      </c>
      <c r="Q402" s="7">
        <f t="shared" si="72"/>
        <v>38137</v>
      </c>
    </row>
    <row r="403" spans="1:17">
      <c r="A403" s="23" t="s">
        <v>430</v>
      </c>
      <c r="B403" s="35" t="s">
        <v>420</v>
      </c>
      <c r="C403" s="36">
        <v>1736</v>
      </c>
      <c r="D403" s="113">
        <v>110773664</v>
      </c>
      <c r="E403" s="116">
        <f t="shared" si="66"/>
        <v>63809.714285714283</v>
      </c>
      <c r="F403" s="117">
        <v>48106363</v>
      </c>
      <c r="G403" s="117">
        <f t="shared" si="67"/>
        <v>27711.038594470047</v>
      </c>
      <c r="H403" s="7"/>
      <c r="I403" s="109">
        <v>5.3414000000000001</v>
      </c>
      <c r="J403" s="117">
        <v>256955</v>
      </c>
      <c r="K403" s="120">
        <f t="shared" si="70"/>
        <v>148.01555299539172</v>
      </c>
      <c r="L403" s="122">
        <f t="shared" si="73"/>
        <v>481063.63</v>
      </c>
      <c r="M403" s="116">
        <f t="shared" si="74"/>
        <v>224108.63</v>
      </c>
      <c r="N403" s="123">
        <f t="shared" si="75"/>
        <v>129.09483294930877</v>
      </c>
      <c r="O403" s="5"/>
      <c r="P403" s="5">
        <f t="shared" si="71"/>
        <v>1</v>
      </c>
      <c r="Q403" s="7">
        <f t="shared" si="72"/>
        <v>1736</v>
      </c>
    </row>
    <row r="404" spans="1:17">
      <c r="A404" s="23" t="s">
        <v>431</v>
      </c>
      <c r="B404" s="35" t="s">
        <v>420</v>
      </c>
      <c r="C404" s="36">
        <v>3032</v>
      </c>
      <c r="D404" s="113">
        <v>863504722</v>
      </c>
      <c r="E404" s="116">
        <f t="shared" si="66"/>
        <v>284797.07189973613</v>
      </c>
      <c r="F404" s="117">
        <v>690232557</v>
      </c>
      <c r="G404" s="117">
        <f t="shared" si="67"/>
        <v>227649.26022427442</v>
      </c>
      <c r="H404" s="7"/>
      <c r="I404" s="109">
        <v>4.4554999999999998</v>
      </c>
      <c r="J404" s="117">
        <v>3075331</v>
      </c>
      <c r="K404" s="120">
        <f t="shared" si="70"/>
        <v>1014.2912269129288</v>
      </c>
      <c r="L404" s="122">
        <f t="shared" si="73"/>
        <v>6902325.5700000003</v>
      </c>
      <c r="M404" s="116">
        <f t="shared" si="74"/>
        <v>3826994.5700000003</v>
      </c>
      <c r="N404" s="123">
        <f t="shared" si="75"/>
        <v>1262.2013753298154</v>
      </c>
      <c r="O404" s="5"/>
      <c r="P404" s="5">
        <f t="shared" si="71"/>
        <v>1</v>
      </c>
      <c r="Q404" s="7">
        <f t="shared" si="72"/>
        <v>3032</v>
      </c>
    </row>
    <row r="405" spans="1:17">
      <c r="A405" s="23" t="s">
        <v>432</v>
      </c>
      <c r="B405" s="35" t="s">
        <v>420</v>
      </c>
      <c r="C405" s="36">
        <v>56048</v>
      </c>
      <c r="D405" s="113">
        <v>3407124202</v>
      </c>
      <c r="E405" s="116">
        <f t="shared" si="66"/>
        <v>60789.398408506997</v>
      </c>
      <c r="F405" s="117">
        <v>2287953950</v>
      </c>
      <c r="G405" s="117">
        <f t="shared" si="67"/>
        <v>40821.330823579789</v>
      </c>
      <c r="H405" s="7"/>
      <c r="I405" s="109">
        <v>4.95</v>
      </c>
      <c r="J405" s="117">
        <v>11325372</v>
      </c>
      <c r="K405" s="120">
        <f t="shared" si="70"/>
        <v>202.06558664002284</v>
      </c>
      <c r="L405" s="122">
        <f t="shared" si="73"/>
        <v>22879539.5</v>
      </c>
      <c r="M405" s="116">
        <f t="shared" si="74"/>
        <v>11554167.5</v>
      </c>
      <c r="N405" s="123">
        <f t="shared" si="75"/>
        <v>206.14772159577504</v>
      </c>
      <c r="O405" s="5"/>
      <c r="P405" s="5">
        <f t="shared" si="71"/>
        <v>1</v>
      </c>
      <c r="Q405" s="7">
        <f t="shared" si="72"/>
        <v>56048</v>
      </c>
    </row>
    <row r="406" spans="1:17">
      <c r="A406" s="23" t="s">
        <v>433</v>
      </c>
      <c r="B406" s="35" t="s">
        <v>420</v>
      </c>
      <c r="C406" s="36">
        <v>12252</v>
      </c>
      <c r="D406" s="113">
        <v>719941412</v>
      </c>
      <c r="E406" s="116">
        <f t="shared" si="66"/>
        <v>58761.13385569703</v>
      </c>
      <c r="F406" s="117">
        <v>487988917</v>
      </c>
      <c r="G406" s="117">
        <f t="shared" si="67"/>
        <v>39829.327211883778</v>
      </c>
      <c r="H406" s="9"/>
      <c r="I406" s="109">
        <v>5.9</v>
      </c>
      <c r="J406" s="117">
        <v>2879135</v>
      </c>
      <c r="K406" s="120">
        <f t="shared" si="70"/>
        <v>234.99306235716617</v>
      </c>
      <c r="L406" s="122">
        <f t="shared" si="73"/>
        <v>4879889.17</v>
      </c>
      <c r="M406" s="116">
        <f t="shared" si="74"/>
        <v>2000754.17</v>
      </c>
      <c r="N406" s="123">
        <f t="shared" si="75"/>
        <v>163.30020976167157</v>
      </c>
      <c r="O406" s="5"/>
      <c r="P406" s="5">
        <f t="shared" si="71"/>
        <v>1</v>
      </c>
      <c r="Q406" s="7">
        <f t="shared" si="72"/>
        <v>12252</v>
      </c>
    </row>
    <row r="407" spans="1:17">
      <c r="A407" s="23" t="s">
        <v>435</v>
      </c>
      <c r="B407" s="35" t="s">
        <v>434</v>
      </c>
      <c r="C407" s="36">
        <v>457</v>
      </c>
      <c r="D407" s="114" t="s">
        <v>564</v>
      </c>
      <c r="E407" s="116"/>
      <c r="F407" s="117"/>
      <c r="G407" s="117"/>
      <c r="H407" s="9" t="s">
        <v>528</v>
      </c>
      <c r="I407" s="110"/>
      <c r="J407" s="117"/>
      <c r="K407" s="120"/>
      <c r="L407" s="122">
        <f t="shared" si="73"/>
        <v>0</v>
      </c>
      <c r="M407" s="116">
        <f t="shared" si="74"/>
        <v>0</v>
      </c>
      <c r="N407" s="123">
        <f t="shared" si="75"/>
        <v>0</v>
      </c>
      <c r="O407" s="5"/>
      <c r="P407" s="5">
        <f t="shared" si="71"/>
        <v>0</v>
      </c>
      <c r="Q407" s="7">
        <f t="shared" si="72"/>
        <v>0</v>
      </c>
    </row>
    <row r="408" spans="1:17">
      <c r="A408" s="24" t="s">
        <v>555</v>
      </c>
      <c r="B408" s="35" t="s">
        <v>434</v>
      </c>
      <c r="C408" s="36">
        <v>293</v>
      </c>
      <c r="D408" s="113">
        <v>42926778</v>
      </c>
      <c r="E408" s="116">
        <f t="shared" ref="E408:E415" si="76">(D408/C408)</f>
        <v>146507.77474402729</v>
      </c>
      <c r="F408" s="117">
        <v>31080575</v>
      </c>
      <c r="G408" s="117">
        <f t="shared" ref="G408:G415" si="77">(F408/C408)</f>
        <v>106077.04778156997</v>
      </c>
      <c r="H408" s="9"/>
      <c r="I408" s="109">
        <v>5.0327000000000002</v>
      </c>
      <c r="J408" s="117">
        <v>156419</v>
      </c>
      <c r="K408" s="120">
        <f t="shared" ref="K408:K415" si="78">(J408/C408)</f>
        <v>533.85324232081916</v>
      </c>
      <c r="L408" s="122">
        <f t="shared" si="73"/>
        <v>310805.75</v>
      </c>
      <c r="M408" s="116">
        <f t="shared" si="74"/>
        <v>154386.75</v>
      </c>
      <c r="N408" s="123">
        <f t="shared" si="75"/>
        <v>526.91723549488052</v>
      </c>
      <c r="O408" s="5"/>
      <c r="P408" s="5">
        <f t="shared" si="71"/>
        <v>1</v>
      </c>
      <c r="Q408" s="7">
        <f t="shared" si="72"/>
        <v>293</v>
      </c>
    </row>
    <row r="409" spans="1:17">
      <c r="A409" s="23" t="s">
        <v>436</v>
      </c>
      <c r="B409" s="35" t="s">
        <v>437</v>
      </c>
      <c r="C409" s="36">
        <v>5177</v>
      </c>
      <c r="D409" s="113">
        <v>317246277</v>
      </c>
      <c r="E409" s="116">
        <f t="shared" si="76"/>
        <v>61279.945335136181</v>
      </c>
      <c r="F409" s="117">
        <v>207796222</v>
      </c>
      <c r="G409" s="117">
        <f t="shared" si="77"/>
        <v>40138.346919065094</v>
      </c>
      <c r="H409" s="9"/>
      <c r="I409" s="110">
        <v>4.5</v>
      </c>
      <c r="J409" s="117">
        <v>935083</v>
      </c>
      <c r="K409" s="120">
        <f t="shared" si="78"/>
        <v>180.62256132895499</v>
      </c>
      <c r="L409" s="122">
        <f t="shared" si="73"/>
        <v>2077962.22</v>
      </c>
      <c r="M409" s="116">
        <f t="shared" si="74"/>
        <v>1142879.22</v>
      </c>
      <c r="N409" s="123">
        <f t="shared" si="75"/>
        <v>220.76090786169596</v>
      </c>
      <c r="O409" s="5"/>
      <c r="P409" s="5">
        <f t="shared" si="71"/>
        <v>1</v>
      </c>
      <c r="Q409" s="7">
        <f t="shared" si="72"/>
        <v>5177</v>
      </c>
    </row>
    <row r="410" spans="1:17">
      <c r="A410" s="23" t="s">
        <v>438</v>
      </c>
      <c r="B410" s="35" t="s">
        <v>437</v>
      </c>
      <c r="C410" s="36">
        <v>1787</v>
      </c>
      <c r="D410" s="113">
        <v>241398611</v>
      </c>
      <c r="E410" s="116">
        <f t="shared" si="76"/>
        <v>135085.96026860661</v>
      </c>
      <c r="F410" s="117">
        <v>197360801</v>
      </c>
      <c r="G410" s="117">
        <f t="shared" si="77"/>
        <v>110442.52993844432</v>
      </c>
      <c r="H410" s="9"/>
      <c r="I410" s="110">
        <v>3.93</v>
      </c>
      <c r="J410" s="117">
        <v>775628</v>
      </c>
      <c r="K410" s="120">
        <f t="shared" si="78"/>
        <v>434.03917179630668</v>
      </c>
      <c r="L410" s="122">
        <f t="shared" si="73"/>
        <v>1973608.01</v>
      </c>
      <c r="M410" s="116">
        <f t="shared" si="74"/>
        <v>1197980.01</v>
      </c>
      <c r="N410" s="123">
        <f t="shared" si="75"/>
        <v>670.38612758813656</v>
      </c>
      <c r="O410" s="5"/>
      <c r="P410" s="5">
        <f t="shared" si="71"/>
        <v>1</v>
      </c>
      <c r="Q410" s="7">
        <f t="shared" si="72"/>
        <v>1787</v>
      </c>
    </row>
    <row r="411" spans="1:17">
      <c r="A411" s="23" t="s">
        <v>439</v>
      </c>
      <c r="B411" s="35" t="s">
        <v>437</v>
      </c>
      <c r="C411" s="36">
        <v>644</v>
      </c>
      <c r="D411" s="114" t="s">
        <v>564</v>
      </c>
      <c r="E411" s="116"/>
      <c r="F411" s="117"/>
      <c r="G411" s="117"/>
      <c r="H411" s="9" t="s">
        <v>528</v>
      </c>
      <c r="I411" s="110"/>
      <c r="J411" s="117"/>
      <c r="K411" s="120"/>
      <c r="L411" s="122">
        <f t="shared" si="73"/>
        <v>0</v>
      </c>
      <c r="M411" s="116">
        <f t="shared" si="74"/>
        <v>0</v>
      </c>
      <c r="N411" s="123">
        <f t="shared" si="75"/>
        <v>0</v>
      </c>
      <c r="O411" s="5"/>
      <c r="P411" s="5">
        <f t="shared" si="71"/>
        <v>0</v>
      </c>
      <c r="Q411" s="7">
        <f t="shared" si="72"/>
        <v>0</v>
      </c>
    </row>
    <row r="412" spans="1:17">
      <c r="A412" s="23" t="s">
        <v>440</v>
      </c>
      <c r="B412" s="35" t="s">
        <v>441</v>
      </c>
      <c r="C412" s="36">
        <v>411</v>
      </c>
      <c r="D412" s="114" t="s">
        <v>564</v>
      </c>
      <c r="E412" s="116"/>
      <c r="F412" s="117"/>
      <c r="G412" s="117"/>
      <c r="H412" s="9" t="s">
        <v>528</v>
      </c>
      <c r="I412" s="110"/>
      <c r="J412" s="117"/>
      <c r="K412" s="120"/>
      <c r="L412" s="122">
        <f t="shared" si="73"/>
        <v>0</v>
      </c>
      <c r="M412" s="116">
        <f t="shared" si="74"/>
        <v>0</v>
      </c>
      <c r="N412" s="123">
        <f t="shared" si="75"/>
        <v>0</v>
      </c>
      <c r="O412" s="5"/>
      <c r="P412" s="5">
        <f t="shared" si="71"/>
        <v>0</v>
      </c>
      <c r="Q412" s="7">
        <f t="shared" si="72"/>
        <v>0</v>
      </c>
    </row>
    <row r="413" spans="1:17">
      <c r="A413" s="23" t="s">
        <v>442</v>
      </c>
      <c r="B413" s="35" t="s">
        <v>441</v>
      </c>
      <c r="C413" s="36">
        <v>3605</v>
      </c>
      <c r="D413" s="113">
        <v>224162112</v>
      </c>
      <c r="E413" s="116">
        <f t="shared" si="76"/>
        <v>62180.890984743412</v>
      </c>
      <c r="F413" s="117">
        <v>151366914</v>
      </c>
      <c r="G413" s="117">
        <f t="shared" si="77"/>
        <v>41988.048266296813</v>
      </c>
      <c r="H413" s="9"/>
      <c r="I413" s="110">
        <v>6</v>
      </c>
      <c r="J413" s="117">
        <v>908201</v>
      </c>
      <c r="K413" s="120">
        <f t="shared" si="78"/>
        <v>251.92815533980581</v>
      </c>
      <c r="L413" s="122">
        <f t="shared" si="73"/>
        <v>1513669.1400000001</v>
      </c>
      <c r="M413" s="116">
        <f t="shared" si="74"/>
        <v>605468.14000000013</v>
      </c>
      <c r="N413" s="123">
        <f t="shared" si="75"/>
        <v>167.95232732316231</v>
      </c>
      <c r="O413" s="5"/>
      <c r="P413" s="5">
        <f t="shared" si="71"/>
        <v>1</v>
      </c>
      <c r="Q413" s="7">
        <f t="shared" si="72"/>
        <v>3605</v>
      </c>
    </row>
    <row r="414" spans="1:17">
      <c r="A414" s="23" t="s">
        <v>443</v>
      </c>
      <c r="B414" s="35" t="s">
        <v>441</v>
      </c>
      <c r="C414" s="36">
        <v>270</v>
      </c>
      <c r="D414" s="114" t="s">
        <v>564</v>
      </c>
      <c r="E414" s="116"/>
      <c r="F414" s="117"/>
      <c r="G414" s="117"/>
      <c r="H414" s="9" t="s">
        <v>528</v>
      </c>
      <c r="I414" s="110"/>
      <c r="J414" s="117"/>
      <c r="K414" s="120"/>
      <c r="L414" s="122">
        <f t="shared" si="73"/>
        <v>0</v>
      </c>
      <c r="M414" s="116">
        <f t="shared" si="74"/>
        <v>0</v>
      </c>
      <c r="N414" s="123">
        <f t="shared" si="75"/>
        <v>0</v>
      </c>
      <c r="O414" s="5"/>
      <c r="P414" s="5">
        <f t="shared" si="71"/>
        <v>0</v>
      </c>
      <c r="Q414" s="7">
        <f t="shared" si="72"/>
        <v>0</v>
      </c>
    </row>
    <row r="415" spans="1:17">
      <c r="A415" s="23" t="s">
        <v>444</v>
      </c>
      <c r="B415" s="35" t="s">
        <v>441</v>
      </c>
      <c r="C415" s="36">
        <v>687</v>
      </c>
      <c r="D415" s="113">
        <v>34138386</v>
      </c>
      <c r="E415" s="116">
        <f t="shared" si="76"/>
        <v>49691.973799126637</v>
      </c>
      <c r="F415" s="117">
        <v>16116146</v>
      </c>
      <c r="G415" s="117">
        <f t="shared" si="77"/>
        <v>23458.727802037847</v>
      </c>
      <c r="H415" s="9"/>
      <c r="I415" s="110">
        <v>2.4140999999999999</v>
      </c>
      <c r="J415" s="117">
        <v>38906</v>
      </c>
      <c r="K415" s="120">
        <f t="shared" si="78"/>
        <v>56.631732168850071</v>
      </c>
      <c r="L415" s="122">
        <f t="shared" si="73"/>
        <v>161161.46</v>
      </c>
      <c r="M415" s="116">
        <f t="shared" si="74"/>
        <v>122255.45999999999</v>
      </c>
      <c r="N415" s="123">
        <f t="shared" si="75"/>
        <v>177.95554585152837</v>
      </c>
      <c r="O415" s="5"/>
      <c r="P415" s="5">
        <f t="shared" si="71"/>
        <v>1</v>
      </c>
      <c r="Q415" s="7">
        <f t="shared" si="72"/>
        <v>687</v>
      </c>
    </row>
    <row r="416" spans="1:17">
      <c r="A416" s="23" t="s">
        <v>445</v>
      </c>
      <c r="B416" s="35" t="s">
        <v>441</v>
      </c>
      <c r="C416" s="36">
        <v>383</v>
      </c>
      <c r="D416" s="114" t="s">
        <v>564</v>
      </c>
      <c r="E416" s="116"/>
      <c r="F416" s="117"/>
      <c r="G416" s="117"/>
      <c r="H416" s="9" t="s">
        <v>528</v>
      </c>
      <c r="I416" s="110"/>
      <c r="J416" s="117"/>
      <c r="K416" s="120"/>
      <c r="L416" s="122">
        <f t="shared" si="73"/>
        <v>0</v>
      </c>
      <c r="M416" s="116">
        <f t="shared" si="74"/>
        <v>0</v>
      </c>
      <c r="N416" s="123">
        <f t="shared" si="75"/>
        <v>0</v>
      </c>
      <c r="O416" s="5"/>
      <c r="P416" s="5">
        <f t="shared" si="71"/>
        <v>0</v>
      </c>
      <c r="Q416" s="7">
        <f t="shared" si="72"/>
        <v>0</v>
      </c>
    </row>
    <row r="417" spans="1:17">
      <c r="A417" s="70" t="s">
        <v>451</v>
      </c>
      <c r="B417" s="71"/>
      <c r="C417" s="72">
        <f>SUM(C6:C416)</f>
        <v>9452585</v>
      </c>
      <c r="D417" s="73">
        <f>SUM(D6:D416)</f>
        <v>958132184579</v>
      </c>
      <c r="E417" s="74">
        <f>(D417/Q417)</f>
        <v>111519.74914299934</v>
      </c>
      <c r="F417" s="75">
        <f>SUM(F6:F416)</f>
        <v>697303439850</v>
      </c>
      <c r="G417" s="76">
        <f>(F417/Q417)</f>
        <v>81161.144506163706</v>
      </c>
      <c r="H417" s="71"/>
      <c r="I417" s="112"/>
      <c r="J417" s="78">
        <f>SUM(J6:J416)</f>
        <v>3253882569</v>
      </c>
      <c r="K417" s="79">
        <f>(J417/Q417)</f>
        <v>378.72871162876447</v>
      </c>
      <c r="L417" s="79">
        <f>SUM(L6:L416)</f>
        <v>6973034398.499999</v>
      </c>
      <c r="M417" s="78">
        <f>SUM(M6:M416)</f>
        <v>3719151829.5000019</v>
      </c>
      <c r="N417" s="80">
        <f>(M417/Q417)</f>
        <v>432.88273343287273</v>
      </c>
      <c r="O417" s="20"/>
      <c r="P417" s="20">
        <f>SUM(P6:P416)</f>
        <v>385</v>
      </c>
      <c r="Q417" s="21">
        <f>SUM(Q6:Q416)</f>
        <v>8591592</v>
      </c>
    </row>
    <row r="418" spans="1:17">
      <c r="A418" s="27" t="s">
        <v>453</v>
      </c>
      <c r="B418" s="13"/>
      <c r="C418" s="60">
        <f>(P417)</f>
        <v>385</v>
      </c>
      <c r="D418" s="14"/>
      <c r="E418" s="16"/>
      <c r="F418" s="16"/>
      <c r="G418" s="16"/>
      <c r="H418" s="16"/>
      <c r="I418" s="14"/>
      <c r="J418" s="17"/>
      <c r="K418" s="17"/>
      <c r="L418" s="2"/>
      <c r="M418" s="2"/>
      <c r="N418" s="63"/>
      <c r="O418" s="2"/>
      <c r="P418" s="2"/>
      <c r="Q418" s="2"/>
    </row>
    <row r="419" spans="1:17">
      <c r="A419" s="22"/>
      <c r="B419" s="16"/>
      <c r="C419" s="16"/>
      <c r="D419" s="16"/>
      <c r="E419" s="16"/>
      <c r="F419" s="16"/>
      <c r="G419" s="16"/>
      <c r="H419" s="16"/>
      <c r="I419" s="17"/>
      <c r="J419" s="17"/>
      <c r="K419" s="17"/>
      <c r="L419" s="2"/>
      <c r="M419" s="2"/>
      <c r="N419" s="63"/>
      <c r="O419" s="2"/>
      <c r="P419" s="2"/>
      <c r="Q419" s="2"/>
    </row>
    <row r="420" spans="1:17">
      <c r="A420" s="204" t="s">
        <v>498</v>
      </c>
      <c r="B420" s="192"/>
      <c r="C420" s="192"/>
      <c r="D420" s="192"/>
      <c r="E420" s="192"/>
      <c r="F420" s="192"/>
      <c r="G420" s="192"/>
      <c r="H420" s="192"/>
      <c r="I420" s="192"/>
      <c r="J420" s="192"/>
      <c r="K420" s="192"/>
      <c r="L420" s="192"/>
      <c r="M420" s="192"/>
      <c r="N420" s="193"/>
      <c r="O420" s="1"/>
      <c r="P420" s="1"/>
      <c r="Q420" s="1"/>
    </row>
    <row r="421" spans="1:17">
      <c r="A421" s="191" t="s">
        <v>565</v>
      </c>
      <c r="B421" s="192"/>
      <c r="C421" s="192"/>
      <c r="D421" s="192"/>
      <c r="E421" s="192"/>
      <c r="F421" s="192"/>
      <c r="G421" s="192"/>
      <c r="H421" s="192"/>
      <c r="I421" s="192"/>
      <c r="J421" s="192"/>
      <c r="K421" s="192"/>
      <c r="L421" s="192"/>
      <c r="M421" s="192"/>
      <c r="N421" s="193"/>
      <c r="O421" s="1"/>
      <c r="P421" s="1"/>
      <c r="Q421" s="1"/>
    </row>
    <row r="422" spans="1:17" ht="25.5" customHeight="1">
      <c r="A422" s="191" t="s">
        <v>577</v>
      </c>
      <c r="B422" s="192"/>
      <c r="C422" s="192"/>
      <c r="D422" s="192"/>
      <c r="E422" s="192"/>
      <c r="F422" s="192"/>
      <c r="G422" s="192"/>
      <c r="H422" s="192"/>
      <c r="I422" s="192"/>
      <c r="J422" s="192"/>
      <c r="K422" s="192"/>
      <c r="L422" s="192"/>
      <c r="M422" s="192"/>
      <c r="N422" s="193"/>
      <c r="O422" s="1"/>
      <c r="P422" s="1"/>
      <c r="Q422" s="1"/>
    </row>
    <row r="423" spans="1:17" ht="25.5" customHeight="1">
      <c r="A423" s="191" t="s">
        <v>578</v>
      </c>
      <c r="B423" s="192"/>
      <c r="C423" s="192"/>
      <c r="D423" s="192"/>
      <c r="E423" s="192"/>
      <c r="F423" s="192"/>
      <c r="G423" s="192"/>
      <c r="H423" s="192"/>
      <c r="I423" s="192"/>
      <c r="J423" s="192"/>
      <c r="K423" s="192"/>
      <c r="L423" s="192"/>
      <c r="M423" s="192"/>
      <c r="N423" s="193"/>
      <c r="O423" s="1"/>
      <c r="P423" s="1"/>
      <c r="Q423" s="1"/>
    </row>
    <row r="424" spans="1:17">
      <c r="A424" s="194"/>
      <c r="B424" s="192"/>
      <c r="C424" s="192"/>
      <c r="D424" s="192"/>
      <c r="E424" s="192"/>
      <c r="F424" s="192"/>
      <c r="G424" s="192"/>
      <c r="H424" s="192"/>
      <c r="I424" s="192"/>
      <c r="J424" s="192"/>
      <c r="K424" s="192"/>
      <c r="L424" s="192"/>
      <c r="M424" s="192"/>
      <c r="N424" s="193"/>
      <c r="O424" s="1"/>
      <c r="P424" s="1"/>
      <c r="Q424" s="1"/>
    </row>
    <row r="425" spans="1:17">
      <c r="A425" s="191" t="s">
        <v>579</v>
      </c>
      <c r="B425" s="192"/>
      <c r="C425" s="192"/>
      <c r="D425" s="192"/>
      <c r="E425" s="192"/>
      <c r="F425" s="192"/>
      <c r="G425" s="192"/>
      <c r="H425" s="192"/>
      <c r="I425" s="192"/>
      <c r="J425" s="192"/>
      <c r="K425" s="192"/>
      <c r="L425" s="192"/>
      <c r="M425" s="192"/>
      <c r="N425" s="193"/>
      <c r="O425" s="1"/>
      <c r="P425" s="1"/>
      <c r="Q425" s="1"/>
    </row>
    <row r="426" spans="1:17" ht="12.75" customHeight="1">
      <c r="A426" s="191" t="s">
        <v>604</v>
      </c>
      <c r="B426" s="192"/>
      <c r="C426" s="192"/>
      <c r="D426" s="192"/>
      <c r="E426" s="192"/>
      <c r="F426" s="192"/>
      <c r="G426" s="192"/>
      <c r="H426" s="192"/>
      <c r="I426" s="192"/>
      <c r="J426" s="192"/>
      <c r="K426" s="192"/>
      <c r="L426" s="192"/>
      <c r="M426" s="192"/>
      <c r="N426" s="193"/>
      <c r="O426" s="1"/>
      <c r="P426" s="1"/>
      <c r="Q426" s="1"/>
    </row>
    <row r="427" spans="1:17" ht="27" customHeight="1" thickBot="1">
      <c r="A427" s="188" t="s">
        <v>584</v>
      </c>
      <c r="B427" s="189"/>
      <c r="C427" s="189"/>
      <c r="D427" s="189"/>
      <c r="E427" s="189"/>
      <c r="F427" s="189"/>
      <c r="G427" s="189"/>
      <c r="H427" s="189"/>
      <c r="I427" s="189"/>
      <c r="J427" s="189"/>
      <c r="K427" s="189"/>
      <c r="L427" s="189"/>
      <c r="M427" s="189"/>
      <c r="N427" s="190"/>
      <c r="O427" s="1"/>
      <c r="P427" s="1"/>
      <c r="Q427" s="1"/>
    </row>
    <row r="428" spans="1:17">
      <c r="A428" s="4"/>
      <c r="B428" s="1"/>
      <c r="C428" s="1"/>
      <c r="D428" s="1"/>
      <c r="E428" s="1"/>
      <c r="F428" s="1"/>
      <c r="G428" s="1"/>
      <c r="H428" s="1"/>
      <c r="I428" s="3"/>
      <c r="J428" s="3"/>
      <c r="K428" s="3"/>
      <c r="L428" s="1"/>
      <c r="M428" s="1"/>
      <c r="N428" s="1"/>
      <c r="O428" s="1"/>
      <c r="P428" s="1"/>
      <c r="Q428" s="1"/>
    </row>
    <row r="429" spans="1:17">
      <c r="A429" s="4"/>
      <c r="B429" s="1"/>
      <c r="C429" s="1"/>
      <c r="D429" s="1"/>
      <c r="E429" s="1"/>
      <c r="F429" s="1"/>
      <c r="G429" s="1"/>
      <c r="H429" s="1"/>
      <c r="I429" s="3"/>
      <c r="J429" s="3"/>
      <c r="K429" s="3"/>
      <c r="L429" s="1"/>
      <c r="M429" s="1"/>
      <c r="N429" s="1"/>
      <c r="O429" s="1"/>
      <c r="P429" s="1"/>
      <c r="Q429" s="1"/>
    </row>
    <row r="430" spans="1:17">
      <c r="A430" s="2"/>
      <c r="B430" s="2"/>
      <c r="C430" s="2"/>
      <c r="D430" s="2"/>
      <c r="E430" s="2"/>
      <c r="F430" s="2"/>
      <c r="G430" s="2"/>
      <c r="H430" s="2"/>
      <c r="I430" s="2"/>
      <c r="J430" s="2"/>
      <c r="K430" s="2"/>
      <c r="L430" s="2"/>
      <c r="M430" s="2"/>
      <c r="N430" s="2"/>
      <c r="O430" s="2"/>
      <c r="P430" s="2"/>
      <c r="Q430" s="2"/>
    </row>
  </sheetData>
  <mergeCells count="11">
    <mergeCell ref="A1:N1"/>
    <mergeCell ref="D2:G2"/>
    <mergeCell ref="L2:N2"/>
    <mergeCell ref="A420:N420"/>
    <mergeCell ref="A421:N421"/>
    <mergeCell ref="A427:N427"/>
    <mergeCell ref="A422:N422"/>
    <mergeCell ref="A423:N423"/>
    <mergeCell ref="A424:N424"/>
    <mergeCell ref="A425:N425"/>
    <mergeCell ref="A426:N426"/>
  </mergeCells>
  <printOptions horizontalCentered="1"/>
  <pageMargins left="0.5" right="0.5" top="0.5" bottom="0.5" header="0.3" footer="0.3"/>
  <pageSetup paperSize="5" scale="82" fitToHeight="0" orientation="landscape" r:id="rId1"/>
  <headerFooter>
    <oddFooter>&amp;L&amp;11Office of Economic and Demographic Research&amp;C&amp;11Page &amp;P of &amp;N&amp;R&amp;11February 7, 2013</oddFooter>
  </headerFooter>
  <rowBreaks count="1" manualBreakCount="1">
    <brk id="418" max="13" man="1"/>
  </rowBreaks>
  <ignoredErrors>
    <ignoredError sqref="E417 K417"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Q432"/>
  <sheetViews>
    <sheetView workbookViewId="0">
      <selection sqref="A1:N1"/>
    </sheetView>
  </sheetViews>
  <sheetFormatPr defaultRowHeight="12.75"/>
  <cols>
    <col min="1" max="1" width="25.7109375" customWidth="1"/>
    <col min="2" max="2" width="16.7109375" customWidth="1"/>
    <col min="3" max="3" width="11.7109375" customWidth="1"/>
    <col min="4" max="4" width="18.7109375" customWidth="1"/>
    <col min="5" max="5" width="13.7109375" customWidth="1"/>
    <col min="6" max="6" width="17.7109375" customWidth="1"/>
    <col min="7" max="7" width="13.7109375" customWidth="1"/>
    <col min="8" max="8" width="1.7109375" customWidth="1"/>
    <col min="9" max="9" width="10.7109375" customWidth="1"/>
    <col min="10" max="10" width="15.7109375" customWidth="1"/>
    <col min="11" max="11" width="13.7109375" customWidth="1"/>
    <col min="12" max="13" width="15.7109375" customWidth="1"/>
    <col min="14" max="14" width="14.7109375" customWidth="1"/>
    <col min="15" max="15" width="2.7109375" customWidth="1"/>
    <col min="16" max="16" width="4.5703125" customWidth="1"/>
    <col min="17" max="17" width="10.28515625" customWidth="1"/>
  </cols>
  <sheetData>
    <row r="1" spans="1:17" ht="26.25">
      <c r="A1" s="197" t="s">
        <v>538</v>
      </c>
      <c r="B1" s="198"/>
      <c r="C1" s="198"/>
      <c r="D1" s="198"/>
      <c r="E1" s="198"/>
      <c r="F1" s="198"/>
      <c r="G1" s="198"/>
      <c r="H1" s="198"/>
      <c r="I1" s="198"/>
      <c r="J1" s="198"/>
      <c r="K1" s="198"/>
      <c r="L1" s="198"/>
      <c r="M1" s="198"/>
      <c r="N1" s="199"/>
    </row>
    <row r="2" spans="1:17" ht="18">
      <c r="A2" s="41"/>
      <c r="B2" s="42"/>
      <c r="C2" s="43"/>
      <c r="D2" s="200" t="s">
        <v>562</v>
      </c>
      <c r="E2" s="201"/>
      <c r="F2" s="201"/>
      <c r="G2" s="202"/>
      <c r="H2" s="44"/>
      <c r="I2" s="61" t="s">
        <v>456</v>
      </c>
      <c r="J2" s="45"/>
      <c r="K2" s="68"/>
      <c r="L2" s="201" t="s">
        <v>503</v>
      </c>
      <c r="M2" s="201"/>
      <c r="N2" s="203"/>
    </row>
    <row r="3" spans="1:17" ht="12.75" customHeight="1">
      <c r="A3" s="46"/>
      <c r="B3" s="47"/>
      <c r="C3" s="48">
        <v>2009</v>
      </c>
      <c r="D3" s="49"/>
      <c r="E3" s="50" t="s">
        <v>1</v>
      </c>
      <c r="F3" s="51"/>
      <c r="G3" s="50" t="s">
        <v>1</v>
      </c>
      <c r="H3" s="52"/>
      <c r="I3" s="53"/>
      <c r="J3" s="54"/>
      <c r="K3" s="67" t="s">
        <v>1</v>
      </c>
      <c r="L3" s="66" t="s">
        <v>455</v>
      </c>
      <c r="M3" s="50" t="s">
        <v>455</v>
      </c>
      <c r="N3" s="59" t="s">
        <v>1</v>
      </c>
    </row>
    <row r="4" spans="1:17">
      <c r="A4" s="46"/>
      <c r="B4" s="47"/>
      <c r="C4" s="48" t="s">
        <v>3</v>
      </c>
      <c r="D4" s="49" t="s">
        <v>563</v>
      </c>
      <c r="E4" s="56" t="s">
        <v>563</v>
      </c>
      <c r="F4" s="56" t="s">
        <v>2</v>
      </c>
      <c r="G4" s="56" t="s">
        <v>2</v>
      </c>
      <c r="H4" s="52"/>
      <c r="I4" s="57" t="s">
        <v>0</v>
      </c>
      <c r="J4" s="58" t="s">
        <v>455</v>
      </c>
      <c r="K4" s="69" t="s">
        <v>455</v>
      </c>
      <c r="L4" s="67" t="s">
        <v>454</v>
      </c>
      <c r="M4" s="82" t="s">
        <v>495</v>
      </c>
      <c r="N4" s="55" t="s">
        <v>495</v>
      </c>
    </row>
    <row r="5" spans="1:17">
      <c r="A5" s="85" t="s">
        <v>5</v>
      </c>
      <c r="B5" s="86" t="s">
        <v>6</v>
      </c>
      <c r="C5" s="87" t="s">
        <v>458</v>
      </c>
      <c r="D5" s="88" t="s">
        <v>7</v>
      </c>
      <c r="E5" s="89" t="s">
        <v>7</v>
      </c>
      <c r="F5" s="90" t="s">
        <v>7</v>
      </c>
      <c r="G5" s="89" t="s">
        <v>7</v>
      </c>
      <c r="H5" s="91"/>
      <c r="I5" s="92" t="s">
        <v>4</v>
      </c>
      <c r="J5" s="90" t="s">
        <v>454</v>
      </c>
      <c r="K5" s="90" t="s">
        <v>454</v>
      </c>
      <c r="L5" s="93" t="s">
        <v>502</v>
      </c>
      <c r="M5" s="94" t="s">
        <v>496</v>
      </c>
      <c r="N5" s="95" t="s">
        <v>496</v>
      </c>
      <c r="O5" s="19"/>
      <c r="P5" s="19"/>
      <c r="Q5" s="19"/>
    </row>
    <row r="6" spans="1:17">
      <c r="A6" s="22" t="s">
        <v>8</v>
      </c>
      <c r="B6" s="33" t="s">
        <v>8</v>
      </c>
      <c r="C6" s="34">
        <v>8826</v>
      </c>
      <c r="D6" s="18">
        <v>1244286591</v>
      </c>
      <c r="E6" s="38">
        <f t="shared" ref="E6:E14" si="0">(D6/C6)</f>
        <v>140979.67267165193</v>
      </c>
      <c r="F6" s="18">
        <v>801482364</v>
      </c>
      <c r="G6" s="39">
        <f t="shared" ref="G6:G14" si="1">(F6/C6)</f>
        <v>90809.241332426915</v>
      </c>
      <c r="H6" s="15"/>
      <c r="I6" s="100">
        <v>5.5</v>
      </c>
      <c r="J6" s="40">
        <v>4408153</v>
      </c>
      <c r="K6" s="84">
        <f t="shared" ref="K6:K14" si="2">(J6/C6)</f>
        <v>499.45082710174484</v>
      </c>
      <c r="L6" s="65">
        <f t="shared" ref="L6:L69" si="3">(F6*0.01)</f>
        <v>8014823.6400000006</v>
      </c>
      <c r="M6" s="83">
        <f t="shared" ref="M6:M69" si="4">(L6-J6)</f>
        <v>3606670.6400000006</v>
      </c>
      <c r="N6" s="62">
        <f t="shared" ref="N6:N69" si="5">(M6/C6)</f>
        <v>408.64158622252444</v>
      </c>
      <c r="O6" s="5"/>
      <c r="P6" s="5">
        <f t="shared" ref="P6:P69" si="6">IF(I6&gt;0,1,0)</f>
        <v>1</v>
      </c>
      <c r="Q6" s="7">
        <f t="shared" ref="Q6:Q69" si="7">IF(I6&gt;0,C6,0)</f>
        <v>8826</v>
      </c>
    </row>
    <row r="7" spans="1:17">
      <c r="A7" s="23" t="s">
        <v>9</v>
      </c>
      <c r="B7" s="35" t="s">
        <v>8</v>
      </c>
      <c r="C7" s="36">
        <v>1214</v>
      </c>
      <c r="D7" s="113">
        <v>64594190</v>
      </c>
      <c r="E7" s="116">
        <f t="shared" si="0"/>
        <v>53207.734761120264</v>
      </c>
      <c r="F7" s="113">
        <v>32948577</v>
      </c>
      <c r="G7" s="117">
        <f t="shared" si="1"/>
        <v>27140.50823723229</v>
      </c>
      <c r="H7" s="7"/>
      <c r="I7" s="101">
        <v>5</v>
      </c>
      <c r="J7" s="117">
        <v>164743</v>
      </c>
      <c r="K7" s="120">
        <f t="shared" si="2"/>
        <v>135.70263591433277</v>
      </c>
      <c r="L7" s="122">
        <f t="shared" si="3"/>
        <v>329485.77</v>
      </c>
      <c r="M7" s="116">
        <f t="shared" si="4"/>
        <v>164742.77000000002</v>
      </c>
      <c r="N7" s="123">
        <f t="shared" si="5"/>
        <v>135.70244645799013</v>
      </c>
      <c r="O7" s="5"/>
      <c r="P7" s="5">
        <f t="shared" si="6"/>
        <v>1</v>
      </c>
      <c r="Q7" s="7">
        <f t="shared" si="7"/>
        <v>1214</v>
      </c>
    </row>
    <row r="8" spans="1:17">
      <c r="A8" s="23" t="s">
        <v>10</v>
      </c>
      <c r="B8" s="35" t="s">
        <v>8</v>
      </c>
      <c r="C8" s="36">
        <v>125904</v>
      </c>
      <c r="D8" s="113">
        <v>12781324341</v>
      </c>
      <c r="E8" s="116">
        <f t="shared" si="0"/>
        <v>101516.42792127335</v>
      </c>
      <c r="F8" s="113">
        <v>5886019548</v>
      </c>
      <c r="G8" s="117">
        <f t="shared" si="1"/>
        <v>46750.05995043843</v>
      </c>
      <c r="H8" s="7"/>
      <c r="I8" s="101">
        <v>4.3963000000000001</v>
      </c>
      <c r="J8" s="117">
        <v>25876708</v>
      </c>
      <c r="K8" s="120">
        <f t="shared" si="2"/>
        <v>205.52729063413395</v>
      </c>
      <c r="L8" s="122">
        <f t="shared" si="3"/>
        <v>58860195.480000004</v>
      </c>
      <c r="M8" s="116">
        <f t="shared" si="4"/>
        <v>32983487.480000004</v>
      </c>
      <c r="N8" s="123">
        <f t="shared" si="5"/>
        <v>261.97330887025038</v>
      </c>
      <c r="O8" s="5"/>
      <c r="P8" s="5">
        <f t="shared" si="6"/>
        <v>1</v>
      </c>
      <c r="Q8" s="7">
        <f t="shared" si="7"/>
        <v>125904</v>
      </c>
    </row>
    <row r="9" spans="1:17">
      <c r="A9" s="23" t="s">
        <v>11</v>
      </c>
      <c r="B9" s="35" t="s">
        <v>8</v>
      </c>
      <c r="C9" s="36">
        <v>1441</v>
      </c>
      <c r="D9" s="113">
        <v>110452167</v>
      </c>
      <c r="E9" s="116">
        <f t="shared" si="0"/>
        <v>76649.664816099932</v>
      </c>
      <c r="F9" s="117">
        <v>50795097</v>
      </c>
      <c r="G9" s="117">
        <f t="shared" si="1"/>
        <v>35249.893823733517</v>
      </c>
      <c r="H9" s="7"/>
      <c r="I9" s="101">
        <v>5.3193999999999999</v>
      </c>
      <c r="J9" s="117">
        <v>270199</v>
      </c>
      <c r="K9" s="120">
        <f t="shared" si="2"/>
        <v>187.50798056904927</v>
      </c>
      <c r="L9" s="122">
        <f t="shared" si="3"/>
        <v>507950.97000000003</v>
      </c>
      <c r="M9" s="116">
        <f t="shared" si="4"/>
        <v>237751.97000000003</v>
      </c>
      <c r="N9" s="123">
        <f t="shared" si="5"/>
        <v>164.99095766828594</v>
      </c>
      <c r="O9" s="5"/>
      <c r="P9" s="5">
        <f t="shared" si="6"/>
        <v>1</v>
      </c>
      <c r="Q9" s="7">
        <f t="shared" si="7"/>
        <v>1441</v>
      </c>
    </row>
    <row r="10" spans="1:17">
      <c r="A10" s="23" t="s">
        <v>12</v>
      </c>
      <c r="B10" s="35" t="s">
        <v>8</v>
      </c>
      <c r="C10" s="36">
        <v>4886</v>
      </c>
      <c r="D10" s="113">
        <v>453525283</v>
      </c>
      <c r="E10" s="116">
        <f t="shared" si="0"/>
        <v>92821.384158821122</v>
      </c>
      <c r="F10" s="117">
        <v>268831816</v>
      </c>
      <c r="G10" s="117">
        <f t="shared" si="1"/>
        <v>55020.838313548913</v>
      </c>
      <c r="H10" s="7"/>
      <c r="I10" s="101">
        <v>6.15</v>
      </c>
      <c r="J10" s="117">
        <v>1653316</v>
      </c>
      <c r="K10" s="120">
        <f t="shared" si="2"/>
        <v>338.378223495702</v>
      </c>
      <c r="L10" s="122">
        <f t="shared" si="3"/>
        <v>2688318.16</v>
      </c>
      <c r="M10" s="116">
        <f t="shared" si="4"/>
        <v>1035002.1600000001</v>
      </c>
      <c r="N10" s="123">
        <f t="shared" si="5"/>
        <v>211.83015963978718</v>
      </c>
      <c r="O10" s="5"/>
      <c r="P10" s="5">
        <f t="shared" si="6"/>
        <v>1</v>
      </c>
      <c r="Q10" s="7">
        <f t="shared" si="7"/>
        <v>4886</v>
      </c>
    </row>
    <row r="11" spans="1:17">
      <c r="A11" s="23" t="s">
        <v>559</v>
      </c>
      <c r="B11" s="35" t="s">
        <v>8</v>
      </c>
      <c r="C11" s="36">
        <v>202</v>
      </c>
      <c r="D11" s="113">
        <v>23322223</v>
      </c>
      <c r="E11" s="116">
        <f t="shared" si="0"/>
        <v>115456.5495049505</v>
      </c>
      <c r="F11" s="117">
        <v>11865850</v>
      </c>
      <c r="G11" s="117">
        <f t="shared" si="1"/>
        <v>58741.831683168319</v>
      </c>
      <c r="H11" s="7"/>
      <c r="I11" s="101">
        <v>2.1444000000000001</v>
      </c>
      <c r="J11" s="117">
        <v>25445</v>
      </c>
      <c r="K11" s="120">
        <f t="shared" si="2"/>
        <v>125.96534653465346</v>
      </c>
      <c r="L11" s="122">
        <f t="shared" si="3"/>
        <v>118658.5</v>
      </c>
      <c r="M11" s="116">
        <f t="shared" si="4"/>
        <v>93213.5</v>
      </c>
      <c r="N11" s="123">
        <f t="shared" si="5"/>
        <v>461.45297029702971</v>
      </c>
      <c r="O11" s="5"/>
      <c r="P11" s="5">
        <f t="shared" si="6"/>
        <v>1</v>
      </c>
      <c r="Q11" s="7">
        <f t="shared" si="7"/>
        <v>202</v>
      </c>
    </row>
    <row r="12" spans="1:17">
      <c r="A12" s="23" t="s">
        <v>13</v>
      </c>
      <c r="B12" s="35" t="s">
        <v>8</v>
      </c>
      <c r="C12" s="36">
        <v>638</v>
      </c>
      <c r="D12" s="113">
        <v>51393060</v>
      </c>
      <c r="E12" s="116">
        <f t="shared" si="0"/>
        <v>80553.385579937298</v>
      </c>
      <c r="F12" s="117">
        <v>27988006</v>
      </c>
      <c r="G12" s="117">
        <f t="shared" si="1"/>
        <v>43868.347962382446</v>
      </c>
      <c r="H12" s="7"/>
      <c r="I12" s="101">
        <v>8</v>
      </c>
      <c r="J12" s="117">
        <v>223904</v>
      </c>
      <c r="K12" s="120">
        <f t="shared" si="2"/>
        <v>350.94670846394985</v>
      </c>
      <c r="L12" s="122">
        <f t="shared" si="3"/>
        <v>279880.06</v>
      </c>
      <c r="M12" s="116">
        <f t="shared" si="4"/>
        <v>55976.06</v>
      </c>
      <c r="N12" s="123">
        <f t="shared" si="5"/>
        <v>87.736771159874607</v>
      </c>
      <c r="O12" s="5"/>
      <c r="P12" s="5">
        <f t="shared" si="6"/>
        <v>1</v>
      </c>
      <c r="Q12" s="7">
        <f t="shared" si="7"/>
        <v>638</v>
      </c>
    </row>
    <row r="13" spans="1:17">
      <c r="A13" s="23" t="s">
        <v>14</v>
      </c>
      <c r="B13" s="35" t="s">
        <v>8</v>
      </c>
      <c r="C13" s="36">
        <v>5036</v>
      </c>
      <c r="D13" s="113">
        <v>528977649</v>
      </c>
      <c r="E13" s="116">
        <f t="shared" si="0"/>
        <v>105039.24722001588</v>
      </c>
      <c r="F13" s="117">
        <v>284129384</v>
      </c>
      <c r="G13" s="117">
        <f t="shared" si="1"/>
        <v>56419.655281969819</v>
      </c>
      <c r="H13" s="7"/>
      <c r="I13" s="101">
        <v>3.85</v>
      </c>
      <c r="J13" s="117">
        <v>1093898</v>
      </c>
      <c r="K13" s="120">
        <f t="shared" si="2"/>
        <v>217.21564733915807</v>
      </c>
      <c r="L13" s="122">
        <f t="shared" si="3"/>
        <v>2841293.84</v>
      </c>
      <c r="M13" s="116">
        <f t="shared" si="4"/>
        <v>1747395.8399999999</v>
      </c>
      <c r="N13" s="123">
        <f t="shared" si="5"/>
        <v>346.98090548054006</v>
      </c>
      <c r="O13" s="5"/>
      <c r="P13" s="5">
        <f t="shared" si="6"/>
        <v>1</v>
      </c>
      <c r="Q13" s="7">
        <f t="shared" si="7"/>
        <v>5036</v>
      </c>
    </row>
    <row r="14" spans="1:17">
      <c r="A14" s="23" t="s">
        <v>15</v>
      </c>
      <c r="B14" s="35" t="s">
        <v>8</v>
      </c>
      <c r="C14" s="36">
        <v>825</v>
      </c>
      <c r="D14" s="113">
        <v>47723891</v>
      </c>
      <c r="E14" s="116">
        <f t="shared" si="0"/>
        <v>57847.14060606061</v>
      </c>
      <c r="F14" s="117">
        <v>25082580</v>
      </c>
      <c r="G14" s="117">
        <f t="shared" si="1"/>
        <v>30403.127272727274</v>
      </c>
      <c r="H14" s="7"/>
      <c r="I14" s="101">
        <v>5.8685999999999998</v>
      </c>
      <c r="J14" s="117">
        <v>147200</v>
      </c>
      <c r="K14" s="120">
        <f t="shared" si="2"/>
        <v>178.42424242424244</v>
      </c>
      <c r="L14" s="122">
        <f t="shared" si="3"/>
        <v>250825.80000000002</v>
      </c>
      <c r="M14" s="116">
        <f t="shared" si="4"/>
        <v>103625.80000000002</v>
      </c>
      <c r="N14" s="123">
        <f t="shared" si="5"/>
        <v>125.60703030303033</v>
      </c>
      <c r="O14" s="5"/>
      <c r="P14" s="5">
        <f t="shared" si="6"/>
        <v>1</v>
      </c>
      <c r="Q14" s="7">
        <f t="shared" si="7"/>
        <v>825</v>
      </c>
    </row>
    <row r="15" spans="1:17">
      <c r="A15" s="23" t="s">
        <v>544</v>
      </c>
      <c r="B15" s="35" t="s">
        <v>16</v>
      </c>
      <c r="C15" s="36">
        <v>461</v>
      </c>
      <c r="D15" s="114" t="s">
        <v>564</v>
      </c>
      <c r="E15" s="116"/>
      <c r="F15" s="117"/>
      <c r="G15" s="117"/>
      <c r="H15" s="9" t="s">
        <v>528</v>
      </c>
      <c r="I15" s="101"/>
      <c r="J15" s="117"/>
      <c r="K15" s="120"/>
      <c r="L15" s="122">
        <f t="shared" si="3"/>
        <v>0</v>
      </c>
      <c r="M15" s="116">
        <f t="shared" si="4"/>
        <v>0</v>
      </c>
      <c r="N15" s="123">
        <f t="shared" si="5"/>
        <v>0</v>
      </c>
      <c r="O15" s="5"/>
      <c r="P15" s="5">
        <f t="shared" si="6"/>
        <v>0</v>
      </c>
      <c r="Q15" s="7">
        <f t="shared" si="7"/>
        <v>0</v>
      </c>
    </row>
    <row r="16" spans="1:17">
      <c r="A16" s="23" t="s">
        <v>17</v>
      </c>
      <c r="B16" s="35" t="s">
        <v>16</v>
      </c>
      <c r="C16" s="36">
        <v>5951</v>
      </c>
      <c r="D16" s="113">
        <v>390056243</v>
      </c>
      <c r="E16" s="116">
        <f>(D16/C16)</f>
        <v>65544.655184002695</v>
      </c>
      <c r="F16" s="117">
        <v>227938644</v>
      </c>
      <c r="G16" s="117">
        <f>(F16/C16)</f>
        <v>38302.578390186522</v>
      </c>
      <c r="H16" s="7"/>
      <c r="I16" s="101">
        <v>3.6</v>
      </c>
      <c r="J16" s="117">
        <v>820579</v>
      </c>
      <c r="K16" s="120">
        <f>(J16/C16)</f>
        <v>137.88926230885565</v>
      </c>
      <c r="L16" s="122">
        <f t="shared" si="3"/>
        <v>2279386.44</v>
      </c>
      <c r="M16" s="116">
        <f t="shared" si="4"/>
        <v>1458807.44</v>
      </c>
      <c r="N16" s="123">
        <f t="shared" si="5"/>
        <v>245.13652159300958</v>
      </c>
      <c r="O16" s="5"/>
      <c r="P16" s="5">
        <f t="shared" si="6"/>
        <v>1</v>
      </c>
      <c r="Q16" s="7">
        <f t="shared" si="7"/>
        <v>5951</v>
      </c>
    </row>
    <row r="17" spans="1:17">
      <c r="A17" s="23" t="s">
        <v>18</v>
      </c>
      <c r="B17" s="35" t="s">
        <v>19</v>
      </c>
      <c r="C17" s="36">
        <v>14440</v>
      </c>
      <c r="D17" s="113">
        <v>873379035</v>
      </c>
      <c r="E17" s="116">
        <f>(D17/C17)</f>
        <v>60483.312673130196</v>
      </c>
      <c r="F17" s="117">
        <v>540956314</v>
      </c>
      <c r="G17" s="117">
        <f>(F17/C17)</f>
        <v>37462.34861495845</v>
      </c>
      <c r="H17" s="8"/>
      <c r="I17" s="101">
        <v>2.25</v>
      </c>
      <c r="J17" s="117">
        <v>1217152</v>
      </c>
      <c r="K17" s="120">
        <f>(J17/C17)</f>
        <v>84.290304709141267</v>
      </c>
      <c r="L17" s="122">
        <f t="shared" si="3"/>
        <v>5409563.1399999997</v>
      </c>
      <c r="M17" s="116">
        <f t="shared" si="4"/>
        <v>4192411.1399999997</v>
      </c>
      <c r="N17" s="123">
        <f t="shared" si="5"/>
        <v>290.33318144044318</v>
      </c>
      <c r="O17" s="5"/>
      <c r="P17" s="5">
        <f t="shared" si="6"/>
        <v>1</v>
      </c>
      <c r="Q17" s="7">
        <f t="shared" si="7"/>
        <v>14440</v>
      </c>
    </row>
    <row r="18" spans="1:17">
      <c r="A18" s="23" t="s">
        <v>21</v>
      </c>
      <c r="B18" s="35" t="s">
        <v>19</v>
      </c>
      <c r="C18" s="36">
        <v>16731</v>
      </c>
      <c r="D18" s="113">
        <v>1616752851</v>
      </c>
      <c r="E18" s="116">
        <f>(D18/C18)</f>
        <v>96632.170880401653</v>
      </c>
      <c r="F18" s="117">
        <v>1038067198</v>
      </c>
      <c r="G18" s="117">
        <f>(F18/C18)</f>
        <v>62044.539955770728</v>
      </c>
      <c r="H18" s="7"/>
      <c r="I18" s="101">
        <v>3.0886999999999998</v>
      </c>
      <c r="J18" s="117">
        <v>3206278</v>
      </c>
      <c r="K18" s="120">
        <f>(J18/C18)</f>
        <v>191.63696132926901</v>
      </c>
      <c r="L18" s="122">
        <f t="shared" si="3"/>
        <v>10380671.98</v>
      </c>
      <c r="M18" s="116">
        <f t="shared" si="4"/>
        <v>7174393.9800000004</v>
      </c>
      <c r="N18" s="123">
        <f t="shared" si="5"/>
        <v>428.80843822843826</v>
      </c>
      <c r="O18" s="5"/>
      <c r="P18" s="5">
        <f t="shared" si="6"/>
        <v>1</v>
      </c>
      <c r="Q18" s="7">
        <f t="shared" si="7"/>
        <v>16731</v>
      </c>
    </row>
    <row r="19" spans="1:17">
      <c r="A19" s="23" t="s">
        <v>22</v>
      </c>
      <c r="B19" s="35" t="s">
        <v>19</v>
      </c>
      <c r="C19" s="36">
        <v>1326</v>
      </c>
      <c r="D19" s="113">
        <v>613599960</v>
      </c>
      <c r="E19" s="116">
        <f>(D19/C19)</f>
        <v>462745.0678733032</v>
      </c>
      <c r="F19" s="117">
        <v>476201172</v>
      </c>
      <c r="G19" s="117">
        <f>(F19/C19)</f>
        <v>359126.07239819004</v>
      </c>
      <c r="H19" s="7"/>
      <c r="I19" s="102">
        <v>4</v>
      </c>
      <c r="J19" s="117">
        <v>1904805</v>
      </c>
      <c r="K19" s="120">
        <f>(J19/C19)</f>
        <v>1436.5045248868778</v>
      </c>
      <c r="L19" s="122">
        <f t="shared" si="3"/>
        <v>4762011.72</v>
      </c>
      <c r="M19" s="116">
        <f t="shared" si="4"/>
        <v>2857206.7199999997</v>
      </c>
      <c r="N19" s="123">
        <f t="shared" si="5"/>
        <v>2154.7561990950226</v>
      </c>
      <c r="O19" s="5"/>
      <c r="P19" s="5">
        <f t="shared" si="6"/>
        <v>1</v>
      </c>
      <c r="Q19" s="7">
        <f t="shared" si="7"/>
        <v>1326</v>
      </c>
    </row>
    <row r="20" spans="1:17">
      <c r="A20" s="23" t="s">
        <v>23</v>
      </c>
      <c r="B20" s="35" t="s">
        <v>19</v>
      </c>
      <c r="C20" s="36">
        <v>37408</v>
      </c>
      <c r="D20" s="113">
        <v>3705945553</v>
      </c>
      <c r="E20" s="116">
        <f>(D20/C20)</f>
        <v>99068.262216638148</v>
      </c>
      <c r="F20" s="117">
        <v>2247956307</v>
      </c>
      <c r="G20" s="117">
        <f>(F20/C20)</f>
        <v>60092.929507057313</v>
      </c>
      <c r="H20" s="7"/>
      <c r="I20" s="101">
        <v>3.8492999999999999</v>
      </c>
      <c r="J20" s="117">
        <v>8653058</v>
      </c>
      <c r="K20" s="120">
        <f>(J20/C20)</f>
        <v>231.31570786997435</v>
      </c>
      <c r="L20" s="122">
        <f t="shared" si="3"/>
        <v>22479563.07</v>
      </c>
      <c r="M20" s="116">
        <f t="shared" si="4"/>
        <v>13826505.07</v>
      </c>
      <c r="N20" s="123">
        <f t="shared" si="5"/>
        <v>369.61358720059883</v>
      </c>
      <c r="O20" s="5"/>
      <c r="P20" s="5">
        <f t="shared" si="6"/>
        <v>1</v>
      </c>
      <c r="Q20" s="7">
        <f t="shared" si="7"/>
        <v>37408</v>
      </c>
    </row>
    <row r="21" spans="1:17">
      <c r="A21" s="23" t="s">
        <v>24</v>
      </c>
      <c r="B21" s="35" t="s">
        <v>19</v>
      </c>
      <c r="C21" s="36">
        <v>13831</v>
      </c>
      <c r="D21" s="114" t="s">
        <v>564</v>
      </c>
      <c r="E21" s="116"/>
      <c r="F21" s="117"/>
      <c r="G21" s="117"/>
      <c r="H21" s="9" t="s">
        <v>528</v>
      </c>
      <c r="I21" s="103"/>
      <c r="J21" s="117"/>
      <c r="K21" s="120"/>
      <c r="L21" s="122">
        <f t="shared" si="3"/>
        <v>0</v>
      </c>
      <c r="M21" s="116">
        <f t="shared" si="4"/>
        <v>0</v>
      </c>
      <c r="N21" s="123">
        <f t="shared" si="5"/>
        <v>0</v>
      </c>
      <c r="O21" s="5"/>
      <c r="P21" s="5">
        <f t="shared" si="6"/>
        <v>0</v>
      </c>
      <c r="Q21" s="7">
        <f t="shared" si="7"/>
        <v>0</v>
      </c>
    </row>
    <row r="22" spans="1:17">
      <c r="A22" s="23" t="s">
        <v>25</v>
      </c>
      <c r="B22" s="35" t="s">
        <v>19</v>
      </c>
      <c r="C22" s="36">
        <v>4573</v>
      </c>
      <c r="D22" s="114" t="s">
        <v>564</v>
      </c>
      <c r="E22" s="116"/>
      <c r="F22" s="117"/>
      <c r="G22" s="117"/>
      <c r="H22" s="9" t="s">
        <v>528</v>
      </c>
      <c r="I22" s="103"/>
      <c r="J22" s="117"/>
      <c r="K22" s="120"/>
      <c r="L22" s="122">
        <f t="shared" si="3"/>
        <v>0</v>
      </c>
      <c r="M22" s="116">
        <f t="shared" si="4"/>
        <v>0</v>
      </c>
      <c r="N22" s="123">
        <f t="shared" si="5"/>
        <v>0</v>
      </c>
      <c r="O22" s="5"/>
      <c r="P22" s="5">
        <f t="shared" si="6"/>
        <v>0</v>
      </c>
      <c r="Q22" s="7">
        <f t="shared" si="7"/>
        <v>0</v>
      </c>
    </row>
    <row r="23" spans="1:17">
      <c r="A23" s="23" t="s">
        <v>26</v>
      </c>
      <c r="B23" s="35" t="s">
        <v>19</v>
      </c>
      <c r="C23" s="36">
        <v>8695</v>
      </c>
      <c r="D23" s="114" t="s">
        <v>564</v>
      </c>
      <c r="E23" s="116"/>
      <c r="F23" s="117"/>
      <c r="G23" s="117"/>
      <c r="H23" s="9" t="s">
        <v>528</v>
      </c>
      <c r="I23" s="101"/>
      <c r="J23" s="117"/>
      <c r="K23" s="120"/>
      <c r="L23" s="122">
        <f t="shared" si="3"/>
        <v>0</v>
      </c>
      <c r="M23" s="116">
        <f t="shared" si="4"/>
        <v>0</v>
      </c>
      <c r="N23" s="123">
        <f t="shared" si="5"/>
        <v>0</v>
      </c>
      <c r="O23" s="5"/>
      <c r="P23" s="5">
        <f t="shared" si="6"/>
        <v>0</v>
      </c>
      <c r="Q23" s="7">
        <f t="shared" si="7"/>
        <v>0</v>
      </c>
    </row>
    <row r="24" spans="1:17">
      <c r="A24" s="23" t="s">
        <v>27</v>
      </c>
      <c r="B24" s="35" t="s">
        <v>28</v>
      </c>
      <c r="C24" s="36">
        <v>384</v>
      </c>
      <c r="D24" s="113">
        <v>16075168</v>
      </c>
      <c r="E24" s="116">
        <f t="shared" ref="E24:E38" si="8">(D24/C24)</f>
        <v>41862.416666666664</v>
      </c>
      <c r="F24" s="117">
        <v>6962244</v>
      </c>
      <c r="G24" s="117">
        <f t="shared" ref="G24:G38" si="9">(F24/C24)</f>
        <v>18130.84375</v>
      </c>
      <c r="H24" s="7"/>
      <c r="I24" s="101">
        <v>0.33129999999999998</v>
      </c>
      <c r="J24" s="117">
        <v>2307</v>
      </c>
      <c r="K24" s="120">
        <f t="shared" ref="K24:K38" si="10">(J24/C24)</f>
        <v>6.0078125</v>
      </c>
      <c r="L24" s="122">
        <f t="shared" si="3"/>
        <v>69622.44</v>
      </c>
      <c r="M24" s="116">
        <f t="shared" si="4"/>
        <v>67315.44</v>
      </c>
      <c r="N24" s="123">
        <f t="shared" si="5"/>
        <v>175.300625</v>
      </c>
      <c r="O24" s="5"/>
      <c r="P24" s="5">
        <f t="shared" si="6"/>
        <v>1</v>
      </c>
      <c r="Q24" s="7">
        <f t="shared" si="7"/>
        <v>384</v>
      </c>
    </row>
    <row r="25" spans="1:17">
      <c r="A25" s="23" t="s">
        <v>29</v>
      </c>
      <c r="B25" s="35" t="s">
        <v>28</v>
      </c>
      <c r="C25" s="36">
        <v>523</v>
      </c>
      <c r="D25" s="113">
        <v>14906188</v>
      </c>
      <c r="E25" s="116">
        <f t="shared" si="8"/>
        <v>28501.315487571701</v>
      </c>
      <c r="F25" s="117">
        <v>7926935</v>
      </c>
      <c r="G25" s="117">
        <f t="shared" si="9"/>
        <v>15156.663479923518</v>
      </c>
      <c r="H25" s="7"/>
      <c r="I25" s="101">
        <v>0.30509999999999998</v>
      </c>
      <c r="J25" s="117">
        <v>2419</v>
      </c>
      <c r="K25" s="120">
        <f t="shared" si="10"/>
        <v>4.6252390057361374</v>
      </c>
      <c r="L25" s="122">
        <f t="shared" si="3"/>
        <v>79269.350000000006</v>
      </c>
      <c r="M25" s="116">
        <f t="shared" si="4"/>
        <v>76850.350000000006</v>
      </c>
      <c r="N25" s="123">
        <f t="shared" si="5"/>
        <v>146.94139579349905</v>
      </c>
      <c r="O25" s="5"/>
      <c r="P25" s="5">
        <f t="shared" si="6"/>
        <v>1</v>
      </c>
      <c r="Q25" s="7">
        <f t="shared" si="7"/>
        <v>523</v>
      </c>
    </row>
    <row r="26" spans="1:17">
      <c r="A26" s="23" t="s">
        <v>30</v>
      </c>
      <c r="B26" s="35" t="s">
        <v>28</v>
      </c>
      <c r="C26" s="36">
        <v>656</v>
      </c>
      <c r="D26" s="113">
        <v>28208215</v>
      </c>
      <c r="E26" s="116">
        <f t="shared" si="8"/>
        <v>43000.327743902439</v>
      </c>
      <c r="F26" s="117">
        <v>14651274</v>
      </c>
      <c r="G26" s="117">
        <f t="shared" si="9"/>
        <v>22334.259146341465</v>
      </c>
      <c r="H26" s="7"/>
      <c r="I26" s="102">
        <v>1.5550999999999999</v>
      </c>
      <c r="J26" s="117">
        <v>22784</v>
      </c>
      <c r="K26" s="120">
        <f t="shared" si="10"/>
        <v>34.731707317073173</v>
      </c>
      <c r="L26" s="122">
        <f t="shared" si="3"/>
        <v>146512.74</v>
      </c>
      <c r="M26" s="116">
        <f t="shared" si="4"/>
        <v>123728.73999999999</v>
      </c>
      <c r="N26" s="123">
        <f t="shared" si="5"/>
        <v>188.61088414634145</v>
      </c>
      <c r="O26" s="5"/>
      <c r="P26" s="5">
        <f t="shared" si="6"/>
        <v>1</v>
      </c>
      <c r="Q26" s="7">
        <f t="shared" si="7"/>
        <v>656</v>
      </c>
    </row>
    <row r="27" spans="1:17">
      <c r="A27" s="23" t="s">
        <v>31</v>
      </c>
      <c r="B27" s="35" t="s">
        <v>28</v>
      </c>
      <c r="C27" s="36">
        <v>5821</v>
      </c>
      <c r="D27" s="113">
        <v>365604215</v>
      </c>
      <c r="E27" s="116">
        <f t="shared" si="8"/>
        <v>62807.80192406803</v>
      </c>
      <c r="F27" s="117">
        <v>202120875</v>
      </c>
      <c r="G27" s="117">
        <f t="shared" si="9"/>
        <v>34722.706579625497</v>
      </c>
      <c r="H27" s="7"/>
      <c r="I27" s="102">
        <v>3.9672000000000001</v>
      </c>
      <c r="J27" s="117">
        <v>801854</v>
      </c>
      <c r="K27" s="120">
        <f t="shared" si="10"/>
        <v>137.75193265761897</v>
      </c>
      <c r="L27" s="122">
        <f t="shared" si="3"/>
        <v>2021208.75</v>
      </c>
      <c r="M27" s="116">
        <f t="shared" si="4"/>
        <v>1219354.75</v>
      </c>
      <c r="N27" s="123">
        <f t="shared" si="5"/>
        <v>209.47513313863598</v>
      </c>
      <c r="O27" s="5"/>
      <c r="P27" s="5">
        <f t="shared" si="6"/>
        <v>1</v>
      </c>
      <c r="Q27" s="7">
        <f t="shared" si="7"/>
        <v>5821</v>
      </c>
    </row>
    <row r="28" spans="1:17">
      <c r="A28" s="23" t="s">
        <v>32</v>
      </c>
      <c r="B28" s="35" t="s">
        <v>33</v>
      </c>
      <c r="C28" s="36">
        <v>10499</v>
      </c>
      <c r="D28" s="113">
        <v>1341371055</v>
      </c>
      <c r="E28" s="116">
        <f t="shared" si="8"/>
        <v>127761.79207543576</v>
      </c>
      <c r="F28" s="117">
        <v>1114169772</v>
      </c>
      <c r="G28" s="117">
        <f t="shared" si="9"/>
        <v>106121.51366796838</v>
      </c>
      <c r="H28" s="7"/>
      <c r="I28" s="102">
        <v>3.0670999999999999</v>
      </c>
      <c r="J28" s="117">
        <v>3417270</v>
      </c>
      <c r="K28" s="120">
        <f t="shared" si="10"/>
        <v>325.48528431279169</v>
      </c>
      <c r="L28" s="122">
        <f t="shared" si="3"/>
        <v>11141697.720000001</v>
      </c>
      <c r="M28" s="116">
        <f t="shared" si="4"/>
        <v>7724427.7200000007</v>
      </c>
      <c r="N28" s="123">
        <f t="shared" si="5"/>
        <v>735.72985236689215</v>
      </c>
      <c r="O28" s="5"/>
      <c r="P28" s="5">
        <f t="shared" si="6"/>
        <v>1</v>
      </c>
      <c r="Q28" s="7">
        <f t="shared" si="7"/>
        <v>10499</v>
      </c>
    </row>
    <row r="29" spans="1:17">
      <c r="A29" s="23" t="s">
        <v>34</v>
      </c>
      <c r="B29" s="35" t="s">
        <v>33</v>
      </c>
      <c r="C29" s="36">
        <v>16825</v>
      </c>
      <c r="D29" s="113">
        <v>1502928420</v>
      </c>
      <c r="E29" s="116">
        <f t="shared" si="8"/>
        <v>89327.097771173852</v>
      </c>
      <c r="F29" s="117">
        <v>1024738195</v>
      </c>
      <c r="G29" s="117">
        <f t="shared" si="9"/>
        <v>60905.687667161961</v>
      </c>
      <c r="H29" s="7"/>
      <c r="I29" s="101">
        <v>4.4890999999999996</v>
      </c>
      <c r="J29" s="117">
        <v>4600152</v>
      </c>
      <c r="K29" s="120">
        <f t="shared" si="10"/>
        <v>273.41170876671617</v>
      </c>
      <c r="L29" s="122">
        <f t="shared" si="3"/>
        <v>10247381.950000001</v>
      </c>
      <c r="M29" s="116">
        <f t="shared" si="4"/>
        <v>5647229.9500000011</v>
      </c>
      <c r="N29" s="123">
        <f t="shared" si="5"/>
        <v>335.64516790490347</v>
      </c>
      <c r="O29" s="5"/>
      <c r="P29" s="5">
        <f t="shared" si="6"/>
        <v>1</v>
      </c>
      <c r="Q29" s="7">
        <f t="shared" si="7"/>
        <v>16825</v>
      </c>
    </row>
    <row r="30" spans="1:17">
      <c r="A30" s="23" t="s">
        <v>35</v>
      </c>
      <c r="B30" s="35" t="s">
        <v>33</v>
      </c>
      <c r="C30" s="36">
        <v>12631</v>
      </c>
      <c r="D30" s="113">
        <v>2401052947</v>
      </c>
      <c r="E30" s="116">
        <f t="shared" si="8"/>
        <v>190092.07085741431</v>
      </c>
      <c r="F30" s="117">
        <v>1687689503</v>
      </c>
      <c r="G30" s="117">
        <f t="shared" si="9"/>
        <v>133614.87633599874</v>
      </c>
      <c r="H30" s="7"/>
      <c r="I30" s="101">
        <v>4</v>
      </c>
      <c r="J30" s="117">
        <v>6750758</v>
      </c>
      <c r="K30" s="120">
        <f t="shared" si="10"/>
        <v>534.45950439395142</v>
      </c>
      <c r="L30" s="122">
        <f t="shared" si="3"/>
        <v>16876895.030000001</v>
      </c>
      <c r="M30" s="116">
        <f t="shared" si="4"/>
        <v>10126137.030000001</v>
      </c>
      <c r="N30" s="123">
        <f t="shared" si="5"/>
        <v>801.68925896603605</v>
      </c>
      <c r="O30" s="5"/>
      <c r="P30" s="5">
        <f t="shared" si="6"/>
        <v>1</v>
      </c>
      <c r="Q30" s="7">
        <f t="shared" si="7"/>
        <v>12631</v>
      </c>
    </row>
    <row r="31" spans="1:17">
      <c r="A31" s="23" t="s">
        <v>530</v>
      </c>
      <c r="B31" s="35" t="s">
        <v>33</v>
      </c>
      <c r="C31" s="36">
        <v>4026</v>
      </c>
      <c r="D31" s="113">
        <v>599558382</v>
      </c>
      <c r="E31" s="116">
        <f t="shared" si="8"/>
        <v>148921.60506706408</v>
      </c>
      <c r="F31" s="117">
        <v>402468596</v>
      </c>
      <c r="G31" s="117">
        <f t="shared" si="9"/>
        <v>99967.361152508689</v>
      </c>
      <c r="H31" s="9"/>
      <c r="I31" s="101">
        <v>1</v>
      </c>
      <c r="J31" s="117">
        <v>402469</v>
      </c>
      <c r="K31" s="120">
        <f t="shared" si="10"/>
        <v>99.96746150024839</v>
      </c>
      <c r="L31" s="122">
        <f t="shared" si="3"/>
        <v>4024685.96</v>
      </c>
      <c r="M31" s="116">
        <f t="shared" si="4"/>
        <v>3622216.96</v>
      </c>
      <c r="N31" s="123">
        <f t="shared" si="5"/>
        <v>899.70615002483851</v>
      </c>
      <c r="O31" s="5"/>
      <c r="P31" s="5">
        <f t="shared" si="6"/>
        <v>1</v>
      </c>
      <c r="Q31" s="7">
        <f t="shared" si="7"/>
        <v>4026</v>
      </c>
    </row>
    <row r="32" spans="1:17">
      <c r="A32" s="23" t="s">
        <v>36</v>
      </c>
      <c r="B32" s="35" t="s">
        <v>33</v>
      </c>
      <c r="C32" s="36">
        <v>3003</v>
      </c>
      <c r="D32" s="113">
        <v>476295439</v>
      </c>
      <c r="E32" s="116">
        <f t="shared" si="8"/>
        <v>158606.53979353979</v>
      </c>
      <c r="F32" s="117">
        <v>329467679</v>
      </c>
      <c r="G32" s="117">
        <f t="shared" si="9"/>
        <v>109712.84681984682</v>
      </c>
      <c r="H32" s="7"/>
      <c r="I32" s="101">
        <v>5.5373999999999999</v>
      </c>
      <c r="J32" s="117">
        <v>1824394</v>
      </c>
      <c r="K32" s="120">
        <f t="shared" si="10"/>
        <v>607.52380952380952</v>
      </c>
      <c r="L32" s="122">
        <f t="shared" si="3"/>
        <v>3294676.79</v>
      </c>
      <c r="M32" s="116">
        <f t="shared" si="4"/>
        <v>1470282.79</v>
      </c>
      <c r="N32" s="123">
        <f t="shared" si="5"/>
        <v>489.60465867465871</v>
      </c>
      <c r="O32" s="5"/>
      <c r="P32" s="5">
        <f t="shared" si="6"/>
        <v>1</v>
      </c>
      <c r="Q32" s="7">
        <f t="shared" si="7"/>
        <v>3003</v>
      </c>
    </row>
    <row r="33" spans="1:17">
      <c r="A33" s="23" t="s">
        <v>37</v>
      </c>
      <c r="B33" s="35" t="s">
        <v>33</v>
      </c>
      <c r="C33" s="36">
        <v>8751</v>
      </c>
      <c r="D33" s="113">
        <v>1078701254</v>
      </c>
      <c r="E33" s="116">
        <f t="shared" si="8"/>
        <v>123266.05576505543</v>
      </c>
      <c r="F33" s="117">
        <v>769989472</v>
      </c>
      <c r="G33" s="117">
        <f t="shared" si="9"/>
        <v>87988.740943892131</v>
      </c>
      <c r="H33" s="7"/>
      <c r="I33" s="101">
        <v>4.7697000000000003</v>
      </c>
      <c r="J33" s="117">
        <v>3672619</v>
      </c>
      <c r="K33" s="120">
        <f t="shared" si="10"/>
        <v>419.67992229459492</v>
      </c>
      <c r="L33" s="122">
        <f t="shared" si="3"/>
        <v>7699894.7199999997</v>
      </c>
      <c r="M33" s="116">
        <f t="shared" si="4"/>
        <v>4027275.7199999997</v>
      </c>
      <c r="N33" s="123">
        <f t="shared" si="5"/>
        <v>460.20748714432631</v>
      </c>
      <c r="O33" s="5"/>
      <c r="P33" s="5">
        <f t="shared" si="6"/>
        <v>1</v>
      </c>
      <c r="Q33" s="7">
        <f t="shared" si="7"/>
        <v>8751</v>
      </c>
    </row>
    <row r="34" spans="1:17">
      <c r="A34" s="23" t="s">
        <v>38</v>
      </c>
      <c r="B34" s="35" t="s">
        <v>33</v>
      </c>
      <c r="C34" s="36">
        <v>2887</v>
      </c>
      <c r="D34" s="113">
        <v>353469980</v>
      </c>
      <c r="E34" s="116">
        <f t="shared" si="8"/>
        <v>122435.04676134395</v>
      </c>
      <c r="F34" s="117">
        <v>243961829</v>
      </c>
      <c r="G34" s="117">
        <f t="shared" si="9"/>
        <v>84503.577762383095</v>
      </c>
      <c r="H34" s="7"/>
      <c r="I34" s="101">
        <v>1.663</v>
      </c>
      <c r="J34" s="117">
        <v>405709</v>
      </c>
      <c r="K34" s="120">
        <f t="shared" si="10"/>
        <v>140.52961551783858</v>
      </c>
      <c r="L34" s="122">
        <f t="shared" si="3"/>
        <v>2439618.29</v>
      </c>
      <c r="M34" s="116">
        <f t="shared" si="4"/>
        <v>2033909.29</v>
      </c>
      <c r="N34" s="123">
        <f t="shared" si="5"/>
        <v>704.50616210599242</v>
      </c>
      <c r="O34" s="5"/>
      <c r="P34" s="5">
        <f t="shared" si="6"/>
        <v>1</v>
      </c>
      <c r="Q34" s="7">
        <f t="shared" si="7"/>
        <v>2887</v>
      </c>
    </row>
    <row r="35" spans="1:17">
      <c r="A35" s="23" t="s">
        <v>39</v>
      </c>
      <c r="B35" s="35" t="s">
        <v>33</v>
      </c>
      <c r="C35" s="36">
        <v>78323</v>
      </c>
      <c r="D35" s="113">
        <v>6833705290</v>
      </c>
      <c r="E35" s="116">
        <f t="shared" si="8"/>
        <v>87250.300550285363</v>
      </c>
      <c r="F35" s="117">
        <v>4412003115</v>
      </c>
      <c r="G35" s="117">
        <f t="shared" si="9"/>
        <v>56330.874902646734</v>
      </c>
      <c r="H35" s="7"/>
      <c r="I35" s="101">
        <v>5.1287000000000003</v>
      </c>
      <c r="J35" s="117">
        <v>22627840</v>
      </c>
      <c r="K35" s="120">
        <f t="shared" si="10"/>
        <v>288.90415331384139</v>
      </c>
      <c r="L35" s="122">
        <f t="shared" si="3"/>
        <v>44120031.149999999</v>
      </c>
      <c r="M35" s="116">
        <f t="shared" si="4"/>
        <v>21492191.149999999</v>
      </c>
      <c r="N35" s="123">
        <f t="shared" si="5"/>
        <v>274.40459571262591</v>
      </c>
      <c r="O35" s="5"/>
      <c r="P35" s="5">
        <f t="shared" si="6"/>
        <v>1</v>
      </c>
      <c r="Q35" s="7">
        <f t="shared" si="7"/>
        <v>78323</v>
      </c>
    </row>
    <row r="36" spans="1:17">
      <c r="A36" s="23" t="s">
        <v>40</v>
      </c>
      <c r="B36" s="35" t="s">
        <v>33</v>
      </c>
      <c r="C36" s="36">
        <v>3293</v>
      </c>
      <c r="D36" s="113">
        <v>499777672</v>
      </c>
      <c r="E36" s="116">
        <f t="shared" si="8"/>
        <v>151769.71515335562</v>
      </c>
      <c r="F36" s="117">
        <v>316684968</v>
      </c>
      <c r="G36" s="117">
        <f t="shared" si="9"/>
        <v>96169.136957181894</v>
      </c>
      <c r="H36" s="7"/>
      <c r="I36" s="101">
        <v>3.0672999999999999</v>
      </c>
      <c r="J36" s="117">
        <v>971368</v>
      </c>
      <c r="K36" s="120">
        <f t="shared" si="10"/>
        <v>294.97965381111447</v>
      </c>
      <c r="L36" s="122">
        <f t="shared" si="3"/>
        <v>3166849.68</v>
      </c>
      <c r="M36" s="116">
        <f t="shared" si="4"/>
        <v>2195481.6800000002</v>
      </c>
      <c r="N36" s="123">
        <f t="shared" si="5"/>
        <v>666.71171576070458</v>
      </c>
      <c r="O36" s="5"/>
      <c r="P36" s="5">
        <f t="shared" si="6"/>
        <v>1</v>
      </c>
      <c r="Q36" s="7">
        <f t="shared" si="7"/>
        <v>3293</v>
      </c>
    </row>
    <row r="37" spans="1:17">
      <c r="A37" s="23" t="s">
        <v>41</v>
      </c>
      <c r="B37" s="35" t="s">
        <v>33</v>
      </c>
      <c r="C37" s="36">
        <v>721</v>
      </c>
      <c r="D37" s="113">
        <v>68429473</v>
      </c>
      <c r="E37" s="116">
        <f t="shared" si="8"/>
        <v>94909.116504854363</v>
      </c>
      <c r="F37" s="117">
        <v>45914630</v>
      </c>
      <c r="G37" s="117">
        <f t="shared" si="9"/>
        <v>63681.872399445216</v>
      </c>
      <c r="H37" s="7"/>
      <c r="I37" s="101">
        <v>6.1795999999999998</v>
      </c>
      <c r="J37" s="117">
        <v>283734</v>
      </c>
      <c r="K37" s="120">
        <f t="shared" si="10"/>
        <v>393.52843273231622</v>
      </c>
      <c r="L37" s="122">
        <f t="shared" si="3"/>
        <v>459146.3</v>
      </c>
      <c r="M37" s="116">
        <f t="shared" si="4"/>
        <v>175412.3</v>
      </c>
      <c r="N37" s="123">
        <f t="shared" si="5"/>
        <v>243.2902912621359</v>
      </c>
      <c r="O37" s="5"/>
      <c r="P37" s="5">
        <f t="shared" si="6"/>
        <v>1</v>
      </c>
      <c r="Q37" s="7">
        <f t="shared" si="7"/>
        <v>721</v>
      </c>
    </row>
    <row r="38" spans="1:17">
      <c r="A38" s="23" t="s">
        <v>42</v>
      </c>
      <c r="B38" s="35" t="s">
        <v>33</v>
      </c>
      <c r="C38" s="36">
        <v>102397</v>
      </c>
      <c r="D38" s="113">
        <v>6155116237</v>
      </c>
      <c r="E38" s="116">
        <f t="shared" si="8"/>
        <v>60110.318046427143</v>
      </c>
      <c r="F38" s="117">
        <v>4054320159</v>
      </c>
      <c r="G38" s="117">
        <f t="shared" si="9"/>
        <v>39594.130287020125</v>
      </c>
      <c r="H38" s="7"/>
      <c r="I38" s="101">
        <v>6.8164999999999996</v>
      </c>
      <c r="J38" s="117">
        <v>27636273</v>
      </c>
      <c r="K38" s="120">
        <f t="shared" si="10"/>
        <v>269.89338554840475</v>
      </c>
      <c r="L38" s="122">
        <f t="shared" si="3"/>
        <v>40543201.590000004</v>
      </c>
      <c r="M38" s="116">
        <f t="shared" si="4"/>
        <v>12906928.590000004</v>
      </c>
      <c r="N38" s="123">
        <f t="shared" si="5"/>
        <v>126.04791732179658</v>
      </c>
      <c r="O38" s="5"/>
      <c r="P38" s="5">
        <f t="shared" si="6"/>
        <v>1</v>
      </c>
      <c r="Q38" s="7">
        <f t="shared" si="7"/>
        <v>102397</v>
      </c>
    </row>
    <row r="39" spans="1:17">
      <c r="A39" s="23" t="s">
        <v>43</v>
      </c>
      <c r="B39" s="35" t="s">
        <v>33</v>
      </c>
      <c r="C39" s="36">
        <v>951</v>
      </c>
      <c r="D39" s="114" t="s">
        <v>564</v>
      </c>
      <c r="E39" s="116"/>
      <c r="F39" s="117"/>
      <c r="G39" s="117"/>
      <c r="H39" s="9" t="s">
        <v>528</v>
      </c>
      <c r="I39" s="101"/>
      <c r="J39" s="117"/>
      <c r="K39" s="120"/>
      <c r="L39" s="122">
        <f t="shared" si="3"/>
        <v>0</v>
      </c>
      <c r="M39" s="116">
        <f t="shared" si="4"/>
        <v>0</v>
      </c>
      <c r="N39" s="123">
        <f t="shared" si="5"/>
        <v>0</v>
      </c>
      <c r="O39" s="5"/>
      <c r="P39" s="5">
        <f t="shared" si="6"/>
        <v>0</v>
      </c>
      <c r="Q39" s="7">
        <f t="shared" si="7"/>
        <v>0</v>
      </c>
    </row>
    <row r="40" spans="1:17">
      <c r="A40" s="23" t="s">
        <v>44</v>
      </c>
      <c r="B40" s="35" t="s">
        <v>33</v>
      </c>
      <c r="C40" s="36">
        <v>25657</v>
      </c>
      <c r="D40" s="113">
        <v>2117694889</v>
      </c>
      <c r="E40" s="116">
        <f t="shared" ref="E40:E74" si="11">(D40/C40)</f>
        <v>82538.679073936932</v>
      </c>
      <c r="F40" s="117">
        <v>1295507830</v>
      </c>
      <c r="G40" s="117">
        <f t="shared" ref="G40:G74" si="12">(F40/C40)</f>
        <v>50493.348014187162</v>
      </c>
      <c r="H40" s="7"/>
      <c r="I40" s="101">
        <v>5.35</v>
      </c>
      <c r="J40" s="117">
        <v>6930967</v>
      </c>
      <c r="K40" s="120">
        <f t="shared" ref="K40:K74" si="13">(J40/C40)</f>
        <v>270.13941614374244</v>
      </c>
      <c r="L40" s="122">
        <f t="shared" si="3"/>
        <v>12955078.300000001</v>
      </c>
      <c r="M40" s="116">
        <f t="shared" si="4"/>
        <v>6024111.3000000007</v>
      </c>
      <c r="N40" s="123">
        <f t="shared" si="5"/>
        <v>234.79406399812919</v>
      </c>
      <c r="O40" s="5"/>
      <c r="P40" s="5">
        <f t="shared" si="6"/>
        <v>1</v>
      </c>
      <c r="Q40" s="7">
        <f t="shared" si="7"/>
        <v>25657</v>
      </c>
    </row>
    <row r="41" spans="1:17">
      <c r="A41" s="23" t="s">
        <v>45</v>
      </c>
      <c r="B41" s="35" t="s">
        <v>33</v>
      </c>
      <c r="C41" s="36">
        <v>10884</v>
      </c>
      <c r="D41" s="113">
        <v>1113963279</v>
      </c>
      <c r="E41" s="116">
        <f t="shared" si="11"/>
        <v>102348.7025909592</v>
      </c>
      <c r="F41" s="117">
        <v>723485530</v>
      </c>
      <c r="G41" s="117">
        <f t="shared" si="12"/>
        <v>66472.393421536195</v>
      </c>
      <c r="H41" s="7"/>
      <c r="I41" s="101">
        <v>7.8193000000000001</v>
      </c>
      <c r="J41" s="121">
        <v>5657150</v>
      </c>
      <c r="K41" s="120">
        <f t="shared" si="13"/>
        <v>519.76754869533261</v>
      </c>
      <c r="L41" s="122">
        <f t="shared" si="3"/>
        <v>7234855.2999999998</v>
      </c>
      <c r="M41" s="116">
        <f t="shared" si="4"/>
        <v>1577705.2999999998</v>
      </c>
      <c r="N41" s="123">
        <f t="shared" si="5"/>
        <v>144.95638552002939</v>
      </c>
      <c r="O41" s="5"/>
      <c r="P41" s="5">
        <f t="shared" si="6"/>
        <v>1</v>
      </c>
      <c r="Q41" s="7">
        <f t="shared" si="7"/>
        <v>10884</v>
      </c>
    </row>
    <row r="42" spans="1:17">
      <c r="A42" s="23" t="s">
        <v>46</v>
      </c>
      <c r="B42" s="35" t="s">
        <v>33</v>
      </c>
      <c r="C42" s="36">
        <v>45490</v>
      </c>
      <c r="D42" s="113">
        <v>3091770805</v>
      </c>
      <c r="E42" s="116">
        <f t="shared" si="11"/>
        <v>67965.944273466695</v>
      </c>
      <c r="F42" s="117">
        <v>1902539461</v>
      </c>
      <c r="G42" s="117">
        <f t="shared" si="12"/>
        <v>41823.246010112111</v>
      </c>
      <c r="H42" s="7"/>
      <c r="I42" s="101">
        <v>5.9107000000000003</v>
      </c>
      <c r="J42" s="117">
        <v>11245340</v>
      </c>
      <c r="K42" s="120">
        <f t="shared" si="13"/>
        <v>247.20466036491536</v>
      </c>
      <c r="L42" s="122">
        <f t="shared" si="3"/>
        <v>19025394.609999999</v>
      </c>
      <c r="M42" s="116">
        <f t="shared" si="4"/>
        <v>7780054.6099999994</v>
      </c>
      <c r="N42" s="123">
        <f t="shared" si="5"/>
        <v>171.02779973620574</v>
      </c>
      <c r="O42" s="5"/>
      <c r="P42" s="5">
        <f t="shared" si="6"/>
        <v>1</v>
      </c>
      <c r="Q42" s="7">
        <f t="shared" si="7"/>
        <v>45490</v>
      </c>
    </row>
    <row r="43" spans="1:17">
      <c r="A43" s="23" t="s">
        <v>47</v>
      </c>
      <c r="B43" s="35" t="s">
        <v>33</v>
      </c>
      <c r="C43" s="36">
        <v>16570</v>
      </c>
      <c r="D43" s="113">
        <v>1585423122</v>
      </c>
      <c r="E43" s="116">
        <f t="shared" si="11"/>
        <v>95680.333252866621</v>
      </c>
      <c r="F43" s="117">
        <v>1174924591</v>
      </c>
      <c r="G43" s="117">
        <f t="shared" si="12"/>
        <v>70906.734520217258</v>
      </c>
      <c r="H43" s="98"/>
      <c r="I43" s="101">
        <v>2.2974999999999999</v>
      </c>
      <c r="J43" s="117">
        <v>2699389</v>
      </c>
      <c r="K43" s="120">
        <f t="shared" si="13"/>
        <v>162.90820760410381</v>
      </c>
      <c r="L43" s="122">
        <f t="shared" si="3"/>
        <v>11749245.91</v>
      </c>
      <c r="M43" s="116">
        <f t="shared" si="4"/>
        <v>9049856.9100000001</v>
      </c>
      <c r="N43" s="123">
        <f t="shared" si="5"/>
        <v>546.15913759806881</v>
      </c>
      <c r="O43" s="5"/>
      <c r="P43" s="5">
        <f t="shared" si="6"/>
        <v>1</v>
      </c>
      <c r="Q43" s="7">
        <f t="shared" si="7"/>
        <v>16570</v>
      </c>
    </row>
    <row r="44" spans="1:17">
      <c r="A44" s="23" t="s">
        <v>48</v>
      </c>
      <c r="B44" s="35" t="s">
        <v>49</v>
      </c>
      <c r="C44" s="36">
        <v>47804</v>
      </c>
      <c r="D44" s="113">
        <v>4640940538</v>
      </c>
      <c r="E44" s="116">
        <f t="shared" si="11"/>
        <v>97082.682160488665</v>
      </c>
      <c r="F44" s="117">
        <v>2998192478</v>
      </c>
      <c r="G44" s="117">
        <f t="shared" si="12"/>
        <v>62718.443603045773</v>
      </c>
      <c r="H44" s="98"/>
      <c r="I44" s="102">
        <v>5.6837</v>
      </c>
      <c r="J44" s="117">
        <v>17040827</v>
      </c>
      <c r="K44" s="120">
        <f t="shared" si="13"/>
        <v>356.47282654171198</v>
      </c>
      <c r="L44" s="122">
        <f t="shared" si="3"/>
        <v>29981924.780000001</v>
      </c>
      <c r="M44" s="116">
        <f t="shared" si="4"/>
        <v>12941097.780000001</v>
      </c>
      <c r="N44" s="123">
        <f t="shared" si="5"/>
        <v>270.71160948874575</v>
      </c>
      <c r="O44" s="5"/>
      <c r="P44" s="5">
        <f t="shared" si="6"/>
        <v>1</v>
      </c>
      <c r="Q44" s="7">
        <f t="shared" si="7"/>
        <v>47804</v>
      </c>
    </row>
    <row r="45" spans="1:17">
      <c r="A45" s="23" t="s">
        <v>50</v>
      </c>
      <c r="B45" s="35" t="s">
        <v>49</v>
      </c>
      <c r="C45" s="36">
        <v>29849</v>
      </c>
      <c r="D45" s="113">
        <v>3226559885</v>
      </c>
      <c r="E45" s="116">
        <f t="shared" si="11"/>
        <v>108096.07976816644</v>
      </c>
      <c r="F45" s="117">
        <v>1957090696</v>
      </c>
      <c r="G45" s="117">
        <f t="shared" si="12"/>
        <v>65566.373948876004</v>
      </c>
      <c r="H45" s="98"/>
      <c r="I45" s="101">
        <v>4.7704000000000004</v>
      </c>
      <c r="J45" s="117">
        <v>9336105</v>
      </c>
      <c r="K45" s="120">
        <f t="shared" si="13"/>
        <v>312.77781500217765</v>
      </c>
      <c r="L45" s="122">
        <f t="shared" si="3"/>
        <v>19570906.960000001</v>
      </c>
      <c r="M45" s="116">
        <f t="shared" si="4"/>
        <v>10234801.960000001</v>
      </c>
      <c r="N45" s="123">
        <f t="shared" si="5"/>
        <v>342.8859244865825</v>
      </c>
      <c r="O45" s="5"/>
      <c r="P45" s="5">
        <f t="shared" si="6"/>
        <v>1</v>
      </c>
      <c r="Q45" s="7">
        <f t="shared" si="7"/>
        <v>29849</v>
      </c>
    </row>
    <row r="46" spans="1:17">
      <c r="A46" s="23" t="s">
        <v>51</v>
      </c>
      <c r="B46" s="35" t="s">
        <v>49</v>
      </c>
      <c r="C46" s="36">
        <v>127198</v>
      </c>
      <c r="D46" s="113">
        <v>11960498923</v>
      </c>
      <c r="E46" s="116">
        <f t="shared" si="11"/>
        <v>94030.558051227214</v>
      </c>
      <c r="F46" s="117">
        <v>8522684714</v>
      </c>
      <c r="G46" s="117">
        <f t="shared" si="12"/>
        <v>67003.291828487869</v>
      </c>
      <c r="H46" s="98"/>
      <c r="I46" s="101">
        <v>3.8866000000000001</v>
      </c>
      <c r="J46" s="117">
        <v>33124266</v>
      </c>
      <c r="K46" s="120">
        <f t="shared" si="13"/>
        <v>260.41499080174219</v>
      </c>
      <c r="L46" s="122">
        <f t="shared" si="3"/>
        <v>85226847.140000001</v>
      </c>
      <c r="M46" s="116">
        <f t="shared" si="4"/>
        <v>52102581.140000001</v>
      </c>
      <c r="N46" s="123">
        <f t="shared" si="5"/>
        <v>409.61792748313655</v>
      </c>
      <c r="O46" s="5"/>
      <c r="P46" s="5">
        <f t="shared" si="6"/>
        <v>1</v>
      </c>
      <c r="Q46" s="7">
        <f t="shared" si="7"/>
        <v>127198</v>
      </c>
    </row>
    <row r="47" spans="1:17">
      <c r="A47" s="23" t="s">
        <v>464</v>
      </c>
      <c r="B47" s="35" t="s">
        <v>49</v>
      </c>
      <c r="C47" s="36">
        <v>28391</v>
      </c>
      <c r="D47" s="113">
        <v>3861781991</v>
      </c>
      <c r="E47" s="116">
        <f t="shared" si="11"/>
        <v>136021.3444753619</v>
      </c>
      <c r="F47" s="117">
        <v>2918243352</v>
      </c>
      <c r="G47" s="117">
        <f t="shared" si="12"/>
        <v>102787.62114754676</v>
      </c>
      <c r="H47" s="98"/>
      <c r="I47" s="101">
        <v>5.8578999999999999</v>
      </c>
      <c r="J47" s="117">
        <v>17094778</v>
      </c>
      <c r="K47" s="120">
        <f t="shared" si="13"/>
        <v>602.11961537106833</v>
      </c>
      <c r="L47" s="122">
        <f t="shared" si="3"/>
        <v>29182433.52</v>
      </c>
      <c r="M47" s="116">
        <f t="shared" si="4"/>
        <v>12087655.52</v>
      </c>
      <c r="N47" s="123">
        <f t="shared" si="5"/>
        <v>425.75659610439925</v>
      </c>
      <c r="O47" s="5"/>
      <c r="P47" s="5">
        <f t="shared" si="6"/>
        <v>1</v>
      </c>
      <c r="Q47" s="7">
        <f t="shared" si="7"/>
        <v>28391</v>
      </c>
    </row>
    <row r="48" spans="1:17">
      <c r="A48" s="23" t="s">
        <v>52</v>
      </c>
      <c r="B48" s="35" t="s">
        <v>49</v>
      </c>
      <c r="C48" s="36">
        <v>91056</v>
      </c>
      <c r="D48" s="113">
        <v>11186513795</v>
      </c>
      <c r="E48" s="116">
        <f t="shared" si="11"/>
        <v>122853.1211013003</v>
      </c>
      <c r="F48" s="117">
        <v>7341237179</v>
      </c>
      <c r="G48" s="117">
        <f t="shared" si="12"/>
        <v>80623.321681163245</v>
      </c>
      <c r="H48" s="98"/>
      <c r="I48" s="102">
        <v>4.8124000000000002</v>
      </c>
      <c r="J48" s="117">
        <v>35328970</v>
      </c>
      <c r="K48" s="120">
        <f t="shared" si="13"/>
        <v>387.99167545246883</v>
      </c>
      <c r="L48" s="122">
        <f t="shared" si="3"/>
        <v>73412371.790000007</v>
      </c>
      <c r="M48" s="116">
        <f t="shared" si="4"/>
        <v>38083401.790000007</v>
      </c>
      <c r="N48" s="123">
        <f t="shared" si="5"/>
        <v>418.24154135916365</v>
      </c>
      <c r="O48" s="5"/>
      <c r="P48" s="5">
        <f t="shared" si="6"/>
        <v>1</v>
      </c>
      <c r="Q48" s="7">
        <f t="shared" si="7"/>
        <v>91056</v>
      </c>
    </row>
    <row r="49" spans="1:17">
      <c r="A49" s="23" t="s">
        <v>53</v>
      </c>
      <c r="B49" s="35" t="s">
        <v>49</v>
      </c>
      <c r="C49" s="36">
        <v>73216</v>
      </c>
      <c r="D49" s="113">
        <v>8383921501</v>
      </c>
      <c r="E49" s="116">
        <f t="shared" si="11"/>
        <v>114509.41735413024</v>
      </c>
      <c r="F49" s="117">
        <v>6090032836</v>
      </c>
      <c r="G49" s="117">
        <f t="shared" si="12"/>
        <v>83178.988690996499</v>
      </c>
      <c r="H49" s="98"/>
      <c r="I49" s="101">
        <v>5.3498999999999999</v>
      </c>
      <c r="J49" s="117">
        <v>32581067</v>
      </c>
      <c r="K49" s="120">
        <f t="shared" si="13"/>
        <v>444.99927611451051</v>
      </c>
      <c r="L49" s="122">
        <f t="shared" si="3"/>
        <v>60900328.359999999</v>
      </c>
      <c r="M49" s="116">
        <f t="shared" si="4"/>
        <v>28319261.359999999</v>
      </c>
      <c r="N49" s="123">
        <f t="shared" si="5"/>
        <v>386.79061079545454</v>
      </c>
      <c r="O49" s="5"/>
      <c r="P49" s="5">
        <f t="shared" si="6"/>
        <v>1</v>
      </c>
      <c r="Q49" s="7">
        <f t="shared" si="7"/>
        <v>73216</v>
      </c>
    </row>
    <row r="50" spans="1:17">
      <c r="A50" s="23" t="s">
        <v>54</v>
      </c>
      <c r="B50" s="35" t="s">
        <v>49</v>
      </c>
      <c r="C50" s="36">
        <v>180706</v>
      </c>
      <c r="D50" s="113">
        <v>37452015295</v>
      </c>
      <c r="E50" s="116">
        <f t="shared" si="11"/>
        <v>207253.85595940368</v>
      </c>
      <c r="F50" s="117">
        <v>27656345750</v>
      </c>
      <c r="G50" s="117">
        <f t="shared" si="12"/>
        <v>153046.0845240335</v>
      </c>
      <c r="H50" s="98"/>
      <c r="I50" s="101">
        <v>4.1193</v>
      </c>
      <c r="J50" s="117">
        <v>113924785</v>
      </c>
      <c r="K50" s="120">
        <f t="shared" si="13"/>
        <v>630.44273571436474</v>
      </c>
      <c r="L50" s="122">
        <f t="shared" si="3"/>
        <v>276563457.5</v>
      </c>
      <c r="M50" s="116">
        <f t="shared" si="4"/>
        <v>162638672.5</v>
      </c>
      <c r="N50" s="123">
        <f t="shared" si="5"/>
        <v>900.01810952597032</v>
      </c>
      <c r="O50" s="5"/>
      <c r="P50" s="5">
        <f t="shared" si="6"/>
        <v>1</v>
      </c>
      <c r="Q50" s="7">
        <f t="shared" si="7"/>
        <v>180706</v>
      </c>
    </row>
    <row r="51" spans="1:17">
      <c r="A51" s="23" t="s">
        <v>465</v>
      </c>
      <c r="B51" s="35" t="s">
        <v>49</v>
      </c>
      <c r="C51" s="36">
        <v>37400</v>
      </c>
      <c r="D51" s="113">
        <v>5186447703</v>
      </c>
      <c r="E51" s="116">
        <f t="shared" si="11"/>
        <v>138675.07227272727</v>
      </c>
      <c r="F51" s="117">
        <v>4124715266</v>
      </c>
      <c r="G51" s="117">
        <f t="shared" si="12"/>
        <v>110286.50443850267</v>
      </c>
      <c r="H51" s="98"/>
      <c r="I51" s="101">
        <v>5.9</v>
      </c>
      <c r="J51" s="117">
        <v>24335820</v>
      </c>
      <c r="K51" s="120">
        <f t="shared" si="13"/>
        <v>650.69037433155086</v>
      </c>
      <c r="L51" s="122">
        <f t="shared" si="3"/>
        <v>41247152.660000004</v>
      </c>
      <c r="M51" s="116">
        <f t="shared" si="4"/>
        <v>16911332.660000004</v>
      </c>
      <c r="N51" s="123">
        <f t="shared" si="5"/>
        <v>452.17467005347606</v>
      </c>
      <c r="O51" s="5"/>
      <c r="P51" s="5">
        <f t="shared" si="6"/>
        <v>1</v>
      </c>
      <c r="Q51" s="7">
        <f t="shared" si="7"/>
        <v>37400</v>
      </c>
    </row>
    <row r="52" spans="1:17">
      <c r="A52" s="23" t="s">
        <v>55</v>
      </c>
      <c r="B52" s="35" t="s">
        <v>49</v>
      </c>
      <c r="C52" s="36">
        <v>2236</v>
      </c>
      <c r="D52" s="113">
        <v>1248794126</v>
      </c>
      <c r="E52" s="116">
        <f t="shared" si="11"/>
        <v>558494.68962432921</v>
      </c>
      <c r="F52" s="117">
        <v>1052622902</v>
      </c>
      <c r="G52" s="117">
        <f t="shared" si="12"/>
        <v>470761.58407871198</v>
      </c>
      <c r="H52" s="98"/>
      <c r="I52" s="101">
        <v>2.96</v>
      </c>
      <c r="J52" s="117">
        <v>3115764</v>
      </c>
      <c r="K52" s="120">
        <f t="shared" si="13"/>
        <v>1393.4543828264759</v>
      </c>
      <c r="L52" s="122">
        <f t="shared" si="3"/>
        <v>10526229.02</v>
      </c>
      <c r="M52" s="116">
        <f t="shared" si="4"/>
        <v>7410465.0199999996</v>
      </c>
      <c r="N52" s="123">
        <f t="shared" si="5"/>
        <v>3314.1614579606439</v>
      </c>
      <c r="O52" s="5"/>
      <c r="P52" s="5">
        <f t="shared" si="6"/>
        <v>1</v>
      </c>
      <c r="Q52" s="7">
        <f t="shared" si="7"/>
        <v>2236</v>
      </c>
    </row>
    <row r="53" spans="1:17">
      <c r="A53" s="23" t="s">
        <v>56</v>
      </c>
      <c r="B53" s="35" t="s">
        <v>49</v>
      </c>
      <c r="C53" s="36">
        <v>141942</v>
      </c>
      <c r="D53" s="113">
        <v>17249389411</v>
      </c>
      <c r="E53" s="116">
        <f t="shared" si="11"/>
        <v>121524.20996604247</v>
      </c>
      <c r="F53" s="117">
        <v>11824017881</v>
      </c>
      <c r="G53" s="117">
        <f t="shared" si="12"/>
        <v>83301.756217328206</v>
      </c>
      <c r="H53" s="98"/>
      <c r="I53" s="101">
        <v>6.0456000000000003</v>
      </c>
      <c r="J53" s="117">
        <v>71483283</v>
      </c>
      <c r="K53" s="120">
        <f t="shared" si="13"/>
        <v>503.60910090036776</v>
      </c>
      <c r="L53" s="122">
        <f t="shared" si="3"/>
        <v>118240178.81</v>
      </c>
      <c r="M53" s="116">
        <f t="shared" si="4"/>
        <v>46756895.810000002</v>
      </c>
      <c r="N53" s="123">
        <f t="shared" si="5"/>
        <v>329.40846127291428</v>
      </c>
      <c r="O53" s="5"/>
      <c r="P53" s="5">
        <f t="shared" si="6"/>
        <v>1</v>
      </c>
      <c r="Q53" s="7">
        <f t="shared" si="7"/>
        <v>141942</v>
      </c>
    </row>
    <row r="54" spans="1:17">
      <c r="A54" s="23" t="s">
        <v>57</v>
      </c>
      <c r="B54" s="35" t="s">
        <v>49</v>
      </c>
      <c r="C54" s="36">
        <v>31862</v>
      </c>
      <c r="D54" s="113">
        <v>1761240387</v>
      </c>
      <c r="E54" s="116">
        <f t="shared" si="11"/>
        <v>55277.144780616407</v>
      </c>
      <c r="F54" s="117">
        <v>1079175387</v>
      </c>
      <c r="G54" s="117">
        <f t="shared" si="12"/>
        <v>33870.296497395015</v>
      </c>
      <c r="H54" s="98"/>
      <c r="I54" s="101">
        <v>6.55</v>
      </c>
      <c r="J54" s="117">
        <v>7068599</v>
      </c>
      <c r="K54" s="120">
        <f t="shared" si="13"/>
        <v>221.85044881049527</v>
      </c>
      <c r="L54" s="122">
        <f t="shared" si="3"/>
        <v>10791753.870000001</v>
      </c>
      <c r="M54" s="116">
        <f t="shared" si="4"/>
        <v>3723154.870000001</v>
      </c>
      <c r="N54" s="123">
        <f t="shared" si="5"/>
        <v>116.85251616345494</v>
      </c>
      <c r="O54" s="5"/>
      <c r="P54" s="5">
        <f t="shared" si="6"/>
        <v>1</v>
      </c>
      <c r="Q54" s="7">
        <f t="shared" si="7"/>
        <v>31862</v>
      </c>
    </row>
    <row r="55" spans="1:17">
      <c r="A55" s="23" t="s">
        <v>560</v>
      </c>
      <c r="B55" s="35" t="s">
        <v>49</v>
      </c>
      <c r="C55" s="36">
        <v>5920</v>
      </c>
      <c r="D55" s="113">
        <v>2305670028</v>
      </c>
      <c r="E55" s="116">
        <f t="shared" si="11"/>
        <v>389471.28851351351</v>
      </c>
      <c r="F55" s="117">
        <v>1925972458</v>
      </c>
      <c r="G55" s="117">
        <f t="shared" si="12"/>
        <v>325333.18547297298</v>
      </c>
      <c r="H55" s="98"/>
      <c r="I55" s="101">
        <v>3.9990000000000001</v>
      </c>
      <c r="J55" s="117">
        <v>7701964</v>
      </c>
      <c r="K55" s="120">
        <f t="shared" si="13"/>
        <v>1301.0074324324323</v>
      </c>
      <c r="L55" s="122">
        <f t="shared" si="3"/>
        <v>19259724.580000002</v>
      </c>
      <c r="M55" s="116">
        <f t="shared" si="4"/>
        <v>11557760.580000002</v>
      </c>
      <c r="N55" s="123">
        <f t="shared" si="5"/>
        <v>1952.3244222972976</v>
      </c>
      <c r="O55" s="5"/>
      <c r="P55" s="5">
        <f t="shared" si="6"/>
        <v>1</v>
      </c>
      <c r="Q55" s="7">
        <f t="shared" si="7"/>
        <v>5920</v>
      </c>
    </row>
    <row r="56" spans="1:17">
      <c r="A56" s="23" t="s">
        <v>58</v>
      </c>
      <c r="B56" s="35" t="s">
        <v>49</v>
      </c>
      <c r="C56" s="36">
        <v>64000</v>
      </c>
      <c r="D56" s="113">
        <v>3743643698</v>
      </c>
      <c r="E56" s="116">
        <f t="shared" si="11"/>
        <v>58494.432781249998</v>
      </c>
      <c r="F56" s="117">
        <v>2376012968</v>
      </c>
      <c r="G56" s="117">
        <f t="shared" si="12"/>
        <v>37125.202624999998</v>
      </c>
      <c r="H56" s="98"/>
      <c r="I56" s="101">
        <v>5.9573999999999998</v>
      </c>
      <c r="J56" s="117">
        <v>14154860</v>
      </c>
      <c r="K56" s="120">
        <f t="shared" si="13"/>
        <v>221.16968750000001</v>
      </c>
      <c r="L56" s="122">
        <f t="shared" si="3"/>
        <v>23760129.68</v>
      </c>
      <c r="M56" s="116">
        <f t="shared" si="4"/>
        <v>9605269.6799999997</v>
      </c>
      <c r="N56" s="123">
        <f t="shared" si="5"/>
        <v>150.08233874999999</v>
      </c>
      <c r="O56" s="5"/>
      <c r="P56" s="5">
        <f t="shared" si="6"/>
        <v>1</v>
      </c>
      <c r="Q56" s="7">
        <f t="shared" si="7"/>
        <v>64000</v>
      </c>
    </row>
    <row r="57" spans="1:17">
      <c r="A57" s="23" t="s">
        <v>59</v>
      </c>
      <c r="B57" s="35" t="s">
        <v>49</v>
      </c>
      <c r="C57" s="36">
        <v>39</v>
      </c>
      <c r="D57" s="113">
        <v>7758330</v>
      </c>
      <c r="E57" s="116">
        <f t="shared" si="11"/>
        <v>198931.53846153847</v>
      </c>
      <c r="F57" s="117">
        <v>6011199</v>
      </c>
      <c r="G57" s="117">
        <f t="shared" si="12"/>
        <v>154133.30769230769</v>
      </c>
      <c r="H57" s="98"/>
      <c r="I57" s="101">
        <v>4.3775000000000004</v>
      </c>
      <c r="J57" s="117">
        <v>26314</v>
      </c>
      <c r="K57" s="120">
        <f t="shared" si="13"/>
        <v>674.71794871794873</v>
      </c>
      <c r="L57" s="122">
        <f t="shared" si="3"/>
        <v>60111.99</v>
      </c>
      <c r="M57" s="116">
        <f t="shared" si="4"/>
        <v>33797.99</v>
      </c>
      <c r="N57" s="123">
        <f t="shared" si="5"/>
        <v>866.61512820512814</v>
      </c>
      <c r="O57" s="5"/>
      <c r="P57" s="5">
        <f t="shared" si="6"/>
        <v>1</v>
      </c>
      <c r="Q57" s="7">
        <f t="shared" si="7"/>
        <v>39</v>
      </c>
    </row>
    <row r="58" spans="1:17">
      <c r="A58" s="23" t="s">
        <v>60</v>
      </c>
      <c r="B58" s="35" t="s">
        <v>49</v>
      </c>
      <c r="C58" s="36">
        <v>10955</v>
      </c>
      <c r="D58" s="113">
        <v>2477670507</v>
      </c>
      <c r="E58" s="116">
        <f t="shared" si="11"/>
        <v>226168.00611592879</v>
      </c>
      <c r="F58" s="117">
        <v>1856075228</v>
      </c>
      <c r="G58" s="117">
        <f t="shared" si="12"/>
        <v>169427.2230031949</v>
      </c>
      <c r="H58" s="98"/>
      <c r="I58" s="101">
        <v>3.6187999999999998</v>
      </c>
      <c r="J58" s="117">
        <v>6716765</v>
      </c>
      <c r="K58" s="120">
        <f t="shared" si="13"/>
        <v>613.12323140118667</v>
      </c>
      <c r="L58" s="122">
        <f t="shared" si="3"/>
        <v>18560752.280000001</v>
      </c>
      <c r="M58" s="116">
        <f t="shared" si="4"/>
        <v>11843987.280000001</v>
      </c>
      <c r="N58" s="123">
        <f t="shared" si="5"/>
        <v>1081.1489986307622</v>
      </c>
      <c r="O58" s="5"/>
      <c r="P58" s="5">
        <f t="shared" si="6"/>
        <v>1</v>
      </c>
      <c r="Q58" s="7">
        <f t="shared" si="7"/>
        <v>10955</v>
      </c>
    </row>
    <row r="59" spans="1:17">
      <c r="A59" s="23" t="s">
        <v>61</v>
      </c>
      <c r="B59" s="35" t="s">
        <v>49</v>
      </c>
      <c r="C59" s="36">
        <v>53207</v>
      </c>
      <c r="D59" s="113">
        <v>3880650527</v>
      </c>
      <c r="E59" s="116">
        <f t="shared" si="11"/>
        <v>72934.962072659619</v>
      </c>
      <c r="F59" s="117">
        <v>2600804703</v>
      </c>
      <c r="G59" s="117">
        <f t="shared" si="12"/>
        <v>48880.874753321928</v>
      </c>
      <c r="H59" s="98"/>
      <c r="I59" s="101">
        <v>7.75</v>
      </c>
      <c r="J59" s="117">
        <v>20156236</v>
      </c>
      <c r="K59" s="120">
        <f t="shared" si="13"/>
        <v>378.82677091360159</v>
      </c>
      <c r="L59" s="122">
        <f t="shared" si="3"/>
        <v>26008047.030000001</v>
      </c>
      <c r="M59" s="116">
        <f t="shared" si="4"/>
        <v>5851811.0300000012</v>
      </c>
      <c r="N59" s="123">
        <f t="shared" si="5"/>
        <v>109.98197661961774</v>
      </c>
      <c r="O59" s="5"/>
      <c r="P59" s="5">
        <f t="shared" si="6"/>
        <v>1</v>
      </c>
      <c r="Q59" s="7">
        <f t="shared" si="7"/>
        <v>53207</v>
      </c>
    </row>
    <row r="60" spans="1:17">
      <c r="A60" s="23" t="s">
        <v>62</v>
      </c>
      <c r="B60" s="35" t="s">
        <v>49</v>
      </c>
      <c r="C60" s="36">
        <v>112552</v>
      </c>
      <c r="D60" s="113">
        <v>11094695591</v>
      </c>
      <c r="E60" s="116">
        <f t="shared" si="11"/>
        <v>98573.953292700258</v>
      </c>
      <c r="F60" s="117">
        <v>8027933734</v>
      </c>
      <c r="G60" s="117">
        <f t="shared" si="12"/>
        <v>71326.44230222475</v>
      </c>
      <c r="H60" s="98"/>
      <c r="I60" s="101">
        <v>6.4653999999999998</v>
      </c>
      <c r="J60" s="117">
        <v>51903803</v>
      </c>
      <c r="K60" s="120">
        <f t="shared" si="13"/>
        <v>461.15398215935744</v>
      </c>
      <c r="L60" s="122">
        <f t="shared" si="3"/>
        <v>80279337.340000004</v>
      </c>
      <c r="M60" s="116">
        <f t="shared" si="4"/>
        <v>28375534.340000004</v>
      </c>
      <c r="N60" s="123">
        <f t="shared" si="5"/>
        <v>252.11044086289007</v>
      </c>
      <c r="O60" s="5"/>
      <c r="P60" s="5">
        <f t="shared" si="6"/>
        <v>1</v>
      </c>
      <c r="Q60" s="7">
        <f t="shared" si="7"/>
        <v>112552</v>
      </c>
    </row>
    <row r="61" spans="1:17">
      <c r="A61" s="23" t="s">
        <v>63</v>
      </c>
      <c r="B61" s="35" t="s">
        <v>49</v>
      </c>
      <c r="C61" s="36">
        <v>41310</v>
      </c>
      <c r="D61" s="113">
        <v>2181758007</v>
      </c>
      <c r="E61" s="116">
        <f t="shared" si="11"/>
        <v>52814.282425562815</v>
      </c>
      <c r="F61" s="117">
        <v>1385470637</v>
      </c>
      <c r="G61" s="117">
        <f t="shared" si="12"/>
        <v>33538.383853788429</v>
      </c>
      <c r="H61" s="98"/>
      <c r="I61" s="101">
        <v>6.9184999999999999</v>
      </c>
      <c r="J61" s="117">
        <v>9585379</v>
      </c>
      <c r="K61" s="120">
        <f t="shared" si="13"/>
        <v>232.03531832486081</v>
      </c>
      <c r="L61" s="122">
        <f t="shared" si="3"/>
        <v>13854706.370000001</v>
      </c>
      <c r="M61" s="116">
        <f t="shared" si="4"/>
        <v>4269327.370000001</v>
      </c>
      <c r="N61" s="123">
        <f t="shared" si="5"/>
        <v>103.34852021302351</v>
      </c>
      <c r="O61" s="5"/>
      <c r="P61" s="5">
        <f t="shared" si="6"/>
        <v>1</v>
      </c>
      <c r="Q61" s="7">
        <f t="shared" si="7"/>
        <v>41310</v>
      </c>
    </row>
    <row r="62" spans="1:17">
      <c r="A62" s="23" t="s">
        <v>64</v>
      </c>
      <c r="B62" s="35" t="s">
        <v>49</v>
      </c>
      <c r="C62" s="36">
        <v>41756</v>
      </c>
      <c r="D62" s="113">
        <v>4007529658</v>
      </c>
      <c r="E62" s="116">
        <f t="shared" si="11"/>
        <v>95974.941517386716</v>
      </c>
      <c r="F62" s="117">
        <v>2747658406</v>
      </c>
      <c r="G62" s="117">
        <f t="shared" si="12"/>
        <v>65802.720710796057</v>
      </c>
      <c r="H62" s="98"/>
      <c r="I62" s="101">
        <v>5.7252000000000001</v>
      </c>
      <c r="J62" s="117">
        <v>15730894</v>
      </c>
      <c r="K62" s="120">
        <f t="shared" si="13"/>
        <v>376.73373886387583</v>
      </c>
      <c r="L62" s="122">
        <f t="shared" si="3"/>
        <v>27476584.060000002</v>
      </c>
      <c r="M62" s="116">
        <f t="shared" si="4"/>
        <v>11745690.060000002</v>
      </c>
      <c r="N62" s="123">
        <f t="shared" si="5"/>
        <v>281.29346824408475</v>
      </c>
      <c r="O62" s="5"/>
      <c r="P62" s="5">
        <f t="shared" si="6"/>
        <v>1</v>
      </c>
      <c r="Q62" s="7">
        <f t="shared" si="7"/>
        <v>41756</v>
      </c>
    </row>
    <row r="63" spans="1:17">
      <c r="A63" s="23" t="s">
        <v>65</v>
      </c>
      <c r="B63" s="35" t="s">
        <v>49</v>
      </c>
      <c r="C63" s="36">
        <v>23647</v>
      </c>
      <c r="D63" s="113">
        <v>3981766304</v>
      </c>
      <c r="E63" s="116">
        <f t="shared" si="11"/>
        <v>168383.57102380853</v>
      </c>
      <c r="F63" s="117">
        <v>3091052041</v>
      </c>
      <c r="G63" s="117">
        <f t="shared" si="12"/>
        <v>130716.45625237873</v>
      </c>
      <c r="H63" s="98"/>
      <c r="I63" s="101">
        <v>4.0198</v>
      </c>
      <c r="J63" s="117">
        <v>12425411</v>
      </c>
      <c r="K63" s="120">
        <f t="shared" si="13"/>
        <v>525.45401107962959</v>
      </c>
      <c r="L63" s="122">
        <f t="shared" si="3"/>
        <v>30910520.41</v>
      </c>
      <c r="M63" s="116">
        <f t="shared" si="4"/>
        <v>18485109.41</v>
      </c>
      <c r="N63" s="123">
        <f t="shared" si="5"/>
        <v>781.71055144415777</v>
      </c>
      <c r="O63" s="5"/>
      <c r="P63" s="5">
        <f t="shared" si="6"/>
        <v>1</v>
      </c>
      <c r="Q63" s="7">
        <f t="shared" si="7"/>
        <v>23647</v>
      </c>
    </row>
    <row r="64" spans="1:17">
      <c r="A64" s="23" t="s">
        <v>66</v>
      </c>
      <c r="B64" s="35" t="s">
        <v>49</v>
      </c>
      <c r="C64" s="36">
        <v>6112</v>
      </c>
      <c r="D64" s="113">
        <v>684640275</v>
      </c>
      <c r="E64" s="116">
        <f t="shared" si="11"/>
        <v>112015.75179973822</v>
      </c>
      <c r="F64" s="117">
        <v>602072556</v>
      </c>
      <c r="G64" s="117">
        <f t="shared" si="12"/>
        <v>98506.635471204194</v>
      </c>
      <c r="H64" s="98"/>
      <c r="I64" s="101">
        <v>8.5</v>
      </c>
      <c r="J64" s="117">
        <v>5117617</v>
      </c>
      <c r="K64" s="120">
        <f t="shared" si="13"/>
        <v>837.30644633507859</v>
      </c>
      <c r="L64" s="122">
        <f t="shared" si="3"/>
        <v>6020725.5600000005</v>
      </c>
      <c r="M64" s="116">
        <f t="shared" si="4"/>
        <v>903108.56000000052</v>
      </c>
      <c r="N64" s="123">
        <f t="shared" si="5"/>
        <v>147.75990837696344</v>
      </c>
      <c r="O64" s="5"/>
      <c r="P64" s="5">
        <f t="shared" si="6"/>
        <v>1</v>
      </c>
      <c r="Q64" s="7">
        <f t="shared" si="7"/>
        <v>6112</v>
      </c>
    </row>
    <row r="65" spans="1:17">
      <c r="A65" s="23" t="s">
        <v>67</v>
      </c>
      <c r="B65" s="35" t="s">
        <v>49</v>
      </c>
      <c r="C65" s="36">
        <v>151193</v>
      </c>
      <c r="D65" s="113">
        <v>14727213419</v>
      </c>
      <c r="E65" s="116">
        <f t="shared" si="11"/>
        <v>97406.714722242425</v>
      </c>
      <c r="F65" s="117">
        <v>9594390734</v>
      </c>
      <c r="G65" s="117">
        <f t="shared" si="12"/>
        <v>63457.903037839053</v>
      </c>
      <c r="H65" s="98"/>
      <c r="I65" s="101">
        <v>5.1249000000000002</v>
      </c>
      <c r="J65" s="117">
        <v>49170293</v>
      </c>
      <c r="K65" s="120">
        <f t="shared" si="13"/>
        <v>325.21540679793378</v>
      </c>
      <c r="L65" s="122">
        <f t="shared" si="3"/>
        <v>95943907.340000004</v>
      </c>
      <c r="M65" s="116">
        <f t="shared" si="4"/>
        <v>46773614.340000004</v>
      </c>
      <c r="N65" s="123">
        <f t="shared" si="5"/>
        <v>309.36362358045682</v>
      </c>
      <c r="O65" s="5"/>
      <c r="P65" s="5">
        <f t="shared" si="6"/>
        <v>1</v>
      </c>
      <c r="Q65" s="7">
        <f t="shared" si="7"/>
        <v>151193</v>
      </c>
    </row>
    <row r="66" spans="1:17">
      <c r="A66" s="23" t="s">
        <v>68</v>
      </c>
      <c r="B66" s="35" t="s">
        <v>49</v>
      </c>
      <c r="C66" s="36">
        <v>84725</v>
      </c>
      <c r="D66" s="113">
        <v>10695837302</v>
      </c>
      <c r="E66" s="116">
        <f t="shared" si="11"/>
        <v>126241.80940690469</v>
      </c>
      <c r="F66" s="117">
        <v>7467833023</v>
      </c>
      <c r="G66" s="117">
        <f t="shared" si="12"/>
        <v>88142.024467394513</v>
      </c>
      <c r="H66" s="98"/>
      <c r="I66" s="101">
        <v>4.5141999999999998</v>
      </c>
      <c r="J66" s="117">
        <v>33711292</v>
      </c>
      <c r="K66" s="120">
        <f t="shared" si="13"/>
        <v>397.890728828563</v>
      </c>
      <c r="L66" s="122">
        <f t="shared" si="3"/>
        <v>74678330.230000004</v>
      </c>
      <c r="M66" s="116">
        <f t="shared" si="4"/>
        <v>40967038.230000004</v>
      </c>
      <c r="N66" s="123">
        <f t="shared" si="5"/>
        <v>483.52951584538215</v>
      </c>
      <c r="O66" s="5"/>
      <c r="P66" s="5">
        <f t="shared" si="6"/>
        <v>1</v>
      </c>
      <c r="Q66" s="7">
        <f t="shared" si="7"/>
        <v>84725</v>
      </c>
    </row>
    <row r="67" spans="1:17">
      <c r="A67" s="23" t="s">
        <v>69</v>
      </c>
      <c r="B67" s="35" t="s">
        <v>49</v>
      </c>
      <c r="C67" s="36">
        <v>99031</v>
      </c>
      <c r="D67" s="113">
        <v>14761897779</v>
      </c>
      <c r="E67" s="116">
        <f t="shared" si="11"/>
        <v>149063.40215690035</v>
      </c>
      <c r="F67" s="117">
        <v>10996493966</v>
      </c>
      <c r="G67" s="117">
        <f t="shared" si="12"/>
        <v>111040.92623521927</v>
      </c>
      <c r="H67" s="98"/>
      <c r="I67" s="101">
        <v>4.0651999999999999</v>
      </c>
      <c r="J67" s="117">
        <v>44702947</v>
      </c>
      <c r="K67" s="120">
        <f t="shared" si="13"/>
        <v>451.40357059910531</v>
      </c>
      <c r="L67" s="122">
        <f t="shared" si="3"/>
        <v>109964939.66</v>
      </c>
      <c r="M67" s="116">
        <f t="shared" si="4"/>
        <v>65261992.659999996</v>
      </c>
      <c r="N67" s="123">
        <f t="shared" si="5"/>
        <v>659.00569175308738</v>
      </c>
      <c r="O67" s="5"/>
      <c r="P67" s="5">
        <f t="shared" si="6"/>
        <v>1</v>
      </c>
      <c r="Q67" s="7">
        <f t="shared" si="7"/>
        <v>99031</v>
      </c>
    </row>
    <row r="68" spans="1:17">
      <c r="A68" s="23" t="s">
        <v>70</v>
      </c>
      <c r="B68" s="35" t="s">
        <v>49</v>
      </c>
      <c r="C68" s="36">
        <v>730</v>
      </c>
      <c r="D68" s="113">
        <v>214569218</v>
      </c>
      <c r="E68" s="116">
        <f t="shared" si="11"/>
        <v>293930.43561643834</v>
      </c>
      <c r="F68" s="117">
        <v>166205283</v>
      </c>
      <c r="G68" s="117">
        <f t="shared" si="12"/>
        <v>227678.46986301368</v>
      </c>
      <c r="H68" s="98"/>
      <c r="I68" s="101">
        <v>7.5</v>
      </c>
      <c r="J68" s="117">
        <v>1246540</v>
      </c>
      <c r="K68" s="120">
        <f t="shared" si="13"/>
        <v>1707.5890410958905</v>
      </c>
      <c r="L68" s="122">
        <f t="shared" si="3"/>
        <v>1662052.83</v>
      </c>
      <c r="M68" s="116">
        <f t="shared" si="4"/>
        <v>415512.83000000007</v>
      </c>
      <c r="N68" s="123">
        <f t="shared" si="5"/>
        <v>569.19565753424672</v>
      </c>
      <c r="O68" s="5"/>
      <c r="P68" s="5">
        <f t="shared" si="6"/>
        <v>1</v>
      </c>
      <c r="Q68" s="7">
        <f t="shared" si="7"/>
        <v>730</v>
      </c>
    </row>
    <row r="69" spans="1:17">
      <c r="A69" s="23" t="s">
        <v>450</v>
      </c>
      <c r="B69" s="35" t="s">
        <v>49</v>
      </c>
      <c r="C69" s="36">
        <v>8570</v>
      </c>
      <c r="D69" s="113">
        <v>2130072287</v>
      </c>
      <c r="E69" s="116">
        <f t="shared" si="11"/>
        <v>248549.85845974329</v>
      </c>
      <c r="F69" s="117">
        <v>1202344899</v>
      </c>
      <c r="G69" s="117">
        <f t="shared" si="12"/>
        <v>140296.95437572928</v>
      </c>
      <c r="H69" s="98"/>
      <c r="I69" s="101">
        <v>3.94</v>
      </c>
      <c r="J69" s="117">
        <v>4737239</v>
      </c>
      <c r="K69" s="120">
        <f t="shared" si="13"/>
        <v>552.77001166861146</v>
      </c>
      <c r="L69" s="122">
        <f t="shared" si="3"/>
        <v>12023448.99</v>
      </c>
      <c r="M69" s="116">
        <f t="shared" si="4"/>
        <v>7286209.9900000002</v>
      </c>
      <c r="N69" s="123">
        <f t="shared" si="5"/>
        <v>850.19953208868151</v>
      </c>
      <c r="O69" s="5"/>
      <c r="P69" s="5">
        <f t="shared" si="6"/>
        <v>1</v>
      </c>
      <c r="Q69" s="7">
        <f t="shared" si="7"/>
        <v>8570</v>
      </c>
    </row>
    <row r="70" spans="1:17">
      <c r="A70" s="23" t="s">
        <v>71</v>
      </c>
      <c r="B70" s="35" t="s">
        <v>49</v>
      </c>
      <c r="C70" s="36">
        <v>89242</v>
      </c>
      <c r="D70" s="113">
        <v>8563070765</v>
      </c>
      <c r="E70" s="116">
        <f t="shared" si="11"/>
        <v>95953.37133860738</v>
      </c>
      <c r="F70" s="117">
        <v>5846117439</v>
      </c>
      <c r="G70" s="117">
        <f t="shared" si="12"/>
        <v>65508.588321642274</v>
      </c>
      <c r="H70" s="98"/>
      <c r="I70" s="101">
        <v>6.0542999999999996</v>
      </c>
      <c r="J70" s="117">
        <v>35394149</v>
      </c>
      <c r="K70" s="120">
        <f t="shared" si="13"/>
        <v>396.60864839425381</v>
      </c>
      <c r="L70" s="122">
        <f t="shared" ref="L70:L133" si="14">(F70*0.01)</f>
        <v>58461174.390000001</v>
      </c>
      <c r="M70" s="116">
        <f t="shared" ref="M70:M133" si="15">(L70-J70)</f>
        <v>23067025.390000001</v>
      </c>
      <c r="N70" s="123">
        <f t="shared" ref="N70:N133" si="16">(M70/C70)</f>
        <v>258.47723482216895</v>
      </c>
      <c r="O70" s="5"/>
      <c r="P70" s="5">
        <f t="shared" ref="P70:P133" si="17">IF(I70&gt;0,1,0)</f>
        <v>1</v>
      </c>
      <c r="Q70" s="7">
        <f t="shared" ref="Q70:Q133" si="18">IF(I70&gt;0,C70,0)</f>
        <v>89242</v>
      </c>
    </row>
    <row r="71" spans="1:17">
      <c r="A71" s="23" t="s">
        <v>72</v>
      </c>
      <c r="B71" s="35" t="s">
        <v>49</v>
      </c>
      <c r="C71" s="36">
        <v>59151</v>
      </c>
      <c r="D71" s="113">
        <v>4885640489</v>
      </c>
      <c r="E71" s="116">
        <f t="shared" si="11"/>
        <v>82596.075958141024</v>
      </c>
      <c r="F71" s="118">
        <v>3232774130</v>
      </c>
      <c r="G71" s="117">
        <f t="shared" si="12"/>
        <v>54652.907474091735</v>
      </c>
      <c r="H71" s="98"/>
      <c r="I71" s="101">
        <v>5.9999000000000002</v>
      </c>
      <c r="J71" s="117">
        <v>19396322</v>
      </c>
      <c r="K71" s="120">
        <f t="shared" si="13"/>
        <v>327.91198796300995</v>
      </c>
      <c r="L71" s="122">
        <f t="shared" si="14"/>
        <v>32327741.300000001</v>
      </c>
      <c r="M71" s="116">
        <f t="shared" si="15"/>
        <v>12931419.300000001</v>
      </c>
      <c r="N71" s="123">
        <f t="shared" si="16"/>
        <v>218.61708677790739</v>
      </c>
      <c r="O71" s="5"/>
      <c r="P71" s="5">
        <f t="shared" si="17"/>
        <v>1</v>
      </c>
      <c r="Q71" s="7">
        <f t="shared" si="18"/>
        <v>59151</v>
      </c>
    </row>
    <row r="72" spans="1:17">
      <c r="A72" s="23" t="s">
        <v>507</v>
      </c>
      <c r="B72" s="35" t="s">
        <v>49</v>
      </c>
      <c r="C72" s="36">
        <v>13575</v>
      </c>
      <c r="D72" s="113">
        <v>847056600</v>
      </c>
      <c r="E72" s="116">
        <f t="shared" si="11"/>
        <v>62398.276243093926</v>
      </c>
      <c r="F72" s="117">
        <v>538658078</v>
      </c>
      <c r="G72" s="117">
        <f t="shared" si="12"/>
        <v>39680.153075506445</v>
      </c>
      <c r="H72" s="98"/>
      <c r="I72" s="101">
        <v>7.5697000000000001</v>
      </c>
      <c r="J72" s="117">
        <v>4077480</v>
      </c>
      <c r="K72" s="120">
        <f t="shared" si="13"/>
        <v>300.3668508287293</v>
      </c>
      <c r="L72" s="122">
        <f t="shared" si="14"/>
        <v>5386580.7800000003</v>
      </c>
      <c r="M72" s="116">
        <f t="shared" si="15"/>
        <v>1309100.7800000003</v>
      </c>
      <c r="N72" s="123">
        <f t="shared" si="16"/>
        <v>96.434679926335193</v>
      </c>
      <c r="O72" s="5"/>
      <c r="P72" s="5">
        <f t="shared" si="17"/>
        <v>1</v>
      </c>
      <c r="Q72" s="7">
        <f t="shared" si="18"/>
        <v>13575</v>
      </c>
    </row>
    <row r="73" spans="1:17">
      <c r="A73" s="23" t="s">
        <v>73</v>
      </c>
      <c r="B73" s="35" t="s">
        <v>49</v>
      </c>
      <c r="C73" s="36">
        <v>61697</v>
      </c>
      <c r="D73" s="113">
        <v>9260429956</v>
      </c>
      <c r="E73" s="116">
        <f t="shared" si="11"/>
        <v>150095.30375869168</v>
      </c>
      <c r="F73" s="117">
        <v>7059800245</v>
      </c>
      <c r="G73" s="117">
        <f t="shared" si="12"/>
        <v>114426.9615216299</v>
      </c>
      <c r="H73" s="98"/>
      <c r="I73" s="101">
        <v>1.7669999999999999</v>
      </c>
      <c r="J73" s="117">
        <v>12474667</v>
      </c>
      <c r="K73" s="120">
        <f t="shared" si="13"/>
        <v>202.19244047522571</v>
      </c>
      <c r="L73" s="122">
        <f t="shared" si="14"/>
        <v>70598002.450000003</v>
      </c>
      <c r="M73" s="116">
        <f t="shared" si="15"/>
        <v>58123335.450000003</v>
      </c>
      <c r="N73" s="123">
        <f t="shared" si="16"/>
        <v>942.07717474107335</v>
      </c>
      <c r="O73" s="5"/>
      <c r="P73" s="5">
        <f t="shared" si="17"/>
        <v>1</v>
      </c>
      <c r="Q73" s="7">
        <f t="shared" si="18"/>
        <v>61697</v>
      </c>
    </row>
    <row r="74" spans="1:17">
      <c r="A74" s="23" t="s">
        <v>74</v>
      </c>
      <c r="B74" s="35" t="s">
        <v>49</v>
      </c>
      <c r="C74" s="36">
        <v>12895</v>
      </c>
      <c r="D74" s="113">
        <v>1519261527</v>
      </c>
      <c r="E74" s="116">
        <f t="shared" si="11"/>
        <v>117817.87723924001</v>
      </c>
      <c r="F74" s="117">
        <v>1039421516</v>
      </c>
      <c r="G74" s="117">
        <f t="shared" si="12"/>
        <v>80606.55416828228</v>
      </c>
      <c r="H74" s="98"/>
      <c r="I74" s="101">
        <v>5.8</v>
      </c>
      <c r="J74" s="117">
        <v>6028645</v>
      </c>
      <c r="K74" s="120">
        <f t="shared" si="13"/>
        <v>467.51803024428074</v>
      </c>
      <c r="L74" s="122">
        <f t="shared" si="14"/>
        <v>10394215.16</v>
      </c>
      <c r="M74" s="116">
        <f t="shared" si="15"/>
        <v>4365570.16</v>
      </c>
      <c r="N74" s="123">
        <f t="shared" si="16"/>
        <v>338.54751143854207</v>
      </c>
      <c r="O74" s="5"/>
      <c r="P74" s="5">
        <f t="shared" si="17"/>
        <v>1</v>
      </c>
      <c r="Q74" s="7">
        <f t="shared" si="18"/>
        <v>12895</v>
      </c>
    </row>
    <row r="75" spans="1:17">
      <c r="A75" s="23" t="s">
        <v>75</v>
      </c>
      <c r="B75" s="35" t="s">
        <v>76</v>
      </c>
      <c r="C75" s="36">
        <v>533</v>
      </c>
      <c r="D75" s="114" t="s">
        <v>564</v>
      </c>
      <c r="E75" s="116"/>
      <c r="F75" s="117"/>
      <c r="G75" s="117"/>
      <c r="H75" s="9" t="s">
        <v>528</v>
      </c>
      <c r="I75" s="101"/>
      <c r="J75" s="117"/>
      <c r="K75" s="120"/>
      <c r="L75" s="122">
        <f t="shared" si="14"/>
        <v>0</v>
      </c>
      <c r="M75" s="116">
        <f t="shared" si="15"/>
        <v>0</v>
      </c>
      <c r="N75" s="123">
        <f t="shared" si="16"/>
        <v>0</v>
      </c>
      <c r="O75" s="5"/>
      <c r="P75" s="5">
        <f t="shared" si="17"/>
        <v>0</v>
      </c>
      <c r="Q75" s="7">
        <f t="shared" si="18"/>
        <v>0</v>
      </c>
    </row>
    <row r="76" spans="1:17">
      <c r="A76" s="23" t="s">
        <v>77</v>
      </c>
      <c r="B76" s="35" t="s">
        <v>76</v>
      </c>
      <c r="C76" s="36">
        <v>2488</v>
      </c>
      <c r="D76" s="113">
        <v>112821690</v>
      </c>
      <c r="E76" s="116">
        <f t="shared" ref="E76:E82" si="19">(D76/C76)</f>
        <v>45346.338424437301</v>
      </c>
      <c r="F76" s="117">
        <v>62422631</v>
      </c>
      <c r="G76" s="117">
        <f t="shared" ref="G76:G82" si="20">(F76/C76)</f>
        <v>25089.481913183281</v>
      </c>
      <c r="H76" s="7"/>
      <c r="I76" s="101">
        <v>1.5</v>
      </c>
      <c r="J76" s="117">
        <v>93634</v>
      </c>
      <c r="K76" s="120">
        <f t="shared" ref="K76:K82" si="21">(J76/C76)</f>
        <v>37.634244372990352</v>
      </c>
      <c r="L76" s="122">
        <f t="shared" si="14"/>
        <v>624226.31000000006</v>
      </c>
      <c r="M76" s="116">
        <f t="shared" si="15"/>
        <v>530592.31000000006</v>
      </c>
      <c r="N76" s="123">
        <f t="shared" si="16"/>
        <v>213.26057475884247</v>
      </c>
      <c r="O76" s="5"/>
      <c r="P76" s="5">
        <f t="shared" si="17"/>
        <v>1</v>
      </c>
      <c r="Q76" s="7">
        <f t="shared" si="18"/>
        <v>2488</v>
      </c>
    </row>
    <row r="77" spans="1:17">
      <c r="A77" s="23" t="s">
        <v>78</v>
      </c>
      <c r="B77" s="35" t="s">
        <v>79</v>
      </c>
      <c r="C77" s="36">
        <v>16989</v>
      </c>
      <c r="D77" s="113">
        <v>3375424980</v>
      </c>
      <c r="E77" s="116">
        <f t="shared" si="19"/>
        <v>198682.97015716051</v>
      </c>
      <c r="F77" s="117">
        <v>2623130303</v>
      </c>
      <c r="G77" s="117">
        <f t="shared" si="20"/>
        <v>154401.68950497379</v>
      </c>
      <c r="H77" s="7"/>
      <c r="I77" s="101">
        <v>2.6996000000000002</v>
      </c>
      <c r="J77" s="117">
        <v>7081403</v>
      </c>
      <c r="K77" s="120">
        <f t="shared" si="21"/>
        <v>416.82282653481667</v>
      </c>
      <c r="L77" s="122">
        <f t="shared" si="14"/>
        <v>26231303.030000001</v>
      </c>
      <c r="M77" s="116">
        <f t="shared" si="15"/>
        <v>19149900.030000001</v>
      </c>
      <c r="N77" s="123">
        <f t="shared" si="16"/>
        <v>1127.1940685149216</v>
      </c>
      <c r="O77" s="5"/>
      <c r="P77" s="5">
        <f t="shared" si="17"/>
        <v>1</v>
      </c>
      <c r="Q77" s="7">
        <f t="shared" si="18"/>
        <v>16989</v>
      </c>
    </row>
    <row r="78" spans="1:17">
      <c r="A78" s="23" t="s">
        <v>80</v>
      </c>
      <c r="B78" s="35" t="s">
        <v>81</v>
      </c>
      <c r="C78" s="36">
        <v>3652</v>
      </c>
      <c r="D78" s="113">
        <v>632356498</v>
      </c>
      <c r="E78" s="116">
        <f t="shared" si="19"/>
        <v>173153.47699890472</v>
      </c>
      <c r="F78" s="117">
        <v>472029956</v>
      </c>
      <c r="G78" s="117">
        <f t="shared" si="20"/>
        <v>129252.45235487404</v>
      </c>
      <c r="H78" s="7"/>
      <c r="I78" s="102">
        <v>3.8</v>
      </c>
      <c r="J78" s="117">
        <v>1793714</v>
      </c>
      <c r="K78" s="120">
        <f t="shared" si="21"/>
        <v>491.15936473165391</v>
      </c>
      <c r="L78" s="122">
        <f t="shared" si="14"/>
        <v>4720299.5600000005</v>
      </c>
      <c r="M78" s="116">
        <f t="shared" si="15"/>
        <v>2926585.5600000005</v>
      </c>
      <c r="N78" s="123">
        <f t="shared" si="16"/>
        <v>801.36515881708669</v>
      </c>
      <c r="O78" s="5"/>
      <c r="P78" s="5">
        <f t="shared" si="17"/>
        <v>1</v>
      </c>
      <c r="Q78" s="7">
        <f t="shared" si="18"/>
        <v>3652</v>
      </c>
    </row>
    <row r="79" spans="1:17">
      <c r="A79" s="23" t="s">
        <v>82</v>
      </c>
      <c r="B79" s="35" t="s">
        <v>81</v>
      </c>
      <c r="C79" s="36">
        <v>7194</v>
      </c>
      <c r="D79" s="113">
        <v>783212850</v>
      </c>
      <c r="E79" s="116">
        <f t="shared" si="19"/>
        <v>108870.28773978315</v>
      </c>
      <c r="F79" s="117">
        <v>410518316</v>
      </c>
      <c r="G79" s="117">
        <f t="shared" si="20"/>
        <v>57063.986099527385</v>
      </c>
      <c r="H79" s="7"/>
      <c r="I79" s="101">
        <v>5.3902000000000001</v>
      </c>
      <c r="J79" s="117">
        <v>2212776</v>
      </c>
      <c r="K79" s="120">
        <f t="shared" si="21"/>
        <v>307.58632193494577</v>
      </c>
      <c r="L79" s="122">
        <f t="shared" si="14"/>
        <v>4105183.16</v>
      </c>
      <c r="M79" s="116">
        <f t="shared" si="15"/>
        <v>1892407.1600000001</v>
      </c>
      <c r="N79" s="123">
        <f t="shared" si="16"/>
        <v>263.05353906032809</v>
      </c>
      <c r="O79" s="5"/>
      <c r="P79" s="5">
        <f t="shared" si="17"/>
        <v>1</v>
      </c>
      <c r="Q79" s="7">
        <f t="shared" si="18"/>
        <v>7194</v>
      </c>
    </row>
    <row r="80" spans="1:17">
      <c r="A80" s="23" t="s">
        <v>83</v>
      </c>
      <c r="B80" s="35" t="s">
        <v>84</v>
      </c>
      <c r="C80" s="36">
        <v>6544</v>
      </c>
      <c r="D80" s="113">
        <v>584251085</v>
      </c>
      <c r="E80" s="116">
        <f t="shared" si="19"/>
        <v>89280.422524449881</v>
      </c>
      <c r="F80" s="117">
        <v>393027132</v>
      </c>
      <c r="G80" s="117">
        <f t="shared" si="20"/>
        <v>60059.158312958432</v>
      </c>
      <c r="H80" s="7"/>
      <c r="I80" s="101">
        <v>2.57</v>
      </c>
      <c r="J80" s="117">
        <v>1010080</v>
      </c>
      <c r="K80" s="120">
        <f t="shared" si="21"/>
        <v>154.3520782396088</v>
      </c>
      <c r="L80" s="122">
        <f t="shared" si="14"/>
        <v>3930271.3200000003</v>
      </c>
      <c r="M80" s="116">
        <f t="shared" si="15"/>
        <v>2920191.3200000003</v>
      </c>
      <c r="N80" s="123">
        <f t="shared" si="16"/>
        <v>446.23950488997559</v>
      </c>
      <c r="O80" s="5"/>
      <c r="P80" s="5">
        <f t="shared" si="17"/>
        <v>1</v>
      </c>
      <c r="Q80" s="7">
        <f t="shared" si="18"/>
        <v>6544</v>
      </c>
    </row>
    <row r="81" spans="1:17">
      <c r="A81" s="23" t="s">
        <v>85</v>
      </c>
      <c r="B81" s="35" t="s">
        <v>84</v>
      </c>
      <c r="C81" s="36">
        <v>1396</v>
      </c>
      <c r="D81" s="113">
        <v>104323281</v>
      </c>
      <c r="E81" s="116">
        <f t="shared" si="19"/>
        <v>74730.143982808018</v>
      </c>
      <c r="F81" s="117">
        <v>58229899</v>
      </c>
      <c r="G81" s="117">
        <f t="shared" si="20"/>
        <v>41711.962034383956</v>
      </c>
      <c r="H81" s="7"/>
      <c r="I81" s="101">
        <v>2.3075000000000001</v>
      </c>
      <c r="J81" s="117">
        <v>134365</v>
      </c>
      <c r="K81" s="120">
        <f t="shared" si="21"/>
        <v>96.25</v>
      </c>
      <c r="L81" s="122">
        <f t="shared" si="14"/>
        <v>582298.99</v>
      </c>
      <c r="M81" s="116">
        <f t="shared" si="15"/>
        <v>447933.99</v>
      </c>
      <c r="N81" s="123">
        <f t="shared" si="16"/>
        <v>320.86962034383953</v>
      </c>
      <c r="O81" s="5"/>
      <c r="P81" s="5">
        <f t="shared" si="17"/>
        <v>1</v>
      </c>
      <c r="Q81" s="7">
        <f t="shared" si="18"/>
        <v>1396</v>
      </c>
    </row>
    <row r="82" spans="1:17">
      <c r="A82" s="23" t="s">
        <v>86</v>
      </c>
      <c r="B82" s="35" t="s">
        <v>84</v>
      </c>
      <c r="C82" s="36">
        <v>9089</v>
      </c>
      <c r="D82" s="113">
        <v>880576361</v>
      </c>
      <c r="E82" s="116">
        <f t="shared" si="19"/>
        <v>96883.745296512265</v>
      </c>
      <c r="F82" s="117">
        <v>541423922</v>
      </c>
      <c r="G82" s="117">
        <f t="shared" si="20"/>
        <v>59569.140939597317</v>
      </c>
      <c r="H82" s="9"/>
      <c r="I82" s="101">
        <v>5.8</v>
      </c>
      <c r="J82" s="117">
        <v>3140259</v>
      </c>
      <c r="K82" s="120">
        <f t="shared" si="21"/>
        <v>345.50104521949612</v>
      </c>
      <c r="L82" s="122">
        <f t="shared" si="14"/>
        <v>5414239.2199999997</v>
      </c>
      <c r="M82" s="116">
        <f t="shared" si="15"/>
        <v>2273980.2199999997</v>
      </c>
      <c r="N82" s="123">
        <f t="shared" si="16"/>
        <v>250.19036417647703</v>
      </c>
      <c r="O82" s="5"/>
      <c r="P82" s="5">
        <f t="shared" si="17"/>
        <v>1</v>
      </c>
      <c r="Q82" s="7">
        <f t="shared" si="18"/>
        <v>9089</v>
      </c>
    </row>
    <row r="83" spans="1:17">
      <c r="A83" s="23" t="s">
        <v>87</v>
      </c>
      <c r="B83" s="35" t="s">
        <v>84</v>
      </c>
      <c r="C83" s="36">
        <v>634</v>
      </c>
      <c r="D83" s="114" t="s">
        <v>564</v>
      </c>
      <c r="E83" s="116"/>
      <c r="F83" s="117"/>
      <c r="G83" s="117"/>
      <c r="H83" s="9" t="s">
        <v>528</v>
      </c>
      <c r="I83" s="101"/>
      <c r="J83" s="117"/>
      <c r="K83" s="120"/>
      <c r="L83" s="122">
        <f t="shared" si="14"/>
        <v>0</v>
      </c>
      <c r="M83" s="116">
        <f t="shared" si="15"/>
        <v>0</v>
      </c>
      <c r="N83" s="123">
        <f t="shared" si="16"/>
        <v>0</v>
      </c>
      <c r="O83" s="5"/>
      <c r="P83" s="5">
        <f t="shared" si="17"/>
        <v>0</v>
      </c>
      <c r="Q83" s="7">
        <f t="shared" si="18"/>
        <v>0</v>
      </c>
    </row>
    <row r="84" spans="1:17">
      <c r="A84" s="23" t="s">
        <v>88</v>
      </c>
      <c r="B84" s="35" t="s">
        <v>89</v>
      </c>
      <c r="C84" s="36">
        <v>656</v>
      </c>
      <c r="D84" s="113">
        <v>165270781</v>
      </c>
      <c r="E84" s="116">
        <f>(D84/C84)</f>
        <v>251937.16615853659</v>
      </c>
      <c r="F84" s="117">
        <v>121438673</v>
      </c>
      <c r="G84" s="117">
        <f>(F84/C84)</f>
        <v>185119.92835365853</v>
      </c>
      <c r="H84" s="7"/>
      <c r="I84" s="101">
        <v>2.5385</v>
      </c>
      <c r="J84" s="117">
        <v>308272</v>
      </c>
      <c r="K84" s="120">
        <f>(J84/C84)</f>
        <v>469.92682926829269</v>
      </c>
      <c r="L84" s="122">
        <f t="shared" si="14"/>
        <v>1214386.73</v>
      </c>
      <c r="M84" s="116">
        <f t="shared" si="15"/>
        <v>906114.73</v>
      </c>
      <c r="N84" s="123">
        <f t="shared" si="16"/>
        <v>1381.2724542682927</v>
      </c>
      <c r="O84" s="5"/>
      <c r="P84" s="5">
        <f t="shared" si="17"/>
        <v>1</v>
      </c>
      <c r="Q84" s="7">
        <f t="shared" si="18"/>
        <v>656</v>
      </c>
    </row>
    <row r="85" spans="1:17">
      <c r="A85" s="23" t="s">
        <v>90</v>
      </c>
      <c r="B85" s="35" t="s">
        <v>89</v>
      </c>
      <c r="C85" s="36">
        <v>16816</v>
      </c>
      <c r="D85" s="113">
        <v>10536658356</v>
      </c>
      <c r="E85" s="116">
        <f>(D85/C85)</f>
        <v>626585.29709800193</v>
      </c>
      <c r="F85" s="117">
        <v>9257298246</v>
      </c>
      <c r="G85" s="117">
        <f>(F85/C85)</f>
        <v>550505.36667459563</v>
      </c>
      <c r="H85" s="7"/>
      <c r="I85" s="101">
        <v>1.6517999999999999</v>
      </c>
      <c r="J85" s="117">
        <v>15291205</v>
      </c>
      <c r="K85" s="120">
        <f>(J85/C85)</f>
        <v>909.32475023786867</v>
      </c>
      <c r="L85" s="122">
        <f t="shared" si="14"/>
        <v>92572982.460000008</v>
      </c>
      <c r="M85" s="116">
        <f t="shared" si="15"/>
        <v>77281777.460000008</v>
      </c>
      <c r="N85" s="123">
        <f t="shared" si="16"/>
        <v>4595.7289165080883</v>
      </c>
      <c r="O85" s="5"/>
      <c r="P85" s="5">
        <f t="shared" si="17"/>
        <v>1</v>
      </c>
      <c r="Q85" s="7">
        <f t="shared" si="18"/>
        <v>16816</v>
      </c>
    </row>
    <row r="86" spans="1:17">
      <c r="A86" s="23" t="s">
        <v>91</v>
      </c>
      <c r="B86" s="35" t="s">
        <v>89</v>
      </c>
      <c r="C86" s="36">
        <v>21651</v>
      </c>
      <c r="D86" s="113">
        <v>19738257718</v>
      </c>
      <c r="E86" s="116">
        <f>(D86/C86)</f>
        <v>911655.7072652533</v>
      </c>
      <c r="F86" s="117">
        <v>16287802409</v>
      </c>
      <c r="G86" s="117">
        <f>(F86/C86)</f>
        <v>752288.68915985408</v>
      </c>
      <c r="H86" s="9"/>
      <c r="I86" s="102">
        <v>1.18</v>
      </c>
      <c r="J86" s="117">
        <v>19219607</v>
      </c>
      <c r="K86" s="120">
        <f>(J86/C86)</f>
        <v>887.70066047757609</v>
      </c>
      <c r="L86" s="122">
        <f t="shared" si="14"/>
        <v>162878024.09</v>
      </c>
      <c r="M86" s="116">
        <f t="shared" si="15"/>
        <v>143658417.09</v>
      </c>
      <c r="N86" s="123">
        <f t="shared" si="16"/>
        <v>6635.1862311209643</v>
      </c>
      <c r="O86" s="5"/>
      <c r="P86" s="5">
        <f t="shared" si="17"/>
        <v>1</v>
      </c>
      <c r="Q86" s="7">
        <f t="shared" si="18"/>
        <v>21651</v>
      </c>
    </row>
    <row r="87" spans="1:17">
      <c r="A87" s="23" t="s">
        <v>92</v>
      </c>
      <c r="B87" s="35" t="s">
        <v>93</v>
      </c>
      <c r="C87" s="36">
        <v>522</v>
      </c>
      <c r="D87" s="114" t="s">
        <v>564</v>
      </c>
      <c r="E87" s="116"/>
      <c r="F87" s="117"/>
      <c r="G87" s="117"/>
      <c r="H87" s="9" t="s">
        <v>528</v>
      </c>
      <c r="I87" s="101"/>
      <c r="J87" s="117"/>
      <c r="K87" s="120"/>
      <c r="L87" s="122">
        <f t="shared" si="14"/>
        <v>0</v>
      </c>
      <c r="M87" s="116">
        <f t="shared" si="15"/>
        <v>0</v>
      </c>
      <c r="N87" s="123">
        <f t="shared" si="16"/>
        <v>0</v>
      </c>
      <c r="O87" s="5"/>
      <c r="P87" s="5">
        <f t="shared" si="17"/>
        <v>0</v>
      </c>
      <c r="Q87" s="7">
        <f t="shared" si="18"/>
        <v>0</v>
      </c>
    </row>
    <row r="88" spans="1:17">
      <c r="A88" s="23" t="s">
        <v>94</v>
      </c>
      <c r="B88" s="35" t="s">
        <v>93</v>
      </c>
      <c r="C88" s="36">
        <v>11137</v>
      </c>
      <c r="D88" s="113">
        <v>1170246123</v>
      </c>
      <c r="E88" s="116">
        <f t="shared" ref="E88:E93" si="22">(D88/C88)</f>
        <v>105077.3209122744</v>
      </c>
      <c r="F88" s="117">
        <v>787003478</v>
      </c>
      <c r="G88" s="117">
        <f t="shared" ref="G88:G93" si="23">(F88/C88)</f>
        <v>70665.662027475977</v>
      </c>
      <c r="H88" s="7"/>
      <c r="I88" s="101">
        <v>3.7740999999999998</v>
      </c>
      <c r="J88" s="117">
        <v>2970230</v>
      </c>
      <c r="K88" s="120">
        <f t="shared" ref="K88:K93" si="24">(J88/C88)</f>
        <v>266.69929065277904</v>
      </c>
      <c r="L88" s="122">
        <f t="shared" si="14"/>
        <v>7870034.7800000003</v>
      </c>
      <c r="M88" s="116">
        <f t="shared" si="15"/>
        <v>4899804.78</v>
      </c>
      <c r="N88" s="123">
        <f t="shared" si="16"/>
        <v>439.95732962198082</v>
      </c>
      <c r="O88" s="5"/>
      <c r="P88" s="5">
        <f t="shared" si="17"/>
        <v>1</v>
      </c>
      <c r="Q88" s="7">
        <f t="shared" si="18"/>
        <v>11137</v>
      </c>
    </row>
    <row r="89" spans="1:17">
      <c r="A89" s="23" t="s">
        <v>95</v>
      </c>
      <c r="B89" s="35" t="s">
        <v>468</v>
      </c>
      <c r="C89" s="36">
        <v>6739</v>
      </c>
      <c r="D89" s="113">
        <v>429426990</v>
      </c>
      <c r="E89" s="116">
        <f t="shared" si="22"/>
        <v>63722.657664341888</v>
      </c>
      <c r="F89" s="117">
        <v>219038258</v>
      </c>
      <c r="G89" s="117">
        <f t="shared" si="23"/>
        <v>32503.080278973142</v>
      </c>
      <c r="H89" s="8"/>
      <c r="I89" s="101">
        <v>8.0899000000000001</v>
      </c>
      <c r="J89" s="117">
        <v>1771998</v>
      </c>
      <c r="K89" s="120">
        <f t="shared" si="24"/>
        <v>262.94672800118713</v>
      </c>
      <c r="L89" s="122">
        <f t="shared" si="14"/>
        <v>2190382.58</v>
      </c>
      <c r="M89" s="116">
        <f t="shared" si="15"/>
        <v>418384.58000000007</v>
      </c>
      <c r="N89" s="123">
        <f t="shared" si="16"/>
        <v>62.084074788544307</v>
      </c>
      <c r="O89" s="5"/>
      <c r="P89" s="5">
        <f t="shared" si="17"/>
        <v>1</v>
      </c>
      <c r="Q89" s="7">
        <f t="shared" si="18"/>
        <v>6739</v>
      </c>
    </row>
    <row r="90" spans="1:17">
      <c r="A90" s="23" t="s">
        <v>96</v>
      </c>
      <c r="B90" s="35" t="s">
        <v>97</v>
      </c>
      <c r="C90" s="36">
        <v>1681</v>
      </c>
      <c r="D90" s="113">
        <v>66848957</v>
      </c>
      <c r="E90" s="116">
        <f t="shared" si="22"/>
        <v>39767.374776918499</v>
      </c>
      <c r="F90" s="117">
        <v>27016813</v>
      </c>
      <c r="G90" s="117">
        <f t="shared" si="23"/>
        <v>16071.869720404522</v>
      </c>
      <c r="H90" s="8"/>
      <c r="I90" s="101">
        <v>8.0205000000000002</v>
      </c>
      <c r="J90" s="117">
        <v>216688</v>
      </c>
      <c r="K90" s="120">
        <f t="shared" si="24"/>
        <v>128.90422367638311</v>
      </c>
      <c r="L90" s="122">
        <f t="shared" si="14"/>
        <v>270168.13</v>
      </c>
      <c r="M90" s="116">
        <f t="shared" si="15"/>
        <v>53480.130000000005</v>
      </c>
      <c r="N90" s="123">
        <f t="shared" si="16"/>
        <v>31.814473527662109</v>
      </c>
      <c r="O90" s="5"/>
      <c r="P90" s="5">
        <f t="shared" si="17"/>
        <v>1</v>
      </c>
      <c r="Q90" s="7">
        <f t="shared" si="18"/>
        <v>1681</v>
      </c>
    </row>
    <row r="91" spans="1:17">
      <c r="A91" s="23" t="s">
        <v>98</v>
      </c>
      <c r="B91" s="35" t="s">
        <v>97</v>
      </c>
      <c r="C91" s="36">
        <v>297</v>
      </c>
      <c r="D91" s="113">
        <v>73633403</v>
      </c>
      <c r="E91" s="116">
        <f t="shared" si="22"/>
        <v>247923.91582491584</v>
      </c>
      <c r="F91" s="117">
        <v>60168818</v>
      </c>
      <c r="G91" s="117">
        <f t="shared" si="23"/>
        <v>202588.6127946128</v>
      </c>
      <c r="H91" s="9"/>
      <c r="I91" s="102">
        <v>3</v>
      </c>
      <c r="J91" s="117">
        <v>180506</v>
      </c>
      <c r="K91" s="120">
        <f t="shared" si="24"/>
        <v>607.76430976430981</v>
      </c>
      <c r="L91" s="122">
        <f t="shared" si="14"/>
        <v>601688.18000000005</v>
      </c>
      <c r="M91" s="116">
        <f t="shared" si="15"/>
        <v>421182.18000000005</v>
      </c>
      <c r="N91" s="123">
        <f t="shared" si="16"/>
        <v>1418.1218181818183</v>
      </c>
      <c r="O91" s="5"/>
      <c r="P91" s="5">
        <f t="shared" si="17"/>
        <v>1</v>
      </c>
      <c r="Q91" s="7">
        <f t="shared" si="18"/>
        <v>297</v>
      </c>
    </row>
    <row r="92" spans="1:17">
      <c r="A92" s="23" t="s">
        <v>99</v>
      </c>
      <c r="B92" s="35" t="s">
        <v>100</v>
      </c>
      <c r="C92" s="36">
        <v>13779</v>
      </c>
      <c r="D92" s="113">
        <v>2166133941</v>
      </c>
      <c r="E92" s="116">
        <f t="shared" si="22"/>
        <v>157205.45329849771</v>
      </c>
      <c r="F92" s="117">
        <v>1369120195</v>
      </c>
      <c r="G92" s="117">
        <f t="shared" si="23"/>
        <v>99362.812613397196</v>
      </c>
      <c r="H92" s="9"/>
      <c r="I92" s="101">
        <v>3.1553</v>
      </c>
      <c r="J92" s="117">
        <v>4319985</v>
      </c>
      <c r="K92" s="120">
        <f t="shared" si="24"/>
        <v>313.51948617461352</v>
      </c>
      <c r="L92" s="122">
        <f t="shared" si="14"/>
        <v>13691201.950000001</v>
      </c>
      <c r="M92" s="116">
        <f t="shared" si="15"/>
        <v>9371216.9500000011</v>
      </c>
      <c r="N92" s="123">
        <f t="shared" si="16"/>
        <v>680.10863995935847</v>
      </c>
      <c r="O92" s="5"/>
      <c r="P92" s="5">
        <f t="shared" si="17"/>
        <v>1</v>
      </c>
      <c r="Q92" s="7">
        <f t="shared" si="18"/>
        <v>13779</v>
      </c>
    </row>
    <row r="93" spans="1:17">
      <c r="A93" s="23" t="s">
        <v>101</v>
      </c>
      <c r="B93" s="35" t="s">
        <v>100</v>
      </c>
      <c r="C93" s="36">
        <v>1595</v>
      </c>
      <c r="D93" s="113">
        <v>96059372</v>
      </c>
      <c r="E93" s="116">
        <f t="shared" si="22"/>
        <v>60225.311598746084</v>
      </c>
      <c r="F93" s="117">
        <v>49392560</v>
      </c>
      <c r="G93" s="117">
        <f t="shared" si="23"/>
        <v>30967.122257053292</v>
      </c>
      <c r="H93" s="9"/>
      <c r="I93" s="101">
        <v>2.5550000000000002</v>
      </c>
      <c r="J93" s="117">
        <v>126198</v>
      </c>
      <c r="K93" s="120">
        <f t="shared" si="24"/>
        <v>79.12100313479624</v>
      </c>
      <c r="L93" s="122">
        <f t="shared" si="14"/>
        <v>493925.60000000003</v>
      </c>
      <c r="M93" s="116">
        <f t="shared" si="15"/>
        <v>367727.60000000003</v>
      </c>
      <c r="N93" s="123">
        <f t="shared" si="16"/>
        <v>230.55021943573669</v>
      </c>
      <c r="O93" s="5"/>
      <c r="P93" s="5">
        <f t="shared" si="17"/>
        <v>1</v>
      </c>
      <c r="Q93" s="7">
        <f t="shared" si="18"/>
        <v>1595</v>
      </c>
    </row>
    <row r="94" spans="1:17">
      <c r="A94" s="23" t="s">
        <v>102</v>
      </c>
      <c r="B94" s="35" t="s">
        <v>100</v>
      </c>
      <c r="C94" s="36">
        <v>855067</v>
      </c>
      <c r="D94" s="115" t="s">
        <v>539</v>
      </c>
      <c r="E94" s="116"/>
      <c r="F94" s="117"/>
      <c r="G94" s="117"/>
      <c r="H94" s="9"/>
      <c r="I94" s="101"/>
      <c r="J94" s="117"/>
      <c r="K94" s="120"/>
      <c r="L94" s="122">
        <f t="shared" si="14"/>
        <v>0</v>
      </c>
      <c r="M94" s="116">
        <f t="shared" si="15"/>
        <v>0</v>
      </c>
      <c r="N94" s="123">
        <f t="shared" si="16"/>
        <v>0</v>
      </c>
      <c r="O94" s="5"/>
      <c r="P94" s="5">
        <f t="shared" si="17"/>
        <v>0</v>
      </c>
      <c r="Q94" s="7">
        <f t="shared" si="18"/>
        <v>0</v>
      </c>
    </row>
    <row r="95" spans="1:17">
      <c r="A95" s="23" t="s">
        <v>103</v>
      </c>
      <c r="B95" s="35" t="s">
        <v>100</v>
      </c>
      <c r="C95" s="36">
        <v>22715</v>
      </c>
      <c r="D95" s="113">
        <v>4297497938</v>
      </c>
      <c r="E95" s="116">
        <f t="shared" ref="E95:E158" si="25">(D95/C95)</f>
        <v>189192.07299141536</v>
      </c>
      <c r="F95" s="117">
        <v>3048234335</v>
      </c>
      <c r="G95" s="117">
        <f t="shared" ref="G95:G158" si="26">(F95/C95)</f>
        <v>134194.77591899625</v>
      </c>
      <c r="H95" s="9"/>
      <c r="I95" s="101">
        <v>3.8180000000000001</v>
      </c>
      <c r="J95" s="117">
        <v>11638159</v>
      </c>
      <c r="K95" s="120">
        <f t="shared" ref="K95:K133" si="27">(J95/C95)</f>
        <v>512.35566806075281</v>
      </c>
      <c r="L95" s="122">
        <f t="shared" si="14"/>
        <v>30482343.350000001</v>
      </c>
      <c r="M95" s="116">
        <f t="shared" si="15"/>
        <v>18844184.350000001</v>
      </c>
      <c r="N95" s="123">
        <f t="shared" si="16"/>
        <v>829.59209112920985</v>
      </c>
      <c r="O95" s="5"/>
      <c r="P95" s="5">
        <f t="shared" si="17"/>
        <v>1</v>
      </c>
      <c r="Q95" s="7">
        <f t="shared" si="18"/>
        <v>22715</v>
      </c>
    </row>
    <row r="96" spans="1:17">
      <c r="A96" s="23" t="s">
        <v>104</v>
      </c>
      <c r="B96" s="35" t="s">
        <v>100</v>
      </c>
      <c r="C96" s="36">
        <v>7362</v>
      </c>
      <c r="D96" s="113">
        <v>1134379612</v>
      </c>
      <c r="E96" s="116">
        <f t="shared" si="25"/>
        <v>154085.79353436566</v>
      </c>
      <c r="F96" s="117">
        <v>716927528</v>
      </c>
      <c r="G96" s="117">
        <f t="shared" si="26"/>
        <v>97382.168975821784</v>
      </c>
      <c r="H96" s="7"/>
      <c r="I96" s="101">
        <v>3.0510000000000002</v>
      </c>
      <c r="J96" s="117">
        <v>2187346</v>
      </c>
      <c r="K96" s="120">
        <f t="shared" si="27"/>
        <v>297.11301276826947</v>
      </c>
      <c r="L96" s="122">
        <f t="shared" si="14"/>
        <v>7169275.2800000003</v>
      </c>
      <c r="M96" s="116">
        <f t="shared" si="15"/>
        <v>4981929.28</v>
      </c>
      <c r="N96" s="123">
        <f t="shared" si="16"/>
        <v>676.70867698994846</v>
      </c>
      <c r="O96" s="5"/>
      <c r="P96" s="5">
        <f t="shared" si="17"/>
        <v>1</v>
      </c>
      <c r="Q96" s="7">
        <f t="shared" si="18"/>
        <v>7362</v>
      </c>
    </row>
    <row r="97" spans="1:17">
      <c r="A97" s="23" t="s">
        <v>105</v>
      </c>
      <c r="B97" s="35" t="s">
        <v>106</v>
      </c>
      <c r="C97" s="36">
        <v>1611</v>
      </c>
      <c r="D97" s="113">
        <v>60131347</v>
      </c>
      <c r="E97" s="116">
        <f t="shared" si="25"/>
        <v>37325.479205462449</v>
      </c>
      <c r="F97" s="117">
        <v>32393419</v>
      </c>
      <c r="G97" s="117">
        <f t="shared" si="26"/>
        <v>20107.64680322781</v>
      </c>
      <c r="H97" s="7"/>
      <c r="I97" s="101">
        <v>0.82299999999999995</v>
      </c>
      <c r="J97" s="117">
        <v>26660</v>
      </c>
      <c r="K97" s="120">
        <f t="shared" si="27"/>
        <v>16.548727498448169</v>
      </c>
      <c r="L97" s="122">
        <f t="shared" si="14"/>
        <v>323934.19</v>
      </c>
      <c r="M97" s="116">
        <f t="shared" si="15"/>
        <v>297274.19</v>
      </c>
      <c r="N97" s="123">
        <f t="shared" si="16"/>
        <v>184.52774053382993</v>
      </c>
      <c r="O97" s="5"/>
      <c r="P97" s="5">
        <f t="shared" si="17"/>
        <v>1</v>
      </c>
      <c r="Q97" s="7">
        <f t="shared" si="18"/>
        <v>1611</v>
      </c>
    </row>
    <row r="98" spans="1:17">
      <c r="A98" s="23" t="s">
        <v>107</v>
      </c>
      <c r="B98" s="35" t="s">
        <v>106</v>
      </c>
      <c r="C98" s="36">
        <v>54906</v>
      </c>
      <c r="D98" s="113">
        <v>5133133357</v>
      </c>
      <c r="E98" s="116">
        <f t="shared" si="25"/>
        <v>93489.479419371288</v>
      </c>
      <c r="F98" s="117">
        <v>3095680915</v>
      </c>
      <c r="G98" s="117">
        <f t="shared" si="26"/>
        <v>56381.468600881504</v>
      </c>
      <c r="H98" s="7"/>
      <c r="I98" s="101">
        <v>4.5395000000000003</v>
      </c>
      <c r="J98" s="117">
        <v>14052844</v>
      </c>
      <c r="K98" s="120">
        <f t="shared" si="27"/>
        <v>255.94368557170438</v>
      </c>
      <c r="L98" s="122">
        <f t="shared" si="14"/>
        <v>30956809.150000002</v>
      </c>
      <c r="M98" s="116">
        <f t="shared" si="15"/>
        <v>16903965.150000002</v>
      </c>
      <c r="N98" s="123">
        <f t="shared" si="16"/>
        <v>307.87100043711075</v>
      </c>
      <c r="O98" s="5"/>
      <c r="P98" s="5">
        <f t="shared" si="17"/>
        <v>1</v>
      </c>
      <c r="Q98" s="7">
        <f t="shared" si="18"/>
        <v>54906</v>
      </c>
    </row>
    <row r="99" spans="1:17">
      <c r="A99" s="23" t="s">
        <v>108</v>
      </c>
      <c r="B99" s="35" t="s">
        <v>109</v>
      </c>
      <c r="C99" s="36">
        <v>604</v>
      </c>
      <c r="D99" s="113">
        <v>100787178</v>
      </c>
      <c r="E99" s="116">
        <f t="shared" si="25"/>
        <v>166866.18874172185</v>
      </c>
      <c r="F99" s="117">
        <v>83802282</v>
      </c>
      <c r="G99" s="117">
        <f t="shared" si="26"/>
        <v>138745.5</v>
      </c>
      <c r="H99" s="7"/>
      <c r="I99" s="101">
        <v>2.0455999999999999</v>
      </c>
      <c r="J99" s="117">
        <v>171426</v>
      </c>
      <c r="K99" s="120">
        <f t="shared" si="27"/>
        <v>283.81788079470198</v>
      </c>
      <c r="L99" s="122">
        <f t="shared" si="14"/>
        <v>838022.82000000007</v>
      </c>
      <c r="M99" s="116">
        <f t="shared" si="15"/>
        <v>666596.82000000007</v>
      </c>
      <c r="N99" s="123">
        <f t="shared" si="16"/>
        <v>1103.6371192052982</v>
      </c>
      <c r="O99" s="5"/>
      <c r="P99" s="5">
        <f t="shared" si="17"/>
        <v>1</v>
      </c>
      <c r="Q99" s="7">
        <f t="shared" si="18"/>
        <v>604</v>
      </c>
    </row>
    <row r="100" spans="1:17">
      <c r="A100" s="23" t="s">
        <v>110</v>
      </c>
      <c r="B100" s="35" t="s">
        <v>109</v>
      </c>
      <c r="C100" s="36">
        <v>2759</v>
      </c>
      <c r="D100" s="113">
        <v>649980278</v>
      </c>
      <c r="E100" s="116">
        <f t="shared" si="25"/>
        <v>235585.45777455601</v>
      </c>
      <c r="F100" s="117">
        <v>233926628</v>
      </c>
      <c r="G100" s="117">
        <f t="shared" si="26"/>
        <v>84786.744472635008</v>
      </c>
      <c r="H100" s="7"/>
      <c r="I100" s="101">
        <v>6.0544000000000002</v>
      </c>
      <c r="J100" s="117">
        <v>1416285</v>
      </c>
      <c r="K100" s="120">
        <f t="shared" si="27"/>
        <v>513.33272924972812</v>
      </c>
      <c r="L100" s="122">
        <f t="shared" si="14"/>
        <v>2339266.2800000003</v>
      </c>
      <c r="M100" s="116">
        <f t="shared" si="15"/>
        <v>922981.28000000026</v>
      </c>
      <c r="N100" s="123">
        <f t="shared" si="16"/>
        <v>334.53471547662207</v>
      </c>
      <c r="O100" s="5"/>
      <c r="P100" s="5">
        <f t="shared" si="17"/>
        <v>1</v>
      </c>
      <c r="Q100" s="7">
        <f t="shared" si="18"/>
        <v>2759</v>
      </c>
    </row>
    <row r="101" spans="1:17">
      <c r="A101" s="23" t="s">
        <v>447</v>
      </c>
      <c r="B101" s="35" t="s">
        <v>109</v>
      </c>
      <c r="C101" s="36">
        <v>73910</v>
      </c>
      <c r="D101" s="113">
        <v>7443895550</v>
      </c>
      <c r="E101" s="116">
        <f t="shared" si="25"/>
        <v>100715.67514544717</v>
      </c>
      <c r="F101" s="117">
        <v>5246998187</v>
      </c>
      <c r="G101" s="117">
        <f t="shared" si="26"/>
        <v>70991.722189148961</v>
      </c>
      <c r="H101" s="9"/>
      <c r="I101" s="101">
        <v>3.5</v>
      </c>
      <c r="J101" s="117">
        <v>18364494</v>
      </c>
      <c r="K101" s="120">
        <f t="shared" si="27"/>
        <v>248.47103233662563</v>
      </c>
      <c r="L101" s="122">
        <f t="shared" si="14"/>
        <v>52469981.870000005</v>
      </c>
      <c r="M101" s="116">
        <f t="shared" si="15"/>
        <v>34105487.870000005</v>
      </c>
      <c r="N101" s="123">
        <f t="shared" si="16"/>
        <v>461.44618955486408</v>
      </c>
      <c r="O101" s="5"/>
      <c r="P101" s="5">
        <f t="shared" si="17"/>
        <v>1</v>
      </c>
      <c r="Q101" s="7">
        <f t="shared" si="18"/>
        <v>73910</v>
      </c>
    </row>
    <row r="102" spans="1:17">
      <c r="A102" s="23" t="s">
        <v>111</v>
      </c>
      <c r="B102" s="35" t="s">
        <v>557</v>
      </c>
      <c r="C102" s="36">
        <v>10</v>
      </c>
      <c r="D102" s="113">
        <v>44926352</v>
      </c>
      <c r="E102" s="116">
        <f t="shared" si="25"/>
        <v>4492635.2</v>
      </c>
      <c r="F102" s="117">
        <v>18723409</v>
      </c>
      <c r="G102" s="117">
        <f t="shared" si="26"/>
        <v>1872340.9</v>
      </c>
      <c r="H102" s="7"/>
      <c r="I102" s="101">
        <v>1.7930999999999999</v>
      </c>
      <c r="J102" s="117">
        <v>33573</v>
      </c>
      <c r="K102" s="120">
        <f t="shared" si="27"/>
        <v>3357.3</v>
      </c>
      <c r="L102" s="122">
        <f t="shared" si="14"/>
        <v>187234.09</v>
      </c>
      <c r="M102" s="116">
        <f t="shared" si="15"/>
        <v>153661.09</v>
      </c>
      <c r="N102" s="123">
        <f t="shared" si="16"/>
        <v>15366.109</v>
      </c>
      <c r="O102" s="5"/>
      <c r="P102" s="5">
        <f t="shared" si="17"/>
        <v>1</v>
      </c>
      <c r="Q102" s="7">
        <f t="shared" si="18"/>
        <v>10</v>
      </c>
    </row>
    <row r="103" spans="1:17">
      <c r="A103" s="23" t="s">
        <v>112</v>
      </c>
      <c r="B103" s="35" t="s">
        <v>113</v>
      </c>
      <c r="C103" s="36">
        <v>5554</v>
      </c>
      <c r="D103" s="113">
        <f>(970813040+10804411)</f>
        <v>981617451</v>
      </c>
      <c r="E103" s="116">
        <f t="shared" si="25"/>
        <v>176740.62855599567</v>
      </c>
      <c r="F103" s="117">
        <f>(712110016+7552614)</f>
        <v>719662630</v>
      </c>
      <c r="G103" s="117">
        <f t="shared" si="26"/>
        <v>129575.55455527548</v>
      </c>
      <c r="H103" s="7"/>
      <c r="I103" s="101">
        <v>3.4643000000000002</v>
      </c>
      <c r="J103" s="117">
        <f>(2466963+26165)</f>
        <v>2493128</v>
      </c>
      <c r="K103" s="120">
        <f t="shared" si="27"/>
        <v>448.88872884407635</v>
      </c>
      <c r="L103" s="122">
        <f t="shared" si="14"/>
        <v>7196626.2999999998</v>
      </c>
      <c r="M103" s="116">
        <f t="shared" si="15"/>
        <v>4703498.3</v>
      </c>
      <c r="N103" s="123">
        <f t="shared" si="16"/>
        <v>846.86681670867836</v>
      </c>
      <c r="O103" s="5"/>
      <c r="P103" s="5">
        <f t="shared" si="17"/>
        <v>1</v>
      </c>
      <c r="Q103" s="7">
        <f t="shared" si="18"/>
        <v>5554</v>
      </c>
    </row>
    <row r="104" spans="1:17">
      <c r="A104" s="23" t="s">
        <v>114</v>
      </c>
      <c r="B104" s="35" t="s">
        <v>115</v>
      </c>
      <c r="C104" s="36">
        <v>2486</v>
      </c>
      <c r="D104" s="113">
        <v>305849514</v>
      </c>
      <c r="E104" s="116">
        <f t="shared" si="25"/>
        <v>123028.76669348351</v>
      </c>
      <c r="F104" s="117">
        <v>174652874</v>
      </c>
      <c r="G104" s="117">
        <f t="shared" si="26"/>
        <v>70254.575221238934</v>
      </c>
      <c r="H104" s="9"/>
      <c r="I104" s="102">
        <v>7.31</v>
      </c>
      <c r="J104" s="117">
        <v>1276713</v>
      </c>
      <c r="K104" s="120">
        <f t="shared" si="27"/>
        <v>513.56114239742556</v>
      </c>
      <c r="L104" s="122">
        <f t="shared" si="14"/>
        <v>1746528.74</v>
      </c>
      <c r="M104" s="116">
        <f t="shared" si="15"/>
        <v>469815.74</v>
      </c>
      <c r="N104" s="123">
        <f t="shared" si="16"/>
        <v>188.98460981496379</v>
      </c>
      <c r="O104" s="5"/>
      <c r="P104" s="5">
        <f t="shared" si="17"/>
        <v>1</v>
      </c>
      <c r="Q104" s="7">
        <f t="shared" si="18"/>
        <v>2486</v>
      </c>
    </row>
    <row r="105" spans="1:17">
      <c r="A105" s="23" t="s">
        <v>116</v>
      </c>
      <c r="B105" s="35" t="s">
        <v>115</v>
      </c>
      <c r="C105" s="36">
        <v>1351</v>
      </c>
      <c r="D105" s="113">
        <v>286895617</v>
      </c>
      <c r="E105" s="116">
        <f t="shared" si="25"/>
        <v>212357.96965210955</v>
      </c>
      <c r="F105" s="117">
        <v>216847730</v>
      </c>
      <c r="G105" s="117">
        <f t="shared" si="26"/>
        <v>160509.05255366396</v>
      </c>
      <c r="H105" s="9"/>
      <c r="I105" s="101">
        <v>5.5</v>
      </c>
      <c r="J105" s="117">
        <v>1192663</v>
      </c>
      <c r="K105" s="120">
        <f t="shared" si="27"/>
        <v>882.80014803848997</v>
      </c>
      <c r="L105" s="122">
        <f t="shared" si="14"/>
        <v>2168477.2999999998</v>
      </c>
      <c r="M105" s="116">
        <f t="shared" si="15"/>
        <v>975814.29999999981</v>
      </c>
      <c r="N105" s="123">
        <f t="shared" si="16"/>
        <v>722.29037749814938</v>
      </c>
      <c r="O105" s="5"/>
      <c r="P105" s="5">
        <f t="shared" si="17"/>
        <v>1</v>
      </c>
      <c r="Q105" s="7">
        <f t="shared" si="18"/>
        <v>1351</v>
      </c>
    </row>
    <row r="106" spans="1:17">
      <c r="A106" s="23" t="s">
        <v>117</v>
      </c>
      <c r="B106" s="35" t="s">
        <v>118</v>
      </c>
      <c r="C106" s="36">
        <v>3282</v>
      </c>
      <c r="D106" s="113">
        <v>238589197</v>
      </c>
      <c r="E106" s="116">
        <f t="shared" si="25"/>
        <v>72696.281840341253</v>
      </c>
      <c r="F106" s="117">
        <v>37118143</v>
      </c>
      <c r="G106" s="117">
        <f t="shared" si="26"/>
        <v>11309.610907982937</v>
      </c>
      <c r="H106" s="7"/>
      <c r="I106" s="101">
        <v>0.77810000000000001</v>
      </c>
      <c r="J106" s="117">
        <v>28882</v>
      </c>
      <c r="K106" s="120">
        <f t="shared" si="27"/>
        <v>8.8001218769043259</v>
      </c>
      <c r="L106" s="122">
        <f t="shared" si="14"/>
        <v>371181.43</v>
      </c>
      <c r="M106" s="116">
        <f t="shared" si="15"/>
        <v>342299.43</v>
      </c>
      <c r="N106" s="123">
        <f t="shared" si="16"/>
        <v>104.29598720292505</v>
      </c>
      <c r="O106" s="5"/>
      <c r="P106" s="5">
        <f t="shared" si="17"/>
        <v>1</v>
      </c>
      <c r="Q106" s="7">
        <f t="shared" si="18"/>
        <v>3282</v>
      </c>
    </row>
    <row r="107" spans="1:17">
      <c r="A107" s="23" t="s">
        <v>119</v>
      </c>
      <c r="B107" s="35" t="s">
        <v>118</v>
      </c>
      <c r="C107" s="36">
        <v>619</v>
      </c>
      <c r="D107" s="113">
        <v>17306340</v>
      </c>
      <c r="E107" s="116">
        <f t="shared" si="25"/>
        <v>27958.546042003232</v>
      </c>
      <c r="F107" s="117">
        <v>7981295</v>
      </c>
      <c r="G107" s="117">
        <f t="shared" si="26"/>
        <v>12893.852988691438</v>
      </c>
      <c r="H107" s="7"/>
      <c r="I107" s="101">
        <v>5</v>
      </c>
      <c r="J107" s="117">
        <v>39906</v>
      </c>
      <c r="K107" s="120">
        <f t="shared" si="27"/>
        <v>64.468497576736667</v>
      </c>
      <c r="L107" s="122">
        <f t="shared" si="14"/>
        <v>79812.95</v>
      </c>
      <c r="M107" s="116">
        <f t="shared" si="15"/>
        <v>39906.949999999997</v>
      </c>
      <c r="N107" s="123">
        <f t="shared" si="16"/>
        <v>64.4700323101777</v>
      </c>
      <c r="O107" s="5"/>
      <c r="P107" s="5">
        <f t="shared" si="17"/>
        <v>1</v>
      </c>
      <c r="Q107" s="7">
        <f t="shared" si="18"/>
        <v>619</v>
      </c>
    </row>
    <row r="108" spans="1:17">
      <c r="A108" s="23" t="s">
        <v>120</v>
      </c>
      <c r="B108" s="35" t="s">
        <v>118</v>
      </c>
      <c r="C108" s="36">
        <v>1709</v>
      </c>
      <c r="D108" s="113">
        <v>42421031</v>
      </c>
      <c r="E108" s="116">
        <f t="shared" si="25"/>
        <v>24822.136337039203</v>
      </c>
      <c r="F108" s="117">
        <v>15552390</v>
      </c>
      <c r="G108" s="117">
        <f t="shared" si="26"/>
        <v>9100.2867173785835</v>
      </c>
      <c r="H108" s="7"/>
      <c r="I108" s="101">
        <v>4.3319999999999999</v>
      </c>
      <c r="J108" s="117">
        <v>67373</v>
      </c>
      <c r="K108" s="120">
        <f t="shared" si="27"/>
        <v>39.422469280280865</v>
      </c>
      <c r="L108" s="122">
        <f t="shared" si="14"/>
        <v>155523.9</v>
      </c>
      <c r="M108" s="116">
        <f t="shared" si="15"/>
        <v>88150.9</v>
      </c>
      <c r="N108" s="123">
        <f t="shared" si="16"/>
        <v>51.580397893504973</v>
      </c>
      <c r="O108" s="5"/>
      <c r="P108" s="5">
        <f t="shared" si="17"/>
        <v>1</v>
      </c>
      <c r="Q108" s="7">
        <f t="shared" si="18"/>
        <v>1709</v>
      </c>
    </row>
    <row r="109" spans="1:17">
      <c r="A109" s="23" t="s">
        <v>121</v>
      </c>
      <c r="B109" s="35" t="s">
        <v>118</v>
      </c>
      <c r="C109" s="36">
        <v>1826</v>
      </c>
      <c r="D109" s="113">
        <v>109208050</v>
      </c>
      <c r="E109" s="116">
        <f t="shared" si="25"/>
        <v>59807.256297918946</v>
      </c>
      <c r="F109" s="117">
        <v>70265094</v>
      </c>
      <c r="G109" s="117">
        <f t="shared" si="26"/>
        <v>38480.336254107337</v>
      </c>
      <c r="H109" s="7"/>
      <c r="I109" s="101">
        <v>1.665</v>
      </c>
      <c r="J109" s="117">
        <v>116991</v>
      </c>
      <c r="K109" s="120">
        <f t="shared" si="27"/>
        <v>64.069550930996712</v>
      </c>
      <c r="L109" s="122">
        <f t="shared" si="14"/>
        <v>702650.94000000006</v>
      </c>
      <c r="M109" s="116">
        <f t="shared" si="15"/>
        <v>585659.94000000006</v>
      </c>
      <c r="N109" s="123">
        <f t="shared" si="16"/>
        <v>320.73381161007671</v>
      </c>
      <c r="O109" s="5"/>
      <c r="P109" s="5">
        <f t="shared" si="17"/>
        <v>1</v>
      </c>
      <c r="Q109" s="7">
        <f t="shared" si="18"/>
        <v>1826</v>
      </c>
    </row>
    <row r="110" spans="1:17">
      <c r="A110" s="23" t="s">
        <v>122</v>
      </c>
      <c r="B110" s="35" t="s">
        <v>118</v>
      </c>
      <c r="C110" s="36">
        <v>1710</v>
      </c>
      <c r="D110" s="113">
        <v>185454702</v>
      </c>
      <c r="E110" s="116">
        <f t="shared" si="25"/>
        <v>108453.04210526316</v>
      </c>
      <c r="F110" s="117">
        <v>133538695</v>
      </c>
      <c r="G110" s="117">
        <f t="shared" si="26"/>
        <v>78092.804093567247</v>
      </c>
      <c r="H110" s="7"/>
      <c r="I110" s="101">
        <v>3.2159</v>
      </c>
      <c r="J110" s="117">
        <v>429447</v>
      </c>
      <c r="K110" s="120">
        <f t="shared" si="27"/>
        <v>251.13859649122807</v>
      </c>
      <c r="L110" s="122">
        <f t="shared" si="14"/>
        <v>1335386.95</v>
      </c>
      <c r="M110" s="116">
        <f t="shared" si="15"/>
        <v>905939.95</v>
      </c>
      <c r="N110" s="123">
        <f t="shared" si="16"/>
        <v>529.78944444444437</v>
      </c>
      <c r="O110" s="5"/>
      <c r="P110" s="5">
        <f t="shared" si="17"/>
        <v>1</v>
      </c>
      <c r="Q110" s="7">
        <f t="shared" si="18"/>
        <v>1710</v>
      </c>
    </row>
    <row r="111" spans="1:17">
      <c r="A111" s="23" t="s">
        <v>123</v>
      </c>
      <c r="B111" s="35" t="s">
        <v>118</v>
      </c>
      <c r="C111" s="36">
        <v>7384</v>
      </c>
      <c r="D111" s="113">
        <v>484758867</v>
      </c>
      <c r="E111" s="116">
        <f t="shared" si="25"/>
        <v>65649.900731310947</v>
      </c>
      <c r="F111" s="117">
        <v>230457671</v>
      </c>
      <c r="G111" s="117">
        <f t="shared" si="26"/>
        <v>31210.410482123509</v>
      </c>
      <c r="H111" s="9"/>
      <c r="I111" s="101">
        <v>4.5269000000000004</v>
      </c>
      <c r="J111" s="117">
        <v>1043259</v>
      </c>
      <c r="K111" s="120">
        <f t="shared" si="27"/>
        <v>141.2864301191766</v>
      </c>
      <c r="L111" s="122">
        <f t="shared" si="14"/>
        <v>2304576.71</v>
      </c>
      <c r="M111" s="116">
        <f t="shared" si="15"/>
        <v>1261317.71</v>
      </c>
      <c r="N111" s="123">
        <f t="shared" si="16"/>
        <v>170.8176747020585</v>
      </c>
      <c r="O111" s="5"/>
      <c r="P111" s="5">
        <f t="shared" si="17"/>
        <v>1</v>
      </c>
      <c r="Q111" s="7">
        <f t="shared" si="18"/>
        <v>7384</v>
      </c>
    </row>
    <row r="112" spans="1:17">
      <c r="A112" s="23" t="s">
        <v>124</v>
      </c>
      <c r="B112" s="35" t="s">
        <v>125</v>
      </c>
      <c r="C112" s="36">
        <v>415</v>
      </c>
      <c r="D112" s="113">
        <v>43942309</v>
      </c>
      <c r="E112" s="116">
        <f t="shared" si="25"/>
        <v>105885.08192771084</v>
      </c>
      <c r="F112" s="117">
        <v>18370838</v>
      </c>
      <c r="G112" s="117">
        <f t="shared" si="26"/>
        <v>44267.079518072293</v>
      </c>
      <c r="H112" s="9"/>
      <c r="I112" s="101">
        <v>2</v>
      </c>
      <c r="J112" s="117">
        <v>36742</v>
      </c>
      <c r="K112" s="120">
        <f t="shared" si="27"/>
        <v>88.534939759036149</v>
      </c>
      <c r="L112" s="122">
        <f t="shared" si="14"/>
        <v>183708.38</v>
      </c>
      <c r="M112" s="116">
        <f t="shared" si="15"/>
        <v>146966.38</v>
      </c>
      <c r="N112" s="123">
        <f t="shared" si="16"/>
        <v>354.13585542168676</v>
      </c>
      <c r="O112" s="5"/>
      <c r="P112" s="5">
        <f t="shared" si="17"/>
        <v>1</v>
      </c>
      <c r="Q112" s="7">
        <f t="shared" si="18"/>
        <v>415</v>
      </c>
    </row>
    <row r="113" spans="1:17">
      <c r="A113" s="23" t="s">
        <v>126</v>
      </c>
      <c r="B113" s="35" t="s">
        <v>125</v>
      </c>
      <c r="C113" s="36">
        <v>1710</v>
      </c>
      <c r="D113" s="113">
        <v>116965729</v>
      </c>
      <c r="E113" s="116">
        <f t="shared" si="25"/>
        <v>68401.011111111118</v>
      </c>
      <c r="F113" s="117">
        <v>53776185</v>
      </c>
      <c r="G113" s="117">
        <f t="shared" si="26"/>
        <v>31448.061403508771</v>
      </c>
      <c r="H113" s="9"/>
      <c r="I113" s="102">
        <v>3</v>
      </c>
      <c r="J113" s="117">
        <v>161329</v>
      </c>
      <c r="K113" s="120">
        <f t="shared" si="27"/>
        <v>94.344444444444449</v>
      </c>
      <c r="L113" s="122">
        <f t="shared" si="14"/>
        <v>537761.85</v>
      </c>
      <c r="M113" s="116">
        <f t="shared" si="15"/>
        <v>376432.85</v>
      </c>
      <c r="N113" s="123">
        <f t="shared" si="16"/>
        <v>220.13616959064325</v>
      </c>
      <c r="O113" s="5"/>
      <c r="P113" s="5">
        <f t="shared" si="17"/>
        <v>1</v>
      </c>
      <c r="Q113" s="7">
        <f t="shared" si="18"/>
        <v>1710</v>
      </c>
    </row>
    <row r="114" spans="1:17">
      <c r="A114" s="23" t="s">
        <v>127</v>
      </c>
      <c r="B114" s="35" t="s">
        <v>128</v>
      </c>
      <c r="C114" s="36">
        <v>915</v>
      </c>
      <c r="D114" s="113">
        <f>(29137815+41454160)</f>
        <v>70591975</v>
      </c>
      <c r="E114" s="116">
        <f t="shared" si="25"/>
        <v>77149.699453551919</v>
      </c>
      <c r="F114" s="117">
        <f>(23430819+25341995)</f>
        <v>48772814</v>
      </c>
      <c r="G114" s="117">
        <f t="shared" si="26"/>
        <v>53303.621857923499</v>
      </c>
      <c r="H114" s="7"/>
      <c r="I114" s="102">
        <v>2</v>
      </c>
      <c r="J114" s="117">
        <f>(46862+50684)</f>
        <v>97546</v>
      </c>
      <c r="K114" s="120">
        <f t="shared" si="27"/>
        <v>106.60765027322404</v>
      </c>
      <c r="L114" s="122">
        <f t="shared" si="14"/>
        <v>487728.14</v>
      </c>
      <c r="M114" s="116">
        <f t="shared" si="15"/>
        <v>390182.14</v>
      </c>
      <c r="N114" s="123">
        <f t="shared" si="16"/>
        <v>426.42856830601096</v>
      </c>
      <c r="O114" s="5"/>
      <c r="P114" s="5">
        <f t="shared" si="17"/>
        <v>1</v>
      </c>
      <c r="Q114" s="7">
        <f t="shared" si="18"/>
        <v>915</v>
      </c>
    </row>
    <row r="115" spans="1:17">
      <c r="A115" s="23" t="s">
        <v>129</v>
      </c>
      <c r="B115" s="35" t="s">
        <v>130</v>
      </c>
      <c r="C115" s="36">
        <v>1655</v>
      </c>
      <c r="D115" s="113">
        <v>103402626</v>
      </c>
      <c r="E115" s="116">
        <f t="shared" si="25"/>
        <v>62478.92809667674</v>
      </c>
      <c r="F115" s="117">
        <v>50679172</v>
      </c>
      <c r="G115" s="117">
        <f t="shared" si="26"/>
        <v>30621.856193353473</v>
      </c>
      <c r="H115" s="7"/>
      <c r="I115" s="101">
        <v>4.1448</v>
      </c>
      <c r="J115" s="117">
        <v>210055</v>
      </c>
      <c r="K115" s="120">
        <f t="shared" si="27"/>
        <v>126.9214501510574</v>
      </c>
      <c r="L115" s="122">
        <f t="shared" si="14"/>
        <v>506791.72000000003</v>
      </c>
      <c r="M115" s="116">
        <f t="shared" si="15"/>
        <v>296736.72000000003</v>
      </c>
      <c r="N115" s="123">
        <f t="shared" si="16"/>
        <v>179.29711178247737</v>
      </c>
      <c r="O115" s="5"/>
      <c r="P115" s="5">
        <f t="shared" si="17"/>
        <v>1</v>
      </c>
      <c r="Q115" s="7">
        <f t="shared" si="18"/>
        <v>1655</v>
      </c>
    </row>
    <row r="116" spans="1:17">
      <c r="A116" s="23" t="s">
        <v>545</v>
      </c>
      <c r="B116" s="35" t="s">
        <v>131</v>
      </c>
      <c r="C116" s="36">
        <v>3758</v>
      </c>
      <c r="D116" s="113">
        <v>577305796</v>
      </c>
      <c r="E116" s="116">
        <f t="shared" si="25"/>
        <v>153620.48855774349</v>
      </c>
      <c r="F116" s="117">
        <v>394201936</v>
      </c>
      <c r="G116" s="117">
        <f t="shared" si="26"/>
        <v>104896.73656200107</v>
      </c>
      <c r="H116" s="9"/>
      <c r="I116" s="101">
        <v>3.5914000000000001</v>
      </c>
      <c r="J116" s="117">
        <v>1415737</v>
      </c>
      <c r="K116" s="120">
        <f t="shared" si="27"/>
        <v>376.72618414050027</v>
      </c>
      <c r="L116" s="122">
        <f t="shared" si="14"/>
        <v>3942019.36</v>
      </c>
      <c r="M116" s="116">
        <f t="shared" si="15"/>
        <v>2526282.36</v>
      </c>
      <c r="N116" s="123">
        <f t="shared" si="16"/>
        <v>672.24118147951037</v>
      </c>
      <c r="O116" s="5"/>
      <c r="P116" s="5">
        <f t="shared" si="17"/>
        <v>1</v>
      </c>
      <c r="Q116" s="7">
        <f t="shared" si="18"/>
        <v>3758</v>
      </c>
    </row>
    <row r="117" spans="1:17">
      <c r="A117" s="23" t="s">
        <v>132</v>
      </c>
      <c r="B117" s="35" t="s">
        <v>131</v>
      </c>
      <c r="C117" s="36">
        <v>1718</v>
      </c>
      <c r="D117" s="113">
        <v>122153737</v>
      </c>
      <c r="E117" s="116">
        <f t="shared" si="25"/>
        <v>71102.291618160656</v>
      </c>
      <c r="F117" s="117">
        <v>73420206</v>
      </c>
      <c r="G117" s="117">
        <f t="shared" si="26"/>
        <v>42735.859138533175</v>
      </c>
      <c r="H117" s="9"/>
      <c r="I117" s="101">
        <v>6</v>
      </c>
      <c r="J117" s="117">
        <v>440521</v>
      </c>
      <c r="K117" s="120">
        <f t="shared" si="27"/>
        <v>256.41501746216528</v>
      </c>
      <c r="L117" s="122">
        <f t="shared" si="14"/>
        <v>734202.06</v>
      </c>
      <c r="M117" s="116">
        <f t="shared" si="15"/>
        <v>293681.06000000006</v>
      </c>
      <c r="N117" s="123">
        <f t="shared" si="16"/>
        <v>170.9435739231665</v>
      </c>
      <c r="O117" s="5"/>
      <c r="P117" s="5">
        <f t="shared" si="17"/>
        <v>1</v>
      </c>
      <c r="Q117" s="7">
        <f t="shared" si="18"/>
        <v>1718</v>
      </c>
    </row>
    <row r="118" spans="1:17">
      <c r="A118" s="23" t="s">
        <v>133</v>
      </c>
      <c r="B118" s="35" t="s">
        <v>134</v>
      </c>
      <c r="C118" s="36">
        <v>1698</v>
      </c>
      <c r="D118" s="113">
        <v>113348220</v>
      </c>
      <c r="E118" s="116">
        <f t="shared" si="25"/>
        <v>66753.957597173139</v>
      </c>
      <c r="F118" s="117">
        <v>52760229</v>
      </c>
      <c r="G118" s="117">
        <f t="shared" si="26"/>
        <v>31071.984098939931</v>
      </c>
      <c r="H118" s="7"/>
      <c r="I118" s="101">
        <v>5.7710999999999997</v>
      </c>
      <c r="J118" s="117">
        <v>304485</v>
      </c>
      <c r="K118" s="120">
        <f t="shared" si="27"/>
        <v>179.31978798586573</v>
      </c>
      <c r="L118" s="122">
        <f t="shared" si="14"/>
        <v>527602.29</v>
      </c>
      <c r="M118" s="116">
        <f t="shared" si="15"/>
        <v>223117.29000000004</v>
      </c>
      <c r="N118" s="123">
        <f t="shared" si="16"/>
        <v>131.4000530035336</v>
      </c>
      <c r="O118" s="5"/>
      <c r="P118" s="5">
        <f t="shared" si="17"/>
        <v>1</v>
      </c>
      <c r="Q118" s="7">
        <f t="shared" si="18"/>
        <v>1698</v>
      </c>
    </row>
    <row r="119" spans="1:17">
      <c r="A119" s="23" t="s">
        <v>135</v>
      </c>
      <c r="B119" s="35" t="s">
        <v>134</v>
      </c>
      <c r="C119" s="36">
        <v>805</v>
      </c>
      <c r="D119" s="113">
        <v>21395283</v>
      </c>
      <c r="E119" s="116">
        <f t="shared" si="25"/>
        <v>26577.991304347826</v>
      </c>
      <c r="F119" s="117">
        <v>12002481</v>
      </c>
      <c r="G119" s="117">
        <f t="shared" si="26"/>
        <v>14909.914285714285</v>
      </c>
      <c r="H119" s="7"/>
      <c r="I119" s="101">
        <v>1.35</v>
      </c>
      <c r="J119" s="117">
        <v>16203</v>
      </c>
      <c r="K119" s="120">
        <f t="shared" si="27"/>
        <v>20.127950310559005</v>
      </c>
      <c r="L119" s="122">
        <f t="shared" si="14"/>
        <v>120024.81</v>
      </c>
      <c r="M119" s="116">
        <f t="shared" si="15"/>
        <v>103821.81</v>
      </c>
      <c r="N119" s="123">
        <f t="shared" si="16"/>
        <v>128.97119254658384</v>
      </c>
      <c r="O119" s="5"/>
      <c r="P119" s="5">
        <f t="shared" si="17"/>
        <v>1</v>
      </c>
      <c r="Q119" s="7">
        <f t="shared" si="18"/>
        <v>805</v>
      </c>
    </row>
    <row r="120" spans="1:17">
      <c r="A120" s="23" t="s">
        <v>136</v>
      </c>
      <c r="B120" s="35" t="s">
        <v>134</v>
      </c>
      <c r="C120" s="36">
        <v>776</v>
      </c>
      <c r="D120" s="113">
        <v>36623751</v>
      </c>
      <c r="E120" s="116">
        <f t="shared" si="25"/>
        <v>47195.555412371134</v>
      </c>
      <c r="F120" s="117">
        <v>17189627</v>
      </c>
      <c r="G120" s="117">
        <f t="shared" si="26"/>
        <v>22151.581185567011</v>
      </c>
      <c r="H120" s="7"/>
      <c r="I120" s="101">
        <v>3.7787000000000002</v>
      </c>
      <c r="J120" s="117">
        <v>64954</v>
      </c>
      <c r="K120" s="120">
        <f t="shared" si="27"/>
        <v>83.703608247422679</v>
      </c>
      <c r="L120" s="122">
        <f t="shared" si="14"/>
        <v>171896.27</v>
      </c>
      <c r="M120" s="116">
        <f t="shared" si="15"/>
        <v>106942.26999999999</v>
      </c>
      <c r="N120" s="123">
        <f t="shared" si="16"/>
        <v>137.81220360824742</v>
      </c>
      <c r="O120" s="5"/>
      <c r="P120" s="5">
        <f t="shared" si="17"/>
        <v>1</v>
      </c>
      <c r="Q120" s="7">
        <f t="shared" si="18"/>
        <v>776</v>
      </c>
    </row>
    <row r="121" spans="1:17">
      <c r="A121" s="23" t="s">
        <v>137</v>
      </c>
      <c r="B121" s="35" t="s">
        <v>138</v>
      </c>
      <c r="C121" s="36">
        <v>3158</v>
      </c>
      <c r="D121" s="113">
        <v>72907996</v>
      </c>
      <c r="E121" s="116">
        <f t="shared" si="25"/>
        <v>23086.762507916403</v>
      </c>
      <c r="F121" s="117">
        <v>35134654</v>
      </c>
      <c r="G121" s="117">
        <f t="shared" si="26"/>
        <v>11125.602913236226</v>
      </c>
      <c r="H121" s="7"/>
      <c r="I121" s="101">
        <v>7.25</v>
      </c>
      <c r="J121" s="117">
        <v>254726</v>
      </c>
      <c r="K121" s="120">
        <f t="shared" si="27"/>
        <v>80.660544648511717</v>
      </c>
      <c r="L121" s="122">
        <f t="shared" si="14"/>
        <v>351346.54</v>
      </c>
      <c r="M121" s="116">
        <f t="shared" si="15"/>
        <v>96620.539999999979</v>
      </c>
      <c r="N121" s="123">
        <f t="shared" si="16"/>
        <v>30.59548448385053</v>
      </c>
      <c r="O121" s="5"/>
      <c r="P121" s="5">
        <f t="shared" si="17"/>
        <v>1</v>
      </c>
      <c r="Q121" s="7">
        <f t="shared" si="18"/>
        <v>3158</v>
      </c>
    </row>
    <row r="122" spans="1:17">
      <c r="A122" s="23" t="s">
        <v>139</v>
      </c>
      <c r="B122" s="35" t="s">
        <v>138</v>
      </c>
      <c r="C122" s="36">
        <v>4560</v>
      </c>
      <c r="D122" s="113">
        <v>240194012</v>
      </c>
      <c r="E122" s="116">
        <f t="shared" si="25"/>
        <v>52674.125438596493</v>
      </c>
      <c r="F122" s="117">
        <v>122677042</v>
      </c>
      <c r="G122" s="117">
        <f t="shared" si="26"/>
        <v>26902.860087719298</v>
      </c>
      <c r="H122" s="7"/>
      <c r="I122" s="101">
        <v>5.4420000000000002</v>
      </c>
      <c r="J122" s="117">
        <v>667608</v>
      </c>
      <c r="K122" s="120">
        <f t="shared" si="27"/>
        <v>146.40526315789472</v>
      </c>
      <c r="L122" s="122">
        <f t="shared" si="14"/>
        <v>1226770.42</v>
      </c>
      <c r="M122" s="116">
        <f t="shared" si="15"/>
        <v>559162.41999999993</v>
      </c>
      <c r="N122" s="123">
        <f t="shared" si="16"/>
        <v>122.62333771929823</v>
      </c>
      <c r="O122" s="5"/>
      <c r="P122" s="5">
        <f t="shared" si="17"/>
        <v>1</v>
      </c>
      <c r="Q122" s="7">
        <f t="shared" si="18"/>
        <v>4560</v>
      </c>
    </row>
    <row r="123" spans="1:17">
      <c r="A123" s="23" t="s">
        <v>140</v>
      </c>
      <c r="B123" s="35" t="s">
        <v>138</v>
      </c>
      <c r="C123" s="36">
        <v>1619</v>
      </c>
      <c r="D123" s="113">
        <v>55726926</v>
      </c>
      <c r="E123" s="116">
        <f t="shared" si="25"/>
        <v>34420.584311303275</v>
      </c>
      <c r="F123" s="117">
        <v>26709463</v>
      </c>
      <c r="G123" s="117">
        <f t="shared" si="26"/>
        <v>16497.506485484868</v>
      </c>
      <c r="H123" s="7"/>
      <c r="I123" s="101">
        <v>9</v>
      </c>
      <c r="J123" s="117">
        <v>240385</v>
      </c>
      <c r="K123" s="120">
        <f t="shared" si="27"/>
        <v>148.47745521927115</v>
      </c>
      <c r="L123" s="122">
        <f t="shared" si="14"/>
        <v>267094.63</v>
      </c>
      <c r="M123" s="116">
        <f t="shared" si="15"/>
        <v>26709.630000000005</v>
      </c>
      <c r="N123" s="123">
        <f t="shared" si="16"/>
        <v>16.497609635577518</v>
      </c>
      <c r="O123" s="5"/>
      <c r="P123" s="5">
        <f t="shared" si="17"/>
        <v>1</v>
      </c>
      <c r="Q123" s="7">
        <f t="shared" si="18"/>
        <v>1619</v>
      </c>
    </row>
    <row r="124" spans="1:17">
      <c r="A124" s="23" t="s">
        <v>141</v>
      </c>
      <c r="B124" s="35" t="s">
        <v>142</v>
      </c>
      <c r="C124" s="36">
        <v>7018</v>
      </c>
      <c r="D124" s="113">
        <v>553878401</v>
      </c>
      <c r="E124" s="116">
        <f t="shared" si="25"/>
        <v>78922.542177258481</v>
      </c>
      <c r="F124" s="117">
        <v>262224034</v>
      </c>
      <c r="G124" s="117">
        <f t="shared" si="26"/>
        <v>37364.496152750071</v>
      </c>
      <c r="H124" s="7"/>
      <c r="I124" s="101">
        <v>6.2</v>
      </c>
      <c r="J124" s="117">
        <v>1625789</v>
      </c>
      <c r="K124" s="120">
        <f t="shared" si="27"/>
        <v>231.65987460815046</v>
      </c>
      <c r="L124" s="122">
        <f t="shared" si="14"/>
        <v>2622240.34</v>
      </c>
      <c r="M124" s="116">
        <f t="shared" si="15"/>
        <v>996451.33999999985</v>
      </c>
      <c r="N124" s="123">
        <f t="shared" si="16"/>
        <v>141.98508691935021</v>
      </c>
      <c r="O124" s="5"/>
      <c r="P124" s="5">
        <f t="shared" si="17"/>
        <v>1</v>
      </c>
      <c r="Q124" s="7">
        <f t="shared" si="18"/>
        <v>7018</v>
      </c>
    </row>
    <row r="125" spans="1:17">
      <c r="A125" s="23" t="s">
        <v>558</v>
      </c>
      <c r="B125" s="35" t="s">
        <v>142</v>
      </c>
      <c r="C125" s="36">
        <v>4569</v>
      </c>
      <c r="D125" s="113">
        <v>478380280</v>
      </c>
      <c r="E125" s="116">
        <f t="shared" si="25"/>
        <v>104701.30882031079</v>
      </c>
      <c r="F125" s="117">
        <v>243029194</v>
      </c>
      <c r="G125" s="117">
        <f t="shared" si="26"/>
        <v>53190.893849857734</v>
      </c>
      <c r="H125" s="7"/>
      <c r="I125" s="101">
        <v>3</v>
      </c>
      <c r="J125" s="117">
        <v>729088</v>
      </c>
      <c r="K125" s="120">
        <f t="shared" si="27"/>
        <v>159.5727730356752</v>
      </c>
      <c r="L125" s="122">
        <f t="shared" si="14"/>
        <v>2430291.94</v>
      </c>
      <c r="M125" s="116">
        <f t="shared" si="15"/>
        <v>1701203.94</v>
      </c>
      <c r="N125" s="123">
        <f t="shared" si="16"/>
        <v>372.33616546290216</v>
      </c>
      <c r="O125" s="5"/>
      <c r="P125" s="5">
        <f t="shared" si="17"/>
        <v>1</v>
      </c>
      <c r="Q125" s="7">
        <f t="shared" si="18"/>
        <v>4569</v>
      </c>
    </row>
    <row r="126" spans="1:17">
      <c r="A126" s="23" t="s">
        <v>143</v>
      </c>
      <c r="B126" s="35" t="s">
        <v>144</v>
      </c>
      <c r="C126" s="36">
        <v>7633</v>
      </c>
      <c r="D126" s="113">
        <v>780290390</v>
      </c>
      <c r="E126" s="116">
        <f t="shared" si="25"/>
        <v>102225.91248526136</v>
      </c>
      <c r="F126" s="117">
        <v>464157987</v>
      </c>
      <c r="G126" s="117">
        <f t="shared" si="26"/>
        <v>60809.378619153678</v>
      </c>
      <c r="H126" s="7"/>
      <c r="I126" s="101">
        <v>6.069</v>
      </c>
      <c r="J126" s="117">
        <v>2816975</v>
      </c>
      <c r="K126" s="120">
        <f t="shared" si="27"/>
        <v>369.05214201493516</v>
      </c>
      <c r="L126" s="122">
        <f t="shared" si="14"/>
        <v>4641579.87</v>
      </c>
      <c r="M126" s="116">
        <f t="shared" si="15"/>
        <v>1824604.87</v>
      </c>
      <c r="N126" s="123">
        <f t="shared" si="16"/>
        <v>239.04164417660161</v>
      </c>
      <c r="O126" s="5"/>
      <c r="P126" s="5">
        <f t="shared" si="17"/>
        <v>1</v>
      </c>
      <c r="Q126" s="7">
        <f t="shared" si="18"/>
        <v>7633</v>
      </c>
    </row>
    <row r="127" spans="1:17">
      <c r="A127" s="23" t="s">
        <v>145</v>
      </c>
      <c r="B127" s="35" t="s">
        <v>144</v>
      </c>
      <c r="C127" s="36">
        <v>7</v>
      </c>
      <c r="D127" s="113">
        <v>31518016</v>
      </c>
      <c r="E127" s="116">
        <f t="shared" si="25"/>
        <v>4502573.7142857146</v>
      </c>
      <c r="F127" s="117">
        <v>17468542</v>
      </c>
      <c r="G127" s="117">
        <f t="shared" si="26"/>
        <v>2495506</v>
      </c>
      <c r="H127" s="7"/>
      <c r="I127" s="101">
        <v>2.5769000000000002</v>
      </c>
      <c r="J127" s="117">
        <v>45015</v>
      </c>
      <c r="K127" s="120">
        <f t="shared" si="27"/>
        <v>6430.7142857142853</v>
      </c>
      <c r="L127" s="122">
        <f t="shared" si="14"/>
        <v>174685.42</v>
      </c>
      <c r="M127" s="116">
        <f t="shared" si="15"/>
        <v>129670.42000000001</v>
      </c>
      <c r="N127" s="123">
        <f t="shared" si="16"/>
        <v>18524.345714285715</v>
      </c>
      <c r="O127" s="5"/>
      <c r="P127" s="5">
        <f t="shared" si="17"/>
        <v>1</v>
      </c>
      <c r="Q127" s="7">
        <f t="shared" si="18"/>
        <v>7</v>
      </c>
    </row>
    <row r="128" spans="1:17">
      <c r="A128" s="23" t="s">
        <v>146</v>
      </c>
      <c r="B128" s="35" t="s">
        <v>147</v>
      </c>
      <c r="C128" s="36">
        <v>8786</v>
      </c>
      <c r="D128" s="113">
        <v>456346890</v>
      </c>
      <c r="E128" s="116">
        <f t="shared" si="25"/>
        <v>51940.233325745503</v>
      </c>
      <c r="F128" s="117">
        <v>261500984</v>
      </c>
      <c r="G128" s="117">
        <f t="shared" si="26"/>
        <v>29763.37172774869</v>
      </c>
      <c r="H128" s="7"/>
      <c r="I128" s="101">
        <v>5.8745000000000003</v>
      </c>
      <c r="J128" s="117">
        <v>1536188</v>
      </c>
      <c r="K128" s="120">
        <f t="shared" si="27"/>
        <v>174.84498065103574</v>
      </c>
      <c r="L128" s="122">
        <f t="shared" si="14"/>
        <v>2615009.84</v>
      </c>
      <c r="M128" s="116">
        <f t="shared" si="15"/>
        <v>1078821.8399999999</v>
      </c>
      <c r="N128" s="123">
        <f t="shared" si="16"/>
        <v>122.78873662645115</v>
      </c>
      <c r="O128" s="5"/>
      <c r="P128" s="5">
        <f t="shared" si="17"/>
        <v>1</v>
      </c>
      <c r="Q128" s="7">
        <f t="shared" si="18"/>
        <v>8786</v>
      </c>
    </row>
    <row r="129" spans="1:17">
      <c r="A129" s="23" t="s">
        <v>148</v>
      </c>
      <c r="B129" s="35" t="s">
        <v>147</v>
      </c>
      <c r="C129" s="36">
        <v>1732</v>
      </c>
      <c r="D129" s="113">
        <v>299629713</v>
      </c>
      <c r="E129" s="116">
        <f t="shared" si="25"/>
        <v>172996.37009237875</v>
      </c>
      <c r="F129" s="117">
        <v>203895826</v>
      </c>
      <c r="G129" s="117">
        <f t="shared" si="26"/>
        <v>117722.76327944573</v>
      </c>
      <c r="H129" s="7"/>
      <c r="I129" s="101">
        <v>3.81</v>
      </c>
      <c r="J129" s="117">
        <v>776843</v>
      </c>
      <c r="K129" s="120">
        <f t="shared" si="27"/>
        <v>448.52367205542726</v>
      </c>
      <c r="L129" s="122">
        <f t="shared" si="14"/>
        <v>2038958.26</v>
      </c>
      <c r="M129" s="116">
        <f t="shared" si="15"/>
        <v>1262115.26</v>
      </c>
      <c r="N129" s="123">
        <f t="shared" si="16"/>
        <v>728.70396073902998</v>
      </c>
      <c r="O129" s="5"/>
      <c r="P129" s="5">
        <f t="shared" si="17"/>
        <v>1</v>
      </c>
      <c r="Q129" s="7">
        <f t="shared" si="18"/>
        <v>1732</v>
      </c>
    </row>
    <row r="130" spans="1:17">
      <c r="A130" s="23" t="s">
        <v>149</v>
      </c>
      <c r="B130" s="35" t="s">
        <v>147</v>
      </c>
      <c r="C130" s="36">
        <v>10344</v>
      </c>
      <c r="D130" s="113">
        <v>1002850349</v>
      </c>
      <c r="E130" s="116">
        <f t="shared" si="25"/>
        <v>96949.956399845323</v>
      </c>
      <c r="F130" s="117">
        <v>683844748</v>
      </c>
      <c r="G130" s="117">
        <f t="shared" si="26"/>
        <v>66110.281129156996</v>
      </c>
      <c r="H130" s="7"/>
      <c r="I130" s="101">
        <v>5.4965000000000002</v>
      </c>
      <c r="J130" s="117">
        <v>3758753</v>
      </c>
      <c r="K130" s="120">
        <f t="shared" si="27"/>
        <v>363.37519334880125</v>
      </c>
      <c r="L130" s="122">
        <f t="shared" si="14"/>
        <v>6838447.4800000004</v>
      </c>
      <c r="M130" s="116">
        <f t="shared" si="15"/>
        <v>3079694.4800000004</v>
      </c>
      <c r="N130" s="123">
        <f t="shared" si="16"/>
        <v>297.7276179427688</v>
      </c>
      <c r="O130" s="5"/>
      <c r="P130" s="5">
        <f t="shared" si="17"/>
        <v>1</v>
      </c>
      <c r="Q130" s="7">
        <f t="shared" si="18"/>
        <v>10344</v>
      </c>
    </row>
    <row r="131" spans="1:17">
      <c r="A131" s="23" t="s">
        <v>150</v>
      </c>
      <c r="B131" s="35" t="s">
        <v>151</v>
      </c>
      <c r="C131" s="36">
        <v>33306</v>
      </c>
      <c r="D131" s="113">
        <v>2633380056</v>
      </c>
      <c r="E131" s="116">
        <f t="shared" si="25"/>
        <v>79066.235993514681</v>
      </c>
      <c r="F131" s="117">
        <v>1827172553</v>
      </c>
      <c r="G131" s="117">
        <f t="shared" si="26"/>
        <v>54860.161922776679</v>
      </c>
      <c r="H131" s="7"/>
      <c r="I131" s="101">
        <v>4.7157</v>
      </c>
      <c r="J131" s="117">
        <v>8616398</v>
      </c>
      <c r="K131" s="120">
        <f t="shared" si="27"/>
        <v>258.7040773434216</v>
      </c>
      <c r="L131" s="122">
        <f t="shared" si="14"/>
        <v>18271725.530000001</v>
      </c>
      <c r="M131" s="116">
        <f t="shared" si="15"/>
        <v>9655327.5300000012</v>
      </c>
      <c r="N131" s="123">
        <f t="shared" si="16"/>
        <v>289.89754188434517</v>
      </c>
      <c r="O131" s="5"/>
      <c r="P131" s="5">
        <f t="shared" si="17"/>
        <v>1</v>
      </c>
      <c r="Q131" s="7">
        <f t="shared" si="18"/>
        <v>33306</v>
      </c>
    </row>
    <row r="132" spans="1:17">
      <c r="A132" s="23" t="s">
        <v>152</v>
      </c>
      <c r="B132" s="35" t="s">
        <v>151</v>
      </c>
      <c r="C132" s="36">
        <v>339480</v>
      </c>
      <c r="D132" s="113">
        <v>38041521467</v>
      </c>
      <c r="E132" s="116">
        <f t="shared" si="25"/>
        <v>112058.21099033816</v>
      </c>
      <c r="F132" s="117">
        <v>25431727333</v>
      </c>
      <c r="G132" s="117">
        <f t="shared" si="26"/>
        <v>74913.772042535638</v>
      </c>
      <c r="H132" s="7"/>
      <c r="I132" s="101">
        <v>5.7325999999999997</v>
      </c>
      <c r="J132" s="117">
        <v>145789920</v>
      </c>
      <c r="K132" s="120">
        <f t="shared" si="27"/>
        <v>429.45068928950161</v>
      </c>
      <c r="L132" s="122">
        <f t="shared" si="14"/>
        <v>254317273.33000001</v>
      </c>
      <c r="M132" s="116">
        <f t="shared" si="15"/>
        <v>108527353.33000001</v>
      </c>
      <c r="N132" s="123">
        <f t="shared" si="16"/>
        <v>319.68703113585485</v>
      </c>
      <c r="O132" s="5"/>
      <c r="P132" s="5">
        <f t="shared" si="17"/>
        <v>1</v>
      </c>
      <c r="Q132" s="7">
        <f t="shared" si="18"/>
        <v>339480</v>
      </c>
    </row>
    <row r="133" spans="1:17">
      <c r="A133" s="23" t="s">
        <v>153</v>
      </c>
      <c r="B133" s="35" t="s">
        <v>151</v>
      </c>
      <c r="C133" s="36">
        <v>23990</v>
      </c>
      <c r="D133" s="113">
        <v>1903641648</v>
      </c>
      <c r="E133" s="116">
        <f t="shared" si="25"/>
        <v>79351.465110462697</v>
      </c>
      <c r="F133" s="117">
        <v>1437286998</v>
      </c>
      <c r="G133" s="117">
        <f t="shared" si="26"/>
        <v>59911.921550646104</v>
      </c>
      <c r="H133" s="9"/>
      <c r="I133" s="101">
        <v>5.2828999999999997</v>
      </c>
      <c r="J133" s="117">
        <v>7593043</v>
      </c>
      <c r="K133" s="120">
        <f t="shared" si="27"/>
        <v>316.50867027928302</v>
      </c>
      <c r="L133" s="122">
        <f t="shared" si="14"/>
        <v>14372869.98</v>
      </c>
      <c r="M133" s="116">
        <f t="shared" si="15"/>
        <v>6779826.9800000004</v>
      </c>
      <c r="N133" s="123">
        <f t="shared" si="16"/>
        <v>282.61054522717802</v>
      </c>
      <c r="O133" s="5"/>
      <c r="P133" s="5">
        <f t="shared" si="17"/>
        <v>1</v>
      </c>
      <c r="Q133" s="7">
        <f t="shared" si="18"/>
        <v>23990</v>
      </c>
    </row>
    <row r="134" spans="1:17">
      <c r="A134" s="23" t="s">
        <v>154</v>
      </c>
      <c r="B134" s="35" t="s">
        <v>155</v>
      </c>
      <c r="C134" s="36">
        <v>2769</v>
      </c>
      <c r="D134" s="114" t="s">
        <v>564</v>
      </c>
      <c r="E134" s="116"/>
      <c r="F134" s="117"/>
      <c r="G134" s="117"/>
      <c r="H134" s="9" t="s">
        <v>528</v>
      </c>
      <c r="I134" s="101"/>
      <c r="J134" s="117"/>
      <c r="K134" s="120"/>
      <c r="L134" s="122">
        <f t="shared" ref="L134:L197" si="28">(F134*0.01)</f>
        <v>0</v>
      </c>
      <c r="M134" s="116">
        <f t="shared" ref="M134:M197" si="29">(L134-J134)</f>
        <v>0</v>
      </c>
      <c r="N134" s="123">
        <f t="shared" ref="N134:N197" si="30">(M134/C134)</f>
        <v>0</v>
      </c>
      <c r="O134" s="5"/>
      <c r="P134" s="5">
        <f t="shared" ref="P134:P197" si="31">IF(I134&gt;0,1,0)</f>
        <v>0</v>
      </c>
      <c r="Q134" s="7">
        <f t="shared" ref="Q134:Q197" si="32">IF(I134&gt;0,C134,0)</f>
        <v>0</v>
      </c>
    </row>
    <row r="135" spans="1:17">
      <c r="A135" s="23" t="s">
        <v>156</v>
      </c>
      <c r="B135" s="35" t="s">
        <v>155</v>
      </c>
      <c r="C135" s="36">
        <v>379</v>
      </c>
      <c r="D135" s="113">
        <v>11610539</v>
      </c>
      <c r="E135" s="116">
        <f t="shared" si="25"/>
        <v>30634.667546174143</v>
      </c>
      <c r="F135" s="117">
        <v>4574555</v>
      </c>
      <c r="G135" s="117">
        <f t="shared" si="26"/>
        <v>12070.065963060686</v>
      </c>
      <c r="H135" s="7"/>
      <c r="I135" s="103">
        <v>0.52470000000000006</v>
      </c>
      <c r="J135" s="117">
        <v>2400</v>
      </c>
      <c r="K135" s="120">
        <f>(J135/C135)</f>
        <v>6.3324538258575194</v>
      </c>
      <c r="L135" s="122">
        <f t="shared" si="28"/>
        <v>45745.55</v>
      </c>
      <c r="M135" s="116">
        <f t="shared" si="29"/>
        <v>43345.55</v>
      </c>
      <c r="N135" s="123">
        <f t="shared" si="30"/>
        <v>114.36820580474935</v>
      </c>
      <c r="O135" s="5"/>
      <c r="P135" s="5">
        <f t="shared" si="31"/>
        <v>1</v>
      </c>
      <c r="Q135" s="7">
        <f t="shared" si="32"/>
        <v>379</v>
      </c>
    </row>
    <row r="136" spans="1:17">
      <c r="A136" s="23" t="s">
        <v>157</v>
      </c>
      <c r="B136" s="35" t="s">
        <v>155</v>
      </c>
      <c r="C136" s="36">
        <v>231</v>
      </c>
      <c r="D136" s="113">
        <v>4353235</v>
      </c>
      <c r="E136" s="116">
        <f t="shared" si="25"/>
        <v>18845.173160173159</v>
      </c>
      <c r="F136" s="117">
        <v>1630525</v>
      </c>
      <c r="G136" s="117">
        <f t="shared" si="26"/>
        <v>7058.5497835497836</v>
      </c>
      <c r="H136" s="9"/>
      <c r="I136" s="101">
        <v>1.1141000000000001</v>
      </c>
      <c r="J136" s="117">
        <v>1817</v>
      </c>
      <c r="K136" s="120">
        <f>(J136/C136)</f>
        <v>7.8658008658008658</v>
      </c>
      <c r="L136" s="122">
        <f t="shared" si="28"/>
        <v>16305.25</v>
      </c>
      <c r="M136" s="116">
        <f t="shared" si="29"/>
        <v>14488.25</v>
      </c>
      <c r="N136" s="123">
        <f t="shared" si="30"/>
        <v>62.719696969696969</v>
      </c>
      <c r="O136" s="5"/>
      <c r="P136" s="5">
        <f t="shared" si="31"/>
        <v>1</v>
      </c>
      <c r="Q136" s="7">
        <f t="shared" si="32"/>
        <v>231</v>
      </c>
    </row>
    <row r="137" spans="1:17">
      <c r="A137" s="23" t="s">
        <v>158</v>
      </c>
      <c r="B137" s="35" t="s">
        <v>155</v>
      </c>
      <c r="C137" s="36">
        <v>515</v>
      </c>
      <c r="D137" s="114" t="s">
        <v>564</v>
      </c>
      <c r="E137" s="116"/>
      <c r="F137" s="117"/>
      <c r="G137" s="117"/>
      <c r="H137" s="9" t="s">
        <v>528</v>
      </c>
      <c r="I137" s="101"/>
      <c r="J137" s="117"/>
      <c r="K137" s="120"/>
      <c r="L137" s="122">
        <f t="shared" si="28"/>
        <v>0</v>
      </c>
      <c r="M137" s="116">
        <f t="shared" si="29"/>
        <v>0</v>
      </c>
      <c r="N137" s="123">
        <f t="shared" si="30"/>
        <v>0</v>
      </c>
      <c r="O137" s="5"/>
      <c r="P137" s="5">
        <f t="shared" si="31"/>
        <v>0</v>
      </c>
      <c r="Q137" s="7">
        <f t="shared" si="32"/>
        <v>0</v>
      </c>
    </row>
    <row r="138" spans="1:17">
      <c r="A138" s="23" t="s">
        <v>159</v>
      </c>
      <c r="B138" s="35" t="s">
        <v>155</v>
      </c>
      <c r="C138" s="36">
        <v>215</v>
      </c>
      <c r="D138" s="114" t="s">
        <v>564</v>
      </c>
      <c r="E138" s="116"/>
      <c r="F138" s="117"/>
      <c r="G138" s="117"/>
      <c r="H138" s="9" t="s">
        <v>528</v>
      </c>
      <c r="I138" s="102"/>
      <c r="J138" s="117"/>
      <c r="K138" s="120"/>
      <c r="L138" s="122">
        <f t="shared" si="28"/>
        <v>0</v>
      </c>
      <c r="M138" s="116">
        <f t="shared" si="29"/>
        <v>0</v>
      </c>
      <c r="N138" s="123">
        <f t="shared" si="30"/>
        <v>0</v>
      </c>
      <c r="O138" s="5"/>
      <c r="P138" s="5">
        <f t="shared" si="31"/>
        <v>0</v>
      </c>
      <c r="Q138" s="7">
        <f t="shared" si="32"/>
        <v>0</v>
      </c>
    </row>
    <row r="139" spans="1:17">
      <c r="A139" s="23" t="s">
        <v>160</v>
      </c>
      <c r="B139" s="35" t="s">
        <v>161</v>
      </c>
      <c r="C139" s="36">
        <v>5310</v>
      </c>
      <c r="D139" s="113">
        <v>346494851</v>
      </c>
      <c r="E139" s="116">
        <f t="shared" si="25"/>
        <v>65253.267608286253</v>
      </c>
      <c r="F139" s="117">
        <v>136555050</v>
      </c>
      <c r="G139" s="117">
        <f t="shared" si="26"/>
        <v>25716.581920903955</v>
      </c>
      <c r="H139" s="7"/>
      <c r="I139" s="102">
        <v>4.43</v>
      </c>
      <c r="J139" s="117">
        <v>604939</v>
      </c>
      <c r="K139" s="120">
        <f t="shared" ref="K139:K144" si="33">(J139/C139)</f>
        <v>113.92448210922787</v>
      </c>
      <c r="L139" s="122">
        <f t="shared" si="28"/>
        <v>1365550.5</v>
      </c>
      <c r="M139" s="116">
        <f t="shared" si="29"/>
        <v>760611.5</v>
      </c>
      <c r="N139" s="123">
        <f t="shared" si="30"/>
        <v>143.24133709981169</v>
      </c>
      <c r="O139" s="5"/>
      <c r="P139" s="5">
        <f t="shared" si="31"/>
        <v>1</v>
      </c>
      <c r="Q139" s="7">
        <f t="shared" si="32"/>
        <v>5310</v>
      </c>
    </row>
    <row r="140" spans="1:17">
      <c r="A140" s="23" t="s">
        <v>162</v>
      </c>
      <c r="B140" s="35" t="s">
        <v>161</v>
      </c>
      <c r="C140" s="36">
        <v>3804</v>
      </c>
      <c r="D140" s="113">
        <v>2958145349</v>
      </c>
      <c r="E140" s="116">
        <f t="shared" si="25"/>
        <v>777640.7331756046</v>
      </c>
      <c r="F140" s="117">
        <v>2516715187</v>
      </c>
      <c r="G140" s="117">
        <f t="shared" si="26"/>
        <v>661597.05231335433</v>
      </c>
      <c r="H140" s="7"/>
      <c r="I140" s="101">
        <v>1.3923000000000001</v>
      </c>
      <c r="J140" s="117">
        <v>3504023</v>
      </c>
      <c r="K140" s="120">
        <f t="shared" si="33"/>
        <v>921.14169295478439</v>
      </c>
      <c r="L140" s="122">
        <f t="shared" si="28"/>
        <v>25167151.870000001</v>
      </c>
      <c r="M140" s="116">
        <f t="shared" si="29"/>
        <v>21663128.870000001</v>
      </c>
      <c r="N140" s="123">
        <f t="shared" si="30"/>
        <v>5694.8288301787597</v>
      </c>
      <c r="O140" s="5"/>
      <c r="P140" s="5">
        <f t="shared" si="31"/>
        <v>1</v>
      </c>
      <c r="Q140" s="7">
        <f t="shared" si="32"/>
        <v>3804</v>
      </c>
    </row>
    <row r="141" spans="1:17">
      <c r="A141" s="23" t="s">
        <v>163</v>
      </c>
      <c r="B141" s="35" t="s">
        <v>161</v>
      </c>
      <c r="C141" s="36">
        <v>337</v>
      </c>
      <c r="D141" s="113">
        <v>545562790</v>
      </c>
      <c r="E141" s="116">
        <f t="shared" si="25"/>
        <v>1618880.6824925817</v>
      </c>
      <c r="F141" s="117">
        <v>511916471</v>
      </c>
      <c r="G141" s="117">
        <f t="shared" si="26"/>
        <v>1519039.9732937685</v>
      </c>
      <c r="H141" s="7"/>
      <c r="I141" s="101">
        <v>0.45500000000000002</v>
      </c>
      <c r="J141" s="117">
        <v>232922</v>
      </c>
      <c r="K141" s="120">
        <f t="shared" si="33"/>
        <v>691.16320474777444</v>
      </c>
      <c r="L141" s="122">
        <f t="shared" si="28"/>
        <v>5119164.71</v>
      </c>
      <c r="M141" s="116">
        <f t="shared" si="29"/>
        <v>4886242.71</v>
      </c>
      <c r="N141" s="123">
        <f t="shared" si="30"/>
        <v>14499.236528189911</v>
      </c>
      <c r="O141" s="5"/>
      <c r="P141" s="5">
        <f t="shared" si="31"/>
        <v>1</v>
      </c>
      <c r="Q141" s="7">
        <f t="shared" si="32"/>
        <v>337</v>
      </c>
    </row>
    <row r="142" spans="1:17">
      <c r="A142" s="23" t="s">
        <v>164</v>
      </c>
      <c r="B142" s="35" t="s">
        <v>161</v>
      </c>
      <c r="C142" s="36">
        <v>22722</v>
      </c>
      <c r="D142" s="113">
        <v>1711725753</v>
      </c>
      <c r="E142" s="116">
        <f t="shared" si="25"/>
        <v>75333.410483232103</v>
      </c>
      <c r="F142" s="117">
        <v>1149168546</v>
      </c>
      <c r="G142" s="117">
        <f t="shared" si="26"/>
        <v>50575.149458674416</v>
      </c>
      <c r="H142" s="7"/>
      <c r="I142" s="101">
        <v>3.3456000000000001</v>
      </c>
      <c r="J142" s="117">
        <v>3844658</v>
      </c>
      <c r="K142" s="120">
        <f t="shared" si="33"/>
        <v>169.20420737611127</v>
      </c>
      <c r="L142" s="122">
        <f t="shared" si="28"/>
        <v>11491685.460000001</v>
      </c>
      <c r="M142" s="116">
        <f t="shared" si="29"/>
        <v>7647027.4600000009</v>
      </c>
      <c r="N142" s="123">
        <f t="shared" si="30"/>
        <v>336.54728721063293</v>
      </c>
      <c r="O142" s="5"/>
      <c r="P142" s="5">
        <f t="shared" si="31"/>
        <v>1</v>
      </c>
      <c r="Q142" s="7">
        <f t="shared" si="32"/>
        <v>22722</v>
      </c>
    </row>
    <row r="143" spans="1:17">
      <c r="A143" s="23" t="s">
        <v>165</v>
      </c>
      <c r="B143" s="35" t="s">
        <v>161</v>
      </c>
      <c r="C143" s="36">
        <v>17855</v>
      </c>
      <c r="D143" s="113">
        <v>3478355482</v>
      </c>
      <c r="E143" s="116">
        <f t="shared" si="25"/>
        <v>194811.28434612154</v>
      </c>
      <c r="F143" s="117">
        <v>2505499635</v>
      </c>
      <c r="G143" s="117">
        <f t="shared" si="26"/>
        <v>140324.81853822459</v>
      </c>
      <c r="H143" s="7"/>
      <c r="I143" s="101">
        <v>1.9367000000000001</v>
      </c>
      <c r="J143" s="117">
        <v>4852401</v>
      </c>
      <c r="K143" s="120">
        <f t="shared" si="33"/>
        <v>271.76706804816575</v>
      </c>
      <c r="L143" s="122">
        <f t="shared" si="28"/>
        <v>25054996.350000001</v>
      </c>
      <c r="M143" s="116">
        <f t="shared" si="29"/>
        <v>20202595.350000001</v>
      </c>
      <c r="N143" s="123">
        <f t="shared" si="30"/>
        <v>1131.4811173340802</v>
      </c>
      <c r="O143" s="5"/>
      <c r="P143" s="5">
        <f t="shared" si="31"/>
        <v>1</v>
      </c>
      <c r="Q143" s="7">
        <f t="shared" si="32"/>
        <v>17855</v>
      </c>
    </row>
    <row r="144" spans="1:17">
      <c r="A144" s="23" t="s">
        <v>166</v>
      </c>
      <c r="B144" s="35" t="s">
        <v>167</v>
      </c>
      <c r="C144" s="36">
        <v>490</v>
      </c>
      <c r="D144" s="113">
        <v>14006310</v>
      </c>
      <c r="E144" s="116">
        <f t="shared" si="25"/>
        <v>28584.306122448979</v>
      </c>
      <c r="F144" s="117">
        <v>7685806</v>
      </c>
      <c r="G144" s="117">
        <f t="shared" si="26"/>
        <v>15685.318367346939</v>
      </c>
      <c r="H144" s="9"/>
      <c r="I144" s="101">
        <v>1.3607</v>
      </c>
      <c r="J144" s="117">
        <v>10458</v>
      </c>
      <c r="K144" s="120">
        <f t="shared" si="33"/>
        <v>21.342857142857142</v>
      </c>
      <c r="L144" s="122">
        <f t="shared" si="28"/>
        <v>76858.06</v>
      </c>
      <c r="M144" s="116">
        <f t="shared" si="29"/>
        <v>66400.06</v>
      </c>
      <c r="N144" s="123">
        <f t="shared" si="30"/>
        <v>135.51032653061225</v>
      </c>
      <c r="O144" s="5"/>
      <c r="P144" s="5">
        <f t="shared" si="31"/>
        <v>1</v>
      </c>
      <c r="Q144" s="7">
        <f t="shared" si="32"/>
        <v>490</v>
      </c>
    </row>
    <row r="145" spans="1:17">
      <c r="A145" s="23" t="s">
        <v>168</v>
      </c>
      <c r="B145" s="35" t="s">
        <v>167</v>
      </c>
      <c r="C145" s="36">
        <v>110</v>
      </c>
      <c r="D145" s="114" t="s">
        <v>564</v>
      </c>
      <c r="E145" s="116"/>
      <c r="F145" s="117"/>
      <c r="G145" s="117"/>
      <c r="H145" s="9" t="s">
        <v>528</v>
      </c>
      <c r="I145" s="101"/>
      <c r="J145" s="117"/>
      <c r="K145" s="120"/>
      <c r="L145" s="122">
        <f t="shared" si="28"/>
        <v>0</v>
      </c>
      <c r="M145" s="116">
        <f t="shared" si="29"/>
        <v>0</v>
      </c>
      <c r="N145" s="123">
        <f t="shared" si="30"/>
        <v>0</v>
      </c>
      <c r="O145" s="5"/>
      <c r="P145" s="5">
        <f t="shared" si="31"/>
        <v>0</v>
      </c>
      <c r="Q145" s="7">
        <f t="shared" si="32"/>
        <v>0</v>
      </c>
    </row>
    <row r="146" spans="1:17">
      <c r="A146" s="23" t="s">
        <v>169</v>
      </c>
      <c r="B146" s="35" t="s">
        <v>167</v>
      </c>
      <c r="C146" s="36">
        <v>250</v>
      </c>
      <c r="D146" s="113">
        <v>14038840</v>
      </c>
      <c r="E146" s="116">
        <f t="shared" si="25"/>
        <v>56155.360000000001</v>
      </c>
      <c r="F146" s="117">
        <v>8041445</v>
      </c>
      <c r="G146" s="117">
        <f t="shared" si="26"/>
        <v>32165.78</v>
      </c>
      <c r="H146" s="7"/>
      <c r="I146" s="103">
        <v>2</v>
      </c>
      <c r="J146" s="117">
        <v>16083</v>
      </c>
      <c r="K146" s="120">
        <f>(J146/C146)</f>
        <v>64.331999999999994</v>
      </c>
      <c r="L146" s="122">
        <f t="shared" si="28"/>
        <v>80414.45</v>
      </c>
      <c r="M146" s="116">
        <f t="shared" si="29"/>
        <v>64331.45</v>
      </c>
      <c r="N146" s="123">
        <f t="shared" si="30"/>
        <v>257.32580000000002</v>
      </c>
      <c r="O146" s="5"/>
      <c r="P146" s="5">
        <f t="shared" si="31"/>
        <v>1</v>
      </c>
      <c r="Q146" s="7">
        <f t="shared" si="32"/>
        <v>250</v>
      </c>
    </row>
    <row r="147" spans="1:17">
      <c r="A147" s="23" t="s">
        <v>170</v>
      </c>
      <c r="B147" s="35" t="s">
        <v>167</v>
      </c>
      <c r="C147" s="36">
        <v>911</v>
      </c>
      <c r="D147" s="113">
        <v>32507675</v>
      </c>
      <c r="E147" s="116">
        <f t="shared" si="25"/>
        <v>35683.507135016465</v>
      </c>
      <c r="F147" s="117">
        <v>16659687</v>
      </c>
      <c r="G147" s="117">
        <f t="shared" si="26"/>
        <v>18287.252469813393</v>
      </c>
      <c r="H147" s="7"/>
      <c r="I147" s="101">
        <v>3.5</v>
      </c>
      <c r="J147" s="117">
        <v>58309</v>
      </c>
      <c r="K147" s="120">
        <f>(J147/C147)</f>
        <v>64.005488474204171</v>
      </c>
      <c r="L147" s="122">
        <f t="shared" si="28"/>
        <v>166596.87</v>
      </c>
      <c r="M147" s="116">
        <f t="shared" si="29"/>
        <v>108287.87</v>
      </c>
      <c r="N147" s="123">
        <f t="shared" si="30"/>
        <v>118.86703622392974</v>
      </c>
      <c r="O147" s="5"/>
      <c r="P147" s="5">
        <f t="shared" si="31"/>
        <v>1</v>
      </c>
      <c r="Q147" s="7">
        <f t="shared" si="32"/>
        <v>911</v>
      </c>
    </row>
    <row r="148" spans="1:17">
      <c r="A148" s="23" t="s">
        <v>171</v>
      </c>
      <c r="B148" s="35" t="s">
        <v>167</v>
      </c>
      <c r="C148" s="36">
        <v>2474</v>
      </c>
      <c r="D148" s="113">
        <v>117458599</v>
      </c>
      <c r="E148" s="116">
        <f t="shared" si="25"/>
        <v>47477.202506063055</v>
      </c>
      <c r="F148" s="117">
        <v>68033860</v>
      </c>
      <c r="G148" s="117">
        <f t="shared" si="26"/>
        <v>27499.53920776071</v>
      </c>
      <c r="H148" s="9"/>
      <c r="I148" s="101">
        <v>4</v>
      </c>
      <c r="J148" s="117">
        <v>272135</v>
      </c>
      <c r="K148" s="120">
        <f>(J148/C148)</f>
        <v>109.99797898140663</v>
      </c>
      <c r="L148" s="122">
        <f t="shared" si="28"/>
        <v>680338.6</v>
      </c>
      <c r="M148" s="116">
        <f t="shared" si="29"/>
        <v>408203.6</v>
      </c>
      <c r="N148" s="123">
        <f t="shared" si="30"/>
        <v>164.99741309620049</v>
      </c>
      <c r="O148" s="5"/>
      <c r="P148" s="5">
        <f t="shared" si="31"/>
        <v>1</v>
      </c>
      <c r="Q148" s="7">
        <f t="shared" si="32"/>
        <v>2474</v>
      </c>
    </row>
    <row r="149" spans="1:17">
      <c r="A149" s="23" t="s">
        <v>172</v>
      </c>
      <c r="B149" s="35" t="s">
        <v>167</v>
      </c>
      <c r="C149" s="36">
        <v>930</v>
      </c>
      <c r="D149" s="114" t="s">
        <v>564</v>
      </c>
      <c r="E149" s="116"/>
      <c r="F149" s="117"/>
      <c r="G149" s="117"/>
      <c r="H149" s="9" t="s">
        <v>528</v>
      </c>
      <c r="I149" s="101"/>
      <c r="J149" s="117"/>
      <c r="K149" s="120"/>
      <c r="L149" s="122">
        <f t="shared" si="28"/>
        <v>0</v>
      </c>
      <c r="M149" s="116">
        <f t="shared" si="29"/>
        <v>0</v>
      </c>
      <c r="N149" s="123">
        <f t="shared" si="30"/>
        <v>0</v>
      </c>
      <c r="O149" s="5"/>
      <c r="P149" s="5">
        <f t="shared" si="31"/>
        <v>0</v>
      </c>
      <c r="Q149" s="7">
        <f t="shared" si="32"/>
        <v>0</v>
      </c>
    </row>
    <row r="150" spans="1:17">
      <c r="A150" s="23" t="s">
        <v>173</v>
      </c>
      <c r="B150" s="35" t="s">
        <v>167</v>
      </c>
      <c r="C150" s="36">
        <v>771</v>
      </c>
      <c r="D150" s="113">
        <v>25374440</v>
      </c>
      <c r="E150" s="116">
        <f t="shared" si="25"/>
        <v>32911.076523994809</v>
      </c>
      <c r="F150" s="117">
        <v>13017474</v>
      </c>
      <c r="G150" s="117">
        <f t="shared" si="26"/>
        <v>16883.883268482492</v>
      </c>
      <c r="H150" s="7"/>
      <c r="I150" s="102">
        <v>1</v>
      </c>
      <c r="J150" s="117">
        <v>13017</v>
      </c>
      <c r="K150" s="120">
        <f>(J150/C150)</f>
        <v>16.883268482490273</v>
      </c>
      <c r="L150" s="122">
        <f t="shared" si="28"/>
        <v>130174.74</v>
      </c>
      <c r="M150" s="116">
        <f t="shared" si="29"/>
        <v>117157.74</v>
      </c>
      <c r="N150" s="123">
        <f t="shared" si="30"/>
        <v>151.95556420233464</v>
      </c>
      <c r="O150" s="5"/>
      <c r="P150" s="5">
        <f t="shared" si="31"/>
        <v>1</v>
      </c>
      <c r="Q150" s="7">
        <f t="shared" si="32"/>
        <v>771</v>
      </c>
    </row>
    <row r="151" spans="1:17">
      <c r="A151" s="23" t="s">
        <v>508</v>
      </c>
      <c r="B151" s="35" t="s">
        <v>167</v>
      </c>
      <c r="C151" s="36">
        <v>297</v>
      </c>
      <c r="D151" s="113">
        <v>7281446</v>
      </c>
      <c r="E151" s="116">
        <f t="shared" si="25"/>
        <v>24516.653198653199</v>
      </c>
      <c r="F151" s="117">
        <v>3519509</v>
      </c>
      <c r="G151" s="117">
        <f t="shared" si="26"/>
        <v>11850.198653198653</v>
      </c>
      <c r="H151" s="9"/>
      <c r="I151" s="101">
        <v>3</v>
      </c>
      <c r="J151" s="117">
        <v>10559</v>
      </c>
      <c r="K151" s="120">
        <f>(J151/C151)</f>
        <v>35.552188552188554</v>
      </c>
      <c r="L151" s="122">
        <f t="shared" si="28"/>
        <v>35195.090000000004</v>
      </c>
      <c r="M151" s="116">
        <f t="shared" si="29"/>
        <v>24636.090000000004</v>
      </c>
      <c r="N151" s="123">
        <f t="shared" si="30"/>
        <v>82.949797979797992</v>
      </c>
      <c r="O151" s="5"/>
      <c r="P151" s="5">
        <f t="shared" si="31"/>
        <v>1</v>
      </c>
      <c r="Q151" s="7">
        <f t="shared" si="32"/>
        <v>297</v>
      </c>
    </row>
    <row r="152" spans="1:17">
      <c r="A152" s="23" t="s">
        <v>175</v>
      </c>
      <c r="B152" s="35" t="s">
        <v>167</v>
      </c>
      <c r="C152" s="36">
        <v>3874</v>
      </c>
      <c r="D152" s="114" t="s">
        <v>564</v>
      </c>
      <c r="E152" s="116"/>
      <c r="F152" s="117"/>
      <c r="G152" s="117"/>
      <c r="H152" s="9" t="s">
        <v>528</v>
      </c>
      <c r="I152" s="101"/>
      <c r="J152" s="117"/>
      <c r="K152" s="120"/>
      <c r="L152" s="122">
        <f t="shared" si="28"/>
        <v>0</v>
      </c>
      <c r="M152" s="116">
        <f t="shared" si="29"/>
        <v>0</v>
      </c>
      <c r="N152" s="123">
        <f t="shared" si="30"/>
        <v>0</v>
      </c>
      <c r="O152" s="5"/>
      <c r="P152" s="5">
        <f t="shared" si="31"/>
        <v>0</v>
      </c>
      <c r="Q152" s="7">
        <f t="shared" si="32"/>
        <v>0</v>
      </c>
    </row>
    <row r="153" spans="1:17">
      <c r="A153" s="23" t="s">
        <v>176</v>
      </c>
      <c r="B153" s="35" t="s">
        <v>167</v>
      </c>
      <c r="C153" s="36">
        <v>6454</v>
      </c>
      <c r="D153" s="113">
        <v>394180580</v>
      </c>
      <c r="E153" s="116">
        <f t="shared" si="25"/>
        <v>61075.392004958165</v>
      </c>
      <c r="F153" s="117">
        <v>233787336</v>
      </c>
      <c r="G153" s="117">
        <f t="shared" si="26"/>
        <v>36223.634335295937</v>
      </c>
      <c r="H153" s="7"/>
      <c r="I153" s="102">
        <v>2.952</v>
      </c>
      <c r="J153" s="117">
        <v>690140</v>
      </c>
      <c r="K153" s="120">
        <f t="shared" ref="K153:K197" si="34">(J153/C153)</f>
        <v>106.9321351100093</v>
      </c>
      <c r="L153" s="122">
        <f t="shared" si="28"/>
        <v>2337873.36</v>
      </c>
      <c r="M153" s="116">
        <f t="shared" si="29"/>
        <v>1647733.3599999999</v>
      </c>
      <c r="N153" s="123">
        <f t="shared" si="30"/>
        <v>255.3042082429501</v>
      </c>
      <c r="O153" s="5"/>
      <c r="P153" s="5">
        <f t="shared" si="31"/>
        <v>1</v>
      </c>
      <c r="Q153" s="7">
        <f t="shared" si="32"/>
        <v>6454</v>
      </c>
    </row>
    <row r="154" spans="1:17">
      <c r="A154" s="23" t="s">
        <v>177</v>
      </c>
      <c r="B154" s="35" t="s">
        <v>167</v>
      </c>
      <c r="C154" s="36">
        <v>1990</v>
      </c>
      <c r="D154" s="113">
        <v>66046538</v>
      </c>
      <c r="E154" s="116">
        <f t="shared" si="25"/>
        <v>33189.215075376887</v>
      </c>
      <c r="F154" s="117">
        <v>33251232</v>
      </c>
      <c r="G154" s="117">
        <f t="shared" si="26"/>
        <v>16709.161809045225</v>
      </c>
      <c r="H154" s="7"/>
      <c r="I154" s="101">
        <v>0.51229999999999998</v>
      </c>
      <c r="J154" s="117">
        <v>17035</v>
      </c>
      <c r="K154" s="120">
        <f t="shared" si="34"/>
        <v>8.5603015075376891</v>
      </c>
      <c r="L154" s="122">
        <f t="shared" si="28"/>
        <v>332512.32</v>
      </c>
      <c r="M154" s="116">
        <f t="shared" si="29"/>
        <v>315477.32</v>
      </c>
      <c r="N154" s="123">
        <f t="shared" si="30"/>
        <v>158.53131658291457</v>
      </c>
      <c r="O154" s="5"/>
      <c r="P154" s="5">
        <f t="shared" si="31"/>
        <v>1</v>
      </c>
      <c r="Q154" s="7">
        <f t="shared" si="32"/>
        <v>1990</v>
      </c>
    </row>
    <row r="155" spans="1:17">
      <c r="A155" s="23" t="s">
        <v>178</v>
      </c>
      <c r="B155" s="35" t="s">
        <v>179</v>
      </c>
      <c r="C155" s="36">
        <v>2521</v>
      </c>
      <c r="D155" s="113">
        <v>167453296</v>
      </c>
      <c r="E155" s="116">
        <f t="shared" si="25"/>
        <v>66423.362157873853</v>
      </c>
      <c r="F155" s="117">
        <v>95789094</v>
      </c>
      <c r="G155" s="117">
        <f t="shared" si="26"/>
        <v>37996.467274890914</v>
      </c>
      <c r="H155" s="7"/>
      <c r="I155" s="101">
        <v>6.1</v>
      </c>
      <c r="J155" s="117">
        <v>584313</v>
      </c>
      <c r="K155" s="120">
        <f t="shared" si="34"/>
        <v>231.77826259420866</v>
      </c>
      <c r="L155" s="122">
        <f t="shared" si="28"/>
        <v>957890.94000000006</v>
      </c>
      <c r="M155" s="116">
        <f t="shared" si="29"/>
        <v>373577.94000000006</v>
      </c>
      <c r="N155" s="123">
        <f t="shared" si="30"/>
        <v>148.18641015470055</v>
      </c>
      <c r="O155" s="5"/>
      <c r="P155" s="5">
        <f t="shared" si="31"/>
        <v>1</v>
      </c>
      <c r="Q155" s="7">
        <f t="shared" si="32"/>
        <v>2521</v>
      </c>
    </row>
    <row r="156" spans="1:17">
      <c r="A156" s="23" t="s">
        <v>180</v>
      </c>
      <c r="B156" s="35" t="s">
        <v>181</v>
      </c>
      <c r="C156" s="36">
        <v>998</v>
      </c>
      <c r="D156" s="113">
        <v>48114521</v>
      </c>
      <c r="E156" s="116">
        <f t="shared" si="25"/>
        <v>48210.942885771547</v>
      </c>
      <c r="F156" s="117">
        <v>23427779</v>
      </c>
      <c r="G156" s="117">
        <f t="shared" si="26"/>
        <v>23474.728456913828</v>
      </c>
      <c r="H156" s="7"/>
      <c r="I156" s="101">
        <v>6</v>
      </c>
      <c r="J156" s="117">
        <v>140567</v>
      </c>
      <c r="K156" s="120">
        <f t="shared" si="34"/>
        <v>140.84869739478958</v>
      </c>
      <c r="L156" s="122">
        <f t="shared" si="28"/>
        <v>234277.79</v>
      </c>
      <c r="M156" s="116">
        <f t="shared" si="29"/>
        <v>93710.790000000008</v>
      </c>
      <c r="N156" s="123">
        <f t="shared" si="30"/>
        <v>93.898587174348705</v>
      </c>
      <c r="O156" s="5"/>
      <c r="P156" s="5">
        <f t="shared" si="31"/>
        <v>1</v>
      </c>
      <c r="Q156" s="7">
        <f t="shared" si="32"/>
        <v>998</v>
      </c>
    </row>
    <row r="157" spans="1:17">
      <c r="A157" s="23" t="s">
        <v>182</v>
      </c>
      <c r="B157" s="35" t="s">
        <v>183</v>
      </c>
      <c r="C157" s="36">
        <v>1630</v>
      </c>
      <c r="D157" s="113">
        <v>89872152</v>
      </c>
      <c r="E157" s="116">
        <f t="shared" si="25"/>
        <v>55136.289570552144</v>
      </c>
      <c r="F157" s="113">
        <v>62104008</v>
      </c>
      <c r="G157" s="117">
        <f t="shared" si="26"/>
        <v>38100.618404907975</v>
      </c>
      <c r="H157" s="7"/>
      <c r="I157" s="101">
        <v>4.5</v>
      </c>
      <c r="J157" s="117">
        <v>279468</v>
      </c>
      <c r="K157" s="120">
        <f t="shared" si="34"/>
        <v>171.45276073619632</v>
      </c>
      <c r="L157" s="122">
        <f t="shared" si="28"/>
        <v>621040.07999999996</v>
      </c>
      <c r="M157" s="116">
        <f t="shared" si="29"/>
        <v>341572.07999999996</v>
      </c>
      <c r="N157" s="123">
        <f t="shared" si="30"/>
        <v>209.55342331288341</v>
      </c>
      <c r="O157" s="5"/>
      <c r="P157" s="5">
        <f t="shared" si="31"/>
        <v>1</v>
      </c>
      <c r="Q157" s="7">
        <f t="shared" si="32"/>
        <v>1630</v>
      </c>
    </row>
    <row r="158" spans="1:17">
      <c r="A158" s="23" t="s">
        <v>184</v>
      </c>
      <c r="B158" s="35" t="s">
        <v>183</v>
      </c>
      <c r="C158" s="36">
        <v>24199</v>
      </c>
      <c r="D158" s="113">
        <v>2896116834</v>
      </c>
      <c r="E158" s="116">
        <f t="shared" si="25"/>
        <v>119679.19476011406</v>
      </c>
      <c r="F158" s="117">
        <v>2195515305</v>
      </c>
      <c r="G158" s="117">
        <f t="shared" si="26"/>
        <v>90727.522005041537</v>
      </c>
      <c r="H158" s="7"/>
      <c r="I158" s="101">
        <v>3.1419999999999999</v>
      </c>
      <c r="J158" s="117">
        <v>6898309</v>
      </c>
      <c r="K158" s="120">
        <f t="shared" si="34"/>
        <v>285.06587049051615</v>
      </c>
      <c r="L158" s="122">
        <f t="shared" si="28"/>
        <v>21955153.050000001</v>
      </c>
      <c r="M158" s="116">
        <f t="shared" si="29"/>
        <v>15056844.050000001</v>
      </c>
      <c r="N158" s="123">
        <f t="shared" si="30"/>
        <v>622.20934955989924</v>
      </c>
      <c r="O158" s="5"/>
      <c r="P158" s="5">
        <f t="shared" si="31"/>
        <v>1</v>
      </c>
      <c r="Q158" s="7">
        <f t="shared" si="32"/>
        <v>24199</v>
      </c>
    </row>
    <row r="159" spans="1:17">
      <c r="A159" s="23" t="s">
        <v>185</v>
      </c>
      <c r="B159" s="35" t="s">
        <v>183</v>
      </c>
      <c r="C159" s="36">
        <v>18275</v>
      </c>
      <c r="D159" s="113">
        <v>1375420755</v>
      </c>
      <c r="E159" s="116">
        <f t="shared" ref="E159:E222" si="35">(D159/C159)</f>
        <v>75262.421614227089</v>
      </c>
      <c r="F159" s="117">
        <v>949945421</v>
      </c>
      <c r="G159" s="117">
        <f t="shared" ref="G159:G222" si="36">(F159/C159)</f>
        <v>51980.597592339262</v>
      </c>
      <c r="H159" s="7"/>
      <c r="I159" s="101">
        <v>5.1265999999999998</v>
      </c>
      <c r="J159" s="117">
        <v>4869990</v>
      </c>
      <c r="K159" s="120">
        <f t="shared" si="34"/>
        <v>266.48372093023255</v>
      </c>
      <c r="L159" s="122">
        <f t="shared" si="28"/>
        <v>9499454.2100000009</v>
      </c>
      <c r="M159" s="116">
        <f t="shared" si="29"/>
        <v>4629464.2100000009</v>
      </c>
      <c r="N159" s="123">
        <f t="shared" si="30"/>
        <v>253.3222549931601</v>
      </c>
      <c r="O159" s="5"/>
      <c r="P159" s="5">
        <f t="shared" si="31"/>
        <v>1</v>
      </c>
      <c r="Q159" s="7">
        <f t="shared" si="32"/>
        <v>18275</v>
      </c>
    </row>
    <row r="160" spans="1:17">
      <c r="A160" s="23" t="s">
        <v>186</v>
      </c>
      <c r="B160" s="35" t="s">
        <v>183</v>
      </c>
      <c r="C160" s="36">
        <v>3978</v>
      </c>
      <c r="D160" s="113">
        <v>279278193</v>
      </c>
      <c r="E160" s="116">
        <f t="shared" si="35"/>
        <v>70205.679487179485</v>
      </c>
      <c r="F160" s="117">
        <v>198350231</v>
      </c>
      <c r="G160" s="117">
        <f t="shared" si="36"/>
        <v>49861.797637003518</v>
      </c>
      <c r="H160" s="7"/>
      <c r="I160" s="101">
        <v>4.3600000000000003</v>
      </c>
      <c r="J160" s="117">
        <v>864807</v>
      </c>
      <c r="K160" s="120">
        <f t="shared" si="34"/>
        <v>217.39743589743588</v>
      </c>
      <c r="L160" s="122">
        <f t="shared" si="28"/>
        <v>1983502.31</v>
      </c>
      <c r="M160" s="116">
        <f t="shared" si="29"/>
        <v>1118695.31</v>
      </c>
      <c r="N160" s="123">
        <f t="shared" si="30"/>
        <v>281.22054047259928</v>
      </c>
      <c r="O160" s="5"/>
      <c r="P160" s="5">
        <f t="shared" si="31"/>
        <v>1</v>
      </c>
      <c r="Q160" s="7">
        <f t="shared" si="32"/>
        <v>3978</v>
      </c>
    </row>
    <row r="161" spans="1:17">
      <c r="A161" s="23" t="s">
        <v>187</v>
      </c>
      <c r="B161" s="35" t="s">
        <v>183</v>
      </c>
      <c r="C161" s="36">
        <v>7135</v>
      </c>
      <c r="D161" s="113">
        <v>698095214</v>
      </c>
      <c r="E161" s="116">
        <f t="shared" si="35"/>
        <v>97840.955010511563</v>
      </c>
      <c r="F161" s="117">
        <v>560639233</v>
      </c>
      <c r="G161" s="117">
        <f t="shared" si="36"/>
        <v>78575.926138752635</v>
      </c>
      <c r="H161" s="7"/>
      <c r="I161" s="101">
        <v>5.18</v>
      </c>
      <c r="J161" s="117">
        <v>2904111</v>
      </c>
      <c r="K161" s="120">
        <f t="shared" si="34"/>
        <v>407.02326559215135</v>
      </c>
      <c r="L161" s="122">
        <f t="shared" si="28"/>
        <v>5606392.3300000001</v>
      </c>
      <c r="M161" s="116">
        <f t="shared" si="29"/>
        <v>2702281.33</v>
      </c>
      <c r="N161" s="123">
        <f t="shared" si="30"/>
        <v>378.73599579537495</v>
      </c>
      <c r="O161" s="5"/>
      <c r="P161" s="5">
        <f t="shared" si="31"/>
        <v>1</v>
      </c>
      <c r="Q161" s="7">
        <f t="shared" si="32"/>
        <v>7135</v>
      </c>
    </row>
    <row r="162" spans="1:17">
      <c r="A162" s="23" t="s">
        <v>188</v>
      </c>
      <c r="B162" s="35" t="s">
        <v>183</v>
      </c>
      <c r="C162" s="36">
        <v>1221</v>
      </c>
      <c r="D162" s="113">
        <v>128656042</v>
      </c>
      <c r="E162" s="116">
        <f t="shared" si="35"/>
        <v>105369.40376740377</v>
      </c>
      <c r="F162" s="117">
        <v>93606449</v>
      </c>
      <c r="G162" s="117">
        <f t="shared" si="36"/>
        <v>76663.758394758392</v>
      </c>
      <c r="H162" s="7"/>
      <c r="I162" s="101">
        <v>6.8316999999999997</v>
      </c>
      <c r="J162" s="117">
        <v>639491</v>
      </c>
      <c r="K162" s="120">
        <f t="shared" si="34"/>
        <v>523.74365274365277</v>
      </c>
      <c r="L162" s="122">
        <f t="shared" si="28"/>
        <v>936064.49</v>
      </c>
      <c r="M162" s="116">
        <f t="shared" si="29"/>
        <v>296573.49</v>
      </c>
      <c r="N162" s="123">
        <f t="shared" si="30"/>
        <v>242.8939312039312</v>
      </c>
      <c r="O162" s="5"/>
      <c r="P162" s="5">
        <f t="shared" si="31"/>
        <v>1</v>
      </c>
      <c r="Q162" s="7">
        <f t="shared" si="32"/>
        <v>1221</v>
      </c>
    </row>
    <row r="163" spans="1:17">
      <c r="A163" s="23" t="s">
        <v>189</v>
      </c>
      <c r="B163" s="35" t="s">
        <v>183</v>
      </c>
      <c r="C163" s="36">
        <v>14129</v>
      </c>
      <c r="D163" s="113">
        <v>1293984456</v>
      </c>
      <c r="E163" s="116">
        <f t="shared" si="35"/>
        <v>91583.583834666293</v>
      </c>
      <c r="F163" s="117">
        <v>859223515</v>
      </c>
      <c r="G163" s="117">
        <f t="shared" si="36"/>
        <v>60812.762049685043</v>
      </c>
      <c r="H163" s="7"/>
      <c r="I163" s="101">
        <v>3.2808000000000002</v>
      </c>
      <c r="J163" s="117">
        <v>2818941</v>
      </c>
      <c r="K163" s="120">
        <f t="shared" si="34"/>
        <v>199.51454455375469</v>
      </c>
      <c r="L163" s="122">
        <f t="shared" si="28"/>
        <v>8592235.1500000004</v>
      </c>
      <c r="M163" s="116">
        <f t="shared" si="29"/>
        <v>5773294.1500000004</v>
      </c>
      <c r="N163" s="123">
        <f t="shared" si="30"/>
        <v>408.61307594309579</v>
      </c>
      <c r="O163" s="5"/>
      <c r="P163" s="5">
        <f t="shared" si="31"/>
        <v>1</v>
      </c>
      <c r="Q163" s="7">
        <f t="shared" si="32"/>
        <v>14129</v>
      </c>
    </row>
    <row r="164" spans="1:17">
      <c r="A164" s="23" t="s">
        <v>190</v>
      </c>
      <c r="B164" s="35" t="s">
        <v>183</v>
      </c>
      <c r="C164" s="36">
        <v>20506</v>
      </c>
      <c r="D164" s="113">
        <v>1947515675</v>
      </c>
      <c r="E164" s="116">
        <f t="shared" si="35"/>
        <v>94972.967667999605</v>
      </c>
      <c r="F164" s="117">
        <v>1431388502</v>
      </c>
      <c r="G164" s="117">
        <f t="shared" si="36"/>
        <v>69803.399102701645</v>
      </c>
      <c r="H164" s="7"/>
      <c r="I164" s="101">
        <v>4.3178999999999998</v>
      </c>
      <c r="J164" s="117">
        <v>6180592</v>
      </c>
      <c r="K164" s="120">
        <f t="shared" si="34"/>
        <v>301.40407685555448</v>
      </c>
      <c r="L164" s="122">
        <f t="shared" si="28"/>
        <v>14313885.02</v>
      </c>
      <c r="M164" s="116">
        <f t="shared" si="29"/>
        <v>8133293.0199999996</v>
      </c>
      <c r="N164" s="123">
        <f t="shared" si="30"/>
        <v>396.62991417146196</v>
      </c>
      <c r="O164" s="5"/>
      <c r="P164" s="5">
        <f t="shared" si="31"/>
        <v>1</v>
      </c>
      <c r="Q164" s="7">
        <f t="shared" si="32"/>
        <v>20506</v>
      </c>
    </row>
    <row r="165" spans="1:17">
      <c r="A165" s="23" t="s">
        <v>191</v>
      </c>
      <c r="B165" s="35" t="s">
        <v>183</v>
      </c>
      <c r="C165" s="36">
        <v>4476</v>
      </c>
      <c r="D165" s="113">
        <v>248994934</v>
      </c>
      <c r="E165" s="116">
        <f t="shared" si="35"/>
        <v>55628.894995531722</v>
      </c>
      <c r="F165" s="117">
        <v>171951043</v>
      </c>
      <c r="G165" s="117">
        <f t="shared" si="36"/>
        <v>38416.229445933866</v>
      </c>
      <c r="H165" s="7"/>
      <c r="I165" s="101">
        <v>6.8009000000000004</v>
      </c>
      <c r="J165" s="117">
        <v>1169422</v>
      </c>
      <c r="K165" s="120">
        <f t="shared" si="34"/>
        <v>261.26496872207326</v>
      </c>
      <c r="L165" s="122">
        <f t="shared" si="28"/>
        <v>1719510.43</v>
      </c>
      <c r="M165" s="116">
        <f t="shared" si="29"/>
        <v>550088.42999999993</v>
      </c>
      <c r="N165" s="123">
        <f t="shared" si="30"/>
        <v>122.8973257372654</v>
      </c>
      <c r="O165" s="5"/>
      <c r="P165" s="5">
        <f t="shared" si="31"/>
        <v>1</v>
      </c>
      <c r="Q165" s="7">
        <f t="shared" si="32"/>
        <v>4476</v>
      </c>
    </row>
    <row r="166" spans="1:17">
      <c r="A166" s="23" t="s">
        <v>192</v>
      </c>
      <c r="B166" s="35" t="s">
        <v>183</v>
      </c>
      <c r="C166" s="36">
        <v>9047</v>
      </c>
      <c r="D166" s="113">
        <v>638743213</v>
      </c>
      <c r="E166" s="116">
        <f t="shared" si="35"/>
        <v>70602.76478390627</v>
      </c>
      <c r="F166" s="117">
        <v>464141044</v>
      </c>
      <c r="G166" s="117">
        <f t="shared" si="36"/>
        <v>51303.309826461809</v>
      </c>
      <c r="H166" s="7"/>
      <c r="I166" s="101">
        <v>4.4989999999999997</v>
      </c>
      <c r="J166" s="117">
        <v>2088171</v>
      </c>
      <c r="K166" s="120">
        <f t="shared" si="34"/>
        <v>230.81363988062341</v>
      </c>
      <c r="L166" s="122">
        <f t="shared" si="28"/>
        <v>4641410.4400000004</v>
      </c>
      <c r="M166" s="116">
        <f t="shared" si="29"/>
        <v>2553239.4400000004</v>
      </c>
      <c r="N166" s="123">
        <f t="shared" si="30"/>
        <v>282.21945838399472</v>
      </c>
      <c r="O166" s="5"/>
      <c r="P166" s="5">
        <f t="shared" si="31"/>
        <v>1</v>
      </c>
      <c r="Q166" s="7">
        <f t="shared" si="32"/>
        <v>9047</v>
      </c>
    </row>
    <row r="167" spans="1:17">
      <c r="A167" s="23" t="s">
        <v>193</v>
      </c>
      <c r="B167" s="35" t="s">
        <v>183</v>
      </c>
      <c r="C167" s="36">
        <v>1192</v>
      </c>
      <c r="D167" s="113">
        <v>144643335</v>
      </c>
      <c r="E167" s="116">
        <f t="shared" si="35"/>
        <v>121345.07969798657</v>
      </c>
      <c r="F167" s="117">
        <v>97261627</v>
      </c>
      <c r="G167" s="117">
        <f t="shared" si="36"/>
        <v>81595.324664429529</v>
      </c>
      <c r="H167" s="7"/>
      <c r="I167" s="101">
        <v>2.83</v>
      </c>
      <c r="J167" s="117">
        <v>275250</v>
      </c>
      <c r="K167" s="120">
        <f t="shared" si="34"/>
        <v>230.91442953020135</v>
      </c>
      <c r="L167" s="122">
        <f t="shared" si="28"/>
        <v>972616.27</v>
      </c>
      <c r="M167" s="116">
        <f t="shared" si="29"/>
        <v>697366.27</v>
      </c>
      <c r="N167" s="123">
        <f t="shared" si="30"/>
        <v>585.03881711409394</v>
      </c>
      <c r="O167" s="5"/>
      <c r="P167" s="5">
        <f t="shared" si="31"/>
        <v>1</v>
      </c>
      <c r="Q167" s="7">
        <f t="shared" si="32"/>
        <v>1192</v>
      </c>
    </row>
    <row r="168" spans="1:17">
      <c r="A168" s="23" t="s">
        <v>194</v>
      </c>
      <c r="B168" s="35" t="s">
        <v>183</v>
      </c>
      <c r="C168" s="36">
        <v>11100</v>
      </c>
      <c r="D168" s="113">
        <v>1323014875</v>
      </c>
      <c r="E168" s="116">
        <f t="shared" si="35"/>
        <v>119190.52927927928</v>
      </c>
      <c r="F168" s="117">
        <v>994653568</v>
      </c>
      <c r="G168" s="117">
        <f t="shared" si="36"/>
        <v>89608.429549549546</v>
      </c>
      <c r="H168" s="7"/>
      <c r="I168" s="101">
        <v>5.0190000000000001</v>
      </c>
      <c r="J168" s="117">
        <v>4992166</v>
      </c>
      <c r="K168" s="120">
        <f t="shared" si="34"/>
        <v>449.74468468468467</v>
      </c>
      <c r="L168" s="122">
        <f t="shared" si="28"/>
        <v>9946535.6799999997</v>
      </c>
      <c r="M168" s="116">
        <f t="shared" si="29"/>
        <v>4954369.68</v>
      </c>
      <c r="N168" s="123">
        <f t="shared" si="30"/>
        <v>446.33961081081077</v>
      </c>
      <c r="O168" s="5"/>
      <c r="P168" s="5">
        <f t="shared" si="31"/>
        <v>1</v>
      </c>
      <c r="Q168" s="7">
        <f t="shared" si="32"/>
        <v>11100</v>
      </c>
    </row>
    <row r="169" spans="1:17">
      <c r="A169" s="23" t="s">
        <v>195</v>
      </c>
      <c r="B169" s="35" t="s">
        <v>183</v>
      </c>
      <c r="C169" s="36">
        <v>13329</v>
      </c>
      <c r="D169" s="113">
        <v>1322618552</v>
      </c>
      <c r="E169" s="116">
        <f t="shared" si="35"/>
        <v>99228.640708230174</v>
      </c>
      <c r="F169" s="117">
        <v>808302812</v>
      </c>
      <c r="G169" s="117">
        <f t="shared" si="36"/>
        <v>60642.419686398076</v>
      </c>
      <c r="H169" s="7"/>
      <c r="I169" s="101">
        <v>6.25</v>
      </c>
      <c r="J169" s="117">
        <v>5051893</v>
      </c>
      <c r="K169" s="120">
        <f t="shared" si="34"/>
        <v>379.01515492535071</v>
      </c>
      <c r="L169" s="122">
        <f t="shared" si="28"/>
        <v>8083028.1200000001</v>
      </c>
      <c r="M169" s="116">
        <f t="shared" si="29"/>
        <v>3031135.12</v>
      </c>
      <c r="N169" s="123">
        <f t="shared" si="30"/>
        <v>227.40904193863005</v>
      </c>
      <c r="O169" s="5"/>
      <c r="P169" s="5">
        <f t="shared" si="31"/>
        <v>1</v>
      </c>
      <c r="Q169" s="7">
        <f t="shared" si="32"/>
        <v>13329</v>
      </c>
    </row>
    <row r="170" spans="1:17">
      <c r="A170" s="23" t="s">
        <v>196</v>
      </c>
      <c r="B170" s="35" t="s">
        <v>183</v>
      </c>
      <c r="C170" s="36">
        <v>3047</v>
      </c>
      <c r="D170" s="113">
        <v>206268491</v>
      </c>
      <c r="E170" s="116">
        <f t="shared" si="35"/>
        <v>67695.599277978341</v>
      </c>
      <c r="F170" s="117">
        <v>136059922</v>
      </c>
      <c r="G170" s="117">
        <f t="shared" si="36"/>
        <v>44653.732195602235</v>
      </c>
      <c r="H170" s="7"/>
      <c r="I170" s="101">
        <v>6.5</v>
      </c>
      <c r="J170" s="117">
        <v>884389</v>
      </c>
      <c r="K170" s="120">
        <f t="shared" si="34"/>
        <v>290.24909747292418</v>
      </c>
      <c r="L170" s="122">
        <f t="shared" si="28"/>
        <v>1360599.22</v>
      </c>
      <c r="M170" s="116">
        <f t="shared" si="29"/>
        <v>476210.22</v>
      </c>
      <c r="N170" s="123">
        <f t="shared" si="30"/>
        <v>156.28822448309813</v>
      </c>
      <c r="O170" s="5"/>
      <c r="P170" s="5">
        <f t="shared" si="31"/>
        <v>1</v>
      </c>
      <c r="Q170" s="7">
        <f t="shared" si="32"/>
        <v>3047</v>
      </c>
    </row>
    <row r="171" spans="1:17">
      <c r="A171" s="23" t="s">
        <v>448</v>
      </c>
      <c r="B171" s="35" t="s">
        <v>198</v>
      </c>
      <c r="C171" s="36">
        <v>46425</v>
      </c>
      <c r="D171" s="113">
        <v>9818520786</v>
      </c>
      <c r="E171" s="116">
        <f t="shared" si="35"/>
        <v>211492.10093699515</v>
      </c>
      <c r="F171" s="117">
        <v>8422156500</v>
      </c>
      <c r="G171" s="117">
        <f t="shared" si="36"/>
        <v>181414.24878836834</v>
      </c>
      <c r="H171" s="7"/>
      <c r="I171" s="101">
        <v>0.82730000000000004</v>
      </c>
      <c r="J171" s="117">
        <v>6967650</v>
      </c>
      <c r="K171" s="120">
        <f t="shared" si="34"/>
        <v>150.08400646203555</v>
      </c>
      <c r="L171" s="122">
        <f t="shared" si="28"/>
        <v>84221565</v>
      </c>
      <c r="M171" s="116">
        <f t="shared" si="29"/>
        <v>77253915</v>
      </c>
      <c r="N171" s="123">
        <f t="shared" si="30"/>
        <v>1664.0584814216479</v>
      </c>
      <c r="O171" s="5"/>
      <c r="P171" s="5">
        <f t="shared" si="31"/>
        <v>1</v>
      </c>
      <c r="Q171" s="7">
        <f t="shared" si="32"/>
        <v>46425</v>
      </c>
    </row>
    <row r="172" spans="1:17">
      <c r="A172" s="23" t="s">
        <v>197</v>
      </c>
      <c r="B172" s="35" t="s">
        <v>198</v>
      </c>
      <c r="C172" s="36">
        <v>162852</v>
      </c>
      <c r="D172" s="113">
        <v>13863470120</v>
      </c>
      <c r="E172" s="116">
        <f t="shared" si="35"/>
        <v>85129.259204676637</v>
      </c>
      <c r="F172" s="117">
        <v>10494876370</v>
      </c>
      <c r="G172" s="117">
        <f t="shared" si="36"/>
        <v>64444.258406405817</v>
      </c>
      <c r="H172" s="7"/>
      <c r="I172" s="101">
        <v>7.9702000000000002</v>
      </c>
      <c r="J172" s="117">
        <v>83646264</v>
      </c>
      <c r="K172" s="120">
        <f t="shared" si="34"/>
        <v>513.63363053570117</v>
      </c>
      <c r="L172" s="122">
        <f t="shared" si="28"/>
        <v>104948763.7</v>
      </c>
      <c r="M172" s="116">
        <f t="shared" si="29"/>
        <v>21302499.700000003</v>
      </c>
      <c r="N172" s="123">
        <f t="shared" si="30"/>
        <v>130.80895352835705</v>
      </c>
      <c r="O172" s="5"/>
      <c r="P172" s="5">
        <f t="shared" si="31"/>
        <v>1</v>
      </c>
      <c r="Q172" s="7">
        <f t="shared" si="32"/>
        <v>162852</v>
      </c>
    </row>
    <row r="173" spans="1:17">
      <c r="A173" s="23" t="s">
        <v>199</v>
      </c>
      <c r="B173" s="35" t="s">
        <v>198</v>
      </c>
      <c r="C173" s="36">
        <v>68819</v>
      </c>
      <c r="D173" s="113">
        <v>7221345635</v>
      </c>
      <c r="E173" s="116">
        <f t="shared" si="35"/>
        <v>104932.44067771982</v>
      </c>
      <c r="F173" s="117">
        <v>5384093870</v>
      </c>
      <c r="G173" s="117">
        <f t="shared" si="36"/>
        <v>78235.572588965253</v>
      </c>
      <c r="H173" s="7"/>
      <c r="I173" s="101">
        <v>7.4</v>
      </c>
      <c r="J173" s="117">
        <v>39842295</v>
      </c>
      <c r="K173" s="120">
        <f t="shared" si="34"/>
        <v>578.94324241851814</v>
      </c>
      <c r="L173" s="122">
        <f t="shared" si="28"/>
        <v>53840938.700000003</v>
      </c>
      <c r="M173" s="116">
        <f t="shared" si="29"/>
        <v>13998643.700000003</v>
      </c>
      <c r="N173" s="123">
        <f t="shared" si="30"/>
        <v>203.41248347113446</v>
      </c>
      <c r="O173" s="5"/>
      <c r="P173" s="5">
        <f t="shared" si="31"/>
        <v>1</v>
      </c>
      <c r="Q173" s="7">
        <f t="shared" si="32"/>
        <v>68819</v>
      </c>
    </row>
    <row r="174" spans="1:17">
      <c r="A174" s="23" t="s">
        <v>200</v>
      </c>
      <c r="B174" s="35" t="s">
        <v>198</v>
      </c>
      <c r="C174" s="36">
        <v>6919</v>
      </c>
      <c r="D174" s="113">
        <v>3476865550</v>
      </c>
      <c r="E174" s="116">
        <f t="shared" si="35"/>
        <v>502509.83523630584</v>
      </c>
      <c r="F174" s="117">
        <v>3003712140</v>
      </c>
      <c r="G174" s="117">
        <f t="shared" si="36"/>
        <v>434125.18282988871</v>
      </c>
      <c r="H174" s="7"/>
      <c r="I174" s="101">
        <v>0.81869999999999998</v>
      </c>
      <c r="J174" s="117">
        <v>2459139</v>
      </c>
      <c r="K174" s="120">
        <f t="shared" si="34"/>
        <v>355.41826853591562</v>
      </c>
      <c r="L174" s="122">
        <f t="shared" si="28"/>
        <v>30037121.400000002</v>
      </c>
      <c r="M174" s="116">
        <f t="shared" si="29"/>
        <v>27577982.400000002</v>
      </c>
      <c r="N174" s="123">
        <f t="shared" si="30"/>
        <v>3985.8335597629721</v>
      </c>
      <c r="O174" s="5"/>
      <c r="P174" s="5">
        <f t="shared" si="31"/>
        <v>1</v>
      </c>
      <c r="Q174" s="7">
        <f t="shared" si="32"/>
        <v>6919</v>
      </c>
    </row>
    <row r="175" spans="1:17">
      <c r="A175" s="23" t="s">
        <v>201</v>
      </c>
      <c r="B175" s="35" t="s">
        <v>198</v>
      </c>
      <c r="C175" s="36">
        <v>6329</v>
      </c>
      <c r="D175" s="113">
        <v>5184056790</v>
      </c>
      <c r="E175" s="116">
        <f t="shared" si="35"/>
        <v>819095.71654289775</v>
      </c>
      <c r="F175" s="117">
        <v>4514499010</v>
      </c>
      <c r="G175" s="117">
        <f t="shared" si="36"/>
        <v>713303.68304629484</v>
      </c>
      <c r="H175" s="7"/>
      <c r="I175" s="101">
        <v>2.1560999999999999</v>
      </c>
      <c r="J175" s="117">
        <v>9733711</v>
      </c>
      <c r="K175" s="120">
        <f t="shared" si="34"/>
        <v>1537.9540211723811</v>
      </c>
      <c r="L175" s="122">
        <f t="shared" si="28"/>
        <v>45144990.100000001</v>
      </c>
      <c r="M175" s="116">
        <f t="shared" si="29"/>
        <v>35411279.100000001</v>
      </c>
      <c r="N175" s="123">
        <f t="shared" si="30"/>
        <v>5595.0828092905676</v>
      </c>
      <c r="O175" s="5"/>
      <c r="P175" s="5">
        <f t="shared" si="31"/>
        <v>1</v>
      </c>
      <c r="Q175" s="7">
        <f t="shared" si="32"/>
        <v>6329</v>
      </c>
    </row>
    <row r="176" spans="1:17">
      <c r="A176" s="23" t="s">
        <v>202</v>
      </c>
      <c r="B176" s="35" t="s">
        <v>203</v>
      </c>
      <c r="C176" s="36">
        <v>177879</v>
      </c>
      <c r="D176" s="113">
        <v>17774238548</v>
      </c>
      <c r="E176" s="116">
        <f t="shared" si="35"/>
        <v>99923.198061603674</v>
      </c>
      <c r="F176" s="117">
        <v>9919934681</v>
      </c>
      <c r="G176" s="117">
        <f t="shared" si="36"/>
        <v>55767.879744095706</v>
      </c>
      <c r="H176" s="7"/>
      <c r="I176" s="101">
        <v>3.7</v>
      </c>
      <c r="J176" s="117">
        <v>36703758</v>
      </c>
      <c r="K176" s="120">
        <f t="shared" si="34"/>
        <v>206.34115325586495</v>
      </c>
      <c r="L176" s="122">
        <f t="shared" si="28"/>
        <v>99199346.810000002</v>
      </c>
      <c r="M176" s="116">
        <f t="shared" si="29"/>
        <v>62495588.810000002</v>
      </c>
      <c r="N176" s="123">
        <f t="shared" si="30"/>
        <v>351.33764418509213</v>
      </c>
      <c r="O176" s="5"/>
      <c r="P176" s="5">
        <f t="shared" si="31"/>
        <v>1</v>
      </c>
      <c r="Q176" s="7">
        <f t="shared" si="32"/>
        <v>177879</v>
      </c>
    </row>
    <row r="177" spans="1:17">
      <c r="A177" s="23" t="s">
        <v>204</v>
      </c>
      <c r="B177" s="35" t="s">
        <v>205</v>
      </c>
      <c r="C177" s="36">
        <v>1060</v>
      </c>
      <c r="D177" s="113">
        <v>64197776</v>
      </c>
      <c r="E177" s="116">
        <f t="shared" si="35"/>
        <v>60563.939622641512</v>
      </c>
      <c r="F177" s="117">
        <v>36236685</v>
      </c>
      <c r="G177" s="117">
        <f t="shared" si="36"/>
        <v>34185.551886792455</v>
      </c>
      <c r="H177" s="7"/>
      <c r="I177" s="101">
        <v>3.44</v>
      </c>
      <c r="J177" s="117">
        <v>124654</v>
      </c>
      <c r="K177" s="120">
        <f t="shared" si="34"/>
        <v>117.59811320754717</v>
      </c>
      <c r="L177" s="122">
        <f t="shared" si="28"/>
        <v>362366.85000000003</v>
      </c>
      <c r="M177" s="116">
        <f t="shared" si="29"/>
        <v>237712.85000000003</v>
      </c>
      <c r="N177" s="123">
        <f t="shared" si="30"/>
        <v>224.2574056603774</v>
      </c>
      <c r="O177" s="5"/>
      <c r="P177" s="5">
        <f t="shared" si="31"/>
        <v>1</v>
      </c>
      <c r="Q177" s="7">
        <f t="shared" si="32"/>
        <v>1060</v>
      </c>
    </row>
    <row r="178" spans="1:17">
      <c r="A178" s="23" t="s">
        <v>206</v>
      </c>
      <c r="B178" s="35" t="s">
        <v>205</v>
      </c>
      <c r="C178" s="36">
        <v>898</v>
      </c>
      <c r="D178" s="113">
        <v>236019397</v>
      </c>
      <c r="E178" s="116">
        <f t="shared" si="35"/>
        <v>262827.83630289533</v>
      </c>
      <c r="F178" s="117">
        <v>175013569</v>
      </c>
      <c r="G178" s="117">
        <f t="shared" si="36"/>
        <v>194892.61581291759</v>
      </c>
      <c r="H178" s="7"/>
      <c r="I178" s="101">
        <v>3.1355</v>
      </c>
      <c r="J178" s="117">
        <v>548755</v>
      </c>
      <c r="K178" s="120">
        <f t="shared" si="34"/>
        <v>611.08574610244989</v>
      </c>
      <c r="L178" s="122">
        <f t="shared" si="28"/>
        <v>1750135.69</v>
      </c>
      <c r="M178" s="116">
        <f t="shared" si="29"/>
        <v>1201380.69</v>
      </c>
      <c r="N178" s="123">
        <f t="shared" si="30"/>
        <v>1337.840412026726</v>
      </c>
      <c r="O178" s="5"/>
      <c r="P178" s="5">
        <f t="shared" si="31"/>
        <v>1</v>
      </c>
      <c r="Q178" s="7">
        <f t="shared" si="32"/>
        <v>898</v>
      </c>
    </row>
    <row r="179" spans="1:17">
      <c r="A179" s="23" t="s">
        <v>207</v>
      </c>
      <c r="B179" s="35" t="s">
        <v>205</v>
      </c>
      <c r="C179" s="36">
        <v>2200</v>
      </c>
      <c r="D179" s="113">
        <v>200841230</v>
      </c>
      <c r="E179" s="116">
        <f t="shared" si="35"/>
        <v>91291.468181818185</v>
      </c>
      <c r="F179" s="117">
        <v>143493023</v>
      </c>
      <c r="G179" s="117">
        <f t="shared" si="36"/>
        <v>65224.101363636364</v>
      </c>
      <c r="H179" s="7"/>
      <c r="I179" s="101">
        <v>4.75</v>
      </c>
      <c r="J179" s="117">
        <v>681592</v>
      </c>
      <c r="K179" s="120">
        <f t="shared" si="34"/>
        <v>309.81454545454545</v>
      </c>
      <c r="L179" s="122">
        <f t="shared" si="28"/>
        <v>1434930.23</v>
      </c>
      <c r="M179" s="116">
        <f t="shared" si="29"/>
        <v>753338.23</v>
      </c>
      <c r="N179" s="123">
        <f t="shared" si="30"/>
        <v>342.42646818181817</v>
      </c>
      <c r="O179" s="5"/>
      <c r="P179" s="5">
        <f t="shared" si="31"/>
        <v>1</v>
      </c>
      <c r="Q179" s="7">
        <f t="shared" si="32"/>
        <v>2200</v>
      </c>
    </row>
    <row r="180" spans="1:17">
      <c r="A180" s="23" t="s">
        <v>208</v>
      </c>
      <c r="B180" s="35" t="s">
        <v>205</v>
      </c>
      <c r="C180" s="36">
        <v>1684</v>
      </c>
      <c r="D180" s="113">
        <v>113386346</v>
      </c>
      <c r="E180" s="116">
        <f t="shared" si="35"/>
        <v>67331.559382422798</v>
      </c>
      <c r="F180" s="117">
        <v>77296536</v>
      </c>
      <c r="G180" s="117">
        <f t="shared" si="36"/>
        <v>45900.555819477435</v>
      </c>
      <c r="H180" s="7"/>
      <c r="I180" s="101">
        <v>5</v>
      </c>
      <c r="J180" s="117">
        <v>386483</v>
      </c>
      <c r="K180" s="120">
        <f t="shared" si="34"/>
        <v>229.50296912114015</v>
      </c>
      <c r="L180" s="122">
        <f t="shared" si="28"/>
        <v>772965.36</v>
      </c>
      <c r="M180" s="116">
        <f t="shared" si="29"/>
        <v>386482.36</v>
      </c>
      <c r="N180" s="123">
        <f t="shared" si="30"/>
        <v>229.5025890736342</v>
      </c>
      <c r="O180" s="5"/>
      <c r="P180" s="5">
        <f t="shared" si="31"/>
        <v>1</v>
      </c>
      <c r="Q180" s="7">
        <f t="shared" si="32"/>
        <v>1684</v>
      </c>
    </row>
    <row r="181" spans="1:17">
      <c r="A181" s="23" t="s">
        <v>209</v>
      </c>
      <c r="B181" s="35" t="s">
        <v>205</v>
      </c>
      <c r="C181" s="36">
        <v>131</v>
      </c>
      <c r="D181" s="113">
        <v>8666976</v>
      </c>
      <c r="E181" s="116">
        <f t="shared" si="35"/>
        <v>66160.122137404585</v>
      </c>
      <c r="F181" s="117">
        <v>4177160</v>
      </c>
      <c r="G181" s="117">
        <f t="shared" si="36"/>
        <v>31886.717557251908</v>
      </c>
      <c r="H181" s="7"/>
      <c r="I181" s="101">
        <v>3</v>
      </c>
      <c r="J181" s="117">
        <v>12531</v>
      </c>
      <c r="K181" s="120">
        <f t="shared" si="34"/>
        <v>95.656488549618317</v>
      </c>
      <c r="L181" s="122">
        <f t="shared" si="28"/>
        <v>41771.599999999999</v>
      </c>
      <c r="M181" s="116">
        <f t="shared" si="29"/>
        <v>29240.6</v>
      </c>
      <c r="N181" s="123">
        <f t="shared" si="30"/>
        <v>223.21068702290074</v>
      </c>
      <c r="O181" s="5"/>
      <c r="P181" s="5">
        <f t="shared" si="31"/>
        <v>1</v>
      </c>
      <c r="Q181" s="7">
        <f t="shared" si="32"/>
        <v>131</v>
      </c>
    </row>
    <row r="182" spans="1:17">
      <c r="A182" s="23" t="s">
        <v>210</v>
      </c>
      <c r="B182" s="35" t="s">
        <v>205</v>
      </c>
      <c r="C182" s="36">
        <v>2630</v>
      </c>
      <c r="D182" s="113">
        <v>189824921</v>
      </c>
      <c r="E182" s="116">
        <f t="shared" si="35"/>
        <v>72176.776045627383</v>
      </c>
      <c r="F182" s="117">
        <v>106594871</v>
      </c>
      <c r="G182" s="117">
        <f t="shared" si="36"/>
        <v>40530.369201520909</v>
      </c>
      <c r="H182" s="7"/>
      <c r="I182" s="101">
        <v>6.0990000000000002</v>
      </c>
      <c r="J182" s="117">
        <v>650122</v>
      </c>
      <c r="K182" s="120">
        <f t="shared" si="34"/>
        <v>247.19467680608366</v>
      </c>
      <c r="L182" s="122">
        <f t="shared" si="28"/>
        <v>1065948.71</v>
      </c>
      <c r="M182" s="116">
        <f t="shared" si="29"/>
        <v>415826.70999999996</v>
      </c>
      <c r="N182" s="123">
        <f t="shared" si="30"/>
        <v>158.10901520912546</v>
      </c>
      <c r="O182" s="5"/>
      <c r="P182" s="5">
        <f t="shared" si="31"/>
        <v>1</v>
      </c>
      <c r="Q182" s="7">
        <f t="shared" si="32"/>
        <v>2630</v>
      </c>
    </row>
    <row r="183" spans="1:17">
      <c r="A183" s="23" t="s">
        <v>211</v>
      </c>
      <c r="B183" s="35" t="s">
        <v>205</v>
      </c>
      <c r="C183" s="36">
        <v>765</v>
      </c>
      <c r="D183" s="113">
        <v>110622479</v>
      </c>
      <c r="E183" s="116">
        <f t="shared" si="35"/>
        <v>144604.54771241831</v>
      </c>
      <c r="F183" s="117">
        <v>78250531</v>
      </c>
      <c r="G183" s="117">
        <f t="shared" si="36"/>
        <v>102288.27581699347</v>
      </c>
      <c r="H183" s="7"/>
      <c r="I183" s="101">
        <v>2.1355</v>
      </c>
      <c r="J183" s="117">
        <v>167104</v>
      </c>
      <c r="K183" s="120">
        <f t="shared" si="34"/>
        <v>218.43660130718953</v>
      </c>
      <c r="L183" s="122">
        <f t="shared" si="28"/>
        <v>782505.31</v>
      </c>
      <c r="M183" s="116">
        <f t="shared" si="29"/>
        <v>615401.31000000006</v>
      </c>
      <c r="N183" s="123">
        <f t="shared" si="30"/>
        <v>804.44615686274517</v>
      </c>
      <c r="O183" s="5"/>
      <c r="P183" s="5">
        <f t="shared" si="31"/>
        <v>1</v>
      </c>
      <c r="Q183" s="7">
        <f t="shared" si="32"/>
        <v>765</v>
      </c>
    </row>
    <row r="184" spans="1:17">
      <c r="A184" s="23" t="s">
        <v>212</v>
      </c>
      <c r="B184" s="35" t="s">
        <v>213</v>
      </c>
      <c r="C184" s="36">
        <v>990</v>
      </c>
      <c r="D184" s="113">
        <v>62333121</v>
      </c>
      <c r="E184" s="116">
        <f t="shared" si="35"/>
        <v>62962.748484848482</v>
      </c>
      <c r="F184" s="117">
        <v>28160203</v>
      </c>
      <c r="G184" s="117">
        <f t="shared" si="36"/>
        <v>28444.649494949495</v>
      </c>
      <c r="H184" s="7"/>
      <c r="I184" s="101">
        <v>3</v>
      </c>
      <c r="J184" s="117">
        <v>84481</v>
      </c>
      <c r="K184" s="120">
        <f t="shared" si="34"/>
        <v>85.334343434343438</v>
      </c>
      <c r="L184" s="122">
        <f t="shared" si="28"/>
        <v>281602.03000000003</v>
      </c>
      <c r="M184" s="116">
        <f t="shared" si="29"/>
        <v>197121.03000000003</v>
      </c>
      <c r="N184" s="123">
        <f t="shared" si="30"/>
        <v>199.11215151515154</v>
      </c>
      <c r="O184" s="5"/>
      <c r="P184" s="5">
        <f t="shared" si="31"/>
        <v>1</v>
      </c>
      <c r="Q184" s="7">
        <f t="shared" si="32"/>
        <v>990</v>
      </c>
    </row>
    <row r="185" spans="1:17">
      <c r="A185" s="23" t="s">
        <v>214</v>
      </c>
      <c r="B185" s="35" t="s">
        <v>215</v>
      </c>
      <c r="C185" s="36">
        <v>799</v>
      </c>
      <c r="D185" s="113">
        <v>21836466</v>
      </c>
      <c r="E185" s="116">
        <f t="shared" si="35"/>
        <v>27329.744680851065</v>
      </c>
      <c r="F185" s="117">
        <v>10984555</v>
      </c>
      <c r="G185" s="117">
        <f t="shared" si="36"/>
        <v>13747.878598247809</v>
      </c>
      <c r="H185" s="7"/>
      <c r="I185" s="101">
        <v>8.7190999999999992</v>
      </c>
      <c r="J185" s="117">
        <v>95775</v>
      </c>
      <c r="K185" s="120">
        <f t="shared" si="34"/>
        <v>119.8685857321652</v>
      </c>
      <c r="L185" s="122">
        <f t="shared" si="28"/>
        <v>109845.55</v>
      </c>
      <c r="M185" s="116">
        <f t="shared" si="29"/>
        <v>14070.550000000003</v>
      </c>
      <c r="N185" s="123">
        <f t="shared" si="30"/>
        <v>17.610200250312896</v>
      </c>
      <c r="O185" s="5"/>
      <c r="P185" s="5">
        <f t="shared" si="31"/>
        <v>1</v>
      </c>
      <c r="Q185" s="7">
        <f t="shared" si="32"/>
        <v>799</v>
      </c>
    </row>
    <row r="186" spans="1:17">
      <c r="A186" s="23" t="s">
        <v>198</v>
      </c>
      <c r="B186" s="35" t="s">
        <v>215</v>
      </c>
      <c r="C186" s="36">
        <v>386</v>
      </c>
      <c r="D186" s="113">
        <v>18538504</v>
      </c>
      <c r="E186" s="116">
        <f t="shared" si="35"/>
        <v>48027.212435233159</v>
      </c>
      <c r="F186" s="117">
        <v>7438171</v>
      </c>
      <c r="G186" s="117">
        <f t="shared" si="36"/>
        <v>19269.87305699482</v>
      </c>
      <c r="H186" s="7"/>
      <c r="I186" s="101">
        <v>6.38</v>
      </c>
      <c r="J186" s="117">
        <v>47456</v>
      </c>
      <c r="K186" s="120">
        <f t="shared" si="34"/>
        <v>122.94300518134715</v>
      </c>
      <c r="L186" s="122">
        <f t="shared" si="28"/>
        <v>74381.710000000006</v>
      </c>
      <c r="M186" s="116">
        <f t="shared" si="29"/>
        <v>26925.710000000006</v>
      </c>
      <c r="N186" s="123">
        <f t="shared" si="30"/>
        <v>69.75572538860105</v>
      </c>
      <c r="O186" s="5"/>
      <c r="P186" s="5">
        <f t="shared" si="31"/>
        <v>1</v>
      </c>
      <c r="Q186" s="7">
        <f t="shared" si="32"/>
        <v>386</v>
      </c>
    </row>
    <row r="187" spans="1:17">
      <c r="A187" s="23" t="s">
        <v>215</v>
      </c>
      <c r="B187" s="35" t="s">
        <v>215</v>
      </c>
      <c r="C187" s="36">
        <v>3278</v>
      </c>
      <c r="D187" s="113">
        <v>155496009</v>
      </c>
      <c r="E187" s="116">
        <f t="shared" si="35"/>
        <v>47436.244356314826</v>
      </c>
      <c r="F187" s="117">
        <v>92149888</v>
      </c>
      <c r="G187" s="117">
        <f t="shared" si="36"/>
        <v>28111.61928004881</v>
      </c>
      <c r="H187" s="7"/>
      <c r="I187" s="101">
        <v>6.0484</v>
      </c>
      <c r="J187" s="117">
        <v>557359</v>
      </c>
      <c r="K187" s="120">
        <f t="shared" si="34"/>
        <v>170.03020134228188</v>
      </c>
      <c r="L187" s="122">
        <f t="shared" si="28"/>
        <v>921498.88</v>
      </c>
      <c r="M187" s="116">
        <f t="shared" si="29"/>
        <v>364139.88</v>
      </c>
      <c r="N187" s="123">
        <f t="shared" si="30"/>
        <v>111.08599145820622</v>
      </c>
      <c r="O187" s="5"/>
      <c r="P187" s="5">
        <f t="shared" si="31"/>
        <v>1</v>
      </c>
      <c r="Q187" s="7">
        <f t="shared" si="32"/>
        <v>3278</v>
      </c>
    </row>
    <row r="188" spans="1:17">
      <c r="A188" s="23" t="s">
        <v>216</v>
      </c>
      <c r="B188" s="35" t="s">
        <v>217</v>
      </c>
      <c r="C188" s="36">
        <v>1833</v>
      </c>
      <c r="D188" s="113">
        <v>807540280</v>
      </c>
      <c r="E188" s="116">
        <f t="shared" si="35"/>
        <v>440556.6175668303</v>
      </c>
      <c r="F188" s="117">
        <v>636089088</v>
      </c>
      <c r="G188" s="117">
        <f t="shared" si="36"/>
        <v>347020.77905073651</v>
      </c>
      <c r="H188" s="7"/>
      <c r="I188" s="101">
        <v>1.7882</v>
      </c>
      <c r="J188" s="117">
        <v>1137455</v>
      </c>
      <c r="K188" s="120">
        <f t="shared" si="34"/>
        <v>620.54282596835787</v>
      </c>
      <c r="L188" s="122">
        <f t="shared" si="28"/>
        <v>6360890.8799999999</v>
      </c>
      <c r="M188" s="116">
        <f t="shared" si="29"/>
        <v>5223435.88</v>
      </c>
      <c r="N188" s="123">
        <f t="shared" si="30"/>
        <v>2849.6649645390071</v>
      </c>
      <c r="O188" s="5"/>
      <c r="P188" s="5">
        <f t="shared" si="31"/>
        <v>1</v>
      </c>
      <c r="Q188" s="7">
        <f t="shared" si="32"/>
        <v>1833</v>
      </c>
    </row>
    <row r="189" spans="1:17">
      <c r="A189" s="23" t="s">
        <v>218</v>
      </c>
      <c r="B189" s="35" t="s">
        <v>217</v>
      </c>
      <c r="C189" s="36">
        <v>54051</v>
      </c>
      <c r="D189" s="113">
        <v>4241452188</v>
      </c>
      <c r="E189" s="116">
        <f t="shared" si="35"/>
        <v>78471.299106399514</v>
      </c>
      <c r="F189" s="117">
        <v>3073695242</v>
      </c>
      <c r="G189" s="117">
        <f t="shared" si="36"/>
        <v>56866.574938484024</v>
      </c>
      <c r="H189" s="7"/>
      <c r="I189" s="101">
        <v>4.2843</v>
      </c>
      <c r="J189" s="117">
        <v>13168633</v>
      </c>
      <c r="K189" s="120">
        <f t="shared" si="34"/>
        <v>243.63347579138221</v>
      </c>
      <c r="L189" s="122">
        <f t="shared" si="28"/>
        <v>30736952.420000002</v>
      </c>
      <c r="M189" s="116">
        <f t="shared" si="29"/>
        <v>17568319.420000002</v>
      </c>
      <c r="N189" s="123">
        <f t="shared" si="30"/>
        <v>325.03227359345806</v>
      </c>
      <c r="O189" s="5"/>
      <c r="P189" s="5">
        <f t="shared" si="31"/>
        <v>1</v>
      </c>
      <c r="Q189" s="7">
        <f t="shared" si="32"/>
        <v>54051</v>
      </c>
    </row>
    <row r="190" spans="1:17">
      <c r="A190" s="23" t="s">
        <v>219</v>
      </c>
      <c r="B190" s="35" t="s">
        <v>217</v>
      </c>
      <c r="C190" s="36">
        <v>1550</v>
      </c>
      <c r="D190" s="113">
        <v>559763549</v>
      </c>
      <c r="E190" s="116">
        <f t="shared" si="35"/>
        <v>361137.77354838711</v>
      </c>
      <c r="F190" s="117">
        <v>469213940</v>
      </c>
      <c r="G190" s="117">
        <f t="shared" si="36"/>
        <v>302718.67096774193</v>
      </c>
      <c r="H190" s="7"/>
      <c r="I190" s="101">
        <v>2.1539000000000001</v>
      </c>
      <c r="J190" s="117">
        <v>1010640</v>
      </c>
      <c r="K190" s="120">
        <f t="shared" si="34"/>
        <v>652.02580645161288</v>
      </c>
      <c r="L190" s="122">
        <f t="shared" si="28"/>
        <v>4692139.4000000004</v>
      </c>
      <c r="M190" s="116">
        <f t="shared" si="29"/>
        <v>3681499.4000000004</v>
      </c>
      <c r="N190" s="123">
        <f t="shared" si="30"/>
        <v>2375.1609032258066</v>
      </c>
      <c r="O190" s="5"/>
      <c r="P190" s="5">
        <f t="shared" si="31"/>
        <v>1</v>
      </c>
      <c r="Q190" s="7">
        <f t="shared" si="32"/>
        <v>1550</v>
      </c>
    </row>
    <row r="191" spans="1:17">
      <c r="A191" s="23" t="s">
        <v>220</v>
      </c>
      <c r="B191" s="35" t="s">
        <v>217</v>
      </c>
      <c r="C191" s="36">
        <v>5114</v>
      </c>
      <c r="D191" s="113">
        <v>1658857256</v>
      </c>
      <c r="E191" s="116">
        <f t="shared" si="35"/>
        <v>324375.68556902622</v>
      </c>
      <c r="F191" s="117">
        <v>1358396130</v>
      </c>
      <c r="G191" s="117">
        <f t="shared" si="36"/>
        <v>265623.02111849823</v>
      </c>
      <c r="H191" s="7"/>
      <c r="I191" s="101">
        <v>1.7548999999999999</v>
      </c>
      <c r="J191" s="117">
        <v>2383849</v>
      </c>
      <c r="K191" s="120">
        <f t="shared" si="34"/>
        <v>466.14176769651937</v>
      </c>
      <c r="L191" s="122">
        <f t="shared" si="28"/>
        <v>13583961.300000001</v>
      </c>
      <c r="M191" s="116">
        <f t="shared" si="29"/>
        <v>11200112.300000001</v>
      </c>
      <c r="N191" s="123">
        <f t="shared" si="30"/>
        <v>2190.0884434884633</v>
      </c>
      <c r="O191" s="5"/>
      <c r="P191" s="5">
        <f t="shared" si="31"/>
        <v>1</v>
      </c>
      <c r="Q191" s="7">
        <f t="shared" si="32"/>
        <v>5114</v>
      </c>
    </row>
    <row r="192" spans="1:17">
      <c r="A192" s="23" t="s">
        <v>221</v>
      </c>
      <c r="B192" s="35" t="s">
        <v>217</v>
      </c>
      <c r="C192" s="36">
        <v>14419</v>
      </c>
      <c r="D192" s="113">
        <v>1254990282</v>
      </c>
      <c r="E192" s="116">
        <f t="shared" si="35"/>
        <v>87037.262084749294</v>
      </c>
      <c r="F192" s="117">
        <v>929295191</v>
      </c>
      <c r="G192" s="117">
        <f t="shared" si="36"/>
        <v>64449.350925861712</v>
      </c>
      <c r="H192" s="7"/>
      <c r="I192" s="101">
        <v>4.6661999999999999</v>
      </c>
      <c r="J192" s="117">
        <v>4336277</v>
      </c>
      <c r="K192" s="120">
        <f t="shared" si="34"/>
        <v>300.73354601567377</v>
      </c>
      <c r="L192" s="122">
        <f t="shared" si="28"/>
        <v>9292951.9100000001</v>
      </c>
      <c r="M192" s="116">
        <f t="shared" si="29"/>
        <v>4956674.91</v>
      </c>
      <c r="N192" s="123">
        <f t="shared" si="30"/>
        <v>343.75996324294334</v>
      </c>
      <c r="O192" s="5"/>
      <c r="P192" s="5">
        <f t="shared" si="31"/>
        <v>1</v>
      </c>
      <c r="Q192" s="7">
        <f t="shared" si="32"/>
        <v>14419</v>
      </c>
    </row>
    <row r="193" spans="1:17">
      <c r="A193" s="23" t="s">
        <v>478</v>
      </c>
      <c r="B193" s="35" t="s">
        <v>222</v>
      </c>
      <c r="C193" s="36">
        <v>7633</v>
      </c>
      <c r="D193" s="113">
        <f>(1787308091+4275418707)</f>
        <v>6062726798</v>
      </c>
      <c r="E193" s="116">
        <f t="shared" si="35"/>
        <v>794278.36997248791</v>
      </c>
      <c r="F193" s="117">
        <f>(1537809992+3820071109)</f>
        <v>5357881101</v>
      </c>
      <c r="G193" s="117">
        <f t="shared" si="36"/>
        <v>701936.47333944717</v>
      </c>
      <c r="H193" s="7"/>
      <c r="I193" s="101">
        <v>1.4903</v>
      </c>
      <c r="J193" s="117">
        <f>(2291798+5693052)</f>
        <v>7984850</v>
      </c>
      <c r="K193" s="120">
        <f t="shared" si="34"/>
        <v>1046.0958993842526</v>
      </c>
      <c r="L193" s="122">
        <f t="shared" si="28"/>
        <v>53578811.009999998</v>
      </c>
      <c r="M193" s="116">
        <f t="shared" si="29"/>
        <v>45593961.009999998</v>
      </c>
      <c r="N193" s="123">
        <f t="shared" si="30"/>
        <v>5973.2688340102186</v>
      </c>
      <c r="O193" s="5"/>
      <c r="P193" s="5">
        <f t="shared" si="31"/>
        <v>1</v>
      </c>
      <c r="Q193" s="7">
        <f t="shared" si="32"/>
        <v>7633</v>
      </c>
    </row>
    <row r="194" spans="1:17">
      <c r="A194" s="23" t="s">
        <v>223</v>
      </c>
      <c r="B194" s="35" t="s">
        <v>224</v>
      </c>
      <c r="C194" s="36">
        <v>4030</v>
      </c>
      <c r="D194" s="113">
        <v>323916252</v>
      </c>
      <c r="E194" s="116">
        <f t="shared" si="35"/>
        <v>80376.241191066991</v>
      </c>
      <c r="F194" s="117">
        <v>232756345</v>
      </c>
      <c r="G194" s="117">
        <f t="shared" si="36"/>
        <v>57755.916873449132</v>
      </c>
      <c r="H194" s="7"/>
      <c r="I194" s="101">
        <v>2.9544000000000001</v>
      </c>
      <c r="J194" s="117">
        <v>687655</v>
      </c>
      <c r="K194" s="120">
        <f t="shared" si="34"/>
        <v>170.63399503722084</v>
      </c>
      <c r="L194" s="122">
        <f t="shared" si="28"/>
        <v>2327563.4500000002</v>
      </c>
      <c r="M194" s="116">
        <f t="shared" si="29"/>
        <v>1639908.4500000002</v>
      </c>
      <c r="N194" s="123">
        <f t="shared" si="30"/>
        <v>406.92517369727051</v>
      </c>
      <c r="O194" s="5"/>
      <c r="P194" s="5">
        <f t="shared" si="31"/>
        <v>1</v>
      </c>
      <c r="Q194" s="7">
        <f t="shared" si="32"/>
        <v>4030</v>
      </c>
    </row>
    <row r="195" spans="1:17">
      <c r="A195" s="23" t="s">
        <v>225</v>
      </c>
      <c r="B195" s="35" t="s">
        <v>224</v>
      </c>
      <c r="C195" s="36">
        <v>2023</v>
      </c>
      <c r="D195" s="113">
        <v>240913706</v>
      </c>
      <c r="E195" s="116">
        <f t="shared" si="35"/>
        <v>119087.34849233812</v>
      </c>
      <c r="F195" s="117">
        <v>157868423</v>
      </c>
      <c r="G195" s="117">
        <f t="shared" si="36"/>
        <v>78036.788433020265</v>
      </c>
      <c r="H195" s="7"/>
      <c r="I195" s="101">
        <v>6.4469000000000003</v>
      </c>
      <c r="J195" s="117">
        <v>1017762</v>
      </c>
      <c r="K195" s="120">
        <f t="shared" si="34"/>
        <v>503.09540286702918</v>
      </c>
      <c r="L195" s="122">
        <f t="shared" si="28"/>
        <v>1578684.23</v>
      </c>
      <c r="M195" s="116">
        <f t="shared" si="29"/>
        <v>560922.23</v>
      </c>
      <c r="N195" s="123">
        <f t="shared" si="30"/>
        <v>277.27248146317351</v>
      </c>
      <c r="O195" s="5"/>
      <c r="P195" s="5">
        <f t="shared" si="31"/>
        <v>1</v>
      </c>
      <c r="Q195" s="7">
        <f t="shared" si="32"/>
        <v>2023</v>
      </c>
    </row>
    <row r="196" spans="1:17">
      <c r="A196" s="23" t="s">
        <v>226</v>
      </c>
      <c r="B196" s="35" t="s">
        <v>224</v>
      </c>
      <c r="C196" s="36">
        <v>433</v>
      </c>
      <c r="D196" s="113">
        <v>35300934</v>
      </c>
      <c r="E196" s="116">
        <f t="shared" si="35"/>
        <v>81526.406466512708</v>
      </c>
      <c r="F196" s="117">
        <v>19932389</v>
      </c>
      <c r="G196" s="117">
        <f t="shared" si="36"/>
        <v>46033.23094688222</v>
      </c>
      <c r="H196" s="7"/>
      <c r="I196" s="101">
        <v>1.9670000000000001</v>
      </c>
      <c r="J196" s="117">
        <v>39207</v>
      </c>
      <c r="K196" s="120">
        <f t="shared" si="34"/>
        <v>90.54734411085451</v>
      </c>
      <c r="L196" s="122">
        <f t="shared" si="28"/>
        <v>199323.89</v>
      </c>
      <c r="M196" s="116">
        <f t="shared" si="29"/>
        <v>160116.89000000001</v>
      </c>
      <c r="N196" s="123">
        <f t="shared" si="30"/>
        <v>369.78496535796768</v>
      </c>
      <c r="O196" s="5"/>
      <c r="P196" s="5">
        <f t="shared" si="31"/>
        <v>1</v>
      </c>
      <c r="Q196" s="7">
        <f t="shared" si="32"/>
        <v>433</v>
      </c>
    </row>
    <row r="197" spans="1:17">
      <c r="A197" s="23" t="s">
        <v>227</v>
      </c>
      <c r="B197" s="35" t="s">
        <v>224</v>
      </c>
      <c r="C197" s="36">
        <v>54599</v>
      </c>
      <c r="D197" s="113">
        <v>6140992582</v>
      </c>
      <c r="E197" s="116">
        <f t="shared" si="35"/>
        <v>112474.45158336233</v>
      </c>
      <c r="F197" s="117">
        <v>4416494782</v>
      </c>
      <c r="G197" s="117">
        <f t="shared" si="36"/>
        <v>80889.664316196271</v>
      </c>
      <c r="H197" s="9"/>
      <c r="I197" s="101">
        <v>4.9664000000000001</v>
      </c>
      <c r="J197" s="117">
        <v>21934080</v>
      </c>
      <c r="K197" s="120">
        <f t="shared" si="34"/>
        <v>401.73043462334476</v>
      </c>
      <c r="L197" s="122">
        <f t="shared" si="28"/>
        <v>44164947.82</v>
      </c>
      <c r="M197" s="116">
        <f t="shared" si="29"/>
        <v>22230867.82</v>
      </c>
      <c r="N197" s="123">
        <f t="shared" si="30"/>
        <v>407.16620853861792</v>
      </c>
      <c r="O197" s="5"/>
      <c r="P197" s="5">
        <f t="shared" si="31"/>
        <v>1</v>
      </c>
      <c r="Q197" s="7">
        <f t="shared" si="32"/>
        <v>54599</v>
      </c>
    </row>
    <row r="198" spans="1:17">
      <c r="A198" s="23" t="s">
        <v>228</v>
      </c>
      <c r="B198" s="35" t="s">
        <v>224</v>
      </c>
      <c r="C198" s="36">
        <v>500</v>
      </c>
      <c r="D198" s="114" t="s">
        <v>564</v>
      </c>
      <c r="E198" s="116"/>
      <c r="F198" s="117"/>
      <c r="G198" s="117"/>
      <c r="H198" s="9" t="s">
        <v>528</v>
      </c>
      <c r="I198" s="101"/>
      <c r="J198" s="117"/>
      <c r="K198" s="120"/>
      <c r="L198" s="122">
        <f t="shared" ref="L198:L261" si="37">(F198*0.01)</f>
        <v>0</v>
      </c>
      <c r="M198" s="116">
        <f t="shared" ref="M198:M261" si="38">(L198-J198)</f>
        <v>0</v>
      </c>
      <c r="N198" s="123">
        <f t="shared" ref="N198:N261" si="39">(M198/C198)</f>
        <v>0</v>
      </c>
      <c r="O198" s="5"/>
      <c r="P198" s="5">
        <f t="shared" ref="P198:P261" si="40">IF(I198&gt;0,1,0)</f>
        <v>0</v>
      </c>
      <c r="Q198" s="7">
        <f t="shared" ref="Q198:Q261" si="41">IF(I198&gt;0,C198,0)</f>
        <v>0</v>
      </c>
    </row>
    <row r="199" spans="1:17">
      <c r="A199" s="23" t="s">
        <v>229</v>
      </c>
      <c r="B199" s="35" t="s">
        <v>230</v>
      </c>
      <c r="C199" s="36">
        <v>694</v>
      </c>
      <c r="D199" s="113">
        <v>2512138413</v>
      </c>
      <c r="E199" s="116">
        <f t="shared" si="35"/>
        <v>3619795.984149856</v>
      </c>
      <c r="F199" s="117">
        <v>2000015750</v>
      </c>
      <c r="G199" s="117">
        <f t="shared" si="36"/>
        <v>2881867.074927954</v>
      </c>
      <c r="H199" s="9"/>
      <c r="I199" s="101">
        <v>2.4849999999999999</v>
      </c>
      <c r="J199" s="117">
        <v>4970039</v>
      </c>
      <c r="K199" s="120">
        <f t="shared" ref="K199:K216" si="42">(J199/C199)</f>
        <v>7161.4394812680111</v>
      </c>
      <c r="L199" s="122">
        <f t="shared" si="37"/>
        <v>20000157.5</v>
      </c>
      <c r="M199" s="116">
        <f t="shared" si="38"/>
        <v>15030118.5</v>
      </c>
      <c r="N199" s="123">
        <f t="shared" si="39"/>
        <v>21657.231268011528</v>
      </c>
      <c r="O199" s="5"/>
      <c r="P199" s="5">
        <f t="shared" si="40"/>
        <v>1</v>
      </c>
      <c r="Q199" s="7">
        <f t="shared" si="41"/>
        <v>694</v>
      </c>
    </row>
    <row r="200" spans="1:17">
      <c r="A200" s="24" t="s">
        <v>582</v>
      </c>
      <c r="B200" s="35" t="s">
        <v>230</v>
      </c>
      <c r="C200" s="36">
        <v>411</v>
      </c>
      <c r="D200" s="113">
        <v>25664002</v>
      </c>
      <c r="E200" s="116">
        <f t="shared" si="35"/>
        <v>62442.827250608272</v>
      </c>
      <c r="F200" s="117">
        <v>25169019</v>
      </c>
      <c r="G200" s="117">
        <f t="shared" si="36"/>
        <v>61238.48905109489</v>
      </c>
      <c r="H200" s="7"/>
      <c r="I200" s="102">
        <v>2.2458999999999998</v>
      </c>
      <c r="J200" s="117">
        <v>56527</v>
      </c>
      <c r="K200" s="120">
        <f t="shared" si="42"/>
        <v>137.53527980535279</v>
      </c>
      <c r="L200" s="122">
        <f t="shared" si="37"/>
        <v>251690.19</v>
      </c>
      <c r="M200" s="116">
        <f t="shared" si="38"/>
        <v>195163.19</v>
      </c>
      <c r="N200" s="123">
        <f t="shared" si="39"/>
        <v>474.84961070559609</v>
      </c>
      <c r="O200" s="5"/>
      <c r="P200" s="5">
        <f t="shared" si="40"/>
        <v>1</v>
      </c>
      <c r="Q200" s="7">
        <f t="shared" si="41"/>
        <v>411</v>
      </c>
    </row>
    <row r="201" spans="1:17">
      <c r="A201" s="23" t="s">
        <v>446</v>
      </c>
      <c r="B201" s="35" t="s">
        <v>230</v>
      </c>
      <c r="C201" s="36">
        <v>2077</v>
      </c>
      <c r="D201" s="113">
        <v>828615081</v>
      </c>
      <c r="E201" s="116">
        <f t="shared" si="35"/>
        <v>398948.04092441022</v>
      </c>
      <c r="F201" s="117">
        <v>617408297</v>
      </c>
      <c r="G201" s="117">
        <f t="shared" si="36"/>
        <v>297259.65190178144</v>
      </c>
      <c r="H201" s="7"/>
      <c r="I201" s="101">
        <v>2.23</v>
      </c>
      <c r="J201" s="117">
        <v>1376821</v>
      </c>
      <c r="K201" s="120">
        <f t="shared" si="42"/>
        <v>662.88926336061627</v>
      </c>
      <c r="L201" s="122">
        <f t="shared" si="37"/>
        <v>6174082.9699999997</v>
      </c>
      <c r="M201" s="116">
        <f t="shared" si="38"/>
        <v>4797261.97</v>
      </c>
      <c r="N201" s="123">
        <f t="shared" si="39"/>
        <v>2309.7072556571979</v>
      </c>
      <c r="O201" s="5"/>
      <c r="P201" s="5">
        <f t="shared" si="40"/>
        <v>1</v>
      </c>
      <c r="Q201" s="7">
        <f t="shared" si="41"/>
        <v>2077</v>
      </c>
    </row>
    <row r="202" spans="1:17">
      <c r="A202" s="24" t="s">
        <v>231</v>
      </c>
      <c r="B202" s="37" t="s">
        <v>230</v>
      </c>
      <c r="C202" s="36">
        <v>16483</v>
      </c>
      <c r="D202" s="113">
        <v>2760478408</v>
      </c>
      <c r="E202" s="116">
        <f t="shared" si="35"/>
        <v>167474.27094582297</v>
      </c>
      <c r="F202" s="117">
        <v>1890761779</v>
      </c>
      <c r="G202" s="117">
        <f t="shared" si="36"/>
        <v>114709.80883334344</v>
      </c>
      <c r="H202" s="7"/>
      <c r="I202" s="101">
        <v>4.3329000000000004</v>
      </c>
      <c r="J202" s="117">
        <v>8192482</v>
      </c>
      <c r="K202" s="120">
        <f t="shared" si="42"/>
        <v>497.02614815264212</v>
      </c>
      <c r="L202" s="122">
        <f t="shared" si="37"/>
        <v>18907617.789999999</v>
      </c>
      <c r="M202" s="116">
        <f t="shared" si="38"/>
        <v>10715135.789999999</v>
      </c>
      <c r="N202" s="123">
        <f t="shared" si="39"/>
        <v>650.07194018079224</v>
      </c>
      <c r="O202" s="5"/>
      <c r="P202" s="5">
        <f t="shared" si="40"/>
        <v>1</v>
      </c>
      <c r="Q202" s="7">
        <f t="shared" si="41"/>
        <v>16483</v>
      </c>
    </row>
    <row r="203" spans="1:17">
      <c r="A203" s="23" t="s">
        <v>232</v>
      </c>
      <c r="B203" s="37" t="s">
        <v>233</v>
      </c>
      <c r="C203" s="36">
        <v>31126</v>
      </c>
      <c r="D203" s="113">
        <v>9064857244</v>
      </c>
      <c r="E203" s="116">
        <f t="shared" si="35"/>
        <v>291231.03656107432</v>
      </c>
      <c r="F203" s="117">
        <v>8086277614</v>
      </c>
      <c r="G203" s="117">
        <f t="shared" si="36"/>
        <v>259791.73726145344</v>
      </c>
      <c r="H203" s="9"/>
      <c r="I203" s="102">
        <v>1.7261</v>
      </c>
      <c r="J203" s="117">
        <v>13957724</v>
      </c>
      <c r="K203" s="120">
        <f t="shared" si="42"/>
        <v>448.4265244490137</v>
      </c>
      <c r="L203" s="122">
        <f t="shared" si="37"/>
        <v>80862776.140000001</v>
      </c>
      <c r="M203" s="116">
        <f t="shared" si="38"/>
        <v>66905052.140000001</v>
      </c>
      <c r="N203" s="123">
        <f t="shared" si="39"/>
        <v>2149.4908481655207</v>
      </c>
      <c r="O203" s="5"/>
      <c r="P203" s="5">
        <f t="shared" si="40"/>
        <v>1</v>
      </c>
      <c r="Q203" s="7">
        <f t="shared" si="41"/>
        <v>31126</v>
      </c>
    </row>
    <row r="204" spans="1:17">
      <c r="A204" s="23" t="s">
        <v>234</v>
      </c>
      <c r="B204" s="37" t="s">
        <v>233</v>
      </c>
      <c r="C204" s="36">
        <v>3320</v>
      </c>
      <c r="D204" s="113">
        <v>2813232540</v>
      </c>
      <c r="E204" s="116">
        <f t="shared" si="35"/>
        <v>847359.19879518077</v>
      </c>
      <c r="F204" s="117">
        <v>2520314851</v>
      </c>
      <c r="G204" s="117">
        <f t="shared" si="36"/>
        <v>759130.97921686748</v>
      </c>
      <c r="H204" s="9"/>
      <c r="I204" s="101">
        <v>2.5265</v>
      </c>
      <c r="J204" s="117">
        <v>6367575</v>
      </c>
      <c r="K204" s="120">
        <f t="shared" si="42"/>
        <v>1917.9442771084337</v>
      </c>
      <c r="L204" s="122">
        <f t="shared" si="37"/>
        <v>25203148.510000002</v>
      </c>
      <c r="M204" s="116">
        <f t="shared" si="38"/>
        <v>18835573.510000002</v>
      </c>
      <c r="N204" s="123">
        <f t="shared" si="39"/>
        <v>5673.3655150602417</v>
      </c>
      <c r="O204" s="5"/>
      <c r="P204" s="5">
        <f t="shared" si="40"/>
        <v>1</v>
      </c>
      <c r="Q204" s="7">
        <f t="shared" si="41"/>
        <v>3320</v>
      </c>
    </row>
    <row r="205" spans="1:17">
      <c r="A205" s="23" t="s">
        <v>235</v>
      </c>
      <c r="B205" s="37" t="s">
        <v>233</v>
      </c>
      <c r="C205" s="36">
        <v>5095</v>
      </c>
      <c r="D205" s="113">
        <v>1052964237</v>
      </c>
      <c r="E205" s="116">
        <f t="shared" si="35"/>
        <v>206666.1897939156</v>
      </c>
      <c r="F205" s="117">
        <v>763799338</v>
      </c>
      <c r="G205" s="117">
        <f t="shared" si="36"/>
        <v>149911.5481844946</v>
      </c>
      <c r="H205" s="9"/>
      <c r="I205" s="101">
        <v>4.4119999999999999</v>
      </c>
      <c r="J205" s="117">
        <v>3369883</v>
      </c>
      <c r="K205" s="120">
        <f t="shared" si="42"/>
        <v>661.40981354268888</v>
      </c>
      <c r="L205" s="122">
        <f t="shared" si="37"/>
        <v>7637993.3799999999</v>
      </c>
      <c r="M205" s="116">
        <f t="shared" si="38"/>
        <v>4268110.38</v>
      </c>
      <c r="N205" s="123">
        <f t="shared" si="39"/>
        <v>837.7056683022571</v>
      </c>
      <c r="O205" s="5"/>
      <c r="P205" s="5">
        <f t="shared" si="40"/>
        <v>1</v>
      </c>
      <c r="Q205" s="7">
        <f t="shared" si="41"/>
        <v>5095</v>
      </c>
    </row>
    <row r="206" spans="1:17">
      <c r="A206" s="23" t="s">
        <v>236</v>
      </c>
      <c r="B206" s="37" t="s">
        <v>233</v>
      </c>
      <c r="C206" s="36">
        <v>3198</v>
      </c>
      <c r="D206" s="113">
        <v>293075085</v>
      </c>
      <c r="E206" s="116">
        <f t="shared" si="35"/>
        <v>91643.241088180119</v>
      </c>
      <c r="F206" s="117">
        <v>166677748</v>
      </c>
      <c r="G206" s="117">
        <f t="shared" si="36"/>
        <v>52119.370856785492</v>
      </c>
      <c r="H206" s="9"/>
      <c r="I206" s="101">
        <v>8.8902999999999999</v>
      </c>
      <c r="J206" s="117">
        <v>1481815</v>
      </c>
      <c r="K206" s="120">
        <f t="shared" si="42"/>
        <v>463.35678549093183</v>
      </c>
      <c r="L206" s="122">
        <f t="shared" si="37"/>
        <v>1666777.48</v>
      </c>
      <c r="M206" s="116">
        <f t="shared" si="38"/>
        <v>184962.47999999998</v>
      </c>
      <c r="N206" s="123">
        <f t="shared" si="39"/>
        <v>57.836923076923071</v>
      </c>
      <c r="O206" s="5"/>
      <c r="P206" s="5">
        <f t="shared" si="40"/>
        <v>1</v>
      </c>
      <c r="Q206" s="7">
        <f t="shared" si="41"/>
        <v>3198</v>
      </c>
    </row>
    <row r="207" spans="1:17">
      <c r="A207" s="23" t="s">
        <v>237</v>
      </c>
      <c r="B207" s="37" t="s">
        <v>233</v>
      </c>
      <c r="C207" s="36">
        <v>45501</v>
      </c>
      <c r="D207" s="113">
        <v>17310246165</v>
      </c>
      <c r="E207" s="116">
        <f t="shared" si="35"/>
        <v>380436.60941517766</v>
      </c>
      <c r="F207" s="117">
        <v>12658400650</v>
      </c>
      <c r="G207" s="117">
        <f t="shared" si="36"/>
        <v>278200.49339574954</v>
      </c>
      <c r="H207" s="9"/>
      <c r="I207" s="101">
        <v>5.8949999999999996</v>
      </c>
      <c r="J207" s="117">
        <v>74621272</v>
      </c>
      <c r="K207" s="120">
        <f t="shared" si="42"/>
        <v>1639.9919122656645</v>
      </c>
      <c r="L207" s="122">
        <f t="shared" si="37"/>
        <v>126584006.5</v>
      </c>
      <c r="M207" s="116">
        <f t="shared" si="38"/>
        <v>51962734.5</v>
      </c>
      <c r="N207" s="123">
        <f t="shared" si="39"/>
        <v>1142.013021691831</v>
      </c>
      <c r="O207" s="5"/>
      <c r="P207" s="5">
        <f t="shared" si="40"/>
        <v>1</v>
      </c>
      <c r="Q207" s="7">
        <f t="shared" si="41"/>
        <v>45501</v>
      </c>
    </row>
    <row r="208" spans="1:17">
      <c r="A208" s="23" t="s">
        <v>524</v>
      </c>
      <c r="B208" s="37" t="s">
        <v>233</v>
      </c>
      <c r="C208" s="36">
        <v>41194</v>
      </c>
      <c r="D208" s="113">
        <v>3397498334</v>
      </c>
      <c r="E208" s="116">
        <f t="shared" si="35"/>
        <v>82475.562800407832</v>
      </c>
      <c r="F208" s="117">
        <v>2243604524</v>
      </c>
      <c r="G208" s="117">
        <f t="shared" si="36"/>
        <v>54464.352187211727</v>
      </c>
      <c r="H208" s="9"/>
      <c r="I208" s="101">
        <v>2.5888</v>
      </c>
      <c r="J208" s="117">
        <v>5808243</v>
      </c>
      <c r="K208" s="120">
        <f t="shared" si="42"/>
        <v>140.99730543283002</v>
      </c>
      <c r="L208" s="122">
        <f t="shared" si="37"/>
        <v>22436045.240000002</v>
      </c>
      <c r="M208" s="116">
        <f t="shared" si="38"/>
        <v>16627802.240000002</v>
      </c>
      <c r="N208" s="123">
        <f t="shared" si="39"/>
        <v>403.64621643928734</v>
      </c>
      <c r="O208" s="5"/>
      <c r="P208" s="5">
        <f t="shared" si="40"/>
        <v>1</v>
      </c>
      <c r="Q208" s="7">
        <f t="shared" si="41"/>
        <v>41194</v>
      </c>
    </row>
    <row r="209" spans="1:17">
      <c r="A209" s="23" t="s">
        <v>501</v>
      </c>
      <c r="B209" s="37" t="s">
        <v>233</v>
      </c>
      <c r="C209" s="36">
        <v>34456</v>
      </c>
      <c r="D209" s="113">
        <v>11492406518</v>
      </c>
      <c r="E209" s="116">
        <f t="shared" si="35"/>
        <v>333538.6149872301</v>
      </c>
      <c r="F209" s="117">
        <v>9934270876</v>
      </c>
      <c r="G209" s="117">
        <f t="shared" si="36"/>
        <v>288317.5898537265</v>
      </c>
      <c r="H209" s="9"/>
      <c r="I209" s="101">
        <v>2.4470000000000001</v>
      </c>
      <c r="J209" s="117">
        <v>24309161</v>
      </c>
      <c r="K209" s="120">
        <f t="shared" si="42"/>
        <v>705.51314720222888</v>
      </c>
      <c r="L209" s="122">
        <f t="shared" si="37"/>
        <v>99342708.760000005</v>
      </c>
      <c r="M209" s="116">
        <f t="shared" si="38"/>
        <v>75033547.760000005</v>
      </c>
      <c r="N209" s="123">
        <f t="shared" si="39"/>
        <v>2177.6627513350363</v>
      </c>
      <c r="O209" s="5"/>
      <c r="P209" s="5">
        <f t="shared" si="40"/>
        <v>1</v>
      </c>
      <c r="Q209" s="7">
        <f t="shared" si="41"/>
        <v>34456</v>
      </c>
    </row>
    <row r="210" spans="1:17">
      <c r="A210" s="23" t="s">
        <v>238</v>
      </c>
      <c r="B210" s="37" t="s">
        <v>233</v>
      </c>
      <c r="C210" s="36">
        <v>2479</v>
      </c>
      <c r="D210" s="113">
        <v>193756096</v>
      </c>
      <c r="E210" s="116">
        <f t="shared" si="35"/>
        <v>78158.973779749896</v>
      </c>
      <c r="F210" s="117">
        <v>104412213</v>
      </c>
      <c r="G210" s="117">
        <f t="shared" si="36"/>
        <v>42118.682129891087</v>
      </c>
      <c r="H210" s="9"/>
      <c r="I210" s="101">
        <v>7.8441999999999998</v>
      </c>
      <c r="J210" s="117">
        <v>819030</v>
      </c>
      <c r="K210" s="120">
        <f t="shared" si="42"/>
        <v>330.38725292456638</v>
      </c>
      <c r="L210" s="122">
        <f t="shared" si="37"/>
        <v>1044122.13</v>
      </c>
      <c r="M210" s="116">
        <f t="shared" si="38"/>
        <v>225092.13</v>
      </c>
      <c r="N210" s="123">
        <f t="shared" si="39"/>
        <v>90.799568374344489</v>
      </c>
      <c r="O210" s="5"/>
      <c r="P210" s="5">
        <f t="shared" si="40"/>
        <v>1</v>
      </c>
      <c r="Q210" s="7">
        <f t="shared" si="41"/>
        <v>2479</v>
      </c>
    </row>
    <row r="211" spans="1:17">
      <c r="A211" s="23" t="s">
        <v>239</v>
      </c>
      <c r="B211" s="37" t="s">
        <v>233</v>
      </c>
      <c r="C211" s="36">
        <v>10217</v>
      </c>
      <c r="D211" s="113">
        <v>986347769</v>
      </c>
      <c r="E211" s="116">
        <f t="shared" si="35"/>
        <v>96539.8618968386</v>
      </c>
      <c r="F211" s="117">
        <v>694768653</v>
      </c>
      <c r="G211" s="117">
        <f t="shared" si="36"/>
        <v>68001.238426152486</v>
      </c>
      <c r="H211" s="9"/>
      <c r="I211" s="101">
        <v>7.75</v>
      </c>
      <c r="J211" s="117">
        <v>5384457</v>
      </c>
      <c r="K211" s="120">
        <f t="shared" si="42"/>
        <v>527.00959185670945</v>
      </c>
      <c r="L211" s="122">
        <f t="shared" si="37"/>
        <v>6947686.5300000003</v>
      </c>
      <c r="M211" s="116">
        <f t="shared" si="38"/>
        <v>1563229.5300000003</v>
      </c>
      <c r="N211" s="123">
        <f t="shared" si="39"/>
        <v>153.00279240481552</v>
      </c>
      <c r="O211" s="5"/>
      <c r="P211" s="5">
        <f t="shared" si="40"/>
        <v>1</v>
      </c>
      <c r="Q211" s="7">
        <f t="shared" si="41"/>
        <v>10217</v>
      </c>
    </row>
    <row r="212" spans="1:17">
      <c r="A212" s="23" t="s">
        <v>240</v>
      </c>
      <c r="B212" s="37" t="s">
        <v>233</v>
      </c>
      <c r="C212" s="36">
        <v>945</v>
      </c>
      <c r="D212" s="113">
        <v>1010339427</v>
      </c>
      <c r="E212" s="116">
        <f t="shared" si="35"/>
        <v>1069142.2507936507</v>
      </c>
      <c r="F212" s="117">
        <v>708088314</v>
      </c>
      <c r="G212" s="117">
        <f t="shared" si="36"/>
        <v>749299.80317460315</v>
      </c>
      <c r="H212" s="9"/>
      <c r="I212" s="101">
        <v>7.1524999999999999</v>
      </c>
      <c r="J212" s="117">
        <v>5064602</v>
      </c>
      <c r="K212" s="120">
        <f t="shared" si="42"/>
        <v>5359.3671957671959</v>
      </c>
      <c r="L212" s="122">
        <f t="shared" si="37"/>
        <v>7080883.1400000006</v>
      </c>
      <c r="M212" s="116">
        <f t="shared" si="38"/>
        <v>2016281.1400000006</v>
      </c>
      <c r="N212" s="123">
        <f t="shared" si="39"/>
        <v>2133.6308359788368</v>
      </c>
      <c r="O212" s="5"/>
      <c r="P212" s="5">
        <f t="shared" si="40"/>
        <v>1</v>
      </c>
      <c r="Q212" s="7">
        <f t="shared" si="41"/>
        <v>945</v>
      </c>
    </row>
    <row r="213" spans="1:17">
      <c r="A213" s="23" t="s">
        <v>241</v>
      </c>
      <c r="B213" s="37" t="s">
        <v>233</v>
      </c>
      <c r="C213" s="36">
        <v>226605</v>
      </c>
      <c r="D213" s="113">
        <v>15005541954</v>
      </c>
      <c r="E213" s="116">
        <f t="shared" si="35"/>
        <v>66218.935831071693</v>
      </c>
      <c r="F213" s="117">
        <v>9449577125</v>
      </c>
      <c r="G213" s="117">
        <f t="shared" si="36"/>
        <v>41700.655876966528</v>
      </c>
      <c r="H213" s="9"/>
      <c r="I213" s="101">
        <v>6.54</v>
      </c>
      <c r="J213" s="117">
        <v>61800234</v>
      </c>
      <c r="K213" s="120">
        <f t="shared" si="42"/>
        <v>272.72228768120738</v>
      </c>
      <c r="L213" s="122">
        <f t="shared" si="37"/>
        <v>94495771.25</v>
      </c>
      <c r="M213" s="116">
        <f t="shared" si="38"/>
        <v>32695537.25</v>
      </c>
      <c r="N213" s="123">
        <f t="shared" si="39"/>
        <v>144.2842710884579</v>
      </c>
      <c r="O213" s="5"/>
      <c r="P213" s="5">
        <f t="shared" si="40"/>
        <v>1</v>
      </c>
      <c r="Q213" s="7">
        <f t="shared" si="41"/>
        <v>226605</v>
      </c>
    </row>
    <row r="214" spans="1:17">
      <c r="A214" s="23" t="s">
        <v>242</v>
      </c>
      <c r="B214" s="37" t="s">
        <v>233</v>
      </c>
      <c r="C214" s="36">
        <v>21006</v>
      </c>
      <c r="D214" s="113">
        <v>1697425538</v>
      </c>
      <c r="E214" s="116">
        <f t="shared" si="35"/>
        <v>80806.699895268015</v>
      </c>
      <c r="F214" s="117">
        <v>1153908545</v>
      </c>
      <c r="G214" s="117">
        <f t="shared" si="36"/>
        <v>54932.331000666476</v>
      </c>
      <c r="H214" s="9"/>
      <c r="I214" s="101">
        <v>4.9000000000000004</v>
      </c>
      <c r="J214" s="117">
        <v>5654152</v>
      </c>
      <c r="K214" s="120">
        <f t="shared" si="42"/>
        <v>269.16842806817101</v>
      </c>
      <c r="L214" s="122">
        <f t="shared" si="37"/>
        <v>11539085.450000001</v>
      </c>
      <c r="M214" s="116">
        <f t="shared" si="38"/>
        <v>5884933.4500000011</v>
      </c>
      <c r="N214" s="123">
        <f t="shared" si="39"/>
        <v>280.15488193849382</v>
      </c>
      <c r="O214" s="5"/>
      <c r="P214" s="5">
        <f t="shared" si="40"/>
        <v>1</v>
      </c>
      <c r="Q214" s="7">
        <f t="shared" si="41"/>
        <v>21006</v>
      </c>
    </row>
    <row r="215" spans="1:17">
      <c r="A215" s="23" t="s">
        <v>243</v>
      </c>
      <c r="B215" s="37" t="s">
        <v>233</v>
      </c>
      <c r="C215" s="36">
        <v>57617</v>
      </c>
      <c r="D215" s="113">
        <v>4157075532</v>
      </c>
      <c r="E215" s="116">
        <f t="shared" si="35"/>
        <v>72150.155891490358</v>
      </c>
      <c r="F215" s="117">
        <v>2960500793</v>
      </c>
      <c r="G215" s="117">
        <f t="shared" si="36"/>
        <v>51382.418261971296</v>
      </c>
      <c r="H215" s="9"/>
      <c r="I215" s="101">
        <v>6.2916999999999996</v>
      </c>
      <c r="J215" s="117">
        <v>18626583</v>
      </c>
      <c r="K215" s="120">
        <f t="shared" si="42"/>
        <v>323.28276376763802</v>
      </c>
      <c r="L215" s="122">
        <f t="shared" si="37"/>
        <v>29605007.93</v>
      </c>
      <c r="M215" s="116">
        <f t="shared" si="38"/>
        <v>10978424.93</v>
      </c>
      <c r="N215" s="123">
        <f t="shared" si="39"/>
        <v>190.54141885207491</v>
      </c>
      <c r="O215" s="5"/>
      <c r="P215" s="5">
        <f t="shared" si="40"/>
        <v>1</v>
      </c>
      <c r="Q215" s="7">
        <f t="shared" si="41"/>
        <v>57617</v>
      </c>
    </row>
    <row r="216" spans="1:17">
      <c r="A216" s="23" t="s">
        <v>244</v>
      </c>
      <c r="B216" s="37" t="s">
        <v>233</v>
      </c>
      <c r="C216" s="36">
        <v>60</v>
      </c>
      <c r="D216" s="113">
        <v>375452000</v>
      </c>
      <c r="E216" s="116">
        <f t="shared" si="35"/>
        <v>6257533.333333333</v>
      </c>
      <c r="F216" s="117">
        <v>342079619</v>
      </c>
      <c r="G216" s="117">
        <f t="shared" si="36"/>
        <v>5701326.9833333334</v>
      </c>
      <c r="H216" s="9"/>
      <c r="I216" s="101">
        <v>6.5</v>
      </c>
      <c r="J216" s="117">
        <v>2223518</v>
      </c>
      <c r="K216" s="120">
        <f t="shared" si="42"/>
        <v>37058.633333333331</v>
      </c>
      <c r="L216" s="122">
        <f t="shared" si="37"/>
        <v>3420796.19</v>
      </c>
      <c r="M216" s="116">
        <f t="shared" si="38"/>
        <v>1197278.19</v>
      </c>
      <c r="N216" s="123">
        <f t="shared" si="39"/>
        <v>19954.636500000001</v>
      </c>
      <c r="O216" s="5"/>
      <c r="P216" s="5">
        <f t="shared" si="40"/>
        <v>1</v>
      </c>
      <c r="Q216" s="7">
        <f t="shared" si="41"/>
        <v>60</v>
      </c>
    </row>
    <row r="217" spans="1:17">
      <c r="A217" s="23" t="s">
        <v>245</v>
      </c>
      <c r="B217" s="37" t="s">
        <v>233</v>
      </c>
      <c r="C217" s="36">
        <v>6</v>
      </c>
      <c r="D217" s="114" t="s">
        <v>564</v>
      </c>
      <c r="E217" s="116"/>
      <c r="F217" s="117"/>
      <c r="G217" s="117"/>
      <c r="H217" s="9" t="s">
        <v>528</v>
      </c>
      <c r="I217" s="101"/>
      <c r="J217" s="117"/>
      <c r="K217" s="120"/>
      <c r="L217" s="122">
        <f t="shared" si="37"/>
        <v>0</v>
      </c>
      <c r="M217" s="116">
        <f t="shared" si="38"/>
        <v>0</v>
      </c>
      <c r="N217" s="123">
        <f t="shared" si="39"/>
        <v>0</v>
      </c>
      <c r="O217" s="5"/>
      <c r="P217" s="5">
        <f t="shared" si="40"/>
        <v>0</v>
      </c>
      <c r="Q217" s="7">
        <f t="shared" si="41"/>
        <v>0</v>
      </c>
    </row>
    <row r="218" spans="1:17">
      <c r="A218" s="23" t="s">
        <v>246</v>
      </c>
      <c r="B218" s="37" t="s">
        <v>233</v>
      </c>
      <c r="C218" s="36">
        <v>11411</v>
      </c>
      <c r="D218" s="113">
        <v>7227185716</v>
      </c>
      <c r="E218" s="116">
        <f t="shared" si="35"/>
        <v>633352.52966435894</v>
      </c>
      <c r="F218" s="117">
        <v>5923217265</v>
      </c>
      <c r="G218" s="117">
        <f t="shared" si="36"/>
        <v>519079.59556568222</v>
      </c>
      <c r="H218" s="9"/>
      <c r="I218" s="101">
        <v>3.2</v>
      </c>
      <c r="J218" s="117">
        <v>18954295</v>
      </c>
      <c r="K218" s="120">
        <f t="shared" ref="K218:K249" si="43">(J218/C218)</f>
        <v>1661.0546840767681</v>
      </c>
      <c r="L218" s="122">
        <f t="shared" si="37"/>
        <v>59232172.649999999</v>
      </c>
      <c r="M218" s="116">
        <f t="shared" si="38"/>
        <v>40277877.649999999</v>
      </c>
      <c r="N218" s="123">
        <f t="shared" si="39"/>
        <v>3529.7412715800542</v>
      </c>
      <c r="O218" s="5"/>
      <c r="P218" s="5">
        <f t="shared" si="40"/>
        <v>1</v>
      </c>
      <c r="Q218" s="7">
        <f t="shared" si="41"/>
        <v>11411</v>
      </c>
    </row>
    <row r="219" spans="1:17">
      <c r="A219" s="23" t="s">
        <v>247</v>
      </c>
      <c r="B219" s="37" t="s">
        <v>233</v>
      </c>
      <c r="C219" s="36">
        <v>1123</v>
      </c>
      <c r="D219" s="113">
        <v>2093305585</v>
      </c>
      <c r="E219" s="116">
        <f t="shared" si="35"/>
        <v>1864029.9065004452</v>
      </c>
      <c r="F219" s="117">
        <v>2022595360</v>
      </c>
      <c r="G219" s="117">
        <f t="shared" si="36"/>
        <v>1801064.4345503116</v>
      </c>
      <c r="H219" s="9"/>
      <c r="I219" s="101">
        <v>5.65</v>
      </c>
      <c r="J219" s="117">
        <v>11427664</v>
      </c>
      <c r="K219" s="120">
        <f t="shared" si="43"/>
        <v>10176.014247551202</v>
      </c>
      <c r="L219" s="122">
        <f t="shared" si="37"/>
        <v>20225953.600000001</v>
      </c>
      <c r="M219" s="116">
        <f t="shared" si="38"/>
        <v>8798289.6000000015</v>
      </c>
      <c r="N219" s="123">
        <f t="shared" si="39"/>
        <v>7834.6300979519156</v>
      </c>
      <c r="O219" s="5"/>
      <c r="P219" s="5">
        <f t="shared" si="40"/>
        <v>1</v>
      </c>
      <c r="Q219" s="7">
        <f t="shared" si="41"/>
        <v>1123</v>
      </c>
    </row>
    <row r="220" spans="1:17">
      <c r="A220" s="23" t="s">
        <v>248</v>
      </c>
      <c r="B220" s="37" t="s">
        <v>233</v>
      </c>
      <c r="C220" s="36">
        <v>417451</v>
      </c>
      <c r="D220" s="113">
        <v>52146883603</v>
      </c>
      <c r="E220" s="116">
        <f t="shared" si="35"/>
        <v>124917.37617828201</v>
      </c>
      <c r="F220" s="117">
        <v>36949521366</v>
      </c>
      <c r="G220" s="117">
        <f t="shared" si="36"/>
        <v>88512.235845644158</v>
      </c>
      <c r="H220" s="9"/>
      <c r="I220" s="101">
        <v>7.6740000000000004</v>
      </c>
      <c r="J220" s="117">
        <v>283550627</v>
      </c>
      <c r="K220" s="120">
        <f t="shared" si="43"/>
        <v>679.24289796886342</v>
      </c>
      <c r="L220" s="122">
        <f t="shared" si="37"/>
        <v>369495213.66000003</v>
      </c>
      <c r="M220" s="116">
        <f t="shared" si="38"/>
        <v>85944586.660000026</v>
      </c>
      <c r="N220" s="123">
        <f t="shared" si="39"/>
        <v>205.87946048757826</v>
      </c>
      <c r="O220" s="5"/>
      <c r="P220" s="5">
        <f t="shared" si="40"/>
        <v>1</v>
      </c>
      <c r="Q220" s="7">
        <f t="shared" si="41"/>
        <v>417451</v>
      </c>
    </row>
    <row r="221" spans="1:17">
      <c r="A221" s="23" t="s">
        <v>249</v>
      </c>
      <c r="B221" s="37" t="s">
        <v>233</v>
      </c>
      <c r="C221" s="36">
        <v>92833</v>
      </c>
      <c r="D221" s="113">
        <v>30383729153</v>
      </c>
      <c r="E221" s="116">
        <f t="shared" si="35"/>
        <v>327294.4874451973</v>
      </c>
      <c r="F221" s="117">
        <v>24630321031</v>
      </c>
      <c r="G221" s="117">
        <f t="shared" si="36"/>
        <v>265318.59393750067</v>
      </c>
      <c r="H221" s="9"/>
      <c r="I221" s="101">
        <v>5.6555</v>
      </c>
      <c r="J221" s="117">
        <v>139296781</v>
      </c>
      <c r="K221" s="120">
        <f t="shared" si="43"/>
        <v>1500.5093124212294</v>
      </c>
      <c r="L221" s="122">
        <f t="shared" si="37"/>
        <v>246303210.31</v>
      </c>
      <c r="M221" s="116">
        <f t="shared" si="38"/>
        <v>107006429.31</v>
      </c>
      <c r="N221" s="123">
        <f t="shared" si="39"/>
        <v>1152.6766269537773</v>
      </c>
      <c r="O221" s="5"/>
      <c r="P221" s="5">
        <f t="shared" si="40"/>
        <v>1</v>
      </c>
      <c r="Q221" s="7">
        <f t="shared" si="41"/>
        <v>92833</v>
      </c>
    </row>
    <row r="222" spans="1:17">
      <c r="A222" s="23" t="s">
        <v>500</v>
      </c>
      <c r="B222" s="37" t="s">
        <v>233</v>
      </c>
      <c r="C222" s="36">
        <v>109730</v>
      </c>
      <c r="D222" s="113">
        <v>7533844375</v>
      </c>
      <c r="E222" s="116">
        <f t="shared" si="35"/>
        <v>68658.018545520827</v>
      </c>
      <c r="F222" s="117">
        <v>4483686807</v>
      </c>
      <c r="G222" s="117">
        <f t="shared" si="36"/>
        <v>40861.084543880432</v>
      </c>
      <c r="H222" s="9"/>
      <c r="I222" s="101">
        <v>5.3734000000000002</v>
      </c>
      <c r="J222" s="117">
        <v>24092643</v>
      </c>
      <c r="K222" s="120">
        <f t="shared" si="43"/>
        <v>219.56295452474254</v>
      </c>
      <c r="L222" s="122">
        <f t="shared" si="37"/>
        <v>44836868.07</v>
      </c>
      <c r="M222" s="116">
        <f t="shared" si="38"/>
        <v>20744225.07</v>
      </c>
      <c r="N222" s="123">
        <f t="shared" si="39"/>
        <v>189.04789091406178</v>
      </c>
      <c r="O222" s="5"/>
      <c r="P222" s="5">
        <f t="shared" si="40"/>
        <v>1</v>
      </c>
      <c r="Q222" s="7">
        <f t="shared" si="41"/>
        <v>109730</v>
      </c>
    </row>
    <row r="223" spans="1:17">
      <c r="A223" s="23" t="s">
        <v>459</v>
      </c>
      <c r="B223" s="37" t="s">
        <v>233</v>
      </c>
      <c r="C223" s="36">
        <v>26694</v>
      </c>
      <c r="D223" s="113">
        <v>4228694864</v>
      </c>
      <c r="E223" s="116">
        <f t="shared" ref="E223:E286" si="44">(D223/C223)</f>
        <v>158413.68337454108</v>
      </c>
      <c r="F223" s="117">
        <v>2914296808</v>
      </c>
      <c r="G223" s="117">
        <f t="shared" ref="G223:G286" si="45">(F223/C223)</f>
        <v>109174.22671761445</v>
      </c>
      <c r="H223" s="9"/>
      <c r="I223" s="101">
        <v>2.4470000000000001</v>
      </c>
      <c r="J223" s="117">
        <v>7131284</v>
      </c>
      <c r="K223" s="120">
        <f t="shared" si="43"/>
        <v>267.14932194500636</v>
      </c>
      <c r="L223" s="122">
        <f t="shared" si="37"/>
        <v>29142968.080000002</v>
      </c>
      <c r="M223" s="116">
        <f t="shared" si="38"/>
        <v>22011684.080000002</v>
      </c>
      <c r="N223" s="123">
        <f t="shared" si="39"/>
        <v>824.59294523113817</v>
      </c>
      <c r="O223" s="5"/>
      <c r="P223" s="5">
        <f t="shared" si="40"/>
        <v>1</v>
      </c>
      <c r="Q223" s="7">
        <f t="shared" si="41"/>
        <v>26694</v>
      </c>
    </row>
    <row r="224" spans="1:17">
      <c r="A224" s="23" t="s">
        <v>250</v>
      </c>
      <c r="B224" s="37" t="s">
        <v>233</v>
      </c>
      <c r="C224" s="36">
        <v>11170</v>
      </c>
      <c r="D224" s="113">
        <v>1532052523</v>
      </c>
      <c r="E224" s="116">
        <f t="shared" si="44"/>
        <v>137157.79077887197</v>
      </c>
      <c r="F224" s="117">
        <v>793085144</v>
      </c>
      <c r="G224" s="117">
        <f t="shared" si="45"/>
        <v>71001.355774395706</v>
      </c>
      <c r="H224" s="9"/>
      <c r="I224" s="101">
        <v>8</v>
      </c>
      <c r="J224" s="117">
        <v>6344681</v>
      </c>
      <c r="K224" s="120">
        <f t="shared" si="43"/>
        <v>568.01083258728738</v>
      </c>
      <c r="L224" s="122">
        <f t="shared" si="37"/>
        <v>7930851.4400000004</v>
      </c>
      <c r="M224" s="116">
        <f t="shared" si="38"/>
        <v>1586170.4400000004</v>
      </c>
      <c r="N224" s="123">
        <f t="shared" si="39"/>
        <v>142.0027251566697</v>
      </c>
      <c r="O224" s="5"/>
      <c r="P224" s="5">
        <f t="shared" si="40"/>
        <v>1</v>
      </c>
      <c r="Q224" s="7">
        <f t="shared" si="41"/>
        <v>11170</v>
      </c>
    </row>
    <row r="225" spans="1:17">
      <c r="A225" s="23" t="s">
        <v>251</v>
      </c>
      <c r="B225" s="37" t="s">
        <v>233</v>
      </c>
      <c r="C225" s="36">
        <v>13422</v>
      </c>
      <c r="D225" s="113">
        <v>1534923902</v>
      </c>
      <c r="E225" s="116">
        <f t="shared" si="44"/>
        <v>114358.80658620175</v>
      </c>
      <c r="F225" s="117">
        <v>982984575</v>
      </c>
      <c r="G225" s="117">
        <f t="shared" si="45"/>
        <v>73236.818283415283</v>
      </c>
      <c r="H225" s="9"/>
      <c r="I225" s="101">
        <v>6.1698000000000004</v>
      </c>
      <c r="J225" s="117">
        <v>6064818</v>
      </c>
      <c r="K225" s="120">
        <f t="shared" si="43"/>
        <v>451.85650424675907</v>
      </c>
      <c r="L225" s="122">
        <f t="shared" si="37"/>
        <v>9829845.75</v>
      </c>
      <c r="M225" s="116">
        <f t="shared" si="38"/>
        <v>3765027.75</v>
      </c>
      <c r="N225" s="123">
        <f t="shared" si="39"/>
        <v>280.51167858739382</v>
      </c>
      <c r="O225" s="5"/>
      <c r="P225" s="5">
        <f t="shared" si="40"/>
        <v>1</v>
      </c>
      <c r="Q225" s="7">
        <f t="shared" si="41"/>
        <v>13422</v>
      </c>
    </row>
    <row r="226" spans="1:17">
      <c r="A226" s="23" t="s">
        <v>252</v>
      </c>
      <c r="B226" s="37" t="s">
        <v>233</v>
      </c>
      <c r="C226" s="36">
        <v>6836</v>
      </c>
      <c r="D226" s="113">
        <v>1119344121</v>
      </c>
      <c r="E226" s="116">
        <f t="shared" si="44"/>
        <v>163742.55719719135</v>
      </c>
      <c r="F226" s="117">
        <v>935483053</v>
      </c>
      <c r="G226" s="117">
        <f t="shared" si="45"/>
        <v>136846.55544177882</v>
      </c>
      <c r="H226" s="9"/>
      <c r="I226" s="101">
        <v>4.2771999999999997</v>
      </c>
      <c r="J226" s="117">
        <v>4001248</v>
      </c>
      <c r="K226" s="120">
        <f t="shared" si="43"/>
        <v>585.32007021650088</v>
      </c>
      <c r="L226" s="122">
        <f t="shared" si="37"/>
        <v>9354830.5299999993</v>
      </c>
      <c r="M226" s="116">
        <f t="shared" si="38"/>
        <v>5353582.5299999993</v>
      </c>
      <c r="N226" s="123">
        <f t="shared" si="39"/>
        <v>783.14548420128722</v>
      </c>
      <c r="O226" s="5"/>
      <c r="P226" s="5">
        <f t="shared" si="40"/>
        <v>1</v>
      </c>
      <c r="Q226" s="7">
        <f t="shared" si="41"/>
        <v>6836</v>
      </c>
    </row>
    <row r="227" spans="1:17">
      <c r="A227" s="23" t="s">
        <v>253</v>
      </c>
      <c r="B227" s="37" t="s">
        <v>233</v>
      </c>
      <c r="C227" s="36">
        <v>58469</v>
      </c>
      <c r="D227" s="113">
        <v>4365325052</v>
      </c>
      <c r="E227" s="116">
        <f t="shared" si="44"/>
        <v>74660.50474610478</v>
      </c>
      <c r="F227" s="117">
        <v>2807333905</v>
      </c>
      <c r="G227" s="117">
        <f t="shared" si="45"/>
        <v>48014.057107185006</v>
      </c>
      <c r="H227" s="9"/>
      <c r="I227" s="101">
        <v>7.3390000000000004</v>
      </c>
      <c r="J227" s="117">
        <v>20603024</v>
      </c>
      <c r="K227" s="120">
        <f t="shared" si="43"/>
        <v>352.3751731686877</v>
      </c>
      <c r="L227" s="122">
        <f t="shared" si="37"/>
        <v>28073339.050000001</v>
      </c>
      <c r="M227" s="116">
        <f t="shared" si="38"/>
        <v>7470315.0500000007</v>
      </c>
      <c r="N227" s="123">
        <f t="shared" si="39"/>
        <v>127.76539790316237</v>
      </c>
      <c r="O227" s="5"/>
      <c r="P227" s="5">
        <f t="shared" si="40"/>
        <v>1</v>
      </c>
      <c r="Q227" s="7">
        <f t="shared" si="41"/>
        <v>58469</v>
      </c>
    </row>
    <row r="228" spans="1:17">
      <c r="A228" s="23" t="s">
        <v>254</v>
      </c>
      <c r="B228" s="37" t="s">
        <v>233</v>
      </c>
      <c r="C228" s="36">
        <v>40142</v>
      </c>
      <c r="D228" s="113">
        <v>3456550423</v>
      </c>
      <c r="E228" s="116">
        <f t="shared" si="44"/>
        <v>86108.076901997905</v>
      </c>
      <c r="F228" s="117">
        <v>2260826472</v>
      </c>
      <c r="G228" s="117">
        <f t="shared" si="45"/>
        <v>56320.723232524535</v>
      </c>
      <c r="H228" s="9"/>
      <c r="I228" s="101">
        <v>6.6135999999999999</v>
      </c>
      <c r="J228" s="117">
        <v>14952202</v>
      </c>
      <c r="K228" s="120">
        <f t="shared" si="43"/>
        <v>372.48273628618404</v>
      </c>
      <c r="L228" s="122">
        <f t="shared" si="37"/>
        <v>22608264.719999999</v>
      </c>
      <c r="M228" s="116">
        <f t="shared" si="38"/>
        <v>7656062.7199999988</v>
      </c>
      <c r="N228" s="123">
        <f t="shared" si="39"/>
        <v>190.72449603906131</v>
      </c>
      <c r="O228" s="5"/>
      <c r="P228" s="5">
        <f t="shared" si="40"/>
        <v>1</v>
      </c>
      <c r="Q228" s="7">
        <f t="shared" si="41"/>
        <v>40142</v>
      </c>
    </row>
    <row r="229" spans="1:17">
      <c r="A229" s="23" t="s">
        <v>255</v>
      </c>
      <c r="B229" s="37" t="s">
        <v>233</v>
      </c>
      <c r="C229" s="36">
        <v>15284</v>
      </c>
      <c r="D229" s="113">
        <v>1309189574</v>
      </c>
      <c r="E229" s="116">
        <f t="shared" si="44"/>
        <v>85657.522507197064</v>
      </c>
      <c r="F229" s="117">
        <v>917649357</v>
      </c>
      <c r="G229" s="117">
        <f t="shared" si="45"/>
        <v>60039.868947919393</v>
      </c>
      <c r="H229" s="9"/>
      <c r="I229" s="101">
        <v>8.3000000000000007</v>
      </c>
      <c r="J229" s="117">
        <v>7616490</v>
      </c>
      <c r="K229" s="120">
        <f t="shared" si="43"/>
        <v>498.33093431038998</v>
      </c>
      <c r="L229" s="122">
        <f t="shared" si="37"/>
        <v>9176493.5700000003</v>
      </c>
      <c r="M229" s="116">
        <f t="shared" si="38"/>
        <v>1560003.5700000003</v>
      </c>
      <c r="N229" s="123">
        <f t="shared" si="39"/>
        <v>102.067755168804</v>
      </c>
      <c r="O229" s="5"/>
      <c r="P229" s="5">
        <f t="shared" si="40"/>
        <v>1</v>
      </c>
      <c r="Q229" s="7">
        <f t="shared" si="41"/>
        <v>15284</v>
      </c>
    </row>
    <row r="230" spans="1:17">
      <c r="A230" s="23" t="s">
        <v>493</v>
      </c>
      <c r="B230" s="37" t="s">
        <v>233</v>
      </c>
      <c r="C230" s="36">
        <v>25133</v>
      </c>
      <c r="D230" s="113">
        <v>3738351219</v>
      </c>
      <c r="E230" s="116">
        <f t="shared" si="44"/>
        <v>148742.73739704772</v>
      </c>
      <c r="F230" s="117">
        <v>2530942107</v>
      </c>
      <c r="G230" s="117">
        <f t="shared" si="45"/>
        <v>100701.94990649744</v>
      </c>
      <c r="H230" s="9"/>
      <c r="I230" s="101">
        <v>2.4470000000000001</v>
      </c>
      <c r="J230" s="117">
        <v>6193215</v>
      </c>
      <c r="K230" s="120">
        <f t="shared" si="43"/>
        <v>246.41765805912544</v>
      </c>
      <c r="L230" s="122">
        <f t="shared" si="37"/>
        <v>25309421.07</v>
      </c>
      <c r="M230" s="116">
        <f t="shared" si="38"/>
        <v>19116206.07</v>
      </c>
      <c r="N230" s="123">
        <f t="shared" si="39"/>
        <v>760.60184100584888</v>
      </c>
      <c r="O230" s="5"/>
      <c r="P230" s="5">
        <f t="shared" si="40"/>
        <v>1</v>
      </c>
      <c r="Q230" s="7">
        <f t="shared" si="41"/>
        <v>25133</v>
      </c>
    </row>
    <row r="231" spans="1:17">
      <c r="A231" s="23" t="s">
        <v>256</v>
      </c>
      <c r="B231" s="37" t="s">
        <v>233</v>
      </c>
      <c r="C231" s="36">
        <v>19491</v>
      </c>
      <c r="D231" s="113">
        <v>5187644321</v>
      </c>
      <c r="E231" s="116">
        <f t="shared" si="44"/>
        <v>266155.88327946234</v>
      </c>
      <c r="F231" s="117">
        <v>3706045127</v>
      </c>
      <c r="G231" s="117">
        <f t="shared" si="45"/>
        <v>190141.35380431995</v>
      </c>
      <c r="H231" s="9"/>
      <c r="I231" s="101">
        <v>2.1040000000000001</v>
      </c>
      <c r="J231" s="117">
        <v>7797519</v>
      </c>
      <c r="K231" s="120">
        <f t="shared" si="43"/>
        <v>400.05741111282128</v>
      </c>
      <c r="L231" s="122">
        <f t="shared" si="37"/>
        <v>37060451.270000003</v>
      </c>
      <c r="M231" s="116">
        <f t="shared" si="38"/>
        <v>29262932.270000003</v>
      </c>
      <c r="N231" s="123">
        <f t="shared" si="39"/>
        <v>1501.3561269303782</v>
      </c>
      <c r="O231" s="5"/>
      <c r="P231" s="5">
        <f t="shared" si="40"/>
        <v>1</v>
      </c>
      <c r="Q231" s="7">
        <f t="shared" si="41"/>
        <v>19491</v>
      </c>
    </row>
    <row r="232" spans="1:17">
      <c r="A232" s="23" t="s">
        <v>257</v>
      </c>
      <c r="B232" s="37" t="s">
        <v>233</v>
      </c>
      <c r="C232" s="36">
        <v>11378</v>
      </c>
      <c r="D232" s="113">
        <v>2283861696</v>
      </c>
      <c r="E232" s="116">
        <f t="shared" si="44"/>
        <v>200726.11144313589</v>
      </c>
      <c r="F232" s="117">
        <v>1527440095</v>
      </c>
      <c r="G232" s="117">
        <f t="shared" si="45"/>
        <v>134245.04262612059</v>
      </c>
      <c r="H232" s="9"/>
      <c r="I232" s="102">
        <v>4.9526000000000003</v>
      </c>
      <c r="J232" s="117">
        <v>7564800</v>
      </c>
      <c r="K232" s="120">
        <f t="shared" si="43"/>
        <v>664.86201441378103</v>
      </c>
      <c r="L232" s="122">
        <f t="shared" si="37"/>
        <v>15274400.950000001</v>
      </c>
      <c r="M232" s="116">
        <f t="shared" si="38"/>
        <v>7709600.9500000011</v>
      </c>
      <c r="N232" s="123">
        <f t="shared" si="39"/>
        <v>677.58841184742494</v>
      </c>
      <c r="O232" s="5"/>
      <c r="P232" s="5">
        <f t="shared" si="40"/>
        <v>1</v>
      </c>
      <c r="Q232" s="7">
        <f t="shared" si="41"/>
        <v>11378</v>
      </c>
    </row>
    <row r="233" spans="1:17">
      <c r="A233" s="23" t="s">
        <v>258</v>
      </c>
      <c r="B233" s="37" t="s">
        <v>233</v>
      </c>
      <c r="C233" s="36">
        <v>19540</v>
      </c>
      <c r="D233" s="113">
        <v>6721817066</v>
      </c>
      <c r="E233" s="116">
        <f t="shared" si="44"/>
        <v>344002.92047082906</v>
      </c>
      <c r="F233" s="117">
        <v>6122078789</v>
      </c>
      <c r="G233" s="117">
        <f t="shared" si="45"/>
        <v>313310.07108495396</v>
      </c>
      <c r="H233" s="9"/>
      <c r="I233" s="101">
        <v>2.65</v>
      </c>
      <c r="J233" s="117">
        <v>16223509</v>
      </c>
      <c r="K233" s="120">
        <f t="shared" si="43"/>
        <v>830.27169907881273</v>
      </c>
      <c r="L233" s="122">
        <f t="shared" si="37"/>
        <v>61220787.890000001</v>
      </c>
      <c r="M233" s="116">
        <f t="shared" si="38"/>
        <v>44997278.890000001</v>
      </c>
      <c r="N233" s="123">
        <f t="shared" si="39"/>
        <v>2302.8290117707265</v>
      </c>
      <c r="O233" s="5"/>
      <c r="P233" s="5">
        <f t="shared" si="40"/>
        <v>1</v>
      </c>
      <c r="Q233" s="7">
        <f t="shared" si="41"/>
        <v>19540</v>
      </c>
    </row>
    <row r="234" spans="1:17">
      <c r="A234" s="23" t="s">
        <v>259</v>
      </c>
      <c r="B234" s="37" t="s">
        <v>233</v>
      </c>
      <c r="C234" s="36">
        <v>5745</v>
      </c>
      <c r="D234" s="113">
        <v>1483093224</v>
      </c>
      <c r="E234" s="116">
        <f t="shared" si="44"/>
        <v>258153.73785900784</v>
      </c>
      <c r="F234" s="117">
        <v>1169149919</v>
      </c>
      <c r="G234" s="117">
        <f t="shared" si="45"/>
        <v>203507.38363794604</v>
      </c>
      <c r="H234" s="9"/>
      <c r="I234" s="101">
        <v>4.7332000000000001</v>
      </c>
      <c r="J234" s="117">
        <v>5533820</v>
      </c>
      <c r="K234" s="120">
        <f t="shared" si="43"/>
        <v>963.24107919930373</v>
      </c>
      <c r="L234" s="122">
        <f t="shared" si="37"/>
        <v>11691499.189999999</v>
      </c>
      <c r="M234" s="116">
        <f t="shared" si="38"/>
        <v>6157679.1899999995</v>
      </c>
      <c r="N234" s="123">
        <f t="shared" si="39"/>
        <v>1071.8327571801565</v>
      </c>
      <c r="O234" s="5"/>
      <c r="P234" s="5">
        <f t="shared" si="40"/>
        <v>1</v>
      </c>
      <c r="Q234" s="7">
        <f t="shared" si="41"/>
        <v>5745</v>
      </c>
    </row>
    <row r="235" spans="1:17">
      <c r="A235" s="23" t="s">
        <v>260</v>
      </c>
      <c r="B235" s="37" t="s">
        <v>233</v>
      </c>
      <c r="C235" s="36">
        <v>14247</v>
      </c>
      <c r="D235" s="113">
        <v>622835029</v>
      </c>
      <c r="E235" s="116">
        <f t="shared" si="44"/>
        <v>43716.924896469434</v>
      </c>
      <c r="F235" s="117">
        <v>401083933</v>
      </c>
      <c r="G235" s="117">
        <f t="shared" si="45"/>
        <v>28152.167684424792</v>
      </c>
      <c r="H235" s="9"/>
      <c r="I235" s="101">
        <v>3.9251999999999998</v>
      </c>
      <c r="J235" s="117">
        <v>1574335</v>
      </c>
      <c r="K235" s="120">
        <f t="shared" si="43"/>
        <v>110.50291289394258</v>
      </c>
      <c r="L235" s="122">
        <f t="shared" si="37"/>
        <v>4010839.33</v>
      </c>
      <c r="M235" s="116">
        <f t="shared" si="38"/>
        <v>2436504.33</v>
      </c>
      <c r="N235" s="123">
        <f t="shared" si="39"/>
        <v>171.01876395030533</v>
      </c>
      <c r="O235" s="5"/>
      <c r="P235" s="5">
        <f t="shared" si="40"/>
        <v>1</v>
      </c>
      <c r="Q235" s="7">
        <f t="shared" si="41"/>
        <v>14247</v>
      </c>
    </row>
    <row r="236" spans="1:17">
      <c r="A236" s="23" t="s">
        <v>261</v>
      </c>
      <c r="B236" s="35" t="s">
        <v>233</v>
      </c>
      <c r="C236" s="36">
        <v>2265</v>
      </c>
      <c r="D236" s="113">
        <v>285975463</v>
      </c>
      <c r="E236" s="116">
        <f t="shared" si="44"/>
        <v>126258.4825607064</v>
      </c>
      <c r="F236" s="117">
        <v>214592439</v>
      </c>
      <c r="G236" s="117">
        <f t="shared" si="45"/>
        <v>94742.798675496684</v>
      </c>
      <c r="H236" s="9"/>
      <c r="I236" s="102">
        <v>4.4233000000000002</v>
      </c>
      <c r="J236" s="117">
        <v>949207</v>
      </c>
      <c r="K236" s="120">
        <f t="shared" si="43"/>
        <v>419.07593818984549</v>
      </c>
      <c r="L236" s="122">
        <f t="shared" si="37"/>
        <v>2145924.39</v>
      </c>
      <c r="M236" s="116">
        <f t="shared" si="38"/>
        <v>1196717.3900000001</v>
      </c>
      <c r="N236" s="123">
        <f t="shared" si="39"/>
        <v>528.35204856512144</v>
      </c>
      <c r="O236" s="5"/>
      <c r="P236" s="5">
        <f t="shared" si="40"/>
        <v>1</v>
      </c>
      <c r="Q236" s="7">
        <f t="shared" si="41"/>
        <v>2265</v>
      </c>
    </row>
    <row r="237" spans="1:17">
      <c r="A237" s="23" t="s">
        <v>262</v>
      </c>
      <c r="B237" s="35" t="s">
        <v>233</v>
      </c>
      <c r="C237" s="36">
        <v>5733</v>
      </c>
      <c r="D237" s="113">
        <v>543439918</v>
      </c>
      <c r="E237" s="116">
        <f t="shared" si="44"/>
        <v>94791.543345543352</v>
      </c>
      <c r="F237" s="117">
        <v>354914708</v>
      </c>
      <c r="G237" s="117">
        <f t="shared" si="45"/>
        <v>61907.327402755975</v>
      </c>
      <c r="H237" s="9"/>
      <c r="I237" s="101">
        <v>6.7375999999999996</v>
      </c>
      <c r="J237" s="117">
        <v>2391273</v>
      </c>
      <c r="K237" s="120">
        <f t="shared" si="43"/>
        <v>417.10675039246468</v>
      </c>
      <c r="L237" s="122">
        <f t="shared" si="37"/>
        <v>3549147.08</v>
      </c>
      <c r="M237" s="116">
        <f t="shared" si="38"/>
        <v>1157874.08</v>
      </c>
      <c r="N237" s="123">
        <f t="shared" si="39"/>
        <v>201.96652363509509</v>
      </c>
      <c r="O237" s="5"/>
      <c r="P237" s="5">
        <f t="shared" si="40"/>
        <v>1</v>
      </c>
      <c r="Q237" s="7">
        <f t="shared" si="41"/>
        <v>5733</v>
      </c>
    </row>
    <row r="238" spans="1:17">
      <c r="A238" s="23" t="s">
        <v>263</v>
      </c>
      <c r="B238" s="35" t="s">
        <v>264</v>
      </c>
      <c r="C238" s="36">
        <v>7120</v>
      </c>
      <c r="D238" s="113">
        <v>3714728807</v>
      </c>
      <c r="E238" s="116">
        <f t="shared" si="44"/>
        <v>521731.57401685393</v>
      </c>
      <c r="F238" s="117">
        <v>3020404490</v>
      </c>
      <c r="G238" s="117">
        <f t="shared" si="45"/>
        <v>424214.11376404495</v>
      </c>
      <c r="H238" s="7"/>
      <c r="I238" s="101">
        <v>2.0358000000000001</v>
      </c>
      <c r="J238" s="117">
        <v>6148939</v>
      </c>
      <c r="K238" s="120">
        <f t="shared" si="43"/>
        <v>863.61502808988769</v>
      </c>
      <c r="L238" s="122">
        <f t="shared" si="37"/>
        <v>30204044.900000002</v>
      </c>
      <c r="M238" s="116">
        <f t="shared" si="38"/>
        <v>24055105.900000002</v>
      </c>
      <c r="N238" s="123">
        <f t="shared" si="39"/>
        <v>3378.5261095505621</v>
      </c>
      <c r="O238" s="5"/>
      <c r="P238" s="5">
        <f t="shared" si="40"/>
        <v>1</v>
      </c>
      <c r="Q238" s="7">
        <f t="shared" si="41"/>
        <v>7120</v>
      </c>
    </row>
    <row r="239" spans="1:17">
      <c r="A239" s="23" t="s">
        <v>265</v>
      </c>
      <c r="B239" s="35" t="s">
        <v>264</v>
      </c>
      <c r="C239" s="36">
        <v>859</v>
      </c>
      <c r="D239" s="113">
        <v>691764579</v>
      </c>
      <c r="E239" s="116">
        <f t="shared" si="44"/>
        <v>805313.82887077995</v>
      </c>
      <c r="F239" s="117">
        <v>633204232</v>
      </c>
      <c r="G239" s="117">
        <f t="shared" si="45"/>
        <v>737141.13154831203</v>
      </c>
      <c r="H239" s="7"/>
      <c r="I239" s="101">
        <v>1.8320000000000001</v>
      </c>
      <c r="J239" s="117">
        <v>1160030</v>
      </c>
      <c r="K239" s="120">
        <f t="shared" si="43"/>
        <v>1350.4423748544821</v>
      </c>
      <c r="L239" s="122">
        <f t="shared" si="37"/>
        <v>6332042.3200000003</v>
      </c>
      <c r="M239" s="116">
        <f t="shared" si="38"/>
        <v>5172012.32</v>
      </c>
      <c r="N239" s="123">
        <f t="shared" si="39"/>
        <v>6020.9689406286379</v>
      </c>
      <c r="O239" s="5"/>
      <c r="P239" s="5">
        <f t="shared" si="40"/>
        <v>1</v>
      </c>
      <c r="Q239" s="7">
        <f t="shared" si="41"/>
        <v>859</v>
      </c>
    </row>
    <row r="240" spans="1:17">
      <c r="A240" s="23" t="s">
        <v>266</v>
      </c>
      <c r="B240" s="35" t="s">
        <v>264</v>
      </c>
      <c r="C240" s="36">
        <v>23178</v>
      </c>
      <c r="D240" s="113">
        <v>10634448862</v>
      </c>
      <c r="E240" s="116">
        <f t="shared" si="44"/>
        <v>458816.50107860903</v>
      </c>
      <c r="F240" s="117">
        <v>5763174484</v>
      </c>
      <c r="G240" s="117">
        <f t="shared" si="45"/>
        <v>248648.48062818189</v>
      </c>
      <c r="H240" s="7"/>
      <c r="I240" s="101">
        <v>2.6414</v>
      </c>
      <c r="J240" s="117">
        <v>15222849</v>
      </c>
      <c r="K240" s="120">
        <f t="shared" si="43"/>
        <v>656.78009319181979</v>
      </c>
      <c r="L240" s="122">
        <f t="shared" si="37"/>
        <v>57631744.840000004</v>
      </c>
      <c r="M240" s="116">
        <f t="shared" si="38"/>
        <v>42408895.840000004</v>
      </c>
      <c r="N240" s="123">
        <f t="shared" si="39"/>
        <v>1829.7047130899994</v>
      </c>
      <c r="O240" s="5"/>
      <c r="P240" s="5">
        <f t="shared" si="40"/>
        <v>1</v>
      </c>
      <c r="Q240" s="7">
        <f t="shared" si="41"/>
        <v>23178</v>
      </c>
    </row>
    <row r="241" spans="1:17">
      <c r="A241" s="23" t="s">
        <v>267</v>
      </c>
      <c r="B241" s="35" t="s">
        <v>264</v>
      </c>
      <c r="C241" s="36">
        <v>205</v>
      </c>
      <c r="D241" s="113">
        <v>74324825</v>
      </c>
      <c r="E241" s="116">
        <f t="shared" si="44"/>
        <v>362560.12195121951</v>
      </c>
      <c r="F241" s="117">
        <v>58312991</v>
      </c>
      <c r="G241" s="117">
        <f t="shared" si="45"/>
        <v>284453.61463414633</v>
      </c>
      <c r="H241" s="7"/>
      <c r="I241" s="101">
        <v>1.6</v>
      </c>
      <c r="J241" s="117">
        <v>93301</v>
      </c>
      <c r="K241" s="120">
        <f t="shared" si="43"/>
        <v>455.12682926829268</v>
      </c>
      <c r="L241" s="122">
        <f t="shared" si="37"/>
        <v>583129.91</v>
      </c>
      <c r="M241" s="116">
        <f t="shared" si="38"/>
        <v>489828.91000000003</v>
      </c>
      <c r="N241" s="123">
        <f t="shared" si="39"/>
        <v>2389.4093170731708</v>
      </c>
      <c r="O241" s="5"/>
      <c r="P241" s="5">
        <f t="shared" si="40"/>
        <v>1</v>
      </c>
      <c r="Q241" s="7">
        <f t="shared" si="41"/>
        <v>205</v>
      </c>
    </row>
    <row r="242" spans="1:17">
      <c r="A242" s="23" t="s">
        <v>449</v>
      </c>
      <c r="B242" s="35" t="s">
        <v>264</v>
      </c>
      <c r="C242" s="36">
        <v>10295</v>
      </c>
      <c r="D242" s="113">
        <v>2811837196</v>
      </c>
      <c r="E242" s="116">
        <f t="shared" si="44"/>
        <v>273126.48819815443</v>
      </c>
      <c r="F242" s="117">
        <v>2242411107</v>
      </c>
      <c r="G242" s="117">
        <f t="shared" si="45"/>
        <v>217815.551918407</v>
      </c>
      <c r="H242" s="7"/>
      <c r="I242" s="101">
        <v>1.6850000000000001</v>
      </c>
      <c r="J242" s="117">
        <v>3778463</v>
      </c>
      <c r="K242" s="120">
        <f t="shared" si="43"/>
        <v>367.01923263720255</v>
      </c>
      <c r="L242" s="122">
        <f t="shared" si="37"/>
        <v>22424111.07</v>
      </c>
      <c r="M242" s="116">
        <f t="shared" si="38"/>
        <v>18645648.07</v>
      </c>
      <c r="N242" s="123">
        <f t="shared" si="39"/>
        <v>1811.1362865468675</v>
      </c>
      <c r="O242" s="5"/>
      <c r="P242" s="5">
        <f t="shared" si="40"/>
        <v>1</v>
      </c>
      <c r="Q242" s="7">
        <f t="shared" si="41"/>
        <v>10295</v>
      </c>
    </row>
    <row r="243" spans="1:17">
      <c r="A243" s="23" t="s">
        <v>268</v>
      </c>
      <c r="B243" s="35" t="s">
        <v>269</v>
      </c>
      <c r="C243" s="36">
        <v>1184</v>
      </c>
      <c r="D243" s="113">
        <v>120204820</v>
      </c>
      <c r="E243" s="116">
        <f t="shared" si="44"/>
        <v>101524.34121621621</v>
      </c>
      <c r="F243" s="117">
        <v>75850629</v>
      </c>
      <c r="G243" s="117">
        <f t="shared" si="45"/>
        <v>64063.03125</v>
      </c>
      <c r="H243" s="7"/>
      <c r="I243" s="101">
        <v>3.0589</v>
      </c>
      <c r="J243" s="117">
        <v>232019</v>
      </c>
      <c r="K243" s="120">
        <f t="shared" si="43"/>
        <v>195.96199324324326</v>
      </c>
      <c r="L243" s="122">
        <f t="shared" si="37"/>
        <v>758506.29</v>
      </c>
      <c r="M243" s="116">
        <f t="shared" si="38"/>
        <v>526487.29</v>
      </c>
      <c r="N243" s="123">
        <f t="shared" si="39"/>
        <v>444.66831925675677</v>
      </c>
      <c r="O243" s="5"/>
      <c r="P243" s="5">
        <f t="shared" si="40"/>
        <v>1</v>
      </c>
      <c r="Q243" s="7">
        <f t="shared" si="41"/>
        <v>1184</v>
      </c>
    </row>
    <row r="244" spans="1:17">
      <c r="A244" s="23" t="s">
        <v>270</v>
      </c>
      <c r="B244" s="35" t="s">
        <v>269</v>
      </c>
      <c r="C244" s="36">
        <v>12055</v>
      </c>
      <c r="D244" s="113">
        <v>2602330098</v>
      </c>
      <c r="E244" s="116">
        <f t="shared" si="44"/>
        <v>215871.43077561178</v>
      </c>
      <c r="F244" s="117">
        <v>1885786093</v>
      </c>
      <c r="G244" s="117">
        <f t="shared" si="45"/>
        <v>156431.86171712982</v>
      </c>
      <c r="H244" s="7"/>
      <c r="I244" s="101">
        <v>4.242</v>
      </c>
      <c r="J244" s="117">
        <v>7999505</v>
      </c>
      <c r="K244" s="120">
        <f t="shared" si="43"/>
        <v>663.5839900456242</v>
      </c>
      <c r="L244" s="122">
        <f t="shared" si="37"/>
        <v>18857860.93</v>
      </c>
      <c r="M244" s="116">
        <f t="shared" si="38"/>
        <v>10858355.93</v>
      </c>
      <c r="N244" s="123">
        <f t="shared" si="39"/>
        <v>900.73462712567402</v>
      </c>
      <c r="O244" s="5"/>
      <c r="P244" s="5">
        <f t="shared" si="40"/>
        <v>1</v>
      </c>
      <c r="Q244" s="7">
        <f t="shared" si="41"/>
        <v>12055</v>
      </c>
    </row>
    <row r="245" spans="1:17">
      <c r="A245" s="23" t="s">
        <v>271</v>
      </c>
      <c r="B245" s="35" t="s">
        <v>269</v>
      </c>
      <c r="C245" s="36">
        <v>2949</v>
      </c>
      <c r="D245" s="113">
        <v>269446548</v>
      </c>
      <c r="E245" s="116">
        <f t="shared" si="44"/>
        <v>91368.785350966427</v>
      </c>
      <c r="F245" s="117">
        <v>82964927</v>
      </c>
      <c r="G245" s="117">
        <f t="shared" si="45"/>
        <v>28133.240759579519</v>
      </c>
      <c r="H245" s="7"/>
      <c r="I245" s="101">
        <v>0.51959999999999995</v>
      </c>
      <c r="J245" s="117">
        <v>42070</v>
      </c>
      <c r="K245" s="120">
        <f t="shared" si="43"/>
        <v>14.265852831468294</v>
      </c>
      <c r="L245" s="122">
        <f t="shared" si="37"/>
        <v>829649.27</v>
      </c>
      <c r="M245" s="116">
        <f t="shared" si="38"/>
        <v>787579.27</v>
      </c>
      <c r="N245" s="123">
        <f t="shared" si="39"/>
        <v>267.0665547643269</v>
      </c>
      <c r="O245" s="5"/>
      <c r="P245" s="5">
        <f t="shared" si="40"/>
        <v>1</v>
      </c>
      <c r="Q245" s="7">
        <f t="shared" si="41"/>
        <v>2949</v>
      </c>
    </row>
    <row r="246" spans="1:17">
      <c r="A246" s="23" t="s">
        <v>272</v>
      </c>
      <c r="B246" s="35" t="s">
        <v>273</v>
      </c>
      <c r="C246" s="36">
        <v>374</v>
      </c>
      <c r="D246" s="113">
        <v>73947114</v>
      </c>
      <c r="E246" s="116">
        <f t="shared" si="44"/>
        <v>197719.55614973261</v>
      </c>
      <c r="F246" s="119">
        <v>62035927</v>
      </c>
      <c r="G246" s="117">
        <f t="shared" si="45"/>
        <v>165871.46256684492</v>
      </c>
      <c r="H246" s="7"/>
      <c r="I246" s="101">
        <v>2.0638999999999998</v>
      </c>
      <c r="J246" s="117">
        <v>128036</v>
      </c>
      <c r="K246" s="120">
        <f t="shared" si="43"/>
        <v>342.34224598930479</v>
      </c>
      <c r="L246" s="122">
        <f t="shared" si="37"/>
        <v>620359.27</v>
      </c>
      <c r="M246" s="116">
        <f t="shared" si="38"/>
        <v>492323.27</v>
      </c>
      <c r="N246" s="123">
        <f t="shared" si="39"/>
        <v>1316.3723796791444</v>
      </c>
      <c r="O246" s="5"/>
      <c r="P246" s="5">
        <f t="shared" si="40"/>
        <v>1</v>
      </c>
      <c r="Q246" s="7">
        <f t="shared" si="41"/>
        <v>374</v>
      </c>
    </row>
    <row r="247" spans="1:17">
      <c r="A247" s="23" t="s">
        <v>274</v>
      </c>
      <c r="B247" s="35" t="s">
        <v>273</v>
      </c>
      <c r="C247" s="36">
        <v>20693</v>
      </c>
      <c r="D247" s="113">
        <v>1458707414</v>
      </c>
      <c r="E247" s="116">
        <f t="shared" si="44"/>
        <v>70492.795341419798</v>
      </c>
      <c r="F247" s="117">
        <v>985838276</v>
      </c>
      <c r="G247" s="117">
        <f t="shared" si="45"/>
        <v>47641.14802106993</v>
      </c>
      <c r="H247" s="7"/>
      <c r="I247" s="101">
        <v>5.8465999999999996</v>
      </c>
      <c r="J247" s="117">
        <v>5763802</v>
      </c>
      <c r="K247" s="120">
        <f t="shared" si="43"/>
        <v>278.53873290484705</v>
      </c>
      <c r="L247" s="122">
        <f t="shared" si="37"/>
        <v>9858382.7599999998</v>
      </c>
      <c r="M247" s="116">
        <f t="shared" si="38"/>
        <v>4094580.76</v>
      </c>
      <c r="N247" s="123">
        <f t="shared" si="39"/>
        <v>197.87274730585222</v>
      </c>
      <c r="O247" s="5"/>
      <c r="P247" s="5">
        <f t="shared" si="40"/>
        <v>1</v>
      </c>
      <c r="Q247" s="7">
        <f t="shared" si="41"/>
        <v>20693</v>
      </c>
    </row>
    <row r="248" spans="1:17">
      <c r="A248" s="23" t="s">
        <v>275</v>
      </c>
      <c r="B248" s="35" t="s">
        <v>273</v>
      </c>
      <c r="C248" s="36">
        <v>12239</v>
      </c>
      <c r="D248" s="113">
        <v>5681521434</v>
      </c>
      <c r="E248" s="116">
        <f t="shared" si="44"/>
        <v>464214.51376746467</v>
      </c>
      <c r="F248" s="117">
        <v>5079294576</v>
      </c>
      <c r="G248" s="117">
        <f t="shared" si="45"/>
        <v>415008.95301903749</v>
      </c>
      <c r="H248" s="9"/>
      <c r="I248" s="101">
        <v>1.4550000000000001</v>
      </c>
      <c r="J248" s="117">
        <v>7390374</v>
      </c>
      <c r="K248" s="120">
        <f t="shared" si="43"/>
        <v>603.83805866492355</v>
      </c>
      <c r="L248" s="122">
        <f t="shared" si="37"/>
        <v>50792945.759999998</v>
      </c>
      <c r="M248" s="116">
        <f t="shared" si="38"/>
        <v>43402571.759999998</v>
      </c>
      <c r="N248" s="123">
        <f t="shared" si="39"/>
        <v>3546.2514715254511</v>
      </c>
      <c r="O248" s="5"/>
      <c r="P248" s="5">
        <f t="shared" si="40"/>
        <v>1</v>
      </c>
      <c r="Q248" s="7">
        <f t="shared" si="41"/>
        <v>12239</v>
      </c>
    </row>
    <row r="249" spans="1:17">
      <c r="A249" s="23" t="s">
        <v>276</v>
      </c>
      <c r="B249" s="35" t="s">
        <v>273</v>
      </c>
      <c r="C249" s="36">
        <v>20675</v>
      </c>
      <c r="D249" s="113">
        <v>2012762387</v>
      </c>
      <c r="E249" s="116">
        <f t="shared" si="44"/>
        <v>97352.473373639659</v>
      </c>
      <c r="F249" s="117">
        <v>1309056015</v>
      </c>
      <c r="G249" s="117">
        <f t="shared" si="45"/>
        <v>63315.889480048369</v>
      </c>
      <c r="H249" s="9"/>
      <c r="I249" s="101">
        <v>4.1985999999999999</v>
      </c>
      <c r="J249" s="117">
        <v>5496203</v>
      </c>
      <c r="K249" s="120">
        <f t="shared" si="43"/>
        <v>265.83811366384521</v>
      </c>
      <c r="L249" s="122">
        <f t="shared" si="37"/>
        <v>13090560.15</v>
      </c>
      <c r="M249" s="116">
        <f t="shared" si="38"/>
        <v>7594357.1500000004</v>
      </c>
      <c r="N249" s="123">
        <f t="shared" si="39"/>
        <v>367.32078113663846</v>
      </c>
      <c r="O249" s="5"/>
      <c r="P249" s="5">
        <f t="shared" si="40"/>
        <v>1</v>
      </c>
      <c r="Q249" s="7">
        <f t="shared" si="41"/>
        <v>20675</v>
      </c>
    </row>
    <row r="250" spans="1:17">
      <c r="A250" s="23" t="s">
        <v>277</v>
      </c>
      <c r="B250" s="35" t="s">
        <v>273</v>
      </c>
      <c r="C250" s="36">
        <v>616</v>
      </c>
      <c r="D250" s="113">
        <v>33198583</v>
      </c>
      <c r="E250" s="116">
        <f t="shared" si="44"/>
        <v>53893.803571428572</v>
      </c>
      <c r="F250" s="117">
        <v>15353297</v>
      </c>
      <c r="G250" s="117">
        <f t="shared" si="45"/>
        <v>24924.183441558442</v>
      </c>
      <c r="H250" s="7"/>
      <c r="I250" s="102">
        <v>3.5</v>
      </c>
      <c r="J250" s="117">
        <v>53737</v>
      </c>
      <c r="K250" s="120">
        <f t="shared" ref="K250:K275" si="46">(J250/C250)</f>
        <v>87.235389610389603</v>
      </c>
      <c r="L250" s="122">
        <f t="shared" si="37"/>
        <v>153532.97</v>
      </c>
      <c r="M250" s="116">
        <f t="shared" si="38"/>
        <v>99795.97</v>
      </c>
      <c r="N250" s="123">
        <f t="shared" si="39"/>
        <v>162.0064448051948</v>
      </c>
      <c r="O250" s="5"/>
      <c r="P250" s="5">
        <f t="shared" si="40"/>
        <v>1</v>
      </c>
      <c r="Q250" s="7">
        <f t="shared" si="41"/>
        <v>616</v>
      </c>
    </row>
    <row r="251" spans="1:17">
      <c r="A251" s="23" t="s">
        <v>278</v>
      </c>
      <c r="B251" s="35" t="s">
        <v>273</v>
      </c>
      <c r="C251" s="36">
        <v>4080</v>
      </c>
      <c r="D251" s="113">
        <v>446084458</v>
      </c>
      <c r="E251" s="116">
        <f t="shared" si="44"/>
        <v>109334.42598039216</v>
      </c>
      <c r="F251" s="117">
        <v>301253617</v>
      </c>
      <c r="G251" s="117">
        <f t="shared" si="45"/>
        <v>73836.670833333337</v>
      </c>
      <c r="H251" s="7"/>
      <c r="I251" s="101">
        <v>2.6996000000000002</v>
      </c>
      <c r="J251" s="117">
        <v>813264</v>
      </c>
      <c r="K251" s="120">
        <f t="shared" si="46"/>
        <v>199.3294117647059</v>
      </c>
      <c r="L251" s="122">
        <f t="shared" si="37"/>
        <v>3012536.17</v>
      </c>
      <c r="M251" s="116">
        <f t="shared" si="38"/>
        <v>2199272.17</v>
      </c>
      <c r="N251" s="123">
        <f t="shared" si="39"/>
        <v>539.03729656862743</v>
      </c>
      <c r="O251" s="5"/>
      <c r="P251" s="5">
        <f t="shared" si="40"/>
        <v>1</v>
      </c>
      <c r="Q251" s="7">
        <f t="shared" si="41"/>
        <v>4080</v>
      </c>
    </row>
    <row r="252" spans="1:17">
      <c r="A252" s="23" t="s">
        <v>279</v>
      </c>
      <c r="B252" s="35" t="s">
        <v>273</v>
      </c>
      <c r="C252" s="36">
        <v>13294</v>
      </c>
      <c r="D252" s="113">
        <v>1228689739</v>
      </c>
      <c r="E252" s="116">
        <f t="shared" si="44"/>
        <v>92424.382352941175</v>
      </c>
      <c r="F252" s="117">
        <v>785102543</v>
      </c>
      <c r="G252" s="117">
        <f t="shared" si="45"/>
        <v>59056.908605385892</v>
      </c>
      <c r="H252" s="7"/>
      <c r="I252" s="101">
        <v>3.45</v>
      </c>
      <c r="J252" s="117">
        <v>2708604</v>
      </c>
      <c r="K252" s="120">
        <f t="shared" si="46"/>
        <v>203.74635173762599</v>
      </c>
      <c r="L252" s="122">
        <f t="shared" si="37"/>
        <v>7851025.4299999997</v>
      </c>
      <c r="M252" s="116">
        <f t="shared" si="38"/>
        <v>5142421.43</v>
      </c>
      <c r="N252" s="123">
        <f t="shared" si="39"/>
        <v>386.82273431623287</v>
      </c>
      <c r="O252" s="5"/>
      <c r="P252" s="5">
        <f t="shared" si="40"/>
        <v>1</v>
      </c>
      <c r="Q252" s="7">
        <f t="shared" si="41"/>
        <v>13294</v>
      </c>
    </row>
    <row r="253" spans="1:17">
      <c r="A253" s="23" t="s">
        <v>280</v>
      </c>
      <c r="B253" s="35" t="s">
        <v>273</v>
      </c>
      <c r="C253" s="36">
        <v>723</v>
      </c>
      <c r="D253" s="113">
        <v>136446535</v>
      </c>
      <c r="E253" s="116">
        <f t="shared" si="44"/>
        <v>188722.73167358228</v>
      </c>
      <c r="F253" s="117">
        <v>94018208</v>
      </c>
      <c r="G253" s="117">
        <f t="shared" si="45"/>
        <v>130039.0152143845</v>
      </c>
      <c r="H253" s="7"/>
      <c r="I253" s="101">
        <v>2</v>
      </c>
      <c r="J253" s="117">
        <v>188036</v>
      </c>
      <c r="K253" s="120">
        <f t="shared" si="46"/>
        <v>260.07745504840943</v>
      </c>
      <c r="L253" s="122">
        <f t="shared" si="37"/>
        <v>940182.08000000007</v>
      </c>
      <c r="M253" s="116">
        <f t="shared" si="38"/>
        <v>752146.08000000007</v>
      </c>
      <c r="N253" s="123">
        <f t="shared" si="39"/>
        <v>1040.3126970954359</v>
      </c>
      <c r="O253" s="5"/>
      <c r="P253" s="5">
        <f t="shared" si="40"/>
        <v>1</v>
      </c>
      <c r="Q253" s="7">
        <f t="shared" si="41"/>
        <v>723</v>
      </c>
    </row>
    <row r="254" spans="1:17">
      <c r="A254" s="23" t="s">
        <v>281</v>
      </c>
      <c r="B254" s="35" t="s">
        <v>273</v>
      </c>
      <c r="C254" s="36">
        <v>6424</v>
      </c>
      <c r="D254" s="113">
        <v>372965604</v>
      </c>
      <c r="E254" s="116">
        <f t="shared" si="44"/>
        <v>58058.157534246573</v>
      </c>
      <c r="F254" s="117">
        <v>199804777</v>
      </c>
      <c r="G254" s="117">
        <f t="shared" si="45"/>
        <v>31102.860678704856</v>
      </c>
      <c r="H254" s="7"/>
      <c r="I254" s="101">
        <v>4.1590999999999996</v>
      </c>
      <c r="J254" s="117">
        <v>831008</v>
      </c>
      <c r="K254" s="120">
        <f t="shared" si="46"/>
        <v>129.359900373599</v>
      </c>
      <c r="L254" s="122">
        <f t="shared" si="37"/>
        <v>1998047.77</v>
      </c>
      <c r="M254" s="116">
        <f t="shared" si="38"/>
        <v>1167039.77</v>
      </c>
      <c r="N254" s="123">
        <f t="shared" si="39"/>
        <v>181.66870641344957</v>
      </c>
      <c r="O254" s="5"/>
      <c r="P254" s="5">
        <f t="shared" si="40"/>
        <v>1</v>
      </c>
      <c r="Q254" s="7">
        <f t="shared" si="41"/>
        <v>6424</v>
      </c>
    </row>
    <row r="255" spans="1:17">
      <c r="A255" s="23" t="s">
        <v>282</v>
      </c>
      <c r="B255" s="35" t="s">
        <v>282</v>
      </c>
      <c r="C255" s="36">
        <v>5377</v>
      </c>
      <c r="D255" s="113">
        <v>420339574</v>
      </c>
      <c r="E255" s="116">
        <f t="shared" si="44"/>
        <v>78173.623581923006</v>
      </c>
      <c r="F255" s="117">
        <v>293165526</v>
      </c>
      <c r="G255" s="117">
        <f t="shared" si="45"/>
        <v>54522.136135391484</v>
      </c>
      <c r="H255" s="7"/>
      <c r="I255" s="101">
        <v>6.7431999999999999</v>
      </c>
      <c r="J255" s="117">
        <v>1976874</v>
      </c>
      <c r="K255" s="120">
        <f t="shared" si="46"/>
        <v>367.65371024734981</v>
      </c>
      <c r="L255" s="122">
        <f t="shared" si="37"/>
        <v>2931655.2600000002</v>
      </c>
      <c r="M255" s="116">
        <f t="shared" si="38"/>
        <v>954781.26000000024</v>
      </c>
      <c r="N255" s="123">
        <f t="shared" si="39"/>
        <v>177.56765110656505</v>
      </c>
      <c r="O255" s="5"/>
      <c r="P255" s="5">
        <f t="shared" si="40"/>
        <v>1</v>
      </c>
      <c r="Q255" s="7">
        <f t="shared" si="41"/>
        <v>5377</v>
      </c>
    </row>
    <row r="256" spans="1:17">
      <c r="A256" s="23" t="s">
        <v>283</v>
      </c>
      <c r="B256" s="35" t="s">
        <v>284</v>
      </c>
      <c r="C256" s="36">
        <v>40406</v>
      </c>
      <c r="D256" s="113">
        <v>3450642914</v>
      </c>
      <c r="E256" s="116">
        <f t="shared" si="44"/>
        <v>85399.270256892545</v>
      </c>
      <c r="F256" s="117">
        <v>2420946240</v>
      </c>
      <c r="G256" s="117">
        <f t="shared" si="45"/>
        <v>59915.513537593426</v>
      </c>
      <c r="H256" s="7"/>
      <c r="I256" s="101">
        <v>3.5167999999999999</v>
      </c>
      <c r="J256" s="117">
        <v>8513984</v>
      </c>
      <c r="K256" s="120">
        <f t="shared" si="46"/>
        <v>210.71088452210068</v>
      </c>
      <c r="L256" s="122">
        <f t="shared" si="37"/>
        <v>24209462.400000002</v>
      </c>
      <c r="M256" s="116">
        <f t="shared" si="38"/>
        <v>15695478.400000002</v>
      </c>
      <c r="N256" s="123">
        <f t="shared" si="39"/>
        <v>388.44425085383364</v>
      </c>
      <c r="O256" s="5"/>
      <c r="P256" s="5">
        <f t="shared" si="40"/>
        <v>1</v>
      </c>
      <c r="Q256" s="7">
        <f t="shared" si="41"/>
        <v>40406</v>
      </c>
    </row>
    <row r="257" spans="1:17">
      <c r="A257" s="23" t="s">
        <v>285</v>
      </c>
      <c r="B257" s="35" t="s">
        <v>284</v>
      </c>
      <c r="C257" s="36">
        <v>20</v>
      </c>
      <c r="D257" s="113">
        <v>4902563197</v>
      </c>
      <c r="E257" s="116">
        <f t="shared" si="44"/>
        <v>245128159.84999999</v>
      </c>
      <c r="F257" s="117">
        <v>4664558328</v>
      </c>
      <c r="G257" s="117">
        <f t="shared" si="45"/>
        <v>233227916.40000001</v>
      </c>
      <c r="H257" s="7"/>
      <c r="I257" s="101">
        <v>1.1467000000000001</v>
      </c>
      <c r="J257" s="117">
        <v>5348849</v>
      </c>
      <c r="K257" s="120">
        <f t="shared" si="46"/>
        <v>267442.45</v>
      </c>
      <c r="L257" s="122">
        <f t="shared" si="37"/>
        <v>46645583.280000001</v>
      </c>
      <c r="M257" s="116">
        <f t="shared" si="38"/>
        <v>41296734.280000001</v>
      </c>
      <c r="N257" s="123">
        <f t="shared" si="39"/>
        <v>2064836.7140000002</v>
      </c>
      <c r="O257" s="5"/>
      <c r="P257" s="5">
        <f t="shared" si="40"/>
        <v>1</v>
      </c>
      <c r="Q257" s="7">
        <f t="shared" si="41"/>
        <v>20</v>
      </c>
    </row>
    <row r="258" spans="1:17">
      <c r="A258" s="23" t="s">
        <v>286</v>
      </c>
      <c r="B258" s="35" t="s">
        <v>284</v>
      </c>
      <c r="C258" s="36">
        <v>5899</v>
      </c>
      <c r="D258" s="113">
        <v>853715997</v>
      </c>
      <c r="E258" s="116">
        <f t="shared" si="44"/>
        <v>144722.1557891168</v>
      </c>
      <c r="F258" s="117">
        <v>591737558</v>
      </c>
      <c r="G258" s="117">
        <f t="shared" si="45"/>
        <v>100311.50330564502</v>
      </c>
      <c r="H258" s="7"/>
      <c r="I258" s="101">
        <v>3.7431999999999999</v>
      </c>
      <c r="J258" s="117">
        <v>2214992</v>
      </c>
      <c r="K258" s="120">
        <f t="shared" si="46"/>
        <v>375.48601457874219</v>
      </c>
      <c r="L258" s="122">
        <f t="shared" si="37"/>
        <v>5917375.5800000001</v>
      </c>
      <c r="M258" s="116">
        <f t="shared" si="38"/>
        <v>3702383.58</v>
      </c>
      <c r="N258" s="123">
        <f t="shared" si="39"/>
        <v>627.62901847770809</v>
      </c>
      <c r="O258" s="5"/>
      <c r="P258" s="5">
        <f t="shared" si="40"/>
        <v>1</v>
      </c>
      <c r="Q258" s="7">
        <f t="shared" si="41"/>
        <v>5899</v>
      </c>
    </row>
    <row r="259" spans="1:17">
      <c r="A259" s="23" t="s">
        <v>287</v>
      </c>
      <c r="B259" s="35" t="s">
        <v>284</v>
      </c>
      <c r="C259" s="36">
        <v>2400</v>
      </c>
      <c r="D259" s="113">
        <v>302019838</v>
      </c>
      <c r="E259" s="116">
        <f t="shared" si="44"/>
        <v>125841.59916666667</v>
      </c>
      <c r="F259" s="117">
        <v>245017939</v>
      </c>
      <c r="G259" s="117">
        <f t="shared" si="45"/>
        <v>102090.80791666667</v>
      </c>
      <c r="H259" s="7"/>
      <c r="I259" s="101">
        <v>6.9039999999999999</v>
      </c>
      <c r="J259" s="117">
        <v>1691604</v>
      </c>
      <c r="K259" s="120">
        <f t="shared" si="46"/>
        <v>704.83500000000004</v>
      </c>
      <c r="L259" s="122">
        <f t="shared" si="37"/>
        <v>2450179.39</v>
      </c>
      <c r="M259" s="116">
        <f t="shared" si="38"/>
        <v>758575.39000000013</v>
      </c>
      <c r="N259" s="123">
        <f t="shared" si="39"/>
        <v>316.07307916666673</v>
      </c>
      <c r="O259" s="5"/>
      <c r="P259" s="5">
        <f t="shared" si="40"/>
        <v>1</v>
      </c>
      <c r="Q259" s="7">
        <f t="shared" si="41"/>
        <v>2400</v>
      </c>
    </row>
    <row r="260" spans="1:17">
      <c r="A260" s="23" t="s">
        <v>288</v>
      </c>
      <c r="B260" s="35" t="s">
        <v>284</v>
      </c>
      <c r="C260" s="36">
        <v>2333</v>
      </c>
      <c r="D260" s="113">
        <v>401780777</v>
      </c>
      <c r="E260" s="116">
        <f t="shared" si="44"/>
        <v>172216.36390912987</v>
      </c>
      <c r="F260" s="117">
        <v>308632109</v>
      </c>
      <c r="G260" s="117">
        <f t="shared" si="45"/>
        <v>132289.80240034292</v>
      </c>
      <c r="H260" s="7"/>
      <c r="I260" s="101">
        <v>3.95</v>
      </c>
      <c r="J260" s="117">
        <v>1219097</v>
      </c>
      <c r="K260" s="120">
        <f t="shared" si="46"/>
        <v>522.54479211315902</v>
      </c>
      <c r="L260" s="122">
        <f t="shared" si="37"/>
        <v>3086321.09</v>
      </c>
      <c r="M260" s="116">
        <f t="shared" si="38"/>
        <v>1867224.0899999999</v>
      </c>
      <c r="N260" s="123">
        <f t="shared" si="39"/>
        <v>800.35323189026997</v>
      </c>
      <c r="O260" s="5"/>
      <c r="P260" s="5">
        <f t="shared" si="40"/>
        <v>1</v>
      </c>
      <c r="Q260" s="7">
        <f t="shared" si="41"/>
        <v>2333</v>
      </c>
    </row>
    <row r="261" spans="1:17">
      <c r="A261" s="23" t="s">
        <v>289</v>
      </c>
      <c r="B261" s="35" t="s">
        <v>284</v>
      </c>
      <c r="C261" s="36">
        <v>23</v>
      </c>
      <c r="D261" s="113">
        <v>2011625205</v>
      </c>
      <c r="E261" s="116">
        <f t="shared" si="44"/>
        <v>87461965.434782609</v>
      </c>
      <c r="F261" s="117">
        <v>1933161378</v>
      </c>
      <c r="G261" s="117">
        <f t="shared" si="45"/>
        <v>84050494.695652172</v>
      </c>
      <c r="H261" s="7"/>
      <c r="I261" s="101">
        <v>1.0545</v>
      </c>
      <c r="J261" s="117">
        <v>2038519</v>
      </c>
      <c r="K261" s="120">
        <f t="shared" si="46"/>
        <v>88631.260869565216</v>
      </c>
      <c r="L261" s="122">
        <f t="shared" si="37"/>
        <v>19331613.780000001</v>
      </c>
      <c r="M261" s="116">
        <f t="shared" si="38"/>
        <v>17293094.780000001</v>
      </c>
      <c r="N261" s="123">
        <f t="shared" si="39"/>
        <v>751873.68608695653</v>
      </c>
      <c r="O261" s="5"/>
      <c r="P261" s="5">
        <f t="shared" si="40"/>
        <v>1</v>
      </c>
      <c r="Q261" s="7">
        <f t="shared" si="41"/>
        <v>23</v>
      </c>
    </row>
    <row r="262" spans="1:17">
      <c r="A262" s="23" t="s">
        <v>290</v>
      </c>
      <c r="B262" s="35" t="s">
        <v>284</v>
      </c>
      <c r="C262" s="36">
        <v>16150</v>
      </c>
      <c r="D262" s="113">
        <v>2930225450</v>
      </c>
      <c r="E262" s="116">
        <f t="shared" si="44"/>
        <v>181438.10835913313</v>
      </c>
      <c r="F262" s="117">
        <v>2303122447</v>
      </c>
      <c r="G262" s="117">
        <f t="shared" si="45"/>
        <v>142608.20105263157</v>
      </c>
      <c r="H262" s="7"/>
      <c r="I262" s="101">
        <v>3.88</v>
      </c>
      <c r="J262" s="117">
        <v>8936115</v>
      </c>
      <c r="K262" s="120">
        <f t="shared" si="46"/>
        <v>553.31981424148603</v>
      </c>
      <c r="L262" s="122">
        <f t="shared" ref="L262:L325" si="47">(F262*0.01)</f>
        <v>23031224.469999999</v>
      </c>
      <c r="M262" s="116">
        <f t="shared" ref="M262:M325" si="48">(L262-J262)</f>
        <v>14095109.469999999</v>
      </c>
      <c r="N262" s="123">
        <f t="shared" ref="N262:N325" si="49">(M262/C262)</f>
        <v>872.76219628482966</v>
      </c>
      <c r="O262" s="5"/>
      <c r="P262" s="5">
        <f t="shared" ref="P262:P325" si="50">IF(I262&gt;0,1,0)</f>
        <v>1</v>
      </c>
      <c r="Q262" s="7">
        <f t="shared" ref="Q262:Q325" si="51">IF(I262&gt;0,C262,0)</f>
        <v>16150</v>
      </c>
    </row>
    <row r="263" spans="1:17">
      <c r="A263" s="23" t="s">
        <v>291</v>
      </c>
      <c r="B263" s="35" t="s">
        <v>284</v>
      </c>
      <c r="C263" s="36">
        <v>1931</v>
      </c>
      <c r="D263" s="113">
        <v>322666288</v>
      </c>
      <c r="E263" s="116">
        <f t="shared" si="44"/>
        <v>167098.02589331951</v>
      </c>
      <c r="F263" s="117">
        <v>241908356</v>
      </c>
      <c r="G263" s="117">
        <f t="shared" si="45"/>
        <v>125276.20714655619</v>
      </c>
      <c r="H263" s="7"/>
      <c r="I263" s="101">
        <v>6.8883000000000001</v>
      </c>
      <c r="J263" s="117">
        <v>1666337</v>
      </c>
      <c r="K263" s="120">
        <f t="shared" si="46"/>
        <v>862.93992749870529</v>
      </c>
      <c r="L263" s="122">
        <f t="shared" si="47"/>
        <v>2419083.56</v>
      </c>
      <c r="M263" s="116">
        <f t="shared" si="48"/>
        <v>752746.56</v>
      </c>
      <c r="N263" s="123">
        <f t="shared" si="49"/>
        <v>389.82214396685657</v>
      </c>
      <c r="O263" s="5"/>
      <c r="P263" s="5">
        <f t="shared" si="50"/>
        <v>1</v>
      </c>
      <c r="Q263" s="7">
        <f t="shared" si="51"/>
        <v>1931</v>
      </c>
    </row>
    <row r="264" spans="1:17">
      <c r="A264" s="23" t="s">
        <v>292</v>
      </c>
      <c r="B264" s="35" t="s">
        <v>284</v>
      </c>
      <c r="C264" s="36">
        <v>33871</v>
      </c>
      <c r="D264" s="113">
        <v>3017260706</v>
      </c>
      <c r="E264" s="116">
        <f t="shared" si="44"/>
        <v>89080.945528623313</v>
      </c>
      <c r="F264" s="117">
        <v>2107746117</v>
      </c>
      <c r="G264" s="117">
        <f t="shared" si="45"/>
        <v>62228.63561748989</v>
      </c>
      <c r="H264" s="7"/>
      <c r="I264" s="101">
        <v>5.4973999999999998</v>
      </c>
      <c r="J264" s="117">
        <v>11587124</v>
      </c>
      <c r="K264" s="120">
        <f t="shared" si="46"/>
        <v>342.095716099318</v>
      </c>
      <c r="L264" s="122">
        <f t="shared" si="47"/>
        <v>21077461.170000002</v>
      </c>
      <c r="M264" s="116">
        <f t="shared" si="48"/>
        <v>9490337.1700000018</v>
      </c>
      <c r="N264" s="123">
        <f t="shared" si="49"/>
        <v>280.19064007558092</v>
      </c>
      <c r="O264" s="5"/>
      <c r="P264" s="5">
        <f t="shared" si="50"/>
        <v>1</v>
      </c>
      <c r="Q264" s="7">
        <f t="shared" si="51"/>
        <v>33871</v>
      </c>
    </row>
    <row r="265" spans="1:17">
      <c r="A265" s="23" t="s">
        <v>293</v>
      </c>
      <c r="B265" s="35" t="s">
        <v>284</v>
      </c>
      <c r="C265" s="36">
        <v>233115</v>
      </c>
      <c r="D265" s="113">
        <v>32987177605</v>
      </c>
      <c r="E265" s="116">
        <f t="shared" si="44"/>
        <v>141506.02751860669</v>
      </c>
      <c r="F265" s="117">
        <v>22210468103</v>
      </c>
      <c r="G265" s="117">
        <f t="shared" si="45"/>
        <v>95276.872372005237</v>
      </c>
      <c r="H265" s="7"/>
      <c r="I265" s="101">
        <v>5.65</v>
      </c>
      <c r="J265" s="117">
        <v>125489145</v>
      </c>
      <c r="K265" s="120">
        <f t="shared" si="46"/>
        <v>538.31432983720481</v>
      </c>
      <c r="L265" s="122">
        <f t="shared" si="47"/>
        <v>222104681.03</v>
      </c>
      <c r="M265" s="116">
        <f t="shared" si="48"/>
        <v>96615536.030000001</v>
      </c>
      <c r="N265" s="123">
        <f t="shared" si="49"/>
        <v>414.45439388284751</v>
      </c>
      <c r="O265" s="5"/>
      <c r="P265" s="5">
        <f t="shared" si="50"/>
        <v>1</v>
      </c>
      <c r="Q265" s="7">
        <f t="shared" si="51"/>
        <v>233115</v>
      </c>
    </row>
    <row r="266" spans="1:17">
      <c r="A266" s="23" t="s">
        <v>294</v>
      </c>
      <c r="B266" s="35" t="s">
        <v>284</v>
      </c>
      <c r="C266" s="36">
        <v>2708</v>
      </c>
      <c r="D266" s="113">
        <v>745748551</v>
      </c>
      <c r="E266" s="116">
        <f t="shared" si="44"/>
        <v>275387.20494830131</v>
      </c>
      <c r="F266" s="117">
        <v>520671001</v>
      </c>
      <c r="G266" s="117">
        <f t="shared" si="45"/>
        <v>192271.41838995568</v>
      </c>
      <c r="H266" s="7"/>
      <c r="I266" s="101">
        <v>3.2280000000000002</v>
      </c>
      <c r="J266" s="117">
        <v>1680726</v>
      </c>
      <c r="K266" s="120">
        <f t="shared" si="46"/>
        <v>620.65214180206794</v>
      </c>
      <c r="L266" s="122">
        <f t="shared" si="47"/>
        <v>5206710.01</v>
      </c>
      <c r="M266" s="116">
        <f t="shared" si="48"/>
        <v>3525984.01</v>
      </c>
      <c r="N266" s="123">
        <f t="shared" si="49"/>
        <v>1302.0620420974888</v>
      </c>
      <c r="O266" s="5"/>
      <c r="P266" s="5">
        <f t="shared" si="50"/>
        <v>1</v>
      </c>
      <c r="Q266" s="7">
        <f t="shared" si="51"/>
        <v>2708</v>
      </c>
    </row>
    <row r="267" spans="1:17">
      <c r="A267" s="23" t="s">
        <v>295</v>
      </c>
      <c r="B267" s="35" t="s">
        <v>284</v>
      </c>
      <c r="C267" s="36">
        <v>30987</v>
      </c>
      <c r="D267" s="113">
        <v>3128372572</v>
      </c>
      <c r="E267" s="116">
        <f t="shared" si="44"/>
        <v>100957.58130829058</v>
      </c>
      <c r="F267" s="117">
        <v>2402883444</v>
      </c>
      <c r="G267" s="117">
        <f t="shared" si="45"/>
        <v>77544.887985284149</v>
      </c>
      <c r="H267" s="7"/>
      <c r="I267" s="101">
        <v>3.75</v>
      </c>
      <c r="J267" s="117">
        <v>9010813</v>
      </c>
      <c r="K267" s="120">
        <f t="shared" si="46"/>
        <v>290.7933326879014</v>
      </c>
      <c r="L267" s="122">
        <f t="shared" si="47"/>
        <v>24028834.440000001</v>
      </c>
      <c r="M267" s="116">
        <f t="shared" si="48"/>
        <v>15018021.440000001</v>
      </c>
      <c r="N267" s="123">
        <f t="shared" si="49"/>
        <v>484.65554716494017</v>
      </c>
      <c r="O267" s="5"/>
      <c r="P267" s="5">
        <f t="shared" si="50"/>
        <v>1</v>
      </c>
      <c r="Q267" s="7">
        <f t="shared" si="51"/>
        <v>30987</v>
      </c>
    </row>
    <row r="268" spans="1:17">
      <c r="A268" s="23" t="s">
        <v>296</v>
      </c>
      <c r="B268" s="35" t="s">
        <v>284</v>
      </c>
      <c r="C268" s="36">
        <v>28581</v>
      </c>
      <c r="D268" s="113">
        <v>6022652368</v>
      </c>
      <c r="E268" s="116">
        <f t="shared" si="44"/>
        <v>210722.2409292887</v>
      </c>
      <c r="F268" s="117">
        <v>4334449140</v>
      </c>
      <c r="G268" s="117">
        <f t="shared" si="45"/>
        <v>151654.9155033064</v>
      </c>
      <c r="H268" s="7"/>
      <c r="I268" s="101">
        <v>4.0922999999999998</v>
      </c>
      <c r="J268" s="117">
        <v>17737866</v>
      </c>
      <c r="K268" s="120">
        <f t="shared" si="46"/>
        <v>620.61740316993803</v>
      </c>
      <c r="L268" s="122">
        <f t="shared" si="47"/>
        <v>43344491.399999999</v>
      </c>
      <c r="M268" s="116">
        <f t="shared" si="48"/>
        <v>25606625.399999999</v>
      </c>
      <c r="N268" s="123">
        <f t="shared" si="49"/>
        <v>895.93175186312578</v>
      </c>
      <c r="O268" s="5"/>
      <c r="P268" s="5">
        <f t="shared" si="50"/>
        <v>1</v>
      </c>
      <c r="Q268" s="7">
        <f t="shared" si="51"/>
        <v>28581</v>
      </c>
    </row>
    <row r="269" spans="1:17">
      <c r="A269" s="23" t="s">
        <v>297</v>
      </c>
      <c r="B269" s="35" t="s">
        <v>298</v>
      </c>
      <c r="C269" s="36">
        <v>61250</v>
      </c>
      <c r="D269" s="113">
        <v>4291214902</v>
      </c>
      <c r="E269" s="116">
        <f t="shared" si="44"/>
        <v>70060.651461224494</v>
      </c>
      <c r="F269" s="117">
        <v>3124909078</v>
      </c>
      <c r="G269" s="117">
        <f t="shared" si="45"/>
        <v>51018.923722448977</v>
      </c>
      <c r="H269" s="7"/>
      <c r="I269" s="101">
        <v>4.6253000000000002</v>
      </c>
      <c r="J269" s="117">
        <v>14453642</v>
      </c>
      <c r="K269" s="120">
        <f t="shared" si="46"/>
        <v>235.97782857142857</v>
      </c>
      <c r="L269" s="122">
        <f t="shared" si="47"/>
        <v>31249090.780000001</v>
      </c>
      <c r="M269" s="116">
        <f t="shared" si="48"/>
        <v>16795448.780000001</v>
      </c>
      <c r="N269" s="123">
        <f t="shared" si="49"/>
        <v>274.21140865306126</v>
      </c>
      <c r="O269" s="5"/>
      <c r="P269" s="5">
        <f t="shared" si="50"/>
        <v>1</v>
      </c>
      <c r="Q269" s="7">
        <f t="shared" si="51"/>
        <v>61250</v>
      </c>
    </row>
    <row r="270" spans="1:17">
      <c r="A270" s="23" t="s">
        <v>546</v>
      </c>
      <c r="B270" s="35" t="s">
        <v>298</v>
      </c>
      <c r="C270" s="36">
        <v>32630</v>
      </c>
      <c r="D270" s="113">
        <v>2345581335</v>
      </c>
      <c r="E270" s="116">
        <f t="shared" si="44"/>
        <v>71884.196598222494</v>
      </c>
      <c r="F270" s="117">
        <v>1631341447</v>
      </c>
      <c r="G270" s="117">
        <f t="shared" si="45"/>
        <v>49995.140882623353</v>
      </c>
      <c r="H270" s="7"/>
      <c r="I270" s="101">
        <v>4.0449999999999999</v>
      </c>
      <c r="J270" s="117">
        <v>6598776</v>
      </c>
      <c r="K270" s="120">
        <f t="shared" si="46"/>
        <v>202.23034017775055</v>
      </c>
      <c r="L270" s="122">
        <f t="shared" si="47"/>
        <v>16313414.470000001</v>
      </c>
      <c r="M270" s="116">
        <f t="shared" si="48"/>
        <v>9714638.4700000007</v>
      </c>
      <c r="N270" s="123">
        <f t="shared" si="49"/>
        <v>297.72106864848303</v>
      </c>
      <c r="O270" s="5"/>
      <c r="P270" s="5">
        <f t="shared" si="50"/>
        <v>1</v>
      </c>
      <c r="Q270" s="7">
        <f t="shared" si="51"/>
        <v>32630</v>
      </c>
    </row>
    <row r="271" spans="1:17">
      <c r="A271" s="23" t="s">
        <v>299</v>
      </c>
      <c r="B271" s="35" t="s">
        <v>300</v>
      </c>
      <c r="C271" s="36">
        <v>2139</v>
      </c>
      <c r="D271" s="113">
        <v>518656326</v>
      </c>
      <c r="E271" s="116">
        <f t="shared" si="44"/>
        <v>242476.07573632538</v>
      </c>
      <c r="F271" s="117">
        <v>436536645</v>
      </c>
      <c r="G271" s="117">
        <f t="shared" si="45"/>
        <v>204084.45301542777</v>
      </c>
      <c r="H271" s="7"/>
      <c r="I271" s="101">
        <v>6.6</v>
      </c>
      <c r="J271" s="117">
        <v>2881142</v>
      </c>
      <c r="K271" s="120">
        <f t="shared" si="46"/>
        <v>1346.9574567554932</v>
      </c>
      <c r="L271" s="122">
        <f t="shared" si="47"/>
        <v>4365366.45</v>
      </c>
      <c r="M271" s="116">
        <f t="shared" si="48"/>
        <v>1484224.4500000002</v>
      </c>
      <c r="N271" s="123">
        <f t="shared" si="49"/>
        <v>693.88707339878454</v>
      </c>
      <c r="O271" s="5"/>
      <c r="P271" s="5">
        <f t="shared" si="50"/>
        <v>1</v>
      </c>
      <c r="Q271" s="7">
        <f t="shared" si="51"/>
        <v>2139</v>
      </c>
    </row>
    <row r="272" spans="1:17">
      <c r="A272" s="23" t="s">
        <v>301</v>
      </c>
      <c r="B272" s="35" t="s">
        <v>300</v>
      </c>
      <c r="C272" s="36">
        <v>17107</v>
      </c>
      <c r="D272" s="113">
        <v>612472760</v>
      </c>
      <c r="E272" s="116">
        <f t="shared" si="44"/>
        <v>35802.464488221194</v>
      </c>
      <c r="F272" s="117">
        <v>324281609</v>
      </c>
      <c r="G272" s="117">
        <f t="shared" si="45"/>
        <v>18956.076986029111</v>
      </c>
      <c r="H272" s="7"/>
      <c r="I272" s="101">
        <v>6.5419</v>
      </c>
      <c r="J272" s="117">
        <v>2121418</v>
      </c>
      <c r="K272" s="120">
        <f t="shared" si="46"/>
        <v>124.00876834044543</v>
      </c>
      <c r="L272" s="122">
        <f t="shared" si="47"/>
        <v>3242816.09</v>
      </c>
      <c r="M272" s="116">
        <f t="shared" si="48"/>
        <v>1121398.0899999999</v>
      </c>
      <c r="N272" s="123">
        <f t="shared" si="49"/>
        <v>65.552001519845675</v>
      </c>
      <c r="O272" s="5"/>
      <c r="P272" s="5">
        <f t="shared" si="50"/>
        <v>1</v>
      </c>
      <c r="Q272" s="7">
        <f t="shared" si="51"/>
        <v>17107</v>
      </c>
    </row>
    <row r="273" spans="1:17">
      <c r="A273" s="23" t="s">
        <v>302</v>
      </c>
      <c r="B273" s="35" t="s">
        <v>300</v>
      </c>
      <c r="C273" s="36">
        <v>84823</v>
      </c>
      <c r="D273" s="113">
        <v>22621879872</v>
      </c>
      <c r="E273" s="116">
        <f t="shared" si="44"/>
        <v>266695.11656036688</v>
      </c>
      <c r="F273" s="117">
        <v>17779504005</v>
      </c>
      <c r="G273" s="117">
        <f t="shared" si="45"/>
        <v>209607.11133772679</v>
      </c>
      <c r="H273" s="9"/>
      <c r="I273" s="101">
        <v>3.02</v>
      </c>
      <c r="J273" s="117">
        <v>53694102</v>
      </c>
      <c r="K273" s="120">
        <f t="shared" si="46"/>
        <v>633.0134751187768</v>
      </c>
      <c r="L273" s="122">
        <f t="shared" si="47"/>
        <v>177795040.05000001</v>
      </c>
      <c r="M273" s="116">
        <f t="shared" si="48"/>
        <v>124100938.05000001</v>
      </c>
      <c r="N273" s="123">
        <f t="shared" si="49"/>
        <v>1463.0576382584914</v>
      </c>
      <c r="O273" s="5"/>
      <c r="P273" s="5">
        <f t="shared" si="50"/>
        <v>1</v>
      </c>
      <c r="Q273" s="7">
        <f t="shared" si="51"/>
        <v>84823</v>
      </c>
    </row>
    <row r="274" spans="1:17">
      <c r="A274" s="23" t="s">
        <v>303</v>
      </c>
      <c r="B274" s="35" t="s">
        <v>300</v>
      </c>
      <c r="C274" s="36">
        <v>66978</v>
      </c>
      <c r="D274" s="113">
        <v>6392264269</v>
      </c>
      <c r="E274" s="116">
        <f t="shared" si="44"/>
        <v>95438.267326584843</v>
      </c>
      <c r="F274" s="117">
        <v>4571916735</v>
      </c>
      <c r="G274" s="117">
        <f t="shared" si="45"/>
        <v>68259.976932724181</v>
      </c>
      <c r="H274" s="9"/>
      <c r="I274" s="101">
        <v>6.7625999999999999</v>
      </c>
      <c r="J274" s="117">
        <v>30918044</v>
      </c>
      <c r="K274" s="120">
        <f t="shared" si="46"/>
        <v>461.6149183313924</v>
      </c>
      <c r="L274" s="122">
        <f t="shared" si="47"/>
        <v>45719167.350000001</v>
      </c>
      <c r="M274" s="116">
        <f t="shared" si="48"/>
        <v>14801123.350000001</v>
      </c>
      <c r="N274" s="123">
        <f t="shared" si="49"/>
        <v>220.9848509958494</v>
      </c>
      <c r="O274" s="5"/>
      <c r="P274" s="5">
        <f t="shared" si="50"/>
        <v>1</v>
      </c>
      <c r="Q274" s="7">
        <f t="shared" si="51"/>
        <v>66978</v>
      </c>
    </row>
    <row r="275" spans="1:17">
      <c r="A275" s="23" t="s">
        <v>304</v>
      </c>
      <c r="B275" s="35" t="s">
        <v>300</v>
      </c>
      <c r="C275" s="36">
        <v>412</v>
      </c>
      <c r="D275" s="113">
        <v>53692239</v>
      </c>
      <c r="E275" s="116">
        <f t="shared" si="44"/>
        <v>130320.96844660194</v>
      </c>
      <c r="F275" s="117">
        <v>38943696</v>
      </c>
      <c r="G275" s="117">
        <f t="shared" si="45"/>
        <v>94523.533980582521</v>
      </c>
      <c r="H275" s="9"/>
      <c r="I275" s="101">
        <v>10</v>
      </c>
      <c r="J275" s="117">
        <v>389437</v>
      </c>
      <c r="K275" s="120">
        <f t="shared" si="46"/>
        <v>945.23543689320388</v>
      </c>
      <c r="L275" s="122">
        <f t="shared" si="47"/>
        <v>389436.96</v>
      </c>
      <c r="M275" s="116">
        <f t="shared" si="48"/>
        <v>-3.9999999979045242E-2</v>
      </c>
      <c r="N275" s="123">
        <f t="shared" si="49"/>
        <v>-9.708737858991563E-5</v>
      </c>
      <c r="O275" s="5"/>
      <c r="P275" s="5">
        <f t="shared" si="50"/>
        <v>1</v>
      </c>
      <c r="Q275" s="7">
        <f t="shared" si="51"/>
        <v>412</v>
      </c>
    </row>
    <row r="276" spans="1:17">
      <c r="A276" s="23" t="s">
        <v>305</v>
      </c>
      <c r="B276" s="35" t="s">
        <v>300</v>
      </c>
      <c r="C276" s="36">
        <v>172</v>
      </c>
      <c r="D276" s="114" t="s">
        <v>564</v>
      </c>
      <c r="E276" s="116"/>
      <c r="F276" s="117"/>
      <c r="G276" s="117"/>
      <c r="H276" s="9" t="s">
        <v>528</v>
      </c>
      <c r="I276" s="102"/>
      <c r="J276" s="117"/>
      <c r="K276" s="120"/>
      <c r="L276" s="122">
        <f t="shared" si="47"/>
        <v>0</v>
      </c>
      <c r="M276" s="116">
        <f t="shared" si="48"/>
        <v>0</v>
      </c>
      <c r="N276" s="123">
        <f t="shared" si="49"/>
        <v>0</v>
      </c>
      <c r="O276" s="5"/>
      <c r="P276" s="5">
        <f t="shared" si="50"/>
        <v>0</v>
      </c>
      <c r="Q276" s="7">
        <f t="shared" si="51"/>
        <v>0</v>
      </c>
    </row>
    <row r="277" spans="1:17">
      <c r="A277" s="23" t="s">
        <v>306</v>
      </c>
      <c r="B277" s="35" t="s">
        <v>300</v>
      </c>
      <c r="C277" s="36">
        <v>63789</v>
      </c>
      <c r="D277" s="113">
        <v>9280584827</v>
      </c>
      <c r="E277" s="116">
        <f t="shared" si="44"/>
        <v>145488.79629716722</v>
      </c>
      <c r="F277" s="117">
        <v>7010118472</v>
      </c>
      <c r="G277" s="117">
        <f t="shared" si="45"/>
        <v>109895.41256329461</v>
      </c>
      <c r="H277" s="9"/>
      <c r="I277" s="101">
        <v>7.19</v>
      </c>
      <c r="J277" s="117">
        <v>50402752</v>
      </c>
      <c r="K277" s="120">
        <f>(J277/C277)</f>
        <v>790.14801925096799</v>
      </c>
      <c r="L277" s="122">
        <f t="shared" si="47"/>
        <v>70101184.719999999</v>
      </c>
      <c r="M277" s="116">
        <f t="shared" si="48"/>
        <v>19698432.719999999</v>
      </c>
      <c r="N277" s="123">
        <f t="shared" si="49"/>
        <v>308.80610638197805</v>
      </c>
      <c r="O277" s="5"/>
      <c r="P277" s="5">
        <f t="shared" si="50"/>
        <v>1</v>
      </c>
      <c r="Q277" s="7">
        <f t="shared" si="51"/>
        <v>63789</v>
      </c>
    </row>
    <row r="278" spans="1:17">
      <c r="A278" s="23" t="s">
        <v>307</v>
      </c>
      <c r="B278" s="35" t="s">
        <v>300</v>
      </c>
      <c r="C278" s="36">
        <v>276</v>
      </c>
      <c r="D278" s="114" t="s">
        <v>564</v>
      </c>
      <c r="E278" s="116"/>
      <c r="F278" s="117"/>
      <c r="G278" s="117"/>
      <c r="H278" s="9" t="s">
        <v>528</v>
      </c>
      <c r="I278" s="103"/>
      <c r="J278" s="117"/>
      <c r="K278" s="120"/>
      <c r="L278" s="122">
        <f t="shared" si="47"/>
        <v>0</v>
      </c>
      <c r="M278" s="116">
        <f t="shared" si="48"/>
        <v>0</v>
      </c>
      <c r="N278" s="123">
        <f t="shared" si="49"/>
        <v>0</v>
      </c>
      <c r="O278" s="5"/>
      <c r="P278" s="5">
        <f t="shared" si="50"/>
        <v>0</v>
      </c>
      <c r="Q278" s="7">
        <f t="shared" si="51"/>
        <v>0</v>
      </c>
    </row>
    <row r="279" spans="1:17">
      <c r="A279" s="23" t="s">
        <v>308</v>
      </c>
      <c r="B279" s="35" t="s">
        <v>300</v>
      </c>
      <c r="C279" s="36">
        <v>269</v>
      </c>
      <c r="D279" s="113">
        <v>174861093</v>
      </c>
      <c r="E279" s="116">
        <f t="shared" si="44"/>
        <v>650041.23791821557</v>
      </c>
      <c r="F279" s="117">
        <v>139335427</v>
      </c>
      <c r="G279" s="117">
        <f t="shared" si="45"/>
        <v>517975.56505576207</v>
      </c>
      <c r="H279" s="9"/>
      <c r="I279" s="101">
        <v>7.1265000000000001</v>
      </c>
      <c r="J279" s="117">
        <v>992974</v>
      </c>
      <c r="K279" s="120">
        <f>(J279/C279)</f>
        <v>3691.3531598513009</v>
      </c>
      <c r="L279" s="122">
        <f t="shared" si="47"/>
        <v>1393354.27</v>
      </c>
      <c r="M279" s="116">
        <f t="shared" si="48"/>
        <v>400380.27</v>
      </c>
      <c r="N279" s="123">
        <f t="shared" si="49"/>
        <v>1488.4024907063197</v>
      </c>
      <c r="O279" s="5"/>
      <c r="P279" s="5">
        <f t="shared" si="50"/>
        <v>1</v>
      </c>
      <c r="Q279" s="7">
        <f t="shared" si="51"/>
        <v>269</v>
      </c>
    </row>
    <row r="280" spans="1:17">
      <c r="A280" s="23" t="s">
        <v>309</v>
      </c>
      <c r="B280" s="35" t="s">
        <v>300</v>
      </c>
      <c r="C280" s="36">
        <v>32370</v>
      </c>
      <c r="D280" s="113">
        <v>2179226120</v>
      </c>
      <c r="E280" s="116">
        <f t="shared" si="44"/>
        <v>67322.400988569658</v>
      </c>
      <c r="F280" s="117">
        <v>1472606755</v>
      </c>
      <c r="G280" s="117">
        <f t="shared" si="45"/>
        <v>45492.94887241273</v>
      </c>
      <c r="H280" s="7"/>
      <c r="I280" s="101">
        <v>5.15</v>
      </c>
      <c r="J280" s="117">
        <v>7583925</v>
      </c>
      <c r="K280" s="120">
        <f t="shared" ref="K280:K301" si="52">(J280/C280)</f>
        <v>234.28869323447637</v>
      </c>
      <c r="L280" s="122">
        <f t="shared" si="47"/>
        <v>14726067.550000001</v>
      </c>
      <c r="M280" s="116">
        <f t="shared" si="48"/>
        <v>7142142.5500000007</v>
      </c>
      <c r="N280" s="123">
        <f t="shared" si="49"/>
        <v>220.64079548965094</v>
      </c>
      <c r="O280" s="5"/>
      <c r="P280" s="5">
        <f t="shared" si="50"/>
        <v>1</v>
      </c>
      <c r="Q280" s="7">
        <f t="shared" si="51"/>
        <v>32370</v>
      </c>
    </row>
    <row r="281" spans="1:17">
      <c r="A281" s="23" t="s">
        <v>310</v>
      </c>
      <c r="B281" s="35" t="s">
        <v>300</v>
      </c>
      <c r="C281" s="36">
        <v>704</v>
      </c>
      <c r="D281" s="113">
        <v>874004766</v>
      </c>
      <c r="E281" s="116">
        <f t="shared" si="44"/>
        <v>1241484.0426136365</v>
      </c>
      <c r="F281" s="117">
        <v>705069185</v>
      </c>
      <c r="G281" s="117">
        <f t="shared" si="45"/>
        <v>1001518.7286931818</v>
      </c>
      <c r="H281" s="7"/>
      <c r="I281" s="101">
        <v>2.8654999999999999</v>
      </c>
      <c r="J281" s="117">
        <v>2020376</v>
      </c>
      <c r="K281" s="120">
        <f t="shared" si="52"/>
        <v>2869.8522727272725</v>
      </c>
      <c r="L281" s="122">
        <f t="shared" si="47"/>
        <v>7050691.8500000006</v>
      </c>
      <c r="M281" s="116">
        <f t="shared" si="48"/>
        <v>5030315.8500000006</v>
      </c>
      <c r="N281" s="123">
        <f t="shared" si="49"/>
        <v>7145.3350142045465</v>
      </c>
      <c r="O281" s="5"/>
      <c r="P281" s="5">
        <f t="shared" si="50"/>
        <v>1</v>
      </c>
      <c r="Q281" s="7">
        <f t="shared" si="51"/>
        <v>704</v>
      </c>
    </row>
    <row r="282" spans="1:17">
      <c r="A282" s="23" t="s">
        <v>311</v>
      </c>
      <c r="B282" s="35" t="s">
        <v>300</v>
      </c>
      <c r="C282" s="36">
        <v>1604</v>
      </c>
      <c r="D282" s="113">
        <v>130139265</v>
      </c>
      <c r="E282" s="116">
        <f t="shared" si="44"/>
        <v>81134.205112219453</v>
      </c>
      <c r="F282" s="117">
        <v>79856900</v>
      </c>
      <c r="G282" s="117">
        <f t="shared" si="45"/>
        <v>49786.097256857858</v>
      </c>
      <c r="H282" s="7"/>
      <c r="I282" s="101">
        <v>4.2952000000000004</v>
      </c>
      <c r="J282" s="117">
        <v>343001</v>
      </c>
      <c r="K282" s="120">
        <f t="shared" si="52"/>
        <v>213.84102244389027</v>
      </c>
      <c r="L282" s="122">
        <f t="shared" si="47"/>
        <v>798569</v>
      </c>
      <c r="M282" s="116">
        <f t="shared" si="48"/>
        <v>455568</v>
      </c>
      <c r="N282" s="123">
        <f t="shared" si="49"/>
        <v>284.01995012468831</v>
      </c>
      <c r="O282" s="5"/>
      <c r="P282" s="5">
        <f t="shared" si="50"/>
        <v>1</v>
      </c>
      <c r="Q282" s="7">
        <f t="shared" si="51"/>
        <v>1604</v>
      </c>
    </row>
    <row r="283" spans="1:17">
      <c r="A283" s="23" t="s">
        <v>312</v>
      </c>
      <c r="B283" s="35" t="s">
        <v>300</v>
      </c>
      <c r="C283" s="36">
        <v>4162</v>
      </c>
      <c r="D283" s="113">
        <v>2242046778</v>
      </c>
      <c r="E283" s="116">
        <f t="shared" si="44"/>
        <v>538694.5646323883</v>
      </c>
      <c r="F283" s="117">
        <v>1932060374</v>
      </c>
      <c r="G283" s="117">
        <f t="shared" si="45"/>
        <v>464214.40989908698</v>
      </c>
      <c r="H283" s="7"/>
      <c r="I283" s="101">
        <v>3.3542000000000001</v>
      </c>
      <c r="J283" s="117">
        <v>6480517</v>
      </c>
      <c r="K283" s="120">
        <f t="shared" si="52"/>
        <v>1557.0679961556943</v>
      </c>
      <c r="L283" s="122">
        <f t="shared" si="47"/>
        <v>19320603.740000002</v>
      </c>
      <c r="M283" s="116">
        <f t="shared" si="48"/>
        <v>12840086.740000002</v>
      </c>
      <c r="N283" s="123">
        <f t="shared" si="49"/>
        <v>3085.0761028351758</v>
      </c>
      <c r="O283" s="5"/>
      <c r="P283" s="5">
        <f t="shared" si="50"/>
        <v>1</v>
      </c>
      <c r="Q283" s="7">
        <f t="shared" si="51"/>
        <v>4162</v>
      </c>
    </row>
    <row r="284" spans="1:17">
      <c r="A284" s="23" t="s">
        <v>313</v>
      </c>
      <c r="B284" s="35" t="s">
        <v>300</v>
      </c>
      <c r="C284" s="36">
        <v>2427</v>
      </c>
      <c r="D284" s="113">
        <v>393276659</v>
      </c>
      <c r="E284" s="116">
        <f t="shared" si="44"/>
        <v>162042.29872270292</v>
      </c>
      <c r="F284" s="117">
        <v>307161643</v>
      </c>
      <c r="G284" s="117">
        <f t="shared" si="45"/>
        <v>126560.21549237742</v>
      </c>
      <c r="H284" s="7"/>
      <c r="I284" s="101">
        <v>3.15</v>
      </c>
      <c r="J284" s="117">
        <v>967559</v>
      </c>
      <c r="K284" s="120">
        <f t="shared" si="52"/>
        <v>398.66460651009476</v>
      </c>
      <c r="L284" s="122">
        <f t="shared" si="47"/>
        <v>3071616.43</v>
      </c>
      <c r="M284" s="116">
        <f t="shared" si="48"/>
        <v>2104057.4300000002</v>
      </c>
      <c r="N284" s="123">
        <f t="shared" si="49"/>
        <v>866.93754841367956</v>
      </c>
      <c r="O284" s="5"/>
      <c r="P284" s="5">
        <f t="shared" si="50"/>
        <v>1</v>
      </c>
      <c r="Q284" s="7">
        <f t="shared" si="51"/>
        <v>2427</v>
      </c>
    </row>
    <row r="285" spans="1:17">
      <c r="A285" s="23" t="s">
        <v>314</v>
      </c>
      <c r="B285" s="35" t="s">
        <v>300</v>
      </c>
      <c r="C285" s="36">
        <v>3656</v>
      </c>
      <c r="D285" s="113">
        <v>1256180568</v>
      </c>
      <c r="E285" s="116">
        <f t="shared" si="44"/>
        <v>343594.24726477027</v>
      </c>
      <c r="F285" s="117">
        <v>1024065188</v>
      </c>
      <c r="G285" s="117">
        <f t="shared" si="45"/>
        <v>280105.35776805249</v>
      </c>
      <c r="H285" s="7"/>
      <c r="I285" s="101">
        <v>2.8</v>
      </c>
      <c r="J285" s="117">
        <v>2867383</v>
      </c>
      <c r="K285" s="120">
        <f t="shared" si="52"/>
        <v>784.2951312910285</v>
      </c>
      <c r="L285" s="122">
        <f t="shared" si="47"/>
        <v>10240651.880000001</v>
      </c>
      <c r="M285" s="116">
        <f t="shared" si="48"/>
        <v>7373268.8800000008</v>
      </c>
      <c r="N285" s="123">
        <f t="shared" si="49"/>
        <v>2016.7584463894968</v>
      </c>
      <c r="O285" s="5"/>
      <c r="P285" s="5">
        <f t="shared" si="50"/>
        <v>1</v>
      </c>
      <c r="Q285" s="7">
        <f t="shared" si="51"/>
        <v>3656</v>
      </c>
    </row>
    <row r="286" spans="1:17">
      <c r="A286" s="23" t="s">
        <v>315</v>
      </c>
      <c r="B286" s="35" t="s">
        <v>300</v>
      </c>
      <c r="C286" s="36">
        <v>50275</v>
      </c>
      <c r="D286" s="113">
        <v>9904432515</v>
      </c>
      <c r="E286" s="116">
        <f t="shared" si="44"/>
        <v>197005.12212829437</v>
      </c>
      <c r="F286" s="117">
        <v>7691534980</v>
      </c>
      <c r="G286" s="117">
        <f t="shared" si="45"/>
        <v>152989.25867727498</v>
      </c>
      <c r="H286" s="7"/>
      <c r="I286" s="101">
        <v>2.5142000000000002</v>
      </c>
      <c r="J286" s="117">
        <v>19338057</v>
      </c>
      <c r="K286" s="120">
        <f t="shared" si="52"/>
        <v>384.64558925907511</v>
      </c>
      <c r="L286" s="122">
        <f t="shared" si="47"/>
        <v>76915349.799999997</v>
      </c>
      <c r="M286" s="116">
        <f t="shared" si="48"/>
        <v>57577292.799999997</v>
      </c>
      <c r="N286" s="123">
        <f t="shared" si="49"/>
        <v>1145.2469975136748</v>
      </c>
      <c r="O286" s="5"/>
      <c r="P286" s="5">
        <f t="shared" si="50"/>
        <v>1</v>
      </c>
      <c r="Q286" s="7">
        <f t="shared" si="51"/>
        <v>50275</v>
      </c>
    </row>
    <row r="287" spans="1:17">
      <c r="A287" s="23" t="s">
        <v>316</v>
      </c>
      <c r="B287" s="35" t="s">
        <v>300</v>
      </c>
      <c r="C287" s="36">
        <v>370</v>
      </c>
      <c r="D287" s="113">
        <v>291564781</v>
      </c>
      <c r="E287" s="116">
        <f t="shared" ref="E287:E350" si="53">(D287/C287)</f>
        <v>788012.92162162159</v>
      </c>
      <c r="F287" s="117">
        <v>222836959</v>
      </c>
      <c r="G287" s="117">
        <f t="shared" ref="G287:G350" si="54">(F287/C287)</f>
        <v>602262.05135135131</v>
      </c>
      <c r="H287" s="7"/>
      <c r="I287" s="101">
        <v>3.8079000000000001</v>
      </c>
      <c r="J287" s="117">
        <v>848541</v>
      </c>
      <c r="K287" s="120">
        <f t="shared" si="52"/>
        <v>2293.3540540540539</v>
      </c>
      <c r="L287" s="122">
        <f t="shared" si="47"/>
        <v>2228369.59</v>
      </c>
      <c r="M287" s="116">
        <f t="shared" si="48"/>
        <v>1379828.5899999999</v>
      </c>
      <c r="N287" s="123">
        <f t="shared" si="49"/>
        <v>3729.2664594594589</v>
      </c>
      <c r="O287" s="5"/>
      <c r="P287" s="5">
        <f t="shared" si="50"/>
        <v>1</v>
      </c>
      <c r="Q287" s="7">
        <f t="shared" si="51"/>
        <v>370</v>
      </c>
    </row>
    <row r="288" spans="1:17">
      <c r="A288" s="23" t="s">
        <v>317</v>
      </c>
      <c r="B288" s="35" t="s">
        <v>300</v>
      </c>
      <c r="C288" s="36">
        <v>3413</v>
      </c>
      <c r="D288" s="113">
        <v>316618917</v>
      </c>
      <c r="E288" s="116">
        <f t="shared" si="53"/>
        <v>92768.50776443012</v>
      </c>
      <c r="F288" s="117">
        <v>199388860</v>
      </c>
      <c r="G288" s="117">
        <f t="shared" si="54"/>
        <v>58420.410196308236</v>
      </c>
      <c r="H288" s="7"/>
      <c r="I288" s="101">
        <v>6.4920999999999998</v>
      </c>
      <c r="J288" s="117">
        <v>1294452</v>
      </c>
      <c r="K288" s="120">
        <f t="shared" si="52"/>
        <v>379.27102256079695</v>
      </c>
      <c r="L288" s="122">
        <f t="shared" si="47"/>
        <v>1993888.6</v>
      </c>
      <c r="M288" s="116">
        <f t="shared" si="48"/>
        <v>699436.60000000009</v>
      </c>
      <c r="N288" s="123">
        <f t="shared" si="49"/>
        <v>204.93307940228541</v>
      </c>
      <c r="O288" s="5"/>
      <c r="P288" s="5">
        <f t="shared" si="50"/>
        <v>1</v>
      </c>
      <c r="Q288" s="7">
        <f t="shared" si="51"/>
        <v>3413</v>
      </c>
    </row>
    <row r="289" spans="1:17">
      <c r="A289" s="23" t="s">
        <v>318</v>
      </c>
      <c r="B289" s="35" t="s">
        <v>300</v>
      </c>
      <c r="C289" s="36">
        <v>9118</v>
      </c>
      <c r="D289" s="113">
        <v>730692791</v>
      </c>
      <c r="E289" s="116">
        <f t="shared" si="53"/>
        <v>80137.397565255538</v>
      </c>
      <c r="F289" s="117">
        <v>573052834</v>
      </c>
      <c r="G289" s="117">
        <f t="shared" si="54"/>
        <v>62848.523141039703</v>
      </c>
      <c r="H289" s="7"/>
      <c r="I289" s="101">
        <v>8.5162999999999993</v>
      </c>
      <c r="J289" s="117">
        <v>4880290</v>
      </c>
      <c r="K289" s="120">
        <f t="shared" si="52"/>
        <v>535.23689405571395</v>
      </c>
      <c r="L289" s="122">
        <f t="shared" si="47"/>
        <v>5730528.3399999999</v>
      </c>
      <c r="M289" s="116">
        <f t="shared" si="48"/>
        <v>850238.33999999985</v>
      </c>
      <c r="N289" s="123">
        <f t="shared" si="49"/>
        <v>93.248337354683031</v>
      </c>
      <c r="O289" s="5"/>
      <c r="P289" s="5">
        <f t="shared" si="50"/>
        <v>1</v>
      </c>
      <c r="Q289" s="7">
        <f t="shared" si="51"/>
        <v>9118</v>
      </c>
    </row>
    <row r="290" spans="1:17">
      <c r="A290" s="24" t="s">
        <v>628</v>
      </c>
      <c r="B290" s="35" t="s">
        <v>300</v>
      </c>
      <c r="C290" s="36">
        <v>36173</v>
      </c>
      <c r="D290" s="113">
        <v>2210272744</v>
      </c>
      <c r="E290" s="116">
        <f t="shared" si="53"/>
        <v>61102.832057059131</v>
      </c>
      <c r="F290" s="117">
        <v>1487322629</v>
      </c>
      <c r="G290" s="117">
        <f t="shared" si="54"/>
        <v>41116.927791446658</v>
      </c>
      <c r="H290" s="7"/>
      <c r="I290" s="101">
        <v>4.9999000000000002</v>
      </c>
      <c r="J290" s="117">
        <v>7436464</v>
      </c>
      <c r="K290" s="120">
        <f t="shared" si="52"/>
        <v>205.58051585436652</v>
      </c>
      <c r="L290" s="122">
        <f t="shared" si="47"/>
        <v>14873226.290000001</v>
      </c>
      <c r="M290" s="116">
        <f t="shared" si="48"/>
        <v>7436762.290000001</v>
      </c>
      <c r="N290" s="123">
        <f t="shared" si="49"/>
        <v>205.58876206010009</v>
      </c>
      <c r="O290" s="5"/>
      <c r="P290" s="5">
        <f t="shared" si="50"/>
        <v>1</v>
      </c>
      <c r="Q290" s="7">
        <f t="shared" si="51"/>
        <v>36173</v>
      </c>
    </row>
    <row r="291" spans="1:17">
      <c r="A291" s="23" t="s">
        <v>319</v>
      </c>
      <c r="B291" s="35" t="s">
        <v>300</v>
      </c>
      <c r="C291" s="36">
        <v>9743</v>
      </c>
      <c r="D291" s="113">
        <v>1250963697</v>
      </c>
      <c r="E291" s="116">
        <f t="shared" si="53"/>
        <v>128396.15077491532</v>
      </c>
      <c r="F291" s="117">
        <v>867751761</v>
      </c>
      <c r="G291" s="117">
        <f t="shared" si="54"/>
        <v>89064.124089089601</v>
      </c>
      <c r="H291" s="7"/>
      <c r="I291" s="101">
        <v>3.2395</v>
      </c>
      <c r="J291" s="117">
        <v>2811082</v>
      </c>
      <c r="K291" s="120">
        <f t="shared" si="52"/>
        <v>288.52324745971464</v>
      </c>
      <c r="L291" s="122">
        <f t="shared" si="47"/>
        <v>8677517.6099999994</v>
      </c>
      <c r="M291" s="116">
        <f t="shared" si="48"/>
        <v>5866435.6099999994</v>
      </c>
      <c r="N291" s="123">
        <f t="shared" si="49"/>
        <v>602.11799343118128</v>
      </c>
      <c r="O291" s="5"/>
      <c r="P291" s="5">
        <f t="shared" si="50"/>
        <v>1</v>
      </c>
      <c r="Q291" s="7">
        <f t="shared" si="51"/>
        <v>9743</v>
      </c>
    </row>
    <row r="292" spans="1:17">
      <c r="A292" s="23" t="s">
        <v>531</v>
      </c>
      <c r="B292" s="35" t="s">
        <v>300</v>
      </c>
      <c r="C292" s="36">
        <v>3229</v>
      </c>
      <c r="D292" s="113">
        <v>459295516</v>
      </c>
      <c r="E292" s="116">
        <f t="shared" si="53"/>
        <v>142240.79157633943</v>
      </c>
      <c r="F292" s="117">
        <v>227388292</v>
      </c>
      <c r="G292" s="117">
        <f t="shared" si="54"/>
        <v>70420.654072468256</v>
      </c>
      <c r="H292" s="9"/>
      <c r="I292" s="101">
        <v>1.4</v>
      </c>
      <c r="J292" s="117">
        <v>318344</v>
      </c>
      <c r="K292" s="120">
        <f t="shared" si="52"/>
        <v>98.589036853515026</v>
      </c>
      <c r="L292" s="122">
        <f t="shared" si="47"/>
        <v>2273882.92</v>
      </c>
      <c r="M292" s="116">
        <f t="shared" si="48"/>
        <v>1955538.92</v>
      </c>
      <c r="N292" s="123">
        <f t="shared" si="49"/>
        <v>605.61750387116751</v>
      </c>
      <c r="O292" s="5"/>
      <c r="P292" s="5">
        <f t="shared" si="50"/>
        <v>1</v>
      </c>
      <c r="Q292" s="7">
        <f t="shared" si="51"/>
        <v>3229</v>
      </c>
    </row>
    <row r="293" spans="1:17">
      <c r="A293" s="23" t="s">
        <v>320</v>
      </c>
      <c r="B293" s="35" t="s">
        <v>300</v>
      </c>
      <c r="C293" s="36">
        <v>359</v>
      </c>
      <c r="D293" s="113">
        <v>1017192804</v>
      </c>
      <c r="E293" s="116">
        <f t="shared" si="53"/>
        <v>2833406.139275766</v>
      </c>
      <c r="F293" s="117">
        <v>940528308</v>
      </c>
      <c r="G293" s="117">
        <f t="shared" si="54"/>
        <v>2619856.0111420611</v>
      </c>
      <c r="H293" s="7"/>
      <c r="I293" s="101">
        <v>2.8</v>
      </c>
      <c r="J293" s="117">
        <v>2633479</v>
      </c>
      <c r="K293" s="120">
        <f t="shared" si="52"/>
        <v>7335.5961002785516</v>
      </c>
      <c r="L293" s="122">
        <f t="shared" si="47"/>
        <v>9405283.0800000001</v>
      </c>
      <c r="M293" s="116">
        <f t="shared" si="48"/>
        <v>6771804.0800000001</v>
      </c>
      <c r="N293" s="123">
        <f t="shared" si="49"/>
        <v>18862.964011142063</v>
      </c>
      <c r="O293" s="5"/>
      <c r="P293" s="5">
        <f t="shared" si="50"/>
        <v>1</v>
      </c>
      <c r="Q293" s="7">
        <f t="shared" si="51"/>
        <v>359</v>
      </c>
    </row>
    <row r="294" spans="1:17">
      <c r="A294" s="23" t="s">
        <v>321</v>
      </c>
      <c r="B294" s="35" t="s">
        <v>300</v>
      </c>
      <c r="C294" s="36">
        <v>2220</v>
      </c>
      <c r="D294" s="113">
        <v>209368969</v>
      </c>
      <c r="E294" s="116">
        <f t="shared" si="53"/>
        <v>94310.346396396402</v>
      </c>
      <c r="F294" s="117">
        <v>176347436</v>
      </c>
      <c r="G294" s="117">
        <f t="shared" si="54"/>
        <v>79435.781981981985</v>
      </c>
      <c r="H294" s="7"/>
      <c r="I294" s="101">
        <v>9.8000000000000007</v>
      </c>
      <c r="J294" s="117">
        <v>1728205</v>
      </c>
      <c r="K294" s="120">
        <f t="shared" si="52"/>
        <v>778.47072072072069</v>
      </c>
      <c r="L294" s="122">
        <f t="shared" si="47"/>
        <v>1763474.36</v>
      </c>
      <c r="M294" s="116">
        <f t="shared" si="48"/>
        <v>35269.360000000102</v>
      </c>
      <c r="N294" s="123">
        <f t="shared" si="49"/>
        <v>15.887099099099146</v>
      </c>
      <c r="O294" s="5"/>
      <c r="P294" s="5">
        <f t="shared" si="50"/>
        <v>1</v>
      </c>
      <c r="Q294" s="7">
        <f t="shared" si="51"/>
        <v>2220</v>
      </c>
    </row>
    <row r="295" spans="1:17">
      <c r="A295" s="23" t="s">
        <v>322</v>
      </c>
      <c r="B295" s="35" t="s">
        <v>300</v>
      </c>
      <c r="C295" s="36">
        <v>12433</v>
      </c>
      <c r="D295" s="113">
        <v>2337028881</v>
      </c>
      <c r="E295" s="116">
        <f t="shared" si="53"/>
        <v>187969.82876216521</v>
      </c>
      <c r="F295" s="117">
        <v>1656950264</v>
      </c>
      <c r="G295" s="117">
        <f t="shared" si="54"/>
        <v>133270.35019705622</v>
      </c>
      <c r="H295" s="7"/>
      <c r="I295" s="101">
        <v>6.9</v>
      </c>
      <c r="J295" s="117">
        <v>11432957</v>
      </c>
      <c r="K295" s="120">
        <f t="shared" si="52"/>
        <v>919.56543070859811</v>
      </c>
      <c r="L295" s="122">
        <f t="shared" si="47"/>
        <v>16569502.640000001</v>
      </c>
      <c r="M295" s="116">
        <f t="shared" si="48"/>
        <v>5136545.6400000006</v>
      </c>
      <c r="N295" s="123">
        <f t="shared" si="49"/>
        <v>413.13807126196417</v>
      </c>
      <c r="O295" s="5"/>
      <c r="P295" s="5">
        <f t="shared" si="50"/>
        <v>1</v>
      </c>
      <c r="Q295" s="7">
        <f t="shared" si="51"/>
        <v>12433</v>
      </c>
    </row>
    <row r="296" spans="1:17">
      <c r="A296" s="23" t="s">
        <v>323</v>
      </c>
      <c r="B296" s="35" t="s">
        <v>300</v>
      </c>
      <c r="C296" s="36">
        <v>1690</v>
      </c>
      <c r="D296" s="113">
        <v>887109607</v>
      </c>
      <c r="E296" s="116">
        <f t="shared" si="53"/>
        <v>524916.92721893487</v>
      </c>
      <c r="F296" s="117">
        <v>730526606</v>
      </c>
      <c r="G296" s="117">
        <f t="shared" si="54"/>
        <v>432264.26390532544</v>
      </c>
      <c r="H296" s="7"/>
      <c r="I296" s="101">
        <v>5.4</v>
      </c>
      <c r="J296" s="117">
        <v>3944844</v>
      </c>
      <c r="K296" s="120">
        <f t="shared" si="52"/>
        <v>2334.2272189349114</v>
      </c>
      <c r="L296" s="122">
        <f t="shared" si="47"/>
        <v>7305266.0600000005</v>
      </c>
      <c r="M296" s="116">
        <f t="shared" si="48"/>
        <v>3360422.0600000005</v>
      </c>
      <c r="N296" s="123">
        <f t="shared" si="49"/>
        <v>1988.4154201183435</v>
      </c>
      <c r="O296" s="5"/>
      <c r="P296" s="5">
        <f t="shared" si="50"/>
        <v>1</v>
      </c>
      <c r="Q296" s="7">
        <f t="shared" si="51"/>
        <v>1690</v>
      </c>
    </row>
    <row r="297" spans="1:17">
      <c r="A297" s="23" t="s">
        <v>324</v>
      </c>
      <c r="B297" s="35" t="s">
        <v>300</v>
      </c>
      <c r="C297" s="36">
        <v>6188</v>
      </c>
      <c r="D297" s="113">
        <v>214069232</v>
      </c>
      <c r="E297" s="116">
        <f t="shared" si="53"/>
        <v>34594.252100840335</v>
      </c>
      <c r="F297" s="117">
        <v>92360986</v>
      </c>
      <c r="G297" s="117">
        <f t="shared" si="54"/>
        <v>14925.821913380736</v>
      </c>
      <c r="H297" s="9"/>
      <c r="I297" s="101">
        <v>6.5419</v>
      </c>
      <c r="J297" s="117">
        <v>604216</v>
      </c>
      <c r="K297" s="120">
        <f t="shared" si="52"/>
        <v>97.643180349062703</v>
      </c>
      <c r="L297" s="122">
        <f t="shared" si="47"/>
        <v>923609.86</v>
      </c>
      <c r="M297" s="116">
        <f t="shared" si="48"/>
        <v>319393.86</v>
      </c>
      <c r="N297" s="123">
        <f t="shared" si="49"/>
        <v>51.615038784744662</v>
      </c>
      <c r="O297" s="5"/>
      <c r="P297" s="5">
        <f t="shared" si="50"/>
        <v>1</v>
      </c>
      <c r="Q297" s="7">
        <f t="shared" si="51"/>
        <v>6188</v>
      </c>
    </row>
    <row r="298" spans="1:17">
      <c r="A298" s="23" t="s">
        <v>300</v>
      </c>
      <c r="B298" s="35" t="s">
        <v>300</v>
      </c>
      <c r="C298" s="36">
        <v>9650</v>
      </c>
      <c r="D298" s="113">
        <v>17054453967</v>
      </c>
      <c r="E298" s="116">
        <f t="shared" si="53"/>
        <v>1767300.929222798</v>
      </c>
      <c r="F298" s="117">
        <v>13227916774</v>
      </c>
      <c r="G298" s="117">
        <f t="shared" si="54"/>
        <v>1370768.5776165803</v>
      </c>
      <c r="H298" s="7"/>
      <c r="I298" s="101">
        <v>3.2511999999999999</v>
      </c>
      <c r="J298" s="117">
        <v>43006603</v>
      </c>
      <c r="K298" s="120">
        <f t="shared" si="52"/>
        <v>4456.6427979274613</v>
      </c>
      <c r="L298" s="122">
        <f t="shared" si="47"/>
        <v>132279167.74000001</v>
      </c>
      <c r="M298" s="116">
        <f t="shared" si="48"/>
        <v>89272564.74000001</v>
      </c>
      <c r="N298" s="123">
        <f t="shared" si="49"/>
        <v>9251.0429782383435</v>
      </c>
      <c r="O298" s="5"/>
      <c r="P298" s="5">
        <f t="shared" si="50"/>
        <v>1</v>
      </c>
      <c r="Q298" s="7">
        <f t="shared" si="51"/>
        <v>9650</v>
      </c>
    </row>
    <row r="299" spans="1:17">
      <c r="A299" s="23" t="s">
        <v>325</v>
      </c>
      <c r="B299" s="35" t="s">
        <v>300</v>
      </c>
      <c r="C299" s="36">
        <v>49941</v>
      </c>
      <c r="D299" s="113">
        <v>10776058392</v>
      </c>
      <c r="E299" s="116">
        <f t="shared" si="53"/>
        <v>215775.7832642518</v>
      </c>
      <c r="F299" s="117">
        <v>8769238476</v>
      </c>
      <c r="G299" s="117">
        <f t="shared" si="54"/>
        <v>175591.9680422899</v>
      </c>
      <c r="H299" s="7"/>
      <c r="I299" s="101">
        <v>5.39</v>
      </c>
      <c r="J299" s="117">
        <v>47266195</v>
      </c>
      <c r="K299" s="120">
        <f t="shared" si="52"/>
        <v>946.44070002603075</v>
      </c>
      <c r="L299" s="122">
        <f t="shared" si="47"/>
        <v>87692384.760000005</v>
      </c>
      <c r="M299" s="116">
        <f t="shared" si="48"/>
        <v>40426189.760000005</v>
      </c>
      <c r="N299" s="123">
        <f t="shared" si="49"/>
        <v>809.47898039686845</v>
      </c>
      <c r="O299" s="5"/>
      <c r="P299" s="5">
        <f t="shared" si="50"/>
        <v>1</v>
      </c>
      <c r="Q299" s="7">
        <f t="shared" si="51"/>
        <v>49941</v>
      </c>
    </row>
    <row r="300" spans="1:17">
      <c r="A300" s="23" t="s">
        <v>326</v>
      </c>
      <c r="B300" s="35" t="s">
        <v>300</v>
      </c>
      <c r="C300" s="36">
        <v>1421</v>
      </c>
      <c r="D300" s="113">
        <v>609243356</v>
      </c>
      <c r="E300" s="116">
        <f t="shared" si="53"/>
        <v>428742.68543279381</v>
      </c>
      <c r="F300" s="117">
        <v>538678481</v>
      </c>
      <c r="G300" s="117">
        <f t="shared" si="54"/>
        <v>379084.08233638282</v>
      </c>
      <c r="H300" s="7"/>
      <c r="I300" s="101">
        <v>5.742</v>
      </c>
      <c r="J300" s="117">
        <v>3093092</v>
      </c>
      <c r="K300" s="120">
        <f t="shared" si="52"/>
        <v>2176.7009148486982</v>
      </c>
      <c r="L300" s="122">
        <f t="shared" si="47"/>
        <v>5386784.8100000005</v>
      </c>
      <c r="M300" s="116">
        <f t="shared" si="48"/>
        <v>2293692.8100000005</v>
      </c>
      <c r="N300" s="123">
        <f t="shared" si="49"/>
        <v>1614.1399085151306</v>
      </c>
      <c r="O300" s="5"/>
      <c r="P300" s="5">
        <f t="shared" si="50"/>
        <v>1</v>
      </c>
      <c r="Q300" s="7">
        <f t="shared" si="51"/>
        <v>1421</v>
      </c>
    </row>
    <row r="301" spans="1:17">
      <c r="A301" s="23" t="s">
        <v>327</v>
      </c>
      <c r="B301" s="35" t="s">
        <v>300</v>
      </c>
      <c r="C301" s="36">
        <v>15478</v>
      </c>
      <c r="D301" s="113">
        <v>1026983806</v>
      </c>
      <c r="E301" s="116">
        <f t="shared" si="53"/>
        <v>66351.195632510658</v>
      </c>
      <c r="F301" s="117">
        <v>694482029</v>
      </c>
      <c r="G301" s="117">
        <f t="shared" si="54"/>
        <v>44868.977193435843</v>
      </c>
      <c r="H301" s="9"/>
      <c r="I301" s="101">
        <v>3.5</v>
      </c>
      <c r="J301" s="117">
        <v>2430687</v>
      </c>
      <c r="K301" s="120">
        <f t="shared" si="52"/>
        <v>157.04141361933065</v>
      </c>
      <c r="L301" s="122">
        <f t="shared" si="47"/>
        <v>6944820.29</v>
      </c>
      <c r="M301" s="116">
        <f t="shared" si="48"/>
        <v>4514133.29</v>
      </c>
      <c r="N301" s="123">
        <f t="shared" si="49"/>
        <v>291.64835831502779</v>
      </c>
      <c r="O301" s="5"/>
      <c r="P301" s="5">
        <f t="shared" si="50"/>
        <v>1</v>
      </c>
      <c r="Q301" s="7">
        <f t="shared" si="51"/>
        <v>15478</v>
      </c>
    </row>
    <row r="302" spans="1:17">
      <c r="A302" s="23" t="s">
        <v>328</v>
      </c>
      <c r="B302" s="35" t="s">
        <v>300</v>
      </c>
      <c r="C302" s="36">
        <v>34403</v>
      </c>
      <c r="D302" s="113">
        <v>4671221706</v>
      </c>
      <c r="E302" s="116">
        <f t="shared" si="53"/>
        <v>135779.48742842194</v>
      </c>
      <c r="F302" s="117">
        <v>3590753083</v>
      </c>
      <c r="G302" s="117">
        <f t="shared" si="54"/>
        <v>104373.25474522571</v>
      </c>
      <c r="H302" s="7"/>
      <c r="I302" s="101">
        <v>8.4260000000000002</v>
      </c>
      <c r="J302" s="117">
        <v>30255685</v>
      </c>
      <c r="K302" s="120">
        <f t="shared" ref="K302:K333" si="55">(J302/C302)</f>
        <v>879.44903060779586</v>
      </c>
      <c r="L302" s="122">
        <f t="shared" si="47"/>
        <v>35907530.829999998</v>
      </c>
      <c r="M302" s="116">
        <f t="shared" si="48"/>
        <v>5651845.8299999982</v>
      </c>
      <c r="N302" s="123">
        <f t="shared" si="49"/>
        <v>164.28351684446119</v>
      </c>
      <c r="O302" s="5"/>
      <c r="P302" s="5">
        <f t="shared" si="50"/>
        <v>1</v>
      </c>
      <c r="Q302" s="7">
        <f t="shared" si="51"/>
        <v>34403</v>
      </c>
    </row>
    <row r="303" spans="1:17">
      <c r="A303" s="23" t="s">
        <v>329</v>
      </c>
      <c r="B303" s="35" t="s">
        <v>300</v>
      </c>
      <c r="C303" s="36">
        <v>31201</v>
      </c>
      <c r="D303" s="113">
        <v>2910453835</v>
      </c>
      <c r="E303" s="116">
        <f t="shared" si="53"/>
        <v>93280.786994006601</v>
      </c>
      <c r="F303" s="117">
        <v>2123988269</v>
      </c>
      <c r="G303" s="117">
        <f t="shared" si="54"/>
        <v>68074.365212653443</v>
      </c>
      <c r="H303" s="7"/>
      <c r="I303" s="101">
        <v>1.93</v>
      </c>
      <c r="J303" s="117">
        <v>4099297</v>
      </c>
      <c r="K303" s="120">
        <f t="shared" si="55"/>
        <v>131.38351334893113</v>
      </c>
      <c r="L303" s="122">
        <f t="shared" si="47"/>
        <v>21239882.690000001</v>
      </c>
      <c r="M303" s="116">
        <f t="shared" si="48"/>
        <v>17140585.690000001</v>
      </c>
      <c r="N303" s="123">
        <f t="shared" si="49"/>
        <v>549.36013877760331</v>
      </c>
      <c r="O303" s="5"/>
      <c r="P303" s="5">
        <f t="shared" si="50"/>
        <v>1</v>
      </c>
      <c r="Q303" s="7">
        <f t="shared" si="51"/>
        <v>31201</v>
      </c>
    </row>
    <row r="304" spans="1:17">
      <c r="A304" s="23" t="s">
        <v>330</v>
      </c>
      <c r="B304" s="35" t="s">
        <v>300</v>
      </c>
      <c r="C304" s="36">
        <v>4626</v>
      </c>
      <c r="D304" s="113">
        <v>154164412</v>
      </c>
      <c r="E304" s="116">
        <f t="shared" si="53"/>
        <v>33325.640293990487</v>
      </c>
      <c r="F304" s="117">
        <v>56124747</v>
      </c>
      <c r="G304" s="117">
        <f t="shared" si="54"/>
        <v>12132.457198443581</v>
      </c>
      <c r="H304" s="7"/>
      <c r="I304" s="101">
        <v>6.3089000000000004</v>
      </c>
      <c r="J304" s="117">
        <v>354085</v>
      </c>
      <c r="K304" s="120">
        <f t="shared" si="55"/>
        <v>76.542369217466501</v>
      </c>
      <c r="L304" s="122">
        <f t="shared" si="47"/>
        <v>561247.47</v>
      </c>
      <c r="M304" s="116">
        <f t="shared" si="48"/>
        <v>207162.46999999997</v>
      </c>
      <c r="N304" s="123">
        <f t="shared" si="49"/>
        <v>44.782202766969299</v>
      </c>
      <c r="O304" s="5"/>
      <c r="P304" s="5">
        <f t="shared" si="50"/>
        <v>1</v>
      </c>
      <c r="Q304" s="7">
        <f t="shared" si="51"/>
        <v>4626</v>
      </c>
    </row>
    <row r="305" spans="1:17">
      <c r="A305" s="23" t="s">
        <v>331</v>
      </c>
      <c r="B305" s="35" t="s">
        <v>300</v>
      </c>
      <c r="C305" s="36">
        <v>1523</v>
      </c>
      <c r="D305" s="113">
        <v>379219361</v>
      </c>
      <c r="E305" s="116">
        <f t="shared" si="53"/>
        <v>248994.98424162838</v>
      </c>
      <c r="F305" s="117">
        <v>307403311</v>
      </c>
      <c r="G305" s="117">
        <f t="shared" si="54"/>
        <v>201840.65068942876</v>
      </c>
      <c r="H305" s="7"/>
      <c r="I305" s="101">
        <v>7.6512000000000002</v>
      </c>
      <c r="J305" s="117">
        <v>2352004</v>
      </c>
      <c r="K305" s="120">
        <f t="shared" si="55"/>
        <v>1544.3230466185162</v>
      </c>
      <c r="L305" s="122">
        <f t="shared" si="47"/>
        <v>3074033.11</v>
      </c>
      <c r="M305" s="116">
        <f t="shared" si="48"/>
        <v>722029.10999999987</v>
      </c>
      <c r="N305" s="123">
        <f t="shared" si="49"/>
        <v>474.08346027577142</v>
      </c>
      <c r="O305" s="5"/>
      <c r="P305" s="5">
        <f t="shared" si="50"/>
        <v>1</v>
      </c>
      <c r="Q305" s="7">
        <f t="shared" si="51"/>
        <v>1523</v>
      </c>
    </row>
    <row r="306" spans="1:17">
      <c r="A306" s="23" t="s">
        <v>332</v>
      </c>
      <c r="B306" s="35" t="s">
        <v>300</v>
      </c>
      <c r="C306" s="36">
        <v>5872</v>
      </c>
      <c r="D306" s="113">
        <v>1112704018</v>
      </c>
      <c r="E306" s="116">
        <f t="shared" si="53"/>
        <v>189493.19107629429</v>
      </c>
      <c r="F306" s="117">
        <v>831804193</v>
      </c>
      <c r="G306" s="117">
        <f t="shared" si="54"/>
        <v>141656.02741825613</v>
      </c>
      <c r="H306" s="7"/>
      <c r="I306" s="101">
        <v>5.7671000000000001</v>
      </c>
      <c r="J306" s="117">
        <v>4797098</v>
      </c>
      <c r="K306" s="120">
        <f t="shared" si="55"/>
        <v>816.94448228882834</v>
      </c>
      <c r="L306" s="122">
        <f t="shared" si="47"/>
        <v>8318041.9300000006</v>
      </c>
      <c r="M306" s="116">
        <f t="shared" si="48"/>
        <v>3520943.9300000006</v>
      </c>
      <c r="N306" s="123">
        <f t="shared" si="49"/>
        <v>599.6157918937331</v>
      </c>
      <c r="O306" s="5"/>
      <c r="P306" s="5">
        <f t="shared" si="50"/>
        <v>1</v>
      </c>
      <c r="Q306" s="7">
        <f t="shared" si="51"/>
        <v>5872</v>
      </c>
    </row>
    <row r="307" spans="1:17">
      <c r="A307" s="23" t="s">
        <v>333</v>
      </c>
      <c r="B307" s="35" t="s">
        <v>300</v>
      </c>
      <c r="C307" s="36">
        <v>55010</v>
      </c>
      <c r="D307" s="113">
        <v>8078294367</v>
      </c>
      <c r="E307" s="116">
        <f t="shared" si="53"/>
        <v>146851.37914924559</v>
      </c>
      <c r="F307" s="117">
        <v>6044475598</v>
      </c>
      <c r="G307" s="117">
        <f t="shared" si="54"/>
        <v>109879.57822214143</v>
      </c>
      <c r="H307" s="7"/>
      <c r="I307" s="101">
        <v>2.5</v>
      </c>
      <c r="J307" s="117">
        <v>15111189</v>
      </c>
      <c r="K307" s="120">
        <f t="shared" si="55"/>
        <v>274.69894564624616</v>
      </c>
      <c r="L307" s="122">
        <f t="shared" si="47"/>
        <v>60444755.980000004</v>
      </c>
      <c r="M307" s="116">
        <f t="shared" si="48"/>
        <v>45333566.980000004</v>
      </c>
      <c r="N307" s="123">
        <f t="shared" si="49"/>
        <v>824.09683657516825</v>
      </c>
      <c r="O307" s="5"/>
      <c r="P307" s="5">
        <f t="shared" si="50"/>
        <v>1</v>
      </c>
      <c r="Q307" s="7">
        <f t="shared" si="51"/>
        <v>55010</v>
      </c>
    </row>
    <row r="308" spans="1:17">
      <c r="A308" s="23" t="s">
        <v>334</v>
      </c>
      <c r="B308" s="35" t="s">
        <v>300</v>
      </c>
      <c r="C308" s="36">
        <v>103150</v>
      </c>
      <c r="D308" s="113">
        <v>13654009962</v>
      </c>
      <c r="E308" s="116">
        <f t="shared" si="53"/>
        <v>132370.43104217161</v>
      </c>
      <c r="F308" s="117">
        <v>10017236196</v>
      </c>
      <c r="G308" s="117">
        <f t="shared" si="54"/>
        <v>97113.293223460976</v>
      </c>
      <c r="H308" s="7"/>
      <c r="I308" s="101">
        <v>8.0739000000000001</v>
      </c>
      <c r="J308" s="117">
        <v>80878163</v>
      </c>
      <c r="K308" s="120">
        <f t="shared" si="55"/>
        <v>784.08301502666018</v>
      </c>
      <c r="L308" s="122">
        <f t="shared" si="47"/>
        <v>100172361.96000001</v>
      </c>
      <c r="M308" s="116">
        <f t="shared" si="48"/>
        <v>19294198.960000008</v>
      </c>
      <c r="N308" s="123">
        <f t="shared" si="49"/>
        <v>187.04991720794968</v>
      </c>
      <c r="O308" s="5"/>
      <c r="P308" s="5">
        <f t="shared" si="50"/>
        <v>1</v>
      </c>
      <c r="Q308" s="7">
        <f t="shared" si="51"/>
        <v>103150</v>
      </c>
    </row>
    <row r="309" spans="1:17">
      <c r="A309" s="23" t="s">
        <v>335</v>
      </c>
      <c r="B309" s="35" t="s">
        <v>336</v>
      </c>
      <c r="C309" s="36">
        <v>6960</v>
      </c>
      <c r="D309" s="113">
        <v>599578419</v>
      </c>
      <c r="E309" s="116">
        <f t="shared" si="53"/>
        <v>86146.324568965516</v>
      </c>
      <c r="F309" s="117">
        <v>279899252</v>
      </c>
      <c r="G309" s="117">
        <f t="shared" si="54"/>
        <v>40215.409770114944</v>
      </c>
      <c r="H309" s="7"/>
      <c r="I309" s="101">
        <v>7.1</v>
      </c>
      <c r="J309" s="117">
        <v>1987285</v>
      </c>
      <c r="K309" s="120">
        <f t="shared" si="55"/>
        <v>285.52945402298849</v>
      </c>
      <c r="L309" s="122">
        <f t="shared" si="47"/>
        <v>2798992.52</v>
      </c>
      <c r="M309" s="116">
        <f t="shared" si="48"/>
        <v>811707.52</v>
      </c>
      <c r="N309" s="123">
        <f t="shared" si="49"/>
        <v>116.62464367816092</v>
      </c>
      <c r="O309" s="5"/>
      <c r="P309" s="5">
        <f t="shared" si="50"/>
        <v>1</v>
      </c>
      <c r="Q309" s="7">
        <f t="shared" si="51"/>
        <v>6960</v>
      </c>
    </row>
    <row r="310" spans="1:17">
      <c r="A310" s="23" t="s">
        <v>337</v>
      </c>
      <c r="B310" s="35" t="s">
        <v>336</v>
      </c>
      <c r="C310" s="36">
        <v>16454</v>
      </c>
      <c r="D310" s="113">
        <v>1018536768</v>
      </c>
      <c r="E310" s="116">
        <f t="shared" si="53"/>
        <v>61902.076577124106</v>
      </c>
      <c r="F310" s="117">
        <v>675117081</v>
      </c>
      <c r="G310" s="117">
        <f t="shared" si="54"/>
        <v>41030.574996961222</v>
      </c>
      <c r="H310" s="7"/>
      <c r="I310" s="101">
        <v>8.1036999999999999</v>
      </c>
      <c r="J310" s="117">
        <v>5470946</v>
      </c>
      <c r="K310" s="120">
        <f t="shared" si="55"/>
        <v>332.49945302054209</v>
      </c>
      <c r="L310" s="122">
        <f t="shared" si="47"/>
        <v>6751170.8100000005</v>
      </c>
      <c r="M310" s="116">
        <f t="shared" si="48"/>
        <v>1280224.8100000005</v>
      </c>
      <c r="N310" s="123">
        <f t="shared" si="49"/>
        <v>77.806296949070173</v>
      </c>
      <c r="O310" s="5"/>
      <c r="P310" s="5">
        <f t="shared" si="50"/>
        <v>1</v>
      </c>
      <c r="Q310" s="7">
        <f t="shared" si="51"/>
        <v>16454</v>
      </c>
    </row>
    <row r="311" spans="1:17">
      <c r="A311" s="23" t="s">
        <v>338</v>
      </c>
      <c r="B311" s="35" t="s">
        <v>336</v>
      </c>
      <c r="C311" s="36">
        <v>3114</v>
      </c>
      <c r="D311" s="113">
        <v>383173318</v>
      </c>
      <c r="E311" s="116">
        <f t="shared" si="53"/>
        <v>123048.59280667952</v>
      </c>
      <c r="F311" s="117">
        <v>304067119</v>
      </c>
      <c r="G311" s="117">
        <f t="shared" si="54"/>
        <v>97645.189145793192</v>
      </c>
      <c r="H311" s="7"/>
      <c r="I311" s="101">
        <v>4.226</v>
      </c>
      <c r="J311" s="117">
        <v>1284988</v>
      </c>
      <c r="K311" s="120">
        <f t="shared" si="55"/>
        <v>412.64868336544635</v>
      </c>
      <c r="L311" s="122">
        <f t="shared" si="47"/>
        <v>3040671.19</v>
      </c>
      <c r="M311" s="116">
        <f t="shared" si="48"/>
        <v>1755683.19</v>
      </c>
      <c r="N311" s="123">
        <f t="shared" si="49"/>
        <v>563.80320809248553</v>
      </c>
      <c r="O311" s="5"/>
      <c r="P311" s="5">
        <f t="shared" si="50"/>
        <v>1</v>
      </c>
      <c r="Q311" s="7">
        <f t="shared" si="51"/>
        <v>3114</v>
      </c>
    </row>
    <row r="312" spans="1:17">
      <c r="A312" s="23" t="s">
        <v>339</v>
      </c>
      <c r="B312" s="35" t="s">
        <v>336</v>
      </c>
      <c r="C312" s="36">
        <v>966</v>
      </c>
      <c r="D312" s="113">
        <v>96256261</v>
      </c>
      <c r="E312" s="116">
        <f t="shared" si="53"/>
        <v>99644.162525879918</v>
      </c>
      <c r="F312" s="117">
        <v>55373868</v>
      </c>
      <c r="G312" s="117">
        <f t="shared" si="54"/>
        <v>57322.844720496898</v>
      </c>
      <c r="H312" s="7"/>
      <c r="I312" s="101">
        <v>2.4085999999999999</v>
      </c>
      <c r="J312" s="117">
        <v>133373</v>
      </c>
      <c r="K312" s="120">
        <f t="shared" si="55"/>
        <v>138.06728778467908</v>
      </c>
      <c r="L312" s="122">
        <f t="shared" si="47"/>
        <v>553738.68000000005</v>
      </c>
      <c r="M312" s="116">
        <f t="shared" si="48"/>
        <v>420365.68000000005</v>
      </c>
      <c r="N312" s="123">
        <f t="shared" si="49"/>
        <v>435.16115942028989</v>
      </c>
      <c r="O312" s="5"/>
      <c r="P312" s="5">
        <f t="shared" si="50"/>
        <v>1</v>
      </c>
      <c r="Q312" s="7">
        <f t="shared" si="51"/>
        <v>966</v>
      </c>
    </row>
    <row r="313" spans="1:17">
      <c r="A313" s="23" t="s">
        <v>547</v>
      </c>
      <c r="B313" s="35" t="s">
        <v>336</v>
      </c>
      <c r="C313" s="36">
        <v>1415</v>
      </c>
      <c r="D313" s="113">
        <v>91788219</v>
      </c>
      <c r="E313" s="116">
        <f t="shared" si="53"/>
        <v>64867.999293286222</v>
      </c>
      <c r="F313" s="117">
        <v>39425083</v>
      </c>
      <c r="G313" s="117">
        <f t="shared" si="54"/>
        <v>27862.249469964663</v>
      </c>
      <c r="H313" s="7"/>
      <c r="I313" s="101">
        <v>1.3</v>
      </c>
      <c r="J313" s="117">
        <v>51253</v>
      </c>
      <c r="K313" s="120">
        <f t="shared" si="55"/>
        <v>36.221201413427565</v>
      </c>
      <c r="L313" s="122">
        <f t="shared" si="47"/>
        <v>394250.83</v>
      </c>
      <c r="M313" s="116">
        <f t="shared" si="48"/>
        <v>342997.83</v>
      </c>
      <c r="N313" s="123">
        <f t="shared" si="49"/>
        <v>242.4012932862191</v>
      </c>
      <c r="O313" s="5"/>
      <c r="P313" s="5">
        <f t="shared" si="50"/>
        <v>1</v>
      </c>
      <c r="Q313" s="7">
        <f t="shared" si="51"/>
        <v>1415</v>
      </c>
    </row>
    <row r="314" spans="1:17">
      <c r="A314" s="23" t="s">
        <v>340</v>
      </c>
      <c r="B314" s="35" t="s">
        <v>336</v>
      </c>
      <c r="C314" s="36">
        <v>12434</v>
      </c>
      <c r="D314" s="113">
        <v>1050902069</v>
      </c>
      <c r="E314" s="116">
        <f t="shared" si="53"/>
        <v>84518.422792343568</v>
      </c>
      <c r="F314" s="117">
        <v>664209194</v>
      </c>
      <c r="G314" s="117">
        <f t="shared" si="54"/>
        <v>53418.78671384912</v>
      </c>
      <c r="H314" s="7"/>
      <c r="I314" s="101">
        <v>5.5707899999999997</v>
      </c>
      <c r="J314" s="117">
        <v>3700170</v>
      </c>
      <c r="K314" s="120">
        <f t="shared" si="55"/>
        <v>297.58484799742644</v>
      </c>
      <c r="L314" s="122">
        <f t="shared" si="47"/>
        <v>6642091.9400000004</v>
      </c>
      <c r="M314" s="116">
        <f t="shared" si="48"/>
        <v>2941921.9400000004</v>
      </c>
      <c r="N314" s="123">
        <f t="shared" si="49"/>
        <v>236.60301914106486</v>
      </c>
      <c r="O314" s="5"/>
      <c r="P314" s="5">
        <f t="shared" si="50"/>
        <v>1</v>
      </c>
      <c r="Q314" s="7">
        <f t="shared" si="51"/>
        <v>12434</v>
      </c>
    </row>
    <row r="315" spans="1:17">
      <c r="A315" s="23" t="s">
        <v>341</v>
      </c>
      <c r="B315" s="35" t="s">
        <v>342</v>
      </c>
      <c r="C315" s="36">
        <v>4145</v>
      </c>
      <c r="D315" s="113">
        <v>928795222</v>
      </c>
      <c r="E315" s="116">
        <f t="shared" si="53"/>
        <v>224076.04873341374</v>
      </c>
      <c r="F315" s="117">
        <v>701587679</v>
      </c>
      <c r="G315" s="117">
        <f t="shared" si="54"/>
        <v>169261.20120627261</v>
      </c>
      <c r="H315" s="7"/>
      <c r="I315" s="101">
        <v>4.5605000000000002</v>
      </c>
      <c r="J315" s="117">
        <v>3199591</v>
      </c>
      <c r="K315" s="120">
        <f t="shared" si="55"/>
        <v>771.91580217129069</v>
      </c>
      <c r="L315" s="122">
        <f t="shared" si="47"/>
        <v>7015876.79</v>
      </c>
      <c r="M315" s="116">
        <f t="shared" si="48"/>
        <v>3816285.79</v>
      </c>
      <c r="N315" s="123">
        <f t="shared" si="49"/>
        <v>920.6962098914355</v>
      </c>
      <c r="O315" s="5"/>
      <c r="P315" s="5">
        <f t="shared" si="50"/>
        <v>1</v>
      </c>
      <c r="Q315" s="7">
        <f t="shared" si="51"/>
        <v>4145</v>
      </c>
    </row>
    <row r="316" spans="1:17">
      <c r="A316" s="23" t="s">
        <v>343</v>
      </c>
      <c r="B316" s="35" t="s">
        <v>342</v>
      </c>
      <c r="C316" s="36">
        <v>1607</v>
      </c>
      <c r="D316" s="113">
        <v>500350585</v>
      </c>
      <c r="E316" s="116">
        <f t="shared" si="53"/>
        <v>311356.92906036094</v>
      </c>
      <c r="F316" s="117">
        <v>400624140</v>
      </c>
      <c r="G316" s="117">
        <f t="shared" si="54"/>
        <v>249299.40261356565</v>
      </c>
      <c r="H316" s="7"/>
      <c r="I316" s="101">
        <v>1.98</v>
      </c>
      <c r="J316" s="117">
        <v>793236</v>
      </c>
      <c r="K316" s="120">
        <f t="shared" si="55"/>
        <v>493.61294337274427</v>
      </c>
      <c r="L316" s="122">
        <f t="shared" si="47"/>
        <v>4006241.4</v>
      </c>
      <c r="M316" s="116">
        <f t="shared" si="48"/>
        <v>3213005.4</v>
      </c>
      <c r="N316" s="123">
        <f t="shared" si="49"/>
        <v>1999.3810827629122</v>
      </c>
      <c r="O316" s="5"/>
      <c r="P316" s="5">
        <f t="shared" si="50"/>
        <v>1</v>
      </c>
      <c r="Q316" s="7">
        <f t="shared" si="51"/>
        <v>1607</v>
      </c>
    </row>
    <row r="317" spans="1:17">
      <c r="A317" s="23" t="s">
        <v>344</v>
      </c>
      <c r="B317" s="35" t="s">
        <v>342</v>
      </c>
      <c r="C317" s="36">
        <v>2196</v>
      </c>
      <c r="D317" s="113">
        <v>265305779</v>
      </c>
      <c r="E317" s="116">
        <f t="shared" si="53"/>
        <v>120813.19626593807</v>
      </c>
      <c r="F317" s="117">
        <v>194082118</v>
      </c>
      <c r="G317" s="117">
        <f t="shared" si="54"/>
        <v>88379.835154826957</v>
      </c>
      <c r="H317" s="7"/>
      <c r="I317" s="101">
        <v>4.3499999999999996</v>
      </c>
      <c r="J317" s="117">
        <v>844257</v>
      </c>
      <c r="K317" s="120">
        <f t="shared" si="55"/>
        <v>384.45218579234972</v>
      </c>
      <c r="L317" s="122">
        <f t="shared" si="47"/>
        <v>1940821.18</v>
      </c>
      <c r="M317" s="116">
        <f t="shared" si="48"/>
        <v>1096564.18</v>
      </c>
      <c r="N317" s="123">
        <f t="shared" si="49"/>
        <v>499.3461657559198</v>
      </c>
      <c r="O317" s="5"/>
      <c r="P317" s="5">
        <f t="shared" si="50"/>
        <v>1</v>
      </c>
      <c r="Q317" s="7">
        <f t="shared" si="51"/>
        <v>2196</v>
      </c>
    </row>
    <row r="318" spans="1:17">
      <c r="A318" s="23" t="s">
        <v>345</v>
      </c>
      <c r="B318" s="35" t="s">
        <v>342</v>
      </c>
      <c r="C318" s="36">
        <v>72</v>
      </c>
      <c r="D318" s="113">
        <v>134612157</v>
      </c>
      <c r="E318" s="116">
        <f t="shared" si="53"/>
        <v>1869613.2916666667</v>
      </c>
      <c r="F318" s="117">
        <v>105300773</v>
      </c>
      <c r="G318" s="117">
        <f t="shared" si="54"/>
        <v>1462510.736111111</v>
      </c>
      <c r="H318" s="7"/>
      <c r="I318" s="101">
        <v>0.5988</v>
      </c>
      <c r="J318" s="117">
        <v>63054</v>
      </c>
      <c r="K318" s="120">
        <f t="shared" si="55"/>
        <v>875.75</v>
      </c>
      <c r="L318" s="122">
        <f t="shared" si="47"/>
        <v>1053007.73</v>
      </c>
      <c r="M318" s="116">
        <f t="shared" si="48"/>
        <v>989953.73</v>
      </c>
      <c r="N318" s="123">
        <f t="shared" si="49"/>
        <v>13749.357361111111</v>
      </c>
      <c r="O318" s="5"/>
      <c r="P318" s="5">
        <f t="shared" si="50"/>
        <v>1</v>
      </c>
      <c r="Q318" s="7">
        <f t="shared" si="51"/>
        <v>72</v>
      </c>
    </row>
    <row r="319" spans="1:17">
      <c r="A319" s="23" t="s">
        <v>346</v>
      </c>
      <c r="B319" s="35" t="s">
        <v>342</v>
      </c>
      <c r="C319" s="36">
        <v>109907</v>
      </c>
      <c r="D319" s="113">
        <v>12605714904</v>
      </c>
      <c r="E319" s="116">
        <f t="shared" si="53"/>
        <v>114694.37710063963</v>
      </c>
      <c r="F319" s="117">
        <v>8820492387</v>
      </c>
      <c r="G319" s="117">
        <f t="shared" si="54"/>
        <v>80254.145659512127</v>
      </c>
      <c r="H319" s="7"/>
      <c r="I319" s="101">
        <v>5.1550000000000002</v>
      </c>
      <c r="J319" s="117">
        <v>45469638</v>
      </c>
      <c r="K319" s="120">
        <f t="shared" si="55"/>
        <v>413.71011855477815</v>
      </c>
      <c r="L319" s="122">
        <f t="shared" si="47"/>
        <v>88204923.870000005</v>
      </c>
      <c r="M319" s="116">
        <f t="shared" si="48"/>
        <v>42735285.870000005</v>
      </c>
      <c r="N319" s="123">
        <f t="shared" si="49"/>
        <v>388.83133804034327</v>
      </c>
      <c r="O319" s="5"/>
      <c r="P319" s="5">
        <f t="shared" si="50"/>
        <v>1</v>
      </c>
      <c r="Q319" s="7">
        <f t="shared" si="51"/>
        <v>109907</v>
      </c>
    </row>
    <row r="320" spans="1:17">
      <c r="A320" s="23" t="s">
        <v>347</v>
      </c>
      <c r="B320" s="35" t="s">
        <v>342</v>
      </c>
      <c r="C320" s="36">
        <v>37451</v>
      </c>
      <c r="D320" s="113">
        <v>3278182101</v>
      </c>
      <c r="E320" s="116">
        <f t="shared" si="53"/>
        <v>87532.565245253805</v>
      </c>
      <c r="F320" s="117">
        <v>2023627504</v>
      </c>
      <c r="G320" s="117">
        <f t="shared" si="54"/>
        <v>54034.004539264643</v>
      </c>
      <c r="H320" s="7"/>
      <c r="I320" s="101">
        <v>3.5596999999999999</v>
      </c>
      <c r="J320" s="117">
        <v>7203507</v>
      </c>
      <c r="K320" s="120">
        <f t="shared" si="55"/>
        <v>192.34485060479025</v>
      </c>
      <c r="L320" s="122">
        <f t="shared" si="47"/>
        <v>20236275.039999999</v>
      </c>
      <c r="M320" s="116">
        <f t="shared" si="48"/>
        <v>13032768.039999999</v>
      </c>
      <c r="N320" s="123">
        <f t="shared" si="49"/>
        <v>347.99519478785612</v>
      </c>
      <c r="O320" s="5"/>
      <c r="P320" s="5">
        <f t="shared" si="50"/>
        <v>1</v>
      </c>
      <c r="Q320" s="7">
        <f t="shared" si="51"/>
        <v>37451</v>
      </c>
    </row>
    <row r="321" spans="1:17">
      <c r="A321" s="23" t="s">
        <v>348</v>
      </c>
      <c r="B321" s="35" t="s">
        <v>342</v>
      </c>
      <c r="C321" s="36">
        <v>12659</v>
      </c>
      <c r="D321" s="113">
        <v>1234461497</v>
      </c>
      <c r="E321" s="116">
        <f t="shared" si="53"/>
        <v>97516.509755904888</v>
      </c>
      <c r="F321" s="117">
        <v>798568343</v>
      </c>
      <c r="G321" s="117">
        <f t="shared" si="54"/>
        <v>63083.051030887116</v>
      </c>
      <c r="H321" s="7"/>
      <c r="I321" s="101">
        <v>3.4742000000000002</v>
      </c>
      <c r="J321" s="117">
        <v>2774386</v>
      </c>
      <c r="K321" s="120">
        <f t="shared" si="55"/>
        <v>219.16312504937198</v>
      </c>
      <c r="L321" s="122">
        <f t="shared" si="47"/>
        <v>7985683.4299999997</v>
      </c>
      <c r="M321" s="116">
        <f t="shared" si="48"/>
        <v>5211297.43</v>
      </c>
      <c r="N321" s="123">
        <f t="shared" si="49"/>
        <v>411.66738525949916</v>
      </c>
      <c r="O321" s="5"/>
      <c r="P321" s="5">
        <f t="shared" si="50"/>
        <v>1</v>
      </c>
      <c r="Q321" s="7">
        <f t="shared" si="51"/>
        <v>12659</v>
      </c>
    </row>
    <row r="322" spans="1:17">
      <c r="A322" s="23" t="s">
        <v>349</v>
      </c>
      <c r="B322" s="35" t="s">
        <v>342</v>
      </c>
      <c r="C322" s="36">
        <v>5211</v>
      </c>
      <c r="D322" s="113">
        <v>1110263063</v>
      </c>
      <c r="E322" s="116">
        <f t="shared" si="53"/>
        <v>213061.42064862791</v>
      </c>
      <c r="F322" s="117">
        <v>887568014</v>
      </c>
      <c r="G322" s="117">
        <f t="shared" si="54"/>
        <v>170325.85185185185</v>
      </c>
      <c r="H322" s="7"/>
      <c r="I322" s="101">
        <v>2</v>
      </c>
      <c r="J322" s="117">
        <v>1775136</v>
      </c>
      <c r="K322" s="120">
        <f t="shared" si="55"/>
        <v>340.65169833045479</v>
      </c>
      <c r="L322" s="122">
        <f t="shared" si="47"/>
        <v>8875680.1400000006</v>
      </c>
      <c r="M322" s="116">
        <f t="shared" si="48"/>
        <v>7100544.1400000006</v>
      </c>
      <c r="N322" s="123">
        <f t="shared" si="49"/>
        <v>1362.6068201880639</v>
      </c>
      <c r="O322" s="5"/>
      <c r="P322" s="5">
        <f t="shared" si="50"/>
        <v>1</v>
      </c>
      <c r="Q322" s="7">
        <f t="shared" si="51"/>
        <v>5211</v>
      </c>
    </row>
    <row r="323" spans="1:17">
      <c r="A323" s="23" t="s">
        <v>350</v>
      </c>
      <c r="B323" s="35" t="s">
        <v>342</v>
      </c>
      <c r="C323" s="36">
        <v>1787</v>
      </c>
      <c r="D323" s="113">
        <v>844799088</v>
      </c>
      <c r="E323" s="116">
        <f t="shared" si="53"/>
        <v>472747.11135982093</v>
      </c>
      <c r="F323" s="117">
        <v>749562914</v>
      </c>
      <c r="G323" s="117">
        <f t="shared" si="54"/>
        <v>419453.22551762732</v>
      </c>
      <c r="H323" s="7"/>
      <c r="I323" s="101">
        <v>1.75</v>
      </c>
      <c r="J323" s="117">
        <v>1311735</v>
      </c>
      <c r="K323" s="120">
        <f t="shared" si="55"/>
        <v>734.04308897593728</v>
      </c>
      <c r="L323" s="122">
        <f t="shared" si="47"/>
        <v>7495629.1400000006</v>
      </c>
      <c r="M323" s="116">
        <f t="shared" si="48"/>
        <v>6183894.1400000006</v>
      </c>
      <c r="N323" s="123">
        <f t="shared" si="49"/>
        <v>3460.4891662003361</v>
      </c>
      <c r="O323" s="5"/>
      <c r="P323" s="5">
        <f t="shared" si="50"/>
        <v>1</v>
      </c>
      <c r="Q323" s="7">
        <f t="shared" si="51"/>
        <v>1787</v>
      </c>
    </row>
    <row r="324" spans="1:17">
      <c r="A324" s="23" t="s">
        <v>351</v>
      </c>
      <c r="B324" s="35" t="s">
        <v>342</v>
      </c>
      <c r="C324" s="36">
        <v>4481</v>
      </c>
      <c r="D324" s="113">
        <v>231479044</v>
      </c>
      <c r="E324" s="116">
        <f t="shared" si="53"/>
        <v>51657.898683329615</v>
      </c>
      <c r="F324" s="117">
        <v>136992811</v>
      </c>
      <c r="G324" s="117">
        <f t="shared" si="54"/>
        <v>30571.928364204417</v>
      </c>
      <c r="H324" s="7"/>
      <c r="I324" s="101">
        <v>4.6234999999999999</v>
      </c>
      <c r="J324" s="117">
        <v>633386</v>
      </c>
      <c r="K324" s="120">
        <f t="shared" si="55"/>
        <v>141.34925239901807</v>
      </c>
      <c r="L324" s="122">
        <f t="shared" si="47"/>
        <v>1369928.11</v>
      </c>
      <c r="M324" s="116">
        <f t="shared" si="48"/>
        <v>736542.1100000001</v>
      </c>
      <c r="N324" s="123">
        <f t="shared" si="49"/>
        <v>164.37003124302612</v>
      </c>
      <c r="O324" s="5"/>
      <c r="P324" s="5">
        <f t="shared" si="50"/>
        <v>1</v>
      </c>
      <c r="Q324" s="7">
        <f t="shared" si="51"/>
        <v>4481</v>
      </c>
    </row>
    <row r="325" spans="1:17">
      <c r="A325" s="23" t="s">
        <v>352</v>
      </c>
      <c r="B325" s="35" t="s">
        <v>342</v>
      </c>
      <c r="C325" s="36">
        <v>74805</v>
      </c>
      <c r="D325" s="113">
        <v>5570077244</v>
      </c>
      <c r="E325" s="116">
        <f t="shared" si="53"/>
        <v>74461.295956152666</v>
      </c>
      <c r="F325" s="117">
        <v>3897783107</v>
      </c>
      <c r="G325" s="117">
        <f t="shared" si="54"/>
        <v>52105.916810373637</v>
      </c>
      <c r="H325" s="7"/>
      <c r="I325" s="101">
        <v>4.3113000000000001</v>
      </c>
      <c r="J325" s="117">
        <v>16804512</v>
      </c>
      <c r="K325" s="120">
        <f t="shared" si="55"/>
        <v>224.64423501102868</v>
      </c>
      <c r="L325" s="122">
        <f t="shared" si="47"/>
        <v>38977831.07</v>
      </c>
      <c r="M325" s="116">
        <f t="shared" si="48"/>
        <v>22173319.07</v>
      </c>
      <c r="N325" s="123">
        <f t="shared" si="49"/>
        <v>296.41493309270771</v>
      </c>
      <c r="O325" s="5"/>
      <c r="P325" s="5">
        <f t="shared" si="50"/>
        <v>1</v>
      </c>
      <c r="Q325" s="7">
        <f t="shared" si="51"/>
        <v>74805</v>
      </c>
    </row>
    <row r="326" spans="1:17">
      <c r="A326" s="23" t="s">
        <v>353</v>
      </c>
      <c r="B326" s="35" t="s">
        <v>342</v>
      </c>
      <c r="C326" s="36">
        <v>4427</v>
      </c>
      <c r="D326" s="113">
        <v>1211740495</v>
      </c>
      <c r="E326" s="116">
        <f t="shared" si="53"/>
        <v>273715.94646487461</v>
      </c>
      <c r="F326" s="117">
        <v>965078602</v>
      </c>
      <c r="G326" s="117">
        <f t="shared" si="54"/>
        <v>217998.32889089678</v>
      </c>
      <c r="H326" s="7"/>
      <c r="I326" s="101">
        <v>1.7954000000000001</v>
      </c>
      <c r="J326" s="117">
        <v>1732702</v>
      </c>
      <c r="K326" s="120">
        <f t="shared" si="55"/>
        <v>391.39417212559295</v>
      </c>
      <c r="L326" s="122">
        <f t="shared" ref="L326:L389" si="56">(F326*0.01)</f>
        <v>9650786.0199999996</v>
      </c>
      <c r="M326" s="116">
        <f t="shared" ref="M326:M389" si="57">(L326-J326)</f>
        <v>7918084.0199999996</v>
      </c>
      <c r="N326" s="123">
        <f t="shared" ref="N326:N389" si="58">(M326/C326)</f>
        <v>1788.5891167833747</v>
      </c>
      <c r="O326" s="5"/>
      <c r="P326" s="5">
        <f t="shared" ref="P326:P389" si="59">IF(I326&gt;0,1,0)</f>
        <v>1</v>
      </c>
      <c r="Q326" s="7">
        <f t="shared" ref="Q326:Q389" si="60">IF(I326&gt;0,C326,0)</f>
        <v>4427</v>
      </c>
    </row>
    <row r="327" spans="1:17">
      <c r="A327" s="23" t="s">
        <v>354</v>
      </c>
      <c r="B327" s="35" t="s">
        <v>342</v>
      </c>
      <c r="C327" s="36">
        <v>1517</v>
      </c>
      <c r="D327" s="113">
        <v>485516157</v>
      </c>
      <c r="E327" s="116">
        <f t="shared" si="53"/>
        <v>320050.20237310481</v>
      </c>
      <c r="F327" s="117">
        <v>421258310</v>
      </c>
      <c r="G327" s="117">
        <f t="shared" si="54"/>
        <v>277691.70072511537</v>
      </c>
      <c r="H327" s="7"/>
      <c r="I327" s="101">
        <v>0.75109999999999999</v>
      </c>
      <c r="J327" s="117">
        <v>316407</v>
      </c>
      <c r="K327" s="120">
        <f t="shared" si="55"/>
        <v>208.57415952537903</v>
      </c>
      <c r="L327" s="122">
        <f t="shared" si="56"/>
        <v>4212583.0999999996</v>
      </c>
      <c r="M327" s="116">
        <f t="shared" si="57"/>
        <v>3896176.0999999996</v>
      </c>
      <c r="N327" s="123">
        <f t="shared" si="58"/>
        <v>2568.3428477257744</v>
      </c>
      <c r="O327" s="5"/>
      <c r="P327" s="5">
        <f t="shared" si="59"/>
        <v>1</v>
      </c>
      <c r="Q327" s="7">
        <f t="shared" si="60"/>
        <v>1517</v>
      </c>
    </row>
    <row r="328" spans="1:17">
      <c r="A328" s="23" t="s">
        <v>355</v>
      </c>
      <c r="B328" s="35" t="s">
        <v>342</v>
      </c>
      <c r="C328" s="36">
        <v>13817</v>
      </c>
      <c r="D328" s="113">
        <v>1609799895</v>
      </c>
      <c r="E328" s="116">
        <f t="shared" si="53"/>
        <v>116508.64116667873</v>
      </c>
      <c r="F328" s="117">
        <v>1212546588</v>
      </c>
      <c r="G328" s="117">
        <f t="shared" si="54"/>
        <v>87757.587609466602</v>
      </c>
      <c r="H328" s="7"/>
      <c r="I328" s="101">
        <v>4.05</v>
      </c>
      <c r="J328" s="117">
        <v>4910814</v>
      </c>
      <c r="K328" s="120">
        <f t="shared" si="55"/>
        <v>355.41825287689079</v>
      </c>
      <c r="L328" s="122">
        <f t="shared" si="56"/>
        <v>12125465.880000001</v>
      </c>
      <c r="M328" s="116">
        <f t="shared" si="57"/>
        <v>7214651.8800000008</v>
      </c>
      <c r="N328" s="123">
        <f t="shared" si="58"/>
        <v>522.15762321777527</v>
      </c>
      <c r="O328" s="5"/>
      <c r="P328" s="5">
        <f t="shared" si="59"/>
        <v>1</v>
      </c>
      <c r="Q328" s="7">
        <f t="shared" si="60"/>
        <v>13817</v>
      </c>
    </row>
    <row r="329" spans="1:17">
      <c r="A329" s="23" t="s">
        <v>356</v>
      </c>
      <c r="B329" s="35" t="s">
        <v>342</v>
      </c>
      <c r="C329" s="36">
        <v>48939</v>
      </c>
      <c r="D329" s="113">
        <v>4377231822</v>
      </c>
      <c r="E329" s="116">
        <f t="shared" si="53"/>
        <v>89442.608594372592</v>
      </c>
      <c r="F329" s="117">
        <v>3093530373</v>
      </c>
      <c r="G329" s="117">
        <f t="shared" si="54"/>
        <v>63211.965365046279</v>
      </c>
      <c r="H329" s="7"/>
      <c r="I329" s="101">
        <v>4.5477999999999996</v>
      </c>
      <c r="J329" s="117">
        <v>14068757</v>
      </c>
      <c r="K329" s="120">
        <f t="shared" si="55"/>
        <v>287.47536729397819</v>
      </c>
      <c r="L329" s="122">
        <f t="shared" si="56"/>
        <v>30935303.73</v>
      </c>
      <c r="M329" s="116">
        <f t="shared" si="57"/>
        <v>16866546.73</v>
      </c>
      <c r="N329" s="123">
        <f t="shared" si="58"/>
        <v>344.6442863564846</v>
      </c>
      <c r="O329" s="5"/>
      <c r="P329" s="5">
        <f t="shared" si="59"/>
        <v>1</v>
      </c>
      <c r="Q329" s="7">
        <f t="shared" si="60"/>
        <v>48939</v>
      </c>
    </row>
    <row r="330" spans="1:17">
      <c r="A330" s="23" t="s">
        <v>357</v>
      </c>
      <c r="B330" s="35" t="s">
        <v>342</v>
      </c>
      <c r="C330" s="36">
        <v>1597</v>
      </c>
      <c r="D330" s="113">
        <v>436087779</v>
      </c>
      <c r="E330" s="116">
        <f t="shared" si="53"/>
        <v>273066.8622417032</v>
      </c>
      <c r="F330" s="117">
        <v>342281169</v>
      </c>
      <c r="G330" s="117">
        <f t="shared" si="54"/>
        <v>214327.59486537258</v>
      </c>
      <c r="H330" s="7"/>
      <c r="I330" s="101">
        <v>1.9410000000000001</v>
      </c>
      <c r="J330" s="117">
        <v>664368</v>
      </c>
      <c r="K330" s="120">
        <f t="shared" si="55"/>
        <v>416.01001878522231</v>
      </c>
      <c r="L330" s="122">
        <f t="shared" si="56"/>
        <v>3422811.69</v>
      </c>
      <c r="M330" s="116">
        <f t="shared" si="57"/>
        <v>2758443.69</v>
      </c>
      <c r="N330" s="123">
        <f t="shared" si="58"/>
        <v>1727.2659298685035</v>
      </c>
      <c r="O330" s="5"/>
      <c r="P330" s="5">
        <f t="shared" si="59"/>
        <v>1</v>
      </c>
      <c r="Q330" s="7">
        <f t="shared" si="60"/>
        <v>1597</v>
      </c>
    </row>
    <row r="331" spans="1:17">
      <c r="A331" s="23" t="s">
        <v>358</v>
      </c>
      <c r="B331" s="35" t="s">
        <v>342</v>
      </c>
      <c r="C331" s="36">
        <v>2504</v>
      </c>
      <c r="D331" s="113">
        <v>644526047</v>
      </c>
      <c r="E331" s="116">
        <f t="shared" si="53"/>
        <v>257398.58107028753</v>
      </c>
      <c r="F331" s="117">
        <v>533944693</v>
      </c>
      <c r="G331" s="117">
        <f t="shared" si="54"/>
        <v>213236.69848242812</v>
      </c>
      <c r="H331" s="7"/>
      <c r="I331" s="101">
        <v>2</v>
      </c>
      <c r="J331" s="117">
        <v>1067889</v>
      </c>
      <c r="K331" s="120">
        <f t="shared" si="55"/>
        <v>426.47324281150162</v>
      </c>
      <c r="L331" s="122">
        <f t="shared" si="56"/>
        <v>5339446.93</v>
      </c>
      <c r="M331" s="116">
        <f t="shared" si="57"/>
        <v>4271557.93</v>
      </c>
      <c r="N331" s="123">
        <f t="shared" si="58"/>
        <v>1705.8937420127795</v>
      </c>
      <c r="O331" s="5"/>
      <c r="P331" s="5">
        <f t="shared" si="59"/>
        <v>1</v>
      </c>
      <c r="Q331" s="7">
        <f t="shared" si="60"/>
        <v>2504</v>
      </c>
    </row>
    <row r="332" spans="1:17">
      <c r="A332" s="23" t="s">
        <v>359</v>
      </c>
      <c r="B332" s="35" t="s">
        <v>342</v>
      </c>
      <c r="C332" s="36">
        <v>17708</v>
      </c>
      <c r="D332" s="113">
        <v>1777045529</v>
      </c>
      <c r="E332" s="116">
        <f t="shared" si="53"/>
        <v>100352.6953354416</v>
      </c>
      <c r="F332" s="117">
        <v>1089449620</v>
      </c>
      <c r="G332" s="117">
        <f t="shared" si="54"/>
        <v>61523.018974474813</v>
      </c>
      <c r="H332" s="7"/>
      <c r="I332" s="101">
        <v>3.0674000000000001</v>
      </c>
      <c r="J332" s="117">
        <v>3341778</v>
      </c>
      <c r="K332" s="120">
        <f t="shared" si="55"/>
        <v>188.71572170770273</v>
      </c>
      <c r="L332" s="122">
        <f t="shared" si="56"/>
        <v>10894496.200000001</v>
      </c>
      <c r="M332" s="116">
        <f t="shared" si="57"/>
        <v>7552718.2000000011</v>
      </c>
      <c r="N332" s="123">
        <f t="shared" si="58"/>
        <v>426.51446803704545</v>
      </c>
      <c r="O332" s="5"/>
      <c r="P332" s="5">
        <f t="shared" si="59"/>
        <v>1</v>
      </c>
      <c r="Q332" s="7">
        <f t="shared" si="60"/>
        <v>17708</v>
      </c>
    </row>
    <row r="333" spans="1:17">
      <c r="A333" s="23" t="s">
        <v>360</v>
      </c>
      <c r="B333" s="35" t="s">
        <v>342</v>
      </c>
      <c r="C333" s="36">
        <v>18888</v>
      </c>
      <c r="D333" s="113">
        <v>1737755407</v>
      </c>
      <c r="E333" s="116">
        <f t="shared" si="53"/>
        <v>92003.145224481152</v>
      </c>
      <c r="F333" s="117">
        <v>1143511568</v>
      </c>
      <c r="G333" s="117">
        <f t="shared" si="54"/>
        <v>60541.696738670056</v>
      </c>
      <c r="H333" s="7"/>
      <c r="I333" s="101">
        <v>2.4792999999999998</v>
      </c>
      <c r="J333" s="117">
        <v>2835108</v>
      </c>
      <c r="K333" s="120">
        <f t="shared" si="55"/>
        <v>150.10101651842439</v>
      </c>
      <c r="L333" s="122">
        <f t="shared" si="56"/>
        <v>11435115.68</v>
      </c>
      <c r="M333" s="116">
        <f t="shared" si="57"/>
        <v>8600007.6799999997</v>
      </c>
      <c r="N333" s="123">
        <f t="shared" si="58"/>
        <v>455.31595086827616</v>
      </c>
      <c r="O333" s="5"/>
      <c r="P333" s="5">
        <f t="shared" si="59"/>
        <v>1</v>
      </c>
      <c r="Q333" s="7">
        <f t="shared" si="60"/>
        <v>18888</v>
      </c>
    </row>
    <row r="334" spans="1:17">
      <c r="A334" s="23" t="s">
        <v>361</v>
      </c>
      <c r="B334" s="35" t="s">
        <v>342</v>
      </c>
      <c r="C334" s="36">
        <v>5285</v>
      </c>
      <c r="D334" s="113">
        <v>630524041</v>
      </c>
      <c r="E334" s="116">
        <f t="shared" si="53"/>
        <v>119304.45430463576</v>
      </c>
      <c r="F334" s="117">
        <v>475651088</v>
      </c>
      <c r="G334" s="117">
        <f t="shared" si="54"/>
        <v>90000.205865657525</v>
      </c>
      <c r="H334" s="7"/>
      <c r="I334" s="101">
        <v>1.6984999999999999</v>
      </c>
      <c r="J334" s="117">
        <v>807893</v>
      </c>
      <c r="K334" s="120">
        <f t="shared" ref="K334:K365" si="61">(J334/C334)</f>
        <v>152.86527909176917</v>
      </c>
      <c r="L334" s="122">
        <f t="shared" si="56"/>
        <v>4756510.88</v>
      </c>
      <c r="M334" s="116">
        <f t="shared" si="57"/>
        <v>3948617.88</v>
      </c>
      <c r="N334" s="123">
        <f t="shared" si="58"/>
        <v>747.13677956480603</v>
      </c>
      <c r="O334" s="5"/>
      <c r="P334" s="5">
        <f t="shared" si="59"/>
        <v>1</v>
      </c>
      <c r="Q334" s="7">
        <f t="shared" si="60"/>
        <v>5285</v>
      </c>
    </row>
    <row r="335" spans="1:17">
      <c r="A335" s="24" t="s">
        <v>561</v>
      </c>
      <c r="B335" s="35" t="s">
        <v>342</v>
      </c>
      <c r="C335" s="36">
        <v>9822</v>
      </c>
      <c r="D335" s="113">
        <v>2906636285</v>
      </c>
      <c r="E335" s="116">
        <f t="shared" si="53"/>
        <v>295931.20392995316</v>
      </c>
      <c r="F335" s="117">
        <v>2276358472</v>
      </c>
      <c r="G335" s="117">
        <f t="shared" si="54"/>
        <v>231761.19649765833</v>
      </c>
      <c r="H335" s="7"/>
      <c r="I335" s="101">
        <v>2.4834000000000001</v>
      </c>
      <c r="J335" s="117">
        <v>5653109</v>
      </c>
      <c r="K335" s="120">
        <f t="shared" si="61"/>
        <v>575.55579311749136</v>
      </c>
      <c r="L335" s="122">
        <f t="shared" si="56"/>
        <v>22763584.719999999</v>
      </c>
      <c r="M335" s="116">
        <f t="shared" si="57"/>
        <v>17110475.719999999</v>
      </c>
      <c r="N335" s="123">
        <f t="shared" si="58"/>
        <v>1742.0561718590918</v>
      </c>
      <c r="O335" s="5"/>
      <c r="P335" s="5">
        <f t="shared" si="59"/>
        <v>1</v>
      </c>
      <c r="Q335" s="7">
        <f t="shared" si="60"/>
        <v>9822</v>
      </c>
    </row>
    <row r="336" spans="1:17">
      <c r="A336" s="23" t="s">
        <v>548</v>
      </c>
      <c r="B336" s="35" t="s">
        <v>342</v>
      </c>
      <c r="C336" s="36">
        <v>248729</v>
      </c>
      <c r="D336" s="113">
        <v>22857053266</v>
      </c>
      <c r="E336" s="116">
        <f t="shared" si="53"/>
        <v>91895.409325008339</v>
      </c>
      <c r="F336" s="117">
        <v>14560445457</v>
      </c>
      <c r="G336" s="117">
        <f t="shared" si="54"/>
        <v>58539.396117863216</v>
      </c>
      <c r="H336" s="7"/>
      <c r="I336" s="101">
        <v>5.9124999999999996</v>
      </c>
      <c r="J336" s="117">
        <v>86088634</v>
      </c>
      <c r="K336" s="120">
        <f t="shared" si="61"/>
        <v>346.11418049362959</v>
      </c>
      <c r="L336" s="122">
        <f t="shared" si="56"/>
        <v>145604454.56999999</v>
      </c>
      <c r="M336" s="116">
        <f t="shared" si="57"/>
        <v>59515820.569999993</v>
      </c>
      <c r="N336" s="123">
        <f t="shared" si="58"/>
        <v>239.27978068500252</v>
      </c>
      <c r="O336" s="5"/>
      <c r="P336" s="5">
        <f t="shared" si="59"/>
        <v>1</v>
      </c>
      <c r="Q336" s="7">
        <f t="shared" si="60"/>
        <v>248729</v>
      </c>
    </row>
    <row r="337" spans="1:17">
      <c r="A337" s="23" t="s">
        <v>362</v>
      </c>
      <c r="B337" s="35" t="s">
        <v>342</v>
      </c>
      <c r="C337" s="36">
        <v>24472</v>
      </c>
      <c r="D337" s="113">
        <v>2400550007</v>
      </c>
      <c r="E337" s="116">
        <f t="shared" si="53"/>
        <v>98093.740070284402</v>
      </c>
      <c r="F337" s="117">
        <v>1583360048</v>
      </c>
      <c r="G337" s="117">
        <f t="shared" si="54"/>
        <v>64700.884602811377</v>
      </c>
      <c r="H337" s="7"/>
      <c r="I337" s="101">
        <v>4.95</v>
      </c>
      <c r="J337" s="117">
        <v>7837632</v>
      </c>
      <c r="K337" s="120">
        <f t="shared" si="61"/>
        <v>320.26936907486106</v>
      </c>
      <c r="L337" s="122">
        <f t="shared" si="56"/>
        <v>15833600.48</v>
      </c>
      <c r="M337" s="116">
        <f t="shared" si="57"/>
        <v>7995968.4800000004</v>
      </c>
      <c r="N337" s="123">
        <f t="shared" si="58"/>
        <v>326.73947695325273</v>
      </c>
      <c r="O337" s="5"/>
      <c r="P337" s="5">
        <f t="shared" si="59"/>
        <v>1</v>
      </c>
      <c r="Q337" s="7">
        <f t="shared" si="60"/>
        <v>24472</v>
      </c>
    </row>
    <row r="338" spans="1:17">
      <c r="A338" s="23" t="s">
        <v>363</v>
      </c>
      <c r="B338" s="35" t="s">
        <v>342</v>
      </c>
      <c r="C338" s="36">
        <v>7609</v>
      </c>
      <c r="D338" s="113">
        <v>1903249486</v>
      </c>
      <c r="E338" s="116">
        <f t="shared" si="53"/>
        <v>250131.35576291234</v>
      </c>
      <c r="F338" s="117">
        <v>1493150720</v>
      </c>
      <c r="G338" s="117">
        <f t="shared" si="54"/>
        <v>196234.81666447627</v>
      </c>
      <c r="H338" s="7"/>
      <c r="I338" s="101">
        <v>2.6867999999999999</v>
      </c>
      <c r="J338" s="117">
        <v>4011797</v>
      </c>
      <c r="K338" s="120">
        <f t="shared" si="61"/>
        <v>527.24365882507561</v>
      </c>
      <c r="L338" s="122">
        <f t="shared" si="56"/>
        <v>14931507.200000001</v>
      </c>
      <c r="M338" s="116">
        <f t="shared" si="57"/>
        <v>10919710.200000001</v>
      </c>
      <c r="N338" s="123">
        <f t="shared" si="58"/>
        <v>1435.1045078196873</v>
      </c>
      <c r="O338" s="5"/>
      <c r="P338" s="5">
        <f t="shared" si="59"/>
        <v>1</v>
      </c>
      <c r="Q338" s="7">
        <f t="shared" si="60"/>
        <v>7609</v>
      </c>
    </row>
    <row r="339" spans="1:17">
      <c r="A339" s="23" t="s">
        <v>364</v>
      </c>
      <c r="B339" s="35" t="s">
        <v>365</v>
      </c>
      <c r="C339" s="36">
        <v>14033</v>
      </c>
      <c r="D339" s="113">
        <v>1338323360</v>
      </c>
      <c r="E339" s="116">
        <f t="shared" si="53"/>
        <v>95369.725646689942</v>
      </c>
      <c r="F339" s="117">
        <v>994938656</v>
      </c>
      <c r="G339" s="117">
        <f t="shared" si="54"/>
        <v>70899.925603933589</v>
      </c>
      <c r="H339" s="7"/>
      <c r="I339" s="101">
        <v>3.8393000000000002</v>
      </c>
      <c r="J339" s="117">
        <v>3819868</v>
      </c>
      <c r="K339" s="120">
        <f t="shared" si="61"/>
        <v>272.20608565524122</v>
      </c>
      <c r="L339" s="122">
        <f t="shared" si="56"/>
        <v>9949386.5600000005</v>
      </c>
      <c r="M339" s="116">
        <f t="shared" si="57"/>
        <v>6129518.5600000005</v>
      </c>
      <c r="N339" s="123">
        <f t="shared" si="58"/>
        <v>436.79317038409465</v>
      </c>
      <c r="O339" s="5"/>
      <c r="P339" s="5">
        <f t="shared" si="59"/>
        <v>1</v>
      </c>
      <c r="Q339" s="7">
        <f t="shared" si="60"/>
        <v>14033</v>
      </c>
    </row>
    <row r="340" spans="1:17">
      <c r="A340" s="23" t="s">
        <v>366</v>
      </c>
      <c r="B340" s="35" t="s">
        <v>365</v>
      </c>
      <c r="C340" s="36">
        <v>17007</v>
      </c>
      <c r="D340" s="113">
        <v>1177023827</v>
      </c>
      <c r="E340" s="116">
        <f t="shared" si="53"/>
        <v>69208.198212500734</v>
      </c>
      <c r="F340" s="117">
        <v>653360179</v>
      </c>
      <c r="G340" s="117">
        <f t="shared" si="54"/>
        <v>38417.132886458516</v>
      </c>
      <c r="H340" s="7"/>
      <c r="I340" s="101">
        <v>3.9962</v>
      </c>
      <c r="J340" s="117">
        <v>2610958</v>
      </c>
      <c r="K340" s="120">
        <f t="shared" si="61"/>
        <v>153.52254953842535</v>
      </c>
      <c r="L340" s="122">
        <f t="shared" si="56"/>
        <v>6533601.79</v>
      </c>
      <c r="M340" s="116">
        <f t="shared" si="57"/>
        <v>3922643.79</v>
      </c>
      <c r="N340" s="123">
        <f t="shared" si="58"/>
        <v>230.64877932615983</v>
      </c>
      <c r="O340" s="5"/>
      <c r="P340" s="5">
        <f t="shared" si="59"/>
        <v>1</v>
      </c>
      <c r="Q340" s="7">
        <f t="shared" si="60"/>
        <v>17007</v>
      </c>
    </row>
    <row r="341" spans="1:17">
      <c r="A341" s="23" t="s">
        <v>367</v>
      </c>
      <c r="B341" s="35" t="s">
        <v>365</v>
      </c>
      <c r="C341" s="36">
        <v>2758</v>
      </c>
      <c r="D341" s="113">
        <v>216258471</v>
      </c>
      <c r="E341" s="116">
        <f t="shared" si="53"/>
        <v>78411.338288614934</v>
      </c>
      <c r="F341" s="117">
        <v>139216187</v>
      </c>
      <c r="G341" s="117">
        <f t="shared" si="54"/>
        <v>50477.225163161711</v>
      </c>
      <c r="H341" s="7"/>
      <c r="I341" s="101">
        <v>5.9791999999999996</v>
      </c>
      <c r="J341" s="117">
        <v>832401</v>
      </c>
      <c r="K341" s="120">
        <f t="shared" si="61"/>
        <v>301.81327048585933</v>
      </c>
      <c r="L341" s="122">
        <f t="shared" si="56"/>
        <v>1392161.87</v>
      </c>
      <c r="M341" s="116">
        <f t="shared" si="57"/>
        <v>559760.87000000011</v>
      </c>
      <c r="N341" s="123">
        <f t="shared" si="58"/>
        <v>202.95898114575783</v>
      </c>
      <c r="O341" s="5"/>
      <c r="P341" s="5">
        <f t="shared" si="59"/>
        <v>1</v>
      </c>
      <c r="Q341" s="7">
        <f t="shared" si="60"/>
        <v>2758</v>
      </c>
    </row>
    <row r="342" spans="1:17">
      <c r="A342" s="23" t="s">
        <v>368</v>
      </c>
      <c r="B342" s="35" t="s">
        <v>365</v>
      </c>
      <c r="C342" s="36">
        <v>3299</v>
      </c>
      <c r="D342" s="113">
        <v>279074963</v>
      </c>
      <c r="E342" s="116">
        <f t="shared" si="53"/>
        <v>84593.805092452254</v>
      </c>
      <c r="F342" s="117">
        <v>161974953</v>
      </c>
      <c r="G342" s="117">
        <f t="shared" si="54"/>
        <v>49098.197332525007</v>
      </c>
      <c r="H342" s="9"/>
      <c r="I342" s="101">
        <v>7</v>
      </c>
      <c r="J342" s="117">
        <v>1133825</v>
      </c>
      <c r="K342" s="120">
        <f t="shared" si="61"/>
        <v>343.68748105486509</v>
      </c>
      <c r="L342" s="122">
        <f t="shared" si="56"/>
        <v>1619749.53</v>
      </c>
      <c r="M342" s="116">
        <f t="shared" si="57"/>
        <v>485924.53</v>
      </c>
      <c r="N342" s="123">
        <f t="shared" si="58"/>
        <v>147.29449227038498</v>
      </c>
      <c r="O342" s="5"/>
      <c r="P342" s="5">
        <f t="shared" si="59"/>
        <v>1</v>
      </c>
      <c r="Q342" s="7">
        <f t="shared" si="60"/>
        <v>3299</v>
      </c>
    </row>
    <row r="343" spans="1:17">
      <c r="A343" s="23" t="s">
        <v>369</v>
      </c>
      <c r="B343" s="35" t="s">
        <v>365</v>
      </c>
      <c r="C343" s="36">
        <v>2825</v>
      </c>
      <c r="D343" s="113">
        <v>146441707</v>
      </c>
      <c r="E343" s="116">
        <f t="shared" si="53"/>
        <v>51837.772389380531</v>
      </c>
      <c r="F343" s="117">
        <v>71833439</v>
      </c>
      <c r="G343" s="117">
        <f t="shared" si="54"/>
        <v>25427.766017699116</v>
      </c>
      <c r="H343" s="7"/>
      <c r="I343" s="101">
        <v>7.6516000000000002</v>
      </c>
      <c r="J343" s="117">
        <v>549641</v>
      </c>
      <c r="K343" s="120">
        <f t="shared" si="61"/>
        <v>194.56318584070797</v>
      </c>
      <c r="L343" s="122">
        <f t="shared" si="56"/>
        <v>718334.39</v>
      </c>
      <c r="M343" s="116">
        <f t="shared" si="57"/>
        <v>168693.39</v>
      </c>
      <c r="N343" s="123">
        <f t="shared" si="58"/>
        <v>59.714474336283189</v>
      </c>
      <c r="O343" s="5"/>
      <c r="P343" s="5">
        <f t="shared" si="59"/>
        <v>1</v>
      </c>
      <c r="Q343" s="7">
        <f t="shared" si="60"/>
        <v>2825</v>
      </c>
    </row>
    <row r="344" spans="1:17">
      <c r="A344" s="23" t="s">
        <v>370</v>
      </c>
      <c r="B344" s="35" t="s">
        <v>365</v>
      </c>
      <c r="C344" s="36">
        <v>5766</v>
      </c>
      <c r="D344" s="113">
        <v>233131823</v>
      </c>
      <c r="E344" s="116">
        <f t="shared" si="53"/>
        <v>40432.157995143949</v>
      </c>
      <c r="F344" s="117">
        <v>117686927</v>
      </c>
      <c r="G344" s="117">
        <f t="shared" si="54"/>
        <v>20410.497225112729</v>
      </c>
      <c r="H344" s="7"/>
      <c r="I344" s="101">
        <v>3.3509000000000002</v>
      </c>
      <c r="J344" s="117">
        <v>394357</v>
      </c>
      <c r="K344" s="120">
        <f t="shared" si="61"/>
        <v>68.393513701005901</v>
      </c>
      <c r="L344" s="122">
        <f t="shared" si="56"/>
        <v>1176869.27</v>
      </c>
      <c r="M344" s="116">
        <f t="shared" si="57"/>
        <v>782512.27</v>
      </c>
      <c r="N344" s="123">
        <f t="shared" si="58"/>
        <v>135.71145855012139</v>
      </c>
      <c r="O344" s="5"/>
      <c r="P344" s="5">
        <f t="shared" si="59"/>
        <v>1</v>
      </c>
      <c r="Q344" s="7">
        <f t="shared" si="60"/>
        <v>5766</v>
      </c>
    </row>
    <row r="345" spans="1:17">
      <c r="A345" s="23" t="s">
        <v>371</v>
      </c>
      <c r="B345" s="35" t="s">
        <v>365</v>
      </c>
      <c r="C345" s="36">
        <v>2839</v>
      </c>
      <c r="D345" s="113">
        <v>251345944</v>
      </c>
      <c r="E345" s="116">
        <f t="shared" si="53"/>
        <v>88533.266643184223</v>
      </c>
      <c r="F345" s="117">
        <v>139732369</v>
      </c>
      <c r="G345" s="117">
        <f t="shared" si="54"/>
        <v>49218.868967946459</v>
      </c>
      <c r="H345" s="7"/>
      <c r="I345" s="102">
        <v>7.8209</v>
      </c>
      <c r="J345" s="117">
        <v>1092833</v>
      </c>
      <c r="K345" s="120">
        <f t="shared" si="61"/>
        <v>384.93589292004225</v>
      </c>
      <c r="L345" s="122">
        <f t="shared" si="56"/>
        <v>1397323.69</v>
      </c>
      <c r="M345" s="116">
        <f t="shared" si="57"/>
        <v>304490.68999999994</v>
      </c>
      <c r="N345" s="123">
        <f t="shared" si="58"/>
        <v>107.25279675942231</v>
      </c>
      <c r="O345" s="5"/>
      <c r="P345" s="5">
        <f t="shared" si="59"/>
        <v>1</v>
      </c>
      <c r="Q345" s="7">
        <f t="shared" si="60"/>
        <v>2839</v>
      </c>
    </row>
    <row r="346" spans="1:17">
      <c r="A346" s="23" t="s">
        <v>372</v>
      </c>
      <c r="B346" s="35" t="s">
        <v>365</v>
      </c>
      <c r="C346" s="36">
        <v>18753</v>
      </c>
      <c r="D346" s="113">
        <v>1457351297</v>
      </c>
      <c r="E346" s="116">
        <f t="shared" si="53"/>
        <v>77712.968431717585</v>
      </c>
      <c r="F346" s="117">
        <v>1052298133</v>
      </c>
      <c r="G346" s="117">
        <f t="shared" si="54"/>
        <v>56113.588919106274</v>
      </c>
      <c r="H346" s="7"/>
      <c r="I346" s="101">
        <v>6.99</v>
      </c>
      <c r="J346" s="117">
        <v>7355564</v>
      </c>
      <c r="K346" s="120">
        <f t="shared" si="61"/>
        <v>392.2339892283901</v>
      </c>
      <c r="L346" s="122">
        <f t="shared" si="56"/>
        <v>10522981.33</v>
      </c>
      <c r="M346" s="116">
        <f t="shared" si="57"/>
        <v>3167417.33</v>
      </c>
      <c r="N346" s="123">
        <f t="shared" si="58"/>
        <v>168.90189996267264</v>
      </c>
      <c r="O346" s="5"/>
      <c r="P346" s="5">
        <f t="shared" si="59"/>
        <v>1</v>
      </c>
      <c r="Q346" s="7">
        <f t="shared" si="60"/>
        <v>18753</v>
      </c>
    </row>
    <row r="347" spans="1:17">
      <c r="A347" s="23" t="s">
        <v>373</v>
      </c>
      <c r="B347" s="35" t="s">
        <v>365</v>
      </c>
      <c r="C347" s="36">
        <v>250</v>
      </c>
      <c r="D347" s="113">
        <v>18178912</v>
      </c>
      <c r="E347" s="116">
        <f t="shared" si="53"/>
        <v>72715.648000000001</v>
      </c>
      <c r="F347" s="117">
        <v>13137288</v>
      </c>
      <c r="G347" s="117">
        <f t="shared" si="54"/>
        <v>52549.152000000002</v>
      </c>
      <c r="H347" s="7"/>
      <c r="I347" s="101">
        <v>8.3161000000000005</v>
      </c>
      <c r="J347" s="117">
        <v>109251</v>
      </c>
      <c r="K347" s="120">
        <f t="shared" si="61"/>
        <v>437.00400000000002</v>
      </c>
      <c r="L347" s="122">
        <f t="shared" si="56"/>
        <v>131372.88</v>
      </c>
      <c r="M347" s="116">
        <f t="shared" si="57"/>
        <v>22121.880000000005</v>
      </c>
      <c r="N347" s="123">
        <f t="shared" si="58"/>
        <v>88.487520000000018</v>
      </c>
      <c r="O347" s="5"/>
      <c r="P347" s="5">
        <f t="shared" si="59"/>
        <v>1</v>
      </c>
      <c r="Q347" s="7">
        <f t="shared" si="60"/>
        <v>250</v>
      </c>
    </row>
    <row r="348" spans="1:17">
      <c r="A348" s="23" t="s">
        <v>374</v>
      </c>
      <c r="B348" s="35" t="s">
        <v>365</v>
      </c>
      <c r="C348" s="36">
        <v>252</v>
      </c>
      <c r="D348" s="113">
        <v>17726047</v>
      </c>
      <c r="E348" s="116">
        <f t="shared" si="53"/>
        <v>70341.456349206346</v>
      </c>
      <c r="F348" s="117">
        <v>10352913</v>
      </c>
      <c r="G348" s="117">
        <f t="shared" si="54"/>
        <v>41082.988095238092</v>
      </c>
      <c r="H348" s="7"/>
      <c r="I348" s="101">
        <v>0.3125</v>
      </c>
      <c r="J348" s="117">
        <v>3235</v>
      </c>
      <c r="K348" s="120">
        <f t="shared" si="61"/>
        <v>12.837301587301587</v>
      </c>
      <c r="L348" s="122">
        <f t="shared" si="56"/>
        <v>103529.13</v>
      </c>
      <c r="M348" s="116">
        <f t="shared" si="57"/>
        <v>100294.13</v>
      </c>
      <c r="N348" s="123">
        <f t="shared" si="58"/>
        <v>397.99257936507939</v>
      </c>
      <c r="O348" s="5"/>
      <c r="P348" s="5">
        <f t="shared" si="59"/>
        <v>1</v>
      </c>
      <c r="Q348" s="7">
        <f t="shared" si="60"/>
        <v>252</v>
      </c>
    </row>
    <row r="349" spans="1:17">
      <c r="A349" s="23" t="s">
        <v>375</v>
      </c>
      <c r="B349" s="35" t="s">
        <v>365</v>
      </c>
      <c r="C349" s="36">
        <v>4627</v>
      </c>
      <c r="D349" s="113">
        <v>310198286</v>
      </c>
      <c r="E349" s="116">
        <f t="shared" si="53"/>
        <v>67040.909012318996</v>
      </c>
      <c r="F349" s="117">
        <v>185673572</v>
      </c>
      <c r="G349" s="117">
        <f t="shared" si="54"/>
        <v>40128.28441754917</v>
      </c>
      <c r="H349" s="7"/>
      <c r="I349" s="101">
        <v>6.58</v>
      </c>
      <c r="J349" s="117">
        <v>1221732</v>
      </c>
      <c r="K349" s="120">
        <f t="shared" si="61"/>
        <v>264.04408904257616</v>
      </c>
      <c r="L349" s="122">
        <f t="shared" si="56"/>
        <v>1856735.72</v>
      </c>
      <c r="M349" s="116">
        <f t="shared" si="57"/>
        <v>635003.72</v>
      </c>
      <c r="N349" s="123">
        <f t="shared" si="58"/>
        <v>137.23875513291549</v>
      </c>
      <c r="O349" s="5"/>
      <c r="P349" s="5">
        <f t="shared" si="59"/>
        <v>1</v>
      </c>
      <c r="Q349" s="7">
        <f t="shared" si="60"/>
        <v>4627</v>
      </c>
    </row>
    <row r="350" spans="1:17">
      <c r="A350" s="23" t="s">
        <v>376</v>
      </c>
      <c r="B350" s="35" t="s">
        <v>365</v>
      </c>
      <c r="C350" s="36">
        <v>1389</v>
      </c>
      <c r="D350" s="113">
        <v>111204113</v>
      </c>
      <c r="E350" s="116">
        <f t="shared" si="53"/>
        <v>80060.556515478762</v>
      </c>
      <c r="F350" s="117">
        <v>75372008</v>
      </c>
      <c r="G350" s="117">
        <f t="shared" si="54"/>
        <v>54263.504679625628</v>
      </c>
      <c r="H350" s="7"/>
      <c r="I350" s="101">
        <v>7</v>
      </c>
      <c r="J350" s="117">
        <v>527604</v>
      </c>
      <c r="K350" s="120">
        <f t="shared" si="61"/>
        <v>379.84449244060477</v>
      </c>
      <c r="L350" s="122">
        <f t="shared" si="56"/>
        <v>753720.08</v>
      </c>
      <c r="M350" s="116">
        <f t="shared" si="57"/>
        <v>226116.07999999996</v>
      </c>
      <c r="N350" s="123">
        <f t="shared" si="58"/>
        <v>162.79055435565152</v>
      </c>
      <c r="O350" s="5"/>
      <c r="P350" s="5">
        <f t="shared" si="59"/>
        <v>1</v>
      </c>
      <c r="Q350" s="7">
        <f t="shared" si="60"/>
        <v>1389</v>
      </c>
    </row>
    <row r="351" spans="1:17">
      <c r="A351" s="23" t="s">
        <v>377</v>
      </c>
      <c r="B351" s="35" t="s">
        <v>365</v>
      </c>
      <c r="C351" s="36">
        <v>13067</v>
      </c>
      <c r="D351" s="113">
        <v>1099168244</v>
      </c>
      <c r="E351" s="116">
        <f t="shared" ref="E351:E406" si="62">(D351/C351)</f>
        <v>84117.872809367109</v>
      </c>
      <c r="F351" s="117">
        <v>761015380</v>
      </c>
      <c r="G351" s="117">
        <f t="shared" ref="G351:G406" si="63">(F351/C351)</f>
        <v>58239.487257978115</v>
      </c>
      <c r="H351" s="9"/>
      <c r="I351" s="101">
        <v>7.3277000000000001</v>
      </c>
      <c r="J351" s="117">
        <v>5576492</v>
      </c>
      <c r="K351" s="120">
        <f t="shared" si="61"/>
        <v>426.76146016683248</v>
      </c>
      <c r="L351" s="122">
        <f t="shared" si="56"/>
        <v>7610153.7999999998</v>
      </c>
      <c r="M351" s="116">
        <f t="shared" si="57"/>
        <v>2033661.7999999998</v>
      </c>
      <c r="N351" s="123">
        <f t="shared" si="58"/>
        <v>155.63341241294864</v>
      </c>
      <c r="O351" s="5"/>
      <c r="P351" s="5">
        <f t="shared" si="59"/>
        <v>1</v>
      </c>
      <c r="Q351" s="7">
        <f t="shared" si="60"/>
        <v>13067</v>
      </c>
    </row>
    <row r="352" spans="1:17">
      <c r="A352" s="23" t="s">
        <v>378</v>
      </c>
      <c r="B352" s="35" t="s">
        <v>365</v>
      </c>
      <c r="C352" s="36">
        <v>94163</v>
      </c>
      <c r="D352" s="113">
        <v>8325222939</v>
      </c>
      <c r="E352" s="116">
        <f t="shared" si="62"/>
        <v>88412.889765619198</v>
      </c>
      <c r="F352" s="117">
        <v>5547829373</v>
      </c>
      <c r="G352" s="117">
        <f t="shared" si="63"/>
        <v>58917.296315962747</v>
      </c>
      <c r="H352" s="9"/>
      <c r="I352" s="101">
        <v>3.6537999999999999</v>
      </c>
      <c r="J352" s="117">
        <v>20270659</v>
      </c>
      <c r="K352" s="120">
        <f t="shared" si="61"/>
        <v>215.27201767148455</v>
      </c>
      <c r="L352" s="122">
        <f t="shared" si="56"/>
        <v>55478293.730000004</v>
      </c>
      <c r="M352" s="116">
        <f t="shared" si="57"/>
        <v>35207634.730000004</v>
      </c>
      <c r="N352" s="123">
        <f t="shared" si="58"/>
        <v>373.90094548814295</v>
      </c>
      <c r="O352" s="5"/>
      <c r="P352" s="5">
        <f t="shared" si="59"/>
        <v>1</v>
      </c>
      <c r="Q352" s="7">
        <f t="shared" si="60"/>
        <v>94163</v>
      </c>
    </row>
    <row r="353" spans="1:17">
      <c r="A353" s="23" t="s">
        <v>379</v>
      </c>
      <c r="B353" s="35" t="s">
        <v>365</v>
      </c>
      <c r="C353" s="36">
        <v>3359</v>
      </c>
      <c r="D353" s="113">
        <v>266574597</v>
      </c>
      <c r="E353" s="116">
        <f t="shared" si="62"/>
        <v>79361.297112235785</v>
      </c>
      <c r="F353" s="117">
        <v>187504338</v>
      </c>
      <c r="G353" s="117">
        <f t="shared" si="63"/>
        <v>55821.476034534091</v>
      </c>
      <c r="H353" s="9"/>
      <c r="I353" s="101">
        <v>8.0500000000000007</v>
      </c>
      <c r="J353" s="117">
        <v>1509410</v>
      </c>
      <c r="K353" s="120">
        <f t="shared" si="61"/>
        <v>449.3629056266746</v>
      </c>
      <c r="L353" s="122">
        <f t="shared" si="56"/>
        <v>1875043.3800000001</v>
      </c>
      <c r="M353" s="116">
        <f t="shared" si="57"/>
        <v>365633.38000000012</v>
      </c>
      <c r="N353" s="123">
        <f t="shared" si="58"/>
        <v>108.8518547186663</v>
      </c>
      <c r="O353" s="5"/>
      <c r="P353" s="5">
        <f t="shared" si="59"/>
        <v>1</v>
      </c>
      <c r="Q353" s="7">
        <f t="shared" si="60"/>
        <v>3359</v>
      </c>
    </row>
    <row r="354" spans="1:17">
      <c r="A354" s="23" t="s">
        <v>380</v>
      </c>
      <c r="B354" s="35" t="s">
        <v>365</v>
      </c>
      <c r="C354" s="36">
        <v>1685</v>
      </c>
      <c r="D354" s="113">
        <v>118319893</v>
      </c>
      <c r="E354" s="116">
        <f t="shared" si="62"/>
        <v>70219.521068249262</v>
      </c>
      <c r="F354" s="117">
        <v>82415513</v>
      </c>
      <c r="G354" s="117">
        <f t="shared" si="63"/>
        <v>48911.283679525222</v>
      </c>
      <c r="H354" s="7"/>
      <c r="I354" s="101">
        <v>7.8</v>
      </c>
      <c r="J354" s="117">
        <v>642841</v>
      </c>
      <c r="K354" s="120">
        <f t="shared" si="61"/>
        <v>381.50801186943619</v>
      </c>
      <c r="L354" s="122">
        <f t="shared" si="56"/>
        <v>824155.13</v>
      </c>
      <c r="M354" s="116">
        <f t="shared" si="57"/>
        <v>181314.13</v>
      </c>
      <c r="N354" s="123">
        <f t="shared" si="58"/>
        <v>107.60482492581603</v>
      </c>
      <c r="O354" s="5"/>
      <c r="P354" s="5">
        <f t="shared" si="59"/>
        <v>1</v>
      </c>
      <c r="Q354" s="7">
        <f t="shared" si="60"/>
        <v>1685</v>
      </c>
    </row>
    <row r="355" spans="1:17">
      <c r="A355" s="23" t="s">
        <v>381</v>
      </c>
      <c r="B355" s="35" t="s">
        <v>365</v>
      </c>
      <c r="C355" s="36">
        <v>34464</v>
      </c>
      <c r="D355" s="113">
        <v>2836683492</v>
      </c>
      <c r="E355" s="116">
        <f t="shared" si="62"/>
        <v>82308.59714484679</v>
      </c>
      <c r="F355" s="117">
        <v>1943558635</v>
      </c>
      <c r="G355" s="117">
        <f t="shared" si="63"/>
        <v>56393.878685004645</v>
      </c>
      <c r="H355" s="7"/>
      <c r="I355" s="101">
        <v>5.79</v>
      </c>
      <c r="J355" s="117">
        <v>11253204</v>
      </c>
      <c r="K355" s="120">
        <f t="shared" si="61"/>
        <v>326.52054317548749</v>
      </c>
      <c r="L355" s="122">
        <f t="shared" si="56"/>
        <v>19435586.350000001</v>
      </c>
      <c r="M355" s="116">
        <f t="shared" si="57"/>
        <v>8182382.3500000015</v>
      </c>
      <c r="N355" s="123">
        <f t="shared" si="58"/>
        <v>237.41824367455899</v>
      </c>
      <c r="O355" s="5"/>
      <c r="P355" s="5">
        <f t="shared" si="59"/>
        <v>1</v>
      </c>
      <c r="Q355" s="7">
        <f t="shared" si="60"/>
        <v>34464</v>
      </c>
    </row>
    <row r="356" spans="1:17">
      <c r="A356" s="23" t="s">
        <v>382</v>
      </c>
      <c r="B356" s="35" t="s">
        <v>383</v>
      </c>
      <c r="C356" s="36">
        <v>1724</v>
      </c>
      <c r="D356" s="113">
        <v>127796753</v>
      </c>
      <c r="E356" s="116">
        <f t="shared" si="62"/>
        <v>74128.046983758701</v>
      </c>
      <c r="F356" s="117">
        <v>68088880</v>
      </c>
      <c r="G356" s="117">
        <f t="shared" si="63"/>
        <v>39494.709976798142</v>
      </c>
      <c r="H356" s="7"/>
      <c r="I356" s="101">
        <v>8.1722999999999999</v>
      </c>
      <c r="J356" s="117">
        <v>556443</v>
      </c>
      <c r="K356" s="120">
        <f t="shared" si="61"/>
        <v>322.76276102088167</v>
      </c>
      <c r="L356" s="122">
        <f t="shared" si="56"/>
        <v>680888.8</v>
      </c>
      <c r="M356" s="116">
        <f t="shared" si="57"/>
        <v>124445.80000000005</v>
      </c>
      <c r="N356" s="123">
        <f t="shared" si="58"/>
        <v>72.184338747099801</v>
      </c>
      <c r="O356" s="5"/>
      <c r="P356" s="5">
        <f t="shared" si="59"/>
        <v>1</v>
      </c>
      <c r="Q356" s="7">
        <f t="shared" si="60"/>
        <v>1724</v>
      </c>
    </row>
    <row r="357" spans="1:17">
      <c r="A357" s="23" t="s">
        <v>384</v>
      </c>
      <c r="B357" s="35" t="s">
        <v>383</v>
      </c>
      <c r="C357" s="36">
        <v>1552</v>
      </c>
      <c r="D357" s="113">
        <v>136180333</v>
      </c>
      <c r="E357" s="116">
        <f t="shared" si="62"/>
        <v>87745.059922680419</v>
      </c>
      <c r="F357" s="117">
        <v>66940625</v>
      </c>
      <c r="G357" s="117">
        <f t="shared" si="63"/>
        <v>43131.846005154643</v>
      </c>
      <c r="H357" s="7"/>
      <c r="I357" s="101">
        <v>8.8286999999999995</v>
      </c>
      <c r="J357" s="117">
        <v>590999</v>
      </c>
      <c r="K357" s="120">
        <f t="shared" si="61"/>
        <v>380.79832474226805</v>
      </c>
      <c r="L357" s="122">
        <f t="shared" si="56"/>
        <v>669406.25</v>
      </c>
      <c r="M357" s="116">
        <f t="shared" si="57"/>
        <v>78407.25</v>
      </c>
      <c r="N357" s="123">
        <f t="shared" si="58"/>
        <v>50.520135309278352</v>
      </c>
      <c r="O357" s="5"/>
      <c r="P357" s="5">
        <f t="shared" si="59"/>
        <v>1</v>
      </c>
      <c r="Q357" s="7">
        <f t="shared" si="60"/>
        <v>1552</v>
      </c>
    </row>
    <row r="358" spans="1:17">
      <c r="A358" s="23" t="s">
        <v>385</v>
      </c>
      <c r="B358" s="35" t="s">
        <v>383</v>
      </c>
      <c r="C358" s="36">
        <v>11133</v>
      </c>
      <c r="D358" s="113">
        <v>840609250</v>
      </c>
      <c r="E358" s="116">
        <f t="shared" si="62"/>
        <v>75506.08551154226</v>
      </c>
      <c r="F358" s="117">
        <v>416061561</v>
      </c>
      <c r="G358" s="117">
        <f t="shared" si="63"/>
        <v>37371.917811910535</v>
      </c>
      <c r="H358" s="7"/>
      <c r="I358" s="101">
        <v>8.65</v>
      </c>
      <c r="J358" s="117">
        <v>3598933</v>
      </c>
      <c r="K358" s="120">
        <f t="shared" si="61"/>
        <v>323.26713374651933</v>
      </c>
      <c r="L358" s="122">
        <f t="shared" si="56"/>
        <v>4160615.61</v>
      </c>
      <c r="M358" s="116">
        <f t="shared" si="57"/>
        <v>561682.60999999987</v>
      </c>
      <c r="N358" s="123">
        <f t="shared" si="58"/>
        <v>50.452044372585995</v>
      </c>
      <c r="O358" s="5"/>
      <c r="P358" s="5">
        <f t="shared" si="59"/>
        <v>1</v>
      </c>
      <c r="Q358" s="7">
        <f t="shared" si="60"/>
        <v>11133</v>
      </c>
    </row>
    <row r="359" spans="1:17">
      <c r="A359" s="23" t="s">
        <v>386</v>
      </c>
      <c r="B359" s="35" t="s">
        <v>383</v>
      </c>
      <c r="C359" s="36">
        <v>794</v>
      </c>
      <c r="D359" s="113">
        <v>55997122</v>
      </c>
      <c r="E359" s="116">
        <f t="shared" si="62"/>
        <v>70525.342569269516</v>
      </c>
      <c r="F359" s="117">
        <v>31680366</v>
      </c>
      <c r="G359" s="117">
        <f t="shared" si="63"/>
        <v>39899.705289672544</v>
      </c>
      <c r="H359" s="7"/>
      <c r="I359" s="101">
        <v>6.2873999999999999</v>
      </c>
      <c r="J359" s="117">
        <v>199187</v>
      </c>
      <c r="K359" s="120">
        <f t="shared" si="61"/>
        <v>250.86523929471034</v>
      </c>
      <c r="L359" s="122">
        <f t="shared" si="56"/>
        <v>316803.66000000003</v>
      </c>
      <c r="M359" s="116">
        <f t="shared" si="57"/>
        <v>117616.66000000003</v>
      </c>
      <c r="N359" s="123">
        <f t="shared" si="58"/>
        <v>148.13181360201514</v>
      </c>
      <c r="O359" s="5"/>
      <c r="P359" s="5">
        <f t="shared" si="59"/>
        <v>1</v>
      </c>
      <c r="Q359" s="7">
        <f t="shared" si="60"/>
        <v>794</v>
      </c>
    </row>
    <row r="360" spans="1:17">
      <c r="A360" s="23" t="s">
        <v>387</v>
      </c>
      <c r="B360" s="35" t="s">
        <v>383</v>
      </c>
      <c r="C360" s="36">
        <v>732</v>
      </c>
      <c r="D360" s="113">
        <v>98881168</v>
      </c>
      <c r="E360" s="116">
        <f t="shared" si="62"/>
        <v>135083.56284153005</v>
      </c>
      <c r="F360" s="117">
        <v>74293022</v>
      </c>
      <c r="G360" s="117">
        <f t="shared" si="63"/>
        <v>101493.19945355192</v>
      </c>
      <c r="H360" s="7"/>
      <c r="I360" s="101">
        <v>5.5049999999999999</v>
      </c>
      <c r="J360" s="117">
        <v>408983</v>
      </c>
      <c r="K360" s="120">
        <f t="shared" si="61"/>
        <v>558.71994535519127</v>
      </c>
      <c r="L360" s="122">
        <f t="shared" si="56"/>
        <v>742930.22</v>
      </c>
      <c r="M360" s="116">
        <f t="shared" si="57"/>
        <v>333947.21999999997</v>
      </c>
      <c r="N360" s="123">
        <f t="shared" si="58"/>
        <v>456.21204918032782</v>
      </c>
      <c r="O360" s="5"/>
      <c r="P360" s="5">
        <f t="shared" si="59"/>
        <v>1</v>
      </c>
      <c r="Q360" s="7">
        <f t="shared" si="60"/>
        <v>732</v>
      </c>
    </row>
    <row r="361" spans="1:17">
      <c r="A361" s="23" t="s">
        <v>390</v>
      </c>
      <c r="B361" s="35" t="s">
        <v>391</v>
      </c>
      <c r="C361" s="36">
        <v>5791</v>
      </c>
      <c r="D361" s="113">
        <v>1074592501</v>
      </c>
      <c r="E361" s="116">
        <f t="shared" si="62"/>
        <v>185562.51096529097</v>
      </c>
      <c r="F361" s="117">
        <v>661890320</v>
      </c>
      <c r="G361" s="117">
        <f t="shared" si="63"/>
        <v>114296.37713693663</v>
      </c>
      <c r="H361" s="9"/>
      <c r="I361" s="101">
        <v>1.9</v>
      </c>
      <c r="J361" s="117">
        <v>1257592</v>
      </c>
      <c r="K361" s="120">
        <f t="shared" si="61"/>
        <v>217.16318425142461</v>
      </c>
      <c r="L361" s="122">
        <f t="shared" si="56"/>
        <v>6618903.2000000002</v>
      </c>
      <c r="M361" s="116">
        <f t="shared" si="57"/>
        <v>5361311.2</v>
      </c>
      <c r="N361" s="123">
        <f t="shared" si="58"/>
        <v>925.80058711794163</v>
      </c>
      <c r="O361" s="5"/>
      <c r="P361" s="5">
        <f t="shared" si="59"/>
        <v>1</v>
      </c>
      <c r="Q361" s="7">
        <f t="shared" si="60"/>
        <v>5791</v>
      </c>
    </row>
    <row r="362" spans="1:17">
      <c r="A362" s="23" t="s">
        <v>392</v>
      </c>
      <c r="B362" s="35" t="s">
        <v>391</v>
      </c>
      <c r="C362" s="36">
        <v>544</v>
      </c>
      <c r="D362" s="113">
        <v>61794990</v>
      </c>
      <c r="E362" s="116">
        <f t="shared" si="62"/>
        <v>113593.73161764706</v>
      </c>
      <c r="F362" s="117">
        <v>40179949</v>
      </c>
      <c r="G362" s="117">
        <f t="shared" si="63"/>
        <v>73860.200367647063</v>
      </c>
      <c r="H362" s="9"/>
      <c r="I362" s="101">
        <v>2</v>
      </c>
      <c r="J362" s="117">
        <v>80360</v>
      </c>
      <c r="K362" s="120">
        <f t="shared" si="61"/>
        <v>147.72058823529412</v>
      </c>
      <c r="L362" s="122">
        <f t="shared" si="56"/>
        <v>401799.49</v>
      </c>
      <c r="M362" s="116">
        <f t="shared" si="57"/>
        <v>321439.49</v>
      </c>
      <c r="N362" s="123">
        <f t="shared" si="58"/>
        <v>590.8814154411765</v>
      </c>
      <c r="O362" s="5"/>
      <c r="P362" s="5">
        <f t="shared" si="59"/>
        <v>1</v>
      </c>
      <c r="Q362" s="7">
        <f t="shared" si="60"/>
        <v>544</v>
      </c>
    </row>
    <row r="363" spans="1:17">
      <c r="A363" s="23" t="s">
        <v>393</v>
      </c>
      <c r="B363" s="35" t="s">
        <v>391</v>
      </c>
      <c r="C363" s="36">
        <v>7979</v>
      </c>
      <c r="D363" s="113">
        <v>553855763</v>
      </c>
      <c r="E363" s="116">
        <f t="shared" si="62"/>
        <v>69414.182604336384</v>
      </c>
      <c r="F363" s="117">
        <v>310288448</v>
      </c>
      <c r="G363" s="117">
        <f t="shared" si="63"/>
        <v>38888.137360571498</v>
      </c>
      <c r="H363" s="9"/>
      <c r="I363" s="101">
        <v>3.2372999999999998</v>
      </c>
      <c r="J363" s="117">
        <v>1004497</v>
      </c>
      <c r="K363" s="120">
        <f t="shared" si="61"/>
        <v>125.89259305677403</v>
      </c>
      <c r="L363" s="122">
        <f t="shared" si="56"/>
        <v>3102884.48</v>
      </c>
      <c r="M363" s="116">
        <f t="shared" si="57"/>
        <v>2098387.48</v>
      </c>
      <c r="N363" s="123">
        <f t="shared" si="58"/>
        <v>262.98878054894095</v>
      </c>
      <c r="O363" s="5"/>
      <c r="P363" s="5">
        <f t="shared" si="59"/>
        <v>1</v>
      </c>
      <c r="Q363" s="7">
        <f t="shared" si="60"/>
        <v>7979</v>
      </c>
    </row>
    <row r="364" spans="1:17">
      <c r="A364" s="23" t="s">
        <v>394</v>
      </c>
      <c r="B364" s="35" t="s">
        <v>395</v>
      </c>
      <c r="C364" s="36">
        <v>55759</v>
      </c>
      <c r="D364" s="113">
        <v>4156496825</v>
      </c>
      <c r="E364" s="116">
        <f t="shared" si="62"/>
        <v>74543.962858013954</v>
      </c>
      <c r="F364" s="117">
        <v>2955894629</v>
      </c>
      <c r="G364" s="117">
        <f t="shared" si="63"/>
        <v>53011.973475134058</v>
      </c>
      <c r="H364" s="7"/>
      <c r="I364" s="101">
        <v>3.34</v>
      </c>
      <c r="J364" s="117">
        <v>9872688</v>
      </c>
      <c r="K364" s="120">
        <f t="shared" si="61"/>
        <v>177.05999031546477</v>
      </c>
      <c r="L364" s="122">
        <f t="shared" si="56"/>
        <v>29558946.289999999</v>
      </c>
      <c r="M364" s="116">
        <f t="shared" si="57"/>
        <v>19686258.289999999</v>
      </c>
      <c r="N364" s="123">
        <f t="shared" si="58"/>
        <v>353.05974443587581</v>
      </c>
      <c r="O364" s="5"/>
      <c r="P364" s="5">
        <f t="shared" si="59"/>
        <v>1</v>
      </c>
      <c r="Q364" s="7">
        <f t="shared" si="60"/>
        <v>55759</v>
      </c>
    </row>
    <row r="365" spans="1:17">
      <c r="A365" s="23" t="s">
        <v>395</v>
      </c>
      <c r="B365" s="35" t="s">
        <v>395</v>
      </c>
      <c r="C365" s="36">
        <v>53160</v>
      </c>
      <c r="D365" s="113">
        <v>11978457998</v>
      </c>
      <c r="E365" s="116">
        <f t="shared" si="62"/>
        <v>225328.40477802861</v>
      </c>
      <c r="F365" s="117">
        <v>8182318578</v>
      </c>
      <c r="G365" s="117">
        <f t="shared" si="63"/>
        <v>153918.7091422122</v>
      </c>
      <c r="H365" s="7"/>
      <c r="I365" s="101">
        <v>2.7770999999999999</v>
      </c>
      <c r="J365" s="117">
        <v>22723117</v>
      </c>
      <c r="K365" s="120">
        <f t="shared" si="61"/>
        <v>427.44764860797591</v>
      </c>
      <c r="L365" s="122">
        <f t="shared" si="56"/>
        <v>81823185.780000001</v>
      </c>
      <c r="M365" s="116">
        <f t="shared" si="57"/>
        <v>59100068.780000001</v>
      </c>
      <c r="N365" s="123">
        <f t="shared" si="58"/>
        <v>1111.7394428141461</v>
      </c>
      <c r="O365" s="5"/>
      <c r="P365" s="5">
        <f t="shared" si="59"/>
        <v>1</v>
      </c>
      <c r="Q365" s="7">
        <f t="shared" si="60"/>
        <v>53160</v>
      </c>
    </row>
    <row r="366" spans="1:17">
      <c r="A366" s="23" t="s">
        <v>396</v>
      </c>
      <c r="B366" s="35" t="s">
        <v>395</v>
      </c>
      <c r="C366" s="36">
        <v>21845</v>
      </c>
      <c r="D366" s="113">
        <v>4083841062</v>
      </c>
      <c r="E366" s="116">
        <f t="shared" si="62"/>
        <v>186946.26056305791</v>
      </c>
      <c r="F366" s="117">
        <v>3165197971</v>
      </c>
      <c r="G366" s="117">
        <f t="shared" si="63"/>
        <v>144893.47544060426</v>
      </c>
      <c r="H366" s="7"/>
      <c r="I366" s="101">
        <v>2.7789999999999999</v>
      </c>
      <c r="J366" s="117">
        <v>8796085</v>
      </c>
      <c r="K366" s="120">
        <f t="shared" ref="K366:K381" si="64">(J366/C366)</f>
        <v>402.65896086060883</v>
      </c>
      <c r="L366" s="122">
        <f t="shared" si="56"/>
        <v>31651979.710000001</v>
      </c>
      <c r="M366" s="116">
        <f t="shared" si="57"/>
        <v>22855894.710000001</v>
      </c>
      <c r="N366" s="123">
        <f t="shared" si="58"/>
        <v>1046.2757935454338</v>
      </c>
      <c r="O366" s="5"/>
      <c r="P366" s="5">
        <f t="shared" si="59"/>
        <v>1</v>
      </c>
      <c r="Q366" s="7">
        <f t="shared" si="60"/>
        <v>21845</v>
      </c>
    </row>
    <row r="367" spans="1:17">
      <c r="A367" s="23" t="s">
        <v>397</v>
      </c>
      <c r="B367" s="35" t="s">
        <v>360</v>
      </c>
      <c r="C367" s="36">
        <v>42630</v>
      </c>
      <c r="D367" s="113">
        <v>3731634499</v>
      </c>
      <c r="E367" s="116">
        <f t="shared" si="62"/>
        <v>87535.409312690594</v>
      </c>
      <c r="F367" s="117">
        <v>2924815271</v>
      </c>
      <c r="G367" s="117">
        <f t="shared" si="63"/>
        <v>68609.31904761905</v>
      </c>
      <c r="H367" s="7"/>
      <c r="I367" s="101">
        <v>2.6352000000000002</v>
      </c>
      <c r="J367" s="117">
        <v>7707473</v>
      </c>
      <c r="K367" s="120">
        <f t="shared" si="64"/>
        <v>180.79927281257329</v>
      </c>
      <c r="L367" s="122">
        <f t="shared" si="56"/>
        <v>29248152.710000001</v>
      </c>
      <c r="M367" s="116">
        <f t="shared" si="57"/>
        <v>21540679.710000001</v>
      </c>
      <c r="N367" s="123">
        <f t="shared" si="58"/>
        <v>505.29391766361721</v>
      </c>
      <c r="O367" s="5"/>
      <c r="P367" s="5">
        <f t="shared" si="59"/>
        <v>1</v>
      </c>
      <c r="Q367" s="7">
        <f t="shared" si="60"/>
        <v>42630</v>
      </c>
    </row>
    <row r="368" spans="1:17">
      <c r="A368" s="23" t="s">
        <v>398</v>
      </c>
      <c r="B368" s="35" t="s">
        <v>360</v>
      </c>
      <c r="C368" s="36">
        <v>24672</v>
      </c>
      <c r="D368" s="113">
        <v>1850014538</v>
      </c>
      <c r="E368" s="116">
        <f t="shared" si="62"/>
        <v>74984.376540207522</v>
      </c>
      <c r="F368" s="117">
        <v>1320429469</v>
      </c>
      <c r="G368" s="117">
        <f t="shared" si="63"/>
        <v>53519.352666990919</v>
      </c>
      <c r="H368" s="7"/>
      <c r="I368" s="101">
        <v>5.45</v>
      </c>
      <c r="J368" s="117">
        <v>7196341</v>
      </c>
      <c r="K368" s="120">
        <f t="shared" si="64"/>
        <v>291.68048800259402</v>
      </c>
      <c r="L368" s="122">
        <f t="shared" si="56"/>
        <v>13204294.689999999</v>
      </c>
      <c r="M368" s="116">
        <f t="shared" si="57"/>
        <v>6007953.6899999995</v>
      </c>
      <c r="N368" s="123">
        <f t="shared" si="58"/>
        <v>243.51303866731516</v>
      </c>
      <c r="O368" s="5"/>
      <c r="P368" s="5">
        <f t="shared" si="59"/>
        <v>1</v>
      </c>
      <c r="Q368" s="7">
        <f t="shared" si="60"/>
        <v>24672</v>
      </c>
    </row>
    <row r="369" spans="1:17">
      <c r="A369" s="23" t="s">
        <v>399</v>
      </c>
      <c r="B369" s="35" t="s">
        <v>360</v>
      </c>
      <c r="C369" s="36">
        <v>14615</v>
      </c>
      <c r="D369" s="113">
        <v>2573965727</v>
      </c>
      <c r="E369" s="116">
        <f t="shared" si="62"/>
        <v>176118.07916524119</v>
      </c>
      <c r="F369" s="117">
        <v>2084924332</v>
      </c>
      <c r="G369" s="117">
        <f t="shared" si="63"/>
        <v>142656.47157030448</v>
      </c>
      <c r="H369" s="7"/>
      <c r="I369" s="101">
        <v>3.6355</v>
      </c>
      <c r="J369" s="117">
        <v>7579742</v>
      </c>
      <c r="K369" s="120">
        <f t="shared" si="64"/>
        <v>518.62757440985285</v>
      </c>
      <c r="L369" s="122">
        <f t="shared" si="56"/>
        <v>20849243.32</v>
      </c>
      <c r="M369" s="116">
        <f t="shared" si="57"/>
        <v>13269501.32</v>
      </c>
      <c r="N369" s="123">
        <f t="shared" si="58"/>
        <v>907.93714129319198</v>
      </c>
      <c r="O369" s="5"/>
      <c r="P369" s="5">
        <f t="shared" si="59"/>
        <v>1</v>
      </c>
      <c r="Q369" s="7">
        <f t="shared" si="60"/>
        <v>14615</v>
      </c>
    </row>
    <row r="370" spans="1:17">
      <c r="A370" s="23" t="s">
        <v>400</v>
      </c>
      <c r="B370" s="35" t="s">
        <v>360</v>
      </c>
      <c r="C370" s="36">
        <v>13849</v>
      </c>
      <c r="D370" s="113">
        <v>1426279794</v>
      </c>
      <c r="E370" s="116">
        <f t="shared" si="62"/>
        <v>102987.92649288758</v>
      </c>
      <c r="F370" s="117">
        <v>1040354278</v>
      </c>
      <c r="G370" s="117">
        <f t="shared" si="63"/>
        <v>75121.256263990173</v>
      </c>
      <c r="H370" s="7"/>
      <c r="I370" s="101">
        <v>4.99</v>
      </c>
      <c r="J370" s="117">
        <v>5191368</v>
      </c>
      <c r="K370" s="120">
        <f t="shared" si="64"/>
        <v>374.85507978915444</v>
      </c>
      <c r="L370" s="122">
        <f t="shared" si="56"/>
        <v>10403542.779999999</v>
      </c>
      <c r="M370" s="116">
        <f t="shared" si="57"/>
        <v>5212174.7799999993</v>
      </c>
      <c r="N370" s="123">
        <f t="shared" si="58"/>
        <v>376.35748285074732</v>
      </c>
      <c r="O370" s="5"/>
      <c r="P370" s="5">
        <f t="shared" si="59"/>
        <v>1</v>
      </c>
      <c r="Q370" s="7">
        <f t="shared" si="60"/>
        <v>13849</v>
      </c>
    </row>
    <row r="371" spans="1:17">
      <c r="A371" s="23" t="s">
        <v>401</v>
      </c>
      <c r="B371" s="35" t="s">
        <v>360</v>
      </c>
      <c r="C371" s="36">
        <v>33529</v>
      </c>
      <c r="D371" s="113">
        <v>2901293146</v>
      </c>
      <c r="E371" s="116">
        <f t="shared" si="62"/>
        <v>86530.85824211876</v>
      </c>
      <c r="F371" s="117">
        <v>2071084388</v>
      </c>
      <c r="G371" s="117">
        <f t="shared" si="63"/>
        <v>61769.942079990455</v>
      </c>
      <c r="H371" s="7"/>
      <c r="I371" s="101">
        <v>5.1357999999999997</v>
      </c>
      <c r="J371" s="117">
        <v>10636675</v>
      </c>
      <c r="K371" s="120">
        <f t="shared" si="64"/>
        <v>317.23806257269825</v>
      </c>
      <c r="L371" s="122">
        <f t="shared" si="56"/>
        <v>20710843.879999999</v>
      </c>
      <c r="M371" s="116">
        <f t="shared" si="57"/>
        <v>10074168.879999999</v>
      </c>
      <c r="N371" s="123">
        <f t="shared" si="58"/>
        <v>300.46135822720629</v>
      </c>
      <c r="O371" s="5"/>
      <c r="P371" s="5">
        <f t="shared" si="59"/>
        <v>1</v>
      </c>
      <c r="Q371" s="7">
        <f t="shared" si="60"/>
        <v>33529</v>
      </c>
    </row>
    <row r="372" spans="1:17">
      <c r="A372" s="23" t="s">
        <v>402</v>
      </c>
      <c r="B372" s="35" t="s">
        <v>360</v>
      </c>
      <c r="C372" s="36">
        <v>53816</v>
      </c>
      <c r="D372" s="113">
        <v>4092902518</v>
      </c>
      <c r="E372" s="116">
        <f t="shared" si="62"/>
        <v>76053.636799464846</v>
      </c>
      <c r="F372" s="117">
        <v>2877090730</v>
      </c>
      <c r="G372" s="117">
        <f t="shared" si="63"/>
        <v>53461.623494871412</v>
      </c>
      <c r="H372" s="7"/>
      <c r="I372" s="101">
        <v>6.3250000000000002</v>
      </c>
      <c r="J372" s="117">
        <v>18197599</v>
      </c>
      <c r="K372" s="120">
        <f t="shared" si="64"/>
        <v>338.14477107180022</v>
      </c>
      <c r="L372" s="122">
        <f t="shared" si="56"/>
        <v>28770907.300000001</v>
      </c>
      <c r="M372" s="116">
        <f t="shared" si="57"/>
        <v>10573308.300000001</v>
      </c>
      <c r="N372" s="123">
        <f t="shared" si="58"/>
        <v>196.47146387691393</v>
      </c>
      <c r="O372" s="5"/>
      <c r="P372" s="5">
        <f t="shared" si="59"/>
        <v>1</v>
      </c>
      <c r="Q372" s="7">
        <f t="shared" si="60"/>
        <v>53816</v>
      </c>
    </row>
    <row r="373" spans="1:17">
      <c r="A373" s="23" t="s">
        <v>403</v>
      </c>
      <c r="B373" s="35" t="s">
        <v>360</v>
      </c>
      <c r="C373" s="36">
        <v>34340</v>
      </c>
      <c r="D373" s="113">
        <v>2762746955</v>
      </c>
      <c r="E373" s="116">
        <f t="shared" si="62"/>
        <v>80452.736022131619</v>
      </c>
      <c r="F373" s="117">
        <v>1809808024</v>
      </c>
      <c r="G373" s="117">
        <f t="shared" si="63"/>
        <v>52702.621549213742</v>
      </c>
      <c r="H373" s="7"/>
      <c r="I373" s="101">
        <v>2.5813999999999999</v>
      </c>
      <c r="J373" s="117">
        <v>4671838</v>
      </c>
      <c r="K373" s="120">
        <f t="shared" si="64"/>
        <v>136.04653465346536</v>
      </c>
      <c r="L373" s="122">
        <f t="shared" si="56"/>
        <v>18098080.240000002</v>
      </c>
      <c r="M373" s="116">
        <f t="shared" si="57"/>
        <v>13426242.240000002</v>
      </c>
      <c r="N373" s="123">
        <f t="shared" si="58"/>
        <v>390.97968083867215</v>
      </c>
      <c r="O373" s="5"/>
      <c r="P373" s="5">
        <f t="shared" si="59"/>
        <v>1</v>
      </c>
      <c r="Q373" s="7">
        <f t="shared" si="60"/>
        <v>34340</v>
      </c>
    </row>
    <row r="374" spans="1:17">
      <c r="A374" s="23" t="s">
        <v>388</v>
      </c>
      <c r="B374" s="35" t="s">
        <v>551</v>
      </c>
      <c r="C374" s="36">
        <v>551</v>
      </c>
      <c r="D374" s="113">
        <v>45243053</v>
      </c>
      <c r="E374" s="116">
        <f t="shared" si="62"/>
        <v>82110.803992740475</v>
      </c>
      <c r="F374" s="117">
        <v>28803584</v>
      </c>
      <c r="G374" s="117">
        <f t="shared" si="63"/>
        <v>52275.107078039924</v>
      </c>
      <c r="H374" s="7"/>
      <c r="I374" s="101">
        <v>8</v>
      </c>
      <c r="J374" s="117">
        <v>230429</v>
      </c>
      <c r="K374" s="120">
        <f t="shared" si="64"/>
        <v>418.20145190562613</v>
      </c>
      <c r="L374" s="122">
        <f t="shared" si="56"/>
        <v>288035.84000000003</v>
      </c>
      <c r="M374" s="116">
        <f t="shared" si="57"/>
        <v>57606.840000000026</v>
      </c>
      <c r="N374" s="123">
        <f t="shared" si="58"/>
        <v>104.54961887477319</v>
      </c>
      <c r="O374" s="5"/>
      <c r="P374" s="5">
        <f t="shared" si="59"/>
        <v>1</v>
      </c>
      <c r="Q374" s="7">
        <f t="shared" si="60"/>
        <v>551</v>
      </c>
    </row>
    <row r="375" spans="1:17">
      <c r="A375" s="23" t="s">
        <v>549</v>
      </c>
      <c r="B375" s="35" t="s">
        <v>551</v>
      </c>
      <c r="C375" s="36">
        <v>13663</v>
      </c>
      <c r="D375" s="113">
        <v>2191925625</v>
      </c>
      <c r="E375" s="116">
        <f t="shared" si="62"/>
        <v>160427.84344580254</v>
      </c>
      <c r="F375" s="117">
        <v>1378850245</v>
      </c>
      <c r="G375" s="117">
        <f t="shared" si="63"/>
        <v>100918.55705189197</v>
      </c>
      <c r="H375" s="7"/>
      <c r="I375" s="101">
        <v>7.5</v>
      </c>
      <c r="J375" s="117">
        <v>10341377</v>
      </c>
      <c r="K375" s="120">
        <f t="shared" si="64"/>
        <v>756.88918978262461</v>
      </c>
      <c r="L375" s="122">
        <f t="shared" si="56"/>
        <v>13788502.450000001</v>
      </c>
      <c r="M375" s="116">
        <f t="shared" si="57"/>
        <v>3447125.4500000011</v>
      </c>
      <c r="N375" s="123">
        <f t="shared" si="58"/>
        <v>252.29638073629519</v>
      </c>
      <c r="O375" s="5"/>
      <c r="P375" s="5">
        <f t="shared" si="59"/>
        <v>1</v>
      </c>
      <c r="Q375" s="7">
        <f t="shared" si="60"/>
        <v>13663</v>
      </c>
    </row>
    <row r="376" spans="1:17">
      <c r="A376" s="23" t="s">
        <v>550</v>
      </c>
      <c r="B376" s="35" t="s">
        <v>551</v>
      </c>
      <c r="C376" s="36">
        <v>6313</v>
      </c>
      <c r="D376" s="113">
        <v>1225310450</v>
      </c>
      <c r="E376" s="116">
        <f t="shared" si="62"/>
        <v>194093.21241881832</v>
      </c>
      <c r="F376" s="117">
        <v>1029348714</v>
      </c>
      <c r="G376" s="117">
        <f t="shared" si="63"/>
        <v>163052.22778393791</v>
      </c>
      <c r="H376" s="7"/>
      <c r="I376" s="101">
        <v>2.2875000000000001</v>
      </c>
      <c r="J376" s="117">
        <v>2354635</v>
      </c>
      <c r="K376" s="120">
        <f t="shared" si="64"/>
        <v>372.98194202439413</v>
      </c>
      <c r="L376" s="122">
        <f t="shared" si="56"/>
        <v>10293487.140000001</v>
      </c>
      <c r="M376" s="116">
        <f t="shared" si="57"/>
        <v>7938852.1400000006</v>
      </c>
      <c r="N376" s="123">
        <f t="shared" si="58"/>
        <v>1257.5403358149852</v>
      </c>
      <c r="O376" s="5"/>
      <c r="P376" s="5">
        <f t="shared" si="59"/>
        <v>1</v>
      </c>
      <c r="Q376" s="7">
        <f t="shared" si="60"/>
        <v>6313</v>
      </c>
    </row>
    <row r="377" spans="1:17">
      <c r="A377" s="23" t="s">
        <v>389</v>
      </c>
      <c r="B377" s="35" t="s">
        <v>552</v>
      </c>
      <c r="C377" s="36">
        <v>44251</v>
      </c>
      <c r="D377" s="113">
        <v>3551642677</v>
      </c>
      <c r="E377" s="116">
        <f t="shared" si="62"/>
        <v>80261.297529999327</v>
      </c>
      <c r="F377" s="117">
        <v>2292750602</v>
      </c>
      <c r="G377" s="117">
        <f t="shared" si="63"/>
        <v>51812.402024812996</v>
      </c>
      <c r="H377" s="7"/>
      <c r="I377" s="101">
        <v>5.4673999999999996</v>
      </c>
      <c r="J377" s="117">
        <v>12535385</v>
      </c>
      <c r="K377" s="120">
        <f t="shared" si="64"/>
        <v>283.27913493480372</v>
      </c>
      <c r="L377" s="122">
        <f t="shared" si="56"/>
        <v>22927506.02</v>
      </c>
      <c r="M377" s="116">
        <f t="shared" si="57"/>
        <v>10392121.02</v>
      </c>
      <c r="N377" s="123">
        <f t="shared" si="58"/>
        <v>234.84488531332624</v>
      </c>
      <c r="O377" s="5"/>
      <c r="P377" s="5">
        <f t="shared" si="59"/>
        <v>1</v>
      </c>
      <c r="Q377" s="7">
        <f t="shared" si="60"/>
        <v>44251</v>
      </c>
    </row>
    <row r="378" spans="1:17">
      <c r="A378" s="23" t="s">
        <v>553</v>
      </c>
      <c r="B378" s="35" t="s">
        <v>552</v>
      </c>
      <c r="C378" s="36">
        <v>155251</v>
      </c>
      <c r="D378" s="113">
        <v>11338916154</v>
      </c>
      <c r="E378" s="116">
        <f t="shared" si="62"/>
        <v>73036.026524788889</v>
      </c>
      <c r="F378" s="117">
        <v>7834651556</v>
      </c>
      <c r="G378" s="117">
        <f t="shared" si="63"/>
        <v>50464.419269441096</v>
      </c>
      <c r="H378" s="7"/>
      <c r="I378" s="101">
        <v>3.6865999999999999</v>
      </c>
      <c r="J378" s="117">
        <v>28883226</v>
      </c>
      <c r="K378" s="120">
        <f t="shared" si="64"/>
        <v>186.04212533252604</v>
      </c>
      <c r="L378" s="122">
        <f t="shared" si="56"/>
        <v>78346515.560000002</v>
      </c>
      <c r="M378" s="116">
        <f t="shared" si="57"/>
        <v>49463289.560000002</v>
      </c>
      <c r="N378" s="123">
        <f t="shared" si="58"/>
        <v>318.60206736188496</v>
      </c>
      <c r="O378" s="5"/>
      <c r="P378" s="5">
        <f t="shared" si="59"/>
        <v>1</v>
      </c>
      <c r="Q378" s="7">
        <f t="shared" si="60"/>
        <v>155251</v>
      </c>
    </row>
    <row r="379" spans="1:17">
      <c r="A379" s="23" t="s">
        <v>554</v>
      </c>
      <c r="B379" s="35" t="s">
        <v>552</v>
      </c>
      <c r="C379" s="36">
        <v>637</v>
      </c>
      <c r="D379" s="113">
        <v>85941412</v>
      </c>
      <c r="E379" s="116">
        <f t="shared" si="62"/>
        <v>134915.874411303</v>
      </c>
      <c r="F379" s="117">
        <v>59342003</v>
      </c>
      <c r="G379" s="117">
        <f t="shared" si="63"/>
        <v>93158.560439560446</v>
      </c>
      <c r="H379" s="7"/>
      <c r="I379" s="101">
        <v>1.61</v>
      </c>
      <c r="J379" s="117">
        <v>95541</v>
      </c>
      <c r="K379" s="120">
        <f t="shared" si="64"/>
        <v>149.98587127158555</v>
      </c>
      <c r="L379" s="122">
        <f t="shared" si="56"/>
        <v>593420.03</v>
      </c>
      <c r="M379" s="116">
        <f t="shared" si="57"/>
        <v>497879.03</v>
      </c>
      <c r="N379" s="123">
        <f t="shared" si="58"/>
        <v>781.59973312401883</v>
      </c>
      <c r="O379" s="5"/>
      <c r="P379" s="5">
        <f t="shared" si="59"/>
        <v>1</v>
      </c>
      <c r="Q379" s="7">
        <f t="shared" si="60"/>
        <v>637</v>
      </c>
    </row>
    <row r="380" spans="1:17">
      <c r="A380" s="23" t="s">
        <v>404</v>
      </c>
      <c r="B380" s="35" t="s">
        <v>405</v>
      </c>
      <c r="C380" s="36">
        <v>2364</v>
      </c>
      <c r="D380" s="113">
        <v>182944663</v>
      </c>
      <c r="E380" s="116">
        <f t="shared" si="62"/>
        <v>77387.759306260574</v>
      </c>
      <c r="F380" s="117">
        <v>124371615</v>
      </c>
      <c r="G380" s="117">
        <f t="shared" si="63"/>
        <v>52610.666243654821</v>
      </c>
      <c r="H380" s="9"/>
      <c r="I380" s="101">
        <v>4.71</v>
      </c>
      <c r="J380" s="117">
        <v>585790</v>
      </c>
      <c r="K380" s="120">
        <f t="shared" si="64"/>
        <v>247.79610829103214</v>
      </c>
      <c r="L380" s="122">
        <f t="shared" si="56"/>
        <v>1243716.1500000001</v>
      </c>
      <c r="M380" s="116">
        <f t="shared" si="57"/>
        <v>657926.15000000014</v>
      </c>
      <c r="N380" s="123">
        <f t="shared" si="58"/>
        <v>278.31055414551611</v>
      </c>
      <c r="O380" s="5"/>
      <c r="P380" s="5">
        <f t="shared" si="59"/>
        <v>1</v>
      </c>
      <c r="Q380" s="7">
        <f t="shared" si="60"/>
        <v>2364</v>
      </c>
    </row>
    <row r="381" spans="1:17">
      <c r="A381" s="23" t="s">
        <v>406</v>
      </c>
      <c r="B381" s="35" t="s">
        <v>405</v>
      </c>
      <c r="C381" s="36">
        <v>921</v>
      </c>
      <c r="D381" s="113">
        <v>41625662</v>
      </c>
      <c r="E381" s="116">
        <f t="shared" si="62"/>
        <v>45196.158523344195</v>
      </c>
      <c r="F381" s="117">
        <v>23459857</v>
      </c>
      <c r="G381" s="117">
        <f t="shared" si="63"/>
        <v>25472.157437567861</v>
      </c>
      <c r="H381" s="9"/>
      <c r="I381" s="101">
        <v>3.8287</v>
      </c>
      <c r="J381" s="117">
        <v>89821</v>
      </c>
      <c r="K381" s="120">
        <f t="shared" si="64"/>
        <v>97.525515743756785</v>
      </c>
      <c r="L381" s="122">
        <f t="shared" si="56"/>
        <v>234598.57</v>
      </c>
      <c r="M381" s="116">
        <f t="shared" si="57"/>
        <v>144777.57</v>
      </c>
      <c r="N381" s="123">
        <f t="shared" si="58"/>
        <v>157.19605863192183</v>
      </c>
      <c r="O381" s="5"/>
      <c r="P381" s="5">
        <f t="shared" si="59"/>
        <v>1</v>
      </c>
      <c r="Q381" s="7">
        <f t="shared" si="60"/>
        <v>921</v>
      </c>
    </row>
    <row r="382" spans="1:17">
      <c r="A382" s="23" t="s">
        <v>407</v>
      </c>
      <c r="B382" s="35" t="s">
        <v>405</v>
      </c>
      <c r="C382" s="36">
        <v>644</v>
      </c>
      <c r="D382" s="114" t="s">
        <v>564</v>
      </c>
      <c r="E382" s="116"/>
      <c r="F382" s="117"/>
      <c r="G382" s="117"/>
      <c r="H382" s="9" t="s">
        <v>528</v>
      </c>
      <c r="I382" s="101"/>
      <c r="J382" s="117"/>
      <c r="K382" s="120"/>
      <c r="L382" s="122">
        <f t="shared" si="56"/>
        <v>0</v>
      </c>
      <c r="M382" s="116">
        <f t="shared" si="57"/>
        <v>0</v>
      </c>
      <c r="N382" s="123">
        <f t="shared" si="58"/>
        <v>0</v>
      </c>
      <c r="O382" s="5"/>
      <c r="P382" s="5">
        <f t="shared" si="59"/>
        <v>0</v>
      </c>
      <c r="Q382" s="7">
        <f t="shared" si="60"/>
        <v>0</v>
      </c>
    </row>
    <row r="383" spans="1:17">
      <c r="A383" s="23" t="s">
        <v>408</v>
      </c>
      <c r="B383" s="35" t="s">
        <v>405</v>
      </c>
      <c r="C383" s="36">
        <v>784</v>
      </c>
      <c r="D383" s="113">
        <v>25308396</v>
      </c>
      <c r="E383" s="116">
        <f t="shared" si="62"/>
        <v>32281.117346938776</v>
      </c>
      <c r="F383" s="117">
        <v>15305908</v>
      </c>
      <c r="G383" s="117">
        <f t="shared" si="63"/>
        <v>19522.841836734693</v>
      </c>
      <c r="H383" s="7"/>
      <c r="I383" s="102">
        <v>7</v>
      </c>
      <c r="J383" s="117">
        <v>107141</v>
      </c>
      <c r="K383" s="120">
        <f t="shared" ref="K383:K388" si="65">(J383/C383)</f>
        <v>136.65943877551021</v>
      </c>
      <c r="L383" s="122">
        <f t="shared" si="56"/>
        <v>153059.08000000002</v>
      </c>
      <c r="M383" s="116">
        <f t="shared" si="57"/>
        <v>45918.080000000016</v>
      </c>
      <c r="N383" s="123">
        <f t="shared" si="58"/>
        <v>58.568979591836758</v>
      </c>
      <c r="O383" s="5"/>
      <c r="P383" s="5">
        <f t="shared" si="59"/>
        <v>1</v>
      </c>
      <c r="Q383" s="7">
        <f t="shared" si="60"/>
        <v>784</v>
      </c>
    </row>
    <row r="384" spans="1:17">
      <c r="A384" s="23" t="s">
        <v>409</v>
      </c>
      <c r="B384" s="35" t="s">
        <v>405</v>
      </c>
      <c r="C384" s="36">
        <v>4825</v>
      </c>
      <c r="D384" s="113">
        <v>413478897</v>
      </c>
      <c r="E384" s="116">
        <f t="shared" si="62"/>
        <v>85695.108186528494</v>
      </c>
      <c r="F384" s="117">
        <v>282543711</v>
      </c>
      <c r="G384" s="117">
        <f t="shared" si="63"/>
        <v>58558.282072538859</v>
      </c>
      <c r="H384" s="7"/>
      <c r="I384" s="101">
        <v>4.1749999999999998</v>
      </c>
      <c r="J384" s="118">
        <v>1179620</v>
      </c>
      <c r="K384" s="120">
        <f t="shared" si="65"/>
        <v>244.48082901554403</v>
      </c>
      <c r="L384" s="122">
        <f t="shared" si="56"/>
        <v>2825437.11</v>
      </c>
      <c r="M384" s="116">
        <f t="shared" si="57"/>
        <v>1645817.1099999999</v>
      </c>
      <c r="N384" s="123">
        <f t="shared" si="58"/>
        <v>341.10199170984453</v>
      </c>
      <c r="O384" s="5"/>
      <c r="P384" s="5">
        <f t="shared" si="59"/>
        <v>1</v>
      </c>
      <c r="Q384" s="7">
        <f t="shared" si="60"/>
        <v>4825</v>
      </c>
    </row>
    <row r="385" spans="1:17">
      <c r="A385" s="23" t="s">
        <v>410</v>
      </c>
      <c r="B385" s="35" t="s">
        <v>411</v>
      </c>
      <c r="C385" s="36">
        <v>704</v>
      </c>
      <c r="D385" s="113">
        <v>38944617</v>
      </c>
      <c r="E385" s="116">
        <f t="shared" si="62"/>
        <v>55319.05823863636</v>
      </c>
      <c r="F385" s="117">
        <v>21665399</v>
      </c>
      <c r="G385" s="117">
        <f t="shared" si="63"/>
        <v>30774.714488636364</v>
      </c>
      <c r="H385" s="7"/>
      <c r="I385" s="101">
        <v>4.2572999999999999</v>
      </c>
      <c r="J385" s="117">
        <v>92236</v>
      </c>
      <c r="K385" s="120">
        <f t="shared" si="65"/>
        <v>131.01704545454547</v>
      </c>
      <c r="L385" s="122">
        <f t="shared" si="56"/>
        <v>216653.99</v>
      </c>
      <c r="M385" s="116">
        <f t="shared" si="57"/>
        <v>124417.98999999999</v>
      </c>
      <c r="N385" s="123">
        <f t="shared" si="58"/>
        <v>176.73009943181816</v>
      </c>
      <c r="O385" s="5"/>
      <c r="P385" s="5">
        <f t="shared" si="59"/>
        <v>1</v>
      </c>
      <c r="Q385" s="7">
        <f t="shared" si="60"/>
        <v>704</v>
      </c>
    </row>
    <row r="386" spans="1:17">
      <c r="A386" s="23" t="s">
        <v>412</v>
      </c>
      <c r="B386" s="35" t="s">
        <v>411</v>
      </c>
      <c r="C386" s="36">
        <v>6669</v>
      </c>
      <c r="D386" s="113">
        <v>351750219</v>
      </c>
      <c r="E386" s="116">
        <f t="shared" si="62"/>
        <v>52744.072424651371</v>
      </c>
      <c r="F386" s="117">
        <v>207614297</v>
      </c>
      <c r="G386" s="117">
        <f t="shared" si="63"/>
        <v>31131.248612985455</v>
      </c>
      <c r="H386" s="7"/>
      <c r="I386" s="101">
        <v>5.9828000000000001</v>
      </c>
      <c r="J386" s="117">
        <v>1242115</v>
      </c>
      <c r="K386" s="120">
        <f t="shared" si="65"/>
        <v>186.25206177837757</v>
      </c>
      <c r="L386" s="122">
        <f t="shared" si="56"/>
        <v>2076142.97</v>
      </c>
      <c r="M386" s="116">
        <f t="shared" si="57"/>
        <v>834027.97</v>
      </c>
      <c r="N386" s="123">
        <f t="shared" si="58"/>
        <v>125.06042435147698</v>
      </c>
      <c r="O386" s="5"/>
      <c r="P386" s="5">
        <f t="shared" si="59"/>
        <v>1</v>
      </c>
      <c r="Q386" s="7">
        <f t="shared" si="60"/>
        <v>6669</v>
      </c>
    </row>
    <row r="387" spans="1:17">
      <c r="A387" s="23" t="s">
        <v>413</v>
      </c>
      <c r="B387" s="35" t="s">
        <v>414</v>
      </c>
      <c r="C387" s="36">
        <v>6815</v>
      </c>
      <c r="D387" s="113">
        <v>439712969</v>
      </c>
      <c r="E387" s="116">
        <f t="shared" si="62"/>
        <v>64521.345414526782</v>
      </c>
      <c r="F387" s="117">
        <v>252735000</v>
      </c>
      <c r="G387" s="117">
        <f t="shared" si="63"/>
        <v>37085.106382978724</v>
      </c>
      <c r="H387" s="9"/>
      <c r="I387" s="101">
        <v>4.5</v>
      </c>
      <c r="J387" s="117">
        <v>1137308</v>
      </c>
      <c r="K387" s="120">
        <f t="shared" si="65"/>
        <v>166.88305209097578</v>
      </c>
      <c r="L387" s="122">
        <f t="shared" si="56"/>
        <v>2527350</v>
      </c>
      <c r="M387" s="116">
        <f t="shared" si="57"/>
        <v>1390042</v>
      </c>
      <c r="N387" s="123">
        <f t="shared" si="58"/>
        <v>203.96801173881144</v>
      </c>
      <c r="O387" s="5"/>
      <c r="P387" s="5">
        <f t="shared" si="59"/>
        <v>1</v>
      </c>
      <c r="Q387" s="7">
        <f t="shared" si="60"/>
        <v>6815</v>
      </c>
    </row>
    <row r="388" spans="1:17">
      <c r="A388" s="23" t="s">
        <v>415</v>
      </c>
      <c r="B388" s="35" t="s">
        <v>416</v>
      </c>
      <c r="C388" s="36">
        <v>1932</v>
      </c>
      <c r="D388" s="113">
        <v>71586022</v>
      </c>
      <c r="E388" s="116">
        <f t="shared" si="62"/>
        <v>37052.806418219465</v>
      </c>
      <c r="F388" s="117">
        <v>36226335</v>
      </c>
      <c r="G388" s="117">
        <f t="shared" si="63"/>
        <v>18750.690993788819</v>
      </c>
      <c r="H388" s="9"/>
      <c r="I388" s="101">
        <v>2.2879999999999998</v>
      </c>
      <c r="J388" s="117">
        <v>82886</v>
      </c>
      <c r="K388" s="120">
        <f t="shared" si="65"/>
        <v>42.901656314699792</v>
      </c>
      <c r="L388" s="122">
        <f t="shared" si="56"/>
        <v>362263.35000000003</v>
      </c>
      <c r="M388" s="116">
        <f t="shared" si="57"/>
        <v>279377.35000000003</v>
      </c>
      <c r="N388" s="123">
        <f t="shared" si="58"/>
        <v>144.60525362318842</v>
      </c>
      <c r="O388" s="5"/>
      <c r="P388" s="5">
        <f t="shared" si="59"/>
        <v>1</v>
      </c>
      <c r="Q388" s="7">
        <f t="shared" si="60"/>
        <v>1932</v>
      </c>
    </row>
    <row r="389" spans="1:17">
      <c r="A389" s="23" t="s">
        <v>417</v>
      </c>
      <c r="B389" s="35" t="s">
        <v>416</v>
      </c>
      <c r="C389" s="36">
        <v>265</v>
      </c>
      <c r="D389" s="114" t="s">
        <v>564</v>
      </c>
      <c r="E389" s="116"/>
      <c r="F389" s="117"/>
      <c r="G389" s="117"/>
      <c r="H389" s="9" t="s">
        <v>528</v>
      </c>
      <c r="I389" s="101"/>
      <c r="J389" s="117"/>
      <c r="K389" s="120"/>
      <c r="L389" s="122">
        <f t="shared" si="56"/>
        <v>0</v>
      </c>
      <c r="M389" s="116">
        <f t="shared" si="57"/>
        <v>0</v>
      </c>
      <c r="N389" s="123">
        <f t="shared" si="58"/>
        <v>0</v>
      </c>
      <c r="O389" s="5"/>
      <c r="P389" s="5">
        <f t="shared" si="59"/>
        <v>0</v>
      </c>
      <c r="Q389" s="7">
        <f t="shared" si="60"/>
        <v>0</v>
      </c>
    </row>
    <row r="390" spans="1:17">
      <c r="A390" s="23" t="s">
        <v>418</v>
      </c>
      <c r="B390" s="35" t="s">
        <v>416</v>
      </c>
      <c r="C390" s="36">
        <v>436</v>
      </c>
      <c r="D390" s="113">
        <v>11161248</v>
      </c>
      <c r="E390" s="116">
        <f t="shared" si="62"/>
        <v>25599.19266055046</v>
      </c>
      <c r="F390" s="117">
        <v>5674529</v>
      </c>
      <c r="G390" s="117">
        <f t="shared" si="63"/>
        <v>13014.974770642202</v>
      </c>
      <c r="H390" s="7"/>
      <c r="I390" s="102">
        <v>1.629</v>
      </c>
      <c r="J390" s="117">
        <v>9244</v>
      </c>
      <c r="K390" s="120">
        <f t="shared" ref="K390:K406" si="66">(J390/C390)</f>
        <v>21.201834862385322</v>
      </c>
      <c r="L390" s="122">
        <f t="shared" ref="L390:L416" si="67">(F390*0.01)</f>
        <v>56745.29</v>
      </c>
      <c r="M390" s="116">
        <f t="shared" ref="M390:M416" si="68">(L390-J390)</f>
        <v>47501.29</v>
      </c>
      <c r="N390" s="123">
        <f t="shared" ref="N390:N416" si="69">(M390/C390)</f>
        <v>108.94791284403669</v>
      </c>
      <c r="O390" s="5"/>
      <c r="P390" s="5">
        <f t="shared" ref="P390:P416" si="70">IF(I390&gt;0,1,0)</f>
        <v>1</v>
      </c>
      <c r="Q390" s="7">
        <f t="shared" ref="Q390:Q416" si="71">IF(I390&gt;0,C390,0)</f>
        <v>436</v>
      </c>
    </row>
    <row r="391" spans="1:17">
      <c r="A391" s="23" t="s">
        <v>419</v>
      </c>
      <c r="B391" s="35" t="s">
        <v>420</v>
      </c>
      <c r="C391" s="36">
        <v>65208</v>
      </c>
      <c r="D391" s="113">
        <v>6680765781</v>
      </c>
      <c r="E391" s="116">
        <f t="shared" si="62"/>
        <v>102453.16189731321</v>
      </c>
      <c r="F391" s="117">
        <v>4343559631</v>
      </c>
      <c r="G391" s="117">
        <f t="shared" si="63"/>
        <v>66610.839636240955</v>
      </c>
      <c r="H391" s="7"/>
      <c r="I391" s="101">
        <v>5.42476</v>
      </c>
      <c r="J391" s="117">
        <v>23562769</v>
      </c>
      <c r="K391" s="120">
        <f t="shared" si="66"/>
        <v>361.34782542019383</v>
      </c>
      <c r="L391" s="122">
        <f t="shared" si="67"/>
        <v>43435596.310000002</v>
      </c>
      <c r="M391" s="116">
        <f t="shared" si="68"/>
        <v>19872827.310000002</v>
      </c>
      <c r="N391" s="123">
        <f t="shared" si="69"/>
        <v>304.76057094221574</v>
      </c>
      <c r="O391" s="5"/>
      <c r="P391" s="5">
        <f t="shared" si="70"/>
        <v>1</v>
      </c>
      <c r="Q391" s="7">
        <f t="shared" si="71"/>
        <v>65208</v>
      </c>
    </row>
    <row r="392" spans="1:17">
      <c r="A392" s="23" t="s">
        <v>421</v>
      </c>
      <c r="B392" s="35" t="s">
        <v>420</v>
      </c>
      <c r="C392" s="36">
        <v>5475</v>
      </c>
      <c r="D392" s="113">
        <v>1592663632</v>
      </c>
      <c r="E392" s="116">
        <f t="shared" si="62"/>
        <v>290897.46703196346</v>
      </c>
      <c r="F392" s="117">
        <v>1422490949</v>
      </c>
      <c r="G392" s="117">
        <f t="shared" si="63"/>
        <v>259815.6984474886</v>
      </c>
      <c r="H392" s="7"/>
      <c r="I392" s="101">
        <v>4.9972000000000003</v>
      </c>
      <c r="J392" s="117">
        <v>7108472</v>
      </c>
      <c r="K392" s="120">
        <f t="shared" si="66"/>
        <v>1298.3510502283104</v>
      </c>
      <c r="L392" s="122">
        <f t="shared" si="67"/>
        <v>14224909.49</v>
      </c>
      <c r="M392" s="116">
        <f t="shared" si="68"/>
        <v>7116437.4900000002</v>
      </c>
      <c r="N392" s="123">
        <f t="shared" si="69"/>
        <v>1299.8059342465754</v>
      </c>
      <c r="O392" s="5"/>
      <c r="P392" s="5">
        <f t="shared" si="70"/>
        <v>1</v>
      </c>
      <c r="Q392" s="7">
        <f t="shared" si="71"/>
        <v>5475</v>
      </c>
    </row>
    <row r="393" spans="1:17">
      <c r="A393" s="23" t="s">
        <v>462</v>
      </c>
      <c r="B393" s="35" t="s">
        <v>420</v>
      </c>
      <c r="C393" s="36">
        <v>18741</v>
      </c>
      <c r="D393" s="113">
        <v>2165837189</v>
      </c>
      <c r="E393" s="116">
        <f t="shared" si="62"/>
        <v>115566.78880529321</v>
      </c>
      <c r="F393" s="117">
        <v>1681697450</v>
      </c>
      <c r="G393" s="117">
        <f t="shared" si="63"/>
        <v>89733.602796008752</v>
      </c>
      <c r="H393" s="7"/>
      <c r="I393" s="101">
        <v>2.5727899999999999</v>
      </c>
      <c r="J393" s="117">
        <v>4326654</v>
      </c>
      <c r="K393" s="120">
        <f t="shared" si="66"/>
        <v>230.86569553385624</v>
      </c>
      <c r="L393" s="122">
        <f t="shared" si="67"/>
        <v>16816974.5</v>
      </c>
      <c r="M393" s="116">
        <f t="shared" si="68"/>
        <v>12490320.5</v>
      </c>
      <c r="N393" s="123">
        <f t="shared" si="69"/>
        <v>666.47033242623127</v>
      </c>
      <c r="O393" s="5"/>
      <c r="P393" s="5">
        <f t="shared" si="70"/>
        <v>1</v>
      </c>
      <c r="Q393" s="7">
        <f t="shared" si="71"/>
        <v>18741</v>
      </c>
    </row>
    <row r="394" spans="1:17">
      <c r="A394" s="23" t="s">
        <v>463</v>
      </c>
      <c r="B394" s="35" t="s">
        <v>420</v>
      </c>
      <c r="C394" s="36">
        <v>27123</v>
      </c>
      <c r="D394" s="113">
        <v>2353367054</v>
      </c>
      <c r="E394" s="116">
        <f t="shared" si="62"/>
        <v>86766.473251483985</v>
      </c>
      <c r="F394" s="117">
        <v>1548155354</v>
      </c>
      <c r="G394" s="117">
        <f t="shared" si="63"/>
        <v>57079.060354680529</v>
      </c>
      <c r="H394" s="7"/>
      <c r="I394" s="101">
        <v>5.9995000000000003</v>
      </c>
      <c r="J394" s="117">
        <v>9288158</v>
      </c>
      <c r="K394" s="120">
        <f t="shared" si="66"/>
        <v>342.44582089001955</v>
      </c>
      <c r="L394" s="122">
        <f t="shared" si="67"/>
        <v>15481553.540000001</v>
      </c>
      <c r="M394" s="116">
        <f t="shared" si="68"/>
        <v>6193395.540000001</v>
      </c>
      <c r="N394" s="123">
        <f t="shared" si="69"/>
        <v>228.34478265678578</v>
      </c>
      <c r="O394" s="5"/>
      <c r="P394" s="5">
        <f t="shared" si="70"/>
        <v>1</v>
      </c>
      <c r="Q394" s="7">
        <f t="shared" si="71"/>
        <v>27123</v>
      </c>
    </row>
    <row r="395" spans="1:17">
      <c r="A395" s="23" t="s">
        <v>422</v>
      </c>
      <c r="B395" s="35" t="s">
        <v>420</v>
      </c>
      <c r="C395" s="36">
        <v>84264</v>
      </c>
      <c r="D395" s="113">
        <v>4083032198</v>
      </c>
      <c r="E395" s="116">
        <f t="shared" si="62"/>
        <v>48455.238274945412</v>
      </c>
      <c r="F395" s="117">
        <v>2389044922</v>
      </c>
      <c r="G395" s="117">
        <f t="shared" si="63"/>
        <v>28351.904989081933</v>
      </c>
      <c r="H395" s="7"/>
      <c r="I395" s="101">
        <v>5.4375499999999999</v>
      </c>
      <c r="J395" s="117">
        <v>12990551</v>
      </c>
      <c r="K395" s="120">
        <f t="shared" si="66"/>
        <v>154.16489841450678</v>
      </c>
      <c r="L395" s="122">
        <f t="shared" si="67"/>
        <v>23890449.219999999</v>
      </c>
      <c r="M395" s="116">
        <f t="shared" si="68"/>
        <v>10899898.219999999</v>
      </c>
      <c r="N395" s="123">
        <f t="shared" si="69"/>
        <v>129.35415147631252</v>
      </c>
      <c r="O395" s="5"/>
      <c r="P395" s="5">
        <f t="shared" si="70"/>
        <v>1</v>
      </c>
      <c r="Q395" s="7">
        <f t="shared" si="71"/>
        <v>84264</v>
      </c>
    </row>
    <row r="396" spans="1:17">
      <c r="A396" s="23" t="s">
        <v>423</v>
      </c>
      <c r="B396" s="35" t="s">
        <v>420</v>
      </c>
      <c r="C396" s="36">
        <v>21394</v>
      </c>
      <c r="D396" s="113">
        <v>1362211643</v>
      </c>
      <c r="E396" s="116">
        <f t="shared" si="62"/>
        <v>63672.601804244179</v>
      </c>
      <c r="F396" s="117">
        <v>822687956</v>
      </c>
      <c r="G396" s="117">
        <f t="shared" si="63"/>
        <v>38454.143965597832</v>
      </c>
      <c r="H396" s="7"/>
      <c r="I396" s="101">
        <v>6.36</v>
      </c>
      <c r="J396" s="117">
        <v>5232295</v>
      </c>
      <c r="K396" s="120">
        <f t="shared" si="66"/>
        <v>244.56833691689258</v>
      </c>
      <c r="L396" s="122">
        <f t="shared" si="67"/>
        <v>8226879.5600000005</v>
      </c>
      <c r="M396" s="116">
        <f t="shared" si="68"/>
        <v>2994584.5600000005</v>
      </c>
      <c r="N396" s="123">
        <f t="shared" si="69"/>
        <v>139.97310273908576</v>
      </c>
      <c r="O396" s="5"/>
      <c r="P396" s="5">
        <f t="shared" si="70"/>
        <v>1</v>
      </c>
      <c r="Q396" s="7">
        <f t="shared" si="71"/>
        <v>21394</v>
      </c>
    </row>
    <row r="397" spans="1:17">
      <c r="A397" s="23" t="s">
        <v>424</v>
      </c>
      <c r="B397" s="35" t="s">
        <v>420</v>
      </c>
      <c r="C397" s="36">
        <v>12851</v>
      </c>
      <c r="D397" s="113">
        <v>885472687</v>
      </c>
      <c r="E397" s="116">
        <f t="shared" si="62"/>
        <v>68903.018208699708</v>
      </c>
      <c r="F397" s="117">
        <v>646923352</v>
      </c>
      <c r="G397" s="117">
        <f t="shared" si="63"/>
        <v>50340.312193603611</v>
      </c>
      <c r="H397" s="7"/>
      <c r="I397" s="101">
        <v>5.7257999999999996</v>
      </c>
      <c r="J397" s="117">
        <v>3704154</v>
      </c>
      <c r="K397" s="120">
        <f t="shared" si="66"/>
        <v>288.23858065520193</v>
      </c>
      <c r="L397" s="122">
        <f t="shared" si="67"/>
        <v>6469233.5200000005</v>
      </c>
      <c r="M397" s="116">
        <f t="shared" si="68"/>
        <v>2765079.5200000005</v>
      </c>
      <c r="N397" s="123">
        <f t="shared" si="69"/>
        <v>215.16454128083421</v>
      </c>
      <c r="O397" s="5"/>
      <c r="P397" s="5">
        <f t="shared" si="70"/>
        <v>1</v>
      </c>
      <c r="Q397" s="7">
        <f t="shared" si="71"/>
        <v>12851</v>
      </c>
    </row>
    <row r="398" spans="1:17">
      <c r="A398" s="23" t="s">
        <v>425</v>
      </c>
      <c r="B398" s="35" t="s">
        <v>420</v>
      </c>
      <c r="C398" s="36">
        <v>2878</v>
      </c>
      <c r="D398" s="113">
        <v>178802277</v>
      </c>
      <c r="E398" s="116">
        <f t="shared" si="62"/>
        <v>62127.267894371093</v>
      </c>
      <c r="F398" s="117">
        <v>100088095</v>
      </c>
      <c r="G398" s="117">
        <f t="shared" si="63"/>
        <v>34776.961431549687</v>
      </c>
      <c r="H398" s="7"/>
      <c r="I398" s="101">
        <v>5.218</v>
      </c>
      <c r="J398" s="117">
        <v>522260</v>
      </c>
      <c r="K398" s="120">
        <f t="shared" si="66"/>
        <v>181.46629603891591</v>
      </c>
      <c r="L398" s="122">
        <f t="shared" si="67"/>
        <v>1000880.9500000001</v>
      </c>
      <c r="M398" s="116">
        <f t="shared" si="68"/>
        <v>478620.95000000007</v>
      </c>
      <c r="N398" s="123">
        <f t="shared" si="69"/>
        <v>166.303318276581</v>
      </c>
      <c r="O398" s="5"/>
      <c r="P398" s="5">
        <f t="shared" si="70"/>
        <v>1</v>
      </c>
      <c r="Q398" s="7">
        <f t="shared" si="71"/>
        <v>2878</v>
      </c>
    </row>
    <row r="399" spans="1:17">
      <c r="A399" s="23" t="s">
        <v>426</v>
      </c>
      <c r="B399" s="35" t="s">
        <v>420</v>
      </c>
      <c r="C399" s="36">
        <v>23449</v>
      </c>
      <c r="D399" s="113">
        <v>3812059959</v>
      </c>
      <c r="E399" s="116">
        <f t="shared" si="62"/>
        <v>162568.12482408632</v>
      </c>
      <c r="F399" s="117">
        <v>2845189751</v>
      </c>
      <c r="G399" s="117">
        <f t="shared" si="63"/>
        <v>121335.22755767837</v>
      </c>
      <c r="H399" s="7"/>
      <c r="I399" s="101">
        <v>3.4792999999999998</v>
      </c>
      <c r="J399" s="117">
        <v>9899269</v>
      </c>
      <c r="K399" s="120">
        <f t="shared" si="66"/>
        <v>422.16167000724977</v>
      </c>
      <c r="L399" s="122">
        <f t="shared" si="67"/>
        <v>28451897.510000002</v>
      </c>
      <c r="M399" s="116">
        <f t="shared" si="68"/>
        <v>18552628.510000002</v>
      </c>
      <c r="N399" s="123">
        <f t="shared" si="69"/>
        <v>791.190605569534</v>
      </c>
      <c r="O399" s="5"/>
      <c r="P399" s="5">
        <f t="shared" si="70"/>
        <v>1</v>
      </c>
      <c r="Q399" s="7">
        <f t="shared" si="71"/>
        <v>23449</v>
      </c>
    </row>
    <row r="400" spans="1:17">
      <c r="A400" s="23" t="s">
        <v>427</v>
      </c>
      <c r="B400" s="35" t="s">
        <v>420</v>
      </c>
      <c r="C400" s="36">
        <v>1984</v>
      </c>
      <c r="D400" s="113">
        <v>172122068</v>
      </c>
      <c r="E400" s="116">
        <f t="shared" si="62"/>
        <v>86755.074596774197</v>
      </c>
      <c r="F400" s="117">
        <v>96707703</v>
      </c>
      <c r="G400" s="117">
        <f t="shared" si="63"/>
        <v>48743.801915322583</v>
      </c>
      <c r="H400" s="7"/>
      <c r="I400" s="101">
        <v>5.7990000000000004</v>
      </c>
      <c r="J400" s="117">
        <v>560808</v>
      </c>
      <c r="K400" s="120">
        <f t="shared" si="66"/>
        <v>282.66532258064518</v>
      </c>
      <c r="L400" s="122">
        <f t="shared" si="67"/>
        <v>967077.03</v>
      </c>
      <c r="M400" s="116">
        <f t="shared" si="68"/>
        <v>406269.03</v>
      </c>
      <c r="N400" s="123">
        <f t="shared" si="69"/>
        <v>204.77269657258066</v>
      </c>
      <c r="O400" s="5"/>
      <c r="P400" s="5">
        <f t="shared" si="70"/>
        <v>1</v>
      </c>
      <c r="Q400" s="7">
        <f t="shared" si="71"/>
        <v>1984</v>
      </c>
    </row>
    <row r="401" spans="1:17">
      <c r="A401" s="23" t="s">
        <v>428</v>
      </c>
      <c r="B401" s="35" t="s">
        <v>420</v>
      </c>
      <c r="C401" s="36">
        <v>10203</v>
      </c>
      <c r="D401" s="113">
        <v>860400656</v>
      </c>
      <c r="E401" s="116">
        <f t="shared" si="62"/>
        <v>84328.203077526225</v>
      </c>
      <c r="F401" s="117">
        <v>638774268</v>
      </c>
      <c r="G401" s="117">
        <f t="shared" si="63"/>
        <v>62606.51455454278</v>
      </c>
      <c r="H401" s="7"/>
      <c r="I401" s="101">
        <v>5.1952999999999996</v>
      </c>
      <c r="J401" s="117">
        <v>3318624</v>
      </c>
      <c r="K401" s="120">
        <f t="shared" si="66"/>
        <v>325.25962952072922</v>
      </c>
      <c r="L401" s="122">
        <f t="shared" si="67"/>
        <v>6387742.6799999997</v>
      </c>
      <c r="M401" s="116">
        <f t="shared" si="68"/>
        <v>3069118.6799999997</v>
      </c>
      <c r="N401" s="123">
        <f t="shared" si="69"/>
        <v>300.80551602469859</v>
      </c>
      <c r="O401" s="5"/>
      <c r="P401" s="5">
        <f t="shared" si="70"/>
        <v>1</v>
      </c>
      <c r="Q401" s="7">
        <f t="shared" si="71"/>
        <v>10203</v>
      </c>
    </row>
    <row r="402" spans="1:17">
      <c r="A402" s="23" t="s">
        <v>429</v>
      </c>
      <c r="B402" s="35" t="s">
        <v>420</v>
      </c>
      <c r="C402" s="36">
        <v>40832</v>
      </c>
      <c r="D402" s="113">
        <v>4270166862</v>
      </c>
      <c r="E402" s="116">
        <f t="shared" si="62"/>
        <v>104578.92980995298</v>
      </c>
      <c r="F402" s="117">
        <v>2944810860</v>
      </c>
      <c r="G402" s="117">
        <f t="shared" si="63"/>
        <v>72120.171923981194</v>
      </c>
      <c r="H402" s="7"/>
      <c r="I402" s="101">
        <v>3.6741799999999998</v>
      </c>
      <c r="J402" s="117">
        <v>10819765</v>
      </c>
      <c r="K402" s="120">
        <f t="shared" si="66"/>
        <v>264.98248922413791</v>
      </c>
      <c r="L402" s="122">
        <f t="shared" si="67"/>
        <v>29448108.600000001</v>
      </c>
      <c r="M402" s="116">
        <f t="shared" si="68"/>
        <v>18628343.600000001</v>
      </c>
      <c r="N402" s="123">
        <f t="shared" si="69"/>
        <v>456.21923001567404</v>
      </c>
      <c r="O402" s="5"/>
      <c r="P402" s="5">
        <f t="shared" si="70"/>
        <v>1</v>
      </c>
      <c r="Q402" s="7">
        <f t="shared" si="71"/>
        <v>40832</v>
      </c>
    </row>
    <row r="403" spans="1:17">
      <c r="A403" s="23" t="s">
        <v>430</v>
      </c>
      <c r="B403" s="35" t="s">
        <v>420</v>
      </c>
      <c r="C403" s="36">
        <v>2651</v>
      </c>
      <c r="D403" s="113">
        <v>120076175</v>
      </c>
      <c r="E403" s="116">
        <f t="shared" si="62"/>
        <v>45294.671821953976</v>
      </c>
      <c r="F403" s="117">
        <v>53957639</v>
      </c>
      <c r="G403" s="117">
        <f t="shared" si="63"/>
        <v>20353.692568841947</v>
      </c>
      <c r="H403" s="7"/>
      <c r="I403" s="101">
        <v>4.8023999999999996</v>
      </c>
      <c r="J403" s="117">
        <v>259126</v>
      </c>
      <c r="K403" s="120">
        <f t="shared" si="66"/>
        <v>97.746510750660121</v>
      </c>
      <c r="L403" s="122">
        <f t="shared" si="67"/>
        <v>539576.39</v>
      </c>
      <c r="M403" s="116">
        <f t="shared" si="68"/>
        <v>280450.39</v>
      </c>
      <c r="N403" s="123">
        <f t="shared" si="69"/>
        <v>105.79041493775934</v>
      </c>
      <c r="O403" s="5"/>
      <c r="P403" s="5">
        <f t="shared" si="70"/>
        <v>1</v>
      </c>
      <c r="Q403" s="7">
        <f t="shared" si="71"/>
        <v>2651</v>
      </c>
    </row>
    <row r="404" spans="1:17">
      <c r="A404" s="23" t="s">
        <v>431</v>
      </c>
      <c r="B404" s="35" t="s">
        <v>420</v>
      </c>
      <c r="C404" s="36">
        <v>3266</v>
      </c>
      <c r="D404" s="113">
        <v>966525753</v>
      </c>
      <c r="E404" s="116">
        <f t="shared" si="62"/>
        <v>295935.62553582364</v>
      </c>
      <c r="F404" s="117">
        <v>762543463</v>
      </c>
      <c r="G404" s="117">
        <f t="shared" si="63"/>
        <v>233479.32118799756</v>
      </c>
      <c r="H404" s="7"/>
      <c r="I404" s="101">
        <v>4.03</v>
      </c>
      <c r="J404" s="117">
        <v>3073050</v>
      </c>
      <c r="K404" s="120">
        <f t="shared" si="66"/>
        <v>940.92161665646051</v>
      </c>
      <c r="L404" s="122">
        <f t="shared" si="67"/>
        <v>7625434.6299999999</v>
      </c>
      <c r="M404" s="116">
        <f t="shared" si="68"/>
        <v>4552384.63</v>
      </c>
      <c r="N404" s="123">
        <f t="shared" si="69"/>
        <v>1393.871595223515</v>
      </c>
      <c r="O404" s="5"/>
      <c r="P404" s="5">
        <f t="shared" si="70"/>
        <v>1</v>
      </c>
      <c r="Q404" s="7">
        <f t="shared" si="71"/>
        <v>3266</v>
      </c>
    </row>
    <row r="405" spans="1:17">
      <c r="A405" s="23" t="s">
        <v>432</v>
      </c>
      <c r="B405" s="35" t="s">
        <v>420</v>
      </c>
      <c r="C405" s="36">
        <v>56732</v>
      </c>
      <c r="D405" s="113">
        <v>3890047915</v>
      </c>
      <c r="E405" s="116">
        <f t="shared" si="62"/>
        <v>68568.848533455544</v>
      </c>
      <c r="F405" s="117">
        <v>2546269833</v>
      </c>
      <c r="G405" s="117">
        <f t="shared" si="63"/>
        <v>44882.426725657475</v>
      </c>
      <c r="H405" s="7"/>
      <c r="I405" s="101">
        <v>4.5999999999999996</v>
      </c>
      <c r="J405" s="117">
        <v>11712841</v>
      </c>
      <c r="K405" s="120">
        <f t="shared" si="66"/>
        <v>206.45915885214694</v>
      </c>
      <c r="L405" s="122">
        <f t="shared" si="67"/>
        <v>25462698.330000002</v>
      </c>
      <c r="M405" s="116">
        <f t="shared" si="68"/>
        <v>13749857.330000002</v>
      </c>
      <c r="N405" s="123">
        <f t="shared" si="69"/>
        <v>242.36510840442787</v>
      </c>
      <c r="O405" s="5"/>
      <c r="P405" s="5">
        <f t="shared" si="70"/>
        <v>1</v>
      </c>
      <c r="Q405" s="7">
        <f t="shared" si="71"/>
        <v>56732</v>
      </c>
    </row>
    <row r="406" spans="1:17">
      <c r="A406" s="23" t="s">
        <v>433</v>
      </c>
      <c r="B406" s="35" t="s">
        <v>420</v>
      </c>
      <c r="C406" s="36">
        <v>13530</v>
      </c>
      <c r="D406" s="113">
        <v>887550092</v>
      </c>
      <c r="E406" s="116">
        <f t="shared" si="62"/>
        <v>65598.676422764227</v>
      </c>
      <c r="F406" s="117">
        <v>590759487</v>
      </c>
      <c r="G406" s="117">
        <f t="shared" si="63"/>
        <v>43662.933259423502</v>
      </c>
      <c r="H406" s="9"/>
      <c r="I406" s="101">
        <v>5.7781000000000002</v>
      </c>
      <c r="J406" s="117">
        <v>3413467</v>
      </c>
      <c r="K406" s="120">
        <f t="shared" si="66"/>
        <v>252.28876570583887</v>
      </c>
      <c r="L406" s="122">
        <f t="shared" si="67"/>
        <v>5907594.8700000001</v>
      </c>
      <c r="M406" s="116">
        <f t="shared" si="68"/>
        <v>2494127.87</v>
      </c>
      <c r="N406" s="123">
        <f t="shared" si="69"/>
        <v>184.34056688839615</v>
      </c>
      <c r="O406" s="5"/>
      <c r="P406" s="5">
        <f t="shared" si="70"/>
        <v>1</v>
      </c>
      <c r="Q406" s="7">
        <f t="shared" si="71"/>
        <v>13530</v>
      </c>
    </row>
    <row r="407" spans="1:17">
      <c r="A407" s="23" t="s">
        <v>435</v>
      </c>
      <c r="B407" s="35" t="s">
        <v>434</v>
      </c>
      <c r="C407" s="36">
        <v>418</v>
      </c>
      <c r="D407" s="114" t="s">
        <v>564</v>
      </c>
      <c r="E407" s="116"/>
      <c r="F407" s="117"/>
      <c r="G407" s="117"/>
      <c r="H407" s="9" t="s">
        <v>528</v>
      </c>
      <c r="I407" s="102"/>
      <c r="J407" s="117"/>
      <c r="K407" s="120"/>
      <c r="L407" s="122">
        <f t="shared" si="67"/>
        <v>0</v>
      </c>
      <c r="M407" s="116">
        <f t="shared" si="68"/>
        <v>0</v>
      </c>
      <c r="N407" s="123">
        <f t="shared" si="69"/>
        <v>0</v>
      </c>
      <c r="O407" s="5"/>
      <c r="P407" s="5">
        <f t="shared" si="70"/>
        <v>0</v>
      </c>
      <c r="Q407" s="7">
        <f t="shared" si="71"/>
        <v>0</v>
      </c>
    </row>
    <row r="408" spans="1:17">
      <c r="A408" s="23" t="s">
        <v>555</v>
      </c>
      <c r="B408" s="35" t="s">
        <v>434</v>
      </c>
      <c r="C408" s="36">
        <v>323</v>
      </c>
      <c r="D408" s="113">
        <v>43420183</v>
      </c>
      <c r="E408" s="116">
        <f t="shared" ref="E408:E415" si="72">(D408/C408)</f>
        <v>134427.81114551084</v>
      </c>
      <c r="F408" s="117">
        <v>33658727</v>
      </c>
      <c r="G408" s="117">
        <f t="shared" ref="G408:G415" si="73">(F408/C408)</f>
        <v>104206.58513931888</v>
      </c>
      <c r="H408" s="9"/>
      <c r="I408" s="101">
        <v>4.7976999999999999</v>
      </c>
      <c r="J408" s="117">
        <v>161484</v>
      </c>
      <c r="K408" s="120">
        <f>(J408/C408)</f>
        <v>499.95046439628481</v>
      </c>
      <c r="L408" s="122">
        <f t="shared" si="67"/>
        <v>336587.27</v>
      </c>
      <c r="M408" s="116">
        <f t="shared" si="68"/>
        <v>175103.27000000002</v>
      </c>
      <c r="N408" s="123">
        <f t="shared" si="69"/>
        <v>542.11538699690414</v>
      </c>
      <c r="O408" s="5"/>
      <c r="P408" s="5">
        <f t="shared" si="70"/>
        <v>1</v>
      </c>
      <c r="Q408" s="7">
        <f t="shared" si="71"/>
        <v>323</v>
      </c>
    </row>
    <row r="409" spans="1:17">
      <c r="A409" s="23" t="s">
        <v>436</v>
      </c>
      <c r="B409" s="35" t="s">
        <v>437</v>
      </c>
      <c r="C409" s="36">
        <v>5131</v>
      </c>
      <c r="D409" s="113">
        <v>333637552</v>
      </c>
      <c r="E409" s="116">
        <f t="shared" si="72"/>
        <v>65023.884622880527</v>
      </c>
      <c r="F409" s="117">
        <v>217027872</v>
      </c>
      <c r="G409" s="117">
        <f t="shared" si="73"/>
        <v>42297.382966283374</v>
      </c>
      <c r="H409" s="9"/>
      <c r="I409" s="102">
        <v>4.5</v>
      </c>
      <c r="J409" s="117">
        <v>976625</v>
      </c>
      <c r="K409" s="120">
        <f>(J409/C409)</f>
        <v>190.33814071331125</v>
      </c>
      <c r="L409" s="122">
        <f t="shared" si="67"/>
        <v>2170278.7200000002</v>
      </c>
      <c r="M409" s="116">
        <f t="shared" si="68"/>
        <v>1193653.7200000002</v>
      </c>
      <c r="N409" s="123">
        <f t="shared" si="69"/>
        <v>232.63568894952255</v>
      </c>
      <c r="O409" s="5"/>
      <c r="P409" s="5">
        <f t="shared" si="70"/>
        <v>1</v>
      </c>
      <c r="Q409" s="7">
        <f t="shared" si="71"/>
        <v>5131</v>
      </c>
    </row>
    <row r="410" spans="1:17">
      <c r="A410" s="23" t="s">
        <v>438</v>
      </c>
      <c r="B410" s="35" t="s">
        <v>437</v>
      </c>
      <c r="C410" s="36">
        <v>1505</v>
      </c>
      <c r="D410" s="113">
        <v>273318062</v>
      </c>
      <c r="E410" s="116">
        <f t="shared" si="72"/>
        <v>181606.6857142857</v>
      </c>
      <c r="F410" s="117">
        <v>229901005</v>
      </c>
      <c r="G410" s="117">
        <f t="shared" si="73"/>
        <v>152758.14285714287</v>
      </c>
      <c r="H410" s="9"/>
      <c r="I410" s="102">
        <v>3.93</v>
      </c>
      <c r="J410" s="117">
        <v>903511</v>
      </c>
      <c r="K410" s="120">
        <f>(J410/C410)</f>
        <v>600.33953488372094</v>
      </c>
      <c r="L410" s="122">
        <f t="shared" si="67"/>
        <v>2299010.0500000003</v>
      </c>
      <c r="M410" s="116">
        <f t="shared" si="68"/>
        <v>1395499.0500000003</v>
      </c>
      <c r="N410" s="123">
        <f t="shared" si="69"/>
        <v>927.24189368770783</v>
      </c>
      <c r="O410" s="5"/>
      <c r="P410" s="5">
        <f t="shared" si="70"/>
        <v>1</v>
      </c>
      <c r="Q410" s="7">
        <f t="shared" si="71"/>
        <v>1505</v>
      </c>
    </row>
    <row r="411" spans="1:17">
      <c r="A411" s="23" t="s">
        <v>439</v>
      </c>
      <c r="B411" s="35" t="s">
        <v>437</v>
      </c>
      <c r="C411" s="36">
        <v>737</v>
      </c>
      <c r="D411" s="114" t="s">
        <v>564</v>
      </c>
      <c r="E411" s="116"/>
      <c r="F411" s="117"/>
      <c r="G411" s="117"/>
      <c r="H411" s="9" t="s">
        <v>528</v>
      </c>
      <c r="I411" s="102"/>
      <c r="J411" s="117"/>
      <c r="K411" s="120"/>
      <c r="L411" s="122">
        <f t="shared" si="67"/>
        <v>0</v>
      </c>
      <c r="M411" s="116">
        <f t="shared" si="68"/>
        <v>0</v>
      </c>
      <c r="N411" s="123">
        <f t="shared" si="69"/>
        <v>0</v>
      </c>
      <c r="O411" s="5"/>
      <c r="P411" s="5">
        <f t="shared" si="70"/>
        <v>0</v>
      </c>
      <c r="Q411" s="7">
        <f t="shared" si="71"/>
        <v>0</v>
      </c>
    </row>
    <row r="412" spans="1:17">
      <c r="A412" s="23" t="s">
        <v>440</v>
      </c>
      <c r="B412" s="35" t="s">
        <v>441</v>
      </c>
      <c r="C412" s="36">
        <v>233</v>
      </c>
      <c r="D412" s="114" t="s">
        <v>564</v>
      </c>
      <c r="E412" s="116"/>
      <c r="F412" s="117"/>
      <c r="G412" s="117"/>
      <c r="H412" s="9" t="s">
        <v>528</v>
      </c>
      <c r="I412" s="102"/>
      <c r="J412" s="117"/>
      <c r="K412" s="120"/>
      <c r="L412" s="122">
        <f t="shared" si="67"/>
        <v>0</v>
      </c>
      <c r="M412" s="116">
        <f t="shared" si="68"/>
        <v>0</v>
      </c>
      <c r="N412" s="123">
        <f t="shared" si="69"/>
        <v>0</v>
      </c>
      <c r="O412" s="5"/>
      <c r="P412" s="5">
        <f t="shared" si="70"/>
        <v>0</v>
      </c>
      <c r="Q412" s="7">
        <f t="shared" si="71"/>
        <v>0</v>
      </c>
    </row>
    <row r="413" spans="1:17">
      <c r="A413" s="23" t="s">
        <v>442</v>
      </c>
      <c r="B413" s="35" t="s">
        <v>441</v>
      </c>
      <c r="C413" s="36">
        <v>3586</v>
      </c>
      <c r="D413" s="113">
        <v>225105773</v>
      </c>
      <c r="E413" s="116">
        <f t="shared" si="72"/>
        <v>62773.500557724481</v>
      </c>
      <c r="F413" s="117">
        <v>153489227</v>
      </c>
      <c r="G413" s="117">
        <f t="shared" si="73"/>
        <v>42802.349972113778</v>
      </c>
      <c r="H413" s="9"/>
      <c r="I413" s="102">
        <v>6</v>
      </c>
      <c r="J413" s="117">
        <v>920935</v>
      </c>
      <c r="K413" s="120">
        <f>(J413/C413)</f>
        <v>256.81399888455104</v>
      </c>
      <c r="L413" s="122">
        <f t="shared" si="67"/>
        <v>1534892.27</v>
      </c>
      <c r="M413" s="116">
        <f t="shared" si="68"/>
        <v>613957.27</v>
      </c>
      <c r="N413" s="123">
        <f t="shared" si="69"/>
        <v>171.20950083658673</v>
      </c>
      <c r="O413" s="5"/>
      <c r="P413" s="5">
        <f t="shared" si="70"/>
        <v>1</v>
      </c>
      <c r="Q413" s="7">
        <f t="shared" si="71"/>
        <v>3586</v>
      </c>
    </row>
    <row r="414" spans="1:17">
      <c r="A414" s="23" t="s">
        <v>443</v>
      </c>
      <c r="B414" s="35" t="s">
        <v>441</v>
      </c>
      <c r="C414" s="36">
        <v>250</v>
      </c>
      <c r="D414" s="114" t="s">
        <v>564</v>
      </c>
      <c r="E414" s="116"/>
      <c r="F414" s="117"/>
      <c r="G414" s="117"/>
      <c r="H414" s="9" t="s">
        <v>528</v>
      </c>
      <c r="I414" s="102"/>
      <c r="J414" s="117"/>
      <c r="K414" s="120"/>
      <c r="L414" s="122">
        <f t="shared" si="67"/>
        <v>0</v>
      </c>
      <c r="M414" s="116">
        <f t="shared" si="68"/>
        <v>0</v>
      </c>
      <c r="N414" s="123">
        <f t="shared" si="69"/>
        <v>0</v>
      </c>
      <c r="O414" s="5"/>
      <c r="P414" s="5">
        <f t="shared" si="70"/>
        <v>0</v>
      </c>
      <c r="Q414" s="7">
        <f t="shared" si="71"/>
        <v>0</v>
      </c>
    </row>
    <row r="415" spans="1:17">
      <c r="A415" s="23" t="s">
        <v>444</v>
      </c>
      <c r="B415" s="35" t="s">
        <v>441</v>
      </c>
      <c r="C415" s="36">
        <v>712</v>
      </c>
      <c r="D415" s="113">
        <v>33969640</v>
      </c>
      <c r="E415" s="116">
        <f t="shared" si="72"/>
        <v>47710.168539325845</v>
      </c>
      <c r="F415" s="117">
        <v>15505120</v>
      </c>
      <c r="G415" s="117">
        <f t="shared" si="73"/>
        <v>21776.853932584268</v>
      </c>
      <c r="H415" s="9"/>
      <c r="I415" s="102">
        <v>2.294</v>
      </c>
      <c r="J415" s="117">
        <v>35569</v>
      </c>
      <c r="K415" s="120">
        <f>(J415/C415)</f>
        <v>49.956460674157306</v>
      </c>
      <c r="L415" s="122">
        <f t="shared" si="67"/>
        <v>155051.20000000001</v>
      </c>
      <c r="M415" s="116">
        <f t="shared" si="68"/>
        <v>119482.20000000001</v>
      </c>
      <c r="N415" s="123">
        <f t="shared" si="69"/>
        <v>167.8120786516854</v>
      </c>
      <c r="O415" s="5"/>
      <c r="P415" s="5">
        <f t="shared" si="70"/>
        <v>1</v>
      </c>
      <c r="Q415" s="7">
        <f t="shared" si="71"/>
        <v>712</v>
      </c>
    </row>
    <row r="416" spans="1:17">
      <c r="A416" s="23" t="s">
        <v>445</v>
      </c>
      <c r="B416" s="35" t="s">
        <v>441</v>
      </c>
      <c r="C416" s="36">
        <v>440</v>
      </c>
      <c r="D416" s="114" t="s">
        <v>564</v>
      </c>
      <c r="E416" s="116"/>
      <c r="F416" s="117"/>
      <c r="G416" s="117"/>
      <c r="H416" s="9" t="s">
        <v>528</v>
      </c>
      <c r="I416" s="102"/>
      <c r="J416" s="117"/>
      <c r="K416" s="120"/>
      <c r="L416" s="122">
        <f t="shared" si="67"/>
        <v>0</v>
      </c>
      <c r="M416" s="116">
        <f t="shared" si="68"/>
        <v>0</v>
      </c>
      <c r="N416" s="123">
        <f t="shared" si="69"/>
        <v>0</v>
      </c>
      <c r="O416" s="5"/>
      <c r="P416" s="5">
        <f t="shared" si="70"/>
        <v>0</v>
      </c>
      <c r="Q416" s="7">
        <f t="shared" si="71"/>
        <v>0</v>
      </c>
    </row>
    <row r="417" spans="1:17">
      <c r="A417" s="70" t="s">
        <v>451</v>
      </c>
      <c r="B417" s="71"/>
      <c r="C417" s="72">
        <f>SUM(C6:C416)</f>
        <v>9526780</v>
      </c>
      <c r="D417" s="73">
        <f>SUM(D6:D416)</f>
        <v>1101943765328</v>
      </c>
      <c r="E417" s="74">
        <f>(D417/Q417)</f>
        <v>127700.01866091469</v>
      </c>
      <c r="F417" s="75">
        <f>SUM(F6:F416)</f>
        <v>789666276036</v>
      </c>
      <c r="G417" s="76">
        <f>(F417/Q417)</f>
        <v>91511.383210808839</v>
      </c>
      <c r="H417" s="71"/>
      <c r="I417" s="104"/>
      <c r="J417" s="78">
        <f>SUM(J6:J416)</f>
        <v>3586252192</v>
      </c>
      <c r="K417" s="79">
        <f>(J417/Q417)</f>
        <v>415.59695353857774</v>
      </c>
      <c r="L417" s="79">
        <f>SUM(L6:L416)</f>
        <v>7896662760.3600054</v>
      </c>
      <c r="M417" s="78">
        <f>SUM(M6:M416)</f>
        <v>4310410568.3600006</v>
      </c>
      <c r="N417" s="80">
        <f>(M417/Q417)</f>
        <v>499.51687856951071</v>
      </c>
      <c r="O417" s="20"/>
      <c r="P417" s="20">
        <f>SUM(P6:P416)</f>
        <v>385</v>
      </c>
      <c r="Q417" s="21">
        <f>SUM(Q6:Q416)</f>
        <v>8629159</v>
      </c>
    </row>
    <row r="418" spans="1:17">
      <c r="A418" s="27" t="s">
        <v>453</v>
      </c>
      <c r="B418" s="13"/>
      <c r="C418" s="60">
        <f>(P417)</f>
        <v>385</v>
      </c>
      <c r="D418" s="14"/>
      <c r="E418" s="16"/>
      <c r="F418" s="16"/>
      <c r="G418" s="16"/>
      <c r="H418" s="16"/>
      <c r="I418" s="14"/>
      <c r="J418" s="17"/>
      <c r="K418" s="17"/>
      <c r="L418" s="2"/>
      <c r="M418" s="2"/>
      <c r="N418" s="63"/>
      <c r="O418" s="2"/>
      <c r="P418" s="2"/>
      <c r="Q418" s="2"/>
    </row>
    <row r="419" spans="1:17">
      <c r="A419" s="22"/>
      <c r="B419" s="16"/>
      <c r="C419" s="16"/>
      <c r="D419" s="16"/>
      <c r="E419" s="16"/>
      <c r="F419" s="16"/>
      <c r="G419" s="16"/>
      <c r="H419" s="16"/>
      <c r="I419" s="17"/>
      <c r="J419" s="17"/>
      <c r="K419" s="17"/>
      <c r="L419" s="2"/>
      <c r="M419" s="2"/>
      <c r="N419" s="63"/>
      <c r="O419" s="2"/>
      <c r="P419" s="2"/>
      <c r="Q419" s="2"/>
    </row>
    <row r="420" spans="1:17">
      <c r="A420" s="28" t="s">
        <v>498</v>
      </c>
      <c r="B420" s="25"/>
      <c r="C420" s="25"/>
      <c r="D420" s="25"/>
      <c r="E420" s="25"/>
      <c r="F420" s="25"/>
      <c r="G420" s="25"/>
      <c r="H420" s="25"/>
      <c r="I420" s="26"/>
      <c r="J420" s="26"/>
      <c r="K420" s="26"/>
      <c r="L420" s="1"/>
      <c r="M420" s="1"/>
      <c r="N420" s="64"/>
      <c r="O420" s="1"/>
      <c r="P420" s="1"/>
      <c r="Q420" s="1"/>
    </row>
    <row r="421" spans="1:17">
      <c r="A421" s="96" t="s">
        <v>565</v>
      </c>
      <c r="B421" s="25"/>
      <c r="C421" s="25"/>
      <c r="D421" s="25"/>
      <c r="E421" s="25"/>
      <c r="F421" s="25"/>
      <c r="G421" s="25"/>
      <c r="H421" s="25"/>
      <c r="I421" s="26"/>
      <c r="J421" s="26"/>
      <c r="K421" s="26"/>
      <c r="L421" s="1"/>
      <c r="M421" s="1"/>
      <c r="N421" s="64"/>
      <c r="O421" s="1"/>
      <c r="P421" s="1"/>
      <c r="Q421" s="1"/>
    </row>
    <row r="422" spans="1:17">
      <c r="A422" s="96" t="s">
        <v>568</v>
      </c>
      <c r="B422" s="25"/>
      <c r="C422" s="25"/>
      <c r="D422" s="25"/>
      <c r="E422" s="25"/>
      <c r="F422" s="25"/>
      <c r="G422" s="25"/>
      <c r="H422" s="25"/>
      <c r="I422" s="26"/>
      <c r="J422" s="26"/>
      <c r="K422" s="26"/>
      <c r="L422" s="1"/>
      <c r="M422" s="1"/>
      <c r="N422" s="64"/>
      <c r="O422" s="1"/>
      <c r="P422" s="1"/>
      <c r="Q422" s="1"/>
    </row>
    <row r="423" spans="1:17">
      <c r="A423" s="96" t="s">
        <v>567</v>
      </c>
      <c r="B423" s="25"/>
      <c r="C423" s="25"/>
      <c r="D423" s="25"/>
      <c r="E423" s="25"/>
      <c r="F423" s="25"/>
      <c r="G423" s="25"/>
      <c r="H423" s="25"/>
      <c r="I423" s="26"/>
      <c r="J423" s="26"/>
      <c r="K423" s="26"/>
      <c r="L423" s="1"/>
      <c r="M423" s="1"/>
      <c r="N423" s="64"/>
      <c r="O423" s="1"/>
      <c r="P423" s="1"/>
      <c r="Q423" s="1"/>
    </row>
    <row r="424" spans="1:17">
      <c r="A424" s="96" t="s">
        <v>569</v>
      </c>
      <c r="B424" s="25"/>
      <c r="C424" s="25"/>
      <c r="D424" s="25"/>
      <c r="E424" s="25"/>
      <c r="F424" s="25"/>
      <c r="G424" s="25"/>
      <c r="H424" s="25"/>
      <c r="I424" s="26"/>
      <c r="J424" s="26"/>
      <c r="K424" s="26"/>
      <c r="L424" s="1"/>
      <c r="M424" s="1"/>
      <c r="N424" s="64"/>
      <c r="O424" s="1"/>
      <c r="P424" s="1"/>
      <c r="Q424" s="1"/>
    </row>
    <row r="425" spans="1:17">
      <c r="A425" s="105" t="s">
        <v>505</v>
      </c>
      <c r="B425" s="25"/>
      <c r="C425" s="25"/>
      <c r="D425" s="25"/>
      <c r="E425" s="25"/>
      <c r="F425" s="25"/>
      <c r="G425" s="25"/>
      <c r="H425" s="25"/>
      <c r="I425" s="26"/>
      <c r="J425" s="26"/>
      <c r="K425" s="26"/>
      <c r="L425" s="1"/>
      <c r="M425" s="1"/>
      <c r="N425" s="64"/>
      <c r="O425" s="1"/>
      <c r="P425" s="1"/>
      <c r="Q425" s="1"/>
    </row>
    <row r="426" spans="1:17">
      <c r="A426" s="29"/>
      <c r="B426" s="25"/>
      <c r="C426" s="25"/>
      <c r="D426" s="25"/>
      <c r="E426" s="25"/>
      <c r="F426" s="25"/>
      <c r="G426" s="25"/>
      <c r="H426" s="25"/>
      <c r="I426" s="26"/>
      <c r="J426" s="26"/>
      <c r="K426" s="26"/>
      <c r="L426" s="1"/>
      <c r="M426" s="1"/>
      <c r="N426" s="64"/>
      <c r="O426" s="1"/>
      <c r="P426" s="1"/>
      <c r="Q426" s="1"/>
    </row>
    <row r="427" spans="1:17">
      <c r="A427" s="96" t="s">
        <v>579</v>
      </c>
      <c r="B427" s="25"/>
      <c r="C427" s="25"/>
      <c r="D427" s="25"/>
      <c r="E427" s="25"/>
      <c r="F427" s="25"/>
      <c r="G427" s="25"/>
      <c r="H427" s="25"/>
      <c r="I427" s="26"/>
      <c r="J427" s="26"/>
      <c r="K427" s="26"/>
      <c r="L427" s="1"/>
      <c r="M427" s="1"/>
      <c r="N427" s="64"/>
      <c r="O427" s="1"/>
      <c r="P427" s="1"/>
      <c r="Q427" s="1"/>
    </row>
    <row r="428" spans="1:17">
      <c r="A428" s="96" t="s">
        <v>605</v>
      </c>
      <c r="B428" s="25"/>
      <c r="C428" s="25"/>
      <c r="D428" s="25"/>
      <c r="E428" s="25"/>
      <c r="F428" s="25"/>
      <c r="G428" s="25"/>
      <c r="H428" s="25"/>
      <c r="I428" s="26"/>
      <c r="J428" s="26"/>
      <c r="K428" s="26"/>
      <c r="L428" s="1"/>
      <c r="M428" s="1"/>
      <c r="N428" s="64"/>
      <c r="O428" s="1"/>
      <c r="P428" s="1"/>
      <c r="Q428" s="1"/>
    </row>
    <row r="429" spans="1:17" ht="13.5" thickBot="1">
      <c r="A429" s="99" t="s">
        <v>540</v>
      </c>
      <c r="B429" s="31"/>
      <c r="C429" s="31"/>
      <c r="D429" s="31"/>
      <c r="E429" s="31"/>
      <c r="F429" s="31"/>
      <c r="G429" s="31"/>
      <c r="H429" s="31"/>
      <c r="I429" s="32"/>
      <c r="J429" s="32"/>
      <c r="K429" s="32"/>
      <c r="L429" s="31"/>
      <c r="M429" s="31"/>
      <c r="N429" s="81"/>
      <c r="O429" s="1"/>
      <c r="P429" s="1"/>
      <c r="Q429" s="1"/>
    </row>
    <row r="430" spans="1:17">
      <c r="A430" s="4"/>
      <c r="B430" s="1"/>
      <c r="C430" s="1"/>
      <c r="D430" s="1"/>
      <c r="E430" s="1"/>
      <c r="F430" s="1"/>
      <c r="G430" s="1"/>
      <c r="H430" s="1"/>
      <c r="I430" s="3"/>
      <c r="J430" s="3"/>
      <c r="K430" s="3"/>
      <c r="L430" s="1"/>
      <c r="M430" s="1"/>
      <c r="N430" s="1"/>
      <c r="O430" s="1"/>
      <c r="P430" s="1"/>
      <c r="Q430" s="1"/>
    </row>
    <row r="431" spans="1:17">
      <c r="A431" s="4"/>
      <c r="B431" s="1"/>
      <c r="C431" s="1"/>
      <c r="D431" s="1"/>
      <c r="E431" s="1"/>
      <c r="F431" s="1"/>
      <c r="G431" s="1"/>
      <c r="H431" s="1"/>
      <c r="I431" s="3"/>
      <c r="J431" s="3"/>
      <c r="K431" s="3"/>
      <c r="L431" s="1"/>
      <c r="M431" s="1"/>
      <c r="N431" s="1"/>
      <c r="O431" s="1"/>
      <c r="P431" s="1"/>
      <c r="Q431" s="1"/>
    </row>
    <row r="432" spans="1:17">
      <c r="A432" s="2"/>
      <c r="B432" s="2"/>
      <c r="C432" s="2"/>
      <c r="D432" s="2"/>
      <c r="E432" s="2"/>
      <c r="F432" s="2"/>
      <c r="G432" s="2"/>
      <c r="H432" s="2"/>
      <c r="I432" s="2"/>
      <c r="J432" s="2"/>
      <c r="K432" s="2"/>
      <c r="L432" s="2"/>
      <c r="M432" s="2"/>
      <c r="N432" s="2"/>
      <c r="O432" s="2"/>
      <c r="P432" s="2"/>
      <c r="Q432" s="2"/>
    </row>
  </sheetData>
  <mergeCells count="3">
    <mergeCell ref="A1:N1"/>
    <mergeCell ref="D2:G2"/>
    <mergeCell ref="L2:N2"/>
  </mergeCells>
  <printOptions horizontalCentered="1"/>
  <pageMargins left="0.5" right="0.5" top="0.5" bottom="0.5" header="0.3" footer="0.3"/>
  <pageSetup paperSize="5" scale="82" fitToHeight="0" orientation="landscape" r:id="rId1"/>
  <headerFooter>
    <oddFooter>&amp;L&amp;11Office of Economic and Demographic Research&amp;C&amp;11Page &amp;P of &amp;N&amp;R&amp;11March 16, 2011</oddFooter>
  </headerFooter>
  <rowBreaks count="1" manualBreakCount="1">
    <brk id="418" max="13" man="1"/>
  </rowBreaks>
  <ignoredErrors>
    <ignoredError sqref="K417 E41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T433"/>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8.7109375" bestFit="1"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7" t="s">
        <v>537</v>
      </c>
      <c r="B1" s="198"/>
      <c r="C1" s="198"/>
      <c r="D1" s="198"/>
      <c r="E1" s="198"/>
      <c r="F1" s="198"/>
      <c r="G1" s="198"/>
      <c r="H1" s="198"/>
      <c r="I1" s="198"/>
      <c r="J1" s="198"/>
      <c r="K1" s="198"/>
      <c r="L1" s="198"/>
      <c r="M1" s="198"/>
      <c r="N1" s="198"/>
      <c r="O1" s="199"/>
    </row>
    <row r="2" spans="1:20" ht="18">
      <c r="A2" s="41"/>
      <c r="B2" s="42"/>
      <c r="C2" s="43"/>
      <c r="D2" s="200" t="s">
        <v>483</v>
      </c>
      <c r="E2" s="201"/>
      <c r="F2" s="201"/>
      <c r="G2" s="201"/>
      <c r="H2" s="202"/>
      <c r="I2" s="44"/>
      <c r="J2" s="61" t="s">
        <v>456</v>
      </c>
      <c r="K2" s="45"/>
      <c r="L2" s="68"/>
      <c r="M2" s="201" t="s">
        <v>503</v>
      </c>
      <c r="N2" s="201"/>
      <c r="O2" s="203"/>
    </row>
    <row r="3" spans="1:20" ht="12.75" customHeight="1">
      <c r="A3" s="46"/>
      <c r="B3" s="47"/>
      <c r="C3" s="48">
        <v>2008</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8742</v>
      </c>
      <c r="D6" s="18"/>
      <c r="E6" s="18">
        <v>1223440516</v>
      </c>
      <c r="F6" s="38">
        <f>(E6/C6)</f>
        <v>139949.7272935255</v>
      </c>
      <c r="G6" s="18">
        <v>766137866</v>
      </c>
      <c r="H6" s="39">
        <f t="shared" ref="H6:H14" si="0">(G6/C6)</f>
        <v>87638.740105239078</v>
      </c>
      <c r="I6" s="15"/>
      <c r="J6" s="17">
        <v>4.6966000000000001</v>
      </c>
      <c r="K6" s="40">
        <v>3598243</v>
      </c>
      <c r="L6" s="84">
        <f t="shared" ref="L6:L14" si="1">(K6/C6)</f>
        <v>411.60409517272933</v>
      </c>
      <c r="M6" s="65">
        <f t="shared" ref="M6:M69" si="2">(G6*0.01)</f>
        <v>7661378.6600000001</v>
      </c>
      <c r="N6" s="83">
        <f t="shared" ref="N6:N69" si="3">(M6-K6)</f>
        <v>4063135.66</v>
      </c>
      <c r="O6" s="62">
        <f t="shared" ref="O6:O69" si="4">(N6/C6)</f>
        <v>464.78330587966144</v>
      </c>
      <c r="P6" s="5"/>
      <c r="Q6" s="5">
        <f>IF(E6&gt;0,1,0)</f>
        <v>1</v>
      </c>
      <c r="R6" s="7">
        <f>IF(E6&gt;0,C6,0)</f>
        <v>8742</v>
      </c>
      <c r="S6" s="5">
        <f t="shared" ref="S6:S70" si="5">IF(J6&gt;0,1,0)</f>
        <v>1</v>
      </c>
      <c r="T6" s="7">
        <f t="shared" ref="T6:T69" si="6">IF(J6&gt;0,C6,0)</f>
        <v>8742</v>
      </c>
    </row>
    <row r="7" spans="1:20">
      <c r="A7" s="23" t="s">
        <v>9</v>
      </c>
      <c r="B7" s="35" t="s">
        <v>8</v>
      </c>
      <c r="C7" s="36">
        <v>1225</v>
      </c>
      <c r="D7" s="6"/>
      <c r="E7" s="113">
        <v>66923532</v>
      </c>
      <c r="F7" s="116">
        <f>(E7/C7)</f>
        <v>54631.454693877553</v>
      </c>
      <c r="G7" s="113">
        <v>33590085</v>
      </c>
      <c r="H7" s="117">
        <f t="shared" si="0"/>
        <v>27420.477551020409</v>
      </c>
      <c r="I7" s="7"/>
      <c r="J7" s="10">
        <v>4.5</v>
      </c>
      <c r="K7" s="117">
        <v>151155</v>
      </c>
      <c r="L7" s="120">
        <f t="shared" si="1"/>
        <v>123.39183673469388</v>
      </c>
      <c r="M7" s="122">
        <f t="shared" si="2"/>
        <v>335900.85000000003</v>
      </c>
      <c r="N7" s="116">
        <f t="shared" si="3"/>
        <v>184745.85000000003</v>
      </c>
      <c r="O7" s="123">
        <f t="shared" si="4"/>
        <v>150.81293877551022</v>
      </c>
      <c r="P7" s="5"/>
      <c r="Q7" s="5">
        <f t="shared" ref="Q7:Q70" si="7">IF(E7&gt;0,1,0)</f>
        <v>1</v>
      </c>
      <c r="R7" s="7">
        <f t="shared" ref="R7:R70" si="8">IF(E7&gt;0,C7,0)</f>
        <v>1225</v>
      </c>
      <c r="S7" s="5">
        <f t="shared" si="5"/>
        <v>1</v>
      </c>
      <c r="T7" s="7">
        <f t="shared" si="6"/>
        <v>1225</v>
      </c>
    </row>
    <row r="8" spans="1:20">
      <c r="A8" s="23" t="s">
        <v>10</v>
      </c>
      <c r="B8" s="35" t="s">
        <v>8</v>
      </c>
      <c r="C8" s="36">
        <v>124491</v>
      </c>
      <c r="D8" s="6"/>
      <c r="E8" s="113">
        <v>12332654101</v>
      </c>
      <c r="F8" s="116">
        <f t="shared" ref="F8:F14" si="9">(E8/C8)</f>
        <v>99064.623956751893</v>
      </c>
      <c r="G8" s="113">
        <v>5666337079</v>
      </c>
      <c r="H8" s="117">
        <f t="shared" si="0"/>
        <v>45516.037938485511</v>
      </c>
      <c r="I8" s="7"/>
      <c r="J8" s="10">
        <v>4.2544000000000004</v>
      </c>
      <c r="K8" s="117">
        <v>24106864</v>
      </c>
      <c r="L8" s="120">
        <f t="shared" si="1"/>
        <v>193.64342803897472</v>
      </c>
      <c r="M8" s="122">
        <f t="shared" si="2"/>
        <v>56663370.789999999</v>
      </c>
      <c r="N8" s="116">
        <f t="shared" si="3"/>
        <v>32556506.789999999</v>
      </c>
      <c r="O8" s="123">
        <f t="shared" si="4"/>
        <v>261.51695134588044</v>
      </c>
      <c r="P8" s="5"/>
      <c r="Q8" s="5">
        <f t="shared" si="7"/>
        <v>1</v>
      </c>
      <c r="R8" s="7">
        <f t="shared" si="8"/>
        <v>124491</v>
      </c>
      <c r="S8" s="5">
        <f t="shared" si="5"/>
        <v>1</v>
      </c>
      <c r="T8" s="7">
        <f t="shared" si="6"/>
        <v>124491</v>
      </c>
    </row>
    <row r="9" spans="1:20">
      <c r="A9" s="23" t="s">
        <v>11</v>
      </c>
      <c r="B9" s="35" t="s">
        <v>8</v>
      </c>
      <c r="C9" s="36">
        <v>1436</v>
      </c>
      <c r="D9" s="6"/>
      <c r="E9" s="113">
        <v>111424195</v>
      </c>
      <c r="F9" s="116">
        <f t="shared" si="9"/>
        <v>77593.45055710306</v>
      </c>
      <c r="G9" s="117">
        <v>50249349</v>
      </c>
      <c r="H9" s="117">
        <f t="shared" si="0"/>
        <v>34992.582869080783</v>
      </c>
      <c r="I9" s="7"/>
      <c r="J9" s="10">
        <v>5.3193999999999999</v>
      </c>
      <c r="K9" s="117">
        <v>267296</v>
      </c>
      <c r="L9" s="120">
        <f t="shared" si="1"/>
        <v>186.13927576601671</v>
      </c>
      <c r="M9" s="122">
        <f t="shared" si="2"/>
        <v>502493.49</v>
      </c>
      <c r="N9" s="116">
        <f t="shared" si="3"/>
        <v>235197.49</v>
      </c>
      <c r="O9" s="123">
        <f t="shared" si="4"/>
        <v>163.78655292479107</v>
      </c>
      <c r="P9" s="5"/>
      <c r="Q9" s="5">
        <f t="shared" si="7"/>
        <v>1</v>
      </c>
      <c r="R9" s="7">
        <f t="shared" si="8"/>
        <v>1436</v>
      </c>
      <c r="S9" s="5">
        <f t="shared" si="5"/>
        <v>1</v>
      </c>
      <c r="T9" s="7">
        <f t="shared" si="6"/>
        <v>1436</v>
      </c>
    </row>
    <row r="10" spans="1:20">
      <c r="A10" s="23" t="s">
        <v>12</v>
      </c>
      <c r="B10" s="35" t="s">
        <v>8</v>
      </c>
      <c r="C10" s="36">
        <v>4855</v>
      </c>
      <c r="D10" s="6"/>
      <c r="E10" s="113">
        <v>473583826</v>
      </c>
      <c r="F10" s="116">
        <f t="shared" si="9"/>
        <v>97545.587229660145</v>
      </c>
      <c r="G10" s="117">
        <v>278585852</v>
      </c>
      <c r="H10" s="117">
        <f t="shared" si="0"/>
        <v>57381.225952626155</v>
      </c>
      <c r="I10" s="7"/>
      <c r="J10" s="10">
        <v>6.15</v>
      </c>
      <c r="K10" s="117">
        <v>1713303</v>
      </c>
      <c r="L10" s="120">
        <f t="shared" si="1"/>
        <v>352.89454170957777</v>
      </c>
      <c r="M10" s="122">
        <f t="shared" si="2"/>
        <v>2785858.52</v>
      </c>
      <c r="N10" s="116">
        <f t="shared" si="3"/>
        <v>1072555.52</v>
      </c>
      <c r="O10" s="123">
        <f t="shared" si="4"/>
        <v>220.91771781668385</v>
      </c>
      <c r="P10" s="5"/>
      <c r="Q10" s="5">
        <f t="shared" si="7"/>
        <v>1</v>
      </c>
      <c r="R10" s="7">
        <f t="shared" si="8"/>
        <v>4855</v>
      </c>
      <c r="S10" s="5">
        <f t="shared" si="5"/>
        <v>1</v>
      </c>
      <c r="T10" s="7">
        <f t="shared" si="6"/>
        <v>4855</v>
      </c>
    </row>
    <row r="11" spans="1:20">
      <c r="A11" s="23" t="s">
        <v>559</v>
      </c>
      <c r="B11" s="35" t="s">
        <v>8</v>
      </c>
      <c r="C11" s="36">
        <v>202</v>
      </c>
      <c r="D11" s="6"/>
      <c r="E11" s="113">
        <v>23287344</v>
      </c>
      <c r="F11" s="116">
        <f t="shared" si="9"/>
        <v>115283.88118811882</v>
      </c>
      <c r="G11" s="117">
        <v>12171734</v>
      </c>
      <c r="H11" s="117">
        <f t="shared" si="0"/>
        <v>60256.108910891089</v>
      </c>
      <c r="I11" s="7"/>
      <c r="J11" s="10">
        <v>2.0272000000000001</v>
      </c>
      <c r="K11" s="117">
        <v>24675</v>
      </c>
      <c r="L11" s="120">
        <f t="shared" si="1"/>
        <v>122.15346534653466</v>
      </c>
      <c r="M11" s="122">
        <f t="shared" si="2"/>
        <v>121717.34</v>
      </c>
      <c r="N11" s="116">
        <f t="shared" si="3"/>
        <v>97042.34</v>
      </c>
      <c r="O11" s="123">
        <f t="shared" si="4"/>
        <v>480.4076237623762</v>
      </c>
      <c r="P11" s="5"/>
      <c r="Q11" s="5">
        <f t="shared" si="7"/>
        <v>1</v>
      </c>
      <c r="R11" s="7">
        <f t="shared" si="8"/>
        <v>202</v>
      </c>
      <c r="S11" s="5">
        <f t="shared" si="5"/>
        <v>1</v>
      </c>
      <c r="T11" s="7">
        <f t="shared" si="6"/>
        <v>202</v>
      </c>
    </row>
    <row r="12" spans="1:20">
      <c r="A12" s="23" t="s">
        <v>13</v>
      </c>
      <c r="B12" s="35" t="s">
        <v>8</v>
      </c>
      <c r="C12" s="36">
        <v>636</v>
      </c>
      <c r="D12" s="6"/>
      <c r="E12" s="113">
        <v>53014720</v>
      </c>
      <c r="F12" s="116">
        <f t="shared" si="9"/>
        <v>83356.477987421385</v>
      </c>
      <c r="G12" s="117">
        <v>29054365</v>
      </c>
      <c r="H12" s="117">
        <f t="shared" si="0"/>
        <v>45682.963836477989</v>
      </c>
      <c r="I12" s="7"/>
      <c r="J12" s="10">
        <v>8</v>
      </c>
      <c r="K12" s="117">
        <v>232435</v>
      </c>
      <c r="L12" s="120">
        <f t="shared" si="1"/>
        <v>365.4638364779874</v>
      </c>
      <c r="M12" s="122">
        <f t="shared" si="2"/>
        <v>290543.65000000002</v>
      </c>
      <c r="N12" s="116">
        <f t="shared" si="3"/>
        <v>58108.650000000023</v>
      </c>
      <c r="O12" s="123">
        <f t="shared" si="4"/>
        <v>91.365801886792482</v>
      </c>
      <c r="P12" s="5"/>
      <c r="Q12" s="5">
        <f t="shared" si="7"/>
        <v>1</v>
      </c>
      <c r="R12" s="7">
        <f t="shared" si="8"/>
        <v>636</v>
      </c>
      <c r="S12" s="5">
        <f t="shared" si="5"/>
        <v>1</v>
      </c>
      <c r="T12" s="7">
        <f t="shared" si="6"/>
        <v>636</v>
      </c>
    </row>
    <row r="13" spans="1:20">
      <c r="A13" s="23" t="s">
        <v>14</v>
      </c>
      <c r="B13" s="35" t="s">
        <v>8</v>
      </c>
      <c r="C13" s="36">
        <v>4914</v>
      </c>
      <c r="D13" s="6"/>
      <c r="E13" s="113">
        <v>551811692</v>
      </c>
      <c r="F13" s="116">
        <f t="shared" si="9"/>
        <v>112293.79161579162</v>
      </c>
      <c r="G13" s="117">
        <v>303339732</v>
      </c>
      <c r="H13" s="117">
        <f t="shared" si="0"/>
        <v>61729.697191697189</v>
      </c>
      <c r="I13" s="7"/>
      <c r="J13" s="10">
        <v>3.9998999999999998</v>
      </c>
      <c r="K13" s="117">
        <v>1213329</v>
      </c>
      <c r="L13" s="120">
        <f t="shared" si="1"/>
        <v>246.9126984126984</v>
      </c>
      <c r="M13" s="122">
        <f t="shared" si="2"/>
        <v>3033397.32</v>
      </c>
      <c r="N13" s="116">
        <f t="shared" si="3"/>
        <v>1820068.3199999998</v>
      </c>
      <c r="O13" s="123">
        <f t="shared" si="4"/>
        <v>370.38427350427349</v>
      </c>
      <c r="P13" s="5"/>
      <c r="Q13" s="5">
        <f t="shared" si="7"/>
        <v>1</v>
      </c>
      <c r="R13" s="7">
        <f t="shared" si="8"/>
        <v>4914</v>
      </c>
      <c r="S13" s="5">
        <f t="shared" si="5"/>
        <v>1</v>
      </c>
      <c r="T13" s="7">
        <f t="shared" si="6"/>
        <v>4914</v>
      </c>
    </row>
    <row r="14" spans="1:20">
      <c r="A14" s="23" t="s">
        <v>15</v>
      </c>
      <c r="B14" s="35" t="s">
        <v>8</v>
      </c>
      <c r="C14" s="36">
        <v>836</v>
      </c>
      <c r="D14" s="6"/>
      <c r="E14" s="113">
        <v>48452754</v>
      </c>
      <c r="F14" s="116">
        <f t="shared" si="9"/>
        <v>57957.839712918663</v>
      </c>
      <c r="G14" s="117">
        <v>25101697</v>
      </c>
      <c r="H14" s="117">
        <f t="shared" si="0"/>
        <v>30025.953349282296</v>
      </c>
      <c r="I14" s="7"/>
      <c r="J14" s="10">
        <v>5.8685999999999998</v>
      </c>
      <c r="K14" s="117">
        <v>147312</v>
      </c>
      <c r="L14" s="120">
        <f t="shared" si="1"/>
        <v>176.21052631578948</v>
      </c>
      <c r="M14" s="122">
        <f t="shared" si="2"/>
        <v>251016.97</v>
      </c>
      <c r="N14" s="116">
        <f t="shared" si="3"/>
        <v>103704.97</v>
      </c>
      <c r="O14" s="123">
        <f t="shared" si="4"/>
        <v>124.04900717703349</v>
      </c>
      <c r="P14" s="5"/>
      <c r="Q14" s="5">
        <f t="shared" si="7"/>
        <v>1</v>
      </c>
      <c r="R14" s="7">
        <f t="shared" si="8"/>
        <v>836</v>
      </c>
      <c r="S14" s="5">
        <f t="shared" si="5"/>
        <v>1</v>
      </c>
      <c r="T14" s="7">
        <f t="shared" si="6"/>
        <v>836</v>
      </c>
    </row>
    <row r="15" spans="1:20">
      <c r="A15" s="23" t="s">
        <v>544</v>
      </c>
      <c r="B15" s="35" t="s">
        <v>16</v>
      </c>
      <c r="C15" s="36">
        <v>429</v>
      </c>
      <c r="D15" s="6" t="s">
        <v>527</v>
      </c>
      <c r="E15" s="113"/>
      <c r="F15" s="116"/>
      <c r="G15" s="117"/>
      <c r="H15" s="117"/>
      <c r="I15" s="9" t="s">
        <v>528</v>
      </c>
      <c r="J15" s="10"/>
      <c r="K15" s="117"/>
      <c r="L15" s="120"/>
      <c r="M15" s="122">
        <f t="shared" si="2"/>
        <v>0</v>
      </c>
      <c r="N15" s="116">
        <f t="shared" si="3"/>
        <v>0</v>
      </c>
      <c r="O15" s="123">
        <f t="shared" si="4"/>
        <v>0</v>
      </c>
      <c r="P15" s="5"/>
      <c r="Q15" s="5">
        <f t="shared" si="7"/>
        <v>0</v>
      </c>
      <c r="R15" s="7">
        <f t="shared" si="8"/>
        <v>0</v>
      </c>
      <c r="S15" s="5">
        <f t="shared" si="5"/>
        <v>0</v>
      </c>
      <c r="T15" s="7">
        <f t="shared" si="6"/>
        <v>0</v>
      </c>
    </row>
    <row r="16" spans="1:20">
      <c r="A16" s="23" t="s">
        <v>17</v>
      </c>
      <c r="B16" s="35" t="s">
        <v>16</v>
      </c>
      <c r="C16" s="36">
        <v>5897</v>
      </c>
      <c r="D16" s="6"/>
      <c r="E16" s="113">
        <v>391377688</v>
      </c>
      <c r="F16" s="116">
        <f>(E16/C16)</f>
        <v>66368.948278785829</v>
      </c>
      <c r="G16" s="117">
        <v>229528626</v>
      </c>
      <c r="H16" s="117">
        <f t="shared" ref="H16:H47" si="10">(G16/C16)</f>
        <v>38922.948278785821</v>
      </c>
      <c r="I16" s="7"/>
      <c r="J16" s="10">
        <v>3.4878</v>
      </c>
      <c r="K16" s="117">
        <v>800550</v>
      </c>
      <c r="L16" s="120">
        <f t="shared" ref="L16:L21" si="11">(K16/C16)</f>
        <v>135.75546888248263</v>
      </c>
      <c r="M16" s="122">
        <f t="shared" si="2"/>
        <v>2295286.2600000002</v>
      </c>
      <c r="N16" s="116">
        <f t="shared" si="3"/>
        <v>1494736.2600000002</v>
      </c>
      <c r="O16" s="123">
        <f t="shared" si="4"/>
        <v>253.47401390537564</v>
      </c>
      <c r="P16" s="5"/>
      <c r="Q16" s="5">
        <f t="shared" si="7"/>
        <v>1</v>
      </c>
      <c r="R16" s="7">
        <f t="shared" si="8"/>
        <v>5897</v>
      </c>
      <c r="S16" s="5">
        <f t="shared" si="5"/>
        <v>1</v>
      </c>
      <c r="T16" s="7">
        <f t="shared" si="6"/>
        <v>5897</v>
      </c>
    </row>
    <row r="17" spans="1:20">
      <c r="A17" s="23" t="s">
        <v>18</v>
      </c>
      <c r="B17" s="35" t="s">
        <v>19</v>
      </c>
      <c r="C17" s="36">
        <v>14656</v>
      </c>
      <c r="D17" s="6"/>
      <c r="E17" s="113">
        <v>922302240</v>
      </c>
      <c r="F17" s="116">
        <f t="shared" ref="F17:F80" si="12">(E17/C17)</f>
        <v>62930.010917030566</v>
      </c>
      <c r="G17" s="117">
        <v>564033998</v>
      </c>
      <c r="H17" s="117">
        <f t="shared" si="10"/>
        <v>38484.852483624454</v>
      </c>
      <c r="I17" s="8"/>
      <c r="J17" s="10">
        <v>2.25</v>
      </c>
      <c r="K17" s="117">
        <v>1269076</v>
      </c>
      <c r="L17" s="120">
        <f t="shared" si="11"/>
        <v>86.590884279475986</v>
      </c>
      <c r="M17" s="122">
        <f t="shared" si="2"/>
        <v>5640339.9800000004</v>
      </c>
      <c r="N17" s="116">
        <f t="shared" si="3"/>
        <v>4371263.9800000004</v>
      </c>
      <c r="O17" s="123">
        <f t="shared" si="4"/>
        <v>298.25764055676859</v>
      </c>
      <c r="P17" s="5"/>
      <c r="Q17" s="5">
        <f t="shared" si="7"/>
        <v>1</v>
      </c>
      <c r="R17" s="7">
        <f t="shared" si="8"/>
        <v>14656</v>
      </c>
      <c r="S17" s="5">
        <f t="shared" si="5"/>
        <v>1</v>
      </c>
      <c r="T17" s="7">
        <f t="shared" si="6"/>
        <v>14656</v>
      </c>
    </row>
    <row r="18" spans="1:20">
      <c r="A18" s="23" t="s">
        <v>20</v>
      </c>
      <c r="B18" s="35" t="s">
        <v>19</v>
      </c>
      <c r="C18" s="36">
        <v>5755</v>
      </c>
      <c r="D18" s="6"/>
      <c r="E18" s="113">
        <v>420232237</v>
      </c>
      <c r="F18" s="116">
        <f t="shared" si="12"/>
        <v>73020.371329278889</v>
      </c>
      <c r="G18" s="117">
        <v>263594982</v>
      </c>
      <c r="H18" s="117">
        <f t="shared" si="10"/>
        <v>45802.777063423113</v>
      </c>
      <c r="I18" s="9"/>
      <c r="J18" s="10">
        <v>1.5</v>
      </c>
      <c r="K18" s="117">
        <v>395392</v>
      </c>
      <c r="L18" s="120">
        <f t="shared" si="11"/>
        <v>68.704083405734139</v>
      </c>
      <c r="M18" s="122">
        <f t="shared" si="2"/>
        <v>2635949.8199999998</v>
      </c>
      <c r="N18" s="116">
        <f t="shared" si="3"/>
        <v>2240557.8199999998</v>
      </c>
      <c r="O18" s="123">
        <f t="shared" si="4"/>
        <v>389.32368722849691</v>
      </c>
      <c r="P18" s="5"/>
      <c r="Q18" s="5">
        <f t="shared" si="7"/>
        <v>1</v>
      </c>
      <c r="R18" s="7">
        <f t="shared" si="8"/>
        <v>5755</v>
      </c>
      <c r="S18" s="5">
        <f t="shared" si="5"/>
        <v>1</v>
      </c>
      <c r="T18" s="7">
        <f t="shared" si="6"/>
        <v>5755</v>
      </c>
    </row>
    <row r="19" spans="1:20">
      <c r="A19" s="23" t="s">
        <v>21</v>
      </c>
      <c r="B19" s="35" t="s">
        <v>19</v>
      </c>
      <c r="C19" s="36">
        <v>16614</v>
      </c>
      <c r="D19" s="6"/>
      <c r="E19" s="113">
        <v>1654357665</v>
      </c>
      <c r="F19" s="116">
        <f t="shared" si="12"/>
        <v>99576.120440592276</v>
      </c>
      <c r="G19" s="117">
        <v>1031040472</v>
      </c>
      <c r="H19" s="117">
        <f t="shared" si="10"/>
        <v>62058.533285181169</v>
      </c>
      <c r="I19" s="7"/>
      <c r="J19" s="10">
        <v>3.0886999999999998</v>
      </c>
      <c r="K19" s="117">
        <v>3184575</v>
      </c>
      <c r="L19" s="120">
        <f t="shared" si="11"/>
        <v>191.68020946189961</v>
      </c>
      <c r="M19" s="122">
        <f t="shared" si="2"/>
        <v>10310404.720000001</v>
      </c>
      <c r="N19" s="116">
        <f t="shared" si="3"/>
        <v>7125829.7200000007</v>
      </c>
      <c r="O19" s="123">
        <f t="shared" si="4"/>
        <v>428.90512338991215</v>
      </c>
      <c r="P19" s="5"/>
      <c r="Q19" s="5">
        <f t="shared" si="7"/>
        <v>1</v>
      </c>
      <c r="R19" s="7">
        <f t="shared" si="8"/>
        <v>16614</v>
      </c>
      <c r="S19" s="5">
        <f t="shared" si="5"/>
        <v>1</v>
      </c>
      <c r="T19" s="7">
        <f t="shared" si="6"/>
        <v>16614</v>
      </c>
    </row>
    <row r="20" spans="1:20">
      <c r="A20" s="23" t="s">
        <v>22</v>
      </c>
      <c r="B20" s="35" t="s">
        <v>19</v>
      </c>
      <c r="C20" s="36">
        <v>1331</v>
      </c>
      <c r="D20" s="6"/>
      <c r="E20" s="113">
        <v>761828633</v>
      </c>
      <c r="F20" s="116">
        <f t="shared" si="12"/>
        <v>572373.1277235162</v>
      </c>
      <c r="G20" s="117">
        <v>598189679</v>
      </c>
      <c r="H20" s="117">
        <f t="shared" si="10"/>
        <v>449428.75957926369</v>
      </c>
      <c r="I20" s="7"/>
      <c r="J20" s="11">
        <v>3.7</v>
      </c>
      <c r="K20" s="117">
        <v>2213302</v>
      </c>
      <c r="L20" s="120">
        <f t="shared" si="11"/>
        <v>1662.8865514650638</v>
      </c>
      <c r="M20" s="122">
        <f t="shared" si="2"/>
        <v>5981896.79</v>
      </c>
      <c r="N20" s="116">
        <f t="shared" si="3"/>
        <v>3768594.79</v>
      </c>
      <c r="O20" s="123">
        <f t="shared" si="4"/>
        <v>2831.4010443275733</v>
      </c>
      <c r="P20" s="5"/>
      <c r="Q20" s="5">
        <f t="shared" si="7"/>
        <v>1</v>
      </c>
      <c r="R20" s="7">
        <f t="shared" si="8"/>
        <v>1331</v>
      </c>
      <c r="S20" s="5">
        <f t="shared" si="5"/>
        <v>1</v>
      </c>
      <c r="T20" s="7">
        <f t="shared" si="6"/>
        <v>1331</v>
      </c>
    </row>
    <row r="21" spans="1:20">
      <c r="A21" s="23" t="s">
        <v>23</v>
      </c>
      <c r="B21" s="35" t="s">
        <v>19</v>
      </c>
      <c r="C21" s="36">
        <v>37457</v>
      </c>
      <c r="D21" s="6"/>
      <c r="E21" s="113">
        <v>3951213764</v>
      </c>
      <c r="F21" s="116">
        <f t="shared" si="12"/>
        <v>105486.6584083082</v>
      </c>
      <c r="G21" s="117">
        <v>2368359621</v>
      </c>
      <c r="H21" s="117">
        <f t="shared" si="10"/>
        <v>63228.758870171128</v>
      </c>
      <c r="I21" s="7"/>
      <c r="J21" s="10">
        <v>3.8492999999999999</v>
      </c>
      <c r="K21" s="117">
        <v>9116527</v>
      </c>
      <c r="L21" s="120">
        <f t="shared" si="11"/>
        <v>243.38646981872546</v>
      </c>
      <c r="M21" s="122">
        <f t="shared" si="2"/>
        <v>23683596.210000001</v>
      </c>
      <c r="N21" s="116">
        <f t="shared" si="3"/>
        <v>14567069.210000001</v>
      </c>
      <c r="O21" s="123">
        <f t="shared" si="4"/>
        <v>388.90111888298583</v>
      </c>
      <c r="P21" s="5"/>
      <c r="Q21" s="5">
        <f t="shared" si="7"/>
        <v>1</v>
      </c>
      <c r="R21" s="7">
        <f t="shared" si="8"/>
        <v>37457</v>
      </c>
      <c r="S21" s="5">
        <f t="shared" si="5"/>
        <v>1</v>
      </c>
      <c r="T21" s="7">
        <f t="shared" si="6"/>
        <v>37457</v>
      </c>
    </row>
    <row r="22" spans="1:20">
      <c r="A22" s="23" t="s">
        <v>24</v>
      </c>
      <c r="B22" s="35" t="s">
        <v>19</v>
      </c>
      <c r="C22" s="36">
        <v>13453</v>
      </c>
      <c r="D22" s="6"/>
      <c r="E22" s="113">
        <v>5462753657</v>
      </c>
      <c r="F22" s="116">
        <f t="shared" si="12"/>
        <v>406062.11677692708</v>
      </c>
      <c r="G22" s="117">
        <v>4823181344</v>
      </c>
      <c r="H22" s="117">
        <f t="shared" si="10"/>
        <v>358520.87593845237</v>
      </c>
      <c r="I22" s="9" t="s">
        <v>528</v>
      </c>
      <c r="J22" s="12"/>
      <c r="K22" s="117"/>
      <c r="L22" s="120"/>
      <c r="M22" s="122">
        <f t="shared" si="2"/>
        <v>48231813.439999998</v>
      </c>
      <c r="N22" s="116">
        <f t="shared" si="3"/>
        <v>48231813.439999998</v>
      </c>
      <c r="O22" s="123">
        <f t="shared" si="4"/>
        <v>3585.2087593845235</v>
      </c>
      <c r="P22" s="5"/>
      <c r="Q22" s="5">
        <f t="shared" si="7"/>
        <v>1</v>
      </c>
      <c r="R22" s="7">
        <f t="shared" si="8"/>
        <v>13453</v>
      </c>
      <c r="S22" s="5">
        <f t="shared" si="5"/>
        <v>0</v>
      </c>
      <c r="T22" s="7">
        <f t="shared" si="6"/>
        <v>0</v>
      </c>
    </row>
    <row r="23" spans="1:20">
      <c r="A23" s="23" t="s">
        <v>25</v>
      </c>
      <c r="B23" s="35" t="s">
        <v>19</v>
      </c>
      <c r="C23" s="36">
        <v>4650</v>
      </c>
      <c r="D23" s="6"/>
      <c r="E23" s="113">
        <v>364210004</v>
      </c>
      <c r="F23" s="116">
        <f t="shared" si="12"/>
        <v>78324.73204301075</v>
      </c>
      <c r="G23" s="117">
        <v>218777658</v>
      </c>
      <c r="H23" s="117">
        <f t="shared" si="10"/>
        <v>47048.958709677419</v>
      </c>
      <c r="I23" s="9" t="s">
        <v>528</v>
      </c>
      <c r="J23" s="12"/>
      <c r="K23" s="117"/>
      <c r="L23" s="120"/>
      <c r="M23" s="122">
        <f t="shared" si="2"/>
        <v>2187776.58</v>
      </c>
      <c r="N23" s="116">
        <f t="shared" si="3"/>
        <v>2187776.58</v>
      </c>
      <c r="O23" s="123">
        <f t="shared" si="4"/>
        <v>470.48958709677419</v>
      </c>
      <c r="P23" s="5"/>
      <c r="Q23" s="5">
        <f t="shared" si="7"/>
        <v>1</v>
      </c>
      <c r="R23" s="7">
        <f t="shared" si="8"/>
        <v>4650</v>
      </c>
      <c r="S23" s="5">
        <f t="shared" si="5"/>
        <v>0</v>
      </c>
      <c r="T23" s="7">
        <f t="shared" si="6"/>
        <v>0</v>
      </c>
    </row>
    <row r="24" spans="1:20">
      <c r="A24" s="23" t="s">
        <v>26</v>
      </c>
      <c r="B24" s="35" t="s">
        <v>19</v>
      </c>
      <c r="C24" s="36">
        <v>8852</v>
      </c>
      <c r="D24" s="6"/>
      <c r="E24" s="113">
        <v>420091435</v>
      </c>
      <c r="F24" s="116">
        <f t="shared" si="12"/>
        <v>47457.233958427474</v>
      </c>
      <c r="G24" s="117">
        <v>218968124</v>
      </c>
      <c r="H24" s="117">
        <f t="shared" si="10"/>
        <v>24736.5707184817</v>
      </c>
      <c r="I24" s="9" t="s">
        <v>528</v>
      </c>
      <c r="J24" s="10"/>
      <c r="K24" s="117"/>
      <c r="L24" s="120"/>
      <c r="M24" s="122">
        <f t="shared" si="2"/>
        <v>2189681.2400000002</v>
      </c>
      <c r="N24" s="116">
        <f t="shared" si="3"/>
        <v>2189681.2400000002</v>
      </c>
      <c r="O24" s="123">
        <f t="shared" si="4"/>
        <v>247.36570718481701</v>
      </c>
      <c r="P24" s="5"/>
      <c r="Q24" s="5">
        <f t="shared" si="7"/>
        <v>1</v>
      </c>
      <c r="R24" s="7">
        <f t="shared" si="8"/>
        <v>8852</v>
      </c>
      <c r="S24" s="5">
        <f t="shared" si="5"/>
        <v>0</v>
      </c>
      <c r="T24" s="7">
        <f t="shared" si="6"/>
        <v>0</v>
      </c>
    </row>
    <row r="25" spans="1:20">
      <c r="A25" s="23" t="s">
        <v>27</v>
      </c>
      <c r="B25" s="35" t="s">
        <v>28</v>
      </c>
      <c r="C25" s="36">
        <v>391</v>
      </c>
      <c r="D25" s="6"/>
      <c r="E25" s="113">
        <v>16414793</v>
      </c>
      <c r="F25" s="116">
        <f t="shared" si="12"/>
        <v>41981.567774936062</v>
      </c>
      <c r="G25" s="117">
        <v>7169933</v>
      </c>
      <c r="H25" s="117">
        <f t="shared" si="10"/>
        <v>18337.424552429668</v>
      </c>
      <c r="I25" s="7"/>
      <c r="J25" s="10">
        <v>0.32150000000000001</v>
      </c>
      <c r="K25" s="117">
        <v>2305</v>
      </c>
      <c r="L25" s="120">
        <f t="shared" ref="L25:L39" si="13">(K25/C25)</f>
        <v>5.8951406649616365</v>
      </c>
      <c r="M25" s="122">
        <f t="shared" si="2"/>
        <v>71699.33</v>
      </c>
      <c r="N25" s="116">
        <f t="shared" si="3"/>
        <v>69394.33</v>
      </c>
      <c r="O25" s="123">
        <f t="shared" si="4"/>
        <v>177.47910485933505</v>
      </c>
      <c r="P25" s="5"/>
      <c r="Q25" s="5">
        <f t="shared" si="7"/>
        <v>1</v>
      </c>
      <c r="R25" s="7">
        <f t="shared" si="8"/>
        <v>391</v>
      </c>
      <c r="S25" s="5">
        <f t="shared" si="5"/>
        <v>1</v>
      </c>
      <c r="T25" s="7">
        <f t="shared" si="6"/>
        <v>391</v>
      </c>
    </row>
    <row r="26" spans="1:20">
      <c r="A26" s="23" t="s">
        <v>29</v>
      </c>
      <c r="B26" s="35" t="s">
        <v>28</v>
      </c>
      <c r="C26" s="36">
        <v>468</v>
      </c>
      <c r="D26" s="6"/>
      <c r="E26" s="113">
        <v>15004722</v>
      </c>
      <c r="F26" s="116">
        <f t="shared" si="12"/>
        <v>32061.371794871793</v>
      </c>
      <c r="G26" s="117">
        <v>8081755</v>
      </c>
      <c r="H26" s="117">
        <f t="shared" si="10"/>
        <v>17268.707264957266</v>
      </c>
      <c r="I26" s="7"/>
      <c r="J26" s="10">
        <v>0.28960000000000002</v>
      </c>
      <c r="K26" s="117">
        <v>2340</v>
      </c>
      <c r="L26" s="120">
        <f t="shared" si="13"/>
        <v>5</v>
      </c>
      <c r="M26" s="122">
        <f t="shared" si="2"/>
        <v>80817.55</v>
      </c>
      <c r="N26" s="116">
        <f t="shared" si="3"/>
        <v>78477.55</v>
      </c>
      <c r="O26" s="123">
        <f t="shared" si="4"/>
        <v>167.68707264957266</v>
      </c>
      <c r="P26" s="5"/>
      <c r="Q26" s="5">
        <f t="shared" si="7"/>
        <v>1</v>
      </c>
      <c r="R26" s="7">
        <f t="shared" si="8"/>
        <v>468</v>
      </c>
      <c r="S26" s="5">
        <f t="shared" si="5"/>
        <v>1</v>
      </c>
      <c r="T26" s="7">
        <f t="shared" si="6"/>
        <v>468</v>
      </c>
    </row>
    <row r="27" spans="1:20">
      <c r="A27" s="23" t="s">
        <v>30</v>
      </c>
      <c r="B27" s="35" t="s">
        <v>28</v>
      </c>
      <c r="C27" s="36">
        <v>666</v>
      </c>
      <c r="D27" s="6"/>
      <c r="E27" s="113">
        <v>28666915</v>
      </c>
      <c r="F27" s="116">
        <f t="shared" si="12"/>
        <v>43043.415915915917</v>
      </c>
      <c r="G27" s="117">
        <v>14784790</v>
      </c>
      <c r="H27" s="117">
        <f t="shared" si="10"/>
        <v>22199.384384384386</v>
      </c>
      <c r="I27" s="7"/>
      <c r="J27" s="11">
        <v>1.5348999999999999</v>
      </c>
      <c r="K27" s="117">
        <v>22693</v>
      </c>
      <c r="L27" s="120">
        <f t="shared" si="13"/>
        <v>34.073573573573576</v>
      </c>
      <c r="M27" s="122">
        <f t="shared" si="2"/>
        <v>147847.9</v>
      </c>
      <c r="N27" s="116">
        <f t="shared" si="3"/>
        <v>125154.9</v>
      </c>
      <c r="O27" s="123">
        <f t="shared" si="4"/>
        <v>187.92027027027027</v>
      </c>
      <c r="P27" s="5"/>
      <c r="Q27" s="5">
        <f t="shared" si="7"/>
        <v>1</v>
      </c>
      <c r="R27" s="7">
        <f t="shared" si="8"/>
        <v>666</v>
      </c>
      <c r="S27" s="5">
        <f t="shared" si="5"/>
        <v>1</v>
      </c>
      <c r="T27" s="7">
        <f t="shared" si="6"/>
        <v>666</v>
      </c>
    </row>
    <row r="28" spans="1:20">
      <c r="A28" s="23" t="s">
        <v>31</v>
      </c>
      <c r="B28" s="35" t="s">
        <v>28</v>
      </c>
      <c r="C28" s="36">
        <v>6025</v>
      </c>
      <c r="D28" s="6"/>
      <c r="E28" s="113">
        <v>366877656</v>
      </c>
      <c r="F28" s="116">
        <f t="shared" si="12"/>
        <v>60892.557012448131</v>
      </c>
      <c r="G28" s="117">
        <v>200648035</v>
      </c>
      <c r="H28" s="117">
        <f t="shared" si="10"/>
        <v>33302.578423236511</v>
      </c>
      <c r="I28" s="7"/>
      <c r="J28" s="11">
        <v>3.9527999999999999</v>
      </c>
      <c r="K28" s="117">
        <v>793122</v>
      </c>
      <c r="L28" s="120">
        <f t="shared" si="13"/>
        <v>131.63850622406639</v>
      </c>
      <c r="M28" s="122">
        <f t="shared" si="2"/>
        <v>2006480.35</v>
      </c>
      <c r="N28" s="116">
        <f t="shared" si="3"/>
        <v>1213358.3500000001</v>
      </c>
      <c r="O28" s="123">
        <f t="shared" si="4"/>
        <v>201.38727800829878</v>
      </c>
      <c r="P28" s="5"/>
      <c r="Q28" s="5">
        <f t="shared" si="7"/>
        <v>1</v>
      </c>
      <c r="R28" s="7">
        <f t="shared" si="8"/>
        <v>6025</v>
      </c>
      <c r="S28" s="5">
        <f t="shared" si="5"/>
        <v>1</v>
      </c>
      <c r="T28" s="7">
        <f t="shared" si="6"/>
        <v>6025</v>
      </c>
    </row>
    <row r="29" spans="1:20">
      <c r="A29" s="23" t="s">
        <v>32</v>
      </c>
      <c r="B29" s="35" t="s">
        <v>33</v>
      </c>
      <c r="C29" s="36">
        <v>10635</v>
      </c>
      <c r="D29" s="6"/>
      <c r="E29" s="113">
        <v>1664809743</v>
      </c>
      <c r="F29" s="116">
        <f t="shared" si="12"/>
        <v>156540.64344146685</v>
      </c>
      <c r="G29" s="117">
        <v>1342062936</v>
      </c>
      <c r="H29" s="117">
        <f t="shared" si="10"/>
        <v>126193.03582510578</v>
      </c>
      <c r="I29" s="7"/>
      <c r="J29" s="11">
        <v>2.7334000000000001</v>
      </c>
      <c r="K29" s="117">
        <v>3668395</v>
      </c>
      <c r="L29" s="120">
        <f t="shared" si="13"/>
        <v>344.9360601786554</v>
      </c>
      <c r="M29" s="122">
        <f t="shared" si="2"/>
        <v>13420629.359999999</v>
      </c>
      <c r="N29" s="116">
        <f t="shared" si="3"/>
        <v>9752234.3599999994</v>
      </c>
      <c r="O29" s="123">
        <f t="shared" si="4"/>
        <v>916.99429807240244</v>
      </c>
      <c r="P29" s="5"/>
      <c r="Q29" s="5">
        <f t="shared" si="7"/>
        <v>1</v>
      </c>
      <c r="R29" s="7">
        <f t="shared" si="8"/>
        <v>10635</v>
      </c>
      <c r="S29" s="5">
        <f t="shared" si="5"/>
        <v>1</v>
      </c>
      <c r="T29" s="7">
        <f t="shared" si="6"/>
        <v>10635</v>
      </c>
    </row>
    <row r="30" spans="1:20">
      <c r="A30" s="23" t="s">
        <v>34</v>
      </c>
      <c r="B30" s="35" t="s">
        <v>33</v>
      </c>
      <c r="C30" s="36">
        <v>16971</v>
      </c>
      <c r="D30" s="6"/>
      <c r="E30" s="113">
        <v>1743705121</v>
      </c>
      <c r="F30" s="116">
        <f t="shared" si="12"/>
        <v>102746.16233574922</v>
      </c>
      <c r="G30" s="117">
        <v>1162136934</v>
      </c>
      <c r="H30" s="117">
        <f t="shared" si="10"/>
        <v>68477.81120735372</v>
      </c>
      <c r="I30" s="7"/>
      <c r="J30" s="10">
        <v>4.4890999999999996</v>
      </c>
      <c r="K30" s="117">
        <v>5216949</v>
      </c>
      <c r="L30" s="120">
        <f t="shared" si="13"/>
        <v>307.40374756938309</v>
      </c>
      <c r="M30" s="122">
        <f t="shared" si="2"/>
        <v>11621369.34</v>
      </c>
      <c r="N30" s="116">
        <f t="shared" si="3"/>
        <v>6404420.3399999999</v>
      </c>
      <c r="O30" s="123">
        <f t="shared" si="4"/>
        <v>377.37436450415413</v>
      </c>
      <c r="P30" s="5"/>
      <c r="Q30" s="5">
        <f t="shared" si="7"/>
        <v>1</v>
      </c>
      <c r="R30" s="7">
        <f t="shared" si="8"/>
        <v>16971</v>
      </c>
      <c r="S30" s="5">
        <f t="shared" si="5"/>
        <v>1</v>
      </c>
      <c r="T30" s="7">
        <f t="shared" si="6"/>
        <v>16971</v>
      </c>
    </row>
    <row r="31" spans="1:20">
      <c r="A31" s="23" t="s">
        <v>35</v>
      </c>
      <c r="B31" s="35" t="s">
        <v>33</v>
      </c>
      <c r="C31" s="36">
        <v>12800</v>
      </c>
      <c r="D31" s="6"/>
      <c r="E31" s="113">
        <v>2863568486</v>
      </c>
      <c r="F31" s="116">
        <f t="shared" si="12"/>
        <v>223716.28796875</v>
      </c>
      <c r="G31" s="117">
        <v>1938070723</v>
      </c>
      <c r="H31" s="117">
        <f t="shared" si="10"/>
        <v>151411.775234375</v>
      </c>
      <c r="I31" s="7"/>
      <c r="J31" s="10">
        <v>3.7185999999999999</v>
      </c>
      <c r="K31" s="117">
        <v>7206910</v>
      </c>
      <c r="L31" s="120">
        <f t="shared" si="13"/>
        <v>563.03984375000005</v>
      </c>
      <c r="M31" s="122">
        <f t="shared" si="2"/>
        <v>19380707.23</v>
      </c>
      <c r="N31" s="116">
        <f t="shared" si="3"/>
        <v>12173797.23</v>
      </c>
      <c r="O31" s="123">
        <f t="shared" si="4"/>
        <v>951.07790859375007</v>
      </c>
      <c r="P31" s="5"/>
      <c r="Q31" s="5">
        <f t="shared" si="7"/>
        <v>1</v>
      </c>
      <c r="R31" s="7">
        <f t="shared" si="8"/>
        <v>12800</v>
      </c>
      <c r="S31" s="5">
        <f t="shared" si="5"/>
        <v>1</v>
      </c>
      <c r="T31" s="7">
        <f t="shared" si="6"/>
        <v>12800</v>
      </c>
    </row>
    <row r="32" spans="1:20">
      <c r="A32" s="23" t="s">
        <v>530</v>
      </c>
      <c r="B32" s="35" t="s">
        <v>33</v>
      </c>
      <c r="C32" s="36">
        <v>3985</v>
      </c>
      <c r="D32" s="6"/>
      <c r="E32" s="113">
        <v>729637825</v>
      </c>
      <c r="F32" s="116">
        <f t="shared" si="12"/>
        <v>183096.06649937265</v>
      </c>
      <c r="G32" s="117">
        <v>471485520</v>
      </c>
      <c r="H32" s="117">
        <f t="shared" si="10"/>
        <v>118315.06148055207</v>
      </c>
      <c r="I32" s="9"/>
      <c r="J32" s="10">
        <v>0.49759999999999999</v>
      </c>
      <c r="K32" s="117">
        <v>234611</v>
      </c>
      <c r="L32" s="120">
        <f t="shared" si="13"/>
        <v>58.873525721455458</v>
      </c>
      <c r="M32" s="122">
        <f t="shared" si="2"/>
        <v>4714855.2</v>
      </c>
      <c r="N32" s="116">
        <f t="shared" si="3"/>
        <v>4480244.2</v>
      </c>
      <c r="O32" s="123">
        <f t="shared" si="4"/>
        <v>1124.2770890840652</v>
      </c>
      <c r="P32" s="5"/>
      <c r="Q32" s="5">
        <f t="shared" si="7"/>
        <v>1</v>
      </c>
      <c r="R32" s="7">
        <f t="shared" si="8"/>
        <v>3985</v>
      </c>
      <c r="S32" s="5">
        <f>IF(J32&gt;0,1,0)</f>
        <v>1</v>
      </c>
      <c r="T32" s="7">
        <f t="shared" si="6"/>
        <v>3985</v>
      </c>
    </row>
    <row r="33" spans="1:20">
      <c r="A33" s="23" t="s">
        <v>36</v>
      </c>
      <c r="B33" s="35" t="s">
        <v>33</v>
      </c>
      <c r="C33" s="36">
        <v>2992</v>
      </c>
      <c r="D33" s="6"/>
      <c r="E33" s="113">
        <v>547609311</v>
      </c>
      <c r="F33" s="116">
        <f t="shared" si="12"/>
        <v>183024.50233957218</v>
      </c>
      <c r="G33" s="117">
        <v>366432012</v>
      </c>
      <c r="H33" s="117">
        <f t="shared" si="10"/>
        <v>122470.5922459893</v>
      </c>
      <c r="I33" s="7"/>
      <c r="J33" s="10">
        <v>4.9809999999999999</v>
      </c>
      <c r="K33" s="117">
        <v>1825198</v>
      </c>
      <c r="L33" s="120">
        <f t="shared" si="13"/>
        <v>610.02606951871655</v>
      </c>
      <c r="M33" s="122">
        <f t="shared" si="2"/>
        <v>3664320.12</v>
      </c>
      <c r="N33" s="116">
        <f t="shared" si="3"/>
        <v>1839122.12</v>
      </c>
      <c r="O33" s="123">
        <f t="shared" si="4"/>
        <v>614.67985294117648</v>
      </c>
      <c r="P33" s="5"/>
      <c r="Q33" s="5">
        <f t="shared" si="7"/>
        <v>1</v>
      </c>
      <c r="R33" s="7">
        <f t="shared" si="8"/>
        <v>2992</v>
      </c>
      <c r="S33" s="5">
        <f t="shared" si="5"/>
        <v>1</v>
      </c>
      <c r="T33" s="7">
        <f t="shared" si="6"/>
        <v>2992</v>
      </c>
    </row>
    <row r="34" spans="1:20">
      <c r="A34" s="23" t="s">
        <v>37</v>
      </c>
      <c r="B34" s="35" t="s">
        <v>33</v>
      </c>
      <c r="C34" s="36">
        <v>8733</v>
      </c>
      <c r="D34" s="6"/>
      <c r="E34" s="113">
        <v>1235336703</v>
      </c>
      <c r="F34" s="116">
        <f t="shared" si="12"/>
        <v>141456.16660941258</v>
      </c>
      <c r="G34" s="117">
        <v>842790771</v>
      </c>
      <c r="H34" s="117">
        <f t="shared" si="10"/>
        <v>96506.443490209553</v>
      </c>
      <c r="I34" s="7"/>
      <c r="J34" s="10">
        <v>4.2037000000000004</v>
      </c>
      <c r="K34" s="117">
        <v>3542840</v>
      </c>
      <c r="L34" s="120">
        <f t="shared" si="13"/>
        <v>405.68418641932897</v>
      </c>
      <c r="M34" s="122">
        <f t="shared" si="2"/>
        <v>8427907.7100000009</v>
      </c>
      <c r="N34" s="116">
        <f t="shared" si="3"/>
        <v>4885067.7100000009</v>
      </c>
      <c r="O34" s="123">
        <f t="shared" si="4"/>
        <v>559.38024848276666</v>
      </c>
      <c r="P34" s="5"/>
      <c r="Q34" s="5">
        <f t="shared" si="7"/>
        <v>1</v>
      </c>
      <c r="R34" s="7">
        <f t="shared" si="8"/>
        <v>8733</v>
      </c>
      <c r="S34" s="5">
        <f t="shared" si="5"/>
        <v>1</v>
      </c>
      <c r="T34" s="7">
        <f t="shared" si="6"/>
        <v>8733</v>
      </c>
    </row>
    <row r="35" spans="1:20">
      <c r="A35" s="23" t="s">
        <v>38</v>
      </c>
      <c r="B35" s="35" t="s">
        <v>33</v>
      </c>
      <c r="C35" s="36">
        <v>2859</v>
      </c>
      <c r="D35" s="6"/>
      <c r="E35" s="113">
        <v>423847928</v>
      </c>
      <c r="F35" s="116">
        <f t="shared" si="12"/>
        <v>148250.4120321791</v>
      </c>
      <c r="G35" s="117">
        <v>275472959</v>
      </c>
      <c r="H35" s="117">
        <f t="shared" si="10"/>
        <v>96352.906260930395</v>
      </c>
      <c r="I35" s="7"/>
      <c r="J35" s="10">
        <v>1.4676</v>
      </c>
      <c r="K35" s="117">
        <v>404284</v>
      </c>
      <c r="L35" s="120">
        <f t="shared" si="13"/>
        <v>141.40748513466247</v>
      </c>
      <c r="M35" s="122">
        <f t="shared" si="2"/>
        <v>2754729.59</v>
      </c>
      <c r="N35" s="116">
        <f t="shared" si="3"/>
        <v>2350445.59</v>
      </c>
      <c r="O35" s="123">
        <f t="shared" si="4"/>
        <v>822.12157747464141</v>
      </c>
      <c r="P35" s="5"/>
      <c r="Q35" s="5">
        <f t="shared" si="7"/>
        <v>1</v>
      </c>
      <c r="R35" s="7">
        <f t="shared" si="8"/>
        <v>2859</v>
      </c>
      <c r="S35" s="5">
        <f t="shared" si="5"/>
        <v>1</v>
      </c>
      <c r="T35" s="7">
        <f t="shared" si="6"/>
        <v>2859</v>
      </c>
    </row>
    <row r="36" spans="1:20">
      <c r="A36" s="23" t="s">
        <v>39</v>
      </c>
      <c r="B36" s="35" t="s">
        <v>33</v>
      </c>
      <c r="C36" s="36">
        <v>78308</v>
      </c>
      <c r="D36" s="6"/>
      <c r="E36" s="113">
        <v>7781561254</v>
      </c>
      <c r="F36" s="116">
        <f t="shared" si="12"/>
        <v>99371.216912703676</v>
      </c>
      <c r="G36" s="117">
        <v>4898032621</v>
      </c>
      <c r="H36" s="117">
        <f t="shared" si="10"/>
        <v>62548.304400572102</v>
      </c>
      <c r="I36" s="7"/>
      <c r="J36" s="10">
        <v>4.4751000000000003</v>
      </c>
      <c r="K36" s="117">
        <v>21919186</v>
      </c>
      <c r="L36" s="120">
        <f t="shared" si="13"/>
        <v>279.90991980385144</v>
      </c>
      <c r="M36" s="122">
        <f t="shared" si="2"/>
        <v>48980326.210000001</v>
      </c>
      <c r="N36" s="116">
        <f t="shared" si="3"/>
        <v>27061140.210000001</v>
      </c>
      <c r="O36" s="123">
        <f t="shared" si="4"/>
        <v>345.57312420186958</v>
      </c>
      <c r="P36" s="5"/>
      <c r="Q36" s="5">
        <f t="shared" si="7"/>
        <v>1</v>
      </c>
      <c r="R36" s="7">
        <f t="shared" si="8"/>
        <v>78308</v>
      </c>
      <c r="S36" s="5">
        <f t="shared" si="5"/>
        <v>1</v>
      </c>
      <c r="T36" s="7">
        <f t="shared" si="6"/>
        <v>78308</v>
      </c>
    </row>
    <row r="37" spans="1:20">
      <c r="A37" s="23" t="s">
        <v>40</v>
      </c>
      <c r="B37" s="35" t="s">
        <v>33</v>
      </c>
      <c r="C37" s="36">
        <v>3309</v>
      </c>
      <c r="D37" s="6"/>
      <c r="E37" s="113">
        <v>568494915</v>
      </c>
      <c r="F37" s="116">
        <f t="shared" si="12"/>
        <v>171802.63372620128</v>
      </c>
      <c r="G37" s="117">
        <v>339437696</v>
      </c>
      <c r="H37" s="117">
        <f t="shared" si="10"/>
        <v>102580.14385010577</v>
      </c>
      <c r="I37" s="7"/>
      <c r="J37" s="10">
        <v>2.7862</v>
      </c>
      <c r="K37" s="117">
        <v>945741</v>
      </c>
      <c r="L37" s="120">
        <f t="shared" si="13"/>
        <v>285.80870353581145</v>
      </c>
      <c r="M37" s="122">
        <f t="shared" si="2"/>
        <v>3394376.96</v>
      </c>
      <c r="N37" s="116">
        <f t="shared" si="3"/>
        <v>2448635.96</v>
      </c>
      <c r="O37" s="123">
        <f t="shared" si="4"/>
        <v>739.99273496524631</v>
      </c>
      <c r="P37" s="5"/>
      <c r="Q37" s="5">
        <f t="shared" si="7"/>
        <v>1</v>
      </c>
      <c r="R37" s="7">
        <f t="shared" si="8"/>
        <v>3309</v>
      </c>
      <c r="S37" s="5">
        <f t="shared" si="5"/>
        <v>1</v>
      </c>
      <c r="T37" s="7">
        <f t="shared" si="6"/>
        <v>3309</v>
      </c>
    </row>
    <row r="38" spans="1:20">
      <c r="A38" s="23" t="s">
        <v>41</v>
      </c>
      <c r="B38" s="35" t="s">
        <v>33</v>
      </c>
      <c r="C38" s="36">
        <v>729</v>
      </c>
      <c r="D38" s="6"/>
      <c r="E38" s="113">
        <v>81092711</v>
      </c>
      <c r="F38" s="116">
        <f t="shared" si="12"/>
        <v>111238.28669410151</v>
      </c>
      <c r="G38" s="117">
        <v>50637743</v>
      </c>
      <c r="H38" s="117">
        <f t="shared" si="10"/>
        <v>69461.924554183817</v>
      </c>
      <c r="I38" s="7"/>
      <c r="J38" s="10">
        <v>5.5655999999999999</v>
      </c>
      <c r="K38" s="117">
        <v>281829</v>
      </c>
      <c r="L38" s="120">
        <f t="shared" si="13"/>
        <v>386.59670781893004</v>
      </c>
      <c r="M38" s="122">
        <f t="shared" si="2"/>
        <v>506377.43</v>
      </c>
      <c r="N38" s="116">
        <f t="shared" si="3"/>
        <v>224548.43</v>
      </c>
      <c r="O38" s="123">
        <f t="shared" si="4"/>
        <v>308.02253772290811</v>
      </c>
      <c r="P38" s="5"/>
      <c r="Q38" s="5">
        <f t="shared" si="7"/>
        <v>1</v>
      </c>
      <c r="R38" s="7">
        <f t="shared" si="8"/>
        <v>729</v>
      </c>
      <c r="S38" s="5">
        <f t="shared" si="5"/>
        <v>1</v>
      </c>
      <c r="T38" s="7">
        <f t="shared" si="6"/>
        <v>729</v>
      </c>
    </row>
    <row r="39" spans="1:20">
      <c r="A39" s="23" t="s">
        <v>42</v>
      </c>
      <c r="B39" s="35" t="s">
        <v>33</v>
      </c>
      <c r="C39" s="36">
        <v>102519</v>
      </c>
      <c r="D39" s="6"/>
      <c r="E39" s="113">
        <v>7693327107</v>
      </c>
      <c r="F39" s="116">
        <f t="shared" si="12"/>
        <v>75042.939425862525</v>
      </c>
      <c r="G39" s="117">
        <v>5026636989</v>
      </c>
      <c r="H39" s="117">
        <f t="shared" si="10"/>
        <v>49031.272144675619</v>
      </c>
      <c r="I39" s="7"/>
      <c r="J39" s="10">
        <v>5.3</v>
      </c>
      <c r="K39" s="117">
        <v>26641176</v>
      </c>
      <c r="L39" s="120">
        <f t="shared" si="13"/>
        <v>259.86574196002692</v>
      </c>
      <c r="M39" s="122">
        <f t="shared" si="2"/>
        <v>50266369.890000001</v>
      </c>
      <c r="N39" s="116">
        <f t="shared" si="3"/>
        <v>23625193.890000001</v>
      </c>
      <c r="O39" s="123">
        <f t="shared" si="4"/>
        <v>230.4469794867293</v>
      </c>
      <c r="P39" s="5"/>
      <c r="Q39" s="5">
        <f t="shared" si="7"/>
        <v>1</v>
      </c>
      <c r="R39" s="7">
        <f t="shared" si="8"/>
        <v>102519</v>
      </c>
      <c r="S39" s="5">
        <f t="shared" si="5"/>
        <v>1</v>
      </c>
      <c r="T39" s="7">
        <f t="shared" si="6"/>
        <v>102519</v>
      </c>
    </row>
    <row r="40" spans="1:20">
      <c r="A40" s="23" t="s">
        <v>43</v>
      </c>
      <c r="B40" s="35" t="s">
        <v>33</v>
      </c>
      <c r="C40" s="36">
        <v>968</v>
      </c>
      <c r="D40" s="6"/>
      <c r="E40" s="113">
        <v>99450976</v>
      </c>
      <c r="F40" s="116">
        <f t="shared" si="12"/>
        <v>102738.61157024793</v>
      </c>
      <c r="G40" s="117">
        <v>68969450</v>
      </c>
      <c r="H40" s="117">
        <f t="shared" si="10"/>
        <v>71249.431818181823</v>
      </c>
      <c r="I40" s="9" t="s">
        <v>528</v>
      </c>
      <c r="J40" s="10"/>
      <c r="K40" s="117"/>
      <c r="L40" s="120"/>
      <c r="M40" s="122">
        <f t="shared" si="2"/>
        <v>689694.5</v>
      </c>
      <c r="N40" s="116">
        <f t="shared" si="3"/>
        <v>689694.5</v>
      </c>
      <c r="O40" s="123">
        <f t="shared" si="4"/>
        <v>712.49431818181813</v>
      </c>
      <c r="P40" s="5"/>
      <c r="Q40" s="5">
        <f t="shared" si="7"/>
        <v>1</v>
      </c>
      <c r="R40" s="7">
        <f t="shared" si="8"/>
        <v>968</v>
      </c>
      <c r="S40" s="5">
        <f t="shared" si="5"/>
        <v>0</v>
      </c>
      <c r="T40" s="7">
        <f t="shared" si="6"/>
        <v>0</v>
      </c>
    </row>
    <row r="41" spans="1:20">
      <c r="A41" s="23" t="s">
        <v>44</v>
      </c>
      <c r="B41" s="35" t="s">
        <v>33</v>
      </c>
      <c r="C41" s="36">
        <v>25698</v>
      </c>
      <c r="D41" s="6"/>
      <c r="E41" s="113">
        <v>2469156028</v>
      </c>
      <c r="F41" s="116">
        <f t="shared" si="12"/>
        <v>96083.587360884121</v>
      </c>
      <c r="G41" s="117">
        <v>1450778190</v>
      </c>
      <c r="H41" s="117">
        <f t="shared" si="10"/>
        <v>56454.906607518096</v>
      </c>
      <c r="I41" s="7"/>
      <c r="J41" s="10">
        <v>5.35</v>
      </c>
      <c r="K41" s="117">
        <v>7761663</v>
      </c>
      <c r="L41" s="120">
        <f t="shared" ref="L41:L75" si="14">(K41/C41)</f>
        <v>302.03373803408823</v>
      </c>
      <c r="M41" s="122">
        <f t="shared" si="2"/>
        <v>14507781.9</v>
      </c>
      <c r="N41" s="116">
        <f t="shared" si="3"/>
        <v>6746118.9000000004</v>
      </c>
      <c r="O41" s="123">
        <f t="shared" si="4"/>
        <v>262.51532804109269</v>
      </c>
      <c r="P41" s="5"/>
      <c r="Q41" s="5">
        <f t="shared" si="7"/>
        <v>1</v>
      </c>
      <c r="R41" s="7">
        <f t="shared" si="8"/>
        <v>25698</v>
      </c>
      <c r="S41" s="5">
        <f t="shared" si="5"/>
        <v>1</v>
      </c>
      <c r="T41" s="7">
        <f t="shared" si="6"/>
        <v>25698</v>
      </c>
    </row>
    <row r="42" spans="1:20">
      <c r="A42" s="23" t="s">
        <v>45</v>
      </c>
      <c r="B42" s="35" t="s">
        <v>33</v>
      </c>
      <c r="C42" s="36">
        <v>10848</v>
      </c>
      <c r="D42" s="6"/>
      <c r="E42" s="113">
        <v>1268056127</v>
      </c>
      <c r="F42" s="116">
        <f t="shared" si="12"/>
        <v>116893.0795538348</v>
      </c>
      <c r="G42" s="117">
        <v>786154949</v>
      </c>
      <c r="H42" s="117">
        <f t="shared" si="10"/>
        <v>72470.03585914454</v>
      </c>
      <c r="I42" s="7"/>
      <c r="J42" s="10">
        <v>7.1207000000000003</v>
      </c>
      <c r="K42" s="121">
        <v>5597974</v>
      </c>
      <c r="L42" s="120">
        <f t="shared" si="14"/>
        <v>516.03742625368727</v>
      </c>
      <c r="M42" s="122">
        <f t="shared" si="2"/>
        <v>7861549.4900000002</v>
      </c>
      <c r="N42" s="116">
        <f t="shared" si="3"/>
        <v>2263575.4900000002</v>
      </c>
      <c r="O42" s="123">
        <f t="shared" si="4"/>
        <v>208.66293233775812</v>
      </c>
      <c r="P42" s="5"/>
      <c r="Q42" s="5">
        <f t="shared" si="7"/>
        <v>1</v>
      </c>
      <c r="R42" s="7">
        <f t="shared" si="8"/>
        <v>10848</v>
      </c>
      <c r="S42" s="5">
        <f t="shared" si="5"/>
        <v>1</v>
      </c>
      <c r="T42" s="7">
        <f t="shared" si="6"/>
        <v>10848</v>
      </c>
    </row>
    <row r="43" spans="1:20">
      <c r="A43" s="23" t="s">
        <v>46</v>
      </c>
      <c r="B43" s="35" t="s">
        <v>33</v>
      </c>
      <c r="C43" s="36">
        <v>45664</v>
      </c>
      <c r="D43" s="6"/>
      <c r="E43" s="113">
        <v>3654015110</v>
      </c>
      <c r="F43" s="116">
        <f t="shared" si="12"/>
        <v>80019.602093552909</v>
      </c>
      <c r="G43" s="117">
        <v>2182479175</v>
      </c>
      <c r="H43" s="117">
        <f t="shared" si="10"/>
        <v>47794.30568938332</v>
      </c>
      <c r="I43" s="7"/>
      <c r="J43" s="10">
        <v>4.9093999999999998</v>
      </c>
      <c r="K43" s="117">
        <v>10714663</v>
      </c>
      <c r="L43" s="120">
        <f t="shared" si="14"/>
        <v>234.64135861948142</v>
      </c>
      <c r="M43" s="122">
        <f t="shared" si="2"/>
        <v>21824791.75</v>
      </c>
      <c r="N43" s="116">
        <f t="shared" si="3"/>
        <v>11110128.75</v>
      </c>
      <c r="O43" s="123">
        <f t="shared" si="4"/>
        <v>243.30169827435179</v>
      </c>
      <c r="P43" s="5"/>
      <c r="Q43" s="5">
        <f t="shared" si="7"/>
        <v>1</v>
      </c>
      <c r="R43" s="7">
        <f t="shared" si="8"/>
        <v>45664</v>
      </c>
      <c r="S43" s="5">
        <f t="shared" si="5"/>
        <v>1</v>
      </c>
      <c r="T43" s="7">
        <f t="shared" si="6"/>
        <v>45664</v>
      </c>
    </row>
    <row r="44" spans="1:20">
      <c r="A44" s="23" t="s">
        <v>47</v>
      </c>
      <c r="B44" s="35" t="s">
        <v>33</v>
      </c>
      <c r="C44" s="36">
        <v>16703</v>
      </c>
      <c r="D44" s="6"/>
      <c r="E44" s="113">
        <v>1766823770</v>
      </c>
      <c r="F44" s="116">
        <f t="shared" si="12"/>
        <v>105778.82835418788</v>
      </c>
      <c r="G44" s="117">
        <v>1270806566</v>
      </c>
      <c r="H44" s="117">
        <f t="shared" si="10"/>
        <v>76082.534035801946</v>
      </c>
      <c r="I44" s="9"/>
      <c r="J44" s="10">
        <v>1.5899000000000001</v>
      </c>
      <c r="K44" s="117">
        <v>2020455</v>
      </c>
      <c r="L44" s="120">
        <f t="shared" si="14"/>
        <v>120.96359935340956</v>
      </c>
      <c r="M44" s="122">
        <f t="shared" si="2"/>
        <v>12708065.66</v>
      </c>
      <c r="N44" s="116">
        <f t="shared" si="3"/>
        <v>10687610.66</v>
      </c>
      <c r="O44" s="123">
        <f t="shared" si="4"/>
        <v>639.86174100460994</v>
      </c>
      <c r="P44" s="5"/>
      <c r="Q44" s="5">
        <f t="shared" si="7"/>
        <v>1</v>
      </c>
      <c r="R44" s="7">
        <f t="shared" si="8"/>
        <v>16703</v>
      </c>
      <c r="S44" s="5">
        <f t="shared" si="5"/>
        <v>1</v>
      </c>
      <c r="T44" s="7">
        <f t="shared" si="6"/>
        <v>16703</v>
      </c>
    </row>
    <row r="45" spans="1:20">
      <c r="A45" s="23" t="s">
        <v>48</v>
      </c>
      <c r="B45" s="35" t="s">
        <v>49</v>
      </c>
      <c r="C45" s="36">
        <v>48193</v>
      </c>
      <c r="D45" s="6"/>
      <c r="E45" s="113">
        <v>5631209539</v>
      </c>
      <c r="F45" s="116">
        <f t="shared" si="12"/>
        <v>116847.04291079617</v>
      </c>
      <c r="G45" s="117">
        <v>3431341662</v>
      </c>
      <c r="H45" s="117">
        <f t="shared" si="10"/>
        <v>71200.001286493891</v>
      </c>
      <c r="I45" s="7"/>
      <c r="J45" s="11">
        <v>4.8868999999999998</v>
      </c>
      <c r="K45" s="117">
        <v>16768624</v>
      </c>
      <c r="L45" s="120">
        <f t="shared" si="14"/>
        <v>347.94729525034757</v>
      </c>
      <c r="M45" s="122">
        <f t="shared" si="2"/>
        <v>34313416.619999997</v>
      </c>
      <c r="N45" s="116">
        <f t="shared" si="3"/>
        <v>17544792.619999997</v>
      </c>
      <c r="O45" s="123">
        <f t="shared" si="4"/>
        <v>364.0527176145913</v>
      </c>
      <c r="P45" s="5"/>
      <c r="Q45" s="5">
        <f t="shared" si="7"/>
        <v>1</v>
      </c>
      <c r="R45" s="7">
        <f t="shared" si="8"/>
        <v>48193</v>
      </c>
      <c r="S45" s="5">
        <f t="shared" si="5"/>
        <v>1</v>
      </c>
      <c r="T45" s="7">
        <f t="shared" si="6"/>
        <v>48193</v>
      </c>
    </row>
    <row r="46" spans="1:20">
      <c r="A46" s="23" t="s">
        <v>50</v>
      </c>
      <c r="B46" s="35" t="s">
        <v>49</v>
      </c>
      <c r="C46" s="36">
        <v>30074</v>
      </c>
      <c r="D46" s="6"/>
      <c r="E46" s="113">
        <v>3715472099</v>
      </c>
      <c r="F46" s="116">
        <f t="shared" si="12"/>
        <v>123544.32729267806</v>
      </c>
      <c r="G46" s="117">
        <v>2059287097</v>
      </c>
      <c r="H46" s="117">
        <f t="shared" si="10"/>
        <v>68474.000698277581</v>
      </c>
      <c r="I46" s="7"/>
      <c r="J46" s="10">
        <v>4.7704000000000004</v>
      </c>
      <c r="K46" s="117">
        <v>9823623</v>
      </c>
      <c r="L46" s="120">
        <f t="shared" si="14"/>
        <v>326.64836736051075</v>
      </c>
      <c r="M46" s="122">
        <f t="shared" si="2"/>
        <v>20592870.969999999</v>
      </c>
      <c r="N46" s="116">
        <f t="shared" si="3"/>
        <v>10769247.969999999</v>
      </c>
      <c r="O46" s="123">
        <f t="shared" si="4"/>
        <v>358.09163962226506</v>
      </c>
      <c r="P46" s="5"/>
      <c r="Q46" s="5">
        <f t="shared" si="7"/>
        <v>1</v>
      </c>
      <c r="R46" s="7">
        <f t="shared" si="8"/>
        <v>30074</v>
      </c>
      <c r="S46" s="5">
        <f t="shared" si="5"/>
        <v>1</v>
      </c>
      <c r="T46" s="7">
        <f t="shared" si="6"/>
        <v>30074</v>
      </c>
    </row>
    <row r="47" spans="1:20">
      <c r="A47" s="23" t="s">
        <v>51</v>
      </c>
      <c r="B47" s="35" t="s">
        <v>49</v>
      </c>
      <c r="C47" s="36">
        <v>128930</v>
      </c>
      <c r="D47" s="6"/>
      <c r="E47" s="113">
        <v>14741674942</v>
      </c>
      <c r="F47" s="116">
        <f t="shared" si="12"/>
        <v>114338.59413635306</v>
      </c>
      <c r="G47" s="117">
        <v>9801188095</v>
      </c>
      <c r="H47" s="117">
        <f t="shared" si="10"/>
        <v>76019.453152873655</v>
      </c>
      <c r="I47" s="7"/>
      <c r="J47" s="10">
        <v>3.3651</v>
      </c>
      <c r="K47" s="117">
        <v>32981978</v>
      </c>
      <c r="L47" s="120">
        <f t="shared" si="14"/>
        <v>255.81306135112075</v>
      </c>
      <c r="M47" s="122">
        <f t="shared" si="2"/>
        <v>98011880.950000003</v>
      </c>
      <c r="N47" s="116">
        <f t="shared" si="3"/>
        <v>65029902.950000003</v>
      </c>
      <c r="O47" s="123">
        <f t="shared" si="4"/>
        <v>504.38147017761577</v>
      </c>
      <c r="P47" s="5"/>
      <c r="Q47" s="5">
        <f t="shared" si="7"/>
        <v>1</v>
      </c>
      <c r="R47" s="7">
        <f t="shared" si="8"/>
        <v>128930</v>
      </c>
      <c r="S47" s="5">
        <f t="shared" si="5"/>
        <v>1</v>
      </c>
      <c r="T47" s="7">
        <f t="shared" si="6"/>
        <v>128930</v>
      </c>
    </row>
    <row r="48" spans="1:20">
      <c r="A48" s="23" t="s">
        <v>464</v>
      </c>
      <c r="B48" s="35" t="s">
        <v>49</v>
      </c>
      <c r="C48" s="36">
        <v>28425</v>
      </c>
      <c r="D48" s="6"/>
      <c r="E48" s="113">
        <v>4269815956</v>
      </c>
      <c r="F48" s="116">
        <f t="shared" si="12"/>
        <v>150213.40214599823</v>
      </c>
      <c r="G48" s="117">
        <v>3142559344</v>
      </c>
      <c r="H48" s="117">
        <f t="shared" ref="H48:H79" si="15">(G48/C48)</f>
        <v>110556.17744942832</v>
      </c>
      <c r="I48" s="7"/>
      <c r="J48" s="10">
        <v>5.4043999999999999</v>
      </c>
      <c r="K48" s="117">
        <v>16983648</v>
      </c>
      <c r="L48" s="120">
        <f t="shared" si="14"/>
        <v>597.48981530343008</v>
      </c>
      <c r="M48" s="122">
        <f t="shared" si="2"/>
        <v>31425593.440000001</v>
      </c>
      <c r="N48" s="116">
        <f t="shared" si="3"/>
        <v>14441945.440000001</v>
      </c>
      <c r="O48" s="123">
        <f t="shared" si="4"/>
        <v>508.07195919085319</v>
      </c>
      <c r="P48" s="5"/>
      <c r="Q48" s="5">
        <f t="shared" si="7"/>
        <v>1</v>
      </c>
      <c r="R48" s="7">
        <f t="shared" si="8"/>
        <v>28425</v>
      </c>
      <c r="S48" s="5">
        <f t="shared" si="5"/>
        <v>1</v>
      </c>
      <c r="T48" s="7">
        <f t="shared" si="6"/>
        <v>28425</v>
      </c>
    </row>
    <row r="49" spans="1:20">
      <c r="A49" s="23" t="s">
        <v>52</v>
      </c>
      <c r="B49" s="35" t="s">
        <v>49</v>
      </c>
      <c r="C49" s="36">
        <v>92207</v>
      </c>
      <c r="D49" s="6"/>
      <c r="E49" s="113">
        <v>13203220991</v>
      </c>
      <c r="F49" s="116">
        <f t="shared" si="12"/>
        <v>143191.09168501306</v>
      </c>
      <c r="G49" s="117">
        <v>8195293709</v>
      </c>
      <c r="H49" s="117">
        <f t="shared" si="15"/>
        <v>88879.301018360857</v>
      </c>
      <c r="I49" s="7"/>
      <c r="J49" s="11">
        <v>4.2455999999999996</v>
      </c>
      <c r="K49" s="117">
        <v>34793939</v>
      </c>
      <c r="L49" s="120">
        <f t="shared" si="14"/>
        <v>377.34596071881742</v>
      </c>
      <c r="M49" s="122">
        <f t="shared" si="2"/>
        <v>81952937.090000004</v>
      </c>
      <c r="N49" s="116">
        <f t="shared" si="3"/>
        <v>47158998.090000004</v>
      </c>
      <c r="O49" s="123">
        <f t="shared" si="4"/>
        <v>511.44704946479123</v>
      </c>
      <c r="P49" s="5"/>
      <c r="Q49" s="5">
        <f t="shared" si="7"/>
        <v>1</v>
      </c>
      <c r="R49" s="7">
        <f t="shared" si="8"/>
        <v>92207</v>
      </c>
      <c r="S49" s="5">
        <f t="shared" si="5"/>
        <v>1</v>
      </c>
      <c r="T49" s="7">
        <f t="shared" si="6"/>
        <v>92207</v>
      </c>
    </row>
    <row r="50" spans="1:20">
      <c r="A50" s="23" t="s">
        <v>53</v>
      </c>
      <c r="B50" s="35" t="s">
        <v>49</v>
      </c>
      <c r="C50" s="36">
        <v>73227</v>
      </c>
      <c r="D50" s="6"/>
      <c r="E50" s="113">
        <v>9675991415</v>
      </c>
      <c r="F50" s="116">
        <f t="shared" si="12"/>
        <v>132136.93603452278</v>
      </c>
      <c r="G50" s="117">
        <v>6812558421</v>
      </c>
      <c r="H50" s="117">
        <f t="shared" si="15"/>
        <v>93033.422385185797</v>
      </c>
      <c r="I50" s="7"/>
      <c r="J50" s="10">
        <v>4.9071999999999996</v>
      </c>
      <c r="K50" s="117">
        <v>33430587</v>
      </c>
      <c r="L50" s="120">
        <f t="shared" si="14"/>
        <v>456.5336146503339</v>
      </c>
      <c r="M50" s="122">
        <f t="shared" si="2"/>
        <v>68125584.210000008</v>
      </c>
      <c r="N50" s="116">
        <f t="shared" si="3"/>
        <v>34694997.210000008</v>
      </c>
      <c r="O50" s="123">
        <f t="shared" si="4"/>
        <v>473.80060920152414</v>
      </c>
      <c r="P50" s="5"/>
      <c r="Q50" s="5">
        <f t="shared" si="7"/>
        <v>1</v>
      </c>
      <c r="R50" s="7">
        <f t="shared" si="8"/>
        <v>73227</v>
      </c>
      <c r="S50" s="5">
        <f t="shared" si="5"/>
        <v>1</v>
      </c>
      <c r="T50" s="7">
        <f t="shared" si="6"/>
        <v>73227</v>
      </c>
    </row>
    <row r="51" spans="1:20">
      <c r="A51" s="23" t="s">
        <v>54</v>
      </c>
      <c r="B51" s="35" t="s">
        <v>49</v>
      </c>
      <c r="C51" s="36">
        <v>180400</v>
      </c>
      <c r="D51" s="6"/>
      <c r="E51" s="113">
        <v>42266520031</v>
      </c>
      <c r="F51" s="116">
        <f t="shared" si="12"/>
        <v>234293.3482871397</v>
      </c>
      <c r="G51" s="117">
        <v>30509807948</v>
      </c>
      <c r="H51" s="117">
        <f t="shared" si="15"/>
        <v>169123.10392461196</v>
      </c>
      <c r="I51" s="7"/>
      <c r="J51" s="10">
        <v>4.1193</v>
      </c>
      <c r="K51" s="117">
        <v>125679052</v>
      </c>
      <c r="L51" s="120">
        <f t="shared" si="14"/>
        <v>696.66880266075384</v>
      </c>
      <c r="M51" s="122">
        <f t="shared" si="2"/>
        <v>305098079.48000002</v>
      </c>
      <c r="N51" s="116">
        <f t="shared" si="3"/>
        <v>179419027.48000002</v>
      </c>
      <c r="O51" s="123">
        <f t="shared" si="4"/>
        <v>994.56223658536601</v>
      </c>
      <c r="P51" s="5"/>
      <c r="Q51" s="5">
        <f t="shared" si="7"/>
        <v>1</v>
      </c>
      <c r="R51" s="7">
        <f t="shared" si="8"/>
        <v>180400</v>
      </c>
      <c r="S51" s="5">
        <f t="shared" si="5"/>
        <v>1</v>
      </c>
      <c r="T51" s="7">
        <f t="shared" si="6"/>
        <v>180400</v>
      </c>
    </row>
    <row r="52" spans="1:20">
      <c r="A52" s="23" t="s">
        <v>465</v>
      </c>
      <c r="B52" s="35" t="s">
        <v>49</v>
      </c>
      <c r="C52" s="36">
        <v>38232</v>
      </c>
      <c r="D52" s="6"/>
      <c r="E52" s="113">
        <v>6299169962</v>
      </c>
      <c r="F52" s="116">
        <f t="shared" si="12"/>
        <v>164761.71693869011</v>
      </c>
      <c r="G52" s="117">
        <v>4892092605</v>
      </c>
      <c r="H52" s="117">
        <f t="shared" si="15"/>
        <v>127958.06144067796</v>
      </c>
      <c r="I52" s="7"/>
      <c r="J52" s="10">
        <v>4.9817999999999998</v>
      </c>
      <c r="K52" s="117">
        <v>24371427</v>
      </c>
      <c r="L52" s="120">
        <f t="shared" si="14"/>
        <v>637.46147206528565</v>
      </c>
      <c r="M52" s="122">
        <f t="shared" si="2"/>
        <v>48920926.050000004</v>
      </c>
      <c r="N52" s="116">
        <f t="shared" si="3"/>
        <v>24549499.050000004</v>
      </c>
      <c r="O52" s="123">
        <f t="shared" si="4"/>
        <v>642.11914234149413</v>
      </c>
      <c r="P52" s="5"/>
      <c r="Q52" s="5">
        <f t="shared" si="7"/>
        <v>1</v>
      </c>
      <c r="R52" s="7">
        <f t="shared" si="8"/>
        <v>38232</v>
      </c>
      <c r="S52" s="5">
        <f t="shared" si="5"/>
        <v>1</v>
      </c>
      <c r="T52" s="7">
        <f t="shared" si="6"/>
        <v>38232</v>
      </c>
    </row>
    <row r="53" spans="1:20">
      <c r="A53" s="23" t="s">
        <v>55</v>
      </c>
      <c r="B53" s="35" t="s">
        <v>49</v>
      </c>
      <c r="C53" s="36">
        <v>2224</v>
      </c>
      <c r="D53" s="6"/>
      <c r="E53" s="113">
        <v>1378728550</v>
      </c>
      <c r="F53" s="116">
        <f t="shared" si="12"/>
        <v>619931.9019784173</v>
      </c>
      <c r="G53" s="117">
        <v>1125796454</v>
      </c>
      <c r="H53" s="117">
        <f t="shared" si="15"/>
        <v>506203.44154676259</v>
      </c>
      <c r="I53" s="7"/>
      <c r="J53" s="10">
        <v>2.6120999999999999</v>
      </c>
      <c r="K53" s="117">
        <v>2940693</v>
      </c>
      <c r="L53" s="120">
        <f t="shared" si="14"/>
        <v>1322.25404676259</v>
      </c>
      <c r="M53" s="122">
        <f t="shared" si="2"/>
        <v>11257964.540000001</v>
      </c>
      <c r="N53" s="116">
        <f t="shared" si="3"/>
        <v>8317271.540000001</v>
      </c>
      <c r="O53" s="123">
        <f t="shared" si="4"/>
        <v>3739.7803687050364</v>
      </c>
      <c r="P53" s="5"/>
      <c r="Q53" s="5">
        <f t="shared" si="7"/>
        <v>1</v>
      </c>
      <c r="R53" s="7">
        <f t="shared" si="8"/>
        <v>2224</v>
      </c>
      <c r="S53" s="5">
        <f t="shared" si="5"/>
        <v>1</v>
      </c>
      <c r="T53" s="7">
        <f t="shared" si="6"/>
        <v>2224</v>
      </c>
    </row>
    <row r="54" spans="1:20">
      <c r="A54" s="23" t="s">
        <v>56</v>
      </c>
      <c r="B54" s="35" t="s">
        <v>49</v>
      </c>
      <c r="C54" s="36">
        <v>143172</v>
      </c>
      <c r="D54" s="6"/>
      <c r="E54" s="113">
        <v>20377437132</v>
      </c>
      <c r="F54" s="116">
        <f t="shared" si="12"/>
        <v>142328.36820048612</v>
      </c>
      <c r="G54" s="117">
        <v>13485201549</v>
      </c>
      <c r="H54" s="117">
        <f t="shared" si="15"/>
        <v>94188.818686614701</v>
      </c>
      <c r="I54" s="7"/>
      <c r="J54" s="10">
        <v>5.69</v>
      </c>
      <c r="K54" s="117">
        <v>76730797</v>
      </c>
      <c r="L54" s="120">
        <f t="shared" si="14"/>
        <v>535.93437962730138</v>
      </c>
      <c r="M54" s="122">
        <f t="shared" si="2"/>
        <v>134852015.49000001</v>
      </c>
      <c r="N54" s="116">
        <f t="shared" si="3"/>
        <v>58121218.49000001</v>
      </c>
      <c r="O54" s="123">
        <f t="shared" si="4"/>
        <v>405.95380723884563</v>
      </c>
      <c r="P54" s="5"/>
      <c r="Q54" s="5">
        <f t="shared" si="7"/>
        <v>1</v>
      </c>
      <c r="R54" s="7">
        <f t="shared" si="8"/>
        <v>143172</v>
      </c>
      <c r="S54" s="5">
        <f t="shared" si="5"/>
        <v>1</v>
      </c>
      <c r="T54" s="7">
        <f t="shared" si="6"/>
        <v>143172</v>
      </c>
    </row>
    <row r="55" spans="1:20">
      <c r="A55" s="23" t="s">
        <v>57</v>
      </c>
      <c r="B55" s="35" t="s">
        <v>49</v>
      </c>
      <c r="C55" s="36">
        <v>32216</v>
      </c>
      <c r="D55" s="6"/>
      <c r="E55" s="113">
        <v>2096578270</v>
      </c>
      <c r="F55" s="116">
        <f t="shared" si="12"/>
        <v>65078.789111000748</v>
      </c>
      <c r="G55" s="117">
        <v>1224449568</v>
      </c>
      <c r="H55" s="117">
        <f t="shared" si="15"/>
        <v>38007.498385895211</v>
      </c>
      <c r="I55" s="7"/>
      <c r="J55" s="10">
        <v>5.7622</v>
      </c>
      <c r="K55" s="117">
        <v>7055523</v>
      </c>
      <c r="L55" s="120">
        <f t="shared" si="14"/>
        <v>219.0067978644152</v>
      </c>
      <c r="M55" s="122">
        <f t="shared" si="2"/>
        <v>12244495.68</v>
      </c>
      <c r="N55" s="116">
        <f t="shared" si="3"/>
        <v>5188972.68</v>
      </c>
      <c r="O55" s="123">
        <f t="shared" si="4"/>
        <v>161.06818599453686</v>
      </c>
      <c r="P55" s="5"/>
      <c r="Q55" s="5">
        <f t="shared" si="7"/>
        <v>1</v>
      </c>
      <c r="R55" s="7">
        <f t="shared" si="8"/>
        <v>32216</v>
      </c>
      <c r="S55" s="5">
        <f t="shared" si="5"/>
        <v>1</v>
      </c>
      <c r="T55" s="7">
        <f t="shared" si="6"/>
        <v>32216</v>
      </c>
    </row>
    <row r="56" spans="1:20">
      <c r="A56" s="24" t="s">
        <v>560</v>
      </c>
      <c r="B56" s="35" t="s">
        <v>49</v>
      </c>
      <c r="C56" s="36">
        <v>5852</v>
      </c>
      <c r="D56" s="6"/>
      <c r="E56" s="113">
        <v>2629119117</v>
      </c>
      <c r="F56" s="116">
        <f t="shared" si="12"/>
        <v>449268.47522214625</v>
      </c>
      <c r="G56" s="117">
        <v>2124392834</v>
      </c>
      <c r="H56" s="117">
        <f t="shared" si="15"/>
        <v>363019.96479835955</v>
      </c>
      <c r="I56" s="7"/>
      <c r="J56" s="10">
        <v>3.9990000000000001</v>
      </c>
      <c r="K56" s="117">
        <v>8495447</v>
      </c>
      <c r="L56" s="120">
        <f t="shared" si="14"/>
        <v>1451.7168489405331</v>
      </c>
      <c r="M56" s="122">
        <f t="shared" si="2"/>
        <v>21243928.34</v>
      </c>
      <c r="N56" s="116">
        <f t="shared" si="3"/>
        <v>12748481.34</v>
      </c>
      <c r="O56" s="123">
        <f t="shared" si="4"/>
        <v>2178.4827990430622</v>
      </c>
      <c r="P56" s="5"/>
      <c r="Q56" s="5">
        <f t="shared" si="7"/>
        <v>1</v>
      </c>
      <c r="R56" s="7">
        <f t="shared" si="8"/>
        <v>5852</v>
      </c>
      <c r="S56" s="5">
        <f t="shared" si="5"/>
        <v>1</v>
      </c>
      <c r="T56" s="7">
        <f t="shared" si="6"/>
        <v>5852</v>
      </c>
    </row>
    <row r="57" spans="1:20">
      <c r="A57" s="23" t="s">
        <v>58</v>
      </c>
      <c r="B57" s="35" t="s">
        <v>49</v>
      </c>
      <c r="C57" s="36">
        <v>64635</v>
      </c>
      <c r="D57" s="6"/>
      <c r="E57" s="113">
        <v>4645824840</v>
      </c>
      <c r="F57" s="116">
        <f t="shared" si="12"/>
        <v>71877.850081225348</v>
      </c>
      <c r="G57" s="117">
        <v>2776843012</v>
      </c>
      <c r="H57" s="117">
        <f t="shared" si="15"/>
        <v>42961.90936798948</v>
      </c>
      <c r="I57" s="7"/>
      <c r="J57" s="10">
        <v>5.0646000000000004</v>
      </c>
      <c r="K57" s="117">
        <v>14063599</v>
      </c>
      <c r="L57" s="120">
        <f t="shared" si="14"/>
        <v>217.58488435058405</v>
      </c>
      <c r="M57" s="122">
        <f t="shared" si="2"/>
        <v>27768430.120000001</v>
      </c>
      <c r="N57" s="116">
        <f t="shared" si="3"/>
        <v>13704831.120000001</v>
      </c>
      <c r="O57" s="123">
        <f t="shared" si="4"/>
        <v>212.03420932931076</v>
      </c>
      <c r="P57" s="5"/>
      <c r="Q57" s="5">
        <f t="shared" si="7"/>
        <v>1</v>
      </c>
      <c r="R57" s="7">
        <f t="shared" si="8"/>
        <v>64635</v>
      </c>
      <c r="S57" s="5">
        <f t="shared" si="5"/>
        <v>1</v>
      </c>
      <c r="T57" s="7">
        <f t="shared" si="6"/>
        <v>64635</v>
      </c>
    </row>
    <row r="58" spans="1:20">
      <c r="A58" s="23" t="s">
        <v>59</v>
      </c>
      <c r="B58" s="35" t="s">
        <v>49</v>
      </c>
      <c r="C58" s="36">
        <v>41</v>
      </c>
      <c r="D58" s="6"/>
      <c r="E58" s="113">
        <v>8567737</v>
      </c>
      <c r="F58" s="116">
        <f t="shared" si="12"/>
        <v>208969.19512195123</v>
      </c>
      <c r="G58" s="117">
        <v>5987916</v>
      </c>
      <c r="H58" s="117">
        <f t="shared" si="15"/>
        <v>146046.73170731709</v>
      </c>
      <c r="I58" s="7"/>
      <c r="J58" s="10">
        <v>4.3494000000000002</v>
      </c>
      <c r="K58" s="117">
        <v>26044</v>
      </c>
      <c r="L58" s="120">
        <f t="shared" si="14"/>
        <v>635.21951219512198</v>
      </c>
      <c r="M58" s="122">
        <f t="shared" si="2"/>
        <v>59879.16</v>
      </c>
      <c r="N58" s="116">
        <f t="shared" si="3"/>
        <v>33835.160000000003</v>
      </c>
      <c r="O58" s="123">
        <f t="shared" si="4"/>
        <v>825.2478048780489</v>
      </c>
      <c r="P58" s="5"/>
      <c r="Q58" s="5">
        <f t="shared" si="7"/>
        <v>1</v>
      </c>
      <c r="R58" s="7">
        <f t="shared" si="8"/>
        <v>41</v>
      </c>
      <c r="S58" s="5">
        <f t="shared" si="5"/>
        <v>1</v>
      </c>
      <c r="T58" s="7">
        <f t="shared" si="6"/>
        <v>41</v>
      </c>
    </row>
    <row r="59" spans="1:20">
      <c r="A59" s="23" t="s">
        <v>60</v>
      </c>
      <c r="B59" s="35" t="s">
        <v>49</v>
      </c>
      <c r="C59" s="36">
        <v>11020</v>
      </c>
      <c r="D59" s="6"/>
      <c r="E59" s="113">
        <v>3035867265</v>
      </c>
      <c r="F59" s="116">
        <f t="shared" si="12"/>
        <v>275487.04764065339</v>
      </c>
      <c r="G59" s="117">
        <v>2089496663</v>
      </c>
      <c r="H59" s="117">
        <f t="shared" si="15"/>
        <v>189609.49754990925</v>
      </c>
      <c r="I59" s="7"/>
      <c r="J59" s="10">
        <v>3.2822</v>
      </c>
      <c r="K59" s="117">
        <v>6858146</v>
      </c>
      <c r="L59" s="120">
        <f t="shared" si="14"/>
        <v>622.33629764065336</v>
      </c>
      <c r="M59" s="122">
        <f t="shared" si="2"/>
        <v>20894966.629999999</v>
      </c>
      <c r="N59" s="116">
        <f t="shared" si="3"/>
        <v>14036820.629999999</v>
      </c>
      <c r="O59" s="123">
        <f t="shared" si="4"/>
        <v>1273.7586778584391</v>
      </c>
      <c r="P59" s="5"/>
      <c r="Q59" s="5">
        <f t="shared" si="7"/>
        <v>1</v>
      </c>
      <c r="R59" s="7">
        <f t="shared" si="8"/>
        <v>11020</v>
      </c>
      <c r="S59" s="5">
        <f t="shared" si="5"/>
        <v>1</v>
      </c>
      <c r="T59" s="7">
        <f t="shared" si="6"/>
        <v>11020</v>
      </c>
    </row>
    <row r="60" spans="1:20">
      <c r="A60" s="23" t="s">
        <v>61</v>
      </c>
      <c r="B60" s="35" t="s">
        <v>49</v>
      </c>
      <c r="C60" s="36">
        <v>54180</v>
      </c>
      <c r="D60" s="6"/>
      <c r="E60" s="113">
        <v>4872587902</v>
      </c>
      <c r="F60" s="116">
        <f t="shared" si="12"/>
        <v>89933.331524547801</v>
      </c>
      <c r="G60" s="117">
        <v>2993630993</v>
      </c>
      <c r="H60" s="117">
        <f t="shared" si="15"/>
        <v>55253.432871908451</v>
      </c>
      <c r="I60" s="7"/>
      <c r="J60" s="10">
        <v>6.75</v>
      </c>
      <c r="K60" s="117">
        <v>20207009</v>
      </c>
      <c r="L60" s="120">
        <f t="shared" si="14"/>
        <v>372.96066814322626</v>
      </c>
      <c r="M60" s="122">
        <f t="shared" si="2"/>
        <v>29936309.93</v>
      </c>
      <c r="N60" s="116">
        <f t="shared" si="3"/>
        <v>9729300.9299999997</v>
      </c>
      <c r="O60" s="123">
        <f t="shared" si="4"/>
        <v>179.57366057585824</v>
      </c>
      <c r="P60" s="5"/>
      <c r="Q60" s="5">
        <f t="shared" si="7"/>
        <v>1</v>
      </c>
      <c r="R60" s="7">
        <f t="shared" si="8"/>
        <v>54180</v>
      </c>
      <c r="S60" s="5">
        <f t="shared" si="5"/>
        <v>1</v>
      </c>
      <c r="T60" s="7">
        <f t="shared" si="6"/>
        <v>54180</v>
      </c>
    </row>
    <row r="61" spans="1:20">
      <c r="A61" s="23" t="s">
        <v>62</v>
      </c>
      <c r="B61" s="35" t="s">
        <v>49</v>
      </c>
      <c r="C61" s="36">
        <v>112666</v>
      </c>
      <c r="D61" s="6"/>
      <c r="E61" s="113">
        <v>13648970290</v>
      </c>
      <c r="F61" s="116">
        <f t="shared" si="12"/>
        <v>121145.42355280209</v>
      </c>
      <c r="G61" s="117">
        <v>9341737429</v>
      </c>
      <c r="H61" s="117">
        <f t="shared" si="15"/>
        <v>82915.31987467382</v>
      </c>
      <c r="I61" s="7"/>
      <c r="J61" s="10">
        <v>5.4797000000000002</v>
      </c>
      <c r="K61" s="117">
        <v>51189919</v>
      </c>
      <c r="L61" s="120">
        <f t="shared" si="14"/>
        <v>454.35108195906486</v>
      </c>
      <c r="M61" s="122">
        <f t="shared" si="2"/>
        <v>93417374.290000007</v>
      </c>
      <c r="N61" s="116">
        <f t="shared" si="3"/>
        <v>42227455.290000007</v>
      </c>
      <c r="O61" s="123">
        <f t="shared" si="4"/>
        <v>374.80211678767336</v>
      </c>
      <c r="P61" s="5"/>
      <c r="Q61" s="5">
        <f t="shared" si="7"/>
        <v>1</v>
      </c>
      <c r="R61" s="7">
        <f t="shared" si="8"/>
        <v>112666</v>
      </c>
      <c r="S61" s="5">
        <f t="shared" si="5"/>
        <v>1</v>
      </c>
      <c r="T61" s="7">
        <f t="shared" si="6"/>
        <v>112666</v>
      </c>
    </row>
    <row r="62" spans="1:20">
      <c r="A62" s="23" t="s">
        <v>63</v>
      </c>
      <c r="B62" s="35" t="s">
        <v>49</v>
      </c>
      <c r="C62" s="36">
        <v>42287</v>
      </c>
      <c r="D62" s="6"/>
      <c r="E62" s="113">
        <v>2673265059</v>
      </c>
      <c r="F62" s="116">
        <f t="shared" si="12"/>
        <v>63217.183980892471</v>
      </c>
      <c r="G62" s="117">
        <v>1647634725</v>
      </c>
      <c r="H62" s="117">
        <f t="shared" si="15"/>
        <v>38963.150022465532</v>
      </c>
      <c r="I62" s="7"/>
      <c r="J62" s="10">
        <v>6.1875</v>
      </c>
      <c r="K62" s="117">
        <v>10194740</v>
      </c>
      <c r="L62" s="120">
        <f t="shared" si="14"/>
        <v>241.08449405254569</v>
      </c>
      <c r="M62" s="122">
        <f t="shared" si="2"/>
        <v>16476347.25</v>
      </c>
      <c r="N62" s="116">
        <f t="shared" si="3"/>
        <v>6281607.25</v>
      </c>
      <c r="O62" s="123">
        <f t="shared" si="4"/>
        <v>148.54700617210963</v>
      </c>
      <c r="P62" s="5"/>
      <c r="Q62" s="5">
        <f t="shared" si="7"/>
        <v>1</v>
      </c>
      <c r="R62" s="7">
        <f t="shared" si="8"/>
        <v>42287</v>
      </c>
      <c r="S62" s="5">
        <f t="shared" si="5"/>
        <v>1</v>
      </c>
      <c r="T62" s="7">
        <f t="shared" si="6"/>
        <v>42287</v>
      </c>
    </row>
    <row r="63" spans="1:20">
      <c r="A63" s="23" t="s">
        <v>64</v>
      </c>
      <c r="B63" s="35" t="s">
        <v>49</v>
      </c>
      <c r="C63" s="36">
        <v>42241</v>
      </c>
      <c r="D63" s="6"/>
      <c r="E63" s="113">
        <v>4842236974</v>
      </c>
      <c r="F63" s="116">
        <f t="shared" si="12"/>
        <v>114633.57813498733</v>
      </c>
      <c r="G63" s="117">
        <v>3221924139</v>
      </c>
      <c r="H63" s="117">
        <f t="shared" si="15"/>
        <v>76274.80739092351</v>
      </c>
      <c r="I63" s="7"/>
      <c r="J63" s="10">
        <v>5.1040999999999999</v>
      </c>
      <c r="K63" s="117">
        <v>16445023</v>
      </c>
      <c r="L63" s="120">
        <f t="shared" si="14"/>
        <v>389.31424445443997</v>
      </c>
      <c r="M63" s="122">
        <f t="shared" si="2"/>
        <v>32219241.390000001</v>
      </c>
      <c r="N63" s="116">
        <f t="shared" si="3"/>
        <v>15774218.390000001</v>
      </c>
      <c r="O63" s="123">
        <f t="shared" si="4"/>
        <v>373.4338294547951</v>
      </c>
      <c r="P63" s="5"/>
      <c r="Q63" s="5">
        <f t="shared" si="7"/>
        <v>1</v>
      </c>
      <c r="R63" s="7">
        <f t="shared" si="8"/>
        <v>42241</v>
      </c>
      <c r="S63" s="5">
        <f t="shared" si="5"/>
        <v>1</v>
      </c>
      <c r="T63" s="7">
        <f t="shared" si="6"/>
        <v>42241</v>
      </c>
    </row>
    <row r="64" spans="1:20">
      <c r="A64" s="23" t="s">
        <v>65</v>
      </c>
      <c r="B64" s="35" t="s">
        <v>49</v>
      </c>
      <c r="C64" s="36">
        <v>23835</v>
      </c>
      <c r="D64" s="6"/>
      <c r="E64" s="113">
        <v>5076848230</v>
      </c>
      <c r="F64" s="116">
        <f t="shared" si="12"/>
        <v>212999.7159639186</v>
      </c>
      <c r="G64" s="117">
        <v>3740753812</v>
      </c>
      <c r="H64" s="117">
        <f t="shared" si="15"/>
        <v>156943.73031256555</v>
      </c>
      <c r="I64" s="7"/>
      <c r="J64" s="10">
        <v>3.4083000000000001</v>
      </c>
      <c r="K64" s="117">
        <v>12749611</v>
      </c>
      <c r="L64" s="120">
        <f t="shared" si="14"/>
        <v>534.91130690161526</v>
      </c>
      <c r="M64" s="122">
        <f t="shared" si="2"/>
        <v>37407538.119999997</v>
      </c>
      <c r="N64" s="116">
        <f t="shared" si="3"/>
        <v>24657927.119999997</v>
      </c>
      <c r="O64" s="123">
        <f t="shared" si="4"/>
        <v>1034.5259962240402</v>
      </c>
      <c r="P64" s="5"/>
      <c r="Q64" s="5">
        <f t="shared" si="7"/>
        <v>1</v>
      </c>
      <c r="R64" s="7">
        <f t="shared" si="8"/>
        <v>23835</v>
      </c>
      <c r="S64" s="5">
        <f t="shared" si="5"/>
        <v>1</v>
      </c>
      <c r="T64" s="7">
        <f t="shared" si="6"/>
        <v>23835</v>
      </c>
    </row>
    <row r="65" spans="1:20">
      <c r="A65" s="23" t="s">
        <v>66</v>
      </c>
      <c r="B65" s="35" t="s">
        <v>49</v>
      </c>
      <c r="C65" s="36">
        <v>6161</v>
      </c>
      <c r="D65" s="6"/>
      <c r="E65" s="113">
        <v>657980029</v>
      </c>
      <c r="F65" s="116">
        <f t="shared" si="12"/>
        <v>106797.60249959423</v>
      </c>
      <c r="G65" s="117">
        <v>577059307</v>
      </c>
      <c r="H65" s="117">
        <f t="shared" si="15"/>
        <v>93663.253854893686</v>
      </c>
      <c r="I65" s="7"/>
      <c r="J65" s="10">
        <v>8.5</v>
      </c>
      <c r="K65" s="117">
        <v>4905004</v>
      </c>
      <c r="L65" s="120">
        <f t="shared" si="14"/>
        <v>796.13763999350749</v>
      </c>
      <c r="M65" s="122">
        <f t="shared" si="2"/>
        <v>5770593.0700000003</v>
      </c>
      <c r="N65" s="116">
        <f t="shared" si="3"/>
        <v>865589.0700000003</v>
      </c>
      <c r="O65" s="123">
        <f t="shared" si="4"/>
        <v>140.49489855542936</v>
      </c>
      <c r="P65" s="5"/>
      <c r="Q65" s="5">
        <f t="shared" si="7"/>
        <v>1</v>
      </c>
      <c r="R65" s="7">
        <f t="shared" si="8"/>
        <v>6161</v>
      </c>
      <c r="S65" s="5">
        <f t="shared" si="5"/>
        <v>1</v>
      </c>
      <c r="T65" s="7">
        <f t="shared" si="6"/>
        <v>6161</v>
      </c>
    </row>
    <row r="66" spans="1:20">
      <c r="A66" s="23" t="s">
        <v>67</v>
      </c>
      <c r="B66" s="35" t="s">
        <v>49</v>
      </c>
      <c r="C66" s="36">
        <v>151747</v>
      </c>
      <c r="D66" s="6"/>
      <c r="E66" s="113">
        <v>17848661534</v>
      </c>
      <c r="F66" s="116">
        <f t="shared" si="12"/>
        <v>117621.1821914107</v>
      </c>
      <c r="G66" s="117">
        <v>10787285956</v>
      </c>
      <c r="H66" s="117">
        <f t="shared" si="15"/>
        <v>71087.309508589955</v>
      </c>
      <c r="I66" s="7"/>
      <c r="J66" s="10">
        <v>4.4311999999999996</v>
      </c>
      <c r="K66" s="117">
        <v>47800622</v>
      </c>
      <c r="L66" s="120">
        <f t="shared" si="14"/>
        <v>315.00208900340698</v>
      </c>
      <c r="M66" s="122">
        <f t="shared" si="2"/>
        <v>107872859.56</v>
      </c>
      <c r="N66" s="116">
        <f t="shared" si="3"/>
        <v>60072237.560000002</v>
      </c>
      <c r="O66" s="123">
        <f t="shared" si="4"/>
        <v>395.87100608249261</v>
      </c>
      <c r="P66" s="5"/>
      <c r="Q66" s="5">
        <f t="shared" si="7"/>
        <v>1</v>
      </c>
      <c r="R66" s="7">
        <f t="shared" si="8"/>
        <v>151747</v>
      </c>
      <c r="S66" s="5">
        <f t="shared" si="5"/>
        <v>1</v>
      </c>
      <c r="T66" s="7">
        <f t="shared" si="6"/>
        <v>151747</v>
      </c>
    </row>
    <row r="67" spans="1:20">
      <c r="A67" s="23" t="s">
        <v>68</v>
      </c>
      <c r="B67" s="35" t="s">
        <v>49</v>
      </c>
      <c r="C67" s="36">
        <v>85688</v>
      </c>
      <c r="D67" s="6"/>
      <c r="E67" s="113">
        <v>12633438941</v>
      </c>
      <c r="F67" s="116">
        <f t="shared" si="12"/>
        <v>147435.33448090748</v>
      </c>
      <c r="G67" s="117">
        <v>8182382824</v>
      </c>
      <c r="H67" s="117">
        <f t="shared" si="15"/>
        <v>95490.416674446824</v>
      </c>
      <c r="I67" s="7"/>
      <c r="J67" s="10">
        <v>4.0925000000000002</v>
      </c>
      <c r="K67" s="117">
        <v>33486402</v>
      </c>
      <c r="L67" s="120">
        <f t="shared" si="14"/>
        <v>390.79453365698816</v>
      </c>
      <c r="M67" s="122">
        <f t="shared" si="2"/>
        <v>81823828.239999995</v>
      </c>
      <c r="N67" s="116">
        <f t="shared" si="3"/>
        <v>48337426.239999995</v>
      </c>
      <c r="O67" s="123">
        <f t="shared" si="4"/>
        <v>564.10963308748012</v>
      </c>
      <c r="P67" s="5"/>
      <c r="Q67" s="5">
        <f t="shared" si="7"/>
        <v>1</v>
      </c>
      <c r="R67" s="7">
        <f t="shared" si="8"/>
        <v>85688</v>
      </c>
      <c r="S67" s="5">
        <f t="shared" si="5"/>
        <v>1</v>
      </c>
      <c r="T67" s="7">
        <f t="shared" si="6"/>
        <v>85688</v>
      </c>
    </row>
    <row r="68" spans="1:20">
      <c r="A68" s="23" t="s">
        <v>69</v>
      </c>
      <c r="B68" s="35" t="s">
        <v>49</v>
      </c>
      <c r="C68" s="36">
        <v>100058</v>
      </c>
      <c r="D68" s="6"/>
      <c r="E68" s="113">
        <v>16774771825</v>
      </c>
      <c r="F68" s="116">
        <f t="shared" si="12"/>
        <v>167650.4809710368</v>
      </c>
      <c r="G68" s="117">
        <v>12069485121</v>
      </c>
      <c r="H68" s="117">
        <f t="shared" si="15"/>
        <v>120624.88877451078</v>
      </c>
      <c r="I68" s="7"/>
      <c r="J68" s="10">
        <v>3.4861</v>
      </c>
      <c r="K68" s="117">
        <v>42075432</v>
      </c>
      <c r="L68" s="120">
        <f t="shared" si="14"/>
        <v>420.51042395410661</v>
      </c>
      <c r="M68" s="122">
        <f t="shared" si="2"/>
        <v>120694851.21000001</v>
      </c>
      <c r="N68" s="116">
        <f t="shared" si="3"/>
        <v>78619419.210000008</v>
      </c>
      <c r="O68" s="123">
        <f t="shared" si="4"/>
        <v>785.73846379100132</v>
      </c>
      <c r="P68" s="5"/>
      <c r="Q68" s="5">
        <f t="shared" si="7"/>
        <v>1</v>
      </c>
      <c r="R68" s="7">
        <f t="shared" si="8"/>
        <v>100058</v>
      </c>
      <c r="S68" s="5">
        <f t="shared" si="5"/>
        <v>1</v>
      </c>
      <c r="T68" s="7">
        <f t="shared" si="6"/>
        <v>100058</v>
      </c>
    </row>
    <row r="69" spans="1:20">
      <c r="A69" s="23" t="s">
        <v>70</v>
      </c>
      <c r="B69" s="35" t="s">
        <v>49</v>
      </c>
      <c r="C69" s="36">
        <v>730</v>
      </c>
      <c r="D69" s="6"/>
      <c r="E69" s="113">
        <v>246904113</v>
      </c>
      <c r="F69" s="116">
        <f t="shared" si="12"/>
        <v>338224.81232876715</v>
      </c>
      <c r="G69" s="117">
        <v>174567629</v>
      </c>
      <c r="H69" s="117">
        <f t="shared" si="15"/>
        <v>239133.73835616439</v>
      </c>
      <c r="I69" s="7"/>
      <c r="J69" s="10">
        <v>7.5</v>
      </c>
      <c r="K69" s="117">
        <v>1309257</v>
      </c>
      <c r="L69" s="120">
        <f t="shared" si="14"/>
        <v>1793.5027397260274</v>
      </c>
      <c r="M69" s="122">
        <f t="shared" si="2"/>
        <v>1745676.29</v>
      </c>
      <c r="N69" s="116">
        <f t="shared" si="3"/>
        <v>436419.29000000004</v>
      </c>
      <c r="O69" s="123">
        <f t="shared" si="4"/>
        <v>597.83464383561648</v>
      </c>
      <c r="P69" s="5"/>
      <c r="Q69" s="5">
        <f t="shared" si="7"/>
        <v>1</v>
      </c>
      <c r="R69" s="7">
        <f t="shared" si="8"/>
        <v>730</v>
      </c>
      <c r="S69" s="5">
        <f t="shared" si="5"/>
        <v>1</v>
      </c>
      <c r="T69" s="7">
        <f t="shared" si="6"/>
        <v>730</v>
      </c>
    </row>
    <row r="70" spans="1:20">
      <c r="A70" s="23" t="s">
        <v>450</v>
      </c>
      <c r="B70" s="35" t="s">
        <v>49</v>
      </c>
      <c r="C70" s="36">
        <v>8489</v>
      </c>
      <c r="D70" s="6"/>
      <c r="E70" s="113">
        <v>2500124574</v>
      </c>
      <c r="F70" s="116">
        <f t="shared" si="12"/>
        <v>294513.43786076101</v>
      </c>
      <c r="G70" s="117">
        <v>1342750293</v>
      </c>
      <c r="H70" s="117">
        <f t="shared" si="15"/>
        <v>158175.32017905524</v>
      </c>
      <c r="I70" s="7"/>
      <c r="J70" s="10">
        <v>3.5</v>
      </c>
      <c r="K70" s="117">
        <v>4699626</v>
      </c>
      <c r="L70" s="120">
        <f t="shared" si="14"/>
        <v>553.61361762280603</v>
      </c>
      <c r="M70" s="122">
        <f t="shared" ref="M70:M133" si="16">(G70*0.01)</f>
        <v>13427502.93</v>
      </c>
      <c r="N70" s="116">
        <f t="shared" ref="N70:N133" si="17">(M70-K70)</f>
        <v>8727876.9299999997</v>
      </c>
      <c r="O70" s="123">
        <f t="shared" ref="O70:O133" si="18">(N70/C70)</f>
        <v>1028.1395841677465</v>
      </c>
      <c r="P70" s="5"/>
      <c r="Q70" s="5">
        <f t="shared" si="7"/>
        <v>1</v>
      </c>
      <c r="R70" s="7">
        <f t="shared" si="8"/>
        <v>8489</v>
      </c>
      <c r="S70" s="5">
        <f t="shared" si="5"/>
        <v>1</v>
      </c>
      <c r="T70" s="7">
        <f t="shared" ref="T70:T133" si="19">IF(J70&gt;0,C70,0)</f>
        <v>8489</v>
      </c>
    </row>
    <row r="71" spans="1:20">
      <c r="A71" s="23" t="s">
        <v>71</v>
      </c>
      <c r="B71" s="35" t="s">
        <v>49</v>
      </c>
      <c r="C71" s="36">
        <v>90081</v>
      </c>
      <c r="D71" s="6"/>
      <c r="E71" s="113">
        <v>9989759770</v>
      </c>
      <c r="F71" s="116">
        <f t="shared" si="12"/>
        <v>110897.52300707142</v>
      </c>
      <c r="G71" s="117">
        <v>6456021086</v>
      </c>
      <c r="H71" s="117">
        <f t="shared" si="15"/>
        <v>71669.065463305247</v>
      </c>
      <c r="I71" s="7"/>
      <c r="J71" s="10">
        <v>5.4397000000000002</v>
      </c>
      <c r="K71" s="117">
        <v>35118818</v>
      </c>
      <c r="L71" s="120">
        <f t="shared" si="14"/>
        <v>389.85821649404426</v>
      </c>
      <c r="M71" s="122">
        <f t="shared" si="16"/>
        <v>64560210.859999999</v>
      </c>
      <c r="N71" s="116">
        <f t="shared" si="17"/>
        <v>29441392.859999999</v>
      </c>
      <c r="O71" s="123">
        <f t="shared" si="18"/>
        <v>326.83243813900822</v>
      </c>
      <c r="P71" s="5"/>
      <c r="Q71" s="5">
        <f t="shared" ref="Q71:Q134" si="20">IF(E71&gt;0,1,0)</f>
        <v>1</v>
      </c>
      <c r="R71" s="7">
        <f t="shared" ref="R71:R134" si="21">IF(E71&gt;0,C71,0)</f>
        <v>90081</v>
      </c>
      <c r="S71" s="5">
        <f t="shared" ref="S71:S134" si="22">IF(J71&gt;0,1,0)</f>
        <v>1</v>
      </c>
      <c r="T71" s="7">
        <f t="shared" si="19"/>
        <v>90081</v>
      </c>
    </row>
    <row r="72" spans="1:20">
      <c r="A72" s="23" t="s">
        <v>72</v>
      </c>
      <c r="B72" s="35" t="s">
        <v>49</v>
      </c>
      <c r="C72" s="36">
        <v>59855</v>
      </c>
      <c r="D72" s="6"/>
      <c r="E72" s="113">
        <v>6238350663</v>
      </c>
      <c r="F72" s="116">
        <f t="shared" si="12"/>
        <v>104224.38665107342</v>
      </c>
      <c r="G72" s="117">
        <v>3873293635</v>
      </c>
      <c r="H72" s="117">
        <f t="shared" si="15"/>
        <v>64711.279508812964</v>
      </c>
      <c r="I72" s="7"/>
      <c r="J72" s="10">
        <v>5.3215000000000003</v>
      </c>
      <c r="K72" s="117">
        <v>20611732</v>
      </c>
      <c r="L72" s="120">
        <f t="shared" si="14"/>
        <v>344.36107259209757</v>
      </c>
      <c r="M72" s="122">
        <f t="shared" si="16"/>
        <v>38732936.350000001</v>
      </c>
      <c r="N72" s="116">
        <f t="shared" si="17"/>
        <v>18121204.350000001</v>
      </c>
      <c r="O72" s="123">
        <f t="shared" si="18"/>
        <v>302.75172249603213</v>
      </c>
      <c r="P72" s="5"/>
      <c r="Q72" s="5">
        <f t="shared" si="20"/>
        <v>1</v>
      </c>
      <c r="R72" s="7">
        <f t="shared" si="21"/>
        <v>59855</v>
      </c>
      <c r="S72" s="5">
        <f t="shared" si="22"/>
        <v>1</v>
      </c>
      <c r="T72" s="7">
        <f t="shared" si="19"/>
        <v>59855</v>
      </c>
    </row>
    <row r="73" spans="1:20">
      <c r="A73" s="23" t="s">
        <v>507</v>
      </c>
      <c r="B73" s="35" t="s">
        <v>49</v>
      </c>
      <c r="C73" s="36">
        <v>13861</v>
      </c>
      <c r="D73" s="6"/>
      <c r="E73" s="113">
        <v>1040957484</v>
      </c>
      <c r="F73" s="116">
        <f t="shared" si="12"/>
        <v>75099.739124161322</v>
      </c>
      <c r="G73" s="117">
        <v>620325798</v>
      </c>
      <c r="H73" s="117">
        <f t="shared" si="15"/>
        <v>44753.322126830673</v>
      </c>
      <c r="I73" s="9"/>
      <c r="J73" s="10">
        <v>6.5239000000000003</v>
      </c>
      <c r="K73" s="117">
        <v>4046943</v>
      </c>
      <c r="L73" s="120">
        <f t="shared" si="14"/>
        <v>291.96616405742731</v>
      </c>
      <c r="M73" s="122">
        <f t="shared" si="16"/>
        <v>6203257.9800000004</v>
      </c>
      <c r="N73" s="116">
        <f t="shared" si="17"/>
        <v>2156314.9800000004</v>
      </c>
      <c r="O73" s="123">
        <f t="shared" si="18"/>
        <v>155.56705721087948</v>
      </c>
      <c r="P73" s="5"/>
      <c r="Q73" s="5">
        <f t="shared" si="20"/>
        <v>1</v>
      </c>
      <c r="R73" s="7">
        <f t="shared" si="21"/>
        <v>13861</v>
      </c>
      <c r="S73" s="5">
        <f t="shared" si="22"/>
        <v>1</v>
      </c>
      <c r="T73" s="7">
        <f t="shared" si="19"/>
        <v>13861</v>
      </c>
    </row>
    <row r="74" spans="1:20">
      <c r="A74" s="23" t="s">
        <v>73</v>
      </c>
      <c r="B74" s="35" t="s">
        <v>49</v>
      </c>
      <c r="C74" s="36">
        <v>62088</v>
      </c>
      <c r="D74" s="6"/>
      <c r="E74" s="113">
        <v>11135608927</v>
      </c>
      <c r="F74" s="116">
        <f t="shared" si="12"/>
        <v>179352.03142314134</v>
      </c>
      <c r="G74" s="117">
        <v>7988137043</v>
      </c>
      <c r="H74" s="117">
        <f t="shared" si="15"/>
        <v>128658.30825602371</v>
      </c>
      <c r="I74" s="7"/>
      <c r="J74" s="10">
        <v>1.5235000000000001</v>
      </c>
      <c r="K74" s="117">
        <v>12169927</v>
      </c>
      <c r="L74" s="120">
        <f t="shared" si="14"/>
        <v>196.01093609070995</v>
      </c>
      <c r="M74" s="122">
        <f t="shared" si="16"/>
        <v>79881370.430000007</v>
      </c>
      <c r="N74" s="116">
        <f t="shared" si="17"/>
        <v>67711443.430000007</v>
      </c>
      <c r="O74" s="123">
        <f t="shared" si="18"/>
        <v>1090.5721464695273</v>
      </c>
      <c r="P74" s="5"/>
      <c r="Q74" s="5">
        <f t="shared" si="20"/>
        <v>1</v>
      </c>
      <c r="R74" s="7">
        <f t="shared" si="21"/>
        <v>62088</v>
      </c>
      <c r="S74" s="5">
        <f t="shared" si="22"/>
        <v>1</v>
      </c>
      <c r="T74" s="7">
        <f t="shared" si="19"/>
        <v>62088</v>
      </c>
    </row>
    <row r="75" spans="1:20">
      <c r="A75" s="23" t="s">
        <v>74</v>
      </c>
      <c r="B75" s="35" t="s">
        <v>49</v>
      </c>
      <c r="C75" s="36">
        <v>12929</v>
      </c>
      <c r="D75" s="6"/>
      <c r="E75" s="113">
        <v>1861214619</v>
      </c>
      <c r="F75" s="116">
        <f t="shared" si="12"/>
        <v>143956.57970454017</v>
      </c>
      <c r="G75" s="117">
        <v>1237347229</v>
      </c>
      <c r="H75" s="117">
        <f t="shared" si="15"/>
        <v>95703.243019568414</v>
      </c>
      <c r="I75" s="9"/>
      <c r="J75" s="10">
        <v>5.3121999999999998</v>
      </c>
      <c r="K75" s="117">
        <v>6573036</v>
      </c>
      <c r="L75" s="120">
        <f t="shared" si="14"/>
        <v>508.39477144404054</v>
      </c>
      <c r="M75" s="122">
        <f t="shared" si="16"/>
        <v>12373472.290000001</v>
      </c>
      <c r="N75" s="116">
        <f t="shared" si="17"/>
        <v>5800436.290000001</v>
      </c>
      <c r="O75" s="123">
        <f t="shared" si="18"/>
        <v>448.63765875164364</v>
      </c>
      <c r="P75" s="5"/>
      <c r="Q75" s="5">
        <f t="shared" si="20"/>
        <v>1</v>
      </c>
      <c r="R75" s="7">
        <f t="shared" si="21"/>
        <v>12929</v>
      </c>
      <c r="S75" s="5">
        <f t="shared" si="22"/>
        <v>1</v>
      </c>
      <c r="T75" s="7">
        <f t="shared" si="19"/>
        <v>12929</v>
      </c>
    </row>
    <row r="76" spans="1:20">
      <c r="A76" s="23" t="s">
        <v>75</v>
      </c>
      <c r="B76" s="35" t="s">
        <v>76</v>
      </c>
      <c r="C76" s="36">
        <v>568</v>
      </c>
      <c r="D76" s="6"/>
      <c r="E76" s="113">
        <v>15781094</v>
      </c>
      <c r="F76" s="116">
        <f t="shared" si="12"/>
        <v>27783.616197183099</v>
      </c>
      <c r="G76" s="117">
        <v>6670913</v>
      </c>
      <c r="H76" s="117">
        <f t="shared" si="15"/>
        <v>11744.56514084507</v>
      </c>
      <c r="I76" s="9" t="s">
        <v>528</v>
      </c>
      <c r="J76" s="10"/>
      <c r="K76" s="117"/>
      <c r="L76" s="120"/>
      <c r="M76" s="122">
        <f t="shared" si="16"/>
        <v>66709.13</v>
      </c>
      <c r="N76" s="116">
        <f t="shared" si="17"/>
        <v>66709.13</v>
      </c>
      <c r="O76" s="123">
        <f t="shared" si="18"/>
        <v>117.44565140845071</v>
      </c>
      <c r="P76" s="5"/>
      <c r="Q76" s="5">
        <f t="shared" si="20"/>
        <v>1</v>
      </c>
      <c r="R76" s="7">
        <f t="shared" si="21"/>
        <v>568</v>
      </c>
      <c r="S76" s="5">
        <f t="shared" si="22"/>
        <v>0</v>
      </c>
      <c r="T76" s="7">
        <f t="shared" si="19"/>
        <v>0</v>
      </c>
    </row>
    <row r="77" spans="1:20">
      <c r="A77" s="23" t="s">
        <v>77</v>
      </c>
      <c r="B77" s="35" t="s">
        <v>76</v>
      </c>
      <c r="C77" s="36">
        <v>2440</v>
      </c>
      <c r="D77" s="6"/>
      <c r="E77" s="113">
        <v>109324194</v>
      </c>
      <c r="F77" s="116">
        <f t="shared" si="12"/>
        <v>44804.997540983604</v>
      </c>
      <c r="G77" s="117">
        <v>58871821</v>
      </c>
      <c r="H77" s="117">
        <f t="shared" si="15"/>
        <v>24127.795491803277</v>
      </c>
      <c r="I77" s="7"/>
      <c r="J77" s="10">
        <v>1.5</v>
      </c>
      <c r="K77" s="117">
        <v>88308</v>
      </c>
      <c r="L77" s="120">
        <f t="shared" ref="L77:L83" si="23">(K77/C77)</f>
        <v>36.191803278688525</v>
      </c>
      <c r="M77" s="122">
        <f t="shared" si="16"/>
        <v>588718.21</v>
      </c>
      <c r="N77" s="116">
        <f t="shared" si="17"/>
        <v>500410.20999999996</v>
      </c>
      <c r="O77" s="123">
        <f t="shared" si="18"/>
        <v>205.08615163934425</v>
      </c>
      <c r="P77" s="5"/>
      <c r="Q77" s="5">
        <f t="shared" si="20"/>
        <v>1</v>
      </c>
      <c r="R77" s="7">
        <f t="shared" si="21"/>
        <v>2440</v>
      </c>
      <c r="S77" s="5">
        <f t="shared" si="22"/>
        <v>1</v>
      </c>
      <c r="T77" s="7">
        <f t="shared" si="19"/>
        <v>2440</v>
      </c>
    </row>
    <row r="78" spans="1:20">
      <c r="A78" s="23" t="s">
        <v>78</v>
      </c>
      <c r="B78" s="35" t="s">
        <v>79</v>
      </c>
      <c r="C78" s="36">
        <v>17651</v>
      </c>
      <c r="D78" s="6"/>
      <c r="E78" s="113">
        <v>3922737783</v>
      </c>
      <c r="F78" s="116">
        <f t="shared" si="12"/>
        <v>222238.84102883691</v>
      </c>
      <c r="G78" s="117">
        <v>3036047796</v>
      </c>
      <c r="H78" s="117">
        <f t="shared" si="15"/>
        <v>172004.29414764035</v>
      </c>
      <c r="I78" s="7"/>
      <c r="J78" s="10">
        <v>2.5689000000000002</v>
      </c>
      <c r="K78" s="117">
        <v>7799303</v>
      </c>
      <c r="L78" s="120">
        <f t="shared" si="23"/>
        <v>441.86182086000792</v>
      </c>
      <c r="M78" s="122">
        <f t="shared" si="16"/>
        <v>30360477.960000001</v>
      </c>
      <c r="N78" s="116">
        <f t="shared" si="17"/>
        <v>22561174.960000001</v>
      </c>
      <c r="O78" s="123">
        <f t="shared" si="18"/>
        <v>1278.1811206163957</v>
      </c>
      <c r="P78" s="5"/>
      <c r="Q78" s="5">
        <f t="shared" si="20"/>
        <v>1</v>
      </c>
      <c r="R78" s="7">
        <f t="shared" si="21"/>
        <v>17651</v>
      </c>
      <c r="S78" s="5">
        <f t="shared" si="22"/>
        <v>1</v>
      </c>
      <c r="T78" s="7">
        <f t="shared" si="19"/>
        <v>17651</v>
      </c>
    </row>
    <row r="79" spans="1:20">
      <c r="A79" s="23" t="s">
        <v>80</v>
      </c>
      <c r="B79" s="35" t="s">
        <v>81</v>
      </c>
      <c r="C79" s="36">
        <v>3660</v>
      </c>
      <c r="D79" s="6"/>
      <c r="E79" s="113">
        <v>710938344</v>
      </c>
      <c r="F79" s="116">
        <f t="shared" si="12"/>
        <v>194245.44918032788</v>
      </c>
      <c r="G79" s="117">
        <v>520673592</v>
      </c>
      <c r="H79" s="117">
        <f t="shared" si="15"/>
        <v>142260.54426229509</v>
      </c>
      <c r="I79" s="7"/>
      <c r="J79" s="11">
        <v>3.8</v>
      </c>
      <c r="K79" s="117">
        <v>1978560</v>
      </c>
      <c r="L79" s="120">
        <f t="shared" si="23"/>
        <v>540.59016393442619</v>
      </c>
      <c r="M79" s="122">
        <f t="shared" si="16"/>
        <v>5206735.92</v>
      </c>
      <c r="N79" s="116">
        <f t="shared" si="17"/>
        <v>3228175.92</v>
      </c>
      <c r="O79" s="123">
        <f t="shared" si="18"/>
        <v>882.01527868852452</v>
      </c>
      <c r="P79" s="5"/>
      <c r="Q79" s="5">
        <f t="shared" si="20"/>
        <v>1</v>
      </c>
      <c r="R79" s="7">
        <f t="shared" si="21"/>
        <v>3660</v>
      </c>
      <c r="S79" s="5">
        <f t="shared" si="22"/>
        <v>1</v>
      </c>
      <c r="T79" s="7">
        <f t="shared" si="19"/>
        <v>3660</v>
      </c>
    </row>
    <row r="80" spans="1:20">
      <c r="A80" s="23" t="s">
        <v>82</v>
      </c>
      <c r="B80" s="35" t="s">
        <v>81</v>
      </c>
      <c r="C80" s="36">
        <v>7288</v>
      </c>
      <c r="D80" s="6"/>
      <c r="E80" s="113">
        <v>849618660</v>
      </c>
      <c r="F80" s="116">
        <f t="shared" si="12"/>
        <v>116577.75246981339</v>
      </c>
      <c r="G80" s="117">
        <v>452525262</v>
      </c>
      <c r="H80" s="117">
        <f t="shared" ref="H80:H94" si="24">(G80/C80)</f>
        <v>62091.830680570798</v>
      </c>
      <c r="I80" s="7"/>
      <c r="J80" s="10">
        <v>4.968</v>
      </c>
      <c r="K80" s="117">
        <v>2248146</v>
      </c>
      <c r="L80" s="120">
        <f t="shared" si="23"/>
        <v>308.47228320526892</v>
      </c>
      <c r="M80" s="122">
        <f t="shared" si="16"/>
        <v>4525252.62</v>
      </c>
      <c r="N80" s="116">
        <f t="shared" si="17"/>
        <v>2277106.62</v>
      </c>
      <c r="O80" s="123">
        <f t="shared" si="18"/>
        <v>312.4460236004391</v>
      </c>
      <c r="P80" s="5"/>
      <c r="Q80" s="5">
        <f t="shared" si="20"/>
        <v>1</v>
      </c>
      <c r="R80" s="7">
        <f t="shared" si="21"/>
        <v>7288</v>
      </c>
      <c r="S80" s="5">
        <f t="shared" si="22"/>
        <v>1</v>
      </c>
      <c r="T80" s="7">
        <f t="shared" si="19"/>
        <v>7288</v>
      </c>
    </row>
    <row r="81" spans="1:20">
      <c r="A81" s="23" t="s">
        <v>83</v>
      </c>
      <c r="B81" s="35" t="s">
        <v>84</v>
      </c>
      <c r="C81" s="36">
        <v>6555</v>
      </c>
      <c r="D81" s="6"/>
      <c r="E81" s="113">
        <v>629552469</v>
      </c>
      <c r="F81" s="116">
        <f t="shared" ref="F81:F94" si="25">(E81/C81)</f>
        <v>96041.566590389019</v>
      </c>
      <c r="G81" s="117">
        <v>412042547</v>
      </c>
      <c r="H81" s="117">
        <f t="shared" si="24"/>
        <v>62859.274904652935</v>
      </c>
      <c r="I81" s="7"/>
      <c r="J81" s="10">
        <v>2.57</v>
      </c>
      <c r="K81" s="117">
        <v>1058949</v>
      </c>
      <c r="L81" s="120">
        <f t="shared" si="23"/>
        <v>161.54828375286041</v>
      </c>
      <c r="M81" s="122">
        <f t="shared" si="16"/>
        <v>4120425.47</v>
      </c>
      <c r="N81" s="116">
        <f t="shared" si="17"/>
        <v>3061476.47</v>
      </c>
      <c r="O81" s="123">
        <f t="shared" si="18"/>
        <v>467.04446529366896</v>
      </c>
      <c r="P81" s="5"/>
      <c r="Q81" s="5">
        <f t="shared" si="20"/>
        <v>1</v>
      </c>
      <c r="R81" s="7">
        <f t="shared" si="21"/>
        <v>6555</v>
      </c>
      <c r="S81" s="5">
        <f t="shared" si="22"/>
        <v>1</v>
      </c>
      <c r="T81" s="7">
        <f t="shared" si="19"/>
        <v>6555</v>
      </c>
    </row>
    <row r="82" spans="1:20">
      <c r="A82" s="23" t="s">
        <v>85</v>
      </c>
      <c r="B82" s="35" t="s">
        <v>84</v>
      </c>
      <c r="C82" s="36">
        <v>1409</v>
      </c>
      <c r="D82" s="6"/>
      <c r="E82" s="113">
        <v>111004523</v>
      </c>
      <c r="F82" s="116">
        <f t="shared" si="25"/>
        <v>78782.486160397442</v>
      </c>
      <c r="G82" s="117">
        <v>60996077</v>
      </c>
      <c r="H82" s="117">
        <f t="shared" si="24"/>
        <v>43290.331440738111</v>
      </c>
      <c r="I82" s="7"/>
      <c r="J82" s="10">
        <v>2</v>
      </c>
      <c r="K82" s="117">
        <v>121992</v>
      </c>
      <c r="L82" s="120">
        <f t="shared" si="23"/>
        <v>86.580553584102205</v>
      </c>
      <c r="M82" s="122">
        <f t="shared" si="16"/>
        <v>609960.77</v>
      </c>
      <c r="N82" s="116">
        <f t="shared" si="17"/>
        <v>487968.77</v>
      </c>
      <c r="O82" s="123">
        <f t="shared" si="18"/>
        <v>346.32276082327894</v>
      </c>
      <c r="P82" s="5"/>
      <c r="Q82" s="5">
        <f t="shared" si="20"/>
        <v>1</v>
      </c>
      <c r="R82" s="7">
        <f t="shared" si="21"/>
        <v>1409</v>
      </c>
      <c r="S82" s="5">
        <f t="shared" si="22"/>
        <v>1</v>
      </c>
      <c r="T82" s="7">
        <f t="shared" si="19"/>
        <v>1409</v>
      </c>
    </row>
    <row r="83" spans="1:20">
      <c r="A83" s="23" t="s">
        <v>86</v>
      </c>
      <c r="B83" s="35" t="s">
        <v>84</v>
      </c>
      <c r="C83" s="36">
        <v>9085</v>
      </c>
      <c r="D83" s="6"/>
      <c r="E83" s="113">
        <v>930325369</v>
      </c>
      <c r="F83" s="116">
        <f t="shared" si="25"/>
        <v>102402.35211887727</v>
      </c>
      <c r="G83" s="117">
        <v>546792391</v>
      </c>
      <c r="H83" s="117">
        <f t="shared" si="24"/>
        <v>60186.284094661532</v>
      </c>
      <c r="I83" s="9"/>
      <c r="J83" s="10">
        <v>5.8</v>
      </c>
      <c r="K83" s="117">
        <v>3171396</v>
      </c>
      <c r="L83" s="120">
        <f t="shared" si="23"/>
        <v>349.0804623004953</v>
      </c>
      <c r="M83" s="122">
        <f t="shared" si="16"/>
        <v>5467923.9100000001</v>
      </c>
      <c r="N83" s="116">
        <f t="shared" si="17"/>
        <v>2296527.91</v>
      </c>
      <c r="O83" s="123">
        <f t="shared" si="18"/>
        <v>252.78237864611998</v>
      </c>
      <c r="P83" s="5"/>
      <c r="Q83" s="5">
        <f t="shared" si="20"/>
        <v>1</v>
      </c>
      <c r="R83" s="7">
        <f t="shared" si="21"/>
        <v>9085</v>
      </c>
      <c r="S83" s="5">
        <f t="shared" si="22"/>
        <v>1</v>
      </c>
      <c r="T83" s="7">
        <f t="shared" si="19"/>
        <v>9085</v>
      </c>
    </row>
    <row r="84" spans="1:20">
      <c r="A84" s="23" t="s">
        <v>87</v>
      </c>
      <c r="B84" s="35" t="s">
        <v>84</v>
      </c>
      <c r="C84" s="36">
        <v>635</v>
      </c>
      <c r="D84" s="6"/>
      <c r="E84" s="113">
        <v>32407659</v>
      </c>
      <c r="F84" s="116">
        <f t="shared" si="25"/>
        <v>51035.68346456693</v>
      </c>
      <c r="G84" s="117">
        <v>12263970</v>
      </c>
      <c r="H84" s="117">
        <f t="shared" si="24"/>
        <v>19313.338582677166</v>
      </c>
      <c r="I84" s="9" t="s">
        <v>528</v>
      </c>
      <c r="J84" s="10"/>
      <c r="K84" s="117"/>
      <c r="L84" s="120"/>
      <c r="M84" s="122">
        <f t="shared" si="16"/>
        <v>122639.7</v>
      </c>
      <c r="N84" s="116">
        <f t="shared" si="17"/>
        <v>122639.7</v>
      </c>
      <c r="O84" s="123">
        <f t="shared" si="18"/>
        <v>193.13338582677164</v>
      </c>
      <c r="P84" s="5"/>
      <c r="Q84" s="5">
        <f t="shared" si="20"/>
        <v>1</v>
      </c>
      <c r="R84" s="7">
        <f t="shared" si="21"/>
        <v>635</v>
      </c>
      <c r="S84" s="5">
        <f t="shared" si="22"/>
        <v>0</v>
      </c>
      <c r="T84" s="7">
        <f t="shared" si="19"/>
        <v>0</v>
      </c>
    </row>
    <row r="85" spans="1:20">
      <c r="A85" s="23" t="s">
        <v>88</v>
      </c>
      <c r="B85" s="35" t="s">
        <v>89</v>
      </c>
      <c r="C85" s="36">
        <v>648</v>
      </c>
      <c r="D85" s="6"/>
      <c r="E85" s="113">
        <v>197294738</v>
      </c>
      <c r="F85" s="116">
        <f t="shared" si="25"/>
        <v>304467.18827160494</v>
      </c>
      <c r="G85" s="117">
        <v>144939673</v>
      </c>
      <c r="H85" s="117">
        <f t="shared" si="24"/>
        <v>223672.3348765432</v>
      </c>
      <c r="I85" s="7"/>
      <c r="J85" s="10">
        <v>2.0756999999999999</v>
      </c>
      <c r="K85" s="117">
        <v>300851</v>
      </c>
      <c r="L85" s="120">
        <f>(K85/C85)</f>
        <v>464.27623456790121</v>
      </c>
      <c r="M85" s="122">
        <f t="shared" si="16"/>
        <v>1449396.73</v>
      </c>
      <c r="N85" s="116">
        <f t="shared" si="17"/>
        <v>1148545.73</v>
      </c>
      <c r="O85" s="123">
        <f t="shared" si="18"/>
        <v>1772.4471141975309</v>
      </c>
      <c r="P85" s="5"/>
      <c r="Q85" s="5">
        <f t="shared" si="20"/>
        <v>1</v>
      </c>
      <c r="R85" s="7">
        <f t="shared" si="21"/>
        <v>648</v>
      </c>
      <c r="S85" s="5">
        <f t="shared" si="22"/>
        <v>1</v>
      </c>
      <c r="T85" s="7">
        <f t="shared" si="19"/>
        <v>648</v>
      </c>
    </row>
    <row r="86" spans="1:20">
      <c r="A86" s="23" t="s">
        <v>90</v>
      </c>
      <c r="B86" s="35" t="s">
        <v>89</v>
      </c>
      <c r="C86" s="36">
        <v>16856</v>
      </c>
      <c r="D86" s="6"/>
      <c r="E86" s="113">
        <v>12182090842</v>
      </c>
      <c r="F86" s="116">
        <f t="shared" si="25"/>
        <v>722715.40353583288</v>
      </c>
      <c r="G86" s="117">
        <v>10415065306</v>
      </c>
      <c r="H86" s="117">
        <f t="shared" si="24"/>
        <v>617884.74762695772</v>
      </c>
      <c r="I86" s="7"/>
      <c r="J86" s="10">
        <v>1.3916999999999999</v>
      </c>
      <c r="K86" s="117">
        <v>14494646</v>
      </c>
      <c r="L86" s="120">
        <f>(K86/C86)</f>
        <v>859.91018035121022</v>
      </c>
      <c r="M86" s="122">
        <f t="shared" si="16"/>
        <v>104150653.06</v>
      </c>
      <c r="N86" s="116">
        <f t="shared" si="17"/>
        <v>89656007.060000002</v>
      </c>
      <c r="O86" s="123">
        <f t="shared" si="18"/>
        <v>5318.9372959183675</v>
      </c>
      <c r="P86" s="5"/>
      <c r="Q86" s="5">
        <f t="shared" si="20"/>
        <v>1</v>
      </c>
      <c r="R86" s="7">
        <f t="shared" si="21"/>
        <v>16856</v>
      </c>
      <c r="S86" s="5">
        <f t="shared" si="22"/>
        <v>1</v>
      </c>
      <c r="T86" s="7">
        <f t="shared" si="19"/>
        <v>16856</v>
      </c>
    </row>
    <row r="87" spans="1:20">
      <c r="A87" s="23" t="s">
        <v>91</v>
      </c>
      <c r="B87" s="35" t="s">
        <v>89</v>
      </c>
      <c r="C87" s="36">
        <v>22556</v>
      </c>
      <c r="D87" s="6"/>
      <c r="E87" s="113">
        <v>21642182442</v>
      </c>
      <c r="F87" s="116">
        <f t="shared" si="25"/>
        <v>959486.71936513565</v>
      </c>
      <c r="G87" s="117">
        <v>17246749629</v>
      </c>
      <c r="H87" s="117">
        <f t="shared" si="24"/>
        <v>764619.15361766273</v>
      </c>
      <c r="I87" s="9"/>
      <c r="J87" s="11">
        <v>1.1315</v>
      </c>
      <c r="K87" s="117">
        <v>19514697</v>
      </c>
      <c r="L87" s="120">
        <f>(K87/C87)</f>
        <v>865.16656322042911</v>
      </c>
      <c r="M87" s="122">
        <f t="shared" si="16"/>
        <v>172467496.28999999</v>
      </c>
      <c r="N87" s="116">
        <f t="shared" si="17"/>
        <v>152952799.28999999</v>
      </c>
      <c r="O87" s="123">
        <f t="shared" si="18"/>
        <v>6781.0249729561974</v>
      </c>
      <c r="P87" s="5"/>
      <c r="Q87" s="5">
        <f t="shared" si="20"/>
        <v>1</v>
      </c>
      <c r="R87" s="7">
        <f t="shared" si="21"/>
        <v>22556</v>
      </c>
      <c r="S87" s="5">
        <f t="shared" si="22"/>
        <v>1</v>
      </c>
      <c r="T87" s="7">
        <f t="shared" si="19"/>
        <v>22556</v>
      </c>
    </row>
    <row r="88" spans="1:20">
      <c r="A88" s="23" t="s">
        <v>92</v>
      </c>
      <c r="B88" s="35" t="s">
        <v>93</v>
      </c>
      <c r="C88" s="36">
        <v>519</v>
      </c>
      <c r="D88" s="6"/>
      <c r="E88" s="113">
        <v>58064302</v>
      </c>
      <c r="F88" s="116">
        <f t="shared" si="25"/>
        <v>111877.26782273603</v>
      </c>
      <c r="G88" s="117">
        <v>25145111</v>
      </c>
      <c r="H88" s="117">
        <f t="shared" si="24"/>
        <v>48449.154142581887</v>
      </c>
      <c r="I88" s="9" t="s">
        <v>528</v>
      </c>
      <c r="J88" s="10"/>
      <c r="K88" s="117"/>
      <c r="L88" s="120"/>
      <c r="M88" s="122">
        <f t="shared" si="16"/>
        <v>251451.11000000002</v>
      </c>
      <c r="N88" s="116">
        <f t="shared" si="17"/>
        <v>251451.11000000002</v>
      </c>
      <c r="O88" s="123">
        <f t="shared" si="18"/>
        <v>484.49154142581892</v>
      </c>
      <c r="P88" s="5"/>
      <c r="Q88" s="5">
        <f t="shared" si="20"/>
        <v>1</v>
      </c>
      <c r="R88" s="7">
        <f t="shared" si="21"/>
        <v>519</v>
      </c>
      <c r="S88" s="5">
        <f t="shared" si="22"/>
        <v>0</v>
      </c>
      <c r="T88" s="7">
        <f t="shared" si="19"/>
        <v>0</v>
      </c>
    </row>
    <row r="89" spans="1:20">
      <c r="A89" s="23" t="s">
        <v>94</v>
      </c>
      <c r="B89" s="35" t="s">
        <v>93</v>
      </c>
      <c r="C89" s="36">
        <v>11298</v>
      </c>
      <c r="D89" s="6"/>
      <c r="E89" s="113">
        <v>1060856706</v>
      </c>
      <c r="F89" s="116">
        <f t="shared" si="25"/>
        <v>93897.74349442379</v>
      </c>
      <c r="G89" s="117">
        <v>667985124</v>
      </c>
      <c r="H89" s="117">
        <f t="shared" si="24"/>
        <v>59124.192246415296</v>
      </c>
      <c r="I89" s="7"/>
      <c r="J89" s="10">
        <v>3.5550000000000002</v>
      </c>
      <c r="K89" s="117">
        <v>2374687</v>
      </c>
      <c r="L89" s="120">
        <f t="shared" ref="L89:L94" si="26">(K89/C89)</f>
        <v>210.18649318463446</v>
      </c>
      <c r="M89" s="122">
        <f t="shared" si="16"/>
        <v>6679851.2400000002</v>
      </c>
      <c r="N89" s="116">
        <f t="shared" si="17"/>
        <v>4305164.24</v>
      </c>
      <c r="O89" s="123">
        <f t="shared" si="18"/>
        <v>381.05542927951853</v>
      </c>
      <c r="P89" s="5"/>
      <c r="Q89" s="5">
        <f t="shared" si="20"/>
        <v>1</v>
      </c>
      <c r="R89" s="7">
        <f t="shared" si="21"/>
        <v>11298</v>
      </c>
      <c r="S89" s="5">
        <f t="shared" si="22"/>
        <v>1</v>
      </c>
      <c r="T89" s="7">
        <f t="shared" si="19"/>
        <v>11298</v>
      </c>
    </row>
    <row r="90" spans="1:20">
      <c r="A90" s="23" t="s">
        <v>95</v>
      </c>
      <c r="B90" s="35" t="s">
        <v>468</v>
      </c>
      <c r="C90" s="36">
        <v>6627</v>
      </c>
      <c r="D90" s="6"/>
      <c r="E90" s="113">
        <v>453020809</v>
      </c>
      <c r="F90" s="116">
        <f t="shared" si="25"/>
        <v>68359.862532065788</v>
      </c>
      <c r="G90" s="117">
        <v>227506511</v>
      </c>
      <c r="H90" s="117">
        <f t="shared" si="24"/>
        <v>34330.2415874453</v>
      </c>
      <c r="I90" s="8"/>
      <c r="J90" s="10">
        <v>7.5587</v>
      </c>
      <c r="K90" s="117">
        <v>1719653</v>
      </c>
      <c r="L90" s="120">
        <f t="shared" si="26"/>
        <v>259.49192696544441</v>
      </c>
      <c r="M90" s="122">
        <f t="shared" si="16"/>
        <v>2275065.11</v>
      </c>
      <c r="N90" s="116">
        <f t="shared" si="17"/>
        <v>555412.10999999987</v>
      </c>
      <c r="O90" s="123">
        <f t="shared" si="18"/>
        <v>83.810488909008583</v>
      </c>
      <c r="P90" s="5"/>
      <c r="Q90" s="5">
        <f t="shared" si="20"/>
        <v>1</v>
      </c>
      <c r="R90" s="7">
        <f t="shared" si="21"/>
        <v>6627</v>
      </c>
      <c r="S90" s="5">
        <f t="shared" si="22"/>
        <v>1</v>
      </c>
      <c r="T90" s="7">
        <f t="shared" si="19"/>
        <v>6627</v>
      </c>
    </row>
    <row r="91" spans="1:20">
      <c r="A91" s="23" t="s">
        <v>96</v>
      </c>
      <c r="B91" s="35" t="s">
        <v>97</v>
      </c>
      <c r="C91" s="36">
        <v>1745</v>
      </c>
      <c r="D91" s="6"/>
      <c r="E91" s="113">
        <v>70651897</v>
      </c>
      <c r="F91" s="116">
        <f t="shared" si="25"/>
        <v>40488.193123209167</v>
      </c>
      <c r="G91" s="117">
        <v>27847551</v>
      </c>
      <c r="H91" s="117">
        <f t="shared" si="24"/>
        <v>15958.481948424069</v>
      </c>
      <c r="I91" s="8"/>
      <c r="J91" s="10">
        <v>6.7645999999999997</v>
      </c>
      <c r="K91" s="117">
        <v>188378</v>
      </c>
      <c r="L91" s="120">
        <f t="shared" si="26"/>
        <v>107.95300859598854</v>
      </c>
      <c r="M91" s="122">
        <f t="shared" si="16"/>
        <v>278475.51</v>
      </c>
      <c r="N91" s="116">
        <f t="shared" si="17"/>
        <v>90097.510000000009</v>
      </c>
      <c r="O91" s="123">
        <f t="shared" si="18"/>
        <v>51.631810888252154</v>
      </c>
      <c r="P91" s="5"/>
      <c r="Q91" s="5">
        <f t="shared" si="20"/>
        <v>1</v>
      </c>
      <c r="R91" s="7">
        <f t="shared" si="21"/>
        <v>1745</v>
      </c>
      <c r="S91" s="5">
        <f t="shared" si="22"/>
        <v>1</v>
      </c>
      <c r="T91" s="7">
        <f t="shared" si="19"/>
        <v>1745</v>
      </c>
    </row>
    <row r="92" spans="1:20">
      <c r="A92" s="23" t="s">
        <v>98</v>
      </c>
      <c r="B92" s="35" t="s">
        <v>97</v>
      </c>
      <c r="C92" s="36">
        <v>309</v>
      </c>
      <c r="D92" s="6"/>
      <c r="E92" s="113">
        <v>84787669</v>
      </c>
      <c r="F92" s="116">
        <f t="shared" si="25"/>
        <v>274393.75080906152</v>
      </c>
      <c r="G92" s="117">
        <v>69404208</v>
      </c>
      <c r="H92" s="117">
        <f t="shared" si="24"/>
        <v>224609.08737864078</v>
      </c>
      <c r="I92" s="9"/>
      <c r="J92" s="11">
        <v>3</v>
      </c>
      <c r="K92" s="117">
        <v>208213</v>
      </c>
      <c r="L92" s="120">
        <f t="shared" si="26"/>
        <v>673.82847896440126</v>
      </c>
      <c r="M92" s="122">
        <f t="shared" si="16"/>
        <v>694042.08</v>
      </c>
      <c r="N92" s="116">
        <f t="shared" si="17"/>
        <v>485829.07999999996</v>
      </c>
      <c r="O92" s="123">
        <f t="shared" si="18"/>
        <v>1572.2623948220064</v>
      </c>
      <c r="P92" s="5"/>
      <c r="Q92" s="5">
        <f t="shared" si="20"/>
        <v>1</v>
      </c>
      <c r="R92" s="7">
        <f t="shared" si="21"/>
        <v>309</v>
      </c>
      <c r="S92" s="5">
        <f t="shared" si="22"/>
        <v>1</v>
      </c>
      <c r="T92" s="7">
        <f t="shared" si="19"/>
        <v>309</v>
      </c>
    </row>
    <row r="93" spans="1:20">
      <c r="A93" s="23" t="s">
        <v>99</v>
      </c>
      <c r="B93" s="35" t="s">
        <v>100</v>
      </c>
      <c r="C93" s="36">
        <v>13819</v>
      </c>
      <c r="D93" s="6"/>
      <c r="E93" s="113">
        <v>2332005961</v>
      </c>
      <c r="F93" s="116">
        <f t="shared" si="25"/>
        <v>168753.59729358129</v>
      </c>
      <c r="G93" s="117">
        <v>1411683052</v>
      </c>
      <c r="H93" s="117">
        <f t="shared" si="24"/>
        <v>102155.22483537158</v>
      </c>
      <c r="I93" s="9"/>
      <c r="J93" s="10">
        <v>2.9973999999999998</v>
      </c>
      <c r="K93" s="117">
        <v>4231379</v>
      </c>
      <c r="L93" s="120">
        <f t="shared" si="26"/>
        <v>306.20008683696358</v>
      </c>
      <c r="M93" s="122">
        <f t="shared" si="16"/>
        <v>14116830.52</v>
      </c>
      <c r="N93" s="116">
        <f t="shared" si="17"/>
        <v>9885451.5199999996</v>
      </c>
      <c r="O93" s="123">
        <f t="shared" si="18"/>
        <v>715.35216151675229</v>
      </c>
      <c r="P93" s="5"/>
      <c r="Q93" s="5">
        <f t="shared" si="20"/>
        <v>1</v>
      </c>
      <c r="R93" s="7">
        <f t="shared" si="21"/>
        <v>13819</v>
      </c>
      <c r="S93" s="5">
        <f t="shared" si="22"/>
        <v>1</v>
      </c>
      <c r="T93" s="7">
        <f t="shared" si="19"/>
        <v>13819</v>
      </c>
    </row>
    <row r="94" spans="1:20">
      <c r="A94" s="23" t="s">
        <v>101</v>
      </c>
      <c r="B94" s="35" t="s">
        <v>100</v>
      </c>
      <c r="C94" s="36">
        <v>1605</v>
      </c>
      <c r="D94" s="6"/>
      <c r="E94" s="113">
        <v>92602454</v>
      </c>
      <c r="F94" s="116">
        <f t="shared" si="25"/>
        <v>57696.233021806853</v>
      </c>
      <c r="G94" s="117">
        <v>46076728</v>
      </c>
      <c r="H94" s="117">
        <f t="shared" si="24"/>
        <v>28708.241744548286</v>
      </c>
      <c r="I94" s="9"/>
      <c r="J94" s="10">
        <v>2.5550000000000002</v>
      </c>
      <c r="K94" s="117">
        <v>117726</v>
      </c>
      <c r="L94" s="120">
        <f t="shared" si="26"/>
        <v>73.349532710280371</v>
      </c>
      <c r="M94" s="122">
        <f t="shared" si="16"/>
        <v>460767.28</v>
      </c>
      <c r="N94" s="116">
        <f t="shared" si="17"/>
        <v>343041.28000000003</v>
      </c>
      <c r="O94" s="123">
        <f t="shared" si="18"/>
        <v>213.7328847352025</v>
      </c>
      <c r="P94" s="5"/>
      <c r="Q94" s="5">
        <f t="shared" si="20"/>
        <v>1</v>
      </c>
      <c r="R94" s="7">
        <f t="shared" si="21"/>
        <v>1605</v>
      </c>
      <c r="S94" s="5">
        <f t="shared" si="22"/>
        <v>1</v>
      </c>
      <c r="T94" s="7">
        <f t="shared" si="19"/>
        <v>1605</v>
      </c>
    </row>
    <row r="95" spans="1:20">
      <c r="A95" s="23" t="s">
        <v>102</v>
      </c>
      <c r="B95" s="35" t="s">
        <v>100</v>
      </c>
      <c r="C95" s="36">
        <v>859421</v>
      </c>
      <c r="D95" s="36" t="s">
        <v>536</v>
      </c>
      <c r="E95" s="116"/>
      <c r="F95" s="116"/>
      <c r="G95" s="117"/>
      <c r="H95" s="117"/>
      <c r="I95" s="9"/>
      <c r="J95" s="10"/>
      <c r="K95" s="117"/>
      <c r="L95" s="120"/>
      <c r="M95" s="122">
        <f t="shared" si="16"/>
        <v>0</v>
      </c>
      <c r="N95" s="116">
        <f t="shared" si="17"/>
        <v>0</v>
      </c>
      <c r="O95" s="123">
        <f t="shared" si="18"/>
        <v>0</v>
      </c>
      <c r="P95" s="5"/>
      <c r="Q95" s="5">
        <f t="shared" si="20"/>
        <v>0</v>
      </c>
      <c r="R95" s="7">
        <f t="shared" si="21"/>
        <v>0</v>
      </c>
      <c r="S95" s="5">
        <f t="shared" si="22"/>
        <v>0</v>
      </c>
      <c r="T95" s="7">
        <f t="shared" si="19"/>
        <v>0</v>
      </c>
    </row>
    <row r="96" spans="1:20">
      <c r="A96" s="23" t="s">
        <v>103</v>
      </c>
      <c r="B96" s="35" t="s">
        <v>100</v>
      </c>
      <c r="C96" s="36">
        <v>22749</v>
      </c>
      <c r="D96" s="6"/>
      <c r="E96" s="113">
        <v>4504340999</v>
      </c>
      <c r="F96" s="116">
        <f>(E96/C96)</f>
        <v>198001.71431711284</v>
      </c>
      <c r="G96" s="117">
        <v>3198723708</v>
      </c>
      <c r="H96" s="117">
        <f t="shared" ref="H96:H159" si="27">(G96/C96)</f>
        <v>140609.42054595807</v>
      </c>
      <c r="I96" s="9"/>
      <c r="J96" s="10">
        <v>3.694</v>
      </c>
      <c r="K96" s="117">
        <v>11816085</v>
      </c>
      <c r="L96" s="120">
        <f t="shared" ref="L96:L104" si="28">(K96/C96)</f>
        <v>519.41118290913892</v>
      </c>
      <c r="M96" s="122">
        <f t="shared" si="16"/>
        <v>31987237.080000002</v>
      </c>
      <c r="N96" s="116">
        <f t="shared" si="17"/>
        <v>20171152.080000002</v>
      </c>
      <c r="O96" s="123">
        <f t="shared" si="18"/>
        <v>886.68302255044182</v>
      </c>
      <c r="P96" s="5"/>
      <c r="Q96" s="5">
        <f t="shared" si="20"/>
        <v>1</v>
      </c>
      <c r="R96" s="7">
        <f t="shared" si="21"/>
        <v>22749</v>
      </c>
      <c r="S96" s="5">
        <f t="shared" si="22"/>
        <v>1</v>
      </c>
      <c r="T96" s="7">
        <f t="shared" si="19"/>
        <v>22749</v>
      </c>
    </row>
    <row r="97" spans="1:20">
      <c r="A97" s="23" t="s">
        <v>104</v>
      </c>
      <c r="B97" s="35" t="s">
        <v>100</v>
      </c>
      <c r="C97" s="36">
        <v>7377</v>
      </c>
      <c r="D97" s="6"/>
      <c r="E97" s="113">
        <v>1197838379</v>
      </c>
      <c r="F97" s="116">
        <f t="shared" ref="F97:F160" si="29">(E97/C97)</f>
        <v>162374.72942930731</v>
      </c>
      <c r="G97" s="117">
        <v>749193715</v>
      </c>
      <c r="H97" s="117">
        <f t="shared" si="27"/>
        <v>101558.04730920428</v>
      </c>
      <c r="I97" s="7"/>
      <c r="J97" s="10">
        <v>2.7153999999999998</v>
      </c>
      <c r="K97" s="117">
        <v>2034361</v>
      </c>
      <c r="L97" s="120">
        <f t="shared" si="28"/>
        <v>275.7707740273824</v>
      </c>
      <c r="M97" s="122">
        <f t="shared" si="16"/>
        <v>7491937.1500000004</v>
      </c>
      <c r="N97" s="116">
        <f t="shared" si="17"/>
        <v>5457576.1500000004</v>
      </c>
      <c r="O97" s="123">
        <f t="shared" si="18"/>
        <v>739.80969906466044</v>
      </c>
      <c r="P97" s="5"/>
      <c r="Q97" s="5">
        <f t="shared" si="20"/>
        <v>1</v>
      </c>
      <c r="R97" s="7">
        <f t="shared" si="21"/>
        <v>7377</v>
      </c>
      <c r="S97" s="5">
        <f t="shared" si="22"/>
        <v>1</v>
      </c>
      <c r="T97" s="7">
        <f t="shared" si="19"/>
        <v>7377</v>
      </c>
    </row>
    <row r="98" spans="1:20">
      <c r="A98" s="23" t="s">
        <v>105</v>
      </c>
      <c r="B98" s="35" t="s">
        <v>106</v>
      </c>
      <c r="C98" s="36">
        <v>1644</v>
      </c>
      <c r="D98" s="6"/>
      <c r="E98" s="113">
        <v>60416166</v>
      </c>
      <c r="F98" s="116">
        <f t="shared" si="29"/>
        <v>36749.492700729927</v>
      </c>
      <c r="G98" s="117">
        <v>31932164</v>
      </c>
      <c r="H98" s="117">
        <f t="shared" si="27"/>
        <v>19423.457420924573</v>
      </c>
      <c r="I98" s="7"/>
      <c r="J98" s="10">
        <v>0.81699999999999995</v>
      </c>
      <c r="K98" s="117">
        <v>26089</v>
      </c>
      <c r="L98" s="120">
        <f t="shared" si="28"/>
        <v>15.869221411192214</v>
      </c>
      <c r="M98" s="122">
        <f t="shared" si="16"/>
        <v>319321.64</v>
      </c>
      <c r="N98" s="116">
        <f t="shared" si="17"/>
        <v>293232.64000000001</v>
      </c>
      <c r="O98" s="123">
        <f t="shared" si="18"/>
        <v>178.36535279805355</v>
      </c>
      <c r="P98" s="5"/>
      <c r="Q98" s="5">
        <f t="shared" si="20"/>
        <v>1</v>
      </c>
      <c r="R98" s="7">
        <f t="shared" si="21"/>
        <v>1644</v>
      </c>
      <c r="S98" s="5">
        <f t="shared" si="22"/>
        <v>1</v>
      </c>
      <c r="T98" s="7">
        <f t="shared" si="19"/>
        <v>1644</v>
      </c>
    </row>
    <row r="99" spans="1:20">
      <c r="A99" s="23" t="s">
        <v>107</v>
      </c>
      <c r="B99" s="35" t="s">
        <v>106</v>
      </c>
      <c r="C99" s="36">
        <v>54925</v>
      </c>
      <c r="D99" s="6"/>
      <c r="E99" s="113">
        <v>5324987849</v>
      </c>
      <c r="F99" s="116">
        <f t="shared" si="29"/>
        <v>96950.165662266721</v>
      </c>
      <c r="G99" s="117">
        <v>3190225912</v>
      </c>
      <c r="H99" s="117">
        <f t="shared" si="27"/>
        <v>58083.312007282657</v>
      </c>
      <c r="I99" s="7"/>
      <c r="J99" s="10">
        <v>4.5395000000000003</v>
      </c>
      <c r="K99" s="117">
        <v>14482031</v>
      </c>
      <c r="L99" s="120">
        <f t="shared" si="28"/>
        <v>263.66920345926263</v>
      </c>
      <c r="M99" s="122">
        <f t="shared" si="16"/>
        <v>31902259.120000001</v>
      </c>
      <c r="N99" s="116">
        <f t="shared" si="17"/>
        <v>17420228.120000001</v>
      </c>
      <c r="O99" s="123">
        <f t="shared" si="18"/>
        <v>317.16391661356397</v>
      </c>
      <c r="P99" s="5"/>
      <c r="Q99" s="5">
        <f t="shared" si="20"/>
        <v>1</v>
      </c>
      <c r="R99" s="7">
        <f t="shared" si="21"/>
        <v>54925</v>
      </c>
      <c r="S99" s="5">
        <f t="shared" si="22"/>
        <v>1</v>
      </c>
      <c r="T99" s="7">
        <f t="shared" si="19"/>
        <v>54925</v>
      </c>
    </row>
    <row r="100" spans="1:20">
      <c r="A100" s="23" t="s">
        <v>108</v>
      </c>
      <c r="B100" s="35" t="s">
        <v>109</v>
      </c>
      <c r="C100" s="36">
        <v>517</v>
      </c>
      <c r="D100" s="6"/>
      <c r="E100" s="113">
        <v>118492857</v>
      </c>
      <c r="F100" s="116">
        <f t="shared" si="29"/>
        <v>229193.14700193424</v>
      </c>
      <c r="G100" s="117">
        <v>97815371</v>
      </c>
      <c r="H100" s="117">
        <f t="shared" si="27"/>
        <v>189198.0096711799</v>
      </c>
      <c r="I100" s="7"/>
      <c r="J100" s="10">
        <v>2.0455999999999999</v>
      </c>
      <c r="K100" s="117">
        <v>200091</v>
      </c>
      <c r="L100" s="120">
        <f t="shared" si="28"/>
        <v>387.02321083172149</v>
      </c>
      <c r="M100" s="122">
        <f t="shared" si="16"/>
        <v>978153.71</v>
      </c>
      <c r="N100" s="116">
        <f t="shared" si="17"/>
        <v>778062.71</v>
      </c>
      <c r="O100" s="123">
        <f t="shared" si="18"/>
        <v>1504.9568858800774</v>
      </c>
      <c r="P100" s="5"/>
      <c r="Q100" s="5">
        <f t="shared" si="20"/>
        <v>1</v>
      </c>
      <c r="R100" s="7">
        <f t="shared" si="21"/>
        <v>517</v>
      </c>
      <c r="S100" s="5">
        <f t="shared" si="22"/>
        <v>1</v>
      </c>
      <c r="T100" s="7">
        <f t="shared" si="19"/>
        <v>517</v>
      </c>
    </row>
    <row r="101" spans="1:20">
      <c r="A101" s="23" t="s">
        <v>110</v>
      </c>
      <c r="B101" s="35" t="s">
        <v>109</v>
      </c>
      <c r="C101" s="36">
        <v>2648</v>
      </c>
      <c r="D101" s="6"/>
      <c r="E101" s="113">
        <v>701553075</v>
      </c>
      <c r="F101" s="116">
        <f t="shared" si="29"/>
        <v>264936.96185800602</v>
      </c>
      <c r="G101" s="117">
        <v>263961161</v>
      </c>
      <c r="H101" s="117">
        <f t="shared" si="27"/>
        <v>99683.217900302116</v>
      </c>
      <c r="I101" s="7"/>
      <c r="J101" s="10">
        <v>6.0544000000000002</v>
      </c>
      <c r="K101" s="117">
        <v>1598126</v>
      </c>
      <c r="L101" s="120">
        <f t="shared" si="28"/>
        <v>603.52190332326279</v>
      </c>
      <c r="M101" s="122">
        <f t="shared" si="16"/>
        <v>2639611.61</v>
      </c>
      <c r="N101" s="116">
        <f t="shared" si="17"/>
        <v>1041485.6099999999</v>
      </c>
      <c r="O101" s="123">
        <f t="shared" si="18"/>
        <v>393.31027567975826</v>
      </c>
      <c r="P101" s="5"/>
      <c r="Q101" s="5">
        <f t="shared" si="20"/>
        <v>1</v>
      </c>
      <c r="R101" s="7">
        <f t="shared" si="21"/>
        <v>2648</v>
      </c>
      <c r="S101" s="5">
        <f t="shared" si="22"/>
        <v>1</v>
      </c>
      <c r="T101" s="7">
        <f t="shared" si="19"/>
        <v>2648</v>
      </c>
    </row>
    <row r="102" spans="1:20">
      <c r="A102" s="23" t="s">
        <v>447</v>
      </c>
      <c r="B102" s="35" t="s">
        <v>109</v>
      </c>
      <c r="C102" s="36">
        <v>74590</v>
      </c>
      <c r="D102" s="6"/>
      <c r="E102" s="113">
        <v>8629086449</v>
      </c>
      <c r="F102" s="116">
        <f t="shared" si="29"/>
        <v>115686.90774902802</v>
      </c>
      <c r="G102" s="117">
        <v>6131965169</v>
      </c>
      <c r="H102" s="117">
        <f t="shared" si="27"/>
        <v>82208.944483174695</v>
      </c>
      <c r="I102" s="9"/>
      <c r="J102" s="10">
        <v>2.9622999999999999</v>
      </c>
      <c r="K102" s="117">
        <v>18164720</v>
      </c>
      <c r="L102" s="120">
        <f t="shared" si="28"/>
        <v>243.52755061000133</v>
      </c>
      <c r="M102" s="122">
        <f t="shared" si="16"/>
        <v>61319651.689999998</v>
      </c>
      <c r="N102" s="116">
        <f t="shared" si="17"/>
        <v>43154931.689999998</v>
      </c>
      <c r="O102" s="123">
        <f t="shared" si="18"/>
        <v>578.56189422174555</v>
      </c>
      <c r="P102" s="5"/>
      <c r="Q102" s="5">
        <f t="shared" si="20"/>
        <v>1</v>
      </c>
      <c r="R102" s="7">
        <f t="shared" si="21"/>
        <v>74590</v>
      </c>
      <c r="S102" s="5">
        <f t="shared" si="22"/>
        <v>1</v>
      </c>
      <c r="T102" s="7">
        <f t="shared" si="19"/>
        <v>74590</v>
      </c>
    </row>
    <row r="103" spans="1:20">
      <c r="A103" s="23" t="s">
        <v>111</v>
      </c>
      <c r="B103" s="35" t="s">
        <v>557</v>
      </c>
      <c r="C103" s="36">
        <v>10</v>
      </c>
      <c r="D103" s="6"/>
      <c r="E103" s="113">
        <v>53665189</v>
      </c>
      <c r="F103" s="116">
        <f t="shared" si="29"/>
        <v>5366518.9000000004</v>
      </c>
      <c r="G103" s="117">
        <v>22222988</v>
      </c>
      <c r="H103" s="117">
        <f t="shared" si="27"/>
        <v>2222298.7999999998</v>
      </c>
      <c r="I103" s="7"/>
      <c r="J103" s="10">
        <v>1.5797000000000001</v>
      </c>
      <c r="K103" s="117">
        <v>35106</v>
      </c>
      <c r="L103" s="120">
        <f t="shared" si="28"/>
        <v>3510.6</v>
      </c>
      <c r="M103" s="122">
        <f t="shared" si="16"/>
        <v>222229.88</v>
      </c>
      <c r="N103" s="116">
        <f t="shared" si="17"/>
        <v>187123.88</v>
      </c>
      <c r="O103" s="123">
        <f t="shared" si="18"/>
        <v>18712.387999999999</v>
      </c>
      <c r="P103" s="5"/>
      <c r="Q103" s="5">
        <f t="shared" si="20"/>
        <v>1</v>
      </c>
      <c r="R103" s="7">
        <f t="shared" si="21"/>
        <v>10</v>
      </c>
      <c r="S103" s="5">
        <f t="shared" si="22"/>
        <v>1</v>
      </c>
      <c r="T103" s="7">
        <f t="shared" si="19"/>
        <v>10</v>
      </c>
    </row>
    <row r="104" spans="1:20">
      <c r="A104" s="23" t="s">
        <v>112</v>
      </c>
      <c r="B104" s="35" t="s">
        <v>113</v>
      </c>
      <c r="C104" s="36">
        <v>5520</v>
      </c>
      <c r="D104" s="6"/>
      <c r="E104" s="113">
        <f>(1150412994+14845131)</f>
        <v>1165258125</v>
      </c>
      <c r="F104" s="116">
        <f t="shared" si="29"/>
        <v>211097.48641304349</v>
      </c>
      <c r="G104" s="117">
        <f>(820255205+10085686)</f>
        <v>830340891</v>
      </c>
      <c r="H104" s="117">
        <f t="shared" si="27"/>
        <v>150424.07445652175</v>
      </c>
      <c r="I104" s="7"/>
      <c r="J104" s="10">
        <v>3.0198999999999998</v>
      </c>
      <c r="K104" s="117">
        <v>2477089</v>
      </c>
      <c r="L104" s="120">
        <f t="shared" si="28"/>
        <v>448.7480072463768</v>
      </c>
      <c r="M104" s="122">
        <f t="shared" si="16"/>
        <v>8303408.9100000001</v>
      </c>
      <c r="N104" s="116">
        <f t="shared" si="17"/>
        <v>5826319.9100000001</v>
      </c>
      <c r="O104" s="123">
        <f t="shared" si="18"/>
        <v>1055.4927373188407</v>
      </c>
      <c r="P104" s="5"/>
      <c r="Q104" s="5">
        <f t="shared" si="20"/>
        <v>1</v>
      </c>
      <c r="R104" s="7">
        <f t="shared" si="21"/>
        <v>5520</v>
      </c>
      <c r="S104" s="5">
        <f t="shared" si="22"/>
        <v>1</v>
      </c>
      <c r="T104" s="7">
        <f t="shared" si="19"/>
        <v>5520</v>
      </c>
    </row>
    <row r="105" spans="1:20">
      <c r="A105" s="23" t="s">
        <v>114</v>
      </c>
      <c r="B105" s="35" t="s">
        <v>115</v>
      </c>
      <c r="C105" s="36">
        <v>2480</v>
      </c>
      <c r="D105" s="6"/>
      <c r="E105" s="113">
        <v>368871366</v>
      </c>
      <c r="F105" s="116">
        <f t="shared" si="29"/>
        <v>148738.45403225807</v>
      </c>
      <c r="G105" s="117">
        <v>209962514</v>
      </c>
      <c r="H105" s="117">
        <f t="shared" si="27"/>
        <v>84662.304032258064</v>
      </c>
      <c r="I105" s="9" t="s">
        <v>528</v>
      </c>
      <c r="J105" s="11"/>
      <c r="K105" s="117"/>
      <c r="L105" s="120"/>
      <c r="M105" s="122">
        <f t="shared" si="16"/>
        <v>2099625.14</v>
      </c>
      <c r="N105" s="116">
        <f t="shared" si="17"/>
        <v>2099625.14</v>
      </c>
      <c r="O105" s="123">
        <f t="shared" si="18"/>
        <v>846.62304032258066</v>
      </c>
      <c r="P105" s="5"/>
      <c r="Q105" s="5">
        <f t="shared" si="20"/>
        <v>1</v>
      </c>
      <c r="R105" s="7">
        <f t="shared" si="21"/>
        <v>2480</v>
      </c>
      <c r="S105" s="5">
        <f t="shared" si="22"/>
        <v>0</v>
      </c>
      <c r="T105" s="7">
        <f t="shared" si="19"/>
        <v>0</v>
      </c>
    </row>
    <row r="106" spans="1:20">
      <c r="A106" s="23" t="s">
        <v>116</v>
      </c>
      <c r="B106" s="35" t="s">
        <v>115</v>
      </c>
      <c r="C106" s="36">
        <v>1346</v>
      </c>
      <c r="D106" s="6"/>
      <c r="E106" s="113">
        <v>340371078</v>
      </c>
      <c r="F106" s="116">
        <f t="shared" si="29"/>
        <v>252875.98662704308</v>
      </c>
      <c r="G106" s="117">
        <v>275115300</v>
      </c>
      <c r="H106" s="117">
        <f t="shared" si="27"/>
        <v>204394.72511144131</v>
      </c>
      <c r="I106" s="9" t="s">
        <v>528</v>
      </c>
      <c r="J106" s="10"/>
      <c r="K106" s="117"/>
      <c r="L106" s="120"/>
      <c r="M106" s="122">
        <f t="shared" si="16"/>
        <v>2751153</v>
      </c>
      <c r="N106" s="116">
        <f t="shared" si="17"/>
        <v>2751153</v>
      </c>
      <c r="O106" s="123">
        <f t="shared" si="18"/>
        <v>2043.9472511144131</v>
      </c>
      <c r="P106" s="5"/>
      <c r="Q106" s="5">
        <f t="shared" si="20"/>
        <v>1</v>
      </c>
      <c r="R106" s="7">
        <f t="shared" si="21"/>
        <v>1346</v>
      </c>
      <c r="S106" s="5">
        <f t="shared" si="22"/>
        <v>0</v>
      </c>
      <c r="T106" s="7">
        <f t="shared" si="19"/>
        <v>0</v>
      </c>
    </row>
    <row r="107" spans="1:20">
      <c r="A107" s="23" t="s">
        <v>117</v>
      </c>
      <c r="B107" s="35" t="s">
        <v>118</v>
      </c>
      <c r="C107" s="36">
        <v>3687</v>
      </c>
      <c r="D107" s="6"/>
      <c r="E107" s="113">
        <v>238598575</v>
      </c>
      <c r="F107" s="116">
        <f t="shared" si="29"/>
        <v>64713.473013289935</v>
      </c>
      <c r="G107" s="117">
        <v>36995010</v>
      </c>
      <c r="H107" s="117">
        <f t="shared" si="27"/>
        <v>10033.905614320585</v>
      </c>
      <c r="I107" s="7"/>
      <c r="J107" s="10">
        <v>0.77659999999999996</v>
      </c>
      <c r="K107" s="117">
        <v>28730</v>
      </c>
      <c r="L107" s="120">
        <f t="shared" ref="L107:L134" si="30">(K107/C107)</f>
        <v>7.7922430160021694</v>
      </c>
      <c r="M107" s="122">
        <f t="shared" si="16"/>
        <v>369950.10000000003</v>
      </c>
      <c r="N107" s="116">
        <f t="shared" si="17"/>
        <v>341220.10000000003</v>
      </c>
      <c r="O107" s="123">
        <f t="shared" si="18"/>
        <v>92.546813127203691</v>
      </c>
      <c r="P107" s="5"/>
      <c r="Q107" s="5">
        <f t="shared" si="20"/>
        <v>1</v>
      </c>
      <c r="R107" s="7">
        <f t="shared" si="21"/>
        <v>3687</v>
      </c>
      <c r="S107" s="5">
        <f t="shared" si="22"/>
        <v>1</v>
      </c>
      <c r="T107" s="7">
        <f t="shared" si="19"/>
        <v>3687</v>
      </c>
    </row>
    <row r="108" spans="1:20">
      <c r="A108" s="23" t="s">
        <v>119</v>
      </c>
      <c r="B108" s="35" t="s">
        <v>118</v>
      </c>
      <c r="C108" s="36">
        <v>634</v>
      </c>
      <c r="D108" s="6"/>
      <c r="E108" s="113">
        <v>18762063</v>
      </c>
      <c r="F108" s="116">
        <f t="shared" si="29"/>
        <v>29593.159305993689</v>
      </c>
      <c r="G108" s="117">
        <v>9231403</v>
      </c>
      <c r="H108" s="117">
        <f t="shared" si="27"/>
        <v>14560.572555205048</v>
      </c>
      <c r="I108" s="7"/>
      <c r="J108" s="10">
        <v>4</v>
      </c>
      <c r="K108" s="117">
        <v>36926</v>
      </c>
      <c r="L108" s="120">
        <f t="shared" si="30"/>
        <v>58.24290220820189</v>
      </c>
      <c r="M108" s="122">
        <f t="shared" si="16"/>
        <v>92314.03</v>
      </c>
      <c r="N108" s="116">
        <f t="shared" si="17"/>
        <v>55388.03</v>
      </c>
      <c r="O108" s="123">
        <f t="shared" si="18"/>
        <v>87.362823343848575</v>
      </c>
      <c r="P108" s="5"/>
      <c r="Q108" s="5">
        <f t="shared" si="20"/>
        <v>1</v>
      </c>
      <c r="R108" s="7">
        <f t="shared" si="21"/>
        <v>634</v>
      </c>
      <c r="S108" s="5">
        <f t="shared" si="22"/>
        <v>1</v>
      </c>
      <c r="T108" s="7">
        <f t="shared" si="19"/>
        <v>634</v>
      </c>
    </row>
    <row r="109" spans="1:20">
      <c r="A109" s="23" t="s">
        <v>120</v>
      </c>
      <c r="B109" s="35" t="s">
        <v>118</v>
      </c>
      <c r="C109" s="36">
        <v>1675</v>
      </c>
      <c r="D109" s="6"/>
      <c r="E109" s="113">
        <v>31058090</v>
      </c>
      <c r="F109" s="116">
        <f t="shared" si="29"/>
        <v>18542.143283582089</v>
      </c>
      <c r="G109" s="117">
        <v>12093328</v>
      </c>
      <c r="H109" s="117">
        <f t="shared" si="27"/>
        <v>7219.8973134328362</v>
      </c>
      <c r="I109" s="7"/>
      <c r="J109" s="10">
        <v>4.3319999999999999</v>
      </c>
      <c r="K109" s="117">
        <v>52388</v>
      </c>
      <c r="L109" s="120">
        <f t="shared" si="30"/>
        <v>31.276417910447762</v>
      </c>
      <c r="M109" s="122">
        <f t="shared" si="16"/>
        <v>120933.28</v>
      </c>
      <c r="N109" s="116">
        <f t="shared" si="17"/>
        <v>68545.279999999999</v>
      </c>
      <c r="O109" s="123">
        <f t="shared" si="18"/>
        <v>40.922555223880593</v>
      </c>
      <c r="P109" s="5"/>
      <c r="Q109" s="5">
        <f t="shared" si="20"/>
        <v>1</v>
      </c>
      <c r="R109" s="7">
        <f t="shared" si="21"/>
        <v>1675</v>
      </c>
      <c r="S109" s="5">
        <f t="shared" si="22"/>
        <v>1</v>
      </c>
      <c r="T109" s="7">
        <f t="shared" si="19"/>
        <v>1675</v>
      </c>
    </row>
    <row r="110" spans="1:20">
      <c r="A110" s="23" t="s">
        <v>121</v>
      </c>
      <c r="B110" s="35" t="s">
        <v>118</v>
      </c>
      <c r="C110" s="36">
        <v>1815</v>
      </c>
      <c r="D110" s="6"/>
      <c r="E110" s="113">
        <v>112148226</v>
      </c>
      <c r="F110" s="116">
        <f t="shared" si="29"/>
        <v>61789.656198347111</v>
      </c>
      <c r="G110" s="117">
        <v>71278537</v>
      </c>
      <c r="H110" s="117">
        <f t="shared" si="27"/>
        <v>39271.921212121211</v>
      </c>
      <c r="I110" s="7"/>
      <c r="J110" s="10">
        <v>1.635</v>
      </c>
      <c r="K110" s="117">
        <v>116540</v>
      </c>
      <c r="L110" s="120">
        <f t="shared" si="30"/>
        <v>64.209366391184574</v>
      </c>
      <c r="M110" s="122">
        <f t="shared" si="16"/>
        <v>712785.37</v>
      </c>
      <c r="N110" s="116">
        <f t="shared" si="17"/>
        <v>596245.37</v>
      </c>
      <c r="O110" s="123">
        <f t="shared" si="18"/>
        <v>328.50984573002756</v>
      </c>
      <c r="P110" s="5"/>
      <c r="Q110" s="5">
        <f t="shared" si="20"/>
        <v>1</v>
      </c>
      <c r="R110" s="7">
        <f t="shared" si="21"/>
        <v>1815</v>
      </c>
      <c r="S110" s="5">
        <f t="shared" si="22"/>
        <v>1</v>
      </c>
      <c r="T110" s="7">
        <f t="shared" si="19"/>
        <v>1815</v>
      </c>
    </row>
    <row r="111" spans="1:20">
      <c r="A111" s="23" t="s">
        <v>122</v>
      </c>
      <c r="B111" s="35" t="s">
        <v>118</v>
      </c>
      <c r="C111" s="36">
        <v>1883</v>
      </c>
      <c r="D111" s="6"/>
      <c r="E111" s="113">
        <v>174822007</v>
      </c>
      <c r="F111" s="116">
        <f t="shared" si="29"/>
        <v>92842.276686139143</v>
      </c>
      <c r="G111" s="117">
        <v>128989821</v>
      </c>
      <c r="H111" s="117">
        <f t="shared" si="27"/>
        <v>68502.294742432292</v>
      </c>
      <c r="I111" s="7"/>
      <c r="J111" s="10">
        <v>2.4222999999999999</v>
      </c>
      <c r="K111" s="117">
        <v>312452</v>
      </c>
      <c r="L111" s="120">
        <f t="shared" si="30"/>
        <v>165.93308550185873</v>
      </c>
      <c r="M111" s="122">
        <f t="shared" si="16"/>
        <v>1289898.21</v>
      </c>
      <c r="N111" s="116">
        <f t="shared" si="17"/>
        <v>977446.21</v>
      </c>
      <c r="O111" s="123">
        <f t="shared" si="18"/>
        <v>519.08986192246414</v>
      </c>
      <c r="P111" s="5"/>
      <c r="Q111" s="5">
        <f t="shared" si="20"/>
        <v>1</v>
      </c>
      <c r="R111" s="7">
        <f t="shared" si="21"/>
        <v>1883</v>
      </c>
      <c r="S111" s="5">
        <f t="shared" si="22"/>
        <v>1</v>
      </c>
      <c r="T111" s="7">
        <f t="shared" si="19"/>
        <v>1883</v>
      </c>
    </row>
    <row r="112" spans="1:20">
      <c r="A112" s="23" t="s">
        <v>123</v>
      </c>
      <c r="B112" s="35" t="s">
        <v>118</v>
      </c>
      <c r="C112" s="36">
        <v>7373</v>
      </c>
      <c r="D112" s="6"/>
      <c r="E112" s="113">
        <v>479648777</v>
      </c>
      <c r="F112" s="116">
        <f t="shared" si="29"/>
        <v>65054.764275057641</v>
      </c>
      <c r="G112" s="117">
        <v>234243897</v>
      </c>
      <c r="H112" s="117">
        <f t="shared" si="27"/>
        <v>31770.500067814999</v>
      </c>
      <c r="I112" s="9"/>
      <c r="J112" s="10">
        <v>3.6385000000000001</v>
      </c>
      <c r="K112" s="117">
        <v>852285</v>
      </c>
      <c r="L112" s="120">
        <f t="shared" si="30"/>
        <v>115.59541570595415</v>
      </c>
      <c r="M112" s="122">
        <f t="shared" si="16"/>
        <v>2342438.9700000002</v>
      </c>
      <c r="N112" s="116">
        <f t="shared" si="17"/>
        <v>1490153.9700000002</v>
      </c>
      <c r="O112" s="123">
        <f t="shared" si="18"/>
        <v>202.10958497219588</v>
      </c>
      <c r="P112" s="5"/>
      <c r="Q112" s="5">
        <f t="shared" si="20"/>
        <v>1</v>
      </c>
      <c r="R112" s="7">
        <f t="shared" si="21"/>
        <v>7373</v>
      </c>
      <c r="S112" s="5">
        <f t="shared" si="22"/>
        <v>1</v>
      </c>
      <c r="T112" s="7">
        <f t="shared" si="19"/>
        <v>7373</v>
      </c>
    </row>
    <row r="113" spans="1:20">
      <c r="A113" s="23" t="s">
        <v>124</v>
      </c>
      <c r="B113" s="35" t="s">
        <v>125</v>
      </c>
      <c r="C113" s="36">
        <v>460</v>
      </c>
      <c r="D113" s="6"/>
      <c r="E113" s="113">
        <v>44463861</v>
      </c>
      <c r="F113" s="116">
        <f t="shared" si="29"/>
        <v>96660.567391304343</v>
      </c>
      <c r="G113" s="117">
        <v>19151767</v>
      </c>
      <c r="H113" s="117">
        <f t="shared" si="27"/>
        <v>41634.276086956525</v>
      </c>
      <c r="I113" s="9"/>
      <c r="J113" s="10">
        <v>2</v>
      </c>
      <c r="K113" s="117">
        <v>38304</v>
      </c>
      <c r="L113" s="120">
        <f t="shared" si="30"/>
        <v>83.269565217391303</v>
      </c>
      <c r="M113" s="122">
        <f t="shared" si="16"/>
        <v>191517.67</v>
      </c>
      <c r="N113" s="116">
        <f t="shared" si="17"/>
        <v>153213.67000000001</v>
      </c>
      <c r="O113" s="123">
        <f t="shared" si="18"/>
        <v>333.07319565217392</v>
      </c>
      <c r="P113" s="5"/>
      <c r="Q113" s="5">
        <f t="shared" si="20"/>
        <v>1</v>
      </c>
      <c r="R113" s="7">
        <f t="shared" si="21"/>
        <v>460</v>
      </c>
      <c r="S113" s="5">
        <f t="shared" si="22"/>
        <v>1</v>
      </c>
      <c r="T113" s="7">
        <f t="shared" si="19"/>
        <v>460</v>
      </c>
    </row>
    <row r="114" spans="1:20">
      <c r="A114" s="23" t="s">
        <v>126</v>
      </c>
      <c r="B114" s="35" t="s">
        <v>125</v>
      </c>
      <c r="C114" s="36">
        <v>1722</v>
      </c>
      <c r="D114" s="6"/>
      <c r="E114" s="113">
        <v>119578395</v>
      </c>
      <c r="F114" s="116">
        <f t="shared" si="29"/>
        <v>69441.576655052268</v>
      </c>
      <c r="G114" s="117">
        <v>55454911</v>
      </c>
      <c r="H114" s="117">
        <f t="shared" si="27"/>
        <v>32203.781068524971</v>
      </c>
      <c r="I114" s="9"/>
      <c r="J114" s="11">
        <v>3</v>
      </c>
      <c r="K114" s="117">
        <v>166365</v>
      </c>
      <c r="L114" s="120">
        <f t="shared" si="30"/>
        <v>96.611498257839727</v>
      </c>
      <c r="M114" s="122">
        <f t="shared" si="16"/>
        <v>554549.11</v>
      </c>
      <c r="N114" s="116">
        <f t="shared" si="17"/>
        <v>388184.11</v>
      </c>
      <c r="O114" s="123">
        <f t="shared" si="18"/>
        <v>225.42631242740998</v>
      </c>
      <c r="P114" s="5"/>
      <c r="Q114" s="5">
        <f t="shared" si="20"/>
        <v>1</v>
      </c>
      <c r="R114" s="7">
        <f t="shared" si="21"/>
        <v>1722</v>
      </c>
      <c r="S114" s="5">
        <f t="shared" si="22"/>
        <v>1</v>
      </c>
      <c r="T114" s="7">
        <f t="shared" si="19"/>
        <v>1722</v>
      </c>
    </row>
    <row r="115" spans="1:20">
      <c r="A115" s="23" t="s">
        <v>127</v>
      </c>
      <c r="B115" s="35" t="s">
        <v>128</v>
      </c>
      <c r="C115" s="36">
        <v>963</v>
      </c>
      <c r="D115" s="6"/>
      <c r="E115" s="113">
        <f>(30755927+43668992)</f>
        <v>74424919</v>
      </c>
      <c r="F115" s="116">
        <f t="shared" si="29"/>
        <v>77284.443406022852</v>
      </c>
      <c r="G115" s="117">
        <f>(24214122+26830461)</f>
        <v>51044583</v>
      </c>
      <c r="H115" s="117">
        <f t="shared" si="27"/>
        <v>53005.797507788164</v>
      </c>
      <c r="I115" s="7"/>
      <c r="J115" s="11">
        <v>2</v>
      </c>
      <c r="K115" s="117">
        <f>(48428+53661)</f>
        <v>102089</v>
      </c>
      <c r="L115" s="120">
        <f t="shared" si="30"/>
        <v>106.01142263759087</v>
      </c>
      <c r="M115" s="122">
        <f t="shared" si="16"/>
        <v>510445.83</v>
      </c>
      <c r="N115" s="116">
        <f t="shared" si="17"/>
        <v>408356.83</v>
      </c>
      <c r="O115" s="123">
        <f t="shared" si="18"/>
        <v>424.04655244029078</v>
      </c>
      <c r="P115" s="5"/>
      <c r="Q115" s="5">
        <f t="shared" si="20"/>
        <v>1</v>
      </c>
      <c r="R115" s="7">
        <f t="shared" si="21"/>
        <v>963</v>
      </c>
      <c r="S115" s="5">
        <f t="shared" si="22"/>
        <v>1</v>
      </c>
      <c r="T115" s="7">
        <f t="shared" si="19"/>
        <v>963</v>
      </c>
    </row>
    <row r="116" spans="1:20">
      <c r="A116" s="23" t="s">
        <v>129</v>
      </c>
      <c r="B116" s="35" t="s">
        <v>130</v>
      </c>
      <c r="C116" s="36">
        <v>1655</v>
      </c>
      <c r="D116" s="6"/>
      <c r="E116" s="113">
        <v>111146717</v>
      </c>
      <c r="F116" s="116">
        <f t="shared" si="29"/>
        <v>67158.137160120852</v>
      </c>
      <c r="G116" s="117">
        <v>55359808</v>
      </c>
      <c r="H116" s="117">
        <f t="shared" si="27"/>
        <v>33450.035045317221</v>
      </c>
      <c r="I116" s="7"/>
      <c r="J116" s="10">
        <v>3.7986</v>
      </c>
      <c r="K116" s="117">
        <v>210290</v>
      </c>
      <c r="L116" s="120">
        <f t="shared" si="30"/>
        <v>127.06344410876133</v>
      </c>
      <c r="M116" s="122">
        <f t="shared" si="16"/>
        <v>553598.07999999996</v>
      </c>
      <c r="N116" s="116">
        <f t="shared" si="17"/>
        <v>343308.07999999996</v>
      </c>
      <c r="O116" s="123">
        <f t="shared" si="18"/>
        <v>207.43690634441086</v>
      </c>
      <c r="P116" s="5"/>
      <c r="Q116" s="5">
        <f t="shared" si="20"/>
        <v>1</v>
      </c>
      <c r="R116" s="7">
        <f t="shared" si="21"/>
        <v>1655</v>
      </c>
      <c r="S116" s="5">
        <f t="shared" si="22"/>
        <v>1</v>
      </c>
      <c r="T116" s="7">
        <f t="shared" si="19"/>
        <v>1655</v>
      </c>
    </row>
    <row r="117" spans="1:20">
      <c r="A117" s="23" t="s">
        <v>545</v>
      </c>
      <c r="B117" s="35" t="s">
        <v>131</v>
      </c>
      <c r="C117" s="36">
        <v>3758</v>
      </c>
      <c r="D117" s="6"/>
      <c r="E117" s="113">
        <v>639672979</v>
      </c>
      <c r="F117" s="116">
        <f t="shared" si="29"/>
        <v>170216.33288983503</v>
      </c>
      <c r="G117" s="117">
        <v>449815112</v>
      </c>
      <c r="H117" s="117">
        <f t="shared" si="27"/>
        <v>119695.34646088345</v>
      </c>
      <c r="I117" s="9"/>
      <c r="J117" s="10">
        <v>3.5914000000000001</v>
      </c>
      <c r="K117" s="117">
        <v>1615466</v>
      </c>
      <c r="L117" s="120">
        <f t="shared" si="30"/>
        <v>429.87386907929749</v>
      </c>
      <c r="M117" s="122">
        <f t="shared" si="16"/>
        <v>4498151.12</v>
      </c>
      <c r="N117" s="116">
        <f t="shared" si="17"/>
        <v>2882685.12</v>
      </c>
      <c r="O117" s="123">
        <f t="shared" si="18"/>
        <v>767.07959552953707</v>
      </c>
      <c r="P117" s="5"/>
      <c r="Q117" s="5">
        <f t="shared" si="20"/>
        <v>1</v>
      </c>
      <c r="R117" s="7">
        <f t="shared" si="21"/>
        <v>3758</v>
      </c>
      <c r="S117" s="5">
        <f t="shared" si="22"/>
        <v>1</v>
      </c>
      <c r="T117" s="7">
        <f t="shared" si="19"/>
        <v>3758</v>
      </c>
    </row>
    <row r="118" spans="1:20">
      <c r="A118" s="23" t="s">
        <v>132</v>
      </c>
      <c r="B118" s="35" t="s">
        <v>131</v>
      </c>
      <c r="C118" s="36">
        <v>1721</v>
      </c>
      <c r="D118" s="6"/>
      <c r="E118" s="113">
        <v>128666274</v>
      </c>
      <c r="F118" s="116">
        <f t="shared" si="29"/>
        <v>74762.506682161533</v>
      </c>
      <c r="G118" s="117">
        <v>77240385</v>
      </c>
      <c r="H118" s="117">
        <f t="shared" si="27"/>
        <v>44881.106914584547</v>
      </c>
      <c r="I118" s="9"/>
      <c r="J118" s="10">
        <v>6</v>
      </c>
      <c r="K118" s="117">
        <v>463442</v>
      </c>
      <c r="L118" s="120">
        <f t="shared" si="30"/>
        <v>269.2864613596746</v>
      </c>
      <c r="M118" s="122">
        <f t="shared" si="16"/>
        <v>772403.85</v>
      </c>
      <c r="N118" s="116">
        <f t="shared" si="17"/>
        <v>308961.84999999998</v>
      </c>
      <c r="O118" s="123">
        <f t="shared" si="18"/>
        <v>179.5246077861708</v>
      </c>
      <c r="P118" s="5"/>
      <c r="Q118" s="5">
        <f t="shared" si="20"/>
        <v>1</v>
      </c>
      <c r="R118" s="7">
        <f t="shared" si="21"/>
        <v>1721</v>
      </c>
      <c r="S118" s="5">
        <f t="shared" si="22"/>
        <v>1</v>
      </c>
      <c r="T118" s="7">
        <f t="shared" si="19"/>
        <v>1721</v>
      </c>
    </row>
    <row r="119" spans="1:20">
      <c r="A119" s="23" t="s">
        <v>133</v>
      </c>
      <c r="B119" s="35" t="s">
        <v>134</v>
      </c>
      <c r="C119" s="36">
        <v>1705</v>
      </c>
      <c r="D119" s="6"/>
      <c r="E119" s="113">
        <v>116265266</v>
      </c>
      <c r="F119" s="116">
        <f t="shared" si="29"/>
        <v>68190.771847507334</v>
      </c>
      <c r="G119" s="117">
        <v>54845677</v>
      </c>
      <c r="H119" s="117">
        <f t="shared" si="27"/>
        <v>32167.552492668623</v>
      </c>
      <c r="I119" s="7"/>
      <c r="J119" s="10">
        <v>4.9024000000000001</v>
      </c>
      <c r="K119" s="117">
        <v>268875</v>
      </c>
      <c r="L119" s="120">
        <f t="shared" si="30"/>
        <v>157.69794721407624</v>
      </c>
      <c r="M119" s="122">
        <f t="shared" si="16"/>
        <v>548456.77</v>
      </c>
      <c r="N119" s="116">
        <f t="shared" si="17"/>
        <v>279581.77</v>
      </c>
      <c r="O119" s="123">
        <f t="shared" si="18"/>
        <v>163.97757771260999</v>
      </c>
      <c r="P119" s="5"/>
      <c r="Q119" s="5">
        <f t="shared" si="20"/>
        <v>1</v>
      </c>
      <c r="R119" s="7">
        <f t="shared" si="21"/>
        <v>1705</v>
      </c>
      <c r="S119" s="5">
        <f t="shared" si="22"/>
        <v>1</v>
      </c>
      <c r="T119" s="7">
        <f t="shared" si="19"/>
        <v>1705</v>
      </c>
    </row>
    <row r="120" spans="1:20">
      <c r="A120" s="23" t="s">
        <v>135</v>
      </c>
      <c r="B120" s="35" t="s">
        <v>134</v>
      </c>
      <c r="C120" s="36">
        <v>813</v>
      </c>
      <c r="D120" s="6"/>
      <c r="E120" s="113">
        <v>21535220</v>
      </c>
      <c r="F120" s="116">
        <f t="shared" si="29"/>
        <v>26488.585485854859</v>
      </c>
      <c r="G120" s="117">
        <v>12152126</v>
      </c>
      <c r="H120" s="117">
        <f t="shared" si="27"/>
        <v>14947.264452644526</v>
      </c>
      <c r="I120" s="7"/>
      <c r="J120" s="10">
        <v>1.2438</v>
      </c>
      <c r="K120" s="117">
        <v>15115</v>
      </c>
      <c r="L120" s="120">
        <f t="shared" si="30"/>
        <v>18.591635916359163</v>
      </c>
      <c r="M120" s="122">
        <f t="shared" si="16"/>
        <v>121521.26000000001</v>
      </c>
      <c r="N120" s="116">
        <f t="shared" si="17"/>
        <v>106406.26000000001</v>
      </c>
      <c r="O120" s="123">
        <f t="shared" si="18"/>
        <v>130.8810086100861</v>
      </c>
      <c r="P120" s="5"/>
      <c r="Q120" s="5">
        <f t="shared" si="20"/>
        <v>1</v>
      </c>
      <c r="R120" s="7">
        <f t="shared" si="21"/>
        <v>813</v>
      </c>
      <c r="S120" s="5">
        <f t="shared" si="22"/>
        <v>1</v>
      </c>
      <c r="T120" s="7">
        <f t="shared" si="19"/>
        <v>813</v>
      </c>
    </row>
    <row r="121" spans="1:20">
      <c r="A121" s="23" t="s">
        <v>136</v>
      </c>
      <c r="B121" s="35" t="s">
        <v>134</v>
      </c>
      <c r="C121" s="36">
        <v>767</v>
      </c>
      <c r="D121" s="6"/>
      <c r="E121" s="113">
        <v>36097871</v>
      </c>
      <c r="F121" s="116">
        <f t="shared" si="29"/>
        <v>47063.717079530637</v>
      </c>
      <c r="G121" s="117">
        <v>16299402</v>
      </c>
      <c r="H121" s="117">
        <f t="shared" si="27"/>
        <v>21250.85006518905</v>
      </c>
      <c r="I121" s="7"/>
      <c r="J121" s="10">
        <v>3.9514999999999998</v>
      </c>
      <c r="K121" s="117">
        <v>64407</v>
      </c>
      <c r="L121" s="120">
        <f t="shared" si="30"/>
        <v>83.972620599739244</v>
      </c>
      <c r="M121" s="122">
        <f t="shared" si="16"/>
        <v>162994.01999999999</v>
      </c>
      <c r="N121" s="116">
        <f t="shared" si="17"/>
        <v>98587.01999999999</v>
      </c>
      <c r="O121" s="123">
        <f t="shared" si="18"/>
        <v>128.53588005215121</v>
      </c>
      <c r="P121" s="5"/>
      <c r="Q121" s="5">
        <f t="shared" si="20"/>
        <v>1</v>
      </c>
      <c r="R121" s="7">
        <f t="shared" si="21"/>
        <v>767</v>
      </c>
      <c r="S121" s="5">
        <f t="shared" si="22"/>
        <v>1</v>
      </c>
      <c r="T121" s="7">
        <f t="shared" si="19"/>
        <v>767</v>
      </c>
    </row>
    <row r="122" spans="1:20">
      <c r="A122" s="23" t="s">
        <v>137</v>
      </c>
      <c r="B122" s="35" t="s">
        <v>138</v>
      </c>
      <c r="C122" s="36">
        <v>3122</v>
      </c>
      <c r="D122" s="6"/>
      <c r="E122" s="113">
        <v>76561318</v>
      </c>
      <c r="F122" s="116">
        <f t="shared" si="29"/>
        <v>24523.163997437539</v>
      </c>
      <c r="G122" s="117">
        <v>36940143</v>
      </c>
      <c r="H122" s="117">
        <f t="shared" si="27"/>
        <v>11832.204676489429</v>
      </c>
      <c r="I122" s="7"/>
      <c r="J122" s="10">
        <v>7.25</v>
      </c>
      <c r="K122" s="117">
        <v>267816</v>
      </c>
      <c r="L122" s="120">
        <f t="shared" si="30"/>
        <v>85.783472133247912</v>
      </c>
      <c r="M122" s="122">
        <f t="shared" si="16"/>
        <v>369401.43</v>
      </c>
      <c r="N122" s="116">
        <f t="shared" si="17"/>
        <v>101585.43</v>
      </c>
      <c r="O122" s="123">
        <f t="shared" si="18"/>
        <v>32.538574631646377</v>
      </c>
      <c r="P122" s="5"/>
      <c r="Q122" s="5">
        <f t="shared" si="20"/>
        <v>1</v>
      </c>
      <c r="R122" s="7">
        <f t="shared" si="21"/>
        <v>3122</v>
      </c>
      <c r="S122" s="5">
        <f t="shared" si="22"/>
        <v>1</v>
      </c>
      <c r="T122" s="7">
        <f t="shared" si="19"/>
        <v>3122</v>
      </c>
    </row>
    <row r="123" spans="1:20">
      <c r="A123" s="23" t="s">
        <v>139</v>
      </c>
      <c r="B123" s="35" t="s">
        <v>138</v>
      </c>
      <c r="C123" s="36">
        <v>4538</v>
      </c>
      <c r="D123" s="6"/>
      <c r="E123" s="113">
        <v>242512841</v>
      </c>
      <c r="F123" s="116">
        <f t="shared" si="29"/>
        <v>53440.467386513883</v>
      </c>
      <c r="G123" s="117">
        <v>123407539</v>
      </c>
      <c r="H123" s="117">
        <f t="shared" si="27"/>
        <v>27194.257161745263</v>
      </c>
      <c r="I123" s="7"/>
      <c r="J123" s="10">
        <v>5.4420000000000002</v>
      </c>
      <c r="K123" s="117">
        <v>671584</v>
      </c>
      <c r="L123" s="120">
        <f t="shared" si="30"/>
        <v>147.99118554429265</v>
      </c>
      <c r="M123" s="122">
        <f t="shared" si="16"/>
        <v>1234075.3900000001</v>
      </c>
      <c r="N123" s="116">
        <f t="shared" si="17"/>
        <v>562491.39000000013</v>
      </c>
      <c r="O123" s="123">
        <f t="shared" si="18"/>
        <v>123.95138607316001</v>
      </c>
      <c r="P123" s="5"/>
      <c r="Q123" s="5">
        <f t="shared" si="20"/>
        <v>1</v>
      </c>
      <c r="R123" s="7">
        <f t="shared" si="21"/>
        <v>4538</v>
      </c>
      <c r="S123" s="5">
        <f t="shared" si="22"/>
        <v>1</v>
      </c>
      <c r="T123" s="7">
        <f t="shared" si="19"/>
        <v>4538</v>
      </c>
    </row>
    <row r="124" spans="1:20">
      <c r="A124" s="23" t="s">
        <v>140</v>
      </c>
      <c r="B124" s="35" t="s">
        <v>138</v>
      </c>
      <c r="C124" s="36">
        <v>1629</v>
      </c>
      <c r="D124" s="6"/>
      <c r="E124" s="113">
        <v>58285977</v>
      </c>
      <c r="F124" s="116">
        <f t="shared" si="29"/>
        <v>35780.219152854515</v>
      </c>
      <c r="G124" s="117">
        <v>27076513</v>
      </c>
      <c r="H124" s="117">
        <f t="shared" si="27"/>
        <v>16621.554941682014</v>
      </c>
      <c r="I124" s="7"/>
      <c r="J124" s="10">
        <v>9</v>
      </c>
      <c r="K124" s="117">
        <v>243689</v>
      </c>
      <c r="L124" s="120">
        <f t="shared" si="30"/>
        <v>149.59422958870474</v>
      </c>
      <c r="M124" s="122">
        <f t="shared" si="16"/>
        <v>270765.13</v>
      </c>
      <c r="N124" s="116">
        <f t="shared" si="17"/>
        <v>27076.130000000005</v>
      </c>
      <c r="O124" s="123">
        <f t="shared" si="18"/>
        <v>16.621319828115411</v>
      </c>
      <c r="P124" s="5"/>
      <c r="Q124" s="5">
        <f t="shared" si="20"/>
        <v>1</v>
      </c>
      <c r="R124" s="7">
        <f t="shared" si="21"/>
        <v>1629</v>
      </c>
      <c r="S124" s="5">
        <f t="shared" si="22"/>
        <v>1</v>
      </c>
      <c r="T124" s="7">
        <f t="shared" si="19"/>
        <v>1629</v>
      </c>
    </row>
    <row r="125" spans="1:20">
      <c r="A125" s="23" t="s">
        <v>141</v>
      </c>
      <c r="B125" s="35" t="s">
        <v>142</v>
      </c>
      <c r="C125" s="36">
        <v>6887</v>
      </c>
      <c r="D125" s="6"/>
      <c r="E125" s="113">
        <v>601269188</v>
      </c>
      <c r="F125" s="116">
        <f t="shared" si="29"/>
        <v>87304.949615217076</v>
      </c>
      <c r="G125" s="117">
        <v>275148549</v>
      </c>
      <c r="H125" s="117">
        <f t="shared" si="27"/>
        <v>39951.872949034412</v>
      </c>
      <c r="I125" s="7"/>
      <c r="J125" s="10">
        <v>6.2</v>
      </c>
      <c r="K125" s="117">
        <v>1705921</v>
      </c>
      <c r="L125" s="120">
        <f t="shared" si="30"/>
        <v>247.70161173224918</v>
      </c>
      <c r="M125" s="122">
        <f t="shared" si="16"/>
        <v>2751485.49</v>
      </c>
      <c r="N125" s="116">
        <f t="shared" si="17"/>
        <v>1045564.4900000002</v>
      </c>
      <c r="O125" s="123">
        <f t="shared" si="18"/>
        <v>151.81711775809498</v>
      </c>
      <c r="P125" s="5"/>
      <c r="Q125" s="5">
        <f t="shared" si="20"/>
        <v>1</v>
      </c>
      <c r="R125" s="7">
        <f t="shared" si="21"/>
        <v>6887</v>
      </c>
      <c r="S125" s="5">
        <f t="shared" si="22"/>
        <v>1</v>
      </c>
      <c r="T125" s="7">
        <f t="shared" si="19"/>
        <v>6887</v>
      </c>
    </row>
    <row r="126" spans="1:20">
      <c r="A126" s="23" t="s">
        <v>558</v>
      </c>
      <c r="B126" s="35" t="s">
        <v>142</v>
      </c>
      <c r="C126" s="36">
        <v>4564</v>
      </c>
      <c r="D126" s="6"/>
      <c r="E126" s="113">
        <v>522521450</v>
      </c>
      <c r="F126" s="116">
        <f t="shared" si="29"/>
        <v>114487.60955302366</v>
      </c>
      <c r="G126" s="117">
        <v>267599037</v>
      </c>
      <c r="H126" s="117">
        <f t="shared" si="27"/>
        <v>58632.567265556529</v>
      </c>
      <c r="I126" s="7"/>
      <c r="J126" s="10">
        <v>3</v>
      </c>
      <c r="K126" s="117">
        <v>802797</v>
      </c>
      <c r="L126" s="120">
        <f t="shared" si="30"/>
        <v>175.89767747589835</v>
      </c>
      <c r="M126" s="122">
        <f t="shared" si="16"/>
        <v>2675990.37</v>
      </c>
      <c r="N126" s="116">
        <f t="shared" si="17"/>
        <v>1873193.37</v>
      </c>
      <c r="O126" s="123">
        <f t="shared" si="18"/>
        <v>410.42799517966699</v>
      </c>
      <c r="P126" s="5"/>
      <c r="Q126" s="5">
        <f t="shared" si="20"/>
        <v>1</v>
      </c>
      <c r="R126" s="7">
        <f t="shared" si="21"/>
        <v>4564</v>
      </c>
      <c r="S126" s="5">
        <f t="shared" si="22"/>
        <v>1</v>
      </c>
      <c r="T126" s="7">
        <f t="shared" si="19"/>
        <v>4564</v>
      </c>
    </row>
    <row r="127" spans="1:20">
      <c r="A127" s="23" t="s">
        <v>143</v>
      </c>
      <c r="B127" s="35" t="s">
        <v>144</v>
      </c>
      <c r="C127" s="36">
        <v>7640</v>
      </c>
      <c r="D127" s="6"/>
      <c r="E127" s="113">
        <v>876253172</v>
      </c>
      <c r="F127" s="116">
        <f t="shared" si="29"/>
        <v>114692.82356020942</v>
      </c>
      <c r="G127" s="117">
        <v>558474395</v>
      </c>
      <c r="H127" s="117">
        <f t="shared" si="27"/>
        <v>73098.742801047119</v>
      </c>
      <c r="I127" s="7"/>
      <c r="J127" s="10">
        <v>6.069</v>
      </c>
      <c r="K127" s="117">
        <v>3389381</v>
      </c>
      <c r="L127" s="120">
        <f t="shared" si="30"/>
        <v>443.6362565445026</v>
      </c>
      <c r="M127" s="122">
        <f t="shared" si="16"/>
        <v>5584743.9500000002</v>
      </c>
      <c r="N127" s="116">
        <f t="shared" si="17"/>
        <v>2195362.9500000002</v>
      </c>
      <c r="O127" s="123">
        <f t="shared" si="18"/>
        <v>287.3511714659686</v>
      </c>
      <c r="P127" s="5"/>
      <c r="Q127" s="5">
        <f t="shared" si="20"/>
        <v>1</v>
      </c>
      <c r="R127" s="7">
        <f t="shared" si="21"/>
        <v>7640</v>
      </c>
      <c r="S127" s="5">
        <f t="shared" si="22"/>
        <v>1</v>
      </c>
      <c r="T127" s="7">
        <f t="shared" si="19"/>
        <v>7640</v>
      </c>
    </row>
    <row r="128" spans="1:20">
      <c r="A128" s="23" t="s">
        <v>145</v>
      </c>
      <c r="B128" s="35" t="s">
        <v>144</v>
      </c>
      <c r="C128" s="36">
        <v>7</v>
      </c>
      <c r="D128" s="6"/>
      <c r="E128" s="113">
        <v>33406131</v>
      </c>
      <c r="F128" s="116">
        <f t="shared" si="29"/>
        <v>4772304.4285714282</v>
      </c>
      <c r="G128" s="117">
        <v>21253997</v>
      </c>
      <c r="H128" s="117">
        <f t="shared" si="27"/>
        <v>3036285.2857142859</v>
      </c>
      <c r="I128" s="7"/>
      <c r="J128" s="10">
        <v>2.1173000000000002</v>
      </c>
      <c r="K128" s="117">
        <v>45001</v>
      </c>
      <c r="L128" s="120">
        <f t="shared" si="30"/>
        <v>6428.7142857142853</v>
      </c>
      <c r="M128" s="122">
        <f t="shared" si="16"/>
        <v>212539.97</v>
      </c>
      <c r="N128" s="116">
        <f t="shared" si="17"/>
        <v>167538.97</v>
      </c>
      <c r="O128" s="123">
        <f t="shared" si="18"/>
        <v>23934.138571428572</v>
      </c>
      <c r="P128" s="5"/>
      <c r="Q128" s="5">
        <f t="shared" si="20"/>
        <v>1</v>
      </c>
      <c r="R128" s="7">
        <f t="shared" si="21"/>
        <v>7</v>
      </c>
      <c r="S128" s="5">
        <f t="shared" si="22"/>
        <v>1</v>
      </c>
      <c r="T128" s="7">
        <f t="shared" si="19"/>
        <v>7</v>
      </c>
    </row>
    <row r="129" spans="1:20">
      <c r="A129" s="23" t="s">
        <v>146</v>
      </c>
      <c r="B129" s="35" t="s">
        <v>147</v>
      </c>
      <c r="C129" s="36">
        <v>8865</v>
      </c>
      <c r="D129" s="6"/>
      <c r="E129" s="113">
        <v>474469488</v>
      </c>
      <c r="F129" s="116">
        <f t="shared" si="29"/>
        <v>53521.656852791879</v>
      </c>
      <c r="G129" s="117">
        <v>272688970</v>
      </c>
      <c r="H129" s="117">
        <f t="shared" si="27"/>
        <v>30760.177100958826</v>
      </c>
      <c r="I129" s="7"/>
      <c r="J129" s="10">
        <v>5.8745000000000003</v>
      </c>
      <c r="K129" s="117">
        <v>1601911</v>
      </c>
      <c r="L129" s="120">
        <f t="shared" si="30"/>
        <v>180.70062041737168</v>
      </c>
      <c r="M129" s="122">
        <f t="shared" si="16"/>
        <v>2726889.7</v>
      </c>
      <c r="N129" s="116">
        <f t="shared" si="17"/>
        <v>1124978.7000000002</v>
      </c>
      <c r="O129" s="123">
        <f t="shared" si="18"/>
        <v>126.90115059221661</v>
      </c>
      <c r="P129" s="5"/>
      <c r="Q129" s="5">
        <f t="shared" si="20"/>
        <v>1</v>
      </c>
      <c r="R129" s="7">
        <f t="shared" si="21"/>
        <v>8865</v>
      </c>
      <c r="S129" s="5">
        <f t="shared" si="22"/>
        <v>1</v>
      </c>
      <c r="T129" s="7">
        <f t="shared" si="19"/>
        <v>8865</v>
      </c>
    </row>
    <row r="130" spans="1:20">
      <c r="A130" s="23" t="s">
        <v>148</v>
      </c>
      <c r="B130" s="35" t="s">
        <v>147</v>
      </c>
      <c r="C130" s="36">
        <v>1780</v>
      </c>
      <c r="D130" s="6"/>
      <c r="E130" s="113">
        <v>314367306</v>
      </c>
      <c r="F130" s="116">
        <f t="shared" si="29"/>
        <v>176610.84606741572</v>
      </c>
      <c r="G130" s="117">
        <v>216503066</v>
      </c>
      <c r="H130" s="117">
        <f t="shared" si="27"/>
        <v>121630.93595505618</v>
      </c>
      <c r="I130" s="7"/>
      <c r="J130" s="10">
        <v>3.81</v>
      </c>
      <c r="K130" s="117">
        <v>824877</v>
      </c>
      <c r="L130" s="120">
        <f t="shared" si="30"/>
        <v>463.41404494382022</v>
      </c>
      <c r="M130" s="122">
        <f t="shared" si="16"/>
        <v>2165030.66</v>
      </c>
      <c r="N130" s="116">
        <f t="shared" si="17"/>
        <v>1340153.6600000001</v>
      </c>
      <c r="O130" s="123">
        <f t="shared" si="18"/>
        <v>752.89531460674164</v>
      </c>
      <c r="P130" s="5"/>
      <c r="Q130" s="5">
        <f t="shared" si="20"/>
        <v>1</v>
      </c>
      <c r="R130" s="7">
        <f t="shared" si="21"/>
        <v>1780</v>
      </c>
      <c r="S130" s="5">
        <f t="shared" si="22"/>
        <v>1</v>
      </c>
      <c r="T130" s="7">
        <f t="shared" si="19"/>
        <v>1780</v>
      </c>
    </row>
    <row r="131" spans="1:20">
      <c r="A131" s="23" t="s">
        <v>149</v>
      </c>
      <c r="B131" s="35" t="s">
        <v>147</v>
      </c>
      <c r="C131" s="36">
        <v>10412</v>
      </c>
      <c r="D131" s="6"/>
      <c r="E131" s="113">
        <v>1078426756</v>
      </c>
      <c r="F131" s="116">
        <f t="shared" si="29"/>
        <v>103575.37034191318</v>
      </c>
      <c r="G131" s="117">
        <v>725089781</v>
      </c>
      <c r="H131" s="117">
        <f t="shared" si="27"/>
        <v>69639.817614291198</v>
      </c>
      <c r="I131" s="7"/>
      <c r="J131" s="10">
        <v>5.5204000000000004</v>
      </c>
      <c r="K131" s="117">
        <v>4002786</v>
      </c>
      <c r="L131" s="120">
        <f t="shared" si="30"/>
        <v>384.43968497887056</v>
      </c>
      <c r="M131" s="122">
        <f t="shared" si="16"/>
        <v>7250897.8100000005</v>
      </c>
      <c r="N131" s="116">
        <f t="shared" si="17"/>
        <v>3248111.8100000005</v>
      </c>
      <c r="O131" s="123">
        <f t="shared" si="18"/>
        <v>311.95849116404156</v>
      </c>
      <c r="P131" s="5"/>
      <c r="Q131" s="5">
        <f t="shared" si="20"/>
        <v>1</v>
      </c>
      <c r="R131" s="7">
        <f t="shared" si="21"/>
        <v>10412</v>
      </c>
      <c r="S131" s="5">
        <f t="shared" si="22"/>
        <v>1</v>
      </c>
      <c r="T131" s="7">
        <f t="shared" si="19"/>
        <v>10412</v>
      </c>
    </row>
    <row r="132" spans="1:20">
      <c r="A132" s="23" t="s">
        <v>150</v>
      </c>
      <c r="B132" s="35" t="s">
        <v>151</v>
      </c>
      <c r="C132" s="36">
        <v>33500</v>
      </c>
      <c r="D132" s="6"/>
      <c r="E132" s="113">
        <v>3071051049</v>
      </c>
      <c r="F132" s="116">
        <f t="shared" si="29"/>
        <v>91673.165641791042</v>
      </c>
      <c r="G132" s="117">
        <v>2078117193</v>
      </c>
      <c r="H132" s="117">
        <f t="shared" si="27"/>
        <v>62033.349044776121</v>
      </c>
      <c r="I132" s="7"/>
      <c r="J132" s="10">
        <v>4.1653000000000002</v>
      </c>
      <c r="K132" s="117">
        <v>8655982</v>
      </c>
      <c r="L132" s="120">
        <f t="shared" si="30"/>
        <v>258.38752238805972</v>
      </c>
      <c r="M132" s="122">
        <f t="shared" si="16"/>
        <v>20781171.93</v>
      </c>
      <c r="N132" s="116">
        <f t="shared" si="17"/>
        <v>12125189.93</v>
      </c>
      <c r="O132" s="123">
        <f t="shared" si="18"/>
        <v>361.9459680597015</v>
      </c>
      <c r="P132" s="5"/>
      <c r="Q132" s="5">
        <f t="shared" si="20"/>
        <v>1</v>
      </c>
      <c r="R132" s="7">
        <f t="shared" si="21"/>
        <v>33500</v>
      </c>
      <c r="S132" s="5">
        <f t="shared" si="22"/>
        <v>1</v>
      </c>
      <c r="T132" s="7">
        <f t="shared" si="19"/>
        <v>33500</v>
      </c>
    </row>
    <row r="133" spans="1:20">
      <c r="A133" s="23" t="s">
        <v>152</v>
      </c>
      <c r="B133" s="35" t="s">
        <v>151</v>
      </c>
      <c r="C133" s="36">
        <v>339365</v>
      </c>
      <c r="D133" s="6"/>
      <c r="E133" s="113">
        <v>44661427470</v>
      </c>
      <c r="F133" s="116">
        <f t="shared" si="29"/>
        <v>131602.92743800921</v>
      </c>
      <c r="G133" s="117">
        <v>28917606193</v>
      </c>
      <c r="H133" s="117">
        <f t="shared" si="27"/>
        <v>85210.926857513303</v>
      </c>
      <c r="I133" s="7"/>
      <c r="J133" s="10">
        <v>5.7325999999999997</v>
      </c>
      <c r="K133" s="117">
        <v>165773069</v>
      </c>
      <c r="L133" s="120">
        <f t="shared" si="30"/>
        <v>488.4801585313748</v>
      </c>
      <c r="M133" s="122">
        <f t="shared" si="16"/>
        <v>289176061.93000001</v>
      </c>
      <c r="N133" s="116">
        <f t="shared" si="17"/>
        <v>123402992.93000001</v>
      </c>
      <c r="O133" s="123">
        <f t="shared" si="18"/>
        <v>363.6291100437582</v>
      </c>
      <c r="P133" s="5"/>
      <c r="Q133" s="5">
        <f t="shared" si="20"/>
        <v>1</v>
      </c>
      <c r="R133" s="7">
        <f t="shared" si="21"/>
        <v>339365</v>
      </c>
      <c r="S133" s="5">
        <f t="shared" si="22"/>
        <v>1</v>
      </c>
      <c r="T133" s="7">
        <f t="shared" si="19"/>
        <v>339365</v>
      </c>
    </row>
    <row r="134" spans="1:20">
      <c r="A134" s="23" t="s">
        <v>153</v>
      </c>
      <c r="B134" s="35" t="s">
        <v>151</v>
      </c>
      <c r="C134" s="36">
        <v>23882</v>
      </c>
      <c r="D134" s="6"/>
      <c r="E134" s="113">
        <v>2274194610</v>
      </c>
      <c r="F134" s="116">
        <f t="shared" si="29"/>
        <v>95226.30474834604</v>
      </c>
      <c r="G134" s="117">
        <v>1600795709</v>
      </c>
      <c r="H134" s="117">
        <f t="shared" si="27"/>
        <v>67029.382338162628</v>
      </c>
      <c r="I134" s="9"/>
      <c r="J134" s="10">
        <v>4.5692000000000004</v>
      </c>
      <c r="K134" s="117">
        <v>7314356</v>
      </c>
      <c r="L134" s="120">
        <f t="shared" si="30"/>
        <v>306.27066409848419</v>
      </c>
      <c r="M134" s="122">
        <f t="shared" ref="M134:M197" si="31">(G134*0.01)</f>
        <v>16007957.09</v>
      </c>
      <c r="N134" s="116">
        <f t="shared" ref="N134:N197" si="32">(M134-K134)</f>
        <v>8693601.0899999999</v>
      </c>
      <c r="O134" s="123">
        <f t="shared" ref="O134:O197" si="33">(N134/C134)</f>
        <v>364.02315928314209</v>
      </c>
      <c r="P134" s="5"/>
      <c r="Q134" s="5">
        <f t="shared" si="20"/>
        <v>1</v>
      </c>
      <c r="R134" s="7">
        <f t="shared" si="21"/>
        <v>23882</v>
      </c>
      <c r="S134" s="5">
        <f t="shared" si="22"/>
        <v>1</v>
      </c>
      <c r="T134" s="7">
        <f t="shared" ref="T134:T197" si="34">IF(J134&gt;0,C134,0)</f>
        <v>23882</v>
      </c>
    </row>
    <row r="135" spans="1:20">
      <c r="A135" s="23" t="s">
        <v>154</v>
      </c>
      <c r="B135" s="35" t="s">
        <v>155</v>
      </c>
      <c r="C135" s="36">
        <v>2792</v>
      </c>
      <c r="D135" s="6"/>
      <c r="E135" s="113">
        <v>134579907</v>
      </c>
      <c r="F135" s="116">
        <f t="shared" si="29"/>
        <v>48201.972421203442</v>
      </c>
      <c r="G135" s="117">
        <v>77939339</v>
      </c>
      <c r="H135" s="117">
        <f t="shared" si="27"/>
        <v>27915.236031518623</v>
      </c>
      <c r="I135" s="9" t="s">
        <v>528</v>
      </c>
      <c r="J135" s="10"/>
      <c r="K135" s="117"/>
      <c r="L135" s="120"/>
      <c r="M135" s="122">
        <f t="shared" si="31"/>
        <v>779393.39</v>
      </c>
      <c r="N135" s="116">
        <f t="shared" si="32"/>
        <v>779393.39</v>
      </c>
      <c r="O135" s="123">
        <f t="shared" si="33"/>
        <v>279.15236031518623</v>
      </c>
      <c r="P135" s="5"/>
      <c r="Q135" s="5">
        <f t="shared" ref="Q135:Q198" si="35">IF(E135&gt;0,1,0)</f>
        <v>1</v>
      </c>
      <c r="R135" s="7">
        <f t="shared" ref="R135:R198" si="36">IF(E135&gt;0,C135,0)</f>
        <v>2792</v>
      </c>
      <c r="S135" s="5">
        <f t="shared" ref="S135:S198" si="37">IF(J135&gt;0,1,0)</f>
        <v>0</v>
      </c>
      <c r="T135" s="7">
        <f t="shared" si="34"/>
        <v>0</v>
      </c>
    </row>
    <row r="136" spans="1:20">
      <c r="A136" s="23" t="s">
        <v>156</v>
      </c>
      <c r="B136" s="35" t="s">
        <v>155</v>
      </c>
      <c r="C136" s="36">
        <v>379</v>
      </c>
      <c r="D136" s="6"/>
      <c r="E136" s="113">
        <v>11604216</v>
      </c>
      <c r="F136" s="116">
        <f t="shared" si="29"/>
        <v>30617.984168865434</v>
      </c>
      <c r="G136" s="117">
        <v>4675317</v>
      </c>
      <c r="H136" s="117">
        <f t="shared" si="27"/>
        <v>12335.928759894459</v>
      </c>
      <c r="I136" s="7"/>
      <c r="J136" s="12">
        <v>0.51639999999999997</v>
      </c>
      <c r="K136" s="117">
        <v>2414</v>
      </c>
      <c r="L136" s="120">
        <f>(K136/C136)</f>
        <v>6.369393139841689</v>
      </c>
      <c r="M136" s="122">
        <f t="shared" si="31"/>
        <v>46753.17</v>
      </c>
      <c r="N136" s="116">
        <f t="shared" si="32"/>
        <v>44339.17</v>
      </c>
      <c r="O136" s="123">
        <f t="shared" si="33"/>
        <v>116.9898944591029</v>
      </c>
      <c r="P136" s="5"/>
      <c r="Q136" s="5">
        <f t="shared" si="35"/>
        <v>1</v>
      </c>
      <c r="R136" s="7">
        <f t="shared" si="36"/>
        <v>379</v>
      </c>
      <c r="S136" s="5">
        <f t="shared" si="37"/>
        <v>1</v>
      </c>
      <c r="T136" s="7">
        <f t="shared" si="34"/>
        <v>379</v>
      </c>
    </row>
    <row r="137" spans="1:20">
      <c r="A137" s="23" t="s">
        <v>157</v>
      </c>
      <c r="B137" s="35" t="s">
        <v>155</v>
      </c>
      <c r="C137" s="36">
        <v>230</v>
      </c>
      <c r="D137" s="6"/>
      <c r="E137" s="113">
        <v>4256476</v>
      </c>
      <c r="F137" s="116">
        <f t="shared" si="29"/>
        <v>18506.417391304349</v>
      </c>
      <c r="G137" s="117">
        <v>1569711</v>
      </c>
      <c r="H137" s="117">
        <f t="shared" si="27"/>
        <v>6824.8304347826088</v>
      </c>
      <c r="I137" s="9"/>
      <c r="J137" s="10">
        <v>1.1405000000000001</v>
      </c>
      <c r="K137" s="117">
        <v>1790</v>
      </c>
      <c r="L137" s="120">
        <f>(K137/C137)</f>
        <v>7.7826086956521738</v>
      </c>
      <c r="M137" s="122">
        <f t="shared" si="31"/>
        <v>15697.11</v>
      </c>
      <c r="N137" s="116">
        <f t="shared" si="32"/>
        <v>13907.11</v>
      </c>
      <c r="O137" s="123">
        <f t="shared" si="33"/>
        <v>60.465695652173913</v>
      </c>
      <c r="P137" s="5"/>
      <c r="Q137" s="5">
        <f t="shared" si="35"/>
        <v>1</v>
      </c>
      <c r="R137" s="7">
        <f t="shared" si="36"/>
        <v>230</v>
      </c>
      <c r="S137" s="5">
        <f t="shared" si="37"/>
        <v>1</v>
      </c>
      <c r="T137" s="7">
        <f t="shared" si="34"/>
        <v>230</v>
      </c>
    </row>
    <row r="138" spans="1:20">
      <c r="A138" s="23" t="s">
        <v>158</v>
      </c>
      <c r="B138" s="35" t="s">
        <v>155</v>
      </c>
      <c r="C138" s="36">
        <v>510</v>
      </c>
      <c r="D138" s="6"/>
      <c r="E138" s="113">
        <v>24713316</v>
      </c>
      <c r="F138" s="116">
        <f t="shared" si="29"/>
        <v>48457.482352941173</v>
      </c>
      <c r="G138" s="117">
        <v>11458474</v>
      </c>
      <c r="H138" s="117">
        <f t="shared" si="27"/>
        <v>22467.596078431372</v>
      </c>
      <c r="I138" s="9" t="s">
        <v>528</v>
      </c>
      <c r="J138" s="10"/>
      <c r="K138" s="117"/>
      <c r="L138" s="120"/>
      <c r="M138" s="122">
        <f t="shared" si="31"/>
        <v>114584.74</v>
      </c>
      <c r="N138" s="116">
        <f t="shared" si="32"/>
        <v>114584.74</v>
      </c>
      <c r="O138" s="123">
        <f t="shared" si="33"/>
        <v>224.67596078431373</v>
      </c>
      <c r="P138" s="5"/>
      <c r="Q138" s="5">
        <f t="shared" si="35"/>
        <v>1</v>
      </c>
      <c r="R138" s="7">
        <f t="shared" si="36"/>
        <v>510</v>
      </c>
      <c r="S138" s="5">
        <f t="shared" si="37"/>
        <v>0</v>
      </c>
      <c r="T138" s="7">
        <f t="shared" si="34"/>
        <v>0</v>
      </c>
    </row>
    <row r="139" spans="1:20">
      <c r="A139" s="23" t="s">
        <v>159</v>
      </c>
      <c r="B139" s="35" t="s">
        <v>155</v>
      </c>
      <c r="C139" s="36">
        <v>213</v>
      </c>
      <c r="D139" s="6"/>
      <c r="E139" s="113">
        <v>14442247</v>
      </c>
      <c r="F139" s="116">
        <f t="shared" si="29"/>
        <v>67803.976525821592</v>
      </c>
      <c r="G139" s="117">
        <v>3134095</v>
      </c>
      <c r="H139" s="117">
        <f t="shared" si="27"/>
        <v>14714.06103286385</v>
      </c>
      <c r="I139" s="9" t="s">
        <v>528</v>
      </c>
      <c r="J139" s="11"/>
      <c r="K139" s="117"/>
      <c r="L139" s="120"/>
      <c r="M139" s="122">
        <f t="shared" si="31"/>
        <v>31340.95</v>
      </c>
      <c r="N139" s="116">
        <f t="shared" si="32"/>
        <v>31340.95</v>
      </c>
      <c r="O139" s="123">
        <f t="shared" si="33"/>
        <v>147.1406103286385</v>
      </c>
      <c r="P139" s="5"/>
      <c r="Q139" s="5">
        <f t="shared" si="35"/>
        <v>1</v>
      </c>
      <c r="R139" s="7">
        <f t="shared" si="36"/>
        <v>213</v>
      </c>
      <c r="S139" s="5">
        <f t="shared" si="37"/>
        <v>0</v>
      </c>
      <c r="T139" s="7">
        <f t="shared" si="34"/>
        <v>0</v>
      </c>
    </row>
    <row r="140" spans="1:20">
      <c r="A140" s="23" t="s">
        <v>160</v>
      </c>
      <c r="B140" s="35" t="s">
        <v>161</v>
      </c>
      <c r="C140" s="36">
        <v>5108</v>
      </c>
      <c r="D140" s="6"/>
      <c r="E140" s="113">
        <v>387211647</v>
      </c>
      <c r="F140" s="116">
        <f t="shared" si="29"/>
        <v>75804.942638997658</v>
      </c>
      <c r="G140" s="117">
        <v>145734504</v>
      </c>
      <c r="H140" s="117">
        <f t="shared" si="27"/>
        <v>28530.638997650745</v>
      </c>
      <c r="I140" s="7"/>
      <c r="J140" s="11">
        <v>4.43</v>
      </c>
      <c r="K140" s="117">
        <v>645604</v>
      </c>
      <c r="L140" s="120">
        <f t="shared" ref="L140:L145" si="38">(K140/C140)</f>
        <v>126.39075959279562</v>
      </c>
      <c r="M140" s="122">
        <f t="shared" si="31"/>
        <v>1457345.04</v>
      </c>
      <c r="N140" s="116">
        <f t="shared" si="32"/>
        <v>811741.04</v>
      </c>
      <c r="O140" s="123">
        <f t="shared" si="33"/>
        <v>158.91563038371183</v>
      </c>
      <c r="P140" s="5"/>
      <c r="Q140" s="5">
        <f t="shared" si="35"/>
        <v>1</v>
      </c>
      <c r="R140" s="7">
        <f t="shared" si="36"/>
        <v>5108</v>
      </c>
      <c r="S140" s="5">
        <f t="shared" si="37"/>
        <v>1</v>
      </c>
      <c r="T140" s="7">
        <f t="shared" si="34"/>
        <v>5108</v>
      </c>
    </row>
    <row r="141" spans="1:20">
      <c r="A141" s="23" t="s">
        <v>162</v>
      </c>
      <c r="B141" s="35" t="s">
        <v>161</v>
      </c>
      <c r="C141" s="36">
        <v>3829</v>
      </c>
      <c r="D141" s="6"/>
      <c r="E141" s="113">
        <v>3036183453</v>
      </c>
      <c r="F141" s="116">
        <f t="shared" si="29"/>
        <v>792944.22904152516</v>
      </c>
      <c r="G141" s="117">
        <v>2574214967</v>
      </c>
      <c r="H141" s="117">
        <f t="shared" si="27"/>
        <v>672294.3241055106</v>
      </c>
      <c r="I141" s="7"/>
      <c r="J141" s="10">
        <v>1.3923000000000001</v>
      </c>
      <c r="K141" s="117">
        <v>3584079</v>
      </c>
      <c r="L141" s="120">
        <f t="shared" si="38"/>
        <v>936.0352572473231</v>
      </c>
      <c r="M141" s="122">
        <f t="shared" si="31"/>
        <v>25742149.670000002</v>
      </c>
      <c r="N141" s="116">
        <f t="shared" si="32"/>
        <v>22158070.670000002</v>
      </c>
      <c r="O141" s="123">
        <f t="shared" si="33"/>
        <v>5786.9079838077832</v>
      </c>
      <c r="P141" s="5"/>
      <c r="Q141" s="5">
        <f t="shared" si="35"/>
        <v>1</v>
      </c>
      <c r="R141" s="7">
        <f t="shared" si="36"/>
        <v>3829</v>
      </c>
      <c r="S141" s="5">
        <f t="shared" si="37"/>
        <v>1</v>
      </c>
      <c r="T141" s="7">
        <f t="shared" si="34"/>
        <v>3829</v>
      </c>
    </row>
    <row r="142" spans="1:20">
      <c r="A142" s="23" t="s">
        <v>163</v>
      </c>
      <c r="B142" s="35" t="s">
        <v>161</v>
      </c>
      <c r="C142" s="36">
        <v>305</v>
      </c>
      <c r="D142" s="6"/>
      <c r="E142" s="113">
        <v>565951944</v>
      </c>
      <c r="F142" s="116">
        <f t="shared" si="29"/>
        <v>1855580.144262295</v>
      </c>
      <c r="G142" s="117">
        <v>527990223</v>
      </c>
      <c r="H142" s="117">
        <f t="shared" si="27"/>
        <v>1731115.4852459016</v>
      </c>
      <c r="I142" s="7"/>
      <c r="J142" s="10">
        <v>0.45500000000000002</v>
      </c>
      <c r="K142" s="117">
        <v>240236</v>
      </c>
      <c r="L142" s="120">
        <f t="shared" si="38"/>
        <v>787.65901639344258</v>
      </c>
      <c r="M142" s="122">
        <f t="shared" si="31"/>
        <v>5279902.2300000004</v>
      </c>
      <c r="N142" s="116">
        <f t="shared" si="32"/>
        <v>5039666.2300000004</v>
      </c>
      <c r="O142" s="123">
        <f t="shared" si="33"/>
        <v>16523.495836065576</v>
      </c>
      <c r="P142" s="5"/>
      <c r="Q142" s="5">
        <f t="shared" si="35"/>
        <v>1</v>
      </c>
      <c r="R142" s="7">
        <f t="shared" si="36"/>
        <v>305</v>
      </c>
      <c r="S142" s="5">
        <f t="shared" si="37"/>
        <v>1</v>
      </c>
      <c r="T142" s="7">
        <f t="shared" si="34"/>
        <v>305</v>
      </c>
    </row>
    <row r="143" spans="1:20">
      <c r="A143" s="23" t="s">
        <v>164</v>
      </c>
      <c r="B143" s="35" t="s">
        <v>161</v>
      </c>
      <c r="C143" s="36">
        <v>22924</v>
      </c>
      <c r="D143" s="6"/>
      <c r="E143" s="113">
        <v>2002456598</v>
      </c>
      <c r="F143" s="116">
        <f t="shared" si="29"/>
        <v>87351.971645437094</v>
      </c>
      <c r="G143" s="117">
        <v>1319502616</v>
      </c>
      <c r="H143" s="117">
        <f t="shared" si="27"/>
        <v>57559.876810329784</v>
      </c>
      <c r="I143" s="7"/>
      <c r="J143" s="10">
        <v>3.3456000000000001</v>
      </c>
      <c r="K143" s="117">
        <v>4414528</v>
      </c>
      <c r="L143" s="120">
        <f t="shared" si="38"/>
        <v>192.57232594660618</v>
      </c>
      <c r="M143" s="122">
        <f t="shared" si="31"/>
        <v>13195026.16</v>
      </c>
      <c r="N143" s="116">
        <f t="shared" si="32"/>
        <v>8780498.1600000001</v>
      </c>
      <c r="O143" s="123">
        <f t="shared" si="33"/>
        <v>383.0264421566917</v>
      </c>
      <c r="P143" s="5"/>
      <c r="Q143" s="5">
        <f t="shared" si="35"/>
        <v>1</v>
      </c>
      <c r="R143" s="7">
        <f t="shared" si="36"/>
        <v>22924</v>
      </c>
      <c r="S143" s="5">
        <f t="shared" si="37"/>
        <v>1</v>
      </c>
      <c r="T143" s="7">
        <f t="shared" si="34"/>
        <v>22924</v>
      </c>
    </row>
    <row r="144" spans="1:20">
      <c r="A144" s="23" t="s">
        <v>165</v>
      </c>
      <c r="B144" s="35" t="s">
        <v>161</v>
      </c>
      <c r="C144" s="36">
        <v>17889</v>
      </c>
      <c r="D144" s="6"/>
      <c r="E144" s="113">
        <v>3749459479</v>
      </c>
      <c r="F144" s="116">
        <f t="shared" si="29"/>
        <v>209595.81189557828</v>
      </c>
      <c r="G144" s="117">
        <v>2675631292</v>
      </c>
      <c r="H144" s="117">
        <f t="shared" si="27"/>
        <v>149568.52210855833</v>
      </c>
      <c r="I144" s="7"/>
      <c r="J144" s="10">
        <v>1.9367000000000001</v>
      </c>
      <c r="K144" s="117">
        <v>5181895</v>
      </c>
      <c r="L144" s="120">
        <f t="shared" si="38"/>
        <v>289.66934987981443</v>
      </c>
      <c r="M144" s="122">
        <f t="shared" si="31"/>
        <v>26756312.920000002</v>
      </c>
      <c r="N144" s="116">
        <f t="shared" si="32"/>
        <v>21574417.920000002</v>
      </c>
      <c r="O144" s="123">
        <f t="shared" si="33"/>
        <v>1206.0158712057689</v>
      </c>
      <c r="P144" s="5"/>
      <c r="Q144" s="5">
        <f t="shared" si="35"/>
        <v>1</v>
      </c>
      <c r="R144" s="7">
        <f t="shared" si="36"/>
        <v>17889</v>
      </c>
      <c r="S144" s="5">
        <f t="shared" si="37"/>
        <v>1</v>
      </c>
      <c r="T144" s="7">
        <f t="shared" si="34"/>
        <v>17889</v>
      </c>
    </row>
    <row r="145" spans="1:20">
      <c r="A145" s="23" t="s">
        <v>166</v>
      </c>
      <c r="B145" s="35" t="s">
        <v>167</v>
      </c>
      <c r="C145" s="36">
        <v>494</v>
      </c>
      <c r="D145" s="6"/>
      <c r="E145" s="113">
        <v>13476366</v>
      </c>
      <c r="F145" s="116">
        <f t="shared" si="29"/>
        <v>27280.093117408906</v>
      </c>
      <c r="G145" s="117">
        <v>6992897</v>
      </c>
      <c r="H145" s="117">
        <f t="shared" si="27"/>
        <v>14155.661943319838</v>
      </c>
      <c r="I145" s="9"/>
      <c r="J145" s="10">
        <v>1.3915999999999999</v>
      </c>
      <c r="K145" s="117">
        <v>9731</v>
      </c>
      <c r="L145" s="120">
        <f t="shared" si="38"/>
        <v>19.698380566801621</v>
      </c>
      <c r="M145" s="122">
        <f t="shared" si="31"/>
        <v>69928.97</v>
      </c>
      <c r="N145" s="116">
        <f t="shared" si="32"/>
        <v>60197.97</v>
      </c>
      <c r="O145" s="123">
        <f t="shared" si="33"/>
        <v>121.85823886639676</v>
      </c>
      <c r="P145" s="5"/>
      <c r="Q145" s="5">
        <f t="shared" si="35"/>
        <v>1</v>
      </c>
      <c r="R145" s="7">
        <f t="shared" si="36"/>
        <v>494</v>
      </c>
      <c r="S145" s="5">
        <f t="shared" si="37"/>
        <v>1</v>
      </c>
      <c r="T145" s="7">
        <f t="shared" si="34"/>
        <v>494</v>
      </c>
    </row>
    <row r="146" spans="1:20">
      <c r="A146" s="23" t="s">
        <v>168</v>
      </c>
      <c r="B146" s="35" t="s">
        <v>167</v>
      </c>
      <c r="C146" s="36">
        <v>111</v>
      </c>
      <c r="D146" s="6"/>
      <c r="E146" s="113">
        <v>3552496</v>
      </c>
      <c r="F146" s="116">
        <f t="shared" si="29"/>
        <v>32004.468468468469</v>
      </c>
      <c r="G146" s="117">
        <v>1479714</v>
      </c>
      <c r="H146" s="117">
        <f t="shared" si="27"/>
        <v>13330.756756756757</v>
      </c>
      <c r="I146" s="9" t="s">
        <v>528</v>
      </c>
      <c r="J146" s="10"/>
      <c r="K146" s="117"/>
      <c r="L146" s="120"/>
      <c r="M146" s="122">
        <f t="shared" si="31"/>
        <v>14797.14</v>
      </c>
      <c r="N146" s="116">
        <f t="shared" si="32"/>
        <v>14797.14</v>
      </c>
      <c r="O146" s="123">
        <f t="shared" si="33"/>
        <v>133.30756756756756</v>
      </c>
      <c r="P146" s="5"/>
      <c r="Q146" s="5">
        <f t="shared" si="35"/>
        <v>1</v>
      </c>
      <c r="R146" s="7">
        <f t="shared" si="36"/>
        <v>111</v>
      </c>
      <c r="S146" s="5">
        <f t="shared" si="37"/>
        <v>0</v>
      </c>
      <c r="T146" s="7">
        <f t="shared" si="34"/>
        <v>0</v>
      </c>
    </row>
    <row r="147" spans="1:20">
      <c r="A147" s="23" t="s">
        <v>169</v>
      </c>
      <c r="B147" s="35" t="s">
        <v>167</v>
      </c>
      <c r="C147" s="36">
        <v>246</v>
      </c>
      <c r="D147" s="6"/>
      <c r="E147" s="113">
        <v>11676356</v>
      </c>
      <c r="F147" s="116">
        <f t="shared" si="29"/>
        <v>47464.861788617884</v>
      </c>
      <c r="G147" s="117">
        <v>5972776</v>
      </c>
      <c r="H147" s="117">
        <f t="shared" si="27"/>
        <v>24279.577235772358</v>
      </c>
      <c r="I147" s="7"/>
      <c r="J147" s="12">
        <v>2</v>
      </c>
      <c r="K147" s="117">
        <v>11946</v>
      </c>
      <c r="L147" s="120">
        <f>(K147/C147)</f>
        <v>48.560975609756099</v>
      </c>
      <c r="M147" s="122">
        <f t="shared" si="31"/>
        <v>59727.76</v>
      </c>
      <c r="N147" s="116">
        <f t="shared" si="32"/>
        <v>47781.760000000002</v>
      </c>
      <c r="O147" s="123">
        <f t="shared" si="33"/>
        <v>194.23479674796749</v>
      </c>
      <c r="P147" s="5"/>
      <c r="Q147" s="5">
        <f t="shared" si="35"/>
        <v>1</v>
      </c>
      <c r="R147" s="7">
        <f t="shared" si="36"/>
        <v>246</v>
      </c>
      <c r="S147" s="5">
        <f t="shared" si="37"/>
        <v>1</v>
      </c>
      <c r="T147" s="7">
        <f t="shared" si="34"/>
        <v>246</v>
      </c>
    </row>
    <row r="148" spans="1:20">
      <c r="A148" s="23" t="s">
        <v>170</v>
      </c>
      <c r="B148" s="35" t="s">
        <v>167</v>
      </c>
      <c r="C148" s="36">
        <v>920</v>
      </c>
      <c r="D148" s="6"/>
      <c r="E148" s="113">
        <v>31788506</v>
      </c>
      <c r="F148" s="116">
        <f t="shared" si="29"/>
        <v>34552.723913043475</v>
      </c>
      <c r="G148" s="117">
        <v>16089512</v>
      </c>
      <c r="H148" s="117">
        <f t="shared" si="27"/>
        <v>17488.599999999999</v>
      </c>
      <c r="I148" s="7"/>
      <c r="J148" s="10">
        <v>3.5</v>
      </c>
      <c r="K148" s="117">
        <v>56313</v>
      </c>
      <c r="L148" s="120">
        <f>(K148/C148)</f>
        <v>61.209782608695654</v>
      </c>
      <c r="M148" s="122">
        <f t="shared" si="31"/>
        <v>160895.12</v>
      </c>
      <c r="N148" s="116">
        <f t="shared" si="32"/>
        <v>104582.12</v>
      </c>
      <c r="O148" s="123">
        <f t="shared" si="33"/>
        <v>113.67621739130435</v>
      </c>
      <c r="P148" s="5"/>
      <c r="Q148" s="5">
        <f t="shared" si="35"/>
        <v>1</v>
      </c>
      <c r="R148" s="7">
        <f t="shared" si="36"/>
        <v>920</v>
      </c>
      <c r="S148" s="5">
        <f t="shared" si="37"/>
        <v>1</v>
      </c>
      <c r="T148" s="7">
        <f t="shared" si="34"/>
        <v>920</v>
      </c>
    </row>
    <row r="149" spans="1:20">
      <c r="A149" s="23" t="s">
        <v>171</v>
      </c>
      <c r="B149" s="35" t="s">
        <v>167</v>
      </c>
      <c r="C149" s="36">
        <v>2517</v>
      </c>
      <c r="D149" s="6"/>
      <c r="E149" s="113">
        <v>121826329</v>
      </c>
      <c r="F149" s="116">
        <f t="shared" si="29"/>
        <v>48401.40206595153</v>
      </c>
      <c r="G149" s="117">
        <v>71657546</v>
      </c>
      <c r="H149" s="117">
        <f t="shared" si="27"/>
        <v>28469.426301152165</v>
      </c>
      <c r="I149" s="9"/>
      <c r="J149" s="10">
        <v>4</v>
      </c>
      <c r="K149" s="117">
        <v>286630</v>
      </c>
      <c r="L149" s="120">
        <f>(K149/C149)</f>
        <v>113.87763210170839</v>
      </c>
      <c r="M149" s="122">
        <f t="shared" si="31"/>
        <v>716575.46</v>
      </c>
      <c r="N149" s="116">
        <f t="shared" si="32"/>
        <v>429945.45999999996</v>
      </c>
      <c r="O149" s="123">
        <f t="shared" si="33"/>
        <v>170.81663090981326</v>
      </c>
      <c r="P149" s="5"/>
      <c r="Q149" s="5">
        <f t="shared" si="35"/>
        <v>1</v>
      </c>
      <c r="R149" s="7">
        <f t="shared" si="36"/>
        <v>2517</v>
      </c>
      <c r="S149" s="5">
        <f t="shared" si="37"/>
        <v>1</v>
      </c>
      <c r="T149" s="7">
        <f t="shared" si="34"/>
        <v>2517</v>
      </c>
    </row>
    <row r="150" spans="1:20">
      <c r="A150" s="23" t="s">
        <v>172</v>
      </c>
      <c r="B150" s="35" t="s">
        <v>167</v>
      </c>
      <c r="C150" s="36">
        <v>940</v>
      </c>
      <c r="D150" s="6"/>
      <c r="E150" s="113">
        <v>27150600</v>
      </c>
      <c r="F150" s="116">
        <f t="shared" si="29"/>
        <v>28883.617021276597</v>
      </c>
      <c r="G150" s="117">
        <v>12060394</v>
      </c>
      <c r="H150" s="117">
        <f t="shared" si="27"/>
        <v>12830.206382978724</v>
      </c>
      <c r="I150" s="9" t="s">
        <v>528</v>
      </c>
      <c r="J150" s="10"/>
      <c r="K150" s="117"/>
      <c r="L150" s="120"/>
      <c r="M150" s="122">
        <f t="shared" si="31"/>
        <v>120603.94</v>
      </c>
      <c r="N150" s="116">
        <f t="shared" si="32"/>
        <v>120603.94</v>
      </c>
      <c r="O150" s="123">
        <f t="shared" si="33"/>
        <v>128.30206382978724</v>
      </c>
      <c r="P150" s="5"/>
      <c r="Q150" s="5">
        <f t="shared" si="35"/>
        <v>1</v>
      </c>
      <c r="R150" s="7">
        <f t="shared" si="36"/>
        <v>940</v>
      </c>
      <c r="S150" s="5">
        <f t="shared" si="37"/>
        <v>0</v>
      </c>
      <c r="T150" s="7">
        <f t="shared" si="34"/>
        <v>0</v>
      </c>
    </row>
    <row r="151" spans="1:20">
      <c r="A151" s="23" t="s">
        <v>173</v>
      </c>
      <c r="B151" s="35" t="s">
        <v>167</v>
      </c>
      <c r="C151" s="36">
        <v>778</v>
      </c>
      <c r="D151" s="6"/>
      <c r="E151" s="113">
        <v>25332372</v>
      </c>
      <c r="F151" s="116">
        <f t="shared" si="29"/>
        <v>32560.889460154242</v>
      </c>
      <c r="G151" s="117">
        <v>12807543</v>
      </c>
      <c r="H151" s="117">
        <f t="shared" si="27"/>
        <v>16462.137532133675</v>
      </c>
      <c r="I151" s="7"/>
      <c r="J151" s="11">
        <v>1</v>
      </c>
      <c r="K151" s="117">
        <v>12808</v>
      </c>
      <c r="L151" s="120">
        <f>(K151/C151)</f>
        <v>16.462724935732648</v>
      </c>
      <c r="M151" s="122">
        <f t="shared" si="31"/>
        <v>128075.43000000001</v>
      </c>
      <c r="N151" s="116">
        <f t="shared" si="32"/>
        <v>115267.43000000001</v>
      </c>
      <c r="O151" s="123">
        <f t="shared" si="33"/>
        <v>148.15865038560412</v>
      </c>
      <c r="P151" s="5"/>
      <c r="Q151" s="5">
        <f t="shared" si="35"/>
        <v>1</v>
      </c>
      <c r="R151" s="7">
        <f t="shared" si="36"/>
        <v>778</v>
      </c>
      <c r="S151" s="5">
        <f t="shared" si="37"/>
        <v>1</v>
      </c>
      <c r="T151" s="7">
        <f t="shared" si="34"/>
        <v>778</v>
      </c>
    </row>
    <row r="152" spans="1:20">
      <c r="A152" s="23" t="s">
        <v>508</v>
      </c>
      <c r="B152" s="35" t="s">
        <v>167</v>
      </c>
      <c r="C152" s="36">
        <v>299</v>
      </c>
      <c r="D152" s="6"/>
      <c r="E152" s="113">
        <v>6885761</v>
      </c>
      <c r="F152" s="116">
        <f t="shared" si="29"/>
        <v>23029.301003344481</v>
      </c>
      <c r="G152" s="117">
        <v>3334502</v>
      </c>
      <c r="H152" s="117">
        <f t="shared" si="27"/>
        <v>11152.180602006689</v>
      </c>
      <c r="I152" s="9"/>
      <c r="J152" s="10">
        <v>3</v>
      </c>
      <c r="K152" s="117">
        <v>10004</v>
      </c>
      <c r="L152" s="120">
        <f>(K152/C152)</f>
        <v>33.458193979933114</v>
      </c>
      <c r="M152" s="122">
        <f t="shared" si="31"/>
        <v>33345.020000000004</v>
      </c>
      <c r="N152" s="116">
        <f t="shared" si="32"/>
        <v>23341.020000000004</v>
      </c>
      <c r="O152" s="123">
        <f t="shared" si="33"/>
        <v>78.063612040133791</v>
      </c>
      <c r="P152" s="5"/>
      <c r="Q152" s="5">
        <f t="shared" si="35"/>
        <v>1</v>
      </c>
      <c r="R152" s="7">
        <f t="shared" si="36"/>
        <v>299</v>
      </c>
      <c r="S152" s="5">
        <f t="shared" si="37"/>
        <v>1</v>
      </c>
      <c r="T152" s="7">
        <f t="shared" si="34"/>
        <v>299</v>
      </c>
    </row>
    <row r="153" spans="1:20">
      <c r="A153" s="23" t="s">
        <v>175</v>
      </c>
      <c r="B153" s="35" t="s">
        <v>167</v>
      </c>
      <c r="C153" s="36">
        <v>3882</v>
      </c>
      <c r="D153" s="6"/>
      <c r="E153" s="113">
        <v>46780104</v>
      </c>
      <c r="F153" s="116">
        <f t="shared" si="29"/>
        <v>12050.516228748069</v>
      </c>
      <c r="G153" s="117">
        <v>11719216</v>
      </c>
      <c r="H153" s="117">
        <f t="shared" si="27"/>
        <v>3018.86038124678</v>
      </c>
      <c r="I153" s="9" t="s">
        <v>528</v>
      </c>
      <c r="J153" s="10"/>
      <c r="K153" s="117"/>
      <c r="L153" s="120"/>
      <c r="M153" s="122">
        <f t="shared" si="31"/>
        <v>117192.16</v>
      </c>
      <c r="N153" s="116">
        <f t="shared" si="32"/>
        <v>117192.16</v>
      </c>
      <c r="O153" s="123">
        <f t="shared" si="33"/>
        <v>30.1886038124678</v>
      </c>
      <c r="P153" s="5"/>
      <c r="Q153" s="5">
        <f t="shared" si="35"/>
        <v>1</v>
      </c>
      <c r="R153" s="7">
        <f t="shared" si="36"/>
        <v>3882</v>
      </c>
      <c r="S153" s="5">
        <f t="shared" si="37"/>
        <v>0</v>
      </c>
      <c r="T153" s="7">
        <f t="shared" si="34"/>
        <v>0</v>
      </c>
    </row>
    <row r="154" spans="1:20">
      <c r="A154" s="23" t="s">
        <v>176</v>
      </c>
      <c r="B154" s="35" t="s">
        <v>167</v>
      </c>
      <c r="C154" s="36">
        <v>6493</v>
      </c>
      <c r="D154" s="6"/>
      <c r="E154" s="113">
        <v>385818322</v>
      </c>
      <c r="F154" s="116">
        <f t="shared" si="29"/>
        <v>59420.656399199135</v>
      </c>
      <c r="G154" s="117">
        <v>226474075</v>
      </c>
      <c r="H154" s="117">
        <f t="shared" si="27"/>
        <v>34879.728168797163</v>
      </c>
      <c r="I154" s="7"/>
      <c r="J154" s="11">
        <v>2.952</v>
      </c>
      <c r="K154" s="117">
        <v>668551</v>
      </c>
      <c r="L154" s="120">
        <f t="shared" ref="L154:L198" si="39">(K154/C154)</f>
        <v>102.96488526105036</v>
      </c>
      <c r="M154" s="122">
        <f t="shared" si="31"/>
        <v>2264740.75</v>
      </c>
      <c r="N154" s="116">
        <f t="shared" si="32"/>
        <v>1596189.75</v>
      </c>
      <c r="O154" s="123">
        <f t="shared" si="33"/>
        <v>245.83239642692129</v>
      </c>
      <c r="P154" s="5"/>
      <c r="Q154" s="5">
        <f t="shared" si="35"/>
        <v>1</v>
      </c>
      <c r="R154" s="7">
        <f t="shared" si="36"/>
        <v>6493</v>
      </c>
      <c r="S154" s="5">
        <f t="shared" si="37"/>
        <v>1</v>
      </c>
      <c r="T154" s="7">
        <f t="shared" si="34"/>
        <v>6493</v>
      </c>
    </row>
    <row r="155" spans="1:20">
      <c r="A155" s="23" t="s">
        <v>177</v>
      </c>
      <c r="B155" s="35" t="s">
        <v>167</v>
      </c>
      <c r="C155" s="36">
        <v>1986</v>
      </c>
      <c r="D155" s="6"/>
      <c r="E155" s="113">
        <v>66542261</v>
      </c>
      <c r="F155" s="116">
        <f t="shared" si="29"/>
        <v>33505.670191339377</v>
      </c>
      <c r="G155" s="117">
        <v>32266359</v>
      </c>
      <c r="H155" s="117">
        <f t="shared" si="27"/>
        <v>16246.907854984895</v>
      </c>
      <c r="I155" s="7"/>
      <c r="J155" s="10">
        <v>0.51680000000000004</v>
      </c>
      <c r="K155" s="117">
        <v>16675</v>
      </c>
      <c r="L155" s="120">
        <f t="shared" si="39"/>
        <v>8.3962739174219543</v>
      </c>
      <c r="M155" s="122">
        <f t="shared" si="31"/>
        <v>322663.59000000003</v>
      </c>
      <c r="N155" s="116">
        <f t="shared" si="32"/>
        <v>305988.59000000003</v>
      </c>
      <c r="O155" s="123">
        <f t="shared" si="33"/>
        <v>154.07280463242699</v>
      </c>
      <c r="P155" s="5"/>
      <c r="Q155" s="5">
        <f t="shared" si="35"/>
        <v>1</v>
      </c>
      <c r="R155" s="7">
        <f t="shared" si="36"/>
        <v>1986</v>
      </c>
      <c r="S155" s="5">
        <f t="shared" si="37"/>
        <v>1</v>
      </c>
      <c r="T155" s="7">
        <f t="shared" si="34"/>
        <v>1986</v>
      </c>
    </row>
    <row r="156" spans="1:20">
      <c r="A156" s="23" t="s">
        <v>178</v>
      </c>
      <c r="B156" s="35" t="s">
        <v>179</v>
      </c>
      <c r="C156" s="36">
        <v>2537</v>
      </c>
      <c r="D156" s="6"/>
      <c r="E156" s="113">
        <v>166809433</v>
      </c>
      <c r="F156" s="116">
        <f t="shared" si="29"/>
        <v>65750.663381947175</v>
      </c>
      <c r="G156" s="117">
        <v>96681458</v>
      </c>
      <c r="H156" s="117">
        <f t="shared" si="27"/>
        <v>38108.576271186437</v>
      </c>
      <c r="I156" s="7"/>
      <c r="J156" s="10">
        <v>6.2</v>
      </c>
      <c r="K156" s="117">
        <v>599425</v>
      </c>
      <c r="L156" s="120">
        <f t="shared" si="39"/>
        <v>236.27315727236893</v>
      </c>
      <c r="M156" s="122">
        <f t="shared" si="31"/>
        <v>966814.58000000007</v>
      </c>
      <c r="N156" s="116">
        <f t="shared" si="32"/>
        <v>367389.58000000007</v>
      </c>
      <c r="O156" s="123">
        <f t="shared" si="33"/>
        <v>144.81260543949548</v>
      </c>
      <c r="P156" s="5"/>
      <c r="Q156" s="5">
        <f t="shared" si="35"/>
        <v>1</v>
      </c>
      <c r="R156" s="7">
        <f t="shared" si="36"/>
        <v>2537</v>
      </c>
      <c r="S156" s="5">
        <f t="shared" si="37"/>
        <v>1</v>
      </c>
      <c r="T156" s="7">
        <f t="shared" si="34"/>
        <v>2537</v>
      </c>
    </row>
    <row r="157" spans="1:20">
      <c r="A157" s="23" t="s">
        <v>180</v>
      </c>
      <c r="B157" s="35" t="s">
        <v>181</v>
      </c>
      <c r="C157" s="36">
        <v>1009</v>
      </c>
      <c r="D157" s="6"/>
      <c r="E157" s="113">
        <v>47491413</v>
      </c>
      <c r="F157" s="116">
        <f t="shared" si="29"/>
        <v>47067.802775024778</v>
      </c>
      <c r="G157" s="117">
        <v>23152362</v>
      </c>
      <c r="H157" s="117">
        <f t="shared" si="27"/>
        <v>22945.849355797818</v>
      </c>
      <c r="I157" s="7"/>
      <c r="J157" s="10">
        <v>4.1005000000000003</v>
      </c>
      <c r="K157" s="117">
        <v>94936</v>
      </c>
      <c r="L157" s="120">
        <f t="shared" si="39"/>
        <v>94.089197224975223</v>
      </c>
      <c r="M157" s="122">
        <f t="shared" si="31"/>
        <v>231523.62</v>
      </c>
      <c r="N157" s="116">
        <f t="shared" si="32"/>
        <v>136587.62</v>
      </c>
      <c r="O157" s="123">
        <f t="shared" si="33"/>
        <v>135.36929633300298</v>
      </c>
      <c r="P157" s="5"/>
      <c r="Q157" s="5">
        <f t="shared" si="35"/>
        <v>1</v>
      </c>
      <c r="R157" s="7">
        <f t="shared" si="36"/>
        <v>1009</v>
      </c>
      <c r="S157" s="5">
        <f t="shared" si="37"/>
        <v>1</v>
      </c>
      <c r="T157" s="7">
        <f t="shared" si="34"/>
        <v>1009</v>
      </c>
    </row>
    <row r="158" spans="1:20">
      <c r="A158" s="23" t="s">
        <v>182</v>
      </c>
      <c r="B158" s="35" t="s">
        <v>183</v>
      </c>
      <c r="C158" s="36">
        <v>1643</v>
      </c>
      <c r="D158" s="6"/>
      <c r="E158" s="113">
        <v>98548788</v>
      </c>
      <c r="F158" s="116">
        <f t="shared" si="29"/>
        <v>59981.003043213634</v>
      </c>
      <c r="G158" s="113">
        <v>68389036</v>
      </c>
      <c r="H158" s="117">
        <f t="shared" si="27"/>
        <v>41624.489348752286</v>
      </c>
      <c r="I158" s="7"/>
      <c r="J158" s="10">
        <v>4.5</v>
      </c>
      <c r="K158" s="117">
        <v>307751</v>
      </c>
      <c r="L158" s="120">
        <f t="shared" si="39"/>
        <v>187.3104077906269</v>
      </c>
      <c r="M158" s="122">
        <f t="shared" si="31"/>
        <v>683890.36</v>
      </c>
      <c r="N158" s="116">
        <f t="shared" si="32"/>
        <v>376139.36</v>
      </c>
      <c r="O158" s="123">
        <f t="shared" si="33"/>
        <v>228.9344856968959</v>
      </c>
      <c r="P158" s="5"/>
      <c r="Q158" s="5">
        <f t="shared" si="35"/>
        <v>1</v>
      </c>
      <c r="R158" s="7">
        <f t="shared" si="36"/>
        <v>1643</v>
      </c>
      <c r="S158" s="5">
        <f t="shared" si="37"/>
        <v>1</v>
      </c>
      <c r="T158" s="7">
        <f t="shared" si="34"/>
        <v>1643</v>
      </c>
    </row>
    <row r="159" spans="1:20">
      <c r="A159" s="23" t="s">
        <v>184</v>
      </c>
      <c r="B159" s="35" t="s">
        <v>183</v>
      </c>
      <c r="C159" s="36">
        <v>23476</v>
      </c>
      <c r="D159" s="6"/>
      <c r="E159" s="113">
        <v>3218710836</v>
      </c>
      <c r="F159" s="116">
        <f t="shared" si="29"/>
        <v>137106.44215368887</v>
      </c>
      <c r="G159" s="117">
        <v>2425713561</v>
      </c>
      <c r="H159" s="117">
        <f t="shared" si="27"/>
        <v>103327.37949395127</v>
      </c>
      <c r="I159" s="7"/>
      <c r="J159" s="10">
        <v>3.1419999999999999</v>
      </c>
      <c r="K159" s="117">
        <v>7621592</v>
      </c>
      <c r="L159" s="120">
        <f t="shared" si="39"/>
        <v>324.65462600102234</v>
      </c>
      <c r="M159" s="122">
        <f t="shared" si="31"/>
        <v>24257135.609999999</v>
      </c>
      <c r="N159" s="116">
        <f t="shared" si="32"/>
        <v>16635543.609999999</v>
      </c>
      <c r="O159" s="123">
        <f t="shared" si="33"/>
        <v>708.61916893849036</v>
      </c>
      <c r="P159" s="5"/>
      <c r="Q159" s="5">
        <f t="shared" si="35"/>
        <v>1</v>
      </c>
      <c r="R159" s="7">
        <f t="shared" si="36"/>
        <v>23476</v>
      </c>
      <c r="S159" s="5">
        <f t="shared" si="37"/>
        <v>1</v>
      </c>
      <c r="T159" s="7">
        <f t="shared" si="34"/>
        <v>23476</v>
      </c>
    </row>
    <row r="160" spans="1:20">
      <c r="A160" s="23" t="s">
        <v>185</v>
      </c>
      <c r="B160" s="35" t="s">
        <v>183</v>
      </c>
      <c r="C160" s="36">
        <v>18354</v>
      </c>
      <c r="D160" s="6"/>
      <c r="E160" s="113">
        <v>1500333355</v>
      </c>
      <c r="F160" s="116">
        <f t="shared" si="29"/>
        <v>81744.216791979954</v>
      </c>
      <c r="G160" s="117">
        <v>1019584999</v>
      </c>
      <c r="H160" s="117">
        <f t="shared" ref="H160:H223" si="40">(G160/C160)</f>
        <v>55551.105971450364</v>
      </c>
      <c r="I160" s="7"/>
      <c r="J160" s="10">
        <v>4.7083000000000004</v>
      </c>
      <c r="K160" s="117">
        <v>4800512</v>
      </c>
      <c r="L160" s="120">
        <f t="shared" si="39"/>
        <v>261.55126947804291</v>
      </c>
      <c r="M160" s="122">
        <f t="shared" si="31"/>
        <v>10195849.99</v>
      </c>
      <c r="N160" s="116">
        <f t="shared" si="32"/>
        <v>5395337.9900000002</v>
      </c>
      <c r="O160" s="123">
        <f t="shared" si="33"/>
        <v>293.95979023646072</v>
      </c>
      <c r="P160" s="5"/>
      <c r="Q160" s="5">
        <f t="shared" si="35"/>
        <v>1</v>
      </c>
      <c r="R160" s="7">
        <f t="shared" si="36"/>
        <v>18354</v>
      </c>
      <c r="S160" s="5">
        <f t="shared" si="37"/>
        <v>1</v>
      </c>
      <c r="T160" s="7">
        <f t="shared" si="34"/>
        <v>18354</v>
      </c>
    </row>
    <row r="161" spans="1:20">
      <c r="A161" s="23" t="s">
        <v>186</v>
      </c>
      <c r="B161" s="35" t="s">
        <v>183</v>
      </c>
      <c r="C161" s="36">
        <v>3901</v>
      </c>
      <c r="D161" s="6"/>
      <c r="E161" s="113">
        <v>298168928</v>
      </c>
      <c r="F161" s="116">
        <f t="shared" ref="F161:F224" si="41">(E161/C161)</f>
        <v>76433.972827480131</v>
      </c>
      <c r="G161" s="117">
        <v>210128211</v>
      </c>
      <c r="H161" s="117">
        <f t="shared" si="40"/>
        <v>53865.216867469877</v>
      </c>
      <c r="I161" s="7"/>
      <c r="J161" s="10">
        <v>4.3600000000000003</v>
      </c>
      <c r="K161" s="117">
        <v>916159</v>
      </c>
      <c r="L161" s="120">
        <f t="shared" si="39"/>
        <v>234.85234555242246</v>
      </c>
      <c r="M161" s="122">
        <f t="shared" si="31"/>
        <v>2101282.11</v>
      </c>
      <c r="N161" s="116">
        <f t="shared" si="32"/>
        <v>1185123.1099999999</v>
      </c>
      <c r="O161" s="123">
        <f t="shared" si="33"/>
        <v>303.79982312227628</v>
      </c>
      <c r="P161" s="5"/>
      <c r="Q161" s="5">
        <f t="shared" si="35"/>
        <v>1</v>
      </c>
      <c r="R161" s="7">
        <f t="shared" si="36"/>
        <v>3901</v>
      </c>
      <c r="S161" s="5">
        <f t="shared" si="37"/>
        <v>1</v>
      </c>
      <c r="T161" s="7">
        <f t="shared" si="34"/>
        <v>3901</v>
      </c>
    </row>
    <row r="162" spans="1:20">
      <c r="A162" s="23" t="s">
        <v>187</v>
      </c>
      <c r="B162" s="35" t="s">
        <v>183</v>
      </c>
      <c r="C162" s="36">
        <v>7207</v>
      </c>
      <c r="D162" s="6"/>
      <c r="E162" s="113">
        <v>807241208</v>
      </c>
      <c r="F162" s="116">
        <f t="shared" si="41"/>
        <v>112007.93783821285</v>
      </c>
      <c r="G162" s="117">
        <v>655998705</v>
      </c>
      <c r="H162" s="117">
        <f t="shared" si="40"/>
        <v>91022.437213819896</v>
      </c>
      <c r="I162" s="7"/>
      <c r="J162" s="10">
        <v>4.8205</v>
      </c>
      <c r="K162" s="117">
        <v>3162242</v>
      </c>
      <c r="L162" s="120">
        <f t="shared" si="39"/>
        <v>438.77369224365202</v>
      </c>
      <c r="M162" s="122">
        <f t="shared" si="31"/>
        <v>6559987.0499999998</v>
      </c>
      <c r="N162" s="116">
        <f t="shared" si="32"/>
        <v>3397745.05</v>
      </c>
      <c r="O162" s="123">
        <f t="shared" si="33"/>
        <v>471.45067989454697</v>
      </c>
      <c r="P162" s="5"/>
      <c r="Q162" s="5">
        <f t="shared" si="35"/>
        <v>1</v>
      </c>
      <c r="R162" s="7">
        <f t="shared" si="36"/>
        <v>7207</v>
      </c>
      <c r="S162" s="5">
        <f t="shared" si="37"/>
        <v>1</v>
      </c>
      <c r="T162" s="7">
        <f t="shared" si="34"/>
        <v>7207</v>
      </c>
    </row>
    <row r="163" spans="1:20">
      <c r="A163" s="23" t="s">
        <v>188</v>
      </c>
      <c r="B163" s="35" t="s">
        <v>183</v>
      </c>
      <c r="C163" s="36">
        <v>1215</v>
      </c>
      <c r="D163" s="6"/>
      <c r="E163" s="113">
        <v>147767893</v>
      </c>
      <c r="F163" s="116">
        <f t="shared" si="41"/>
        <v>121619.66502057613</v>
      </c>
      <c r="G163" s="117">
        <v>106407748</v>
      </c>
      <c r="H163" s="117">
        <f t="shared" si="40"/>
        <v>87578.393415637867</v>
      </c>
      <c r="I163" s="7"/>
      <c r="J163" s="10">
        <v>5.99</v>
      </c>
      <c r="K163" s="117">
        <v>637382</v>
      </c>
      <c r="L163" s="120">
        <f t="shared" si="39"/>
        <v>524.59423868312763</v>
      </c>
      <c r="M163" s="122">
        <f t="shared" si="31"/>
        <v>1064077.48</v>
      </c>
      <c r="N163" s="116">
        <f t="shared" si="32"/>
        <v>426695.48</v>
      </c>
      <c r="O163" s="123">
        <f t="shared" si="33"/>
        <v>351.18969547325099</v>
      </c>
      <c r="P163" s="5"/>
      <c r="Q163" s="5">
        <f t="shared" si="35"/>
        <v>1</v>
      </c>
      <c r="R163" s="7">
        <f t="shared" si="36"/>
        <v>1215</v>
      </c>
      <c r="S163" s="5">
        <f t="shared" si="37"/>
        <v>1</v>
      </c>
      <c r="T163" s="7">
        <f t="shared" si="34"/>
        <v>1215</v>
      </c>
    </row>
    <row r="164" spans="1:20">
      <c r="A164" s="23" t="s">
        <v>189</v>
      </c>
      <c r="B164" s="35" t="s">
        <v>183</v>
      </c>
      <c r="C164" s="36">
        <v>13117</v>
      </c>
      <c r="D164" s="6"/>
      <c r="E164" s="113">
        <v>1347605642</v>
      </c>
      <c r="F164" s="116">
        <f t="shared" si="41"/>
        <v>102737.33643363573</v>
      </c>
      <c r="G164" s="117">
        <v>856757921</v>
      </c>
      <c r="H164" s="117">
        <f t="shared" si="40"/>
        <v>65316.606007471222</v>
      </c>
      <c r="I164" s="7"/>
      <c r="J164" s="10">
        <v>3.0870000000000002</v>
      </c>
      <c r="K164" s="117">
        <v>2644812</v>
      </c>
      <c r="L164" s="120">
        <f t="shared" si="39"/>
        <v>201.63238545399099</v>
      </c>
      <c r="M164" s="122">
        <f t="shared" si="31"/>
        <v>8567579.2100000009</v>
      </c>
      <c r="N164" s="116">
        <f t="shared" si="32"/>
        <v>5922767.2100000009</v>
      </c>
      <c r="O164" s="123">
        <f t="shared" si="33"/>
        <v>451.53367462072129</v>
      </c>
      <c r="P164" s="5"/>
      <c r="Q164" s="5">
        <f t="shared" si="35"/>
        <v>1</v>
      </c>
      <c r="R164" s="7">
        <f t="shared" si="36"/>
        <v>13117</v>
      </c>
      <c r="S164" s="5">
        <f t="shared" si="37"/>
        <v>1</v>
      </c>
      <c r="T164" s="7">
        <f t="shared" si="34"/>
        <v>13117</v>
      </c>
    </row>
    <row r="165" spans="1:20">
      <c r="A165" s="23" t="s">
        <v>190</v>
      </c>
      <c r="B165" s="35" t="s">
        <v>183</v>
      </c>
      <c r="C165" s="36">
        <v>20093</v>
      </c>
      <c r="D165" s="6"/>
      <c r="E165" s="113">
        <v>2047187064</v>
      </c>
      <c r="F165" s="116">
        <f t="shared" si="41"/>
        <v>101885.58522868661</v>
      </c>
      <c r="G165" s="117">
        <v>1530372368</v>
      </c>
      <c r="H165" s="117">
        <f t="shared" si="40"/>
        <v>76164.453690339913</v>
      </c>
      <c r="I165" s="7"/>
      <c r="J165" s="10">
        <v>4.3178999999999998</v>
      </c>
      <c r="K165" s="117">
        <v>6607995</v>
      </c>
      <c r="L165" s="120">
        <f t="shared" si="39"/>
        <v>328.87050216493304</v>
      </c>
      <c r="M165" s="122">
        <f t="shared" si="31"/>
        <v>15303723.68</v>
      </c>
      <c r="N165" s="116">
        <f t="shared" si="32"/>
        <v>8695728.6799999997</v>
      </c>
      <c r="O165" s="123">
        <f t="shared" si="33"/>
        <v>432.77403473846613</v>
      </c>
      <c r="P165" s="5"/>
      <c r="Q165" s="5">
        <f t="shared" si="35"/>
        <v>1</v>
      </c>
      <c r="R165" s="7">
        <f t="shared" si="36"/>
        <v>20093</v>
      </c>
      <c r="S165" s="5">
        <f t="shared" si="37"/>
        <v>1</v>
      </c>
      <c r="T165" s="7">
        <f t="shared" si="34"/>
        <v>20093</v>
      </c>
    </row>
    <row r="166" spans="1:20">
      <c r="A166" s="23" t="s">
        <v>191</v>
      </c>
      <c r="B166" s="35" t="s">
        <v>183</v>
      </c>
      <c r="C166" s="36">
        <v>4516</v>
      </c>
      <c r="D166" s="6"/>
      <c r="E166" s="113">
        <v>282517351</v>
      </c>
      <c r="F166" s="116">
        <f t="shared" si="41"/>
        <v>62559.200841452614</v>
      </c>
      <c r="G166" s="117">
        <v>192638978</v>
      </c>
      <c r="H166" s="117">
        <f t="shared" si="40"/>
        <v>42656.99247121346</v>
      </c>
      <c r="I166" s="7"/>
      <c r="J166" s="10">
        <v>5.9989999999999997</v>
      </c>
      <c r="K166" s="117">
        <v>1155641</v>
      </c>
      <c r="L166" s="120">
        <f t="shared" si="39"/>
        <v>255.89924712134632</v>
      </c>
      <c r="M166" s="122">
        <f t="shared" si="31"/>
        <v>1926389.78</v>
      </c>
      <c r="N166" s="116">
        <f t="shared" si="32"/>
        <v>770748.78</v>
      </c>
      <c r="O166" s="123">
        <f t="shared" si="33"/>
        <v>170.6706775907883</v>
      </c>
      <c r="P166" s="5"/>
      <c r="Q166" s="5">
        <f t="shared" si="35"/>
        <v>1</v>
      </c>
      <c r="R166" s="7">
        <f t="shared" si="36"/>
        <v>4516</v>
      </c>
      <c r="S166" s="5">
        <f t="shared" si="37"/>
        <v>1</v>
      </c>
      <c r="T166" s="7">
        <f t="shared" si="34"/>
        <v>4516</v>
      </c>
    </row>
    <row r="167" spans="1:20">
      <c r="A167" s="23" t="s">
        <v>192</v>
      </c>
      <c r="B167" s="35" t="s">
        <v>183</v>
      </c>
      <c r="C167" s="36">
        <v>9044</v>
      </c>
      <c r="D167" s="6"/>
      <c r="E167" s="113">
        <v>774528263</v>
      </c>
      <c r="F167" s="116">
        <f t="shared" si="41"/>
        <v>85640.011388766026</v>
      </c>
      <c r="G167" s="117">
        <v>547886236</v>
      </c>
      <c r="H167" s="117">
        <f t="shared" si="40"/>
        <v>60580.07916850951</v>
      </c>
      <c r="I167" s="7"/>
      <c r="J167" s="10">
        <v>4.4989999999999997</v>
      </c>
      <c r="K167" s="117">
        <v>2464940</v>
      </c>
      <c r="L167" s="120">
        <f t="shared" si="39"/>
        <v>272.54975674480318</v>
      </c>
      <c r="M167" s="122">
        <f t="shared" si="31"/>
        <v>5478862.3600000003</v>
      </c>
      <c r="N167" s="116">
        <f t="shared" si="32"/>
        <v>3013922.3600000003</v>
      </c>
      <c r="O167" s="123">
        <f t="shared" si="33"/>
        <v>333.25103494029196</v>
      </c>
      <c r="P167" s="5"/>
      <c r="Q167" s="5">
        <f t="shared" si="35"/>
        <v>1</v>
      </c>
      <c r="R167" s="7">
        <f t="shared" si="36"/>
        <v>9044</v>
      </c>
      <c r="S167" s="5">
        <f t="shared" si="37"/>
        <v>1</v>
      </c>
      <c r="T167" s="7">
        <f t="shared" si="34"/>
        <v>9044</v>
      </c>
    </row>
    <row r="168" spans="1:20">
      <c r="A168" s="23" t="s">
        <v>193</v>
      </c>
      <c r="B168" s="35" t="s">
        <v>183</v>
      </c>
      <c r="C168" s="36">
        <v>1196</v>
      </c>
      <c r="D168" s="6"/>
      <c r="E168" s="113">
        <v>158084915</v>
      </c>
      <c r="F168" s="116">
        <f t="shared" si="41"/>
        <v>132178.02257525083</v>
      </c>
      <c r="G168" s="117">
        <v>103115467</v>
      </c>
      <c r="H168" s="117">
        <f t="shared" si="40"/>
        <v>86216.945652173919</v>
      </c>
      <c r="I168" s="7"/>
      <c r="J168" s="10">
        <v>2.83</v>
      </c>
      <c r="K168" s="117">
        <v>291817</v>
      </c>
      <c r="L168" s="120">
        <f t="shared" si="39"/>
        <v>243.99414715719064</v>
      </c>
      <c r="M168" s="122">
        <f t="shared" si="31"/>
        <v>1031154.67</v>
      </c>
      <c r="N168" s="116">
        <f t="shared" si="32"/>
        <v>739337.67</v>
      </c>
      <c r="O168" s="123">
        <f t="shared" si="33"/>
        <v>618.17530936454853</v>
      </c>
      <c r="P168" s="5"/>
      <c r="Q168" s="5">
        <f t="shared" si="35"/>
        <v>1</v>
      </c>
      <c r="R168" s="7">
        <f t="shared" si="36"/>
        <v>1196</v>
      </c>
      <c r="S168" s="5">
        <f t="shared" si="37"/>
        <v>1</v>
      </c>
      <c r="T168" s="7">
        <f t="shared" si="34"/>
        <v>1196</v>
      </c>
    </row>
    <row r="169" spans="1:20">
      <c r="A169" s="23" t="s">
        <v>194</v>
      </c>
      <c r="B169" s="35" t="s">
        <v>183</v>
      </c>
      <c r="C169" s="36">
        <v>11290</v>
      </c>
      <c r="D169" s="6"/>
      <c r="E169" s="113">
        <v>1421040869</v>
      </c>
      <c r="F169" s="116">
        <f t="shared" si="41"/>
        <v>125867.21603188662</v>
      </c>
      <c r="G169" s="117">
        <v>1059857506</v>
      </c>
      <c r="H169" s="117">
        <f t="shared" si="40"/>
        <v>93875.775553587242</v>
      </c>
      <c r="I169" s="7"/>
      <c r="J169" s="10">
        <v>5.0190000000000001</v>
      </c>
      <c r="K169" s="117">
        <v>5319425</v>
      </c>
      <c r="L169" s="120">
        <f t="shared" si="39"/>
        <v>471.1625332152347</v>
      </c>
      <c r="M169" s="122">
        <f t="shared" si="31"/>
        <v>10598575.060000001</v>
      </c>
      <c r="N169" s="116">
        <f t="shared" si="32"/>
        <v>5279150.0600000005</v>
      </c>
      <c r="O169" s="123">
        <f t="shared" si="33"/>
        <v>467.59522232063779</v>
      </c>
      <c r="P169" s="5"/>
      <c r="Q169" s="5">
        <f t="shared" si="35"/>
        <v>1</v>
      </c>
      <c r="R169" s="7">
        <f t="shared" si="36"/>
        <v>11290</v>
      </c>
      <c r="S169" s="5">
        <f t="shared" si="37"/>
        <v>1</v>
      </c>
      <c r="T169" s="7">
        <f t="shared" si="34"/>
        <v>11290</v>
      </c>
    </row>
    <row r="170" spans="1:20">
      <c r="A170" s="23" t="s">
        <v>195</v>
      </c>
      <c r="B170" s="35" t="s">
        <v>183</v>
      </c>
      <c r="C170" s="36">
        <v>13344</v>
      </c>
      <c r="D170" s="6"/>
      <c r="E170" s="113">
        <v>1410921652</v>
      </c>
      <c r="F170" s="116">
        <f t="shared" si="41"/>
        <v>105734.53627098321</v>
      </c>
      <c r="G170" s="117">
        <v>869300751</v>
      </c>
      <c r="H170" s="117">
        <f t="shared" si="40"/>
        <v>65145.439973021581</v>
      </c>
      <c r="I170" s="7"/>
      <c r="J170" s="10">
        <v>6.25</v>
      </c>
      <c r="K170" s="117">
        <v>5433130</v>
      </c>
      <c r="L170" s="120">
        <f t="shared" si="39"/>
        <v>407.15902278177458</v>
      </c>
      <c r="M170" s="122">
        <f t="shared" si="31"/>
        <v>8693007.5099999998</v>
      </c>
      <c r="N170" s="116">
        <f t="shared" si="32"/>
        <v>3259877.51</v>
      </c>
      <c r="O170" s="123">
        <f t="shared" si="33"/>
        <v>244.29537694844123</v>
      </c>
      <c r="P170" s="5"/>
      <c r="Q170" s="5">
        <f t="shared" si="35"/>
        <v>1</v>
      </c>
      <c r="R170" s="7">
        <f t="shared" si="36"/>
        <v>13344</v>
      </c>
      <c r="S170" s="5">
        <f t="shared" si="37"/>
        <v>1</v>
      </c>
      <c r="T170" s="7">
        <f t="shared" si="34"/>
        <v>13344</v>
      </c>
    </row>
    <row r="171" spans="1:20">
      <c r="A171" s="23" t="s">
        <v>196</v>
      </c>
      <c r="B171" s="35" t="s">
        <v>183</v>
      </c>
      <c r="C171" s="36">
        <v>2603</v>
      </c>
      <c r="D171" s="6"/>
      <c r="E171" s="113">
        <v>215746883</v>
      </c>
      <c r="F171" s="116">
        <f t="shared" si="41"/>
        <v>82883.935074913563</v>
      </c>
      <c r="G171" s="117">
        <v>140549326</v>
      </c>
      <c r="H171" s="117">
        <f t="shared" si="40"/>
        <v>53995.131002689202</v>
      </c>
      <c r="I171" s="7"/>
      <c r="J171" s="10">
        <v>6.5</v>
      </c>
      <c r="K171" s="117">
        <v>913571</v>
      </c>
      <c r="L171" s="120">
        <f t="shared" si="39"/>
        <v>350.96849788705339</v>
      </c>
      <c r="M171" s="122">
        <f t="shared" si="31"/>
        <v>1405493.26</v>
      </c>
      <c r="N171" s="116">
        <f t="shared" si="32"/>
        <v>491922.26</v>
      </c>
      <c r="O171" s="123">
        <f t="shared" si="33"/>
        <v>188.98281213983864</v>
      </c>
      <c r="P171" s="5"/>
      <c r="Q171" s="5">
        <f t="shared" si="35"/>
        <v>1</v>
      </c>
      <c r="R171" s="7">
        <f t="shared" si="36"/>
        <v>2603</v>
      </c>
      <c r="S171" s="5">
        <f t="shared" si="37"/>
        <v>1</v>
      </c>
      <c r="T171" s="7">
        <f t="shared" si="34"/>
        <v>2603</v>
      </c>
    </row>
    <row r="172" spans="1:20">
      <c r="A172" s="23" t="s">
        <v>448</v>
      </c>
      <c r="B172" s="35" t="s">
        <v>198</v>
      </c>
      <c r="C172" s="36">
        <v>46681</v>
      </c>
      <c r="D172" s="6"/>
      <c r="E172" s="113">
        <v>12148278014</v>
      </c>
      <c r="F172" s="116">
        <f t="shared" si="41"/>
        <v>260240.31220410875</v>
      </c>
      <c r="G172" s="117">
        <v>10154548924</v>
      </c>
      <c r="H172" s="117">
        <f t="shared" si="40"/>
        <v>217530.66395321436</v>
      </c>
      <c r="I172" s="7"/>
      <c r="J172" s="10">
        <v>0.82730000000000004</v>
      </c>
      <c r="K172" s="117">
        <v>8400858</v>
      </c>
      <c r="L172" s="120">
        <f t="shared" si="39"/>
        <v>179.96311133009146</v>
      </c>
      <c r="M172" s="122">
        <f t="shared" si="31"/>
        <v>101545489.24000001</v>
      </c>
      <c r="N172" s="116">
        <f t="shared" si="32"/>
        <v>93144631.24000001</v>
      </c>
      <c r="O172" s="123">
        <f t="shared" si="33"/>
        <v>1995.3435282020525</v>
      </c>
      <c r="P172" s="5"/>
      <c r="Q172" s="5">
        <f t="shared" si="35"/>
        <v>1</v>
      </c>
      <c r="R172" s="7">
        <f t="shared" si="36"/>
        <v>46681</v>
      </c>
      <c r="S172" s="5">
        <f t="shared" si="37"/>
        <v>1</v>
      </c>
      <c r="T172" s="7">
        <f t="shared" si="34"/>
        <v>46681</v>
      </c>
    </row>
    <row r="173" spans="1:20">
      <c r="A173" s="23" t="s">
        <v>197</v>
      </c>
      <c r="B173" s="35" t="s">
        <v>198</v>
      </c>
      <c r="C173" s="36">
        <v>165774</v>
      </c>
      <c r="D173" s="6"/>
      <c r="E173" s="113">
        <v>20932928500</v>
      </c>
      <c r="F173" s="116">
        <f t="shared" si="41"/>
        <v>126273.89397613618</v>
      </c>
      <c r="G173" s="117">
        <v>15696642250</v>
      </c>
      <c r="H173" s="117">
        <f t="shared" si="40"/>
        <v>94686.997056233187</v>
      </c>
      <c r="I173" s="7"/>
      <c r="J173" s="10">
        <v>4.7698</v>
      </c>
      <c r="K173" s="117">
        <v>74869844</v>
      </c>
      <c r="L173" s="120">
        <f t="shared" si="39"/>
        <v>451.63803732792837</v>
      </c>
      <c r="M173" s="122">
        <f t="shared" si="31"/>
        <v>156966422.5</v>
      </c>
      <c r="N173" s="116">
        <f t="shared" si="32"/>
        <v>82096578.5</v>
      </c>
      <c r="O173" s="123">
        <f t="shared" si="33"/>
        <v>495.23193323440347</v>
      </c>
      <c r="P173" s="5"/>
      <c r="Q173" s="5">
        <f t="shared" si="35"/>
        <v>1</v>
      </c>
      <c r="R173" s="7">
        <f t="shared" si="36"/>
        <v>165774</v>
      </c>
      <c r="S173" s="5">
        <f t="shared" si="37"/>
        <v>1</v>
      </c>
      <c r="T173" s="7">
        <f t="shared" si="34"/>
        <v>165774</v>
      </c>
    </row>
    <row r="174" spans="1:20">
      <c r="A174" s="23" t="s">
        <v>199</v>
      </c>
      <c r="B174" s="35" t="s">
        <v>198</v>
      </c>
      <c r="C174" s="36">
        <v>68689</v>
      </c>
      <c r="D174" s="6"/>
      <c r="E174" s="113">
        <v>9376867998</v>
      </c>
      <c r="F174" s="116">
        <f t="shared" si="41"/>
        <v>136511.93055656654</v>
      </c>
      <c r="G174" s="117">
        <v>6846798548</v>
      </c>
      <c r="H174" s="117">
        <f t="shared" si="40"/>
        <v>99678.238844647611</v>
      </c>
      <c r="I174" s="7"/>
      <c r="J174" s="10">
        <v>7.1634000000000002</v>
      </c>
      <c r="K174" s="117">
        <v>49046357</v>
      </c>
      <c r="L174" s="120">
        <f t="shared" si="39"/>
        <v>714.0351002343898</v>
      </c>
      <c r="M174" s="122">
        <f t="shared" si="31"/>
        <v>68467985.480000004</v>
      </c>
      <c r="N174" s="116">
        <f t="shared" si="32"/>
        <v>19421628.480000004</v>
      </c>
      <c r="O174" s="123">
        <f t="shared" si="33"/>
        <v>282.7472882120864</v>
      </c>
      <c r="P174" s="5"/>
      <c r="Q174" s="5">
        <f t="shared" si="35"/>
        <v>1</v>
      </c>
      <c r="R174" s="7">
        <f t="shared" si="36"/>
        <v>68689</v>
      </c>
      <c r="S174" s="5">
        <f t="shared" si="37"/>
        <v>1</v>
      </c>
      <c r="T174" s="7">
        <f t="shared" si="34"/>
        <v>68689</v>
      </c>
    </row>
    <row r="175" spans="1:20">
      <c r="A175" s="23" t="s">
        <v>200</v>
      </c>
      <c r="B175" s="35" t="s">
        <v>198</v>
      </c>
      <c r="C175" s="36">
        <v>6928</v>
      </c>
      <c r="D175" s="6"/>
      <c r="E175" s="113">
        <v>4038019750</v>
      </c>
      <c r="F175" s="116">
        <f t="shared" si="41"/>
        <v>582855.04474595841</v>
      </c>
      <c r="G175" s="117">
        <v>3422119910</v>
      </c>
      <c r="H175" s="117">
        <f t="shared" si="40"/>
        <v>493954.95236720552</v>
      </c>
      <c r="I175" s="7"/>
      <c r="J175" s="10">
        <v>0.70930000000000004</v>
      </c>
      <c r="K175" s="117">
        <v>2427310</v>
      </c>
      <c r="L175" s="120">
        <f t="shared" si="39"/>
        <v>350.36229792147805</v>
      </c>
      <c r="M175" s="122">
        <f t="shared" si="31"/>
        <v>34221199.100000001</v>
      </c>
      <c r="N175" s="116">
        <f t="shared" si="32"/>
        <v>31793889.100000001</v>
      </c>
      <c r="O175" s="123">
        <f t="shared" si="33"/>
        <v>4589.1872257505775</v>
      </c>
      <c r="P175" s="5"/>
      <c r="Q175" s="5">
        <f t="shared" si="35"/>
        <v>1</v>
      </c>
      <c r="R175" s="7">
        <f t="shared" si="36"/>
        <v>6928</v>
      </c>
      <c r="S175" s="5">
        <f t="shared" si="37"/>
        <v>1</v>
      </c>
      <c r="T175" s="7">
        <f t="shared" si="34"/>
        <v>6928</v>
      </c>
    </row>
    <row r="176" spans="1:20">
      <c r="A176" s="23" t="s">
        <v>201</v>
      </c>
      <c r="B176" s="35" t="s">
        <v>198</v>
      </c>
      <c r="C176" s="36">
        <v>6374</v>
      </c>
      <c r="D176" s="6"/>
      <c r="E176" s="113">
        <v>5668470210</v>
      </c>
      <c r="F176" s="116">
        <f t="shared" si="41"/>
        <v>889311.29745842481</v>
      </c>
      <c r="G176" s="117">
        <v>4898244150</v>
      </c>
      <c r="H176" s="117">
        <f t="shared" si="40"/>
        <v>768472.5682459994</v>
      </c>
      <c r="I176" s="7"/>
      <c r="J176" s="10">
        <v>2.1560999999999999</v>
      </c>
      <c r="K176" s="117">
        <v>10561104</v>
      </c>
      <c r="L176" s="120">
        <f t="shared" si="39"/>
        <v>1656.9036711641043</v>
      </c>
      <c r="M176" s="122">
        <f t="shared" si="31"/>
        <v>48982441.5</v>
      </c>
      <c r="N176" s="116">
        <f t="shared" si="32"/>
        <v>38421337.5</v>
      </c>
      <c r="O176" s="123">
        <f t="shared" si="33"/>
        <v>6027.8220112958898</v>
      </c>
      <c r="P176" s="5"/>
      <c r="Q176" s="5">
        <f t="shared" si="35"/>
        <v>1</v>
      </c>
      <c r="R176" s="7">
        <f t="shared" si="36"/>
        <v>6374</v>
      </c>
      <c r="S176" s="5">
        <f t="shared" si="37"/>
        <v>1</v>
      </c>
      <c r="T176" s="7">
        <f t="shared" si="34"/>
        <v>6374</v>
      </c>
    </row>
    <row r="177" spans="1:20">
      <c r="A177" s="23" t="s">
        <v>202</v>
      </c>
      <c r="B177" s="35" t="s">
        <v>203</v>
      </c>
      <c r="C177" s="36">
        <v>177852</v>
      </c>
      <c r="D177" s="6"/>
      <c r="E177" s="113">
        <v>19580462861</v>
      </c>
      <c r="F177" s="116">
        <f t="shared" si="41"/>
        <v>110094.13928997144</v>
      </c>
      <c r="G177" s="117">
        <v>10791427357</v>
      </c>
      <c r="H177" s="117">
        <f t="shared" si="40"/>
        <v>60676.446466725145</v>
      </c>
      <c r="I177" s="7"/>
      <c r="J177" s="10">
        <v>3.2115</v>
      </c>
      <c r="K177" s="117">
        <v>34656669</v>
      </c>
      <c r="L177" s="120">
        <f t="shared" si="39"/>
        <v>194.86240806963093</v>
      </c>
      <c r="M177" s="122">
        <f t="shared" si="31"/>
        <v>107914273.57000001</v>
      </c>
      <c r="N177" s="116">
        <f t="shared" si="32"/>
        <v>73257604.570000008</v>
      </c>
      <c r="O177" s="123">
        <f t="shared" si="33"/>
        <v>411.90205659762051</v>
      </c>
      <c r="P177" s="5"/>
      <c r="Q177" s="5">
        <f t="shared" si="35"/>
        <v>1</v>
      </c>
      <c r="R177" s="7">
        <f t="shared" si="36"/>
        <v>177852</v>
      </c>
      <c r="S177" s="5">
        <f t="shared" si="37"/>
        <v>1</v>
      </c>
      <c r="T177" s="7">
        <f t="shared" si="34"/>
        <v>177852</v>
      </c>
    </row>
    <row r="178" spans="1:20">
      <c r="A178" s="23" t="s">
        <v>204</v>
      </c>
      <c r="B178" s="35" t="s">
        <v>205</v>
      </c>
      <c r="C178" s="36">
        <v>1159</v>
      </c>
      <c r="D178" s="6"/>
      <c r="E178" s="113">
        <v>67974391</v>
      </c>
      <c r="F178" s="116">
        <f t="shared" si="41"/>
        <v>58649.172562553926</v>
      </c>
      <c r="G178" s="117">
        <v>37956007</v>
      </c>
      <c r="H178" s="117">
        <f t="shared" si="40"/>
        <v>32748.92752372735</v>
      </c>
      <c r="I178" s="7"/>
      <c r="J178" s="10">
        <v>3.2</v>
      </c>
      <c r="K178" s="117">
        <v>121459</v>
      </c>
      <c r="L178" s="120">
        <f t="shared" si="39"/>
        <v>104.79637618636755</v>
      </c>
      <c r="M178" s="122">
        <f t="shared" si="31"/>
        <v>379560.07</v>
      </c>
      <c r="N178" s="116">
        <f t="shared" si="32"/>
        <v>258101.07</v>
      </c>
      <c r="O178" s="123">
        <f t="shared" si="33"/>
        <v>222.69289905090596</v>
      </c>
      <c r="P178" s="5"/>
      <c r="Q178" s="5">
        <f t="shared" si="35"/>
        <v>1</v>
      </c>
      <c r="R178" s="7">
        <f t="shared" si="36"/>
        <v>1159</v>
      </c>
      <c r="S178" s="5">
        <f t="shared" si="37"/>
        <v>1</v>
      </c>
      <c r="T178" s="7">
        <f t="shared" si="34"/>
        <v>1159</v>
      </c>
    </row>
    <row r="179" spans="1:20">
      <c r="A179" s="23" t="s">
        <v>206</v>
      </c>
      <c r="B179" s="35" t="s">
        <v>205</v>
      </c>
      <c r="C179" s="36">
        <v>928</v>
      </c>
      <c r="D179" s="6"/>
      <c r="E179" s="113">
        <v>299191313</v>
      </c>
      <c r="F179" s="116">
        <f t="shared" si="41"/>
        <v>322404.43211206899</v>
      </c>
      <c r="G179" s="117">
        <v>217398108</v>
      </c>
      <c r="H179" s="117">
        <f t="shared" si="40"/>
        <v>234265.2025862069</v>
      </c>
      <c r="I179" s="7"/>
      <c r="J179" s="10">
        <v>3.1355</v>
      </c>
      <c r="K179" s="117">
        <v>681652</v>
      </c>
      <c r="L179" s="120">
        <f t="shared" si="39"/>
        <v>734.53879310344826</v>
      </c>
      <c r="M179" s="122">
        <f t="shared" si="31"/>
        <v>2173981.08</v>
      </c>
      <c r="N179" s="116">
        <f t="shared" si="32"/>
        <v>1492329.08</v>
      </c>
      <c r="O179" s="123">
        <f t="shared" si="33"/>
        <v>1608.1132327586208</v>
      </c>
      <c r="P179" s="5"/>
      <c r="Q179" s="5">
        <f t="shared" si="35"/>
        <v>1</v>
      </c>
      <c r="R179" s="7">
        <f t="shared" si="36"/>
        <v>928</v>
      </c>
      <c r="S179" s="5">
        <f t="shared" si="37"/>
        <v>1</v>
      </c>
      <c r="T179" s="7">
        <f t="shared" si="34"/>
        <v>928</v>
      </c>
    </row>
    <row r="180" spans="1:20">
      <c r="A180" s="23" t="s">
        <v>207</v>
      </c>
      <c r="B180" s="35" t="s">
        <v>205</v>
      </c>
      <c r="C180" s="36">
        <v>2265</v>
      </c>
      <c r="D180" s="6"/>
      <c r="E180" s="113">
        <v>213117113</v>
      </c>
      <c r="F180" s="116">
        <f t="shared" si="41"/>
        <v>94091.440618101551</v>
      </c>
      <c r="G180" s="117">
        <v>149471357</v>
      </c>
      <c r="H180" s="117">
        <f t="shared" si="40"/>
        <v>65991.76909492274</v>
      </c>
      <c r="I180" s="7"/>
      <c r="J180" s="10">
        <v>4.75</v>
      </c>
      <c r="K180" s="117">
        <v>709989</v>
      </c>
      <c r="L180" s="120">
        <f t="shared" si="39"/>
        <v>313.46092715231788</v>
      </c>
      <c r="M180" s="122">
        <f t="shared" si="31"/>
        <v>1494713.57</v>
      </c>
      <c r="N180" s="116">
        <f t="shared" si="32"/>
        <v>784724.57000000007</v>
      </c>
      <c r="O180" s="123">
        <f t="shared" si="33"/>
        <v>346.45676379690951</v>
      </c>
      <c r="P180" s="5"/>
      <c r="Q180" s="5">
        <f t="shared" si="35"/>
        <v>1</v>
      </c>
      <c r="R180" s="7">
        <f t="shared" si="36"/>
        <v>2265</v>
      </c>
      <c r="S180" s="5">
        <f t="shared" si="37"/>
        <v>1</v>
      </c>
      <c r="T180" s="7">
        <f t="shared" si="34"/>
        <v>2265</v>
      </c>
    </row>
    <row r="181" spans="1:20">
      <c r="A181" s="23" t="s">
        <v>208</v>
      </c>
      <c r="B181" s="35" t="s">
        <v>205</v>
      </c>
      <c r="C181" s="36">
        <v>1724</v>
      </c>
      <c r="D181" s="6"/>
      <c r="E181" s="113">
        <v>132346094</v>
      </c>
      <c r="F181" s="116">
        <f t="shared" si="41"/>
        <v>76766.875870069605</v>
      </c>
      <c r="G181" s="117">
        <v>87469109</v>
      </c>
      <c r="H181" s="117">
        <f t="shared" si="40"/>
        <v>50736.142111368907</v>
      </c>
      <c r="I181" s="7"/>
      <c r="J181" s="10">
        <v>4.8768000000000002</v>
      </c>
      <c r="K181" s="117">
        <v>426569</v>
      </c>
      <c r="L181" s="120">
        <f t="shared" si="39"/>
        <v>247.42981438515082</v>
      </c>
      <c r="M181" s="122">
        <f t="shared" si="31"/>
        <v>874691.09</v>
      </c>
      <c r="N181" s="116">
        <f t="shared" si="32"/>
        <v>448122.08999999997</v>
      </c>
      <c r="O181" s="123">
        <f t="shared" si="33"/>
        <v>259.93160672853827</v>
      </c>
      <c r="P181" s="5"/>
      <c r="Q181" s="5">
        <f t="shared" si="35"/>
        <v>1</v>
      </c>
      <c r="R181" s="7">
        <f t="shared" si="36"/>
        <v>1724</v>
      </c>
      <c r="S181" s="5">
        <f t="shared" si="37"/>
        <v>1</v>
      </c>
      <c r="T181" s="7">
        <f t="shared" si="34"/>
        <v>1724</v>
      </c>
    </row>
    <row r="182" spans="1:20">
      <c r="A182" s="23" t="s">
        <v>209</v>
      </c>
      <c r="B182" s="35" t="s">
        <v>205</v>
      </c>
      <c r="C182" s="36">
        <v>147</v>
      </c>
      <c r="D182" s="6"/>
      <c r="E182" s="113">
        <v>9207371</v>
      </c>
      <c r="F182" s="116">
        <f t="shared" si="41"/>
        <v>62635.176870748299</v>
      </c>
      <c r="G182" s="117">
        <v>4562763</v>
      </c>
      <c r="H182" s="117">
        <f t="shared" si="40"/>
        <v>31039.204081632652</v>
      </c>
      <c r="I182" s="7"/>
      <c r="J182" s="10">
        <v>2.9464999999999999</v>
      </c>
      <c r="K182" s="117">
        <v>13444</v>
      </c>
      <c r="L182" s="120">
        <f t="shared" si="39"/>
        <v>91.455782312925166</v>
      </c>
      <c r="M182" s="122">
        <f t="shared" si="31"/>
        <v>45627.63</v>
      </c>
      <c r="N182" s="116">
        <f t="shared" si="32"/>
        <v>32183.629999999997</v>
      </c>
      <c r="O182" s="123">
        <f t="shared" si="33"/>
        <v>218.93625850340135</v>
      </c>
      <c r="P182" s="5"/>
      <c r="Q182" s="5">
        <f t="shared" si="35"/>
        <v>1</v>
      </c>
      <c r="R182" s="7">
        <f t="shared" si="36"/>
        <v>147</v>
      </c>
      <c r="S182" s="5">
        <f t="shared" si="37"/>
        <v>1</v>
      </c>
      <c r="T182" s="7">
        <f t="shared" si="34"/>
        <v>147</v>
      </c>
    </row>
    <row r="183" spans="1:20">
      <c r="A183" s="23" t="s">
        <v>210</v>
      </c>
      <c r="B183" s="35" t="s">
        <v>205</v>
      </c>
      <c r="C183" s="36">
        <v>2577</v>
      </c>
      <c r="D183" s="6"/>
      <c r="E183" s="113">
        <v>211057659</v>
      </c>
      <c r="F183" s="116">
        <f t="shared" si="41"/>
        <v>81900.527357392319</v>
      </c>
      <c r="G183" s="117">
        <v>116317319</v>
      </c>
      <c r="H183" s="117">
        <f t="shared" si="40"/>
        <v>45136.716724873884</v>
      </c>
      <c r="I183" s="7"/>
      <c r="J183" s="10">
        <v>5.9024999999999999</v>
      </c>
      <c r="K183" s="117">
        <v>686563</v>
      </c>
      <c r="L183" s="120">
        <f t="shared" si="39"/>
        <v>266.41948001552191</v>
      </c>
      <c r="M183" s="122">
        <f t="shared" si="31"/>
        <v>1163173.19</v>
      </c>
      <c r="N183" s="116">
        <f t="shared" si="32"/>
        <v>476610.18999999994</v>
      </c>
      <c r="O183" s="123">
        <f t="shared" si="33"/>
        <v>184.9476872332169</v>
      </c>
      <c r="P183" s="5"/>
      <c r="Q183" s="5">
        <f t="shared" si="35"/>
        <v>1</v>
      </c>
      <c r="R183" s="7">
        <f t="shared" si="36"/>
        <v>2577</v>
      </c>
      <c r="S183" s="5">
        <f t="shared" si="37"/>
        <v>1</v>
      </c>
      <c r="T183" s="7">
        <f t="shared" si="34"/>
        <v>2577</v>
      </c>
    </row>
    <row r="184" spans="1:20">
      <c r="A184" s="23" t="s">
        <v>211</v>
      </c>
      <c r="B184" s="35" t="s">
        <v>205</v>
      </c>
      <c r="C184" s="36">
        <v>760</v>
      </c>
      <c r="D184" s="6"/>
      <c r="E184" s="113">
        <v>132157346</v>
      </c>
      <c r="F184" s="116">
        <f t="shared" si="41"/>
        <v>173891.24473684211</v>
      </c>
      <c r="G184" s="117">
        <v>91583627</v>
      </c>
      <c r="H184" s="117">
        <f t="shared" si="40"/>
        <v>120504.77236842105</v>
      </c>
      <c r="I184" s="7"/>
      <c r="J184" s="10">
        <v>1.8138000000000001</v>
      </c>
      <c r="K184" s="117">
        <v>166114</v>
      </c>
      <c r="L184" s="120">
        <f t="shared" si="39"/>
        <v>218.57105263157894</v>
      </c>
      <c r="M184" s="122">
        <f t="shared" si="31"/>
        <v>915836.27</v>
      </c>
      <c r="N184" s="116">
        <f t="shared" si="32"/>
        <v>749722.27</v>
      </c>
      <c r="O184" s="123">
        <f t="shared" si="33"/>
        <v>986.47667105263156</v>
      </c>
      <c r="P184" s="5"/>
      <c r="Q184" s="5">
        <f t="shared" si="35"/>
        <v>1</v>
      </c>
      <c r="R184" s="7">
        <f t="shared" si="36"/>
        <v>760</v>
      </c>
      <c r="S184" s="5">
        <f t="shared" si="37"/>
        <v>1</v>
      </c>
      <c r="T184" s="7">
        <f t="shared" si="34"/>
        <v>760</v>
      </c>
    </row>
    <row r="185" spans="1:20">
      <c r="A185" s="23" t="s">
        <v>212</v>
      </c>
      <c r="B185" s="35" t="s">
        <v>213</v>
      </c>
      <c r="C185" s="36">
        <v>951</v>
      </c>
      <c r="D185" s="6"/>
      <c r="E185" s="113">
        <v>60776455</v>
      </c>
      <c r="F185" s="116">
        <f t="shared" si="41"/>
        <v>63907.944269190324</v>
      </c>
      <c r="G185" s="117">
        <v>27173900</v>
      </c>
      <c r="H185" s="117">
        <f t="shared" si="40"/>
        <v>28574.027339642482</v>
      </c>
      <c r="I185" s="7"/>
      <c r="J185" s="10">
        <v>3</v>
      </c>
      <c r="K185" s="117">
        <v>81522</v>
      </c>
      <c r="L185" s="120">
        <f t="shared" si="39"/>
        <v>85.722397476340689</v>
      </c>
      <c r="M185" s="122">
        <f t="shared" si="31"/>
        <v>271739</v>
      </c>
      <c r="N185" s="116">
        <f t="shared" si="32"/>
        <v>190217</v>
      </c>
      <c r="O185" s="123">
        <f t="shared" si="33"/>
        <v>200.01787592008412</v>
      </c>
      <c r="P185" s="5"/>
      <c r="Q185" s="5">
        <f t="shared" si="35"/>
        <v>1</v>
      </c>
      <c r="R185" s="7">
        <f t="shared" si="36"/>
        <v>951</v>
      </c>
      <c r="S185" s="5">
        <f t="shared" si="37"/>
        <v>1</v>
      </c>
      <c r="T185" s="7">
        <f t="shared" si="34"/>
        <v>951</v>
      </c>
    </row>
    <row r="186" spans="1:20">
      <c r="A186" s="23" t="s">
        <v>214</v>
      </c>
      <c r="B186" s="35" t="s">
        <v>215</v>
      </c>
      <c r="C186" s="36">
        <v>837</v>
      </c>
      <c r="D186" s="6"/>
      <c r="E186" s="113">
        <v>22309616</v>
      </c>
      <c r="F186" s="116">
        <f t="shared" si="41"/>
        <v>26654.260454002389</v>
      </c>
      <c r="G186" s="117">
        <v>11751629</v>
      </c>
      <c r="H186" s="117">
        <f t="shared" si="40"/>
        <v>14040.178016726404</v>
      </c>
      <c r="I186" s="7"/>
      <c r="J186" s="10">
        <v>8.09</v>
      </c>
      <c r="K186" s="117">
        <v>95071</v>
      </c>
      <c r="L186" s="120">
        <f t="shared" si="39"/>
        <v>113.58542413381123</v>
      </c>
      <c r="M186" s="122">
        <f t="shared" si="31"/>
        <v>117516.29000000001</v>
      </c>
      <c r="N186" s="116">
        <f t="shared" si="32"/>
        <v>22445.290000000008</v>
      </c>
      <c r="O186" s="123">
        <f t="shared" si="33"/>
        <v>26.816356033452816</v>
      </c>
      <c r="P186" s="5"/>
      <c r="Q186" s="5">
        <f t="shared" si="35"/>
        <v>1</v>
      </c>
      <c r="R186" s="7">
        <f t="shared" si="36"/>
        <v>837</v>
      </c>
      <c r="S186" s="5">
        <f t="shared" si="37"/>
        <v>1</v>
      </c>
      <c r="T186" s="7">
        <f t="shared" si="34"/>
        <v>837</v>
      </c>
    </row>
    <row r="187" spans="1:20">
      <c r="A187" s="23" t="s">
        <v>198</v>
      </c>
      <c r="B187" s="35" t="s">
        <v>215</v>
      </c>
      <c r="C187" s="36">
        <v>416</v>
      </c>
      <c r="D187" s="6"/>
      <c r="E187" s="113">
        <v>19565189</v>
      </c>
      <c r="F187" s="116">
        <f t="shared" si="41"/>
        <v>47031.704326923078</v>
      </c>
      <c r="G187" s="117">
        <v>7861593</v>
      </c>
      <c r="H187" s="117">
        <f t="shared" si="40"/>
        <v>18898.060096153848</v>
      </c>
      <c r="I187" s="7"/>
      <c r="J187" s="10">
        <v>6.38</v>
      </c>
      <c r="K187" s="117">
        <v>50157</v>
      </c>
      <c r="L187" s="120">
        <f t="shared" si="39"/>
        <v>120.56971153846153</v>
      </c>
      <c r="M187" s="122">
        <f t="shared" si="31"/>
        <v>78615.930000000008</v>
      </c>
      <c r="N187" s="116">
        <f t="shared" si="32"/>
        <v>28458.930000000008</v>
      </c>
      <c r="O187" s="123">
        <f t="shared" si="33"/>
        <v>68.410889423076938</v>
      </c>
      <c r="P187" s="5"/>
      <c r="Q187" s="5">
        <f t="shared" si="35"/>
        <v>1</v>
      </c>
      <c r="R187" s="7">
        <f t="shared" si="36"/>
        <v>416</v>
      </c>
      <c r="S187" s="5">
        <f t="shared" si="37"/>
        <v>1</v>
      </c>
      <c r="T187" s="7">
        <f t="shared" si="34"/>
        <v>416</v>
      </c>
    </row>
    <row r="188" spans="1:20">
      <c r="A188" s="23" t="s">
        <v>215</v>
      </c>
      <c r="B188" s="35" t="s">
        <v>215</v>
      </c>
      <c r="C188" s="36">
        <v>3085</v>
      </c>
      <c r="D188" s="6"/>
      <c r="E188" s="113">
        <v>158256949</v>
      </c>
      <c r="F188" s="116">
        <f t="shared" si="41"/>
        <v>51298.848946515398</v>
      </c>
      <c r="G188" s="117">
        <v>94197357</v>
      </c>
      <c r="H188" s="117">
        <f t="shared" si="40"/>
        <v>30533.989303079416</v>
      </c>
      <c r="I188" s="7"/>
      <c r="J188" s="10">
        <v>6.0484</v>
      </c>
      <c r="K188" s="117">
        <v>569743</v>
      </c>
      <c r="L188" s="120">
        <f t="shared" si="39"/>
        <v>184.68168557536467</v>
      </c>
      <c r="M188" s="122">
        <f t="shared" si="31"/>
        <v>941973.57000000007</v>
      </c>
      <c r="N188" s="116">
        <f t="shared" si="32"/>
        <v>372230.57000000007</v>
      </c>
      <c r="O188" s="123">
        <f t="shared" si="33"/>
        <v>120.65820745542952</v>
      </c>
      <c r="P188" s="5"/>
      <c r="Q188" s="5">
        <f t="shared" si="35"/>
        <v>1</v>
      </c>
      <c r="R188" s="7">
        <f t="shared" si="36"/>
        <v>3085</v>
      </c>
      <c r="S188" s="5">
        <f t="shared" si="37"/>
        <v>1</v>
      </c>
      <c r="T188" s="7">
        <f t="shared" si="34"/>
        <v>3085</v>
      </c>
    </row>
    <row r="189" spans="1:20">
      <c r="A189" s="23" t="s">
        <v>216</v>
      </c>
      <c r="B189" s="35" t="s">
        <v>217</v>
      </c>
      <c r="C189" s="36">
        <v>1875</v>
      </c>
      <c r="D189" s="6"/>
      <c r="E189" s="113">
        <v>915199764</v>
      </c>
      <c r="F189" s="116">
        <f t="shared" si="41"/>
        <v>488106.54080000002</v>
      </c>
      <c r="G189" s="117">
        <v>699783122</v>
      </c>
      <c r="H189" s="117">
        <f t="shared" si="40"/>
        <v>373217.66506666667</v>
      </c>
      <c r="I189" s="7"/>
      <c r="J189" s="10">
        <v>1.7882</v>
      </c>
      <c r="K189" s="117">
        <v>1251352</v>
      </c>
      <c r="L189" s="120">
        <f t="shared" si="39"/>
        <v>667.38773333333336</v>
      </c>
      <c r="M189" s="122">
        <f t="shared" si="31"/>
        <v>6997831.2199999997</v>
      </c>
      <c r="N189" s="116">
        <f t="shared" si="32"/>
        <v>5746479.2199999997</v>
      </c>
      <c r="O189" s="123">
        <f t="shared" si="33"/>
        <v>3064.7889173333333</v>
      </c>
      <c r="P189" s="5"/>
      <c r="Q189" s="5">
        <f t="shared" si="35"/>
        <v>1</v>
      </c>
      <c r="R189" s="7">
        <f t="shared" si="36"/>
        <v>1875</v>
      </c>
      <c r="S189" s="5">
        <f t="shared" si="37"/>
        <v>1</v>
      </c>
      <c r="T189" s="7">
        <f t="shared" si="34"/>
        <v>1875</v>
      </c>
    </row>
    <row r="190" spans="1:20">
      <c r="A190" s="23" t="s">
        <v>218</v>
      </c>
      <c r="B190" s="35" t="s">
        <v>217</v>
      </c>
      <c r="C190" s="36">
        <v>54184</v>
      </c>
      <c r="D190" s="6"/>
      <c r="E190" s="113">
        <v>4788060210</v>
      </c>
      <c r="F190" s="116">
        <f t="shared" si="41"/>
        <v>88366.680385353611</v>
      </c>
      <c r="G190" s="117">
        <v>3335736587</v>
      </c>
      <c r="H190" s="117">
        <f t="shared" si="40"/>
        <v>61563.12909715045</v>
      </c>
      <c r="I190" s="7"/>
      <c r="J190" s="10">
        <v>4.2843</v>
      </c>
      <c r="K190" s="117">
        <v>14291296</v>
      </c>
      <c r="L190" s="120">
        <f t="shared" si="39"/>
        <v>263.75490919828729</v>
      </c>
      <c r="M190" s="122">
        <f t="shared" si="31"/>
        <v>33357365.870000001</v>
      </c>
      <c r="N190" s="116">
        <f t="shared" si="32"/>
        <v>19066069.870000001</v>
      </c>
      <c r="O190" s="123">
        <f t="shared" si="33"/>
        <v>351.87638177321719</v>
      </c>
      <c r="P190" s="5"/>
      <c r="Q190" s="5">
        <f t="shared" si="35"/>
        <v>1</v>
      </c>
      <c r="R190" s="7">
        <f t="shared" si="36"/>
        <v>54184</v>
      </c>
      <c r="S190" s="5">
        <f t="shared" si="37"/>
        <v>1</v>
      </c>
      <c r="T190" s="7">
        <f t="shared" si="34"/>
        <v>54184</v>
      </c>
    </row>
    <row r="191" spans="1:20">
      <c r="A191" s="23" t="s">
        <v>219</v>
      </c>
      <c r="B191" s="35" t="s">
        <v>217</v>
      </c>
      <c r="C191" s="36">
        <v>1541</v>
      </c>
      <c r="D191" s="6"/>
      <c r="E191" s="113">
        <v>669127887</v>
      </c>
      <c r="F191" s="116">
        <f t="shared" si="41"/>
        <v>434216.66904607398</v>
      </c>
      <c r="G191" s="117">
        <v>560280971</v>
      </c>
      <c r="H191" s="117">
        <f t="shared" si="40"/>
        <v>363582.71966255677</v>
      </c>
      <c r="I191" s="7"/>
      <c r="J191" s="10">
        <v>2.2578999999999998</v>
      </c>
      <c r="K191" s="117">
        <v>1265058</v>
      </c>
      <c r="L191" s="120">
        <f t="shared" si="39"/>
        <v>820.93316028552886</v>
      </c>
      <c r="M191" s="122">
        <f t="shared" si="31"/>
        <v>5602809.71</v>
      </c>
      <c r="N191" s="116">
        <f t="shared" si="32"/>
        <v>4337751.71</v>
      </c>
      <c r="O191" s="123">
        <f t="shared" si="33"/>
        <v>2814.8940363400388</v>
      </c>
      <c r="P191" s="5"/>
      <c r="Q191" s="5">
        <f t="shared" si="35"/>
        <v>1</v>
      </c>
      <c r="R191" s="7">
        <f t="shared" si="36"/>
        <v>1541</v>
      </c>
      <c r="S191" s="5">
        <f t="shared" si="37"/>
        <v>1</v>
      </c>
      <c r="T191" s="7">
        <f t="shared" si="34"/>
        <v>1541</v>
      </c>
    </row>
    <row r="192" spans="1:20">
      <c r="A192" s="23" t="s">
        <v>220</v>
      </c>
      <c r="B192" s="35" t="s">
        <v>217</v>
      </c>
      <c r="C192" s="36">
        <v>5107</v>
      </c>
      <c r="D192" s="6"/>
      <c r="E192" s="113">
        <v>1837516502</v>
      </c>
      <c r="F192" s="116">
        <f t="shared" si="41"/>
        <v>359803.50538476603</v>
      </c>
      <c r="G192" s="117">
        <v>1483775142</v>
      </c>
      <c r="H192" s="117">
        <f t="shared" si="40"/>
        <v>290537.52535735263</v>
      </c>
      <c r="I192" s="7"/>
      <c r="J192" s="10">
        <v>1.5989</v>
      </c>
      <c r="K192" s="117">
        <v>2372408</v>
      </c>
      <c r="L192" s="120">
        <f t="shared" si="39"/>
        <v>464.54043469747404</v>
      </c>
      <c r="M192" s="122">
        <f t="shared" si="31"/>
        <v>14837751.42</v>
      </c>
      <c r="N192" s="116">
        <f t="shared" si="32"/>
        <v>12465343.42</v>
      </c>
      <c r="O192" s="123">
        <f t="shared" si="33"/>
        <v>2440.8348188760524</v>
      </c>
      <c r="P192" s="5"/>
      <c r="Q192" s="5">
        <f t="shared" si="35"/>
        <v>1</v>
      </c>
      <c r="R192" s="7">
        <f t="shared" si="36"/>
        <v>5107</v>
      </c>
      <c r="S192" s="5">
        <f t="shared" si="37"/>
        <v>1</v>
      </c>
      <c r="T192" s="7">
        <f t="shared" si="34"/>
        <v>5107</v>
      </c>
    </row>
    <row r="193" spans="1:20">
      <c r="A193" s="23" t="s">
        <v>221</v>
      </c>
      <c r="B193" s="35" t="s">
        <v>217</v>
      </c>
      <c r="C193" s="36">
        <v>14447</v>
      </c>
      <c r="D193" s="6"/>
      <c r="E193" s="113">
        <v>1499295839</v>
      </c>
      <c r="F193" s="116">
        <f t="shared" si="41"/>
        <v>103779.04333079532</v>
      </c>
      <c r="G193" s="117">
        <v>1082799208</v>
      </c>
      <c r="H193" s="117">
        <f t="shared" si="40"/>
        <v>74949.761749844256</v>
      </c>
      <c r="I193" s="7"/>
      <c r="J193" s="10">
        <v>4.6661999999999999</v>
      </c>
      <c r="K193" s="117">
        <v>5052558</v>
      </c>
      <c r="L193" s="120">
        <f t="shared" si="39"/>
        <v>349.73060150896379</v>
      </c>
      <c r="M193" s="122">
        <f t="shared" si="31"/>
        <v>10827992.08</v>
      </c>
      <c r="N193" s="116">
        <f t="shared" si="32"/>
        <v>5775434.0800000001</v>
      </c>
      <c r="O193" s="123">
        <f t="shared" si="33"/>
        <v>399.76701598947881</v>
      </c>
      <c r="P193" s="5"/>
      <c r="Q193" s="5">
        <f t="shared" si="35"/>
        <v>1</v>
      </c>
      <c r="R193" s="7">
        <f t="shared" si="36"/>
        <v>14447</v>
      </c>
      <c r="S193" s="5">
        <f t="shared" si="37"/>
        <v>1</v>
      </c>
      <c r="T193" s="7">
        <f t="shared" si="34"/>
        <v>14447</v>
      </c>
    </row>
    <row r="194" spans="1:20">
      <c r="A194" s="23" t="s">
        <v>478</v>
      </c>
      <c r="B194" s="35" t="s">
        <v>222</v>
      </c>
      <c r="C194" s="36">
        <v>7697</v>
      </c>
      <c r="D194" s="6"/>
      <c r="E194" s="113">
        <f>(2052395127+4826358590)</f>
        <v>6878753717</v>
      </c>
      <c r="F194" s="116">
        <f t="shared" si="41"/>
        <v>893692.83058334421</v>
      </c>
      <c r="G194" s="117">
        <f>(1713292787+4233949430)</f>
        <v>5947242217</v>
      </c>
      <c r="H194" s="117">
        <f t="shared" si="40"/>
        <v>772670.15941275819</v>
      </c>
      <c r="I194" s="7"/>
      <c r="J194" s="10">
        <v>1.5</v>
      </c>
      <c r="K194" s="117">
        <f>(2569939+6350924)</f>
        <v>8920863</v>
      </c>
      <c r="L194" s="120">
        <f t="shared" si="39"/>
        <v>1159.0051968299338</v>
      </c>
      <c r="M194" s="122">
        <f t="shared" si="31"/>
        <v>59472422.170000002</v>
      </c>
      <c r="N194" s="116">
        <f t="shared" si="32"/>
        <v>50551559.170000002</v>
      </c>
      <c r="O194" s="123">
        <f t="shared" si="33"/>
        <v>6567.6963972976482</v>
      </c>
      <c r="P194" s="5"/>
      <c r="Q194" s="5">
        <f t="shared" si="35"/>
        <v>1</v>
      </c>
      <c r="R194" s="7">
        <f t="shared" si="36"/>
        <v>7697</v>
      </c>
      <c r="S194" s="5">
        <f t="shared" si="37"/>
        <v>1</v>
      </c>
      <c r="T194" s="7">
        <f t="shared" si="34"/>
        <v>7697</v>
      </c>
    </row>
    <row r="195" spans="1:20">
      <c r="A195" s="23" t="s">
        <v>223</v>
      </c>
      <c r="B195" s="35" t="s">
        <v>224</v>
      </c>
      <c r="C195" s="36">
        <v>4040</v>
      </c>
      <c r="D195" s="6"/>
      <c r="E195" s="113">
        <v>367969953</v>
      </c>
      <c r="F195" s="116">
        <f t="shared" si="41"/>
        <v>91081.671534653462</v>
      </c>
      <c r="G195" s="117">
        <v>259168210</v>
      </c>
      <c r="H195" s="117">
        <f t="shared" si="40"/>
        <v>64150.547029702968</v>
      </c>
      <c r="I195" s="7"/>
      <c r="J195" s="10">
        <v>2.8904999999999998</v>
      </c>
      <c r="K195" s="117">
        <v>749126</v>
      </c>
      <c r="L195" s="120">
        <f t="shared" si="39"/>
        <v>185.42722772277227</v>
      </c>
      <c r="M195" s="122">
        <f t="shared" si="31"/>
        <v>2591682.1</v>
      </c>
      <c r="N195" s="116">
        <f t="shared" si="32"/>
        <v>1842556.1</v>
      </c>
      <c r="O195" s="123">
        <f t="shared" si="33"/>
        <v>456.07824257425744</v>
      </c>
      <c r="P195" s="5"/>
      <c r="Q195" s="5">
        <f t="shared" si="35"/>
        <v>1</v>
      </c>
      <c r="R195" s="7">
        <f t="shared" si="36"/>
        <v>4040</v>
      </c>
      <c r="S195" s="5">
        <f t="shared" si="37"/>
        <v>1</v>
      </c>
      <c r="T195" s="7">
        <f t="shared" si="34"/>
        <v>4040</v>
      </c>
    </row>
    <row r="196" spans="1:20">
      <c r="A196" s="23" t="s">
        <v>225</v>
      </c>
      <c r="B196" s="35" t="s">
        <v>224</v>
      </c>
      <c r="C196" s="36">
        <v>2033</v>
      </c>
      <c r="D196" s="6"/>
      <c r="E196" s="113">
        <v>265295440</v>
      </c>
      <c r="F196" s="116">
        <f t="shared" si="41"/>
        <v>130494.55976389573</v>
      </c>
      <c r="G196" s="117">
        <v>169149246</v>
      </c>
      <c r="H196" s="117">
        <f t="shared" si="40"/>
        <v>83201.793408755533</v>
      </c>
      <c r="I196" s="7"/>
      <c r="J196" s="10">
        <v>5.2266000000000004</v>
      </c>
      <c r="K196" s="117">
        <v>884075</v>
      </c>
      <c r="L196" s="120">
        <f t="shared" si="39"/>
        <v>434.86227250368916</v>
      </c>
      <c r="M196" s="122">
        <f t="shared" si="31"/>
        <v>1691492.46</v>
      </c>
      <c r="N196" s="116">
        <f t="shared" si="32"/>
        <v>807417.46</v>
      </c>
      <c r="O196" s="123">
        <f t="shared" si="33"/>
        <v>397.15566158386616</v>
      </c>
      <c r="P196" s="5"/>
      <c r="Q196" s="5">
        <f t="shared" si="35"/>
        <v>1</v>
      </c>
      <c r="R196" s="7">
        <f t="shared" si="36"/>
        <v>2033</v>
      </c>
      <c r="S196" s="5">
        <f t="shared" si="37"/>
        <v>1</v>
      </c>
      <c r="T196" s="7">
        <f t="shared" si="34"/>
        <v>2033</v>
      </c>
    </row>
    <row r="197" spans="1:20">
      <c r="A197" s="23" t="s">
        <v>226</v>
      </c>
      <c r="B197" s="35" t="s">
        <v>224</v>
      </c>
      <c r="C197" s="36">
        <v>448</v>
      </c>
      <c r="D197" s="6"/>
      <c r="E197" s="113">
        <v>41401006</v>
      </c>
      <c r="F197" s="116">
        <f t="shared" si="41"/>
        <v>92412.959821428565</v>
      </c>
      <c r="G197" s="117">
        <v>21941270</v>
      </c>
      <c r="H197" s="117">
        <f t="shared" si="40"/>
        <v>48976.049107142855</v>
      </c>
      <c r="I197" s="7"/>
      <c r="J197" s="10">
        <v>1.8049999999999999</v>
      </c>
      <c r="K197" s="117">
        <v>39604</v>
      </c>
      <c r="L197" s="120">
        <f t="shared" si="39"/>
        <v>88.401785714285708</v>
      </c>
      <c r="M197" s="122">
        <f t="shared" si="31"/>
        <v>219412.7</v>
      </c>
      <c r="N197" s="116">
        <f t="shared" si="32"/>
        <v>179808.7</v>
      </c>
      <c r="O197" s="123">
        <f t="shared" si="33"/>
        <v>401.35870535714287</v>
      </c>
      <c r="P197" s="5"/>
      <c r="Q197" s="5">
        <f t="shared" si="35"/>
        <v>1</v>
      </c>
      <c r="R197" s="7">
        <f t="shared" si="36"/>
        <v>448</v>
      </c>
      <c r="S197" s="5">
        <f t="shared" si="37"/>
        <v>1</v>
      </c>
      <c r="T197" s="7">
        <f t="shared" si="34"/>
        <v>448</v>
      </c>
    </row>
    <row r="198" spans="1:20">
      <c r="A198" s="23" t="s">
        <v>227</v>
      </c>
      <c r="B198" s="35" t="s">
        <v>224</v>
      </c>
      <c r="C198" s="36">
        <v>54462</v>
      </c>
      <c r="D198" s="6"/>
      <c r="E198" s="113">
        <v>6686246769</v>
      </c>
      <c r="F198" s="116">
        <f t="shared" si="41"/>
        <v>122769.02737688663</v>
      </c>
      <c r="G198" s="117">
        <v>4726489052</v>
      </c>
      <c r="H198" s="117">
        <f t="shared" si="40"/>
        <v>86785.080459770121</v>
      </c>
      <c r="I198" s="9"/>
      <c r="J198" s="10">
        <v>4.5288000000000004</v>
      </c>
      <c r="K198" s="117">
        <v>21405324</v>
      </c>
      <c r="L198" s="120">
        <f t="shared" si="39"/>
        <v>393.03227938746284</v>
      </c>
      <c r="M198" s="122">
        <f t="shared" ref="M198:M261" si="42">(G198*0.01)</f>
        <v>47264890.520000003</v>
      </c>
      <c r="N198" s="116">
        <f t="shared" ref="N198:N261" si="43">(M198-K198)</f>
        <v>25859566.520000003</v>
      </c>
      <c r="O198" s="123">
        <f t="shared" ref="O198:O261" si="44">(N198/C198)</f>
        <v>474.81852521023842</v>
      </c>
      <c r="P198" s="5"/>
      <c r="Q198" s="5">
        <f t="shared" si="35"/>
        <v>1</v>
      </c>
      <c r="R198" s="7">
        <f t="shared" si="36"/>
        <v>54462</v>
      </c>
      <c r="S198" s="5">
        <f t="shared" si="37"/>
        <v>1</v>
      </c>
      <c r="T198" s="7">
        <f t="shared" ref="T198:T261" si="45">IF(J198&gt;0,C198,0)</f>
        <v>54462</v>
      </c>
    </row>
    <row r="199" spans="1:20">
      <c r="A199" s="23" t="s">
        <v>228</v>
      </c>
      <c r="B199" s="35" t="s">
        <v>224</v>
      </c>
      <c r="C199" s="36">
        <v>520</v>
      </c>
      <c r="D199" s="6"/>
      <c r="E199" s="113">
        <v>28389053</v>
      </c>
      <c r="F199" s="116">
        <f t="shared" si="41"/>
        <v>54594.332692307689</v>
      </c>
      <c r="G199" s="117">
        <v>13610726</v>
      </c>
      <c r="H199" s="117">
        <f t="shared" si="40"/>
        <v>26174.473076923077</v>
      </c>
      <c r="I199" s="9" t="s">
        <v>528</v>
      </c>
      <c r="J199" s="10"/>
      <c r="K199" s="117"/>
      <c r="L199" s="120"/>
      <c r="M199" s="122">
        <f t="shared" si="42"/>
        <v>136107.26</v>
      </c>
      <c r="N199" s="116">
        <f t="shared" si="43"/>
        <v>136107.26</v>
      </c>
      <c r="O199" s="123">
        <f t="shared" si="44"/>
        <v>261.74473076923078</v>
      </c>
      <c r="P199" s="5"/>
      <c r="Q199" s="5">
        <f t="shared" ref="Q199:Q262" si="46">IF(E199&gt;0,1,0)</f>
        <v>1</v>
      </c>
      <c r="R199" s="7">
        <f t="shared" ref="R199:R262" si="47">IF(E199&gt;0,C199,0)</f>
        <v>520</v>
      </c>
      <c r="S199" s="5">
        <f t="shared" ref="S199:S265" si="48">IF(J199&gt;0,1,0)</f>
        <v>0</v>
      </c>
      <c r="T199" s="7">
        <f t="shared" si="45"/>
        <v>0</v>
      </c>
    </row>
    <row r="200" spans="1:20">
      <c r="A200" s="23" t="s">
        <v>229</v>
      </c>
      <c r="B200" s="35" t="s">
        <v>230</v>
      </c>
      <c r="C200" s="36">
        <v>675</v>
      </c>
      <c r="D200" s="6"/>
      <c r="E200" s="113">
        <v>2511452487</v>
      </c>
      <c r="F200" s="116">
        <f t="shared" si="41"/>
        <v>3720670.3511111112</v>
      </c>
      <c r="G200" s="117">
        <v>1998155746</v>
      </c>
      <c r="H200" s="117">
        <f t="shared" si="40"/>
        <v>2960230.7348148148</v>
      </c>
      <c r="I200" s="9"/>
      <c r="J200" s="10">
        <v>2.39</v>
      </c>
      <c r="K200" s="117">
        <v>4775592</v>
      </c>
      <c r="L200" s="120">
        <f t="shared" ref="L200:L231" si="49">(K200/C200)</f>
        <v>7074.9511111111115</v>
      </c>
      <c r="M200" s="122">
        <f t="shared" si="42"/>
        <v>19981557.460000001</v>
      </c>
      <c r="N200" s="116">
        <f t="shared" si="43"/>
        <v>15205965.460000001</v>
      </c>
      <c r="O200" s="123">
        <f t="shared" si="44"/>
        <v>22527.356237037038</v>
      </c>
      <c r="P200" s="5"/>
      <c r="Q200" s="5">
        <f t="shared" si="46"/>
        <v>1</v>
      </c>
      <c r="R200" s="7">
        <f t="shared" si="47"/>
        <v>675</v>
      </c>
      <c r="S200" s="5">
        <f t="shared" si="48"/>
        <v>1</v>
      </c>
      <c r="T200" s="7">
        <f t="shared" si="45"/>
        <v>675</v>
      </c>
    </row>
    <row r="201" spans="1:20">
      <c r="A201" s="24" t="s">
        <v>582</v>
      </c>
      <c r="B201" s="35" t="s">
        <v>230</v>
      </c>
      <c r="C201" s="36">
        <v>411</v>
      </c>
      <c r="D201" s="6"/>
      <c r="E201" s="113">
        <v>23965659</v>
      </c>
      <c r="F201" s="116">
        <f t="shared" si="41"/>
        <v>58310.605839416057</v>
      </c>
      <c r="G201" s="117">
        <v>23395807</v>
      </c>
      <c r="H201" s="117">
        <f t="shared" si="40"/>
        <v>56924.104622871047</v>
      </c>
      <c r="I201" s="7"/>
      <c r="J201" s="11">
        <v>2.4241000000000001</v>
      </c>
      <c r="K201" s="117">
        <v>56714</v>
      </c>
      <c r="L201" s="120">
        <f t="shared" si="49"/>
        <v>137.99026763990267</v>
      </c>
      <c r="M201" s="122">
        <f t="shared" si="42"/>
        <v>233958.07</v>
      </c>
      <c r="N201" s="116">
        <f t="shared" si="43"/>
        <v>177244.07</v>
      </c>
      <c r="O201" s="123">
        <f t="shared" si="44"/>
        <v>431.2507785888078</v>
      </c>
      <c r="P201" s="5"/>
      <c r="Q201" s="5">
        <f t="shared" si="46"/>
        <v>1</v>
      </c>
      <c r="R201" s="7">
        <f t="shared" si="47"/>
        <v>411</v>
      </c>
      <c r="S201" s="5">
        <f t="shared" si="48"/>
        <v>1</v>
      </c>
      <c r="T201" s="7">
        <f t="shared" si="45"/>
        <v>411</v>
      </c>
    </row>
    <row r="202" spans="1:20">
      <c r="A202" s="23" t="s">
        <v>446</v>
      </c>
      <c r="B202" s="35" t="s">
        <v>230</v>
      </c>
      <c r="C202" s="36">
        <v>2000</v>
      </c>
      <c r="D202" s="6"/>
      <c r="E202" s="113">
        <v>930936418</v>
      </c>
      <c r="F202" s="116">
        <f t="shared" si="41"/>
        <v>465468.20899999997</v>
      </c>
      <c r="G202" s="117">
        <v>651441499</v>
      </c>
      <c r="H202" s="117">
        <f t="shared" si="40"/>
        <v>325720.74949999998</v>
      </c>
      <c r="I202" s="7"/>
      <c r="J202" s="10">
        <v>2.23</v>
      </c>
      <c r="K202" s="117">
        <v>1452715</v>
      </c>
      <c r="L202" s="120">
        <f t="shared" si="49"/>
        <v>726.35749999999996</v>
      </c>
      <c r="M202" s="122">
        <f t="shared" si="42"/>
        <v>6514414.9900000002</v>
      </c>
      <c r="N202" s="116">
        <f t="shared" si="43"/>
        <v>5061699.99</v>
      </c>
      <c r="O202" s="123">
        <f t="shared" si="44"/>
        <v>2530.849995</v>
      </c>
      <c r="P202" s="5"/>
      <c r="Q202" s="5">
        <f t="shared" si="46"/>
        <v>1</v>
      </c>
      <c r="R202" s="7">
        <f t="shared" si="47"/>
        <v>2000</v>
      </c>
      <c r="S202" s="5">
        <f t="shared" si="48"/>
        <v>1</v>
      </c>
      <c r="T202" s="7">
        <f t="shared" si="45"/>
        <v>2000</v>
      </c>
    </row>
    <row r="203" spans="1:20">
      <c r="A203" s="24" t="s">
        <v>231</v>
      </c>
      <c r="B203" s="37" t="s">
        <v>230</v>
      </c>
      <c r="C203" s="36">
        <v>16577</v>
      </c>
      <c r="D203" s="6"/>
      <c r="E203" s="113">
        <v>3182186225</v>
      </c>
      <c r="F203" s="116">
        <f t="shared" si="41"/>
        <v>191963.93949448029</v>
      </c>
      <c r="G203" s="117">
        <v>2185286067</v>
      </c>
      <c r="H203" s="117">
        <f t="shared" si="40"/>
        <v>131826.38999819025</v>
      </c>
      <c r="I203" s="7"/>
      <c r="J203" s="10">
        <v>4.3329000000000004</v>
      </c>
      <c r="K203" s="117">
        <v>9468626</v>
      </c>
      <c r="L203" s="120">
        <f t="shared" si="49"/>
        <v>571.19056524099653</v>
      </c>
      <c r="M203" s="122">
        <f t="shared" si="42"/>
        <v>21852860.670000002</v>
      </c>
      <c r="N203" s="116">
        <f t="shared" si="43"/>
        <v>12384234.670000002</v>
      </c>
      <c r="O203" s="123">
        <f t="shared" si="44"/>
        <v>747.07333474090615</v>
      </c>
      <c r="P203" s="5"/>
      <c r="Q203" s="5">
        <f t="shared" si="46"/>
        <v>1</v>
      </c>
      <c r="R203" s="7">
        <f t="shared" si="47"/>
        <v>16577</v>
      </c>
      <c r="S203" s="5">
        <f t="shared" si="48"/>
        <v>1</v>
      </c>
      <c r="T203" s="7">
        <f t="shared" si="45"/>
        <v>16577</v>
      </c>
    </row>
    <row r="204" spans="1:20">
      <c r="A204" s="23" t="s">
        <v>232</v>
      </c>
      <c r="B204" s="37" t="s">
        <v>233</v>
      </c>
      <c r="C204" s="36">
        <v>31044</v>
      </c>
      <c r="D204" s="6"/>
      <c r="E204" s="113">
        <v>10984688089</v>
      </c>
      <c r="F204" s="116">
        <f t="shared" si="41"/>
        <v>353842.54893055017</v>
      </c>
      <c r="G204" s="117">
        <v>9440866170</v>
      </c>
      <c r="H204" s="117">
        <f t="shared" si="40"/>
        <v>304112.42655585619</v>
      </c>
      <c r="I204" s="9"/>
      <c r="J204" s="11">
        <v>1.7261</v>
      </c>
      <c r="K204" s="117">
        <v>16295879</v>
      </c>
      <c r="L204" s="120">
        <f t="shared" si="49"/>
        <v>524.92845638448648</v>
      </c>
      <c r="M204" s="122">
        <f t="shared" si="42"/>
        <v>94408661.700000003</v>
      </c>
      <c r="N204" s="116">
        <f t="shared" si="43"/>
        <v>78112782.700000003</v>
      </c>
      <c r="O204" s="123">
        <f t="shared" si="44"/>
        <v>2516.1958091740757</v>
      </c>
      <c r="P204" s="5"/>
      <c r="Q204" s="5">
        <f t="shared" si="46"/>
        <v>1</v>
      </c>
      <c r="R204" s="7">
        <f t="shared" si="47"/>
        <v>31044</v>
      </c>
      <c r="S204" s="5">
        <f t="shared" si="48"/>
        <v>1</v>
      </c>
      <c r="T204" s="7">
        <f t="shared" si="45"/>
        <v>31044</v>
      </c>
    </row>
    <row r="205" spans="1:20">
      <c r="A205" s="23" t="s">
        <v>234</v>
      </c>
      <c r="B205" s="37" t="s">
        <v>233</v>
      </c>
      <c r="C205" s="36">
        <v>3299</v>
      </c>
      <c r="D205" s="6"/>
      <c r="E205" s="113">
        <v>3241858452</v>
      </c>
      <c r="F205" s="116">
        <f t="shared" si="41"/>
        <v>982679.13064565021</v>
      </c>
      <c r="G205" s="117">
        <v>2868575858</v>
      </c>
      <c r="H205" s="117">
        <f t="shared" si="40"/>
        <v>869528.90512276453</v>
      </c>
      <c r="I205" s="9"/>
      <c r="J205" s="10">
        <v>2.3085</v>
      </c>
      <c r="K205" s="117">
        <v>6622107</v>
      </c>
      <c r="L205" s="120">
        <f t="shared" si="49"/>
        <v>2007.307365868445</v>
      </c>
      <c r="M205" s="122">
        <f t="shared" si="42"/>
        <v>28685758.580000002</v>
      </c>
      <c r="N205" s="116">
        <f t="shared" si="43"/>
        <v>22063651.580000002</v>
      </c>
      <c r="O205" s="123">
        <f t="shared" si="44"/>
        <v>6687.9816853592001</v>
      </c>
      <c r="P205" s="5"/>
      <c r="Q205" s="5">
        <f t="shared" si="46"/>
        <v>1</v>
      </c>
      <c r="R205" s="7">
        <f t="shared" si="47"/>
        <v>3299</v>
      </c>
      <c r="S205" s="5">
        <f t="shared" si="48"/>
        <v>1</v>
      </c>
      <c r="T205" s="7">
        <f t="shared" si="45"/>
        <v>3299</v>
      </c>
    </row>
    <row r="206" spans="1:20">
      <c r="A206" s="23" t="s">
        <v>235</v>
      </c>
      <c r="B206" s="37" t="s">
        <v>233</v>
      </c>
      <c r="C206" s="36">
        <v>5135</v>
      </c>
      <c r="D206" s="6"/>
      <c r="E206" s="113">
        <v>1250674896</v>
      </c>
      <c r="F206" s="116">
        <f t="shared" si="41"/>
        <v>243558.88919182084</v>
      </c>
      <c r="G206" s="117">
        <v>860289768</v>
      </c>
      <c r="H206" s="117">
        <f t="shared" si="40"/>
        <v>167534.52151898734</v>
      </c>
      <c r="I206" s="9"/>
      <c r="J206" s="10">
        <v>3.9750000000000001</v>
      </c>
      <c r="K206" s="117">
        <v>3419652</v>
      </c>
      <c r="L206" s="120">
        <f t="shared" si="49"/>
        <v>665.94975657254133</v>
      </c>
      <c r="M206" s="122">
        <f t="shared" si="42"/>
        <v>8602897.6799999997</v>
      </c>
      <c r="N206" s="116">
        <f t="shared" si="43"/>
        <v>5183245.68</v>
      </c>
      <c r="O206" s="123">
        <f t="shared" si="44"/>
        <v>1009.395458617332</v>
      </c>
      <c r="P206" s="5"/>
      <c r="Q206" s="5">
        <f t="shared" si="46"/>
        <v>1</v>
      </c>
      <c r="R206" s="7">
        <f t="shared" si="47"/>
        <v>5135</v>
      </c>
      <c r="S206" s="5">
        <f t="shared" si="48"/>
        <v>1</v>
      </c>
      <c r="T206" s="7">
        <f t="shared" si="45"/>
        <v>5135</v>
      </c>
    </row>
    <row r="207" spans="1:20">
      <c r="A207" s="23" t="s">
        <v>236</v>
      </c>
      <c r="B207" s="37" t="s">
        <v>233</v>
      </c>
      <c r="C207" s="36">
        <v>3272</v>
      </c>
      <c r="D207" s="6"/>
      <c r="E207" s="113">
        <v>347136428</v>
      </c>
      <c r="F207" s="116">
        <f t="shared" si="41"/>
        <v>106093.04034229829</v>
      </c>
      <c r="G207" s="117">
        <v>178680119</v>
      </c>
      <c r="H207" s="117">
        <f t="shared" si="40"/>
        <v>54608.838325183373</v>
      </c>
      <c r="I207" s="9"/>
      <c r="J207" s="10">
        <v>8.8902999999999999</v>
      </c>
      <c r="K207" s="117">
        <v>1588520</v>
      </c>
      <c r="L207" s="120">
        <f t="shared" si="49"/>
        <v>485.48899755501225</v>
      </c>
      <c r="M207" s="122">
        <f t="shared" si="42"/>
        <v>1786801.19</v>
      </c>
      <c r="N207" s="116">
        <f t="shared" si="43"/>
        <v>198281.18999999994</v>
      </c>
      <c r="O207" s="123">
        <f t="shared" si="44"/>
        <v>60.5993856968215</v>
      </c>
      <c r="P207" s="5"/>
      <c r="Q207" s="5">
        <f t="shared" si="46"/>
        <v>1</v>
      </c>
      <c r="R207" s="7">
        <f t="shared" si="47"/>
        <v>3272</v>
      </c>
      <c r="S207" s="5">
        <f t="shared" si="48"/>
        <v>1</v>
      </c>
      <c r="T207" s="7">
        <f t="shared" si="45"/>
        <v>3272</v>
      </c>
    </row>
    <row r="208" spans="1:20">
      <c r="A208" s="23" t="s">
        <v>237</v>
      </c>
      <c r="B208" s="37" t="s">
        <v>233</v>
      </c>
      <c r="C208" s="36">
        <v>45798</v>
      </c>
      <c r="D208" s="6"/>
      <c r="E208" s="113">
        <v>19552533703</v>
      </c>
      <c r="F208" s="116">
        <f t="shared" si="41"/>
        <v>426929.85944801086</v>
      </c>
      <c r="G208" s="117">
        <v>13431410904</v>
      </c>
      <c r="H208" s="117">
        <f t="shared" si="40"/>
        <v>293275.05358312587</v>
      </c>
      <c r="I208" s="9"/>
      <c r="J208" s="10">
        <v>5.25</v>
      </c>
      <c r="K208" s="117">
        <v>70514907</v>
      </c>
      <c r="L208" s="120">
        <f t="shared" si="49"/>
        <v>1539.6940259399973</v>
      </c>
      <c r="M208" s="122">
        <f t="shared" si="42"/>
        <v>134314109.03999999</v>
      </c>
      <c r="N208" s="116">
        <f t="shared" si="43"/>
        <v>63799202.039999992</v>
      </c>
      <c r="O208" s="123">
        <f t="shared" si="44"/>
        <v>1393.0565098912614</v>
      </c>
      <c r="P208" s="5"/>
      <c r="Q208" s="5">
        <f t="shared" si="46"/>
        <v>1</v>
      </c>
      <c r="R208" s="7">
        <f t="shared" si="47"/>
        <v>45798</v>
      </c>
      <c r="S208" s="5">
        <f>IF(J208&gt;0,1,0)</f>
        <v>1</v>
      </c>
      <c r="T208" s="7">
        <f t="shared" si="45"/>
        <v>45798</v>
      </c>
    </row>
    <row r="209" spans="1:20">
      <c r="A209" s="23" t="s">
        <v>524</v>
      </c>
      <c r="B209" s="37" t="s">
        <v>233</v>
      </c>
      <c r="C209" s="36">
        <v>41579</v>
      </c>
      <c r="D209" s="6"/>
      <c r="E209" s="113">
        <v>4529631783</v>
      </c>
      <c r="F209" s="116">
        <f t="shared" si="41"/>
        <v>108940.37333750211</v>
      </c>
      <c r="G209" s="117">
        <v>2811833213</v>
      </c>
      <c r="H209" s="117">
        <f t="shared" si="40"/>
        <v>67626.282811034413</v>
      </c>
      <c r="I209" s="9"/>
      <c r="J209" s="10">
        <v>2.4470000000000001</v>
      </c>
      <c r="K209" s="117">
        <v>6880556</v>
      </c>
      <c r="L209" s="120">
        <f t="shared" si="49"/>
        <v>165.48151711200364</v>
      </c>
      <c r="M209" s="122">
        <f t="shared" si="42"/>
        <v>28118332.129999999</v>
      </c>
      <c r="N209" s="116">
        <f t="shared" si="43"/>
        <v>21237776.129999999</v>
      </c>
      <c r="O209" s="123">
        <f t="shared" si="44"/>
        <v>510.78131099834047</v>
      </c>
      <c r="P209" s="5"/>
      <c r="Q209" s="5">
        <f t="shared" si="46"/>
        <v>1</v>
      </c>
      <c r="R209" s="7">
        <f t="shared" si="47"/>
        <v>41579</v>
      </c>
      <c r="S209" s="5">
        <f t="shared" si="48"/>
        <v>1</v>
      </c>
      <c r="T209" s="7">
        <f t="shared" si="45"/>
        <v>41579</v>
      </c>
    </row>
    <row r="210" spans="1:20">
      <c r="A210" s="23" t="s">
        <v>501</v>
      </c>
      <c r="B210" s="37" t="s">
        <v>233</v>
      </c>
      <c r="C210" s="36">
        <v>34322</v>
      </c>
      <c r="D210" s="6"/>
      <c r="E210" s="113">
        <v>12888350982</v>
      </c>
      <c r="F210" s="116">
        <f t="shared" si="41"/>
        <v>375512.81924130296</v>
      </c>
      <c r="G210" s="117">
        <v>11032777714</v>
      </c>
      <c r="H210" s="117">
        <f t="shared" si="40"/>
        <v>321449.14964162925</v>
      </c>
      <c r="I210" s="9"/>
      <c r="J210" s="10">
        <v>2.4470000000000001</v>
      </c>
      <c r="K210" s="117">
        <v>26997207</v>
      </c>
      <c r="L210" s="120">
        <f t="shared" si="49"/>
        <v>786.5860672454985</v>
      </c>
      <c r="M210" s="122">
        <f t="shared" si="42"/>
        <v>110327777.14</v>
      </c>
      <c r="N210" s="116">
        <f t="shared" si="43"/>
        <v>83330570.140000001</v>
      </c>
      <c r="O210" s="123">
        <f t="shared" si="44"/>
        <v>2427.9054291707944</v>
      </c>
      <c r="P210" s="5"/>
      <c r="Q210" s="5">
        <f t="shared" si="46"/>
        <v>1</v>
      </c>
      <c r="R210" s="7">
        <f t="shared" si="47"/>
        <v>34322</v>
      </c>
      <c r="S210" s="5">
        <f t="shared" si="48"/>
        <v>1</v>
      </c>
      <c r="T210" s="7">
        <f t="shared" si="45"/>
        <v>34322</v>
      </c>
    </row>
    <row r="211" spans="1:20">
      <c r="A211" s="23" t="s">
        <v>238</v>
      </c>
      <c r="B211" s="37" t="s">
        <v>233</v>
      </c>
      <c r="C211" s="36">
        <v>2502</v>
      </c>
      <c r="D211" s="6"/>
      <c r="E211" s="113">
        <v>263220402</v>
      </c>
      <c r="F211" s="116">
        <f t="shared" si="41"/>
        <v>105203.99760191847</v>
      </c>
      <c r="G211" s="117">
        <v>124475609</v>
      </c>
      <c r="H211" s="117">
        <f t="shared" si="40"/>
        <v>49750.44324540368</v>
      </c>
      <c r="I211" s="9"/>
      <c r="J211" s="10">
        <v>7.8441999999999998</v>
      </c>
      <c r="K211" s="117">
        <v>976412</v>
      </c>
      <c r="L211" s="120">
        <f t="shared" si="49"/>
        <v>390.2525979216627</v>
      </c>
      <c r="M211" s="122">
        <f t="shared" si="42"/>
        <v>1244756.0900000001</v>
      </c>
      <c r="N211" s="116">
        <f t="shared" si="43"/>
        <v>268344.09000000008</v>
      </c>
      <c r="O211" s="123">
        <f t="shared" si="44"/>
        <v>107.25183453237413</v>
      </c>
      <c r="P211" s="5"/>
      <c r="Q211" s="5">
        <f t="shared" si="46"/>
        <v>1</v>
      </c>
      <c r="R211" s="7">
        <f t="shared" si="47"/>
        <v>2502</v>
      </c>
      <c r="S211" s="5">
        <f t="shared" si="48"/>
        <v>1</v>
      </c>
      <c r="T211" s="7">
        <f t="shared" si="45"/>
        <v>2502</v>
      </c>
    </row>
    <row r="212" spans="1:20">
      <c r="A212" s="23" t="s">
        <v>239</v>
      </c>
      <c r="B212" s="37" t="s">
        <v>233</v>
      </c>
      <c r="C212" s="36">
        <v>10193</v>
      </c>
      <c r="D212" s="6"/>
      <c r="E212" s="113">
        <v>1124995708</v>
      </c>
      <c r="F212" s="116">
        <f t="shared" si="41"/>
        <v>110369.44059648778</v>
      </c>
      <c r="G212" s="117">
        <v>829332255</v>
      </c>
      <c r="H212" s="117">
        <f t="shared" si="40"/>
        <v>81362.921122338856</v>
      </c>
      <c r="I212" s="9"/>
      <c r="J212" s="10">
        <v>7.75</v>
      </c>
      <c r="K212" s="117">
        <v>6427325</v>
      </c>
      <c r="L212" s="120">
        <f t="shared" si="49"/>
        <v>630.56264102815658</v>
      </c>
      <c r="M212" s="122">
        <f t="shared" si="42"/>
        <v>8293322.5499999998</v>
      </c>
      <c r="N212" s="116">
        <f t="shared" si="43"/>
        <v>1865997.5499999998</v>
      </c>
      <c r="O212" s="123">
        <f t="shared" si="44"/>
        <v>183.066570195232</v>
      </c>
      <c r="P212" s="5"/>
      <c r="Q212" s="5">
        <f t="shared" si="46"/>
        <v>1</v>
      </c>
      <c r="R212" s="7">
        <f t="shared" si="47"/>
        <v>10193</v>
      </c>
      <c r="S212" s="5">
        <f t="shared" si="48"/>
        <v>1</v>
      </c>
      <c r="T212" s="7">
        <f t="shared" si="45"/>
        <v>10193</v>
      </c>
    </row>
    <row r="213" spans="1:20">
      <c r="A213" s="23" t="s">
        <v>240</v>
      </c>
      <c r="B213" s="37" t="s">
        <v>233</v>
      </c>
      <c r="C213" s="36">
        <v>947</v>
      </c>
      <c r="D213" s="6"/>
      <c r="E213" s="113">
        <v>1072534751</v>
      </c>
      <c r="F213" s="116">
        <f t="shared" si="41"/>
        <v>1132560.4551214362</v>
      </c>
      <c r="G213" s="117">
        <v>727052005</v>
      </c>
      <c r="H213" s="117">
        <f t="shared" si="40"/>
        <v>767742.34952481522</v>
      </c>
      <c r="I213" s="9"/>
      <c r="J213" s="10">
        <v>7.6050000000000004</v>
      </c>
      <c r="K213" s="117">
        <v>5529230</v>
      </c>
      <c r="L213" s="120">
        <f t="shared" si="49"/>
        <v>5838.6800422386486</v>
      </c>
      <c r="M213" s="122">
        <f t="shared" si="42"/>
        <v>7270520.0499999998</v>
      </c>
      <c r="N213" s="116">
        <f t="shared" si="43"/>
        <v>1741290.0499999998</v>
      </c>
      <c r="O213" s="123">
        <f t="shared" si="44"/>
        <v>1838.7434530095036</v>
      </c>
      <c r="P213" s="5"/>
      <c r="Q213" s="5">
        <f t="shared" si="46"/>
        <v>1</v>
      </c>
      <c r="R213" s="7">
        <f t="shared" si="47"/>
        <v>947</v>
      </c>
      <c r="S213" s="5">
        <f t="shared" si="48"/>
        <v>1</v>
      </c>
      <c r="T213" s="7">
        <f t="shared" si="45"/>
        <v>947</v>
      </c>
    </row>
    <row r="214" spans="1:20">
      <c r="A214" s="23" t="s">
        <v>241</v>
      </c>
      <c r="B214" s="37" t="s">
        <v>233</v>
      </c>
      <c r="C214" s="36">
        <v>228157</v>
      </c>
      <c r="D214" s="6"/>
      <c r="E214" s="113">
        <v>17738513083</v>
      </c>
      <c r="F214" s="116">
        <f t="shared" si="41"/>
        <v>77746.959694420948</v>
      </c>
      <c r="G214" s="117">
        <v>10688971541</v>
      </c>
      <c r="H214" s="117">
        <f t="shared" si="40"/>
        <v>46849.193936631353</v>
      </c>
      <c r="I214" s="9"/>
      <c r="J214" s="10">
        <v>6.54</v>
      </c>
      <c r="K214" s="117">
        <v>69905874</v>
      </c>
      <c r="L214" s="120">
        <f t="shared" si="49"/>
        <v>306.39372887967494</v>
      </c>
      <c r="M214" s="122">
        <f t="shared" si="42"/>
        <v>106889715.41</v>
      </c>
      <c r="N214" s="116">
        <f t="shared" si="43"/>
        <v>36983841.409999996</v>
      </c>
      <c r="O214" s="123">
        <f t="shared" si="44"/>
        <v>162.09821048663858</v>
      </c>
      <c r="P214" s="5"/>
      <c r="Q214" s="5">
        <f t="shared" si="46"/>
        <v>1</v>
      </c>
      <c r="R214" s="7">
        <f t="shared" si="47"/>
        <v>228157</v>
      </c>
      <c r="S214" s="5">
        <f t="shared" si="48"/>
        <v>1</v>
      </c>
      <c r="T214" s="7">
        <f t="shared" si="45"/>
        <v>228157</v>
      </c>
    </row>
    <row r="215" spans="1:20">
      <c r="A215" s="23" t="s">
        <v>242</v>
      </c>
      <c r="B215" s="37" t="s">
        <v>233</v>
      </c>
      <c r="C215" s="36">
        <v>20939</v>
      </c>
      <c r="D215" s="6"/>
      <c r="E215" s="113">
        <v>2036435365</v>
      </c>
      <c r="F215" s="116">
        <f t="shared" si="41"/>
        <v>97255.617030421694</v>
      </c>
      <c r="G215" s="117">
        <v>1271094435</v>
      </c>
      <c r="H215" s="117">
        <f t="shared" si="40"/>
        <v>60704.638951239314</v>
      </c>
      <c r="I215" s="9"/>
      <c r="J215" s="10">
        <v>4.9000000000000004</v>
      </c>
      <c r="K215" s="117">
        <v>6228363</v>
      </c>
      <c r="L215" s="120">
        <f t="shared" si="49"/>
        <v>297.4527436840346</v>
      </c>
      <c r="M215" s="122">
        <f t="shared" si="42"/>
        <v>12710944.35</v>
      </c>
      <c r="N215" s="116">
        <f t="shared" si="43"/>
        <v>6482581.3499999996</v>
      </c>
      <c r="O215" s="123">
        <f t="shared" si="44"/>
        <v>309.59364582835855</v>
      </c>
      <c r="P215" s="5"/>
      <c r="Q215" s="5">
        <f t="shared" si="46"/>
        <v>1</v>
      </c>
      <c r="R215" s="7">
        <f t="shared" si="47"/>
        <v>20939</v>
      </c>
      <c r="S215" s="5">
        <f t="shared" si="48"/>
        <v>1</v>
      </c>
      <c r="T215" s="7">
        <f t="shared" si="45"/>
        <v>20939</v>
      </c>
    </row>
    <row r="216" spans="1:20">
      <c r="A216" s="23" t="s">
        <v>243</v>
      </c>
      <c r="B216" s="37" t="s">
        <v>233</v>
      </c>
      <c r="C216" s="36">
        <v>59415</v>
      </c>
      <c r="D216" s="6"/>
      <c r="E216" s="113">
        <v>5415579225</v>
      </c>
      <c r="F216" s="116">
        <f t="shared" si="41"/>
        <v>91148.350164099975</v>
      </c>
      <c r="G216" s="117">
        <v>3943362415</v>
      </c>
      <c r="H216" s="117">
        <f t="shared" si="40"/>
        <v>66369.812589413443</v>
      </c>
      <c r="I216" s="9"/>
      <c r="J216" s="10">
        <v>5.3410000000000002</v>
      </c>
      <c r="K216" s="117">
        <v>21061499</v>
      </c>
      <c r="L216" s="120">
        <f t="shared" si="49"/>
        <v>354.48117478751158</v>
      </c>
      <c r="M216" s="122">
        <f t="shared" si="42"/>
        <v>39433624.149999999</v>
      </c>
      <c r="N216" s="116">
        <f t="shared" si="43"/>
        <v>18372125.149999999</v>
      </c>
      <c r="O216" s="123">
        <f t="shared" si="44"/>
        <v>309.2169511066229</v>
      </c>
      <c r="P216" s="5"/>
      <c r="Q216" s="5">
        <f t="shared" si="46"/>
        <v>1</v>
      </c>
      <c r="R216" s="7">
        <f t="shared" si="47"/>
        <v>59415</v>
      </c>
      <c r="S216" s="5">
        <f t="shared" si="48"/>
        <v>1</v>
      </c>
      <c r="T216" s="7">
        <f t="shared" si="45"/>
        <v>59415</v>
      </c>
    </row>
    <row r="217" spans="1:20">
      <c r="A217" s="23" t="s">
        <v>244</v>
      </c>
      <c r="B217" s="37" t="s">
        <v>233</v>
      </c>
      <c r="C217" s="36">
        <v>58</v>
      </c>
      <c r="D217" s="6"/>
      <c r="E217" s="113">
        <v>400850915</v>
      </c>
      <c r="F217" s="116">
        <f t="shared" si="41"/>
        <v>6911222.6724137934</v>
      </c>
      <c r="G217" s="117">
        <v>361639098</v>
      </c>
      <c r="H217" s="117">
        <f t="shared" si="40"/>
        <v>6235156.8620689651</v>
      </c>
      <c r="I217" s="9"/>
      <c r="J217" s="10">
        <v>6.5</v>
      </c>
      <c r="K217" s="117">
        <v>2350654</v>
      </c>
      <c r="L217" s="120">
        <f t="shared" si="49"/>
        <v>40528.517241379312</v>
      </c>
      <c r="M217" s="122">
        <f t="shared" si="42"/>
        <v>3616390.98</v>
      </c>
      <c r="N217" s="116">
        <f t="shared" si="43"/>
        <v>1265736.98</v>
      </c>
      <c r="O217" s="123">
        <f t="shared" si="44"/>
        <v>21823.051379310346</v>
      </c>
      <c r="P217" s="5"/>
      <c r="Q217" s="5">
        <f t="shared" si="46"/>
        <v>1</v>
      </c>
      <c r="R217" s="7">
        <f t="shared" si="47"/>
        <v>58</v>
      </c>
      <c r="S217" s="5">
        <f t="shared" si="48"/>
        <v>1</v>
      </c>
      <c r="T217" s="7">
        <f t="shared" si="45"/>
        <v>58</v>
      </c>
    </row>
    <row r="218" spans="1:20">
      <c r="A218" s="23" t="s">
        <v>245</v>
      </c>
      <c r="B218" s="37" t="s">
        <v>233</v>
      </c>
      <c r="C218" s="36">
        <v>6</v>
      </c>
      <c r="D218" s="6"/>
      <c r="E218" s="113">
        <v>9791936</v>
      </c>
      <c r="F218" s="116">
        <f t="shared" si="41"/>
        <v>1631989.3333333333</v>
      </c>
      <c r="G218" s="117">
        <v>374763</v>
      </c>
      <c r="H218" s="117">
        <f t="shared" si="40"/>
        <v>62460.5</v>
      </c>
      <c r="I218" s="9"/>
      <c r="J218" s="10">
        <v>6.8042999999999996</v>
      </c>
      <c r="K218" s="117">
        <v>2550</v>
      </c>
      <c r="L218" s="120">
        <f t="shared" si="49"/>
        <v>425</v>
      </c>
      <c r="M218" s="122">
        <f t="shared" si="42"/>
        <v>3747.63</v>
      </c>
      <c r="N218" s="116">
        <f t="shared" si="43"/>
        <v>1197.6300000000001</v>
      </c>
      <c r="O218" s="123">
        <f t="shared" si="44"/>
        <v>199.60500000000002</v>
      </c>
      <c r="P218" s="5"/>
      <c r="Q218" s="5">
        <f t="shared" si="46"/>
        <v>1</v>
      </c>
      <c r="R218" s="7">
        <f t="shared" si="47"/>
        <v>6</v>
      </c>
      <c r="S218" s="5">
        <f t="shared" si="48"/>
        <v>1</v>
      </c>
      <c r="T218" s="7">
        <f t="shared" si="45"/>
        <v>6</v>
      </c>
    </row>
    <row r="219" spans="1:20">
      <c r="A219" s="23" t="s">
        <v>246</v>
      </c>
      <c r="B219" s="37" t="s">
        <v>233</v>
      </c>
      <c r="C219" s="36">
        <v>11555</v>
      </c>
      <c r="D219" s="6"/>
      <c r="E219" s="113">
        <v>8117530227</v>
      </c>
      <c r="F219" s="116">
        <f t="shared" si="41"/>
        <v>702512.35196884465</v>
      </c>
      <c r="G219" s="117">
        <v>6441878743</v>
      </c>
      <c r="H219" s="117">
        <f t="shared" si="40"/>
        <v>557497.07858070103</v>
      </c>
      <c r="I219" s="9"/>
      <c r="J219" s="10">
        <v>3.2</v>
      </c>
      <c r="K219" s="117">
        <v>20614012</v>
      </c>
      <c r="L219" s="120">
        <f t="shared" si="49"/>
        <v>1783.9906533967978</v>
      </c>
      <c r="M219" s="122">
        <f t="shared" si="42"/>
        <v>64418787.43</v>
      </c>
      <c r="N219" s="116">
        <f t="shared" si="43"/>
        <v>43804775.43</v>
      </c>
      <c r="O219" s="123">
        <f t="shared" si="44"/>
        <v>3790.9801324102118</v>
      </c>
      <c r="P219" s="5"/>
      <c r="Q219" s="5">
        <f t="shared" si="46"/>
        <v>1</v>
      </c>
      <c r="R219" s="7">
        <f t="shared" si="47"/>
        <v>11555</v>
      </c>
      <c r="S219" s="5">
        <f t="shared" si="48"/>
        <v>1</v>
      </c>
      <c r="T219" s="7">
        <f t="shared" si="45"/>
        <v>11555</v>
      </c>
    </row>
    <row r="220" spans="1:20">
      <c r="A220" s="23" t="s">
        <v>247</v>
      </c>
      <c r="B220" s="37" t="s">
        <v>233</v>
      </c>
      <c r="C220" s="36">
        <v>1126</v>
      </c>
      <c r="D220" s="6"/>
      <c r="E220" s="113">
        <v>2098648542</v>
      </c>
      <c r="F220" s="116">
        <f t="shared" si="41"/>
        <v>1863808.651865009</v>
      </c>
      <c r="G220" s="117">
        <v>2040520953</v>
      </c>
      <c r="H220" s="117">
        <f t="shared" si="40"/>
        <v>1812185.5710479573</v>
      </c>
      <c r="I220" s="9"/>
      <c r="J220" s="10">
        <v>5.7</v>
      </c>
      <c r="K220" s="117">
        <v>11630969</v>
      </c>
      <c r="L220" s="120">
        <f t="shared" si="49"/>
        <v>10329.457371225577</v>
      </c>
      <c r="M220" s="122">
        <f t="shared" si="42"/>
        <v>20405209.530000001</v>
      </c>
      <c r="N220" s="116">
        <f t="shared" si="43"/>
        <v>8774240.5300000012</v>
      </c>
      <c r="O220" s="123">
        <f t="shared" si="44"/>
        <v>7792.3983392539976</v>
      </c>
      <c r="P220" s="5"/>
      <c r="Q220" s="5">
        <f t="shared" si="46"/>
        <v>1</v>
      </c>
      <c r="R220" s="7">
        <f t="shared" si="47"/>
        <v>1126</v>
      </c>
      <c r="S220" s="5">
        <f t="shared" si="48"/>
        <v>1</v>
      </c>
      <c r="T220" s="7">
        <f t="shared" si="45"/>
        <v>1126</v>
      </c>
    </row>
    <row r="221" spans="1:20">
      <c r="A221" s="23" t="s">
        <v>248</v>
      </c>
      <c r="B221" s="37" t="s">
        <v>233</v>
      </c>
      <c r="C221" s="36">
        <v>406242</v>
      </c>
      <c r="D221" s="6"/>
      <c r="E221" s="113">
        <v>57665655458</v>
      </c>
      <c r="F221" s="116">
        <f t="shared" si="41"/>
        <v>141949.02412355196</v>
      </c>
      <c r="G221" s="117">
        <v>39715308325</v>
      </c>
      <c r="H221" s="117">
        <f t="shared" si="40"/>
        <v>97762.684126702807</v>
      </c>
      <c r="I221" s="9"/>
      <c r="J221" s="10">
        <v>7.6740000000000004</v>
      </c>
      <c r="K221" s="117">
        <v>304775276</v>
      </c>
      <c r="L221" s="120">
        <f t="shared" si="49"/>
        <v>750.23083777649776</v>
      </c>
      <c r="M221" s="122">
        <f t="shared" si="42"/>
        <v>397153083.25</v>
      </c>
      <c r="N221" s="116">
        <f t="shared" si="43"/>
        <v>92377807.25</v>
      </c>
      <c r="O221" s="123">
        <f t="shared" si="44"/>
        <v>227.39600349053026</v>
      </c>
      <c r="P221" s="5"/>
      <c r="Q221" s="5">
        <f t="shared" si="46"/>
        <v>1</v>
      </c>
      <c r="R221" s="7">
        <f t="shared" si="47"/>
        <v>406242</v>
      </c>
      <c r="S221" s="5">
        <f>IF(J221&gt;0,1,0)</f>
        <v>1</v>
      </c>
      <c r="T221" s="7">
        <f t="shared" si="45"/>
        <v>406242</v>
      </c>
    </row>
    <row r="222" spans="1:20">
      <c r="A222" s="23" t="s">
        <v>249</v>
      </c>
      <c r="B222" s="37" t="s">
        <v>233</v>
      </c>
      <c r="C222" s="36">
        <v>94040</v>
      </c>
      <c r="D222" s="6"/>
      <c r="E222" s="113">
        <v>34713560529</v>
      </c>
      <c r="F222" s="116">
        <f t="shared" si="41"/>
        <v>369136.11791790725</v>
      </c>
      <c r="G222" s="117">
        <v>26837301714</v>
      </c>
      <c r="H222" s="117">
        <f t="shared" si="40"/>
        <v>285381.77067205444</v>
      </c>
      <c r="I222" s="9"/>
      <c r="J222" s="10">
        <v>5.6555</v>
      </c>
      <c r="K222" s="117">
        <v>151778360</v>
      </c>
      <c r="L222" s="120">
        <f t="shared" si="49"/>
        <v>1613.9766056997023</v>
      </c>
      <c r="M222" s="122">
        <f t="shared" si="42"/>
        <v>268373017.14000002</v>
      </c>
      <c r="N222" s="116">
        <f t="shared" si="43"/>
        <v>116594657.14000002</v>
      </c>
      <c r="O222" s="123">
        <f t="shared" si="44"/>
        <v>1239.8411010208424</v>
      </c>
      <c r="P222" s="5"/>
      <c r="Q222" s="5">
        <f t="shared" si="46"/>
        <v>1</v>
      </c>
      <c r="R222" s="7">
        <f t="shared" si="47"/>
        <v>94040</v>
      </c>
      <c r="S222" s="5">
        <f t="shared" si="48"/>
        <v>1</v>
      </c>
      <c r="T222" s="7">
        <f t="shared" si="45"/>
        <v>94040</v>
      </c>
    </row>
    <row r="223" spans="1:20">
      <c r="A223" s="23" t="s">
        <v>500</v>
      </c>
      <c r="B223" s="37" t="s">
        <v>233</v>
      </c>
      <c r="C223" s="36">
        <v>111171</v>
      </c>
      <c r="D223" s="6"/>
      <c r="E223" s="113">
        <v>8478075168</v>
      </c>
      <c r="F223" s="116">
        <f t="shared" si="41"/>
        <v>76261.571524948056</v>
      </c>
      <c r="G223" s="117">
        <v>4847256746</v>
      </c>
      <c r="H223" s="117">
        <f t="shared" si="40"/>
        <v>43601.809338766405</v>
      </c>
      <c r="I223" s="9"/>
      <c r="J223" s="10">
        <v>5.1402000000000001</v>
      </c>
      <c r="K223" s="117">
        <v>24915869</v>
      </c>
      <c r="L223" s="120">
        <f t="shared" si="49"/>
        <v>224.12201923163414</v>
      </c>
      <c r="M223" s="122">
        <f t="shared" si="42"/>
        <v>48472567.460000001</v>
      </c>
      <c r="N223" s="116">
        <f t="shared" si="43"/>
        <v>23556698.460000001</v>
      </c>
      <c r="O223" s="123">
        <f t="shared" si="44"/>
        <v>211.8960741560299</v>
      </c>
      <c r="P223" s="5"/>
      <c r="Q223" s="5">
        <f t="shared" si="46"/>
        <v>1</v>
      </c>
      <c r="R223" s="7">
        <f t="shared" si="47"/>
        <v>111171</v>
      </c>
      <c r="S223" s="5">
        <f t="shared" si="48"/>
        <v>1</v>
      </c>
      <c r="T223" s="7">
        <f t="shared" si="45"/>
        <v>111171</v>
      </c>
    </row>
    <row r="224" spans="1:20">
      <c r="A224" s="23" t="s">
        <v>459</v>
      </c>
      <c r="B224" s="37" t="s">
        <v>233</v>
      </c>
      <c r="C224" s="36">
        <v>27031</v>
      </c>
      <c r="D224" s="6"/>
      <c r="E224" s="113">
        <v>5133606060</v>
      </c>
      <c r="F224" s="116">
        <f t="shared" si="41"/>
        <v>189915.50664052385</v>
      </c>
      <c r="G224" s="117">
        <v>3162342591</v>
      </c>
      <c r="H224" s="117">
        <f t="shared" ref="H224:H287" si="50">(G224/C224)</f>
        <v>116989.47841367319</v>
      </c>
      <c r="I224" s="9"/>
      <c r="J224" s="10">
        <v>2.4794999999999998</v>
      </c>
      <c r="K224" s="117">
        <v>7841028</v>
      </c>
      <c r="L224" s="120">
        <f t="shared" si="49"/>
        <v>290.07539491694723</v>
      </c>
      <c r="M224" s="122">
        <f t="shared" si="42"/>
        <v>31623425.91</v>
      </c>
      <c r="N224" s="116">
        <f t="shared" si="43"/>
        <v>23782397.91</v>
      </c>
      <c r="O224" s="123">
        <f t="shared" si="44"/>
        <v>879.81938921978474</v>
      </c>
      <c r="P224" s="5"/>
      <c r="Q224" s="5">
        <f t="shared" si="46"/>
        <v>1</v>
      </c>
      <c r="R224" s="7">
        <f t="shared" si="47"/>
        <v>27031</v>
      </c>
      <c r="S224" s="5">
        <f t="shared" si="48"/>
        <v>1</v>
      </c>
      <c r="T224" s="7">
        <f t="shared" si="45"/>
        <v>27031</v>
      </c>
    </row>
    <row r="225" spans="1:20">
      <c r="A225" s="23" t="s">
        <v>250</v>
      </c>
      <c r="B225" s="37" t="s">
        <v>233</v>
      </c>
      <c r="C225" s="36">
        <v>10654</v>
      </c>
      <c r="D225" s="6"/>
      <c r="E225" s="113">
        <v>2062328724</v>
      </c>
      <c r="F225" s="116">
        <f t="shared" ref="F225:F288" si="51">(E225/C225)</f>
        <v>193573.18603341468</v>
      </c>
      <c r="G225" s="117">
        <v>920443975</v>
      </c>
      <c r="H225" s="117">
        <f t="shared" si="50"/>
        <v>86394.215787497655</v>
      </c>
      <c r="I225" s="9"/>
      <c r="J225" s="10">
        <v>7.6351000000000004</v>
      </c>
      <c r="K225" s="117">
        <v>7027682</v>
      </c>
      <c r="L225" s="120">
        <f t="shared" si="49"/>
        <v>659.628496339403</v>
      </c>
      <c r="M225" s="122">
        <f t="shared" si="42"/>
        <v>9204439.75</v>
      </c>
      <c r="N225" s="116">
        <f t="shared" si="43"/>
        <v>2176757.75</v>
      </c>
      <c r="O225" s="123">
        <f t="shared" si="44"/>
        <v>204.31366153557349</v>
      </c>
      <c r="P225" s="5"/>
      <c r="Q225" s="5">
        <f t="shared" si="46"/>
        <v>1</v>
      </c>
      <c r="R225" s="7">
        <f t="shared" si="47"/>
        <v>10654</v>
      </c>
      <c r="S225" s="5">
        <f t="shared" si="48"/>
        <v>1</v>
      </c>
      <c r="T225" s="7">
        <f t="shared" si="45"/>
        <v>10654</v>
      </c>
    </row>
    <row r="226" spans="1:20">
      <c r="A226" s="23" t="s">
        <v>251</v>
      </c>
      <c r="B226" s="37" t="s">
        <v>233</v>
      </c>
      <c r="C226" s="36">
        <v>13557</v>
      </c>
      <c r="D226" s="6"/>
      <c r="E226" s="113">
        <v>1915234197</v>
      </c>
      <c r="F226" s="116">
        <f t="shared" si="51"/>
        <v>141272.71498119054</v>
      </c>
      <c r="G226" s="117">
        <v>1093885617</v>
      </c>
      <c r="H226" s="117">
        <f t="shared" si="50"/>
        <v>80687.882053551672</v>
      </c>
      <c r="I226" s="9"/>
      <c r="J226" s="10">
        <v>6.4305000000000003</v>
      </c>
      <c r="K226" s="117">
        <v>7034231</v>
      </c>
      <c r="L226" s="120">
        <f t="shared" si="49"/>
        <v>518.86339160581247</v>
      </c>
      <c r="M226" s="122">
        <f t="shared" si="42"/>
        <v>10938856.17</v>
      </c>
      <c r="N226" s="116">
        <f t="shared" si="43"/>
        <v>3904625.17</v>
      </c>
      <c r="O226" s="123">
        <f t="shared" si="44"/>
        <v>288.01542892970423</v>
      </c>
      <c r="P226" s="5"/>
      <c r="Q226" s="5">
        <f t="shared" si="46"/>
        <v>1</v>
      </c>
      <c r="R226" s="7">
        <f t="shared" si="47"/>
        <v>13557</v>
      </c>
      <c r="S226" s="5">
        <f t="shared" si="48"/>
        <v>1</v>
      </c>
      <c r="T226" s="7">
        <f t="shared" si="45"/>
        <v>13557</v>
      </c>
    </row>
    <row r="227" spans="1:20">
      <c r="A227" s="23" t="s">
        <v>252</v>
      </c>
      <c r="B227" s="37" t="s">
        <v>233</v>
      </c>
      <c r="C227" s="36">
        <v>6814</v>
      </c>
      <c r="D227" s="6"/>
      <c r="E227" s="113">
        <v>1373970207</v>
      </c>
      <c r="F227" s="116">
        <f t="shared" si="51"/>
        <v>201639.30246551218</v>
      </c>
      <c r="G227" s="117">
        <v>1150846348</v>
      </c>
      <c r="H227" s="117">
        <f t="shared" si="50"/>
        <v>168894.386263575</v>
      </c>
      <c r="I227" s="9"/>
      <c r="J227" s="10">
        <v>4.6696999999999997</v>
      </c>
      <c r="K227" s="117">
        <v>5374107</v>
      </c>
      <c r="L227" s="120">
        <f t="shared" si="49"/>
        <v>788.68608746697976</v>
      </c>
      <c r="M227" s="122">
        <f t="shared" si="42"/>
        <v>11508463.48</v>
      </c>
      <c r="N227" s="116">
        <f t="shared" si="43"/>
        <v>6134356.4800000004</v>
      </c>
      <c r="O227" s="123">
        <f t="shared" si="44"/>
        <v>900.25777516877019</v>
      </c>
      <c r="P227" s="5"/>
      <c r="Q227" s="5">
        <f t="shared" si="46"/>
        <v>1</v>
      </c>
      <c r="R227" s="7">
        <f t="shared" si="47"/>
        <v>6814</v>
      </c>
      <c r="S227" s="5">
        <f t="shared" si="48"/>
        <v>1</v>
      </c>
      <c r="T227" s="7">
        <f t="shared" si="45"/>
        <v>6814</v>
      </c>
    </row>
    <row r="228" spans="1:20">
      <c r="A228" s="23" t="s">
        <v>253</v>
      </c>
      <c r="B228" s="37" t="s">
        <v>233</v>
      </c>
      <c r="C228" s="36">
        <v>59688</v>
      </c>
      <c r="D228" s="6"/>
      <c r="E228" s="113">
        <v>5435903878</v>
      </c>
      <c r="F228" s="116">
        <f t="shared" si="51"/>
        <v>91071.972222222219</v>
      </c>
      <c r="G228" s="117">
        <v>3256301991</v>
      </c>
      <c r="H228" s="117">
        <f t="shared" si="50"/>
        <v>54555.38786690792</v>
      </c>
      <c r="I228" s="9"/>
      <c r="J228" s="10">
        <v>6.9195000000000002</v>
      </c>
      <c r="K228" s="117">
        <v>22531982</v>
      </c>
      <c r="L228" s="120">
        <f t="shared" si="49"/>
        <v>377.49601259884736</v>
      </c>
      <c r="M228" s="122">
        <f t="shared" si="42"/>
        <v>32563019.91</v>
      </c>
      <c r="N228" s="116">
        <f t="shared" si="43"/>
        <v>10031037.91</v>
      </c>
      <c r="O228" s="123">
        <f t="shared" si="44"/>
        <v>168.05786607023188</v>
      </c>
      <c r="P228" s="5"/>
      <c r="Q228" s="5">
        <f t="shared" si="46"/>
        <v>1</v>
      </c>
      <c r="R228" s="7">
        <f t="shared" si="47"/>
        <v>59688</v>
      </c>
      <c r="S228" s="5">
        <f t="shared" si="48"/>
        <v>1</v>
      </c>
      <c r="T228" s="7">
        <f t="shared" si="45"/>
        <v>59688</v>
      </c>
    </row>
    <row r="229" spans="1:20">
      <c r="A229" s="23" t="s">
        <v>254</v>
      </c>
      <c r="B229" s="37" t="s">
        <v>233</v>
      </c>
      <c r="C229" s="36">
        <v>40879</v>
      </c>
      <c r="D229" s="6"/>
      <c r="E229" s="113">
        <v>4306858893</v>
      </c>
      <c r="F229" s="116">
        <f t="shared" si="51"/>
        <v>105356.26832848162</v>
      </c>
      <c r="G229" s="117">
        <v>2654368696</v>
      </c>
      <c r="H229" s="117">
        <f t="shared" si="50"/>
        <v>64932.329460113993</v>
      </c>
      <c r="I229" s="9"/>
      <c r="J229" s="10">
        <v>6.6235999999999997</v>
      </c>
      <c r="K229" s="117">
        <v>17581476</v>
      </c>
      <c r="L229" s="120">
        <f t="shared" si="49"/>
        <v>430.08576530737054</v>
      </c>
      <c r="M229" s="122">
        <f t="shared" si="42"/>
        <v>26543686.960000001</v>
      </c>
      <c r="N229" s="116">
        <f t="shared" si="43"/>
        <v>8962210.9600000009</v>
      </c>
      <c r="O229" s="123">
        <f t="shared" si="44"/>
        <v>219.23752929376943</v>
      </c>
      <c r="P229" s="5"/>
      <c r="Q229" s="5">
        <f t="shared" si="46"/>
        <v>1</v>
      </c>
      <c r="R229" s="7">
        <f t="shared" si="47"/>
        <v>40879</v>
      </c>
      <c r="S229" s="5">
        <f>IF(J229&gt;0,1,0)</f>
        <v>1</v>
      </c>
      <c r="T229" s="7">
        <f t="shared" si="45"/>
        <v>40879</v>
      </c>
    </row>
    <row r="230" spans="1:20">
      <c r="A230" s="23" t="s">
        <v>255</v>
      </c>
      <c r="B230" s="37" t="s">
        <v>233</v>
      </c>
      <c r="C230" s="36">
        <v>15146</v>
      </c>
      <c r="D230" s="6"/>
      <c r="E230" s="113">
        <v>1389028785</v>
      </c>
      <c r="F230" s="116">
        <f t="shared" si="51"/>
        <v>91709.281988643866</v>
      </c>
      <c r="G230" s="117">
        <v>980817448</v>
      </c>
      <c r="H230" s="117">
        <f t="shared" si="50"/>
        <v>64757.523306483563</v>
      </c>
      <c r="I230" s="9"/>
      <c r="J230" s="10">
        <v>8.2083999999999993</v>
      </c>
      <c r="K230" s="117">
        <v>8050942</v>
      </c>
      <c r="L230" s="120">
        <f t="shared" si="49"/>
        <v>531.5556582596065</v>
      </c>
      <c r="M230" s="122">
        <f t="shared" si="42"/>
        <v>9808174.4800000004</v>
      </c>
      <c r="N230" s="116">
        <f t="shared" si="43"/>
        <v>1757232.4800000004</v>
      </c>
      <c r="O230" s="123">
        <f t="shared" si="44"/>
        <v>116.01957480522913</v>
      </c>
      <c r="P230" s="5"/>
      <c r="Q230" s="5">
        <f t="shared" si="46"/>
        <v>1</v>
      </c>
      <c r="R230" s="7">
        <f t="shared" si="47"/>
        <v>15146</v>
      </c>
      <c r="S230" s="5">
        <f t="shared" si="48"/>
        <v>1</v>
      </c>
      <c r="T230" s="7">
        <f t="shared" si="45"/>
        <v>15146</v>
      </c>
    </row>
    <row r="231" spans="1:20">
      <c r="A231" s="23" t="s">
        <v>493</v>
      </c>
      <c r="B231" s="37" t="s">
        <v>233</v>
      </c>
      <c r="C231" s="36">
        <v>25170</v>
      </c>
      <c r="D231" s="6"/>
      <c r="E231" s="113">
        <v>4736795854</v>
      </c>
      <c r="F231" s="116">
        <f t="shared" si="51"/>
        <v>188192.12769169646</v>
      </c>
      <c r="G231" s="117">
        <v>2806385337</v>
      </c>
      <c r="H231" s="117">
        <f t="shared" si="50"/>
        <v>111497.23230035757</v>
      </c>
      <c r="I231" s="9"/>
      <c r="J231" s="10">
        <v>2.4476</v>
      </c>
      <c r="K231" s="117">
        <v>6868909</v>
      </c>
      <c r="L231" s="120">
        <f t="shared" si="49"/>
        <v>272.90063567739372</v>
      </c>
      <c r="M231" s="122">
        <f t="shared" si="42"/>
        <v>28063853.370000001</v>
      </c>
      <c r="N231" s="116">
        <f t="shared" si="43"/>
        <v>21194944.370000001</v>
      </c>
      <c r="O231" s="123">
        <f t="shared" si="44"/>
        <v>842.07168732618197</v>
      </c>
      <c r="P231" s="5"/>
      <c r="Q231" s="5">
        <f t="shared" si="46"/>
        <v>1</v>
      </c>
      <c r="R231" s="7">
        <f t="shared" si="47"/>
        <v>25170</v>
      </c>
      <c r="S231" s="5">
        <f t="shared" si="48"/>
        <v>1</v>
      </c>
      <c r="T231" s="7">
        <f t="shared" si="45"/>
        <v>25170</v>
      </c>
    </row>
    <row r="232" spans="1:20">
      <c r="A232" s="23" t="s">
        <v>256</v>
      </c>
      <c r="B232" s="37" t="s">
        <v>233</v>
      </c>
      <c r="C232" s="36">
        <v>19454</v>
      </c>
      <c r="D232" s="6"/>
      <c r="E232" s="113">
        <v>6112504979</v>
      </c>
      <c r="F232" s="116">
        <f t="shared" si="51"/>
        <v>314202.9905931942</v>
      </c>
      <c r="G232" s="117">
        <v>3939851682</v>
      </c>
      <c r="H232" s="117">
        <f t="shared" si="50"/>
        <v>202521.41883417292</v>
      </c>
      <c r="I232" s="9"/>
      <c r="J232" s="10">
        <v>1.9807999999999999</v>
      </c>
      <c r="K232" s="117">
        <v>7804058</v>
      </c>
      <c r="L232" s="120">
        <f t="shared" ref="L232:L263" si="52">(K232/C232)</f>
        <v>401.15441554436103</v>
      </c>
      <c r="M232" s="122">
        <f t="shared" si="42"/>
        <v>39398516.82</v>
      </c>
      <c r="N232" s="116">
        <f t="shared" si="43"/>
        <v>31594458.82</v>
      </c>
      <c r="O232" s="123">
        <f t="shared" si="44"/>
        <v>1624.0597727973682</v>
      </c>
      <c r="P232" s="5"/>
      <c r="Q232" s="5">
        <f t="shared" si="46"/>
        <v>1</v>
      </c>
      <c r="R232" s="7">
        <f t="shared" si="47"/>
        <v>19454</v>
      </c>
      <c r="S232" s="5">
        <f t="shared" si="48"/>
        <v>1</v>
      </c>
      <c r="T232" s="7">
        <f t="shared" si="45"/>
        <v>19454</v>
      </c>
    </row>
    <row r="233" spans="1:20">
      <c r="A233" s="23" t="s">
        <v>257</v>
      </c>
      <c r="B233" s="37" t="s">
        <v>233</v>
      </c>
      <c r="C233" s="36">
        <v>11183</v>
      </c>
      <c r="D233" s="6"/>
      <c r="E233" s="113">
        <v>2736201526</v>
      </c>
      <c r="F233" s="116">
        <f t="shared" si="51"/>
        <v>244675.08951086469</v>
      </c>
      <c r="G233" s="117">
        <v>1685009727</v>
      </c>
      <c r="H233" s="117">
        <f t="shared" si="50"/>
        <v>150676.00169900744</v>
      </c>
      <c r="I233" s="9"/>
      <c r="J233" s="11">
        <v>5.2789999999999999</v>
      </c>
      <c r="K233" s="117">
        <v>8895166</v>
      </c>
      <c r="L233" s="120">
        <f t="shared" si="52"/>
        <v>795.41858177590984</v>
      </c>
      <c r="M233" s="122">
        <f t="shared" si="42"/>
        <v>16850097.27</v>
      </c>
      <c r="N233" s="116">
        <f t="shared" si="43"/>
        <v>7954931.2699999996</v>
      </c>
      <c r="O233" s="123">
        <f t="shared" si="44"/>
        <v>711.34143521416433</v>
      </c>
      <c r="P233" s="5"/>
      <c r="Q233" s="5">
        <f t="shared" si="46"/>
        <v>1</v>
      </c>
      <c r="R233" s="7">
        <f t="shared" si="47"/>
        <v>11183</v>
      </c>
      <c r="S233" s="5">
        <f t="shared" si="48"/>
        <v>1</v>
      </c>
      <c r="T233" s="7">
        <f t="shared" si="45"/>
        <v>11183</v>
      </c>
    </row>
    <row r="234" spans="1:20">
      <c r="A234" s="23" t="s">
        <v>258</v>
      </c>
      <c r="B234" s="37" t="s">
        <v>233</v>
      </c>
      <c r="C234" s="36">
        <v>20171</v>
      </c>
      <c r="D234" s="6"/>
      <c r="E234" s="113">
        <v>7162074491</v>
      </c>
      <c r="F234" s="116">
        <f t="shared" si="51"/>
        <v>355067.89405582269</v>
      </c>
      <c r="G234" s="117">
        <v>6275566371</v>
      </c>
      <c r="H234" s="117">
        <f t="shared" si="50"/>
        <v>311118.25744881266</v>
      </c>
      <c r="I234" s="9"/>
      <c r="J234" s="10">
        <v>2.4842</v>
      </c>
      <c r="K234" s="117">
        <v>15589762</v>
      </c>
      <c r="L234" s="120">
        <f t="shared" si="52"/>
        <v>772.87997620346039</v>
      </c>
      <c r="M234" s="122">
        <f t="shared" si="42"/>
        <v>62755663.710000001</v>
      </c>
      <c r="N234" s="116">
        <f t="shared" si="43"/>
        <v>47165901.710000001</v>
      </c>
      <c r="O234" s="123">
        <f t="shared" si="44"/>
        <v>2338.3025982846661</v>
      </c>
      <c r="P234" s="5"/>
      <c r="Q234" s="5">
        <f t="shared" si="46"/>
        <v>1</v>
      </c>
      <c r="R234" s="7">
        <f t="shared" si="47"/>
        <v>20171</v>
      </c>
      <c r="S234" s="5">
        <f t="shared" si="48"/>
        <v>1</v>
      </c>
      <c r="T234" s="7">
        <f t="shared" si="45"/>
        <v>20171</v>
      </c>
    </row>
    <row r="235" spans="1:20">
      <c r="A235" s="23" t="s">
        <v>259</v>
      </c>
      <c r="B235" s="37" t="s">
        <v>233</v>
      </c>
      <c r="C235" s="36">
        <v>5789</v>
      </c>
      <c r="D235" s="6"/>
      <c r="E235" s="113">
        <v>1855011374</v>
      </c>
      <c r="F235" s="116">
        <f t="shared" si="51"/>
        <v>320437.27310416306</v>
      </c>
      <c r="G235" s="117">
        <v>1400907861</v>
      </c>
      <c r="H235" s="117">
        <f t="shared" si="50"/>
        <v>241994.7937467611</v>
      </c>
      <c r="I235" s="9"/>
      <c r="J235" s="10">
        <v>4.7332000000000001</v>
      </c>
      <c r="K235" s="117">
        <v>6630777</v>
      </c>
      <c r="L235" s="120">
        <f t="shared" si="52"/>
        <v>1145.4097426153048</v>
      </c>
      <c r="M235" s="122">
        <f t="shared" si="42"/>
        <v>14009078.609999999</v>
      </c>
      <c r="N235" s="116">
        <f t="shared" si="43"/>
        <v>7378301.6099999994</v>
      </c>
      <c r="O235" s="123">
        <f t="shared" si="44"/>
        <v>1274.5381948523061</v>
      </c>
      <c r="P235" s="5"/>
      <c r="Q235" s="5">
        <f t="shared" si="46"/>
        <v>1</v>
      </c>
      <c r="R235" s="7">
        <f t="shared" si="47"/>
        <v>5789</v>
      </c>
      <c r="S235" s="5">
        <f t="shared" si="48"/>
        <v>1</v>
      </c>
      <c r="T235" s="7">
        <f t="shared" si="45"/>
        <v>5789</v>
      </c>
    </row>
    <row r="236" spans="1:20">
      <c r="A236" s="23" t="s">
        <v>260</v>
      </c>
      <c r="B236" s="37" t="s">
        <v>233</v>
      </c>
      <c r="C236" s="36">
        <v>14251</v>
      </c>
      <c r="D236" s="6"/>
      <c r="E236" s="113">
        <v>768569575</v>
      </c>
      <c r="F236" s="116">
        <f t="shared" si="51"/>
        <v>53930.922391411128</v>
      </c>
      <c r="G236" s="117">
        <v>469427672</v>
      </c>
      <c r="H236" s="117">
        <f t="shared" si="50"/>
        <v>32939.981194302156</v>
      </c>
      <c r="I236" s="9"/>
      <c r="J236" s="10">
        <v>3.4037000000000002</v>
      </c>
      <c r="K236" s="117">
        <v>1597791</v>
      </c>
      <c r="L236" s="120">
        <f t="shared" si="52"/>
        <v>112.11781629359344</v>
      </c>
      <c r="M236" s="122">
        <f t="shared" si="42"/>
        <v>4694276.72</v>
      </c>
      <c r="N236" s="116">
        <f t="shared" si="43"/>
        <v>3096485.7199999997</v>
      </c>
      <c r="O236" s="123">
        <f t="shared" si="44"/>
        <v>217.2819956494281</v>
      </c>
      <c r="P236" s="5"/>
      <c r="Q236" s="5">
        <f t="shared" si="46"/>
        <v>1</v>
      </c>
      <c r="R236" s="7">
        <f t="shared" si="47"/>
        <v>14251</v>
      </c>
      <c r="S236" s="5">
        <f t="shared" si="48"/>
        <v>1</v>
      </c>
      <c r="T236" s="7">
        <f t="shared" si="45"/>
        <v>14251</v>
      </c>
    </row>
    <row r="237" spans="1:20">
      <c r="A237" s="23" t="s">
        <v>261</v>
      </c>
      <c r="B237" s="35" t="s">
        <v>233</v>
      </c>
      <c r="C237" s="36">
        <v>2298</v>
      </c>
      <c r="D237" s="6"/>
      <c r="E237" s="113">
        <v>345448926</v>
      </c>
      <c r="F237" s="116">
        <f t="shared" si="51"/>
        <v>150325.90339425587</v>
      </c>
      <c r="G237" s="117">
        <v>239072945</v>
      </c>
      <c r="H237" s="117">
        <f t="shared" si="50"/>
        <v>104035.22410791993</v>
      </c>
      <c r="I237" s="9"/>
      <c r="J237" s="11">
        <v>4.0907999999999998</v>
      </c>
      <c r="K237" s="117">
        <v>978000</v>
      </c>
      <c r="L237" s="120">
        <f t="shared" si="52"/>
        <v>425.58746736292426</v>
      </c>
      <c r="M237" s="122">
        <f t="shared" si="42"/>
        <v>2390729.4500000002</v>
      </c>
      <c r="N237" s="116">
        <f t="shared" si="43"/>
        <v>1412729.4500000002</v>
      </c>
      <c r="O237" s="123">
        <f t="shared" si="44"/>
        <v>614.76477371627516</v>
      </c>
      <c r="P237" s="5"/>
      <c r="Q237" s="5">
        <f t="shared" si="46"/>
        <v>1</v>
      </c>
      <c r="R237" s="7">
        <f t="shared" si="47"/>
        <v>2298</v>
      </c>
      <c r="S237" s="5">
        <f t="shared" si="48"/>
        <v>1</v>
      </c>
      <c r="T237" s="7">
        <f t="shared" si="45"/>
        <v>2298</v>
      </c>
    </row>
    <row r="238" spans="1:20">
      <c r="A238" s="23" t="s">
        <v>262</v>
      </c>
      <c r="B238" s="35" t="s">
        <v>233</v>
      </c>
      <c r="C238" s="36">
        <v>5690</v>
      </c>
      <c r="D238" s="6"/>
      <c r="E238" s="113">
        <v>668099187</v>
      </c>
      <c r="F238" s="116">
        <f t="shared" si="51"/>
        <v>117416.37732864675</v>
      </c>
      <c r="G238" s="117">
        <v>395633200</v>
      </c>
      <c r="H238" s="117">
        <f t="shared" si="50"/>
        <v>69531.318101933211</v>
      </c>
      <c r="I238" s="9"/>
      <c r="J238" s="10">
        <v>6.7374000000000001</v>
      </c>
      <c r="K238" s="117">
        <v>2665539</v>
      </c>
      <c r="L238" s="120">
        <f t="shared" si="52"/>
        <v>468.46028119507906</v>
      </c>
      <c r="M238" s="122">
        <f t="shared" si="42"/>
        <v>3956332</v>
      </c>
      <c r="N238" s="116">
        <f t="shared" si="43"/>
        <v>1290793</v>
      </c>
      <c r="O238" s="123">
        <f t="shared" si="44"/>
        <v>226.85289982425309</v>
      </c>
      <c r="P238" s="5"/>
      <c r="Q238" s="5">
        <f t="shared" si="46"/>
        <v>1</v>
      </c>
      <c r="R238" s="7">
        <f t="shared" si="47"/>
        <v>5690</v>
      </c>
      <c r="S238" s="5">
        <f t="shared" si="48"/>
        <v>1</v>
      </c>
      <c r="T238" s="7">
        <f t="shared" si="45"/>
        <v>5690</v>
      </c>
    </row>
    <row r="239" spans="1:20">
      <c r="A239" s="23" t="s">
        <v>263</v>
      </c>
      <c r="B239" s="35" t="s">
        <v>264</v>
      </c>
      <c r="C239" s="36">
        <v>7113</v>
      </c>
      <c r="D239" s="6"/>
      <c r="E239" s="113">
        <v>4417966523</v>
      </c>
      <c r="F239" s="116">
        <f t="shared" si="51"/>
        <v>621111.55953887245</v>
      </c>
      <c r="G239" s="117">
        <v>3522657895</v>
      </c>
      <c r="H239" s="117">
        <f t="shared" si="50"/>
        <v>495242.21777027979</v>
      </c>
      <c r="I239" s="7"/>
      <c r="J239" s="10">
        <v>1.8542000000000001</v>
      </c>
      <c r="K239" s="117">
        <v>6531712</v>
      </c>
      <c r="L239" s="120">
        <f t="shared" si="52"/>
        <v>918.2780823843666</v>
      </c>
      <c r="M239" s="122">
        <f t="shared" si="42"/>
        <v>35226578.950000003</v>
      </c>
      <c r="N239" s="116">
        <f t="shared" si="43"/>
        <v>28694866.950000003</v>
      </c>
      <c r="O239" s="123">
        <f t="shared" si="44"/>
        <v>4034.1440953184315</v>
      </c>
      <c r="P239" s="5"/>
      <c r="Q239" s="5">
        <f t="shared" si="46"/>
        <v>1</v>
      </c>
      <c r="R239" s="7">
        <f t="shared" si="47"/>
        <v>7113</v>
      </c>
      <c r="S239" s="5">
        <f t="shared" si="48"/>
        <v>1</v>
      </c>
      <c r="T239" s="7">
        <f t="shared" si="45"/>
        <v>7113</v>
      </c>
    </row>
    <row r="240" spans="1:20">
      <c r="A240" s="23" t="s">
        <v>265</v>
      </c>
      <c r="B240" s="35" t="s">
        <v>264</v>
      </c>
      <c r="C240" s="36">
        <v>854</v>
      </c>
      <c r="D240" s="6"/>
      <c r="E240" s="113">
        <v>884540399</v>
      </c>
      <c r="F240" s="116">
        <f t="shared" si="51"/>
        <v>1035761.5913348946</v>
      </c>
      <c r="G240" s="117">
        <v>796561610</v>
      </c>
      <c r="H240" s="117">
        <f t="shared" si="50"/>
        <v>932741.93208430917</v>
      </c>
      <c r="I240" s="7"/>
      <c r="J240" s="10">
        <v>1.4434</v>
      </c>
      <c r="K240" s="117">
        <v>1149757</v>
      </c>
      <c r="L240" s="120">
        <f t="shared" si="52"/>
        <v>1346.3196721311476</v>
      </c>
      <c r="M240" s="122">
        <f t="shared" si="42"/>
        <v>7965616.1000000006</v>
      </c>
      <c r="N240" s="116">
        <f t="shared" si="43"/>
        <v>6815859.1000000006</v>
      </c>
      <c r="O240" s="123">
        <f t="shared" si="44"/>
        <v>7981.0996487119446</v>
      </c>
      <c r="P240" s="5"/>
      <c r="Q240" s="5">
        <f t="shared" si="46"/>
        <v>1</v>
      </c>
      <c r="R240" s="7">
        <f t="shared" si="47"/>
        <v>854</v>
      </c>
      <c r="S240" s="5">
        <f t="shared" si="48"/>
        <v>1</v>
      </c>
      <c r="T240" s="7">
        <f t="shared" si="45"/>
        <v>854</v>
      </c>
    </row>
    <row r="241" spans="1:20">
      <c r="A241" s="23" t="s">
        <v>266</v>
      </c>
      <c r="B241" s="35" t="s">
        <v>264</v>
      </c>
      <c r="C241" s="36">
        <v>23024</v>
      </c>
      <c r="D241" s="6"/>
      <c r="E241" s="113">
        <v>11814668300</v>
      </c>
      <c r="F241" s="116">
        <f t="shared" si="51"/>
        <v>513145.77397498261</v>
      </c>
      <c r="G241" s="117">
        <v>6630635906</v>
      </c>
      <c r="H241" s="117">
        <f t="shared" si="50"/>
        <v>287988.00842599029</v>
      </c>
      <c r="I241" s="7"/>
      <c r="J241" s="10">
        <v>2.2793999999999999</v>
      </c>
      <c r="K241" s="117">
        <v>15113871</v>
      </c>
      <c r="L241" s="120">
        <f t="shared" si="52"/>
        <v>656.43984537873519</v>
      </c>
      <c r="M241" s="122">
        <f t="shared" si="42"/>
        <v>66306359.060000002</v>
      </c>
      <c r="N241" s="116">
        <f t="shared" si="43"/>
        <v>51192488.060000002</v>
      </c>
      <c r="O241" s="123">
        <f t="shared" si="44"/>
        <v>2223.4402388811677</v>
      </c>
      <c r="P241" s="5"/>
      <c r="Q241" s="5">
        <f t="shared" si="46"/>
        <v>1</v>
      </c>
      <c r="R241" s="7">
        <f t="shared" si="47"/>
        <v>23024</v>
      </c>
      <c r="S241" s="5">
        <f t="shared" si="48"/>
        <v>1</v>
      </c>
      <c r="T241" s="7">
        <f t="shared" si="45"/>
        <v>23024</v>
      </c>
    </row>
    <row r="242" spans="1:20">
      <c r="A242" s="23" t="s">
        <v>267</v>
      </c>
      <c r="B242" s="35" t="s">
        <v>264</v>
      </c>
      <c r="C242" s="36">
        <v>205</v>
      </c>
      <c r="D242" s="6"/>
      <c r="E242" s="113">
        <v>103703486</v>
      </c>
      <c r="F242" s="116">
        <f t="shared" si="51"/>
        <v>505870.66341463412</v>
      </c>
      <c r="G242" s="117">
        <v>77814997</v>
      </c>
      <c r="H242" s="117">
        <f t="shared" si="50"/>
        <v>379585.35121951217</v>
      </c>
      <c r="I242" s="7"/>
      <c r="J242" s="10">
        <v>1.1234</v>
      </c>
      <c r="K242" s="117">
        <v>87417</v>
      </c>
      <c r="L242" s="120">
        <f t="shared" si="52"/>
        <v>426.42439024390245</v>
      </c>
      <c r="M242" s="122">
        <f t="shared" si="42"/>
        <v>778149.97</v>
      </c>
      <c r="N242" s="116">
        <f t="shared" si="43"/>
        <v>690732.97</v>
      </c>
      <c r="O242" s="123">
        <f t="shared" si="44"/>
        <v>3369.4291219512193</v>
      </c>
      <c r="P242" s="5"/>
      <c r="Q242" s="5">
        <f t="shared" si="46"/>
        <v>1</v>
      </c>
      <c r="R242" s="7">
        <f t="shared" si="47"/>
        <v>205</v>
      </c>
      <c r="S242" s="5">
        <f t="shared" si="48"/>
        <v>1</v>
      </c>
      <c r="T242" s="7">
        <f t="shared" si="45"/>
        <v>205</v>
      </c>
    </row>
    <row r="243" spans="1:20">
      <c r="A243" s="23" t="s">
        <v>449</v>
      </c>
      <c r="B243" s="35" t="s">
        <v>264</v>
      </c>
      <c r="C243" s="36">
        <v>10097</v>
      </c>
      <c r="D243" s="6"/>
      <c r="E243" s="113">
        <v>3557325811</v>
      </c>
      <c r="F243" s="116">
        <f t="shared" si="51"/>
        <v>352315.12439338415</v>
      </c>
      <c r="G243" s="117">
        <v>2834285807</v>
      </c>
      <c r="H243" s="117">
        <f t="shared" si="50"/>
        <v>280705.73506982269</v>
      </c>
      <c r="I243" s="7"/>
      <c r="J243" s="10">
        <v>1.5</v>
      </c>
      <c r="K243" s="117">
        <v>4251429</v>
      </c>
      <c r="L243" s="120">
        <f t="shared" si="52"/>
        <v>421.05863127661684</v>
      </c>
      <c r="M243" s="122">
        <f t="shared" si="42"/>
        <v>28342858.07</v>
      </c>
      <c r="N243" s="116">
        <f t="shared" si="43"/>
        <v>24091429.07</v>
      </c>
      <c r="O243" s="123">
        <f t="shared" si="44"/>
        <v>2385.9987194216105</v>
      </c>
      <c r="P243" s="5"/>
      <c r="Q243" s="5">
        <f t="shared" si="46"/>
        <v>1</v>
      </c>
      <c r="R243" s="7">
        <f t="shared" si="47"/>
        <v>10097</v>
      </c>
      <c r="S243" s="5">
        <f t="shared" si="48"/>
        <v>1</v>
      </c>
      <c r="T243" s="7">
        <f t="shared" si="45"/>
        <v>10097</v>
      </c>
    </row>
    <row r="244" spans="1:20">
      <c r="A244" s="23" t="s">
        <v>268</v>
      </c>
      <c r="B244" s="35" t="s">
        <v>269</v>
      </c>
      <c r="C244" s="36">
        <v>1105</v>
      </c>
      <c r="D244" s="6"/>
      <c r="E244" s="113">
        <v>117533006</v>
      </c>
      <c r="F244" s="116">
        <f t="shared" si="51"/>
        <v>106364.7113122172</v>
      </c>
      <c r="G244" s="117">
        <v>74292451</v>
      </c>
      <c r="H244" s="117">
        <f t="shared" si="50"/>
        <v>67232.987330316741</v>
      </c>
      <c r="I244" s="7"/>
      <c r="J244" s="10">
        <v>3</v>
      </c>
      <c r="K244" s="117">
        <v>222877</v>
      </c>
      <c r="L244" s="120">
        <f t="shared" si="52"/>
        <v>201.69864253393666</v>
      </c>
      <c r="M244" s="122">
        <f t="shared" si="42"/>
        <v>742924.51</v>
      </c>
      <c r="N244" s="116">
        <f t="shared" si="43"/>
        <v>520047.51</v>
      </c>
      <c r="O244" s="123">
        <f t="shared" si="44"/>
        <v>470.6312307692308</v>
      </c>
      <c r="P244" s="5"/>
      <c r="Q244" s="5">
        <f t="shared" si="46"/>
        <v>1</v>
      </c>
      <c r="R244" s="7">
        <f t="shared" si="47"/>
        <v>1105</v>
      </c>
      <c r="S244" s="5">
        <f t="shared" si="48"/>
        <v>1</v>
      </c>
      <c r="T244" s="7">
        <f t="shared" si="45"/>
        <v>1105</v>
      </c>
    </row>
    <row r="245" spans="1:20">
      <c r="A245" s="23" t="s">
        <v>270</v>
      </c>
      <c r="B245" s="35" t="s">
        <v>269</v>
      </c>
      <c r="C245" s="36">
        <v>11998</v>
      </c>
      <c r="D245" s="6"/>
      <c r="E245" s="113">
        <v>2821455642</v>
      </c>
      <c r="F245" s="116">
        <f t="shared" si="51"/>
        <v>235160.49691615268</v>
      </c>
      <c r="G245" s="117">
        <v>2040685119</v>
      </c>
      <c r="H245" s="117">
        <f t="shared" si="50"/>
        <v>170085.44082347059</v>
      </c>
      <c r="I245" s="7"/>
      <c r="J245" s="10">
        <v>3.9872999999999998</v>
      </c>
      <c r="K245" s="117">
        <v>8136824</v>
      </c>
      <c r="L245" s="120">
        <f t="shared" si="52"/>
        <v>678.18169694949154</v>
      </c>
      <c r="M245" s="122">
        <f t="shared" si="42"/>
        <v>20406851.190000001</v>
      </c>
      <c r="N245" s="116">
        <f t="shared" si="43"/>
        <v>12270027.190000001</v>
      </c>
      <c r="O245" s="123">
        <f t="shared" si="44"/>
        <v>1022.6727112852143</v>
      </c>
      <c r="P245" s="5"/>
      <c r="Q245" s="5">
        <f t="shared" si="46"/>
        <v>1</v>
      </c>
      <c r="R245" s="7">
        <f t="shared" si="47"/>
        <v>11998</v>
      </c>
      <c r="S245" s="5">
        <f t="shared" si="48"/>
        <v>1</v>
      </c>
      <c r="T245" s="7">
        <f t="shared" si="45"/>
        <v>11998</v>
      </c>
    </row>
    <row r="246" spans="1:20">
      <c r="A246" s="23" t="s">
        <v>271</v>
      </c>
      <c r="B246" s="35" t="s">
        <v>269</v>
      </c>
      <c r="C246" s="36">
        <v>2947</v>
      </c>
      <c r="D246" s="6"/>
      <c r="E246" s="113">
        <v>272533293</v>
      </c>
      <c r="F246" s="116">
        <f t="shared" si="51"/>
        <v>92478.212758737704</v>
      </c>
      <c r="G246" s="117">
        <v>82098548</v>
      </c>
      <c r="H246" s="117">
        <f t="shared" si="50"/>
        <v>27858.34679334917</v>
      </c>
      <c r="I246" s="7"/>
      <c r="J246" s="10">
        <v>0.51759999999999995</v>
      </c>
      <c r="K246" s="117">
        <v>42494</v>
      </c>
      <c r="L246" s="120">
        <f t="shared" si="52"/>
        <v>14.419409569053274</v>
      </c>
      <c r="M246" s="122">
        <f t="shared" si="42"/>
        <v>820985.48</v>
      </c>
      <c r="N246" s="116">
        <f t="shared" si="43"/>
        <v>778491.48</v>
      </c>
      <c r="O246" s="123">
        <f t="shared" si="44"/>
        <v>264.1640583644384</v>
      </c>
      <c r="P246" s="5"/>
      <c r="Q246" s="5">
        <f t="shared" si="46"/>
        <v>1</v>
      </c>
      <c r="R246" s="7">
        <f t="shared" si="47"/>
        <v>2947</v>
      </c>
      <c r="S246" s="5">
        <f t="shared" si="48"/>
        <v>1</v>
      </c>
      <c r="T246" s="7">
        <f t="shared" si="45"/>
        <v>2947</v>
      </c>
    </row>
    <row r="247" spans="1:20">
      <c r="A247" s="23" t="s">
        <v>272</v>
      </c>
      <c r="B247" s="35" t="s">
        <v>273</v>
      </c>
      <c r="C247" s="36">
        <v>374</v>
      </c>
      <c r="D247" s="6"/>
      <c r="E247" s="113">
        <v>79021781</v>
      </c>
      <c r="F247" s="116">
        <f t="shared" si="51"/>
        <v>211288.18449197861</v>
      </c>
      <c r="G247" s="124">
        <v>64916808</v>
      </c>
      <c r="H247" s="117">
        <f t="shared" si="50"/>
        <v>173574.35294117648</v>
      </c>
      <c r="I247" s="7"/>
      <c r="J247" s="10">
        <v>2.0638999999999998</v>
      </c>
      <c r="K247" s="117">
        <v>133982</v>
      </c>
      <c r="L247" s="120">
        <f t="shared" si="52"/>
        <v>358.24064171122996</v>
      </c>
      <c r="M247" s="122">
        <f t="shared" si="42"/>
        <v>649168.07999999996</v>
      </c>
      <c r="N247" s="116">
        <f t="shared" si="43"/>
        <v>515186.07999999996</v>
      </c>
      <c r="O247" s="123">
        <f t="shared" si="44"/>
        <v>1377.5028877005348</v>
      </c>
      <c r="P247" s="5"/>
      <c r="Q247" s="5">
        <f t="shared" si="46"/>
        <v>1</v>
      </c>
      <c r="R247" s="7">
        <f t="shared" si="47"/>
        <v>374</v>
      </c>
      <c r="S247" s="5">
        <f t="shared" si="48"/>
        <v>1</v>
      </c>
      <c r="T247" s="7">
        <f t="shared" si="45"/>
        <v>374</v>
      </c>
    </row>
    <row r="248" spans="1:20">
      <c r="A248" s="23" t="s">
        <v>274</v>
      </c>
      <c r="B248" s="35" t="s">
        <v>273</v>
      </c>
      <c r="C248" s="36">
        <v>21215</v>
      </c>
      <c r="D248" s="6"/>
      <c r="E248" s="113">
        <v>1589420744</v>
      </c>
      <c r="F248" s="116">
        <f t="shared" si="51"/>
        <v>74919.66740513788</v>
      </c>
      <c r="G248" s="117">
        <v>1066248413</v>
      </c>
      <c r="H248" s="117">
        <f t="shared" si="50"/>
        <v>50259.175724723071</v>
      </c>
      <c r="I248" s="7"/>
      <c r="J248" s="10">
        <v>5.8465999999999996</v>
      </c>
      <c r="K248" s="117">
        <v>6233928</v>
      </c>
      <c r="L248" s="120">
        <f t="shared" si="52"/>
        <v>293.84529813810985</v>
      </c>
      <c r="M248" s="122">
        <f t="shared" si="42"/>
        <v>10662484.130000001</v>
      </c>
      <c r="N248" s="116">
        <f t="shared" si="43"/>
        <v>4428556.1300000008</v>
      </c>
      <c r="O248" s="123">
        <f t="shared" si="44"/>
        <v>208.74645910912093</v>
      </c>
      <c r="P248" s="5"/>
      <c r="Q248" s="5">
        <f t="shared" si="46"/>
        <v>1</v>
      </c>
      <c r="R248" s="7">
        <f t="shared" si="47"/>
        <v>21215</v>
      </c>
      <c r="S248" s="5">
        <f t="shared" si="48"/>
        <v>1</v>
      </c>
      <c r="T248" s="7">
        <f t="shared" si="45"/>
        <v>21215</v>
      </c>
    </row>
    <row r="249" spans="1:20">
      <c r="A249" s="23" t="s">
        <v>275</v>
      </c>
      <c r="B249" s="35" t="s">
        <v>273</v>
      </c>
      <c r="C249" s="36">
        <v>12225</v>
      </c>
      <c r="D249" s="6"/>
      <c r="E249" s="113">
        <v>6386918988</v>
      </c>
      <c r="F249" s="116">
        <f t="shared" si="51"/>
        <v>522447.36098159512</v>
      </c>
      <c r="G249" s="117">
        <v>5631525229</v>
      </c>
      <c r="H249" s="117">
        <f t="shared" si="50"/>
        <v>460656.46044989774</v>
      </c>
      <c r="I249" s="9"/>
      <c r="J249" s="10">
        <v>1.4550000000000001</v>
      </c>
      <c r="K249" s="117">
        <v>8193869</v>
      </c>
      <c r="L249" s="120">
        <f t="shared" si="52"/>
        <v>670.25513292433538</v>
      </c>
      <c r="M249" s="122">
        <f t="shared" si="42"/>
        <v>56315252.289999999</v>
      </c>
      <c r="N249" s="116">
        <f t="shared" si="43"/>
        <v>48121383.289999999</v>
      </c>
      <c r="O249" s="123">
        <f t="shared" si="44"/>
        <v>3936.309471574642</v>
      </c>
      <c r="P249" s="5"/>
      <c r="Q249" s="5">
        <f t="shared" si="46"/>
        <v>1</v>
      </c>
      <c r="R249" s="7">
        <f t="shared" si="47"/>
        <v>12225</v>
      </c>
      <c r="S249" s="5">
        <f t="shared" si="48"/>
        <v>1</v>
      </c>
      <c r="T249" s="7">
        <f t="shared" si="45"/>
        <v>12225</v>
      </c>
    </row>
    <row r="250" spans="1:20">
      <c r="A250" s="23" t="s">
        <v>276</v>
      </c>
      <c r="B250" s="35" t="s">
        <v>273</v>
      </c>
      <c r="C250" s="36">
        <v>20918</v>
      </c>
      <c r="D250" s="6"/>
      <c r="E250" s="113">
        <v>2193945842</v>
      </c>
      <c r="F250" s="116">
        <f t="shared" si="51"/>
        <v>104883.15527297065</v>
      </c>
      <c r="G250" s="117">
        <v>1377579477</v>
      </c>
      <c r="H250" s="117">
        <f t="shared" si="50"/>
        <v>65856.175399177737</v>
      </c>
      <c r="I250" s="9"/>
      <c r="J250" s="10">
        <v>4.1985999999999999</v>
      </c>
      <c r="K250" s="117">
        <v>5783905</v>
      </c>
      <c r="L250" s="120">
        <f t="shared" si="52"/>
        <v>276.50372884596999</v>
      </c>
      <c r="M250" s="122">
        <f t="shared" si="42"/>
        <v>13775794.77</v>
      </c>
      <c r="N250" s="116">
        <f t="shared" si="43"/>
        <v>7991889.7699999996</v>
      </c>
      <c r="O250" s="123">
        <f t="shared" si="44"/>
        <v>382.05802514580739</v>
      </c>
      <c r="P250" s="5"/>
      <c r="Q250" s="5">
        <f t="shared" si="46"/>
        <v>1</v>
      </c>
      <c r="R250" s="7">
        <f t="shared" si="47"/>
        <v>20918</v>
      </c>
      <c r="S250" s="5">
        <f t="shared" si="48"/>
        <v>1</v>
      </c>
      <c r="T250" s="7">
        <f t="shared" si="45"/>
        <v>20918</v>
      </c>
    </row>
    <row r="251" spans="1:20">
      <c r="A251" s="23" t="s">
        <v>277</v>
      </c>
      <c r="B251" s="35" t="s">
        <v>273</v>
      </c>
      <c r="C251" s="36">
        <v>615</v>
      </c>
      <c r="D251" s="6"/>
      <c r="E251" s="113">
        <v>36250478</v>
      </c>
      <c r="F251" s="116">
        <f t="shared" si="51"/>
        <v>58943.866666666669</v>
      </c>
      <c r="G251" s="117">
        <v>16551037</v>
      </c>
      <c r="H251" s="117">
        <f t="shared" si="50"/>
        <v>26912.255284552844</v>
      </c>
      <c r="I251" s="7"/>
      <c r="J251" s="11">
        <v>4.84</v>
      </c>
      <c r="K251" s="117">
        <v>80107</v>
      </c>
      <c r="L251" s="120">
        <f t="shared" si="52"/>
        <v>130.25528455284552</v>
      </c>
      <c r="M251" s="122">
        <f t="shared" si="42"/>
        <v>165510.37</v>
      </c>
      <c r="N251" s="116">
        <f t="shared" si="43"/>
        <v>85403.37</v>
      </c>
      <c r="O251" s="123">
        <f t="shared" si="44"/>
        <v>138.86726829268292</v>
      </c>
      <c r="P251" s="5"/>
      <c r="Q251" s="5">
        <f t="shared" si="46"/>
        <v>1</v>
      </c>
      <c r="R251" s="7">
        <f t="shared" si="47"/>
        <v>615</v>
      </c>
      <c r="S251" s="5">
        <f t="shared" si="48"/>
        <v>1</v>
      </c>
      <c r="T251" s="7">
        <f t="shared" si="45"/>
        <v>615</v>
      </c>
    </row>
    <row r="252" spans="1:20">
      <c r="A252" s="23" t="s">
        <v>278</v>
      </c>
      <c r="B252" s="35" t="s">
        <v>273</v>
      </c>
      <c r="C252" s="36">
        <v>4100</v>
      </c>
      <c r="D252" s="6"/>
      <c r="E252" s="113">
        <v>491527769</v>
      </c>
      <c r="F252" s="116">
        <f t="shared" si="51"/>
        <v>119884.82170731707</v>
      </c>
      <c r="G252" s="117">
        <v>325381253</v>
      </c>
      <c r="H252" s="117">
        <f t="shared" si="50"/>
        <v>79361.281219512195</v>
      </c>
      <c r="I252" s="7"/>
      <c r="J252" s="10">
        <v>2.6996000000000002</v>
      </c>
      <c r="K252" s="117">
        <v>878399</v>
      </c>
      <c r="L252" s="120">
        <f t="shared" si="52"/>
        <v>214.24365853658537</v>
      </c>
      <c r="M252" s="122">
        <f t="shared" si="42"/>
        <v>3253812.5300000003</v>
      </c>
      <c r="N252" s="116">
        <f t="shared" si="43"/>
        <v>2375413.5300000003</v>
      </c>
      <c r="O252" s="123">
        <f t="shared" si="44"/>
        <v>579.36915365853667</v>
      </c>
      <c r="P252" s="5"/>
      <c r="Q252" s="5">
        <f t="shared" si="46"/>
        <v>1</v>
      </c>
      <c r="R252" s="7">
        <f t="shared" si="47"/>
        <v>4100</v>
      </c>
      <c r="S252" s="5">
        <f t="shared" si="48"/>
        <v>1</v>
      </c>
      <c r="T252" s="7">
        <f t="shared" si="45"/>
        <v>4100</v>
      </c>
    </row>
    <row r="253" spans="1:20">
      <c r="A253" s="23" t="s">
        <v>279</v>
      </c>
      <c r="B253" s="35" t="s">
        <v>273</v>
      </c>
      <c r="C253" s="36">
        <v>13364</v>
      </c>
      <c r="D253" s="6"/>
      <c r="E253" s="113">
        <v>1353886497</v>
      </c>
      <c r="F253" s="116">
        <f t="shared" si="51"/>
        <v>101308.47777611493</v>
      </c>
      <c r="G253" s="117">
        <v>835487332</v>
      </c>
      <c r="H253" s="117">
        <f t="shared" si="50"/>
        <v>62517.759054175396</v>
      </c>
      <c r="I253" s="7"/>
      <c r="J253" s="10">
        <v>3.2</v>
      </c>
      <c r="K253" s="117">
        <v>2673559</v>
      </c>
      <c r="L253" s="120">
        <f t="shared" si="52"/>
        <v>200.05679437294222</v>
      </c>
      <c r="M253" s="122">
        <f t="shared" si="42"/>
        <v>8354873.3200000003</v>
      </c>
      <c r="N253" s="116">
        <f t="shared" si="43"/>
        <v>5681314.3200000003</v>
      </c>
      <c r="O253" s="123">
        <f t="shared" si="44"/>
        <v>425.12079616881175</v>
      </c>
      <c r="P253" s="5"/>
      <c r="Q253" s="5">
        <f t="shared" si="46"/>
        <v>1</v>
      </c>
      <c r="R253" s="7">
        <f t="shared" si="47"/>
        <v>13364</v>
      </c>
      <c r="S253" s="5">
        <f t="shared" si="48"/>
        <v>1</v>
      </c>
      <c r="T253" s="7">
        <f t="shared" si="45"/>
        <v>13364</v>
      </c>
    </row>
    <row r="254" spans="1:20">
      <c r="A254" s="23" t="s">
        <v>280</v>
      </c>
      <c r="B254" s="35" t="s">
        <v>273</v>
      </c>
      <c r="C254" s="36">
        <v>720</v>
      </c>
      <c r="D254" s="6"/>
      <c r="E254" s="113">
        <v>145942778</v>
      </c>
      <c r="F254" s="116">
        <f t="shared" si="51"/>
        <v>202698.30277777778</v>
      </c>
      <c r="G254" s="117">
        <v>97422052</v>
      </c>
      <c r="H254" s="117">
        <f t="shared" si="50"/>
        <v>135308.40555555557</v>
      </c>
      <c r="I254" s="7"/>
      <c r="J254" s="10">
        <v>2</v>
      </c>
      <c r="K254" s="117">
        <v>194844</v>
      </c>
      <c r="L254" s="120">
        <f t="shared" si="52"/>
        <v>270.61666666666667</v>
      </c>
      <c r="M254" s="122">
        <f t="shared" si="42"/>
        <v>974220.52</v>
      </c>
      <c r="N254" s="116">
        <f t="shared" si="43"/>
        <v>779376.52</v>
      </c>
      <c r="O254" s="123">
        <f t="shared" si="44"/>
        <v>1082.467388888889</v>
      </c>
      <c r="P254" s="5"/>
      <c r="Q254" s="5">
        <f t="shared" si="46"/>
        <v>1</v>
      </c>
      <c r="R254" s="7">
        <f t="shared" si="47"/>
        <v>720</v>
      </c>
      <c r="S254" s="5">
        <f t="shared" si="48"/>
        <v>1</v>
      </c>
      <c r="T254" s="7">
        <f t="shared" si="45"/>
        <v>720</v>
      </c>
    </row>
    <row r="255" spans="1:20">
      <c r="A255" s="23" t="s">
        <v>281</v>
      </c>
      <c r="B255" s="35" t="s">
        <v>273</v>
      </c>
      <c r="C255" s="36">
        <v>6540</v>
      </c>
      <c r="D255" s="6"/>
      <c r="E255" s="113">
        <v>423757861</v>
      </c>
      <c r="F255" s="116">
        <f t="shared" si="51"/>
        <v>64794.77996941896</v>
      </c>
      <c r="G255" s="117">
        <v>215733304</v>
      </c>
      <c r="H255" s="117">
        <f t="shared" si="50"/>
        <v>32986.743730886847</v>
      </c>
      <c r="I255" s="7"/>
      <c r="J255" s="10">
        <v>3.75</v>
      </c>
      <c r="K255" s="117">
        <v>809000</v>
      </c>
      <c r="L255" s="120">
        <f t="shared" si="52"/>
        <v>123.70030581039755</v>
      </c>
      <c r="M255" s="122">
        <f t="shared" si="42"/>
        <v>2157333.04</v>
      </c>
      <c r="N255" s="116">
        <f t="shared" si="43"/>
        <v>1348333.04</v>
      </c>
      <c r="O255" s="123">
        <f t="shared" si="44"/>
        <v>206.16713149847095</v>
      </c>
      <c r="P255" s="5"/>
      <c r="Q255" s="5">
        <f t="shared" si="46"/>
        <v>1</v>
      </c>
      <c r="R255" s="7">
        <f t="shared" si="47"/>
        <v>6540</v>
      </c>
      <c r="S255" s="5">
        <f t="shared" si="48"/>
        <v>1</v>
      </c>
      <c r="T255" s="7">
        <f t="shared" si="45"/>
        <v>6540</v>
      </c>
    </row>
    <row r="256" spans="1:20">
      <c r="A256" s="23" t="s">
        <v>282</v>
      </c>
      <c r="B256" s="35" t="s">
        <v>282</v>
      </c>
      <c r="C256" s="36">
        <v>5496</v>
      </c>
      <c r="D256" s="6"/>
      <c r="E256" s="113">
        <v>496007070</v>
      </c>
      <c r="F256" s="116">
        <f t="shared" si="51"/>
        <v>90248.739082969434</v>
      </c>
      <c r="G256" s="117">
        <v>338617928</v>
      </c>
      <c r="H256" s="117">
        <f t="shared" si="50"/>
        <v>61611.704512372635</v>
      </c>
      <c r="I256" s="7"/>
      <c r="J256" s="10">
        <v>6.7431999999999999</v>
      </c>
      <c r="K256" s="117">
        <v>2283368</v>
      </c>
      <c r="L256" s="120">
        <f t="shared" si="52"/>
        <v>415.45997088791847</v>
      </c>
      <c r="M256" s="122">
        <f t="shared" si="42"/>
        <v>3386179.2800000003</v>
      </c>
      <c r="N256" s="116">
        <f t="shared" si="43"/>
        <v>1102811.2800000003</v>
      </c>
      <c r="O256" s="123">
        <f t="shared" si="44"/>
        <v>200.6570742358079</v>
      </c>
      <c r="P256" s="5"/>
      <c r="Q256" s="5">
        <f t="shared" si="46"/>
        <v>1</v>
      </c>
      <c r="R256" s="7">
        <f t="shared" si="47"/>
        <v>5496</v>
      </c>
      <c r="S256" s="5">
        <f t="shared" si="48"/>
        <v>1</v>
      </c>
      <c r="T256" s="7">
        <f t="shared" si="45"/>
        <v>5496</v>
      </c>
    </row>
    <row r="257" spans="1:20">
      <c r="A257" s="23" t="s">
        <v>283</v>
      </c>
      <c r="B257" s="35" t="s">
        <v>284</v>
      </c>
      <c r="C257" s="36">
        <v>40280</v>
      </c>
      <c r="D257" s="6"/>
      <c r="E257" s="113">
        <v>4075331037</v>
      </c>
      <c r="F257" s="116">
        <f t="shared" si="51"/>
        <v>101175.05057100298</v>
      </c>
      <c r="G257" s="117">
        <v>2737716418</v>
      </c>
      <c r="H257" s="117">
        <f t="shared" si="50"/>
        <v>67967.140466732875</v>
      </c>
      <c r="I257" s="7"/>
      <c r="J257" s="10">
        <v>3.5167999999999999</v>
      </c>
      <c r="K257" s="117">
        <v>9628001</v>
      </c>
      <c r="L257" s="120">
        <f t="shared" si="52"/>
        <v>239.02683714001986</v>
      </c>
      <c r="M257" s="122">
        <f t="shared" si="42"/>
        <v>27377164.18</v>
      </c>
      <c r="N257" s="116">
        <f t="shared" si="43"/>
        <v>17749163.18</v>
      </c>
      <c r="O257" s="123">
        <f t="shared" si="44"/>
        <v>440.64456752730882</v>
      </c>
      <c r="P257" s="5"/>
      <c r="Q257" s="5">
        <f t="shared" si="46"/>
        <v>1</v>
      </c>
      <c r="R257" s="7">
        <f t="shared" si="47"/>
        <v>40280</v>
      </c>
      <c r="S257" s="5">
        <f t="shared" si="48"/>
        <v>1</v>
      </c>
      <c r="T257" s="7">
        <f t="shared" si="45"/>
        <v>40280</v>
      </c>
    </row>
    <row r="258" spans="1:20">
      <c r="A258" s="23" t="s">
        <v>285</v>
      </c>
      <c r="B258" s="35" t="s">
        <v>284</v>
      </c>
      <c r="C258" s="36">
        <v>20</v>
      </c>
      <c r="D258" s="6"/>
      <c r="E258" s="113">
        <v>5072229639</v>
      </c>
      <c r="F258" s="116">
        <f t="shared" si="51"/>
        <v>253611481.94999999</v>
      </c>
      <c r="G258" s="117">
        <v>4864299293</v>
      </c>
      <c r="H258" s="117">
        <f t="shared" si="50"/>
        <v>243214964.65000001</v>
      </c>
      <c r="I258" s="7"/>
      <c r="J258" s="10">
        <v>1.0767</v>
      </c>
      <c r="K258" s="117">
        <v>5237391</v>
      </c>
      <c r="L258" s="120">
        <f t="shared" si="52"/>
        <v>261869.55</v>
      </c>
      <c r="M258" s="122">
        <f t="shared" si="42"/>
        <v>48642992.93</v>
      </c>
      <c r="N258" s="116">
        <f t="shared" si="43"/>
        <v>43405601.93</v>
      </c>
      <c r="O258" s="123">
        <f t="shared" si="44"/>
        <v>2170280.0965</v>
      </c>
      <c r="P258" s="5"/>
      <c r="Q258" s="5">
        <f t="shared" si="46"/>
        <v>1</v>
      </c>
      <c r="R258" s="7">
        <f t="shared" si="47"/>
        <v>20</v>
      </c>
      <c r="S258" s="5">
        <f t="shared" si="48"/>
        <v>1</v>
      </c>
      <c r="T258" s="7">
        <f t="shared" si="45"/>
        <v>20</v>
      </c>
    </row>
    <row r="259" spans="1:20">
      <c r="A259" s="23" t="s">
        <v>286</v>
      </c>
      <c r="B259" s="35" t="s">
        <v>284</v>
      </c>
      <c r="C259" s="36">
        <v>5886</v>
      </c>
      <c r="D259" s="6"/>
      <c r="E259" s="113">
        <v>981205718</v>
      </c>
      <c r="F259" s="116">
        <f t="shared" si="51"/>
        <v>166701.61705742439</v>
      </c>
      <c r="G259" s="117">
        <v>618183229</v>
      </c>
      <c r="H259" s="117">
        <f t="shared" si="50"/>
        <v>105026.03278967041</v>
      </c>
      <c r="I259" s="7"/>
      <c r="J259" s="10">
        <v>3.5377999999999998</v>
      </c>
      <c r="K259" s="117">
        <v>2187009</v>
      </c>
      <c r="L259" s="120">
        <f t="shared" si="52"/>
        <v>371.56116207951072</v>
      </c>
      <c r="M259" s="122">
        <f t="shared" si="42"/>
        <v>6181832.29</v>
      </c>
      <c r="N259" s="116">
        <f t="shared" si="43"/>
        <v>3994823.29</v>
      </c>
      <c r="O259" s="123">
        <f t="shared" si="44"/>
        <v>678.69916581719338</v>
      </c>
      <c r="P259" s="5"/>
      <c r="Q259" s="5">
        <f t="shared" si="46"/>
        <v>1</v>
      </c>
      <c r="R259" s="7">
        <f t="shared" si="47"/>
        <v>5886</v>
      </c>
      <c r="S259" s="5">
        <f t="shared" si="48"/>
        <v>1</v>
      </c>
      <c r="T259" s="7">
        <f t="shared" si="45"/>
        <v>5886</v>
      </c>
    </row>
    <row r="260" spans="1:20">
      <c r="A260" s="23" t="s">
        <v>287</v>
      </c>
      <c r="B260" s="35" t="s">
        <v>284</v>
      </c>
      <c r="C260" s="36">
        <v>2493</v>
      </c>
      <c r="D260" s="6"/>
      <c r="E260" s="113">
        <v>336755945</v>
      </c>
      <c r="F260" s="116">
        <f t="shared" si="51"/>
        <v>135080.60369033294</v>
      </c>
      <c r="G260" s="117">
        <v>270673731</v>
      </c>
      <c r="H260" s="117">
        <f t="shared" si="50"/>
        <v>108573.49819494585</v>
      </c>
      <c r="I260" s="7"/>
      <c r="J260" s="10">
        <v>6.9039999999999999</v>
      </c>
      <c r="K260" s="117">
        <v>1868731</v>
      </c>
      <c r="L260" s="120">
        <f t="shared" si="52"/>
        <v>749.59125551544321</v>
      </c>
      <c r="M260" s="122">
        <f t="shared" si="42"/>
        <v>2706737.31</v>
      </c>
      <c r="N260" s="116">
        <f t="shared" si="43"/>
        <v>838006.31</v>
      </c>
      <c r="O260" s="123">
        <f t="shared" si="44"/>
        <v>336.14372643401526</v>
      </c>
      <c r="P260" s="5"/>
      <c r="Q260" s="5">
        <f t="shared" si="46"/>
        <v>1</v>
      </c>
      <c r="R260" s="7">
        <f t="shared" si="47"/>
        <v>2493</v>
      </c>
      <c r="S260" s="5">
        <f t="shared" si="48"/>
        <v>1</v>
      </c>
      <c r="T260" s="7">
        <f t="shared" si="45"/>
        <v>2493</v>
      </c>
    </row>
    <row r="261" spans="1:20">
      <c r="A261" s="23" t="s">
        <v>288</v>
      </c>
      <c r="B261" s="35" t="s">
        <v>284</v>
      </c>
      <c r="C261" s="36">
        <v>2278</v>
      </c>
      <c r="D261" s="6"/>
      <c r="E261" s="113">
        <v>455475571</v>
      </c>
      <c r="F261" s="116">
        <f t="shared" si="51"/>
        <v>199945.37796312556</v>
      </c>
      <c r="G261" s="117">
        <v>327415579</v>
      </c>
      <c r="H261" s="117">
        <f t="shared" si="50"/>
        <v>143729.40254609307</v>
      </c>
      <c r="I261" s="7"/>
      <c r="J261" s="10">
        <v>3.95</v>
      </c>
      <c r="K261" s="117">
        <v>1293292</v>
      </c>
      <c r="L261" s="120">
        <f t="shared" si="52"/>
        <v>567.73134328358208</v>
      </c>
      <c r="M261" s="122">
        <f t="shared" si="42"/>
        <v>3274155.79</v>
      </c>
      <c r="N261" s="116">
        <f t="shared" si="43"/>
        <v>1980863.79</v>
      </c>
      <c r="O261" s="123">
        <f t="shared" si="44"/>
        <v>869.56268217734862</v>
      </c>
      <c r="P261" s="5"/>
      <c r="Q261" s="5">
        <f t="shared" si="46"/>
        <v>1</v>
      </c>
      <c r="R261" s="7">
        <f t="shared" si="47"/>
        <v>2278</v>
      </c>
      <c r="S261" s="5">
        <f t="shared" si="48"/>
        <v>1</v>
      </c>
      <c r="T261" s="7">
        <f t="shared" si="45"/>
        <v>2278</v>
      </c>
    </row>
    <row r="262" spans="1:20">
      <c r="A262" s="23" t="s">
        <v>289</v>
      </c>
      <c r="B262" s="35" t="s">
        <v>284</v>
      </c>
      <c r="C262" s="36">
        <v>23</v>
      </c>
      <c r="D262" s="6"/>
      <c r="E262" s="113">
        <v>2086354159</v>
      </c>
      <c r="F262" s="116">
        <f t="shared" si="51"/>
        <v>90711050.391304344</v>
      </c>
      <c r="G262" s="117">
        <v>2030465213</v>
      </c>
      <c r="H262" s="117">
        <f t="shared" si="50"/>
        <v>88281096.217391297</v>
      </c>
      <c r="I262" s="7"/>
      <c r="J262" s="10">
        <v>1.0545</v>
      </c>
      <c r="K262" s="117">
        <v>2141126</v>
      </c>
      <c r="L262" s="120">
        <f t="shared" si="52"/>
        <v>93092.434782608689</v>
      </c>
      <c r="M262" s="122">
        <f t="shared" ref="M262:M325" si="53">(G262*0.01)</f>
        <v>20304652.129999999</v>
      </c>
      <c r="N262" s="116">
        <f t="shared" ref="N262:N325" si="54">(M262-K262)</f>
        <v>18163526.129999999</v>
      </c>
      <c r="O262" s="123">
        <f t="shared" ref="O262:O325" si="55">(N262/C262)</f>
        <v>789718.52739130426</v>
      </c>
      <c r="P262" s="5"/>
      <c r="Q262" s="5">
        <f t="shared" si="46"/>
        <v>1</v>
      </c>
      <c r="R262" s="7">
        <f t="shared" si="47"/>
        <v>23</v>
      </c>
      <c r="S262" s="5">
        <f t="shared" si="48"/>
        <v>1</v>
      </c>
      <c r="T262" s="7">
        <f t="shared" ref="T262:T325" si="56">IF(J262&gt;0,C262,0)</f>
        <v>23</v>
      </c>
    </row>
    <row r="263" spans="1:20">
      <c r="A263" s="23" t="s">
        <v>290</v>
      </c>
      <c r="B263" s="35" t="s">
        <v>284</v>
      </c>
      <c r="C263" s="36">
        <v>16209</v>
      </c>
      <c r="D263" s="6"/>
      <c r="E263" s="113">
        <v>3294649627</v>
      </c>
      <c r="F263" s="116">
        <f t="shared" si="51"/>
        <v>203260.511259177</v>
      </c>
      <c r="G263" s="117">
        <v>2536955077</v>
      </c>
      <c r="H263" s="117">
        <f t="shared" si="50"/>
        <v>156515.21235116295</v>
      </c>
      <c r="I263" s="7"/>
      <c r="J263" s="10">
        <v>3.88</v>
      </c>
      <c r="K263" s="117">
        <v>9843386</v>
      </c>
      <c r="L263" s="120">
        <f t="shared" si="52"/>
        <v>607.27904250724907</v>
      </c>
      <c r="M263" s="122">
        <f t="shared" si="53"/>
        <v>25369550.77</v>
      </c>
      <c r="N263" s="116">
        <f t="shared" si="54"/>
        <v>15526164.77</v>
      </c>
      <c r="O263" s="123">
        <f t="shared" si="55"/>
        <v>957.87308100438031</v>
      </c>
      <c r="P263" s="5"/>
      <c r="Q263" s="5">
        <f t="shared" ref="Q263:Q326" si="57">IF(E263&gt;0,1,0)</f>
        <v>1</v>
      </c>
      <c r="R263" s="7">
        <f t="shared" ref="R263:R326" si="58">IF(E263&gt;0,C263,0)</f>
        <v>16209</v>
      </c>
      <c r="S263" s="5">
        <f t="shared" si="48"/>
        <v>1</v>
      </c>
      <c r="T263" s="7">
        <f t="shared" si="56"/>
        <v>16209</v>
      </c>
    </row>
    <row r="264" spans="1:20">
      <c r="A264" s="23" t="s">
        <v>291</v>
      </c>
      <c r="B264" s="35" t="s">
        <v>284</v>
      </c>
      <c r="C264" s="36">
        <v>1938</v>
      </c>
      <c r="D264" s="6"/>
      <c r="E264" s="113">
        <v>394873304</v>
      </c>
      <c r="F264" s="116">
        <f t="shared" si="51"/>
        <v>203752.99484004127</v>
      </c>
      <c r="G264" s="117">
        <v>281864109</v>
      </c>
      <c r="H264" s="117">
        <f t="shared" si="50"/>
        <v>145440.71671826625</v>
      </c>
      <c r="I264" s="7"/>
      <c r="J264" s="10">
        <v>5.9245000000000001</v>
      </c>
      <c r="K264" s="117">
        <v>1669904</v>
      </c>
      <c r="L264" s="120">
        <f t="shared" ref="L264:L276" si="59">(K264/C264)</f>
        <v>861.66357069143442</v>
      </c>
      <c r="M264" s="122">
        <f t="shared" si="53"/>
        <v>2818641.09</v>
      </c>
      <c r="N264" s="116">
        <f t="shared" si="54"/>
        <v>1148737.0899999999</v>
      </c>
      <c r="O264" s="123">
        <f t="shared" si="55"/>
        <v>592.743596491228</v>
      </c>
      <c r="P264" s="5"/>
      <c r="Q264" s="5">
        <f t="shared" si="57"/>
        <v>1</v>
      </c>
      <c r="R264" s="7">
        <f t="shared" si="58"/>
        <v>1938</v>
      </c>
      <c r="S264" s="5">
        <f t="shared" si="48"/>
        <v>1</v>
      </c>
      <c r="T264" s="7">
        <f t="shared" si="56"/>
        <v>1938</v>
      </c>
    </row>
    <row r="265" spans="1:20">
      <c r="A265" s="23" t="s">
        <v>292</v>
      </c>
      <c r="B265" s="35" t="s">
        <v>284</v>
      </c>
      <c r="C265" s="36">
        <v>33658</v>
      </c>
      <c r="D265" s="6"/>
      <c r="E265" s="113">
        <v>3473657433</v>
      </c>
      <c r="F265" s="116">
        <f t="shared" si="51"/>
        <v>103204.51105235011</v>
      </c>
      <c r="G265" s="117">
        <v>2330433141</v>
      </c>
      <c r="H265" s="117">
        <f t="shared" si="50"/>
        <v>69238.610166973682</v>
      </c>
      <c r="I265" s="7"/>
      <c r="J265" s="10">
        <v>4.8251999999999997</v>
      </c>
      <c r="K265" s="117">
        <v>11244806</v>
      </c>
      <c r="L265" s="120">
        <f t="shared" si="59"/>
        <v>334.09014201675677</v>
      </c>
      <c r="M265" s="122">
        <f t="shared" si="53"/>
        <v>23304331.41</v>
      </c>
      <c r="N265" s="116">
        <f t="shared" si="54"/>
        <v>12059525.41</v>
      </c>
      <c r="O265" s="123">
        <f t="shared" si="55"/>
        <v>358.29595965298</v>
      </c>
      <c r="P265" s="5"/>
      <c r="Q265" s="5">
        <f t="shared" si="57"/>
        <v>1</v>
      </c>
      <c r="R265" s="7">
        <f t="shared" si="58"/>
        <v>33658</v>
      </c>
      <c r="S265" s="5">
        <f t="shared" si="48"/>
        <v>1</v>
      </c>
      <c r="T265" s="7">
        <f t="shared" si="56"/>
        <v>33658</v>
      </c>
    </row>
    <row r="266" spans="1:20">
      <c r="A266" s="23" t="s">
        <v>293</v>
      </c>
      <c r="B266" s="35" t="s">
        <v>284</v>
      </c>
      <c r="C266" s="36">
        <v>234130</v>
      </c>
      <c r="D266" s="6"/>
      <c r="E266" s="113">
        <v>37175892589</v>
      </c>
      <c r="F266" s="116">
        <f t="shared" si="51"/>
        <v>158783.12300431385</v>
      </c>
      <c r="G266" s="117">
        <v>25275806790</v>
      </c>
      <c r="H266" s="117">
        <f t="shared" si="50"/>
        <v>107956.29261521377</v>
      </c>
      <c r="I266" s="7"/>
      <c r="J266" s="10">
        <v>5.65</v>
      </c>
      <c r="K266" s="117">
        <v>142808308</v>
      </c>
      <c r="L266" s="120">
        <f t="shared" si="59"/>
        <v>609.95305172340147</v>
      </c>
      <c r="M266" s="122">
        <f t="shared" si="53"/>
        <v>252758067.90000001</v>
      </c>
      <c r="N266" s="116">
        <f t="shared" si="54"/>
        <v>109949759.90000001</v>
      </c>
      <c r="O266" s="123">
        <f t="shared" si="55"/>
        <v>469.60987442873619</v>
      </c>
      <c r="P266" s="5"/>
      <c r="Q266" s="5">
        <f t="shared" si="57"/>
        <v>1</v>
      </c>
      <c r="R266" s="7">
        <f t="shared" si="58"/>
        <v>234130</v>
      </c>
      <c r="S266" s="5">
        <f t="shared" ref="S266:S330" si="60">IF(J266&gt;0,1,0)</f>
        <v>1</v>
      </c>
      <c r="T266" s="7">
        <f t="shared" si="56"/>
        <v>234130</v>
      </c>
    </row>
    <row r="267" spans="1:20">
      <c r="A267" s="23" t="s">
        <v>294</v>
      </c>
      <c r="B267" s="35" t="s">
        <v>284</v>
      </c>
      <c r="C267" s="36">
        <v>2678</v>
      </c>
      <c r="D267" s="6"/>
      <c r="E267" s="113">
        <v>838541339</v>
      </c>
      <c r="F267" s="116">
        <f t="shared" si="51"/>
        <v>313122.23263629572</v>
      </c>
      <c r="G267" s="117">
        <v>538101349</v>
      </c>
      <c r="H267" s="117">
        <f t="shared" si="50"/>
        <v>200934.03622106049</v>
      </c>
      <c r="I267" s="7"/>
      <c r="J267" s="10">
        <v>3.2280000000000002</v>
      </c>
      <c r="K267" s="117">
        <v>1736991</v>
      </c>
      <c r="L267" s="120">
        <f t="shared" si="59"/>
        <v>648.61501120238984</v>
      </c>
      <c r="M267" s="122">
        <f t="shared" si="53"/>
        <v>5381013.4900000002</v>
      </c>
      <c r="N267" s="116">
        <f t="shared" si="54"/>
        <v>3644022.49</v>
      </c>
      <c r="O267" s="123">
        <f t="shared" si="55"/>
        <v>1360.7253510082151</v>
      </c>
      <c r="P267" s="5"/>
      <c r="Q267" s="5">
        <f t="shared" si="57"/>
        <v>1</v>
      </c>
      <c r="R267" s="7">
        <f t="shared" si="58"/>
        <v>2678</v>
      </c>
      <c r="S267" s="5">
        <f t="shared" si="60"/>
        <v>1</v>
      </c>
      <c r="T267" s="7">
        <f t="shared" si="56"/>
        <v>2678</v>
      </c>
    </row>
    <row r="268" spans="1:20">
      <c r="A268" s="23" t="s">
        <v>295</v>
      </c>
      <c r="B268" s="35" t="s">
        <v>284</v>
      </c>
      <c r="C268" s="36">
        <v>30838</v>
      </c>
      <c r="D268" s="6"/>
      <c r="E268" s="113">
        <v>3568027049</v>
      </c>
      <c r="F268" s="116">
        <f t="shared" si="51"/>
        <v>115702.28448667229</v>
      </c>
      <c r="G268" s="117">
        <v>2644464089</v>
      </c>
      <c r="H268" s="117">
        <f t="shared" si="50"/>
        <v>85753.423989882605</v>
      </c>
      <c r="I268" s="7"/>
      <c r="J268" s="10">
        <v>3.3866000000000001</v>
      </c>
      <c r="K268" s="117">
        <v>8955742</v>
      </c>
      <c r="L268" s="120">
        <f t="shared" si="59"/>
        <v>290.41254296646991</v>
      </c>
      <c r="M268" s="122">
        <f t="shared" si="53"/>
        <v>26444640.890000001</v>
      </c>
      <c r="N268" s="116">
        <f t="shared" si="54"/>
        <v>17488898.890000001</v>
      </c>
      <c r="O268" s="123">
        <f t="shared" si="55"/>
        <v>567.12169693235626</v>
      </c>
      <c r="P268" s="5"/>
      <c r="Q268" s="5">
        <f t="shared" si="57"/>
        <v>1</v>
      </c>
      <c r="R268" s="7">
        <f t="shared" si="58"/>
        <v>30838</v>
      </c>
      <c r="S268" s="5">
        <f t="shared" si="60"/>
        <v>1</v>
      </c>
      <c r="T268" s="7">
        <f t="shared" si="56"/>
        <v>30838</v>
      </c>
    </row>
    <row r="269" spans="1:20">
      <c r="A269" s="23" t="s">
        <v>296</v>
      </c>
      <c r="B269" s="35" t="s">
        <v>284</v>
      </c>
      <c r="C269" s="36">
        <v>28921</v>
      </c>
      <c r="D269" s="6"/>
      <c r="E269" s="113">
        <v>6435197397</v>
      </c>
      <c r="F269" s="116">
        <f t="shared" si="51"/>
        <v>222509.50510010027</v>
      </c>
      <c r="G269" s="117">
        <v>4497503642</v>
      </c>
      <c r="H269" s="117">
        <f t="shared" si="50"/>
        <v>155509.96307181634</v>
      </c>
      <c r="I269" s="7"/>
      <c r="J269" s="10">
        <v>4.0922999999999998</v>
      </c>
      <c r="K269" s="117">
        <v>18405134</v>
      </c>
      <c r="L269" s="120">
        <f t="shared" si="59"/>
        <v>636.39341654852876</v>
      </c>
      <c r="M269" s="122">
        <f t="shared" si="53"/>
        <v>44975036.420000002</v>
      </c>
      <c r="N269" s="116">
        <f t="shared" si="54"/>
        <v>26569902.420000002</v>
      </c>
      <c r="O269" s="123">
        <f t="shared" si="55"/>
        <v>918.70621416963456</v>
      </c>
      <c r="P269" s="5"/>
      <c r="Q269" s="5">
        <f t="shared" si="57"/>
        <v>1</v>
      </c>
      <c r="R269" s="7">
        <f t="shared" si="58"/>
        <v>28921</v>
      </c>
      <c r="S269" s="5">
        <f t="shared" si="60"/>
        <v>1</v>
      </c>
      <c r="T269" s="7">
        <f t="shared" si="56"/>
        <v>28921</v>
      </c>
    </row>
    <row r="270" spans="1:20">
      <c r="A270" s="23" t="s">
        <v>297</v>
      </c>
      <c r="B270" s="35" t="s">
        <v>298</v>
      </c>
      <c r="C270" s="36">
        <v>61458</v>
      </c>
      <c r="D270" s="6"/>
      <c r="E270" s="113">
        <v>5327248565</v>
      </c>
      <c r="F270" s="116">
        <f t="shared" si="51"/>
        <v>86681.124751863055</v>
      </c>
      <c r="G270" s="117">
        <v>3793886611</v>
      </c>
      <c r="H270" s="117">
        <f t="shared" si="50"/>
        <v>61731.371196589542</v>
      </c>
      <c r="I270" s="7"/>
      <c r="J270" s="10">
        <v>3.7058</v>
      </c>
      <c r="K270" s="117">
        <v>14059385</v>
      </c>
      <c r="L270" s="120">
        <f t="shared" si="59"/>
        <v>228.76411533079502</v>
      </c>
      <c r="M270" s="122">
        <f t="shared" si="53"/>
        <v>37938866.109999999</v>
      </c>
      <c r="N270" s="116">
        <f t="shared" si="54"/>
        <v>23879481.109999999</v>
      </c>
      <c r="O270" s="123">
        <f t="shared" si="55"/>
        <v>388.54959663510039</v>
      </c>
      <c r="P270" s="5"/>
      <c r="Q270" s="5">
        <f t="shared" si="57"/>
        <v>1</v>
      </c>
      <c r="R270" s="7">
        <f t="shared" si="58"/>
        <v>61458</v>
      </c>
      <c r="S270" s="5">
        <f t="shared" si="60"/>
        <v>1</v>
      </c>
      <c r="T270" s="7">
        <f t="shared" si="56"/>
        <v>61458</v>
      </c>
    </row>
    <row r="271" spans="1:20">
      <c r="A271" s="23" t="s">
        <v>546</v>
      </c>
      <c r="B271" s="35" t="s">
        <v>298</v>
      </c>
      <c r="C271" s="36">
        <v>32827</v>
      </c>
      <c r="D271" s="6"/>
      <c r="E271" s="113">
        <v>2904794150</v>
      </c>
      <c r="F271" s="116">
        <f t="shared" si="51"/>
        <v>88487.956560148654</v>
      </c>
      <c r="G271" s="117">
        <v>1943119033</v>
      </c>
      <c r="H271" s="117">
        <f t="shared" si="50"/>
        <v>59192.708227983065</v>
      </c>
      <c r="I271" s="7"/>
      <c r="J271" s="10">
        <v>4.0449999999999999</v>
      </c>
      <c r="K271" s="117">
        <v>7859916</v>
      </c>
      <c r="L271" s="120">
        <f t="shared" si="59"/>
        <v>239.43448990160539</v>
      </c>
      <c r="M271" s="122">
        <f t="shared" si="53"/>
        <v>19431190.330000002</v>
      </c>
      <c r="N271" s="116">
        <f t="shared" si="54"/>
        <v>11571274.330000002</v>
      </c>
      <c r="O271" s="123">
        <f t="shared" si="55"/>
        <v>352.49259237822531</v>
      </c>
      <c r="P271" s="5"/>
      <c r="Q271" s="5">
        <f t="shared" si="57"/>
        <v>1</v>
      </c>
      <c r="R271" s="7">
        <f t="shared" si="58"/>
        <v>32827</v>
      </c>
      <c r="S271" s="5">
        <f t="shared" si="60"/>
        <v>1</v>
      </c>
      <c r="T271" s="7">
        <f t="shared" si="56"/>
        <v>32827</v>
      </c>
    </row>
    <row r="272" spans="1:20">
      <c r="A272" s="23" t="s">
        <v>299</v>
      </c>
      <c r="B272" s="35" t="s">
        <v>300</v>
      </c>
      <c r="C272" s="36">
        <v>2147</v>
      </c>
      <c r="D272" s="6"/>
      <c r="E272" s="113">
        <v>597377319</v>
      </c>
      <c r="F272" s="116">
        <f t="shared" si="51"/>
        <v>278238.15510013973</v>
      </c>
      <c r="G272" s="117">
        <v>476873063</v>
      </c>
      <c r="H272" s="117">
        <f t="shared" si="50"/>
        <v>222111.3474615743</v>
      </c>
      <c r="I272" s="7"/>
      <c r="J272" s="10">
        <v>6.05</v>
      </c>
      <c r="K272" s="117">
        <v>2885082</v>
      </c>
      <c r="L272" s="120">
        <f t="shared" si="59"/>
        <v>1343.7736376339078</v>
      </c>
      <c r="M272" s="122">
        <f t="shared" si="53"/>
        <v>4768730.63</v>
      </c>
      <c r="N272" s="116">
        <f t="shared" si="54"/>
        <v>1883648.63</v>
      </c>
      <c r="O272" s="123">
        <f t="shared" si="55"/>
        <v>877.33983698183511</v>
      </c>
      <c r="P272" s="5"/>
      <c r="Q272" s="5">
        <f t="shared" si="57"/>
        <v>1</v>
      </c>
      <c r="R272" s="7">
        <f t="shared" si="58"/>
        <v>2147</v>
      </c>
      <c r="S272" s="5">
        <f t="shared" si="60"/>
        <v>1</v>
      </c>
      <c r="T272" s="7">
        <f t="shared" si="56"/>
        <v>2147</v>
      </c>
    </row>
    <row r="273" spans="1:20">
      <c r="A273" s="23" t="s">
        <v>301</v>
      </c>
      <c r="B273" s="35" t="s">
        <v>300</v>
      </c>
      <c r="C273" s="36">
        <v>17141</v>
      </c>
      <c r="D273" s="6"/>
      <c r="E273" s="113">
        <v>650496655</v>
      </c>
      <c r="F273" s="116">
        <f t="shared" si="51"/>
        <v>37949.749431188378</v>
      </c>
      <c r="G273" s="117">
        <v>336989800</v>
      </c>
      <c r="H273" s="117">
        <f t="shared" si="50"/>
        <v>19659.868152383176</v>
      </c>
      <c r="I273" s="7"/>
      <c r="J273" s="10">
        <v>6.43</v>
      </c>
      <c r="K273" s="117">
        <v>2166844</v>
      </c>
      <c r="L273" s="120">
        <f t="shared" si="59"/>
        <v>126.41292806720728</v>
      </c>
      <c r="M273" s="122">
        <f t="shared" si="53"/>
        <v>3369898</v>
      </c>
      <c r="N273" s="116">
        <f t="shared" si="54"/>
        <v>1203054</v>
      </c>
      <c r="O273" s="123">
        <f t="shared" si="55"/>
        <v>70.185753456624468</v>
      </c>
      <c r="P273" s="5"/>
      <c r="Q273" s="5">
        <f t="shared" si="57"/>
        <v>1</v>
      </c>
      <c r="R273" s="7">
        <f t="shared" si="58"/>
        <v>17141</v>
      </c>
      <c r="S273" s="5">
        <f t="shared" si="60"/>
        <v>1</v>
      </c>
      <c r="T273" s="7">
        <f t="shared" si="56"/>
        <v>17141</v>
      </c>
    </row>
    <row r="274" spans="1:20">
      <c r="A274" s="23" t="s">
        <v>302</v>
      </c>
      <c r="B274" s="35" t="s">
        <v>300</v>
      </c>
      <c r="C274" s="36">
        <v>85293</v>
      </c>
      <c r="D274" s="6"/>
      <c r="E274" s="113">
        <v>25643099449</v>
      </c>
      <c r="F274" s="116">
        <f t="shared" si="51"/>
        <v>300647.17443400982</v>
      </c>
      <c r="G274" s="117">
        <v>19503276250</v>
      </c>
      <c r="H274" s="117">
        <f t="shared" si="50"/>
        <v>228662.09712403128</v>
      </c>
      <c r="I274" s="9"/>
      <c r="J274" s="10">
        <v>3.02</v>
      </c>
      <c r="K274" s="117">
        <v>58899894</v>
      </c>
      <c r="L274" s="120">
        <f t="shared" si="59"/>
        <v>690.55953009039433</v>
      </c>
      <c r="M274" s="122">
        <f t="shared" si="53"/>
        <v>195032762.5</v>
      </c>
      <c r="N274" s="116">
        <f t="shared" si="54"/>
        <v>136132868.5</v>
      </c>
      <c r="O274" s="123">
        <f t="shared" si="55"/>
        <v>1596.0614411499184</v>
      </c>
      <c r="P274" s="5"/>
      <c r="Q274" s="5">
        <f t="shared" si="57"/>
        <v>1</v>
      </c>
      <c r="R274" s="7">
        <f t="shared" si="58"/>
        <v>85293</v>
      </c>
      <c r="S274" s="5">
        <f t="shared" si="60"/>
        <v>1</v>
      </c>
      <c r="T274" s="7">
        <f t="shared" si="56"/>
        <v>85293</v>
      </c>
    </row>
    <row r="275" spans="1:20">
      <c r="A275" s="23" t="s">
        <v>303</v>
      </c>
      <c r="B275" s="35" t="s">
        <v>300</v>
      </c>
      <c r="C275" s="36">
        <v>66671</v>
      </c>
      <c r="D275" s="6"/>
      <c r="E275" s="113">
        <v>7980262576</v>
      </c>
      <c r="F275" s="116">
        <f t="shared" si="51"/>
        <v>119696.15838970467</v>
      </c>
      <c r="G275" s="117">
        <v>5574094171</v>
      </c>
      <c r="H275" s="117">
        <f t="shared" si="50"/>
        <v>83605.978176418532</v>
      </c>
      <c r="I275" s="9"/>
      <c r="J275" s="10">
        <v>6.4553000000000003</v>
      </c>
      <c r="K275" s="117">
        <v>35982450</v>
      </c>
      <c r="L275" s="120">
        <f t="shared" si="59"/>
        <v>539.70166939148953</v>
      </c>
      <c r="M275" s="122">
        <f t="shared" si="53"/>
        <v>55740941.710000001</v>
      </c>
      <c r="N275" s="116">
        <f t="shared" si="54"/>
        <v>19758491.710000001</v>
      </c>
      <c r="O275" s="123">
        <f t="shared" si="55"/>
        <v>296.35811237269581</v>
      </c>
      <c r="P275" s="5"/>
      <c r="Q275" s="5">
        <f t="shared" si="57"/>
        <v>1</v>
      </c>
      <c r="R275" s="7">
        <f t="shared" si="58"/>
        <v>66671</v>
      </c>
      <c r="S275" s="5">
        <f t="shared" si="60"/>
        <v>1</v>
      </c>
      <c r="T275" s="7">
        <f t="shared" si="56"/>
        <v>66671</v>
      </c>
    </row>
    <row r="276" spans="1:20">
      <c r="A276" s="23" t="s">
        <v>304</v>
      </c>
      <c r="B276" s="35" t="s">
        <v>300</v>
      </c>
      <c r="C276" s="36">
        <v>417</v>
      </c>
      <c r="D276" s="6"/>
      <c r="E276" s="113">
        <v>53200316</v>
      </c>
      <c r="F276" s="116">
        <f t="shared" si="51"/>
        <v>127578.69544364509</v>
      </c>
      <c r="G276" s="117">
        <v>38073945</v>
      </c>
      <c r="H276" s="117">
        <f t="shared" si="50"/>
        <v>91304.424460431648</v>
      </c>
      <c r="I276" s="9"/>
      <c r="J276" s="10">
        <v>2.7608000000000001</v>
      </c>
      <c r="K276" s="117">
        <v>105115</v>
      </c>
      <c r="L276" s="120">
        <f t="shared" si="59"/>
        <v>252.07434052757793</v>
      </c>
      <c r="M276" s="122">
        <f t="shared" si="53"/>
        <v>380739.45</v>
      </c>
      <c r="N276" s="116">
        <f t="shared" si="54"/>
        <v>275624.45</v>
      </c>
      <c r="O276" s="123">
        <f t="shared" si="55"/>
        <v>660.96990407673866</v>
      </c>
      <c r="P276" s="5"/>
      <c r="Q276" s="5">
        <f t="shared" si="57"/>
        <v>1</v>
      </c>
      <c r="R276" s="7">
        <f t="shared" si="58"/>
        <v>417</v>
      </c>
      <c r="S276" s="5">
        <f t="shared" si="60"/>
        <v>1</v>
      </c>
      <c r="T276" s="7">
        <f t="shared" si="56"/>
        <v>417</v>
      </c>
    </row>
    <row r="277" spans="1:20">
      <c r="A277" s="23" t="s">
        <v>305</v>
      </c>
      <c r="B277" s="35" t="s">
        <v>300</v>
      </c>
      <c r="C277" s="36">
        <v>164</v>
      </c>
      <c r="D277" s="6"/>
      <c r="E277" s="113">
        <v>10932586</v>
      </c>
      <c r="F277" s="116">
        <f t="shared" si="51"/>
        <v>66662.109756097561</v>
      </c>
      <c r="G277" s="117">
        <v>7245245</v>
      </c>
      <c r="H277" s="117">
        <f t="shared" si="50"/>
        <v>44178.32317073171</v>
      </c>
      <c r="I277" s="9" t="s">
        <v>528</v>
      </c>
      <c r="J277" s="11"/>
      <c r="K277" s="117"/>
      <c r="L277" s="120"/>
      <c r="M277" s="122">
        <f t="shared" si="53"/>
        <v>72452.45</v>
      </c>
      <c r="N277" s="116">
        <f t="shared" si="54"/>
        <v>72452.45</v>
      </c>
      <c r="O277" s="123">
        <f t="shared" si="55"/>
        <v>441.78323170731704</v>
      </c>
      <c r="P277" s="5"/>
      <c r="Q277" s="5">
        <f t="shared" si="57"/>
        <v>1</v>
      </c>
      <c r="R277" s="7">
        <f t="shared" si="58"/>
        <v>164</v>
      </c>
      <c r="S277" s="5">
        <f t="shared" si="60"/>
        <v>0</v>
      </c>
      <c r="T277" s="7">
        <f t="shared" si="56"/>
        <v>0</v>
      </c>
    </row>
    <row r="278" spans="1:20">
      <c r="A278" s="23" t="s">
        <v>306</v>
      </c>
      <c r="B278" s="35" t="s">
        <v>300</v>
      </c>
      <c r="C278" s="36">
        <v>64220</v>
      </c>
      <c r="D278" s="6"/>
      <c r="E278" s="113">
        <v>11224196182</v>
      </c>
      <c r="F278" s="116">
        <f t="shared" si="51"/>
        <v>174777.26848333853</v>
      </c>
      <c r="G278" s="117">
        <v>8149606528</v>
      </c>
      <c r="H278" s="117">
        <f t="shared" si="50"/>
        <v>126901.37851136718</v>
      </c>
      <c r="I278" s="9"/>
      <c r="J278" s="10">
        <v>6.39</v>
      </c>
      <c r="K278" s="117">
        <v>52075986</v>
      </c>
      <c r="L278" s="120">
        <f>(K278/C278)</f>
        <v>810.8998131423233</v>
      </c>
      <c r="M278" s="122">
        <f t="shared" si="53"/>
        <v>81496065.280000001</v>
      </c>
      <c r="N278" s="116">
        <f t="shared" si="54"/>
        <v>29420079.280000001</v>
      </c>
      <c r="O278" s="123">
        <f t="shared" si="55"/>
        <v>458.11397197134852</v>
      </c>
      <c r="P278" s="5"/>
      <c r="Q278" s="5">
        <f t="shared" si="57"/>
        <v>1</v>
      </c>
      <c r="R278" s="7">
        <f t="shared" si="58"/>
        <v>64220</v>
      </c>
      <c r="S278" s="5">
        <f t="shared" si="60"/>
        <v>1</v>
      </c>
      <c r="T278" s="7">
        <f t="shared" si="56"/>
        <v>64220</v>
      </c>
    </row>
    <row r="279" spans="1:20">
      <c r="A279" s="23" t="s">
        <v>307</v>
      </c>
      <c r="B279" s="35" t="s">
        <v>300</v>
      </c>
      <c r="C279" s="36">
        <v>262</v>
      </c>
      <c r="D279" s="6"/>
      <c r="E279" s="113">
        <v>33497541</v>
      </c>
      <c r="F279" s="116">
        <f t="shared" si="51"/>
        <v>127853.20992366412</v>
      </c>
      <c r="G279" s="117">
        <v>19031416</v>
      </c>
      <c r="H279" s="117">
        <f t="shared" si="50"/>
        <v>72638.992366412218</v>
      </c>
      <c r="I279" s="9" t="s">
        <v>528</v>
      </c>
      <c r="J279" s="12"/>
      <c r="K279" s="117"/>
      <c r="L279" s="120"/>
      <c r="M279" s="122">
        <f t="shared" si="53"/>
        <v>190314.16</v>
      </c>
      <c r="N279" s="116">
        <f t="shared" si="54"/>
        <v>190314.16</v>
      </c>
      <c r="O279" s="123">
        <f t="shared" si="55"/>
        <v>726.38992366412219</v>
      </c>
      <c r="P279" s="5"/>
      <c r="Q279" s="5">
        <f t="shared" si="57"/>
        <v>1</v>
      </c>
      <c r="R279" s="7">
        <f t="shared" si="58"/>
        <v>262</v>
      </c>
      <c r="S279" s="5">
        <f t="shared" si="60"/>
        <v>0</v>
      </c>
      <c r="T279" s="7">
        <f t="shared" si="56"/>
        <v>0</v>
      </c>
    </row>
    <row r="280" spans="1:20">
      <c r="A280" s="23" t="s">
        <v>308</v>
      </c>
      <c r="B280" s="35" t="s">
        <v>300</v>
      </c>
      <c r="C280" s="36">
        <v>266</v>
      </c>
      <c r="D280" s="6"/>
      <c r="E280" s="113">
        <v>192530821</v>
      </c>
      <c r="F280" s="116">
        <f t="shared" si="51"/>
        <v>723800.07894736843</v>
      </c>
      <c r="G280" s="117">
        <v>148296268</v>
      </c>
      <c r="H280" s="117">
        <f t="shared" si="50"/>
        <v>557504.76691729319</v>
      </c>
      <c r="I280" s="7"/>
      <c r="J280" s="10">
        <v>6.7076000000000002</v>
      </c>
      <c r="K280" s="117">
        <v>994712</v>
      </c>
      <c r="L280" s="120">
        <f t="shared" ref="L280:L311" si="61">(K280/C280)</f>
        <v>3739.5187969924814</v>
      </c>
      <c r="M280" s="122">
        <f t="shared" si="53"/>
        <v>1482962.68</v>
      </c>
      <c r="N280" s="116">
        <f t="shared" si="54"/>
        <v>488250.67999999993</v>
      </c>
      <c r="O280" s="123">
        <f t="shared" si="55"/>
        <v>1835.5288721804509</v>
      </c>
      <c r="P280" s="5"/>
      <c r="Q280" s="5">
        <f t="shared" si="57"/>
        <v>1</v>
      </c>
      <c r="R280" s="7">
        <f t="shared" si="58"/>
        <v>266</v>
      </c>
      <c r="S280" s="5">
        <f t="shared" si="60"/>
        <v>1</v>
      </c>
      <c r="T280" s="7">
        <f t="shared" si="56"/>
        <v>266</v>
      </c>
    </row>
    <row r="281" spans="1:20">
      <c r="A281" s="23" t="s">
        <v>309</v>
      </c>
      <c r="B281" s="35" t="s">
        <v>300</v>
      </c>
      <c r="C281" s="36">
        <v>32548</v>
      </c>
      <c r="D281" s="6"/>
      <c r="E281" s="113">
        <v>2860897300</v>
      </c>
      <c r="F281" s="116">
        <f t="shared" si="51"/>
        <v>87897.790954897384</v>
      </c>
      <c r="G281" s="117">
        <v>1894942376</v>
      </c>
      <c r="H281" s="117">
        <f t="shared" si="50"/>
        <v>58219.932899102867</v>
      </c>
      <c r="I281" s="7"/>
      <c r="J281" s="10">
        <v>4.7022000000000004</v>
      </c>
      <c r="K281" s="117">
        <v>8910398</v>
      </c>
      <c r="L281" s="120">
        <f t="shared" si="61"/>
        <v>273.76176723608211</v>
      </c>
      <c r="M281" s="122">
        <f t="shared" si="53"/>
        <v>18949423.760000002</v>
      </c>
      <c r="N281" s="116">
        <f t="shared" si="54"/>
        <v>10039025.760000002</v>
      </c>
      <c r="O281" s="123">
        <f t="shared" si="55"/>
        <v>308.43756175494661</v>
      </c>
      <c r="P281" s="5"/>
      <c r="Q281" s="5">
        <f t="shared" si="57"/>
        <v>1</v>
      </c>
      <c r="R281" s="7">
        <f t="shared" si="58"/>
        <v>32548</v>
      </c>
      <c r="S281" s="5">
        <f t="shared" si="60"/>
        <v>1</v>
      </c>
      <c r="T281" s="7">
        <f t="shared" si="56"/>
        <v>32548</v>
      </c>
    </row>
    <row r="282" spans="1:20">
      <c r="A282" s="23" t="s">
        <v>310</v>
      </c>
      <c r="B282" s="35" t="s">
        <v>300</v>
      </c>
      <c r="C282" s="36">
        <v>716</v>
      </c>
      <c r="D282" s="6"/>
      <c r="E282" s="113">
        <v>956389513</v>
      </c>
      <c r="F282" s="116">
        <f t="shared" si="51"/>
        <v>1335739.5432960894</v>
      </c>
      <c r="G282" s="117">
        <v>746682440</v>
      </c>
      <c r="H282" s="117">
        <f t="shared" si="50"/>
        <v>1042852.5698324023</v>
      </c>
      <c r="I282" s="7"/>
      <c r="J282" s="10">
        <v>2.8654999999999999</v>
      </c>
      <c r="K282" s="117">
        <v>2139619</v>
      </c>
      <c r="L282" s="120">
        <f t="shared" si="61"/>
        <v>2988.2946927374301</v>
      </c>
      <c r="M282" s="122">
        <f t="shared" si="53"/>
        <v>7466824.4000000004</v>
      </c>
      <c r="N282" s="116">
        <f t="shared" si="54"/>
        <v>5327205.4000000004</v>
      </c>
      <c r="O282" s="123">
        <f t="shared" si="55"/>
        <v>7440.2310055865928</v>
      </c>
      <c r="P282" s="5"/>
      <c r="Q282" s="5">
        <f t="shared" si="57"/>
        <v>1</v>
      </c>
      <c r="R282" s="7">
        <f t="shared" si="58"/>
        <v>716</v>
      </c>
      <c r="S282" s="5">
        <f t="shared" si="60"/>
        <v>1</v>
      </c>
      <c r="T282" s="7">
        <f t="shared" si="56"/>
        <v>716</v>
      </c>
    </row>
    <row r="283" spans="1:20">
      <c r="A283" s="23" t="s">
        <v>311</v>
      </c>
      <c r="B283" s="35" t="s">
        <v>300</v>
      </c>
      <c r="C283" s="36">
        <v>1553</v>
      </c>
      <c r="D283" s="6"/>
      <c r="E283" s="113">
        <v>151292796</v>
      </c>
      <c r="F283" s="116">
        <f t="shared" si="51"/>
        <v>97419.701223438504</v>
      </c>
      <c r="G283" s="117">
        <v>85524909</v>
      </c>
      <c r="H283" s="117">
        <f t="shared" si="50"/>
        <v>55070.772054088862</v>
      </c>
      <c r="I283" s="7"/>
      <c r="J283" s="10">
        <v>4.2952000000000004</v>
      </c>
      <c r="K283" s="117">
        <v>367347</v>
      </c>
      <c r="L283" s="120">
        <f t="shared" si="61"/>
        <v>236.54024468770123</v>
      </c>
      <c r="M283" s="122">
        <f t="shared" si="53"/>
        <v>855249.09</v>
      </c>
      <c r="N283" s="116">
        <f t="shared" si="54"/>
        <v>487902.08999999997</v>
      </c>
      <c r="O283" s="123">
        <f t="shared" si="55"/>
        <v>314.16747585318734</v>
      </c>
      <c r="P283" s="5"/>
      <c r="Q283" s="5">
        <f t="shared" si="57"/>
        <v>1</v>
      </c>
      <c r="R283" s="7">
        <f t="shared" si="58"/>
        <v>1553</v>
      </c>
      <c r="S283" s="5">
        <f t="shared" si="60"/>
        <v>1</v>
      </c>
      <c r="T283" s="7">
        <f t="shared" si="56"/>
        <v>1553</v>
      </c>
    </row>
    <row r="284" spans="1:20">
      <c r="A284" s="23" t="s">
        <v>312</v>
      </c>
      <c r="B284" s="35" t="s">
        <v>300</v>
      </c>
      <c r="C284" s="36">
        <v>4164</v>
      </c>
      <c r="D284" s="6"/>
      <c r="E284" s="113">
        <v>2554355067</v>
      </c>
      <c r="F284" s="116">
        <f t="shared" si="51"/>
        <v>613437.81628242077</v>
      </c>
      <c r="G284" s="117">
        <v>2140106933</v>
      </c>
      <c r="H284" s="117">
        <f t="shared" si="50"/>
        <v>513954.59486071084</v>
      </c>
      <c r="I284" s="7"/>
      <c r="J284" s="10">
        <v>3.4041999999999999</v>
      </c>
      <c r="K284" s="117">
        <v>7285352</v>
      </c>
      <c r="L284" s="120">
        <f t="shared" si="61"/>
        <v>1749.6042267050912</v>
      </c>
      <c r="M284" s="122">
        <f t="shared" si="53"/>
        <v>21401069.330000002</v>
      </c>
      <c r="N284" s="116">
        <f t="shared" si="54"/>
        <v>14115717.330000002</v>
      </c>
      <c r="O284" s="123">
        <f t="shared" si="55"/>
        <v>3389.9417219020179</v>
      </c>
      <c r="P284" s="5"/>
      <c r="Q284" s="5">
        <f t="shared" si="57"/>
        <v>1</v>
      </c>
      <c r="R284" s="7">
        <f t="shared" si="58"/>
        <v>4164</v>
      </c>
      <c r="S284" s="5">
        <f t="shared" si="60"/>
        <v>1</v>
      </c>
      <c r="T284" s="7">
        <f t="shared" si="56"/>
        <v>4164</v>
      </c>
    </row>
    <row r="285" spans="1:20">
      <c r="A285" s="23" t="s">
        <v>313</v>
      </c>
      <c r="B285" s="35" t="s">
        <v>300</v>
      </c>
      <c r="C285" s="36">
        <v>2448</v>
      </c>
      <c r="D285" s="6"/>
      <c r="E285" s="113">
        <v>500996056</v>
      </c>
      <c r="F285" s="116">
        <f t="shared" si="51"/>
        <v>204655.25163398692</v>
      </c>
      <c r="G285" s="117">
        <v>385814298</v>
      </c>
      <c r="H285" s="117">
        <f t="shared" si="50"/>
        <v>157603.87990196078</v>
      </c>
      <c r="I285" s="7"/>
      <c r="J285" s="10">
        <v>2.35</v>
      </c>
      <c r="K285" s="117">
        <v>906664</v>
      </c>
      <c r="L285" s="120">
        <f t="shared" si="61"/>
        <v>370.36928104575162</v>
      </c>
      <c r="M285" s="122">
        <f t="shared" si="53"/>
        <v>3858142.98</v>
      </c>
      <c r="N285" s="116">
        <f t="shared" si="54"/>
        <v>2951478.98</v>
      </c>
      <c r="O285" s="123">
        <f t="shared" si="55"/>
        <v>1205.6695179738563</v>
      </c>
      <c r="P285" s="5"/>
      <c r="Q285" s="5">
        <f t="shared" si="57"/>
        <v>1</v>
      </c>
      <c r="R285" s="7">
        <f t="shared" si="58"/>
        <v>2448</v>
      </c>
      <c r="S285" s="5">
        <f t="shared" si="60"/>
        <v>1</v>
      </c>
      <c r="T285" s="7">
        <f t="shared" si="56"/>
        <v>2448</v>
      </c>
    </row>
    <row r="286" spans="1:20">
      <c r="A286" s="23" t="s">
        <v>314</v>
      </c>
      <c r="B286" s="35" t="s">
        <v>300</v>
      </c>
      <c r="C286" s="36">
        <v>3674</v>
      </c>
      <c r="D286" s="6"/>
      <c r="E286" s="113">
        <v>1463092504</v>
      </c>
      <c r="F286" s="116">
        <f t="shared" si="51"/>
        <v>398228.77082199237</v>
      </c>
      <c r="G286" s="117">
        <v>1162456598</v>
      </c>
      <c r="H286" s="117">
        <f t="shared" si="50"/>
        <v>316400.81600435491</v>
      </c>
      <c r="I286" s="7"/>
      <c r="J286" s="10">
        <v>2.8</v>
      </c>
      <c r="K286" s="117">
        <v>3254878</v>
      </c>
      <c r="L286" s="120">
        <f t="shared" si="61"/>
        <v>885.92215568862275</v>
      </c>
      <c r="M286" s="122">
        <f t="shared" si="53"/>
        <v>11624565.98</v>
      </c>
      <c r="N286" s="116">
        <f t="shared" si="54"/>
        <v>8369687.9800000004</v>
      </c>
      <c r="O286" s="123">
        <f t="shared" si="55"/>
        <v>2278.0860043549264</v>
      </c>
      <c r="P286" s="5"/>
      <c r="Q286" s="5">
        <f t="shared" si="57"/>
        <v>1</v>
      </c>
      <c r="R286" s="7">
        <f t="shared" si="58"/>
        <v>3674</v>
      </c>
      <c r="S286" s="5">
        <f t="shared" si="60"/>
        <v>1</v>
      </c>
      <c r="T286" s="7">
        <f t="shared" si="56"/>
        <v>3674</v>
      </c>
    </row>
    <row r="287" spans="1:20">
      <c r="A287" s="23" t="s">
        <v>315</v>
      </c>
      <c r="B287" s="35" t="s">
        <v>300</v>
      </c>
      <c r="C287" s="36">
        <v>49783</v>
      </c>
      <c r="D287" s="6"/>
      <c r="E287" s="113">
        <v>11143229232</v>
      </c>
      <c r="F287" s="116">
        <f t="shared" si="51"/>
        <v>223836.03302332122</v>
      </c>
      <c r="G287" s="117">
        <v>8495660364</v>
      </c>
      <c r="H287" s="117">
        <f t="shared" si="50"/>
        <v>170653.84496715746</v>
      </c>
      <c r="I287" s="7"/>
      <c r="J287" s="10">
        <v>2.4234</v>
      </c>
      <c r="K287" s="117">
        <v>20588383</v>
      </c>
      <c r="L287" s="120">
        <f t="shared" si="61"/>
        <v>413.56252134262701</v>
      </c>
      <c r="M287" s="122">
        <f t="shared" si="53"/>
        <v>84956603.640000001</v>
      </c>
      <c r="N287" s="116">
        <f t="shared" si="54"/>
        <v>64368220.640000001</v>
      </c>
      <c r="O287" s="123">
        <f t="shared" si="55"/>
        <v>1292.9759283289477</v>
      </c>
      <c r="P287" s="5"/>
      <c r="Q287" s="5">
        <f t="shared" si="57"/>
        <v>1</v>
      </c>
      <c r="R287" s="7">
        <f t="shared" si="58"/>
        <v>49783</v>
      </c>
      <c r="S287" s="5">
        <f t="shared" si="60"/>
        <v>1</v>
      </c>
      <c r="T287" s="7">
        <f t="shared" si="56"/>
        <v>49783</v>
      </c>
    </row>
    <row r="288" spans="1:20">
      <c r="A288" s="23" t="s">
        <v>316</v>
      </c>
      <c r="B288" s="35" t="s">
        <v>300</v>
      </c>
      <c r="C288" s="36">
        <v>370</v>
      </c>
      <c r="D288" s="6"/>
      <c r="E288" s="113">
        <v>342932071</v>
      </c>
      <c r="F288" s="116">
        <f t="shared" si="51"/>
        <v>926843.43513513508</v>
      </c>
      <c r="G288" s="117">
        <v>245748821</v>
      </c>
      <c r="H288" s="117">
        <f t="shared" ref="H288:H351" si="62">(G288/C288)</f>
        <v>664186.00270270265</v>
      </c>
      <c r="I288" s="7"/>
      <c r="J288" s="10">
        <v>3.8271000000000002</v>
      </c>
      <c r="K288" s="117">
        <v>940505</v>
      </c>
      <c r="L288" s="120">
        <f t="shared" si="61"/>
        <v>2541.9054054054054</v>
      </c>
      <c r="M288" s="122">
        <f t="shared" si="53"/>
        <v>2457488.21</v>
      </c>
      <c r="N288" s="116">
        <f t="shared" si="54"/>
        <v>1516983.21</v>
      </c>
      <c r="O288" s="123">
        <f t="shared" si="55"/>
        <v>4099.9546216216213</v>
      </c>
      <c r="P288" s="5"/>
      <c r="Q288" s="5">
        <f t="shared" si="57"/>
        <v>1</v>
      </c>
      <c r="R288" s="7">
        <f t="shared" si="58"/>
        <v>370</v>
      </c>
      <c r="S288" s="5">
        <f t="shared" si="60"/>
        <v>1</v>
      </c>
      <c r="T288" s="7">
        <f t="shared" si="56"/>
        <v>370</v>
      </c>
    </row>
    <row r="289" spans="1:20">
      <c r="A289" s="23" t="s">
        <v>317</v>
      </c>
      <c r="B289" s="35" t="s">
        <v>300</v>
      </c>
      <c r="C289" s="36">
        <v>3427</v>
      </c>
      <c r="D289" s="6"/>
      <c r="E289" s="113">
        <v>423587881</v>
      </c>
      <c r="F289" s="116">
        <f t="shared" ref="F289:F352" si="63">(E289/C289)</f>
        <v>123603.11672016341</v>
      </c>
      <c r="G289" s="117">
        <v>230061052</v>
      </c>
      <c r="H289" s="117">
        <f t="shared" si="62"/>
        <v>67131.908958272543</v>
      </c>
      <c r="I289" s="7"/>
      <c r="J289" s="10">
        <v>5.6277999999999997</v>
      </c>
      <c r="K289" s="117">
        <v>1294738</v>
      </c>
      <c r="L289" s="120">
        <f t="shared" si="61"/>
        <v>377.80507732710828</v>
      </c>
      <c r="M289" s="122">
        <f t="shared" si="53"/>
        <v>2300610.52</v>
      </c>
      <c r="N289" s="116">
        <f t="shared" si="54"/>
        <v>1005872.52</v>
      </c>
      <c r="O289" s="123">
        <f t="shared" si="55"/>
        <v>293.51401225561716</v>
      </c>
      <c r="P289" s="5"/>
      <c r="Q289" s="5">
        <f t="shared" si="57"/>
        <v>1</v>
      </c>
      <c r="R289" s="7">
        <f t="shared" si="58"/>
        <v>3427</v>
      </c>
      <c r="S289" s="5">
        <f t="shared" si="60"/>
        <v>1</v>
      </c>
      <c r="T289" s="7">
        <f t="shared" si="56"/>
        <v>3427</v>
      </c>
    </row>
    <row r="290" spans="1:20">
      <c r="A290" s="23" t="s">
        <v>318</v>
      </c>
      <c r="B290" s="35" t="s">
        <v>300</v>
      </c>
      <c r="C290" s="36">
        <v>9112</v>
      </c>
      <c r="D290" s="6"/>
      <c r="E290" s="113">
        <v>894187872</v>
      </c>
      <c r="F290" s="116">
        <f t="shared" si="63"/>
        <v>98132.99736611062</v>
      </c>
      <c r="G290" s="117">
        <v>680276721</v>
      </c>
      <c r="H290" s="117">
        <f t="shared" si="62"/>
        <v>74657.234525899912</v>
      </c>
      <c r="I290" s="7"/>
      <c r="J290" s="10">
        <v>8.5162999999999993</v>
      </c>
      <c r="K290" s="117">
        <v>5793441</v>
      </c>
      <c r="L290" s="120">
        <f t="shared" si="61"/>
        <v>635.8034460052678</v>
      </c>
      <c r="M290" s="122">
        <f t="shared" si="53"/>
        <v>6802767.21</v>
      </c>
      <c r="N290" s="116">
        <f t="shared" si="54"/>
        <v>1009326.21</v>
      </c>
      <c r="O290" s="123">
        <f t="shared" si="55"/>
        <v>110.76889925373133</v>
      </c>
      <c r="P290" s="5"/>
      <c r="Q290" s="5">
        <f t="shared" si="57"/>
        <v>1</v>
      </c>
      <c r="R290" s="7">
        <f t="shared" si="58"/>
        <v>9112</v>
      </c>
      <c r="S290" s="5">
        <f t="shared" si="60"/>
        <v>1</v>
      </c>
      <c r="T290" s="7">
        <f t="shared" si="56"/>
        <v>9112</v>
      </c>
    </row>
    <row r="291" spans="1:20">
      <c r="A291" s="24" t="s">
        <v>628</v>
      </c>
      <c r="B291" s="35" t="s">
        <v>300</v>
      </c>
      <c r="C291" s="36">
        <v>36725</v>
      </c>
      <c r="D291" s="6"/>
      <c r="E291" s="113">
        <v>2980717951</v>
      </c>
      <c r="F291" s="116">
        <f t="shared" si="63"/>
        <v>81163.184506466991</v>
      </c>
      <c r="G291" s="117">
        <v>1945855615</v>
      </c>
      <c r="H291" s="117">
        <f t="shared" si="62"/>
        <v>52984.495983662353</v>
      </c>
      <c r="I291" s="7"/>
      <c r="J291" s="10">
        <v>7.65</v>
      </c>
      <c r="K291" s="117">
        <v>14885795</v>
      </c>
      <c r="L291" s="120">
        <f t="shared" si="61"/>
        <v>405.33138189244386</v>
      </c>
      <c r="M291" s="122">
        <f t="shared" si="53"/>
        <v>19458556.150000002</v>
      </c>
      <c r="N291" s="116">
        <f t="shared" si="54"/>
        <v>4572761.1500000022</v>
      </c>
      <c r="O291" s="123">
        <f t="shared" si="55"/>
        <v>124.51357794417977</v>
      </c>
      <c r="P291" s="5"/>
      <c r="Q291" s="5">
        <f t="shared" si="57"/>
        <v>1</v>
      </c>
      <c r="R291" s="7">
        <f t="shared" si="58"/>
        <v>36725</v>
      </c>
      <c r="S291" s="5">
        <f t="shared" si="60"/>
        <v>1</v>
      </c>
      <c r="T291" s="7">
        <f t="shared" si="56"/>
        <v>36725</v>
      </c>
    </row>
    <row r="292" spans="1:20">
      <c r="A292" s="23" t="s">
        <v>319</v>
      </c>
      <c r="B292" s="35" t="s">
        <v>300</v>
      </c>
      <c r="C292" s="36">
        <v>9850</v>
      </c>
      <c r="D292" s="6"/>
      <c r="E292" s="113">
        <v>1489397101</v>
      </c>
      <c r="F292" s="116">
        <f t="shared" si="63"/>
        <v>151207.82751269036</v>
      </c>
      <c r="G292" s="117">
        <v>1009349954</v>
      </c>
      <c r="H292" s="117">
        <f t="shared" si="62"/>
        <v>102472.07654822335</v>
      </c>
      <c r="I292" s="7"/>
      <c r="J292" s="10">
        <v>3.2395</v>
      </c>
      <c r="K292" s="117">
        <v>3269789</v>
      </c>
      <c r="L292" s="120">
        <f t="shared" si="61"/>
        <v>331.95827411167511</v>
      </c>
      <c r="M292" s="122">
        <f t="shared" si="53"/>
        <v>10093499.540000001</v>
      </c>
      <c r="N292" s="116">
        <f t="shared" si="54"/>
        <v>6823710.540000001</v>
      </c>
      <c r="O292" s="123">
        <f t="shared" si="55"/>
        <v>692.76249137055845</v>
      </c>
      <c r="P292" s="5"/>
      <c r="Q292" s="5">
        <f t="shared" si="57"/>
        <v>1</v>
      </c>
      <c r="R292" s="7">
        <f t="shared" si="58"/>
        <v>9850</v>
      </c>
      <c r="S292" s="5">
        <f t="shared" si="60"/>
        <v>1</v>
      </c>
      <c r="T292" s="7">
        <f t="shared" si="56"/>
        <v>9850</v>
      </c>
    </row>
    <row r="293" spans="1:20">
      <c r="A293" s="23" t="s">
        <v>531</v>
      </c>
      <c r="B293" s="35" t="s">
        <v>300</v>
      </c>
      <c r="C293" s="36">
        <v>3232</v>
      </c>
      <c r="D293" s="6"/>
      <c r="E293" s="113">
        <v>658736837</v>
      </c>
      <c r="F293" s="116">
        <f t="shared" si="63"/>
        <v>203817.09065594058</v>
      </c>
      <c r="G293" s="117">
        <v>307358962</v>
      </c>
      <c r="H293" s="117">
        <f t="shared" si="62"/>
        <v>95098.688737623757</v>
      </c>
      <c r="I293" s="9"/>
      <c r="J293" s="10">
        <v>1.5</v>
      </c>
      <c r="K293" s="117">
        <v>461038</v>
      </c>
      <c r="L293" s="120">
        <f t="shared" si="61"/>
        <v>142.64789603960395</v>
      </c>
      <c r="M293" s="122">
        <f t="shared" si="53"/>
        <v>3073589.62</v>
      </c>
      <c r="N293" s="116">
        <f t="shared" si="54"/>
        <v>2612551.62</v>
      </c>
      <c r="O293" s="123">
        <f t="shared" si="55"/>
        <v>808.33899133663374</v>
      </c>
      <c r="P293" s="5"/>
      <c r="Q293" s="5">
        <f t="shared" si="57"/>
        <v>1</v>
      </c>
      <c r="R293" s="7">
        <f t="shared" si="58"/>
        <v>3232</v>
      </c>
      <c r="S293" s="5">
        <f>IF(J293&gt;0,1,0)</f>
        <v>1</v>
      </c>
      <c r="T293" s="7">
        <f t="shared" si="56"/>
        <v>3232</v>
      </c>
    </row>
    <row r="294" spans="1:20">
      <c r="A294" s="23" t="s">
        <v>320</v>
      </c>
      <c r="B294" s="35" t="s">
        <v>300</v>
      </c>
      <c r="C294" s="36">
        <v>354</v>
      </c>
      <c r="D294" s="6"/>
      <c r="E294" s="113">
        <v>1065202898</v>
      </c>
      <c r="F294" s="116">
        <f t="shared" si="63"/>
        <v>3009047.7344632768</v>
      </c>
      <c r="G294" s="117">
        <v>972272306</v>
      </c>
      <c r="H294" s="117">
        <f t="shared" si="62"/>
        <v>2746531.9378531072</v>
      </c>
      <c r="I294" s="7"/>
      <c r="J294" s="10">
        <v>2.9079999999999999</v>
      </c>
      <c r="K294" s="117">
        <v>2827368</v>
      </c>
      <c r="L294" s="120">
        <f t="shared" si="61"/>
        <v>7986.9152542372885</v>
      </c>
      <c r="M294" s="122">
        <f t="shared" si="53"/>
        <v>9722723.0600000005</v>
      </c>
      <c r="N294" s="116">
        <f t="shared" si="54"/>
        <v>6895355.0600000005</v>
      </c>
      <c r="O294" s="123">
        <f t="shared" si="55"/>
        <v>19478.404124293786</v>
      </c>
      <c r="P294" s="5"/>
      <c r="Q294" s="5">
        <f t="shared" si="57"/>
        <v>1</v>
      </c>
      <c r="R294" s="7">
        <f t="shared" si="58"/>
        <v>354</v>
      </c>
      <c r="S294" s="5">
        <f t="shared" si="60"/>
        <v>1</v>
      </c>
      <c r="T294" s="7">
        <f t="shared" si="56"/>
        <v>354</v>
      </c>
    </row>
    <row r="295" spans="1:20">
      <c r="A295" s="23" t="s">
        <v>321</v>
      </c>
      <c r="B295" s="35" t="s">
        <v>300</v>
      </c>
      <c r="C295" s="36">
        <v>2223</v>
      </c>
      <c r="D295" s="6"/>
      <c r="E295" s="113">
        <v>253459832</v>
      </c>
      <c r="F295" s="116">
        <f t="shared" si="63"/>
        <v>114017.01844354476</v>
      </c>
      <c r="G295" s="117">
        <v>212357868</v>
      </c>
      <c r="H295" s="117">
        <f t="shared" si="62"/>
        <v>95527.605937921733</v>
      </c>
      <c r="I295" s="7"/>
      <c r="J295" s="10">
        <v>9.8000000000000007</v>
      </c>
      <c r="K295" s="117">
        <v>2081107</v>
      </c>
      <c r="L295" s="120">
        <f t="shared" si="61"/>
        <v>936.17049032838509</v>
      </c>
      <c r="M295" s="122">
        <f t="shared" si="53"/>
        <v>2123578.6800000002</v>
      </c>
      <c r="N295" s="116">
        <f t="shared" si="54"/>
        <v>42471.680000000168</v>
      </c>
      <c r="O295" s="123">
        <f t="shared" si="55"/>
        <v>19.105569050832283</v>
      </c>
      <c r="P295" s="5"/>
      <c r="Q295" s="5">
        <f t="shared" si="57"/>
        <v>1</v>
      </c>
      <c r="R295" s="7">
        <f t="shared" si="58"/>
        <v>2223</v>
      </c>
      <c r="S295" s="5">
        <f t="shared" si="60"/>
        <v>1</v>
      </c>
      <c r="T295" s="7">
        <f t="shared" si="56"/>
        <v>2223</v>
      </c>
    </row>
    <row r="296" spans="1:20">
      <c r="A296" s="23" t="s">
        <v>322</v>
      </c>
      <c r="B296" s="35" t="s">
        <v>300</v>
      </c>
      <c r="C296" s="36">
        <v>12530</v>
      </c>
      <c r="D296" s="6"/>
      <c r="E296" s="113">
        <v>2677835860</v>
      </c>
      <c r="F296" s="116">
        <f t="shared" si="63"/>
        <v>213713.95530726257</v>
      </c>
      <c r="G296" s="117">
        <v>1842024582</v>
      </c>
      <c r="H296" s="117">
        <f t="shared" si="62"/>
        <v>147009.14461292897</v>
      </c>
      <c r="I296" s="7"/>
      <c r="J296" s="10">
        <v>6.6977000000000002</v>
      </c>
      <c r="K296" s="117">
        <v>12337328</v>
      </c>
      <c r="L296" s="120">
        <f t="shared" si="61"/>
        <v>984.62314445331208</v>
      </c>
      <c r="M296" s="122">
        <f t="shared" si="53"/>
        <v>18420245.82</v>
      </c>
      <c r="N296" s="116">
        <f t="shared" si="54"/>
        <v>6082917.8200000003</v>
      </c>
      <c r="O296" s="123">
        <f t="shared" si="55"/>
        <v>485.46830167597767</v>
      </c>
      <c r="P296" s="5"/>
      <c r="Q296" s="5">
        <f t="shared" si="57"/>
        <v>1</v>
      </c>
      <c r="R296" s="7">
        <f t="shared" si="58"/>
        <v>12530</v>
      </c>
      <c r="S296" s="5">
        <f t="shared" si="60"/>
        <v>1</v>
      </c>
      <c r="T296" s="7">
        <f t="shared" si="56"/>
        <v>12530</v>
      </c>
    </row>
    <row r="297" spans="1:20">
      <c r="A297" s="23" t="s">
        <v>323</v>
      </c>
      <c r="B297" s="35" t="s">
        <v>300</v>
      </c>
      <c r="C297" s="36">
        <v>1630</v>
      </c>
      <c r="D297" s="6"/>
      <c r="E297" s="113">
        <v>1078139487</v>
      </c>
      <c r="F297" s="116">
        <f t="shared" si="63"/>
        <v>661435.26809815946</v>
      </c>
      <c r="G297" s="117">
        <v>838800890</v>
      </c>
      <c r="H297" s="117">
        <f t="shared" si="62"/>
        <v>514601.77300613496</v>
      </c>
      <c r="I297" s="7"/>
      <c r="J297" s="10">
        <v>5.15</v>
      </c>
      <c r="K297" s="117">
        <v>4319825</v>
      </c>
      <c r="L297" s="120">
        <f t="shared" si="61"/>
        <v>2650.1993865030677</v>
      </c>
      <c r="M297" s="122">
        <f t="shared" si="53"/>
        <v>8388008.9000000004</v>
      </c>
      <c r="N297" s="116">
        <f t="shared" si="54"/>
        <v>4068183.9000000004</v>
      </c>
      <c r="O297" s="123">
        <f t="shared" si="55"/>
        <v>2495.8183435582823</v>
      </c>
      <c r="P297" s="5"/>
      <c r="Q297" s="5">
        <f t="shared" si="57"/>
        <v>1</v>
      </c>
      <c r="R297" s="7">
        <f t="shared" si="58"/>
        <v>1630</v>
      </c>
      <c r="S297" s="5">
        <f t="shared" si="60"/>
        <v>1</v>
      </c>
      <c r="T297" s="7">
        <f t="shared" si="56"/>
        <v>1630</v>
      </c>
    </row>
    <row r="298" spans="1:20">
      <c r="A298" s="23" t="s">
        <v>324</v>
      </c>
      <c r="B298" s="35" t="s">
        <v>300</v>
      </c>
      <c r="C298" s="36">
        <v>6352</v>
      </c>
      <c r="D298" s="6"/>
      <c r="E298" s="113">
        <v>230404784</v>
      </c>
      <c r="F298" s="116">
        <f t="shared" si="63"/>
        <v>36272.793450881611</v>
      </c>
      <c r="G298" s="117">
        <v>94734488</v>
      </c>
      <c r="H298" s="117">
        <f t="shared" si="62"/>
        <v>14914.119647355164</v>
      </c>
      <c r="I298" s="9"/>
      <c r="J298" s="10">
        <v>7.05</v>
      </c>
      <c r="K298" s="117">
        <v>667878</v>
      </c>
      <c r="L298" s="120">
        <f t="shared" si="61"/>
        <v>105.14452141057934</v>
      </c>
      <c r="M298" s="122">
        <f t="shared" si="53"/>
        <v>947344.88</v>
      </c>
      <c r="N298" s="116">
        <f t="shared" si="54"/>
        <v>279466.88</v>
      </c>
      <c r="O298" s="123">
        <f t="shared" si="55"/>
        <v>43.996675062972294</v>
      </c>
      <c r="P298" s="5"/>
      <c r="Q298" s="5">
        <f t="shared" si="57"/>
        <v>1</v>
      </c>
      <c r="R298" s="7">
        <f t="shared" si="58"/>
        <v>6352</v>
      </c>
      <c r="S298" s="5">
        <f t="shared" si="60"/>
        <v>1</v>
      </c>
      <c r="T298" s="7">
        <f t="shared" si="56"/>
        <v>6352</v>
      </c>
    </row>
    <row r="299" spans="1:20">
      <c r="A299" s="23" t="s">
        <v>300</v>
      </c>
      <c r="B299" s="35" t="s">
        <v>300</v>
      </c>
      <c r="C299" s="36">
        <v>9797</v>
      </c>
      <c r="D299" s="6"/>
      <c r="E299" s="113">
        <v>18062869095</v>
      </c>
      <c r="F299" s="116">
        <f t="shared" si="63"/>
        <v>1843714.3099928549</v>
      </c>
      <c r="G299" s="117">
        <v>13684919443</v>
      </c>
      <c r="H299" s="117">
        <f t="shared" si="62"/>
        <v>1396847.957844238</v>
      </c>
      <c r="I299" s="7"/>
      <c r="J299" s="10">
        <v>3.2511999999999999</v>
      </c>
      <c r="K299" s="117">
        <v>44492410</v>
      </c>
      <c r="L299" s="120">
        <f t="shared" si="61"/>
        <v>4541.4320710421562</v>
      </c>
      <c r="M299" s="122">
        <f t="shared" si="53"/>
        <v>136849194.43000001</v>
      </c>
      <c r="N299" s="116">
        <f t="shared" si="54"/>
        <v>92356784.430000007</v>
      </c>
      <c r="O299" s="123">
        <f t="shared" si="55"/>
        <v>9427.0475074002261</v>
      </c>
      <c r="P299" s="5"/>
      <c r="Q299" s="5">
        <f t="shared" si="57"/>
        <v>1</v>
      </c>
      <c r="R299" s="7">
        <f t="shared" si="58"/>
        <v>9797</v>
      </c>
      <c r="S299" s="5">
        <f t="shared" si="60"/>
        <v>1</v>
      </c>
      <c r="T299" s="7">
        <f t="shared" si="56"/>
        <v>9797</v>
      </c>
    </row>
    <row r="300" spans="1:20">
      <c r="A300" s="23" t="s">
        <v>325</v>
      </c>
      <c r="B300" s="35" t="s">
        <v>300</v>
      </c>
      <c r="C300" s="36">
        <v>50282</v>
      </c>
      <c r="D300" s="6"/>
      <c r="E300" s="113">
        <v>12038967379</v>
      </c>
      <c r="F300" s="116">
        <f t="shared" si="63"/>
        <v>239428.96819935564</v>
      </c>
      <c r="G300" s="117">
        <v>9637791121</v>
      </c>
      <c r="H300" s="117">
        <f t="shared" si="62"/>
        <v>191674.77667952745</v>
      </c>
      <c r="I300" s="7"/>
      <c r="J300" s="10">
        <v>5.25</v>
      </c>
      <c r="K300" s="117">
        <v>50598403</v>
      </c>
      <c r="L300" s="120">
        <f t="shared" si="61"/>
        <v>1006.2925699057316</v>
      </c>
      <c r="M300" s="122">
        <f t="shared" si="53"/>
        <v>96377911.210000008</v>
      </c>
      <c r="N300" s="116">
        <f t="shared" si="54"/>
        <v>45779508.210000008</v>
      </c>
      <c r="O300" s="123">
        <f t="shared" si="55"/>
        <v>910.45519688954312</v>
      </c>
      <c r="P300" s="5"/>
      <c r="Q300" s="5">
        <f t="shared" si="57"/>
        <v>1</v>
      </c>
      <c r="R300" s="7">
        <f t="shared" si="58"/>
        <v>50282</v>
      </c>
      <c r="S300" s="5">
        <f t="shared" si="60"/>
        <v>1</v>
      </c>
      <c r="T300" s="7">
        <f t="shared" si="56"/>
        <v>50282</v>
      </c>
    </row>
    <row r="301" spans="1:20">
      <c r="A301" s="23" t="s">
        <v>326</v>
      </c>
      <c r="B301" s="35" t="s">
        <v>300</v>
      </c>
      <c r="C301" s="36">
        <v>1418</v>
      </c>
      <c r="D301" s="6"/>
      <c r="E301" s="113">
        <v>683441590</v>
      </c>
      <c r="F301" s="116">
        <f t="shared" si="63"/>
        <v>481975.73342736246</v>
      </c>
      <c r="G301" s="117">
        <v>601434387</v>
      </c>
      <c r="H301" s="117">
        <f t="shared" si="62"/>
        <v>424142.72708039492</v>
      </c>
      <c r="I301" s="7"/>
      <c r="J301" s="10">
        <v>5.742</v>
      </c>
      <c r="K301" s="117">
        <v>3453436</v>
      </c>
      <c r="L301" s="120">
        <f t="shared" si="61"/>
        <v>2435.4273624823695</v>
      </c>
      <c r="M301" s="122">
        <f t="shared" si="53"/>
        <v>6014343.8700000001</v>
      </c>
      <c r="N301" s="116">
        <f t="shared" si="54"/>
        <v>2560907.87</v>
      </c>
      <c r="O301" s="123">
        <f t="shared" si="55"/>
        <v>1805.9999083215798</v>
      </c>
      <c r="P301" s="5"/>
      <c r="Q301" s="5">
        <f t="shared" si="57"/>
        <v>1</v>
      </c>
      <c r="R301" s="7">
        <f t="shared" si="58"/>
        <v>1418</v>
      </c>
      <c r="S301" s="5">
        <f t="shared" si="60"/>
        <v>1</v>
      </c>
      <c r="T301" s="7">
        <f t="shared" si="56"/>
        <v>1418</v>
      </c>
    </row>
    <row r="302" spans="1:20">
      <c r="A302" s="23" t="s">
        <v>327</v>
      </c>
      <c r="B302" s="35" t="s">
        <v>300</v>
      </c>
      <c r="C302" s="36">
        <v>15500</v>
      </c>
      <c r="D302" s="6"/>
      <c r="E302" s="113">
        <v>1341587659</v>
      </c>
      <c r="F302" s="116">
        <f t="shared" si="63"/>
        <v>86554.042516129033</v>
      </c>
      <c r="G302" s="117">
        <v>864384157</v>
      </c>
      <c r="H302" s="117">
        <f t="shared" si="62"/>
        <v>55766.719806451612</v>
      </c>
      <c r="I302" s="7"/>
      <c r="J302" s="10">
        <v>4.3320999999999996</v>
      </c>
      <c r="K302" s="117">
        <v>3744599</v>
      </c>
      <c r="L302" s="120">
        <f t="shared" si="61"/>
        <v>241.58703225806451</v>
      </c>
      <c r="M302" s="122">
        <f t="shared" si="53"/>
        <v>8643841.5700000003</v>
      </c>
      <c r="N302" s="116">
        <f t="shared" si="54"/>
        <v>4899242.57</v>
      </c>
      <c r="O302" s="123">
        <f t="shared" si="55"/>
        <v>316.08016580645165</v>
      </c>
      <c r="P302" s="5"/>
      <c r="Q302" s="5">
        <f t="shared" si="57"/>
        <v>1</v>
      </c>
      <c r="R302" s="7">
        <f t="shared" si="58"/>
        <v>15500</v>
      </c>
      <c r="S302" s="5">
        <f t="shared" si="60"/>
        <v>1</v>
      </c>
      <c r="T302" s="7">
        <f t="shared" si="56"/>
        <v>15500</v>
      </c>
    </row>
    <row r="303" spans="1:20">
      <c r="A303" s="23" t="s">
        <v>328</v>
      </c>
      <c r="B303" s="35" t="s">
        <v>300</v>
      </c>
      <c r="C303" s="36">
        <v>35150</v>
      </c>
      <c r="D303" s="6"/>
      <c r="E303" s="113">
        <v>5349607669</v>
      </c>
      <c r="F303" s="116">
        <f t="shared" si="63"/>
        <v>152193.67479374111</v>
      </c>
      <c r="G303" s="117">
        <v>4001408385</v>
      </c>
      <c r="H303" s="117">
        <f t="shared" si="62"/>
        <v>113838.07638691324</v>
      </c>
      <c r="I303" s="7"/>
      <c r="J303" s="10">
        <v>8.4260000000000002</v>
      </c>
      <c r="K303" s="117">
        <v>33715867</v>
      </c>
      <c r="L303" s="120">
        <f t="shared" si="61"/>
        <v>959.19963015647227</v>
      </c>
      <c r="M303" s="122">
        <f t="shared" si="53"/>
        <v>40014083.850000001</v>
      </c>
      <c r="N303" s="116">
        <f t="shared" si="54"/>
        <v>6298216.8500000015</v>
      </c>
      <c r="O303" s="123">
        <f t="shared" si="55"/>
        <v>179.18113371266008</v>
      </c>
      <c r="P303" s="5"/>
      <c r="Q303" s="5">
        <f t="shared" si="57"/>
        <v>1</v>
      </c>
      <c r="R303" s="7">
        <f t="shared" si="58"/>
        <v>35150</v>
      </c>
      <c r="S303" s="5">
        <f t="shared" si="60"/>
        <v>1</v>
      </c>
      <c r="T303" s="7">
        <f t="shared" si="56"/>
        <v>35150</v>
      </c>
    </row>
    <row r="304" spans="1:20">
      <c r="A304" s="23" t="s">
        <v>329</v>
      </c>
      <c r="B304" s="35" t="s">
        <v>300</v>
      </c>
      <c r="C304" s="36">
        <v>31567</v>
      </c>
      <c r="D304" s="6"/>
      <c r="E304" s="113">
        <v>3748704643</v>
      </c>
      <c r="F304" s="116">
        <f t="shared" si="63"/>
        <v>118753.9089238762</v>
      </c>
      <c r="G304" s="117">
        <v>2591180925</v>
      </c>
      <c r="H304" s="117">
        <f t="shared" si="62"/>
        <v>82085.118161371051</v>
      </c>
      <c r="I304" s="7"/>
      <c r="J304" s="10">
        <v>1.97</v>
      </c>
      <c r="K304" s="117">
        <v>5104626</v>
      </c>
      <c r="L304" s="120">
        <f t="shared" si="61"/>
        <v>161.70766940159027</v>
      </c>
      <c r="M304" s="122">
        <f t="shared" si="53"/>
        <v>25911809.25</v>
      </c>
      <c r="N304" s="116">
        <f t="shared" si="54"/>
        <v>20807183.25</v>
      </c>
      <c r="O304" s="123">
        <f t="shared" si="55"/>
        <v>659.1435122121203</v>
      </c>
      <c r="P304" s="5"/>
      <c r="Q304" s="5">
        <f t="shared" si="57"/>
        <v>1</v>
      </c>
      <c r="R304" s="7">
        <f t="shared" si="58"/>
        <v>31567</v>
      </c>
      <c r="S304" s="5">
        <f t="shared" si="60"/>
        <v>1</v>
      </c>
      <c r="T304" s="7">
        <f t="shared" si="56"/>
        <v>31567</v>
      </c>
    </row>
    <row r="305" spans="1:20">
      <c r="A305" s="23" t="s">
        <v>330</v>
      </c>
      <c r="B305" s="35" t="s">
        <v>300</v>
      </c>
      <c r="C305" s="36">
        <v>4702</v>
      </c>
      <c r="D305" s="6"/>
      <c r="E305" s="113">
        <v>176437992</v>
      </c>
      <c r="F305" s="116">
        <f t="shared" si="63"/>
        <v>37524.030625265841</v>
      </c>
      <c r="G305" s="117">
        <v>62715040</v>
      </c>
      <c r="H305" s="117">
        <f t="shared" si="62"/>
        <v>13337.949808592088</v>
      </c>
      <c r="I305" s="7"/>
      <c r="J305" s="10">
        <v>6.3089000000000004</v>
      </c>
      <c r="K305" s="117">
        <v>395663</v>
      </c>
      <c r="L305" s="120">
        <f t="shared" si="61"/>
        <v>84.147809442790305</v>
      </c>
      <c r="M305" s="122">
        <f t="shared" si="53"/>
        <v>627150.4</v>
      </c>
      <c r="N305" s="116">
        <f t="shared" si="54"/>
        <v>231487.40000000002</v>
      </c>
      <c r="O305" s="123">
        <f t="shared" si="55"/>
        <v>49.231688643130589</v>
      </c>
      <c r="P305" s="5"/>
      <c r="Q305" s="5">
        <f t="shared" si="57"/>
        <v>1</v>
      </c>
      <c r="R305" s="7">
        <f t="shared" si="58"/>
        <v>4702</v>
      </c>
      <c r="S305" s="5">
        <f t="shared" si="60"/>
        <v>1</v>
      </c>
      <c r="T305" s="7">
        <f t="shared" si="56"/>
        <v>4702</v>
      </c>
    </row>
    <row r="306" spans="1:20">
      <c r="A306" s="23" t="s">
        <v>331</v>
      </c>
      <c r="B306" s="35" t="s">
        <v>300</v>
      </c>
      <c r="C306" s="36">
        <v>1522</v>
      </c>
      <c r="D306" s="6"/>
      <c r="E306" s="113">
        <v>473054794</v>
      </c>
      <c r="F306" s="116">
        <f t="shared" si="63"/>
        <v>310811.29697766097</v>
      </c>
      <c r="G306" s="117">
        <v>371739766</v>
      </c>
      <c r="H306" s="117">
        <f t="shared" si="62"/>
        <v>244244.26149802891</v>
      </c>
      <c r="I306" s="7"/>
      <c r="J306" s="10">
        <v>6.5694999999999997</v>
      </c>
      <c r="K306" s="117">
        <v>2442144</v>
      </c>
      <c r="L306" s="120">
        <f t="shared" si="61"/>
        <v>1604.5624178712221</v>
      </c>
      <c r="M306" s="122">
        <f t="shared" si="53"/>
        <v>3717397.66</v>
      </c>
      <c r="N306" s="116">
        <f t="shared" si="54"/>
        <v>1275253.6600000001</v>
      </c>
      <c r="O306" s="123">
        <f t="shared" si="55"/>
        <v>837.88019710906713</v>
      </c>
      <c r="P306" s="5"/>
      <c r="Q306" s="5">
        <f t="shared" si="57"/>
        <v>1</v>
      </c>
      <c r="R306" s="7">
        <f t="shared" si="58"/>
        <v>1522</v>
      </c>
      <c r="S306" s="5">
        <f t="shared" si="60"/>
        <v>1</v>
      </c>
      <c r="T306" s="7">
        <f t="shared" si="56"/>
        <v>1522</v>
      </c>
    </row>
    <row r="307" spans="1:20">
      <c r="A307" s="23" t="s">
        <v>332</v>
      </c>
      <c r="B307" s="35" t="s">
        <v>300</v>
      </c>
      <c r="C307" s="36">
        <v>5898</v>
      </c>
      <c r="D307" s="6"/>
      <c r="E307" s="113">
        <v>1290818845</v>
      </c>
      <c r="F307" s="116">
        <f t="shared" si="63"/>
        <v>218857.04391319092</v>
      </c>
      <c r="G307" s="117">
        <v>926207036</v>
      </c>
      <c r="H307" s="117">
        <f t="shared" si="62"/>
        <v>157037.47643268906</v>
      </c>
      <c r="I307" s="7"/>
      <c r="J307" s="10">
        <v>5.7671000000000001</v>
      </c>
      <c r="K307" s="117">
        <v>5341529</v>
      </c>
      <c r="L307" s="120">
        <f t="shared" si="61"/>
        <v>905.65089860969817</v>
      </c>
      <c r="M307" s="122">
        <f t="shared" si="53"/>
        <v>9262070.3599999994</v>
      </c>
      <c r="N307" s="116">
        <f t="shared" si="54"/>
        <v>3920541.3599999994</v>
      </c>
      <c r="O307" s="123">
        <f t="shared" si="55"/>
        <v>664.72386571719221</v>
      </c>
      <c r="P307" s="5"/>
      <c r="Q307" s="5">
        <f t="shared" si="57"/>
        <v>1</v>
      </c>
      <c r="R307" s="7">
        <f t="shared" si="58"/>
        <v>5898</v>
      </c>
      <c r="S307" s="5">
        <f t="shared" si="60"/>
        <v>1</v>
      </c>
      <c r="T307" s="7">
        <f t="shared" si="56"/>
        <v>5898</v>
      </c>
    </row>
    <row r="308" spans="1:20">
      <c r="A308" s="23" t="s">
        <v>333</v>
      </c>
      <c r="B308" s="35" t="s">
        <v>300</v>
      </c>
      <c r="C308" s="36">
        <v>55076</v>
      </c>
      <c r="D308" s="6"/>
      <c r="E308" s="113">
        <v>9896688237</v>
      </c>
      <c r="F308" s="116">
        <f t="shared" si="63"/>
        <v>179691.4851659525</v>
      </c>
      <c r="G308" s="117">
        <v>7155814731</v>
      </c>
      <c r="H308" s="117">
        <f t="shared" si="62"/>
        <v>129926.1880129276</v>
      </c>
      <c r="I308" s="7"/>
      <c r="J308" s="10">
        <v>2.34</v>
      </c>
      <c r="K308" s="117">
        <v>16744606</v>
      </c>
      <c r="L308" s="120">
        <f t="shared" si="61"/>
        <v>304.02727140678337</v>
      </c>
      <c r="M308" s="122">
        <f t="shared" si="53"/>
        <v>71558147.310000002</v>
      </c>
      <c r="N308" s="116">
        <f t="shared" si="54"/>
        <v>54813541.310000002</v>
      </c>
      <c r="O308" s="123">
        <f t="shared" si="55"/>
        <v>995.23460872249257</v>
      </c>
      <c r="P308" s="5"/>
      <c r="Q308" s="5">
        <f t="shared" si="57"/>
        <v>1</v>
      </c>
      <c r="R308" s="7">
        <f t="shared" si="58"/>
        <v>55076</v>
      </c>
      <c r="S308" s="5">
        <f t="shared" si="60"/>
        <v>1</v>
      </c>
      <c r="T308" s="7">
        <f t="shared" si="56"/>
        <v>55076</v>
      </c>
    </row>
    <row r="309" spans="1:20">
      <c r="A309" s="23" t="s">
        <v>334</v>
      </c>
      <c r="B309" s="35" t="s">
        <v>300</v>
      </c>
      <c r="C309" s="36">
        <v>103663</v>
      </c>
      <c r="D309" s="6"/>
      <c r="E309" s="113">
        <v>16446254657</v>
      </c>
      <c r="F309" s="116">
        <f t="shared" si="63"/>
        <v>158651.15477074753</v>
      </c>
      <c r="G309" s="117">
        <v>11791806949</v>
      </c>
      <c r="H309" s="117">
        <f t="shared" si="62"/>
        <v>113751.35727308683</v>
      </c>
      <c r="I309" s="7"/>
      <c r="J309" s="10">
        <v>7.55</v>
      </c>
      <c r="K309" s="117">
        <v>89028142</v>
      </c>
      <c r="L309" s="120">
        <f t="shared" si="61"/>
        <v>858.82274292659872</v>
      </c>
      <c r="M309" s="122">
        <f t="shared" si="53"/>
        <v>117918069.49000001</v>
      </c>
      <c r="N309" s="116">
        <f t="shared" si="54"/>
        <v>28889927.49000001</v>
      </c>
      <c r="O309" s="123">
        <f t="shared" si="55"/>
        <v>278.6908298042697</v>
      </c>
      <c r="P309" s="5"/>
      <c r="Q309" s="5">
        <f t="shared" si="57"/>
        <v>1</v>
      </c>
      <c r="R309" s="7">
        <f t="shared" si="58"/>
        <v>103663</v>
      </c>
      <c r="S309" s="5">
        <f t="shared" si="60"/>
        <v>1</v>
      </c>
      <c r="T309" s="7">
        <f t="shared" si="56"/>
        <v>103663</v>
      </c>
    </row>
    <row r="310" spans="1:20">
      <c r="A310" s="23" t="s">
        <v>335</v>
      </c>
      <c r="B310" s="35" t="s">
        <v>336</v>
      </c>
      <c r="C310" s="36">
        <v>6995</v>
      </c>
      <c r="D310" s="6"/>
      <c r="E310" s="113">
        <v>663489372</v>
      </c>
      <c r="F310" s="116">
        <f t="shared" si="63"/>
        <v>94851.947390993562</v>
      </c>
      <c r="G310" s="117">
        <v>317875629</v>
      </c>
      <c r="H310" s="117">
        <f t="shared" si="62"/>
        <v>45443.26361686919</v>
      </c>
      <c r="I310" s="7"/>
      <c r="J310" s="10">
        <v>7.1040000000000001</v>
      </c>
      <c r="K310" s="117">
        <v>2258188</v>
      </c>
      <c r="L310" s="120">
        <f t="shared" si="61"/>
        <v>322.82887776983557</v>
      </c>
      <c r="M310" s="122">
        <f t="shared" si="53"/>
        <v>3178756.29</v>
      </c>
      <c r="N310" s="116">
        <f t="shared" si="54"/>
        <v>920568.29</v>
      </c>
      <c r="O310" s="123">
        <f t="shared" si="55"/>
        <v>131.60375839885634</v>
      </c>
      <c r="P310" s="5"/>
      <c r="Q310" s="5">
        <f t="shared" si="57"/>
        <v>1</v>
      </c>
      <c r="R310" s="7">
        <f t="shared" si="58"/>
        <v>6995</v>
      </c>
      <c r="S310" s="5">
        <f t="shared" si="60"/>
        <v>1</v>
      </c>
      <c r="T310" s="7">
        <f t="shared" si="56"/>
        <v>6995</v>
      </c>
    </row>
    <row r="311" spans="1:20">
      <c r="A311" s="23" t="s">
        <v>337</v>
      </c>
      <c r="B311" s="35" t="s">
        <v>336</v>
      </c>
      <c r="C311" s="36">
        <v>16604</v>
      </c>
      <c r="D311" s="6"/>
      <c r="E311" s="113">
        <v>1286196946</v>
      </c>
      <c r="F311" s="116">
        <f t="shared" si="63"/>
        <v>77463.07793302818</v>
      </c>
      <c r="G311" s="117">
        <v>830610244</v>
      </c>
      <c r="H311" s="117">
        <f t="shared" si="62"/>
        <v>50024.707540351723</v>
      </c>
      <c r="I311" s="7"/>
      <c r="J311" s="10">
        <v>6.6273999999999997</v>
      </c>
      <c r="K311" s="117">
        <v>5504786</v>
      </c>
      <c r="L311" s="120">
        <f t="shared" si="61"/>
        <v>331.53372681281621</v>
      </c>
      <c r="M311" s="122">
        <f t="shared" si="53"/>
        <v>8306102.4400000004</v>
      </c>
      <c r="N311" s="116">
        <f t="shared" si="54"/>
        <v>2801316.4400000004</v>
      </c>
      <c r="O311" s="123">
        <f t="shared" si="55"/>
        <v>168.71334859070106</v>
      </c>
      <c r="P311" s="5"/>
      <c r="Q311" s="5">
        <f t="shared" si="57"/>
        <v>1</v>
      </c>
      <c r="R311" s="7">
        <f t="shared" si="58"/>
        <v>16604</v>
      </c>
      <c r="S311" s="5">
        <f t="shared" si="60"/>
        <v>1</v>
      </c>
      <c r="T311" s="7">
        <f t="shared" si="56"/>
        <v>16604</v>
      </c>
    </row>
    <row r="312" spans="1:20">
      <c r="A312" s="23" t="s">
        <v>338</v>
      </c>
      <c r="B312" s="35" t="s">
        <v>336</v>
      </c>
      <c r="C312" s="36">
        <v>3137</v>
      </c>
      <c r="D312" s="6"/>
      <c r="E312" s="113">
        <v>466853191</v>
      </c>
      <c r="F312" s="116">
        <f t="shared" si="63"/>
        <v>148821.54638189354</v>
      </c>
      <c r="G312" s="117">
        <v>359392891</v>
      </c>
      <c r="H312" s="117">
        <f t="shared" si="62"/>
        <v>114565.79247688875</v>
      </c>
      <c r="I312" s="7"/>
      <c r="J312" s="10">
        <v>3.9</v>
      </c>
      <c r="K312" s="117">
        <v>1401632</v>
      </c>
      <c r="L312" s="120">
        <f t="shared" ref="L312:L343" si="64">(K312/C312)</f>
        <v>446.80650302837108</v>
      </c>
      <c r="M312" s="122">
        <f t="shared" si="53"/>
        <v>3593928.91</v>
      </c>
      <c r="N312" s="116">
        <f t="shared" si="54"/>
        <v>2192296.91</v>
      </c>
      <c r="O312" s="123">
        <f t="shared" si="55"/>
        <v>698.85142174051646</v>
      </c>
      <c r="P312" s="5"/>
      <c r="Q312" s="5">
        <f t="shared" si="57"/>
        <v>1</v>
      </c>
      <c r="R312" s="7">
        <f t="shared" si="58"/>
        <v>3137</v>
      </c>
      <c r="S312" s="5">
        <f t="shared" si="60"/>
        <v>1</v>
      </c>
      <c r="T312" s="7">
        <f t="shared" si="56"/>
        <v>3137</v>
      </c>
    </row>
    <row r="313" spans="1:20">
      <c r="A313" s="23" t="s">
        <v>339</v>
      </c>
      <c r="B313" s="35" t="s">
        <v>336</v>
      </c>
      <c r="C313" s="36">
        <v>962</v>
      </c>
      <c r="D313" s="6"/>
      <c r="E313" s="113">
        <v>106825459</v>
      </c>
      <c r="F313" s="116">
        <f t="shared" si="63"/>
        <v>111045.17567567568</v>
      </c>
      <c r="G313" s="117">
        <v>60053429</v>
      </c>
      <c r="H313" s="117">
        <f t="shared" si="62"/>
        <v>62425.60187110187</v>
      </c>
      <c r="I313" s="7"/>
      <c r="J313" s="10">
        <v>2.1076999999999999</v>
      </c>
      <c r="K313" s="117">
        <v>126575</v>
      </c>
      <c r="L313" s="120">
        <f t="shared" si="64"/>
        <v>131.57484407484407</v>
      </c>
      <c r="M313" s="122">
        <f t="shared" si="53"/>
        <v>600534.29</v>
      </c>
      <c r="N313" s="116">
        <f t="shared" si="54"/>
        <v>473959.29000000004</v>
      </c>
      <c r="O313" s="123">
        <f t="shared" si="55"/>
        <v>492.68117463617466</v>
      </c>
      <c r="P313" s="5"/>
      <c r="Q313" s="5">
        <f t="shared" si="57"/>
        <v>1</v>
      </c>
      <c r="R313" s="7">
        <f t="shared" si="58"/>
        <v>962</v>
      </c>
      <c r="S313" s="5">
        <f t="shared" si="60"/>
        <v>1</v>
      </c>
      <c r="T313" s="7">
        <f t="shared" si="56"/>
        <v>962</v>
      </c>
    </row>
    <row r="314" spans="1:20">
      <c r="A314" s="23" t="s">
        <v>547</v>
      </c>
      <c r="B314" s="35" t="s">
        <v>336</v>
      </c>
      <c r="C314" s="36">
        <v>1331</v>
      </c>
      <c r="D314" s="6"/>
      <c r="E314" s="113">
        <v>111686016</v>
      </c>
      <c r="F314" s="116">
        <f t="shared" si="63"/>
        <v>83911.356874530422</v>
      </c>
      <c r="G314" s="117">
        <v>49536637</v>
      </c>
      <c r="H314" s="117">
        <f t="shared" si="62"/>
        <v>37217.608564988732</v>
      </c>
      <c r="I314" s="7"/>
      <c r="J314" s="10">
        <v>1.3779999999999999</v>
      </c>
      <c r="K314" s="117">
        <v>68261</v>
      </c>
      <c r="L314" s="120">
        <f t="shared" si="64"/>
        <v>51.285499624342599</v>
      </c>
      <c r="M314" s="122">
        <f t="shared" si="53"/>
        <v>495366.37</v>
      </c>
      <c r="N314" s="116">
        <f t="shared" si="54"/>
        <v>427105.37</v>
      </c>
      <c r="O314" s="123">
        <f t="shared" si="55"/>
        <v>320.89058602554468</v>
      </c>
      <c r="P314" s="5"/>
      <c r="Q314" s="5">
        <f t="shared" si="57"/>
        <v>1</v>
      </c>
      <c r="R314" s="7">
        <f t="shared" si="58"/>
        <v>1331</v>
      </c>
      <c r="S314" s="5">
        <f t="shared" si="60"/>
        <v>1</v>
      </c>
      <c r="T314" s="7">
        <f t="shared" si="56"/>
        <v>1331</v>
      </c>
    </row>
    <row r="315" spans="1:20">
      <c r="A315" s="23" t="s">
        <v>340</v>
      </c>
      <c r="B315" s="35" t="s">
        <v>336</v>
      </c>
      <c r="C315" s="36">
        <v>12570</v>
      </c>
      <c r="D315" s="6"/>
      <c r="E315" s="113">
        <v>1192814736</v>
      </c>
      <c r="F315" s="116">
        <f t="shared" si="63"/>
        <v>94893.773747016705</v>
      </c>
      <c r="G315" s="117">
        <v>742080752</v>
      </c>
      <c r="H315" s="117">
        <f t="shared" si="62"/>
        <v>59035.859347653146</v>
      </c>
      <c r="I315" s="7"/>
      <c r="J315" s="10">
        <v>5.5708000000000002</v>
      </c>
      <c r="K315" s="117">
        <v>4133976</v>
      </c>
      <c r="L315" s="120">
        <f t="shared" si="64"/>
        <v>328.87637231503578</v>
      </c>
      <c r="M315" s="122">
        <f t="shared" si="53"/>
        <v>7420807.5200000005</v>
      </c>
      <c r="N315" s="116">
        <f t="shared" si="54"/>
        <v>3286831.5200000005</v>
      </c>
      <c r="O315" s="123">
        <f t="shared" si="55"/>
        <v>261.48222116149566</v>
      </c>
      <c r="P315" s="5"/>
      <c r="Q315" s="5">
        <f t="shared" si="57"/>
        <v>1</v>
      </c>
      <c r="R315" s="7">
        <f t="shared" si="58"/>
        <v>12570</v>
      </c>
      <c r="S315" s="5">
        <f t="shared" si="60"/>
        <v>1</v>
      </c>
      <c r="T315" s="7">
        <f t="shared" si="56"/>
        <v>12570</v>
      </c>
    </row>
    <row r="316" spans="1:20">
      <c r="A316" s="23" t="s">
        <v>341</v>
      </c>
      <c r="B316" s="35" t="s">
        <v>342</v>
      </c>
      <c r="C316" s="36">
        <v>4151</v>
      </c>
      <c r="D316" s="6"/>
      <c r="E316" s="113">
        <v>1103428960</v>
      </c>
      <c r="F316" s="116">
        <f t="shared" si="63"/>
        <v>265822.44278487109</v>
      </c>
      <c r="G316" s="117">
        <v>780937423</v>
      </c>
      <c r="H316" s="117">
        <f t="shared" si="62"/>
        <v>188132.35919055648</v>
      </c>
      <c r="I316" s="7"/>
      <c r="J316" s="10">
        <v>4.5605000000000002</v>
      </c>
      <c r="K316" s="117">
        <v>3561465</v>
      </c>
      <c r="L316" s="120">
        <f t="shared" si="64"/>
        <v>857.97759576005785</v>
      </c>
      <c r="M316" s="122">
        <f t="shared" si="53"/>
        <v>7809374.2300000004</v>
      </c>
      <c r="N316" s="116">
        <f t="shared" si="54"/>
        <v>4247909.2300000004</v>
      </c>
      <c r="O316" s="123">
        <f t="shared" si="55"/>
        <v>1023.3459961455072</v>
      </c>
      <c r="P316" s="5"/>
      <c r="Q316" s="5">
        <f t="shared" si="57"/>
        <v>1</v>
      </c>
      <c r="R316" s="7">
        <f t="shared" si="58"/>
        <v>4151</v>
      </c>
      <c r="S316" s="5">
        <f t="shared" si="60"/>
        <v>1</v>
      </c>
      <c r="T316" s="7">
        <f t="shared" si="56"/>
        <v>4151</v>
      </c>
    </row>
    <row r="317" spans="1:20">
      <c r="A317" s="23" t="s">
        <v>343</v>
      </c>
      <c r="B317" s="35" t="s">
        <v>342</v>
      </c>
      <c r="C317" s="36">
        <v>1604</v>
      </c>
      <c r="D317" s="6"/>
      <c r="E317" s="113">
        <v>642327200</v>
      </c>
      <c r="F317" s="116">
        <f t="shared" si="63"/>
        <v>400453.36658354115</v>
      </c>
      <c r="G317" s="117">
        <v>474436130</v>
      </c>
      <c r="H317" s="117">
        <f t="shared" si="62"/>
        <v>295783.12344139651</v>
      </c>
      <c r="I317" s="7"/>
      <c r="J317" s="10">
        <v>1.98</v>
      </c>
      <c r="K317" s="117">
        <v>939384</v>
      </c>
      <c r="L317" s="120">
        <f t="shared" si="64"/>
        <v>585.65087281795513</v>
      </c>
      <c r="M317" s="122">
        <f t="shared" si="53"/>
        <v>4744361.3</v>
      </c>
      <c r="N317" s="116">
        <f t="shared" si="54"/>
        <v>3804977.3</v>
      </c>
      <c r="O317" s="123">
        <f t="shared" si="55"/>
        <v>2372.1803615960098</v>
      </c>
      <c r="P317" s="5"/>
      <c r="Q317" s="5">
        <f t="shared" si="57"/>
        <v>1</v>
      </c>
      <c r="R317" s="7">
        <f t="shared" si="58"/>
        <v>1604</v>
      </c>
      <c r="S317" s="5">
        <f t="shared" si="60"/>
        <v>1</v>
      </c>
      <c r="T317" s="7">
        <f t="shared" si="56"/>
        <v>1604</v>
      </c>
    </row>
    <row r="318" spans="1:20">
      <c r="A318" s="23" t="s">
        <v>344</v>
      </c>
      <c r="B318" s="35" t="s">
        <v>342</v>
      </c>
      <c r="C318" s="36">
        <v>2223</v>
      </c>
      <c r="D318" s="6"/>
      <c r="E318" s="113">
        <v>317365150</v>
      </c>
      <c r="F318" s="116">
        <f t="shared" si="63"/>
        <v>142764.34997750787</v>
      </c>
      <c r="G318" s="117">
        <v>219899479</v>
      </c>
      <c r="H318" s="117">
        <f t="shared" si="62"/>
        <v>98920.143499775077</v>
      </c>
      <c r="I318" s="7"/>
      <c r="J318" s="10">
        <v>3.9996999999999998</v>
      </c>
      <c r="K318" s="117">
        <v>879532</v>
      </c>
      <c r="L318" s="120">
        <f t="shared" si="64"/>
        <v>395.65092217723799</v>
      </c>
      <c r="M318" s="122">
        <f t="shared" si="53"/>
        <v>2198994.79</v>
      </c>
      <c r="N318" s="116">
        <f t="shared" si="54"/>
        <v>1319462.79</v>
      </c>
      <c r="O318" s="123">
        <f t="shared" si="55"/>
        <v>593.55051282051284</v>
      </c>
      <c r="P318" s="5"/>
      <c r="Q318" s="5">
        <f t="shared" si="57"/>
        <v>1</v>
      </c>
      <c r="R318" s="7">
        <f t="shared" si="58"/>
        <v>2223</v>
      </c>
      <c r="S318" s="5">
        <f t="shared" si="60"/>
        <v>1</v>
      </c>
      <c r="T318" s="7">
        <f t="shared" si="56"/>
        <v>2223</v>
      </c>
    </row>
    <row r="319" spans="1:20">
      <c r="A319" s="23" t="s">
        <v>345</v>
      </c>
      <c r="B319" s="35" t="s">
        <v>342</v>
      </c>
      <c r="C319" s="36">
        <v>74</v>
      </c>
      <c r="D319" s="6"/>
      <c r="E319" s="113">
        <v>164606570</v>
      </c>
      <c r="F319" s="116">
        <f t="shared" si="63"/>
        <v>2224413.1081081079</v>
      </c>
      <c r="G319" s="117">
        <v>117791692</v>
      </c>
      <c r="H319" s="117">
        <f t="shared" si="62"/>
        <v>1591779.6216216215</v>
      </c>
      <c r="I319" s="7"/>
      <c r="J319" s="10">
        <v>0.52559999999999996</v>
      </c>
      <c r="K319" s="117">
        <v>61911</v>
      </c>
      <c r="L319" s="120">
        <f t="shared" si="64"/>
        <v>836.6351351351351</v>
      </c>
      <c r="M319" s="122">
        <f t="shared" si="53"/>
        <v>1177916.92</v>
      </c>
      <c r="N319" s="116">
        <f t="shared" si="54"/>
        <v>1116005.92</v>
      </c>
      <c r="O319" s="123">
        <f t="shared" si="55"/>
        <v>15081.16108108108</v>
      </c>
      <c r="P319" s="5"/>
      <c r="Q319" s="5">
        <f t="shared" si="57"/>
        <v>1</v>
      </c>
      <c r="R319" s="7">
        <f t="shared" si="58"/>
        <v>74</v>
      </c>
      <c r="S319" s="5">
        <f t="shared" si="60"/>
        <v>1</v>
      </c>
      <c r="T319" s="7">
        <f t="shared" si="56"/>
        <v>74</v>
      </c>
    </row>
    <row r="320" spans="1:20">
      <c r="A320" s="23" t="s">
        <v>346</v>
      </c>
      <c r="B320" s="35" t="s">
        <v>342</v>
      </c>
      <c r="C320" s="36">
        <v>110251</v>
      </c>
      <c r="D320" s="6"/>
      <c r="E320" s="113">
        <v>14834120243</v>
      </c>
      <c r="F320" s="116">
        <f t="shared" si="63"/>
        <v>134548.62307824873</v>
      </c>
      <c r="G320" s="117">
        <v>10160989555</v>
      </c>
      <c r="H320" s="117">
        <f t="shared" si="62"/>
        <v>92162.334627350312</v>
      </c>
      <c r="I320" s="7"/>
      <c r="J320" s="10">
        <v>4.7253999999999996</v>
      </c>
      <c r="K320" s="117">
        <v>48014740</v>
      </c>
      <c r="L320" s="120">
        <f t="shared" si="64"/>
        <v>435.50389565627523</v>
      </c>
      <c r="M320" s="122">
        <f t="shared" si="53"/>
        <v>101609895.55</v>
      </c>
      <c r="N320" s="116">
        <f t="shared" si="54"/>
        <v>53595155.549999997</v>
      </c>
      <c r="O320" s="123">
        <f t="shared" si="55"/>
        <v>486.11945061722793</v>
      </c>
      <c r="P320" s="5"/>
      <c r="Q320" s="5">
        <f t="shared" si="57"/>
        <v>1</v>
      </c>
      <c r="R320" s="7">
        <f t="shared" si="58"/>
        <v>110251</v>
      </c>
      <c r="S320" s="5">
        <f t="shared" si="60"/>
        <v>1</v>
      </c>
      <c r="T320" s="7">
        <f t="shared" si="56"/>
        <v>110251</v>
      </c>
    </row>
    <row r="321" spans="1:20">
      <c r="A321" s="23" t="s">
        <v>347</v>
      </c>
      <c r="B321" s="35" t="s">
        <v>342</v>
      </c>
      <c r="C321" s="36">
        <v>37561</v>
      </c>
      <c r="D321" s="6"/>
      <c r="E321" s="113">
        <v>3921795310</v>
      </c>
      <c r="F321" s="116">
        <f t="shared" si="63"/>
        <v>104411.36577833391</v>
      </c>
      <c r="G321" s="117">
        <v>2318716068</v>
      </c>
      <c r="H321" s="117">
        <f t="shared" si="62"/>
        <v>61732.011075317481</v>
      </c>
      <c r="I321" s="7"/>
      <c r="J321" s="10">
        <v>3.5596999999999999</v>
      </c>
      <c r="K321" s="117">
        <v>8253934</v>
      </c>
      <c r="L321" s="120">
        <f t="shared" si="64"/>
        <v>219.74745081334362</v>
      </c>
      <c r="M321" s="122">
        <f t="shared" si="53"/>
        <v>23187160.68</v>
      </c>
      <c r="N321" s="116">
        <f t="shared" si="54"/>
        <v>14933226.68</v>
      </c>
      <c r="O321" s="123">
        <f t="shared" si="55"/>
        <v>397.57265993983123</v>
      </c>
      <c r="P321" s="5"/>
      <c r="Q321" s="5">
        <f t="shared" si="57"/>
        <v>1</v>
      </c>
      <c r="R321" s="7">
        <f t="shared" si="58"/>
        <v>37561</v>
      </c>
      <c r="S321" s="5">
        <f t="shared" si="60"/>
        <v>1</v>
      </c>
      <c r="T321" s="7">
        <f t="shared" si="56"/>
        <v>37561</v>
      </c>
    </row>
    <row r="322" spans="1:20">
      <c r="A322" s="23" t="s">
        <v>348</v>
      </c>
      <c r="B322" s="35" t="s">
        <v>342</v>
      </c>
      <c r="C322" s="36">
        <v>12844</v>
      </c>
      <c r="D322" s="6"/>
      <c r="E322" s="113">
        <v>1420117930</v>
      </c>
      <c r="F322" s="116">
        <f t="shared" si="63"/>
        <v>110566.64045468702</v>
      </c>
      <c r="G322" s="117">
        <v>890284920</v>
      </c>
      <c r="H322" s="117">
        <f t="shared" si="62"/>
        <v>69315.238243537839</v>
      </c>
      <c r="I322" s="7"/>
      <c r="J322" s="10">
        <v>3.4742000000000002</v>
      </c>
      <c r="K322" s="117">
        <v>3093028</v>
      </c>
      <c r="L322" s="120">
        <f t="shared" si="64"/>
        <v>240.81501090003115</v>
      </c>
      <c r="M322" s="122">
        <f t="shared" si="53"/>
        <v>8902849.1999999993</v>
      </c>
      <c r="N322" s="116">
        <f t="shared" si="54"/>
        <v>5809821.1999999993</v>
      </c>
      <c r="O322" s="123">
        <f t="shared" si="55"/>
        <v>452.33737153534719</v>
      </c>
      <c r="P322" s="5"/>
      <c r="Q322" s="5">
        <f t="shared" si="57"/>
        <v>1</v>
      </c>
      <c r="R322" s="7">
        <f t="shared" si="58"/>
        <v>12844</v>
      </c>
      <c r="S322" s="5">
        <f t="shared" si="60"/>
        <v>1</v>
      </c>
      <c r="T322" s="7">
        <f t="shared" si="56"/>
        <v>12844</v>
      </c>
    </row>
    <row r="323" spans="1:20">
      <c r="A323" s="23" t="s">
        <v>349</v>
      </c>
      <c r="B323" s="35" t="s">
        <v>342</v>
      </c>
      <c r="C323" s="36">
        <v>5255</v>
      </c>
      <c r="D323" s="6"/>
      <c r="E323" s="113">
        <v>1359096160</v>
      </c>
      <c r="F323" s="116">
        <f t="shared" si="63"/>
        <v>258629.14557564224</v>
      </c>
      <c r="G323" s="117">
        <v>1057008963</v>
      </c>
      <c r="H323" s="117">
        <f t="shared" si="62"/>
        <v>201143.47535680304</v>
      </c>
      <c r="I323" s="7"/>
      <c r="J323" s="10">
        <v>2</v>
      </c>
      <c r="K323" s="117">
        <v>2114018</v>
      </c>
      <c r="L323" s="120">
        <f t="shared" si="64"/>
        <v>402.28696479543294</v>
      </c>
      <c r="M323" s="122">
        <f t="shared" si="53"/>
        <v>10570089.630000001</v>
      </c>
      <c r="N323" s="116">
        <f t="shared" si="54"/>
        <v>8456071.6300000008</v>
      </c>
      <c r="O323" s="123">
        <f t="shared" si="55"/>
        <v>1609.1477887725978</v>
      </c>
      <c r="P323" s="5"/>
      <c r="Q323" s="5">
        <f t="shared" si="57"/>
        <v>1</v>
      </c>
      <c r="R323" s="7">
        <f t="shared" si="58"/>
        <v>5255</v>
      </c>
      <c r="S323" s="5">
        <f t="shared" si="60"/>
        <v>1</v>
      </c>
      <c r="T323" s="7">
        <f t="shared" si="56"/>
        <v>5255</v>
      </c>
    </row>
    <row r="324" spans="1:20">
      <c r="A324" s="23" t="s">
        <v>350</v>
      </c>
      <c r="B324" s="35" t="s">
        <v>342</v>
      </c>
      <c r="C324" s="36">
        <v>1806</v>
      </c>
      <c r="D324" s="6"/>
      <c r="E324" s="113">
        <v>1029252890</v>
      </c>
      <c r="F324" s="116">
        <f t="shared" si="63"/>
        <v>569907.46954595787</v>
      </c>
      <c r="G324" s="117">
        <v>905946989</v>
      </c>
      <c r="H324" s="117">
        <f t="shared" si="62"/>
        <v>501631.776854928</v>
      </c>
      <c r="I324" s="7"/>
      <c r="J324" s="10">
        <v>1.6</v>
      </c>
      <c r="K324" s="117">
        <v>1449515</v>
      </c>
      <c r="L324" s="120">
        <f t="shared" si="64"/>
        <v>802.61074197120706</v>
      </c>
      <c r="M324" s="122">
        <f t="shared" si="53"/>
        <v>9059469.8900000006</v>
      </c>
      <c r="N324" s="116">
        <f t="shared" si="54"/>
        <v>7609954.8900000006</v>
      </c>
      <c r="O324" s="123">
        <f t="shared" si="55"/>
        <v>4213.7070265780731</v>
      </c>
      <c r="P324" s="5"/>
      <c r="Q324" s="5">
        <f t="shared" si="57"/>
        <v>1</v>
      </c>
      <c r="R324" s="7">
        <f t="shared" si="58"/>
        <v>1806</v>
      </c>
      <c r="S324" s="5">
        <f t="shared" si="60"/>
        <v>1</v>
      </c>
      <c r="T324" s="7">
        <f t="shared" si="56"/>
        <v>1806</v>
      </c>
    </row>
    <row r="325" spans="1:20">
      <c r="A325" s="23" t="s">
        <v>351</v>
      </c>
      <c r="B325" s="35" t="s">
        <v>342</v>
      </c>
      <c r="C325" s="36">
        <v>4492</v>
      </c>
      <c r="D325" s="6"/>
      <c r="E325" s="113">
        <v>284645460</v>
      </c>
      <c r="F325" s="116">
        <f t="shared" si="63"/>
        <v>63367.199465716832</v>
      </c>
      <c r="G325" s="117">
        <v>155748998</v>
      </c>
      <c r="H325" s="117">
        <f t="shared" si="62"/>
        <v>34672.528495102408</v>
      </c>
      <c r="I325" s="7"/>
      <c r="J325" s="10">
        <v>3.9902000000000002</v>
      </c>
      <c r="K325" s="117">
        <v>621470</v>
      </c>
      <c r="L325" s="120">
        <f t="shared" si="64"/>
        <v>138.35040071237756</v>
      </c>
      <c r="M325" s="122">
        <f t="shared" si="53"/>
        <v>1557489.98</v>
      </c>
      <c r="N325" s="116">
        <f t="shared" si="54"/>
        <v>936019.98</v>
      </c>
      <c r="O325" s="123">
        <f t="shared" si="55"/>
        <v>208.37488423864647</v>
      </c>
      <c r="P325" s="5"/>
      <c r="Q325" s="5">
        <f t="shared" si="57"/>
        <v>1</v>
      </c>
      <c r="R325" s="7">
        <f t="shared" si="58"/>
        <v>4492</v>
      </c>
      <c r="S325" s="5">
        <f t="shared" si="60"/>
        <v>1</v>
      </c>
      <c r="T325" s="7">
        <f t="shared" si="56"/>
        <v>4492</v>
      </c>
    </row>
    <row r="326" spans="1:20">
      <c r="A326" s="23" t="s">
        <v>352</v>
      </c>
      <c r="B326" s="35" t="s">
        <v>342</v>
      </c>
      <c r="C326" s="36">
        <v>75441</v>
      </c>
      <c r="D326" s="6"/>
      <c r="E326" s="113">
        <v>6404266845</v>
      </c>
      <c r="F326" s="116">
        <f t="shared" si="63"/>
        <v>84891.065136994468</v>
      </c>
      <c r="G326" s="117">
        <v>4343624168</v>
      </c>
      <c r="H326" s="117">
        <f t="shared" si="62"/>
        <v>57576.439442743336</v>
      </c>
      <c r="I326" s="7"/>
      <c r="J326" s="10">
        <v>3.8448000000000002</v>
      </c>
      <c r="K326" s="117">
        <v>16700366</v>
      </c>
      <c r="L326" s="120">
        <f t="shared" si="64"/>
        <v>221.36989170345038</v>
      </c>
      <c r="M326" s="122">
        <f t="shared" ref="M326:M389" si="65">(G326*0.01)</f>
        <v>43436241.68</v>
      </c>
      <c r="N326" s="116">
        <f t="shared" ref="N326:N389" si="66">(M326-K326)</f>
        <v>26735875.68</v>
      </c>
      <c r="O326" s="123">
        <f t="shared" ref="O326:O389" si="67">(N326/C326)</f>
        <v>354.39450272398295</v>
      </c>
      <c r="P326" s="5"/>
      <c r="Q326" s="5">
        <f t="shared" si="57"/>
        <v>1</v>
      </c>
      <c r="R326" s="7">
        <f t="shared" si="58"/>
        <v>75441</v>
      </c>
      <c r="S326" s="5">
        <f t="shared" si="60"/>
        <v>1</v>
      </c>
      <c r="T326" s="7">
        <f t="shared" ref="T326:T389" si="68">IF(J326&gt;0,C326,0)</f>
        <v>75441</v>
      </c>
    </row>
    <row r="327" spans="1:20">
      <c r="A327" s="23" t="s">
        <v>353</v>
      </c>
      <c r="B327" s="35" t="s">
        <v>342</v>
      </c>
      <c r="C327" s="36">
        <v>4519</v>
      </c>
      <c r="D327" s="6"/>
      <c r="E327" s="113">
        <v>1458435390</v>
      </c>
      <c r="F327" s="116">
        <f t="shared" si="63"/>
        <v>322734.09825182561</v>
      </c>
      <c r="G327" s="117">
        <v>1151495611</v>
      </c>
      <c r="H327" s="117">
        <f t="shared" si="62"/>
        <v>254812.04049568489</v>
      </c>
      <c r="I327" s="7"/>
      <c r="J327" s="10">
        <v>1.7954000000000001</v>
      </c>
      <c r="K327" s="117">
        <v>2067395</v>
      </c>
      <c r="L327" s="120">
        <f t="shared" si="64"/>
        <v>457.48948882496126</v>
      </c>
      <c r="M327" s="122">
        <f t="shared" si="65"/>
        <v>11514956.109999999</v>
      </c>
      <c r="N327" s="116">
        <f t="shared" si="66"/>
        <v>9447561.1099999994</v>
      </c>
      <c r="O327" s="123">
        <f t="shared" si="67"/>
        <v>2090.6309161318873</v>
      </c>
      <c r="P327" s="5"/>
      <c r="Q327" s="5">
        <f t="shared" ref="Q327:Q390" si="69">IF(E327&gt;0,1,0)</f>
        <v>1</v>
      </c>
      <c r="R327" s="7">
        <f t="shared" ref="R327:R390" si="70">IF(E327&gt;0,C327,0)</f>
        <v>4519</v>
      </c>
      <c r="S327" s="5">
        <f t="shared" si="60"/>
        <v>1</v>
      </c>
      <c r="T327" s="7">
        <f t="shared" si="68"/>
        <v>4519</v>
      </c>
    </row>
    <row r="328" spans="1:20">
      <c r="A328" s="23" t="s">
        <v>354</v>
      </c>
      <c r="B328" s="35" t="s">
        <v>342</v>
      </c>
      <c r="C328" s="36">
        <v>1489</v>
      </c>
      <c r="D328" s="6"/>
      <c r="E328" s="113">
        <v>574398950</v>
      </c>
      <c r="F328" s="116">
        <f t="shared" si="63"/>
        <v>385761.55137676292</v>
      </c>
      <c r="G328" s="117">
        <v>483930268</v>
      </c>
      <c r="H328" s="117">
        <f t="shared" si="62"/>
        <v>325003.5379449295</v>
      </c>
      <c r="I328" s="7"/>
      <c r="J328" s="10">
        <v>0.75109999999999999</v>
      </c>
      <c r="K328" s="117">
        <v>363480</v>
      </c>
      <c r="L328" s="120">
        <f t="shared" si="64"/>
        <v>244.11014103425117</v>
      </c>
      <c r="M328" s="122">
        <f t="shared" si="65"/>
        <v>4839302.68</v>
      </c>
      <c r="N328" s="116">
        <f t="shared" si="66"/>
        <v>4475822.68</v>
      </c>
      <c r="O328" s="123">
        <f t="shared" si="67"/>
        <v>3005.9252384150436</v>
      </c>
      <c r="P328" s="5"/>
      <c r="Q328" s="5">
        <f t="shared" si="69"/>
        <v>1</v>
      </c>
      <c r="R328" s="7">
        <f t="shared" si="70"/>
        <v>1489</v>
      </c>
      <c r="S328" s="5">
        <f t="shared" si="60"/>
        <v>1</v>
      </c>
      <c r="T328" s="7">
        <f t="shared" si="68"/>
        <v>1489</v>
      </c>
    </row>
    <row r="329" spans="1:20">
      <c r="A329" s="23" t="s">
        <v>355</v>
      </c>
      <c r="B329" s="35" t="s">
        <v>342</v>
      </c>
      <c r="C329" s="36">
        <v>13900</v>
      </c>
      <c r="D329" s="6"/>
      <c r="E329" s="113">
        <v>1793681913</v>
      </c>
      <c r="F329" s="116">
        <f t="shared" si="63"/>
        <v>129041.86424460432</v>
      </c>
      <c r="G329" s="117">
        <v>1293892832</v>
      </c>
      <c r="H329" s="117">
        <f t="shared" si="62"/>
        <v>93085.815251798558</v>
      </c>
      <c r="I329" s="7"/>
      <c r="J329" s="10">
        <v>4.05</v>
      </c>
      <c r="K329" s="117">
        <v>5240266</v>
      </c>
      <c r="L329" s="120">
        <f t="shared" si="64"/>
        <v>376.99755395683451</v>
      </c>
      <c r="M329" s="122">
        <f t="shared" si="65"/>
        <v>12938928.32</v>
      </c>
      <c r="N329" s="116">
        <f t="shared" si="66"/>
        <v>7698662.3200000003</v>
      </c>
      <c r="O329" s="123">
        <f t="shared" si="67"/>
        <v>553.86059856115105</v>
      </c>
      <c r="P329" s="5"/>
      <c r="Q329" s="5">
        <f t="shared" si="69"/>
        <v>1</v>
      </c>
      <c r="R329" s="7">
        <f t="shared" si="70"/>
        <v>13900</v>
      </c>
      <c r="S329" s="5">
        <f t="shared" si="60"/>
        <v>1</v>
      </c>
      <c r="T329" s="7">
        <f t="shared" si="68"/>
        <v>13900</v>
      </c>
    </row>
    <row r="330" spans="1:20">
      <c r="A330" s="23" t="s">
        <v>356</v>
      </c>
      <c r="B330" s="35" t="s">
        <v>342</v>
      </c>
      <c r="C330" s="36">
        <v>49231</v>
      </c>
      <c r="D330" s="6"/>
      <c r="E330" s="113">
        <v>5023560560</v>
      </c>
      <c r="F330" s="116">
        <f t="shared" si="63"/>
        <v>102040.59555970831</v>
      </c>
      <c r="G330" s="117">
        <v>3433964896</v>
      </c>
      <c r="H330" s="117">
        <f t="shared" si="62"/>
        <v>69752.084987101625</v>
      </c>
      <c r="I330" s="7"/>
      <c r="J330" s="10">
        <v>4.5477999999999996</v>
      </c>
      <c r="K330" s="117">
        <v>15616986</v>
      </c>
      <c r="L330" s="120">
        <f t="shared" si="64"/>
        <v>317.21854116308828</v>
      </c>
      <c r="M330" s="122">
        <f t="shared" si="65"/>
        <v>34339648.960000001</v>
      </c>
      <c r="N330" s="116">
        <f t="shared" si="66"/>
        <v>18722662.960000001</v>
      </c>
      <c r="O330" s="123">
        <f t="shared" si="67"/>
        <v>380.30230870792798</v>
      </c>
      <c r="P330" s="5"/>
      <c r="Q330" s="5">
        <f t="shared" si="69"/>
        <v>1</v>
      </c>
      <c r="R330" s="7">
        <f t="shared" si="70"/>
        <v>49231</v>
      </c>
      <c r="S330" s="5">
        <f t="shared" si="60"/>
        <v>1</v>
      </c>
      <c r="T330" s="7">
        <f t="shared" si="68"/>
        <v>49231</v>
      </c>
    </row>
    <row r="331" spans="1:20">
      <c r="A331" s="23" t="s">
        <v>357</v>
      </c>
      <c r="B331" s="35" t="s">
        <v>342</v>
      </c>
      <c r="C331" s="36">
        <v>1584</v>
      </c>
      <c r="D331" s="6"/>
      <c r="E331" s="113">
        <v>485460550</v>
      </c>
      <c r="F331" s="116">
        <f t="shared" si="63"/>
        <v>306477.61994949495</v>
      </c>
      <c r="G331" s="117">
        <v>369591021</v>
      </c>
      <c r="H331" s="117">
        <f t="shared" si="62"/>
        <v>233327.66477272726</v>
      </c>
      <c r="I331" s="7"/>
      <c r="J331" s="10">
        <v>1.9410000000000001</v>
      </c>
      <c r="K331" s="117">
        <v>717376</v>
      </c>
      <c r="L331" s="120">
        <f t="shared" si="64"/>
        <v>452.88888888888891</v>
      </c>
      <c r="M331" s="122">
        <f t="shared" si="65"/>
        <v>3695910.21</v>
      </c>
      <c r="N331" s="116">
        <f t="shared" si="66"/>
        <v>2978534.21</v>
      </c>
      <c r="O331" s="123">
        <f t="shared" si="67"/>
        <v>1880.3877588383839</v>
      </c>
      <c r="P331" s="5"/>
      <c r="Q331" s="5">
        <f t="shared" si="69"/>
        <v>1</v>
      </c>
      <c r="R331" s="7">
        <f t="shared" si="70"/>
        <v>1584</v>
      </c>
      <c r="S331" s="5">
        <f t="shared" ref="S331:S394" si="71">IF(J331&gt;0,1,0)</f>
        <v>1</v>
      </c>
      <c r="T331" s="7">
        <f t="shared" si="68"/>
        <v>1584</v>
      </c>
    </row>
    <row r="332" spans="1:20">
      <c r="A332" s="23" t="s">
        <v>358</v>
      </c>
      <c r="B332" s="35" t="s">
        <v>342</v>
      </c>
      <c r="C332" s="36">
        <v>2513</v>
      </c>
      <c r="D332" s="6"/>
      <c r="E332" s="113">
        <v>782479940</v>
      </c>
      <c r="F332" s="116">
        <f t="shared" si="63"/>
        <v>311372.83724631916</v>
      </c>
      <c r="G332" s="117">
        <v>632175351</v>
      </c>
      <c r="H332" s="117">
        <f t="shared" si="62"/>
        <v>251562.0179068842</v>
      </c>
      <c r="I332" s="7"/>
      <c r="J332" s="10">
        <v>1.8016000000000001</v>
      </c>
      <c r="K332" s="117">
        <v>1138927</v>
      </c>
      <c r="L332" s="120">
        <f t="shared" si="64"/>
        <v>453.21408674890569</v>
      </c>
      <c r="M332" s="122">
        <f t="shared" si="65"/>
        <v>6321753.5099999998</v>
      </c>
      <c r="N332" s="116">
        <f t="shared" si="66"/>
        <v>5182826.51</v>
      </c>
      <c r="O332" s="123">
        <f t="shared" si="67"/>
        <v>2062.4060923199363</v>
      </c>
      <c r="P332" s="5"/>
      <c r="Q332" s="5">
        <f t="shared" si="69"/>
        <v>1</v>
      </c>
      <c r="R332" s="7">
        <f t="shared" si="70"/>
        <v>2513</v>
      </c>
      <c r="S332" s="5">
        <f t="shared" si="71"/>
        <v>1</v>
      </c>
      <c r="T332" s="7">
        <f t="shared" si="68"/>
        <v>2513</v>
      </c>
    </row>
    <row r="333" spans="1:20">
      <c r="A333" s="23" t="s">
        <v>359</v>
      </c>
      <c r="B333" s="35" t="s">
        <v>342</v>
      </c>
      <c r="C333" s="36">
        <v>17825</v>
      </c>
      <c r="D333" s="6"/>
      <c r="E333" s="113">
        <v>2062468871</v>
      </c>
      <c r="F333" s="116">
        <f t="shared" si="63"/>
        <v>115706.52852734923</v>
      </c>
      <c r="G333" s="117">
        <v>1200730028</v>
      </c>
      <c r="H333" s="117">
        <f t="shared" si="62"/>
        <v>67362.133408134643</v>
      </c>
      <c r="I333" s="7"/>
      <c r="J333" s="10">
        <v>2.7829999999999999</v>
      </c>
      <c r="K333" s="117">
        <v>3341632</v>
      </c>
      <c r="L333" s="120">
        <f t="shared" si="64"/>
        <v>187.46883590462832</v>
      </c>
      <c r="M333" s="122">
        <f t="shared" si="65"/>
        <v>12007300.279999999</v>
      </c>
      <c r="N333" s="116">
        <f t="shared" si="66"/>
        <v>8665668.2799999993</v>
      </c>
      <c r="O333" s="123">
        <f t="shared" si="67"/>
        <v>486.15249817671804</v>
      </c>
      <c r="P333" s="5"/>
      <c r="Q333" s="5">
        <f t="shared" si="69"/>
        <v>1</v>
      </c>
      <c r="R333" s="7">
        <f t="shared" si="70"/>
        <v>17825</v>
      </c>
      <c r="S333" s="5">
        <f t="shared" si="71"/>
        <v>1</v>
      </c>
      <c r="T333" s="7">
        <f t="shared" si="68"/>
        <v>17825</v>
      </c>
    </row>
    <row r="334" spans="1:20">
      <c r="A334" s="23" t="s">
        <v>360</v>
      </c>
      <c r="B334" s="35" t="s">
        <v>342</v>
      </c>
      <c r="C334" s="36">
        <v>18862</v>
      </c>
      <c r="D334" s="6"/>
      <c r="E334" s="113">
        <v>2029397530</v>
      </c>
      <c r="F334" s="116">
        <f t="shared" si="63"/>
        <v>107591.8529318206</v>
      </c>
      <c r="G334" s="117">
        <v>1297915956</v>
      </c>
      <c r="H334" s="117">
        <f t="shared" si="62"/>
        <v>68811.152369844131</v>
      </c>
      <c r="I334" s="7"/>
      <c r="J334" s="10">
        <v>2.4792999999999998</v>
      </c>
      <c r="K334" s="117">
        <v>3217923</v>
      </c>
      <c r="L334" s="120">
        <f t="shared" si="64"/>
        <v>170.60348849538755</v>
      </c>
      <c r="M334" s="122">
        <f t="shared" si="65"/>
        <v>12979159.560000001</v>
      </c>
      <c r="N334" s="116">
        <f t="shared" si="66"/>
        <v>9761236.5600000005</v>
      </c>
      <c r="O334" s="123">
        <f t="shared" si="67"/>
        <v>517.50803520305374</v>
      </c>
      <c r="P334" s="5"/>
      <c r="Q334" s="5">
        <f t="shared" si="69"/>
        <v>1</v>
      </c>
      <c r="R334" s="7">
        <f t="shared" si="70"/>
        <v>18862</v>
      </c>
      <c r="S334" s="5">
        <f t="shared" si="71"/>
        <v>1</v>
      </c>
      <c r="T334" s="7">
        <f t="shared" si="68"/>
        <v>18862</v>
      </c>
    </row>
    <row r="335" spans="1:20">
      <c r="A335" s="23" t="s">
        <v>361</v>
      </c>
      <c r="B335" s="35" t="s">
        <v>342</v>
      </c>
      <c r="C335" s="36">
        <v>5342</v>
      </c>
      <c r="D335" s="6"/>
      <c r="E335" s="113">
        <v>763851720</v>
      </c>
      <c r="F335" s="116">
        <f t="shared" si="63"/>
        <v>142989.83901160615</v>
      </c>
      <c r="G335" s="117">
        <v>548580761</v>
      </c>
      <c r="H335" s="117">
        <f t="shared" si="62"/>
        <v>102692.01815799325</v>
      </c>
      <c r="I335" s="7"/>
      <c r="J335" s="10">
        <v>1.4885999999999999</v>
      </c>
      <c r="K335" s="117">
        <v>816617</v>
      </c>
      <c r="L335" s="120">
        <f t="shared" si="64"/>
        <v>152.86727817296892</v>
      </c>
      <c r="M335" s="122">
        <f t="shared" si="65"/>
        <v>5485807.6100000003</v>
      </c>
      <c r="N335" s="116">
        <f t="shared" si="66"/>
        <v>4669190.6100000003</v>
      </c>
      <c r="O335" s="123">
        <f t="shared" si="67"/>
        <v>874.05290340696376</v>
      </c>
      <c r="P335" s="5"/>
      <c r="Q335" s="5">
        <f t="shared" si="69"/>
        <v>1</v>
      </c>
      <c r="R335" s="7">
        <f t="shared" si="70"/>
        <v>5342</v>
      </c>
      <c r="S335" s="5">
        <f t="shared" si="71"/>
        <v>1</v>
      </c>
      <c r="T335" s="7">
        <f t="shared" si="68"/>
        <v>5342</v>
      </c>
    </row>
    <row r="336" spans="1:20">
      <c r="A336" s="24" t="s">
        <v>561</v>
      </c>
      <c r="B336" s="35" t="s">
        <v>342</v>
      </c>
      <c r="C336" s="36">
        <v>10133</v>
      </c>
      <c r="D336" s="6"/>
      <c r="E336" s="113">
        <v>3366417355</v>
      </c>
      <c r="F336" s="116">
        <f t="shared" si="63"/>
        <v>332223.16737392679</v>
      </c>
      <c r="G336" s="117">
        <v>2560560056</v>
      </c>
      <c r="H336" s="117">
        <f t="shared" si="62"/>
        <v>252695.15997236752</v>
      </c>
      <c r="I336" s="7"/>
      <c r="J336" s="10">
        <v>2.3763999999999998</v>
      </c>
      <c r="K336" s="117">
        <v>6084915</v>
      </c>
      <c r="L336" s="120">
        <f t="shared" si="64"/>
        <v>600.50478634165597</v>
      </c>
      <c r="M336" s="122">
        <f t="shared" si="65"/>
        <v>25605600.560000002</v>
      </c>
      <c r="N336" s="116">
        <f t="shared" si="66"/>
        <v>19520685.560000002</v>
      </c>
      <c r="O336" s="123">
        <f t="shared" si="67"/>
        <v>1926.4468133820194</v>
      </c>
      <c r="P336" s="5"/>
      <c r="Q336" s="5">
        <f t="shared" si="69"/>
        <v>1</v>
      </c>
      <c r="R336" s="7">
        <f t="shared" si="70"/>
        <v>10133</v>
      </c>
      <c r="S336" s="5">
        <f t="shared" si="71"/>
        <v>1</v>
      </c>
      <c r="T336" s="7">
        <f t="shared" si="68"/>
        <v>10133</v>
      </c>
    </row>
    <row r="337" spans="1:20">
      <c r="A337" s="23" t="s">
        <v>548</v>
      </c>
      <c r="B337" s="35" t="s">
        <v>342</v>
      </c>
      <c r="C337" s="36">
        <v>251459</v>
      </c>
      <c r="D337" s="6"/>
      <c r="E337" s="113">
        <v>27069884807</v>
      </c>
      <c r="F337" s="116">
        <f t="shared" si="63"/>
        <v>107651.28632103046</v>
      </c>
      <c r="G337" s="117">
        <v>16623629970</v>
      </c>
      <c r="H337" s="117">
        <f t="shared" si="62"/>
        <v>66108.709451640229</v>
      </c>
      <c r="I337" s="7"/>
      <c r="J337" s="10">
        <v>5.9124999999999996</v>
      </c>
      <c r="K337" s="117">
        <v>98287212</v>
      </c>
      <c r="L337" s="120">
        <f t="shared" si="64"/>
        <v>390.86774384690943</v>
      </c>
      <c r="M337" s="122">
        <f t="shared" si="65"/>
        <v>166236299.70000002</v>
      </c>
      <c r="N337" s="116">
        <f t="shared" si="66"/>
        <v>67949087.700000018</v>
      </c>
      <c r="O337" s="123">
        <f t="shared" si="67"/>
        <v>270.21935066949288</v>
      </c>
      <c r="P337" s="5"/>
      <c r="Q337" s="5">
        <f t="shared" si="69"/>
        <v>1</v>
      </c>
      <c r="R337" s="7">
        <f t="shared" si="70"/>
        <v>251459</v>
      </c>
      <c r="S337" s="5">
        <f t="shared" si="71"/>
        <v>1</v>
      </c>
      <c r="T337" s="7">
        <f t="shared" si="68"/>
        <v>251459</v>
      </c>
    </row>
    <row r="338" spans="1:20">
      <c r="A338" s="23" t="s">
        <v>362</v>
      </c>
      <c r="B338" s="35" t="s">
        <v>342</v>
      </c>
      <c r="C338" s="36">
        <v>24694</v>
      </c>
      <c r="D338" s="6"/>
      <c r="E338" s="113">
        <v>2837060780</v>
      </c>
      <c r="F338" s="116">
        <f t="shared" si="63"/>
        <v>114888.66850247023</v>
      </c>
      <c r="G338" s="117">
        <v>1804502437</v>
      </c>
      <c r="H338" s="117">
        <f t="shared" si="62"/>
        <v>73074.529723819549</v>
      </c>
      <c r="I338" s="7"/>
      <c r="J338" s="10">
        <v>4.5738000000000003</v>
      </c>
      <c r="K338" s="117">
        <v>8253433</v>
      </c>
      <c r="L338" s="120">
        <f t="shared" si="64"/>
        <v>334.228274074674</v>
      </c>
      <c r="M338" s="122">
        <f t="shared" si="65"/>
        <v>18045024.370000001</v>
      </c>
      <c r="N338" s="116">
        <f t="shared" si="66"/>
        <v>9791591.370000001</v>
      </c>
      <c r="O338" s="123">
        <f t="shared" si="67"/>
        <v>396.51702316352157</v>
      </c>
      <c r="P338" s="5"/>
      <c r="Q338" s="5">
        <f t="shared" si="69"/>
        <v>1</v>
      </c>
      <c r="R338" s="7">
        <f t="shared" si="70"/>
        <v>24694</v>
      </c>
      <c r="S338" s="5">
        <f t="shared" si="71"/>
        <v>1</v>
      </c>
      <c r="T338" s="7">
        <f t="shared" si="68"/>
        <v>24694</v>
      </c>
    </row>
    <row r="339" spans="1:20">
      <c r="A339" s="23" t="s">
        <v>363</v>
      </c>
      <c r="B339" s="35" t="s">
        <v>342</v>
      </c>
      <c r="C339" s="36">
        <v>7600</v>
      </c>
      <c r="D339" s="6"/>
      <c r="E339" s="113">
        <v>2165379490</v>
      </c>
      <c r="F339" s="116">
        <f t="shared" si="63"/>
        <v>284918.35394736839</v>
      </c>
      <c r="G339" s="117">
        <v>1654512887</v>
      </c>
      <c r="H339" s="117">
        <f t="shared" si="62"/>
        <v>217699.06407894735</v>
      </c>
      <c r="I339" s="7"/>
      <c r="J339" s="10">
        <v>2.4998999999999998</v>
      </c>
      <c r="K339" s="117">
        <v>4136117</v>
      </c>
      <c r="L339" s="120">
        <f t="shared" si="64"/>
        <v>544.22592105263163</v>
      </c>
      <c r="M339" s="122">
        <f t="shared" si="65"/>
        <v>16545128.870000001</v>
      </c>
      <c r="N339" s="116">
        <f t="shared" si="66"/>
        <v>12409011.870000001</v>
      </c>
      <c r="O339" s="123">
        <f t="shared" si="67"/>
        <v>1632.7647197368422</v>
      </c>
      <c r="P339" s="5"/>
      <c r="Q339" s="5">
        <f t="shared" si="69"/>
        <v>1</v>
      </c>
      <c r="R339" s="7">
        <f t="shared" si="70"/>
        <v>7600</v>
      </c>
      <c r="S339" s="5">
        <f t="shared" si="71"/>
        <v>1</v>
      </c>
      <c r="T339" s="7">
        <f t="shared" si="68"/>
        <v>7600</v>
      </c>
    </row>
    <row r="340" spans="1:20">
      <c r="A340" s="23" t="s">
        <v>364</v>
      </c>
      <c r="B340" s="35" t="s">
        <v>365</v>
      </c>
      <c r="C340" s="36">
        <v>14121</v>
      </c>
      <c r="D340" s="6"/>
      <c r="E340" s="113">
        <v>1513915440</v>
      </c>
      <c r="F340" s="116">
        <f t="shared" si="63"/>
        <v>107210.21457403866</v>
      </c>
      <c r="G340" s="117">
        <v>1108401538</v>
      </c>
      <c r="H340" s="117">
        <f t="shared" si="62"/>
        <v>78493.133489129672</v>
      </c>
      <c r="I340" s="7"/>
      <c r="J340" s="10">
        <v>3.3317000000000001</v>
      </c>
      <c r="K340" s="117">
        <v>3692861</v>
      </c>
      <c r="L340" s="120">
        <f t="shared" si="64"/>
        <v>261.51554422491324</v>
      </c>
      <c r="M340" s="122">
        <f t="shared" si="65"/>
        <v>11084015.380000001</v>
      </c>
      <c r="N340" s="116">
        <f t="shared" si="66"/>
        <v>7391154.3800000008</v>
      </c>
      <c r="O340" s="123">
        <f t="shared" si="67"/>
        <v>523.41579066638349</v>
      </c>
      <c r="P340" s="5"/>
      <c r="Q340" s="5">
        <f t="shared" si="69"/>
        <v>1</v>
      </c>
      <c r="R340" s="7">
        <f t="shared" si="70"/>
        <v>14121</v>
      </c>
      <c r="S340" s="5">
        <f t="shared" si="71"/>
        <v>1</v>
      </c>
      <c r="T340" s="7">
        <f t="shared" si="68"/>
        <v>14121</v>
      </c>
    </row>
    <row r="341" spans="1:20">
      <c r="A341" s="23" t="s">
        <v>366</v>
      </c>
      <c r="B341" s="35" t="s">
        <v>365</v>
      </c>
      <c r="C341" s="36">
        <v>17296</v>
      </c>
      <c r="D341" s="6"/>
      <c r="E341" s="113">
        <v>1331686808</v>
      </c>
      <c r="F341" s="116">
        <f t="shared" si="63"/>
        <v>76993.918131359853</v>
      </c>
      <c r="G341" s="117">
        <v>714465299</v>
      </c>
      <c r="H341" s="117">
        <f t="shared" si="62"/>
        <v>41308.123207678073</v>
      </c>
      <c r="I341" s="7"/>
      <c r="J341" s="10">
        <v>3.9962</v>
      </c>
      <c r="K341" s="117">
        <v>2855146</v>
      </c>
      <c r="L341" s="120">
        <f t="shared" si="64"/>
        <v>165.07550878815911</v>
      </c>
      <c r="M341" s="122">
        <f t="shared" si="65"/>
        <v>7144652.9900000002</v>
      </c>
      <c r="N341" s="116">
        <f t="shared" si="66"/>
        <v>4289506.99</v>
      </c>
      <c r="O341" s="123">
        <f t="shared" si="67"/>
        <v>248.00572328862165</v>
      </c>
      <c r="P341" s="5"/>
      <c r="Q341" s="5">
        <f t="shared" si="69"/>
        <v>1</v>
      </c>
      <c r="R341" s="7">
        <f t="shared" si="70"/>
        <v>17296</v>
      </c>
      <c r="S341" s="5">
        <f t="shared" si="71"/>
        <v>1</v>
      </c>
      <c r="T341" s="7">
        <f t="shared" si="68"/>
        <v>17296</v>
      </c>
    </row>
    <row r="342" spans="1:20">
      <c r="A342" s="23" t="s">
        <v>367</v>
      </c>
      <c r="B342" s="35" t="s">
        <v>365</v>
      </c>
      <c r="C342" s="36">
        <v>2705</v>
      </c>
      <c r="D342" s="6"/>
      <c r="E342" s="113">
        <v>286616447</v>
      </c>
      <c r="F342" s="116">
        <f t="shared" si="63"/>
        <v>105958.02107208873</v>
      </c>
      <c r="G342" s="117">
        <v>193679427</v>
      </c>
      <c r="H342" s="117">
        <f t="shared" si="62"/>
        <v>71600.527541589647</v>
      </c>
      <c r="I342" s="7"/>
      <c r="J342" s="10">
        <v>4.5694999999999997</v>
      </c>
      <c r="K342" s="117">
        <v>885018</v>
      </c>
      <c r="L342" s="120">
        <f t="shared" si="64"/>
        <v>327.17855822550831</v>
      </c>
      <c r="M342" s="122">
        <f t="shared" si="65"/>
        <v>1936794.27</v>
      </c>
      <c r="N342" s="116">
        <f t="shared" si="66"/>
        <v>1051776.27</v>
      </c>
      <c r="O342" s="123">
        <f t="shared" si="67"/>
        <v>388.82671719038819</v>
      </c>
      <c r="P342" s="5"/>
      <c r="Q342" s="5">
        <f t="shared" si="69"/>
        <v>1</v>
      </c>
      <c r="R342" s="7">
        <f t="shared" si="70"/>
        <v>2705</v>
      </c>
      <c r="S342" s="5">
        <f t="shared" si="71"/>
        <v>1</v>
      </c>
      <c r="T342" s="7">
        <f t="shared" si="68"/>
        <v>2705</v>
      </c>
    </row>
    <row r="343" spans="1:20">
      <c r="A343" s="23" t="s">
        <v>368</v>
      </c>
      <c r="B343" s="35" t="s">
        <v>365</v>
      </c>
      <c r="C343" s="36">
        <v>3310</v>
      </c>
      <c r="D343" s="6"/>
      <c r="E343" s="113">
        <v>319477455</v>
      </c>
      <c r="F343" s="116">
        <f t="shared" si="63"/>
        <v>96518.868580060429</v>
      </c>
      <c r="G343" s="117">
        <v>192843166</v>
      </c>
      <c r="H343" s="117">
        <f t="shared" si="62"/>
        <v>58260.775226586105</v>
      </c>
      <c r="I343" s="9"/>
      <c r="J343" s="10">
        <v>7</v>
      </c>
      <c r="K343" s="117">
        <v>1349902</v>
      </c>
      <c r="L343" s="120">
        <f t="shared" si="64"/>
        <v>407.82537764350451</v>
      </c>
      <c r="M343" s="122">
        <f t="shared" si="65"/>
        <v>1928431.6600000001</v>
      </c>
      <c r="N343" s="116">
        <f t="shared" si="66"/>
        <v>578529.66000000015</v>
      </c>
      <c r="O343" s="123">
        <f t="shared" si="67"/>
        <v>174.78237462235654</v>
      </c>
      <c r="P343" s="5"/>
      <c r="Q343" s="5">
        <f t="shared" si="69"/>
        <v>1</v>
      </c>
      <c r="R343" s="7">
        <f t="shared" si="70"/>
        <v>3310</v>
      </c>
      <c r="S343" s="5">
        <f t="shared" si="71"/>
        <v>1</v>
      </c>
      <c r="T343" s="7">
        <f t="shared" si="68"/>
        <v>3310</v>
      </c>
    </row>
    <row r="344" spans="1:20">
      <c r="A344" s="23" t="s">
        <v>369</v>
      </c>
      <c r="B344" s="35" t="s">
        <v>365</v>
      </c>
      <c r="C344" s="36">
        <v>2732</v>
      </c>
      <c r="D344" s="6"/>
      <c r="E344" s="113">
        <v>167582520</v>
      </c>
      <c r="F344" s="116">
        <f t="shared" si="63"/>
        <v>61340.600292825766</v>
      </c>
      <c r="G344" s="117">
        <v>85749111</v>
      </c>
      <c r="H344" s="117">
        <f t="shared" si="62"/>
        <v>31386.936676427526</v>
      </c>
      <c r="I344" s="7"/>
      <c r="J344" s="10">
        <v>7.4225000000000003</v>
      </c>
      <c r="K344" s="117">
        <v>636473</v>
      </c>
      <c r="L344" s="120">
        <f t="shared" ref="L344:L361" si="72">(K344/C344)</f>
        <v>232.96961932650072</v>
      </c>
      <c r="M344" s="122">
        <f t="shared" si="65"/>
        <v>857491.11</v>
      </c>
      <c r="N344" s="116">
        <f t="shared" si="66"/>
        <v>221018.11</v>
      </c>
      <c r="O344" s="123">
        <f t="shared" si="67"/>
        <v>80.899747437774522</v>
      </c>
      <c r="P344" s="5"/>
      <c r="Q344" s="5">
        <f t="shared" si="69"/>
        <v>1</v>
      </c>
      <c r="R344" s="7">
        <f t="shared" si="70"/>
        <v>2732</v>
      </c>
      <c r="S344" s="5">
        <f t="shared" si="71"/>
        <v>1</v>
      </c>
      <c r="T344" s="7">
        <f t="shared" si="68"/>
        <v>2732</v>
      </c>
    </row>
    <row r="345" spans="1:20">
      <c r="A345" s="23" t="s">
        <v>370</v>
      </c>
      <c r="B345" s="35" t="s">
        <v>365</v>
      </c>
      <c r="C345" s="36">
        <v>5864</v>
      </c>
      <c r="D345" s="6"/>
      <c r="E345" s="113">
        <v>259367257</v>
      </c>
      <c r="F345" s="116">
        <f t="shared" si="63"/>
        <v>44230.43263983629</v>
      </c>
      <c r="G345" s="117">
        <v>128195483</v>
      </c>
      <c r="H345" s="117">
        <f t="shared" si="62"/>
        <v>21861.439802182809</v>
      </c>
      <c r="I345" s="7"/>
      <c r="J345" s="10">
        <v>3.0434999999999999</v>
      </c>
      <c r="K345" s="117">
        <v>390163</v>
      </c>
      <c r="L345" s="120">
        <f t="shared" si="72"/>
        <v>66.535300136425647</v>
      </c>
      <c r="M345" s="122">
        <f t="shared" si="65"/>
        <v>1281954.83</v>
      </c>
      <c r="N345" s="116">
        <f t="shared" si="66"/>
        <v>891791.83000000007</v>
      </c>
      <c r="O345" s="123">
        <f t="shared" si="67"/>
        <v>152.07909788540246</v>
      </c>
      <c r="P345" s="5"/>
      <c r="Q345" s="5">
        <f t="shared" si="69"/>
        <v>1</v>
      </c>
      <c r="R345" s="7">
        <f t="shared" si="70"/>
        <v>5864</v>
      </c>
      <c r="S345" s="5">
        <f t="shared" si="71"/>
        <v>1</v>
      </c>
      <c r="T345" s="7">
        <f t="shared" si="68"/>
        <v>5864</v>
      </c>
    </row>
    <row r="346" spans="1:20">
      <c r="A346" s="23" t="s">
        <v>371</v>
      </c>
      <c r="B346" s="35" t="s">
        <v>365</v>
      </c>
      <c r="C346" s="36">
        <v>2867</v>
      </c>
      <c r="D346" s="6"/>
      <c r="E346" s="113">
        <v>258694464</v>
      </c>
      <c r="F346" s="116">
        <f t="shared" si="63"/>
        <v>90231.76281827694</v>
      </c>
      <c r="G346" s="117">
        <v>128117375</v>
      </c>
      <c r="H346" s="117">
        <f t="shared" si="62"/>
        <v>44686.911405650506</v>
      </c>
      <c r="I346" s="7"/>
      <c r="J346" s="11">
        <v>7.8209</v>
      </c>
      <c r="K346" s="117">
        <v>1001993</v>
      </c>
      <c r="L346" s="120">
        <f t="shared" si="72"/>
        <v>349.49180327868851</v>
      </c>
      <c r="M346" s="122">
        <f t="shared" si="65"/>
        <v>1281173.75</v>
      </c>
      <c r="N346" s="116">
        <f t="shared" si="66"/>
        <v>279180.75</v>
      </c>
      <c r="O346" s="123">
        <f t="shared" si="67"/>
        <v>97.377310777816533</v>
      </c>
      <c r="P346" s="5"/>
      <c r="Q346" s="5">
        <f t="shared" si="69"/>
        <v>1</v>
      </c>
      <c r="R346" s="7">
        <f t="shared" si="70"/>
        <v>2867</v>
      </c>
      <c r="S346" s="5">
        <f t="shared" si="71"/>
        <v>1</v>
      </c>
      <c r="T346" s="7">
        <f t="shared" si="68"/>
        <v>2867</v>
      </c>
    </row>
    <row r="347" spans="1:20">
      <c r="A347" s="23" t="s">
        <v>372</v>
      </c>
      <c r="B347" s="35" t="s">
        <v>365</v>
      </c>
      <c r="C347" s="36">
        <v>18916</v>
      </c>
      <c r="D347" s="6"/>
      <c r="E347" s="113">
        <v>1626624112</v>
      </c>
      <c r="F347" s="116">
        <f t="shared" si="63"/>
        <v>85991.970395432436</v>
      </c>
      <c r="G347" s="117">
        <v>1185374445</v>
      </c>
      <c r="H347" s="117">
        <f t="shared" si="62"/>
        <v>62665.174719813913</v>
      </c>
      <c r="I347" s="7"/>
      <c r="J347" s="10">
        <v>6.99</v>
      </c>
      <c r="K347" s="117">
        <v>8285767</v>
      </c>
      <c r="L347" s="120">
        <f t="shared" si="72"/>
        <v>438.02955170226261</v>
      </c>
      <c r="M347" s="122">
        <f t="shared" si="65"/>
        <v>11853744.450000001</v>
      </c>
      <c r="N347" s="116">
        <f t="shared" si="66"/>
        <v>3567977.4500000011</v>
      </c>
      <c r="O347" s="123">
        <f t="shared" si="67"/>
        <v>188.62219549587655</v>
      </c>
      <c r="P347" s="5"/>
      <c r="Q347" s="5">
        <f t="shared" si="69"/>
        <v>1</v>
      </c>
      <c r="R347" s="7">
        <f t="shared" si="70"/>
        <v>18916</v>
      </c>
      <c r="S347" s="5">
        <f t="shared" si="71"/>
        <v>1</v>
      </c>
      <c r="T347" s="7">
        <f t="shared" si="68"/>
        <v>18916</v>
      </c>
    </row>
    <row r="348" spans="1:20">
      <c r="A348" s="23" t="s">
        <v>373</v>
      </c>
      <c r="B348" s="35" t="s">
        <v>365</v>
      </c>
      <c r="C348" s="36">
        <v>248</v>
      </c>
      <c r="D348" s="6"/>
      <c r="E348" s="113">
        <v>23758533</v>
      </c>
      <c r="F348" s="116">
        <f t="shared" si="63"/>
        <v>95800.536290322576</v>
      </c>
      <c r="G348" s="117">
        <v>17106284</v>
      </c>
      <c r="H348" s="117">
        <f t="shared" si="62"/>
        <v>68976.951612903227</v>
      </c>
      <c r="I348" s="7"/>
      <c r="J348" s="10">
        <v>7.3160999999999996</v>
      </c>
      <c r="K348" s="117">
        <v>125151</v>
      </c>
      <c r="L348" s="120">
        <f t="shared" si="72"/>
        <v>504.64112903225805</v>
      </c>
      <c r="M348" s="122">
        <f t="shared" si="65"/>
        <v>171062.84</v>
      </c>
      <c r="N348" s="116">
        <f t="shared" si="66"/>
        <v>45911.839999999997</v>
      </c>
      <c r="O348" s="123">
        <f t="shared" si="67"/>
        <v>185.12838709677419</v>
      </c>
      <c r="P348" s="5"/>
      <c r="Q348" s="5">
        <f t="shared" si="69"/>
        <v>1</v>
      </c>
      <c r="R348" s="7">
        <f t="shared" si="70"/>
        <v>248</v>
      </c>
      <c r="S348" s="5">
        <f t="shared" si="71"/>
        <v>1</v>
      </c>
      <c r="T348" s="7">
        <f t="shared" si="68"/>
        <v>248</v>
      </c>
    </row>
    <row r="349" spans="1:20">
      <c r="A349" s="23" t="s">
        <v>374</v>
      </c>
      <c r="B349" s="35" t="s">
        <v>365</v>
      </c>
      <c r="C349" s="36">
        <v>256</v>
      </c>
      <c r="D349" s="6"/>
      <c r="E349" s="113">
        <v>22689933</v>
      </c>
      <c r="F349" s="116">
        <f t="shared" si="63"/>
        <v>88632.55078125</v>
      </c>
      <c r="G349" s="117">
        <v>11918298</v>
      </c>
      <c r="H349" s="117">
        <f t="shared" si="62"/>
        <v>46555.8515625</v>
      </c>
      <c r="I349" s="7"/>
      <c r="J349" s="10">
        <v>0.31490000000000001</v>
      </c>
      <c r="K349" s="117">
        <v>3753</v>
      </c>
      <c r="L349" s="120">
        <f t="shared" si="72"/>
        <v>14.66015625</v>
      </c>
      <c r="M349" s="122">
        <f t="shared" si="65"/>
        <v>119182.98</v>
      </c>
      <c r="N349" s="116">
        <f t="shared" si="66"/>
        <v>115429.98</v>
      </c>
      <c r="O349" s="123">
        <f t="shared" si="67"/>
        <v>450.89835937499998</v>
      </c>
      <c r="P349" s="5"/>
      <c r="Q349" s="5">
        <f t="shared" si="69"/>
        <v>1</v>
      </c>
      <c r="R349" s="7">
        <f t="shared" si="70"/>
        <v>256</v>
      </c>
      <c r="S349" s="5">
        <f t="shared" si="71"/>
        <v>1</v>
      </c>
      <c r="T349" s="7">
        <f t="shared" si="68"/>
        <v>256</v>
      </c>
    </row>
    <row r="350" spans="1:20">
      <c r="A350" s="23" t="s">
        <v>375</v>
      </c>
      <c r="B350" s="35" t="s">
        <v>365</v>
      </c>
      <c r="C350" s="36">
        <v>4562</v>
      </c>
      <c r="D350" s="6"/>
      <c r="E350" s="113">
        <v>375991531</v>
      </c>
      <c r="F350" s="116">
        <f t="shared" si="63"/>
        <v>82418.134809294163</v>
      </c>
      <c r="G350" s="117">
        <v>227246243</v>
      </c>
      <c r="H350" s="117">
        <f t="shared" si="62"/>
        <v>49812.854669004824</v>
      </c>
      <c r="I350" s="7"/>
      <c r="J350" s="10">
        <v>6.58</v>
      </c>
      <c r="K350" s="117">
        <v>1495280</v>
      </c>
      <c r="L350" s="120">
        <f t="shared" si="72"/>
        <v>327.76852257781673</v>
      </c>
      <c r="M350" s="122">
        <f t="shared" si="65"/>
        <v>2272462.4300000002</v>
      </c>
      <c r="N350" s="116">
        <f t="shared" si="66"/>
        <v>777182.43000000017</v>
      </c>
      <c r="O350" s="123">
        <f t="shared" si="67"/>
        <v>170.36002411223151</v>
      </c>
      <c r="P350" s="5"/>
      <c r="Q350" s="5">
        <f t="shared" si="69"/>
        <v>1</v>
      </c>
      <c r="R350" s="7">
        <f t="shared" si="70"/>
        <v>4562</v>
      </c>
      <c r="S350" s="5">
        <f t="shared" si="71"/>
        <v>1</v>
      </c>
      <c r="T350" s="7">
        <f t="shared" si="68"/>
        <v>4562</v>
      </c>
    </row>
    <row r="351" spans="1:20">
      <c r="A351" s="23" t="s">
        <v>376</v>
      </c>
      <c r="B351" s="35" t="s">
        <v>365</v>
      </c>
      <c r="C351" s="36">
        <v>1409</v>
      </c>
      <c r="D351" s="6"/>
      <c r="E351" s="113">
        <v>129750725</v>
      </c>
      <c r="F351" s="116">
        <f t="shared" si="63"/>
        <v>92087.100780695531</v>
      </c>
      <c r="G351" s="117">
        <v>84522856</v>
      </c>
      <c r="H351" s="117">
        <f t="shared" si="62"/>
        <v>59987.832505322927</v>
      </c>
      <c r="I351" s="7"/>
      <c r="J351" s="10">
        <v>6</v>
      </c>
      <c r="K351" s="117">
        <v>507137</v>
      </c>
      <c r="L351" s="120">
        <f t="shared" si="72"/>
        <v>359.92689850958124</v>
      </c>
      <c r="M351" s="122">
        <f t="shared" si="65"/>
        <v>845228.56</v>
      </c>
      <c r="N351" s="116">
        <f t="shared" si="66"/>
        <v>338091.56000000006</v>
      </c>
      <c r="O351" s="123">
        <f t="shared" si="67"/>
        <v>239.95142654364801</v>
      </c>
      <c r="P351" s="5"/>
      <c r="Q351" s="5">
        <f t="shared" si="69"/>
        <v>1</v>
      </c>
      <c r="R351" s="7">
        <f t="shared" si="70"/>
        <v>1409</v>
      </c>
      <c r="S351" s="5">
        <f t="shared" si="71"/>
        <v>1</v>
      </c>
      <c r="T351" s="7">
        <f t="shared" si="68"/>
        <v>1409</v>
      </c>
    </row>
    <row r="352" spans="1:20">
      <c r="A352" s="23" t="s">
        <v>377</v>
      </c>
      <c r="B352" s="35" t="s">
        <v>365</v>
      </c>
      <c r="C352" s="36">
        <v>13052</v>
      </c>
      <c r="D352" s="6"/>
      <c r="E352" s="113">
        <v>1219961445</v>
      </c>
      <c r="F352" s="116">
        <f t="shared" si="63"/>
        <v>93469.310833588723</v>
      </c>
      <c r="G352" s="117">
        <v>837227923</v>
      </c>
      <c r="H352" s="117">
        <f t="shared" ref="H352:H382" si="73">(G352/C352)</f>
        <v>64145.565660435183</v>
      </c>
      <c r="I352" s="9"/>
      <c r="J352" s="10">
        <v>7.3277000000000001</v>
      </c>
      <c r="K352" s="117">
        <v>6134955</v>
      </c>
      <c r="L352" s="120">
        <f t="shared" si="72"/>
        <v>470.03945755439781</v>
      </c>
      <c r="M352" s="122">
        <f t="shared" si="65"/>
        <v>8372279.2300000004</v>
      </c>
      <c r="N352" s="116">
        <f t="shared" si="66"/>
        <v>2237324.2300000004</v>
      </c>
      <c r="O352" s="123">
        <f t="shared" si="67"/>
        <v>171.41619904995406</v>
      </c>
      <c r="P352" s="5"/>
      <c r="Q352" s="5">
        <f t="shared" si="69"/>
        <v>1</v>
      </c>
      <c r="R352" s="7">
        <f t="shared" si="70"/>
        <v>13052</v>
      </c>
      <c r="S352" s="5">
        <f t="shared" si="71"/>
        <v>1</v>
      </c>
      <c r="T352" s="7">
        <f t="shared" si="68"/>
        <v>13052</v>
      </c>
    </row>
    <row r="353" spans="1:20">
      <c r="A353" s="23" t="s">
        <v>378</v>
      </c>
      <c r="B353" s="35" t="s">
        <v>365</v>
      </c>
      <c r="C353" s="36">
        <v>93508</v>
      </c>
      <c r="D353" s="6"/>
      <c r="E353" s="113">
        <v>9107471707</v>
      </c>
      <c r="F353" s="116">
        <f t="shared" ref="F353:F382" si="74">(E353/C353)</f>
        <v>97397.781013389234</v>
      </c>
      <c r="G353" s="117">
        <v>5977719387</v>
      </c>
      <c r="H353" s="117">
        <f t="shared" si="73"/>
        <v>63927.357947983059</v>
      </c>
      <c r="I353" s="9"/>
      <c r="J353" s="10">
        <v>3.4030999999999998</v>
      </c>
      <c r="K353" s="117">
        <v>20342777</v>
      </c>
      <c r="L353" s="120">
        <f t="shared" si="72"/>
        <v>217.5511934807717</v>
      </c>
      <c r="M353" s="122">
        <f t="shared" si="65"/>
        <v>59777193.870000005</v>
      </c>
      <c r="N353" s="116">
        <f t="shared" si="66"/>
        <v>39434416.870000005</v>
      </c>
      <c r="O353" s="123">
        <f t="shared" si="67"/>
        <v>421.72238599905893</v>
      </c>
      <c r="P353" s="5"/>
      <c r="Q353" s="5">
        <f t="shared" si="69"/>
        <v>1</v>
      </c>
      <c r="R353" s="7">
        <f t="shared" si="70"/>
        <v>93508</v>
      </c>
      <c r="S353" s="5">
        <f t="shared" si="71"/>
        <v>1</v>
      </c>
      <c r="T353" s="7">
        <f t="shared" si="68"/>
        <v>93508</v>
      </c>
    </row>
    <row r="354" spans="1:20">
      <c r="A354" s="23" t="s">
        <v>379</v>
      </c>
      <c r="B354" s="35" t="s">
        <v>365</v>
      </c>
      <c r="C354" s="36">
        <v>3467</v>
      </c>
      <c r="D354" s="6"/>
      <c r="E354" s="113">
        <v>277833267</v>
      </c>
      <c r="F354" s="116">
        <f t="shared" si="74"/>
        <v>80136.506201326789</v>
      </c>
      <c r="G354" s="117">
        <v>190844375</v>
      </c>
      <c r="H354" s="117">
        <f t="shared" si="73"/>
        <v>55045.969137582928</v>
      </c>
      <c r="I354" s="9"/>
      <c r="J354" s="10">
        <v>8.0572999999999997</v>
      </c>
      <c r="K354" s="117">
        <v>1537690</v>
      </c>
      <c r="L354" s="120">
        <f t="shared" si="72"/>
        <v>443.52177675223538</v>
      </c>
      <c r="M354" s="122">
        <f t="shared" si="65"/>
        <v>1908443.75</v>
      </c>
      <c r="N354" s="116">
        <f t="shared" si="66"/>
        <v>370753.75</v>
      </c>
      <c r="O354" s="123">
        <f t="shared" si="67"/>
        <v>106.93791462359388</v>
      </c>
      <c r="P354" s="5"/>
      <c r="Q354" s="5">
        <f t="shared" si="69"/>
        <v>1</v>
      </c>
      <c r="R354" s="7">
        <f t="shared" si="70"/>
        <v>3467</v>
      </c>
      <c r="S354" s="5">
        <f t="shared" si="71"/>
        <v>1</v>
      </c>
      <c r="T354" s="7">
        <f t="shared" si="68"/>
        <v>3467</v>
      </c>
    </row>
    <row r="355" spans="1:20">
      <c r="A355" s="23" t="s">
        <v>380</v>
      </c>
      <c r="B355" s="35" t="s">
        <v>365</v>
      </c>
      <c r="C355" s="36">
        <v>1751</v>
      </c>
      <c r="D355" s="6"/>
      <c r="E355" s="113">
        <v>133796848</v>
      </c>
      <c r="F355" s="116">
        <f t="shared" si="74"/>
        <v>76411.677898343798</v>
      </c>
      <c r="G355" s="117">
        <v>91770912</v>
      </c>
      <c r="H355" s="117">
        <f t="shared" si="73"/>
        <v>52410.572244431751</v>
      </c>
      <c r="I355" s="7"/>
      <c r="J355" s="10">
        <v>6.7424999999999997</v>
      </c>
      <c r="K355" s="117">
        <v>618765</v>
      </c>
      <c r="L355" s="120">
        <f t="shared" si="72"/>
        <v>353.3780696744717</v>
      </c>
      <c r="M355" s="122">
        <f t="shared" si="65"/>
        <v>917709.12</v>
      </c>
      <c r="N355" s="116">
        <f t="shared" si="66"/>
        <v>298944.12</v>
      </c>
      <c r="O355" s="123">
        <f t="shared" si="67"/>
        <v>170.7276527698458</v>
      </c>
      <c r="P355" s="5"/>
      <c r="Q355" s="5">
        <f t="shared" si="69"/>
        <v>1</v>
      </c>
      <c r="R355" s="7">
        <f t="shared" si="70"/>
        <v>1751</v>
      </c>
      <c r="S355" s="5">
        <f t="shared" si="71"/>
        <v>1</v>
      </c>
      <c r="T355" s="7">
        <f t="shared" si="68"/>
        <v>1751</v>
      </c>
    </row>
    <row r="356" spans="1:20">
      <c r="A356" s="23" t="s">
        <v>381</v>
      </c>
      <c r="B356" s="35" t="s">
        <v>365</v>
      </c>
      <c r="C356" s="36">
        <v>34404</v>
      </c>
      <c r="D356" s="6"/>
      <c r="E356" s="113">
        <v>3221071328</v>
      </c>
      <c r="F356" s="116">
        <f t="shared" si="74"/>
        <v>93624.907801418434</v>
      </c>
      <c r="G356" s="117">
        <v>2214805838</v>
      </c>
      <c r="H356" s="117">
        <f t="shared" si="73"/>
        <v>64376.40501104523</v>
      </c>
      <c r="I356" s="7"/>
      <c r="J356" s="10">
        <v>5.79</v>
      </c>
      <c r="K356" s="117">
        <v>12823726</v>
      </c>
      <c r="L356" s="120">
        <f t="shared" si="72"/>
        <v>372.73939076851531</v>
      </c>
      <c r="M356" s="122">
        <f t="shared" si="65"/>
        <v>22148058.379999999</v>
      </c>
      <c r="N356" s="116">
        <f t="shared" si="66"/>
        <v>9324332.379999999</v>
      </c>
      <c r="O356" s="123">
        <f t="shared" si="67"/>
        <v>271.02465934193697</v>
      </c>
      <c r="P356" s="5"/>
      <c r="Q356" s="5">
        <f t="shared" si="69"/>
        <v>1</v>
      </c>
      <c r="R356" s="7">
        <f t="shared" si="70"/>
        <v>34404</v>
      </c>
      <c r="S356" s="5">
        <f t="shared" si="71"/>
        <v>1</v>
      </c>
      <c r="T356" s="7">
        <f t="shared" si="68"/>
        <v>34404</v>
      </c>
    </row>
    <row r="357" spans="1:20">
      <c r="A357" s="23" t="s">
        <v>382</v>
      </c>
      <c r="B357" s="35" t="s">
        <v>383</v>
      </c>
      <c r="C357" s="36">
        <v>1742</v>
      </c>
      <c r="D357" s="6"/>
      <c r="E357" s="113">
        <v>131414122</v>
      </c>
      <c r="F357" s="116">
        <f t="shared" si="74"/>
        <v>75438.646383467276</v>
      </c>
      <c r="G357" s="117">
        <v>69071716</v>
      </c>
      <c r="H357" s="117">
        <f t="shared" si="73"/>
        <v>39650.812858783007</v>
      </c>
      <c r="I357" s="7"/>
      <c r="J357" s="10">
        <v>8.1722999999999999</v>
      </c>
      <c r="K357" s="117">
        <v>564475</v>
      </c>
      <c r="L357" s="120">
        <f t="shared" si="72"/>
        <v>324.03846153846155</v>
      </c>
      <c r="M357" s="122">
        <f t="shared" si="65"/>
        <v>690717.16</v>
      </c>
      <c r="N357" s="116">
        <f t="shared" si="66"/>
        <v>126242.16000000003</v>
      </c>
      <c r="O357" s="123">
        <f t="shared" si="67"/>
        <v>72.469667049368567</v>
      </c>
      <c r="P357" s="5"/>
      <c r="Q357" s="5">
        <f t="shared" si="69"/>
        <v>1</v>
      </c>
      <c r="R357" s="7">
        <f t="shared" si="70"/>
        <v>1742</v>
      </c>
      <c r="S357" s="5">
        <f t="shared" si="71"/>
        <v>1</v>
      </c>
      <c r="T357" s="7">
        <f t="shared" si="68"/>
        <v>1742</v>
      </c>
    </row>
    <row r="358" spans="1:20">
      <c r="A358" s="23" t="s">
        <v>384</v>
      </c>
      <c r="B358" s="35" t="s">
        <v>383</v>
      </c>
      <c r="C358" s="36">
        <v>1564</v>
      </c>
      <c r="D358" s="6"/>
      <c r="E358" s="113">
        <v>139982662</v>
      </c>
      <c r="F358" s="116">
        <f t="shared" si="74"/>
        <v>89502.980818414318</v>
      </c>
      <c r="G358" s="117">
        <v>69086080</v>
      </c>
      <c r="H358" s="117">
        <f t="shared" si="73"/>
        <v>44172.685421994887</v>
      </c>
      <c r="I358" s="7"/>
      <c r="J358" s="10">
        <v>8.4657999999999998</v>
      </c>
      <c r="K358" s="117">
        <v>584869</v>
      </c>
      <c r="L358" s="120">
        <f t="shared" si="72"/>
        <v>373.95716112531971</v>
      </c>
      <c r="M358" s="122">
        <f t="shared" si="65"/>
        <v>690860.8</v>
      </c>
      <c r="N358" s="116">
        <f t="shared" si="66"/>
        <v>105991.80000000005</v>
      </c>
      <c r="O358" s="123">
        <f t="shared" si="67"/>
        <v>67.76969309462919</v>
      </c>
      <c r="P358" s="5"/>
      <c r="Q358" s="5">
        <f t="shared" si="69"/>
        <v>1</v>
      </c>
      <c r="R358" s="7">
        <f t="shared" si="70"/>
        <v>1564</v>
      </c>
      <c r="S358" s="5">
        <f t="shared" si="71"/>
        <v>1</v>
      </c>
      <c r="T358" s="7">
        <f t="shared" si="68"/>
        <v>1564</v>
      </c>
    </row>
    <row r="359" spans="1:20">
      <c r="A359" s="23" t="s">
        <v>385</v>
      </c>
      <c r="B359" s="35" t="s">
        <v>383</v>
      </c>
      <c r="C359" s="36">
        <v>11264</v>
      </c>
      <c r="D359" s="6"/>
      <c r="E359" s="113">
        <v>858853894</v>
      </c>
      <c r="F359" s="116">
        <f t="shared" si="74"/>
        <v>76247.682350852279</v>
      </c>
      <c r="G359" s="117">
        <v>421346887</v>
      </c>
      <c r="H359" s="117">
        <f t="shared" si="73"/>
        <v>37406.506303267044</v>
      </c>
      <c r="I359" s="7"/>
      <c r="J359" s="10">
        <v>8.65</v>
      </c>
      <c r="K359" s="117">
        <v>3644651</v>
      </c>
      <c r="L359" s="120">
        <f t="shared" si="72"/>
        <v>323.56631747159093</v>
      </c>
      <c r="M359" s="122">
        <f t="shared" si="65"/>
        <v>4213468.87</v>
      </c>
      <c r="N359" s="116">
        <f t="shared" si="66"/>
        <v>568817.87000000011</v>
      </c>
      <c r="O359" s="123">
        <f t="shared" si="67"/>
        <v>50.498745561079552</v>
      </c>
      <c r="P359" s="5"/>
      <c r="Q359" s="5">
        <f t="shared" si="69"/>
        <v>1</v>
      </c>
      <c r="R359" s="7">
        <f t="shared" si="70"/>
        <v>11264</v>
      </c>
      <c r="S359" s="5">
        <f t="shared" si="71"/>
        <v>1</v>
      </c>
      <c r="T359" s="7">
        <f t="shared" si="68"/>
        <v>11264</v>
      </c>
    </row>
    <row r="360" spans="1:20">
      <c r="A360" s="23" t="s">
        <v>386</v>
      </c>
      <c r="B360" s="35" t="s">
        <v>383</v>
      </c>
      <c r="C360" s="36">
        <v>787</v>
      </c>
      <c r="D360" s="6"/>
      <c r="E360" s="113">
        <v>56452233</v>
      </c>
      <c r="F360" s="116">
        <f t="shared" si="74"/>
        <v>71730.918678526054</v>
      </c>
      <c r="G360" s="117">
        <v>32221652</v>
      </c>
      <c r="H360" s="117">
        <f t="shared" si="73"/>
        <v>40942.37865311309</v>
      </c>
      <c r="I360" s="7"/>
      <c r="J360" s="10">
        <v>5.0867000000000004</v>
      </c>
      <c r="K360" s="117">
        <v>163902</v>
      </c>
      <c r="L360" s="120">
        <f t="shared" si="72"/>
        <v>208.26175349428209</v>
      </c>
      <c r="M360" s="122">
        <f t="shared" si="65"/>
        <v>322216.52</v>
      </c>
      <c r="N360" s="116">
        <f t="shared" si="66"/>
        <v>158314.52000000002</v>
      </c>
      <c r="O360" s="123">
        <f t="shared" si="67"/>
        <v>201.16203303684881</v>
      </c>
      <c r="P360" s="5"/>
      <c r="Q360" s="5">
        <f t="shared" si="69"/>
        <v>1</v>
      </c>
      <c r="R360" s="7">
        <f t="shared" si="70"/>
        <v>787</v>
      </c>
      <c r="S360" s="5">
        <f t="shared" si="71"/>
        <v>1</v>
      </c>
      <c r="T360" s="7">
        <f t="shared" si="68"/>
        <v>787</v>
      </c>
    </row>
    <row r="361" spans="1:20">
      <c r="A361" s="23" t="s">
        <v>387</v>
      </c>
      <c r="B361" s="35" t="s">
        <v>383</v>
      </c>
      <c r="C361" s="36">
        <v>731</v>
      </c>
      <c r="D361" s="6"/>
      <c r="E361" s="113">
        <v>101121394</v>
      </c>
      <c r="F361" s="116">
        <f t="shared" si="74"/>
        <v>138332.96032831736</v>
      </c>
      <c r="G361" s="117">
        <v>75306176</v>
      </c>
      <c r="H361" s="117">
        <f t="shared" si="73"/>
        <v>103018.02462380301</v>
      </c>
      <c r="I361" s="7"/>
      <c r="J361" s="10">
        <v>5.5049999999999999</v>
      </c>
      <c r="K361" s="117">
        <v>414560</v>
      </c>
      <c r="L361" s="120">
        <f t="shared" si="72"/>
        <v>567.11354309165529</v>
      </c>
      <c r="M361" s="122">
        <f t="shared" si="65"/>
        <v>753061.76</v>
      </c>
      <c r="N361" s="116">
        <f t="shared" si="66"/>
        <v>338501.76</v>
      </c>
      <c r="O361" s="123">
        <f t="shared" si="67"/>
        <v>463.06670314637483</v>
      </c>
      <c r="P361" s="5"/>
      <c r="Q361" s="5">
        <f t="shared" si="69"/>
        <v>1</v>
      </c>
      <c r="R361" s="7">
        <f t="shared" si="70"/>
        <v>731</v>
      </c>
      <c r="S361" s="5">
        <f t="shared" si="71"/>
        <v>1</v>
      </c>
      <c r="T361" s="7">
        <f t="shared" si="68"/>
        <v>731</v>
      </c>
    </row>
    <row r="362" spans="1:20">
      <c r="A362" s="23" t="s">
        <v>390</v>
      </c>
      <c r="B362" s="35" t="s">
        <v>391</v>
      </c>
      <c r="C362" s="36">
        <v>5780</v>
      </c>
      <c r="D362" s="6"/>
      <c r="E362" s="113">
        <v>1162576796</v>
      </c>
      <c r="F362" s="116">
        <f t="shared" si="74"/>
        <v>201137.85397923875</v>
      </c>
      <c r="G362" s="117">
        <v>678088853</v>
      </c>
      <c r="H362" s="117">
        <f t="shared" si="73"/>
        <v>117316.41055363322</v>
      </c>
      <c r="I362" s="9" t="s">
        <v>528</v>
      </c>
      <c r="J362" s="10"/>
      <c r="K362" s="117"/>
      <c r="L362" s="120"/>
      <c r="M362" s="122">
        <f t="shared" si="65"/>
        <v>6780888.5300000003</v>
      </c>
      <c r="N362" s="116">
        <f t="shared" si="66"/>
        <v>6780888.5300000003</v>
      </c>
      <c r="O362" s="123">
        <f t="shared" si="67"/>
        <v>1173.1641055363323</v>
      </c>
      <c r="P362" s="5"/>
      <c r="Q362" s="5">
        <f t="shared" si="69"/>
        <v>1</v>
      </c>
      <c r="R362" s="7">
        <f t="shared" si="70"/>
        <v>5780</v>
      </c>
      <c r="S362" s="5">
        <f t="shared" si="71"/>
        <v>0</v>
      </c>
      <c r="T362" s="7">
        <f t="shared" si="68"/>
        <v>0</v>
      </c>
    </row>
    <row r="363" spans="1:20">
      <c r="A363" s="23" t="s">
        <v>392</v>
      </c>
      <c r="B363" s="35" t="s">
        <v>391</v>
      </c>
      <c r="C363" s="36">
        <v>526</v>
      </c>
      <c r="D363" s="6"/>
      <c r="E363" s="113">
        <v>63248681</v>
      </c>
      <c r="F363" s="116">
        <f t="shared" si="74"/>
        <v>120244.64068441065</v>
      </c>
      <c r="G363" s="117">
        <v>40560756</v>
      </c>
      <c r="H363" s="117">
        <f t="shared" si="73"/>
        <v>77111.703422053237</v>
      </c>
      <c r="I363" s="9" t="s">
        <v>528</v>
      </c>
      <c r="J363" s="10"/>
      <c r="K363" s="117"/>
      <c r="L363" s="120"/>
      <c r="M363" s="122">
        <f t="shared" si="65"/>
        <v>405607.56</v>
      </c>
      <c r="N363" s="116">
        <f t="shared" si="66"/>
        <v>405607.56</v>
      </c>
      <c r="O363" s="123">
        <f t="shared" si="67"/>
        <v>771.11703422053233</v>
      </c>
      <c r="P363" s="5"/>
      <c r="Q363" s="5">
        <f t="shared" si="69"/>
        <v>1</v>
      </c>
      <c r="R363" s="7">
        <f t="shared" si="70"/>
        <v>526</v>
      </c>
      <c r="S363" s="5">
        <f t="shared" si="71"/>
        <v>0</v>
      </c>
      <c r="T363" s="7">
        <f t="shared" si="68"/>
        <v>0</v>
      </c>
    </row>
    <row r="364" spans="1:20">
      <c r="A364" s="23" t="s">
        <v>393</v>
      </c>
      <c r="B364" s="35" t="s">
        <v>391</v>
      </c>
      <c r="C364" s="36">
        <v>7971</v>
      </c>
      <c r="D364" s="6"/>
      <c r="E364" s="113">
        <v>600320855</v>
      </c>
      <c r="F364" s="116">
        <f t="shared" si="74"/>
        <v>75313.116923848953</v>
      </c>
      <c r="G364" s="117">
        <v>329625797</v>
      </c>
      <c r="H364" s="117">
        <f t="shared" si="73"/>
        <v>41353.129720235855</v>
      </c>
      <c r="I364" s="9" t="s">
        <v>528</v>
      </c>
      <c r="J364" s="10"/>
      <c r="K364" s="117"/>
      <c r="L364" s="120"/>
      <c r="M364" s="122">
        <f t="shared" si="65"/>
        <v>3296257.97</v>
      </c>
      <c r="N364" s="116">
        <f t="shared" si="66"/>
        <v>3296257.97</v>
      </c>
      <c r="O364" s="123">
        <f t="shared" si="67"/>
        <v>413.53129720235859</v>
      </c>
      <c r="P364" s="5"/>
      <c r="Q364" s="5">
        <f t="shared" si="69"/>
        <v>1</v>
      </c>
      <c r="R364" s="7">
        <f t="shared" si="70"/>
        <v>7971</v>
      </c>
      <c r="S364" s="5">
        <f t="shared" si="71"/>
        <v>0</v>
      </c>
      <c r="T364" s="7">
        <f t="shared" si="68"/>
        <v>0</v>
      </c>
    </row>
    <row r="365" spans="1:20">
      <c r="A365" s="23" t="s">
        <v>394</v>
      </c>
      <c r="B365" s="35" t="s">
        <v>395</v>
      </c>
      <c r="C365" s="36">
        <v>56316</v>
      </c>
      <c r="D365" s="6"/>
      <c r="E365" s="113">
        <v>5220536320</v>
      </c>
      <c r="F365" s="116">
        <f t="shared" si="74"/>
        <v>92700.765679380638</v>
      </c>
      <c r="G365" s="117">
        <v>3819218841</v>
      </c>
      <c r="H365" s="117">
        <f t="shared" si="73"/>
        <v>67817.651129341568</v>
      </c>
      <c r="I365" s="7"/>
      <c r="J365" s="10">
        <v>2.9805000000000001</v>
      </c>
      <c r="K365" s="117">
        <v>11383182</v>
      </c>
      <c r="L365" s="120">
        <f t="shared" ref="L365:L382" si="75">(K365/C365)</f>
        <v>202.13051353079055</v>
      </c>
      <c r="M365" s="122">
        <f t="shared" si="65"/>
        <v>38192188.410000004</v>
      </c>
      <c r="N365" s="116">
        <f t="shared" si="66"/>
        <v>26809006.410000004</v>
      </c>
      <c r="O365" s="123">
        <f t="shared" si="67"/>
        <v>476.04599776262523</v>
      </c>
      <c r="P365" s="5"/>
      <c r="Q365" s="5">
        <f t="shared" si="69"/>
        <v>1</v>
      </c>
      <c r="R365" s="7">
        <f t="shared" si="70"/>
        <v>56316</v>
      </c>
      <c r="S365" s="5">
        <f t="shared" si="71"/>
        <v>1</v>
      </c>
      <c r="T365" s="7">
        <f t="shared" si="68"/>
        <v>56316</v>
      </c>
    </row>
    <row r="366" spans="1:20">
      <c r="A366" s="23" t="s">
        <v>395</v>
      </c>
      <c r="B366" s="35" t="s">
        <v>395</v>
      </c>
      <c r="C366" s="36">
        <v>55174</v>
      </c>
      <c r="D366" s="6"/>
      <c r="E366" s="113">
        <v>13645188915</v>
      </c>
      <c r="F366" s="116">
        <f t="shared" si="74"/>
        <v>247311.93886613261</v>
      </c>
      <c r="G366" s="117">
        <v>9197113847</v>
      </c>
      <c r="H366" s="117">
        <f t="shared" si="73"/>
        <v>166692.89605611339</v>
      </c>
      <c r="I366" s="7"/>
      <c r="J366" s="10">
        <v>2.7770999999999999</v>
      </c>
      <c r="K366" s="117">
        <v>25541305</v>
      </c>
      <c r="L366" s="120">
        <f t="shared" si="75"/>
        <v>462.9228440932323</v>
      </c>
      <c r="M366" s="122">
        <f t="shared" si="65"/>
        <v>91971138.469999999</v>
      </c>
      <c r="N366" s="116">
        <f t="shared" si="66"/>
        <v>66429833.469999999</v>
      </c>
      <c r="O366" s="123">
        <f t="shared" si="67"/>
        <v>1204.0061164679016</v>
      </c>
      <c r="P366" s="5"/>
      <c r="Q366" s="5">
        <f t="shared" si="69"/>
        <v>1</v>
      </c>
      <c r="R366" s="7">
        <f t="shared" si="70"/>
        <v>55174</v>
      </c>
      <c r="S366" s="5">
        <f t="shared" si="71"/>
        <v>1</v>
      </c>
      <c r="T366" s="7">
        <f t="shared" si="68"/>
        <v>55174</v>
      </c>
    </row>
    <row r="367" spans="1:20">
      <c r="A367" s="23" t="s">
        <v>396</v>
      </c>
      <c r="B367" s="35" t="s">
        <v>395</v>
      </c>
      <c r="C367" s="36">
        <v>22146</v>
      </c>
      <c r="D367" s="6"/>
      <c r="E367" s="113">
        <v>4793978317</v>
      </c>
      <c r="F367" s="116">
        <f t="shared" si="74"/>
        <v>216471.52158403324</v>
      </c>
      <c r="G367" s="117">
        <v>3649654685</v>
      </c>
      <c r="H367" s="117">
        <f t="shared" si="73"/>
        <v>164799.72387790121</v>
      </c>
      <c r="I367" s="7"/>
      <c r="J367" s="10">
        <v>2.7789999999999999</v>
      </c>
      <c r="K367" s="117">
        <v>10142390</v>
      </c>
      <c r="L367" s="120">
        <f t="shared" si="75"/>
        <v>457.97841596676602</v>
      </c>
      <c r="M367" s="122">
        <f t="shared" si="65"/>
        <v>36496546.850000001</v>
      </c>
      <c r="N367" s="116">
        <f t="shared" si="66"/>
        <v>26354156.850000001</v>
      </c>
      <c r="O367" s="123">
        <f t="shared" si="67"/>
        <v>1190.0188228122461</v>
      </c>
      <c r="P367" s="5"/>
      <c r="Q367" s="5">
        <f t="shared" si="69"/>
        <v>1</v>
      </c>
      <c r="R367" s="7">
        <f t="shared" si="70"/>
        <v>22146</v>
      </c>
      <c r="S367" s="5">
        <f t="shared" si="71"/>
        <v>1</v>
      </c>
      <c r="T367" s="7">
        <f t="shared" si="68"/>
        <v>22146</v>
      </c>
    </row>
    <row r="368" spans="1:20">
      <c r="A368" s="23" t="s">
        <v>397</v>
      </c>
      <c r="B368" s="35" t="s">
        <v>360</v>
      </c>
      <c r="C368" s="36">
        <v>43243</v>
      </c>
      <c r="D368" s="6"/>
      <c r="E368" s="113">
        <v>4601951147</v>
      </c>
      <c r="F368" s="116">
        <f t="shared" si="74"/>
        <v>106420.71889091877</v>
      </c>
      <c r="G368" s="117">
        <v>3512388109</v>
      </c>
      <c r="H368" s="117">
        <f t="shared" si="73"/>
        <v>81224.431908054481</v>
      </c>
      <c r="I368" s="7"/>
      <c r="J368" s="10">
        <v>2.6352000000000002</v>
      </c>
      <c r="K368" s="117">
        <v>9255845</v>
      </c>
      <c r="L368" s="120">
        <f t="shared" si="75"/>
        <v>214.04261961473534</v>
      </c>
      <c r="M368" s="122">
        <f t="shared" si="65"/>
        <v>35123881.090000004</v>
      </c>
      <c r="N368" s="116">
        <f t="shared" si="66"/>
        <v>25868036.090000004</v>
      </c>
      <c r="O368" s="123">
        <f t="shared" si="67"/>
        <v>598.20169946580961</v>
      </c>
      <c r="P368" s="5"/>
      <c r="Q368" s="5">
        <f t="shared" si="69"/>
        <v>1</v>
      </c>
      <c r="R368" s="7">
        <f t="shared" si="70"/>
        <v>43243</v>
      </c>
      <c r="S368" s="5">
        <f t="shared" si="71"/>
        <v>1</v>
      </c>
      <c r="T368" s="7">
        <f t="shared" si="68"/>
        <v>43243</v>
      </c>
    </row>
    <row r="369" spans="1:20">
      <c r="A369" s="23" t="s">
        <v>398</v>
      </c>
      <c r="B369" s="35" t="s">
        <v>360</v>
      </c>
      <c r="C369" s="36">
        <v>25182</v>
      </c>
      <c r="D369" s="6"/>
      <c r="E369" s="113">
        <v>2185434743</v>
      </c>
      <c r="F369" s="116">
        <f t="shared" si="74"/>
        <v>86785.590620284333</v>
      </c>
      <c r="G369" s="117">
        <v>1503863317</v>
      </c>
      <c r="H369" s="117">
        <f t="shared" si="73"/>
        <v>59719.772734492894</v>
      </c>
      <c r="I369" s="7"/>
      <c r="J369" s="10">
        <v>4.8963000000000001</v>
      </c>
      <c r="K369" s="117">
        <v>7363366</v>
      </c>
      <c r="L369" s="120">
        <f t="shared" si="75"/>
        <v>292.40592486696846</v>
      </c>
      <c r="M369" s="122">
        <f t="shared" si="65"/>
        <v>15038633.17</v>
      </c>
      <c r="N369" s="116">
        <f t="shared" si="66"/>
        <v>7675267.1699999999</v>
      </c>
      <c r="O369" s="123">
        <f t="shared" si="67"/>
        <v>304.79180247796046</v>
      </c>
      <c r="P369" s="5"/>
      <c r="Q369" s="5">
        <f t="shared" si="69"/>
        <v>1</v>
      </c>
      <c r="R369" s="7">
        <f t="shared" si="70"/>
        <v>25182</v>
      </c>
      <c r="S369" s="5">
        <f t="shared" si="71"/>
        <v>1</v>
      </c>
      <c r="T369" s="7">
        <f t="shared" si="68"/>
        <v>25182</v>
      </c>
    </row>
    <row r="370" spans="1:20">
      <c r="A370" s="23" t="s">
        <v>399</v>
      </c>
      <c r="B370" s="35" t="s">
        <v>360</v>
      </c>
      <c r="C370" s="36">
        <v>14944</v>
      </c>
      <c r="D370" s="6"/>
      <c r="E370" s="113">
        <v>2912958180</v>
      </c>
      <c r="F370" s="116">
        <f t="shared" si="74"/>
        <v>194924.93174518202</v>
      </c>
      <c r="G370" s="117">
        <v>2263359204</v>
      </c>
      <c r="H370" s="117">
        <f t="shared" si="73"/>
        <v>151456.0495182013</v>
      </c>
      <c r="I370" s="7"/>
      <c r="J370" s="10">
        <v>3.6355</v>
      </c>
      <c r="K370" s="117">
        <v>8228442</v>
      </c>
      <c r="L370" s="120">
        <f t="shared" si="75"/>
        <v>550.61844218415422</v>
      </c>
      <c r="M370" s="122">
        <f t="shared" si="65"/>
        <v>22633592.039999999</v>
      </c>
      <c r="N370" s="116">
        <f t="shared" si="66"/>
        <v>14405150.039999999</v>
      </c>
      <c r="O370" s="123">
        <f t="shared" si="67"/>
        <v>963.94205299785858</v>
      </c>
      <c r="P370" s="5"/>
      <c r="Q370" s="5">
        <f t="shared" si="69"/>
        <v>1</v>
      </c>
      <c r="R370" s="7">
        <f t="shared" si="70"/>
        <v>14944</v>
      </c>
      <c r="S370" s="5">
        <f t="shared" si="71"/>
        <v>1</v>
      </c>
      <c r="T370" s="7">
        <f t="shared" si="68"/>
        <v>14944</v>
      </c>
    </row>
    <row r="371" spans="1:20">
      <c r="A371" s="23" t="s">
        <v>400</v>
      </c>
      <c r="B371" s="35" t="s">
        <v>360</v>
      </c>
      <c r="C371" s="36">
        <v>14018</v>
      </c>
      <c r="D371" s="6"/>
      <c r="E371" s="113">
        <v>1678999242</v>
      </c>
      <c r="F371" s="116">
        <f t="shared" si="74"/>
        <v>119774.52147239263</v>
      </c>
      <c r="G371" s="117">
        <v>1153039720</v>
      </c>
      <c r="H371" s="117">
        <f t="shared" si="73"/>
        <v>82254.224568412043</v>
      </c>
      <c r="I371" s="7"/>
      <c r="J371" s="10">
        <v>4.99</v>
      </c>
      <c r="K371" s="117">
        <v>5753668</v>
      </c>
      <c r="L371" s="120">
        <f t="shared" si="75"/>
        <v>410.44856612926236</v>
      </c>
      <c r="M371" s="122">
        <f t="shared" si="65"/>
        <v>11530397.200000001</v>
      </c>
      <c r="N371" s="116">
        <f t="shared" si="66"/>
        <v>5776729.2000000011</v>
      </c>
      <c r="O371" s="123">
        <f t="shared" si="67"/>
        <v>412.09367955485811</v>
      </c>
      <c r="P371" s="5"/>
      <c r="Q371" s="5">
        <f t="shared" si="69"/>
        <v>1</v>
      </c>
      <c r="R371" s="7">
        <f t="shared" si="70"/>
        <v>14018</v>
      </c>
      <c r="S371" s="5">
        <f t="shared" si="71"/>
        <v>1</v>
      </c>
      <c r="T371" s="7">
        <f t="shared" si="68"/>
        <v>14018</v>
      </c>
    </row>
    <row r="372" spans="1:20">
      <c r="A372" s="23" t="s">
        <v>401</v>
      </c>
      <c r="B372" s="35" t="s">
        <v>360</v>
      </c>
      <c r="C372" s="36">
        <v>33431</v>
      </c>
      <c r="D372" s="6"/>
      <c r="E372" s="113">
        <v>3379388336</v>
      </c>
      <c r="F372" s="116">
        <f t="shared" si="74"/>
        <v>101085.46965391403</v>
      </c>
      <c r="G372" s="117">
        <v>2279582725</v>
      </c>
      <c r="H372" s="117">
        <f t="shared" si="73"/>
        <v>68187.691812987949</v>
      </c>
      <c r="I372" s="7"/>
      <c r="J372" s="10">
        <v>4.8625999999999996</v>
      </c>
      <c r="K372" s="117">
        <v>11084699</v>
      </c>
      <c r="L372" s="120">
        <f t="shared" si="75"/>
        <v>331.56947144865546</v>
      </c>
      <c r="M372" s="122">
        <f t="shared" si="65"/>
        <v>22795827.25</v>
      </c>
      <c r="N372" s="116">
        <f t="shared" si="66"/>
        <v>11711128.25</v>
      </c>
      <c r="O372" s="123">
        <f t="shared" si="67"/>
        <v>350.30744668122401</v>
      </c>
      <c r="P372" s="5"/>
      <c r="Q372" s="5">
        <f t="shared" si="69"/>
        <v>1</v>
      </c>
      <c r="R372" s="7">
        <f t="shared" si="70"/>
        <v>33431</v>
      </c>
      <c r="S372" s="5">
        <f t="shared" si="71"/>
        <v>1</v>
      </c>
      <c r="T372" s="7">
        <f t="shared" si="68"/>
        <v>33431</v>
      </c>
    </row>
    <row r="373" spans="1:20">
      <c r="A373" s="23" t="s">
        <v>402</v>
      </c>
      <c r="B373" s="35" t="s">
        <v>360</v>
      </c>
      <c r="C373" s="36">
        <v>54306</v>
      </c>
      <c r="D373" s="6"/>
      <c r="E373" s="113">
        <v>4740356741</v>
      </c>
      <c r="F373" s="116">
        <f t="shared" si="74"/>
        <v>87289.742220012515</v>
      </c>
      <c r="G373" s="117">
        <v>3256702908</v>
      </c>
      <c r="H373" s="117">
        <f t="shared" si="73"/>
        <v>59969.486023643796</v>
      </c>
      <c r="I373" s="7"/>
      <c r="J373" s="10">
        <v>6.3250000000000002</v>
      </c>
      <c r="K373" s="117">
        <v>20598646</v>
      </c>
      <c r="L373" s="120">
        <f t="shared" si="75"/>
        <v>379.30700106802198</v>
      </c>
      <c r="M373" s="122">
        <f t="shared" si="65"/>
        <v>32567029.080000002</v>
      </c>
      <c r="N373" s="116">
        <f t="shared" si="66"/>
        <v>11968383.080000002</v>
      </c>
      <c r="O373" s="123">
        <f t="shared" si="67"/>
        <v>220.38785916841604</v>
      </c>
      <c r="P373" s="5"/>
      <c r="Q373" s="5">
        <f t="shared" si="69"/>
        <v>1</v>
      </c>
      <c r="R373" s="7">
        <f t="shared" si="70"/>
        <v>54306</v>
      </c>
      <c r="S373" s="5">
        <f t="shared" si="71"/>
        <v>1</v>
      </c>
      <c r="T373" s="7">
        <f t="shared" si="68"/>
        <v>54306</v>
      </c>
    </row>
    <row r="374" spans="1:20">
      <c r="A374" s="23" t="s">
        <v>403</v>
      </c>
      <c r="B374" s="35" t="s">
        <v>360</v>
      </c>
      <c r="C374" s="36">
        <v>34390</v>
      </c>
      <c r="D374" s="6"/>
      <c r="E374" s="113">
        <v>3301904000</v>
      </c>
      <c r="F374" s="116">
        <f t="shared" si="74"/>
        <v>96013.492294271593</v>
      </c>
      <c r="G374" s="117">
        <v>2009169114</v>
      </c>
      <c r="H374" s="117">
        <f t="shared" si="73"/>
        <v>58423.062343704565</v>
      </c>
      <c r="I374" s="7"/>
      <c r="J374" s="10">
        <v>2.4714</v>
      </c>
      <c r="K374" s="117">
        <v>4965461</v>
      </c>
      <c r="L374" s="120">
        <f t="shared" si="75"/>
        <v>144.38676940971212</v>
      </c>
      <c r="M374" s="122">
        <f t="shared" si="65"/>
        <v>20091691.140000001</v>
      </c>
      <c r="N374" s="116">
        <f t="shared" si="66"/>
        <v>15126230.140000001</v>
      </c>
      <c r="O374" s="123">
        <f t="shared" si="67"/>
        <v>439.84385402733352</v>
      </c>
      <c r="P374" s="5"/>
      <c r="Q374" s="5">
        <f t="shared" si="69"/>
        <v>1</v>
      </c>
      <c r="R374" s="7">
        <f t="shared" si="70"/>
        <v>34390</v>
      </c>
      <c r="S374" s="5">
        <f t="shared" si="71"/>
        <v>1</v>
      </c>
      <c r="T374" s="7">
        <f t="shared" si="68"/>
        <v>34390</v>
      </c>
    </row>
    <row r="375" spans="1:20">
      <c r="A375" s="23" t="s">
        <v>388</v>
      </c>
      <c r="B375" s="35" t="s">
        <v>551</v>
      </c>
      <c r="C375" s="36">
        <v>685</v>
      </c>
      <c r="D375" s="6"/>
      <c r="E375" s="113">
        <v>50789236</v>
      </c>
      <c r="F375" s="116">
        <f t="shared" si="74"/>
        <v>74144.870072992708</v>
      </c>
      <c r="G375" s="117">
        <v>30645216</v>
      </c>
      <c r="H375" s="117">
        <f t="shared" si="73"/>
        <v>44737.541605839418</v>
      </c>
      <c r="I375" s="7"/>
      <c r="J375" s="10">
        <v>8</v>
      </c>
      <c r="K375" s="117">
        <v>245162</v>
      </c>
      <c r="L375" s="120">
        <f t="shared" si="75"/>
        <v>357.90072992700732</v>
      </c>
      <c r="M375" s="122">
        <f t="shared" si="65"/>
        <v>306452.16000000003</v>
      </c>
      <c r="N375" s="116">
        <f t="shared" si="66"/>
        <v>61290.160000000033</v>
      </c>
      <c r="O375" s="123">
        <f t="shared" si="67"/>
        <v>89.474686131386903</v>
      </c>
      <c r="P375" s="5"/>
      <c r="Q375" s="5">
        <f t="shared" si="69"/>
        <v>1</v>
      </c>
      <c r="R375" s="7">
        <f t="shared" si="70"/>
        <v>685</v>
      </c>
      <c r="S375" s="5">
        <f t="shared" si="71"/>
        <v>1</v>
      </c>
      <c r="T375" s="7">
        <f t="shared" si="68"/>
        <v>685</v>
      </c>
    </row>
    <row r="376" spans="1:20">
      <c r="A376" s="23" t="s">
        <v>549</v>
      </c>
      <c r="B376" s="35" t="s">
        <v>551</v>
      </c>
      <c r="C376" s="36">
        <v>13874</v>
      </c>
      <c r="D376" s="6"/>
      <c r="E376" s="113">
        <v>2607995811</v>
      </c>
      <c r="F376" s="116">
        <f t="shared" si="74"/>
        <v>187977.20996107828</v>
      </c>
      <c r="G376" s="117">
        <v>1637462068</v>
      </c>
      <c r="H376" s="117">
        <f t="shared" si="73"/>
        <v>118023.79039930805</v>
      </c>
      <c r="I376" s="7"/>
      <c r="J376" s="10">
        <v>6.8231999999999999</v>
      </c>
      <c r="K376" s="117">
        <v>11172731</v>
      </c>
      <c r="L376" s="120">
        <f t="shared" si="75"/>
        <v>805.29991350727983</v>
      </c>
      <c r="M376" s="122">
        <f t="shared" si="65"/>
        <v>16374620.68</v>
      </c>
      <c r="N376" s="116">
        <f t="shared" si="66"/>
        <v>5201889.68</v>
      </c>
      <c r="O376" s="123">
        <f t="shared" si="67"/>
        <v>374.93799048580075</v>
      </c>
      <c r="P376" s="5"/>
      <c r="Q376" s="5">
        <f t="shared" si="69"/>
        <v>1</v>
      </c>
      <c r="R376" s="7">
        <f t="shared" si="70"/>
        <v>13874</v>
      </c>
      <c r="S376" s="5">
        <f t="shared" si="71"/>
        <v>1</v>
      </c>
      <c r="T376" s="7">
        <f t="shared" si="68"/>
        <v>13874</v>
      </c>
    </row>
    <row r="377" spans="1:20">
      <c r="A377" s="23" t="s">
        <v>550</v>
      </c>
      <c r="B377" s="35" t="s">
        <v>551</v>
      </c>
      <c r="C377" s="36">
        <v>6206</v>
      </c>
      <c r="D377" s="6"/>
      <c r="E377" s="113">
        <v>1529769876</v>
      </c>
      <c r="F377" s="116">
        <f t="shared" si="74"/>
        <v>246498.52980986141</v>
      </c>
      <c r="G377" s="117">
        <v>1252679850</v>
      </c>
      <c r="H377" s="117">
        <f t="shared" si="73"/>
        <v>201849.79858201739</v>
      </c>
      <c r="I377" s="7"/>
      <c r="J377" s="10">
        <v>1.8010999999999999</v>
      </c>
      <c r="K377" s="117">
        <v>2256202</v>
      </c>
      <c r="L377" s="120">
        <f t="shared" si="75"/>
        <v>363.55172413793105</v>
      </c>
      <c r="M377" s="122">
        <f t="shared" si="65"/>
        <v>12526798.5</v>
      </c>
      <c r="N377" s="116">
        <f t="shared" si="66"/>
        <v>10270596.5</v>
      </c>
      <c r="O377" s="123">
        <f t="shared" si="67"/>
        <v>1654.9462616822429</v>
      </c>
      <c r="P377" s="5"/>
      <c r="Q377" s="5">
        <f t="shared" si="69"/>
        <v>1</v>
      </c>
      <c r="R377" s="7">
        <f t="shared" si="70"/>
        <v>6206</v>
      </c>
      <c r="S377" s="5">
        <f t="shared" si="71"/>
        <v>1</v>
      </c>
      <c r="T377" s="7">
        <f t="shared" si="68"/>
        <v>6206</v>
      </c>
    </row>
    <row r="378" spans="1:20">
      <c r="A378" s="23" t="s">
        <v>389</v>
      </c>
      <c r="B378" s="35" t="s">
        <v>552</v>
      </c>
      <c r="C378" s="36">
        <v>44227</v>
      </c>
      <c r="D378" s="6"/>
      <c r="E378" s="113">
        <v>4084696517</v>
      </c>
      <c r="F378" s="116">
        <f t="shared" si="74"/>
        <v>92357.530852194366</v>
      </c>
      <c r="G378" s="117">
        <v>2810584353</v>
      </c>
      <c r="H378" s="117">
        <f t="shared" si="73"/>
        <v>63549.061726999345</v>
      </c>
      <c r="I378" s="7"/>
      <c r="J378" s="10">
        <v>5.4673999999999996</v>
      </c>
      <c r="K378" s="117">
        <v>15366589</v>
      </c>
      <c r="L378" s="120">
        <f t="shared" si="75"/>
        <v>347.44814253736405</v>
      </c>
      <c r="M378" s="122">
        <f t="shared" si="65"/>
        <v>28105843.530000001</v>
      </c>
      <c r="N378" s="116">
        <f t="shared" si="66"/>
        <v>12739254.530000001</v>
      </c>
      <c r="O378" s="123">
        <f t="shared" si="67"/>
        <v>288.04247473262944</v>
      </c>
      <c r="P378" s="5"/>
      <c r="Q378" s="5">
        <f t="shared" si="69"/>
        <v>1</v>
      </c>
      <c r="R378" s="7">
        <f t="shared" si="70"/>
        <v>44227</v>
      </c>
      <c r="S378" s="5">
        <f t="shared" si="71"/>
        <v>1</v>
      </c>
      <c r="T378" s="7">
        <f t="shared" si="68"/>
        <v>44227</v>
      </c>
    </row>
    <row r="379" spans="1:20">
      <c r="A379" s="23" t="s">
        <v>553</v>
      </c>
      <c r="B379" s="35" t="s">
        <v>552</v>
      </c>
      <c r="C379" s="36">
        <v>157902</v>
      </c>
      <c r="D379" s="6"/>
      <c r="E379" s="113">
        <v>15080444197</v>
      </c>
      <c r="F379" s="116">
        <f t="shared" si="74"/>
        <v>95505.086680346038</v>
      </c>
      <c r="G379" s="117">
        <v>10546602006</v>
      </c>
      <c r="H379" s="117">
        <f t="shared" si="73"/>
        <v>66792.073602614284</v>
      </c>
      <c r="I379" s="7"/>
      <c r="J379" s="10">
        <v>3.2172000000000001</v>
      </c>
      <c r="K379" s="117">
        <v>33930528</v>
      </c>
      <c r="L379" s="120">
        <f t="shared" si="75"/>
        <v>214.88345936086941</v>
      </c>
      <c r="M379" s="122">
        <f t="shared" si="65"/>
        <v>105466020.06</v>
      </c>
      <c r="N379" s="116">
        <f t="shared" si="66"/>
        <v>71535492.060000002</v>
      </c>
      <c r="O379" s="123">
        <f t="shared" si="67"/>
        <v>453.0372766652734</v>
      </c>
      <c r="P379" s="5"/>
      <c r="Q379" s="5">
        <f t="shared" si="69"/>
        <v>1</v>
      </c>
      <c r="R379" s="7">
        <f t="shared" si="70"/>
        <v>157902</v>
      </c>
      <c r="S379" s="5">
        <f t="shared" si="71"/>
        <v>1</v>
      </c>
      <c r="T379" s="7">
        <f t="shared" si="68"/>
        <v>157902</v>
      </c>
    </row>
    <row r="380" spans="1:20">
      <c r="A380" s="23" t="s">
        <v>554</v>
      </c>
      <c r="B380" s="35" t="s">
        <v>552</v>
      </c>
      <c r="C380" s="36">
        <v>641</v>
      </c>
      <c r="D380" s="6"/>
      <c r="E380" s="113">
        <v>104986699</v>
      </c>
      <c r="F380" s="116">
        <f t="shared" si="74"/>
        <v>163785.8018720749</v>
      </c>
      <c r="G380" s="117">
        <v>68258406</v>
      </c>
      <c r="H380" s="117">
        <f t="shared" si="73"/>
        <v>106487.3728549142</v>
      </c>
      <c r="I380" s="7"/>
      <c r="J380" s="10">
        <v>1.34</v>
      </c>
      <c r="K380" s="117">
        <v>91466</v>
      </c>
      <c r="L380" s="120">
        <f t="shared" si="75"/>
        <v>142.69266770670828</v>
      </c>
      <c r="M380" s="122">
        <f t="shared" si="65"/>
        <v>682584.06</v>
      </c>
      <c r="N380" s="116">
        <f t="shared" si="66"/>
        <v>591118.06000000006</v>
      </c>
      <c r="O380" s="123">
        <f t="shared" si="67"/>
        <v>922.18106084243379</v>
      </c>
      <c r="P380" s="5"/>
      <c r="Q380" s="5">
        <f t="shared" si="69"/>
        <v>1</v>
      </c>
      <c r="R380" s="7">
        <f t="shared" si="70"/>
        <v>641</v>
      </c>
      <c r="S380" s="5">
        <f t="shared" si="71"/>
        <v>1</v>
      </c>
      <c r="T380" s="7">
        <f t="shared" si="68"/>
        <v>641</v>
      </c>
    </row>
    <row r="381" spans="1:20">
      <c r="A381" s="23" t="s">
        <v>404</v>
      </c>
      <c r="B381" s="35" t="s">
        <v>405</v>
      </c>
      <c r="C381" s="36">
        <v>2344</v>
      </c>
      <c r="D381" s="6"/>
      <c r="E381" s="113">
        <v>188898223</v>
      </c>
      <c r="F381" s="116">
        <f t="shared" si="74"/>
        <v>80587.979095563147</v>
      </c>
      <c r="G381" s="117">
        <v>127739073</v>
      </c>
      <c r="H381" s="117">
        <f t="shared" si="73"/>
        <v>54496.191552901022</v>
      </c>
      <c r="I381" s="9"/>
      <c r="J381" s="10">
        <v>4.71</v>
      </c>
      <c r="K381" s="117">
        <v>601651</v>
      </c>
      <c r="L381" s="120">
        <f t="shared" si="75"/>
        <v>256.67704778156997</v>
      </c>
      <c r="M381" s="122">
        <f t="shared" si="65"/>
        <v>1277390.73</v>
      </c>
      <c r="N381" s="116">
        <f t="shared" si="66"/>
        <v>675739.73</v>
      </c>
      <c r="O381" s="123">
        <f t="shared" si="67"/>
        <v>288.28486774744027</v>
      </c>
      <c r="P381" s="5"/>
      <c r="Q381" s="5">
        <f t="shared" si="69"/>
        <v>1</v>
      </c>
      <c r="R381" s="7">
        <f t="shared" si="70"/>
        <v>2344</v>
      </c>
      <c r="S381" s="5">
        <f t="shared" si="71"/>
        <v>1</v>
      </c>
      <c r="T381" s="7">
        <f t="shared" si="68"/>
        <v>2344</v>
      </c>
    </row>
    <row r="382" spans="1:20">
      <c r="A382" s="23" t="s">
        <v>406</v>
      </c>
      <c r="B382" s="35" t="s">
        <v>405</v>
      </c>
      <c r="C382" s="36">
        <v>921</v>
      </c>
      <c r="D382" s="6"/>
      <c r="E382" s="113">
        <v>38333188</v>
      </c>
      <c r="F382" s="116">
        <f t="shared" si="74"/>
        <v>41621.268186753528</v>
      </c>
      <c r="G382" s="117">
        <v>18753371</v>
      </c>
      <c r="H382" s="117">
        <f t="shared" si="73"/>
        <v>20361.966340933766</v>
      </c>
      <c r="I382" s="9"/>
      <c r="J382" s="10">
        <v>4</v>
      </c>
      <c r="K382" s="117">
        <v>75013</v>
      </c>
      <c r="L382" s="120">
        <f t="shared" si="75"/>
        <v>81.447339847991316</v>
      </c>
      <c r="M382" s="122">
        <f t="shared" si="65"/>
        <v>187533.71</v>
      </c>
      <c r="N382" s="116">
        <f t="shared" si="66"/>
        <v>112520.70999999999</v>
      </c>
      <c r="O382" s="123">
        <f t="shared" si="67"/>
        <v>122.17232356134636</v>
      </c>
      <c r="P382" s="5"/>
      <c r="Q382" s="5">
        <f t="shared" si="69"/>
        <v>1</v>
      </c>
      <c r="R382" s="7">
        <f t="shared" si="70"/>
        <v>921</v>
      </c>
      <c r="S382" s="5">
        <f t="shared" si="71"/>
        <v>1</v>
      </c>
      <c r="T382" s="7">
        <f t="shared" si="68"/>
        <v>921</v>
      </c>
    </row>
    <row r="383" spans="1:20">
      <c r="A383" s="23" t="s">
        <v>407</v>
      </c>
      <c r="B383" s="35" t="s">
        <v>405</v>
      </c>
      <c r="C383" s="36">
        <v>653</v>
      </c>
      <c r="D383" s="6" t="s">
        <v>527</v>
      </c>
      <c r="E383" s="113"/>
      <c r="F383" s="116"/>
      <c r="G383" s="117"/>
      <c r="H383" s="117"/>
      <c r="I383" s="9" t="s">
        <v>528</v>
      </c>
      <c r="J383" s="10"/>
      <c r="K383" s="117"/>
      <c r="L383" s="120"/>
      <c r="M383" s="122">
        <f t="shared" si="65"/>
        <v>0</v>
      </c>
      <c r="N383" s="116">
        <f t="shared" si="66"/>
        <v>0</v>
      </c>
      <c r="O383" s="123">
        <f t="shared" si="67"/>
        <v>0</v>
      </c>
      <c r="P383" s="5"/>
      <c r="Q383" s="5">
        <f t="shared" si="69"/>
        <v>0</v>
      </c>
      <c r="R383" s="7">
        <f t="shared" si="70"/>
        <v>0</v>
      </c>
      <c r="S383" s="5">
        <f t="shared" si="71"/>
        <v>0</v>
      </c>
      <c r="T383" s="7">
        <f t="shared" si="68"/>
        <v>0</v>
      </c>
    </row>
    <row r="384" spans="1:20">
      <c r="A384" s="23" t="s">
        <v>408</v>
      </c>
      <c r="B384" s="35" t="s">
        <v>405</v>
      </c>
      <c r="C384" s="36">
        <v>786</v>
      </c>
      <c r="D384" s="6"/>
      <c r="E384" s="113">
        <v>26923671</v>
      </c>
      <c r="F384" s="116">
        <f>(E384/C384)</f>
        <v>34254.034351145041</v>
      </c>
      <c r="G384" s="117">
        <v>15739912</v>
      </c>
      <c r="H384" s="117">
        <f t="shared" ref="H384:H407" si="76">(G384/C384)</f>
        <v>20025.333333333332</v>
      </c>
      <c r="I384" s="7"/>
      <c r="J384" s="11">
        <v>7</v>
      </c>
      <c r="K384" s="117">
        <v>110179</v>
      </c>
      <c r="L384" s="120">
        <f t="shared" ref="L384:L389" si="77">(K384/C384)</f>
        <v>140.17684478371501</v>
      </c>
      <c r="M384" s="122">
        <f t="shared" si="65"/>
        <v>157399.12</v>
      </c>
      <c r="N384" s="116">
        <f t="shared" si="66"/>
        <v>47220.119999999995</v>
      </c>
      <c r="O384" s="123">
        <f t="shared" si="67"/>
        <v>60.076488549618311</v>
      </c>
      <c r="P384" s="5"/>
      <c r="Q384" s="5">
        <f t="shared" si="69"/>
        <v>1</v>
      </c>
      <c r="R384" s="7">
        <f t="shared" si="70"/>
        <v>786</v>
      </c>
      <c r="S384" s="5">
        <f t="shared" si="71"/>
        <v>1</v>
      </c>
      <c r="T384" s="7">
        <f t="shared" si="68"/>
        <v>786</v>
      </c>
    </row>
    <row r="385" spans="1:20">
      <c r="A385" s="23" t="s">
        <v>409</v>
      </c>
      <c r="B385" s="35" t="s">
        <v>405</v>
      </c>
      <c r="C385" s="36">
        <v>4885</v>
      </c>
      <c r="D385" s="6"/>
      <c r="E385" s="113">
        <v>426431028</v>
      </c>
      <c r="F385" s="116">
        <f t="shared" ref="F385:F407" si="78">(E385/C385)</f>
        <v>87293.966837256914</v>
      </c>
      <c r="G385" s="117">
        <v>283267426</v>
      </c>
      <c r="H385" s="117">
        <f t="shared" si="76"/>
        <v>57987.190583418625</v>
      </c>
      <c r="I385" s="7"/>
      <c r="J385" s="10">
        <v>4.12</v>
      </c>
      <c r="K385" s="117">
        <v>1167062</v>
      </c>
      <c r="L385" s="120">
        <f t="shared" si="77"/>
        <v>238.90726714431935</v>
      </c>
      <c r="M385" s="122">
        <f t="shared" si="65"/>
        <v>2832674.2600000002</v>
      </c>
      <c r="N385" s="116">
        <f t="shared" si="66"/>
        <v>1665612.2600000002</v>
      </c>
      <c r="O385" s="123">
        <f t="shared" si="67"/>
        <v>340.964638689867</v>
      </c>
      <c r="P385" s="5"/>
      <c r="Q385" s="5">
        <f t="shared" si="69"/>
        <v>1</v>
      </c>
      <c r="R385" s="7">
        <f t="shared" si="70"/>
        <v>4885</v>
      </c>
      <c r="S385" s="5">
        <f t="shared" si="71"/>
        <v>1</v>
      </c>
      <c r="T385" s="7">
        <f t="shared" si="68"/>
        <v>4885</v>
      </c>
    </row>
    <row r="386" spans="1:20">
      <c r="A386" s="23" t="s">
        <v>410</v>
      </c>
      <c r="B386" s="35" t="s">
        <v>411</v>
      </c>
      <c r="C386" s="36">
        <v>712</v>
      </c>
      <c r="D386" s="6"/>
      <c r="E386" s="113">
        <v>39979460</v>
      </c>
      <c r="F386" s="116">
        <f t="shared" si="78"/>
        <v>56150.926966292136</v>
      </c>
      <c r="G386" s="117">
        <v>21497589</v>
      </c>
      <c r="H386" s="117">
        <f t="shared" si="76"/>
        <v>30193.242977528091</v>
      </c>
      <c r="I386" s="7"/>
      <c r="J386" s="10">
        <v>3.9823</v>
      </c>
      <c r="K386" s="117">
        <v>85610</v>
      </c>
      <c r="L386" s="120">
        <f t="shared" si="77"/>
        <v>120.23876404494382</v>
      </c>
      <c r="M386" s="122">
        <f t="shared" si="65"/>
        <v>214975.89</v>
      </c>
      <c r="N386" s="116">
        <f t="shared" si="66"/>
        <v>129365.89000000001</v>
      </c>
      <c r="O386" s="123">
        <f t="shared" si="67"/>
        <v>181.6936657303371</v>
      </c>
      <c r="P386" s="5"/>
      <c r="Q386" s="5">
        <f t="shared" si="69"/>
        <v>1</v>
      </c>
      <c r="R386" s="7">
        <f t="shared" si="70"/>
        <v>712</v>
      </c>
      <c r="S386" s="5">
        <f t="shared" si="71"/>
        <v>1</v>
      </c>
      <c r="T386" s="7">
        <f t="shared" si="68"/>
        <v>712</v>
      </c>
    </row>
    <row r="387" spans="1:20">
      <c r="A387" s="23" t="s">
        <v>412</v>
      </c>
      <c r="B387" s="35" t="s">
        <v>411</v>
      </c>
      <c r="C387" s="36">
        <v>6712</v>
      </c>
      <c r="D387" s="6"/>
      <c r="E387" s="113">
        <v>270777154</v>
      </c>
      <c r="F387" s="116">
        <f t="shared" si="78"/>
        <v>40342.2458283671</v>
      </c>
      <c r="G387" s="117">
        <v>159974337</v>
      </c>
      <c r="H387" s="117">
        <f t="shared" si="76"/>
        <v>23834.078814064364</v>
      </c>
      <c r="I387" s="7"/>
      <c r="J387" s="10">
        <v>5.9146000000000001</v>
      </c>
      <c r="K387" s="117">
        <v>946184</v>
      </c>
      <c r="L387" s="120">
        <f t="shared" si="77"/>
        <v>140.96901072705603</v>
      </c>
      <c r="M387" s="122">
        <f t="shared" si="65"/>
        <v>1599743.37</v>
      </c>
      <c r="N387" s="116">
        <f t="shared" si="66"/>
        <v>653559.37000000011</v>
      </c>
      <c r="O387" s="123">
        <f t="shared" si="67"/>
        <v>97.371777413587623</v>
      </c>
      <c r="P387" s="5"/>
      <c r="Q387" s="5">
        <f t="shared" si="69"/>
        <v>1</v>
      </c>
      <c r="R387" s="7">
        <f t="shared" si="70"/>
        <v>6712</v>
      </c>
      <c r="S387" s="5">
        <f t="shared" si="71"/>
        <v>1</v>
      </c>
      <c r="T387" s="7">
        <f t="shared" si="68"/>
        <v>6712</v>
      </c>
    </row>
    <row r="388" spans="1:20">
      <c r="A388" s="23" t="s">
        <v>413</v>
      </c>
      <c r="B388" s="35" t="s">
        <v>414</v>
      </c>
      <c r="C388" s="36">
        <v>6832</v>
      </c>
      <c r="D388" s="6"/>
      <c r="E388" s="113">
        <v>439304321</v>
      </c>
      <c r="F388" s="116">
        <f t="shared" si="78"/>
        <v>64300.983752927401</v>
      </c>
      <c r="G388" s="117">
        <v>254628195</v>
      </c>
      <c r="H388" s="117">
        <f t="shared" si="76"/>
        <v>37269.934865339579</v>
      </c>
      <c r="I388" s="9"/>
      <c r="J388" s="10">
        <v>4.4461000000000004</v>
      </c>
      <c r="K388" s="117">
        <v>1132102</v>
      </c>
      <c r="L388" s="120">
        <f t="shared" si="77"/>
        <v>165.7057962529274</v>
      </c>
      <c r="M388" s="122">
        <f t="shared" si="65"/>
        <v>2546281.9500000002</v>
      </c>
      <c r="N388" s="116">
        <f t="shared" si="66"/>
        <v>1414179.9500000002</v>
      </c>
      <c r="O388" s="123">
        <f t="shared" si="67"/>
        <v>206.99355240046842</v>
      </c>
      <c r="P388" s="5"/>
      <c r="Q388" s="5">
        <f t="shared" si="69"/>
        <v>1</v>
      </c>
      <c r="R388" s="7">
        <f t="shared" si="70"/>
        <v>6832</v>
      </c>
      <c r="S388" s="5">
        <f t="shared" si="71"/>
        <v>1</v>
      </c>
      <c r="T388" s="7">
        <f t="shared" si="68"/>
        <v>6832</v>
      </c>
    </row>
    <row r="389" spans="1:20">
      <c r="A389" s="23" t="s">
        <v>415</v>
      </c>
      <c r="B389" s="35" t="s">
        <v>416</v>
      </c>
      <c r="C389" s="36">
        <v>1922</v>
      </c>
      <c r="D389" s="6"/>
      <c r="E389" s="113">
        <v>72259580</v>
      </c>
      <c r="F389" s="116">
        <f t="shared" si="78"/>
        <v>37596.035379812696</v>
      </c>
      <c r="G389" s="117">
        <v>36048516</v>
      </c>
      <c r="H389" s="117">
        <f t="shared" si="76"/>
        <v>18755.731529656608</v>
      </c>
      <c r="I389" s="9"/>
      <c r="J389" s="10">
        <v>2.246</v>
      </c>
      <c r="K389" s="117">
        <v>80965</v>
      </c>
      <c r="L389" s="120">
        <f t="shared" si="77"/>
        <v>42.125390218522369</v>
      </c>
      <c r="M389" s="122">
        <f t="shared" si="65"/>
        <v>360485.16000000003</v>
      </c>
      <c r="N389" s="116">
        <f t="shared" si="66"/>
        <v>279520.16000000003</v>
      </c>
      <c r="O389" s="123">
        <f t="shared" si="67"/>
        <v>145.43192507804372</v>
      </c>
      <c r="P389" s="5"/>
      <c r="Q389" s="5">
        <f t="shared" si="69"/>
        <v>1</v>
      </c>
      <c r="R389" s="7">
        <f t="shared" si="70"/>
        <v>1922</v>
      </c>
      <c r="S389" s="5">
        <f t="shared" si="71"/>
        <v>1</v>
      </c>
      <c r="T389" s="7">
        <f t="shared" si="68"/>
        <v>1922</v>
      </c>
    </row>
    <row r="390" spans="1:20">
      <c r="A390" s="23" t="s">
        <v>417</v>
      </c>
      <c r="B390" s="35" t="s">
        <v>416</v>
      </c>
      <c r="C390" s="36">
        <v>262</v>
      </c>
      <c r="D390" s="6"/>
      <c r="E390" s="113">
        <v>7626432</v>
      </c>
      <c r="F390" s="116">
        <f t="shared" si="78"/>
        <v>29108.519083969466</v>
      </c>
      <c r="G390" s="117">
        <v>2986985</v>
      </c>
      <c r="H390" s="117">
        <f t="shared" si="76"/>
        <v>11400.70610687023</v>
      </c>
      <c r="I390" s="9" t="s">
        <v>528</v>
      </c>
      <c r="J390" s="10"/>
      <c r="K390" s="117"/>
      <c r="L390" s="120"/>
      <c r="M390" s="122">
        <f t="shared" ref="M390:M417" si="79">(G390*0.01)</f>
        <v>29869.850000000002</v>
      </c>
      <c r="N390" s="116">
        <f t="shared" ref="N390:N417" si="80">(M390-K390)</f>
        <v>29869.850000000002</v>
      </c>
      <c r="O390" s="123">
        <f t="shared" ref="O390:O417" si="81">(N390/C390)</f>
        <v>114.0070610687023</v>
      </c>
      <c r="P390" s="5"/>
      <c r="Q390" s="5">
        <f t="shared" si="69"/>
        <v>1</v>
      </c>
      <c r="R390" s="7">
        <f t="shared" si="70"/>
        <v>262</v>
      </c>
      <c r="S390" s="5">
        <f t="shared" si="71"/>
        <v>0</v>
      </c>
      <c r="T390" s="7">
        <f t="shared" ref="T390:T417" si="82">IF(J390&gt;0,C390,0)</f>
        <v>0</v>
      </c>
    </row>
    <row r="391" spans="1:20">
      <c r="A391" s="23" t="s">
        <v>418</v>
      </c>
      <c r="B391" s="35" t="s">
        <v>416</v>
      </c>
      <c r="C391" s="36">
        <v>453</v>
      </c>
      <c r="D391" s="6"/>
      <c r="E391" s="113">
        <v>11149572</v>
      </c>
      <c r="F391" s="116">
        <f t="shared" si="78"/>
        <v>24612.741721854305</v>
      </c>
      <c r="G391" s="117">
        <v>6010307</v>
      </c>
      <c r="H391" s="117">
        <f t="shared" si="76"/>
        <v>13267.785871964679</v>
      </c>
      <c r="I391" s="7"/>
      <c r="J391" s="11">
        <v>1.492</v>
      </c>
      <c r="K391" s="117">
        <v>8967</v>
      </c>
      <c r="L391" s="120">
        <f t="shared" ref="L391:L407" si="83">(K391/C391)</f>
        <v>19.794701986754966</v>
      </c>
      <c r="M391" s="122">
        <f t="shared" si="79"/>
        <v>60103.07</v>
      </c>
      <c r="N391" s="116">
        <f t="shared" si="80"/>
        <v>51136.07</v>
      </c>
      <c r="O391" s="123">
        <f t="shared" si="81"/>
        <v>112.88315673289183</v>
      </c>
      <c r="P391" s="5"/>
      <c r="Q391" s="5">
        <f t="shared" ref="Q391:Q417" si="84">IF(E391&gt;0,1,0)</f>
        <v>1</v>
      </c>
      <c r="R391" s="7">
        <f t="shared" ref="R391:R417" si="85">IF(E391&gt;0,C391,0)</f>
        <v>453</v>
      </c>
      <c r="S391" s="5">
        <f t="shared" si="71"/>
        <v>1</v>
      </c>
      <c r="T391" s="7">
        <f t="shared" si="82"/>
        <v>453</v>
      </c>
    </row>
    <row r="392" spans="1:20">
      <c r="A392" s="23" t="s">
        <v>419</v>
      </c>
      <c r="B392" s="35" t="s">
        <v>420</v>
      </c>
      <c r="C392" s="36">
        <v>64927</v>
      </c>
      <c r="D392" s="6"/>
      <c r="E392" s="113">
        <v>8154196485</v>
      </c>
      <c r="F392" s="116">
        <f t="shared" si="78"/>
        <v>125590.22417484251</v>
      </c>
      <c r="G392" s="117">
        <v>5290109173</v>
      </c>
      <c r="H392" s="117">
        <f t="shared" si="76"/>
        <v>81477.800807060237</v>
      </c>
      <c r="I392" s="7"/>
      <c r="J392" s="10">
        <v>5.4248000000000003</v>
      </c>
      <c r="K392" s="117">
        <v>28697573</v>
      </c>
      <c r="L392" s="120">
        <f t="shared" si="83"/>
        <v>441.99752029202028</v>
      </c>
      <c r="M392" s="122">
        <f t="shared" si="79"/>
        <v>52901091.730000004</v>
      </c>
      <c r="N392" s="116">
        <f t="shared" si="80"/>
        <v>24203518.730000004</v>
      </c>
      <c r="O392" s="123">
        <f t="shared" si="81"/>
        <v>372.78048777858214</v>
      </c>
      <c r="P392" s="5"/>
      <c r="Q392" s="5">
        <f t="shared" si="84"/>
        <v>1</v>
      </c>
      <c r="R392" s="7">
        <f t="shared" si="85"/>
        <v>64927</v>
      </c>
      <c r="S392" s="5">
        <f t="shared" si="71"/>
        <v>1</v>
      </c>
      <c r="T392" s="7">
        <f t="shared" si="82"/>
        <v>64927</v>
      </c>
    </row>
    <row r="393" spans="1:20">
      <c r="A393" s="23" t="s">
        <v>421</v>
      </c>
      <c r="B393" s="35" t="s">
        <v>420</v>
      </c>
      <c r="C393" s="36">
        <v>5461</v>
      </c>
      <c r="D393" s="6"/>
      <c r="E393" s="113">
        <v>2111527656</v>
      </c>
      <c r="F393" s="116">
        <f t="shared" si="78"/>
        <v>386655.86083134956</v>
      </c>
      <c r="G393" s="117">
        <v>1858472855</v>
      </c>
      <c r="H393" s="117">
        <f t="shared" si="76"/>
        <v>340317.31459439662</v>
      </c>
      <c r="I393" s="7"/>
      <c r="J393" s="10">
        <v>4.1798999999999999</v>
      </c>
      <c r="K393" s="117">
        <v>7768138</v>
      </c>
      <c r="L393" s="120">
        <f t="shared" si="83"/>
        <v>1422.4753708112066</v>
      </c>
      <c r="M393" s="122">
        <f t="shared" si="79"/>
        <v>18584728.550000001</v>
      </c>
      <c r="N393" s="116">
        <f t="shared" si="80"/>
        <v>10816590.550000001</v>
      </c>
      <c r="O393" s="123">
        <f t="shared" si="81"/>
        <v>1980.6977751327597</v>
      </c>
      <c r="P393" s="5"/>
      <c r="Q393" s="5">
        <f t="shared" si="84"/>
        <v>1</v>
      </c>
      <c r="R393" s="7">
        <f t="shared" si="85"/>
        <v>5461</v>
      </c>
      <c r="S393" s="5">
        <f t="shared" si="71"/>
        <v>1</v>
      </c>
      <c r="T393" s="7">
        <f t="shared" si="82"/>
        <v>5461</v>
      </c>
    </row>
    <row r="394" spans="1:20">
      <c r="A394" s="23" t="s">
        <v>462</v>
      </c>
      <c r="B394" s="35" t="s">
        <v>420</v>
      </c>
      <c r="C394" s="36">
        <v>18913</v>
      </c>
      <c r="D394" s="6"/>
      <c r="E394" s="113">
        <v>2616923968</v>
      </c>
      <c r="F394" s="116">
        <f t="shared" si="78"/>
        <v>138366.41294347803</v>
      </c>
      <c r="G394" s="117">
        <v>1919557558</v>
      </c>
      <c r="H394" s="117">
        <f t="shared" si="76"/>
        <v>101494.08121397981</v>
      </c>
      <c r="I394" s="7"/>
      <c r="J394" s="10">
        <v>2.5728</v>
      </c>
      <c r="K394" s="117">
        <v>4938618</v>
      </c>
      <c r="L394" s="120">
        <f t="shared" si="83"/>
        <v>261.1229313170835</v>
      </c>
      <c r="M394" s="122">
        <f t="shared" si="79"/>
        <v>19195575.580000002</v>
      </c>
      <c r="N394" s="116">
        <f t="shared" si="80"/>
        <v>14256957.580000002</v>
      </c>
      <c r="O394" s="123">
        <f t="shared" si="81"/>
        <v>753.81788082271464</v>
      </c>
      <c r="P394" s="5"/>
      <c r="Q394" s="5">
        <f t="shared" si="84"/>
        <v>1</v>
      </c>
      <c r="R394" s="7">
        <f t="shared" si="85"/>
        <v>18913</v>
      </c>
      <c r="S394" s="5">
        <f t="shared" si="71"/>
        <v>1</v>
      </c>
      <c r="T394" s="7">
        <f t="shared" si="82"/>
        <v>18913</v>
      </c>
    </row>
    <row r="395" spans="1:20">
      <c r="A395" s="23" t="s">
        <v>463</v>
      </c>
      <c r="B395" s="35" t="s">
        <v>420</v>
      </c>
      <c r="C395" s="36">
        <v>27326</v>
      </c>
      <c r="D395" s="6"/>
      <c r="E395" s="113">
        <v>2887627715</v>
      </c>
      <c r="F395" s="116">
        <f t="shared" si="78"/>
        <v>105673.26776696187</v>
      </c>
      <c r="G395" s="117">
        <v>1870559390</v>
      </c>
      <c r="H395" s="117">
        <f t="shared" si="76"/>
        <v>68453.465197979953</v>
      </c>
      <c r="I395" s="7"/>
      <c r="J395" s="10">
        <v>5.0510000000000002</v>
      </c>
      <c r="K395" s="117">
        <v>9448158</v>
      </c>
      <c r="L395" s="120">
        <f t="shared" si="83"/>
        <v>345.75708116811825</v>
      </c>
      <c r="M395" s="122">
        <f t="shared" si="79"/>
        <v>18705593.900000002</v>
      </c>
      <c r="N395" s="116">
        <f t="shared" si="80"/>
        <v>9257435.9000000022</v>
      </c>
      <c r="O395" s="123">
        <f t="shared" si="81"/>
        <v>338.77757081168124</v>
      </c>
      <c r="P395" s="5"/>
      <c r="Q395" s="5">
        <f t="shared" si="84"/>
        <v>1</v>
      </c>
      <c r="R395" s="7">
        <f t="shared" si="85"/>
        <v>27326</v>
      </c>
      <c r="S395" s="5">
        <f t="shared" ref="S395:S413" si="86">IF(J395&gt;0,1,0)</f>
        <v>1</v>
      </c>
      <c r="T395" s="7">
        <f t="shared" si="82"/>
        <v>27326</v>
      </c>
    </row>
    <row r="396" spans="1:20">
      <c r="A396" s="23" t="s">
        <v>422</v>
      </c>
      <c r="B396" s="35" t="s">
        <v>420</v>
      </c>
      <c r="C396" s="36">
        <v>85921</v>
      </c>
      <c r="D396" s="6"/>
      <c r="E396" s="113">
        <v>5558224747</v>
      </c>
      <c r="F396" s="116">
        <f t="shared" si="78"/>
        <v>64689.944798128512</v>
      </c>
      <c r="G396" s="117">
        <v>3077055813</v>
      </c>
      <c r="H396" s="117">
        <f t="shared" si="76"/>
        <v>35812.61639180177</v>
      </c>
      <c r="I396" s="7"/>
      <c r="J396" s="10">
        <v>4.1532999999999998</v>
      </c>
      <c r="K396" s="117">
        <v>12779905</v>
      </c>
      <c r="L396" s="120">
        <f t="shared" si="83"/>
        <v>148.74017993272889</v>
      </c>
      <c r="M396" s="122">
        <f t="shared" si="79"/>
        <v>30770558.129999999</v>
      </c>
      <c r="N396" s="116">
        <f t="shared" si="80"/>
        <v>17990653.129999999</v>
      </c>
      <c r="O396" s="123">
        <f t="shared" si="81"/>
        <v>209.38598398528879</v>
      </c>
      <c r="P396" s="5"/>
      <c r="Q396" s="5">
        <f t="shared" si="84"/>
        <v>1</v>
      </c>
      <c r="R396" s="7">
        <f t="shared" si="85"/>
        <v>85921</v>
      </c>
      <c r="S396" s="5">
        <f t="shared" si="86"/>
        <v>1</v>
      </c>
      <c r="T396" s="7">
        <f t="shared" si="82"/>
        <v>85921</v>
      </c>
    </row>
    <row r="397" spans="1:20">
      <c r="A397" s="23" t="s">
        <v>423</v>
      </c>
      <c r="B397" s="35" t="s">
        <v>420</v>
      </c>
      <c r="C397" s="36">
        <v>21618</v>
      </c>
      <c r="D397" s="6"/>
      <c r="E397" s="113">
        <v>1713579626</v>
      </c>
      <c r="F397" s="116">
        <f t="shared" si="78"/>
        <v>79266.33481358127</v>
      </c>
      <c r="G397" s="117">
        <v>981617652</v>
      </c>
      <c r="H397" s="117">
        <f t="shared" si="76"/>
        <v>45407.422148209822</v>
      </c>
      <c r="I397" s="7"/>
      <c r="J397" s="10">
        <v>5.9</v>
      </c>
      <c r="K397" s="117">
        <v>5791544</v>
      </c>
      <c r="L397" s="120">
        <f t="shared" si="83"/>
        <v>267.90378388380054</v>
      </c>
      <c r="M397" s="122">
        <f t="shared" si="79"/>
        <v>9816176.5199999996</v>
      </c>
      <c r="N397" s="116">
        <f t="shared" si="80"/>
        <v>4024632.5199999996</v>
      </c>
      <c r="O397" s="123">
        <f t="shared" si="81"/>
        <v>186.1704375982977</v>
      </c>
      <c r="P397" s="5"/>
      <c r="Q397" s="5">
        <f t="shared" si="84"/>
        <v>1</v>
      </c>
      <c r="R397" s="7">
        <f t="shared" si="85"/>
        <v>21618</v>
      </c>
      <c r="S397" s="5">
        <f t="shared" si="86"/>
        <v>1</v>
      </c>
      <c r="T397" s="7">
        <f t="shared" si="82"/>
        <v>21618</v>
      </c>
    </row>
    <row r="398" spans="1:20">
      <c r="A398" s="23" t="s">
        <v>424</v>
      </c>
      <c r="B398" s="35" t="s">
        <v>420</v>
      </c>
      <c r="C398" s="36">
        <v>12944</v>
      </c>
      <c r="D398" s="6"/>
      <c r="E398" s="113">
        <v>1139970334</v>
      </c>
      <c r="F398" s="116">
        <f t="shared" si="78"/>
        <v>88069.40157601978</v>
      </c>
      <c r="G398" s="117">
        <v>821060332</v>
      </c>
      <c r="H398" s="117">
        <f t="shared" si="76"/>
        <v>63431.731458590853</v>
      </c>
      <c r="I398" s="7"/>
      <c r="J398" s="10">
        <v>4.8872</v>
      </c>
      <c r="K398" s="117">
        <v>4012686</v>
      </c>
      <c r="L398" s="120">
        <f t="shared" si="83"/>
        <v>310.00355377008651</v>
      </c>
      <c r="M398" s="122">
        <f t="shared" si="79"/>
        <v>8210603.3200000003</v>
      </c>
      <c r="N398" s="116">
        <f t="shared" si="80"/>
        <v>4197917.32</v>
      </c>
      <c r="O398" s="123">
        <f t="shared" si="81"/>
        <v>324.31376081582204</v>
      </c>
      <c r="P398" s="5"/>
      <c r="Q398" s="5">
        <f t="shared" si="84"/>
        <v>1</v>
      </c>
      <c r="R398" s="7">
        <f t="shared" si="85"/>
        <v>12944</v>
      </c>
      <c r="S398" s="5">
        <f t="shared" si="86"/>
        <v>1</v>
      </c>
      <c r="T398" s="7">
        <f t="shared" si="82"/>
        <v>12944</v>
      </c>
    </row>
    <row r="399" spans="1:20">
      <c r="A399" s="23" t="s">
        <v>425</v>
      </c>
      <c r="B399" s="35" t="s">
        <v>420</v>
      </c>
      <c r="C399" s="36">
        <v>2871</v>
      </c>
      <c r="D399" s="6"/>
      <c r="E399" s="113">
        <v>231423230</v>
      </c>
      <c r="F399" s="116">
        <f t="shared" si="78"/>
        <v>80607.185649599443</v>
      </c>
      <c r="G399" s="117">
        <v>126477375</v>
      </c>
      <c r="H399" s="117">
        <f t="shared" si="76"/>
        <v>44053.422152560081</v>
      </c>
      <c r="I399" s="7"/>
      <c r="J399" s="10">
        <v>4.2</v>
      </c>
      <c r="K399" s="117">
        <v>531205</v>
      </c>
      <c r="L399" s="120">
        <f t="shared" si="83"/>
        <v>185.02438174851969</v>
      </c>
      <c r="M399" s="122">
        <f t="shared" si="79"/>
        <v>1264773.75</v>
      </c>
      <c r="N399" s="116">
        <f t="shared" si="80"/>
        <v>733568.75</v>
      </c>
      <c r="O399" s="123">
        <f t="shared" si="81"/>
        <v>255.50983977708117</v>
      </c>
      <c r="P399" s="5"/>
      <c r="Q399" s="5">
        <f t="shared" si="84"/>
        <v>1</v>
      </c>
      <c r="R399" s="7">
        <f t="shared" si="85"/>
        <v>2871</v>
      </c>
      <c r="S399" s="5">
        <f t="shared" si="86"/>
        <v>1</v>
      </c>
      <c r="T399" s="7">
        <f t="shared" si="82"/>
        <v>2871</v>
      </c>
    </row>
    <row r="400" spans="1:20">
      <c r="A400" s="23" t="s">
        <v>426</v>
      </c>
      <c r="B400" s="35" t="s">
        <v>420</v>
      </c>
      <c r="C400" s="36">
        <v>23716</v>
      </c>
      <c r="D400" s="6"/>
      <c r="E400" s="113">
        <v>4752025754</v>
      </c>
      <c r="F400" s="116">
        <f t="shared" si="78"/>
        <v>200372.14344746163</v>
      </c>
      <c r="G400" s="117">
        <v>3443228086</v>
      </c>
      <c r="H400" s="117">
        <f t="shared" si="76"/>
        <v>145185.86970821387</v>
      </c>
      <c r="I400" s="7"/>
      <c r="J400" s="10">
        <v>3.1</v>
      </c>
      <c r="K400" s="117">
        <v>10674007</v>
      </c>
      <c r="L400" s="120">
        <f t="shared" si="83"/>
        <v>450.07619328723223</v>
      </c>
      <c r="M400" s="122">
        <f t="shared" si="79"/>
        <v>34432280.859999999</v>
      </c>
      <c r="N400" s="116">
        <f t="shared" si="80"/>
        <v>23758273.859999999</v>
      </c>
      <c r="O400" s="123">
        <f t="shared" si="81"/>
        <v>1001.7825037949063</v>
      </c>
      <c r="P400" s="5"/>
      <c r="Q400" s="5">
        <f t="shared" si="84"/>
        <v>1</v>
      </c>
      <c r="R400" s="7">
        <f t="shared" si="85"/>
        <v>23716</v>
      </c>
      <c r="S400" s="5">
        <f t="shared" si="86"/>
        <v>1</v>
      </c>
      <c r="T400" s="7">
        <f t="shared" si="82"/>
        <v>23716</v>
      </c>
    </row>
    <row r="401" spans="1:20">
      <c r="A401" s="23" t="s">
        <v>427</v>
      </c>
      <c r="B401" s="35" t="s">
        <v>420</v>
      </c>
      <c r="C401" s="36">
        <v>1978</v>
      </c>
      <c r="D401" s="6"/>
      <c r="E401" s="113">
        <v>219740551</v>
      </c>
      <c r="F401" s="116">
        <f t="shared" si="78"/>
        <v>111092.29069767441</v>
      </c>
      <c r="G401" s="117">
        <v>122208078</v>
      </c>
      <c r="H401" s="117">
        <f t="shared" si="76"/>
        <v>61783.659251769466</v>
      </c>
      <c r="I401" s="7"/>
      <c r="J401" s="10">
        <v>4.5739999999999998</v>
      </c>
      <c r="K401" s="117">
        <v>558980</v>
      </c>
      <c r="L401" s="120">
        <f t="shared" si="83"/>
        <v>282.59858442871587</v>
      </c>
      <c r="M401" s="122">
        <f t="shared" si="79"/>
        <v>1222080.78</v>
      </c>
      <c r="N401" s="116">
        <f t="shared" si="80"/>
        <v>663100.78</v>
      </c>
      <c r="O401" s="123">
        <f t="shared" si="81"/>
        <v>335.2380080889788</v>
      </c>
      <c r="P401" s="5"/>
      <c r="Q401" s="5">
        <f t="shared" si="84"/>
        <v>1</v>
      </c>
      <c r="R401" s="7">
        <f t="shared" si="85"/>
        <v>1978</v>
      </c>
      <c r="S401" s="5">
        <f t="shared" si="86"/>
        <v>1</v>
      </c>
      <c r="T401" s="7">
        <f t="shared" si="82"/>
        <v>1978</v>
      </c>
    </row>
    <row r="402" spans="1:20">
      <c r="A402" s="23" t="s">
        <v>428</v>
      </c>
      <c r="B402" s="35" t="s">
        <v>420</v>
      </c>
      <c r="C402" s="36">
        <v>9556</v>
      </c>
      <c r="D402" s="6"/>
      <c r="E402" s="113">
        <v>989080565</v>
      </c>
      <c r="F402" s="116">
        <f t="shared" si="78"/>
        <v>103503.61709920468</v>
      </c>
      <c r="G402" s="117">
        <v>715144261</v>
      </c>
      <c r="H402" s="117">
        <f t="shared" si="76"/>
        <v>74837.197676852244</v>
      </c>
      <c r="I402" s="7"/>
      <c r="J402" s="10">
        <v>4.4800000000000004</v>
      </c>
      <c r="K402" s="117">
        <v>3203846</v>
      </c>
      <c r="L402" s="120">
        <f t="shared" si="83"/>
        <v>335.27061532021764</v>
      </c>
      <c r="M402" s="122">
        <f t="shared" si="79"/>
        <v>7151442.6100000003</v>
      </c>
      <c r="N402" s="116">
        <f t="shared" si="80"/>
        <v>3947596.6100000003</v>
      </c>
      <c r="O402" s="123">
        <f t="shared" si="81"/>
        <v>413.10136144830477</v>
      </c>
      <c r="P402" s="5"/>
      <c r="Q402" s="5">
        <f t="shared" si="84"/>
        <v>1</v>
      </c>
      <c r="R402" s="7">
        <f t="shared" si="85"/>
        <v>9556</v>
      </c>
      <c r="S402" s="5">
        <f t="shared" si="86"/>
        <v>1</v>
      </c>
      <c r="T402" s="7">
        <f t="shared" si="82"/>
        <v>9556</v>
      </c>
    </row>
    <row r="403" spans="1:20">
      <c r="A403" s="23" t="s">
        <v>429</v>
      </c>
      <c r="B403" s="35" t="s">
        <v>420</v>
      </c>
      <c r="C403" s="36">
        <v>40920</v>
      </c>
      <c r="D403" s="6"/>
      <c r="E403" s="113">
        <v>5285396195</v>
      </c>
      <c r="F403" s="116">
        <f t="shared" si="78"/>
        <v>129164.12988758553</v>
      </c>
      <c r="G403" s="117">
        <v>3399838925</v>
      </c>
      <c r="H403" s="117">
        <f t="shared" si="76"/>
        <v>83085.017717497554</v>
      </c>
      <c r="I403" s="7"/>
      <c r="J403" s="10">
        <v>3.3887999999999998</v>
      </c>
      <c r="K403" s="117">
        <v>11521510</v>
      </c>
      <c r="L403" s="120">
        <f t="shared" si="83"/>
        <v>281.56182795698925</v>
      </c>
      <c r="M403" s="122">
        <f t="shared" si="79"/>
        <v>33998389.25</v>
      </c>
      <c r="N403" s="116">
        <f t="shared" si="80"/>
        <v>22476879.25</v>
      </c>
      <c r="O403" s="123">
        <f t="shared" si="81"/>
        <v>549.28834921798637</v>
      </c>
      <c r="P403" s="5"/>
      <c r="Q403" s="5">
        <f t="shared" si="84"/>
        <v>1</v>
      </c>
      <c r="R403" s="7">
        <f t="shared" si="85"/>
        <v>40920</v>
      </c>
      <c r="S403" s="5">
        <f t="shared" si="86"/>
        <v>1</v>
      </c>
      <c r="T403" s="7">
        <f t="shared" si="82"/>
        <v>40920</v>
      </c>
    </row>
    <row r="404" spans="1:20">
      <c r="A404" s="23" t="s">
        <v>430</v>
      </c>
      <c r="B404" s="35" t="s">
        <v>420</v>
      </c>
      <c r="C404" s="36">
        <v>2657</v>
      </c>
      <c r="D404" s="6"/>
      <c r="E404" s="113">
        <v>141325869</v>
      </c>
      <c r="F404" s="116">
        <f t="shared" si="78"/>
        <v>53190.014678208507</v>
      </c>
      <c r="G404" s="117">
        <v>63004161</v>
      </c>
      <c r="H404" s="117">
        <f t="shared" si="76"/>
        <v>23712.518253669554</v>
      </c>
      <c r="I404" s="7"/>
      <c r="J404" s="10">
        <v>3.6057999999999999</v>
      </c>
      <c r="K404" s="117">
        <v>227177</v>
      </c>
      <c r="L404" s="120">
        <f t="shared" si="83"/>
        <v>85.501317275122318</v>
      </c>
      <c r="M404" s="122">
        <f t="shared" si="79"/>
        <v>630041.61</v>
      </c>
      <c r="N404" s="116">
        <f t="shared" si="80"/>
        <v>402864.61</v>
      </c>
      <c r="O404" s="123">
        <f t="shared" si="81"/>
        <v>151.6238652615732</v>
      </c>
      <c r="P404" s="5"/>
      <c r="Q404" s="5">
        <f t="shared" si="84"/>
        <v>1</v>
      </c>
      <c r="R404" s="7">
        <f t="shared" si="85"/>
        <v>2657</v>
      </c>
      <c r="S404" s="5">
        <f t="shared" si="86"/>
        <v>1</v>
      </c>
      <c r="T404" s="7">
        <f t="shared" si="82"/>
        <v>2657</v>
      </c>
    </row>
    <row r="405" spans="1:20">
      <c r="A405" s="23" t="s">
        <v>431</v>
      </c>
      <c r="B405" s="35" t="s">
        <v>420</v>
      </c>
      <c r="C405" s="36">
        <v>3299</v>
      </c>
      <c r="D405" s="6"/>
      <c r="E405" s="113">
        <v>1311249198</v>
      </c>
      <c r="F405" s="116">
        <f t="shared" si="78"/>
        <v>397468.68687481055</v>
      </c>
      <c r="G405" s="117">
        <v>990657684</v>
      </c>
      <c r="H405" s="117">
        <f t="shared" si="76"/>
        <v>300290.29524098214</v>
      </c>
      <c r="I405" s="7"/>
      <c r="J405" s="10">
        <v>4.1749999999999998</v>
      </c>
      <c r="K405" s="117">
        <v>4135996</v>
      </c>
      <c r="L405" s="120">
        <f t="shared" si="83"/>
        <v>1253.7120339496817</v>
      </c>
      <c r="M405" s="122">
        <f t="shared" si="79"/>
        <v>9906576.8399999999</v>
      </c>
      <c r="N405" s="116">
        <f t="shared" si="80"/>
        <v>5770580.8399999999</v>
      </c>
      <c r="O405" s="123">
        <f t="shared" si="81"/>
        <v>1749.1909184601393</v>
      </c>
      <c r="P405" s="5"/>
      <c r="Q405" s="5">
        <f t="shared" si="84"/>
        <v>1</v>
      </c>
      <c r="R405" s="7">
        <f t="shared" si="85"/>
        <v>3299</v>
      </c>
      <c r="S405" s="5">
        <f t="shared" si="86"/>
        <v>1</v>
      </c>
      <c r="T405" s="7">
        <f t="shared" si="82"/>
        <v>3299</v>
      </c>
    </row>
    <row r="406" spans="1:20">
      <c r="A406" s="23" t="s">
        <v>432</v>
      </c>
      <c r="B406" s="35" t="s">
        <v>420</v>
      </c>
      <c r="C406" s="36">
        <v>57218</v>
      </c>
      <c r="D406" s="6"/>
      <c r="E406" s="113">
        <v>4874144677</v>
      </c>
      <c r="F406" s="116">
        <f t="shared" si="78"/>
        <v>85185.512898039073</v>
      </c>
      <c r="G406" s="117">
        <v>3010976956</v>
      </c>
      <c r="H406" s="117">
        <f t="shared" si="76"/>
        <v>52622.897619630188</v>
      </c>
      <c r="I406" s="7"/>
      <c r="J406" s="10">
        <v>4.5999999999999996</v>
      </c>
      <c r="K406" s="117">
        <v>13850494</v>
      </c>
      <c r="L406" s="120">
        <f t="shared" si="83"/>
        <v>242.0653290922437</v>
      </c>
      <c r="M406" s="122">
        <f t="shared" si="79"/>
        <v>30109769.560000002</v>
      </c>
      <c r="N406" s="116">
        <f t="shared" si="80"/>
        <v>16259275.560000002</v>
      </c>
      <c r="O406" s="123">
        <f t="shared" si="81"/>
        <v>284.16364710405821</v>
      </c>
      <c r="P406" s="5"/>
      <c r="Q406" s="5">
        <f t="shared" si="84"/>
        <v>1</v>
      </c>
      <c r="R406" s="7">
        <f t="shared" si="85"/>
        <v>57218</v>
      </c>
      <c r="S406" s="5">
        <f t="shared" si="86"/>
        <v>1</v>
      </c>
      <c r="T406" s="7">
        <f t="shared" si="82"/>
        <v>57218</v>
      </c>
    </row>
    <row r="407" spans="1:20">
      <c r="A407" s="23" t="s">
        <v>433</v>
      </c>
      <c r="B407" s="35" t="s">
        <v>420</v>
      </c>
      <c r="C407" s="36">
        <v>13765</v>
      </c>
      <c r="D407" s="6"/>
      <c r="E407" s="113">
        <v>1054220318</v>
      </c>
      <c r="F407" s="116">
        <f t="shared" si="78"/>
        <v>76587.019106429347</v>
      </c>
      <c r="G407" s="117">
        <v>655030666</v>
      </c>
      <c r="H407" s="117">
        <f t="shared" si="76"/>
        <v>47586.681147838724</v>
      </c>
      <c r="I407" s="9"/>
      <c r="J407" s="10">
        <v>4.92</v>
      </c>
      <c r="K407" s="117">
        <v>3222771</v>
      </c>
      <c r="L407" s="120">
        <f t="shared" si="83"/>
        <v>234.1279331638213</v>
      </c>
      <c r="M407" s="122">
        <f t="shared" si="79"/>
        <v>6550306.6600000001</v>
      </c>
      <c r="N407" s="116">
        <f t="shared" si="80"/>
        <v>3327535.66</v>
      </c>
      <c r="O407" s="123">
        <f t="shared" si="81"/>
        <v>241.73887831456594</v>
      </c>
      <c r="P407" s="5"/>
      <c r="Q407" s="5">
        <f t="shared" si="84"/>
        <v>1</v>
      </c>
      <c r="R407" s="7">
        <f t="shared" si="85"/>
        <v>13765</v>
      </c>
      <c r="S407" s="5">
        <f t="shared" si="86"/>
        <v>1</v>
      </c>
      <c r="T407" s="7">
        <f t="shared" si="82"/>
        <v>13765</v>
      </c>
    </row>
    <row r="408" spans="1:20">
      <c r="A408" s="23" t="s">
        <v>435</v>
      </c>
      <c r="B408" s="35" t="s">
        <v>434</v>
      </c>
      <c r="C408" s="36">
        <v>424</v>
      </c>
      <c r="D408" s="6" t="s">
        <v>527</v>
      </c>
      <c r="E408" s="113"/>
      <c r="F408" s="116"/>
      <c r="G408" s="117"/>
      <c r="H408" s="117"/>
      <c r="I408" s="9" t="s">
        <v>528</v>
      </c>
      <c r="J408" s="11"/>
      <c r="K408" s="117"/>
      <c r="L408" s="120"/>
      <c r="M408" s="122">
        <f t="shared" si="79"/>
        <v>0</v>
      </c>
      <c r="N408" s="116">
        <f t="shared" si="80"/>
        <v>0</v>
      </c>
      <c r="O408" s="123">
        <f t="shared" si="81"/>
        <v>0</v>
      </c>
      <c r="P408" s="5"/>
      <c r="Q408" s="5">
        <f t="shared" si="84"/>
        <v>0</v>
      </c>
      <c r="R408" s="7">
        <f t="shared" si="85"/>
        <v>0</v>
      </c>
      <c r="S408" s="5">
        <f t="shared" si="86"/>
        <v>0</v>
      </c>
      <c r="T408" s="7">
        <f t="shared" si="82"/>
        <v>0</v>
      </c>
    </row>
    <row r="409" spans="1:20">
      <c r="A409" s="23" t="s">
        <v>555</v>
      </c>
      <c r="B409" s="35" t="s">
        <v>434</v>
      </c>
      <c r="C409" s="36">
        <v>323</v>
      </c>
      <c r="D409" s="6"/>
      <c r="E409" s="113">
        <v>87784774</v>
      </c>
      <c r="F409" s="116">
        <f>(E409/C409)</f>
        <v>271779.48606811144</v>
      </c>
      <c r="G409" s="117">
        <v>38302776</v>
      </c>
      <c r="H409" s="117">
        <f t="shared" ref="H409:H417" si="87">(G409/C409)</f>
        <v>118584.44582043344</v>
      </c>
      <c r="I409" s="9"/>
      <c r="J409" s="10">
        <v>4.5620000000000003</v>
      </c>
      <c r="K409" s="117">
        <v>174737</v>
      </c>
      <c r="L409" s="120">
        <f>(K409/C409)</f>
        <v>540.98142414860683</v>
      </c>
      <c r="M409" s="122">
        <f t="shared" si="79"/>
        <v>383027.76</v>
      </c>
      <c r="N409" s="116">
        <f t="shared" si="80"/>
        <v>208290.76</v>
      </c>
      <c r="O409" s="123">
        <f t="shared" si="81"/>
        <v>644.86303405572755</v>
      </c>
      <c r="P409" s="5"/>
      <c r="Q409" s="5">
        <f t="shared" si="84"/>
        <v>1</v>
      </c>
      <c r="R409" s="7">
        <f t="shared" si="85"/>
        <v>323</v>
      </c>
      <c r="S409" s="5">
        <f t="shared" si="86"/>
        <v>1</v>
      </c>
      <c r="T409" s="7">
        <f t="shared" si="82"/>
        <v>323</v>
      </c>
    </row>
    <row r="410" spans="1:20">
      <c r="A410" s="23" t="s">
        <v>436</v>
      </c>
      <c r="B410" s="35" t="s">
        <v>437</v>
      </c>
      <c r="C410" s="36">
        <v>5171</v>
      </c>
      <c r="D410" s="6"/>
      <c r="E410" s="113">
        <v>308923880</v>
      </c>
      <c r="F410" s="116">
        <f t="shared" ref="F410:F417" si="88">(E410/C410)</f>
        <v>59741.612840843161</v>
      </c>
      <c r="G410" s="117">
        <v>206594340</v>
      </c>
      <c r="H410" s="117">
        <f t="shared" si="87"/>
        <v>39952.492748017794</v>
      </c>
      <c r="I410" s="9"/>
      <c r="J410" s="11">
        <v>4.5</v>
      </c>
      <c r="K410" s="117">
        <v>929675</v>
      </c>
      <c r="L410" s="120">
        <f>(K410/C410)</f>
        <v>179.78630825759041</v>
      </c>
      <c r="M410" s="122">
        <f t="shared" si="79"/>
        <v>2065943.4000000001</v>
      </c>
      <c r="N410" s="116">
        <f t="shared" si="80"/>
        <v>1136268.4000000001</v>
      </c>
      <c r="O410" s="123">
        <f t="shared" si="81"/>
        <v>219.73861922258754</v>
      </c>
      <c r="P410" s="5"/>
      <c r="Q410" s="5">
        <f t="shared" si="84"/>
        <v>1</v>
      </c>
      <c r="R410" s="7">
        <f t="shared" si="85"/>
        <v>5171</v>
      </c>
      <c r="S410" s="5">
        <f t="shared" si="86"/>
        <v>1</v>
      </c>
      <c r="T410" s="7">
        <f t="shared" si="82"/>
        <v>5171</v>
      </c>
    </row>
    <row r="411" spans="1:20">
      <c r="A411" s="23" t="s">
        <v>438</v>
      </c>
      <c r="B411" s="35" t="s">
        <v>437</v>
      </c>
      <c r="C411" s="36">
        <v>1503</v>
      </c>
      <c r="D411" s="6"/>
      <c r="E411" s="113">
        <v>257261953</v>
      </c>
      <c r="F411" s="116">
        <f t="shared" si="88"/>
        <v>171165.63739188289</v>
      </c>
      <c r="G411" s="117">
        <v>216485511</v>
      </c>
      <c r="H411" s="117">
        <f t="shared" si="87"/>
        <v>144035.60279441118</v>
      </c>
      <c r="I411" s="9"/>
      <c r="J411" s="11">
        <v>3.93</v>
      </c>
      <c r="K411" s="117">
        <v>850788</v>
      </c>
      <c r="L411" s="120">
        <f>(K411/C411)</f>
        <v>566.05988023952091</v>
      </c>
      <c r="M411" s="122">
        <f t="shared" si="79"/>
        <v>2164855.11</v>
      </c>
      <c r="N411" s="116">
        <f t="shared" si="80"/>
        <v>1314067.1099999999</v>
      </c>
      <c r="O411" s="123">
        <f t="shared" si="81"/>
        <v>874.29614770459068</v>
      </c>
      <c r="P411" s="5"/>
      <c r="Q411" s="5">
        <f t="shared" si="84"/>
        <v>1</v>
      </c>
      <c r="R411" s="7">
        <f t="shared" si="85"/>
        <v>1503</v>
      </c>
      <c r="S411" s="5">
        <f t="shared" si="86"/>
        <v>1</v>
      </c>
      <c r="T411" s="7">
        <f t="shared" si="82"/>
        <v>1503</v>
      </c>
    </row>
    <row r="412" spans="1:20">
      <c r="A412" s="23" t="s">
        <v>439</v>
      </c>
      <c r="B412" s="35" t="s">
        <v>437</v>
      </c>
      <c r="C412" s="36">
        <v>740</v>
      </c>
      <c r="D412" s="6"/>
      <c r="E412" s="113">
        <v>20565274</v>
      </c>
      <c r="F412" s="116">
        <f t="shared" si="88"/>
        <v>27790.910810810812</v>
      </c>
      <c r="G412" s="117">
        <v>10273998</v>
      </c>
      <c r="H412" s="117">
        <f t="shared" si="87"/>
        <v>13883.781081081081</v>
      </c>
      <c r="I412" s="9" t="s">
        <v>528</v>
      </c>
      <c r="J412" s="11"/>
      <c r="K412" s="117"/>
      <c r="L412" s="120"/>
      <c r="M412" s="122">
        <f t="shared" si="79"/>
        <v>102739.98</v>
      </c>
      <c r="N412" s="116">
        <f t="shared" si="80"/>
        <v>102739.98</v>
      </c>
      <c r="O412" s="123">
        <f t="shared" si="81"/>
        <v>138.83781081081079</v>
      </c>
      <c r="P412" s="5"/>
      <c r="Q412" s="5">
        <f t="shared" si="84"/>
        <v>1</v>
      </c>
      <c r="R412" s="7">
        <f t="shared" si="85"/>
        <v>740</v>
      </c>
      <c r="S412" s="5">
        <f t="shared" si="86"/>
        <v>0</v>
      </c>
      <c r="T412" s="7">
        <f t="shared" si="82"/>
        <v>0</v>
      </c>
    </row>
    <row r="413" spans="1:20">
      <c r="A413" s="23" t="s">
        <v>440</v>
      </c>
      <c r="B413" s="35" t="s">
        <v>441</v>
      </c>
      <c r="C413" s="36">
        <v>367</v>
      </c>
      <c r="D413" s="6"/>
      <c r="E413" s="113">
        <v>8819334</v>
      </c>
      <c r="F413" s="116">
        <f t="shared" si="88"/>
        <v>24030.882833787466</v>
      </c>
      <c r="G413" s="117">
        <v>3332565</v>
      </c>
      <c r="H413" s="117">
        <f t="shared" si="87"/>
        <v>9080.5585831062672</v>
      </c>
      <c r="I413" s="9" t="s">
        <v>528</v>
      </c>
      <c r="J413" s="11"/>
      <c r="K413" s="117"/>
      <c r="L413" s="120"/>
      <c r="M413" s="122">
        <f t="shared" si="79"/>
        <v>33325.65</v>
      </c>
      <c r="N413" s="116">
        <f t="shared" si="80"/>
        <v>33325.65</v>
      </c>
      <c r="O413" s="123">
        <f t="shared" si="81"/>
        <v>90.805585831062672</v>
      </c>
      <c r="P413" s="5"/>
      <c r="Q413" s="5">
        <f t="shared" si="84"/>
        <v>1</v>
      </c>
      <c r="R413" s="7">
        <f t="shared" si="85"/>
        <v>367</v>
      </c>
      <c r="S413" s="5">
        <f t="shared" si="86"/>
        <v>0</v>
      </c>
      <c r="T413" s="7">
        <f t="shared" si="82"/>
        <v>0</v>
      </c>
    </row>
    <row r="414" spans="1:20">
      <c r="A414" s="23" t="s">
        <v>442</v>
      </c>
      <c r="B414" s="35" t="s">
        <v>441</v>
      </c>
      <c r="C414" s="36">
        <v>3639</v>
      </c>
      <c r="D414" s="6"/>
      <c r="E414" s="113">
        <v>224573260</v>
      </c>
      <c r="F414" s="116">
        <f t="shared" si="88"/>
        <v>61712.904644133007</v>
      </c>
      <c r="G414" s="117">
        <v>152713875</v>
      </c>
      <c r="H414" s="117">
        <f t="shared" si="87"/>
        <v>41965.890354492993</v>
      </c>
      <c r="I414" s="9"/>
      <c r="J414" s="11">
        <v>5.8</v>
      </c>
      <c r="K414" s="117">
        <v>885740</v>
      </c>
      <c r="L414" s="120">
        <f>(K414/C414)</f>
        <v>243.40203352569387</v>
      </c>
      <c r="M414" s="122">
        <f t="shared" si="79"/>
        <v>1527138.75</v>
      </c>
      <c r="N414" s="116">
        <f t="shared" si="80"/>
        <v>641398.75</v>
      </c>
      <c r="O414" s="123">
        <f t="shared" si="81"/>
        <v>176.25687001923606</v>
      </c>
      <c r="P414" s="5"/>
      <c r="Q414" s="5">
        <f t="shared" si="84"/>
        <v>1</v>
      </c>
      <c r="R414" s="7">
        <f t="shared" si="85"/>
        <v>3639</v>
      </c>
      <c r="S414" s="5">
        <f>IF(J414&gt;0,1,0)</f>
        <v>1</v>
      </c>
      <c r="T414" s="7">
        <f t="shared" si="82"/>
        <v>3639</v>
      </c>
    </row>
    <row r="415" spans="1:20">
      <c r="A415" s="23" t="s">
        <v>443</v>
      </c>
      <c r="B415" s="35" t="s">
        <v>441</v>
      </c>
      <c r="C415" s="36">
        <v>245</v>
      </c>
      <c r="D415" s="6"/>
      <c r="E415" s="113">
        <v>11595734</v>
      </c>
      <c r="F415" s="116">
        <f t="shared" si="88"/>
        <v>47329.526530612246</v>
      </c>
      <c r="G415" s="117">
        <v>6638043</v>
      </c>
      <c r="H415" s="117">
        <f t="shared" si="87"/>
        <v>27094.053061224491</v>
      </c>
      <c r="I415" s="9" t="s">
        <v>528</v>
      </c>
      <c r="J415" s="11"/>
      <c r="K415" s="117"/>
      <c r="L415" s="120"/>
      <c r="M415" s="122">
        <f t="shared" si="79"/>
        <v>66380.430000000008</v>
      </c>
      <c r="N415" s="116">
        <f t="shared" si="80"/>
        <v>66380.430000000008</v>
      </c>
      <c r="O415" s="123">
        <f t="shared" si="81"/>
        <v>270.94053061224491</v>
      </c>
      <c r="P415" s="5"/>
      <c r="Q415" s="5">
        <f t="shared" si="84"/>
        <v>1</v>
      </c>
      <c r="R415" s="7">
        <f t="shared" si="85"/>
        <v>245</v>
      </c>
      <c r="S415" s="5">
        <f>IF(J415&gt;0,1,0)</f>
        <v>0</v>
      </c>
      <c r="T415" s="7">
        <f t="shared" si="82"/>
        <v>0</v>
      </c>
    </row>
    <row r="416" spans="1:20">
      <c r="A416" s="23" t="s">
        <v>444</v>
      </c>
      <c r="B416" s="35" t="s">
        <v>441</v>
      </c>
      <c r="C416" s="36">
        <v>744</v>
      </c>
      <c r="D416" s="6"/>
      <c r="E416" s="113">
        <v>33448483</v>
      </c>
      <c r="F416" s="116">
        <f t="shared" si="88"/>
        <v>44957.638440860217</v>
      </c>
      <c r="G416" s="117">
        <v>15227840</v>
      </c>
      <c r="H416" s="117">
        <f t="shared" si="87"/>
        <v>20467.526881720431</v>
      </c>
      <c r="I416" s="9"/>
      <c r="J416" s="11">
        <v>2.294</v>
      </c>
      <c r="K416" s="117">
        <v>34933</v>
      </c>
      <c r="L416" s="120">
        <f>(K416/C416)</f>
        <v>46.952956989247312</v>
      </c>
      <c r="M416" s="122">
        <f t="shared" si="79"/>
        <v>152278.39999999999</v>
      </c>
      <c r="N416" s="116">
        <f t="shared" si="80"/>
        <v>117345.4</v>
      </c>
      <c r="O416" s="123">
        <f t="shared" si="81"/>
        <v>157.72231182795699</v>
      </c>
      <c r="P416" s="5"/>
      <c r="Q416" s="5">
        <f t="shared" si="84"/>
        <v>1</v>
      </c>
      <c r="R416" s="7">
        <f t="shared" si="85"/>
        <v>744</v>
      </c>
      <c r="S416" s="5">
        <f>IF(J416&gt;0,1,0)</f>
        <v>1</v>
      </c>
      <c r="T416" s="7">
        <f t="shared" si="82"/>
        <v>744</v>
      </c>
    </row>
    <row r="417" spans="1:20">
      <c r="A417" s="23" t="s">
        <v>445</v>
      </c>
      <c r="B417" s="35" t="s">
        <v>441</v>
      </c>
      <c r="C417" s="36">
        <v>443</v>
      </c>
      <c r="D417" s="6"/>
      <c r="E417" s="113">
        <v>10148614</v>
      </c>
      <c r="F417" s="116">
        <f t="shared" si="88"/>
        <v>22908.835214446954</v>
      </c>
      <c r="G417" s="117">
        <v>4363006</v>
      </c>
      <c r="H417" s="117">
        <f t="shared" si="87"/>
        <v>9848.772009029346</v>
      </c>
      <c r="I417" s="9" t="s">
        <v>528</v>
      </c>
      <c r="J417" s="11"/>
      <c r="K417" s="117"/>
      <c r="L417" s="120"/>
      <c r="M417" s="122">
        <f t="shared" si="79"/>
        <v>43630.06</v>
      </c>
      <c r="N417" s="116">
        <f t="shared" si="80"/>
        <v>43630.06</v>
      </c>
      <c r="O417" s="123">
        <f t="shared" si="81"/>
        <v>98.48772009029345</v>
      </c>
      <c r="P417" s="5"/>
      <c r="Q417" s="5">
        <f t="shared" si="84"/>
        <v>1</v>
      </c>
      <c r="R417" s="7">
        <f t="shared" si="85"/>
        <v>443</v>
      </c>
      <c r="S417" s="5">
        <f>IF(J417&gt;0,1,0)</f>
        <v>0</v>
      </c>
      <c r="T417" s="7">
        <f t="shared" si="82"/>
        <v>0</v>
      </c>
    </row>
    <row r="418" spans="1:20">
      <c r="A418" s="70" t="s">
        <v>451</v>
      </c>
      <c r="B418" s="71"/>
      <c r="C418" s="72">
        <f>SUM(C6:C417)</f>
        <v>9573432</v>
      </c>
      <c r="D418" s="73"/>
      <c r="E418" s="73">
        <f>SUM(E6:E417)</f>
        <v>1286874127420</v>
      </c>
      <c r="F418" s="74">
        <f>(E418/R418)</f>
        <v>147704.26271433991</v>
      </c>
      <c r="G418" s="75">
        <f>SUM(G6:G417)</f>
        <v>896070384395</v>
      </c>
      <c r="H418" s="76">
        <f>(G418/R418)</f>
        <v>102848.76558406567</v>
      </c>
      <c r="I418" s="71"/>
      <c r="J418" s="77"/>
      <c r="K418" s="78">
        <f>SUM(K6:K417)</f>
        <v>3815160358</v>
      </c>
      <c r="L418" s="79">
        <f>(K418/T418)</f>
        <v>440.89049410710771</v>
      </c>
      <c r="M418" s="79">
        <f>SUM(M6:M417)</f>
        <v>8960703843.9499969</v>
      </c>
      <c r="N418" s="78">
        <f>SUM(N6:N417)</f>
        <v>5145543485.9499989</v>
      </c>
      <c r="O418" s="80">
        <f>(N418/R418)</f>
        <v>590.59288757366551</v>
      </c>
      <c r="P418" s="20"/>
      <c r="Q418" s="20">
        <f>SUM(Q6:Q417)</f>
        <v>408</v>
      </c>
      <c r="R418" s="21">
        <f>SUM(R6:R417)</f>
        <v>8712505</v>
      </c>
      <c r="S418" s="20">
        <f>SUM(S6:S417)</f>
        <v>382</v>
      </c>
      <c r="T418" s="21">
        <f>SUM(T6:T417)</f>
        <v>8653306</v>
      </c>
    </row>
    <row r="419" spans="1:20">
      <c r="A419" s="27" t="s">
        <v>453</v>
      </c>
      <c r="B419" s="13"/>
      <c r="C419" s="60">
        <f>(S418)</f>
        <v>382</v>
      </c>
      <c r="D419" s="14"/>
      <c r="E419" s="14"/>
      <c r="F419" s="16"/>
      <c r="G419" s="16"/>
      <c r="H419" s="16"/>
      <c r="I419" s="16"/>
      <c r="J419" s="14"/>
      <c r="K419" s="17"/>
      <c r="L419" s="17"/>
      <c r="M419" s="2"/>
      <c r="N419" s="2"/>
      <c r="O419" s="63"/>
      <c r="P419" s="2"/>
      <c r="Q419" s="2"/>
      <c r="R419" s="2"/>
      <c r="S419" s="2"/>
      <c r="T419" s="2"/>
    </row>
    <row r="420" spans="1:20">
      <c r="A420" s="22"/>
      <c r="B420" s="16"/>
      <c r="C420" s="16"/>
      <c r="D420" s="16"/>
      <c r="E420" s="16"/>
      <c r="F420" s="16"/>
      <c r="G420" s="16"/>
      <c r="H420" s="16"/>
      <c r="I420" s="16"/>
      <c r="J420" s="17"/>
      <c r="K420" s="17"/>
      <c r="L420" s="17"/>
      <c r="M420" s="2"/>
      <c r="N420" s="2"/>
      <c r="O420" s="63"/>
      <c r="P420" s="2"/>
      <c r="Q420" s="2"/>
      <c r="R420" s="2"/>
      <c r="S420" s="2"/>
      <c r="T420" s="2"/>
    </row>
    <row r="421" spans="1:20">
      <c r="A421" s="28" t="s">
        <v>498</v>
      </c>
      <c r="B421" s="25"/>
      <c r="C421" s="25"/>
      <c r="D421" s="25"/>
      <c r="E421" s="25"/>
      <c r="F421" s="25"/>
      <c r="G421" s="25"/>
      <c r="H421" s="25"/>
      <c r="I421" s="25"/>
      <c r="J421" s="26"/>
      <c r="K421" s="26"/>
      <c r="L421" s="26"/>
      <c r="M421" s="1"/>
      <c r="N421" s="1"/>
      <c r="O421" s="64"/>
      <c r="P421" s="1"/>
      <c r="Q421" s="1"/>
      <c r="R421" s="1"/>
      <c r="S421" s="1"/>
      <c r="T421" s="1"/>
    </row>
    <row r="422" spans="1:20">
      <c r="A422" s="96" t="s">
        <v>566</v>
      </c>
      <c r="B422" s="25"/>
      <c r="C422" s="25"/>
      <c r="D422" s="25"/>
      <c r="E422" s="25"/>
      <c r="F422" s="25"/>
      <c r="G422" s="25"/>
      <c r="H422" s="25"/>
      <c r="I422" s="25"/>
      <c r="J422" s="26"/>
      <c r="K422" s="26"/>
      <c r="L422" s="26"/>
      <c r="M422" s="1"/>
      <c r="N422" s="1"/>
      <c r="O422" s="64"/>
      <c r="P422" s="1"/>
      <c r="Q422" s="1"/>
      <c r="R422" s="1"/>
      <c r="S422" s="1"/>
      <c r="T422" s="1"/>
    </row>
    <row r="423" spans="1:20">
      <c r="A423" s="96" t="s">
        <v>570</v>
      </c>
      <c r="B423" s="25"/>
      <c r="C423" s="25"/>
      <c r="D423" s="25"/>
      <c r="E423" s="25"/>
      <c r="F423" s="25"/>
      <c r="G423" s="25"/>
      <c r="H423" s="25"/>
      <c r="I423" s="25"/>
      <c r="J423" s="26"/>
      <c r="K423" s="26"/>
      <c r="L423" s="26"/>
      <c r="M423" s="1"/>
      <c r="N423" s="1"/>
      <c r="O423" s="64"/>
      <c r="P423" s="1"/>
      <c r="Q423" s="1"/>
      <c r="R423" s="1"/>
      <c r="S423" s="1"/>
      <c r="T423" s="1"/>
    </row>
    <row r="424" spans="1:20">
      <c r="A424" s="96" t="s">
        <v>571</v>
      </c>
      <c r="B424" s="25"/>
      <c r="C424" s="25"/>
      <c r="D424" s="25"/>
      <c r="E424" s="25"/>
      <c r="F424" s="25"/>
      <c r="G424" s="25"/>
      <c r="H424" s="25"/>
      <c r="I424" s="25"/>
      <c r="J424" s="26"/>
      <c r="K424" s="26"/>
      <c r="L424" s="26"/>
      <c r="M424" s="1"/>
      <c r="N424" s="1"/>
      <c r="O424" s="64"/>
      <c r="P424" s="1"/>
      <c r="Q424" s="1"/>
      <c r="R424" s="1"/>
      <c r="S424" s="1"/>
      <c r="T424" s="1"/>
    </row>
    <row r="425" spans="1:20">
      <c r="A425" s="96" t="s">
        <v>572</v>
      </c>
      <c r="B425" s="25"/>
      <c r="C425" s="25"/>
      <c r="D425" s="25"/>
      <c r="E425" s="25"/>
      <c r="F425" s="25"/>
      <c r="G425" s="25"/>
      <c r="H425" s="25"/>
      <c r="I425" s="25"/>
      <c r="J425" s="26"/>
      <c r="K425" s="26"/>
      <c r="L425" s="26"/>
      <c r="M425" s="1"/>
      <c r="N425" s="1"/>
      <c r="O425" s="64"/>
      <c r="P425" s="1"/>
      <c r="Q425" s="1"/>
      <c r="R425" s="1"/>
      <c r="S425" s="1"/>
      <c r="T425" s="1"/>
    </row>
    <row r="426" spans="1:20">
      <c r="A426" s="29" t="s">
        <v>505</v>
      </c>
      <c r="B426" s="25"/>
      <c r="C426" s="25"/>
      <c r="D426" s="25"/>
      <c r="E426" s="25"/>
      <c r="F426" s="25"/>
      <c r="G426" s="25"/>
      <c r="H426" s="25"/>
      <c r="I426" s="25"/>
      <c r="J426" s="26"/>
      <c r="K426" s="26"/>
      <c r="L426" s="26"/>
      <c r="M426" s="1"/>
      <c r="N426" s="1"/>
      <c r="O426" s="64"/>
      <c r="P426" s="1"/>
      <c r="Q426" s="1"/>
      <c r="R426" s="1"/>
      <c r="S426" s="1"/>
      <c r="T426" s="1"/>
    </row>
    <row r="427" spans="1:20">
      <c r="A427" s="29"/>
      <c r="B427" s="25"/>
      <c r="C427" s="25"/>
      <c r="D427" s="25"/>
      <c r="E427" s="25"/>
      <c r="F427" s="25"/>
      <c r="G427" s="25"/>
      <c r="H427" s="25"/>
      <c r="I427" s="25"/>
      <c r="J427" s="26"/>
      <c r="K427" s="26"/>
      <c r="L427" s="26"/>
      <c r="M427" s="1"/>
      <c r="N427" s="1"/>
      <c r="O427" s="64"/>
      <c r="P427" s="1"/>
      <c r="Q427" s="1"/>
      <c r="R427" s="1"/>
      <c r="S427" s="1"/>
      <c r="T427" s="1"/>
    </row>
    <row r="428" spans="1:20">
      <c r="A428" s="96" t="s">
        <v>579</v>
      </c>
      <c r="B428" s="25"/>
      <c r="C428" s="25"/>
      <c r="D428" s="25"/>
      <c r="E428" s="25"/>
      <c r="F428" s="25"/>
      <c r="G428" s="25"/>
      <c r="H428" s="25"/>
      <c r="I428" s="25"/>
      <c r="J428" s="26"/>
      <c r="K428" s="26"/>
      <c r="L428" s="26"/>
      <c r="M428" s="1"/>
      <c r="N428" s="1"/>
      <c r="O428" s="64"/>
      <c r="P428" s="1"/>
      <c r="Q428" s="1"/>
      <c r="R428" s="1"/>
      <c r="S428" s="1"/>
      <c r="T428" s="1"/>
    </row>
    <row r="429" spans="1:20">
      <c r="A429" s="96" t="s">
        <v>541</v>
      </c>
      <c r="B429" s="25"/>
      <c r="C429" s="25"/>
      <c r="D429" s="25"/>
      <c r="E429" s="25"/>
      <c r="F429" s="25"/>
      <c r="G429" s="25"/>
      <c r="H429" s="25"/>
      <c r="I429" s="25"/>
      <c r="J429" s="26"/>
      <c r="K429" s="26"/>
      <c r="L429" s="26"/>
      <c r="M429" s="1"/>
      <c r="N429" s="1"/>
      <c r="O429" s="64"/>
      <c r="P429" s="1"/>
      <c r="Q429" s="1"/>
      <c r="R429" s="1"/>
      <c r="S429" s="1"/>
      <c r="T429" s="1"/>
    </row>
    <row r="430" spans="1:20" ht="13.5" thickBot="1">
      <c r="A430" s="30" t="s">
        <v>535</v>
      </c>
      <c r="B430" s="31"/>
      <c r="C430" s="31"/>
      <c r="D430" s="31"/>
      <c r="E430" s="31"/>
      <c r="F430" s="31"/>
      <c r="G430" s="31"/>
      <c r="H430" s="31"/>
      <c r="I430" s="31"/>
      <c r="J430" s="32"/>
      <c r="K430" s="32"/>
      <c r="L430" s="32"/>
      <c r="M430" s="31"/>
      <c r="N430" s="31"/>
      <c r="O430" s="81"/>
      <c r="P430" s="1"/>
      <c r="Q430" s="1"/>
      <c r="R430" s="1"/>
      <c r="S430" s="1"/>
      <c r="T430" s="1"/>
    </row>
    <row r="431" spans="1:20">
      <c r="A431" s="4"/>
      <c r="B431" s="1"/>
      <c r="C431" s="1"/>
      <c r="D431" s="1"/>
      <c r="E431" s="1"/>
      <c r="F431" s="1"/>
      <c r="G431" s="1"/>
      <c r="H431" s="1"/>
      <c r="I431" s="1"/>
      <c r="J431" s="3"/>
      <c r="K431" s="3"/>
      <c r="L431" s="3"/>
      <c r="M431" s="1"/>
      <c r="N431" s="1"/>
      <c r="O431" s="1"/>
      <c r="P431" s="1"/>
      <c r="Q431" s="1"/>
      <c r="R431" s="1"/>
      <c r="S431" s="1"/>
      <c r="T431" s="1"/>
    </row>
    <row r="432" spans="1:20">
      <c r="A432" s="4"/>
      <c r="B432" s="1"/>
      <c r="C432" s="1"/>
      <c r="D432" s="1"/>
      <c r="E432" s="1"/>
      <c r="F432" s="1"/>
      <c r="G432" s="1"/>
      <c r="H432" s="1"/>
      <c r="I432" s="1"/>
      <c r="J432" s="3"/>
      <c r="K432" s="3"/>
      <c r="L432" s="3"/>
      <c r="M432" s="1"/>
      <c r="N432" s="1"/>
      <c r="O432" s="1"/>
      <c r="P432" s="1"/>
      <c r="Q432" s="1"/>
      <c r="R432" s="1"/>
      <c r="S432" s="1"/>
      <c r="T432" s="1"/>
    </row>
    <row r="433" spans="1:20">
      <c r="A433" s="2"/>
      <c r="B433" s="2"/>
      <c r="C433" s="2"/>
      <c r="D433" s="2"/>
      <c r="E433" s="2"/>
      <c r="F433" s="2"/>
      <c r="G433" s="2"/>
      <c r="H433" s="2"/>
      <c r="I433" s="2"/>
      <c r="J433" s="2"/>
      <c r="K433" s="2"/>
      <c r="L433" s="2"/>
      <c r="M433" s="2"/>
      <c r="N433" s="2"/>
      <c r="O433" s="2"/>
      <c r="P433" s="2"/>
      <c r="Q433" s="2"/>
      <c r="R433" s="2"/>
      <c r="S433" s="2"/>
      <c r="T433" s="2"/>
    </row>
  </sheetData>
  <mergeCells count="3">
    <mergeCell ref="A1:O1"/>
    <mergeCell ref="D2:H2"/>
    <mergeCell ref="M2:O2"/>
  </mergeCells>
  <printOptions horizontalCentered="1"/>
  <pageMargins left="0.5" right="0.5" top="0.5" bottom="0.5" header="0.3" footer="0.3"/>
  <pageSetup paperSize="5" scale="80" fitToHeight="0" orientation="landscape" horizontalDpi="1200" verticalDpi="1200" r:id="rId1"/>
  <headerFooter>
    <oddFooter>&amp;L&amp;11Office of Economic and Demographic Research&amp;C&amp;11Page &amp;P of &amp;N&amp;R&amp;11March 16, 2011</oddFooter>
  </headerFooter>
  <rowBreaks count="1" manualBreakCount="1">
    <brk id="419" max="14" man="1"/>
  </rowBreaks>
  <ignoredErrors>
    <ignoredError sqref="L418 F418"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T433"/>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8.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7" t="s">
        <v>533</v>
      </c>
      <c r="B1" s="198"/>
      <c r="C1" s="198"/>
      <c r="D1" s="198"/>
      <c r="E1" s="198"/>
      <c r="F1" s="198"/>
      <c r="G1" s="198"/>
      <c r="H1" s="198"/>
      <c r="I1" s="198"/>
      <c r="J1" s="198"/>
      <c r="K1" s="198"/>
      <c r="L1" s="198"/>
      <c r="M1" s="198"/>
      <c r="N1" s="198"/>
      <c r="O1" s="199"/>
    </row>
    <row r="2" spans="1:20" ht="18">
      <c r="A2" s="41"/>
      <c r="B2" s="42"/>
      <c r="C2" s="43"/>
      <c r="D2" s="200" t="s">
        <v>483</v>
      </c>
      <c r="E2" s="201"/>
      <c r="F2" s="201"/>
      <c r="G2" s="201"/>
      <c r="H2" s="202"/>
      <c r="I2" s="44"/>
      <c r="J2" s="61" t="s">
        <v>456</v>
      </c>
      <c r="K2" s="45"/>
      <c r="L2" s="68"/>
      <c r="M2" s="201" t="s">
        <v>503</v>
      </c>
      <c r="N2" s="201"/>
      <c r="O2" s="203"/>
    </row>
    <row r="3" spans="1:20" ht="12.75" customHeight="1">
      <c r="A3" s="46"/>
      <c r="B3" s="47"/>
      <c r="C3" s="48">
        <v>2007</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7854</v>
      </c>
      <c r="D6" s="18"/>
      <c r="E6" s="18">
        <v>1039182871</v>
      </c>
      <c r="F6" s="38">
        <f>(E6/C6)</f>
        <v>132312.56315253375</v>
      </c>
      <c r="G6" s="18">
        <v>683211321</v>
      </c>
      <c r="H6" s="39">
        <f t="shared" ref="H6:H14" si="0">(G6/C6)</f>
        <v>86988.963712757832</v>
      </c>
      <c r="I6" s="15"/>
      <c r="J6" s="17">
        <v>4.6479999999999997</v>
      </c>
      <c r="K6" s="40">
        <v>3175566</v>
      </c>
      <c r="L6" s="84">
        <f t="shared" ref="L6:L14" si="1">(K6/C6)</f>
        <v>404.3246753246753</v>
      </c>
      <c r="M6" s="65">
        <f>(G6*0.01)</f>
        <v>6832113.21</v>
      </c>
      <c r="N6" s="83">
        <f>(M6-K6)</f>
        <v>3656547.21</v>
      </c>
      <c r="O6" s="62">
        <f>(N6/C6)</f>
        <v>465.56496180290299</v>
      </c>
      <c r="P6" s="5"/>
      <c r="Q6" s="5">
        <f>IF(E6&gt;0,1,0)</f>
        <v>1</v>
      </c>
      <c r="R6" s="7">
        <f>IF(E6&gt;0,C6,0)</f>
        <v>7854</v>
      </c>
      <c r="S6" s="5">
        <f t="shared" ref="S6:S69" si="2">IF(J6&gt;0,1,0)</f>
        <v>1</v>
      </c>
      <c r="T6" s="7">
        <f t="shared" ref="T6:T69" si="3">IF(J6&gt;0,C6,0)</f>
        <v>7854</v>
      </c>
    </row>
    <row r="7" spans="1:20">
      <c r="A7" s="23" t="s">
        <v>9</v>
      </c>
      <c r="B7" s="35" t="s">
        <v>8</v>
      </c>
      <c r="C7" s="36">
        <v>1229</v>
      </c>
      <c r="D7" s="6"/>
      <c r="E7" s="113">
        <v>63042417</v>
      </c>
      <c r="F7" s="116">
        <f>(E7/C7)</f>
        <v>51295.701383238404</v>
      </c>
      <c r="G7" s="113">
        <v>33870165</v>
      </c>
      <c r="H7" s="117">
        <f t="shared" si="0"/>
        <v>27559.125305126119</v>
      </c>
      <c r="I7" s="7"/>
      <c r="J7" s="10">
        <v>4.5</v>
      </c>
      <c r="K7" s="117">
        <v>152416</v>
      </c>
      <c r="L7" s="120">
        <f t="shared" si="1"/>
        <v>124.01627339300244</v>
      </c>
      <c r="M7" s="122">
        <f>(G7*0.01)</f>
        <v>338701.65</v>
      </c>
      <c r="N7" s="116">
        <f>(M7-K7)</f>
        <v>186285.65000000002</v>
      </c>
      <c r="O7" s="123">
        <f>(N7/C7)</f>
        <v>151.57497965825877</v>
      </c>
      <c r="P7" s="5"/>
      <c r="Q7" s="5">
        <f t="shared" ref="Q7:Q70" si="4">IF(E7&gt;0,1,0)</f>
        <v>1</v>
      </c>
      <c r="R7" s="7">
        <f t="shared" ref="R7:R70" si="5">IF(E7&gt;0,C7,0)</f>
        <v>1229</v>
      </c>
      <c r="S7" s="5">
        <f t="shared" si="2"/>
        <v>1</v>
      </c>
      <c r="T7" s="7">
        <f t="shared" si="3"/>
        <v>1229</v>
      </c>
    </row>
    <row r="8" spans="1:20">
      <c r="A8" s="23" t="s">
        <v>10</v>
      </c>
      <c r="B8" s="35" t="s">
        <v>8</v>
      </c>
      <c r="C8" s="36">
        <v>122671</v>
      </c>
      <c r="D8" s="6"/>
      <c r="E8" s="113">
        <v>12025484841</v>
      </c>
      <c r="F8" s="116">
        <f t="shared" ref="F8:F71" si="6">(E8/C8)</f>
        <v>98030.380782744091</v>
      </c>
      <c r="G8" s="113">
        <v>5666259207</v>
      </c>
      <c r="H8" s="117">
        <f t="shared" si="0"/>
        <v>46190.69875520702</v>
      </c>
      <c r="I8" s="7"/>
      <c r="J8" s="10">
        <v>4.2544000000000004</v>
      </c>
      <c r="K8" s="117">
        <v>24106533</v>
      </c>
      <c r="L8" s="120">
        <f t="shared" si="1"/>
        <v>196.51370739620612</v>
      </c>
      <c r="M8" s="122">
        <f t="shared" ref="M8:M71" si="7">(G8*0.01)</f>
        <v>56662592.07</v>
      </c>
      <c r="N8" s="116">
        <f t="shared" ref="N8:N71" si="8">(M8-K8)</f>
        <v>32556059.07</v>
      </c>
      <c r="O8" s="123">
        <f t="shared" ref="O8:O71" si="9">(N8/C8)</f>
        <v>265.39328015586403</v>
      </c>
      <c r="P8" s="5"/>
      <c r="Q8" s="5">
        <f t="shared" si="4"/>
        <v>1</v>
      </c>
      <c r="R8" s="7">
        <f t="shared" si="5"/>
        <v>122671</v>
      </c>
      <c r="S8" s="5">
        <f t="shared" si="2"/>
        <v>1</v>
      </c>
      <c r="T8" s="7">
        <f t="shared" si="3"/>
        <v>122671</v>
      </c>
    </row>
    <row r="9" spans="1:20">
      <c r="A9" s="23" t="s">
        <v>11</v>
      </c>
      <c r="B9" s="35" t="s">
        <v>8</v>
      </c>
      <c r="C9" s="36">
        <v>1401</v>
      </c>
      <c r="D9" s="6"/>
      <c r="E9" s="113">
        <v>101552776</v>
      </c>
      <c r="F9" s="116">
        <f t="shared" si="6"/>
        <v>72485.921484653823</v>
      </c>
      <c r="G9" s="117">
        <v>54665508</v>
      </c>
      <c r="H9" s="117">
        <f t="shared" si="0"/>
        <v>39018.920770877943</v>
      </c>
      <c r="I9" s="7"/>
      <c r="J9" s="10">
        <v>5.4257999999999997</v>
      </c>
      <c r="K9" s="117">
        <v>296604</v>
      </c>
      <c r="L9" s="120">
        <f t="shared" si="1"/>
        <v>211.70877944325483</v>
      </c>
      <c r="M9" s="122">
        <f t="shared" si="7"/>
        <v>546655.07999999996</v>
      </c>
      <c r="N9" s="116">
        <f t="shared" si="8"/>
        <v>250051.07999999996</v>
      </c>
      <c r="O9" s="123">
        <f t="shared" si="9"/>
        <v>178.48042826552461</v>
      </c>
      <c r="P9" s="5"/>
      <c r="Q9" s="5">
        <f t="shared" si="4"/>
        <v>1</v>
      </c>
      <c r="R9" s="7">
        <f t="shared" si="5"/>
        <v>1401</v>
      </c>
      <c r="S9" s="5">
        <f t="shared" si="2"/>
        <v>1</v>
      </c>
      <c r="T9" s="7">
        <f t="shared" si="3"/>
        <v>1401</v>
      </c>
    </row>
    <row r="10" spans="1:20">
      <c r="A10" s="23" t="s">
        <v>12</v>
      </c>
      <c r="B10" s="35" t="s">
        <v>8</v>
      </c>
      <c r="C10" s="36">
        <v>4739</v>
      </c>
      <c r="D10" s="6"/>
      <c r="E10" s="113">
        <v>429114894</v>
      </c>
      <c r="F10" s="116">
        <f t="shared" si="6"/>
        <v>90549.671660687905</v>
      </c>
      <c r="G10" s="117">
        <v>267752882</v>
      </c>
      <c r="H10" s="117">
        <f t="shared" si="0"/>
        <v>56499.869592741088</v>
      </c>
      <c r="I10" s="7"/>
      <c r="J10" s="10">
        <v>6.25</v>
      </c>
      <c r="K10" s="117">
        <v>1673456</v>
      </c>
      <c r="L10" s="120">
        <f t="shared" si="1"/>
        <v>353.12428782443556</v>
      </c>
      <c r="M10" s="122">
        <f t="shared" si="7"/>
        <v>2677528.8199999998</v>
      </c>
      <c r="N10" s="116">
        <f t="shared" si="8"/>
        <v>1004072.8199999998</v>
      </c>
      <c r="O10" s="123">
        <f t="shared" si="9"/>
        <v>211.87440810297528</v>
      </c>
      <c r="P10" s="5"/>
      <c r="Q10" s="5">
        <f t="shared" si="4"/>
        <v>1</v>
      </c>
      <c r="R10" s="7">
        <f t="shared" si="5"/>
        <v>4739</v>
      </c>
      <c r="S10" s="5">
        <f t="shared" si="2"/>
        <v>1</v>
      </c>
      <c r="T10" s="7">
        <f t="shared" si="3"/>
        <v>4739</v>
      </c>
    </row>
    <row r="11" spans="1:20">
      <c r="A11" s="23" t="s">
        <v>559</v>
      </c>
      <c r="B11" s="35" t="s">
        <v>8</v>
      </c>
      <c r="C11" s="36">
        <v>195</v>
      </c>
      <c r="D11" s="6"/>
      <c r="E11" s="113">
        <v>21711729</v>
      </c>
      <c r="F11" s="116">
        <f t="shared" si="6"/>
        <v>111342.2</v>
      </c>
      <c r="G11" s="117">
        <v>12379661</v>
      </c>
      <c r="H11" s="117">
        <f t="shared" si="0"/>
        <v>63485.441025641026</v>
      </c>
      <c r="I11" s="7"/>
      <c r="J11" s="10">
        <v>1.8317000000000001</v>
      </c>
      <c r="K11" s="117">
        <v>22676</v>
      </c>
      <c r="L11" s="120">
        <f t="shared" si="1"/>
        <v>116.28717948717949</v>
      </c>
      <c r="M11" s="122">
        <f t="shared" si="7"/>
        <v>123796.61</v>
      </c>
      <c r="N11" s="116">
        <f t="shared" si="8"/>
        <v>101120.61</v>
      </c>
      <c r="O11" s="123">
        <f t="shared" si="9"/>
        <v>518.56723076923072</v>
      </c>
      <c r="P11" s="5"/>
      <c r="Q11" s="5">
        <f t="shared" si="4"/>
        <v>1</v>
      </c>
      <c r="R11" s="7">
        <f t="shared" si="5"/>
        <v>195</v>
      </c>
      <c r="S11" s="5">
        <f t="shared" si="2"/>
        <v>1</v>
      </c>
      <c r="T11" s="7">
        <f t="shared" si="3"/>
        <v>195</v>
      </c>
    </row>
    <row r="12" spans="1:20">
      <c r="A12" s="23" t="s">
        <v>13</v>
      </c>
      <c r="B12" s="35" t="s">
        <v>8</v>
      </c>
      <c r="C12" s="36">
        <v>637</v>
      </c>
      <c r="D12" s="6"/>
      <c r="E12" s="113">
        <v>50737305</v>
      </c>
      <c r="F12" s="116">
        <f t="shared" si="6"/>
        <v>79650.400313971739</v>
      </c>
      <c r="G12" s="117">
        <v>29514985</v>
      </c>
      <c r="H12" s="117">
        <f t="shared" si="0"/>
        <v>46334.356357927783</v>
      </c>
      <c r="I12" s="7"/>
      <c r="J12" s="10">
        <v>8</v>
      </c>
      <c r="K12" s="117">
        <v>236119.88</v>
      </c>
      <c r="L12" s="120">
        <f t="shared" si="1"/>
        <v>370.67485086342231</v>
      </c>
      <c r="M12" s="122">
        <f t="shared" si="7"/>
        <v>295149.85000000003</v>
      </c>
      <c r="N12" s="116">
        <f t="shared" si="8"/>
        <v>59029.97000000003</v>
      </c>
      <c r="O12" s="123">
        <f t="shared" si="9"/>
        <v>92.668712715855619</v>
      </c>
      <c r="P12" s="5"/>
      <c r="Q12" s="5">
        <f t="shared" si="4"/>
        <v>1</v>
      </c>
      <c r="R12" s="7">
        <f t="shared" si="5"/>
        <v>637</v>
      </c>
      <c r="S12" s="5">
        <f t="shared" si="2"/>
        <v>1</v>
      </c>
      <c r="T12" s="7">
        <f t="shared" si="3"/>
        <v>637</v>
      </c>
    </row>
    <row r="13" spans="1:20">
      <c r="A13" s="23" t="s">
        <v>14</v>
      </c>
      <c r="B13" s="35" t="s">
        <v>8</v>
      </c>
      <c r="C13" s="36">
        <v>4787</v>
      </c>
      <c r="D13" s="6"/>
      <c r="E13" s="113">
        <v>481868034</v>
      </c>
      <c r="F13" s="116">
        <f t="shared" si="6"/>
        <v>100661.79945686234</v>
      </c>
      <c r="G13" s="117">
        <v>292896508</v>
      </c>
      <c r="H13" s="117">
        <f t="shared" si="0"/>
        <v>61185.817422185086</v>
      </c>
      <c r="I13" s="7"/>
      <c r="J13" s="10">
        <v>3.6945999999999999</v>
      </c>
      <c r="K13" s="117">
        <v>1082135</v>
      </c>
      <c r="L13" s="120">
        <f t="shared" si="1"/>
        <v>226.05702945477336</v>
      </c>
      <c r="M13" s="122">
        <f t="shared" si="7"/>
        <v>2928965.08</v>
      </c>
      <c r="N13" s="116">
        <f t="shared" si="8"/>
        <v>1846830.0800000001</v>
      </c>
      <c r="O13" s="123">
        <f t="shared" si="9"/>
        <v>385.80114476707752</v>
      </c>
      <c r="P13" s="5"/>
      <c r="Q13" s="5">
        <f t="shared" si="4"/>
        <v>1</v>
      </c>
      <c r="R13" s="7">
        <f t="shared" si="5"/>
        <v>4787</v>
      </c>
      <c r="S13" s="5">
        <f t="shared" si="2"/>
        <v>1</v>
      </c>
      <c r="T13" s="7">
        <f t="shared" si="3"/>
        <v>4787</v>
      </c>
    </row>
    <row r="14" spans="1:20">
      <c r="A14" s="23" t="s">
        <v>15</v>
      </c>
      <c r="B14" s="35" t="s">
        <v>8</v>
      </c>
      <c r="C14" s="36">
        <v>831</v>
      </c>
      <c r="D14" s="6"/>
      <c r="E14" s="113">
        <v>43520768</v>
      </c>
      <c r="F14" s="116">
        <f t="shared" si="6"/>
        <v>52371.561973525873</v>
      </c>
      <c r="G14" s="117">
        <v>24163513</v>
      </c>
      <c r="H14" s="117">
        <f t="shared" si="0"/>
        <v>29077.632972322503</v>
      </c>
      <c r="I14" s="7"/>
      <c r="J14" s="10">
        <v>5.0313999999999997</v>
      </c>
      <c r="K14" s="117">
        <v>121576</v>
      </c>
      <c r="L14" s="120">
        <f t="shared" si="1"/>
        <v>146.30084235860409</v>
      </c>
      <c r="M14" s="122">
        <f t="shared" si="7"/>
        <v>241635.13</v>
      </c>
      <c r="N14" s="116">
        <f t="shared" si="8"/>
        <v>120059.13</v>
      </c>
      <c r="O14" s="123">
        <f t="shared" si="9"/>
        <v>144.47548736462093</v>
      </c>
      <c r="P14" s="5"/>
      <c r="Q14" s="5">
        <f t="shared" si="4"/>
        <v>1</v>
      </c>
      <c r="R14" s="7">
        <f t="shared" si="5"/>
        <v>831</v>
      </c>
      <c r="S14" s="5">
        <f t="shared" si="2"/>
        <v>1</v>
      </c>
      <c r="T14" s="7">
        <f t="shared" si="3"/>
        <v>831</v>
      </c>
    </row>
    <row r="15" spans="1:20">
      <c r="A15" s="23" t="s">
        <v>544</v>
      </c>
      <c r="B15" s="35" t="s">
        <v>16</v>
      </c>
      <c r="C15" s="36">
        <v>471</v>
      </c>
      <c r="D15" s="6" t="s">
        <v>527</v>
      </c>
      <c r="E15" s="113"/>
      <c r="F15" s="116"/>
      <c r="G15" s="117"/>
      <c r="H15" s="117"/>
      <c r="I15" s="9" t="s">
        <v>528</v>
      </c>
      <c r="J15" s="10"/>
      <c r="K15" s="117"/>
      <c r="L15" s="120"/>
      <c r="M15" s="122">
        <f t="shared" si="7"/>
        <v>0</v>
      </c>
      <c r="N15" s="116">
        <f t="shared" si="8"/>
        <v>0</v>
      </c>
      <c r="O15" s="123">
        <f t="shared" si="9"/>
        <v>0</v>
      </c>
      <c r="P15" s="5"/>
      <c r="Q15" s="5">
        <f t="shared" si="4"/>
        <v>0</v>
      </c>
      <c r="R15" s="7">
        <f t="shared" si="5"/>
        <v>0</v>
      </c>
      <c r="S15" s="5">
        <f t="shared" si="2"/>
        <v>0</v>
      </c>
      <c r="T15" s="7">
        <f t="shared" si="3"/>
        <v>0</v>
      </c>
    </row>
    <row r="16" spans="1:20">
      <c r="A16" s="23" t="s">
        <v>17</v>
      </c>
      <c r="B16" s="35" t="s">
        <v>16</v>
      </c>
      <c r="C16" s="36">
        <v>5804</v>
      </c>
      <c r="D16" s="6"/>
      <c r="E16" s="113">
        <v>370993722</v>
      </c>
      <c r="F16" s="116">
        <f t="shared" si="6"/>
        <v>63920.351826326674</v>
      </c>
      <c r="G16" s="117">
        <v>231931156</v>
      </c>
      <c r="H16" s="117">
        <f t="shared" ref="H16:H47" si="10">(G16/C16)</f>
        <v>39960.571330117164</v>
      </c>
      <c r="I16" s="7"/>
      <c r="J16" s="10">
        <v>3.2397999999999998</v>
      </c>
      <c r="K16" s="117">
        <v>751411</v>
      </c>
      <c r="L16" s="120">
        <f t="shared" ref="L16:L21" si="11">(K16/C16)</f>
        <v>129.46433494141971</v>
      </c>
      <c r="M16" s="122">
        <f t="shared" si="7"/>
        <v>2319311.56</v>
      </c>
      <c r="N16" s="116">
        <f t="shared" si="8"/>
        <v>1567900.56</v>
      </c>
      <c r="O16" s="123">
        <f t="shared" si="9"/>
        <v>270.14137835975191</v>
      </c>
      <c r="P16" s="5"/>
      <c r="Q16" s="5">
        <f t="shared" si="4"/>
        <v>1</v>
      </c>
      <c r="R16" s="7">
        <f t="shared" si="5"/>
        <v>5804</v>
      </c>
      <c r="S16" s="5">
        <f t="shared" si="2"/>
        <v>1</v>
      </c>
      <c r="T16" s="7">
        <f t="shared" si="3"/>
        <v>5804</v>
      </c>
    </row>
    <row r="17" spans="1:20">
      <c r="A17" s="23" t="s">
        <v>18</v>
      </c>
      <c r="B17" s="35" t="s">
        <v>19</v>
      </c>
      <c r="C17" s="36">
        <v>14713</v>
      </c>
      <c r="D17" s="6"/>
      <c r="E17" s="113">
        <v>926940739</v>
      </c>
      <c r="F17" s="116">
        <f t="shared" si="6"/>
        <v>63001.477536872153</v>
      </c>
      <c r="G17" s="117">
        <v>614053404</v>
      </c>
      <c r="H17" s="117">
        <f t="shared" si="10"/>
        <v>41735.431523142797</v>
      </c>
      <c r="I17" s="8"/>
      <c r="J17" s="10">
        <v>2</v>
      </c>
      <c r="K17" s="117">
        <v>1228107</v>
      </c>
      <c r="L17" s="120">
        <f t="shared" si="11"/>
        <v>83.470876095969544</v>
      </c>
      <c r="M17" s="122">
        <f t="shared" si="7"/>
        <v>6140534.04</v>
      </c>
      <c r="N17" s="116">
        <f t="shared" si="8"/>
        <v>4912427.04</v>
      </c>
      <c r="O17" s="123">
        <f t="shared" si="9"/>
        <v>333.88343913545845</v>
      </c>
      <c r="P17" s="5"/>
      <c r="Q17" s="5">
        <f t="shared" si="4"/>
        <v>1</v>
      </c>
      <c r="R17" s="7">
        <f t="shared" si="5"/>
        <v>14713</v>
      </c>
      <c r="S17" s="5">
        <f t="shared" si="2"/>
        <v>1</v>
      </c>
      <c r="T17" s="7">
        <f t="shared" si="3"/>
        <v>14713</v>
      </c>
    </row>
    <row r="18" spans="1:20">
      <c r="A18" s="23" t="s">
        <v>20</v>
      </c>
      <c r="B18" s="35" t="s">
        <v>19</v>
      </c>
      <c r="C18" s="36">
        <v>5723</v>
      </c>
      <c r="D18" s="6"/>
      <c r="E18" s="113">
        <v>368475285</v>
      </c>
      <c r="F18" s="116">
        <f t="shared" si="6"/>
        <v>64384.987768652805</v>
      </c>
      <c r="G18" s="117">
        <v>255542290</v>
      </c>
      <c r="H18" s="117">
        <f t="shared" si="10"/>
        <v>44651.806744714311</v>
      </c>
      <c r="I18" s="9"/>
      <c r="J18" s="10">
        <v>1.5</v>
      </c>
      <c r="K18" s="117">
        <v>383313</v>
      </c>
      <c r="L18" s="120">
        <f t="shared" si="11"/>
        <v>66.977634107985324</v>
      </c>
      <c r="M18" s="122">
        <f t="shared" si="7"/>
        <v>2555422.9</v>
      </c>
      <c r="N18" s="116">
        <f t="shared" si="8"/>
        <v>2172109.9</v>
      </c>
      <c r="O18" s="123">
        <f t="shared" si="9"/>
        <v>379.54043333915774</v>
      </c>
      <c r="P18" s="5"/>
      <c r="Q18" s="5">
        <f t="shared" si="4"/>
        <v>1</v>
      </c>
      <c r="R18" s="7">
        <f t="shared" si="5"/>
        <v>5723</v>
      </c>
      <c r="S18" s="5">
        <f t="shared" si="2"/>
        <v>1</v>
      </c>
      <c r="T18" s="7">
        <f t="shared" si="3"/>
        <v>5723</v>
      </c>
    </row>
    <row r="19" spans="1:20">
      <c r="A19" s="23" t="s">
        <v>21</v>
      </c>
      <c r="B19" s="35" t="s">
        <v>19</v>
      </c>
      <c r="C19" s="36">
        <v>16217</v>
      </c>
      <c r="D19" s="6"/>
      <c r="E19" s="113">
        <v>1665178194</v>
      </c>
      <c r="F19" s="116">
        <f t="shared" si="6"/>
        <v>102681.02571375718</v>
      </c>
      <c r="G19" s="117">
        <v>1087038309</v>
      </c>
      <c r="H19" s="117">
        <f t="shared" si="10"/>
        <v>67030.78923352038</v>
      </c>
      <c r="I19" s="7"/>
      <c r="J19" s="10">
        <v>2.8266</v>
      </c>
      <c r="K19" s="117">
        <v>3072622</v>
      </c>
      <c r="L19" s="120">
        <f t="shared" si="11"/>
        <v>189.46919898871553</v>
      </c>
      <c r="M19" s="122">
        <f t="shared" si="7"/>
        <v>10870383.09</v>
      </c>
      <c r="N19" s="116">
        <f t="shared" si="8"/>
        <v>7797761.0899999999</v>
      </c>
      <c r="O19" s="123">
        <f t="shared" si="9"/>
        <v>480.83869334648824</v>
      </c>
      <c r="P19" s="5"/>
      <c r="Q19" s="5">
        <f t="shared" si="4"/>
        <v>1</v>
      </c>
      <c r="R19" s="7">
        <f t="shared" si="5"/>
        <v>16217</v>
      </c>
      <c r="S19" s="5">
        <f t="shared" si="2"/>
        <v>1</v>
      </c>
      <c r="T19" s="7">
        <f t="shared" si="3"/>
        <v>16217</v>
      </c>
    </row>
    <row r="20" spans="1:20">
      <c r="A20" s="23" t="s">
        <v>22</v>
      </c>
      <c r="B20" s="35" t="s">
        <v>19</v>
      </c>
      <c r="C20" s="36">
        <v>1320</v>
      </c>
      <c r="D20" s="6"/>
      <c r="E20" s="113">
        <v>755770048</v>
      </c>
      <c r="F20" s="116">
        <f t="shared" si="6"/>
        <v>572553.06666666665</v>
      </c>
      <c r="G20" s="117">
        <v>581545102</v>
      </c>
      <c r="H20" s="117">
        <f t="shared" si="10"/>
        <v>440564.47121212119</v>
      </c>
      <c r="I20" s="7"/>
      <c r="J20" s="11">
        <v>3.72</v>
      </c>
      <c r="K20" s="117">
        <v>2163348</v>
      </c>
      <c r="L20" s="120">
        <f t="shared" si="11"/>
        <v>1638.9</v>
      </c>
      <c r="M20" s="122">
        <f t="shared" si="7"/>
        <v>5815451.0200000005</v>
      </c>
      <c r="N20" s="116">
        <f t="shared" si="8"/>
        <v>3652103.0200000005</v>
      </c>
      <c r="O20" s="123">
        <f t="shared" si="9"/>
        <v>2766.7447121212126</v>
      </c>
      <c r="P20" s="5"/>
      <c r="Q20" s="5">
        <f t="shared" si="4"/>
        <v>1</v>
      </c>
      <c r="R20" s="7">
        <f t="shared" si="5"/>
        <v>1320</v>
      </c>
      <c r="S20" s="5">
        <f t="shared" si="2"/>
        <v>1</v>
      </c>
      <c r="T20" s="7">
        <f t="shared" si="3"/>
        <v>1320</v>
      </c>
    </row>
    <row r="21" spans="1:20">
      <c r="A21" s="23" t="s">
        <v>23</v>
      </c>
      <c r="B21" s="35" t="s">
        <v>19</v>
      </c>
      <c r="C21" s="36">
        <v>37640</v>
      </c>
      <c r="D21" s="6"/>
      <c r="E21" s="113">
        <v>4012359764</v>
      </c>
      <c r="F21" s="116">
        <f t="shared" si="6"/>
        <v>106598.29341126462</v>
      </c>
      <c r="G21" s="117">
        <v>2485626113</v>
      </c>
      <c r="H21" s="117">
        <f t="shared" si="10"/>
        <v>66036.825531349634</v>
      </c>
      <c r="I21" s="7"/>
      <c r="J21" s="10">
        <v>3.7610000000000001</v>
      </c>
      <c r="K21" s="117">
        <v>9348440</v>
      </c>
      <c r="L21" s="120">
        <f t="shared" si="11"/>
        <v>248.36450584484592</v>
      </c>
      <c r="M21" s="122">
        <f t="shared" si="7"/>
        <v>24856261.129999999</v>
      </c>
      <c r="N21" s="116">
        <f t="shared" si="8"/>
        <v>15507821.129999999</v>
      </c>
      <c r="O21" s="123">
        <f t="shared" si="9"/>
        <v>412.00374946865037</v>
      </c>
      <c r="P21" s="5"/>
      <c r="Q21" s="5">
        <f t="shared" si="4"/>
        <v>1</v>
      </c>
      <c r="R21" s="7">
        <f t="shared" si="5"/>
        <v>37640</v>
      </c>
      <c r="S21" s="5">
        <f t="shared" si="2"/>
        <v>1</v>
      </c>
      <c r="T21" s="7">
        <f t="shared" si="3"/>
        <v>37640</v>
      </c>
    </row>
    <row r="22" spans="1:20">
      <c r="A22" s="23" t="s">
        <v>24</v>
      </c>
      <c r="B22" s="35" t="s">
        <v>19</v>
      </c>
      <c r="C22" s="36">
        <v>11651</v>
      </c>
      <c r="D22" s="6"/>
      <c r="E22" s="113">
        <v>5078993999</v>
      </c>
      <c r="F22" s="116">
        <f t="shared" si="6"/>
        <v>435927.73143936141</v>
      </c>
      <c r="G22" s="117">
        <v>4418182041</v>
      </c>
      <c r="H22" s="117">
        <f t="shared" si="10"/>
        <v>379210.54338683374</v>
      </c>
      <c r="I22" s="9" t="s">
        <v>528</v>
      </c>
      <c r="J22" s="12"/>
      <c r="K22" s="117"/>
      <c r="L22" s="120"/>
      <c r="M22" s="122">
        <f t="shared" si="7"/>
        <v>44181820.410000004</v>
      </c>
      <c r="N22" s="116">
        <f t="shared" si="8"/>
        <v>44181820.410000004</v>
      </c>
      <c r="O22" s="123">
        <f t="shared" si="9"/>
        <v>3792.105433868338</v>
      </c>
      <c r="P22" s="5"/>
      <c r="Q22" s="5">
        <f t="shared" si="4"/>
        <v>1</v>
      </c>
      <c r="R22" s="7">
        <f t="shared" si="5"/>
        <v>11651</v>
      </c>
      <c r="S22" s="5">
        <f t="shared" si="2"/>
        <v>0</v>
      </c>
      <c r="T22" s="7">
        <f t="shared" si="3"/>
        <v>0</v>
      </c>
    </row>
    <row r="23" spans="1:20">
      <c r="A23" s="23" t="s">
        <v>25</v>
      </c>
      <c r="B23" s="35" t="s">
        <v>19</v>
      </c>
      <c r="C23" s="36">
        <v>4683</v>
      </c>
      <c r="D23" s="6"/>
      <c r="E23" s="113">
        <v>376686959</v>
      </c>
      <c r="F23" s="116">
        <f t="shared" si="6"/>
        <v>80437.104206705102</v>
      </c>
      <c r="G23" s="117">
        <v>241351721</v>
      </c>
      <c r="H23" s="117">
        <f t="shared" si="10"/>
        <v>51537.843476404014</v>
      </c>
      <c r="I23" s="9" t="s">
        <v>528</v>
      </c>
      <c r="J23" s="12"/>
      <c r="K23" s="117"/>
      <c r="L23" s="120"/>
      <c r="M23" s="122">
        <f t="shared" si="7"/>
        <v>2413517.21</v>
      </c>
      <c r="N23" s="116">
        <f t="shared" si="8"/>
        <v>2413517.21</v>
      </c>
      <c r="O23" s="123">
        <f t="shared" si="9"/>
        <v>515.37843476404009</v>
      </c>
      <c r="P23" s="5"/>
      <c r="Q23" s="5">
        <f t="shared" si="4"/>
        <v>1</v>
      </c>
      <c r="R23" s="7">
        <f t="shared" si="5"/>
        <v>4683</v>
      </c>
      <c r="S23" s="5">
        <f t="shared" si="2"/>
        <v>0</v>
      </c>
      <c r="T23" s="7">
        <f t="shared" si="3"/>
        <v>0</v>
      </c>
    </row>
    <row r="24" spans="1:20">
      <c r="A24" s="23" t="s">
        <v>26</v>
      </c>
      <c r="B24" s="35" t="s">
        <v>19</v>
      </c>
      <c r="C24" s="36">
        <v>8956</v>
      </c>
      <c r="D24" s="6"/>
      <c r="E24" s="113">
        <v>400874199</v>
      </c>
      <c r="F24" s="116">
        <f t="shared" si="6"/>
        <v>44760.406319785616</v>
      </c>
      <c r="G24" s="117">
        <v>224210827</v>
      </c>
      <c r="H24" s="117">
        <f t="shared" si="10"/>
        <v>25034.706007146047</v>
      </c>
      <c r="I24" s="9" t="s">
        <v>528</v>
      </c>
      <c r="J24" s="10"/>
      <c r="K24" s="117"/>
      <c r="L24" s="120"/>
      <c r="M24" s="122">
        <f t="shared" si="7"/>
        <v>2242108.27</v>
      </c>
      <c r="N24" s="116">
        <f t="shared" si="8"/>
        <v>2242108.27</v>
      </c>
      <c r="O24" s="123">
        <f t="shared" si="9"/>
        <v>250.34706007146048</v>
      </c>
      <c r="P24" s="5"/>
      <c r="Q24" s="5">
        <f t="shared" si="4"/>
        <v>1</v>
      </c>
      <c r="R24" s="7">
        <f t="shared" si="5"/>
        <v>8956</v>
      </c>
      <c r="S24" s="5">
        <f t="shared" si="2"/>
        <v>0</v>
      </c>
      <c r="T24" s="7">
        <f t="shared" si="3"/>
        <v>0</v>
      </c>
    </row>
    <row r="25" spans="1:20">
      <c r="A25" s="23" t="s">
        <v>27</v>
      </c>
      <c r="B25" s="35" t="s">
        <v>28</v>
      </c>
      <c r="C25" s="36">
        <v>374</v>
      </c>
      <c r="D25" s="6"/>
      <c r="E25" s="113">
        <v>15855065</v>
      </c>
      <c r="F25" s="116">
        <f t="shared" si="6"/>
        <v>42393.221925133686</v>
      </c>
      <c r="G25" s="117">
        <v>7677782</v>
      </c>
      <c r="H25" s="117">
        <f t="shared" si="10"/>
        <v>20528.828877005348</v>
      </c>
      <c r="I25" s="7"/>
      <c r="J25" s="10">
        <v>2.9039999999999999</v>
      </c>
      <c r="K25" s="117">
        <v>22296</v>
      </c>
      <c r="L25" s="120">
        <f t="shared" ref="L25:L39" si="12">(K25/C25)</f>
        <v>59.614973262032088</v>
      </c>
      <c r="M25" s="122">
        <f t="shared" si="7"/>
        <v>76777.820000000007</v>
      </c>
      <c r="N25" s="116">
        <f t="shared" si="8"/>
        <v>54481.820000000007</v>
      </c>
      <c r="O25" s="123">
        <f t="shared" si="9"/>
        <v>145.6733155080214</v>
      </c>
      <c r="P25" s="5"/>
      <c r="Q25" s="5">
        <f t="shared" si="4"/>
        <v>1</v>
      </c>
      <c r="R25" s="7">
        <f t="shared" si="5"/>
        <v>374</v>
      </c>
      <c r="S25" s="5">
        <f t="shared" si="2"/>
        <v>1</v>
      </c>
      <c r="T25" s="7">
        <f t="shared" si="3"/>
        <v>374</v>
      </c>
    </row>
    <row r="26" spans="1:20">
      <c r="A26" s="23" t="s">
        <v>29</v>
      </c>
      <c r="B26" s="35" t="s">
        <v>28</v>
      </c>
      <c r="C26" s="36">
        <v>456</v>
      </c>
      <c r="D26" s="6"/>
      <c r="E26" s="113">
        <v>13904460</v>
      </c>
      <c r="F26" s="116">
        <f t="shared" si="6"/>
        <v>30492.236842105263</v>
      </c>
      <c r="G26" s="117">
        <v>7853440</v>
      </c>
      <c r="H26" s="117">
        <f t="shared" si="10"/>
        <v>17222.456140350878</v>
      </c>
      <c r="I26" s="7"/>
      <c r="J26" s="10">
        <v>0.2717</v>
      </c>
      <c r="K26" s="117">
        <v>2134</v>
      </c>
      <c r="L26" s="120">
        <f t="shared" si="12"/>
        <v>4.6798245614035086</v>
      </c>
      <c r="M26" s="122">
        <f t="shared" si="7"/>
        <v>78534.400000000009</v>
      </c>
      <c r="N26" s="116">
        <f t="shared" si="8"/>
        <v>76400.400000000009</v>
      </c>
      <c r="O26" s="123">
        <f t="shared" si="9"/>
        <v>167.54473684210529</v>
      </c>
      <c r="P26" s="5"/>
      <c r="Q26" s="5">
        <f t="shared" si="4"/>
        <v>1</v>
      </c>
      <c r="R26" s="7">
        <f t="shared" si="5"/>
        <v>456</v>
      </c>
      <c r="S26" s="5">
        <f t="shared" si="2"/>
        <v>1</v>
      </c>
      <c r="T26" s="7">
        <f t="shared" si="3"/>
        <v>456</v>
      </c>
    </row>
    <row r="27" spans="1:20">
      <c r="A27" s="23" t="s">
        <v>30</v>
      </c>
      <c r="B27" s="35" t="s">
        <v>28</v>
      </c>
      <c r="C27" s="36">
        <v>675</v>
      </c>
      <c r="D27" s="6"/>
      <c r="E27" s="113">
        <v>27937773</v>
      </c>
      <c r="F27" s="116">
        <f t="shared" si="6"/>
        <v>41389.293333333335</v>
      </c>
      <c r="G27" s="117">
        <v>15447831</v>
      </c>
      <c r="H27" s="117">
        <f t="shared" si="10"/>
        <v>22885.675555555557</v>
      </c>
      <c r="I27" s="7"/>
      <c r="J27" s="11">
        <v>1.4956</v>
      </c>
      <c r="K27" s="117">
        <v>23104</v>
      </c>
      <c r="L27" s="120">
        <f t="shared" si="12"/>
        <v>34.228148148148151</v>
      </c>
      <c r="M27" s="122">
        <f t="shared" si="7"/>
        <v>154478.31</v>
      </c>
      <c r="N27" s="116">
        <f t="shared" si="8"/>
        <v>131374.31</v>
      </c>
      <c r="O27" s="123">
        <f t="shared" si="9"/>
        <v>194.6286074074074</v>
      </c>
      <c r="P27" s="5"/>
      <c r="Q27" s="5">
        <f t="shared" si="4"/>
        <v>1</v>
      </c>
      <c r="R27" s="7">
        <f t="shared" si="5"/>
        <v>675</v>
      </c>
      <c r="S27" s="5">
        <f t="shared" si="2"/>
        <v>1</v>
      </c>
      <c r="T27" s="7">
        <f t="shared" si="3"/>
        <v>675</v>
      </c>
    </row>
    <row r="28" spans="1:20">
      <c r="A28" s="23" t="s">
        <v>31</v>
      </c>
      <c r="B28" s="35" t="s">
        <v>28</v>
      </c>
      <c r="C28" s="36">
        <v>6087</v>
      </c>
      <c r="D28" s="6"/>
      <c r="E28" s="113">
        <v>358324755</v>
      </c>
      <c r="F28" s="116">
        <f t="shared" si="6"/>
        <v>58867.217841301135</v>
      </c>
      <c r="G28" s="117">
        <v>208582273</v>
      </c>
      <c r="H28" s="117">
        <f t="shared" si="10"/>
        <v>34266.842943978969</v>
      </c>
      <c r="I28" s="7"/>
      <c r="J28" s="11">
        <v>3.7290000000000001</v>
      </c>
      <c r="K28" s="117">
        <v>777803</v>
      </c>
      <c r="L28" s="120">
        <f t="shared" si="12"/>
        <v>127.78100870708066</v>
      </c>
      <c r="M28" s="122">
        <f t="shared" si="7"/>
        <v>2085822.73</v>
      </c>
      <c r="N28" s="116">
        <f t="shared" si="8"/>
        <v>1308019.73</v>
      </c>
      <c r="O28" s="123">
        <f t="shared" si="9"/>
        <v>214.88742073270905</v>
      </c>
      <c r="P28" s="5"/>
      <c r="Q28" s="5">
        <f t="shared" si="4"/>
        <v>1</v>
      </c>
      <c r="R28" s="7">
        <f t="shared" si="5"/>
        <v>6087</v>
      </c>
      <c r="S28" s="5">
        <f t="shared" si="2"/>
        <v>1</v>
      </c>
      <c r="T28" s="7">
        <f t="shared" si="3"/>
        <v>6087</v>
      </c>
    </row>
    <row r="29" spans="1:20">
      <c r="A29" s="23" t="s">
        <v>32</v>
      </c>
      <c r="B29" s="35" t="s">
        <v>33</v>
      </c>
      <c r="C29" s="36">
        <v>10526</v>
      </c>
      <c r="D29" s="6"/>
      <c r="E29" s="113">
        <v>1781812745</v>
      </c>
      <c r="F29" s="116">
        <f t="shared" si="6"/>
        <v>169277.28909367282</v>
      </c>
      <c r="G29" s="117">
        <v>1459073335</v>
      </c>
      <c r="H29" s="117">
        <f t="shared" si="10"/>
        <v>138616.12530875925</v>
      </c>
      <c r="I29" s="7"/>
      <c r="J29" s="11">
        <v>2.7848999999999999</v>
      </c>
      <c r="K29" s="117">
        <v>4063373</v>
      </c>
      <c r="L29" s="120">
        <f t="shared" si="12"/>
        <v>386.03201596047882</v>
      </c>
      <c r="M29" s="122">
        <f t="shared" si="7"/>
        <v>14590733.35</v>
      </c>
      <c r="N29" s="116">
        <f t="shared" si="8"/>
        <v>10527360.35</v>
      </c>
      <c r="O29" s="123">
        <f t="shared" si="9"/>
        <v>1000.1292371271138</v>
      </c>
      <c r="P29" s="5"/>
      <c r="Q29" s="5">
        <f t="shared" si="4"/>
        <v>1</v>
      </c>
      <c r="R29" s="7">
        <f t="shared" si="5"/>
        <v>10526</v>
      </c>
      <c r="S29" s="5">
        <f t="shared" si="2"/>
        <v>1</v>
      </c>
      <c r="T29" s="7">
        <f t="shared" si="3"/>
        <v>10526</v>
      </c>
    </row>
    <row r="30" spans="1:20">
      <c r="A30" s="23" t="s">
        <v>34</v>
      </c>
      <c r="B30" s="35" t="s">
        <v>33</v>
      </c>
      <c r="C30" s="36">
        <v>17164</v>
      </c>
      <c r="D30" s="6"/>
      <c r="E30" s="113">
        <v>1753503308</v>
      </c>
      <c r="F30" s="116">
        <f t="shared" si="6"/>
        <v>102161.69354462829</v>
      </c>
      <c r="G30" s="117">
        <v>1174238002</v>
      </c>
      <c r="H30" s="117">
        <f t="shared" si="10"/>
        <v>68412.840946166398</v>
      </c>
      <c r="I30" s="7"/>
      <c r="J30" s="10">
        <v>4.4890999999999996</v>
      </c>
      <c r="K30" s="117">
        <v>5271272</v>
      </c>
      <c r="L30" s="120">
        <f t="shared" si="12"/>
        <v>307.11209508273129</v>
      </c>
      <c r="M30" s="122">
        <f t="shared" si="7"/>
        <v>11742380.02</v>
      </c>
      <c r="N30" s="116">
        <f t="shared" si="8"/>
        <v>6471108.0199999996</v>
      </c>
      <c r="O30" s="123">
        <f t="shared" si="9"/>
        <v>377.01631437893263</v>
      </c>
      <c r="P30" s="5"/>
      <c r="Q30" s="5">
        <f t="shared" si="4"/>
        <v>1</v>
      </c>
      <c r="R30" s="7">
        <f t="shared" si="5"/>
        <v>17164</v>
      </c>
      <c r="S30" s="5">
        <f t="shared" si="2"/>
        <v>1</v>
      </c>
      <c r="T30" s="7">
        <f t="shared" si="3"/>
        <v>17164</v>
      </c>
    </row>
    <row r="31" spans="1:20">
      <c r="A31" s="23" t="s">
        <v>35</v>
      </c>
      <c r="B31" s="35" t="s">
        <v>33</v>
      </c>
      <c r="C31" s="36">
        <v>12805</v>
      </c>
      <c r="D31" s="6"/>
      <c r="E31" s="113">
        <v>3035416493</v>
      </c>
      <c r="F31" s="116">
        <f t="shared" si="6"/>
        <v>237049.31612651309</v>
      </c>
      <c r="G31" s="117">
        <v>2086033623</v>
      </c>
      <c r="H31" s="117">
        <f t="shared" si="10"/>
        <v>162907.74096056228</v>
      </c>
      <c r="I31" s="7"/>
      <c r="J31" s="10">
        <v>3.4641999999999999</v>
      </c>
      <c r="K31" s="117">
        <v>7226438</v>
      </c>
      <c r="L31" s="120">
        <f t="shared" si="12"/>
        <v>564.34502147598596</v>
      </c>
      <c r="M31" s="122">
        <f t="shared" si="7"/>
        <v>20860336.23</v>
      </c>
      <c r="N31" s="116">
        <f t="shared" si="8"/>
        <v>13633898.23</v>
      </c>
      <c r="O31" s="123">
        <f t="shared" si="9"/>
        <v>1064.732388129637</v>
      </c>
      <c r="P31" s="5"/>
      <c r="Q31" s="5">
        <f t="shared" si="4"/>
        <v>1</v>
      </c>
      <c r="R31" s="7">
        <f t="shared" si="5"/>
        <v>12805</v>
      </c>
      <c r="S31" s="5">
        <f t="shared" si="2"/>
        <v>1</v>
      </c>
      <c r="T31" s="7">
        <f t="shared" si="3"/>
        <v>12805</v>
      </c>
    </row>
    <row r="32" spans="1:20">
      <c r="A32" s="23" t="s">
        <v>530</v>
      </c>
      <c r="B32" s="35" t="s">
        <v>33</v>
      </c>
      <c r="C32" s="36">
        <v>3907</v>
      </c>
      <c r="D32" s="6"/>
      <c r="E32" s="113">
        <v>754511172</v>
      </c>
      <c r="F32" s="116">
        <f t="shared" si="6"/>
        <v>193117.78141796775</v>
      </c>
      <c r="G32" s="117">
        <v>503368763</v>
      </c>
      <c r="H32" s="117">
        <f t="shared" si="10"/>
        <v>128837.66649603276</v>
      </c>
      <c r="I32" s="9"/>
      <c r="J32" s="10">
        <v>0.42609999999999998</v>
      </c>
      <c r="K32" s="117">
        <v>214485</v>
      </c>
      <c r="L32" s="120">
        <f t="shared" si="12"/>
        <v>54.897619657025849</v>
      </c>
      <c r="M32" s="122">
        <f t="shared" si="7"/>
        <v>5033687.63</v>
      </c>
      <c r="N32" s="116">
        <f t="shared" si="8"/>
        <v>4819202.63</v>
      </c>
      <c r="O32" s="123">
        <f t="shared" si="9"/>
        <v>1233.4790453033017</v>
      </c>
      <c r="P32" s="5"/>
      <c r="Q32" s="5">
        <f t="shared" si="4"/>
        <v>1</v>
      </c>
      <c r="R32" s="7">
        <f t="shared" si="5"/>
        <v>3907</v>
      </c>
      <c r="S32" s="5">
        <f t="shared" si="2"/>
        <v>1</v>
      </c>
      <c r="T32" s="7">
        <f t="shared" si="3"/>
        <v>3907</v>
      </c>
    </row>
    <row r="33" spans="1:20">
      <c r="A33" s="23" t="s">
        <v>36</v>
      </c>
      <c r="B33" s="35" t="s">
        <v>33</v>
      </c>
      <c r="C33" s="36">
        <v>3009</v>
      </c>
      <c r="D33" s="6"/>
      <c r="E33" s="113">
        <v>610930363</v>
      </c>
      <c r="F33" s="116">
        <f t="shared" si="6"/>
        <v>203034.35127949485</v>
      </c>
      <c r="G33" s="117">
        <v>401182503</v>
      </c>
      <c r="H33" s="117">
        <f t="shared" si="10"/>
        <v>133327.518444666</v>
      </c>
      <c r="I33" s="7"/>
      <c r="J33" s="10">
        <v>4.3312999999999997</v>
      </c>
      <c r="K33" s="117">
        <v>1737642</v>
      </c>
      <c r="L33" s="120">
        <f t="shared" si="12"/>
        <v>577.48155533399802</v>
      </c>
      <c r="M33" s="122">
        <f t="shared" si="7"/>
        <v>4011825.0300000003</v>
      </c>
      <c r="N33" s="116">
        <f t="shared" si="8"/>
        <v>2274183.0300000003</v>
      </c>
      <c r="O33" s="123">
        <f t="shared" si="9"/>
        <v>755.79362911266207</v>
      </c>
      <c r="P33" s="5"/>
      <c r="Q33" s="5">
        <f t="shared" si="4"/>
        <v>1</v>
      </c>
      <c r="R33" s="7">
        <f t="shared" si="5"/>
        <v>3009</v>
      </c>
      <c r="S33" s="5">
        <f t="shared" si="2"/>
        <v>1</v>
      </c>
      <c r="T33" s="7">
        <f t="shared" si="3"/>
        <v>3009</v>
      </c>
    </row>
    <row r="34" spans="1:20">
      <c r="A34" s="23" t="s">
        <v>37</v>
      </c>
      <c r="B34" s="35" t="s">
        <v>33</v>
      </c>
      <c r="C34" s="36">
        <v>8715</v>
      </c>
      <c r="D34" s="6"/>
      <c r="E34" s="113">
        <v>1332415107</v>
      </c>
      <c r="F34" s="116">
        <f t="shared" si="6"/>
        <v>152887.56247848537</v>
      </c>
      <c r="G34" s="117">
        <v>920700157</v>
      </c>
      <c r="H34" s="117">
        <f t="shared" si="10"/>
        <v>105645.45691336776</v>
      </c>
      <c r="I34" s="7"/>
      <c r="J34" s="10">
        <v>4.0118</v>
      </c>
      <c r="K34" s="117">
        <v>3693665</v>
      </c>
      <c r="L34" s="120">
        <f t="shared" si="12"/>
        <v>423.82845668387836</v>
      </c>
      <c r="M34" s="122">
        <f t="shared" si="7"/>
        <v>9207001.5700000003</v>
      </c>
      <c r="N34" s="116">
        <f t="shared" si="8"/>
        <v>5513336.5700000003</v>
      </c>
      <c r="O34" s="123">
        <f t="shared" si="9"/>
        <v>632.62611244979928</v>
      </c>
      <c r="P34" s="5"/>
      <c r="Q34" s="5">
        <f t="shared" si="4"/>
        <v>1</v>
      </c>
      <c r="R34" s="7">
        <f t="shared" si="5"/>
        <v>8715</v>
      </c>
      <c r="S34" s="5">
        <f t="shared" si="2"/>
        <v>1</v>
      </c>
      <c r="T34" s="7">
        <f t="shared" si="3"/>
        <v>8715</v>
      </c>
    </row>
    <row r="35" spans="1:20">
      <c r="A35" s="23" t="s">
        <v>38</v>
      </c>
      <c r="B35" s="35" t="s">
        <v>33</v>
      </c>
      <c r="C35" s="36">
        <v>2814</v>
      </c>
      <c r="D35" s="6"/>
      <c r="E35" s="113">
        <v>431901144</v>
      </c>
      <c r="F35" s="116">
        <f t="shared" si="6"/>
        <v>153482.99360341151</v>
      </c>
      <c r="G35" s="117">
        <v>282318584</v>
      </c>
      <c r="H35" s="117">
        <f t="shared" si="10"/>
        <v>100326.43354655294</v>
      </c>
      <c r="I35" s="7"/>
      <c r="J35" s="10">
        <v>1.2693000000000001</v>
      </c>
      <c r="K35" s="117">
        <v>358347</v>
      </c>
      <c r="L35" s="120">
        <f t="shared" si="12"/>
        <v>127.34434968017058</v>
      </c>
      <c r="M35" s="122">
        <f t="shared" si="7"/>
        <v>2823185.84</v>
      </c>
      <c r="N35" s="116">
        <f t="shared" si="8"/>
        <v>2464838.84</v>
      </c>
      <c r="O35" s="123">
        <f t="shared" si="9"/>
        <v>875.9199857853589</v>
      </c>
      <c r="P35" s="5"/>
      <c r="Q35" s="5">
        <f t="shared" si="4"/>
        <v>1</v>
      </c>
      <c r="R35" s="7">
        <f t="shared" si="5"/>
        <v>2814</v>
      </c>
      <c r="S35" s="5">
        <f t="shared" si="2"/>
        <v>1</v>
      </c>
      <c r="T35" s="7">
        <f t="shared" si="3"/>
        <v>2814</v>
      </c>
    </row>
    <row r="36" spans="1:20">
      <c r="A36" s="23" t="s">
        <v>39</v>
      </c>
      <c r="B36" s="35" t="s">
        <v>33</v>
      </c>
      <c r="C36" s="36">
        <v>78386</v>
      </c>
      <c r="D36" s="6"/>
      <c r="E36" s="113">
        <v>7710836382</v>
      </c>
      <c r="F36" s="116">
        <f t="shared" si="6"/>
        <v>98370.07095654837</v>
      </c>
      <c r="G36" s="117">
        <v>4955703637</v>
      </c>
      <c r="H36" s="117">
        <f t="shared" si="10"/>
        <v>63221.795180261783</v>
      </c>
      <c r="I36" s="7"/>
      <c r="J36" s="10">
        <v>4.4751000000000003</v>
      </c>
      <c r="K36" s="117">
        <v>22177269</v>
      </c>
      <c r="L36" s="120">
        <f t="shared" si="12"/>
        <v>282.923851197918</v>
      </c>
      <c r="M36" s="122">
        <f t="shared" si="7"/>
        <v>49557036.369999997</v>
      </c>
      <c r="N36" s="116">
        <f t="shared" si="8"/>
        <v>27379767.369999997</v>
      </c>
      <c r="O36" s="123">
        <f t="shared" si="9"/>
        <v>349.29410060469979</v>
      </c>
      <c r="P36" s="5"/>
      <c r="Q36" s="5">
        <f t="shared" si="4"/>
        <v>1</v>
      </c>
      <c r="R36" s="7">
        <f t="shared" si="5"/>
        <v>78386</v>
      </c>
      <c r="S36" s="5">
        <f t="shared" si="2"/>
        <v>1</v>
      </c>
      <c r="T36" s="7">
        <f t="shared" si="3"/>
        <v>78386</v>
      </c>
    </row>
    <row r="37" spans="1:20">
      <c r="A37" s="23" t="s">
        <v>40</v>
      </c>
      <c r="B37" s="35" t="s">
        <v>33</v>
      </c>
      <c r="C37" s="36">
        <v>3369</v>
      </c>
      <c r="D37" s="6"/>
      <c r="E37" s="113">
        <v>626741811</v>
      </c>
      <c r="F37" s="116">
        <f t="shared" si="6"/>
        <v>186032.00089047194</v>
      </c>
      <c r="G37" s="117">
        <v>371448351</v>
      </c>
      <c r="H37" s="117">
        <f t="shared" si="10"/>
        <v>110254.77916295637</v>
      </c>
      <c r="I37" s="7"/>
      <c r="J37" s="10">
        <v>2.6434000000000002</v>
      </c>
      <c r="K37" s="117">
        <v>981887</v>
      </c>
      <c r="L37" s="120">
        <f t="shared" si="12"/>
        <v>291.4476105669338</v>
      </c>
      <c r="M37" s="122">
        <f t="shared" si="7"/>
        <v>3714483.5100000002</v>
      </c>
      <c r="N37" s="116">
        <f t="shared" si="8"/>
        <v>2732596.5100000002</v>
      </c>
      <c r="O37" s="123">
        <f t="shared" si="9"/>
        <v>811.10018106262999</v>
      </c>
      <c r="P37" s="5"/>
      <c r="Q37" s="5">
        <f t="shared" si="4"/>
        <v>1</v>
      </c>
      <c r="R37" s="7">
        <f t="shared" si="5"/>
        <v>3369</v>
      </c>
      <c r="S37" s="5">
        <f t="shared" si="2"/>
        <v>1</v>
      </c>
      <c r="T37" s="7">
        <f t="shared" si="3"/>
        <v>3369</v>
      </c>
    </row>
    <row r="38" spans="1:20">
      <c r="A38" s="23" t="s">
        <v>41</v>
      </c>
      <c r="B38" s="35" t="s">
        <v>33</v>
      </c>
      <c r="C38" s="36">
        <v>724</v>
      </c>
      <c r="D38" s="6"/>
      <c r="E38" s="113">
        <v>88027785</v>
      </c>
      <c r="F38" s="116">
        <f t="shared" si="6"/>
        <v>121585.33839779005</v>
      </c>
      <c r="G38" s="117">
        <v>55636055</v>
      </c>
      <c r="H38" s="117">
        <f t="shared" si="10"/>
        <v>76845.379834254141</v>
      </c>
      <c r="I38" s="7"/>
      <c r="J38" s="10">
        <v>4.5384000000000002</v>
      </c>
      <c r="K38" s="117">
        <v>252499</v>
      </c>
      <c r="L38" s="120">
        <f t="shared" si="12"/>
        <v>348.75552486187843</v>
      </c>
      <c r="M38" s="122">
        <f t="shared" si="7"/>
        <v>556360.55000000005</v>
      </c>
      <c r="N38" s="116">
        <f t="shared" si="8"/>
        <v>303861.55000000005</v>
      </c>
      <c r="O38" s="123">
        <f t="shared" si="9"/>
        <v>419.69827348066303</v>
      </c>
      <c r="P38" s="5"/>
      <c r="Q38" s="5">
        <f t="shared" si="4"/>
        <v>1</v>
      </c>
      <c r="R38" s="7">
        <f t="shared" si="5"/>
        <v>724</v>
      </c>
      <c r="S38" s="5">
        <f t="shared" si="2"/>
        <v>1</v>
      </c>
      <c r="T38" s="7">
        <f t="shared" si="3"/>
        <v>724</v>
      </c>
    </row>
    <row r="39" spans="1:20">
      <c r="A39" s="23" t="s">
        <v>42</v>
      </c>
      <c r="B39" s="35" t="s">
        <v>33</v>
      </c>
      <c r="C39" s="36">
        <v>101793</v>
      </c>
      <c r="D39" s="6"/>
      <c r="E39" s="113">
        <v>8403885716</v>
      </c>
      <c r="F39" s="116">
        <f t="shared" si="6"/>
        <v>82558.581788531621</v>
      </c>
      <c r="G39" s="117">
        <v>5838970703</v>
      </c>
      <c r="H39" s="117">
        <f t="shared" si="10"/>
        <v>57361.22034913992</v>
      </c>
      <c r="I39" s="7"/>
      <c r="J39" s="10">
        <v>4.7428999999999997</v>
      </c>
      <c r="K39" s="117">
        <v>27693654</v>
      </c>
      <c r="L39" s="120">
        <f t="shared" si="12"/>
        <v>272.05853054728715</v>
      </c>
      <c r="M39" s="122">
        <f t="shared" si="7"/>
        <v>58389707.030000001</v>
      </c>
      <c r="N39" s="116">
        <f t="shared" si="8"/>
        <v>30696053.030000001</v>
      </c>
      <c r="O39" s="123">
        <f t="shared" si="9"/>
        <v>301.55367294411207</v>
      </c>
      <c r="P39" s="5"/>
      <c r="Q39" s="5">
        <f t="shared" si="4"/>
        <v>1</v>
      </c>
      <c r="R39" s="7">
        <f t="shared" si="5"/>
        <v>101793</v>
      </c>
      <c r="S39" s="5">
        <f t="shared" si="2"/>
        <v>1</v>
      </c>
      <c r="T39" s="7">
        <f t="shared" si="3"/>
        <v>101793</v>
      </c>
    </row>
    <row r="40" spans="1:20">
      <c r="A40" s="23" t="s">
        <v>43</v>
      </c>
      <c r="B40" s="35" t="s">
        <v>33</v>
      </c>
      <c r="C40" s="36">
        <v>947</v>
      </c>
      <c r="D40" s="6"/>
      <c r="E40" s="113">
        <v>93031216</v>
      </c>
      <c r="F40" s="116">
        <f t="shared" si="6"/>
        <v>98237.820485744451</v>
      </c>
      <c r="G40" s="117">
        <v>64673296</v>
      </c>
      <c r="H40" s="117">
        <f t="shared" si="10"/>
        <v>68292.815205913415</v>
      </c>
      <c r="I40" s="9" t="s">
        <v>528</v>
      </c>
      <c r="J40" s="10"/>
      <c r="K40" s="117"/>
      <c r="L40" s="120"/>
      <c r="M40" s="122">
        <f t="shared" si="7"/>
        <v>646732.96</v>
      </c>
      <c r="N40" s="116">
        <f t="shared" si="8"/>
        <v>646732.96</v>
      </c>
      <c r="O40" s="123">
        <f t="shared" si="9"/>
        <v>682.92815205913405</v>
      </c>
      <c r="P40" s="5"/>
      <c r="Q40" s="5">
        <f t="shared" si="4"/>
        <v>1</v>
      </c>
      <c r="R40" s="7">
        <f t="shared" si="5"/>
        <v>947</v>
      </c>
      <c r="S40" s="5">
        <f t="shared" si="2"/>
        <v>0</v>
      </c>
      <c r="T40" s="7">
        <f t="shared" si="3"/>
        <v>0</v>
      </c>
    </row>
    <row r="41" spans="1:20">
      <c r="A41" s="23" t="s">
        <v>44</v>
      </c>
      <c r="B41" s="35" t="s">
        <v>33</v>
      </c>
      <c r="C41" s="36">
        <v>25911</v>
      </c>
      <c r="D41" s="6"/>
      <c r="E41" s="113">
        <v>2473753877</v>
      </c>
      <c r="F41" s="116">
        <f t="shared" si="6"/>
        <v>95471.185095133347</v>
      </c>
      <c r="G41" s="117">
        <v>1550959470</v>
      </c>
      <c r="H41" s="117">
        <f t="shared" si="10"/>
        <v>59857.183049670028</v>
      </c>
      <c r="I41" s="7"/>
      <c r="J41" s="10">
        <v>4.8105000000000002</v>
      </c>
      <c r="K41" s="117">
        <v>7460891</v>
      </c>
      <c r="L41" s="120">
        <f t="shared" ref="L41:L75" si="13">(K41/C41)</f>
        <v>287.94299718266376</v>
      </c>
      <c r="M41" s="122">
        <f t="shared" si="7"/>
        <v>15509594.700000001</v>
      </c>
      <c r="N41" s="116">
        <f t="shared" si="8"/>
        <v>8048703.7000000011</v>
      </c>
      <c r="O41" s="123">
        <f t="shared" si="9"/>
        <v>310.62883331403657</v>
      </c>
      <c r="P41" s="5"/>
      <c r="Q41" s="5">
        <f t="shared" si="4"/>
        <v>1</v>
      </c>
      <c r="R41" s="7">
        <f t="shared" si="5"/>
        <v>25911</v>
      </c>
      <c r="S41" s="5">
        <f t="shared" si="2"/>
        <v>1</v>
      </c>
      <c r="T41" s="7">
        <f t="shared" si="3"/>
        <v>25911</v>
      </c>
    </row>
    <row r="42" spans="1:20">
      <c r="A42" s="23" t="s">
        <v>45</v>
      </c>
      <c r="B42" s="35" t="s">
        <v>33</v>
      </c>
      <c r="C42" s="36">
        <v>10769</v>
      </c>
      <c r="D42" s="6"/>
      <c r="E42" s="113">
        <v>1450914082</v>
      </c>
      <c r="F42" s="116">
        <f t="shared" si="6"/>
        <v>134730.62327049865</v>
      </c>
      <c r="G42" s="117">
        <v>877123302</v>
      </c>
      <c r="H42" s="117">
        <f t="shared" si="10"/>
        <v>81448.909090909088</v>
      </c>
      <c r="I42" s="7"/>
      <c r="J42" s="10">
        <v>6.1741999999999999</v>
      </c>
      <c r="K42" s="121">
        <v>5415535</v>
      </c>
      <c r="L42" s="120">
        <f t="shared" si="13"/>
        <v>502.88188318321107</v>
      </c>
      <c r="M42" s="122">
        <f t="shared" si="7"/>
        <v>8771233.0199999996</v>
      </c>
      <c r="N42" s="116">
        <f t="shared" si="8"/>
        <v>3355698.0199999996</v>
      </c>
      <c r="O42" s="123">
        <f t="shared" si="9"/>
        <v>311.60720772587979</v>
      </c>
      <c r="P42" s="5"/>
      <c r="Q42" s="5">
        <f t="shared" si="4"/>
        <v>1</v>
      </c>
      <c r="R42" s="7">
        <f t="shared" si="5"/>
        <v>10769</v>
      </c>
      <c r="S42" s="5">
        <f t="shared" si="2"/>
        <v>1</v>
      </c>
      <c r="T42" s="7">
        <f t="shared" si="3"/>
        <v>10769</v>
      </c>
    </row>
    <row r="43" spans="1:20">
      <c r="A43" s="23" t="s">
        <v>46</v>
      </c>
      <c r="B43" s="35" t="s">
        <v>33</v>
      </c>
      <c r="C43" s="36">
        <v>44526</v>
      </c>
      <c r="D43" s="6"/>
      <c r="E43" s="113">
        <v>3749907553</v>
      </c>
      <c r="F43" s="116">
        <f t="shared" si="6"/>
        <v>84218.379216637477</v>
      </c>
      <c r="G43" s="117">
        <v>2339464027</v>
      </c>
      <c r="H43" s="117">
        <f t="shared" si="10"/>
        <v>52541.526905628176</v>
      </c>
      <c r="I43" s="7"/>
      <c r="J43" s="10">
        <v>4.7050000000000001</v>
      </c>
      <c r="K43" s="117">
        <v>11007178</v>
      </c>
      <c r="L43" s="120">
        <f t="shared" si="13"/>
        <v>247.20787854287383</v>
      </c>
      <c r="M43" s="122">
        <f t="shared" si="7"/>
        <v>23394640.27</v>
      </c>
      <c r="N43" s="116">
        <f t="shared" si="8"/>
        <v>12387462.27</v>
      </c>
      <c r="O43" s="123">
        <f t="shared" si="9"/>
        <v>278.20739051340786</v>
      </c>
      <c r="P43" s="5"/>
      <c r="Q43" s="5">
        <f t="shared" si="4"/>
        <v>1</v>
      </c>
      <c r="R43" s="7">
        <f t="shared" si="5"/>
        <v>44526</v>
      </c>
      <c r="S43" s="5">
        <f t="shared" si="2"/>
        <v>1</v>
      </c>
      <c r="T43" s="7">
        <f t="shared" si="3"/>
        <v>44526</v>
      </c>
    </row>
    <row r="44" spans="1:20">
      <c r="A44" s="23" t="s">
        <v>47</v>
      </c>
      <c r="B44" s="35" t="s">
        <v>33</v>
      </c>
      <c r="C44" s="36">
        <v>15777</v>
      </c>
      <c r="D44" s="6"/>
      <c r="E44" s="113">
        <v>1758584399</v>
      </c>
      <c r="F44" s="116">
        <f t="shared" si="6"/>
        <v>111465.0693414464</v>
      </c>
      <c r="G44" s="117">
        <v>1319582999</v>
      </c>
      <c r="H44" s="117">
        <f t="shared" si="10"/>
        <v>83639.665272231723</v>
      </c>
      <c r="I44" s="9"/>
      <c r="J44" s="10">
        <v>1.5899000000000001</v>
      </c>
      <c r="K44" s="117">
        <v>2098005</v>
      </c>
      <c r="L44" s="120">
        <f t="shared" si="13"/>
        <v>132.97870317550866</v>
      </c>
      <c r="M44" s="122">
        <f t="shared" si="7"/>
        <v>13195829.99</v>
      </c>
      <c r="N44" s="116">
        <f t="shared" si="8"/>
        <v>11097824.99</v>
      </c>
      <c r="O44" s="123">
        <f t="shared" si="9"/>
        <v>703.4179495468087</v>
      </c>
      <c r="P44" s="5"/>
      <c r="Q44" s="5">
        <f t="shared" si="4"/>
        <v>1</v>
      </c>
      <c r="R44" s="7">
        <f t="shared" si="5"/>
        <v>15777</v>
      </c>
      <c r="S44" s="5">
        <f t="shared" si="2"/>
        <v>1</v>
      </c>
      <c r="T44" s="7">
        <f t="shared" si="3"/>
        <v>15777</v>
      </c>
    </row>
    <row r="45" spans="1:20">
      <c r="A45" s="23" t="s">
        <v>48</v>
      </c>
      <c r="B45" s="35" t="s">
        <v>49</v>
      </c>
      <c r="C45" s="36">
        <v>48207</v>
      </c>
      <c r="D45" s="6"/>
      <c r="E45" s="113">
        <v>6239641967</v>
      </c>
      <c r="F45" s="116">
        <f t="shared" si="6"/>
        <v>129434.35532184123</v>
      </c>
      <c r="G45" s="117">
        <v>3807233402</v>
      </c>
      <c r="H45" s="117">
        <f t="shared" si="10"/>
        <v>78976.775198622607</v>
      </c>
      <c r="I45" s="7"/>
      <c r="J45" s="11">
        <v>4.3795999999999999</v>
      </c>
      <c r="K45" s="117">
        <v>16674159</v>
      </c>
      <c r="L45" s="120">
        <f t="shared" si="13"/>
        <v>345.88667620884934</v>
      </c>
      <c r="M45" s="122">
        <f t="shared" si="7"/>
        <v>38072334.020000003</v>
      </c>
      <c r="N45" s="116">
        <f t="shared" si="8"/>
        <v>21398175.020000003</v>
      </c>
      <c r="O45" s="123">
        <f t="shared" si="9"/>
        <v>443.88107577737679</v>
      </c>
      <c r="P45" s="5"/>
      <c r="Q45" s="5">
        <f t="shared" si="4"/>
        <v>1</v>
      </c>
      <c r="R45" s="7">
        <f t="shared" si="5"/>
        <v>48207</v>
      </c>
      <c r="S45" s="5">
        <f t="shared" si="2"/>
        <v>1</v>
      </c>
      <c r="T45" s="7">
        <f t="shared" si="3"/>
        <v>48207</v>
      </c>
    </row>
    <row r="46" spans="1:20">
      <c r="A46" s="23" t="s">
        <v>50</v>
      </c>
      <c r="B46" s="35" t="s">
        <v>49</v>
      </c>
      <c r="C46" s="36">
        <v>29919</v>
      </c>
      <c r="D46" s="6"/>
      <c r="E46" s="113">
        <v>4115792828</v>
      </c>
      <c r="F46" s="116">
        <f t="shared" si="6"/>
        <v>137564.51846652629</v>
      </c>
      <c r="G46" s="117">
        <v>2244907891</v>
      </c>
      <c r="H46" s="117">
        <f t="shared" si="10"/>
        <v>75032.851733012474</v>
      </c>
      <c r="I46" s="7"/>
      <c r="J46" s="10">
        <v>4.7704000000000004</v>
      </c>
      <c r="K46" s="117">
        <v>10709109</v>
      </c>
      <c r="L46" s="120">
        <f t="shared" si="13"/>
        <v>357.93672916875562</v>
      </c>
      <c r="M46" s="122">
        <f t="shared" si="7"/>
        <v>22449078.91</v>
      </c>
      <c r="N46" s="116">
        <f t="shared" si="8"/>
        <v>11739969.91</v>
      </c>
      <c r="O46" s="123">
        <f t="shared" si="9"/>
        <v>392.39178816136905</v>
      </c>
      <c r="P46" s="5"/>
      <c r="Q46" s="5">
        <f t="shared" si="4"/>
        <v>1</v>
      </c>
      <c r="R46" s="7">
        <f t="shared" si="5"/>
        <v>29919</v>
      </c>
      <c r="S46" s="5">
        <f t="shared" si="2"/>
        <v>1</v>
      </c>
      <c r="T46" s="7">
        <f t="shared" si="3"/>
        <v>29919</v>
      </c>
    </row>
    <row r="47" spans="1:20">
      <c r="A47" s="23" t="s">
        <v>51</v>
      </c>
      <c r="B47" s="35" t="s">
        <v>49</v>
      </c>
      <c r="C47" s="36">
        <v>129766</v>
      </c>
      <c r="D47" s="6"/>
      <c r="E47" s="113">
        <v>15924146966</v>
      </c>
      <c r="F47" s="116">
        <f t="shared" si="6"/>
        <v>122714.3239831697</v>
      </c>
      <c r="G47" s="117">
        <v>10397223036</v>
      </c>
      <c r="H47" s="117">
        <f t="shared" si="10"/>
        <v>80122.859886256803</v>
      </c>
      <c r="I47" s="7"/>
      <c r="J47" s="10">
        <v>3.3651</v>
      </c>
      <c r="K47" s="117">
        <v>34987695</v>
      </c>
      <c r="L47" s="120">
        <f t="shared" si="13"/>
        <v>269.62143396575374</v>
      </c>
      <c r="M47" s="122">
        <f t="shared" si="7"/>
        <v>103972230.36</v>
      </c>
      <c r="N47" s="116">
        <f t="shared" si="8"/>
        <v>68984535.359999999</v>
      </c>
      <c r="O47" s="123">
        <f t="shared" si="9"/>
        <v>531.60716489681431</v>
      </c>
      <c r="P47" s="5"/>
      <c r="Q47" s="5">
        <f t="shared" si="4"/>
        <v>1</v>
      </c>
      <c r="R47" s="7">
        <f t="shared" si="5"/>
        <v>129766</v>
      </c>
      <c r="S47" s="5">
        <f t="shared" si="2"/>
        <v>1</v>
      </c>
      <c r="T47" s="7">
        <f t="shared" si="3"/>
        <v>129766</v>
      </c>
    </row>
    <row r="48" spans="1:20">
      <c r="A48" s="23" t="s">
        <v>464</v>
      </c>
      <c r="B48" s="35" t="s">
        <v>49</v>
      </c>
      <c r="C48" s="36">
        <v>29524</v>
      </c>
      <c r="D48" s="6"/>
      <c r="E48" s="113">
        <v>4487462506</v>
      </c>
      <c r="F48" s="116">
        <f t="shared" si="6"/>
        <v>151993.71717924401</v>
      </c>
      <c r="G48" s="117">
        <v>3309466820</v>
      </c>
      <c r="H48" s="117">
        <f t="shared" ref="H48:H79" si="14">(G48/C48)</f>
        <v>112094.12071535022</v>
      </c>
      <c r="I48" s="7"/>
      <c r="J48" s="10">
        <v>5.4043999999999999</v>
      </c>
      <c r="K48" s="117">
        <v>17885682</v>
      </c>
      <c r="L48" s="120">
        <f t="shared" si="13"/>
        <v>605.80144966806665</v>
      </c>
      <c r="M48" s="122">
        <f t="shared" si="7"/>
        <v>33094668.199999999</v>
      </c>
      <c r="N48" s="116">
        <f t="shared" si="8"/>
        <v>15208986.199999999</v>
      </c>
      <c r="O48" s="123">
        <f t="shared" si="9"/>
        <v>515.13975748543555</v>
      </c>
      <c r="P48" s="5"/>
      <c r="Q48" s="5">
        <f t="shared" si="4"/>
        <v>1</v>
      </c>
      <c r="R48" s="7">
        <f t="shared" si="5"/>
        <v>29524</v>
      </c>
      <c r="S48" s="5">
        <f t="shared" si="2"/>
        <v>1</v>
      </c>
      <c r="T48" s="7">
        <f t="shared" si="3"/>
        <v>29524</v>
      </c>
    </row>
    <row r="49" spans="1:20">
      <c r="A49" s="23" t="s">
        <v>52</v>
      </c>
      <c r="B49" s="35" t="s">
        <v>49</v>
      </c>
      <c r="C49" s="36">
        <v>93428</v>
      </c>
      <c r="D49" s="6"/>
      <c r="E49" s="113">
        <v>13869675335</v>
      </c>
      <c r="F49" s="116">
        <f t="shared" si="6"/>
        <v>148453.09045468169</v>
      </c>
      <c r="G49" s="117">
        <v>8497683287</v>
      </c>
      <c r="H49" s="117">
        <f t="shared" si="14"/>
        <v>90954.352945583771</v>
      </c>
      <c r="I49" s="7"/>
      <c r="J49" s="11">
        <v>4.1215000000000002</v>
      </c>
      <c r="K49" s="117">
        <v>35023202</v>
      </c>
      <c r="L49" s="120">
        <f t="shared" si="13"/>
        <v>374.86836922549986</v>
      </c>
      <c r="M49" s="122">
        <f t="shared" si="7"/>
        <v>84976832.870000005</v>
      </c>
      <c r="N49" s="116">
        <f t="shared" si="8"/>
        <v>49953630.870000005</v>
      </c>
      <c r="O49" s="123">
        <f t="shared" si="9"/>
        <v>534.67516023033784</v>
      </c>
      <c r="P49" s="5"/>
      <c r="Q49" s="5">
        <f t="shared" si="4"/>
        <v>1</v>
      </c>
      <c r="R49" s="7">
        <f t="shared" si="5"/>
        <v>93428</v>
      </c>
      <c r="S49" s="5">
        <f t="shared" si="2"/>
        <v>1</v>
      </c>
      <c r="T49" s="7">
        <f t="shared" si="3"/>
        <v>93428</v>
      </c>
    </row>
    <row r="50" spans="1:20">
      <c r="A50" s="23" t="s">
        <v>53</v>
      </c>
      <c r="B50" s="35" t="s">
        <v>49</v>
      </c>
      <c r="C50" s="36">
        <v>75829</v>
      </c>
      <c r="D50" s="6"/>
      <c r="E50" s="113">
        <v>10313195127</v>
      </c>
      <c r="F50" s="116">
        <f t="shared" si="6"/>
        <v>136005.94926743067</v>
      </c>
      <c r="G50" s="117">
        <v>7320561084</v>
      </c>
      <c r="H50" s="117">
        <f t="shared" si="14"/>
        <v>96540.388030964401</v>
      </c>
      <c r="I50" s="7"/>
      <c r="J50" s="10">
        <v>4.9537000000000004</v>
      </c>
      <c r="K50" s="117">
        <v>36263863</v>
      </c>
      <c r="L50" s="120">
        <f t="shared" si="13"/>
        <v>478.23211436257895</v>
      </c>
      <c r="M50" s="122">
        <f t="shared" si="7"/>
        <v>73205610.840000004</v>
      </c>
      <c r="N50" s="116">
        <f t="shared" si="8"/>
        <v>36941747.840000004</v>
      </c>
      <c r="O50" s="123">
        <f t="shared" si="9"/>
        <v>487.17176594706518</v>
      </c>
      <c r="P50" s="5"/>
      <c r="Q50" s="5">
        <f t="shared" si="4"/>
        <v>1</v>
      </c>
      <c r="R50" s="7">
        <f t="shared" si="5"/>
        <v>75829</v>
      </c>
      <c r="S50" s="5">
        <f t="shared" si="2"/>
        <v>1</v>
      </c>
      <c r="T50" s="7">
        <f t="shared" si="3"/>
        <v>75829</v>
      </c>
    </row>
    <row r="51" spans="1:20">
      <c r="A51" s="23" t="s">
        <v>54</v>
      </c>
      <c r="B51" s="35" t="s">
        <v>49</v>
      </c>
      <c r="C51" s="36">
        <v>179971</v>
      </c>
      <c r="D51" s="6"/>
      <c r="E51" s="113">
        <v>43936338602</v>
      </c>
      <c r="F51" s="116">
        <f t="shared" si="6"/>
        <v>244130.10208311339</v>
      </c>
      <c r="G51" s="117">
        <v>31321529825</v>
      </c>
      <c r="H51" s="117">
        <f t="shared" si="14"/>
        <v>174036.53824782881</v>
      </c>
      <c r="I51" s="7"/>
      <c r="J51" s="10">
        <v>4.1193</v>
      </c>
      <c r="K51" s="117">
        <v>129022778</v>
      </c>
      <c r="L51" s="120">
        <f t="shared" si="13"/>
        <v>716.90871307043915</v>
      </c>
      <c r="M51" s="122">
        <f t="shared" si="7"/>
        <v>313215298.25</v>
      </c>
      <c r="N51" s="116">
        <f t="shared" si="8"/>
        <v>184192520.25</v>
      </c>
      <c r="O51" s="123">
        <f t="shared" si="9"/>
        <v>1023.4566694078491</v>
      </c>
      <c r="P51" s="5"/>
      <c r="Q51" s="5">
        <f t="shared" si="4"/>
        <v>1</v>
      </c>
      <c r="R51" s="7">
        <f t="shared" si="5"/>
        <v>179971</v>
      </c>
      <c r="S51" s="5">
        <f t="shared" si="2"/>
        <v>1</v>
      </c>
      <c r="T51" s="7">
        <f t="shared" si="3"/>
        <v>179971</v>
      </c>
    </row>
    <row r="52" spans="1:20">
      <c r="A52" s="23" t="s">
        <v>465</v>
      </c>
      <c r="B52" s="35" t="s">
        <v>49</v>
      </c>
      <c r="C52" s="36">
        <v>38193</v>
      </c>
      <c r="D52" s="6"/>
      <c r="E52" s="113">
        <v>6472543384</v>
      </c>
      <c r="F52" s="116">
        <f t="shared" si="6"/>
        <v>169469.36307700363</v>
      </c>
      <c r="G52" s="117">
        <v>4911683911</v>
      </c>
      <c r="H52" s="117">
        <f t="shared" si="14"/>
        <v>128601.67860602729</v>
      </c>
      <c r="I52" s="7"/>
      <c r="J52" s="10">
        <v>4.9817999999999998</v>
      </c>
      <c r="K52" s="117">
        <v>24469027</v>
      </c>
      <c r="L52" s="120">
        <f t="shared" si="13"/>
        <v>640.66784489304325</v>
      </c>
      <c r="M52" s="122">
        <f t="shared" si="7"/>
        <v>49116839.109999999</v>
      </c>
      <c r="N52" s="116">
        <f t="shared" si="8"/>
        <v>24647812.109999999</v>
      </c>
      <c r="O52" s="123">
        <f t="shared" si="9"/>
        <v>645.34894116722955</v>
      </c>
      <c r="P52" s="5"/>
      <c r="Q52" s="5">
        <f t="shared" si="4"/>
        <v>1</v>
      </c>
      <c r="R52" s="7">
        <f t="shared" si="5"/>
        <v>38193</v>
      </c>
      <c r="S52" s="5">
        <f t="shared" si="2"/>
        <v>1</v>
      </c>
      <c r="T52" s="7">
        <f t="shared" si="3"/>
        <v>38193</v>
      </c>
    </row>
    <row r="53" spans="1:20">
      <c r="A53" s="23" t="s">
        <v>55</v>
      </c>
      <c r="B53" s="35" t="s">
        <v>49</v>
      </c>
      <c r="C53" s="36">
        <v>2223</v>
      </c>
      <c r="D53" s="6"/>
      <c r="E53" s="113">
        <v>1488961937</v>
      </c>
      <c r="F53" s="116">
        <f t="shared" si="6"/>
        <v>669798.44219523168</v>
      </c>
      <c r="G53" s="117">
        <v>1181587017</v>
      </c>
      <c r="H53" s="117">
        <f t="shared" si="14"/>
        <v>531528.12280701753</v>
      </c>
      <c r="I53" s="7"/>
      <c r="J53" s="10">
        <v>2.1938</v>
      </c>
      <c r="K53" s="117">
        <v>2592166</v>
      </c>
      <c r="L53" s="120">
        <f t="shared" si="13"/>
        <v>1166.0665766981556</v>
      </c>
      <c r="M53" s="122">
        <f t="shared" si="7"/>
        <v>11815870.17</v>
      </c>
      <c r="N53" s="116">
        <f t="shared" si="8"/>
        <v>9223704.1699999999</v>
      </c>
      <c r="O53" s="123">
        <f t="shared" si="9"/>
        <v>4149.2146513720199</v>
      </c>
      <c r="P53" s="5"/>
      <c r="Q53" s="5">
        <f t="shared" si="4"/>
        <v>1</v>
      </c>
      <c r="R53" s="7">
        <f t="shared" si="5"/>
        <v>2223</v>
      </c>
      <c r="S53" s="5">
        <f t="shared" si="2"/>
        <v>1</v>
      </c>
      <c r="T53" s="7">
        <f t="shared" si="3"/>
        <v>2223</v>
      </c>
    </row>
    <row r="54" spans="1:20">
      <c r="A54" s="23" t="s">
        <v>56</v>
      </c>
      <c r="B54" s="35" t="s">
        <v>49</v>
      </c>
      <c r="C54" s="36">
        <v>142943</v>
      </c>
      <c r="D54" s="6"/>
      <c r="E54" s="113">
        <v>21488629542</v>
      </c>
      <c r="F54" s="116">
        <f t="shared" si="6"/>
        <v>150330.05842888425</v>
      </c>
      <c r="G54" s="117">
        <v>14162124022</v>
      </c>
      <c r="H54" s="117">
        <f t="shared" si="14"/>
        <v>99075.323884345504</v>
      </c>
      <c r="I54" s="7"/>
      <c r="J54" s="10">
        <v>5.7380000000000004</v>
      </c>
      <c r="K54" s="117">
        <v>81262268</v>
      </c>
      <c r="L54" s="120">
        <f t="shared" si="13"/>
        <v>568.49421097920151</v>
      </c>
      <c r="M54" s="122">
        <f t="shared" si="7"/>
        <v>141621240.22</v>
      </c>
      <c r="N54" s="116">
        <f t="shared" si="8"/>
        <v>60358972.219999999</v>
      </c>
      <c r="O54" s="123">
        <f t="shared" si="9"/>
        <v>422.2590278642536</v>
      </c>
      <c r="P54" s="5"/>
      <c r="Q54" s="5">
        <f t="shared" si="4"/>
        <v>1</v>
      </c>
      <c r="R54" s="7">
        <f t="shared" si="5"/>
        <v>142943</v>
      </c>
      <c r="S54" s="5">
        <f t="shared" si="2"/>
        <v>1</v>
      </c>
      <c r="T54" s="7">
        <f t="shared" si="3"/>
        <v>142943</v>
      </c>
    </row>
    <row r="55" spans="1:20">
      <c r="A55" s="23" t="s">
        <v>57</v>
      </c>
      <c r="B55" s="35" t="s">
        <v>49</v>
      </c>
      <c r="C55" s="36">
        <v>32314</v>
      </c>
      <c r="D55" s="6"/>
      <c r="E55" s="113">
        <v>2204063610</v>
      </c>
      <c r="F55" s="116">
        <f t="shared" si="6"/>
        <v>68207.699758618561</v>
      </c>
      <c r="G55" s="117">
        <v>1341544355</v>
      </c>
      <c r="H55" s="117">
        <f t="shared" si="14"/>
        <v>41515.886457882036</v>
      </c>
      <c r="I55" s="7"/>
      <c r="J55" s="10">
        <v>5.4309000000000003</v>
      </c>
      <c r="K55" s="117">
        <v>7285793</v>
      </c>
      <c r="L55" s="120">
        <f t="shared" si="13"/>
        <v>225.46862041220524</v>
      </c>
      <c r="M55" s="122">
        <f t="shared" si="7"/>
        <v>13415443.550000001</v>
      </c>
      <c r="N55" s="116">
        <f t="shared" si="8"/>
        <v>6129650.5500000007</v>
      </c>
      <c r="O55" s="123">
        <f t="shared" si="9"/>
        <v>189.69024416661512</v>
      </c>
      <c r="P55" s="5"/>
      <c r="Q55" s="5">
        <f t="shared" si="4"/>
        <v>1</v>
      </c>
      <c r="R55" s="7">
        <f t="shared" si="5"/>
        <v>32314</v>
      </c>
      <c r="S55" s="5">
        <f t="shared" si="2"/>
        <v>1</v>
      </c>
      <c r="T55" s="7">
        <f t="shared" si="3"/>
        <v>32314</v>
      </c>
    </row>
    <row r="56" spans="1:20">
      <c r="A56" s="24" t="s">
        <v>560</v>
      </c>
      <c r="B56" s="35" t="s">
        <v>49</v>
      </c>
      <c r="C56" s="36">
        <v>6196</v>
      </c>
      <c r="D56" s="6"/>
      <c r="E56" s="113">
        <v>2897975266</v>
      </c>
      <c r="F56" s="116">
        <f t="shared" si="6"/>
        <v>467717.11846352485</v>
      </c>
      <c r="G56" s="117">
        <v>2322089902</v>
      </c>
      <c r="H56" s="117">
        <f t="shared" si="14"/>
        <v>374772.41801162041</v>
      </c>
      <c r="I56" s="7"/>
      <c r="J56" s="10">
        <v>4.1012000000000004</v>
      </c>
      <c r="K56" s="117">
        <v>9523355</v>
      </c>
      <c r="L56" s="120">
        <f t="shared" si="13"/>
        <v>1537.0166236281473</v>
      </c>
      <c r="M56" s="122">
        <f t="shared" si="7"/>
        <v>23220899.02</v>
      </c>
      <c r="N56" s="116">
        <f t="shared" si="8"/>
        <v>13697544.02</v>
      </c>
      <c r="O56" s="123">
        <f t="shared" si="9"/>
        <v>2210.7075564880565</v>
      </c>
      <c r="P56" s="5"/>
      <c r="Q56" s="5">
        <f t="shared" si="4"/>
        <v>1</v>
      </c>
      <c r="R56" s="7">
        <f t="shared" si="5"/>
        <v>6196</v>
      </c>
      <c r="S56" s="5">
        <f t="shared" si="2"/>
        <v>1</v>
      </c>
      <c r="T56" s="7">
        <f t="shared" si="3"/>
        <v>6196</v>
      </c>
    </row>
    <row r="57" spans="1:20">
      <c r="A57" s="23" t="s">
        <v>58</v>
      </c>
      <c r="B57" s="35" t="s">
        <v>49</v>
      </c>
      <c r="C57" s="36">
        <v>64261</v>
      </c>
      <c r="D57" s="6"/>
      <c r="E57" s="113">
        <v>4943753248</v>
      </c>
      <c r="F57" s="116">
        <f t="shared" si="6"/>
        <v>76932.404537744515</v>
      </c>
      <c r="G57" s="117">
        <v>3035752766</v>
      </c>
      <c r="H57" s="117">
        <f t="shared" si="14"/>
        <v>47240.982337654255</v>
      </c>
      <c r="I57" s="7"/>
      <c r="J57" s="10">
        <v>4.734</v>
      </c>
      <c r="K57" s="117">
        <v>14371254</v>
      </c>
      <c r="L57" s="120">
        <f t="shared" si="13"/>
        <v>223.63881670064268</v>
      </c>
      <c r="M57" s="122">
        <f t="shared" si="7"/>
        <v>30357527.66</v>
      </c>
      <c r="N57" s="116">
        <f t="shared" si="8"/>
        <v>15986273.66</v>
      </c>
      <c r="O57" s="123">
        <f t="shared" si="9"/>
        <v>248.77100667589986</v>
      </c>
      <c r="P57" s="5"/>
      <c r="Q57" s="5">
        <f t="shared" si="4"/>
        <v>1</v>
      </c>
      <c r="R57" s="7">
        <f t="shared" si="5"/>
        <v>64261</v>
      </c>
      <c r="S57" s="5">
        <f t="shared" si="2"/>
        <v>1</v>
      </c>
      <c r="T57" s="7">
        <f t="shared" si="3"/>
        <v>64261</v>
      </c>
    </row>
    <row r="58" spans="1:20">
      <c r="A58" s="23" t="s">
        <v>59</v>
      </c>
      <c r="B58" s="35" t="s">
        <v>49</v>
      </c>
      <c r="C58" s="36">
        <v>41</v>
      </c>
      <c r="D58" s="6"/>
      <c r="E58" s="113">
        <v>10309786</v>
      </c>
      <c r="F58" s="116">
        <f t="shared" si="6"/>
        <v>251458.19512195123</v>
      </c>
      <c r="G58" s="117">
        <v>6737536</v>
      </c>
      <c r="H58" s="117">
        <f t="shared" si="14"/>
        <v>164330.14634146341</v>
      </c>
      <c r="I58" s="7"/>
      <c r="J58" s="10">
        <v>4.4736000000000002</v>
      </c>
      <c r="K58" s="117">
        <v>30141</v>
      </c>
      <c r="L58" s="120">
        <f t="shared" si="13"/>
        <v>735.14634146341461</v>
      </c>
      <c r="M58" s="122">
        <f t="shared" si="7"/>
        <v>67375.360000000001</v>
      </c>
      <c r="N58" s="116">
        <f t="shared" si="8"/>
        <v>37234.36</v>
      </c>
      <c r="O58" s="123">
        <f t="shared" si="9"/>
        <v>908.15512195121948</v>
      </c>
      <c r="P58" s="5"/>
      <c r="Q58" s="5">
        <f t="shared" si="4"/>
        <v>1</v>
      </c>
      <c r="R58" s="7">
        <f t="shared" si="5"/>
        <v>41</v>
      </c>
      <c r="S58" s="5">
        <f t="shared" si="2"/>
        <v>1</v>
      </c>
      <c r="T58" s="7">
        <f t="shared" si="3"/>
        <v>41</v>
      </c>
    </row>
    <row r="59" spans="1:20">
      <c r="A59" s="23" t="s">
        <v>60</v>
      </c>
      <c r="B59" s="35" t="s">
        <v>49</v>
      </c>
      <c r="C59" s="36">
        <v>10964</v>
      </c>
      <c r="D59" s="6"/>
      <c r="E59" s="113">
        <v>3339794663</v>
      </c>
      <c r="F59" s="116">
        <f t="shared" si="6"/>
        <v>304614.61720175121</v>
      </c>
      <c r="G59" s="117">
        <v>2192739914</v>
      </c>
      <c r="H59" s="117">
        <f t="shared" si="14"/>
        <v>199994.5197008391</v>
      </c>
      <c r="I59" s="7"/>
      <c r="J59" s="10">
        <v>3.0886999999999998</v>
      </c>
      <c r="K59" s="117">
        <v>6772716</v>
      </c>
      <c r="L59" s="120">
        <f t="shared" si="13"/>
        <v>617.72309376140095</v>
      </c>
      <c r="M59" s="122">
        <f t="shared" si="7"/>
        <v>21927399.140000001</v>
      </c>
      <c r="N59" s="116">
        <f t="shared" si="8"/>
        <v>15154683.140000001</v>
      </c>
      <c r="O59" s="123">
        <f t="shared" si="9"/>
        <v>1382.2221032469902</v>
      </c>
      <c r="P59" s="5"/>
      <c r="Q59" s="5">
        <f t="shared" si="4"/>
        <v>1</v>
      </c>
      <c r="R59" s="7">
        <f t="shared" si="5"/>
        <v>10964</v>
      </c>
      <c r="S59" s="5">
        <f t="shared" si="2"/>
        <v>1</v>
      </c>
      <c r="T59" s="7">
        <f t="shared" si="3"/>
        <v>10964</v>
      </c>
    </row>
    <row r="60" spans="1:20">
      <c r="A60" s="23" t="s">
        <v>61</v>
      </c>
      <c r="B60" s="35" t="s">
        <v>49</v>
      </c>
      <c r="C60" s="36">
        <v>55661</v>
      </c>
      <c r="D60" s="6"/>
      <c r="E60" s="113">
        <v>5310752669</v>
      </c>
      <c r="F60" s="116">
        <f t="shared" si="6"/>
        <v>95412.455202026555</v>
      </c>
      <c r="G60" s="117">
        <v>3339641623</v>
      </c>
      <c r="H60" s="117">
        <f t="shared" si="14"/>
        <v>59999.669840642462</v>
      </c>
      <c r="I60" s="7"/>
      <c r="J60" s="10">
        <v>5.5590999999999999</v>
      </c>
      <c r="K60" s="117">
        <v>18565402</v>
      </c>
      <c r="L60" s="120">
        <f t="shared" si="13"/>
        <v>333.54416916692117</v>
      </c>
      <c r="M60" s="122">
        <f t="shared" si="7"/>
        <v>33396416.23</v>
      </c>
      <c r="N60" s="116">
        <f t="shared" si="8"/>
        <v>14831014.23</v>
      </c>
      <c r="O60" s="123">
        <f t="shared" si="9"/>
        <v>266.45252923950341</v>
      </c>
      <c r="P60" s="5"/>
      <c r="Q60" s="5">
        <f t="shared" si="4"/>
        <v>1</v>
      </c>
      <c r="R60" s="7">
        <f t="shared" si="5"/>
        <v>55661</v>
      </c>
      <c r="S60" s="5">
        <f t="shared" si="2"/>
        <v>1</v>
      </c>
      <c r="T60" s="7">
        <f t="shared" si="3"/>
        <v>55661</v>
      </c>
    </row>
    <row r="61" spans="1:20">
      <c r="A61" s="23" t="s">
        <v>62</v>
      </c>
      <c r="B61" s="35" t="s">
        <v>49</v>
      </c>
      <c r="C61" s="36">
        <v>111705</v>
      </c>
      <c r="D61" s="6"/>
      <c r="E61" s="113">
        <v>13999932147</v>
      </c>
      <c r="F61" s="116">
        <f t="shared" si="6"/>
        <v>125329.50312877669</v>
      </c>
      <c r="G61" s="117">
        <v>9521516860</v>
      </c>
      <c r="H61" s="117">
        <f t="shared" si="14"/>
        <v>85238.054339555078</v>
      </c>
      <c r="I61" s="7"/>
      <c r="J61" s="10">
        <v>5.2975000000000003</v>
      </c>
      <c r="K61" s="117">
        <v>50440236</v>
      </c>
      <c r="L61" s="120">
        <f t="shared" si="13"/>
        <v>451.54859675036926</v>
      </c>
      <c r="M61" s="122">
        <f t="shared" si="7"/>
        <v>95215168.600000009</v>
      </c>
      <c r="N61" s="116">
        <f t="shared" si="8"/>
        <v>44774932.600000009</v>
      </c>
      <c r="O61" s="123">
        <f t="shared" si="9"/>
        <v>400.83194664518157</v>
      </c>
      <c r="P61" s="5"/>
      <c r="Q61" s="5">
        <f t="shared" si="4"/>
        <v>1</v>
      </c>
      <c r="R61" s="7">
        <f t="shared" si="5"/>
        <v>111705</v>
      </c>
      <c r="S61" s="5">
        <f t="shared" si="2"/>
        <v>1</v>
      </c>
      <c r="T61" s="7">
        <f t="shared" si="3"/>
        <v>111705</v>
      </c>
    </row>
    <row r="62" spans="1:20">
      <c r="A62" s="23" t="s">
        <v>63</v>
      </c>
      <c r="B62" s="35" t="s">
        <v>49</v>
      </c>
      <c r="C62" s="36">
        <v>42269</v>
      </c>
      <c r="D62" s="6"/>
      <c r="E62" s="113">
        <v>2832598169</v>
      </c>
      <c r="F62" s="116">
        <f t="shared" si="6"/>
        <v>67013.607348174788</v>
      </c>
      <c r="G62" s="117">
        <v>1792599437</v>
      </c>
      <c r="H62" s="117">
        <f t="shared" si="14"/>
        <v>42409.317395727368</v>
      </c>
      <c r="I62" s="7"/>
      <c r="J62" s="10">
        <v>5.5307000000000004</v>
      </c>
      <c r="K62" s="117">
        <v>9914330</v>
      </c>
      <c r="L62" s="120">
        <f t="shared" si="13"/>
        <v>234.55321867089356</v>
      </c>
      <c r="M62" s="122">
        <f t="shared" si="7"/>
        <v>17925994.370000001</v>
      </c>
      <c r="N62" s="116">
        <f t="shared" si="8"/>
        <v>8011664.370000001</v>
      </c>
      <c r="O62" s="123">
        <f t="shared" si="9"/>
        <v>189.53995528638012</v>
      </c>
      <c r="P62" s="5"/>
      <c r="Q62" s="5">
        <f t="shared" si="4"/>
        <v>1</v>
      </c>
      <c r="R62" s="7">
        <f t="shared" si="5"/>
        <v>42269</v>
      </c>
      <c r="S62" s="5">
        <f t="shared" si="2"/>
        <v>1</v>
      </c>
      <c r="T62" s="7">
        <f t="shared" si="3"/>
        <v>42269</v>
      </c>
    </row>
    <row r="63" spans="1:20">
      <c r="A63" s="23" t="s">
        <v>64</v>
      </c>
      <c r="B63" s="35" t="s">
        <v>49</v>
      </c>
      <c r="C63" s="36">
        <v>42081</v>
      </c>
      <c r="D63" s="6"/>
      <c r="E63" s="113">
        <v>5256136175</v>
      </c>
      <c r="F63" s="116">
        <f t="shared" si="6"/>
        <v>124905.21078396426</v>
      </c>
      <c r="G63" s="117">
        <v>3536366081</v>
      </c>
      <c r="H63" s="117">
        <f t="shared" si="14"/>
        <v>84037.120814619426</v>
      </c>
      <c r="I63" s="7"/>
      <c r="J63" s="10">
        <v>4.7662000000000004</v>
      </c>
      <c r="K63" s="117">
        <v>16855028</v>
      </c>
      <c r="L63" s="120">
        <f t="shared" si="13"/>
        <v>400.53772486395286</v>
      </c>
      <c r="M63" s="122">
        <f t="shared" si="7"/>
        <v>35363660.810000002</v>
      </c>
      <c r="N63" s="116">
        <f t="shared" si="8"/>
        <v>18508632.810000002</v>
      </c>
      <c r="O63" s="123">
        <f t="shared" si="9"/>
        <v>439.83348328224145</v>
      </c>
      <c r="P63" s="5"/>
      <c r="Q63" s="5">
        <f t="shared" si="4"/>
        <v>1</v>
      </c>
      <c r="R63" s="7">
        <f t="shared" si="5"/>
        <v>42081</v>
      </c>
      <c r="S63" s="5">
        <f t="shared" si="2"/>
        <v>1</v>
      </c>
      <c r="T63" s="7">
        <f t="shared" si="3"/>
        <v>42081</v>
      </c>
    </row>
    <row r="64" spans="1:20">
      <c r="A64" s="23" t="s">
        <v>65</v>
      </c>
      <c r="B64" s="35" t="s">
        <v>49</v>
      </c>
      <c r="C64" s="36">
        <v>23163</v>
      </c>
      <c r="D64" s="6"/>
      <c r="E64" s="113">
        <v>5313720900</v>
      </c>
      <c r="F64" s="116">
        <f t="shared" si="6"/>
        <v>229405.5562750939</v>
      </c>
      <c r="G64" s="117">
        <v>3753110590</v>
      </c>
      <c r="H64" s="117">
        <f t="shared" si="14"/>
        <v>162030.41877131633</v>
      </c>
      <c r="I64" s="7"/>
      <c r="J64" s="10">
        <v>3.4083000000000001</v>
      </c>
      <c r="K64" s="117">
        <v>12791727</v>
      </c>
      <c r="L64" s="120">
        <f t="shared" si="13"/>
        <v>552.24828390104904</v>
      </c>
      <c r="M64" s="122">
        <f t="shared" si="7"/>
        <v>37531105.899999999</v>
      </c>
      <c r="N64" s="116">
        <f t="shared" si="8"/>
        <v>24739378.899999999</v>
      </c>
      <c r="O64" s="123">
        <f t="shared" si="9"/>
        <v>1068.0559038121141</v>
      </c>
      <c r="P64" s="5"/>
      <c r="Q64" s="5">
        <f t="shared" si="4"/>
        <v>1</v>
      </c>
      <c r="R64" s="7">
        <f t="shared" si="5"/>
        <v>23163</v>
      </c>
      <c r="S64" s="5">
        <f t="shared" si="2"/>
        <v>1</v>
      </c>
      <c r="T64" s="7">
        <f t="shared" si="3"/>
        <v>23163</v>
      </c>
    </row>
    <row r="65" spans="1:20">
      <c r="A65" s="23" t="s">
        <v>66</v>
      </c>
      <c r="B65" s="35" t="s">
        <v>49</v>
      </c>
      <c r="C65" s="36">
        <v>5818</v>
      </c>
      <c r="D65" s="6"/>
      <c r="E65" s="113">
        <v>611691462</v>
      </c>
      <c r="F65" s="116">
        <f t="shared" si="6"/>
        <v>105137.75558611206</v>
      </c>
      <c r="G65" s="117">
        <v>546156302</v>
      </c>
      <c r="H65" s="117">
        <f t="shared" si="14"/>
        <v>93873.547954623587</v>
      </c>
      <c r="I65" s="7"/>
      <c r="J65" s="10">
        <v>8.5</v>
      </c>
      <c r="K65" s="117">
        <v>4642329</v>
      </c>
      <c r="L65" s="120">
        <f t="shared" si="13"/>
        <v>797.92523203850124</v>
      </c>
      <c r="M65" s="122">
        <f t="shared" si="7"/>
        <v>5461563.0200000005</v>
      </c>
      <c r="N65" s="116">
        <f t="shared" si="8"/>
        <v>819234.02000000048</v>
      </c>
      <c r="O65" s="123">
        <f t="shared" si="9"/>
        <v>140.81024750773469</v>
      </c>
      <c r="P65" s="5"/>
      <c r="Q65" s="5">
        <f t="shared" si="4"/>
        <v>1</v>
      </c>
      <c r="R65" s="7">
        <f t="shared" si="5"/>
        <v>5818</v>
      </c>
      <c r="S65" s="5">
        <f t="shared" si="2"/>
        <v>1</v>
      </c>
      <c r="T65" s="7">
        <f t="shared" si="3"/>
        <v>5818</v>
      </c>
    </row>
    <row r="66" spans="1:20">
      <c r="A66" s="23" t="s">
        <v>67</v>
      </c>
      <c r="B66" s="35" t="s">
        <v>49</v>
      </c>
      <c r="C66" s="36">
        <v>152888</v>
      </c>
      <c r="D66" s="6"/>
      <c r="E66" s="113">
        <v>19252698267</v>
      </c>
      <c r="F66" s="116">
        <f t="shared" si="6"/>
        <v>125926.8109138716</v>
      </c>
      <c r="G66" s="117">
        <v>11715216497</v>
      </c>
      <c r="H66" s="117">
        <f t="shared" si="14"/>
        <v>76626.134798022074</v>
      </c>
      <c r="I66" s="7"/>
      <c r="J66" s="10">
        <v>4.1725000000000003</v>
      </c>
      <c r="K66" s="117">
        <v>48881741</v>
      </c>
      <c r="L66" s="120">
        <f t="shared" si="13"/>
        <v>319.72254853225888</v>
      </c>
      <c r="M66" s="122">
        <f t="shared" si="7"/>
        <v>117152164.97</v>
      </c>
      <c r="N66" s="116">
        <f t="shared" si="8"/>
        <v>68270423.969999999</v>
      </c>
      <c r="O66" s="123">
        <f t="shared" si="9"/>
        <v>446.53879944796188</v>
      </c>
      <c r="P66" s="5"/>
      <c r="Q66" s="5">
        <f t="shared" si="4"/>
        <v>1</v>
      </c>
      <c r="R66" s="7">
        <f t="shared" si="5"/>
        <v>152888</v>
      </c>
      <c r="S66" s="5">
        <f t="shared" si="2"/>
        <v>1</v>
      </c>
      <c r="T66" s="7">
        <f t="shared" si="3"/>
        <v>152888</v>
      </c>
    </row>
    <row r="67" spans="1:20">
      <c r="A67" s="23" t="s">
        <v>68</v>
      </c>
      <c r="B67" s="35" t="s">
        <v>49</v>
      </c>
      <c r="C67" s="36">
        <v>85349</v>
      </c>
      <c r="D67" s="6"/>
      <c r="E67" s="113">
        <v>13405085234</v>
      </c>
      <c r="F67" s="116">
        <f t="shared" si="6"/>
        <v>157062.00698309296</v>
      </c>
      <c r="G67" s="117">
        <v>8616099433</v>
      </c>
      <c r="H67" s="117">
        <f t="shared" si="14"/>
        <v>100951.3811878288</v>
      </c>
      <c r="I67" s="7"/>
      <c r="J67" s="10">
        <v>3.9155000000000002</v>
      </c>
      <c r="K67" s="117">
        <v>33736337</v>
      </c>
      <c r="L67" s="120">
        <f t="shared" si="13"/>
        <v>395.27512917550291</v>
      </c>
      <c r="M67" s="122">
        <f t="shared" si="7"/>
        <v>86160994.329999998</v>
      </c>
      <c r="N67" s="116">
        <f t="shared" si="8"/>
        <v>52424657.329999998</v>
      </c>
      <c r="O67" s="123">
        <f t="shared" si="9"/>
        <v>614.23868270278501</v>
      </c>
      <c r="P67" s="5"/>
      <c r="Q67" s="5">
        <f t="shared" si="4"/>
        <v>1</v>
      </c>
      <c r="R67" s="7">
        <f t="shared" si="5"/>
        <v>85349</v>
      </c>
      <c r="S67" s="5">
        <f t="shared" si="2"/>
        <v>1</v>
      </c>
      <c r="T67" s="7">
        <f t="shared" si="3"/>
        <v>85349</v>
      </c>
    </row>
    <row r="68" spans="1:20">
      <c r="A68" s="23" t="s">
        <v>69</v>
      </c>
      <c r="B68" s="35" t="s">
        <v>49</v>
      </c>
      <c r="C68" s="36">
        <v>101128</v>
      </c>
      <c r="D68" s="6"/>
      <c r="E68" s="113">
        <v>17844430973</v>
      </c>
      <c r="F68" s="116">
        <f t="shared" si="6"/>
        <v>176453.90962938059</v>
      </c>
      <c r="G68" s="117">
        <v>12793405291</v>
      </c>
      <c r="H68" s="117">
        <f t="shared" si="14"/>
        <v>126507.05334823194</v>
      </c>
      <c r="I68" s="7"/>
      <c r="J68" s="10">
        <v>3.2787999999999999</v>
      </c>
      <c r="K68" s="117">
        <v>41947017</v>
      </c>
      <c r="L68" s="120">
        <f t="shared" si="13"/>
        <v>414.7913238667827</v>
      </c>
      <c r="M68" s="122">
        <f t="shared" si="7"/>
        <v>127934052.91</v>
      </c>
      <c r="N68" s="116">
        <f t="shared" si="8"/>
        <v>85987035.909999996</v>
      </c>
      <c r="O68" s="123">
        <f t="shared" si="9"/>
        <v>850.27920961553673</v>
      </c>
      <c r="P68" s="5"/>
      <c r="Q68" s="5">
        <f t="shared" si="4"/>
        <v>1</v>
      </c>
      <c r="R68" s="7">
        <f t="shared" si="5"/>
        <v>101128</v>
      </c>
      <c r="S68" s="5">
        <f t="shared" si="2"/>
        <v>1</v>
      </c>
      <c r="T68" s="7">
        <f t="shared" si="3"/>
        <v>101128</v>
      </c>
    </row>
    <row r="69" spans="1:20">
      <c r="A69" s="23" t="s">
        <v>70</v>
      </c>
      <c r="B69" s="35" t="s">
        <v>49</v>
      </c>
      <c r="C69" s="36">
        <v>732</v>
      </c>
      <c r="D69" s="6"/>
      <c r="E69" s="113">
        <v>269001968</v>
      </c>
      <c r="F69" s="116">
        <f t="shared" si="6"/>
        <v>367489.02732240438</v>
      </c>
      <c r="G69" s="117">
        <v>174160416</v>
      </c>
      <c r="H69" s="117">
        <f t="shared" si="14"/>
        <v>237924.06557377049</v>
      </c>
      <c r="I69" s="7"/>
      <c r="J69" s="10">
        <v>6.95</v>
      </c>
      <c r="K69" s="117">
        <v>1210415</v>
      </c>
      <c r="L69" s="120">
        <f t="shared" si="13"/>
        <v>1653.5724043715848</v>
      </c>
      <c r="M69" s="122">
        <f t="shared" si="7"/>
        <v>1741604.1600000001</v>
      </c>
      <c r="N69" s="116">
        <f t="shared" si="8"/>
        <v>531189.16000000015</v>
      </c>
      <c r="O69" s="123">
        <f t="shared" si="9"/>
        <v>725.66825136612044</v>
      </c>
      <c r="P69" s="5"/>
      <c r="Q69" s="5">
        <f t="shared" si="4"/>
        <v>1</v>
      </c>
      <c r="R69" s="7">
        <f t="shared" si="5"/>
        <v>732</v>
      </c>
      <c r="S69" s="5">
        <f t="shared" si="2"/>
        <v>1</v>
      </c>
      <c r="T69" s="7">
        <f t="shared" si="3"/>
        <v>732</v>
      </c>
    </row>
    <row r="70" spans="1:20">
      <c r="A70" s="23" t="s">
        <v>450</v>
      </c>
      <c r="B70" s="35" t="s">
        <v>49</v>
      </c>
      <c r="C70" s="36">
        <v>8461</v>
      </c>
      <c r="D70" s="6"/>
      <c r="E70" s="113">
        <v>2551798794</v>
      </c>
      <c r="F70" s="116">
        <f t="shared" si="6"/>
        <v>301595.41354449827</v>
      </c>
      <c r="G70" s="117">
        <v>1345275484</v>
      </c>
      <c r="H70" s="117">
        <f t="shared" si="14"/>
        <v>158997.22065949652</v>
      </c>
      <c r="I70" s="7"/>
      <c r="J70" s="10">
        <v>3</v>
      </c>
      <c r="K70" s="117">
        <v>4035826</v>
      </c>
      <c r="L70" s="120">
        <f t="shared" si="13"/>
        <v>476.99160855690815</v>
      </c>
      <c r="M70" s="122">
        <f t="shared" si="7"/>
        <v>13452754.84</v>
      </c>
      <c r="N70" s="116">
        <f t="shared" si="8"/>
        <v>9416928.8399999999</v>
      </c>
      <c r="O70" s="123">
        <f t="shared" si="9"/>
        <v>1112.980598038057</v>
      </c>
      <c r="P70" s="5"/>
      <c r="Q70" s="5">
        <f t="shared" si="4"/>
        <v>1</v>
      </c>
      <c r="R70" s="7">
        <f t="shared" si="5"/>
        <v>8461</v>
      </c>
      <c r="S70" s="5">
        <f t="shared" ref="S70:S133" si="15">IF(J70&gt;0,1,0)</f>
        <v>1</v>
      </c>
      <c r="T70" s="7">
        <f t="shared" ref="T70:T133" si="16">IF(J70&gt;0,C70,0)</f>
        <v>8461</v>
      </c>
    </row>
    <row r="71" spans="1:20">
      <c r="A71" s="23" t="s">
        <v>71</v>
      </c>
      <c r="B71" s="35" t="s">
        <v>49</v>
      </c>
      <c r="C71" s="36">
        <v>89633</v>
      </c>
      <c r="D71" s="6"/>
      <c r="E71" s="113">
        <v>10501407982</v>
      </c>
      <c r="F71" s="116">
        <f t="shared" si="6"/>
        <v>117160.06361496323</v>
      </c>
      <c r="G71" s="117">
        <v>6732889599</v>
      </c>
      <c r="H71" s="117">
        <f t="shared" si="14"/>
        <v>75116.191570069059</v>
      </c>
      <c r="I71" s="7"/>
      <c r="J71" s="10">
        <v>5.1231999999999998</v>
      </c>
      <c r="K71" s="117">
        <v>34493940</v>
      </c>
      <c r="L71" s="120">
        <f t="shared" si="13"/>
        <v>384.83527272321578</v>
      </c>
      <c r="M71" s="122">
        <f t="shared" si="7"/>
        <v>67328895.989999995</v>
      </c>
      <c r="N71" s="116">
        <f t="shared" si="8"/>
        <v>32834955.989999995</v>
      </c>
      <c r="O71" s="123">
        <f t="shared" si="9"/>
        <v>366.32664297747476</v>
      </c>
      <c r="P71" s="5"/>
      <c r="Q71" s="5">
        <f t="shared" ref="Q71:Q134" si="17">IF(E71&gt;0,1,0)</f>
        <v>1</v>
      </c>
      <c r="R71" s="7">
        <f t="shared" ref="R71:R134" si="18">IF(E71&gt;0,C71,0)</f>
        <v>89633</v>
      </c>
      <c r="S71" s="5">
        <f t="shared" si="15"/>
        <v>1</v>
      </c>
      <c r="T71" s="7">
        <f t="shared" si="16"/>
        <v>89633</v>
      </c>
    </row>
    <row r="72" spans="1:20">
      <c r="A72" s="23" t="s">
        <v>72</v>
      </c>
      <c r="B72" s="35" t="s">
        <v>49</v>
      </c>
      <c r="C72" s="36">
        <v>59949</v>
      </c>
      <c r="D72" s="6"/>
      <c r="E72" s="113">
        <v>6928454502</v>
      </c>
      <c r="F72" s="116">
        <f t="shared" ref="F72:F94" si="19">(E72/C72)</f>
        <v>115572.47830656057</v>
      </c>
      <c r="G72" s="117">
        <v>4385074571</v>
      </c>
      <c r="H72" s="117">
        <f t="shared" si="14"/>
        <v>73146.750921616709</v>
      </c>
      <c r="I72" s="7"/>
      <c r="J72" s="10">
        <v>5.0495999999999999</v>
      </c>
      <c r="K72" s="117">
        <v>22142873</v>
      </c>
      <c r="L72" s="120">
        <f t="shared" si="13"/>
        <v>369.36184089809672</v>
      </c>
      <c r="M72" s="122">
        <f t="shared" ref="M72:M135" si="20">(G72*0.01)</f>
        <v>43850745.710000001</v>
      </c>
      <c r="N72" s="116">
        <f t="shared" ref="N72:N135" si="21">(M72-K72)</f>
        <v>21707872.710000001</v>
      </c>
      <c r="O72" s="123">
        <f t="shared" ref="O72:O135" si="22">(N72/C72)</f>
        <v>362.1056683180704</v>
      </c>
      <c r="P72" s="5"/>
      <c r="Q72" s="5">
        <f t="shared" si="17"/>
        <v>1</v>
      </c>
      <c r="R72" s="7">
        <f t="shared" si="18"/>
        <v>59949</v>
      </c>
      <c r="S72" s="5">
        <f t="shared" si="15"/>
        <v>1</v>
      </c>
      <c r="T72" s="7">
        <f t="shared" si="16"/>
        <v>59949</v>
      </c>
    </row>
    <row r="73" spans="1:20">
      <c r="A73" s="23" t="s">
        <v>507</v>
      </c>
      <c r="B73" s="35" t="s">
        <v>49</v>
      </c>
      <c r="C73" s="36">
        <v>13930</v>
      </c>
      <c r="D73" s="6"/>
      <c r="E73" s="113">
        <v>1053241330</v>
      </c>
      <c r="F73" s="116">
        <f t="shared" si="19"/>
        <v>75609.571428571435</v>
      </c>
      <c r="G73" s="117">
        <v>651475491</v>
      </c>
      <c r="H73" s="117">
        <f t="shared" si="14"/>
        <v>46767.802656137836</v>
      </c>
      <c r="I73" s="9"/>
      <c r="J73" s="10">
        <v>6.5239000000000003</v>
      </c>
      <c r="K73" s="117">
        <v>4250161</v>
      </c>
      <c r="L73" s="120">
        <f t="shared" si="13"/>
        <v>305.10847092605889</v>
      </c>
      <c r="M73" s="122">
        <f t="shared" si="20"/>
        <v>6514754.9100000001</v>
      </c>
      <c r="N73" s="116">
        <f t="shared" si="21"/>
        <v>2264593.91</v>
      </c>
      <c r="O73" s="123">
        <f t="shared" si="22"/>
        <v>162.56955563531946</v>
      </c>
      <c r="P73" s="5"/>
      <c r="Q73" s="5">
        <f t="shared" si="17"/>
        <v>1</v>
      </c>
      <c r="R73" s="7">
        <f t="shared" si="18"/>
        <v>13930</v>
      </c>
      <c r="S73" s="5">
        <f t="shared" si="15"/>
        <v>1</v>
      </c>
      <c r="T73" s="7">
        <f t="shared" si="16"/>
        <v>13930</v>
      </c>
    </row>
    <row r="74" spans="1:20">
      <c r="A74" s="23" t="s">
        <v>73</v>
      </c>
      <c r="B74" s="35" t="s">
        <v>49</v>
      </c>
      <c r="C74" s="36">
        <v>62233</v>
      </c>
      <c r="D74" s="6"/>
      <c r="E74" s="113">
        <v>12046398826</v>
      </c>
      <c r="F74" s="116">
        <f t="shared" si="19"/>
        <v>193569.30930535248</v>
      </c>
      <c r="G74" s="117">
        <v>8413111428</v>
      </c>
      <c r="H74" s="117">
        <f t="shared" si="14"/>
        <v>135187.30300644352</v>
      </c>
      <c r="I74" s="7"/>
      <c r="J74" s="10">
        <v>1.3214999999999999</v>
      </c>
      <c r="K74" s="117">
        <v>11117927</v>
      </c>
      <c r="L74" s="120">
        <f t="shared" si="13"/>
        <v>178.65002490640015</v>
      </c>
      <c r="M74" s="122">
        <f t="shared" si="20"/>
        <v>84131114.280000001</v>
      </c>
      <c r="N74" s="116">
        <f t="shared" si="21"/>
        <v>73013187.280000001</v>
      </c>
      <c r="O74" s="123">
        <f t="shared" si="22"/>
        <v>1173.2230051580352</v>
      </c>
      <c r="P74" s="5"/>
      <c r="Q74" s="5">
        <f t="shared" si="17"/>
        <v>1</v>
      </c>
      <c r="R74" s="7">
        <f t="shared" si="18"/>
        <v>62233</v>
      </c>
      <c r="S74" s="5">
        <f t="shared" si="15"/>
        <v>1</v>
      </c>
      <c r="T74" s="7">
        <f t="shared" si="16"/>
        <v>62233</v>
      </c>
    </row>
    <row r="75" spans="1:20">
      <c r="A75" s="23" t="s">
        <v>74</v>
      </c>
      <c r="B75" s="35" t="s">
        <v>49</v>
      </c>
      <c r="C75" s="36">
        <v>12848</v>
      </c>
      <c r="D75" s="6"/>
      <c r="E75" s="113">
        <v>1942595776</v>
      </c>
      <c r="F75" s="116">
        <f t="shared" si="19"/>
        <v>151198.30136986301</v>
      </c>
      <c r="G75" s="117">
        <v>1266748892</v>
      </c>
      <c r="H75" s="117">
        <f t="shared" si="14"/>
        <v>98595.025840597766</v>
      </c>
      <c r="I75" s="9"/>
      <c r="J75" s="10">
        <v>5.1340000000000003</v>
      </c>
      <c r="K75" s="117">
        <v>6503489</v>
      </c>
      <c r="L75" s="120">
        <f t="shared" si="13"/>
        <v>506.18687733499377</v>
      </c>
      <c r="M75" s="122">
        <f t="shared" si="20"/>
        <v>12667488.92</v>
      </c>
      <c r="N75" s="116">
        <f t="shared" si="21"/>
        <v>6163999.9199999999</v>
      </c>
      <c r="O75" s="123">
        <f t="shared" si="22"/>
        <v>479.76338107098383</v>
      </c>
      <c r="P75" s="5"/>
      <c r="Q75" s="5">
        <f t="shared" si="17"/>
        <v>1</v>
      </c>
      <c r="R75" s="7">
        <f t="shared" si="18"/>
        <v>12848</v>
      </c>
      <c r="S75" s="5">
        <f t="shared" si="15"/>
        <v>1</v>
      </c>
      <c r="T75" s="7">
        <f t="shared" si="16"/>
        <v>12848</v>
      </c>
    </row>
    <row r="76" spans="1:20">
      <c r="A76" s="23" t="s">
        <v>75</v>
      </c>
      <c r="B76" s="35" t="s">
        <v>76</v>
      </c>
      <c r="C76" s="36">
        <v>568</v>
      </c>
      <c r="D76" s="6"/>
      <c r="E76" s="113">
        <v>15585073</v>
      </c>
      <c r="F76" s="116">
        <f t="shared" si="19"/>
        <v>27438.508802816901</v>
      </c>
      <c r="G76" s="117">
        <v>7257734</v>
      </c>
      <c r="H76" s="117">
        <f t="shared" si="14"/>
        <v>12777.700704225352</v>
      </c>
      <c r="I76" s="9" t="s">
        <v>528</v>
      </c>
      <c r="J76" s="10"/>
      <c r="K76" s="117"/>
      <c r="L76" s="120"/>
      <c r="M76" s="122">
        <f t="shared" si="20"/>
        <v>72577.34</v>
      </c>
      <c r="N76" s="116">
        <f t="shared" si="21"/>
        <v>72577.34</v>
      </c>
      <c r="O76" s="123">
        <f t="shared" si="22"/>
        <v>127.77700704225352</v>
      </c>
      <c r="P76" s="5"/>
      <c r="Q76" s="5">
        <f t="shared" si="17"/>
        <v>1</v>
      </c>
      <c r="R76" s="7">
        <f t="shared" si="18"/>
        <v>568</v>
      </c>
      <c r="S76" s="5">
        <f t="shared" si="15"/>
        <v>0</v>
      </c>
      <c r="T76" s="7">
        <f t="shared" si="16"/>
        <v>0</v>
      </c>
    </row>
    <row r="77" spans="1:20">
      <c r="A77" s="23" t="s">
        <v>77</v>
      </c>
      <c r="B77" s="35" t="s">
        <v>76</v>
      </c>
      <c r="C77" s="36">
        <v>2473</v>
      </c>
      <c r="D77" s="6"/>
      <c r="E77" s="113">
        <v>105801416</v>
      </c>
      <c r="F77" s="116">
        <f t="shared" si="19"/>
        <v>42782.618681763044</v>
      </c>
      <c r="G77" s="117">
        <v>61303810</v>
      </c>
      <c r="H77" s="117">
        <f t="shared" si="14"/>
        <v>24789.247877072383</v>
      </c>
      <c r="I77" s="7"/>
      <c r="J77" s="10">
        <v>1.5</v>
      </c>
      <c r="K77" s="117">
        <v>91956</v>
      </c>
      <c r="L77" s="120">
        <f t="shared" ref="L77:L83" si="23">(K77/C77)</f>
        <v>37.183987060250708</v>
      </c>
      <c r="M77" s="122">
        <f t="shared" si="20"/>
        <v>613038.1</v>
      </c>
      <c r="N77" s="116">
        <f t="shared" si="21"/>
        <v>521082.1</v>
      </c>
      <c r="O77" s="123">
        <f t="shared" si="22"/>
        <v>210.70849171047311</v>
      </c>
      <c r="P77" s="5"/>
      <c r="Q77" s="5">
        <f t="shared" si="17"/>
        <v>1</v>
      </c>
      <c r="R77" s="7">
        <f t="shared" si="18"/>
        <v>2473</v>
      </c>
      <c r="S77" s="5">
        <f t="shared" si="15"/>
        <v>1</v>
      </c>
      <c r="T77" s="7">
        <f t="shared" si="16"/>
        <v>2473</v>
      </c>
    </row>
    <row r="78" spans="1:20">
      <c r="A78" s="23" t="s">
        <v>78</v>
      </c>
      <c r="B78" s="35" t="s">
        <v>79</v>
      </c>
      <c r="C78" s="36">
        <v>17444</v>
      </c>
      <c r="D78" s="6"/>
      <c r="E78" s="113">
        <v>4647919119</v>
      </c>
      <c r="F78" s="116">
        <f t="shared" si="19"/>
        <v>266448.01186654437</v>
      </c>
      <c r="G78" s="117">
        <v>3496182626</v>
      </c>
      <c r="H78" s="117">
        <f t="shared" si="14"/>
        <v>200423.21864251318</v>
      </c>
      <c r="I78" s="7"/>
      <c r="J78" s="10">
        <v>2.1728000000000001</v>
      </c>
      <c r="K78" s="117">
        <v>7596506</v>
      </c>
      <c r="L78" s="120">
        <f t="shared" si="23"/>
        <v>435.4795918367347</v>
      </c>
      <c r="M78" s="122">
        <f t="shared" si="20"/>
        <v>34961826.259999998</v>
      </c>
      <c r="N78" s="116">
        <f t="shared" si="21"/>
        <v>27365320.259999998</v>
      </c>
      <c r="O78" s="123">
        <f t="shared" si="22"/>
        <v>1568.752594588397</v>
      </c>
      <c r="P78" s="5"/>
      <c r="Q78" s="5">
        <f t="shared" si="17"/>
        <v>1</v>
      </c>
      <c r="R78" s="7">
        <f t="shared" si="18"/>
        <v>17444</v>
      </c>
      <c r="S78" s="5">
        <f t="shared" si="15"/>
        <v>1</v>
      </c>
      <c r="T78" s="7">
        <f t="shared" si="16"/>
        <v>17444</v>
      </c>
    </row>
    <row r="79" spans="1:20">
      <c r="A79" s="23" t="s">
        <v>80</v>
      </c>
      <c r="B79" s="35" t="s">
        <v>81</v>
      </c>
      <c r="C79" s="36">
        <v>3737</v>
      </c>
      <c r="D79" s="6"/>
      <c r="E79" s="113">
        <v>715805582</v>
      </c>
      <c r="F79" s="116">
        <f t="shared" si="19"/>
        <v>191545.51297832487</v>
      </c>
      <c r="G79" s="117">
        <v>530664466</v>
      </c>
      <c r="H79" s="117">
        <f t="shared" si="14"/>
        <v>142002.80064222639</v>
      </c>
      <c r="I79" s="7"/>
      <c r="J79" s="11">
        <v>4.3</v>
      </c>
      <c r="K79" s="117">
        <v>2281857</v>
      </c>
      <c r="L79" s="120">
        <f t="shared" si="23"/>
        <v>610.61198822584959</v>
      </c>
      <c r="M79" s="122">
        <f t="shared" si="20"/>
        <v>5306644.66</v>
      </c>
      <c r="N79" s="116">
        <f t="shared" si="21"/>
        <v>3024787.66</v>
      </c>
      <c r="O79" s="123">
        <f t="shared" si="22"/>
        <v>809.41601819641426</v>
      </c>
      <c r="P79" s="5"/>
      <c r="Q79" s="5">
        <f t="shared" si="17"/>
        <v>1</v>
      </c>
      <c r="R79" s="7">
        <f t="shared" si="18"/>
        <v>3737</v>
      </c>
      <c r="S79" s="5">
        <f t="shared" si="15"/>
        <v>1</v>
      </c>
      <c r="T79" s="7">
        <f t="shared" si="16"/>
        <v>3737</v>
      </c>
    </row>
    <row r="80" spans="1:20">
      <c r="A80" s="23" t="s">
        <v>82</v>
      </c>
      <c r="B80" s="35" t="s">
        <v>81</v>
      </c>
      <c r="C80" s="36">
        <v>7286</v>
      </c>
      <c r="D80" s="6"/>
      <c r="E80" s="113">
        <v>904497874</v>
      </c>
      <c r="F80" s="116">
        <f t="shared" si="19"/>
        <v>124141.89870985452</v>
      </c>
      <c r="G80" s="117">
        <v>504314335</v>
      </c>
      <c r="H80" s="117">
        <f t="shared" ref="H80:H94" si="24">(G80/C80)</f>
        <v>69216.900219599236</v>
      </c>
      <c r="I80" s="7"/>
      <c r="J80" s="10">
        <v>4.4509999999999996</v>
      </c>
      <c r="K80" s="117">
        <v>2244703</v>
      </c>
      <c r="L80" s="120">
        <f t="shared" si="23"/>
        <v>308.08440845457039</v>
      </c>
      <c r="M80" s="122">
        <f t="shared" si="20"/>
        <v>5043143.3500000006</v>
      </c>
      <c r="N80" s="116">
        <f t="shared" si="21"/>
        <v>2798440.3500000006</v>
      </c>
      <c r="O80" s="123">
        <f t="shared" si="22"/>
        <v>384.084593741422</v>
      </c>
      <c r="P80" s="5"/>
      <c r="Q80" s="5">
        <f t="shared" si="17"/>
        <v>1</v>
      </c>
      <c r="R80" s="7">
        <f t="shared" si="18"/>
        <v>7286</v>
      </c>
      <c r="S80" s="5">
        <f t="shared" si="15"/>
        <v>1</v>
      </c>
      <c r="T80" s="7">
        <f t="shared" si="16"/>
        <v>7286</v>
      </c>
    </row>
    <row r="81" spans="1:20">
      <c r="A81" s="23" t="s">
        <v>83</v>
      </c>
      <c r="B81" s="35" t="s">
        <v>84</v>
      </c>
      <c r="C81" s="36">
        <v>6488</v>
      </c>
      <c r="D81" s="6"/>
      <c r="E81" s="113">
        <v>621827426</v>
      </c>
      <c r="F81" s="116">
        <f t="shared" si="19"/>
        <v>95842.698212083851</v>
      </c>
      <c r="G81" s="117">
        <v>434695770</v>
      </c>
      <c r="H81" s="117">
        <f t="shared" si="24"/>
        <v>66999.964549938348</v>
      </c>
      <c r="I81" s="7"/>
      <c r="J81" s="10">
        <v>2.5724999999999998</v>
      </c>
      <c r="K81" s="117">
        <v>1118255</v>
      </c>
      <c r="L81" s="120">
        <f t="shared" si="23"/>
        <v>172.3574290998767</v>
      </c>
      <c r="M81" s="122">
        <f t="shared" si="20"/>
        <v>4346957.7</v>
      </c>
      <c r="N81" s="116">
        <f t="shared" si="21"/>
        <v>3228702.7</v>
      </c>
      <c r="O81" s="123">
        <f t="shared" si="22"/>
        <v>497.64221639950682</v>
      </c>
      <c r="P81" s="5"/>
      <c r="Q81" s="5">
        <f t="shared" si="17"/>
        <v>1</v>
      </c>
      <c r="R81" s="7">
        <f t="shared" si="18"/>
        <v>6488</v>
      </c>
      <c r="S81" s="5">
        <f t="shared" si="15"/>
        <v>1</v>
      </c>
      <c r="T81" s="7">
        <f t="shared" si="16"/>
        <v>6488</v>
      </c>
    </row>
    <row r="82" spans="1:20">
      <c r="A82" s="23" t="s">
        <v>85</v>
      </c>
      <c r="B82" s="35" t="s">
        <v>84</v>
      </c>
      <c r="C82" s="36">
        <v>1404</v>
      </c>
      <c r="D82" s="6"/>
      <c r="E82" s="113">
        <v>111332042</v>
      </c>
      <c r="F82" s="116">
        <f t="shared" si="19"/>
        <v>79296.326210826213</v>
      </c>
      <c r="G82" s="117">
        <v>66915310</v>
      </c>
      <c r="H82" s="117">
        <f t="shared" si="24"/>
        <v>47660.477207977208</v>
      </c>
      <c r="I82" s="7"/>
      <c r="J82" s="10">
        <v>1.9245000000000001</v>
      </c>
      <c r="K82" s="117">
        <v>128779</v>
      </c>
      <c r="L82" s="120">
        <f t="shared" si="23"/>
        <v>91.722934472934469</v>
      </c>
      <c r="M82" s="122">
        <f t="shared" si="20"/>
        <v>669153.1</v>
      </c>
      <c r="N82" s="116">
        <f t="shared" si="21"/>
        <v>540374.1</v>
      </c>
      <c r="O82" s="123">
        <f t="shared" si="22"/>
        <v>384.88183760683756</v>
      </c>
      <c r="P82" s="5"/>
      <c r="Q82" s="5">
        <f t="shared" si="17"/>
        <v>1</v>
      </c>
      <c r="R82" s="7">
        <f t="shared" si="18"/>
        <v>1404</v>
      </c>
      <c r="S82" s="5">
        <f t="shared" si="15"/>
        <v>1</v>
      </c>
      <c r="T82" s="7">
        <f t="shared" si="16"/>
        <v>1404</v>
      </c>
    </row>
    <row r="83" spans="1:20">
      <c r="A83" s="23" t="s">
        <v>86</v>
      </c>
      <c r="B83" s="35" t="s">
        <v>84</v>
      </c>
      <c r="C83" s="36">
        <v>9109</v>
      </c>
      <c r="D83" s="6"/>
      <c r="E83" s="113">
        <v>942597331</v>
      </c>
      <c r="F83" s="116">
        <f t="shared" si="19"/>
        <v>103479.78164452739</v>
      </c>
      <c r="G83" s="117">
        <v>588285494</v>
      </c>
      <c r="H83" s="117">
        <f t="shared" si="24"/>
        <v>64582.884400043913</v>
      </c>
      <c r="I83" s="9"/>
      <c r="J83" s="10">
        <v>4.8975</v>
      </c>
      <c r="K83" s="117">
        <v>2881128</v>
      </c>
      <c r="L83" s="120">
        <f t="shared" si="23"/>
        <v>316.29465363925789</v>
      </c>
      <c r="M83" s="122">
        <f t="shared" si="20"/>
        <v>5882854.9400000004</v>
      </c>
      <c r="N83" s="116">
        <f t="shared" si="21"/>
        <v>3001726.9400000004</v>
      </c>
      <c r="O83" s="123">
        <f t="shared" si="22"/>
        <v>329.53419036118129</v>
      </c>
      <c r="P83" s="5"/>
      <c r="Q83" s="5">
        <f t="shared" si="17"/>
        <v>1</v>
      </c>
      <c r="R83" s="7">
        <f t="shared" si="18"/>
        <v>9109</v>
      </c>
      <c r="S83" s="5">
        <f t="shared" si="15"/>
        <v>1</v>
      </c>
      <c r="T83" s="7">
        <f t="shared" si="16"/>
        <v>9109</v>
      </c>
    </row>
    <row r="84" spans="1:20">
      <c r="A84" s="23" t="s">
        <v>87</v>
      </c>
      <c r="B84" s="35" t="s">
        <v>84</v>
      </c>
      <c r="C84" s="36">
        <v>638</v>
      </c>
      <c r="D84" s="6"/>
      <c r="E84" s="113">
        <v>33048080</v>
      </c>
      <c r="F84" s="116">
        <f t="shared" si="19"/>
        <v>51799.498432601882</v>
      </c>
      <c r="G84" s="117">
        <v>12634083</v>
      </c>
      <c r="H84" s="117">
        <f t="shared" si="24"/>
        <v>19802.637931034482</v>
      </c>
      <c r="I84" s="9" t="s">
        <v>528</v>
      </c>
      <c r="J84" s="10"/>
      <c r="K84" s="117"/>
      <c r="L84" s="120"/>
      <c r="M84" s="122">
        <f t="shared" si="20"/>
        <v>126340.83</v>
      </c>
      <c r="N84" s="116">
        <f t="shared" si="21"/>
        <v>126340.83</v>
      </c>
      <c r="O84" s="123">
        <f t="shared" si="22"/>
        <v>198.02637931034482</v>
      </c>
      <c r="P84" s="5"/>
      <c r="Q84" s="5">
        <f t="shared" si="17"/>
        <v>1</v>
      </c>
      <c r="R84" s="7">
        <f t="shared" si="18"/>
        <v>638</v>
      </c>
      <c r="S84" s="5">
        <f t="shared" si="15"/>
        <v>0</v>
      </c>
      <c r="T84" s="7">
        <f t="shared" si="16"/>
        <v>0</v>
      </c>
    </row>
    <row r="85" spans="1:20">
      <c r="A85" s="23" t="s">
        <v>88</v>
      </c>
      <c r="B85" s="35" t="s">
        <v>89</v>
      </c>
      <c r="C85" s="36">
        <v>643</v>
      </c>
      <c r="D85" s="6"/>
      <c r="E85" s="113">
        <v>192990344</v>
      </c>
      <c r="F85" s="116">
        <f t="shared" si="19"/>
        <v>300140.50388802489</v>
      </c>
      <c r="G85" s="117">
        <v>138563025</v>
      </c>
      <c r="H85" s="117">
        <f t="shared" si="24"/>
        <v>215494.59564541213</v>
      </c>
      <c r="I85" s="7"/>
      <c r="J85" s="10">
        <v>1.9558</v>
      </c>
      <c r="K85" s="117">
        <v>271002</v>
      </c>
      <c r="L85" s="120">
        <f t="shared" ref="L85:L94" si="25">(K85/C85)</f>
        <v>421.46500777604979</v>
      </c>
      <c r="M85" s="122">
        <f t="shared" si="20"/>
        <v>1385630.25</v>
      </c>
      <c r="N85" s="116">
        <f t="shared" si="21"/>
        <v>1114628.25</v>
      </c>
      <c r="O85" s="123">
        <f t="shared" si="22"/>
        <v>1733.4809486780716</v>
      </c>
      <c r="P85" s="5"/>
      <c r="Q85" s="5">
        <f t="shared" si="17"/>
        <v>1</v>
      </c>
      <c r="R85" s="7">
        <f t="shared" si="18"/>
        <v>643</v>
      </c>
      <c r="S85" s="5">
        <f t="shared" si="15"/>
        <v>1</v>
      </c>
      <c r="T85" s="7">
        <f t="shared" si="16"/>
        <v>643</v>
      </c>
    </row>
    <row r="86" spans="1:20">
      <c r="A86" s="23" t="s">
        <v>90</v>
      </c>
      <c r="B86" s="35" t="s">
        <v>89</v>
      </c>
      <c r="C86" s="36">
        <v>15825</v>
      </c>
      <c r="D86" s="6"/>
      <c r="E86" s="113">
        <v>13819569670</v>
      </c>
      <c r="F86" s="116">
        <f t="shared" si="19"/>
        <v>873274.54470774089</v>
      </c>
      <c r="G86" s="117">
        <v>11553353784</v>
      </c>
      <c r="H86" s="117">
        <f t="shared" si="24"/>
        <v>730069.74938388623</v>
      </c>
      <c r="I86" s="7"/>
      <c r="J86" s="10">
        <v>1.2048000000000001</v>
      </c>
      <c r="K86" s="117">
        <v>13919481</v>
      </c>
      <c r="L86" s="120">
        <f t="shared" si="25"/>
        <v>879.5880568720379</v>
      </c>
      <c r="M86" s="122">
        <f t="shared" si="20"/>
        <v>115533537.84</v>
      </c>
      <c r="N86" s="116">
        <f t="shared" si="21"/>
        <v>101614056.84</v>
      </c>
      <c r="O86" s="123">
        <f t="shared" si="22"/>
        <v>6421.1094369668244</v>
      </c>
      <c r="P86" s="5"/>
      <c r="Q86" s="5">
        <f t="shared" si="17"/>
        <v>1</v>
      </c>
      <c r="R86" s="7">
        <f t="shared" si="18"/>
        <v>15825</v>
      </c>
      <c r="S86" s="5">
        <f t="shared" si="15"/>
        <v>1</v>
      </c>
      <c r="T86" s="7">
        <f t="shared" si="16"/>
        <v>15825</v>
      </c>
    </row>
    <row r="87" spans="1:20">
      <c r="A87" s="23" t="s">
        <v>91</v>
      </c>
      <c r="B87" s="35" t="s">
        <v>89</v>
      </c>
      <c r="C87" s="36">
        <v>23101</v>
      </c>
      <c r="D87" s="6"/>
      <c r="E87" s="113">
        <v>22486719099</v>
      </c>
      <c r="F87" s="116">
        <f t="shared" si="19"/>
        <v>973408.90433314571</v>
      </c>
      <c r="G87" s="117">
        <v>17456888406</v>
      </c>
      <c r="H87" s="117">
        <f t="shared" si="24"/>
        <v>755676.74152634083</v>
      </c>
      <c r="I87" s="9"/>
      <c r="J87" s="11">
        <v>1.0996999999999999</v>
      </c>
      <c r="K87" s="117">
        <v>19197340</v>
      </c>
      <c r="L87" s="120">
        <f t="shared" si="25"/>
        <v>831.01770486126145</v>
      </c>
      <c r="M87" s="122">
        <f t="shared" si="20"/>
        <v>174568884.06</v>
      </c>
      <c r="N87" s="116">
        <f t="shared" si="21"/>
        <v>155371544.06</v>
      </c>
      <c r="O87" s="123">
        <f t="shared" si="22"/>
        <v>6725.7497104021468</v>
      </c>
      <c r="P87" s="5"/>
      <c r="Q87" s="5">
        <f t="shared" si="17"/>
        <v>1</v>
      </c>
      <c r="R87" s="7">
        <f t="shared" si="18"/>
        <v>23101</v>
      </c>
      <c r="S87" s="5">
        <f t="shared" si="15"/>
        <v>1</v>
      </c>
      <c r="T87" s="7">
        <f t="shared" si="16"/>
        <v>23101</v>
      </c>
    </row>
    <row r="88" spans="1:20">
      <c r="A88" s="23" t="s">
        <v>92</v>
      </c>
      <c r="B88" s="35" t="s">
        <v>93</v>
      </c>
      <c r="C88" s="36">
        <v>519</v>
      </c>
      <c r="D88" s="6"/>
      <c r="E88" s="113">
        <v>44084415</v>
      </c>
      <c r="F88" s="116">
        <f t="shared" si="19"/>
        <v>84941.069364161856</v>
      </c>
      <c r="G88" s="117">
        <v>25750761</v>
      </c>
      <c r="H88" s="117">
        <f t="shared" si="24"/>
        <v>49616.109826589593</v>
      </c>
      <c r="I88" s="9"/>
      <c r="J88" s="10">
        <v>3.4434</v>
      </c>
      <c r="K88" s="117">
        <v>88670</v>
      </c>
      <c r="L88" s="120">
        <f t="shared" si="25"/>
        <v>170.84778420038535</v>
      </c>
      <c r="M88" s="122">
        <f t="shared" si="20"/>
        <v>257507.61000000002</v>
      </c>
      <c r="N88" s="116">
        <f t="shared" si="21"/>
        <v>168837.61000000002</v>
      </c>
      <c r="O88" s="123">
        <f t="shared" si="22"/>
        <v>325.31331406551061</v>
      </c>
      <c r="P88" s="5"/>
      <c r="Q88" s="5">
        <f t="shared" si="17"/>
        <v>1</v>
      </c>
      <c r="R88" s="7">
        <f t="shared" si="18"/>
        <v>519</v>
      </c>
      <c r="S88" s="5">
        <f t="shared" si="15"/>
        <v>1</v>
      </c>
      <c r="T88" s="7">
        <f t="shared" si="16"/>
        <v>519</v>
      </c>
    </row>
    <row r="89" spans="1:20">
      <c r="A89" s="23" t="s">
        <v>94</v>
      </c>
      <c r="B89" s="35" t="s">
        <v>93</v>
      </c>
      <c r="C89" s="36">
        <v>11340</v>
      </c>
      <c r="D89" s="6"/>
      <c r="E89" s="113">
        <v>1004576209</v>
      </c>
      <c r="F89" s="116">
        <f t="shared" si="19"/>
        <v>88586.967283950624</v>
      </c>
      <c r="G89" s="117">
        <v>648941391</v>
      </c>
      <c r="H89" s="117">
        <f t="shared" si="24"/>
        <v>57225.87222222222</v>
      </c>
      <c r="I89" s="7"/>
      <c r="J89" s="10">
        <v>3.4434</v>
      </c>
      <c r="K89" s="117">
        <v>2234565</v>
      </c>
      <c r="L89" s="120">
        <f t="shared" si="25"/>
        <v>197.05158730158729</v>
      </c>
      <c r="M89" s="122">
        <f t="shared" si="20"/>
        <v>6489413.9100000001</v>
      </c>
      <c r="N89" s="116">
        <f t="shared" si="21"/>
        <v>4254848.91</v>
      </c>
      <c r="O89" s="123">
        <f t="shared" si="22"/>
        <v>375.20713492063493</v>
      </c>
      <c r="P89" s="5"/>
      <c r="Q89" s="5">
        <f t="shared" si="17"/>
        <v>1</v>
      </c>
      <c r="R89" s="7">
        <f t="shared" si="18"/>
        <v>11340</v>
      </c>
      <c r="S89" s="5">
        <f t="shared" si="15"/>
        <v>1</v>
      </c>
      <c r="T89" s="7">
        <f t="shared" si="16"/>
        <v>11340</v>
      </c>
    </row>
    <row r="90" spans="1:20">
      <c r="A90" s="23" t="s">
        <v>95</v>
      </c>
      <c r="B90" s="35" t="s">
        <v>468</v>
      </c>
      <c r="C90" s="36">
        <v>6617</v>
      </c>
      <c r="D90" s="6"/>
      <c r="E90" s="113">
        <v>453206517</v>
      </c>
      <c r="F90" s="116">
        <f t="shared" si="19"/>
        <v>68491.237267643941</v>
      </c>
      <c r="G90" s="117">
        <v>239759946</v>
      </c>
      <c r="H90" s="117">
        <f t="shared" si="24"/>
        <v>36233.934713616443</v>
      </c>
      <c r="I90" s="8"/>
      <c r="J90" s="10">
        <v>7.5587</v>
      </c>
      <c r="K90" s="117">
        <v>1812274</v>
      </c>
      <c r="L90" s="120">
        <f t="shared" si="25"/>
        <v>273.88151730391417</v>
      </c>
      <c r="M90" s="122">
        <f t="shared" si="20"/>
        <v>2397599.46</v>
      </c>
      <c r="N90" s="116">
        <f t="shared" si="21"/>
        <v>585325.46</v>
      </c>
      <c r="O90" s="123">
        <f t="shared" si="22"/>
        <v>88.457829832250255</v>
      </c>
      <c r="P90" s="5"/>
      <c r="Q90" s="5">
        <f t="shared" si="17"/>
        <v>1</v>
      </c>
      <c r="R90" s="7">
        <f t="shared" si="18"/>
        <v>6617</v>
      </c>
      <c r="S90" s="5">
        <f t="shared" si="15"/>
        <v>1</v>
      </c>
      <c r="T90" s="7">
        <f t="shared" si="16"/>
        <v>6617</v>
      </c>
    </row>
    <row r="91" spans="1:20">
      <c r="A91" s="23" t="s">
        <v>96</v>
      </c>
      <c r="B91" s="35" t="s">
        <v>97</v>
      </c>
      <c r="C91" s="36">
        <v>1756</v>
      </c>
      <c r="D91" s="6"/>
      <c r="E91" s="113">
        <v>71707028</v>
      </c>
      <c r="F91" s="116">
        <f t="shared" si="19"/>
        <v>40835.437357630981</v>
      </c>
      <c r="G91" s="117">
        <v>31031811</v>
      </c>
      <c r="H91" s="117">
        <f t="shared" si="24"/>
        <v>17671.874145785878</v>
      </c>
      <c r="I91" s="8"/>
      <c r="J91" s="10">
        <v>6.1292999999999997</v>
      </c>
      <c r="K91" s="117">
        <v>190203</v>
      </c>
      <c r="L91" s="120">
        <f t="shared" si="25"/>
        <v>108.31605922551253</v>
      </c>
      <c r="M91" s="122">
        <f t="shared" si="20"/>
        <v>310318.11</v>
      </c>
      <c r="N91" s="116">
        <f t="shared" si="21"/>
        <v>120115.10999999999</v>
      </c>
      <c r="O91" s="123">
        <f t="shared" si="22"/>
        <v>68.402682232346237</v>
      </c>
      <c r="P91" s="5"/>
      <c r="Q91" s="5">
        <f t="shared" si="17"/>
        <v>1</v>
      </c>
      <c r="R91" s="7">
        <f t="shared" si="18"/>
        <v>1756</v>
      </c>
      <c r="S91" s="5">
        <f t="shared" si="15"/>
        <v>1</v>
      </c>
      <c r="T91" s="7">
        <f t="shared" si="16"/>
        <v>1756</v>
      </c>
    </row>
    <row r="92" spans="1:20">
      <c r="A92" s="23" t="s">
        <v>98</v>
      </c>
      <c r="B92" s="35" t="s">
        <v>97</v>
      </c>
      <c r="C92" s="36">
        <v>297</v>
      </c>
      <c r="D92" s="6"/>
      <c r="E92" s="113">
        <v>86688540</v>
      </c>
      <c r="F92" s="116">
        <f t="shared" si="19"/>
        <v>291880.60606060608</v>
      </c>
      <c r="G92" s="117">
        <v>73518670</v>
      </c>
      <c r="H92" s="117">
        <f t="shared" si="24"/>
        <v>247537.60942760942</v>
      </c>
      <c r="I92" s="9"/>
      <c r="J92" s="11">
        <v>3</v>
      </c>
      <c r="K92" s="117">
        <v>220556</v>
      </c>
      <c r="L92" s="120">
        <f t="shared" si="25"/>
        <v>742.61279461279457</v>
      </c>
      <c r="M92" s="122">
        <f t="shared" si="20"/>
        <v>735186.70000000007</v>
      </c>
      <c r="N92" s="116">
        <f t="shared" si="21"/>
        <v>514630.70000000007</v>
      </c>
      <c r="O92" s="123">
        <f t="shared" si="22"/>
        <v>1732.7632996632999</v>
      </c>
      <c r="P92" s="5"/>
      <c r="Q92" s="5">
        <f t="shared" si="17"/>
        <v>1</v>
      </c>
      <c r="R92" s="7">
        <f t="shared" si="18"/>
        <v>297</v>
      </c>
      <c r="S92" s="5">
        <f t="shared" si="15"/>
        <v>1</v>
      </c>
      <c r="T92" s="7">
        <f t="shared" si="16"/>
        <v>297</v>
      </c>
    </row>
    <row r="93" spans="1:20">
      <c r="A93" s="23" t="s">
        <v>99</v>
      </c>
      <c r="B93" s="35" t="s">
        <v>100</v>
      </c>
      <c r="C93" s="36">
        <v>13961</v>
      </c>
      <c r="D93" s="6"/>
      <c r="E93" s="113">
        <v>2442374834</v>
      </c>
      <c r="F93" s="116">
        <f t="shared" si="19"/>
        <v>174942.68562423895</v>
      </c>
      <c r="G93" s="117">
        <v>1481387720</v>
      </c>
      <c r="H93" s="117">
        <f t="shared" si="24"/>
        <v>106108.9979227849</v>
      </c>
      <c r="I93" s="9"/>
      <c r="J93" s="10">
        <v>2.9973999999999998</v>
      </c>
      <c r="K93" s="117">
        <v>4440312</v>
      </c>
      <c r="L93" s="120">
        <f t="shared" si="25"/>
        <v>318.05114246830459</v>
      </c>
      <c r="M93" s="122">
        <f t="shared" si="20"/>
        <v>14813877.200000001</v>
      </c>
      <c r="N93" s="116">
        <f t="shared" si="21"/>
        <v>10373565.200000001</v>
      </c>
      <c r="O93" s="123">
        <f t="shared" si="22"/>
        <v>743.03883675954455</v>
      </c>
      <c r="P93" s="5"/>
      <c r="Q93" s="5">
        <f t="shared" si="17"/>
        <v>1</v>
      </c>
      <c r="R93" s="7">
        <f t="shared" si="18"/>
        <v>13961</v>
      </c>
      <c r="S93" s="5">
        <f t="shared" si="15"/>
        <v>1</v>
      </c>
      <c r="T93" s="7">
        <f t="shared" si="16"/>
        <v>13961</v>
      </c>
    </row>
    <row r="94" spans="1:20">
      <c r="A94" s="23" t="s">
        <v>101</v>
      </c>
      <c r="B94" s="35" t="s">
        <v>100</v>
      </c>
      <c r="C94" s="36">
        <v>1601</v>
      </c>
      <c r="D94" s="6"/>
      <c r="E94" s="113">
        <v>88050801</v>
      </c>
      <c r="F94" s="116">
        <f t="shared" si="19"/>
        <v>54997.37726420987</v>
      </c>
      <c r="G94" s="117">
        <v>48031439</v>
      </c>
      <c r="H94" s="117">
        <f t="shared" si="24"/>
        <v>30000.898813241725</v>
      </c>
      <c r="I94" s="9"/>
      <c r="J94" s="10">
        <v>2.4617</v>
      </c>
      <c r="K94" s="117">
        <v>118239</v>
      </c>
      <c r="L94" s="120">
        <f t="shared" si="25"/>
        <v>73.853216739537785</v>
      </c>
      <c r="M94" s="122">
        <f t="shared" si="20"/>
        <v>480314.39</v>
      </c>
      <c r="N94" s="116">
        <f t="shared" si="21"/>
        <v>362075.39</v>
      </c>
      <c r="O94" s="123">
        <f t="shared" si="22"/>
        <v>226.15577139287947</v>
      </c>
      <c r="P94" s="5"/>
      <c r="Q94" s="5">
        <f t="shared" si="17"/>
        <v>1</v>
      </c>
      <c r="R94" s="7">
        <f t="shared" si="18"/>
        <v>1601</v>
      </c>
      <c r="S94" s="5">
        <f t="shared" si="15"/>
        <v>1</v>
      </c>
      <c r="T94" s="7">
        <f t="shared" si="16"/>
        <v>1601</v>
      </c>
    </row>
    <row r="95" spans="1:20">
      <c r="A95" s="23" t="s">
        <v>102</v>
      </c>
      <c r="B95" s="35" t="s">
        <v>100</v>
      </c>
      <c r="C95" s="36">
        <v>852450</v>
      </c>
      <c r="D95" s="36" t="s">
        <v>532</v>
      </c>
      <c r="E95" s="116"/>
      <c r="F95" s="116"/>
      <c r="G95" s="117"/>
      <c r="H95" s="117"/>
      <c r="I95" s="9"/>
      <c r="J95" s="10"/>
      <c r="K95" s="117"/>
      <c r="L95" s="120"/>
      <c r="M95" s="122">
        <f t="shared" si="20"/>
        <v>0</v>
      </c>
      <c r="N95" s="116">
        <f t="shared" si="21"/>
        <v>0</v>
      </c>
      <c r="O95" s="123">
        <f t="shared" si="22"/>
        <v>0</v>
      </c>
      <c r="P95" s="5"/>
      <c r="Q95" s="5">
        <f t="shared" si="17"/>
        <v>0</v>
      </c>
      <c r="R95" s="7">
        <f t="shared" si="18"/>
        <v>0</v>
      </c>
      <c r="S95" s="5">
        <f t="shared" si="15"/>
        <v>0</v>
      </c>
      <c r="T95" s="7">
        <f t="shared" si="16"/>
        <v>0</v>
      </c>
    </row>
    <row r="96" spans="1:20">
      <c r="A96" s="23" t="s">
        <v>103</v>
      </c>
      <c r="B96" s="35" t="s">
        <v>100</v>
      </c>
      <c r="C96" s="36">
        <v>22253</v>
      </c>
      <c r="D96" s="6"/>
      <c r="E96" s="113">
        <v>4447367111</v>
      </c>
      <c r="F96" s="116">
        <f t="shared" ref="F96:F159" si="26">(E96/C96)</f>
        <v>199854.7212061295</v>
      </c>
      <c r="G96" s="117">
        <v>3178566339</v>
      </c>
      <c r="H96" s="117">
        <f t="shared" ref="H96:H159" si="27">(G96/C96)</f>
        <v>142837.65510268279</v>
      </c>
      <c r="I96" s="9"/>
      <c r="J96" s="10">
        <v>3.6556000000000002</v>
      </c>
      <c r="K96" s="117">
        <v>11619567</v>
      </c>
      <c r="L96" s="120">
        <f t="shared" ref="L96:L116" si="28">(K96/C96)</f>
        <v>522.1573271019638</v>
      </c>
      <c r="M96" s="122">
        <f t="shared" si="20"/>
        <v>31785663.390000001</v>
      </c>
      <c r="N96" s="116">
        <f t="shared" si="21"/>
        <v>20166096.390000001</v>
      </c>
      <c r="O96" s="123">
        <f t="shared" si="22"/>
        <v>906.21922392486408</v>
      </c>
      <c r="P96" s="5"/>
      <c r="Q96" s="5">
        <f t="shared" si="17"/>
        <v>1</v>
      </c>
      <c r="R96" s="7">
        <f t="shared" si="18"/>
        <v>22253</v>
      </c>
      <c r="S96" s="5">
        <f t="shared" si="15"/>
        <v>1</v>
      </c>
      <c r="T96" s="7">
        <f t="shared" si="16"/>
        <v>22253</v>
      </c>
    </row>
    <row r="97" spans="1:20">
      <c r="A97" s="23" t="s">
        <v>104</v>
      </c>
      <c r="B97" s="35" t="s">
        <v>100</v>
      </c>
      <c r="C97" s="36">
        <v>7332</v>
      </c>
      <c r="D97" s="6"/>
      <c r="E97" s="113">
        <v>1184645679</v>
      </c>
      <c r="F97" s="116">
        <f t="shared" si="26"/>
        <v>161571.9693126023</v>
      </c>
      <c r="G97" s="117">
        <v>761354181</v>
      </c>
      <c r="H97" s="117">
        <f t="shared" si="27"/>
        <v>103839.90466448445</v>
      </c>
      <c r="I97" s="7"/>
      <c r="J97" s="10">
        <v>2.6459999999999999</v>
      </c>
      <c r="K97" s="117">
        <v>2014543</v>
      </c>
      <c r="L97" s="120">
        <f t="shared" si="28"/>
        <v>274.76036552100379</v>
      </c>
      <c r="M97" s="122">
        <f t="shared" si="20"/>
        <v>7613541.8100000005</v>
      </c>
      <c r="N97" s="116">
        <f t="shared" si="21"/>
        <v>5598998.8100000005</v>
      </c>
      <c r="O97" s="123">
        <f t="shared" si="22"/>
        <v>763.6386811238408</v>
      </c>
      <c r="P97" s="5"/>
      <c r="Q97" s="5">
        <f t="shared" si="17"/>
        <v>1</v>
      </c>
      <c r="R97" s="7">
        <f t="shared" si="18"/>
        <v>7332</v>
      </c>
      <c r="S97" s="5">
        <f t="shared" si="15"/>
        <v>1</v>
      </c>
      <c r="T97" s="7">
        <f t="shared" si="16"/>
        <v>7332</v>
      </c>
    </row>
    <row r="98" spans="1:20">
      <c r="A98" s="23" t="s">
        <v>105</v>
      </c>
      <c r="B98" s="35" t="s">
        <v>106</v>
      </c>
      <c r="C98" s="36">
        <v>1670</v>
      </c>
      <c r="D98" s="6"/>
      <c r="E98" s="113">
        <v>59077039</v>
      </c>
      <c r="F98" s="116">
        <f t="shared" si="26"/>
        <v>35375.472455089817</v>
      </c>
      <c r="G98" s="117">
        <v>34204282</v>
      </c>
      <c r="H98" s="117">
        <f t="shared" si="27"/>
        <v>20481.605988023952</v>
      </c>
      <c r="I98" s="7"/>
      <c r="J98" s="10">
        <v>0.78100000000000003</v>
      </c>
      <c r="K98" s="117">
        <v>26714</v>
      </c>
      <c r="L98" s="120">
        <f t="shared" si="28"/>
        <v>15.996407185628742</v>
      </c>
      <c r="M98" s="122">
        <f t="shared" si="20"/>
        <v>342042.82</v>
      </c>
      <c r="N98" s="116">
        <f t="shared" si="21"/>
        <v>315328.82</v>
      </c>
      <c r="O98" s="123">
        <f t="shared" si="22"/>
        <v>188.8196526946108</v>
      </c>
      <c r="P98" s="5"/>
      <c r="Q98" s="5">
        <f t="shared" si="17"/>
        <v>1</v>
      </c>
      <c r="R98" s="7">
        <f t="shared" si="18"/>
        <v>1670</v>
      </c>
      <c r="S98" s="5">
        <f t="shared" si="15"/>
        <v>1</v>
      </c>
      <c r="T98" s="7">
        <f t="shared" si="16"/>
        <v>1670</v>
      </c>
    </row>
    <row r="99" spans="1:20">
      <c r="A99" s="23" t="s">
        <v>107</v>
      </c>
      <c r="B99" s="35" t="s">
        <v>106</v>
      </c>
      <c r="C99" s="36">
        <v>55024</v>
      </c>
      <c r="D99" s="6"/>
      <c r="E99" s="113">
        <v>5303222507</v>
      </c>
      <c r="F99" s="116">
        <f t="shared" si="26"/>
        <v>96380.170598284385</v>
      </c>
      <c r="G99" s="117">
        <v>3367717473</v>
      </c>
      <c r="H99" s="117">
        <f t="shared" si="27"/>
        <v>61204.519355190459</v>
      </c>
      <c r="I99" s="7"/>
      <c r="J99" s="10">
        <v>4.5979999999999999</v>
      </c>
      <c r="K99" s="117">
        <v>15484765</v>
      </c>
      <c r="L99" s="120">
        <f t="shared" si="28"/>
        <v>281.41838107007851</v>
      </c>
      <c r="M99" s="122">
        <f t="shared" si="20"/>
        <v>33677174.730000004</v>
      </c>
      <c r="N99" s="116">
        <f t="shared" si="21"/>
        <v>18192409.730000004</v>
      </c>
      <c r="O99" s="123">
        <f t="shared" si="22"/>
        <v>330.62681248182616</v>
      </c>
      <c r="P99" s="5"/>
      <c r="Q99" s="5">
        <f t="shared" si="17"/>
        <v>1</v>
      </c>
      <c r="R99" s="7">
        <f t="shared" si="18"/>
        <v>55024</v>
      </c>
      <c r="S99" s="5">
        <f t="shared" si="15"/>
        <v>1</v>
      </c>
      <c r="T99" s="7">
        <f t="shared" si="16"/>
        <v>55024</v>
      </c>
    </row>
    <row r="100" spans="1:20">
      <c r="A100" s="23" t="s">
        <v>108</v>
      </c>
      <c r="B100" s="35" t="s">
        <v>109</v>
      </c>
      <c r="C100" s="36">
        <v>509</v>
      </c>
      <c r="D100" s="6"/>
      <c r="E100" s="113">
        <v>103959361</v>
      </c>
      <c r="F100" s="116">
        <f t="shared" si="26"/>
        <v>204242.35952848723</v>
      </c>
      <c r="G100" s="117">
        <v>84518695</v>
      </c>
      <c r="H100" s="117">
        <f t="shared" si="27"/>
        <v>166048.5166994106</v>
      </c>
      <c r="I100" s="7"/>
      <c r="J100" s="10">
        <v>2.0455999999999999</v>
      </c>
      <c r="K100" s="117">
        <v>172891</v>
      </c>
      <c r="L100" s="120">
        <f t="shared" si="28"/>
        <v>339.66797642436148</v>
      </c>
      <c r="M100" s="122">
        <f t="shared" si="20"/>
        <v>845186.95000000007</v>
      </c>
      <c r="N100" s="116">
        <f t="shared" si="21"/>
        <v>672295.95000000007</v>
      </c>
      <c r="O100" s="123">
        <f t="shared" si="22"/>
        <v>1320.8171905697448</v>
      </c>
      <c r="P100" s="5"/>
      <c r="Q100" s="5">
        <f t="shared" si="17"/>
        <v>1</v>
      </c>
      <c r="R100" s="7">
        <f t="shared" si="18"/>
        <v>509</v>
      </c>
      <c r="S100" s="5">
        <f t="shared" si="15"/>
        <v>1</v>
      </c>
      <c r="T100" s="7">
        <f t="shared" si="16"/>
        <v>509</v>
      </c>
    </row>
    <row r="101" spans="1:20">
      <c r="A101" s="23" t="s">
        <v>110</v>
      </c>
      <c r="B101" s="35" t="s">
        <v>109</v>
      </c>
      <c r="C101" s="36">
        <v>2394</v>
      </c>
      <c r="D101" s="6"/>
      <c r="E101" s="113">
        <v>488423274</v>
      </c>
      <c r="F101" s="116">
        <f t="shared" si="26"/>
        <v>204019.74686716791</v>
      </c>
      <c r="G101" s="117">
        <v>250677713</v>
      </c>
      <c r="H101" s="117">
        <f t="shared" si="27"/>
        <v>104710.82414369256</v>
      </c>
      <c r="I101" s="7"/>
      <c r="J101" s="10">
        <v>5.8216000000000001</v>
      </c>
      <c r="K101" s="117">
        <v>1459345</v>
      </c>
      <c r="L101" s="120">
        <f t="shared" si="28"/>
        <v>609.58437761069342</v>
      </c>
      <c r="M101" s="122">
        <f t="shared" si="20"/>
        <v>2506777.13</v>
      </c>
      <c r="N101" s="116">
        <f t="shared" si="21"/>
        <v>1047432.1299999999</v>
      </c>
      <c r="O101" s="123">
        <f t="shared" si="22"/>
        <v>437.52386382623217</v>
      </c>
      <c r="P101" s="5"/>
      <c r="Q101" s="5">
        <f t="shared" si="17"/>
        <v>1</v>
      </c>
      <c r="R101" s="7">
        <f t="shared" si="18"/>
        <v>2394</v>
      </c>
      <c r="S101" s="5">
        <f t="shared" si="15"/>
        <v>1</v>
      </c>
      <c r="T101" s="7">
        <f t="shared" si="16"/>
        <v>2394</v>
      </c>
    </row>
    <row r="102" spans="1:20">
      <c r="A102" s="23" t="s">
        <v>447</v>
      </c>
      <c r="B102" s="35" t="s">
        <v>109</v>
      </c>
      <c r="C102" s="36">
        <v>70376</v>
      </c>
      <c r="D102" s="6"/>
      <c r="E102" s="113">
        <v>9360302524</v>
      </c>
      <c r="F102" s="116">
        <f t="shared" si="26"/>
        <v>133004.18500625214</v>
      </c>
      <c r="G102" s="117">
        <v>7009877421</v>
      </c>
      <c r="H102" s="117">
        <f t="shared" si="27"/>
        <v>99606.079075252928</v>
      </c>
      <c r="I102" s="9"/>
      <c r="J102" s="10">
        <v>2.9622999999999999</v>
      </c>
      <c r="K102" s="117">
        <v>20765640</v>
      </c>
      <c r="L102" s="120">
        <f t="shared" si="28"/>
        <v>295.06706831874504</v>
      </c>
      <c r="M102" s="122">
        <f t="shared" si="20"/>
        <v>70098774.210000008</v>
      </c>
      <c r="N102" s="116">
        <f t="shared" si="21"/>
        <v>49333134.210000008</v>
      </c>
      <c r="O102" s="123">
        <f t="shared" si="22"/>
        <v>700.99372243378434</v>
      </c>
      <c r="P102" s="5"/>
      <c r="Q102" s="5">
        <f t="shared" si="17"/>
        <v>1</v>
      </c>
      <c r="R102" s="7">
        <f t="shared" si="18"/>
        <v>70376</v>
      </c>
      <c r="S102" s="5">
        <f t="shared" si="15"/>
        <v>1</v>
      </c>
      <c r="T102" s="7">
        <f t="shared" si="16"/>
        <v>70376</v>
      </c>
    </row>
    <row r="103" spans="1:20">
      <c r="A103" s="23" t="s">
        <v>111</v>
      </c>
      <c r="B103" s="35" t="s">
        <v>557</v>
      </c>
      <c r="C103" s="36">
        <v>10</v>
      </c>
      <c r="D103" s="6"/>
      <c r="E103" s="113">
        <v>53827033</v>
      </c>
      <c r="F103" s="116">
        <f t="shared" si="26"/>
        <v>5382703.2999999998</v>
      </c>
      <c r="G103" s="117">
        <v>21448436</v>
      </c>
      <c r="H103" s="117">
        <f t="shared" si="27"/>
        <v>2144843.6</v>
      </c>
      <c r="I103" s="7"/>
      <c r="J103" s="10">
        <v>1.5995999999999999</v>
      </c>
      <c r="K103" s="117">
        <v>34309</v>
      </c>
      <c r="L103" s="120">
        <f t="shared" si="28"/>
        <v>3430.9</v>
      </c>
      <c r="M103" s="122">
        <f t="shared" si="20"/>
        <v>214484.36000000002</v>
      </c>
      <c r="N103" s="116">
        <f t="shared" si="21"/>
        <v>180175.36000000002</v>
      </c>
      <c r="O103" s="123">
        <f t="shared" si="22"/>
        <v>18017.536</v>
      </c>
      <c r="P103" s="5"/>
      <c r="Q103" s="5">
        <f t="shared" si="17"/>
        <v>1</v>
      </c>
      <c r="R103" s="7">
        <f t="shared" si="18"/>
        <v>10</v>
      </c>
      <c r="S103" s="5">
        <f t="shared" si="15"/>
        <v>1</v>
      </c>
      <c r="T103" s="7">
        <f t="shared" si="16"/>
        <v>10</v>
      </c>
    </row>
    <row r="104" spans="1:20">
      <c r="A104" s="23" t="s">
        <v>112</v>
      </c>
      <c r="B104" s="35" t="s">
        <v>113</v>
      </c>
      <c r="C104" s="36">
        <v>5477</v>
      </c>
      <c r="D104" s="6"/>
      <c r="E104" s="113">
        <f>(1288026717+19245809)</f>
        <v>1307272526</v>
      </c>
      <c r="F104" s="116">
        <f t="shared" si="26"/>
        <v>238684.04710607996</v>
      </c>
      <c r="G104" s="117">
        <f>(931766834+13579878)</f>
        <v>945346712</v>
      </c>
      <c r="H104" s="117">
        <f t="shared" si="27"/>
        <v>172603.01478911814</v>
      </c>
      <c r="I104" s="7"/>
      <c r="J104" s="10">
        <v>2.6789999999999998</v>
      </c>
      <c r="K104" s="117">
        <f>(2496203+35878)</f>
        <v>2532081</v>
      </c>
      <c r="L104" s="120">
        <f t="shared" si="28"/>
        <v>462.3116669709695</v>
      </c>
      <c r="M104" s="122">
        <f t="shared" si="20"/>
        <v>9453467.120000001</v>
      </c>
      <c r="N104" s="116">
        <f t="shared" si="21"/>
        <v>6921386.120000001</v>
      </c>
      <c r="O104" s="123">
        <f t="shared" si="22"/>
        <v>1263.718480920212</v>
      </c>
      <c r="P104" s="5"/>
      <c r="Q104" s="5">
        <f t="shared" si="17"/>
        <v>1</v>
      </c>
      <c r="R104" s="7">
        <f t="shared" si="18"/>
        <v>5477</v>
      </c>
      <c r="S104" s="5">
        <f t="shared" si="15"/>
        <v>1</v>
      </c>
      <c r="T104" s="7">
        <f t="shared" si="16"/>
        <v>5477</v>
      </c>
    </row>
    <row r="105" spans="1:20">
      <c r="A105" s="23" t="s">
        <v>114</v>
      </c>
      <c r="B105" s="35" t="s">
        <v>115</v>
      </c>
      <c r="C105" s="36">
        <v>2499</v>
      </c>
      <c r="D105" s="6"/>
      <c r="E105" s="113">
        <v>396536882</v>
      </c>
      <c r="F105" s="116">
        <f t="shared" si="26"/>
        <v>158678.22408963586</v>
      </c>
      <c r="G105" s="117">
        <v>227675057</v>
      </c>
      <c r="H105" s="117">
        <f t="shared" si="27"/>
        <v>91106.465386154465</v>
      </c>
      <c r="I105" s="7"/>
      <c r="J105" s="11">
        <v>5.78</v>
      </c>
      <c r="K105" s="117">
        <v>1315962</v>
      </c>
      <c r="L105" s="120">
        <f t="shared" si="28"/>
        <v>526.59543817527015</v>
      </c>
      <c r="M105" s="122">
        <f t="shared" si="20"/>
        <v>2276750.5699999998</v>
      </c>
      <c r="N105" s="116">
        <f t="shared" si="21"/>
        <v>960788.56999999983</v>
      </c>
      <c r="O105" s="123">
        <f t="shared" si="22"/>
        <v>384.46921568627442</v>
      </c>
      <c r="P105" s="5"/>
      <c r="Q105" s="5">
        <f t="shared" si="17"/>
        <v>1</v>
      </c>
      <c r="R105" s="7">
        <f t="shared" si="18"/>
        <v>2499</v>
      </c>
      <c r="S105" s="5">
        <f t="shared" si="15"/>
        <v>1</v>
      </c>
      <c r="T105" s="7">
        <f t="shared" si="16"/>
        <v>2499</v>
      </c>
    </row>
    <row r="106" spans="1:20">
      <c r="A106" s="23" t="s">
        <v>116</v>
      </c>
      <c r="B106" s="35" t="s">
        <v>115</v>
      </c>
      <c r="C106" s="36">
        <v>1324</v>
      </c>
      <c r="D106" s="6"/>
      <c r="E106" s="113">
        <v>368909289</v>
      </c>
      <c r="F106" s="116">
        <f t="shared" si="26"/>
        <v>278632.3935045317</v>
      </c>
      <c r="G106" s="117">
        <v>297455255</v>
      </c>
      <c r="H106" s="117">
        <f t="shared" si="27"/>
        <v>224664.08987915408</v>
      </c>
      <c r="I106" s="7"/>
      <c r="J106" s="10">
        <v>4.218</v>
      </c>
      <c r="K106" s="117">
        <v>1254666</v>
      </c>
      <c r="L106" s="120">
        <f t="shared" si="28"/>
        <v>947.63293051359517</v>
      </c>
      <c r="M106" s="122">
        <f t="shared" si="20"/>
        <v>2974552.5500000003</v>
      </c>
      <c r="N106" s="116">
        <f t="shared" si="21"/>
        <v>1719886.5500000003</v>
      </c>
      <c r="O106" s="123">
        <f t="shared" si="22"/>
        <v>1299.0079682779458</v>
      </c>
      <c r="P106" s="5"/>
      <c r="Q106" s="5">
        <f t="shared" si="17"/>
        <v>1</v>
      </c>
      <c r="R106" s="7">
        <f t="shared" si="18"/>
        <v>1324</v>
      </c>
      <c r="S106" s="5">
        <f t="shared" si="15"/>
        <v>1</v>
      </c>
      <c r="T106" s="7">
        <f t="shared" si="16"/>
        <v>1324</v>
      </c>
    </row>
    <row r="107" spans="1:20">
      <c r="A107" s="23" t="s">
        <v>117</v>
      </c>
      <c r="B107" s="35" t="s">
        <v>118</v>
      </c>
      <c r="C107" s="36">
        <v>3720</v>
      </c>
      <c r="D107" s="6"/>
      <c r="E107" s="113">
        <v>238149723</v>
      </c>
      <c r="F107" s="116">
        <f t="shared" si="26"/>
        <v>64018.742741935486</v>
      </c>
      <c r="G107" s="117">
        <v>38979692</v>
      </c>
      <c r="H107" s="117">
        <f t="shared" si="27"/>
        <v>10478.411827956988</v>
      </c>
      <c r="I107" s="7"/>
      <c r="J107" s="10">
        <v>0.73919999999999997</v>
      </c>
      <c r="K107" s="117">
        <v>28814</v>
      </c>
      <c r="L107" s="120">
        <f t="shared" si="28"/>
        <v>7.7456989247311832</v>
      </c>
      <c r="M107" s="122">
        <f t="shared" si="20"/>
        <v>389796.92</v>
      </c>
      <c r="N107" s="116">
        <f t="shared" si="21"/>
        <v>360982.92</v>
      </c>
      <c r="O107" s="123">
        <f t="shared" si="22"/>
        <v>97.038419354838709</v>
      </c>
      <c r="P107" s="5"/>
      <c r="Q107" s="5">
        <f t="shared" si="17"/>
        <v>1</v>
      </c>
      <c r="R107" s="7">
        <f t="shared" si="18"/>
        <v>3720</v>
      </c>
      <c r="S107" s="5">
        <f t="shared" si="15"/>
        <v>1</v>
      </c>
      <c r="T107" s="7">
        <f t="shared" si="16"/>
        <v>3720</v>
      </c>
    </row>
    <row r="108" spans="1:20">
      <c r="A108" s="23" t="s">
        <v>119</v>
      </c>
      <c r="B108" s="35" t="s">
        <v>118</v>
      </c>
      <c r="C108" s="36">
        <v>634</v>
      </c>
      <c r="D108" s="6"/>
      <c r="E108" s="113">
        <v>18611526</v>
      </c>
      <c r="F108" s="116">
        <f t="shared" si="26"/>
        <v>29355.719242902207</v>
      </c>
      <c r="G108" s="117">
        <v>9554339</v>
      </c>
      <c r="H108" s="117">
        <f t="shared" si="27"/>
        <v>15069.935331230285</v>
      </c>
      <c r="I108" s="7"/>
      <c r="J108" s="10">
        <v>3</v>
      </c>
      <c r="K108" s="117">
        <v>28663</v>
      </c>
      <c r="L108" s="120">
        <f t="shared" si="28"/>
        <v>45.209779179810724</v>
      </c>
      <c r="M108" s="122">
        <f t="shared" si="20"/>
        <v>95543.39</v>
      </c>
      <c r="N108" s="116">
        <f t="shared" si="21"/>
        <v>66880.39</v>
      </c>
      <c r="O108" s="123">
        <f t="shared" si="22"/>
        <v>105.48957413249211</v>
      </c>
      <c r="P108" s="5"/>
      <c r="Q108" s="5">
        <f t="shared" si="17"/>
        <v>1</v>
      </c>
      <c r="R108" s="7">
        <f t="shared" si="18"/>
        <v>634</v>
      </c>
      <c r="S108" s="5">
        <f t="shared" si="15"/>
        <v>1</v>
      </c>
      <c r="T108" s="7">
        <f t="shared" si="16"/>
        <v>634</v>
      </c>
    </row>
    <row r="109" spans="1:20">
      <c r="A109" s="23" t="s">
        <v>120</v>
      </c>
      <c r="B109" s="35" t="s">
        <v>118</v>
      </c>
      <c r="C109" s="36">
        <v>1714</v>
      </c>
      <c r="D109" s="6"/>
      <c r="E109" s="113">
        <v>30919010</v>
      </c>
      <c r="F109" s="116">
        <f t="shared" si="26"/>
        <v>18039.09568261377</v>
      </c>
      <c r="G109" s="117">
        <v>12511074</v>
      </c>
      <c r="H109" s="117">
        <f t="shared" si="27"/>
        <v>7299.3430571761965</v>
      </c>
      <c r="I109" s="7"/>
      <c r="J109" s="10">
        <v>3.93</v>
      </c>
      <c r="K109" s="117">
        <v>49169</v>
      </c>
      <c r="L109" s="120">
        <f t="shared" si="28"/>
        <v>28.686697782963826</v>
      </c>
      <c r="M109" s="122">
        <f t="shared" si="20"/>
        <v>125110.74</v>
      </c>
      <c r="N109" s="116">
        <f t="shared" si="21"/>
        <v>75941.740000000005</v>
      </c>
      <c r="O109" s="123">
        <f t="shared" si="22"/>
        <v>44.306732788798136</v>
      </c>
      <c r="P109" s="5"/>
      <c r="Q109" s="5">
        <f t="shared" si="17"/>
        <v>1</v>
      </c>
      <c r="R109" s="7">
        <f t="shared" si="18"/>
        <v>1714</v>
      </c>
      <c r="S109" s="5">
        <f t="shared" si="15"/>
        <v>1</v>
      </c>
      <c r="T109" s="7">
        <f t="shared" si="16"/>
        <v>1714</v>
      </c>
    </row>
    <row r="110" spans="1:20">
      <c r="A110" s="23" t="s">
        <v>121</v>
      </c>
      <c r="B110" s="35" t="s">
        <v>118</v>
      </c>
      <c r="C110" s="36">
        <v>1778</v>
      </c>
      <c r="D110" s="6"/>
      <c r="E110" s="113">
        <v>105349113</v>
      </c>
      <c r="F110" s="116">
        <f t="shared" si="26"/>
        <v>59251.469628796403</v>
      </c>
      <c r="G110" s="117">
        <v>71977106</v>
      </c>
      <c r="H110" s="117">
        <f t="shared" si="27"/>
        <v>40482.061867266595</v>
      </c>
      <c r="I110" s="7"/>
      <c r="J110" s="10">
        <v>1.635</v>
      </c>
      <c r="K110" s="117">
        <v>117683</v>
      </c>
      <c r="L110" s="120">
        <f t="shared" si="28"/>
        <v>66.188413948256468</v>
      </c>
      <c r="M110" s="122">
        <f t="shared" si="20"/>
        <v>719771.06</v>
      </c>
      <c r="N110" s="116">
        <f t="shared" si="21"/>
        <v>602088.06000000006</v>
      </c>
      <c r="O110" s="123">
        <f t="shared" si="22"/>
        <v>338.63220472440946</v>
      </c>
      <c r="P110" s="5"/>
      <c r="Q110" s="5">
        <f t="shared" si="17"/>
        <v>1</v>
      </c>
      <c r="R110" s="7">
        <f t="shared" si="18"/>
        <v>1778</v>
      </c>
      <c r="S110" s="5">
        <f t="shared" si="15"/>
        <v>1</v>
      </c>
      <c r="T110" s="7">
        <f t="shared" si="16"/>
        <v>1778</v>
      </c>
    </row>
    <row r="111" spans="1:20">
      <c r="A111" s="23" t="s">
        <v>122</v>
      </c>
      <c r="B111" s="35" t="s">
        <v>118</v>
      </c>
      <c r="C111" s="36">
        <v>1771</v>
      </c>
      <c r="D111" s="6"/>
      <c r="E111" s="113">
        <v>147435544</v>
      </c>
      <c r="F111" s="116">
        <f t="shared" si="26"/>
        <v>83249.883681535852</v>
      </c>
      <c r="G111" s="117">
        <v>116661264</v>
      </c>
      <c r="H111" s="117">
        <f t="shared" si="27"/>
        <v>65873.102202145674</v>
      </c>
      <c r="I111" s="7"/>
      <c r="J111" s="10">
        <v>2.3096999999999999</v>
      </c>
      <c r="K111" s="117">
        <v>269453</v>
      </c>
      <c r="L111" s="120">
        <f t="shared" si="28"/>
        <v>152.14737436476568</v>
      </c>
      <c r="M111" s="122">
        <f t="shared" si="20"/>
        <v>1166612.6400000001</v>
      </c>
      <c r="N111" s="116">
        <f t="shared" si="21"/>
        <v>897159.64000000013</v>
      </c>
      <c r="O111" s="123">
        <f t="shared" si="22"/>
        <v>506.5836476566912</v>
      </c>
      <c r="P111" s="5"/>
      <c r="Q111" s="5">
        <f t="shared" si="17"/>
        <v>1</v>
      </c>
      <c r="R111" s="7">
        <f t="shared" si="18"/>
        <v>1771</v>
      </c>
      <c r="S111" s="5">
        <f t="shared" si="15"/>
        <v>1</v>
      </c>
      <c r="T111" s="7">
        <f t="shared" si="16"/>
        <v>1771</v>
      </c>
    </row>
    <row r="112" spans="1:20">
      <c r="A112" s="23" t="s">
        <v>123</v>
      </c>
      <c r="B112" s="35" t="s">
        <v>118</v>
      </c>
      <c r="C112" s="36">
        <v>7436</v>
      </c>
      <c r="D112" s="6"/>
      <c r="E112" s="113">
        <v>452676498</v>
      </c>
      <c r="F112" s="116">
        <f t="shared" si="26"/>
        <v>60876.344540075312</v>
      </c>
      <c r="G112" s="117">
        <v>243774847</v>
      </c>
      <c r="H112" s="117">
        <f t="shared" si="27"/>
        <v>32783.061726734806</v>
      </c>
      <c r="I112" s="9"/>
      <c r="J112" s="10">
        <v>2.75</v>
      </c>
      <c r="K112" s="117">
        <v>670381</v>
      </c>
      <c r="L112" s="120">
        <f t="shared" si="28"/>
        <v>90.153442711135014</v>
      </c>
      <c r="M112" s="122">
        <f t="shared" si="20"/>
        <v>2437748.4700000002</v>
      </c>
      <c r="N112" s="116">
        <f t="shared" si="21"/>
        <v>1767367.4700000002</v>
      </c>
      <c r="O112" s="123">
        <f t="shared" si="22"/>
        <v>237.67717455621303</v>
      </c>
      <c r="P112" s="5"/>
      <c r="Q112" s="5">
        <f t="shared" si="17"/>
        <v>1</v>
      </c>
      <c r="R112" s="7">
        <f t="shared" si="18"/>
        <v>7436</v>
      </c>
      <c r="S112" s="5">
        <f t="shared" si="15"/>
        <v>1</v>
      </c>
      <c r="T112" s="7">
        <f t="shared" si="16"/>
        <v>7436</v>
      </c>
    </row>
    <row r="113" spans="1:20">
      <c r="A113" s="23" t="s">
        <v>124</v>
      </c>
      <c r="B113" s="35" t="s">
        <v>125</v>
      </c>
      <c r="C113" s="36">
        <v>452</v>
      </c>
      <c r="D113" s="6"/>
      <c r="E113" s="113">
        <v>43279587</v>
      </c>
      <c r="F113" s="116">
        <f t="shared" si="26"/>
        <v>95751.298672566365</v>
      </c>
      <c r="G113" s="117">
        <v>18212347</v>
      </c>
      <c r="H113" s="117">
        <f t="shared" si="27"/>
        <v>40292.803097345131</v>
      </c>
      <c r="I113" s="9"/>
      <c r="J113" s="10">
        <v>1.6</v>
      </c>
      <c r="K113" s="117">
        <v>29140</v>
      </c>
      <c r="L113" s="120">
        <f t="shared" si="28"/>
        <v>64.469026548672559</v>
      </c>
      <c r="M113" s="122">
        <f t="shared" si="20"/>
        <v>182123.47</v>
      </c>
      <c r="N113" s="116">
        <f t="shared" si="21"/>
        <v>152983.47</v>
      </c>
      <c r="O113" s="123">
        <f t="shared" si="22"/>
        <v>338.45900442477875</v>
      </c>
      <c r="P113" s="5"/>
      <c r="Q113" s="5">
        <f t="shared" si="17"/>
        <v>1</v>
      </c>
      <c r="R113" s="7">
        <f t="shared" si="18"/>
        <v>452</v>
      </c>
      <c r="S113" s="5">
        <f t="shared" si="15"/>
        <v>1</v>
      </c>
      <c r="T113" s="7">
        <f t="shared" si="16"/>
        <v>452</v>
      </c>
    </row>
    <row r="114" spans="1:20">
      <c r="A114" s="23" t="s">
        <v>126</v>
      </c>
      <c r="B114" s="35" t="s">
        <v>125</v>
      </c>
      <c r="C114" s="36">
        <v>1690</v>
      </c>
      <c r="D114" s="6"/>
      <c r="E114" s="113">
        <v>113589544</v>
      </c>
      <c r="F114" s="116">
        <f t="shared" si="26"/>
        <v>67212.747928994082</v>
      </c>
      <c r="G114" s="117">
        <v>54606734</v>
      </c>
      <c r="H114" s="117">
        <f t="shared" si="27"/>
        <v>32311.676923076924</v>
      </c>
      <c r="I114" s="9"/>
      <c r="J114" s="11">
        <v>3</v>
      </c>
      <c r="K114" s="117">
        <v>163820</v>
      </c>
      <c r="L114" s="120">
        <f t="shared" si="28"/>
        <v>96.934911242603548</v>
      </c>
      <c r="M114" s="122">
        <f t="shared" si="20"/>
        <v>546067.34</v>
      </c>
      <c r="N114" s="116">
        <f t="shared" si="21"/>
        <v>382247.33999999997</v>
      </c>
      <c r="O114" s="123">
        <f t="shared" si="22"/>
        <v>226.18185798816566</v>
      </c>
      <c r="P114" s="5"/>
      <c r="Q114" s="5">
        <f t="shared" si="17"/>
        <v>1</v>
      </c>
      <c r="R114" s="7">
        <f t="shared" si="18"/>
        <v>1690</v>
      </c>
      <c r="S114" s="5">
        <f t="shared" si="15"/>
        <v>1</v>
      </c>
      <c r="T114" s="7">
        <f t="shared" si="16"/>
        <v>1690</v>
      </c>
    </row>
    <row r="115" spans="1:20">
      <c r="A115" s="23" t="s">
        <v>127</v>
      </c>
      <c r="B115" s="35" t="s">
        <v>128</v>
      </c>
      <c r="C115" s="36">
        <v>946</v>
      </c>
      <c r="D115" s="6"/>
      <c r="E115" s="113">
        <f>(27623794+41518675)</f>
        <v>69142469</v>
      </c>
      <c r="F115" s="116">
        <f t="shared" si="26"/>
        <v>73089.290697674413</v>
      </c>
      <c r="G115" s="117">
        <f>(22680764+28071580)</f>
        <v>50752344</v>
      </c>
      <c r="H115" s="117">
        <f t="shared" si="27"/>
        <v>53649.412262156446</v>
      </c>
      <c r="I115" s="7"/>
      <c r="J115" s="11">
        <v>2</v>
      </c>
      <c r="K115" s="117">
        <f>(45362+56143)</f>
        <v>101505</v>
      </c>
      <c r="L115" s="120">
        <f t="shared" si="28"/>
        <v>107.29915433403805</v>
      </c>
      <c r="M115" s="122">
        <f t="shared" si="20"/>
        <v>507523.44</v>
      </c>
      <c r="N115" s="116">
        <f t="shared" si="21"/>
        <v>406018.44</v>
      </c>
      <c r="O115" s="123">
        <f t="shared" si="22"/>
        <v>429.19496828752642</v>
      </c>
      <c r="P115" s="5"/>
      <c r="Q115" s="5">
        <f t="shared" si="17"/>
        <v>1</v>
      </c>
      <c r="R115" s="7">
        <f t="shared" si="18"/>
        <v>946</v>
      </c>
      <c r="S115" s="5">
        <f t="shared" si="15"/>
        <v>1</v>
      </c>
      <c r="T115" s="7">
        <f t="shared" si="16"/>
        <v>946</v>
      </c>
    </row>
    <row r="116" spans="1:20">
      <c r="A116" s="23" t="s">
        <v>129</v>
      </c>
      <c r="B116" s="35" t="s">
        <v>130</v>
      </c>
      <c r="C116" s="36">
        <v>1636</v>
      </c>
      <c r="D116" s="6"/>
      <c r="E116" s="113">
        <v>108371545</v>
      </c>
      <c r="F116" s="116">
        <f t="shared" si="26"/>
        <v>66241.775672371645</v>
      </c>
      <c r="G116" s="117">
        <v>56882790</v>
      </c>
      <c r="H116" s="117">
        <f t="shared" si="27"/>
        <v>34769.431540342295</v>
      </c>
      <c r="I116" s="7"/>
      <c r="J116" s="10">
        <v>3.6707000000000001</v>
      </c>
      <c r="K116" s="117">
        <v>208800</v>
      </c>
      <c r="L116" s="120">
        <f t="shared" si="28"/>
        <v>127.62836185819071</v>
      </c>
      <c r="M116" s="122">
        <f t="shared" si="20"/>
        <v>568827.9</v>
      </c>
      <c r="N116" s="116">
        <f t="shared" si="21"/>
        <v>360027.9</v>
      </c>
      <c r="O116" s="123">
        <f t="shared" si="22"/>
        <v>220.06595354523228</v>
      </c>
      <c r="P116" s="5"/>
      <c r="Q116" s="5">
        <f t="shared" si="17"/>
        <v>1</v>
      </c>
      <c r="R116" s="7">
        <f t="shared" si="18"/>
        <v>1636</v>
      </c>
      <c r="S116" s="5">
        <f t="shared" si="15"/>
        <v>1</v>
      </c>
      <c r="T116" s="7">
        <f t="shared" si="16"/>
        <v>1636</v>
      </c>
    </row>
    <row r="117" spans="1:20">
      <c r="A117" s="23" t="s">
        <v>545</v>
      </c>
      <c r="B117" s="35" t="s">
        <v>131</v>
      </c>
      <c r="C117" s="36">
        <v>3813</v>
      </c>
      <c r="D117" s="6"/>
      <c r="E117" s="113">
        <v>581689515</v>
      </c>
      <c r="F117" s="116">
        <f t="shared" si="26"/>
        <v>152554.29189614477</v>
      </c>
      <c r="G117" s="117">
        <v>406122906</v>
      </c>
      <c r="H117" s="117">
        <f t="shared" si="27"/>
        <v>106510.07238394965</v>
      </c>
      <c r="I117" s="9" t="s">
        <v>528</v>
      </c>
      <c r="J117" s="10"/>
      <c r="K117" s="117"/>
      <c r="L117" s="120"/>
      <c r="M117" s="122">
        <f t="shared" si="20"/>
        <v>4061229.06</v>
      </c>
      <c r="N117" s="116">
        <f t="shared" si="21"/>
        <v>4061229.06</v>
      </c>
      <c r="O117" s="123">
        <f t="shared" si="22"/>
        <v>1065.1007238394964</v>
      </c>
      <c r="P117" s="5"/>
      <c r="Q117" s="5">
        <f t="shared" si="17"/>
        <v>1</v>
      </c>
      <c r="R117" s="7">
        <f t="shared" si="18"/>
        <v>3813</v>
      </c>
      <c r="S117" s="5">
        <f t="shared" si="15"/>
        <v>0</v>
      </c>
      <c r="T117" s="7">
        <f t="shared" si="16"/>
        <v>0</v>
      </c>
    </row>
    <row r="118" spans="1:20">
      <c r="A118" s="23" t="s">
        <v>132</v>
      </c>
      <c r="B118" s="35" t="s">
        <v>131</v>
      </c>
      <c r="C118" s="36">
        <v>1716</v>
      </c>
      <c r="D118" s="6"/>
      <c r="E118" s="113">
        <v>121458550</v>
      </c>
      <c r="F118" s="116">
        <f t="shared" si="26"/>
        <v>70780.040792540793</v>
      </c>
      <c r="G118" s="117">
        <v>77924740</v>
      </c>
      <c r="H118" s="117">
        <f t="shared" si="27"/>
        <v>45410.687645687649</v>
      </c>
      <c r="I118" s="9" t="s">
        <v>528</v>
      </c>
      <c r="J118" s="10"/>
      <c r="K118" s="117"/>
      <c r="L118" s="120"/>
      <c r="M118" s="122">
        <f t="shared" si="20"/>
        <v>779247.4</v>
      </c>
      <c r="N118" s="116">
        <f t="shared" si="21"/>
        <v>779247.4</v>
      </c>
      <c r="O118" s="123">
        <f t="shared" si="22"/>
        <v>454.10687645687648</v>
      </c>
      <c r="P118" s="5"/>
      <c r="Q118" s="5">
        <f t="shared" si="17"/>
        <v>1</v>
      </c>
      <c r="R118" s="7">
        <f t="shared" si="18"/>
        <v>1716</v>
      </c>
      <c r="S118" s="5">
        <f t="shared" si="15"/>
        <v>0</v>
      </c>
      <c r="T118" s="7">
        <f t="shared" si="16"/>
        <v>0</v>
      </c>
    </row>
    <row r="119" spans="1:20">
      <c r="A119" s="23" t="s">
        <v>133</v>
      </c>
      <c r="B119" s="35" t="s">
        <v>134</v>
      </c>
      <c r="C119" s="36">
        <v>1687</v>
      </c>
      <c r="D119" s="6"/>
      <c r="E119" s="113">
        <v>113765969</v>
      </c>
      <c r="F119" s="116">
        <f t="shared" si="26"/>
        <v>67436.851807943094</v>
      </c>
      <c r="G119" s="117">
        <v>57061853</v>
      </c>
      <c r="H119" s="117">
        <f t="shared" si="27"/>
        <v>33824.453467694133</v>
      </c>
      <c r="I119" s="7"/>
      <c r="J119" s="10">
        <v>4.6936</v>
      </c>
      <c r="K119" s="117">
        <v>267826</v>
      </c>
      <c r="L119" s="120">
        <f t="shared" ref="L119:L134" si="29">(K119/C119)</f>
        <v>158.75874333135744</v>
      </c>
      <c r="M119" s="122">
        <f t="shared" si="20"/>
        <v>570618.53</v>
      </c>
      <c r="N119" s="116">
        <f t="shared" si="21"/>
        <v>302792.53000000003</v>
      </c>
      <c r="O119" s="123">
        <f t="shared" si="22"/>
        <v>179.48579134558389</v>
      </c>
      <c r="P119" s="5"/>
      <c r="Q119" s="5">
        <f t="shared" si="17"/>
        <v>1</v>
      </c>
      <c r="R119" s="7">
        <f t="shared" si="18"/>
        <v>1687</v>
      </c>
      <c r="S119" s="5">
        <f t="shared" si="15"/>
        <v>1</v>
      </c>
      <c r="T119" s="7">
        <f t="shared" si="16"/>
        <v>1687</v>
      </c>
    </row>
    <row r="120" spans="1:20">
      <c r="A120" s="23" t="s">
        <v>135</v>
      </c>
      <c r="B120" s="35" t="s">
        <v>134</v>
      </c>
      <c r="C120" s="36">
        <v>820</v>
      </c>
      <c r="D120" s="6"/>
      <c r="E120" s="113">
        <v>21013453</v>
      </c>
      <c r="F120" s="116">
        <f t="shared" si="26"/>
        <v>25626.162195121949</v>
      </c>
      <c r="G120" s="117">
        <v>12279590</v>
      </c>
      <c r="H120" s="117">
        <f t="shared" si="27"/>
        <v>14975.109756097561</v>
      </c>
      <c r="I120" s="7"/>
      <c r="J120" s="10">
        <v>1.2290000000000001</v>
      </c>
      <c r="K120" s="117">
        <v>15092</v>
      </c>
      <c r="L120" s="120">
        <f t="shared" si="29"/>
        <v>18.404878048780489</v>
      </c>
      <c r="M120" s="122">
        <f t="shared" si="20"/>
        <v>122795.90000000001</v>
      </c>
      <c r="N120" s="116">
        <f t="shared" si="21"/>
        <v>107703.90000000001</v>
      </c>
      <c r="O120" s="123">
        <f t="shared" si="22"/>
        <v>131.34621951219512</v>
      </c>
      <c r="P120" s="5"/>
      <c r="Q120" s="5">
        <f t="shared" si="17"/>
        <v>1</v>
      </c>
      <c r="R120" s="7">
        <f t="shared" si="18"/>
        <v>820</v>
      </c>
      <c r="S120" s="5">
        <f t="shared" si="15"/>
        <v>1</v>
      </c>
      <c r="T120" s="7">
        <f t="shared" si="16"/>
        <v>820</v>
      </c>
    </row>
    <row r="121" spans="1:20">
      <c r="A121" s="23" t="s">
        <v>136</v>
      </c>
      <c r="B121" s="35" t="s">
        <v>134</v>
      </c>
      <c r="C121" s="36">
        <v>762</v>
      </c>
      <c r="D121" s="6"/>
      <c r="E121" s="113">
        <v>34789259</v>
      </c>
      <c r="F121" s="116">
        <f t="shared" si="26"/>
        <v>45655.195538057742</v>
      </c>
      <c r="G121" s="117">
        <v>16359533</v>
      </c>
      <c r="H121" s="117">
        <f t="shared" si="27"/>
        <v>21469.20341207349</v>
      </c>
      <c r="I121" s="7"/>
      <c r="J121" s="10">
        <v>3.8138999999999998</v>
      </c>
      <c r="K121" s="117">
        <v>62394</v>
      </c>
      <c r="L121" s="120">
        <f t="shared" si="29"/>
        <v>81.881889763779526</v>
      </c>
      <c r="M121" s="122">
        <f t="shared" si="20"/>
        <v>163595.33000000002</v>
      </c>
      <c r="N121" s="116">
        <f t="shared" si="21"/>
        <v>101201.33000000002</v>
      </c>
      <c r="O121" s="123">
        <f t="shared" si="22"/>
        <v>132.81014435695539</v>
      </c>
      <c r="P121" s="5"/>
      <c r="Q121" s="5">
        <f t="shared" si="17"/>
        <v>1</v>
      </c>
      <c r="R121" s="7">
        <f t="shared" si="18"/>
        <v>762</v>
      </c>
      <c r="S121" s="5">
        <f t="shared" si="15"/>
        <v>1</v>
      </c>
      <c r="T121" s="7">
        <f t="shared" si="16"/>
        <v>762</v>
      </c>
    </row>
    <row r="122" spans="1:20">
      <c r="A122" s="23" t="s">
        <v>137</v>
      </c>
      <c r="B122" s="35" t="s">
        <v>138</v>
      </c>
      <c r="C122" s="36">
        <v>3078</v>
      </c>
      <c r="D122" s="6"/>
      <c r="E122" s="113">
        <v>71710596</v>
      </c>
      <c r="F122" s="116">
        <f t="shared" si="26"/>
        <v>23297.78947368421</v>
      </c>
      <c r="G122" s="117">
        <v>35858596</v>
      </c>
      <c r="H122" s="117">
        <f t="shared" si="27"/>
        <v>11649.96621182586</v>
      </c>
      <c r="I122" s="7"/>
      <c r="J122" s="10">
        <v>7.25</v>
      </c>
      <c r="K122" s="117">
        <v>259975</v>
      </c>
      <c r="L122" s="120">
        <f t="shared" si="29"/>
        <v>84.462313190383369</v>
      </c>
      <c r="M122" s="122">
        <f t="shared" si="20"/>
        <v>358585.96</v>
      </c>
      <c r="N122" s="116">
        <f t="shared" si="21"/>
        <v>98610.960000000021</v>
      </c>
      <c r="O122" s="123">
        <f t="shared" si="22"/>
        <v>32.03734892787525</v>
      </c>
      <c r="P122" s="5"/>
      <c r="Q122" s="5">
        <f t="shared" si="17"/>
        <v>1</v>
      </c>
      <c r="R122" s="7">
        <f t="shared" si="18"/>
        <v>3078</v>
      </c>
      <c r="S122" s="5">
        <f t="shared" si="15"/>
        <v>1</v>
      </c>
      <c r="T122" s="7">
        <f t="shared" si="16"/>
        <v>3078</v>
      </c>
    </row>
    <row r="123" spans="1:20">
      <c r="A123" s="23" t="s">
        <v>139</v>
      </c>
      <c r="B123" s="35" t="s">
        <v>138</v>
      </c>
      <c r="C123" s="36">
        <v>4447</v>
      </c>
      <c r="D123" s="6"/>
      <c r="E123" s="113">
        <v>229015312</v>
      </c>
      <c r="F123" s="116">
        <f t="shared" si="26"/>
        <v>51498.833370811786</v>
      </c>
      <c r="G123" s="117">
        <v>121992777</v>
      </c>
      <c r="H123" s="117">
        <f t="shared" si="27"/>
        <v>27432.601079379358</v>
      </c>
      <c r="I123" s="7"/>
      <c r="J123" s="10">
        <v>5.0199999999999996</v>
      </c>
      <c r="K123" s="117">
        <v>612404</v>
      </c>
      <c r="L123" s="120">
        <f t="shared" si="29"/>
        <v>137.71171576343602</v>
      </c>
      <c r="M123" s="122">
        <f t="shared" si="20"/>
        <v>1219927.77</v>
      </c>
      <c r="N123" s="116">
        <f t="shared" si="21"/>
        <v>607523.77</v>
      </c>
      <c r="O123" s="123">
        <f t="shared" si="22"/>
        <v>136.61429503035754</v>
      </c>
      <c r="P123" s="5"/>
      <c r="Q123" s="5">
        <f t="shared" si="17"/>
        <v>1</v>
      </c>
      <c r="R123" s="7">
        <f t="shared" si="18"/>
        <v>4447</v>
      </c>
      <c r="S123" s="5">
        <f t="shared" si="15"/>
        <v>1</v>
      </c>
      <c r="T123" s="7">
        <f t="shared" si="16"/>
        <v>4447</v>
      </c>
    </row>
    <row r="124" spans="1:20">
      <c r="A124" s="23" t="s">
        <v>140</v>
      </c>
      <c r="B124" s="35" t="s">
        <v>138</v>
      </c>
      <c r="C124" s="36">
        <v>1612</v>
      </c>
      <c r="D124" s="6"/>
      <c r="E124" s="113">
        <v>55671507</v>
      </c>
      <c r="F124" s="116">
        <f t="shared" si="26"/>
        <v>34535.674317617864</v>
      </c>
      <c r="G124" s="117">
        <v>28045658</v>
      </c>
      <c r="H124" s="117">
        <f t="shared" si="27"/>
        <v>17398.050868486353</v>
      </c>
      <c r="I124" s="7"/>
      <c r="J124" s="10">
        <v>9</v>
      </c>
      <c r="K124" s="117">
        <v>252411</v>
      </c>
      <c r="L124" s="120">
        <f t="shared" si="29"/>
        <v>156.58250620347394</v>
      </c>
      <c r="M124" s="122">
        <f t="shared" si="20"/>
        <v>280456.58</v>
      </c>
      <c r="N124" s="116">
        <f t="shared" si="21"/>
        <v>28045.580000000016</v>
      </c>
      <c r="O124" s="123">
        <f t="shared" si="22"/>
        <v>17.398002481389589</v>
      </c>
      <c r="P124" s="5"/>
      <c r="Q124" s="5">
        <f t="shared" si="17"/>
        <v>1</v>
      </c>
      <c r="R124" s="7">
        <f t="shared" si="18"/>
        <v>1612</v>
      </c>
      <c r="S124" s="5">
        <f t="shared" si="15"/>
        <v>1</v>
      </c>
      <c r="T124" s="7">
        <f t="shared" si="16"/>
        <v>1612</v>
      </c>
    </row>
    <row r="125" spans="1:20">
      <c r="A125" s="23" t="s">
        <v>141</v>
      </c>
      <c r="B125" s="35" t="s">
        <v>142</v>
      </c>
      <c r="C125" s="36">
        <v>6619</v>
      </c>
      <c r="D125" s="6"/>
      <c r="E125" s="113">
        <v>621213855</v>
      </c>
      <c r="F125" s="116">
        <f t="shared" si="26"/>
        <v>93853.128116029606</v>
      </c>
      <c r="G125" s="117">
        <v>284130545</v>
      </c>
      <c r="H125" s="117">
        <f t="shared" si="27"/>
        <v>42926.506269829282</v>
      </c>
      <c r="I125" s="7"/>
      <c r="J125" s="10">
        <v>5.6341000000000001</v>
      </c>
      <c r="K125" s="117">
        <v>1600820</v>
      </c>
      <c r="L125" s="120">
        <f t="shared" si="29"/>
        <v>241.85224354132043</v>
      </c>
      <c r="M125" s="122">
        <f t="shared" si="20"/>
        <v>2841305.45</v>
      </c>
      <c r="N125" s="116">
        <f t="shared" si="21"/>
        <v>1240485.4500000002</v>
      </c>
      <c r="O125" s="123">
        <f t="shared" si="22"/>
        <v>187.41281915697238</v>
      </c>
      <c r="P125" s="5"/>
      <c r="Q125" s="5">
        <f t="shared" si="17"/>
        <v>1</v>
      </c>
      <c r="R125" s="7">
        <f t="shared" si="18"/>
        <v>6619</v>
      </c>
      <c r="S125" s="5">
        <f t="shared" si="15"/>
        <v>1</v>
      </c>
      <c r="T125" s="7">
        <f t="shared" si="16"/>
        <v>6619</v>
      </c>
    </row>
    <row r="126" spans="1:20">
      <c r="A126" s="23" t="s">
        <v>558</v>
      </c>
      <c r="B126" s="35" t="s">
        <v>142</v>
      </c>
      <c r="C126" s="36">
        <v>4618</v>
      </c>
      <c r="D126" s="6"/>
      <c r="E126" s="113">
        <v>539149080</v>
      </c>
      <c r="F126" s="116">
        <f t="shared" si="26"/>
        <v>116749.47596362061</v>
      </c>
      <c r="G126" s="117">
        <v>286056820</v>
      </c>
      <c r="H126" s="117">
        <f t="shared" si="27"/>
        <v>61943.876136855783</v>
      </c>
      <c r="I126" s="7"/>
      <c r="J126" s="10">
        <v>3</v>
      </c>
      <c r="K126" s="117">
        <v>858170</v>
      </c>
      <c r="L126" s="120">
        <f t="shared" si="29"/>
        <v>185.83152880034646</v>
      </c>
      <c r="M126" s="122">
        <f t="shared" si="20"/>
        <v>2860568.2</v>
      </c>
      <c r="N126" s="116">
        <f t="shared" si="21"/>
        <v>2002398.2000000002</v>
      </c>
      <c r="O126" s="123">
        <f t="shared" si="22"/>
        <v>433.60723256821137</v>
      </c>
      <c r="P126" s="5"/>
      <c r="Q126" s="5">
        <f t="shared" si="17"/>
        <v>1</v>
      </c>
      <c r="R126" s="7">
        <f t="shared" si="18"/>
        <v>4618</v>
      </c>
      <c r="S126" s="5">
        <f t="shared" si="15"/>
        <v>1</v>
      </c>
      <c r="T126" s="7">
        <f t="shared" si="16"/>
        <v>4618</v>
      </c>
    </row>
    <row r="127" spans="1:20">
      <c r="A127" s="23" t="s">
        <v>143</v>
      </c>
      <c r="B127" s="35" t="s">
        <v>144</v>
      </c>
      <c r="C127" s="36">
        <v>7309</v>
      </c>
      <c r="D127" s="6"/>
      <c r="E127" s="113">
        <v>809412057</v>
      </c>
      <c r="F127" s="116">
        <f t="shared" si="26"/>
        <v>110741.8329456834</v>
      </c>
      <c r="G127" s="117">
        <v>545556889</v>
      </c>
      <c r="H127" s="117">
        <f t="shared" si="27"/>
        <v>74641.79627856068</v>
      </c>
      <c r="I127" s="7"/>
      <c r="J127" s="10">
        <v>6.3230000000000004</v>
      </c>
      <c r="K127" s="117">
        <v>3449556</v>
      </c>
      <c r="L127" s="120">
        <f t="shared" si="29"/>
        <v>471.96004925434397</v>
      </c>
      <c r="M127" s="122">
        <f t="shared" si="20"/>
        <v>5455568.8899999997</v>
      </c>
      <c r="N127" s="116">
        <f t="shared" si="21"/>
        <v>2006012.8899999997</v>
      </c>
      <c r="O127" s="123">
        <f t="shared" si="22"/>
        <v>274.45791353126276</v>
      </c>
      <c r="P127" s="5"/>
      <c r="Q127" s="5">
        <f t="shared" si="17"/>
        <v>1</v>
      </c>
      <c r="R127" s="7">
        <f t="shared" si="18"/>
        <v>7309</v>
      </c>
      <c r="S127" s="5">
        <f t="shared" si="15"/>
        <v>1</v>
      </c>
      <c r="T127" s="7">
        <f t="shared" si="16"/>
        <v>7309</v>
      </c>
    </row>
    <row r="128" spans="1:20">
      <c r="A128" s="23" t="s">
        <v>145</v>
      </c>
      <c r="B128" s="35" t="s">
        <v>144</v>
      </c>
      <c r="C128" s="36">
        <v>8</v>
      </c>
      <c r="D128" s="6"/>
      <c r="E128" s="113">
        <v>32051091</v>
      </c>
      <c r="F128" s="116">
        <f t="shared" si="26"/>
        <v>4006386.375</v>
      </c>
      <c r="G128" s="117">
        <v>20614688</v>
      </c>
      <c r="H128" s="117">
        <f t="shared" si="27"/>
        <v>2576836</v>
      </c>
      <c r="I128" s="7"/>
      <c r="J128" s="10">
        <v>2.1743999999999999</v>
      </c>
      <c r="K128" s="117">
        <v>44825</v>
      </c>
      <c r="L128" s="120">
        <f t="shared" si="29"/>
        <v>5603.125</v>
      </c>
      <c r="M128" s="122">
        <f t="shared" si="20"/>
        <v>206146.88</v>
      </c>
      <c r="N128" s="116">
        <f t="shared" si="21"/>
        <v>161321.88</v>
      </c>
      <c r="O128" s="123">
        <f t="shared" si="22"/>
        <v>20165.235000000001</v>
      </c>
      <c r="P128" s="5"/>
      <c r="Q128" s="5">
        <f t="shared" si="17"/>
        <v>1</v>
      </c>
      <c r="R128" s="7">
        <f t="shared" si="18"/>
        <v>8</v>
      </c>
      <c r="S128" s="5">
        <f t="shared" si="15"/>
        <v>1</v>
      </c>
      <c r="T128" s="7">
        <f t="shared" si="16"/>
        <v>8</v>
      </c>
    </row>
    <row r="129" spans="1:20">
      <c r="A129" s="23" t="s">
        <v>146</v>
      </c>
      <c r="B129" s="35" t="s">
        <v>147</v>
      </c>
      <c r="C129" s="36">
        <v>8964</v>
      </c>
      <c r="D129" s="6"/>
      <c r="E129" s="113">
        <v>460263893</v>
      </c>
      <c r="F129" s="116">
        <f t="shared" si="26"/>
        <v>51345.815818830881</v>
      </c>
      <c r="G129" s="117">
        <v>267864237</v>
      </c>
      <c r="H129" s="117">
        <f t="shared" si="27"/>
        <v>29882.2218875502</v>
      </c>
      <c r="I129" s="7"/>
      <c r="J129" s="10">
        <v>6.3114999999999997</v>
      </c>
      <c r="K129" s="117">
        <v>1690625</v>
      </c>
      <c r="L129" s="120">
        <f t="shared" si="29"/>
        <v>188.6016287371709</v>
      </c>
      <c r="M129" s="122">
        <f t="shared" si="20"/>
        <v>2678642.37</v>
      </c>
      <c r="N129" s="116">
        <f t="shared" si="21"/>
        <v>988017.37000000011</v>
      </c>
      <c r="O129" s="123">
        <f t="shared" si="22"/>
        <v>110.22059013833112</v>
      </c>
      <c r="P129" s="5"/>
      <c r="Q129" s="5">
        <f t="shared" si="17"/>
        <v>1</v>
      </c>
      <c r="R129" s="7">
        <f t="shared" si="18"/>
        <v>8964</v>
      </c>
      <c r="S129" s="5">
        <f t="shared" si="15"/>
        <v>1</v>
      </c>
      <c r="T129" s="7">
        <f t="shared" si="16"/>
        <v>8964</v>
      </c>
    </row>
    <row r="130" spans="1:20">
      <c r="A130" s="23" t="s">
        <v>148</v>
      </c>
      <c r="B130" s="35" t="s">
        <v>147</v>
      </c>
      <c r="C130" s="36">
        <v>1760</v>
      </c>
      <c r="D130" s="6"/>
      <c r="E130" s="113">
        <v>295033021</v>
      </c>
      <c r="F130" s="116">
        <f t="shared" si="26"/>
        <v>167632.39829545454</v>
      </c>
      <c r="G130" s="117">
        <v>206357363</v>
      </c>
      <c r="H130" s="117">
        <f t="shared" si="27"/>
        <v>117248.50170454546</v>
      </c>
      <c r="I130" s="7"/>
      <c r="J130" s="10">
        <v>3.95</v>
      </c>
      <c r="K130" s="117">
        <v>815112</v>
      </c>
      <c r="L130" s="120">
        <f t="shared" si="29"/>
        <v>463.13181818181818</v>
      </c>
      <c r="M130" s="122">
        <f t="shared" si="20"/>
        <v>2063573.6300000001</v>
      </c>
      <c r="N130" s="116">
        <f t="shared" si="21"/>
        <v>1248461.6300000001</v>
      </c>
      <c r="O130" s="123">
        <f t="shared" si="22"/>
        <v>709.35319886363641</v>
      </c>
      <c r="P130" s="5"/>
      <c r="Q130" s="5">
        <f t="shared" si="17"/>
        <v>1</v>
      </c>
      <c r="R130" s="7">
        <f t="shared" si="18"/>
        <v>1760</v>
      </c>
      <c r="S130" s="5">
        <f t="shared" si="15"/>
        <v>1</v>
      </c>
      <c r="T130" s="7">
        <f t="shared" si="16"/>
        <v>1760</v>
      </c>
    </row>
    <row r="131" spans="1:20">
      <c r="A131" s="23" t="s">
        <v>149</v>
      </c>
      <c r="B131" s="35" t="s">
        <v>147</v>
      </c>
      <c r="C131" s="36">
        <v>10361</v>
      </c>
      <c r="D131" s="6"/>
      <c r="E131" s="113">
        <v>1051957139</v>
      </c>
      <c r="F131" s="116">
        <f t="shared" si="26"/>
        <v>101530.4641443876</v>
      </c>
      <c r="G131" s="117">
        <v>729393990</v>
      </c>
      <c r="H131" s="117">
        <f t="shared" si="27"/>
        <v>70398.030112923458</v>
      </c>
      <c r="I131" s="7"/>
      <c r="J131" s="10">
        <v>5.6271000000000004</v>
      </c>
      <c r="K131" s="117">
        <v>4104373</v>
      </c>
      <c r="L131" s="120">
        <f t="shared" si="29"/>
        <v>396.13676286072774</v>
      </c>
      <c r="M131" s="122">
        <f t="shared" si="20"/>
        <v>7293939.9000000004</v>
      </c>
      <c r="N131" s="116">
        <f t="shared" si="21"/>
        <v>3189566.9000000004</v>
      </c>
      <c r="O131" s="123">
        <f t="shared" si="22"/>
        <v>307.84353826850696</v>
      </c>
      <c r="P131" s="5"/>
      <c r="Q131" s="5">
        <f t="shared" si="17"/>
        <v>1</v>
      </c>
      <c r="R131" s="7">
        <f t="shared" si="18"/>
        <v>10361</v>
      </c>
      <c r="S131" s="5">
        <f t="shared" si="15"/>
        <v>1</v>
      </c>
      <c r="T131" s="7">
        <f t="shared" si="16"/>
        <v>10361</v>
      </c>
    </row>
    <row r="132" spans="1:20">
      <c r="A132" s="23" t="s">
        <v>150</v>
      </c>
      <c r="B132" s="35" t="s">
        <v>151</v>
      </c>
      <c r="C132" s="36">
        <v>33277</v>
      </c>
      <c r="D132" s="6"/>
      <c r="E132" s="113">
        <v>3103305823</v>
      </c>
      <c r="F132" s="116">
        <f t="shared" si="26"/>
        <v>93256.778645911589</v>
      </c>
      <c r="G132" s="117">
        <v>2146703453</v>
      </c>
      <c r="H132" s="117">
        <f t="shared" si="27"/>
        <v>64510.125702437115</v>
      </c>
      <c r="I132" s="7"/>
      <c r="J132" s="10">
        <v>4.1653000000000002</v>
      </c>
      <c r="K132" s="117">
        <v>8941664</v>
      </c>
      <c r="L132" s="120">
        <f t="shared" si="29"/>
        <v>268.70402981037955</v>
      </c>
      <c r="M132" s="122">
        <f t="shared" si="20"/>
        <v>21467034.530000001</v>
      </c>
      <c r="N132" s="116">
        <f t="shared" si="21"/>
        <v>12525370.530000001</v>
      </c>
      <c r="O132" s="123">
        <f t="shared" si="22"/>
        <v>376.3972272139917</v>
      </c>
      <c r="P132" s="5"/>
      <c r="Q132" s="5">
        <f t="shared" si="17"/>
        <v>1</v>
      </c>
      <c r="R132" s="7">
        <f t="shared" si="18"/>
        <v>33277</v>
      </c>
      <c r="S132" s="5">
        <f t="shared" si="15"/>
        <v>1</v>
      </c>
      <c r="T132" s="7">
        <f t="shared" si="16"/>
        <v>33277</v>
      </c>
    </row>
    <row r="133" spans="1:20">
      <c r="A133" s="23" t="s">
        <v>152</v>
      </c>
      <c r="B133" s="35" t="s">
        <v>151</v>
      </c>
      <c r="C133" s="36">
        <v>336264</v>
      </c>
      <c r="D133" s="6"/>
      <c r="E133" s="113">
        <v>45021120073</v>
      </c>
      <c r="F133" s="116">
        <f t="shared" si="26"/>
        <v>133886.2324631837</v>
      </c>
      <c r="G133" s="117">
        <v>29449095306</v>
      </c>
      <c r="H133" s="117">
        <f t="shared" si="27"/>
        <v>87577.306241524522</v>
      </c>
      <c r="I133" s="7"/>
      <c r="J133" s="10">
        <v>5.7328999999999999</v>
      </c>
      <c r="K133" s="117">
        <v>168828718</v>
      </c>
      <c r="L133" s="120">
        <f t="shared" si="29"/>
        <v>502.07193752527775</v>
      </c>
      <c r="M133" s="122">
        <f t="shared" si="20"/>
        <v>294490953.06</v>
      </c>
      <c r="N133" s="116">
        <f t="shared" si="21"/>
        <v>125662235.06</v>
      </c>
      <c r="O133" s="123">
        <f t="shared" si="22"/>
        <v>373.70112488996739</v>
      </c>
      <c r="P133" s="5"/>
      <c r="Q133" s="5">
        <f t="shared" si="17"/>
        <v>1</v>
      </c>
      <c r="R133" s="7">
        <f t="shared" si="18"/>
        <v>336264</v>
      </c>
      <c r="S133" s="5">
        <f t="shared" si="15"/>
        <v>1</v>
      </c>
      <c r="T133" s="7">
        <f t="shared" si="16"/>
        <v>336264</v>
      </c>
    </row>
    <row r="134" spans="1:20">
      <c r="A134" s="23" t="s">
        <v>153</v>
      </c>
      <c r="B134" s="35" t="s">
        <v>151</v>
      </c>
      <c r="C134" s="36">
        <v>24026</v>
      </c>
      <c r="D134" s="6"/>
      <c r="E134" s="113">
        <v>2316701099</v>
      </c>
      <c r="F134" s="116">
        <f t="shared" si="26"/>
        <v>96424.752309997508</v>
      </c>
      <c r="G134" s="117">
        <v>1645280568</v>
      </c>
      <c r="H134" s="117">
        <f t="shared" si="27"/>
        <v>68479.171231166241</v>
      </c>
      <c r="I134" s="9"/>
      <c r="J134" s="10">
        <v>4.5692000000000004</v>
      </c>
      <c r="K134" s="117">
        <v>7517616</v>
      </c>
      <c r="L134" s="120">
        <f t="shared" si="29"/>
        <v>312.89503038375096</v>
      </c>
      <c r="M134" s="122">
        <f t="shared" si="20"/>
        <v>16452805.68</v>
      </c>
      <c r="N134" s="116">
        <f t="shared" si="21"/>
        <v>8935189.6799999997</v>
      </c>
      <c r="O134" s="123">
        <f t="shared" si="22"/>
        <v>371.8966819279114</v>
      </c>
      <c r="P134" s="5"/>
      <c r="Q134" s="5">
        <f t="shared" si="17"/>
        <v>1</v>
      </c>
      <c r="R134" s="7">
        <f t="shared" si="18"/>
        <v>24026</v>
      </c>
      <c r="S134" s="5">
        <f t="shared" ref="S134:S197" si="30">IF(J134&gt;0,1,0)</f>
        <v>1</v>
      </c>
      <c r="T134" s="7">
        <f t="shared" ref="T134:T197" si="31">IF(J134&gt;0,C134,0)</f>
        <v>24026</v>
      </c>
    </row>
    <row r="135" spans="1:20">
      <c r="A135" s="23" t="s">
        <v>154</v>
      </c>
      <c r="B135" s="35" t="s">
        <v>155</v>
      </c>
      <c r="C135" s="36">
        <v>2783</v>
      </c>
      <c r="D135" s="6"/>
      <c r="E135" s="113">
        <v>136059137</v>
      </c>
      <c r="F135" s="116">
        <f t="shared" si="26"/>
        <v>48889.377290693497</v>
      </c>
      <c r="G135" s="117">
        <v>86231876</v>
      </c>
      <c r="H135" s="117">
        <f t="shared" si="27"/>
        <v>30985.223140495869</v>
      </c>
      <c r="I135" s="9" t="s">
        <v>528</v>
      </c>
      <c r="J135" s="10"/>
      <c r="K135" s="117"/>
      <c r="L135" s="120"/>
      <c r="M135" s="122">
        <f t="shared" si="20"/>
        <v>862318.76</v>
      </c>
      <c r="N135" s="116">
        <f t="shared" si="21"/>
        <v>862318.76</v>
      </c>
      <c r="O135" s="123">
        <f t="shared" si="22"/>
        <v>309.85223140495867</v>
      </c>
      <c r="P135" s="5"/>
      <c r="Q135" s="5">
        <f t="shared" ref="Q135:Q198" si="32">IF(E135&gt;0,1,0)</f>
        <v>1</v>
      </c>
      <c r="R135" s="7">
        <f t="shared" ref="R135:R198" si="33">IF(E135&gt;0,C135,0)</f>
        <v>2783</v>
      </c>
      <c r="S135" s="5">
        <f t="shared" si="30"/>
        <v>0</v>
      </c>
      <c r="T135" s="7">
        <f t="shared" si="31"/>
        <v>0</v>
      </c>
    </row>
    <row r="136" spans="1:20">
      <c r="A136" s="23" t="s">
        <v>156</v>
      </c>
      <c r="B136" s="35" t="s">
        <v>155</v>
      </c>
      <c r="C136" s="36">
        <v>379</v>
      </c>
      <c r="D136" s="6"/>
      <c r="E136" s="113">
        <v>11057117</v>
      </c>
      <c r="F136" s="116">
        <f t="shared" si="26"/>
        <v>29174.451187335093</v>
      </c>
      <c r="G136" s="117">
        <v>4935221</v>
      </c>
      <c r="H136" s="117">
        <f t="shared" si="27"/>
        <v>13021.69129287599</v>
      </c>
      <c r="I136" s="7"/>
      <c r="J136" s="12">
        <v>0.49059999999999998</v>
      </c>
      <c r="K136" s="117">
        <v>2421</v>
      </c>
      <c r="L136" s="120">
        <f>(K136/C136)</f>
        <v>6.3878627968337733</v>
      </c>
      <c r="M136" s="122">
        <f t="shared" ref="M136:M199" si="34">(G136*0.01)</f>
        <v>49352.21</v>
      </c>
      <c r="N136" s="116">
        <f t="shared" ref="N136:N199" si="35">(M136-K136)</f>
        <v>46931.21</v>
      </c>
      <c r="O136" s="123">
        <f t="shared" ref="O136:O199" si="36">(N136/C136)</f>
        <v>123.82905013192612</v>
      </c>
      <c r="P136" s="5"/>
      <c r="Q136" s="5">
        <f t="shared" si="32"/>
        <v>1</v>
      </c>
      <c r="R136" s="7">
        <f t="shared" si="33"/>
        <v>379</v>
      </c>
      <c r="S136" s="5">
        <f t="shared" si="30"/>
        <v>1</v>
      </c>
      <c r="T136" s="7">
        <f t="shared" si="31"/>
        <v>379</v>
      </c>
    </row>
    <row r="137" spans="1:20">
      <c r="A137" s="23" t="s">
        <v>157</v>
      </c>
      <c r="B137" s="35" t="s">
        <v>155</v>
      </c>
      <c r="C137" s="36">
        <v>222</v>
      </c>
      <c r="D137" s="6"/>
      <c r="E137" s="113">
        <v>4231899</v>
      </c>
      <c r="F137" s="116">
        <f t="shared" si="26"/>
        <v>19062.608108108107</v>
      </c>
      <c r="G137" s="117">
        <v>1542513</v>
      </c>
      <c r="H137" s="117">
        <f t="shared" si="27"/>
        <v>6948.2567567567567</v>
      </c>
      <c r="I137" s="9"/>
      <c r="J137" s="10">
        <v>1.1607000000000001</v>
      </c>
      <c r="K137" s="117">
        <v>1790</v>
      </c>
      <c r="L137" s="120">
        <f>(K137/C137)</f>
        <v>8.0630630630630638</v>
      </c>
      <c r="M137" s="122">
        <f t="shared" si="34"/>
        <v>15425.130000000001</v>
      </c>
      <c r="N137" s="116">
        <f t="shared" si="35"/>
        <v>13635.130000000001</v>
      </c>
      <c r="O137" s="123">
        <f t="shared" si="36"/>
        <v>61.419504504504509</v>
      </c>
      <c r="P137" s="5"/>
      <c r="Q137" s="5">
        <f t="shared" si="32"/>
        <v>1</v>
      </c>
      <c r="R137" s="7">
        <f t="shared" si="33"/>
        <v>222</v>
      </c>
      <c r="S137" s="5">
        <f t="shared" si="30"/>
        <v>1</v>
      </c>
      <c r="T137" s="7">
        <f t="shared" si="31"/>
        <v>222</v>
      </c>
    </row>
    <row r="138" spans="1:20">
      <c r="A138" s="23" t="s">
        <v>158</v>
      </c>
      <c r="B138" s="35" t="s">
        <v>155</v>
      </c>
      <c r="C138" s="36">
        <v>498</v>
      </c>
      <c r="D138" s="6"/>
      <c r="E138" s="113">
        <v>23952891</v>
      </c>
      <c r="F138" s="116">
        <f t="shared" si="26"/>
        <v>48098.174698795177</v>
      </c>
      <c r="G138" s="117">
        <v>13155451</v>
      </c>
      <c r="H138" s="117">
        <f t="shared" si="27"/>
        <v>26416.568273092369</v>
      </c>
      <c r="I138" s="9" t="s">
        <v>528</v>
      </c>
      <c r="J138" s="10"/>
      <c r="K138" s="117"/>
      <c r="L138" s="120"/>
      <c r="M138" s="122">
        <f t="shared" si="34"/>
        <v>131554.51</v>
      </c>
      <c r="N138" s="116">
        <f t="shared" si="35"/>
        <v>131554.51</v>
      </c>
      <c r="O138" s="123">
        <f t="shared" si="36"/>
        <v>264.16568273092372</v>
      </c>
      <c r="P138" s="5"/>
      <c r="Q138" s="5">
        <f t="shared" si="32"/>
        <v>1</v>
      </c>
      <c r="R138" s="7">
        <f t="shared" si="33"/>
        <v>498</v>
      </c>
      <c r="S138" s="5">
        <f t="shared" si="30"/>
        <v>0</v>
      </c>
      <c r="T138" s="7">
        <f t="shared" si="31"/>
        <v>0</v>
      </c>
    </row>
    <row r="139" spans="1:20">
      <c r="A139" s="23" t="s">
        <v>159</v>
      </c>
      <c r="B139" s="35" t="s">
        <v>155</v>
      </c>
      <c r="C139" s="36">
        <v>224</v>
      </c>
      <c r="D139" s="6"/>
      <c r="E139" s="113">
        <v>13699762</v>
      </c>
      <c r="F139" s="116">
        <f t="shared" si="26"/>
        <v>61159.651785714283</v>
      </c>
      <c r="G139" s="117">
        <v>3139111</v>
      </c>
      <c r="H139" s="117">
        <f t="shared" si="27"/>
        <v>14013.888392857143</v>
      </c>
      <c r="I139" s="9" t="s">
        <v>528</v>
      </c>
      <c r="J139" s="11"/>
      <c r="K139" s="117"/>
      <c r="L139" s="120"/>
      <c r="M139" s="122">
        <f t="shared" si="34"/>
        <v>31391.11</v>
      </c>
      <c r="N139" s="116">
        <f t="shared" si="35"/>
        <v>31391.11</v>
      </c>
      <c r="O139" s="123">
        <f t="shared" si="36"/>
        <v>140.13888392857143</v>
      </c>
      <c r="P139" s="5"/>
      <c r="Q139" s="5">
        <f t="shared" si="32"/>
        <v>1</v>
      </c>
      <c r="R139" s="7">
        <f t="shared" si="33"/>
        <v>224</v>
      </c>
      <c r="S139" s="5">
        <f t="shared" si="30"/>
        <v>0</v>
      </c>
      <c r="T139" s="7">
        <f t="shared" si="31"/>
        <v>0</v>
      </c>
    </row>
    <row r="140" spans="1:20">
      <c r="A140" s="23" t="s">
        <v>160</v>
      </c>
      <c r="B140" s="35" t="s">
        <v>161</v>
      </c>
      <c r="C140" s="36">
        <v>4687</v>
      </c>
      <c r="D140" s="6"/>
      <c r="E140" s="113">
        <v>218250276</v>
      </c>
      <c r="F140" s="116">
        <f t="shared" si="26"/>
        <v>46565.025816087051</v>
      </c>
      <c r="G140" s="117">
        <v>120960239</v>
      </c>
      <c r="H140" s="117">
        <f t="shared" si="27"/>
        <v>25807.603797738426</v>
      </c>
      <c r="I140" s="7"/>
      <c r="J140" s="11">
        <v>4.4301000000000004</v>
      </c>
      <c r="K140" s="117">
        <v>535866</v>
      </c>
      <c r="L140" s="120">
        <f t="shared" ref="L140:L145" si="37">(K140/C140)</f>
        <v>114.3302752293578</v>
      </c>
      <c r="M140" s="122">
        <f t="shared" si="34"/>
        <v>1209602.3900000001</v>
      </c>
      <c r="N140" s="116">
        <f t="shared" si="35"/>
        <v>673736.39000000013</v>
      </c>
      <c r="O140" s="123">
        <f t="shared" si="36"/>
        <v>143.74576274802649</v>
      </c>
      <c r="P140" s="5"/>
      <c r="Q140" s="5">
        <f t="shared" si="32"/>
        <v>1</v>
      </c>
      <c r="R140" s="7">
        <f t="shared" si="33"/>
        <v>4687</v>
      </c>
      <c r="S140" s="5">
        <f t="shared" si="30"/>
        <v>1</v>
      </c>
      <c r="T140" s="7">
        <f t="shared" si="31"/>
        <v>4687</v>
      </c>
    </row>
    <row r="141" spans="1:20">
      <c r="A141" s="23" t="s">
        <v>162</v>
      </c>
      <c r="B141" s="35" t="s">
        <v>161</v>
      </c>
      <c r="C141" s="36">
        <v>3674</v>
      </c>
      <c r="D141" s="6"/>
      <c r="E141" s="113">
        <v>2986543316</v>
      </c>
      <c r="F141" s="116">
        <f t="shared" si="26"/>
        <v>812886.04137180187</v>
      </c>
      <c r="G141" s="117">
        <v>2544003288</v>
      </c>
      <c r="H141" s="117">
        <f t="shared" si="27"/>
        <v>692434.21012520418</v>
      </c>
      <c r="I141" s="7"/>
      <c r="J141" s="10">
        <v>1.3923000000000001</v>
      </c>
      <c r="K141" s="117">
        <v>3542016</v>
      </c>
      <c r="L141" s="120">
        <f t="shared" si="37"/>
        <v>964.07621121393572</v>
      </c>
      <c r="M141" s="122">
        <f t="shared" si="34"/>
        <v>25440032.879999999</v>
      </c>
      <c r="N141" s="116">
        <f t="shared" si="35"/>
        <v>21898016.879999999</v>
      </c>
      <c r="O141" s="123">
        <f t="shared" si="36"/>
        <v>5960.2658900381057</v>
      </c>
      <c r="P141" s="5"/>
      <c r="Q141" s="5">
        <f t="shared" si="32"/>
        <v>1</v>
      </c>
      <c r="R141" s="7">
        <f t="shared" si="33"/>
        <v>3674</v>
      </c>
      <c r="S141" s="5">
        <f t="shared" si="30"/>
        <v>1</v>
      </c>
      <c r="T141" s="7">
        <f t="shared" si="31"/>
        <v>3674</v>
      </c>
    </row>
    <row r="142" spans="1:20">
      <c r="A142" s="23" t="s">
        <v>163</v>
      </c>
      <c r="B142" s="35" t="s">
        <v>161</v>
      </c>
      <c r="C142" s="36">
        <v>303</v>
      </c>
      <c r="D142" s="6"/>
      <c r="E142" s="113">
        <v>593458640</v>
      </c>
      <c r="F142" s="116">
        <f t="shared" si="26"/>
        <v>1958609.3729372937</v>
      </c>
      <c r="G142" s="117">
        <v>541386480</v>
      </c>
      <c r="H142" s="117">
        <f t="shared" si="27"/>
        <v>1786754.0594059406</v>
      </c>
      <c r="I142" s="7"/>
      <c r="J142" s="10">
        <v>0.44940000000000002</v>
      </c>
      <c r="K142" s="117">
        <v>243299</v>
      </c>
      <c r="L142" s="120">
        <f t="shared" si="37"/>
        <v>802.96699669966995</v>
      </c>
      <c r="M142" s="122">
        <f t="shared" si="34"/>
        <v>5413864.7999999998</v>
      </c>
      <c r="N142" s="116">
        <f t="shared" si="35"/>
        <v>5170565.8</v>
      </c>
      <c r="O142" s="123">
        <f t="shared" si="36"/>
        <v>17064.573597359737</v>
      </c>
      <c r="P142" s="5"/>
      <c r="Q142" s="5">
        <f t="shared" si="32"/>
        <v>1</v>
      </c>
      <c r="R142" s="7">
        <f t="shared" si="33"/>
        <v>303</v>
      </c>
      <c r="S142" s="5">
        <f t="shared" si="30"/>
        <v>1</v>
      </c>
      <c r="T142" s="7">
        <f t="shared" si="31"/>
        <v>303</v>
      </c>
    </row>
    <row r="143" spans="1:20">
      <c r="A143" s="23" t="s">
        <v>164</v>
      </c>
      <c r="B143" s="35" t="s">
        <v>161</v>
      </c>
      <c r="C143" s="36">
        <v>22426</v>
      </c>
      <c r="D143" s="6"/>
      <c r="E143" s="113">
        <v>2251265211</v>
      </c>
      <c r="F143" s="116">
        <f t="shared" si="26"/>
        <v>100386.39128689913</v>
      </c>
      <c r="G143" s="117">
        <v>1601474712</v>
      </c>
      <c r="H143" s="117">
        <f t="shared" si="27"/>
        <v>71411.518416124149</v>
      </c>
      <c r="I143" s="7"/>
      <c r="J143" s="10">
        <v>2.9916999999999998</v>
      </c>
      <c r="K143" s="117">
        <v>4791132</v>
      </c>
      <c r="L143" s="120">
        <f t="shared" si="37"/>
        <v>213.64184428788013</v>
      </c>
      <c r="M143" s="122">
        <f t="shared" si="34"/>
        <v>16014747.120000001</v>
      </c>
      <c r="N143" s="116">
        <f t="shared" si="35"/>
        <v>11223615.120000001</v>
      </c>
      <c r="O143" s="123">
        <f t="shared" si="36"/>
        <v>500.47333987336134</v>
      </c>
      <c r="P143" s="5"/>
      <c r="Q143" s="5">
        <f t="shared" si="32"/>
        <v>1</v>
      </c>
      <c r="R143" s="7">
        <f t="shared" si="33"/>
        <v>22426</v>
      </c>
      <c r="S143" s="5">
        <f t="shared" si="30"/>
        <v>1</v>
      </c>
      <c r="T143" s="7">
        <f t="shared" si="31"/>
        <v>22426</v>
      </c>
    </row>
    <row r="144" spans="1:20">
      <c r="A144" s="23" t="s">
        <v>165</v>
      </c>
      <c r="B144" s="35" t="s">
        <v>161</v>
      </c>
      <c r="C144" s="36">
        <v>18060</v>
      </c>
      <c r="D144" s="6"/>
      <c r="E144" s="113">
        <v>3950081364</v>
      </c>
      <c r="F144" s="116">
        <f t="shared" si="26"/>
        <v>218719.89833887044</v>
      </c>
      <c r="G144" s="117">
        <v>2857215338</v>
      </c>
      <c r="H144" s="117">
        <f t="shared" si="27"/>
        <v>158206.82934662237</v>
      </c>
      <c r="I144" s="7"/>
      <c r="J144" s="10">
        <v>1.9367000000000001</v>
      </c>
      <c r="K144" s="117">
        <v>5533569</v>
      </c>
      <c r="L144" s="120">
        <f t="shared" si="37"/>
        <v>306.39916943521592</v>
      </c>
      <c r="M144" s="122">
        <f t="shared" si="34"/>
        <v>28572153.379999999</v>
      </c>
      <c r="N144" s="116">
        <f t="shared" si="35"/>
        <v>23038584.379999999</v>
      </c>
      <c r="O144" s="123">
        <f t="shared" si="36"/>
        <v>1275.6691240310076</v>
      </c>
      <c r="P144" s="5"/>
      <c r="Q144" s="5">
        <f t="shared" si="32"/>
        <v>1</v>
      </c>
      <c r="R144" s="7">
        <f t="shared" si="33"/>
        <v>18060</v>
      </c>
      <c r="S144" s="5">
        <f t="shared" si="30"/>
        <v>1</v>
      </c>
      <c r="T144" s="7">
        <f t="shared" si="31"/>
        <v>18060</v>
      </c>
    </row>
    <row r="145" spans="1:20">
      <c r="A145" s="23" t="s">
        <v>166</v>
      </c>
      <c r="B145" s="35" t="s">
        <v>167</v>
      </c>
      <c r="C145" s="36">
        <v>494</v>
      </c>
      <c r="D145" s="6"/>
      <c r="E145" s="113">
        <v>12932370</v>
      </c>
      <c r="F145" s="116">
        <f t="shared" si="26"/>
        <v>26178.886639676115</v>
      </c>
      <c r="G145" s="117">
        <v>6937512</v>
      </c>
      <c r="H145" s="117">
        <f t="shared" si="27"/>
        <v>14043.546558704453</v>
      </c>
      <c r="I145" s="9"/>
      <c r="J145" s="10">
        <v>1.42</v>
      </c>
      <c r="K145" s="117">
        <v>9851</v>
      </c>
      <c r="L145" s="120">
        <f t="shared" si="37"/>
        <v>19.941295546558706</v>
      </c>
      <c r="M145" s="122">
        <f t="shared" si="34"/>
        <v>69375.12</v>
      </c>
      <c r="N145" s="116">
        <f t="shared" si="35"/>
        <v>59524.119999999995</v>
      </c>
      <c r="O145" s="123">
        <f t="shared" si="36"/>
        <v>120.49417004048583</v>
      </c>
      <c r="P145" s="5"/>
      <c r="Q145" s="5">
        <f t="shared" si="32"/>
        <v>1</v>
      </c>
      <c r="R145" s="7">
        <f t="shared" si="33"/>
        <v>494</v>
      </c>
      <c r="S145" s="5">
        <f t="shared" si="30"/>
        <v>1</v>
      </c>
      <c r="T145" s="7">
        <f t="shared" si="31"/>
        <v>494</v>
      </c>
    </row>
    <row r="146" spans="1:20">
      <c r="A146" s="23" t="s">
        <v>168</v>
      </c>
      <c r="B146" s="35" t="s">
        <v>167</v>
      </c>
      <c r="C146" s="36">
        <v>111</v>
      </c>
      <c r="D146" s="6"/>
      <c r="E146" s="113">
        <v>3504818</v>
      </c>
      <c r="F146" s="116">
        <f t="shared" si="26"/>
        <v>31574.936936936938</v>
      </c>
      <c r="G146" s="117">
        <v>1706811</v>
      </c>
      <c r="H146" s="117">
        <f t="shared" si="27"/>
        <v>15376.675675675675</v>
      </c>
      <c r="I146" s="9" t="s">
        <v>528</v>
      </c>
      <c r="J146" s="10"/>
      <c r="K146" s="117"/>
      <c r="L146" s="120"/>
      <c r="M146" s="122">
        <f t="shared" si="34"/>
        <v>17068.11</v>
      </c>
      <c r="N146" s="116">
        <f t="shared" si="35"/>
        <v>17068.11</v>
      </c>
      <c r="O146" s="123">
        <f t="shared" si="36"/>
        <v>153.76675675675676</v>
      </c>
      <c r="P146" s="5"/>
      <c r="Q146" s="5">
        <f t="shared" si="32"/>
        <v>1</v>
      </c>
      <c r="R146" s="7">
        <f t="shared" si="33"/>
        <v>111</v>
      </c>
      <c r="S146" s="5">
        <f t="shared" si="30"/>
        <v>0</v>
      </c>
      <c r="T146" s="7">
        <f t="shared" si="31"/>
        <v>0</v>
      </c>
    </row>
    <row r="147" spans="1:20">
      <c r="A147" s="23" t="s">
        <v>169</v>
      </c>
      <c r="B147" s="35" t="s">
        <v>167</v>
      </c>
      <c r="C147" s="36">
        <v>245</v>
      </c>
      <c r="D147" s="6"/>
      <c r="E147" s="113">
        <v>9329823</v>
      </c>
      <c r="F147" s="116">
        <f t="shared" si="26"/>
        <v>38080.910204081636</v>
      </c>
      <c r="G147" s="117">
        <v>5623750</v>
      </c>
      <c r="H147" s="117">
        <f t="shared" si="27"/>
        <v>22954.081632653062</v>
      </c>
      <c r="I147" s="7"/>
      <c r="J147" s="12">
        <v>2</v>
      </c>
      <c r="K147" s="117">
        <v>11248</v>
      </c>
      <c r="L147" s="120">
        <f>(K147/C147)</f>
        <v>45.910204081632656</v>
      </c>
      <c r="M147" s="122">
        <f t="shared" si="34"/>
        <v>56237.5</v>
      </c>
      <c r="N147" s="116">
        <f t="shared" si="35"/>
        <v>44989.5</v>
      </c>
      <c r="O147" s="123">
        <f t="shared" si="36"/>
        <v>183.63061224489795</v>
      </c>
      <c r="P147" s="5"/>
      <c r="Q147" s="5">
        <f t="shared" si="32"/>
        <v>1</v>
      </c>
      <c r="R147" s="7">
        <f t="shared" si="33"/>
        <v>245</v>
      </c>
      <c r="S147" s="5">
        <f t="shared" si="30"/>
        <v>1</v>
      </c>
      <c r="T147" s="7">
        <f t="shared" si="31"/>
        <v>245</v>
      </c>
    </row>
    <row r="148" spans="1:20">
      <c r="A148" s="23" t="s">
        <v>170</v>
      </c>
      <c r="B148" s="35" t="s">
        <v>167</v>
      </c>
      <c r="C148" s="36">
        <v>918</v>
      </c>
      <c r="D148" s="6"/>
      <c r="E148" s="113">
        <v>28430254</v>
      </c>
      <c r="F148" s="116">
        <f t="shared" si="26"/>
        <v>30969.775599128541</v>
      </c>
      <c r="G148" s="117">
        <v>16218146</v>
      </c>
      <c r="H148" s="117">
        <f t="shared" si="27"/>
        <v>17666.825708061002</v>
      </c>
      <c r="I148" s="7"/>
      <c r="J148" s="10">
        <v>3.5</v>
      </c>
      <c r="K148" s="117">
        <v>56764</v>
      </c>
      <c r="L148" s="120">
        <f>(K148/C148)</f>
        <v>61.834422657952068</v>
      </c>
      <c r="M148" s="122">
        <f t="shared" si="34"/>
        <v>162181.46</v>
      </c>
      <c r="N148" s="116">
        <f t="shared" si="35"/>
        <v>105417.45999999999</v>
      </c>
      <c r="O148" s="123">
        <f t="shared" si="36"/>
        <v>114.83383442265794</v>
      </c>
      <c r="P148" s="5"/>
      <c r="Q148" s="5">
        <f t="shared" si="32"/>
        <v>1</v>
      </c>
      <c r="R148" s="7">
        <f t="shared" si="33"/>
        <v>918</v>
      </c>
      <c r="S148" s="5">
        <f t="shared" si="30"/>
        <v>1</v>
      </c>
      <c r="T148" s="7">
        <f t="shared" si="31"/>
        <v>918</v>
      </c>
    </row>
    <row r="149" spans="1:20">
      <c r="A149" s="23" t="s">
        <v>171</v>
      </c>
      <c r="B149" s="35" t="s">
        <v>167</v>
      </c>
      <c r="C149" s="36">
        <v>2523</v>
      </c>
      <c r="D149" s="6"/>
      <c r="E149" s="113">
        <v>118282823</v>
      </c>
      <c r="F149" s="116">
        <f t="shared" si="26"/>
        <v>46881.816488307573</v>
      </c>
      <c r="G149" s="117">
        <v>73056897</v>
      </c>
      <c r="H149" s="117">
        <f t="shared" si="27"/>
        <v>28956.360285374554</v>
      </c>
      <c r="I149" s="9"/>
      <c r="J149" s="10">
        <v>3.64</v>
      </c>
      <c r="K149" s="117">
        <v>265927</v>
      </c>
      <c r="L149" s="120">
        <f>(K149/C149)</f>
        <v>105.40110978993262</v>
      </c>
      <c r="M149" s="122">
        <f t="shared" si="34"/>
        <v>730568.97</v>
      </c>
      <c r="N149" s="116">
        <f t="shared" si="35"/>
        <v>464641.97</v>
      </c>
      <c r="O149" s="123">
        <f t="shared" si="36"/>
        <v>184.16249306381292</v>
      </c>
      <c r="P149" s="5"/>
      <c r="Q149" s="5">
        <f t="shared" si="32"/>
        <v>1</v>
      </c>
      <c r="R149" s="7">
        <f t="shared" si="33"/>
        <v>2523</v>
      </c>
      <c r="S149" s="5">
        <f t="shared" si="30"/>
        <v>1</v>
      </c>
      <c r="T149" s="7">
        <f t="shared" si="31"/>
        <v>2523</v>
      </c>
    </row>
    <row r="150" spans="1:20">
      <c r="A150" s="23" t="s">
        <v>172</v>
      </c>
      <c r="B150" s="35" t="s">
        <v>167</v>
      </c>
      <c r="C150" s="36">
        <v>913</v>
      </c>
      <c r="D150" s="6"/>
      <c r="E150" s="113">
        <v>25619310</v>
      </c>
      <c r="F150" s="116">
        <f t="shared" si="26"/>
        <v>28060.580503833517</v>
      </c>
      <c r="G150" s="117">
        <v>11942247</v>
      </c>
      <c r="H150" s="117">
        <f t="shared" si="27"/>
        <v>13080.226725082146</v>
      </c>
      <c r="I150" s="9" t="s">
        <v>528</v>
      </c>
      <c r="J150" s="10"/>
      <c r="K150" s="117"/>
      <c r="L150" s="120"/>
      <c r="M150" s="122">
        <f t="shared" si="34"/>
        <v>119422.47</v>
      </c>
      <c r="N150" s="116">
        <f t="shared" si="35"/>
        <v>119422.47</v>
      </c>
      <c r="O150" s="123">
        <f t="shared" si="36"/>
        <v>130.80226725082147</v>
      </c>
      <c r="P150" s="5"/>
      <c r="Q150" s="5">
        <f t="shared" si="32"/>
        <v>1</v>
      </c>
      <c r="R150" s="7">
        <f t="shared" si="33"/>
        <v>913</v>
      </c>
      <c r="S150" s="5">
        <f t="shared" si="30"/>
        <v>0</v>
      </c>
      <c r="T150" s="7">
        <f t="shared" si="31"/>
        <v>0</v>
      </c>
    </row>
    <row r="151" spans="1:20">
      <c r="A151" s="23" t="s">
        <v>173</v>
      </c>
      <c r="B151" s="35" t="s">
        <v>167</v>
      </c>
      <c r="C151" s="36">
        <v>777</v>
      </c>
      <c r="D151" s="6"/>
      <c r="E151" s="113">
        <v>24666514</v>
      </c>
      <c r="F151" s="116">
        <f t="shared" si="26"/>
        <v>31745.835263835263</v>
      </c>
      <c r="G151" s="117">
        <v>13053162</v>
      </c>
      <c r="H151" s="117">
        <f t="shared" si="27"/>
        <v>16799.436293436294</v>
      </c>
      <c r="I151" s="7"/>
      <c r="J151" s="11">
        <v>1</v>
      </c>
      <c r="K151" s="117">
        <v>13053</v>
      </c>
      <c r="L151" s="120">
        <f>(K151/C151)</f>
        <v>16.799227799227801</v>
      </c>
      <c r="M151" s="122">
        <f t="shared" si="34"/>
        <v>130531.62000000001</v>
      </c>
      <c r="N151" s="116">
        <f t="shared" si="35"/>
        <v>117478.62000000001</v>
      </c>
      <c r="O151" s="123">
        <f t="shared" si="36"/>
        <v>151.19513513513516</v>
      </c>
      <c r="P151" s="5"/>
      <c r="Q151" s="5">
        <f t="shared" si="32"/>
        <v>1</v>
      </c>
      <c r="R151" s="7">
        <f t="shared" si="33"/>
        <v>777</v>
      </c>
      <c r="S151" s="5">
        <f t="shared" si="30"/>
        <v>1</v>
      </c>
      <c r="T151" s="7">
        <f t="shared" si="31"/>
        <v>777</v>
      </c>
    </row>
    <row r="152" spans="1:20">
      <c r="A152" s="23" t="s">
        <v>508</v>
      </c>
      <c r="B152" s="35" t="s">
        <v>167</v>
      </c>
      <c r="C152" s="36">
        <v>291</v>
      </c>
      <c r="D152" s="6"/>
      <c r="E152" s="113">
        <v>6586799</v>
      </c>
      <c r="F152" s="116">
        <f t="shared" si="26"/>
        <v>22635.048109965635</v>
      </c>
      <c r="G152" s="117">
        <v>3233040</v>
      </c>
      <c r="H152" s="117">
        <f t="shared" si="27"/>
        <v>11110.103092783505</v>
      </c>
      <c r="I152" s="9"/>
      <c r="J152" s="10">
        <v>3</v>
      </c>
      <c r="K152" s="117">
        <v>9699</v>
      </c>
      <c r="L152" s="120">
        <f>(K152/C152)</f>
        <v>33.329896907216494</v>
      </c>
      <c r="M152" s="122">
        <f t="shared" si="34"/>
        <v>32330.400000000001</v>
      </c>
      <c r="N152" s="116">
        <f t="shared" si="35"/>
        <v>22631.4</v>
      </c>
      <c r="O152" s="123">
        <f t="shared" si="36"/>
        <v>77.771134020618561</v>
      </c>
      <c r="P152" s="5"/>
      <c r="Q152" s="5">
        <f t="shared" si="32"/>
        <v>1</v>
      </c>
      <c r="R152" s="7">
        <f t="shared" si="33"/>
        <v>291</v>
      </c>
      <c r="S152" s="5">
        <f t="shared" si="30"/>
        <v>1</v>
      </c>
      <c r="T152" s="7">
        <f t="shared" si="31"/>
        <v>291</v>
      </c>
    </row>
    <row r="153" spans="1:20">
      <c r="A153" s="23" t="s">
        <v>175</v>
      </c>
      <c r="B153" s="35" t="s">
        <v>167</v>
      </c>
      <c r="C153" s="36">
        <v>2281</v>
      </c>
      <c r="D153" s="6"/>
      <c r="E153" s="113">
        <v>46342969</v>
      </c>
      <c r="F153" s="116">
        <f t="shared" si="26"/>
        <v>20316.952652345462</v>
      </c>
      <c r="G153" s="117">
        <v>12428058</v>
      </c>
      <c r="H153" s="117">
        <f t="shared" si="27"/>
        <v>5448.5129329241563</v>
      </c>
      <c r="I153" s="9" t="s">
        <v>528</v>
      </c>
      <c r="J153" s="10"/>
      <c r="K153" s="117"/>
      <c r="L153" s="120"/>
      <c r="M153" s="122">
        <f t="shared" si="34"/>
        <v>124280.58</v>
      </c>
      <c r="N153" s="116">
        <f t="shared" si="35"/>
        <v>124280.58</v>
      </c>
      <c r="O153" s="123">
        <f t="shared" si="36"/>
        <v>54.485129329241559</v>
      </c>
      <c r="P153" s="5"/>
      <c r="Q153" s="5">
        <f t="shared" si="32"/>
        <v>1</v>
      </c>
      <c r="R153" s="7">
        <f t="shared" si="33"/>
        <v>2281</v>
      </c>
      <c r="S153" s="5">
        <f t="shared" si="30"/>
        <v>0</v>
      </c>
      <c r="T153" s="7">
        <f t="shared" si="31"/>
        <v>0</v>
      </c>
    </row>
    <row r="154" spans="1:20">
      <c r="A154" s="23" t="s">
        <v>176</v>
      </c>
      <c r="B154" s="35" t="s">
        <v>167</v>
      </c>
      <c r="C154" s="36">
        <v>6531</v>
      </c>
      <c r="D154" s="6"/>
      <c r="E154" s="113">
        <v>370764281</v>
      </c>
      <c r="F154" s="116">
        <f t="shared" si="26"/>
        <v>56769.909814729748</v>
      </c>
      <c r="G154" s="117">
        <v>225352934</v>
      </c>
      <c r="H154" s="117">
        <f t="shared" si="27"/>
        <v>34505.119277292913</v>
      </c>
      <c r="I154" s="7"/>
      <c r="J154" s="11">
        <v>1.952</v>
      </c>
      <c r="K154" s="117">
        <v>439889</v>
      </c>
      <c r="L154" s="120">
        <f t="shared" ref="L154:L198" si="38">(K154/C154)</f>
        <v>67.354003981013634</v>
      </c>
      <c r="M154" s="122">
        <f t="shared" si="34"/>
        <v>2253529.34</v>
      </c>
      <c r="N154" s="116">
        <f t="shared" si="35"/>
        <v>1813640.3399999999</v>
      </c>
      <c r="O154" s="123">
        <f t="shared" si="36"/>
        <v>277.69718879191544</v>
      </c>
      <c r="P154" s="5"/>
      <c r="Q154" s="5">
        <f t="shared" si="32"/>
        <v>1</v>
      </c>
      <c r="R154" s="7">
        <f t="shared" si="33"/>
        <v>6531</v>
      </c>
      <c r="S154" s="5">
        <f t="shared" si="30"/>
        <v>1</v>
      </c>
      <c r="T154" s="7">
        <f t="shared" si="31"/>
        <v>6531</v>
      </c>
    </row>
    <row r="155" spans="1:20">
      <c r="A155" s="23" t="s">
        <v>177</v>
      </c>
      <c r="B155" s="35" t="s">
        <v>167</v>
      </c>
      <c r="C155" s="36">
        <v>1972</v>
      </c>
      <c r="D155" s="6"/>
      <c r="E155" s="113">
        <v>63830287</v>
      </c>
      <c r="F155" s="116">
        <f t="shared" si="26"/>
        <v>32368.299695740367</v>
      </c>
      <c r="G155" s="117">
        <v>32873252</v>
      </c>
      <c r="H155" s="117">
        <f t="shared" si="27"/>
        <v>16670.006085192697</v>
      </c>
      <c r="I155" s="7"/>
      <c r="J155" s="10">
        <v>0.4768</v>
      </c>
      <c r="K155" s="117">
        <v>15674</v>
      </c>
      <c r="L155" s="120">
        <f t="shared" si="38"/>
        <v>7.9482758620689653</v>
      </c>
      <c r="M155" s="122">
        <f t="shared" si="34"/>
        <v>328732.52</v>
      </c>
      <c r="N155" s="116">
        <f t="shared" si="35"/>
        <v>313058.52</v>
      </c>
      <c r="O155" s="123">
        <f t="shared" si="36"/>
        <v>158.75178498985801</v>
      </c>
      <c r="P155" s="5"/>
      <c r="Q155" s="5">
        <f t="shared" si="32"/>
        <v>1</v>
      </c>
      <c r="R155" s="7">
        <f t="shared" si="33"/>
        <v>1972</v>
      </c>
      <c r="S155" s="5">
        <f t="shared" si="30"/>
        <v>1</v>
      </c>
      <c r="T155" s="7">
        <f t="shared" si="31"/>
        <v>1972</v>
      </c>
    </row>
    <row r="156" spans="1:20">
      <c r="A156" s="23" t="s">
        <v>178</v>
      </c>
      <c r="B156" s="35" t="s">
        <v>179</v>
      </c>
      <c r="C156" s="36">
        <v>2554</v>
      </c>
      <c r="D156" s="6"/>
      <c r="E156" s="113">
        <v>158729194</v>
      </c>
      <c r="F156" s="116">
        <f t="shared" si="26"/>
        <v>62149.25371965544</v>
      </c>
      <c r="G156" s="117">
        <v>99096671</v>
      </c>
      <c r="H156" s="117">
        <f t="shared" si="27"/>
        <v>38800.575959279558</v>
      </c>
      <c r="I156" s="7"/>
      <c r="J156" s="10">
        <v>6</v>
      </c>
      <c r="K156" s="117">
        <v>594580</v>
      </c>
      <c r="L156" s="120">
        <f t="shared" si="38"/>
        <v>232.80344557556774</v>
      </c>
      <c r="M156" s="122">
        <f t="shared" si="34"/>
        <v>990966.71</v>
      </c>
      <c r="N156" s="116">
        <f t="shared" si="35"/>
        <v>396386.70999999996</v>
      </c>
      <c r="O156" s="123">
        <f t="shared" si="36"/>
        <v>155.20231401722788</v>
      </c>
      <c r="P156" s="5"/>
      <c r="Q156" s="5">
        <f t="shared" si="32"/>
        <v>1</v>
      </c>
      <c r="R156" s="7">
        <f t="shared" si="33"/>
        <v>2554</v>
      </c>
      <c r="S156" s="5">
        <f t="shared" si="30"/>
        <v>1</v>
      </c>
      <c r="T156" s="7">
        <f t="shared" si="31"/>
        <v>2554</v>
      </c>
    </row>
    <row r="157" spans="1:20">
      <c r="A157" s="23" t="s">
        <v>180</v>
      </c>
      <c r="B157" s="35" t="s">
        <v>181</v>
      </c>
      <c r="C157" s="36">
        <v>1013</v>
      </c>
      <c r="D157" s="6"/>
      <c r="E157" s="113">
        <v>43813437</v>
      </c>
      <c r="F157" s="116">
        <f t="shared" si="26"/>
        <v>43251.171767028631</v>
      </c>
      <c r="G157" s="117">
        <v>22727596</v>
      </c>
      <c r="H157" s="117">
        <f t="shared" si="27"/>
        <v>22435.928923988155</v>
      </c>
      <c r="I157" s="7"/>
      <c r="J157" s="10">
        <v>2.5</v>
      </c>
      <c r="K157" s="117">
        <v>56819</v>
      </c>
      <c r="L157" s="120">
        <f t="shared" si="38"/>
        <v>56.089832181638698</v>
      </c>
      <c r="M157" s="122">
        <f t="shared" si="34"/>
        <v>227275.96</v>
      </c>
      <c r="N157" s="116">
        <f t="shared" si="35"/>
        <v>170456.95999999999</v>
      </c>
      <c r="O157" s="123">
        <f t="shared" si="36"/>
        <v>168.26945705824284</v>
      </c>
      <c r="P157" s="5"/>
      <c r="Q157" s="5">
        <f t="shared" si="32"/>
        <v>1</v>
      </c>
      <c r="R157" s="7">
        <f t="shared" si="33"/>
        <v>1013</v>
      </c>
      <c r="S157" s="5">
        <f t="shared" si="30"/>
        <v>1</v>
      </c>
      <c r="T157" s="7">
        <f t="shared" si="31"/>
        <v>1013</v>
      </c>
    </row>
    <row r="158" spans="1:20">
      <c r="A158" s="23" t="s">
        <v>182</v>
      </c>
      <c r="B158" s="35" t="s">
        <v>183</v>
      </c>
      <c r="C158" s="36">
        <v>1649</v>
      </c>
      <c r="D158" s="6"/>
      <c r="E158" s="113">
        <v>95703926</v>
      </c>
      <c r="F158" s="116">
        <f t="shared" si="26"/>
        <v>58037.553668890236</v>
      </c>
      <c r="G158" s="113">
        <v>74099645</v>
      </c>
      <c r="H158" s="117">
        <f t="shared" si="27"/>
        <v>44936.109763493027</v>
      </c>
      <c r="I158" s="7"/>
      <c r="J158" s="10">
        <v>4.5</v>
      </c>
      <c r="K158" s="117">
        <v>333448</v>
      </c>
      <c r="L158" s="120">
        <f t="shared" si="38"/>
        <v>202.21224984839296</v>
      </c>
      <c r="M158" s="122">
        <f t="shared" si="34"/>
        <v>740996.45000000007</v>
      </c>
      <c r="N158" s="116">
        <f t="shared" si="35"/>
        <v>407548.45000000007</v>
      </c>
      <c r="O158" s="123">
        <f t="shared" si="36"/>
        <v>247.14884778653735</v>
      </c>
      <c r="P158" s="5"/>
      <c r="Q158" s="5">
        <f t="shared" si="32"/>
        <v>1</v>
      </c>
      <c r="R158" s="7">
        <f t="shared" si="33"/>
        <v>1649</v>
      </c>
      <c r="S158" s="5">
        <f t="shared" si="30"/>
        <v>1</v>
      </c>
      <c r="T158" s="7">
        <f t="shared" si="31"/>
        <v>1649</v>
      </c>
    </row>
    <row r="159" spans="1:20">
      <c r="A159" s="23" t="s">
        <v>184</v>
      </c>
      <c r="B159" s="35" t="s">
        <v>183</v>
      </c>
      <c r="C159" s="36">
        <v>22882</v>
      </c>
      <c r="D159" s="6"/>
      <c r="E159" s="113">
        <v>3161973888</v>
      </c>
      <c r="F159" s="116">
        <f t="shared" si="26"/>
        <v>138186.08023774147</v>
      </c>
      <c r="G159" s="117">
        <v>2485603197</v>
      </c>
      <c r="H159" s="117">
        <f t="shared" si="27"/>
        <v>108627.00799755266</v>
      </c>
      <c r="I159" s="7"/>
      <c r="J159" s="10">
        <v>3.1419999999999999</v>
      </c>
      <c r="K159" s="117">
        <v>7809765</v>
      </c>
      <c r="L159" s="120">
        <f t="shared" si="38"/>
        <v>341.30604842234072</v>
      </c>
      <c r="M159" s="122">
        <f t="shared" si="34"/>
        <v>24856031.969999999</v>
      </c>
      <c r="N159" s="116">
        <f t="shared" si="35"/>
        <v>17046266.969999999</v>
      </c>
      <c r="O159" s="123">
        <f t="shared" si="36"/>
        <v>744.96403155318581</v>
      </c>
      <c r="P159" s="5"/>
      <c r="Q159" s="5">
        <f t="shared" si="32"/>
        <v>1</v>
      </c>
      <c r="R159" s="7">
        <f t="shared" si="33"/>
        <v>22882</v>
      </c>
      <c r="S159" s="5">
        <f t="shared" si="30"/>
        <v>1</v>
      </c>
      <c r="T159" s="7">
        <f t="shared" si="31"/>
        <v>22882</v>
      </c>
    </row>
    <row r="160" spans="1:20">
      <c r="A160" s="23" t="s">
        <v>185</v>
      </c>
      <c r="B160" s="35" t="s">
        <v>183</v>
      </c>
      <c r="C160" s="36">
        <v>18401</v>
      </c>
      <c r="D160" s="6"/>
      <c r="E160" s="113">
        <v>1462352142</v>
      </c>
      <c r="F160" s="116">
        <f t="shared" ref="F160:F223" si="39">(E160/C160)</f>
        <v>79471.340796695833</v>
      </c>
      <c r="G160" s="117">
        <v>1067615340</v>
      </c>
      <c r="H160" s="117">
        <f t="shared" ref="H160:H223" si="40">(G160/C160)</f>
        <v>58019.419596761043</v>
      </c>
      <c r="I160" s="7"/>
      <c r="J160" s="10">
        <v>4.7083000000000004</v>
      </c>
      <c r="K160" s="117">
        <v>5026653</v>
      </c>
      <c r="L160" s="120">
        <f t="shared" si="38"/>
        <v>273.17281669474482</v>
      </c>
      <c r="M160" s="122">
        <f t="shared" si="34"/>
        <v>10676153.4</v>
      </c>
      <c r="N160" s="116">
        <f t="shared" si="35"/>
        <v>5649500.4000000004</v>
      </c>
      <c r="O160" s="123">
        <f t="shared" si="36"/>
        <v>307.0213792728656</v>
      </c>
      <c r="P160" s="5"/>
      <c r="Q160" s="5">
        <f t="shared" si="32"/>
        <v>1</v>
      </c>
      <c r="R160" s="7">
        <f t="shared" si="33"/>
        <v>18401</v>
      </c>
      <c r="S160" s="5">
        <f t="shared" si="30"/>
        <v>1</v>
      </c>
      <c r="T160" s="7">
        <f t="shared" si="31"/>
        <v>18401</v>
      </c>
    </row>
    <row r="161" spans="1:20">
      <c r="A161" s="23" t="s">
        <v>186</v>
      </c>
      <c r="B161" s="35" t="s">
        <v>183</v>
      </c>
      <c r="C161" s="36">
        <v>3829</v>
      </c>
      <c r="D161" s="6"/>
      <c r="E161" s="113">
        <v>288824588</v>
      </c>
      <c r="F161" s="116">
        <f t="shared" si="39"/>
        <v>75430.814311830763</v>
      </c>
      <c r="G161" s="117">
        <v>218257628</v>
      </c>
      <c r="H161" s="117">
        <f t="shared" si="40"/>
        <v>57001.208670671193</v>
      </c>
      <c r="I161" s="7"/>
      <c r="J161" s="10">
        <v>4.1399999999999997</v>
      </c>
      <c r="K161" s="117">
        <v>903587</v>
      </c>
      <c r="L161" s="120">
        <f t="shared" si="38"/>
        <v>235.98511360668581</v>
      </c>
      <c r="M161" s="122">
        <f t="shared" si="34"/>
        <v>2182576.2800000003</v>
      </c>
      <c r="N161" s="116">
        <f t="shared" si="35"/>
        <v>1278989.2800000003</v>
      </c>
      <c r="O161" s="123">
        <f t="shared" si="36"/>
        <v>334.02697310002617</v>
      </c>
      <c r="P161" s="5"/>
      <c r="Q161" s="5">
        <f t="shared" si="32"/>
        <v>1</v>
      </c>
      <c r="R161" s="7">
        <f t="shared" si="33"/>
        <v>3829</v>
      </c>
      <c r="S161" s="5">
        <f t="shared" si="30"/>
        <v>1</v>
      </c>
      <c r="T161" s="7">
        <f t="shared" si="31"/>
        <v>3829</v>
      </c>
    </row>
    <row r="162" spans="1:20">
      <c r="A162" s="23" t="s">
        <v>187</v>
      </c>
      <c r="B162" s="35" t="s">
        <v>183</v>
      </c>
      <c r="C162" s="36">
        <v>6983</v>
      </c>
      <c r="D162" s="6"/>
      <c r="E162" s="113">
        <v>778070968</v>
      </c>
      <c r="F162" s="116">
        <f t="shared" si="39"/>
        <v>111423.59558928828</v>
      </c>
      <c r="G162" s="117">
        <v>674729729</v>
      </c>
      <c r="H162" s="117">
        <f t="shared" si="40"/>
        <v>96624.621079765144</v>
      </c>
      <c r="I162" s="7"/>
      <c r="J162" s="10">
        <v>3.968</v>
      </c>
      <c r="K162" s="117">
        <v>2677328</v>
      </c>
      <c r="L162" s="120">
        <f t="shared" si="38"/>
        <v>383.40655878562222</v>
      </c>
      <c r="M162" s="122">
        <f t="shared" si="34"/>
        <v>6747297.29</v>
      </c>
      <c r="N162" s="116">
        <f t="shared" si="35"/>
        <v>4069969.29</v>
      </c>
      <c r="O162" s="123">
        <f t="shared" si="36"/>
        <v>582.83965201202921</v>
      </c>
      <c r="P162" s="5"/>
      <c r="Q162" s="5">
        <f t="shared" si="32"/>
        <v>1</v>
      </c>
      <c r="R162" s="7">
        <f t="shared" si="33"/>
        <v>6983</v>
      </c>
      <c r="S162" s="5">
        <f t="shared" si="30"/>
        <v>1</v>
      </c>
      <c r="T162" s="7">
        <f t="shared" si="31"/>
        <v>6983</v>
      </c>
    </row>
    <row r="163" spans="1:20">
      <c r="A163" s="23" t="s">
        <v>188</v>
      </c>
      <c r="B163" s="35" t="s">
        <v>183</v>
      </c>
      <c r="C163" s="36">
        <v>1223</v>
      </c>
      <c r="D163" s="6"/>
      <c r="E163" s="113">
        <v>156788488</v>
      </c>
      <c r="F163" s="116">
        <f t="shared" si="39"/>
        <v>128199.90842191332</v>
      </c>
      <c r="G163" s="117">
        <v>122673920</v>
      </c>
      <c r="H163" s="117">
        <f t="shared" si="40"/>
        <v>100305.73998364677</v>
      </c>
      <c r="I163" s="7"/>
      <c r="J163" s="10">
        <v>5.4450000000000003</v>
      </c>
      <c r="K163" s="117">
        <v>667959</v>
      </c>
      <c r="L163" s="120">
        <f t="shared" si="38"/>
        <v>546.16434995911698</v>
      </c>
      <c r="M163" s="122">
        <f t="shared" si="34"/>
        <v>1226739.2</v>
      </c>
      <c r="N163" s="116">
        <f t="shared" si="35"/>
        <v>558780.19999999995</v>
      </c>
      <c r="O163" s="123">
        <f t="shared" si="36"/>
        <v>456.89304987735073</v>
      </c>
      <c r="P163" s="5"/>
      <c r="Q163" s="5">
        <f t="shared" si="32"/>
        <v>1</v>
      </c>
      <c r="R163" s="7">
        <f t="shared" si="33"/>
        <v>1223</v>
      </c>
      <c r="S163" s="5">
        <f t="shared" si="30"/>
        <v>1</v>
      </c>
      <c r="T163" s="7">
        <f t="shared" si="31"/>
        <v>1223</v>
      </c>
    </row>
    <row r="164" spans="1:20">
      <c r="A164" s="23" t="s">
        <v>189</v>
      </c>
      <c r="B164" s="35" t="s">
        <v>183</v>
      </c>
      <c r="C164" s="36">
        <v>12842</v>
      </c>
      <c r="D164" s="6"/>
      <c r="E164" s="113">
        <v>1371176427</v>
      </c>
      <c r="F164" s="116">
        <f t="shared" si="39"/>
        <v>106772.8100763121</v>
      </c>
      <c r="G164" s="117">
        <v>941854563</v>
      </c>
      <c r="H164" s="117">
        <f t="shared" si="40"/>
        <v>73341.735165862017</v>
      </c>
      <c r="I164" s="7"/>
      <c r="J164" s="10">
        <v>2.2000000000000002</v>
      </c>
      <c r="K164" s="117">
        <v>2072080</v>
      </c>
      <c r="L164" s="120">
        <f t="shared" si="38"/>
        <v>161.3518143591341</v>
      </c>
      <c r="M164" s="122">
        <f t="shared" si="34"/>
        <v>9418545.6300000008</v>
      </c>
      <c r="N164" s="116">
        <f t="shared" si="35"/>
        <v>7346465.6300000008</v>
      </c>
      <c r="O164" s="123">
        <f t="shared" si="36"/>
        <v>572.0655372994861</v>
      </c>
      <c r="P164" s="5"/>
      <c r="Q164" s="5">
        <f t="shared" si="32"/>
        <v>1</v>
      </c>
      <c r="R164" s="7">
        <f t="shared" si="33"/>
        <v>12842</v>
      </c>
      <c r="S164" s="5">
        <f t="shared" si="30"/>
        <v>1</v>
      </c>
      <c r="T164" s="7">
        <f t="shared" si="31"/>
        <v>12842</v>
      </c>
    </row>
    <row r="165" spans="1:20">
      <c r="A165" s="23" t="s">
        <v>190</v>
      </c>
      <c r="B165" s="35" t="s">
        <v>183</v>
      </c>
      <c r="C165" s="36">
        <v>19934</v>
      </c>
      <c r="D165" s="6"/>
      <c r="E165" s="113">
        <v>2051507567</v>
      </c>
      <c r="F165" s="116">
        <f t="shared" si="39"/>
        <v>102914.99784288151</v>
      </c>
      <c r="G165" s="117">
        <v>1587289789</v>
      </c>
      <c r="H165" s="117">
        <f t="shared" si="40"/>
        <v>79627.259406039928</v>
      </c>
      <c r="I165" s="7"/>
      <c r="J165" s="10">
        <v>4.25</v>
      </c>
      <c r="K165" s="117">
        <v>6745982</v>
      </c>
      <c r="L165" s="120">
        <f t="shared" si="38"/>
        <v>338.41587237885022</v>
      </c>
      <c r="M165" s="122">
        <f t="shared" si="34"/>
        <v>15872897.890000001</v>
      </c>
      <c r="N165" s="116">
        <f t="shared" si="35"/>
        <v>9126915.8900000006</v>
      </c>
      <c r="O165" s="123">
        <f t="shared" si="36"/>
        <v>457.85672168154912</v>
      </c>
      <c r="P165" s="5"/>
      <c r="Q165" s="5">
        <f t="shared" si="32"/>
        <v>1</v>
      </c>
      <c r="R165" s="7">
        <f t="shared" si="33"/>
        <v>19934</v>
      </c>
      <c r="S165" s="5">
        <f t="shared" si="30"/>
        <v>1</v>
      </c>
      <c r="T165" s="7">
        <f t="shared" si="31"/>
        <v>19934</v>
      </c>
    </row>
    <row r="166" spans="1:20">
      <c r="A166" s="23" t="s">
        <v>191</v>
      </c>
      <c r="B166" s="35" t="s">
        <v>183</v>
      </c>
      <c r="C166" s="36">
        <v>4478</v>
      </c>
      <c r="D166" s="6"/>
      <c r="E166" s="113">
        <v>286640313</v>
      </c>
      <c r="F166" s="116">
        <f t="shared" si="39"/>
        <v>64010.788968289417</v>
      </c>
      <c r="G166" s="117">
        <v>217395108</v>
      </c>
      <c r="H166" s="117">
        <f t="shared" si="40"/>
        <v>48547.366681554267</v>
      </c>
      <c r="I166" s="7"/>
      <c r="J166" s="10">
        <v>5.6529999999999996</v>
      </c>
      <c r="K166" s="117">
        <v>1228935</v>
      </c>
      <c r="L166" s="120">
        <f t="shared" si="38"/>
        <v>274.43836534167036</v>
      </c>
      <c r="M166" s="122">
        <f t="shared" si="34"/>
        <v>2173951.08</v>
      </c>
      <c r="N166" s="116">
        <f t="shared" si="35"/>
        <v>945016.08000000007</v>
      </c>
      <c r="O166" s="123">
        <f t="shared" si="36"/>
        <v>211.03530147387229</v>
      </c>
      <c r="P166" s="5"/>
      <c r="Q166" s="5">
        <f t="shared" si="32"/>
        <v>1</v>
      </c>
      <c r="R166" s="7">
        <f t="shared" si="33"/>
        <v>4478</v>
      </c>
      <c r="S166" s="5">
        <f t="shared" si="30"/>
        <v>1</v>
      </c>
      <c r="T166" s="7">
        <f t="shared" si="31"/>
        <v>4478</v>
      </c>
    </row>
    <row r="167" spans="1:20">
      <c r="A167" s="23" t="s">
        <v>192</v>
      </c>
      <c r="B167" s="35" t="s">
        <v>183</v>
      </c>
      <c r="C167" s="36">
        <v>9203</v>
      </c>
      <c r="D167" s="6"/>
      <c r="E167" s="113">
        <v>759636970</v>
      </c>
      <c r="F167" s="116">
        <f t="shared" si="39"/>
        <v>82542.319895686189</v>
      </c>
      <c r="G167" s="117">
        <v>564627905</v>
      </c>
      <c r="H167" s="117">
        <f t="shared" si="40"/>
        <v>61352.592089536018</v>
      </c>
      <c r="I167" s="7"/>
      <c r="J167" s="10">
        <v>3.7370000000000001</v>
      </c>
      <c r="K167" s="117">
        <v>2110014</v>
      </c>
      <c r="L167" s="120">
        <f t="shared" si="38"/>
        <v>229.27458437466044</v>
      </c>
      <c r="M167" s="122">
        <f t="shared" si="34"/>
        <v>5646279.0499999998</v>
      </c>
      <c r="N167" s="116">
        <f t="shared" si="35"/>
        <v>3536265.05</v>
      </c>
      <c r="O167" s="123">
        <f t="shared" si="36"/>
        <v>384.25133652069974</v>
      </c>
      <c r="P167" s="5"/>
      <c r="Q167" s="5">
        <f t="shared" si="32"/>
        <v>1</v>
      </c>
      <c r="R167" s="7">
        <f t="shared" si="33"/>
        <v>9203</v>
      </c>
      <c r="S167" s="5">
        <f t="shared" si="30"/>
        <v>1</v>
      </c>
      <c r="T167" s="7">
        <f t="shared" si="31"/>
        <v>9203</v>
      </c>
    </row>
    <row r="168" spans="1:20">
      <c r="A168" s="23" t="s">
        <v>193</v>
      </c>
      <c r="B168" s="35" t="s">
        <v>183</v>
      </c>
      <c r="C168" s="36">
        <v>1189</v>
      </c>
      <c r="D168" s="6"/>
      <c r="E168" s="113">
        <v>158199695</v>
      </c>
      <c r="F168" s="116">
        <f t="shared" si="39"/>
        <v>133052.72918418839</v>
      </c>
      <c r="G168" s="117">
        <v>110706485</v>
      </c>
      <c r="H168" s="117">
        <f t="shared" si="40"/>
        <v>93108.902439024387</v>
      </c>
      <c r="I168" s="7"/>
      <c r="J168" s="10">
        <v>2.83</v>
      </c>
      <c r="K168" s="117">
        <v>313299</v>
      </c>
      <c r="L168" s="120">
        <f t="shared" si="38"/>
        <v>263.49789739276702</v>
      </c>
      <c r="M168" s="122">
        <f t="shared" si="34"/>
        <v>1107064.8500000001</v>
      </c>
      <c r="N168" s="116">
        <f t="shared" si="35"/>
        <v>793765.85000000009</v>
      </c>
      <c r="O168" s="123">
        <f t="shared" si="36"/>
        <v>667.59112699747698</v>
      </c>
      <c r="P168" s="5"/>
      <c r="Q168" s="5">
        <f t="shared" si="32"/>
        <v>1</v>
      </c>
      <c r="R168" s="7">
        <f t="shared" si="33"/>
        <v>1189</v>
      </c>
      <c r="S168" s="5">
        <f t="shared" si="30"/>
        <v>1</v>
      </c>
      <c r="T168" s="7">
        <f t="shared" si="31"/>
        <v>1189</v>
      </c>
    </row>
    <row r="169" spans="1:20">
      <c r="A169" s="23" t="s">
        <v>194</v>
      </c>
      <c r="B169" s="35" t="s">
        <v>183</v>
      </c>
      <c r="C169" s="36">
        <v>11945</v>
      </c>
      <c r="D169" s="6"/>
      <c r="E169" s="113">
        <v>1372036972</v>
      </c>
      <c r="F169" s="116">
        <f t="shared" si="39"/>
        <v>114862.86915027208</v>
      </c>
      <c r="G169" s="117">
        <v>1072536796</v>
      </c>
      <c r="H169" s="117">
        <f t="shared" si="40"/>
        <v>89789.602009208873</v>
      </c>
      <c r="I169" s="7"/>
      <c r="J169" s="10">
        <v>5.0190000000000001</v>
      </c>
      <c r="K169" s="117">
        <v>5383062</v>
      </c>
      <c r="L169" s="120">
        <f t="shared" si="38"/>
        <v>450.65399748848893</v>
      </c>
      <c r="M169" s="122">
        <f t="shared" si="34"/>
        <v>10725367.960000001</v>
      </c>
      <c r="N169" s="116">
        <f t="shared" si="35"/>
        <v>5342305.9600000009</v>
      </c>
      <c r="O169" s="123">
        <f t="shared" si="36"/>
        <v>447.24202260359993</v>
      </c>
      <c r="P169" s="5"/>
      <c r="Q169" s="5">
        <f t="shared" si="32"/>
        <v>1</v>
      </c>
      <c r="R169" s="7">
        <f t="shared" si="33"/>
        <v>11945</v>
      </c>
      <c r="S169" s="5">
        <f t="shared" si="30"/>
        <v>1</v>
      </c>
      <c r="T169" s="7">
        <f t="shared" si="31"/>
        <v>11945</v>
      </c>
    </row>
    <row r="170" spans="1:20">
      <c r="A170" s="23" t="s">
        <v>195</v>
      </c>
      <c r="B170" s="35" t="s">
        <v>183</v>
      </c>
      <c r="C170" s="36">
        <v>13013</v>
      </c>
      <c r="D170" s="6"/>
      <c r="E170" s="113">
        <v>1363291090</v>
      </c>
      <c r="F170" s="116">
        <f t="shared" si="39"/>
        <v>104763.78160301238</v>
      </c>
      <c r="G170" s="117">
        <v>913861194</v>
      </c>
      <c r="H170" s="117">
        <f t="shared" si="40"/>
        <v>70226.788134941977</v>
      </c>
      <c r="I170" s="7"/>
      <c r="J170" s="10">
        <v>5.42</v>
      </c>
      <c r="K170" s="117">
        <v>4953128</v>
      </c>
      <c r="L170" s="120">
        <f t="shared" si="38"/>
        <v>380.62921693690924</v>
      </c>
      <c r="M170" s="122">
        <f t="shared" si="34"/>
        <v>9138611.9399999995</v>
      </c>
      <c r="N170" s="116">
        <f t="shared" si="35"/>
        <v>4185483.9399999995</v>
      </c>
      <c r="O170" s="123">
        <f t="shared" si="36"/>
        <v>321.63866441251054</v>
      </c>
      <c r="P170" s="5"/>
      <c r="Q170" s="5">
        <f t="shared" si="32"/>
        <v>1</v>
      </c>
      <c r="R170" s="7">
        <f t="shared" si="33"/>
        <v>13013</v>
      </c>
      <c r="S170" s="5">
        <f t="shared" si="30"/>
        <v>1</v>
      </c>
      <c r="T170" s="7">
        <f t="shared" si="31"/>
        <v>13013</v>
      </c>
    </row>
    <row r="171" spans="1:20">
      <c r="A171" s="23" t="s">
        <v>196</v>
      </c>
      <c r="B171" s="35" t="s">
        <v>183</v>
      </c>
      <c r="C171" s="36">
        <v>2601</v>
      </c>
      <c r="D171" s="6"/>
      <c r="E171" s="113">
        <v>196154133</v>
      </c>
      <c r="F171" s="116">
        <f t="shared" si="39"/>
        <v>75414.891580161478</v>
      </c>
      <c r="G171" s="117">
        <v>140356840</v>
      </c>
      <c r="H171" s="117">
        <f t="shared" si="40"/>
        <v>53962.645136485968</v>
      </c>
      <c r="I171" s="7"/>
      <c r="J171" s="10">
        <v>5.7592999999999996</v>
      </c>
      <c r="K171" s="117">
        <v>808357</v>
      </c>
      <c r="L171" s="120">
        <f t="shared" si="38"/>
        <v>310.78700499807763</v>
      </c>
      <c r="M171" s="122">
        <f t="shared" si="34"/>
        <v>1403568.4000000001</v>
      </c>
      <c r="N171" s="116">
        <f t="shared" si="35"/>
        <v>595211.40000000014</v>
      </c>
      <c r="O171" s="123">
        <f t="shared" si="36"/>
        <v>228.83944636678206</v>
      </c>
      <c r="P171" s="5"/>
      <c r="Q171" s="5">
        <f t="shared" si="32"/>
        <v>1</v>
      </c>
      <c r="R171" s="7">
        <f t="shared" si="33"/>
        <v>2601</v>
      </c>
      <c r="S171" s="5">
        <f t="shared" si="30"/>
        <v>1</v>
      </c>
      <c r="T171" s="7">
        <f t="shared" si="31"/>
        <v>2601</v>
      </c>
    </row>
    <row r="172" spans="1:20">
      <c r="A172" s="23" t="s">
        <v>448</v>
      </c>
      <c r="B172" s="35" t="s">
        <v>198</v>
      </c>
      <c r="C172" s="36">
        <v>45148</v>
      </c>
      <c r="D172" s="6"/>
      <c r="E172" s="113">
        <v>13398927744</v>
      </c>
      <c r="F172" s="116">
        <f t="shared" si="39"/>
        <v>296777.88039337291</v>
      </c>
      <c r="G172" s="117">
        <v>11178534874</v>
      </c>
      <c r="H172" s="117">
        <f t="shared" si="40"/>
        <v>247597.56520776113</v>
      </c>
      <c r="I172" s="7"/>
      <c r="J172" s="10">
        <v>0.72440000000000004</v>
      </c>
      <c r="K172" s="117">
        <v>8097731</v>
      </c>
      <c r="L172" s="120">
        <f t="shared" si="38"/>
        <v>179.35968370691947</v>
      </c>
      <c r="M172" s="122">
        <f t="shared" si="34"/>
        <v>111785348.74000001</v>
      </c>
      <c r="N172" s="116">
        <f t="shared" si="35"/>
        <v>103687617.74000001</v>
      </c>
      <c r="O172" s="123">
        <f t="shared" si="36"/>
        <v>2296.6159683706924</v>
      </c>
      <c r="P172" s="5"/>
      <c r="Q172" s="5">
        <f t="shared" si="32"/>
        <v>1</v>
      </c>
      <c r="R172" s="7">
        <f t="shared" si="33"/>
        <v>45148</v>
      </c>
      <c r="S172" s="5">
        <f t="shared" si="30"/>
        <v>1</v>
      </c>
      <c r="T172" s="7">
        <f t="shared" si="31"/>
        <v>45148</v>
      </c>
    </row>
    <row r="173" spans="1:20">
      <c r="A173" s="23" t="s">
        <v>197</v>
      </c>
      <c r="B173" s="35" t="s">
        <v>198</v>
      </c>
      <c r="C173" s="36">
        <v>164523</v>
      </c>
      <c r="D173" s="6"/>
      <c r="E173" s="113">
        <v>27581012220</v>
      </c>
      <c r="F173" s="116">
        <f t="shared" si="39"/>
        <v>167642.28843383599</v>
      </c>
      <c r="G173" s="117">
        <v>20991527700</v>
      </c>
      <c r="H173" s="117">
        <f t="shared" si="40"/>
        <v>127590.23176090881</v>
      </c>
      <c r="I173" s="7"/>
      <c r="J173" s="10">
        <v>4.7698</v>
      </c>
      <c r="K173" s="117">
        <v>100125389</v>
      </c>
      <c r="L173" s="120">
        <f t="shared" si="38"/>
        <v>608.57988852622429</v>
      </c>
      <c r="M173" s="122">
        <f t="shared" si="34"/>
        <v>209915277</v>
      </c>
      <c r="N173" s="116">
        <f t="shared" si="35"/>
        <v>109789888</v>
      </c>
      <c r="O173" s="123">
        <f t="shared" si="36"/>
        <v>667.32242908286378</v>
      </c>
      <c r="P173" s="5"/>
      <c r="Q173" s="5">
        <f t="shared" si="32"/>
        <v>1</v>
      </c>
      <c r="R173" s="7">
        <f t="shared" si="33"/>
        <v>164523</v>
      </c>
      <c r="S173" s="5">
        <f t="shared" si="30"/>
        <v>1</v>
      </c>
      <c r="T173" s="7">
        <f t="shared" si="31"/>
        <v>164523</v>
      </c>
    </row>
    <row r="174" spans="1:20">
      <c r="A174" s="23" t="s">
        <v>199</v>
      </c>
      <c r="B174" s="35" t="s">
        <v>198</v>
      </c>
      <c r="C174" s="36">
        <v>67851</v>
      </c>
      <c r="D174" s="6"/>
      <c r="E174" s="113">
        <v>9518899735</v>
      </c>
      <c r="F174" s="116">
        <f t="shared" si="39"/>
        <v>140291.22245803304</v>
      </c>
      <c r="G174" s="117">
        <v>7044026365</v>
      </c>
      <c r="H174" s="117">
        <f t="shared" si="40"/>
        <v>103816.1024155871</v>
      </c>
      <c r="I174" s="7"/>
      <c r="J174" s="10">
        <v>6.2560000000000002</v>
      </c>
      <c r="K174" s="117">
        <v>44067429</v>
      </c>
      <c r="L174" s="120">
        <f t="shared" si="38"/>
        <v>649.47353760445685</v>
      </c>
      <c r="M174" s="122">
        <f t="shared" si="34"/>
        <v>70440263.650000006</v>
      </c>
      <c r="N174" s="116">
        <f t="shared" si="35"/>
        <v>26372834.650000006</v>
      </c>
      <c r="O174" s="123">
        <f t="shared" si="36"/>
        <v>388.68748655141422</v>
      </c>
      <c r="P174" s="5"/>
      <c r="Q174" s="5">
        <f t="shared" si="32"/>
        <v>1</v>
      </c>
      <c r="R174" s="7">
        <f t="shared" si="33"/>
        <v>67851</v>
      </c>
      <c r="S174" s="5">
        <f t="shared" si="30"/>
        <v>1</v>
      </c>
      <c r="T174" s="7">
        <f t="shared" si="31"/>
        <v>67851</v>
      </c>
    </row>
    <row r="175" spans="1:20">
      <c r="A175" s="23" t="s">
        <v>200</v>
      </c>
      <c r="B175" s="35" t="s">
        <v>198</v>
      </c>
      <c r="C175" s="36">
        <v>7037</v>
      </c>
      <c r="D175" s="6"/>
      <c r="E175" s="113">
        <v>4615096870</v>
      </c>
      <c r="F175" s="116">
        <f t="shared" si="39"/>
        <v>655833.00696319458</v>
      </c>
      <c r="G175" s="117">
        <v>3910189400</v>
      </c>
      <c r="H175" s="117">
        <f t="shared" si="40"/>
        <v>555661.41821799066</v>
      </c>
      <c r="I175" s="7"/>
      <c r="J175" s="10">
        <v>0.60529999999999995</v>
      </c>
      <c r="K175" s="117">
        <v>2366838</v>
      </c>
      <c r="L175" s="120">
        <f t="shared" si="38"/>
        <v>336.34190706266872</v>
      </c>
      <c r="M175" s="122">
        <f t="shared" si="34"/>
        <v>39101894</v>
      </c>
      <c r="N175" s="116">
        <f t="shared" si="35"/>
        <v>36735056</v>
      </c>
      <c r="O175" s="123">
        <f t="shared" si="36"/>
        <v>5220.2722751172378</v>
      </c>
      <c r="P175" s="5"/>
      <c r="Q175" s="5">
        <f t="shared" si="32"/>
        <v>1</v>
      </c>
      <c r="R175" s="7">
        <f t="shared" si="33"/>
        <v>7037</v>
      </c>
      <c r="S175" s="5">
        <f t="shared" si="30"/>
        <v>1</v>
      </c>
      <c r="T175" s="7">
        <f t="shared" si="31"/>
        <v>7037</v>
      </c>
    </row>
    <row r="176" spans="1:20">
      <c r="A176" s="23" t="s">
        <v>201</v>
      </c>
      <c r="B176" s="35" t="s">
        <v>198</v>
      </c>
      <c r="C176" s="36">
        <v>6297</v>
      </c>
      <c r="D176" s="6"/>
      <c r="E176" s="113">
        <v>6045773600</v>
      </c>
      <c r="F176" s="116">
        <f t="shared" si="39"/>
        <v>960103.79545815464</v>
      </c>
      <c r="G176" s="117">
        <v>5196712970</v>
      </c>
      <c r="H176" s="117">
        <f t="shared" si="40"/>
        <v>825268.05939336191</v>
      </c>
      <c r="I176" s="7"/>
      <c r="J176" s="10">
        <v>2.1966000000000001</v>
      </c>
      <c r="K176" s="117">
        <v>11415100</v>
      </c>
      <c r="L176" s="120">
        <f t="shared" si="38"/>
        <v>1812.783865332698</v>
      </c>
      <c r="M176" s="122">
        <f t="shared" si="34"/>
        <v>51967129.700000003</v>
      </c>
      <c r="N176" s="116">
        <f t="shared" si="35"/>
        <v>40552029.700000003</v>
      </c>
      <c r="O176" s="123">
        <f t="shared" si="36"/>
        <v>6439.896728600922</v>
      </c>
      <c r="P176" s="5"/>
      <c r="Q176" s="5">
        <f t="shared" si="32"/>
        <v>1</v>
      </c>
      <c r="R176" s="7">
        <f t="shared" si="33"/>
        <v>6297</v>
      </c>
      <c r="S176" s="5">
        <f t="shared" si="30"/>
        <v>1</v>
      </c>
      <c r="T176" s="7">
        <f t="shared" si="31"/>
        <v>6297</v>
      </c>
    </row>
    <row r="177" spans="1:20">
      <c r="A177" s="23" t="s">
        <v>202</v>
      </c>
      <c r="B177" s="35" t="s">
        <v>203</v>
      </c>
      <c r="C177" s="36">
        <v>176429</v>
      </c>
      <c r="D177" s="6"/>
      <c r="E177" s="113">
        <v>19251580662</v>
      </c>
      <c r="F177" s="116">
        <f t="shared" si="39"/>
        <v>109118.00589472252</v>
      </c>
      <c r="G177" s="117">
        <v>11162813711</v>
      </c>
      <c r="H177" s="117">
        <f t="shared" si="40"/>
        <v>63270.85519387402</v>
      </c>
      <c r="I177" s="7"/>
      <c r="J177" s="10">
        <v>3.1686000000000001</v>
      </c>
      <c r="K177" s="117">
        <v>35370492</v>
      </c>
      <c r="L177" s="120">
        <f t="shared" si="38"/>
        <v>200.48003446145475</v>
      </c>
      <c r="M177" s="122">
        <f t="shared" si="34"/>
        <v>111628137.11</v>
      </c>
      <c r="N177" s="116">
        <f t="shared" si="35"/>
        <v>76257645.109999999</v>
      </c>
      <c r="O177" s="123">
        <f t="shared" si="36"/>
        <v>432.22851747728549</v>
      </c>
      <c r="P177" s="5"/>
      <c r="Q177" s="5">
        <f t="shared" si="32"/>
        <v>1</v>
      </c>
      <c r="R177" s="7">
        <f t="shared" si="33"/>
        <v>176429</v>
      </c>
      <c r="S177" s="5">
        <f t="shared" si="30"/>
        <v>1</v>
      </c>
      <c r="T177" s="7">
        <f t="shared" si="31"/>
        <v>176429</v>
      </c>
    </row>
    <row r="178" spans="1:20">
      <c r="A178" s="23" t="s">
        <v>204</v>
      </c>
      <c r="B178" s="35" t="s">
        <v>205</v>
      </c>
      <c r="C178" s="36">
        <v>1143</v>
      </c>
      <c r="D178" s="6"/>
      <c r="E178" s="113">
        <v>64188976</v>
      </c>
      <c r="F178" s="116">
        <f t="shared" si="39"/>
        <v>56158.334208223969</v>
      </c>
      <c r="G178" s="117">
        <v>38652775</v>
      </c>
      <c r="H178" s="117">
        <f t="shared" si="40"/>
        <v>33816.951006124233</v>
      </c>
      <c r="I178" s="7"/>
      <c r="J178" s="10">
        <v>3.2</v>
      </c>
      <c r="K178" s="117">
        <v>123689</v>
      </c>
      <c r="L178" s="120">
        <f t="shared" si="38"/>
        <v>108.21434820647418</v>
      </c>
      <c r="M178" s="122">
        <f t="shared" si="34"/>
        <v>386527.75</v>
      </c>
      <c r="N178" s="116">
        <f t="shared" si="35"/>
        <v>262838.75</v>
      </c>
      <c r="O178" s="123">
        <f t="shared" si="36"/>
        <v>229.95516185476816</v>
      </c>
      <c r="P178" s="5"/>
      <c r="Q178" s="5">
        <f t="shared" si="32"/>
        <v>1</v>
      </c>
      <c r="R178" s="7">
        <f t="shared" si="33"/>
        <v>1143</v>
      </c>
      <c r="S178" s="5">
        <f t="shared" si="30"/>
        <v>1</v>
      </c>
      <c r="T178" s="7">
        <f t="shared" si="31"/>
        <v>1143</v>
      </c>
    </row>
    <row r="179" spans="1:20">
      <c r="A179" s="23" t="s">
        <v>206</v>
      </c>
      <c r="B179" s="35" t="s">
        <v>205</v>
      </c>
      <c r="C179" s="36">
        <v>927</v>
      </c>
      <c r="D179" s="6"/>
      <c r="E179" s="113">
        <v>303874034</v>
      </c>
      <c r="F179" s="116">
        <f t="shared" si="39"/>
        <v>327803.70442286949</v>
      </c>
      <c r="G179" s="117">
        <v>223866536</v>
      </c>
      <c r="H179" s="117">
        <f t="shared" si="40"/>
        <v>241495.72384034519</v>
      </c>
      <c r="I179" s="7"/>
      <c r="J179" s="10">
        <v>3.125</v>
      </c>
      <c r="K179" s="117">
        <v>699583</v>
      </c>
      <c r="L179" s="120">
        <f t="shared" si="38"/>
        <v>754.67421790722767</v>
      </c>
      <c r="M179" s="122">
        <f t="shared" si="34"/>
        <v>2238665.36</v>
      </c>
      <c r="N179" s="116">
        <f t="shared" si="35"/>
        <v>1539082.3599999999</v>
      </c>
      <c r="O179" s="123">
        <f t="shared" si="36"/>
        <v>1660.2830204962243</v>
      </c>
      <c r="P179" s="5"/>
      <c r="Q179" s="5">
        <f t="shared" si="32"/>
        <v>1</v>
      </c>
      <c r="R179" s="7">
        <f t="shared" si="33"/>
        <v>927</v>
      </c>
      <c r="S179" s="5">
        <f t="shared" si="30"/>
        <v>1</v>
      </c>
      <c r="T179" s="7">
        <f t="shared" si="31"/>
        <v>927</v>
      </c>
    </row>
    <row r="180" spans="1:20">
      <c r="A180" s="23" t="s">
        <v>207</v>
      </c>
      <c r="B180" s="35" t="s">
        <v>205</v>
      </c>
      <c r="C180" s="36">
        <v>2338</v>
      </c>
      <c r="D180" s="6"/>
      <c r="E180" s="113">
        <v>209872102</v>
      </c>
      <c r="F180" s="116">
        <f t="shared" si="39"/>
        <v>89765.655260906758</v>
      </c>
      <c r="G180" s="117">
        <v>154261326</v>
      </c>
      <c r="H180" s="117">
        <f t="shared" si="40"/>
        <v>65980.036783575706</v>
      </c>
      <c r="I180" s="7"/>
      <c r="J180" s="10">
        <v>4.7535999999999996</v>
      </c>
      <c r="K180" s="117">
        <v>733297</v>
      </c>
      <c r="L180" s="120">
        <f t="shared" si="38"/>
        <v>313.64285714285717</v>
      </c>
      <c r="M180" s="122">
        <f t="shared" si="34"/>
        <v>1542613.26</v>
      </c>
      <c r="N180" s="116">
        <f t="shared" si="35"/>
        <v>809316.26</v>
      </c>
      <c r="O180" s="123">
        <f t="shared" si="36"/>
        <v>346.1575106928999</v>
      </c>
      <c r="P180" s="5"/>
      <c r="Q180" s="5">
        <f t="shared" si="32"/>
        <v>1</v>
      </c>
      <c r="R180" s="7">
        <f t="shared" si="33"/>
        <v>2338</v>
      </c>
      <c r="S180" s="5">
        <f t="shared" si="30"/>
        <v>1</v>
      </c>
      <c r="T180" s="7">
        <f t="shared" si="31"/>
        <v>2338</v>
      </c>
    </row>
    <row r="181" spans="1:20">
      <c r="A181" s="23" t="s">
        <v>208</v>
      </c>
      <c r="B181" s="35" t="s">
        <v>205</v>
      </c>
      <c r="C181" s="36">
        <v>1731</v>
      </c>
      <c r="D181" s="6"/>
      <c r="E181" s="113">
        <v>135218899</v>
      </c>
      <c r="F181" s="116">
        <f t="shared" si="39"/>
        <v>78116.059503177356</v>
      </c>
      <c r="G181" s="117">
        <v>93593093</v>
      </c>
      <c r="H181" s="117">
        <f t="shared" si="40"/>
        <v>54068.800115540151</v>
      </c>
      <c r="I181" s="7"/>
      <c r="J181" s="10">
        <v>4.5</v>
      </c>
      <c r="K181" s="117">
        <v>421169</v>
      </c>
      <c r="L181" s="120">
        <f t="shared" si="38"/>
        <v>243.30964760254187</v>
      </c>
      <c r="M181" s="122">
        <f t="shared" si="34"/>
        <v>935930.93</v>
      </c>
      <c r="N181" s="116">
        <f t="shared" si="35"/>
        <v>514761.93000000005</v>
      </c>
      <c r="O181" s="123">
        <f t="shared" si="36"/>
        <v>297.37835355285966</v>
      </c>
      <c r="P181" s="5"/>
      <c r="Q181" s="5">
        <f t="shared" si="32"/>
        <v>1</v>
      </c>
      <c r="R181" s="7">
        <f t="shared" si="33"/>
        <v>1731</v>
      </c>
      <c r="S181" s="5">
        <f t="shared" si="30"/>
        <v>1</v>
      </c>
      <c r="T181" s="7">
        <f t="shared" si="31"/>
        <v>1731</v>
      </c>
    </row>
    <row r="182" spans="1:20">
      <c r="A182" s="23" t="s">
        <v>209</v>
      </c>
      <c r="B182" s="35" t="s">
        <v>205</v>
      </c>
      <c r="C182" s="36">
        <v>147</v>
      </c>
      <c r="D182" s="6"/>
      <c r="E182" s="113">
        <v>8862498</v>
      </c>
      <c r="F182" s="116">
        <f t="shared" si="39"/>
        <v>60289.102040816324</v>
      </c>
      <c r="G182" s="117">
        <v>4914754</v>
      </c>
      <c r="H182" s="117">
        <f t="shared" si="40"/>
        <v>33433.700680272108</v>
      </c>
      <c r="I182" s="7"/>
      <c r="J182" s="10">
        <v>2.7513000000000001</v>
      </c>
      <c r="K182" s="117">
        <v>13522</v>
      </c>
      <c r="L182" s="120">
        <f t="shared" si="38"/>
        <v>91.986394557823132</v>
      </c>
      <c r="M182" s="122">
        <f t="shared" si="34"/>
        <v>49147.54</v>
      </c>
      <c r="N182" s="116">
        <f t="shared" si="35"/>
        <v>35625.54</v>
      </c>
      <c r="O182" s="123">
        <f t="shared" si="36"/>
        <v>242.35061224489797</v>
      </c>
      <c r="P182" s="5"/>
      <c r="Q182" s="5">
        <f t="shared" si="32"/>
        <v>1</v>
      </c>
      <c r="R182" s="7">
        <f t="shared" si="33"/>
        <v>147</v>
      </c>
      <c r="S182" s="5">
        <f t="shared" si="30"/>
        <v>1</v>
      </c>
      <c r="T182" s="7">
        <f t="shared" si="31"/>
        <v>147</v>
      </c>
    </row>
    <row r="183" spans="1:20">
      <c r="A183" s="23" t="s">
        <v>210</v>
      </c>
      <c r="B183" s="35" t="s">
        <v>205</v>
      </c>
      <c r="C183" s="36">
        <v>2557</v>
      </c>
      <c r="D183" s="6"/>
      <c r="E183" s="113">
        <v>202449965</v>
      </c>
      <c r="F183" s="116">
        <f t="shared" si="39"/>
        <v>79174.800547516628</v>
      </c>
      <c r="G183" s="117">
        <v>119361436</v>
      </c>
      <c r="H183" s="117">
        <f t="shared" si="40"/>
        <v>46680.2643723113</v>
      </c>
      <c r="I183" s="7"/>
      <c r="J183" s="10">
        <v>5.5</v>
      </c>
      <c r="K183" s="117">
        <v>656488</v>
      </c>
      <c r="L183" s="120">
        <f t="shared" si="38"/>
        <v>256.74149393820886</v>
      </c>
      <c r="M183" s="122">
        <f t="shared" si="34"/>
        <v>1193614.3600000001</v>
      </c>
      <c r="N183" s="116">
        <f t="shared" si="35"/>
        <v>537126.3600000001</v>
      </c>
      <c r="O183" s="123">
        <f t="shared" si="36"/>
        <v>210.06114978490422</v>
      </c>
      <c r="P183" s="5"/>
      <c r="Q183" s="5">
        <f t="shared" si="32"/>
        <v>1</v>
      </c>
      <c r="R183" s="7">
        <f t="shared" si="33"/>
        <v>2557</v>
      </c>
      <c r="S183" s="5">
        <f t="shared" si="30"/>
        <v>1</v>
      </c>
      <c r="T183" s="7">
        <f t="shared" si="31"/>
        <v>2557</v>
      </c>
    </row>
    <row r="184" spans="1:20">
      <c r="A184" s="23" t="s">
        <v>211</v>
      </c>
      <c r="B184" s="35" t="s">
        <v>205</v>
      </c>
      <c r="C184" s="36">
        <v>760</v>
      </c>
      <c r="D184" s="6"/>
      <c r="E184" s="113">
        <v>137802094</v>
      </c>
      <c r="F184" s="116">
        <f t="shared" si="39"/>
        <v>181318.5447368421</v>
      </c>
      <c r="G184" s="117">
        <v>98610443</v>
      </c>
      <c r="H184" s="117">
        <f t="shared" si="40"/>
        <v>129750.58289473684</v>
      </c>
      <c r="I184" s="7"/>
      <c r="J184" s="10">
        <v>4.4631999999999996</v>
      </c>
      <c r="K184" s="117">
        <v>440118</v>
      </c>
      <c r="L184" s="120">
        <f t="shared" si="38"/>
        <v>579.10263157894735</v>
      </c>
      <c r="M184" s="122">
        <f t="shared" si="34"/>
        <v>986104.43</v>
      </c>
      <c r="N184" s="116">
        <f t="shared" si="35"/>
        <v>545986.43000000005</v>
      </c>
      <c r="O184" s="123">
        <f t="shared" si="36"/>
        <v>718.40319736842116</v>
      </c>
      <c r="P184" s="5"/>
      <c r="Q184" s="5">
        <f t="shared" si="32"/>
        <v>1</v>
      </c>
      <c r="R184" s="7">
        <f t="shared" si="33"/>
        <v>760</v>
      </c>
      <c r="S184" s="5">
        <f t="shared" si="30"/>
        <v>1</v>
      </c>
      <c r="T184" s="7">
        <f t="shared" si="31"/>
        <v>760</v>
      </c>
    </row>
    <row r="185" spans="1:20">
      <c r="A185" s="23" t="s">
        <v>212</v>
      </c>
      <c r="B185" s="35" t="s">
        <v>213</v>
      </c>
      <c r="C185" s="36">
        <v>950</v>
      </c>
      <c r="D185" s="6"/>
      <c r="E185" s="113">
        <v>57512834</v>
      </c>
      <c r="F185" s="116">
        <f t="shared" si="39"/>
        <v>60539.825263157894</v>
      </c>
      <c r="G185" s="117">
        <v>26001235</v>
      </c>
      <c r="H185" s="117">
        <f t="shared" si="40"/>
        <v>27369.721052631579</v>
      </c>
      <c r="I185" s="7"/>
      <c r="J185" s="10">
        <v>3</v>
      </c>
      <c r="K185" s="117">
        <v>78004</v>
      </c>
      <c r="L185" s="120">
        <f t="shared" si="38"/>
        <v>82.109473684210528</v>
      </c>
      <c r="M185" s="122">
        <f t="shared" si="34"/>
        <v>260012.35</v>
      </c>
      <c r="N185" s="116">
        <f t="shared" si="35"/>
        <v>182008.35</v>
      </c>
      <c r="O185" s="123">
        <f t="shared" si="36"/>
        <v>191.58773684210527</v>
      </c>
      <c r="P185" s="5"/>
      <c r="Q185" s="5">
        <f t="shared" si="32"/>
        <v>1</v>
      </c>
      <c r="R185" s="7">
        <f t="shared" si="33"/>
        <v>950</v>
      </c>
      <c r="S185" s="5">
        <f t="shared" si="30"/>
        <v>1</v>
      </c>
      <c r="T185" s="7">
        <f t="shared" si="31"/>
        <v>950</v>
      </c>
    </row>
    <row r="186" spans="1:20">
      <c r="A186" s="23" t="s">
        <v>214</v>
      </c>
      <c r="B186" s="35" t="s">
        <v>215</v>
      </c>
      <c r="C186" s="36">
        <v>841</v>
      </c>
      <c r="D186" s="6"/>
      <c r="E186" s="113">
        <v>19643877</v>
      </c>
      <c r="F186" s="116">
        <f t="shared" si="39"/>
        <v>23357.76099881094</v>
      </c>
      <c r="G186" s="117">
        <v>10671924</v>
      </c>
      <c r="H186" s="117">
        <f t="shared" si="40"/>
        <v>12689.564803804995</v>
      </c>
      <c r="I186" s="7"/>
      <c r="J186" s="10">
        <v>8.09</v>
      </c>
      <c r="K186" s="117">
        <v>86336</v>
      </c>
      <c r="L186" s="120">
        <f t="shared" si="38"/>
        <v>102.65873959571938</v>
      </c>
      <c r="M186" s="122">
        <f t="shared" si="34"/>
        <v>106719.24</v>
      </c>
      <c r="N186" s="116">
        <f t="shared" si="35"/>
        <v>20383.240000000005</v>
      </c>
      <c r="O186" s="123">
        <f t="shared" si="36"/>
        <v>24.236908442330567</v>
      </c>
      <c r="P186" s="5"/>
      <c r="Q186" s="5">
        <f t="shared" si="32"/>
        <v>1</v>
      </c>
      <c r="R186" s="7">
        <f t="shared" si="33"/>
        <v>841</v>
      </c>
      <c r="S186" s="5">
        <f t="shared" si="30"/>
        <v>1</v>
      </c>
      <c r="T186" s="7">
        <f t="shared" si="31"/>
        <v>841</v>
      </c>
    </row>
    <row r="187" spans="1:20">
      <c r="A187" s="23" t="s">
        <v>198</v>
      </c>
      <c r="B187" s="35" t="s">
        <v>215</v>
      </c>
      <c r="C187" s="36">
        <v>387</v>
      </c>
      <c r="D187" s="6"/>
      <c r="E187" s="113">
        <v>16222635</v>
      </c>
      <c r="F187" s="116">
        <f t="shared" si="39"/>
        <v>41918.953488372092</v>
      </c>
      <c r="G187" s="117">
        <v>7399523</v>
      </c>
      <c r="H187" s="117">
        <f t="shared" si="40"/>
        <v>19120.214470284238</v>
      </c>
      <c r="I187" s="7"/>
      <c r="J187" s="10">
        <v>6.38</v>
      </c>
      <c r="K187" s="117">
        <v>47209</v>
      </c>
      <c r="L187" s="120">
        <f t="shared" si="38"/>
        <v>121.98708010335918</v>
      </c>
      <c r="M187" s="122">
        <f t="shared" si="34"/>
        <v>73995.23</v>
      </c>
      <c r="N187" s="116">
        <f t="shared" si="35"/>
        <v>26786.229999999996</v>
      </c>
      <c r="O187" s="123">
        <f t="shared" si="36"/>
        <v>69.215064599483199</v>
      </c>
      <c r="P187" s="5"/>
      <c r="Q187" s="5">
        <f t="shared" si="32"/>
        <v>1</v>
      </c>
      <c r="R187" s="7">
        <f t="shared" si="33"/>
        <v>387</v>
      </c>
      <c r="S187" s="5">
        <f t="shared" si="30"/>
        <v>1</v>
      </c>
      <c r="T187" s="7">
        <f t="shared" si="31"/>
        <v>387</v>
      </c>
    </row>
    <row r="188" spans="1:20">
      <c r="A188" s="23" t="s">
        <v>215</v>
      </c>
      <c r="B188" s="35" t="s">
        <v>215</v>
      </c>
      <c r="C188" s="36">
        <v>3084</v>
      </c>
      <c r="D188" s="6"/>
      <c r="E188" s="113">
        <v>142408225</v>
      </c>
      <c r="F188" s="116">
        <f t="shared" si="39"/>
        <v>46176.467250324255</v>
      </c>
      <c r="G188" s="117">
        <v>87870883</v>
      </c>
      <c r="H188" s="117">
        <f t="shared" si="40"/>
        <v>28492.504215304798</v>
      </c>
      <c r="I188" s="7"/>
      <c r="J188" s="10">
        <v>6.5746000000000002</v>
      </c>
      <c r="K188" s="117">
        <v>577716</v>
      </c>
      <c r="L188" s="120">
        <f t="shared" si="38"/>
        <v>187.32684824902725</v>
      </c>
      <c r="M188" s="122">
        <f t="shared" si="34"/>
        <v>878708.83000000007</v>
      </c>
      <c r="N188" s="116">
        <f t="shared" si="35"/>
        <v>300992.83000000007</v>
      </c>
      <c r="O188" s="123">
        <f t="shared" si="36"/>
        <v>97.598193904020775</v>
      </c>
      <c r="P188" s="5"/>
      <c r="Q188" s="5">
        <f t="shared" si="32"/>
        <v>1</v>
      </c>
      <c r="R188" s="7">
        <f t="shared" si="33"/>
        <v>3084</v>
      </c>
      <c r="S188" s="5">
        <f t="shared" si="30"/>
        <v>1</v>
      </c>
      <c r="T188" s="7">
        <f t="shared" si="31"/>
        <v>3084</v>
      </c>
    </row>
    <row r="189" spans="1:20">
      <c r="A189" s="23" t="s">
        <v>216</v>
      </c>
      <c r="B189" s="35" t="s">
        <v>217</v>
      </c>
      <c r="C189" s="36">
        <v>1854</v>
      </c>
      <c r="D189" s="6"/>
      <c r="E189" s="113">
        <v>1065689057</v>
      </c>
      <c r="F189" s="116">
        <f t="shared" si="39"/>
        <v>574805.31661272922</v>
      </c>
      <c r="G189" s="117">
        <v>800311354</v>
      </c>
      <c r="H189" s="117">
        <f t="shared" si="40"/>
        <v>431667.3969795038</v>
      </c>
      <c r="I189" s="7"/>
      <c r="J189" s="10">
        <v>1.7882</v>
      </c>
      <c r="K189" s="117">
        <v>1431117</v>
      </c>
      <c r="L189" s="120">
        <f t="shared" si="38"/>
        <v>771.90776699029129</v>
      </c>
      <c r="M189" s="122">
        <f t="shared" si="34"/>
        <v>8003113.54</v>
      </c>
      <c r="N189" s="116">
        <f t="shared" si="35"/>
        <v>6571996.54</v>
      </c>
      <c r="O189" s="123">
        <f t="shared" si="36"/>
        <v>3544.7662028047466</v>
      </c>
      <c r="P189" s="5"/>
      <c r="Q189" s="5">
        <f t="shared" si="32"/>
        <v>1</v>
      </c>
      <c r="R189" s="7">
        <f t="shared" si="33"/>
        <v>1854</v>
      </c>
      <c r="S189" s="5">
        <f t="shared" si="30"/>
        <v>1</v>
      </c>
      <c r="T189" s="7">
        <f t="shared" si="31"/>
        <v>1854</v>
      </c>
    </row>
    <row r="190" spans="1:20">
      <c r="A190" s="23" t="s">
        <v>218</v>
      </c>
      <c r="B190" s="35" t="s">
        <v>217</v>
      </c>
      <c r="C190" s="36">
        <v>54409</v>
      </c>
      <c r="D190" s="6"/>
      <c r="E190" s="113">
        <v>5128667486</v>
      </c>
      <c r="F190" s="116">
        <f t="shared" si="39"/>
        <v>94261.381131798043</v>
      </c>
      <c r="G190" s="117">
        <v>3652470845</v>
      </c>
      <c r="H190" s="117">
        <f t="shared" si="40"/>
        <v>67129.902130162285</v>
      </c>
      <c r="I190" s="7"/>
      <c r="J190" s="10">
        <v>4.1134000000000004</v>
      </c>
      <c r="K190" s="117">
        <v>15024074</v>
      </c>
      <c r="L190" s="120">
        <f t="shared" si="38"/>
        <v>276.13214725504969</v>
      </c>
      <c r="M190" s="122">
        <f t="shared" si="34"/>
        <v>36524708.450000003</v>
      </c>
      <c r="N190" s="116">
        <f t="shared" si="35"/>
        <v>21500634.450000003</v>
      </c>
      <c r="O190" s="123">
        <f t="shared" si="36"/>
        <v>395.16687404657324</v>
      </c>
      <c r="P190" s="5"/>
      <c r="Q190" s="5">
        <f t="shared" si="32"/>
        <v>1</v>
      </c>
      <c r="R190" s="7">
        <f t="shared" si="33"/>
        <v>54409</v>
      </c>
      <c r="S190" s="5">
        <f t="shared" si="30"/>
        <v>1</v>
      </c>
      <c r="T190" s="7">
        <f t="shared" si="31"/>
        <v>54409</v>
      </c>
    </row>
    <row r="191" spans="1:20">
      <c r="A191" s="23" t="s">
        <v>219</v>
      </c>
      <c r="B191" s="35" t="s">
        <v>217</v>
      </c>
      <c r="C191" s="36">
        <v>1536</v>
      </c>
      <c r="D191" s="6"/>
      <c r="E191" s="113">
        <v>789260103</v>
      </c>
      <c r="F191" s="116">
        <f t="shared" si="39"/>
        <v>513841.212890625</v>
      </c>
      <c r="G191" s="117">
        <v>666735393</v>
      </c>
      <c r="H191" s="117">
        <f t="shared" si="40"/>
        <v>434072.521484375</v>
      </c>
      <c r="I191" s="7"/>
      <c r="J191" s="10">
        <v>2.2578999999999998</v>
      </c>
      <c r="K191" s="117">
        <v>1505422</v>
      </c>
      <c r="L191" s="120">
        <f t="shared" si="38"/>
        <v>980.09244791666663</v>
      </c>
      <c r="M191" s="122">
        <f t="shared" si="34"/>
        <v>6667353.9299999997</v>
      </c>
      <c r="N191" s="116">
        <f t="shared" si="35"/>
        <v>5161931.93</v>
      </c>
      <c r="O191" s="123">
        <f t="shared" si="36"/>
        <v>3360.6327669270831</v>
      </c>
      <c r="P191" s="5"/>
      <c r="Q191" s="5">
        <f t="shared" si="32"/>
        <v>1</v>
      </c>
      <c r="R191" s="7">
        <f t="shared" si="33"/>
        <v>1536</v>
      </c>
      <c r="S191" s="5">
        <f t="shared" si="30"/>
        <v>1</v>
      </c>
      <c r="T191" s="7">
        <f t="shared" si="31"/>
        <v>1536</v>
      </c>
    </row>
    <row r="192" spans="1:20">
      <c r="A192" s="23" t="s">
        <v>220</v>
      </c>
      <c r="B192" s="35" t="s">
        <v>217</v>
      </c>
      <c r="C192" s="36">
        <v>5059</v>
      </c>
      <c r="D192" s="6"/>
      <c r="E192" s="113">
        <v>2117833280</v>
      </c>
      <c r="F192" s="116">
        <f t="shared" si="39"/>
        <v>418626.85906305595</v>
      </c>
      <c r="G192" s="117">
        <v>1694485341</v>
      </c>
      <c r="H192" s="117">
        <f t="shared" si="40"/>
        <v>334944.72049812216</v>
      </c>
      <c r="I192" s="7"/>
      <c r="J192" s="10">
        <v>1.5989</v>
      </c>
      <c r="K192" s="117">
        <v>2709313</v>
      </c>
      <c r="L192" s="120">
        <f t="shared" si="38"/>
        <v>535.54319035382491</v>
      </c>
      <c r="M192" s="122">
        <f t="shared" si="34"/>
        <v>16944853.41</v>
      </c>
      <c r="N192" s="116">
        <f t="shared" si="35"/>
        <v>14235540.41</v>
      </c>
      <c r="O192" s="123">
        <f t="shared" si="36"/>
        <v>2813.9040146273969</v>
      </c>
      <c r="P192" s="5"/>
      <c r="Q192" s="5">
        <f t="shared" si="32"/>
        <v>1</v>
      </c>
      <c r="R192" s="7">
        <f t="shared" si="33"/>
        <v>5059</v>
      </c>
      <c r="S192" s="5">
        <f t="shared" si="30"/>
        <v>1</v>
      </c>
      <c r="T192" s="7">
        <f t="shared" si="31"/>
        <v>5059</v>
      </c>
    </row>
    <row r="193" spans="1:20">
      <c r="A193" s="23" t="s">
        <v>221</v>
      </c>
      <c r="B193" s="35" t="s">
        <v>217</v>
      </c>
      <c r="C193" s="36">
        <v>14310</v>
      </c>
      <c r="D193" s="6"/>
      <c r="E193" s="113">
        <v>1441365401</v>
      </c>
      <c r="F193" s="116">
        <f t="shared" si="39"/>
        <v>100724.34668064291</v>
      </c>
      <c r="G193" s="117">
        <v>1028605848</v>
      </c>
      <c r="H193" s="117">
        <f t="shared" si="40"/>
        <v>71880.212997903567</v>
      </c>
      <c r="I193" s="7"/>
      <c r="J193" s="10">
        <v>4.6661999999999999</v>
      </c>
      <c r="K193" s="117">
        <v>4799681</v>
      </c>
      <c r="L193" s="120">
        <f t="shared" si="38"/>
        <v>335.40747728860936</v>
      </c>
      <c r="M193" s="122">
        <f t="shared" si="34"/>
        <v>10286058.48</v>
      </c>
      <c r="N193" s="116">
        <f t="shared" si="35"/>
        <v>5486377.4800000004</v>
      </c>
      <c r="O193" s="123">
        <f t="shared" si="36"/>
        <v>383.39465269042631</v>
      </c>
      <c r="P193" s="5"/>
      <c r="Q193" s="5">
        <f t="shared" si="32"/>
        <v>1</v>
      </c>
      <c r="R193" s="7">
        <f t="shared" si="33"/>
        <v>14310</v>
      </c>
      <c r="S193" s="5">
        <f t="shared" si="30"/>
        <v>1</v>
      </c>
      <c r="T193" s="7">
        <f t="shared" si="31"/>
        <v>14310</v>
      </c>
    </row>
    <row r="194" spans="1:20">
      <c r="A194" s="23" t="s">
        <v>478</v>
      </c>
      <c r="B194" s="35" t="s">
        <v>222</v>
      </c>
      <c r="C194" s="36">
        <v>7691</v>
      </c>
      <c r="D194" s="6"/>
      <c r="E194" s="113">
        <f>(2288029058+5495181746)</f>
        <v>7783210804</v>
      </c>
      <c r="F194" s="116">
        <f t="shared" si="39"/>
        <v>1011989.4427252633</v>
      </c>
      <c r="G194" s="117">
        <f>(1871133503+4724946120)</f>
        <v>6596079623</v>
      </c>
      <c r="H194" s="117">
        <f t="shared" si="40"/>
        <v>857636.14913535304</v>
      </c>
      <c r="I194" s="7"/>
      <c r="J194" s="10">
        <v>1.4061999999999999</v>
      </c>
      <c r="K194" s="117">
        <f>(2631188+6644219)</f>
        <v>9275407</v>
      </c>
      <c r="L194" s="120">
        <f t="shared" si="38"/>
        <v>1206.0079313483293</v>
      </c>
      <c r="M194" s="122">
        <f t="shared" si="34"/>
        <v>65960796.230000004</v>
      </c>
      <c r="N194" s="116">
        <f t="shared" si="35"/>
        <v>56685389.230000004</v>
      </c>
      <c r="O194" s="123">
        <f t="shared" si="36"/>
        <v>7370.3535600052019</v>
      </c>
      <c r="P194" s="5"/>
      <c r="Q194" s="5">
        <f t="shared" si="32"/>
        <v>1</v>
      </c>
      <c r="R194" s="7">
        <f t="shared" si="33"/>
        <v>7691</v>
      </c>
      <c r="S194" s="5">
        <f t="shared" si="30"/>
        <v>1</v>
      </c>
      <c r="T194" s="7">
        <f t="shared" si="31"/>
        <v>7691</v>
      </c>
    </row>
    <row r="195" spans="1:20">
      <c r="A195" s="23" t="s">
        <v>223</v>
      </c>
      <c r="B195" s="35" t="s">
        <v>224</v>
      </c>
      <c r="C195" s="36">
        <v>3988</v>
      </c>
      <c r="D195" s="6"/>
      <c r="E195" s="113">
        <v>376919662</v>
      </c>
      <c r="F195" s="116">
        <f t="shared" si="39"/>
        <v>94513.45586760281</v>
      </c>
      <c r="G195" s="117">
        <v>270715745</v>
      </c>
      <c r="H195" s="117">
        <f t="shared" si="40"/>
        <v>67882.584002006013</v>
      </c>
      <c r="I195" s="7"/>
      <c r="J195" s="10">
        <v>2.8904999999999998</v>
      </c>
      <c r="K195" s="117">
        <v>782504</v>
      </c>
      <c r="L195" s="120">
        <f t="shared" si="38"/>
        <v>196.21464393179539</v>
      </c>
      <c r="M195" s="122">
        <f t="shared" si="34"/>
        <v>2707157.45</v>
      </c>
      <c r="N195" s="116">
        <f t="shared" si="35"/>
        <v>1924653.4500000002</v>
      </c>
      <c r="O195" s="123">
        <f t="shared" si="36"/>
        <v>482.61119608826482</v>
      </c>
      <c r="P195" s="5"/>
      <c r="Q195" s="5">
        <f t="shared" si="32"/>
        <v>1</v>
      </c>
      <c r="R195" s="7">
        <f t="shared" si="33"/>
        <v>3988</v>
      </c>
      <c r="S195" s="5">
        <f t="shared" si="30"/>
        <v>1</v>
      </c>
      <c r="T195" s="7">
        <f t="shared" si="31"/>
        <v>3988</v>
      </c>
    </row>
    <row r="196" spans="1:20">
      <c r="A196" s="23" t="s">
        <v>225</v>
      </c>
      <c r="B196" s="35" t="s">
        <v>224</v>
      </c>
      <c r="C196" s="36">
        <v>2031</v>
      </c>
      <c r="D196" s="6"/>
      <c r="E196" s="113">
        <v>263905304</v>
      </c>
      <c r="F196" s="116">
        <f t="shared" si="39"/>
        <v>129938.60364352536</v>
      </c>
      <c r="G196" s="117">
        <v>175691212</v>
      </c>
      <c r="H196" s="117">
        <f t="shared" si="40"/>
        <v>86504.781880846873</v>
      </c>
      <c r="I196" s="7"/>
      <c r="J196" s="10">
        <v>5.2266000000000004</v>
      </c>
      <c r="K196" s="117">
        <v>918268</v>
      </c>
      <c r="L196" s="120">
        <f t="shared" si="38"/>
        <v>452.12604628261943</v>
      </c>
      <c r="M196" s="122">
        <f t="shared" si="34"/>
        <v>1756912.12</v>
      </c>
      <c r="N196" s="116">
        <f t="shared" si="35"/>
        <v>838644.12000000011</v>
      </c>
      <c r="O196" s="123">
        <f t="shared" si="36"/>
        <v>412.92177252584941</v>
      </c>
      <c r="P196" s="5"/>
      <c r="Q196" s="5">
        <f t="shared" si="32"/>
        <v>1</v>
      </c>
      <c r="R196" s="7">
        <f t="shared" si="33"/>
        <v>2031</v>
      </c>
      <c r="S196" s="5">
        <f t="shared" si="30"/>
        <v>1</v>
      </c>
      <c r="T196" s="7">
        <f t="shared" si="31"/>
        <v>2031</v>
      </c>
    </row>
    <row r="197" spans="1:20">
      <c r="A197" s="23" t="s">
        <v>226</v>
      </c>
      <c r="B197" s="35" t="s">
        <v>224</v>
      </c>
      <c r="C197" s="36">
        <v>451</v>
      </c>
      <c r="D197" s="6"/>
      <c r="E197" s="113">
        <v>44795334</v>
      </c>
      <c r="F197" s="116">
        <f t="shared" si="39"/>
        <v>99324.465631929052</v>
      </c>
      <c r="G197" s="117">
        <v>24755680</v>
      </c>
      <c r="H197" s="117">
        <f t="shared" si="40"/>
        <v>54890.643015521062</v>
      </c>
      <c r="I197" s="7"/>
      <c r="J197" s="10">
        <v>0.86809999999999998</v>
      </c>
      <c r="K197" s="117">
        <v>21490</v>
      </c>
      <c r="L197" s="120">
        <f t="shared" si="38"/>
        <v>47.649667405764966</v>
      </c>
      <c r="M197" s="122">
        <f t="shared" si="34"/>
        <v>247556.80000000002</v>
      </c>
      <c r="N197" s="116">
        <f t="shared" si="35"/>
        <v>226066.80000000002</v>
      </c>
      <c r="O197" s="123">
        <f t="shared" si="36"/>
        <v>501.25676274944573</v>
      </c>
      <c r="P197" s="5"/>
      <c r="Q197" s="5">
        <f t="shared" si="32"/>
        <v>1</v>
      </c>
      <c r="R197" s="7">
        <f t="shared" si="33"/>
        <v>451</v>
      </c>
      <c r="S197" s="5">
        <f t="shared" si="30"/>
        <v>1</v>
      </c>
      <c r="T197" s="7">
        <f t="shared" si="31"/>
        <v>451</v>
      </c>
    </row>
    <row r="198" spans="1:20">
      <c r="A198" s="23" t="s">
        <v>227</v>
      </c>
      <c r="B198" s="35" t="s">
        <v>224</v>
      </c>
      <c r="C198" s="36">
        <v>54238</v>
      </c>
      <c r="D198" s="6"/>
      <c r="E198" s="113">
        <v>6449235529</v>
      </c>
      <c r="F198" s="116">
        <f t="shared" si="39"/>
        <v>118906.21942180759</v>
      </c>
      <c r="G198" s="117">
        <v>4712043212</v>
      </c>
      <c r="H198" s="117">
        <f t="shared" si="40"/>
        <v>86877.15645857148</v>
      </c>
      <c r="I198" s="9"/>
      <c r="J198" s="10">
        <v>4.5288000000000004</v>
      </c>
      <c r="K198" s="117">
        <v>21339901</v>
      </c>
      <c r="L198" s="120">
        <f t="shared" si="38"/>
        <v>393.44926066595377</v>
      </c>
      <c r="M198" s="122">
        <f t="shared" si="34"/>
        <v>47120432.119999997</v>
      </c>
      <c r="N198" s="116">
        <f t="shared" si="35"/>
        <v>25780531.119999997</v>
      </c>
      <c r="O198" s="123">
        <f t="shared" si="36"/>
        <v>475.322303919761</v>
      </c>
      <c r="P198" s="5"/>
      <c r="Q198" s="5">
        <f t="shared" si="32"/>
        <v>1</v>
      </c>
      <c r="R198" s="7">
        <f t="shared" si="33"/>
        <v>54238</v>
      </c>
      <c r="S198" s="5">
        <f t="shared" ref="S198:S261" si="41">IF(J198&gt;0,1,0)</f>
        <v>1</v>
      </c>
      <c r="T198" s="7">
        <f t="shared" ref="T198:T261" si="42">IF(J198&gt;0,C198,0)</f>
        <v>54238</v>
      </c>
    </row>
    <row r="199" spans="1:20">
      <c r="A199" s="23" t="s">
        <v>228</v>
      </c>
      <c r="B199" s="35" t="s">
        <v>224</v>
      </c>
      <c r="C199" s="36">
        <v>523</v>
      </c>
      <c r="D199" s="6"/>
      <c r="E199" s="113">
        <v>28157332</v>
      </c>
      <c r="F199" s="116">
        <f t="shared" si="39"/>
        <v>53838.110898661565</v>
      </c>
      <c r="G199" s="117">
        <v>13739118</v>
      </c>
      <c r="H199" s="117">
        <f t="shared" si="40"/>
        <v>26269.824091778202</v>
      </c>
      <c r="I199" s="9" t="s">
        <v>528</v>
      </c>
      <c r="J199" s="10"/>
      <c r="K199" s="117"/>
      <c r="L199" s="120"/>
      <c r="M199" s="122">
        <f t="shared" si="34"/>
        <v>137391.18</v>
      </c>
      <c r="N199" s="116">
        <f t="shared" si="35"/>
        <v>137391.18</v>
      </c>
      <c r="O199" s="123">
        <f t="shared" si="36"/>
        <v>262.69824091778202</v>
      </c>
      <c r="P199" s="5"/>
      <c r="Q199" s="5">
        <f t="shared" ref="Q199:Q262" si="43">IF(E199&gt;0,1,0)</f>
        <v>1</v>
      </c>
      <c r="R199" s="7">
        <f t="shared" ref="R199:R262" si="44">IF(E199&gt;0,C199,0)</f>
        <v>523</v>
      </c>
      <c r="S199" s="5">
        <f t="shared" si="41"/>
        <v>0</v>
      </c>
      <c r="T199" s="7">
        <f t="shared" si="42"/>
        <v>0</v>
      </c>
    </row>
    <row r="200" spans="1:20">
      <c r="A200" s="23" t="s">
        <v>229</v>
      </c>
      <c r="B200" s="35" t="s">
        <v>230</v>
      </c>
      <c r="C200" s="36">
        <v>672</v>
      </c>
      <c r="D200" s="6"/>
      <c r="E200" s="113">
        <v>2665386379</v>
      </c>
      <c r="F200" s="116">
        <f t="shared" si="39"/>
        <v>3966348.7782738097</v>
      </c>
      <c r="G200" s="117">
        <v>2010665580</v>
      </c>
      <c r="H200" s="117">
        <f t="shared" si="40"/>
        <v>2992061.875</v>
      </c>
      <c r="I200" s="9"/>
      <c r="J200" s="10">
        <v>2.2494000000000001</v>
      </c>
      <c r="K200" s="117">
        <v>4522791</v>
      </c>
      <c r="L200" s="120">
        <f t="shared" ref="L200:L231" si="45">(K200/C200)</f>
        <v>6730.34375</v>
      </c>
      <c r="M200" s="122">
        <f t="shared" ref="M200:M263" si="46">(G200*0.01)</f>
        <v>20106655.800000001</v>
      </c>
      <c r="N200" s="116">
        <f t="shared" ref="N200:N263" si="47">(M200-K200)</f>
        <v>15583864.800000001</v>
      </c>
      <c r="O200" s="123">
        <f t="shared" ref="O200:O263" si="48">(N200/C200)</f>
        <v>23190.275000000001</v>
      </c>
      <c r="P200" s="5"/>
      <c r="Q200" s="5">
        <f t="shared" si="43"/>
        <v>1</v>
      </c>
      <c r="R200" s="7">
        <f t="shared" si="44"/>
        <v>672</v>
      </c>
      <c r="S200" s="5">
        <f t="shared" si="41"/>
        <v>1</v>
      </c>
      <c r="T200" s="7">
        <f t="shared" si="42"/>
        <v>672</v>
      </c>
    </row>
    <row r="201" spans="1:20">
      <c r="A201" s="24" t="s">
        <v>582</v>
      </c>
      <c r="B201" s="35" t="s">
        <v>230</v>
      </c>
      <c r="C201" s="36">
        <v>411</v>
      </c>
      <c r="D201" s="6"/>
      <c r="E201" s="113">
        <v>24918846</v>
      </c>
      <c r="F201" s="116">
        <f t="shared" si="39"/>
        <v>60629.795620437959</v>
      </c>
      <c r="G201" s="117">
        <v>24915852</v>
      </c>
      <c r="H201" s="117">
        <f t="shared" si="40"/>
        <v>60622.51094890511</v>
      </c>
      <c r="I201" s="7"/>
      <c r="J201" s="11">
        <v>2.2911000000000001</v>
      </c>
      <c r="K201" s="117">
        <v>57085</v>
      </c>
      <c r="L201" s="120">
        <f t="shared" si="45"/>
        <v>138.89294403892944</v>
      </c>
      <c r="M201" s="122">
        <f t="shared" si="46"/>
        <v>249158.52000000002</v>
      </c>
      <c r="N201" s="116">
        <f t="shared" si="47"/>
        <v>192073.52000000002</v>
      </c>
      <c r="O201" s="123">
        <f t="shared" si="48"/>
        <v>467.33216545012169</v>
      </c>
      <c r="P201" s="5"/>
      <c r="Q201" s="5">
        <f t="shared" si="43"/>
        <v>1</v>
      </c>
      <c r="R201" s="7">
        <f t="shared" si="44"/>
        <v>411</v>
      </c>
      <c r="S201" s="5">
        <f t="shared" si="41"/>
        <v>1</v>
      </c>
      <c r="T201" s="7">
        <f t="shared" si="42"/>
        <v>411</v>
      </c>
    </row>
    <row r="202" spans="1:20">
      <c r="A202" s="23" t="s">
        <v>446</v>
      </c>
      <c r="B202" s="35" t="s">
        <v>230</v>
      </c>
      <c r="C202" s="36">
        <v>1996</v>
      </c>
      <c r="D202" s="6"/>
      <c r="E202" s="113">
        <v>1000009390</v>
      </c>
      <c r="F202" s="116">
        <f t="shared" si="39"/>
        <v>501006.70841683366</v>
      </c>
      <c r="G202" s="117">
        <v>675344340</v>
      </c>
      <c r="H202" s="117">
        <f t="shared" si="40"/>
        <v>338348.86773547094</v>
      </c>
      <c r="I202" s="7"/>
      <c r="J202" s="10">
        <v>2.169</v>
      </c>
      <c r="K202" s="117">
        <v>1464822</v>
      </c>
      <c r="L202" s="120">
        <f t="shared" si="45"/>
        <v>733.87875751503009</v>
      </c>
      <c r="M202" s="122">
        <f t="shared" si="46"/>
        <v>6753443.4000000004</v>
      </c>
      <c r="N202" s="116">
        <f t="shared" si="47"/>
        <v>5288621.4000000004</v>
      </c>
      <c r="O202" s="123">
        <f t="shared" si="48"/>
        <v>2649.6099198396796</v>
      </c>
      <c r="P202" s="5"/>
      <c r="Q202" s="5">
        <f t="shared" si="43"/>
        <v>1</v>
      </c>
      <c r="R202" s="7">
        <f t="shared" si="44"/>
        <v>1996</v>
      </c>
      <c r="S202" s="5">
        <f t="shared" si="41"/>
        <v>1</v>
      </c>
      <c r="T202" s="7">
        <f t="shared" si="42"/>
        <v>1996</v>
      </c>
    </row>
    <row r="203" spans="1:20">
      <c r="A203" s="24" t="s">
        <v>231</v>
      </c>
      <c r="B203" s="37" t="s">
        <v>230</v>
      </c>
      <c r="C203" s="36">
        <v>16564</v>
      </c>
      <c r="D203" s="6"/>
      <c r="E203" s="113">
        <v>3354011751</v>
      </c>
      <c r="F203" s="116">
        <f t="shared" si="39"/>
        <v>202488.03133301134</v>
      </c>
      <c r="G203" s="117">
        <v>2340107710</v>
      </c>
      <c r="H203" s="117">
        <f t="shared" si="40"/>
        <v>141276.72723979715</v>
      </c>
      <c r="I203" s="7"/>
      <c r="J203" s="10">
        <v>4.3329000000000004</v>
      </c>
      <c r="K203" s="117">
        <v>10139453</v>
      </c>
      <c r="L203" s="120">
        <f t="shared" si="45"/>
        <v>612.13794977058683</v>
      </c>
      <c r="M203" s="122">
        <f t="shared" si="46"/>
        <v>23401077.100000001</v>
      </c>
      <c r="N203" s="116">
        <f t="shared" si="47"/>
        <v>13261624.100000001</v>
      </c>
      <c r="O203" s="123">
        <f t="shared" si="48"/>
        <v>800.62932262738479</v>
      </c>
      <c r="P203" s="5"/>
      <c r="Q203" s="5">
        <f t="shared" si="43"/>
        <v>1</v>
      </c>
      <c r="R203" s="7">
        <f t="shared" si="44"/>
        <v>16564</v>
      </c>
      <c r="S203" s="5">
        <f t="shared" si="41"/>
        <v>1</v>
      </c>
      <c r="T203" s="7">
        <f t="shared" si="42"/>
        <v>16564</v>
      </c>
    </row>
    <row r="204" spans="1:20">
      <c r="A204" s="23" t="s">
        <v>232</v>
      </c>
      <c r="B204" s="37" t="s">
        <v>233</v>
      </c>
      <c r="C204" s="36">
        <v>30383</v>
      </c>
      <c r="D204" s="6"/>
      <c r="E204" s="113">
        <v>11155848704</v>
      </c>
      <c r="F204" s="116">
        <f t="shared" si="39"/>
        <v>367174.03495375701</v>
      </c>
      <c r="G204" s="117">
        <v>9391937783</v>
      </c>
      <c r="H204" s="117">
        <f t="shared" si="40"/>
        <v>309118.18395155185</v>
      </c>
      <c r="I204" s="7"/>
      <c r="J204" s="11">
        <v>1.7261</v>
      </c>
      <c r="K204" s="117">
        <v>16211424</v>
      </c>
      <c r="L204" s="120">
        <f t="shared" si="45"/>
        <v>533.56890366323273</v>
      </c>
      <c r="M204" s="122">
        <f t="shared" si="46"/>
        <v>93919377.829999998</v>
      </c>
      <c r="N204" s="116">
        <f t="shared" si="47"/>
        <v>77707953.829999998</v>
      </c>
      <c r="O204" s="123">
        <f t="shared" si="48"/>
        <v>2557.6129358522858</v>
      </c>
      <c r="P204" s="5"/>
      <c r="Q204" s="5">
        <f t="shared" si="43"/>
        <v>1</v>
      </c>
      <c r="R204" s="7">
        <f t="shared" si="44"/>
        <v>30383</v>
      </c>
      <c r="S204" s="5">
        <f t="shared" si="41"/>
        <v>1</v>
      </c>
      <c r="T204" s="7">
        <f t="shared" si="42"/>
        <v>30383</v>
      </c>
    </row>
    <row r="205" spans="1:20">
      <c r="A205" s="23" t="s">
        <v>234</v>
      </c>
      <c r="B205" s="37" t="s">
        <v>233</v>
      </c>
      <c r="C205" s="36">
        <v>3058</v>
      </c>
      <c r="D205" s="6"/>
      <c r="E205" s="113">
        <v>2853504631</v>
      </c>
      <c r="F205" s="116">
        <f t="shared" si="39"/>
        <v>933127.74068018317</v>
      </c>
      <c r="G205" s="117">
        <v>2410463187</v>
      </c>
      <c r="H205" s="117">
        <f t="shared" si="40"/>
        <v>788248.26258992811</v>
      </c>
      <c r="I205" s="7"/>
      <c r="J205" s="10">
        <v>2.2873999999999999</v>
      </c>
      <c r="K205" s="117">
        <v>5513693</v>
      </c>
      <c r="L205" s="120">
        <f t="shared" si="45"/>
        <v>1803.0389143230871</v>
      </c>
      <c r="M205" s="122">
        <f t="shared" si="46"/>
        <v>24104631.870000001</v>
      </c>
      <c r="N205" s="116">
        <f t="shared" si="47"/>
        <v>18590938.870000001</v>
      </c>
      <c r="O205" s="123">
        <f t="shared" si="48"/>
        <v>6079.4437115761939</v>
      </c>
      <c r="P205" s="5"/>
      <c r="Q205" s="5">
        <f t="shared" si="43"/>
        <v>1</v>
      </c>
      <c r="R205" s="7">
        <f t="shared" si="44"/>
        <v>3058</v>
      </c>
      <c r="S205" s="5">
        <f t="shared" si="41"/>
        <v>1</v>
      </c>
      <c r="T205" s="7">
        <f t="shared" si="42"/>
        <v>3058</v>
      </c>
    </row>
    <row r="206" spans="1:20">
      <c r="A206" s="23" t="s">
        <v>235</v>
      </c>
      <c r="B206" s="37" t="s">
        <v>233</v>
      </c>
      <c r="C206" s="36">
        <v>5148</v>
      </c>
      <c r="D206" s="6"/>
      <c r="E206" s="113">
        <v>1245528433</v>
      </c>
      <c r="F206" s="116">
        <f t="shared" si="39"/>
        <v>241944.14005439007</v>
      </c>
      <c r="G206" s="117">
        <v>841073542</v>
      </c>
      <c r="H206" s="117">
        <f t="shared" si="40"/>
        <v>163378.69891219892</v>
      </c>
      <c r="I206" s="7"/>
      <c r="J206" s="10">
        <v>3.6564999999999999</v>
      </c>
      <c r="K206" s="117">
        <v>3075385</v>
      </c>
      <c r="L206" s="120">
        <f t="shared" si="45"/>
        <v>597.3941336441336</v>
      </c>
      <c r="M206" s="122">
        <f t="shared" si="46"/>
        <v>8410735.4199999999</v>
      </c>
      <c r="N206" s="116">
        <f t="shared" si="47"/>
        <v>5335350.42</v>
      </c>
      <c r="O206" s="123">
        <f t="shared" si="48"/>
        <v>1036.3928554778554</v>
      </c>
      <c r="P206" s="5"/>
      <c r="Q206" s="5">
        <f t="shared" si="43"/>
        <v>1</v>
      </c>
      <c r="R206" s="7">
        <f t="shared" si="44"/>
        <v>5148</v>
      </c>
      <c r="S206" s="5">
        <f t="shared" si="41"/>
        <v>1</v>
      </c>
      <c r="T206" s="7">
        <f t="shared" si="42"/>
        <v>5148</v>
      </c>
    </row>
    <row r="207" spans="1:20">
      <c r="A207" s="23" t="s">
        <v>236</v>
      </c>
      <c r="B207" s="37" t="s">
        <v>233</v>
      </c>
      <c r="C207" s="36">
        <v>3328</v>
      </c>
      <c r="D207" s="6"/>
      <c r="E207" s="113">
        <v>399538039</v>
      </c>
      <c r="F207" s="116">
        <f t="shared" si="39"/>
        <v>120053.49729567308</v>
      </c>
      <c r="G207" s="117">
        <v>208886365</v>
      </c>
      <c r="H207" s="117">
        <f t="shared" si="40"/>
        <v>62766.335637019234</v>
      </c>
      <c r="I207" s="7"/>
      <c r="J207" s="10">
        <v>8.34</v>
      </c>
      <c r="K207" s="117">
        <v>1742112</v>
      </c>
      <c r="L207" s="120">
        <f t="shared" si="45"/>
        <v>523.47115384615381</v>
      </c>
      <c r="M207" s="122">
        <f t="shared" si="46"/>
        <v>2088863.6500000001</v>
      </c>
      <c r="N207" s="116">
        <f t="shared" si="47"/>
        <v>346751.65000000014</v>
      </c>
      <c r="O207" s="123">
        <f t="shared" si="48"/>
        <v>104.19220252403851</v>
      </c>
      <c r="P207" s="5"/>
      <c r="Q207" s="5">
        <f t="shared" si="43"/>
        <v>1</v>
      </c>
      <c r="R207" s="7">
        <f t="shared" si="44"/>
        <v>3328</v>
      </c>
      <c r="S207" s="5">
        <f t="shared" si="41"/>
        <v>1</v>
      </c>
      <c r="T207" s="7">
        <f t="shared" si="42"/>
        <v>3328</v>
      </c>
    </row>
    <row r="208" spans="1:20">
      <c r="A208" s="23" t="s">
        <v>237</v>
      </c>
      <c r="B208" s="37" t="s">
        <v>233</v>
      </c>
      <c r="C208" s="36">
        <v>44604</v>
      </c>
      <c r="D208" s="6"/>
      <c r="E208" s="113">
        <v>19482015357</v>
      </c>
      <c r="F208" s="116">
        <f t="shared" si="39"/>
        <v>436777.31497175142</v>
      </c>
      <c r="G208" s="117">
        <v>12977056322</v>
      </c>
      <c r="H208" s="117">
        <f t="shared" si="40"/>
        <v>290939.29517532059</v>
      </c>
      <c r="I208" s="7"/>
      <c r="J208" s="10">
        <v>5.25</v>
      </c>
      <c r="K208" s="117">
        <v>68129546</v>
      </c>
      <c r="L208" s="120">
        <f t="shared" si="45"/>
        <v>1527.4313066092727</v>
      </c>
      <c r="M208" s="122">
        <f t="shared" si="46"/>
        <v>129770563.22</v>
      </c>
      <c r="N208" s="116">
        <f t="shared" si="47"/>
        <v>61641017.219999999</v>
      </c>
      <c r="O208" s="123">
        <f t="shared" si="48"/>
        <v>1381.9616451439333</v>
      </c>
      <c r="P208" s="5"/>
      <c r="Q208" s="5">
        <f t="shared" si="43"/>
        <v>1</v>
      </c>
      <c r="R208" s="7">
        <f t="shared" si="44"/>
        <v>44604</v>
      </c>
      <c r="S208" s="5">
        <f t="shared" si="41"/>
        <v>1</v>
      </c>
      <c r="T208" s="7">
        <f t="shared" si="42"/>
        <v>44604</v>
      </c>
    </row>
    <row r="209" spans="1:20">
      <c r="A209" s="23" t="s">
        <v>524</v>
      </c>
      <c r="B209" s="37" t="s">
        <v>233</v>
      </c>
      <c r="C209" s="36">
        <v>40468</v>
      </c>
      <c r="D209" s="6"/>
      <c r="E209" s="113">
        <v>4362897950</v>
      </c>
      <c r="F209" s="116">
        <f t="shared" si="39"/>
        <v>107811.05935554019</v>
      </c>
      <c r="G209" s="117">
        <v>2782542637</v>
      </c>
      <c r="H209" s="117">
        <f t="shared" si="40"/>
        <v>68759.084634773157</v>
      </c>
      <c r="I209" s="7"/>
      <c r="J209" s="10">
        <v>2.4470000000000001</v>
      </c>
      <c r="K209" s="117">
        <v>6808882</v>
      </c>
      <c r="L209" s="120">
        <f t="shared" si="45"/>
        <v>168.25348423445686</v>
      </c>
      <c r="M209" s="122">
        <f t="shared" si="46"/>
        <v>27825426.370000001</v>
      </c>
      <c r="N209" s="116">
        <f t="shared" si="47"/>
        <v>21016544.370000001</v>
      </c>
      <c r="O209" s="123">
        <f t="shared" si="48"/>
        <v>519.33736211327471</v>
      </c>
      <c r="P209" s="5"/>
      <c r="Q209" s="5">
        <f t="shared" si="43"/>
        <v>1</v>
      </c>
      <c r="R209" s="7">
        <f t="shared" si="44"/>
        <v>40468</v>
      </c>
      <c r="S209" s="5">
        <f t="shared" si="41"/>
        <v>1</v>
      </c>
      <c r="T209" s="7">
        <f t="shared" si="42"/>
        <v>40468</v>
      </c>
    </row>
    <row r="210" spans="1:20">
      <c r="A210" s="23" t="s">
        <v>501</v>
      </c>
      <c r="B210" s="37" t="s">
        <v>233</v>
      </c>
      <c r="C210" s="36">
        <v>34472</v>
      </c>
      <c r="D210" s="6"/>
      <c r="E210" s="113">
        <v>11726386423</v>
      </c>
      <c r="F210" s="116">
        <f t="shared" si="39"/>
        <v>340171.33972499421</v>
      </c>
      <c r="G210" s="117">
        <v>10141567360</v>
      </c>
      <c r="H210" s="117">
        <f t="shared" si="40"/>
        <v>294197.2429798097</v>
      </c>
      <c r="I210" s="7"/>
      <c r="J210" s="10">
        <v>2.4470000000000001</v>
      </c>
      <c r="K210" s="117">
        <v>24816415</v>
      </c>
      <c r="L210" s="120">
        <f t="shared" si="45"/>
        <v>719.90064400092831</v>
      </c>
      <c r="M210" s="122">
        <f t="shared" si="46"/>
        <v>101415673.60000001</v>
      </c>
      <c r="N210" s="116">
        <f t="shared" si="47"/>
        <v>76599258.600000009</v>
      </c>
      <c r="O210" s="123">
        <f t="shared" si="48"/>
        <v>2222.071785797169</v>
      </c>
      <c r="P210" s="5"/>
      <c r="Q210" s="5">
        <f t="shared" si="43"/>
        <v>1</v>
      </c>
      <c r="R210" s="7">
        <f t="shared" si="44"/>
        <v>34472</v>
      </c>
      <c r="S210" s="5">
        <f t="shared" si="41"/>
        <v>1</v>
      </c>
      <c r="T210" s="7">
        <f t="shared" si="42"/>
        <v>34472</v>
      </c>
    </row>
    <row r="211" spans="1:20">
      <c r="A211" s="23" t="s">
        <v>238</v>
      </c>
      <c r="B211" s="37" t="s">
        <v>233</v>
      </c>
      <c r="C211" s="36">
        <v>2523</v>
      </c>
      <c r="D211" s="6"/>
      <c r="E211" s="113">
        <v>312543326</v>
      </c>
      <c r="F211" s="116">
        <f t="shared" si="39"/>
        <v>123877.65596512088</v>
      </c>
      <c r="G211" s="117">
        <v>138342624</v>
      </c>
      <c r="H211" s="117">
        <f t="shared" si="40"/>
        <v>54832.589774078479</v>
      </c>
      <c r="I211" s="7"/>
      <c r="J211" s="10">
        <v>7.0312000000000001</v>
      </c>
      <c r="K211" s="117">
        <v>972715</v>
      </c>
      <c r="L211" s="120">
        <f t="shared" si="45"/>
        <v>385.53904082441539</v>
      </c>
      <c r="M211" s="122">
        <f t="shared" si="46"/>
        <v>1383426.24</v>
      </c>
      <c r="N211" s="116">
        <f t="shared" si="47"/>
        <v>410711.24</v>
      </c>
      <c r="O211" s="123">
        <f t="shared" si="48"/>
        <v>162.7868569163694</v>
      </c>
      <c r="P211" s="5"/>
      <c r="Q211" s="5">
        <f t="shared" si="43"/>
        <v>1</v>
      </c>
      <c r="R211" s="7">
        <f t="shared" si="44"/>
        <v>2523</v>
      </c>
      <c r="S211" s="5">
        <f t="shared" si="41"/>
        <v>1</v>
      </c>
      <c r="T211" s="7">
        <f t="shared" si="42"/>
        <v>2523</v>
      </c>
    </row>
    <row r="212" spans="1:20">
      <c r="A212" s="23" t="s">
        <v>239</v>
      </c>
      <c r="B212" s="37" t="s">
        <v>233</v>
      </c>
      <c r="C212" s="36">
        <v>9318</v>
      </c>
      <c r="D212" s="6"/>
      <c r="E212" s="113">
        <v>965701046</v>
      </c>
      <c r="F212" s="116">
        <f t="shared" si="39"/>
        <v>103638.23202403949</v>
      </c>
      <c r="G212" s="117">
        <v>686945768</v>
      </c>
      <c r="H212" s="117">
        <f t="shared" si="40"/>
        <v>73722.447735565569</v>
      </c>
      <c r="I212" s="7"/>
      <c r="J212" s="10">
        <v>7.75</v>
      </c>
      <c r="K212" s="117">
        <v>5323830</v>
      </c>
      <c r="L212" s="120">
        <f t="shared" si="45"/>
        <v>571.34900193174497</v>
      </c>
      <c r="M212" s="122">
        <f t="shared" si="46"/>
        <v>6869457.6799999997</v>
      </c>
      <c r="N212" s="116">
        <f t="shared" si="47"/>
        <v>1545627.6799999997</v>
      </c>
      <c r="O212" s="123">
        <f t="shared" si="48"/>
        <v>165.87547542391067</v>
      </c>
      <c r="P212" s="5"/>
      <c r="Q212" s="5">
        <f t="shared" si="43"/>
        <v>1</v>
      </c>
      <c r="R212" s="7">
        <f t="shared" si="44"/>
        <v>9318</v>
      </c>
      <c r="S212" s="5">
        <f t="shared" si="41"/>
        <v>1</v>
      </c>
      <c r="T212" s="7">
        <f t="shared" si="42"/>
        <v>9318</v>
      </c>
    </row>
    <row r="213" spans="1:20">
      <c r="A213" s="23" t="s">
        <v>240</v>
      </c>
      <c r="B213" s="37" t="s">
        <v>233</v>
      </c>
      <c r="C213" s="36">
        <v>951</v>
      </c>
      <c r="D213" s="6"/>
      <c r="E213" s="113">
        <v>1038036862</v>
      </c>
      <c r="F213" s="116">
        <f t="shared" si="39"/>
        <v>1091521.4111461618</v>
      </c>
      <c r="G213" s="117">
        <v>685667871</v>
      </c>
      <c r="H213" s="117">
        <f t="shared" si="40"/>
        <v>720996.70977917977</v>
      </c>
      <c r="I213" s="7"/>
      <c r="J213" s="10">
        <v>8.5</v>
      </c>
      <c r="K213" s="117">
        <v>5828177</v>
      </c>
      <c r="L213" s="120">
        <f t="shared" si="45"/>
        <v>6128.472134595163</v>
      </c>
      <c r="M213" s="122">
        <f t="shared" si="46"/>
        <v>6856678.71</v>
      </c>
      <c r="N213" s="116">
        <f t="shared" si="47"/>
        <v>1028501.71</v>
      </c>
      <c r="O213" s="123">
        <f t="shared" si="48"/>
        <v>1081.4949631966351</v>
      </c>
      <c r="P213" s="5"/>
      <c r="Q213" s="5">
        <f t="shared" si="43"/>
        <v>1</v>
      </c>
      <c r="R213" s="7">
        <f t="shared" si="44"/>
        <v>951</v>
      </c>
      <c r="S213" s="5">
        <f t="shared" si="41"/>
        <v>1</v>
      </c>
      <c r="T213" s="7">
        <f t="shared" si="42"/>
        <v>951</v>
      </c>
    </row>
    <row r="214" spans="1:20">
      <c r="A214" s="23" t="s">
        <v>241</v>
      </c>
      <c r="B214" s="37" t="s">
        <v>233</v>
      </c>
      <c r="C214" s="36">
        <v>228528</v>
      </c>
      <c r="D214" s="6"/>
      <c r="E214" s="113">
        <v>17168200012</v>
      </c>
      <c r="F214" s="116">
        <f t="shared" si="39"/>
        <v>75125.148830777849</v>
      </c>
      <c r="G214" s="117">
        <v>10807695908</v>
      </c>
      <c r="H214" s="117">
        <f t="shared" si="40"/>
        <v>47292.655201988375</v>
      </c>
      <c r="I214" s="7"/>
      <c r="J214" s="10">
        <v>6.54</v>
      </c>
      <c r="K214" s="117">
        <v>70682331</v>
      </c>
      <c r="L214" s="120">
        <f t="shared" si="45"/>
        <v>309.29396397815583</v>
      </c>
      <c r="M214" s="122">
        <f t="shared" si="46"/>
        <v>108076959.08</v>
      </c>
      <c r="N214" s="116">
        <f t="shared" si="47"/>
        <v>37394628.079999998</v>
      </c>
      <c r="O214" s="123">
        <f t="shared" si="48"/>
        <v>163.63258804172793</v>
      </c>
      <c r="P214" s="5"/>
      <c r="Q214" s="5">
        <f t="shared" si="43"/>
        <v>1</v>
      </c>
      <c r="R214" s="7">
        <f t="shared" si="44"/>
        <v>228528</v>
      </c>
      <c r="S214" s="5">
        <f t="shared" si="41"/>
        <v>1</v>
      </c>
      <c r="T214" s="7">
        <f t="shared" si="42"/>
        <v>228528</v>
      </c>
    </row>
    <row r="215" spans="1:20">
      <c r="A215" s="23" t="s">
        <v>242</v>
      </c>
      <c r="B215" s="37" t="s">
        <v>233</v>
      </c>
      <c r="C215" s="36">
        <v>20491</v>
      </c>
      <c r="D215" s="6"/>
      <c r="E215" s="113">
        <v>1913314310</v>
      </c>
      <c r="F215" s="116">
        <f t="shared" si="39"/>
        <v>93373.398565223761</v>
      </c>
      <c r="G215" s="117">
        <v>1235503753</v>
      </c>
      <c r="H215" s="117">
        <f t="shared" si="40"/>
        <v>60294.946708310963</v>
      </c>
      <c r="I215" s="7"/>
      <c r="J215" s="10">
        <v>4.9089999999999998</v>
      </c>
      <c r="K215" s="117">
        <v>6065088</v>
      </c>
      <c r="L215" s="120">
        <f t="shared" si="45"/>
        <v>295.98789712556732</v>
      </c>
      <c r="M215" s="122">
        <f t="shared" si="46"/>
        <v>12355037.529999999</v>
      </c>
      <c r="N215" s="116">
        <f t="shared" si="47"/>
        <v>6289949.5299999993</v>
      </c>
      <c r="O215" s="123">
        <f t="shared" si="48"/>
        <v>306.96156995754228</v>
      </c>
      <c r="P215" s="5"/>
      <c r="Q215" s="5">
        <f t="shared" si="43"/>
        <v>1</v>
      </c>
      <c r="R215" s="7">
        <f t="shared" si="44"/>
        <v>20491</v>
      </c>
      <c r="S215" s="5">
        <f t="shared" si="41"/>
        <v>1</v>
      </c>
      <c r="T215" s="7">
        <f t="shared" si="42"/>
        <v>20491</v>
      </c>
    </row>
    <row r="216" spans="1:20">
      <c r="A216" s="23" t="s">
        <v>243</v>
      </c>
      <c r="B216" s="37" t="s">
        <v>233</v>
      </c>
      <c r="C216" s="36">
        <v>57605</v>
      </c>
      <c r="D216" s="6"/>
      <c r="E216" s="113">
        <v>4882875962</v>
      </c>
      <c r="F216" s="116">
        <f t="shared" si="39"/>
        <v>84764.794063015361</v>
      </c>
      <c r="G216" s="117">
        <v>3643453763</v>
      </c>
      <c r="H216" s="117">
        <f t="shared" si="40"/>
        <v>63248.91525041229</v>
      </c>
      <c r="I216" s="7"/>
      <c r="J216" s="10">
        <v>5.1585000000000001</v>
      </c>
      <c r="K216" s="117">
        <v>18794756</v>
      </c>
      <c r="L216" s="120">
        <f t="shared" si="45"/>
        <v>326.26952521482508</v>
      </c>
      <c r="M216" s="122">
        <f t="shared" si="46"/>
        <v>36434537.630000003</v>
      </c>
      <c r="N216" s="116">
        <f t="shared" si="47"/>
        <v>17639781.630000003</v>
      </c>
      <c r="O216" s="123">
        <f t="shared" si="48"/>
        <v>306.21962728929788</v>
      </c>
      <c r="P216" s="5"/>
      <c r="Q216" s="5">
        <f t="shared" si="43"/>
        <v>1</v>
      </c>
      <c r="R216" s="7">
        <f t="shared" si="44"/>
        <v>57605</v>
      </c>
      <c r="S216" s="5">
        <f t="shared" si="41"/>
        <v>1</v>
      </c>
      <c r="T216" s="7">
        <f t="shared" si="42"/>
        <v>57605</v>
      </c>
    </row>
    <row r="217" spans="1:20">
      <c r="A217" s="23" t="s">
        <v>244</v>
      </c>
      <c r="B217" s="37" t="s">
        <v>233</v>
      </c>
      <c r="C217" s="36">
        <v>59</v>
      </c>
      <c r="D217" s="6"/>
      <c r="E217" s="113">
        <v>424296213</v>
      </c>
      <c r="F217" s="116">
        <f t="shared" si="39"/>
        <v>7191461.237288136</v>
      </c>
      <c r="G217" s="117">
        <v>362580423</v>
      </c>
      <c r="H217" s="117">
        <f t="shared" si="40"/>
        <v>6145430.8983050846</v>
      </c>
      <c r="I217" s="7"/>
      <c r="J217" s="10">
        <v>6.95</v>
      </c>
      <c r="K217" s="117">
        <v>2519934</v>
      </c>
      <c r="L217" s="120">
        <f t="shared" si="45"/>
        <v>42710.745762711864</v>
      </c>
      <c r="M217" s="122">
        <f t="shared" si="46"/>
        <v>3625804.23</v>
      </c>
      <c r="N217" s="116">
        <f t="shared" si="47"/>
        <v>1105870.23</v>
      </c>
      <c r="O217" s="123">
        <f t="shared" si="48"/>
        <v>18743.563220338983</v>
      </c>
      <c r="P217" s="5"/>
      <c r="Q217" s="5">
        <f t="shared" si="43"/>
        <v>1</v>
      </c>
      <c r="R217" s="7">
        <f t="shared" si="44"/>
        <v>59</v>
      </c>
      <c r="S217" s="5">
        <f t="shared" si="41"/>
        <v>1</v>
      </c>
      <c r="T217" s="7">
        <f t="shared" si="42"/>
        <v>59</v>
      </c>
    </row>
    <row r="218" spans="1:20">
      <c r="A218" s="23" t="s">
        <v>245</v>
      </c>
      <c r="B218" s="37" t="s">
        <v>233</v>
      </c>
      <c r="C218" s="36">
        <v>6</v>
      </c>
      <c r="D218" s="6"/>
      <c r="E218" s="113">
        <v>9599319</v>
      </c>
      <c r="F218" s="116">
        <f t="shared" si="39"/>
        <v>1599886.5</v>
      </c>
      <c r="G218" s="117">
        <v>320066</v>
      </c>
      <c r="H218" s="117">
        <f t="shared" si="40"/>
        <v>53344.333333333336</v>
      </c>
      <c r="I218" s="7"/>
      <c r="J218" s="10">
        <v>7.9671000000000003</v>
      </c>
      <c r="K218" s="117">
        <v>2550</v>
      </c>
      <c r="L218" s="120">
        <f t="shared" si="45"/>
        <v>425</v>
      </c>
      <c r="M218" s="122">
        <f t="shared" si="46"/>
        <v>3200.66</v>
      </c>
      <c r="N218" s="116">
        <f t="shared" si="47"/>
        <v>650.65999999999985</v>
      </c>
      <c r="O218" s="123">
        <f t="shared" si="48"/>
        <v>108.44333333333331</v>
      </c>
      <c r="P218" s="5"/>
      <c r="Q218" s="5">
        <f t="shared" si="43"/>
        <v>1</v>
      </c>
      <c r="R218" s="7">
        <f t="shared" si="44"/>
        <v>6</v>
      </c>
      <c r="S218" s="5">
        <f t="shared" si="41"/>
        <v>1</v>
      </c>
      <c r="T218" s="7">
        <f t="shared" si="42"/>
        <v>6</v>
      </c>
    </row>
    <row r="219" spans="1:20">
      <c r="A219" s="23" t="s">
        <v>246</v>
      </c>
      <c r="B219" s="37" t="s">
        <v>233</v>
      </c>
      <c r="C219" s="36">
        <v>11433</v>
      </c>
      <c r="D219" s="6"/>
      <c r="E219" s="113">
        <v>8212200166</v>
      </c>
      <c r="F219" s="116">
        <f t="shared" si="39"/>
        <v>718289.17746873084</v>
      </c>
      <c r="G219" s="117">
        <v>6405427760</v>
      </c>
      <c r="H219" s="117">
        <f t="shared" si="40"/>
        <v>560257.82909122715</v>
      </c>
      <c r="I219" s="7"/>
      <c r="J219" s="10">
        <v>3.2</v>
      </c>
      <c r="K219" s="117">
        <v>20497369</v>
      </c>
      <c r="L219" s="120">
        <f t="shared" si="45"/>
        <v>1792.8250677862329</v>
      </c>
      <c r="M219" s="122">
        <f t="shared" si="46"/>
        <v>64054277.600000001</v>
      </c>
      <c r="N219" s="116">
        <f t="shared" si="47"/>
        <v>43556908.600000001</v>
      </c>
      <c r="O219" s="123">
        <f t="shared" si="48"/>
        <v>3809.7532231260388</v>
      </c>
      <c r="P219" s="5"/>
      <c r="Q219" s="5">
        <f t="shared" si="43"/>
        <v>1</v>
      </c>
      <c r="R219" s="7">
        <f t="shared" si="44"/>
        <v>11433</v>
      </c>
      <c r="S219" s="5">
        <f t="shared" si="41"/>
        <v>1</v>
      </c>
      <c r="T219" s="7">
        <f t="shared" si="42"/>
        <v>11433</v>
      </c>
    </row>
    <row r="220" spans="1:20">
      <c r="A220" s="23" t="s">
        <v>247</v>
      </c>
      <c r="B220" s="37" t="s">
        <v>233</v>
      </c>
      <c r="C220" s="36">
        <v>1132</v>
      </c>
      <c r="D220" s="6"/>
      <c r="E220" s="113">
        <v>1825088739</v>
      </c>
      <c r="F220" s="116">
        <f t="shared" si="39"/>
        <v>1612269.2040636044</v>
      </c>
      <c r="G220" s="117">
        <v>1775918206</v>
      </c>
      <c r="H220" s="117">
        <f t="shared" si="40"/>
        <v>1568832.3374558303</v>
      </c>
      <c r="I220" s="7"/>
      <c r="J220" s="10">
        <v>5.7512999999999996</v>
      </c>
      <c r="K220" s="117">
        <v>10213838</v>
      </c>
      <c r="L220" s="120">
        <f t="shared" si="45"/>
        <v>9022.8250883392229</v>
      </c>
      <c r="M220" s="122">
        <f t="shared" si="46"/>
        <v>17759182.059999999</v>
      </c>
      <c r="N220" s="116">
        <f t="shared" si="47"/>
        <v>7545344.0599999987</v>
      </c>
      <c r="O220" s="123">
        <f t="shared" si="48"/>
        <v>6665.49828621908</v>
      </c>
      <c r="P220" s="5"/>
      <c r="Q220" s="5">
        <f t="shared" si="43"/>
        <v>1</v>
      </c>
      <c r="R220" s="7">
        <f t="shared" si="44"/>
        <v>1132</v>
      </c>
      <c r="S220" s="5">
        <f t="shared" si="41"/>
        <v>1</v>
      </c>
      <c r="T220" s="7">
        <f t="shared" si="42"/>
        <v>1132</v>
      </c>
    </row>
    <row r="221" spans="1:20">
      <c r="A221" s="23" t="s">
        <v>248</v>
      </c>
      <c r="B221" s="37" t="s">
        <v>233</v>
      </c>
      <c r="C221" s="36">
        <v>395434</v>
      </c>
      <c r="D221" s="6"/>
      <c r="E221" s="113">
        <v>55249891635</v>
      </c>
      <c r="F221" s="116">
        <f t="shared" si="39"/>
        <v>139719.62864852289</v>
      </c>
      <c r="G221" s="117">
        <v>37755839094</v>
      </c>
      <c r="H221" s="117">
        <f t="shared" si="40"/>
        <v>95479.496183939671</v>
      </c>
      <c r="I221" s="7"/>
      <c r="J221" s="10">
        <v>7.8775000000000004</v>
      </c>
      <c r="K221" s="117">
        <v>297421622</v>
      </c>
      <c r="L221" s="120">
        <f t="shared" si="45"/>
        <v>752.13973001815725</v>
      </c>
      <c r="M221" s="122">
        <f t="shared" si="46"/>
        <v>377558390.94</v>
      </c>
      <c r="N221" s="116">
        <f t="shared" si="47"/>
        <v>80136768.939999998</v>
      </c>
      <c r="O221" s="123">
        <f t="shared" si="48"/>
        <v>202.65523182123945</v>
      </c>
      <c r="P221" s="5"/>
      <c r="Q221" s="5">
        <f t="shared" si="43"/>
        <v>1</v>
      </c>
      <c r="R221" s="7">
        <f t="shared" si="44"/>
        <v>395434</v>
      </c>
      <c r="S221" s="5">
        <f t="shared" si="41"/>
        <v>1</v>
      </c>
      <c r="T221" s="7">
        <f t="shared" si="42"/>
        <v>395434</v>
      </c>
    </row>
    <row r="222" spans="1:20">
      <c r="A222" s="23" t="s">
        <v>249</v>
      </c>
      <c r="B222" s="37" t="s">
        <v>233</v>
      </c>
      <c r="C222" s="36">
        <v>93721</v>
      </c>
      <c r="D222" s="6"/>
      <c r="E222" s="113">
        <v>34025076434</v>
      </c>
      <c r="F222" s="116">
        <f t="shared" si="39"/>
        <v>363046.45099817542</v>
      </c>
      <c r="G222" s="117">
        <v>26002385371</v>
      </c>
      <c r="H222" s="117">
        <f t="shared" si="40"/>
        <v>277444.60015364754</v>
      </c>
      <c r="I222" s="7"/>
      <c r="J222" s="10">
        <v>6.9333</v>
      </c>
      <c r="K222" s="117">
        <v>180282338</v>
      </c>
      <c r="L222" s="120">
        <f t="shared" si="45"/>
        <v>1923.6066409876121</v>
      </c>
      <c r="M222" s="122">
        <f t="shared" si="46"/>
        <v>260023853.71000001</v>
      </c>
      <c r="N222" s="116">
        <f t="shared" si="47"/>
        <v>79741515.710000008</v>
      </c>
      <c r="O222" s="123">
        <f t="shared" si="48"/>
        <v>850.83936054886317</v>
      </c>
      <c r="P222" s="5"/>
      <c r="Q222" s="5">
        <f t="shared" si="43"/>
        <v>1</v>
      </c>
      <c r="R222" s="7">
        <f t="shared" si="44"/>
        <v>93721</v>
      </c>
      <c r="S222" s="5">
        <f t="shared" si="41"/>
        <v>1</v>
      </c>
      <c r="T222" s="7">
        <f t="shared" si="42"/>
        <v>93721</v>
      </c>
    </row>
    <row r="223" spans="1:20">
      <c r="A223" s="23" t="s">
        <v>500</v>
      </c>
      <c r="B223" s="37" t="s">
        <v>233</v>
      </c>
      <c r="C223" s="36">
        <v>109200</v>
      </c>
      <c r="D223" s="6"/>
      <c r="E223" s="113">
        <v>7991553219</v>
      </c>
      <c r="F223" s="116">
        <f t="shared" si="39"/>
        <v>73182.721785714282</v>
      </c>
      <c r="G223" s="117">
        <v>4731226189</v>
      </c>
      <c r="H223" s="117">
        <f t="shared" si="40"/>
        <v>43326.24715201465</v>
      </c>
      <c r="I223" s="7"/>
      <c r="J223" s="10">
        <v>5.1487999999999996</v>
      </c>
      <c r="K223" s="117">
        <v>24360137</v>
      </c>
      <c r="L223" s="120">
        <f t="shared" si="45"/>
        <v>223.07817765567765</v>
      </c>
      <c r="M223" s="122">
        <f t="shared" si="46"/>
        <v>47312261.890000001</v>
      </c>
      <c r="N223" s="116">
        <f t="shared" si="47"/>
        <v>22952124.890000001</v>
      </c>
      <c r="O223" s="123">
        <f t="shared" si="48"/>
        <v>210.18429386446886</v>
      </c>
      <c r="P223" s="5"/>
      <c r="Q223" s="5">
        <f t="shared" si="43"/>
        <v>1</v>
      </c>
      <c r="R223" s="7">
        <f t="shared" si="44"/>
        <v>109200</v>
      </c>
      <c r="S223" s="5">
        <f t="shared" si="41"/>
        <v>1</v>
      </c>
      <c r="T223" s="7">
        <f t="shared" si="42"/>
        <v>109200</v>
      </c>
    </row>
    <row r="224" spans="1:20">
      <c r="A224" s="23" t="s">
        <v>459</v>
      </c>
      <c r="B224" s="37" t="s">
        <v>233</v>
      </c>
      <c r="C224" s="36">
        <v>27027</v>
      </c>
      <c r="D224" s="6"/>
      <c r="E224" s="113">
        <v>5016116227</v>
      </c>
      <c r="F224" s="116">
        <f t="shared" ref="F224:F287" si="49">(E224/C224)</f>
        <v>185596.485995486</v>
      </c>
      <c r="G224" s="117">
        <v>3145041213</v>
      </c>
      <c r="H224" s="117">
        <f t="shared" ref="H224:H287" si="50">(G224/C224)</f>
        <v>116366.64124764125</v>
      </c>
      <c r="I224" s="7"/>
      <c r="J224" s="10">
        <v>2.4794999999999998</v>
      </c>
      <c r="K224" s="117">
        <v>7798130</v>
      </c>
      <c r="L224" s="120">
        <f t="shared" si="45"/>
        <v>288.53109853109851</v>
      </c>
      <c r="M224" s="122">
        <f t="shared" si="46"/>
        <v>31450412.129999999</v>
      </c>
      <c r="N224" s="116">
        <f t="shared" si="47"/>
        <v>23652282.129999999</v>
      </c>
      <c r="O224" s="123">
        <f t="shared" si="48"/>
        <v>875.1353139453139</v>
      </c>
      <c r="P224" s="5"/>
      <c r="Q224" s="5">
        <f t="shared" si="43"/>
        <v>1</v>
      </c>
      <c r="R224" s="7">
        <f t="shared" si="44"/>
        <v>27027</v>
      </c>
      <c r="S224" s="5">
        <f t="shared" si="41"/>
        <v>1</v>
      </c>
      <c r="T224" s="7">
        <f t="shared" si="42"/>
        <v>27027</v>
      </c>
    </row>
    <row r="225" spans="1:20">
      <c r="A225" s="23" t="s">
        <v>250</v>
      </c>
      <c r="B225" s="37" t="s">
        <v>233</v>
      </c>
      <c r="C225" s="36">
        <v>10323</v>
      </c>
      <c r="D225" s="6"/>
      <c r="E225" s="113">
        <v>2214199534</v>
      </c>
      <c r="F225" s="116">
        <f t="shared" si="49"/>
        <v>214491.8661241887</v>
      </c>
      <c r="G225" s="117">
        <v>952175378</v>
      </c>
      <c r="H225" s="117">
        <f t="shared" si="50"/>
        <v>92238.242565145789</v>
      </c>
      <c r="I225" s="7"/>
      <c r="J225" s="10">
        <v>7.8163999999999998</v>
      </c>
      <c r="K225" s="117">
        <v>7442584</v>
      </c>
      <c r="L225" s="120">
        <f t="shared" si="45"/>
        <v>720.97103555168076</v>
      </c>
      <c r="M225" s="122">
        <f t="shared" si="46"/>
        <v>9521753.7799999993</v>
      </c>
      <c r="N225" s="116">
        <f t="shared" si="47"/>
        <v>2079169.7799999993</v>
      </c>
      <c r="O225" s="123">
        <f t="shared" si="48"/>
        <v>201.41139009977712</v>
      </c>
      <c r="P225" s="5"/>
      <c r="Q225" s="5">
        <f t="shared" si="43"/>
        <v>1</v>
      </c>
      <c r="R225" s="7">
        <f t="shared" si="44"/>
        <v>10323</v>
      </c>
      <c r="S225" s="5">
        <f t="shared" si="41"/>
        <v>1</v>
      </c>
      <c r="T225" s="7">
        <f t="shared" si="42"/>
        <v>10323</v>
      </c>
    </row>
    <row r="226" spans="1:20">
      <c r="A226" s="23" t="s">
        <v>251</v>
      </c>
      <c r="B226" s="37" t="s">
        <v>233</v>
      </c>
      <c r="C226" s="36">
        <v>13643</v>
      </c>
      <c r="D226" s="6"/>
      <c r="E226" s="113">
        <v>1870851826</v>
      </c>
      <c r="F226" s="116">
        <f t="shared" si="49"/>
        <v>137129.06442864472</v>
      </c>
      <c r="G226" s="117">
        <v>1103853924</v>
      </c>
      <c r="H226" s="117">
        <f t="shared" si="50"/>
        <v>80909.911603019864</v>
      </c>
      <c r="I226" s="7"/>
      <c r="J226" s="10">
        <v>6.6578999999999997</v>
      </c>
      <c r="K226" s="117">
        <v>7349349</v>
      </c>
      <c r="L226" s="120">
        <f t="shared" si="45"/>
        <v>538.69009748589019</v>
      </c>
      <c r="M226" s="122">
        <f t="shared" si="46"/>
        <v>11038539.24</v>
      </c>
      <c r="N226" s="116">
        <f t="shared" si="47"/>
        <v>3689190.24</v>
      </c>
      <c r="O226" s="123">
        <f t="shared" si="48"/>
        <v>270.40901854430848</v>
      </c>
      <c r="P226" s="5"/>
      <c r="Q226" s="5">
        <f t="shared" si="43"/>
        <v>1</v>
      </c>
      <c r="R226" s="7">
        <f t="shared" si="44"/>
        <v>13643</v>
      </c>
      <c r="S226" s="5">
        <f t="shared" si="41"/>
        <v>1</v>
      </c>
      <c r="T226" s="7">
        <f t="shared" si="42"/>
        <v>13643</v>
      </c>
    </row>
    <row r="227" spans="1:20">
      <c r="A227" s="23" t="s">
        <v>252</v>
      </c>
      <c r="B227" s="37" t="s">
        <v>233</v>
      </c>
      <c r="C227" s="36">
        <v>5736</v>
      </c>
      <c r="D227" s="6"/>
      <c r="E227" s="113">
        <v>1159032922</v>
      </c>
      <c r="F227" s="116">
        <f t="shared" si="49"/>
        <v>202062.92224546723</v>
      </c>
      <c r="G227" s="117">
        <v>914915136</v>
      </c>
      <c r="H227" s="117">
        <f t="shared" si="50"/>
        <v>159504.03347280333</v>
      </c>
      <c r="I227" s="7"/>
      <c r="J227" s="10">
        <v>4.4724000000000004</v>
      </c>
      <c r="K227" s="117">
        <v>4091866</v>
      </c>
      <c r="L227" s="120">
        <f t="shared" si="45"/>
        <v>713.36576011157604</v>
      </c>
      <c r="M227" s="122">
        <f t="shared" si="46"/>
        <v>9149151.3599999994</v>
      </c>
      <c r="N227" s="116">
        <f t="shared" si="47"/>
        <v>5057285.3599999994</v>
      </c>
      <c r="O227" s="123">
        <f t="shared" si="48"/>
        <v>881.67457461645733</v>
      </c>
      <c r="P227" s="5"/>
      <c r="Q227" s="5">
        <f t="shared" si="43"/>
        <v>1</v>
      </c>
      <c r="R227" s="7">
        <f t="shared" si="44"/>
        <v>5736</v>
      </c>
      <c r="S227" s="5">
        <f t="shared" si="41"/>
        <v>1</v>
      </c>
      <c r="T227" s="7">
        <f t="shared" si="42"/>
        <v>5736</v>
      </c>
    </row>
    <row r="228" spans="1:20">
      <c r="A228" s="23" t="s">
        <v>253</v>
      </c>
      <c r="B228" s="37" t="s">
        <v>233</v>
      </c>
      <c r="C228" s="36">
        <v>60275</v>
      </c>
      <c r="D228" s="6"/>
      <c r="E228" s="113">
        <v>5310305431</v>
      </c>
      <c r="F228" s="116">
        <f t="shared" si="49"/>
        <v>88101.292924097885</v>
      </c>
      <c r="G228" s="117">
        <v>3156925703</v>
      </c>
      <c r="H228" s="117">
        <f t="shared" si="50"/>
        <v>52375.374583160512</v>
      </c>
      <c r="I228" s="7"/>
      <c r="J228" s="10">
        <v>6.9318</v>
      </c>
      <c r="K228" s="117">
        <v>21883178</v>
      </c>
      <c r="L228" s="120">
        <f t="shared" si="45"/>
        <v>363.05562836997098</v>
      </c>
      <c r="M228" s="122">
        <f t="shared" si="46"/>
        <v>31569257.030000001</v>
      </c>
      <c r="N228" s="116">
        <f t="shared" si="47"/>
        <v>9686079.0300000012</v>
      </c>
      <c r="O228" s="123">
        <f t="shared" si="48"/>
        <v>160.69811746163418</v>
      </c>
      <c r="P228" s="5"/>
      <c r="Q228" s="5">
        <f t="shared" si="43"/>
        <v>1</v>
      </c>
      <c r="R228" s="7">
        <f t="shared" si="44"/>
        <v>60275</v>
      </c>
      <c r="S228" s="5">
        <f t="shared" si="41"/>
        <v>1</v>
      </c>
      <c r="T228" s="7">
        <f t="shared" si="42"/>
        <v>60275</v>
      </c>
    </row>
    <row r="229" spans="1:20">
      <c r="A229" s="23" t="s">
        <v>254</v>
      </c>
      <c r="B229" s="37" t="s">
        <v>233</v>
      </c>
      <c r="C229" s="36">
        <v>40942</v>
      </c>
      <c r="D229" s="6"/>
      <c r="E229" s="113">
        <v>4364740834</v>
      </c>
      <c r="F229" s="116">
        <f t="shared" si="49"/>
        <v>106607.9046944458</v>
      </c>
      <c r="G229" s="117">
        <v>2677980711</v>
      </c>
      <c r="H229" s="117">
        <f t="shared" si="50"/>
        <v>65409.132699916954</v>
      </c>
      <c r="I229" s="7"/>
      <c r="J229" s="10">
        <v>7.4794</v>
      </c>
      <c r="K229" s="117">
        <v>20029689</v>
      </c>
      <c r="L229" s="120">
        <f t="shared" si="45"/>
        <v>489.22106882907525</v>
      </c>
      <c r="M229" s="122">
        <f t="shared" si="46"/>
        <v>26779807.109999999</v>
      </c>
      <c r="N229" s="116">
        <f t="shared" si="47"/>
        <v>6750118.1099999994</v>
      </c>
      <c r="O229" s="123">
        <f t="shared" si="48"/>
        <v>164.87025817009427</v>
      </c>
      <c r="P229" s="5"/>
      <c r="Q229" s="5">
        <f t="shared" si="43"/>
        <v>1</v>
      </c>
      <c r="R229" s="7">
        <f t="shared" si="44"/>
        <v>40942</v>
      </c>
      <c r="S229" s="5">
        <f t="shared" si="41"/>
        <v>1</v>
      </c>
      <c r="T229" s="7">
        <f t="shared" si="42"/>
        <v>40942</v>
      </c>
    </row>
    <row r="230" spans="1:20">
      <c r="A230" s="23" t="s">
        <v>255</v>
      </c>
      <c r="B230" s="37" t="s">
        <v>233</v>
      </c>
      <c r="C230" s="36">
        <v>15359</v>
      </c>
      <c r="D230" s="6"/>
      <c r="E230" s="113">
        <v>1245153473</v>
      </c>
      <c r="F230" s="116">
        <f t="shared" si="49"/>
        <v>81069.957223777586</v>
      </c>
      <c r="G230" s="117">
        <v>905959219</v>
      </c>
      <c r="H230" s="117">
        <f t="shared" si="50"/>
        <v>58985.560192720877</v>
      </c>
      <c r="I230" s="7"/>
      <c r="J230" s="10">
        <v>8.0084</v>
      </c>
      <c r="K230" s="117">
        <v>7255284</v>
      </c>
      <c r="L230" s="120">
        <f t="shared" si="45"/>
        <v>472.37997265446967</v>
      </c>
      <c r="M230" s="122">
        <f t="shared" si="46"/>
        <v>9059592.1899999995</v>
      </c>
      <c r="N230" s="116">
        <f t="shared" si="47"/>
        <v>1804308.1899999995</v>
      </c>
      <c r="O230" s="123">
        <f t="shared" si="48"/>
        <v>117.47562927273907</v>
      </c>
      <c r="P230" s="5"/>
      <c r="Q230" s="5">
        <f t="shared" si="43"/>
        <v>1</v>
      </c>
      <c r="R230" s="7">
        <f t="shared" si="44"/>
        <v>15359</v>
      </c>
      <c r="S230" s="5">
        <f t="shared" si="41"/>
        <v>1</v>
      </c>
      <c r="T230" s="7">
        <f t="shared" si="42"/>
        <v>15359</v>
      </c>
    </row>
    <row r="231" spans="1:20">
      <c r="A231" s="23" t="s">
        <v>493</v>
      </c>
      <c r="B231" s="37" t="s">
        <v>233</v>
      </c>
      <c r="C231" s="36">
        <v>25156</v>
      </c>
      <c r="D231" s="6"/>
      <c r="E231" s="113">
        <v>4926793366</v>
      </c>
      <c r="F231" s="116">
        <f t="shared" si="49"/>
        <v>195849.63293051359</v>
      </c>
      <c r="G231" s="117">
        <v>2891760378</v>
      </c>
      <c r="H231" s="117">
        <f t="shared" si="50"/>
        <v>114953.10772777867</v>
      </c>
      <c r="I231" s="7"/>
      <c r="J231" s="10">
        <v>2.3736000000000002</v>
      </c>
      <c r="K231" s="117">
        <v>6863882</v>
      </c>
      <c r="L231" s="120">
        <f t="shared" si="45"/>
        <v>272.85267928128479</v>
      </c>
      <c r="M231" s="122">
        <f t="shared" si="46"/>
        <v>28917603.780000001</v>
      </c>
      <c r="N231" s="116">
        <f t="shared" si="47"/>
        <v>22053721.780000001</v>
      </c>
      <c r="O231" s="123">
        <f t="shared" si="48"/>
        <v>876.67839799650187</v>
      </c>
      <c r="P231" s="5"/>
      <c r="Q231" s="5">
        <f t="shared" si="43"/>
        <v>1</v>
      </c>
      <c r="R231" s="7">
        <f t="shared" si="44"/>
        <v>25156</v>
      </c>
      <c r="S231" s="5">
        <f t="shared" si="41"/>
        <v>1</v>
      </c>
      <c r="T231" s="7">
        <f t="shared" si="42"/>
        <v>25156</v>
      </c>
    </row>
    <row r="232" spans="1:20">
      <c r="A232" s="23" t="s">
        <v>256</v>
      </c>
      <c r="B232" s="37" t="s">
        <v>233</v>
      </c>
      <c r="C232" s="36">
        <v>19382</v>
      </c>
      <c r="D232" s="6"/>
      <c r="E232" s="113">
        <v>6431886219</v>
      </c>
      <c r="F232" s="116">
        <f t="shared" si="49"/>
        <v>331848.42735527811</v>
      </c>
      <c r="G232" s="117">
        <v>3883536637</v>
      </c>
      <c r="H232" s="117">
        <f t="shared" si="50"/>
        <v>200368.20952430091</v>
      </c>
      <c r="I232" s="7"/>
      <c r="J232" s="10">
        <v>1.95</v>
      </c>
      <c r="K232" s="117">
        <v>7572896</v>
      </c>
      <c r="L232" s="120">
        <f t="shared" ref="L232:L263" si="51">(K232/C232)</f>
        <v>390.71798575998349</v>
      </c>
      <c r="M232" s="122">
        <f t="shared" si="46"/>
        <v>38835366.369999997</v>
      </c>
      <c r="N232" s="116">
        <f t="shared" si="47"/>
        <v>31262470.369999997</v>
      </c>
      <c r="O232" s="123">
        <f t="shared" si="48"/>
        <v>1612.9641094830254</v>
      </c>
      <c r="P232" s="5"/>
      <c r="Q232" s="5">
        <f t="shared" si="43"/>
        <v>1</v>
      </c>
      <c r="R232" s="7">
        <f t="shared" si="44"/>
        <v>19382</v>
      </c>
      <c r="S232" s="5">
        <f t="shared" si="41"/>
        <v>1</v>
      </c>
      <c r="T232" s="7">
        <f t="shared" si="42"/>
        <v>19382</v>
      </c>
    </row>
    <row r="233" spans="1:20">
      <c r="A233" s="23" t="s">
        <v>257</v>
      </c>
      <c r="B233" s="37" t="s">
        <v>233</v>
      </c>
      <c r="C233" s="36">
        <v>10561</v>
      </c>
      <c r="D233" s="6"/>
      <c r="E233" s="113">
        <v>2624990163</v>
      </c>
      <c r="F233" s="116">
        <f t="shared" si="49"/>
        <v>248555.07650790646</v>
      </c>
      <c r="G233" s="117">
        <v>1607648786</v>
      </c>
      <c r="H233" s="117">
        <f t="shared" si="50"/>
        <v>152225.0531199697</v>
      </c>
      <c r="I233" s="7"/>
      <c r="J233" s="11">
        <v>4.8179999999999996</v>
      </c>
      <c r="K233" s="117">
        <v>7745652</v>
      </c>
      <c r="L233" s="120">
        <f t="shared" si="51"/>
        <v>733.42032004545024</v>
      </c>
      <c r="M233" s="122">
        <f t="shared" si="46"/>
        <v>16076487.859999999</v>
      </c>
      <c r="N233" s="116">
        <f t="shared" si="47"/>
        <v>8330835.8599999994</v>
      </c>
      <c r="O233" s="123">
        <f t="shared" si="48"/>
        <v>788.83021115424674</v>
      </c>
      <c r="P233" s="5"/>
      <c r="Q233" s="5">
        <f t="shared" si="43"/>
        <v>1</v>
      </c>
      <c r="R233" s="7">
        <f t="shared" si="44"/>
        <v>10561</v>
      </c>
      <c r="S233" s="5">
        <f t="shared" si="41"/>
        <v>1</v>
      </c>
      <c r="T233" s="7">
        <f t="shared" si="42"/>
        <v>10561</v>
      </c>
    </row>
    <row r="234" spans="1:20">
      <c r="A234" s="23" t="s">
        <v>258</v>
      </c>
      <c r="B234" s="37" t="s">
        <v>233</v>
      </c>
      <c r="C234" s="36">
        <v>18747</v>
      </c>
      <c r="D234" s="6"/>
      <c r="E234" s="113">
        <v>7124869856</v>
      </c>
      <c r="F234" s="116">
        <f t="shared" si="49"/>
        <v>380053.86760548357</v>
      </c>
      <c r="G234" s="117">
        <v>6121425705</v>
      </c>
      <c r="H234" s="117">
        <f t="shared" si="50"/>
        <v>326528.28212514002</v>
      </c>
      <c r="I234" s="7"/>
      <c r="J234" s="10">
        <v>2.3978999999999999</v>
      </c>
      <c r="K234" s="117">
        <v>14678567</v>
      </c>
      <c r="L234" s="120">
        <f t="shared" si="51"/>
        <v>782.98218381607728</v>
      </c>
      <c r="M234" s="122">
        <f t="shared" si="46"/>
        <v>61214257.050000004</v>
      </c>
      <c r="N234" s="116">
        <f t="shared" si="47"/>
        <v>46535690.050000004</v>
      </c>
      <c r="O234" s="123">
        <f t="shared" si="48"/>
        <v>2482.3006374353231</v>
      </c>
      <c r="P234" s="5"/>
      <c r="Q234" s="5">
        <f t="shared" si="43"/>
        <v>1</v>
      </c>
      <c r="R234" s="7">
        <f t="shared" si="44"/>
        <v>18747</v>
      </c>
      <c r="S234" s="5">
        <f t="shared" si="41"/>
        <v>1</v>
      </c>
      <c r="T234" s="7">
        <f t="shared" si="42"/>
        <v>18747</v>
      </c>
    </row>
    <row r="235" spans="1:20">
      <c r="A235" s="23" t="s">
        <v>259</v>
      </c>
      <c r="B235" s="37" t="s">
        <v>233</v>
      </c>
      <c r="C235" s="36">
        <v>5775</v>
      </c>
      <c r="D235" s="6"/>
      <c r="E235" s="113">
        <v>2119344824</v>
      </c>
      <c r="F235" s="116">
        <f t="shared" si="49"/>
        <v>366986.11670995672</v>
      </c>
      <c r="G235" s="117">
        <v>1550563695</v>
      </c>
      <c r="H235" s="117">
        <f t="shared" si="50"/>
        <v>268495.8779220779</v>
      </c>
      <c r="I235" s="7"/>
      <c r="J235" s="10">
        <v>4.25</v>
      </c>
      <c r="K235" s="117">
        <v>6589896</v>
      </c>
      <c r="L235" s="120">
        <f t="shared" si="51"/>
        <v>1141.1075324675326</v>
      </c>
      <c r="M235" s="122">
        <f t="shared" si="46"/>
        <v>15505636.950000001</v>
      </c>
      <c r="N235" s="116">
        <f t="shared" si="47"/>
        <v>8915740.9500000011</v>
      </c>
      <c r="O235" s="123">
        <f t="shared" si="48"/>
        <v>1543.8512467532469</v>
      </c>
      <c r="P235" s="5"/>
      <c r="Q235" s="5">
        <f t="shared" si="43"/>
        <v>1</v>
      </c>
      <c r="R235" s="7">
        <f t="shared" si="44"/>
        <v>5775</v>
      </c>
      <c r="S235" s="5">
        <f t="shared" si="41"/>
        <v>1</v>
      </c>
      <c r="T235" s="7">
        <f t="shared" si="42"/>
        <v>5775</v>
      </c>
    </row>
    <row r="236" spans="1:20">
      <c r="A236" s="23" t="s">
        <v>260</v>
      </c>
      <c r="B236" s="37" t="s">
        <v>233</v>
      </c>
      <c r="C236" s="36">
        <v>14326</v>
      </c>
      <c r="D236" s="6"/>
      <c r="E236" s="113">
        <v>752679177</v>
      </c>
      <c r="F236" s="116">
        <f t="shared" si="49"/>
        <v>52539.381334636324</v>
      </c>
      <c r="G236" s="117">
        <v>485219743</v>
      </c>
      <c r="H236" s="117">
        <f t="shared" si="50"/>
        <v>33869.868979477869</v>
      </c>
      <c r="I236" s="7"/>
      <c r="J236" s="10">
        <v>3.2786</v>
      </c>
      <c r="K236" s="117">
        <v>1590841</v>
      </c>
      <c r="L236" s="120">
        <f t="shared" si="51"/>
        <v>111.04572106659221</v>
      </c>
      <c r="M236" s="122">
        <f t="shared" si="46"/>
        <v>4852197.43</v>
      </c>
      <c r="N236" s="116">
        <f t="shared" si="47"/>
        <v>3261356.4299999997</v>
      </c>
      <c r="O236" s="123">
        <f t="shared" si="48"/>
        <v>227.65296872818649</v>
      </c>
      <c r="P236" s="5"/>
      <c r="Q236" s="5">
        <f t="shared" si="43"/>
        <v>1</v>
      </c>
      <c r="R236" s="7">
        <f t="shared" si="44"/>
        <v>14326</v>
      </c>
      <c r="S236" s="5">
        <f t="shared" si="41"/>
        <v>1</v>
      </c>
      <c r="T236" s="7">
        <f t="shared" si="42"/>
        <v>14326</v>
      </c>
    </row>
    <row r="237" spans="1:20">
      <c r="A237" s="23" t="s">
        <v>261</v>
      </c>
      <c r="B237" s="35" t="s">
        <v>233</v>
      </c>
      <c r="C237" s="36">
        <v>2354</v>
      </c>
      <c r="D237" s="6"/>
      <c r="E237" s="113">
        <v>326868671</v>
      </c>
      <c r="F237" s="116">
        <f t="shared" si="49"/>
        <v>138856.69966015292</v>
      </c>
      <c r="G237" s="117">
        <v>229827903</v>
      </c>
      <c r="H237" s="117">
        <f t="shared" si="50"/>
        <v>97632.923959218359</v>
      </c>
      <c r="I237" s="7"/>
      <c r="J237" s="11">
        <v>4.0810000000000004</v>
      </c>
      <c r="K237" s="117">
        <v>937928</v>
      </c>
      <c r="L237" s="120">
        <f t="shared" si="51"/>
        <v>398.44010195412062</v>
      </c>
      <c r="M237" s="122">
        <f t="shared" si="46"/>
        <v>2298279.0300000003</v>
      </c>
      <c r="N237" s="116">
        <f t="shared" si="47"/>
        <v>1360351.0300000003</v>
      </c>
      <c r="O237" s="123">
        <f t="shared" si="48"/>
        <v>577.88913763806295</v>
      </c>
      <c r="P237" s="5"/>
      <c r="Q237" s="5">
        <f t="shared" si="43"/>
        <v>1</v>
      </c>
      <c r="R237" s="7">
        <f t="shared" si="44"/>
        <v>2354</v>
      </c>
      <c r="S237" s="5">
        <f t="shared" si="41"/>
        <v>1</v>
      </c>
      <c r="T237" s="7">
        <f t="shared" si="42"/>
        <v>2354</v>
      </c>
    </row>
    <row r="238" spans="1:20">
      <c r="A238" s="23" t="s">
        <v>262</v>
      </c>
      <c r="B238" s="35" t="s">
        <v>233</v>
      </c>
      <c r="C238" s="36">
        <v>5724</v>
      </c>
      <c r="D238" s="6"/>
      <c r="E238" s="113">
        <v>688559564</v>
      </c>
      <c r="F238" s="116">
        <f t="shared" si="49"/>
        <v>120293.42487770789</v>
      </c>
      <c r="G238" s="117">
        <v>403608460</v>
      </c>
      <c r="H238" s="117">
        <f t="shared" si="50"/>
        <v>70511.610761705102</v>
      </c>
      <c r="I238" s="7"/>
      <c r="J238" s="10">
        <v>6.7375999999999996</v>
      </c>
      <c r="K238" s="117">
        <v>2719352</v>
      </c>
      <c r="L238" s="120">
        <f t="shared" si="51"/>
        <v>475.07896575821104</v>
      </c>
      <c r="M238" s="122">
        <f t="shared" si="46"/>
        <v>4036084.6</v>
      </c>
      <c r="N238" s="116">
        <f t="shared" si="47"/>
        <v>1316732.6000000001</v>
      </c>
      <c r="O238" s="123">
        <f t="shared" si="48"/>
        <v>230.03714185883999</v>
      </c>
      <c r="P238" s="5"/>
      <c r="Q238" s="5">
        <f t="shared" si="43"/>
        <v>1</v>
      </c>
      <c r="R238" s="7">
        <f t="shared" si="44"/>
        <v>5724</v>
      </c>
      <c r="S238" s="5">
        <f t="shared" si="41"/>
        <v>1</v>
      </c>
      <c r="T238" s="7">
        <f t="shared" si="42"/>
        <v>5724</v>
      </c>
    </row>
    <row r="239" spans="1:20">
      <c r="A239" s="23" t="s">
        <v>263</v>
      </c>
      <c r="B239" s="35" t="s">
        <v>264</v>
      </c>
      <c r="C239" s="36">
        <v>7149</v>
      </c>
      <c r="D239" s="6"/>
      <c r="E239" s="113">
        <v>5011605961</v>
      </c>
      <c r="F239" s="116">
        <f t="shared" si="49"/>
        <v>701021.95565813396</v>
      </c>
      <c r="G239" s="117">
        <v>3878531822</v>
      </c>
      <c r="H239" s="117">
        <f t="shared" si="50"/>
        <v>542527.88110225205</v>
      </c>
      <c r="I239" s="7"/>
      <c r="J239" s="10">
        <v>1.6853</v>
      </c>
      <c r="K239" s="117">
        <v>6536490</v>
      </c>
      <c r="L239" s="120">
        <f t="shared" si="51"/>
        <v>914.32228283676034</v>
      </c>
      <c r="M239" s="122">
        <f t="shared" si="46"/>
        <v>38785318.219999999</v>
      </c>
      <c r="N239" s="116">
        <f t="shared" si="47"/>
        <v>32248828.219999999</v>
      </c>
      <c r="O239" s="123">
        <f t="shared" si="48"/>
        <v>4510.9565281857604</v>
      </c>
      <c r="P239" s="5"/>
      <c r="Q239" s="5">
        <f t="shared" si="43"/>
        <v>1</v>
      </c>
      <c r="R239" s="7">
        <f t="shared" si="44"/>
        <v>7149</v>
      </c>
      <c r="S239" s="5">
        <f t="shared" si="41"/>
        <v>1</v>
      </c>
      <c r="T239" s="7">
        <f t="shared" si="42"/>
        <v>7149</v>
      </c>
    </row>
    <row r="240" spans="1:20">
      <c r="A240" s="23" t="s">
        <v>265</v>
      </c>
      <c r="B240" s="35" t="s">
        <v>264</v>
      </c>
      <c r="C240" s="36">
        <v>857</v>
      </c>
      <c r="D240" s="6"/>
      <c r="E240" s="113">
        <v>976292700</v>
      </c>
      <c r="F240" s="116">
        <f t="shared" si="49"/>
        <v>1139198.0163360559</v>
      </c>
      <c r="G240" s="117">
        <v>873382437</v>
      </c>
      <c r="H240" s="117">
        <f t="shared" si="50"/>
        <v>1019116.0291715286</v>
      </c>
      <c r="I240" s="7"/>
      <c r="J240" s="10">
        <v>1.3091999999999999</v>
      </c>
      <c r="K240" s="117">
        <v>1143432</v>
      </c>
      <c r="L240" s="120">
        <f t="shared" si="51"/>
        <v>1334.2263710618436</v>
      </c>
      <c r="M240" s="122">
        <f t="shared" si="46"/>
        <v>8733824.370000001</v>
      </c>
      <c r="N240" s="116">
        <f t="shared" si="47"/>
        <v>7590392.370000001</v>
      </c>
      <c r="O240" s="123">
        <f t="shared" si="48"/>
        <v>8856.9339206534441</v>
      </c>
      <c r="P240" s="5"/>
      <c r="Q240" s="5">
        <f t="shared" si="43"/>
        <v>1</v>
      </c>
      <c r="R240" s="7">
        <f t="shared" si="44"/>
        <v>857</v>
      </c>
      <c r="S240" s="5">
        <f t="shared" si="41"/>
        <v>1</v>
      </c>
      <c r="T240" s="7">
        <f t="shared" si="42"/>
        <v>857</v>
      </c>
    </row>
    <row r="241" spans="1:20">
      <c r="A241" s="23" t="s">
        <v>266</v>
      </c>
      <c r="B241" s="35" t="s">
        <v>264</v>
      </c>
      <c r="C241" s="36">
        <v>24629</v>
      </c>
      <c r="D241" s="6"/>
      <c r="E241" s="113">
        <v>12671150074</v>
      </c>
      <c r="F241" s="116">
        <f t="shared" si="49"/>
        <v>514480.89950870926</v>
      </c>
      <c r="G241" s="117">
        <v>7333733335</v>
      </c>
      <c r="H241" s="117">
        <f t="shared" si="50"/>
        <v>297768.21369117708</v>
      </c>
      <c r="I241" s="7"/>
      <c r="J241" s="10">
        <v>2.0354000000000001</v>
      </c>
      <c r="K241" s="117">
        <v>14927081</v>
      </c>
      <c r="L241" s="120">
        <f t="shared" si="51"/>
        <v>606.07742904705833</v>
      </c>
      <c r="M241" s="122">
        <f t="shared" si="46"/>
        <v>73337333.350000009</v>
      </c>
      <c r="N241" s="116">
        <f t="shared" si="47"/>
        <v>58410252.350000009</v>
      </c>
      <c r="O241" s="123">
        <f t="shared" si="48"/>
        <v>2371.6047078647125</v>
      </c>
      <c r="P241" s="5"/>
      <c r="Q241" s="5">
        <f t="shared" si="43"/>
        <v>1</v>
      </c>
      <c r="R241" s="7">
        <f t="shared" si="44"/>
        <v>24629</v>
      </c>
      <c r="S241" s="5">
        <f t="shared" si="41"/>
        <v>1</v>
      </c>
      <c r="T241" s="7">
        <f t="shared" si="42"/>
        <v>24629</v>
      </c>
    </row>
    <row r="242" spans="1:20">
      <c r="A242" s="23" t="s">
        <v>267</v>
      </c>
      <c r="B242" s="35" t="s">
        <v>264</v>
      </c>
      <c r="C242" s="36">
        <v>207</v>
      </c>
      <c r="D242" s="6"/>
      <c r="E242" s="113">
        <v>103633367</v>
      </c>
      <c r="F242" s="116">
        <f t="shared" si="49"/>
        <v>500644.28502415458</v>
      </c>
      <c r="G242" s="117">
        <v>79730857</v>
      </c>
      <c r="H242" s="117">
        <f t="shared" si="50"/>
        <v>385173.22222222225</v>
      </c>
      <c r="I242" s="7"/>
      <c r="J242" s="10">
        <v>1.1000000000000001</v>
      </c>
      <c r="K242" s="117">
        <v>87704</v>
      </c>
      <c r="L242" s="120">
        <f t="shared" si="51"/>
        <v>423.69082125603865</v>
      </c>
      <c r="M242" s="122">
        <f t="shared" si="46"/>
        <v>797308.57000000007</v>
      </c>
      <c r="N242" s="116">
        <f t="shared" si="47"/>
        <v>709604.57000000007</v>
      </c>
      <c r="O242" s="123">
        <f t="shared" si="48"/>
        <v>3428.041400966184</v>
      </c>
      <c r="P242" s="5"/>
      <c r="Q242" s="5">
        <f t="shared" si="43"/>
        <v>1</v>
      </c>
      <c r="R242" s="7">
        <f t="shared" si="44"/>
        <v>207</v>
      </c>
      <c r="S242" s="5">
        <f t="shared" si="41"/>
        <v>1</v>
      </c>
      <c r="T242" s="7">
        <f t="shared" si="42"/>
        <v>207</v>
      </c>
    </row>
    <row r="243" spans="1:20">
      <c r="A243" s="23" t="s">
        <v>449</v>
      </c>
      <c r="B243" s="35" t="s">
        <v>264</v>
      </c>
      <c r="C243" s="36">
        <v>10396</v>
      </c>
      <c r="D243" s="6"/>
      <c r="E243" s="113">
        <v>3899763663</v>
      </c>
      <c r="F243" s="116">
        <f t="shared" si="49"/>
        <v>375121.5528087726</v>
      </c>
      <c r="G243" s="117">
        <v>3078326891</v>
      </c>
      <c r="H243" s="117">
        <f t="shared" si="50"/>
        <v>296106.85754136206</v>
      </c>
      <c r="I243" s="7"/>
      <c r="J243" s="10">
        <v>1.4242999999999999</v>
      </c>
      <c r="K243" s="117">
        <v>4384461</v>
      </c>
      <c r="L243" s="120">
        <f t="shared" si="51"/>
        <v>421.74499807618315</v>
      </c>
      <c r="M243" s="122">
        <f t="shared" si="46"/>
        <v>30783268.91</v>
      </c>
      <c r="N243" s="116">
        <f t="shared" si="47"/>
        <v>26398807.91</v>
      </c>
      <c r="O243" s="123">
        <f t="shared" si="48"/>
        <v>2539.3235773374377</v>
      </c>
      <c r="P243" s="5"/>
      <c r="Q243" s="5">
        <f t="shared" si="43"/>
        <v>1</v>
      </c>
      <c r="R243" s="7">
        <f t="shared" si="44"/>
        <v>10396</v>
      </c>
      <c r="S243" s="5">
        <f t="shared" si="41"/>
        <v>1</v>
      </c>
      <c r="T243" s="7">
        <f t="shared" si="42"/>
        <v>10396</v>
      </c>
    </row>
    <row r="244" spans="1:20">
      <c r="A244" s="23" t="s">
        <v>268</v>
      </c>
      <c r="B244" s="35" t="s">
        <v>269</v>
      </c>
      <c r="C244" s="36">
        <v>1171</v>
      </c>
      <c r="D244" s="6"/>
      <c r="E244" s="113">
        <v>111896280</v>
      </c>
      <c r="F244" s="116">
        <f t="shared" si="49"/>
        <v>95556.174210076861</v>
      </c>
      <c r="G244" s="117">
        <v>72904970</v>
      </c>
      <c r="H244" s="117">
        <f t="shared" si="50"/>
        <v>62258.727583262167</v>
      </c>
      <c r="I244" s="7"/>
      <c r="J244" s="10">
        <v>2.4369999999999998</v>
      </c>
      <c r="K244" s="117">
        <v>177669</v>
      </c>
      <c r="L244" s="120">
        <f t="shared" si="51"/>
        <v>151.72416737830915</v>
      </c>
      <c r="M244" s="122">
        <f t="shared" si="46"/>
        <v>729049.70000000007</v>
      </c>
      <c r="N244" s="116">
        <f t="shared" si="47"/>
        <v>551380.70000000007</v>
      </c>
      <c r="O244" s="123">
        <f t="shared" si="48"/>
        <v>470.86310845431262</v>
      </c>
      <c r="P244" s="5"/>
      <c r="Q244" s="5">
        <f t="shared" si="43"/>
        <v>1</v>
      </c>
      <c r="R244" s="7">
        <f t="shared" si="44"/>
        <v>1171</v>
      </c>
      <c r="S244" s="5">
        <f t="shared" si="41"/>
        <v>1</v>
      </c>
      <c r="T244" s="7">
        <f t="shared" si="42"/>
        <v>1171</v>
      </c>
    </row>
    <row r="245" spans="1:20">
      <c r="A245" s="23" t="s">
        <v>270</v>
      </c>
      <c r="B245" s="35" t="s">
        <v>269</v>
      </c>
      <c r="C245" s="36">
        <v>11911</v>
      </c>
      <c r="D245" s="6"/>
      <c r="E245" s="113">
        <v>2806350803</v>
      </c>
      <c r="F245" s="116">
        <f t="shared" si="49"/>
        <v>235610.00780790867</v>
      </c>
      <c r="G245" s="117">
        <v>2042725172</v>
      </c>
      <c r="H245" s="117">
        <f t="shared" si="50"/>
        <v>171499.04894635212</v>
      </c>
      <c r="I245" s="7"/>
      <c r="J245" s="10">
        <v>3.8359000000000001</v>
      </c>
      <c r="K245" s="117">
        <v>7835689</v>
      </c>
      <c r="L245" s="120">
        <f t="shared" si="51"/>
        <v>657.85316094366556</v>
      </c>
      <c r="M245" s="122">
        <f t="shared" si="46"/>
        <v>20427251.719999999</v>
      </c>
      <c r="N245" s="116">
        <f t="shared" si="47"/>
        <v>12591562.719999999</v>
      </c>
      <c r="O245" s="123">
        <f t="shared" si="48"/>
        <v>1057.1373285198556</v>
      </c>
      <c r="P245" s="5"/>
      <c r="Q245" s="5">
        <f t="shared" si="43"/>
        <v>1</v>
      </c>
      <c r="R245" s="7">
        <f t="shared" si="44"/>
        <v>11911</v>
      </c>
      <c r="S245" s="5">
        <f t="shared" si="41"/>
        <v>1</v>
      </c>
      <c r="T245" s="7">
        <f t="shared" si="42"/>
        <v>11911</v>
      </c>
    </row>
    <row r="246" spans="1:20">
      <c r="A246" s="23" t="s">
        <v>271</v>
      </c>
      <c r="B246" s="35" t="s">
        <v>269</v>
      </c>
      <c r="C246" s="36">
        <v>2967</v>
      </c>
      <c r="D246" s="6"/>
      <c r="E246" s="113">
        <v>273380493</v>
      </c>
      <c r="F246" s="116">
        <f t="shared" si="49"/>
        <v>92140.375126390296</v>
      </c>
      <c r="G246" s="117">
        <v>90419517</v>
      </c>
      <c r="H246" s="117">
        <f t="shared" si="50"/>
        <v>30475.064711830131</v>
      </c>
      <c r="I246" s="7"/>
      <c r="J246" s="10">
        <v>0.43880000000000002</v>
      </c>
      <c r="K246" s="117">
        <v>39676</v>
      </c>
      <c r="L246" s="120">
        <f t="shared" si="51"/>
        <v>13.372430064037749</v>
      </c>
      <c r="M246" s="122">
        <f t="shared" si="46"/>
        <v>904195.17</v>
      </c>
      <c r="N246" s="116">
        <f t="shared" si="47"/>
        <v>864519.17</v>
      </c>
      <c r="O246" s="123">
        <f t="shared" si="48"/>
        <v>291.37821705426359</v>
      </c>
      <c r="P246" s="5"/>
      <c r="Q246" s="5">
        <f t="shared" si="43"/>
        <v>1</v>
      </c>
      <c r="R246" s="7">
        <f t="shared" si="44"/>
        <v>2967</v>
      </c>
      <c r="S246" s="5">
        <f t="shared" si="41"/>
        <v>1</v>
      </c>
      <c r="T246" s="7">
        <f t="shared" si="42"/>
        <v>2967</v>
      </c>
    </row>
    <row r="247" spans="1:20">
      <c r="A247" s="23" t="s">
        <v>272</v>
      </c>
      <c r="B247" s="35" t="s">
        <v>273</v>
      </c>
      <c r="C247" s="36">
        <v>381</v>
      </c>
      <c r="D247" s="6"/>
      <c r="E247" s="113">
        <v>75589809</v>
      </c>
      <c r="F247" s="116">
        <f t="shared" si="49"/>
        <v>198398.44881889762</v>
      </c>
      <c r="G247" s="124">
        <v>62762817</v>
      </c>
      <c r="H247" s="117">
        <f t="shared" si="50"/>
        <v>164731.8031496063</v>
      </c>
      <c r="I247" s="7"/>
      <c r="J247" s="10">
        <v>2.0638999999999998</v>
      </c>
      <c r="K247" s="117">
        <v>129536</v>
      </c>
      <c r="L247" s="120">
        <f t="shared" si="51"/>
        <v>339.98950131233596</v>
      </c>
      <c r="M247" s="122">
        <f t="shared" si="46"/>
        <v>627628.17000000004</v>
      </c>
      <c r="N247" s="116">
        <f t="shared" si="47"/>
        <v>498092.17000000004</v>
      </c>
      <c r="O247" s="123">
        <f t="shared" si="48"/>
        <v>1307.3285301837273</v>
      </c>
      <c r="P247" s="5"/>
      <c r="Q247" s="5">
        <f t="shared" si="43"/>
        <v>1</v>
      </c>
      <c r="R247" s="7">
        <f t="shared" si="44"/>
        <v>381</v>
      </c>
      <c r="S247" s="5">
        <f t="shared" si="41"/>
        <v>1</v>
      </c>
      <c r="T247" s="7">
        <f t="shared" si="42"/>
        <v>381</v>
      </c>
    </row>
    <row r="248" spans="1:20">
      <c r="A248" s="23" t="s">
        <v>274</v>
      </c>
      <c r="B248" s="35" t="s">
        <v>273</v>
      </c>
      <c r="C248" s="36">
        <v>21149</v>
      </c>
      <c r="D248" s="6"/>
      <c r="E248" s="113">
        <v>1631158125</v>
      </c>
      <c r="F248" s="116">
        <f t="shared" si="49"/>
        <v>77126.962267719515</v>
      </c>
      <c r="G248" s="117">
        <v>1171439365</v>
      </c>
      <c r="H248" s="117">
        <f t="shared" si="50"/>
        <v>55389.822923069645</v>
      </c>
      <c r="I248" s="7"/>
      <c r="J248" s="10">
        <v>5.8465999999999996</v>
      </c>
      <c r="K248" s="117">
        <v>6848937</v>
      </c>
      <c r="L248" s="120">
        <f t="shared" si="51"/>
        <v>323.84212019480827</v>
      </c>
      <c r="M248" s="122">
        <f t="shared" si="46"/>
        <v>11714393.65</v>
      </c>
      <c r="N248" s="116">
        <f t="shared" si="47"/>
        <v>4865456.6500000004</v>
      </c>
      <c r="O248" s="123">
        <f t="shared" si="48"/>
        <v>230.05610903588823</v>
      </c>
      <c r="P248" s="5"/>
      <c r="Q248" s="5">
        <f t="shared" si="43"/>
        <v>1</v>
      </c>
      <c r="R248" s="7">
        <f t="shared" si="44"/>
        <v>21149</v>
      </c>
      <c r="S248" s="5">
        <f t="shared" si="41"/>
        <v>1</v>
      </c>
      <c r="T248" s="7">
        <f t="shared" si="42"/>
        <v>21149</v>
      </c>
    </row>
    <row r="249" spans="1:20">
      <c r="A249" s="23" t="s">
        <v>275</v>
      </c>
      <c r="B249" s="35" t="s">
        <v>273</v>
      </c>
      <c r="C249" s="36">
        <v>12225</v>
      </c>
      <c r="D249" s="6"/>
      <c r="E249" s="113">
        <v>6973550941</v>
      </c>
      <c r="F249" s="116">
        <f t="shared" si="49"/>
        <v>570433.61480572599</v>
      </c>
      <c r="G249" s="117">
        <v>6125851582</v>
      </c>
      <c r="H249" s="117">
        <f t="shared" si="50"/>
        <v>501092.15394683025</v>
      </c>
      <c r="I249" s="9"/>
      <c r="J249" s="10">
        <v>1.4550000000000001</v>
      </c>
      <c r="K249" s="117">
        <v>8913114</v>
      </c>
      <c r="L249" s="120">
        <f t="shared" si="51"/>
        <v>729.08907975460124</v>
      </c>
      <c r="M249" s="122">
        <f t="shared" si="46"/>
        <v>61258515.82</v>
      </c>
      <c r="N249" s="116">
        <f t="shared" si="47"/>
        <v>52345401.82</v>
      </c>
      <c r="O249" s="123">
        <f t="shared" si="48"/>
        <v>4281.8324597137016</v>
      </c>
      <c r="P249" s="5"/>
      <c r="Q249" s="5">
        <f t="shared" si="43"/>
        <v>1</v>
      </c>
      <c r="R249" s="7">
        <f t="shared" si="44"/>
        <v>12225</v>
      </c>
      <c r="S249" s="5">
        <f t="shared" si="41"/>
        <v>1</v>
      </c>
      <c r="T249" s="7">
        <f t="shared" si="42"/>
        <v>12225</v>
      </c>
    </row>
    <row r="250" spans="1:20">
      <c r="A250" s="23" t="s">
        <v>276</v>
      </c>
      <c r="B250" s="35" t="s">
        <v>273</v>
      </c>
      <c r="C250" s="36">
        <v>21008</v>
      </c>
      <c r="D250" s="6"/>
      <c r="E250" s="113">
        <v>2249284874</v>
      </c>
      <c r="F250" s="116">
        <f t="shared" si="49"/>
        <v>107068.01570830159</v>
      </c>
      <c r="G250" s="117">
        <v>1471906886</v>
      </c>
      <c r="H250" s="117">
        <f t="shared" si="50"/>
        <v>70064.113004569692</v>
      </c>
      <c r="I250" s="9"/>
      <c r="J250" s="10">
        <v>4.1985999999999999</v>
      </c>
      <c r="K250" s="117">
        <v>6179948</v>
      </c>
      <c r="L250" s="120">
        <f t="shared" si="51"/>
        <v>294.1711728865194</v>
      </c>
      <c r="M250" s="122">
        <f t="shared" si="46"/>
        <v>14719068.859999999</v>
      </c>
      <c r="N250" s="116">
        <f t="shared" si="47"/>
        <v>8539120.8599999994</v>
      </c>
      <c r="O250" s="123">
        <f t="shared" si="48"/>
        <v>406.46995715917745</v>
      </c>
      <c r="P250" s="5"/>
      <c r="Q250" s="5">
        <f t="shared" si="43"/>
        <v>1</v>
      </c>
      <c r="R250" s="7">
        <f t="shared" si="44"/>
        <v>21008</v>
      </c>
      <c r="S250" s="5">
        <f t="shared" si="41"/>
        <v>1</v>
      </c>
      <c r="T250" s="7">
        <f t="shared" si="42"/>
        <v>21008</v>
      </c>
    </row>
    <row r="251" spans="1:20">
      <c r="A251" s="23" t="s">
        <v>277</v>
      </c>
      <c r="B251" s="35" t="s">
        <v>273</v>
      </c>
      <c r="C251" s="36">
        <v>631</v>
      </c>
      <c r="D251" s="6"/>
      <c r="E251" s="113">
        <v>35008104</v>
      </c>
      <c r="F251" s="116">
        <f t="shared" si="49"/>
        <v>55480.354992076071</v>
      </c>
      <c r="G251" s="117">
        <v>15996698</v>
      </c>
      <c r="H251" s="117">
        <f t="shared" si="50"/>
        <v>25351.343898573694</v>
      </c>
      <c r="I251" s="7"/>
      <c r="J251" s="11">
        <v>5</v>
      </c>
      <c r="K251" s="117">
        <v>79983</v>
      </c>
      <c r="L251" s="120">
        <f t="shared" si="51"/>
        <v>126.75594294770207</v>
      </c>
      <c r="M251" s="122">
        <f t="shared" si="46"/>
        <v>159966.98000000001</v>
      </c>
      <c r="N251" s="116">
        <f t="shared" si="47"/>
        <v>79983.98000000001</v>
      </c>
      <c r="O251" s="123">
        <f t="shared" si="48"/>
        <v>126.75749603803489</v>
      </c>
      <c r="P251" s="5"/>
      <c r="Q251" s="5">
        <f t="shared" si="43"/>
        <v>1</v>
      </c>
      <c r="R251" s="7">
        <f t="shared" si="44"/>
        <v>631</v>
      </c>
      <c r="S251" s="5">
        <f t="shared" si="41"/>
        <v>1</v>
      </c>
      <c r="T251" s="7">
        <f t="shared" si="42"/>
        <v>631</v>
      </c>
    </row>
    <row r="252" spans="1:20">
      <c r="A252" s="23" t="s">
        <v>278</v>
      </c>
      <c r="B252" s="35" t="s">
        <v>273</v>
      </c>
      <c r="C252" s="36">
        <v>4285</v>
      </c>
      <c r="D252" s="6"/>
      <c r="E252" s="113">
        <v>515968834</v>
      </c>
      <c r="F252" s="116">
        <f t="shared" si="49"/>
        <v>120412.7967327888</v>
      </c>
      <c r="G252" s="117">
        <v>358014214</v>
      </c>
      <c r="H252" s="117">
        <f t="shared" si="50"/>
        <v>83550.575029171523</v>
      </c>
      <c r="I252" s="7"/>
      <c r="J252" s="10">
        <v>3.0125000000000002</v>
      </c>
      <c r="K252" s="117">
        <v>1078518</v>
      </c>
      <c r="L252" s="120">
        <f t="shared" si="51"/>
        <v>251.69614935822636</v>
      </c>
      <c r="M252" s="122">
        <f t="shared" si="46"/>
        <v>3580142.14</v>
      </c>
      <c r="N252" s="116">
        <f t="shared" si="47"/>
        <v>2501624.14</v>
      </c>
      <c r="O252" s="123">
        <f t="shared" si="48"/>
        <v>583.80960093348892</v>
      </c>
      <c r="P252" s="5"/>
      <c r="Q252" s="5">
        <f t="shared" si="43"/>
        <v>1</v>
      </c>
      <c r="R252" s="7">
        <f t="shared" si="44"/>
        <v>4285</v>
      </c>
      <c r="S252" s="5">
        <f t="shared" si="41"/>
        <v>1</v>
      </c>
      <c r="T252" s="7">
        <f t="shared" si="42"/>
        <v>4285</v>
      </c>
    </row>
    <row r="253" spans="1:20">
      <c r="A253" s="23" t="s">
        <v>279</v>
      </c>
      <c r="B253" s="35" t="s">
        <v>273</v>
      </c>
      <c r="C253" s="36">
        <v>13272</v>
      </c>
      <c r="D253" s="6"/>
      <c r="E253" s="113">
        <v>1412897540</v>
      </c>
      <c r="F253" s="116">
        <f t="shared" si="49"/>
        <v>106457.01778179627</v>
      </c>
      <c r="G253" s="117">
        <v>903128533</v>
      </c>
      <c r="H253" s="117">
        <f t="shared" si="50"/>
        <v>68047.659207353834</v>
      </c>
      <c r="I253" s="7"/>
      <c r="J253" s="10">
        <v>3.2669000000000001</v>
      </c>
      <c r="K253" s="117">
        <v>2950431</v>
      </c>
      <c r="L253" s="120">
        <f t="shared" si="51"/>
        <v>222.30492766726945</v>
      </c>
      <c r="M253" s="122">
        <f t="shared" si="46"/>
        <v>9031285.3300000001</v>
      </c>
      <c r="N253" s="116">
        <f t="shared" si="47"/>
        <v>6080854.3300000001</v>
      </c>
      <c r="O253" s="123">
        <f t="shared" si="48"/>
        <v>458.17166440626886</v>
      </c>
      <c r="P253" s="5"/>
      <c r="Q253" s="5">
        <f t="shared" si="43"/>
        <v>1</v>
      </c>
      <c r="R253" s="7">
        <f t="shared" si="44"/>
        <v>13272</v>
      </c>
      <c r="S253" s="5">
        <f t="shared" si="41"/>
        <v>1</v>
      </c>
      <c r="T253" s="7">
        <f t="shared" si="42"/>
        <v>13272</v>
      </c>
    </row>
    <row r="254" spans="1:20">
      <c r="A254" s="23" t="s">
        <v>280</v>
      </c>
      <c r="B254" s="35" t="s">
        <v>273</v>
      </c>
      <c r="C254" s="36">
        <v>728</v>
      </c>
      <c r="D254" s="6"/>
      <c r="E254" s="113">
        <v>158795749</v>
      </c>
      <c r="F254" s="116">
        <f t="shared" si="49"/>
        <v>218126.02884615384</v>
      </c>
      <c r="G254" s="117">
        <v>108024716</v>
      </c>
      <c r="H254" s="117">
        <f t="shared" si="50"/>
        <v>148385.59890109891</v>
      </c>
      <c r="I254" s="7"/>
      <c r="J254" s="10">
        <v>2</v>
      </c>
      <c r="K254" s="117">
        <v>216049</v>
      </c>
      <c r="L254" s="120">
        <f t="shared" si="51"/>
        <v>296.77060439560438</v>
      </c>
      <c r="M254" s="122">
        <f t="shared" si="46"/>
        <v>1080247.1599999999</v>
      </c>
      <c r="N254" s="116">
        <f t="shared" si="47"/>
        <v>864198.15999999992</v>
      </c>
      <c r="O254" s="123">
        <f t="shared" si="48"/>
        <v>1187.0853846153846</v>
      </c>
      <c r="P254" s="5"/>
      <c r="Q254" s="5">
        <f t="shared" si="43"/>
        <v>1</v>
      </c>
      <c r="R254" s="7">
        <f t="shared" si="44"/>
        <v>728</v>
      </c>
      <c r="S254" s="5">
        <f t="shared" si="41"/>
        <v>1</v>
      </c>
      <c r="T254" s="7">
        <f t="shared" si="42"/>
        <v>728</v>
      </c>
    </row>
    <row r="255" spans="1:20">
      <c r="A255" s="23" t="s">
        <v>281</v>
      </c>
      <c r="B255" s="35" t="s">
        <v>273</v>
      </c>
      <c r="C255" s="36">
        <v>6562</v>
      </c>
      <c r="D255" s="6"/>
      <c r="E255" s="113">
        <v>447438758</v>
      </c>
      <c r="F255" s="116">
        <f t="shared" si="49"/>
        <v>68186.339225845775</v>
      </c>
      <c r="G255" s="117">
        <v>241118831</v>
      </c>
      <c r="H255" s="117">
        <f t="shared" si="50"/>
        <v>36744.716702224934</v>
      </c>
      <c r="I255" s="7"/>
      <c r="J255" s="10">
        <v>2.8754</v>
      </c>
      <c r="K255" s="117">
        <v>693313</v>
      </c>
      <c r="L255" s="120">
        <f t="shared" si="51"/>
        <v>105.65574519963425</v>
      </c>
      <c r="M255" s="122">
        <f t="shared" si="46"/>
        <v>2411188.31</v>
      </c>
      <c r="N255" s="116">
        <f t="shared" si="47"/>
        <v>1717875.31</v>
      </c>
      <c r="O255" s="123">
        <f t="shared" si="48"/>
        <v>261.79142182261506</v>
      </c>
      <c r="P255" s="5"/>
      <c r="Q255" s="5">
        <f t="shared" si="43"/>
        <v>1</v>
      </c>
      <c r="R255" s="7">
        <f t="shared" si="44"/>
        <v>6562</v>
      </c>
      <c r="S255" s="5">
        <f t="shared" si="41"/>
        <v>1</v>
      </c>
      <c r="T255" s="7">
        <f t="shared" si="42"/>
        <v>6562</v>
      </c>
    </row>
    <row r="256" spans="1:20">
      <c r="A256" s="23" t="s">
        <v>282</v>
      </c>
      <c r="B256" s="35" t="s">
        <v>282</v>
      </c>
      <c r="C256" s="36">
        <v>5814</v>
      </c>
      <c r="D256" s="6"/>
      <c r="E256" s="113">
        <v>497384630</v>
      </c>
      <c r="F256" s="116">
        <f t="shared" si="49"/>
        <v>85549.471964224285</v>
      </c>
      <c r="G256" s="117">
        <v>349913220</v>
      </c>
      <c r="H256" s="117">
        <f t="shared" si="50"/>
        <v>60184.592363261094</v>
      </c>
      <c r="I256" s="7"/>
      <c r="J256" s="10">
        <v>6.5010000000000003</v>
      </c>
      <c r="K256" s="117">
        <v>2274786</v>
      </c>
      <c r="L256" s="120">
        <f t="shared" si="51"/>
        <v>391.26006191950466</v>
      </c>
      <c r="M256" s="122">
        <f t="shared" si="46"/>
        <v>3499132.2</v>
      </c>
      <c r="N256" s="116">
        <f t="shared" si="47"/>
        <v>1224346.2000000002</v>
      </c>
      <c r="O256" s="123">
        <f t="shared" si="48"/>
        <v>210.58586171310634</v>
      </c>
      <c r="P256" s="5"/>
      <c r="Q256" s="5">
        <f t="shared" si="43"/>
        <v>1</v>
      </c>
      <c r="R256" s="7">
        <f t="shared" si="44"/>
        <v>5814</v>
      </c>
      <c r="S256" s="5">
        <f t="shared" si="41"/>
        <v>1</v>
      </c>
      <c r="T256" s="7">
        <f t="shared" si="42"/>
        <v>5814</v>
      </c>
    </row>
    <row r="257" spans="1:20">
      <c r="A257" s="23" t="s">
        <v>283</v>
      </c>
      <c r="B257" s="35" t="s">
        <v>284</v>
      </c>
      <c r="C257" s="36">
        <v>39508</v>
      </c>
      <c r="D257" s="6"/>
      <c r="E257" s="113">
        <v>4087815987</v>
      </c>
      <c r="F257" s="116">
        <f t="shared" si="49"/>
        <v>103468.05677331174</v>
      </c>
      <c r="G257" s="117">
        <v>2837952974</v>
      </c>
      <c r="H257" s="117">
        <f t="shared" si="50"/>
        <v>71832.362407613648</v>
      </c>
      <c r="I257" s="7"/>
      <c r="J257" s="10">
        <v>3.1738</v>
      </c>
      <c r="K257" s="117">
        <v>9007095</v>
      </c>
      <c r="L257" s="120">
        <f t="shared" si="51"/>
        <v>227.98154804090311</v>
      </c>
      <c r="M257" s="122">
        <f t="shared" si="46"/>
        <v>28379529.740000002</v>
      </c>
      <c r="N257" s="116">
        <f t="shared" si="47"/>
        <v>19372434.740000002</v>
      </c>
      <c r="O257" s="123">
        <f t="shared" si="48"/>
        <v>490.34207603523345</v>
      </c>
      <c r="P257" s="5"/>
      <c r="Q257" s="5">
        <f t="shared" si="43"/>
        <v>1</v>
      </c>
      <c r="R257" s="7">
        <f t="shared" si="44"/>
        <v>39508</v>
      </c>
      <c r="S257" s="5">
        <f t="shared" si="41"/>
        <v>1</v>
      </c>
      <c r="T257" s="7">
        <f t="shared" si="42"/>
        <v>39508</v>
      </c>
    </row>
    <row r="258" spans="1:20">
      <c r="A258" s="23" t="s">
        <v>285</v>
      </c>
      <c r="B258" s="35" t="s">
        <v>284</v>
      </c>
      <c r="C258" s="36">
        <v>20</v>
      </c>
      <c r="D258" s="6"/>
      <c r="E258" s="113">
        <v>4833646104</v>
      </c>
      <c r="F258" s="116">
        <f t="shared" si="49"/>
        <v>241682305.19999999</v>
      </c>
      <c r="G258" s="117">
        <v>4633683067</v>
      </c>
      <c r="H258" s="117">
        <f t="shared" si="50"/>
        <v>231684153.34999999</v>
      </c>
      <c r="I258" s="7"/>
      <c r="J258" s="10">
        <v>1.0692999999999999</v>
      </c>
      <c r="K258" s="117">
        <v>4954797</v>
      </c>
      <c r="L258" s="120">
        <f t="shared" si="51"/>
        <v>247739.85</v>
      </c>
      <c r="M258" s="122">
        <f t="shared" si="46"/>
        <v>46336830.670000002</v>
      </c>
      <c r="N258" s="116">
        <f t="shared" si="47"/>
        <v>41382033.670000002</v>
      </c>
      <c r="O258" s="123">
        <f t="shared" si="48"/>
        <v>2069101.6835</v>
      </c>
      <c r="P258" s="5"/>
      <c r="Q258" s="5">
        <f t="shared" si="43"/>
        <v>1</v>
      </c>
      <c r="R258" s="7">
        <f t="shared" si="44"/>
        <v>20</v>
      </c>
      <c r="S258" s="5">
        <f t="shared" si="41"/>
        <v>1</v>
      </c>
      <c r="T258" s="7">
        <f t="shared" si="42"/>
        <v>20</v>
      </c>
    </row>
    <row r="259" spans="1:20">
      <c r="A259" s="23" t="s">
        <v>286</v>
      </c>
      <c r="B259" s="35" t="s">
        <v>284</v>
      </c>
      <c r="C259" s="36">
        <v>5881</v>
      </c>
      <c r="D259" s="6"/>
      <c r="E259" s="113">
        <v>1008739654</v>
      </c>
      <c r="F259" s="116">
        <f t="shared" si="49"/>
        <v>171525.19197415406</v>
      </c>
      <c r="G259" s="117">
        <v>635310886</v>
      </c>
      <c r="H259" s="117">
        <f t="shared" si="50"/>
        <v>108027.69699030777</v>
      </c>
      <c r="I259" s="7"/>
      <c r="J259" s="10">
        <v>3.4068000000000001</v>
      </c>
      <c r="K259" s="117">
        <v>2164377</v>
      </c>
      <c r="L259" s="120">
        <f t="shared" si="51"/>
        <v>368.02873660942015</v>
      </c>
      <c r="M259" s="122">
        <f t="shared" si="46"/>
        <v>6353108.8600000003</v>
      </c>
      <c r="N259" s="116">
        <f t="shared" si="47"/>
        <v>4188731.8600000003</v>
      </c>
      <c r="O259" s="123">
        <f t="shared" si="48"/>
        <v>712.24823329365756</v>
      </c>
      <c r="P259" s="5"/>
      <c r="Q259" s="5">
        <f t="shared" si="43"/>
        <v>1</v>
      </c>
      <c r="R259" s="7">
        <f t="shared" si="44"/>
        <v>5881</v>
      </c>
      <c r="S259" s="5">
        <f t="shared" si="41"/>
        <v>1</v>
      </c>
      <c r="T259" s="7">
        <f t="shared" si="42"/>
        <v>5881</v>
      </c>
    </row>
    <row r="260" spans="1:20">
      <c r="A260" s="23" t="s">
        <v>287</v>
      </c>
      <c r="B260" s="35" t="s">
        <v>284</v>
      </c>
      <c r="C260" s="36">
        <v>2539</v>
      </c>
      <c r="D260" s="6"/>
      <c r="E260" s="113">
        <v>313614761</v>
      </c>
      <c r="F260" s="116">
        <f t="shared" si="49"/>
        <v>123519.00787711698</v>
      </c>
      <c r="G260" s="117">
        <v>252559782</v>
      </c>
      <c r="H260" s="117">
        <f t="shared" si="50"/>
        <v>99472.14730208744</v>
      </c>
      <c r="I260" s="7"/>
      <c r="J260" s="10">
        <v>6.9039999999999999</v>
      </c>
      <c r="K260" s="117">
        <v>1743673</v>
      </c>
      <c r="L260" s="120">
        <f t="shared" si="51"/>
        <v>686.75580937376924</v>
      </c>
      <c r="M260" s="122">
        <f t="shared" si="46"/>
        <v>2525597.8199999998</v>
      </c>
      <c r="N260" s="116">
        <f t="shared" si="47"/>
        <v>781924.81999999983</v>
      </c>
      <c r="O260" s="123">
        <f t="shared" si="48"/>
        <v>307.96566364710509</v>
      </c>
      <c r="P260" s="5"/>
      <c r="Q260" s="5">
        <f t="shared" si="43"/>
        <v>1</v>
      </c>
      <c r="R260" s="7">
        <f t="shared" si="44"/>
        <v>2539</v>
      </c>
      <c r="S260" s="5">
        <f t="shared" si="41"/>
        <v>1</v>
      </c>
      <c r="T260" s="7">
        <f t="shared" si="42"/>
        <v>2539</v>
      </c>
    </row>
    <row r="261" spans="1:20">
      <c r="A261" s="23" t="s">
        <v>288</v>
      </c>
      <c r="B261" s="35" t="s">
        <v>284</v>
      </c>
      <c r="C261" s="36">
        <v>2236</v>
      </c>
      <c r="D261" s="6"/>
      <c r="E261" s="113">
        <v>441307669</v>
      </c>
      <c r="F261" s="116">
        <f t="shared" si="49"/>
        <v>197364.78935599283</v>
      </c>
      <c r="G261" s="117">
        <v>316543514</v>
      </c>
      <c r="H261" s="117">
        <f t="shared" si="50"/>
        <v>141566.86672629695</v>
      </c>
      <c r="I261" s="7"/>
      <c r="J261" s="10">
        <v>4.7</v>
      </c>
      <c r="K261" s="117">
        <v>1487755</v>
      </c>
      <c r="L261" s="120">
        <f t="shared" si="51"/>
        <v>665.36449016100175</v>
      </c>
      <c r="M261" s="122">
        <f t="shared" si="46"/>
        <v>3165435.14</v>
      </c>
      <c r="N261" s="116">
        <f t="shared" si="47"/>
        <v>1677680.1400000001</v>
      </c>
      <c r="O261" s="123">
        <f t="shared" si="48"/>
        <v>750.30417710196787</v>
      </c>
      <c r="P261" s="5"/>
      <c r="Q261" s="5">
        <f t="shared" si="43"/>
        <v>1</v>
      </c>
      <c r="R261" s="7">
        <f t="shared" si="44"/>
        <v>2236</v>
      </c>
      <c r="S261" s="5">
        <f t="shared" si="41"/>
        <v>1</v>
      </c>
      <c r="T261" s="7">
        <f t="shared" si="42"/>
        <v>2236</v>
      </c>
    </row>
    <row r="262" spans="1:20">
      <c r="A262" s="23" t="s">
        <v>289</v>
      </c>
      <c r="B262" s="35" t="s">
        <v>284</v>
      </c>
      <c r="C262" s="36">
        <v>23</v>
      </c>
      <c r="D262" s="6"/>
      <c r="E262" s="113">
        <v>1971324929</v>
      </c>
      <c r="F262" s="116">
        <f t="shared" si="49"/>
        <v>85709779.521739125</v>
      </c>
      <c r="G262" s="117">
        <v>1913322928</v>
      </c>
      <c r="H262" s="117">
        <f t="shared" si="50"/>
        <v>83187953.391304344</v>
      </c>
      <c r="I262" s="7"/>
      <c r="J262" s="10">
        <v>0.93279999999999996</v>
      </c>
      <c r="K262" s="117">
        <v>1784748</v>
      </c>
      <c r="L262" s="120">
        <f t="shared" si="51"/>
        <v>77597.739130434784</v>
      </c>
      <c r="M262" s="122">
        <f t="shared" si="46"/>
        <v>19133229.280000001</v>
      </c>
      <c r="N262" s="116">
        <f t="shared" si="47"/>
        <v>17348481.280000001</v>
      </c>
      <c r="O262" s="123">
        <f t="shared" si="48"/>
        <v>754281.79478260875</v>
      </c>
      <c r="P262" s="5"/>
      <c r="Q262" s="5">
        <f t="shared" si="43"/>
        <v>1</v>
      </c>
      <c r="R262" s="7">
        <f t="shared" si="44"/>
        <v>23</v>
      </c>
      <c r="S262" s="5">
        <f t="shared" ref="S262:S325" si="52">IF(J262&gt;0,1,0)</f>
        <v>1</v>
      </c>
      <c r="T262" s="7">
        <f t="shared" ref="T262:T325" si="53">IF(J262&gt;0,C262,0)</f>
        <v>23</v>
      </c>
    </row>
    <row r="263" spans="1:20">
      <c r="A263" s="23" t="s">
        <v>290</v>
      </c>
      <c r="B263" s="35" t="s">
        <v>284</v>
      </c>
      <c r="C263" s="36">
        <v>16100</v>
      </c>
      <c r="D263" s="6"/>
      <c r="E263" s="113">
        <v>3263181662</v>
      </c>
      <c r="F263" s="116">
        <f t="shared" si="49"/>
        <v>202682.09080745341</v>
      </c>
      <c r="G263" s="117">
        <v>2532345436</v>
      </c>
      <c r="H263" s="117">
        <f t="shared" si="50"/>
        <v>157288.53639751553</v>
      </c>
      <c r="I263" s="7"/>
      <c r="J263" s="10">
        <v>3.88</v>
      </c>
      <c r="K263" s="117">
        <v>9825500</v>
      </c>
      <c r="L263" s="120">
        <f t="shared" si="51"/>
        <v>610.27950310559004</v>
      </c>
      <c r="M263" s="122">
        <f t="shared" si="46"/>
        <v>25323454.359999999</v>
      </c>
      <c r="N263" s="116">
        <f t="shared" si="47"/>
        <v>15497954.359999999</v>
      </c>
      <c r="O263" s="123">
        <f t="shared" si="48"/>
        <v>962.60586086956516</v>
      </c>
      <c r="P263" s="5"/>
      <c r="Q263" s="5">
        <f t="shared" ref="Q263:Q326" si="54">IF(E263&gt;0,1,0)</f>
        <v>1</v>
      </c>
      <c r="R263" s="7">
        <f t="shared" ref="R263:R326" si="55">IF(E263&gt;0,C263,0)</f>
        <v>16100</v>
      </c>
      <c r="S263" s="5">
        <f t="shared" si="52"/>
        <v>1</v>
      </c>
      <c r="T263" s="7">
        <f t="shared" si="53"/>
        <v>16100</v>
      </c>
    </row>
    <row r="264" spans="1:20">
      <c r="A264" s="23" t="s">
        <v>291</v>
      </c>
      <c r="B264" s="35" t="s">
        <v>284</v>
      </c>
      <c r="C264" s="36">
        <v>1958</v>
      </c>
      <c r="D264" s="6"/>
      <c r="E264" s="113">
        <v>396339350</v>
      </c>
      <c r="F264" s="116">
        <f t="shared" si="49"/>
        <v>202420.50561797753</v>
      </c>
      <c r="G264" s="117">
        <v>285990425</v>
      </c>
      <c r="H264" s="117">
        <f t="shared" si="50"/>
        <v>146062.5255362615</v>
      </c>
      <c r="I264" s="7"/>
      <c r="J264" s="10">
        <v>4.9245000000000001</v>
      </c>
      <c r="K264" s="117">
        <v>1408360</v>
      </c>
      <c r="L264" s="120">
        <f t="shared" ref="L264:L276" si="56">(K264/C264)</f>
        <v>719.28498467824306</v>
      </c>
      <c r="M264" s="122">
        <f t="shared" ref="M264:M327" si="57">(G264*0.01)</f>
        <v>2859904.25</v>
      </c>
      <c r="N264" s="116">
        <f t="shared" ref="N264:N327" si="58">(M264-K264)</f>
        <v>1451544.25</v>
      </c>
      <c r="O264" s="123">
        <f t="shared" ref="O264:O327" si="59">(N264/C264)</f>
        <v>741.34027068437183</v>
      </c>
      <c r="P264" s="5"/>
      <c r="Q264" s="5">
        <f t="shared" si="54"/>
        <v>1</v>
      </c>
      <c r="R264" s="7">
        <f t="shared" si="55"/>
        <v>1958</v>
      </c>
      <c r="S264" s="5">
        <f t="shared" si="52"/>
        <v>1</v>
      </c>
      <c r="T264" s="7">
        <f t="shared" si="53"/>
        <v>1958</v>
      </c>
    </row>
    <row r="265" spans="1:20">
      <c r="A265" s="23" t="s">
        <v>292</v>
      </c>
      <c r="B265" s="35" t="s">
        <v>284</v>
      </c>
      <c r="C265" s="36">
        <v>33533</v>
      </c>
      <c r="D265" s="6"/>
      <c r="E265" s="113">
        <v>3589948467</v>
      </c>
      <c r="F265" s="116">
        <f t="shared" si="49"/>
        <v>107057.18149285778</v>
      </c>
      <c r="G265" s="117">
        <v>2470032020</v>
      </c>
      <c r="H265" s="117">
        <f t="shared" si="50"/>
        <v>73659.738764798851</v>
      </c>
      <c r="I265" s="7"/>
      <c r="J265" s="10">
        <v>4.2919</v>
      </c>
      <c r="K265" s="117">
        <v>10601130</v>
      </c>
      <c r="L265" s="120">
        <f t="shared" si="56"/>
        <v>316.14022008171054</v>
      </c>
      <c r="M265" s="122">
        <f t="shared" si="57"/>
        <v>24700320.199999999</v>
      </c>
      <c r="N265" s="116">
        <f t="shared" si="58"/>
        <v>14099190.199999999</v>
      </c>
      <c r="O265" s="123">
        <f t="shared" si="59"/>
        <v>420.45716756627797</v>
      </c>
      <c r="P265" s="5"/>
      <c r="Q265" s="5">
        <f t="shared" si="54"/>
        <v>1</v>
      </c>
      <c r="R265" s="7">
        <f t="shared" si="55"/>
        <v>33533</v>
      </c>
      <c r="S265" s="5">
        <f t="shared" si="52"/>
        <v>1</v>
      </c>
      <c r="T265" s="7">
        <f t="shared" si="53"/>
        <v>33533</v>
      </c>
    </row>
    <row r="266" spans="1:20">
      <c r="A266" s="23" t="s">
        <v>293</v>
      </c>
      <c r="B266" s="35" t="s">
        <v>284</v>
      </c>
      <c r="C266" s="36">
        <v>228765</v>
      </c>
      <c r="D266" s="6"/>
      <c r="E266" s="113">
        <v>36105900256</v>
      </c>
      <c r="F266" s="116">
        <f t="shared" si="49"/>
        <v>157829.65163377265</v>
      </c>
      <c r="G266" s="117">
        <v>24989016387</v>
      </c>
      <c r="H266" s="117">
        <f t="shared" si="50"/>
        <v>109234.43877778506</v>
      </c>
      <c r="I266" s="7"/>
      <c r="J266" s="10">
        <v>4.9306999999999999</v>
      </c>
      <c r="K266" s="117">
        <v>123213343</v>
      </c>
      <c r="L266" s="120">
        <f t="shared" si="56"/>
        <v>538.60224684720129</v>
      </c>
      <c r="M266" s="122">
        <f t="shared" si="57"/>
        <v>249890163.87</v>
      </c>
      <c r="N266" s="116">
        <f t="shared" si="58"/>
        <v>126676820.87</v>
      </c>
      <c r="O266" s="123">
        <f t="shared" si="59"/>
        <v>553.74214093064938</v>
      </c>
      <c r="P266" s="5"/>
      <c r="Q266" s="5">
        <f t="shared" si="54"/>
        <v>1</v>
      </c>
      <c r="R266" s="7">
        <f t="shared" si="55"/>
        <v>228765</v>
      </c>
      <c r="S266" s="5">
        <f t="shared" si="52"/>
        <v>1</v>
      </c>
      <c r="T266" s="7">
        <f t="shared" si="53"/>
        <v>228765</v>
      </c>
    </row>
    <row r="267" spans="1:20">
      <c r="A267" s="23" t="s">
        <v>294</v>
      </c>
      <c r="B267" s="35" t="s">
        <v>284</v>
      </c>
      <c r="C267" s="36">
        <v>2638</v>
      </c>
      <c r="D267" s="6"/>
      <c r="E267" s="113">
        <v>825683724</v>
      </c>
      <c r="F267" s="116">
        <f t="shared" si="49"/>
        <v>312996.10462471569</v>
      </c>
      <c r="G267" s="117">
        <v>518557981</v>
      </c>
      <c r="H267" s="117">
        <f t="shared" si="50"/>
        <v>196572.39613343441</v>
      </c>
      <c r="I267" s="7"/>
      <c r="J267" s="10">
        <v>3.1739000000000002</v>
      </c>
      <c r="K267" s="117">
        <v>1645851</v>
      </c>
      <c r="L267" s="120">
        <f t="shared" si="56"/>
        <v>623.90106141015917</v>
      </c>
      <c r="M267" s="122">
        <f t="shared" si="57"/>
        <v>5185579.8100000005</v>
      </c>
      <c r="N267" s="116">
        <f t="shared" si="58"/>
        <v>3539728.8100000005</v>
      </c>
      <c r="O267" s="123">
        <f t="shared" si="59"/>
        <v>1341.8228999241851</v>
      </c>
      <c r="P267" s="5"/>
      <c r="Q267" s="5">
        <f t="shared" si="54"/>
        <v>1</v>
      </c>
      <c r="R267" s="7">
        <f t="shared" si="55"/>
        <v>2638</v>
      </c>
      <c r="S267" s="5">
        <f t="shared" si="52"/>
        <v>1</v>
      </c>
      <c r="T267" s="7">
        <f t="shared" si="53"/>
        <v>2638</v>
      </c>
    </row>
    <row r="268" spans="1:20">
      <c r="A268" s="23" t="s">
        <v>295</v>
      </c>
      <c r="B268" s="35" t="s">
        <v>284</v>
      </c>
      <c r="C268" s="36">
        <v>30065</v>
      </c>
      <c r="D268" s="6"/>
      <c r="E268" s="113">
        <v>3412674300</v>
      </c>
      <c r="F268" s="116">
        <f t="shared" si="49"/>
        <v>113509.87194412107</v>
      </c>
      <c r="G268" s="117">
        <v>2549784172</v>
      </c>
      <c r="H268" s="117">
        <f t="shared" si="50"/>
        <v>84809.052785631138</v>
      </c>
      <c r="I268" s="7"/>
      <c r="J268" s="10">
        <v>3.3866000000000001</v>
      </c>
      <c r="K268" s="117">
        <v>8635099</v>
      </c>
      <c r="L268" s="120">
        <f t="shared" si="56"/>
        <v>287.21433560618658</v>
      </c>
      <c r="M268" s="122">
        <f t="shared" si="57"/>
        <v>25497841.719999999</v>
      </c>
      <c r="N268" s="116">
        <f t="shared" si="58"/>
        <v>16862742.719999999</v>
      </c>
      <c r="O268" s="123">
        <f t="shared" si="59"/>
        <v>560.87619225012475</v>
      </c>
      <c r="P268" s="5"/>
      <c r="Q268" s="5">
        <f t="shared" si="54"/>
        <v>1</v>
      </c>
      <c r="R268" s="7">
        <f t="shared" si="55"/>
        <v>30065</v>
      </c>
      <c r="S268" s="5">
        <f t="shared" si="52"/>
        <v>1</v>
      </c>
      <c r="T268" s="7">
        <f t="shared" si="53"/>
        <v>30065</v>
      </c>
    </row>
    <row r="269" spans="1:20">
      <c r="A269" s="23" t="s">
        <v>296</v>
      </c>
      <c r="B269" s="35" t="s">
        <v>284</v>
      </c>
      <c r="C269" s="36">
        <v>28486</v>
      </c>
      <c r="D269" s="6"/>
      <c r="E269" s="113">
        <v>6363362175</v>
      </c>
      <c r="F269" s="116">
        <f t="shared" si="49"/>
        <v>223385.59906620797</v>
      </c>
      <c r="G269" s="117">
        <v>4452234888</v>
      </c>
      <c r="H269" s="117">
        <f t="shared" si="50"/>
        <v>156295.54475882891</v>
      </c>
      <c r="I269" s="7"/>
      <c r="J269" s="10">
        <v>3.9950000000000001</v>
      </c>
      <c r="K269" s="117">
        <v>17786678</v>
      </c>
      <c r="L269" s="120">
        <f t="shared" si="56"/>
        <v>624.40068805729129</v>
      </c>
      <c r="M269" s="122">
        <f t="shared" si="57"/>
        <v>44522348.880000003</v>
      </c>
      <c r="N269" s="116">
        <f t="shared" si="58"/>
        <v>26735670.880000003</v>
      </c>
      <c r="O269" s="123">
        <f t="shared" si="59"/>
        <v>938.55475953099779</v>
      </c>
      <c r="P269" s="5"/>
      <c r="Q269" s="5">
        <f t="shared" si="54"/>
        <v>1</v>
      </c>
      <c r="R269" s="7">
        <f t="shared" si="55"/>
        <v>28486</v>
      </c>
      <c r="S269" s="5">
        <f t="shared" si="52"/>
        <v>1</v>
      </c>
      <c r="T269" s="7">
        <f t="shared" si="53"/>
        <v>28486</v>
      </c>
    </row>
    <row r="270" spans="1:20">
      <c r="A270" s="23" t="s">
        <v>297</v>
      </c>
      <c r="B270" s="35" t="s">
        <v>298</v>
      </c>
      <c r="C270" s="36">
        <v>61036</v>
      </c>
      <c r="D270" s="6"/>
      <c r="E270" s="113">
        <v>5177836840</v>
      </c>
      <c r="F270" s="116">
        <f t="shared" si="49"/>
        <v>84832.506061996202</v>
      </c>
      <c r="G270" s="117">
        <v>3909046134</v>
      </c>
      <c r="H270" s="117">
        <f t="shared" si="50"/>
        <v>64044.926502392031</v>
      </c>
      <c r="I270" s="7"/>
      <c r="J270" s="10">
        <v>3.7058</v>
      </c>
      <c r="K270" s="117">
        <v>14486143</v>
      </c>
      <c r="L270" s="120">
        <f t="shared" si="56"/>
        <v>237.33768595582936</v>
      </c>
      <c r="M270" s="122">
        <f t="shared" si="57"/>
        <v>39090461.340000004</v>
      </c>
      <c r="N270" s="116">
        <f t="shared" si="58"/>
        <v>24604318.340000004</v>
      </c>
      <c r="O270" s="123">
        <f t="shared" si="59"/>
        <v>403.11157906809103</v>
      </c>
      <c r="P270" s="5"/>
      <c r="Q270" s="5">
        <f t="shared" si="54"/>
        <v>1</v>
      </c>
      <c r="R270" s="7">
        <f t="shared" si="55"/>
        <v>61036</v>
      </c>
      <c r="S270" s="5">
        <f t="shared" si="52"/>
        <v>1</v>
      </c>
      <c r="T270" s="7">
        <f t="shared" si="53"/>
        <v>61036</v>
      </c>
    </row>
    <row r="271" spans="1:20">
      <c r="A271" s="23" t="s">
        <v>546</v>
      </c>
      <c r="B271" s="35" t="s">
        <v>298</v>
      </c>
      <c r="C271" s="36">
        <v>30634</v>
      </c>
      <c r="D271" s="6"/>
      <c r="E271" s="113">
        <v>2850852548</v>
      </c>
      <c r="F271" s="116">
        <f t="shared" si="49"/>
        <v>93061.714043219952</v>
      </c>
      <c r="G271" s="117">
        <v>2031361183</v>
      </c>
      <c r="H271" s="117">
        <f t="shared" si="50"/>
        <v>66310.673859110786</v>
      </c>
      <c r="I271" s="7"/>
      <c r="J271" s="10">
        <v>3.6772999999999998</v>
      </c>
      <c r="K271" s="117">
        <v>7469924</v>
      </c>
      <c r="L271" s="120">
        <f t="shared" si="56"/>
        <v>243.84422537050335</v>
      </c>
      <c r="M271" s="122">
        <f t="shared" si="57"/>
        <v>20313611.830000002</v>
      </c>
      <c r="N271" s="116">
        <f t="shared" si="58"/>
        <v>12843687.830000002</v>
      </c>
      <c r="O271" s="123">
        <f t="shared" si="59"/>
        <v>419.2625132206046</v>
      </c>
      <c r="P271" s="5"/>
      <c r="Q271" s="5">
        <f t="shared" si="54"/>
        <v>1</v>
      </c>
      <c r="R271" s="7">
        <f t="shared" si="55"/>
        <v>30634</v>
      </c>
      <c r="S271" s="5">
        <f t="shared" si="52"/>
        <v>1</v>
      </c>
      <c r="T271" s="7">
        <f t="shared" si="53"/>
        <v>30634</v>
      </c>
    </row>
    <row r="272" spans="1:20">
      <c r="A272" s="23" t="s">
        <v>299</v>
      </c>
      <c r="B272" s="35" t="s">
        <v>300</v>
      </c>
      <c r="C272" s="36">
        <v>2154</v>
      </c>
      <c r="D272" s="6"/>
      <c r="E272" s="113">
        <v>651221353</v>
      </c>
      <c r="F272" s="116">
        <f t="shared" si="49"/>
        <v>302331.17595171771</v>
      </c>
      <c r="G272" s="117">
        <v>508185852</v>
      </c>
      <c r="H272" s="117">
        <f t="shared" si="50"/>
        <v>235926.57938718662</v>
      </c>
      <c r="I272" s="7"/>
      <c r="J272" s="10">
        <v>5.9371999999999998</v>
      </c>
      <c r="K272" s="117">
        <v>3017201</v>
      </c>
      <c r="L272" s="120">
        <f t="shared" si="56"/>
        <v>1400.7432683379759</v>
      </c>
      <c r="M272" s="122">
        <f t="shared" si="57"/>
        <v>5081858.5200000005</v>
      </c>
      <c r="N272" s="116">
        <f t="shared" si="58"/>
        <v>2064657.5200000005</v>
      </c>
      <c r="O272" s="123">
        <f t="shared" si="59"/>
        <v>958.52252553389064</v>
      </c>
      <c r="P272" s="5"/>
      <c r="Q272" s="5">
        <f t="shared" si="54"/>
        <v>1</v>
      </c>
      <c r="R272" s="7">
        <f t="shared" si="55"/>
        <v>2154</v>
      </c>
      <c r="S272" s="5">
        <f t="shared" si="52"/>
        <v>1</v>
      </c>
      <c r="T272" s="7">
        <f t="shared" si="53"/>
        <v>2154</v>
      </c>
    </row>
    <row r="273" spans="1:20">
      <c r="A273" s="23" t="s">
        <v>301</v>
      </c>
      <c r="B273" s="35" t="s">
        <v>300</v>
      </c>
      <c r="C273" s="36">
        <v>17083</v>
      </c>
      <c r="D273" s="6"/>
      <c r="E273" s="113">
        <v>606543374</v>
      </c>
      <c r="F273" s="116">
        <f t="shared" si="49"/>
        <v>35505.670783820169</v>
      </c>
      <c r="G273" s="117">
        <v>341738171</v>
      </c>
      <c r="H273" s="117">
        <f t="shared" si="50"/>
        <v>20004.575952701514</v>
      </c>
      <c r="I273" s="7"/>
      <c r="J273" s="10">
        <v>6.43</v>
      </c>
      <c r="K273" s="117">
        <v>2197376</v>
      </c>
      <c r="L273" s="120">
        <f t="shared" si="56"/>
        <v>128.62939764678336</v>
      </c>
      <c r="M273" s="122">
        <f t="shared" si="57"/>
        <v>3417381.71</v>
      </c>
      <c r="N273" s="116">
        <f t="shared" si="58"/>
        <v>1220005.71</v>
      </c>
      <c r="O273" s="123">
        <f t="shared" si="59"/>
        <v>71.416361880231804</v>
      </c>
      <c r="P273" s="5"/>
      <c r="Q273" s="5">
        <f t="shared" si="54"/>
        <v>1</v>
      </c>
      <c r="R273" s="7">
        <f t="shared" si="55"/>
        <v>17083</v>
      </c>
      <c r="S273" s="5">
        <f t="shared" si="52"/>
        <v>1</v>
      </c>
      <c r="T273" s="7">
        <f t="shared" si="53"/>
        <v>17083</v>
      </c>
    </row>
    <row r="274" spans="1:20">
      <c r="A274" s="23" t="s">
        <v>302</v>
      </c>
      <c r="B274" s="35" t="s">
        <v>300</v>
      </c>
      <c r="C274" s="36">
        <v>85296</v>
      </c>
      <c r="D274" s="6"/>
      <c r="E274" s="113">
        <v>26975928729</v>
      </c>
      <c r="F274" s="116">
        <f t="shared" si="49"/>
        <v>316262.52964969049</v>
      </c>
      <c r="G274" s="117">
        <v>20319801179</v>
      </c>
      <c r="H274" s="117">
        <f t="shared" si="50"/>
        <v>238226.89433267681</v>
      </c>
      <c r="I274" s="9"/>
      <c r="J274" s="10">
        <v>3.02</v>
      </c>
      <c r="K274" s="117">
        <v>61365800</v>
      </c>
      <c r="L274" s="120">
        <f t="shared" si="56"/>
        <v>719.44522603639098</v>
      </c>
      <c r="M274" s="122">
        <f t="shared" si="57"/>
        <v>203198011.78999999</v>
      </c>
      <c r="N274" s="116">
        <f t="shared" si="58"/>
        <v>141832211.78999999</v>
      </c>
      <c r="O274" s="123">
        <f t="shared" si="59"/>
        <v>1662.8237172903769</v>
      </c>
      <c r="P274" s="5"/>
      <c r="Q274" s="5">
        <f t="shared" si="54"/>
        <v>1</v>
      </c>
      <c r="R274" s="7">
        <f t="shared" si="55"/>
        <v>85296</v>
      </c>
      <c r="S274" s="5">
        <f t="shared" si="52"/>
        <v>1</v>
      </c>
      <c r="T274" s="7">
        <f t="shared" si="53"/>
        <v>85296</v>
      </c>
    </row>
    <row r="275" spans="1:20">
      <c r="A275" s="23" t="s">
        <v>303</v>
      </c>
      <c r="B275" s="35" t="s">
        <v>300</v>
      </c>
      <c r="C275" s="36">
        <v>66872</v>
      </c>
      <c r="D275" s="6"/>
      <c r="E275" s="113">
        <v>8592612415</v>
      </c>
      <c r="F275" s="116">
        <f t="shared" si="49"/>
        <v>128493.42647146787</v>
      </c>
      <c r="G275" s="117">
        <v>6131757196</v>
      </c>
      <c r="H275" s="117">
        <f t="shared" si="50"/>
        <v>91693.940602942937</v>
      </c>
      <c r="I275" s="9"/>
      <c r="J275" s="10">
        <v>6.4553000000000003</v>
      </c>
      <c r="K275" s="117">
        <v>39582332</v>
      </c>
      <c r="L275" s="120">
        <f t="shared" si="56"/>
        <v>591.91189137456638</v>
      </c>
      <c r="M275" s="122">
        <f t="shared" si="57"/>
        <v>61317571.960000001</v>
      </c>
      <c r="N275" s="116">
        <f t="shared" si="58"/>
        <v>21735239.960000001</v>
      </c>
      <c r="O275" s="123">
        <f t="shared" si="59"/>
        <v>325.02751465486301</v>
      </c>
      <c r="P275" s="5"/>
      <c r="Q275" s="5">
        <f t="shared" si="54"/>
        <v>1</v>
      </c>
      <c r="R275" s="7">
        <f t="shared" si="55"/>
        <v>66872</v>
      </c>
      <c r="S275" s="5">
        <f t="shared" si="52"/>
        <v>1</v>
      </c>
      <c r="T275" s="7">
        <f t="shared" si="53"/>
        <v>66872</v>
      </c>
    </row>
    <row r="276" spans="1:20">
      <c r="A276" s="23" t="s">
        <v>304</v>
      </c>
      <c r="B276" s="35" t="s">
        <v>300</v>
      </c>
      <c r="C276" s="36">
        <v>417</v>
      </c>
      <c r="D276" s="6"/>
      <c r="E276" s="113">
        <v>53302735</v>
      </c>
      <c r="F276" s="116">
        <f t="shared" si="49"/>
        <v>127824.30455635491</v>
      </c>
      <c r="G276" s="117">
        <v>40888824</v>
      </c>
      <c r="H276" s="117">
        <f t="shared" si="50"/>
        <v>98054.733812949635</v>
      </c>
      <c r="I276" s="9"/>
      <c r="J276" s="10">
        <v>2.5571000000000002</v>
      </c>
      <c r="K276" s="117">
        <v>104557</v>
      </c>
      <c r="L276" s="120">
        <f t="shared" si="56"/>
        <v>250.73621103117506</v>
      </c>
      <c r="M276" s="122">
        <f t="shared" si="57"/>
        <v>408888.24</v>
      </c>
      <c r="N276" s="116">
        <f t="shared" si="58"/>
        <v>304331.24</v>
      </c>
      <c r="O276" s="123">
        <f t="shared" si="59"/>
        <v>729.81112709832132</v>
      </c>
      <c r="P276" s="5"/>
      <c r="Q276" s="5">
        <f t="shared" si="54"/>
        <v>1</v>
      </c>
      <c r="R276" s="7">
        <f t="shared" si="55"/>
        <v>417</v>
      </c>
      <c r="S276" s="5">
        <f t="shared" si="52"/>
        <v>1</v>
      </c>
      <c r="T276" s="7">
        <f t="shared" si="53"/>
        <v>417</v>
      </c>
    </row>
    <row r="277" spans="1:20">
      <c r="A277" s="23" t="s">
        <v>305</v>
      </c>
      <c r="B277" s="35" t="s">
        <v>300</v>
      </c>
      <c r="C277" s="36">
        <v>167</v>
      </c>
      <c r="D277" s="6"/>
      <c r="E277" s="113">
        <v>13876163</v>
      </c>
      <c r="F277" s="116">
        <f t="shared" si="49"/>
        <v>83090.796407185626</v>
      </c>
      <c r="G277" s="117">
        <v>9024083</v>
      </c>
      <c r="H277" s="117">
        <f t="shared" si="50"/>
        <v>54036.425149700597</v>
      </c>
      <c r="I277" s="9" t="s">
        <v>528</v>
      </c>
      <c r="J277" s="11"/>
      <c r="K277" s="117"/>
      <c r="L277" s="120"/>
      <c r="M277" s="122">
        <f t="shared" si="57"/>
        <v>90240.83</v>
      </c>
      <c r="N277" s="116">
        <f t="shared" si="58"/>
        <v>90240.83</v>
      </c>
      <c r="O277" s="123">
        <f t="shared" si="59"/>
        <v>540.36425149700597</v>
      </c>
      <c r="P277" s="5"/>
      <c r="Q277" s="5">
        <f t="shared" si="54"/>
        <v>1</v>
      </c>
      <c r="R277" s="7">
        <f t="shared" si="55"/>
        <v>167</v>
      </c>
      <c r="S277" s="5">
        <f t="shared" si="52"/>
        <v>0</v>
      </c>
      <c r="T277" s="7">
        <f t="shared" si="53"/>
        <v>0</v>
      </c>
    </row>
    <row r="278" spans="1:20">
      <c r="A278" s="23" t="s">
        <v>306</v>
      </c>
      <c r="B278" s="35" t="s">
        <v>300</v>
      </c>
      <c r="C278" s="36">
        <v>64360</v>
      </c>
      <c r="D278" s="6"/>
      <c r="E278" s="113">
        <v>11935940389</v>
      </c>
      <c r="F278" s="116">
        <f t="shared" si="49"/>
        <v>185455.87925730267</v>
      </c>
      <c r="G278" s="117">
        <v>8692058600</v>
      </c>
      <c r="H278" s="117">
        <f t="shared" si="50"/>
        <v>135053.73834679925</v>
      </c>
      <c r="I278" s="9"/>
      <c r="J278" s="10">
        <v>6.1448999999999998</v>
      </c>
      <c r="K278" s="117">
        <v>53411831</v>
      </c>
      <c r="L278" s="120">
        <f>(K278/C278)</f>
        <v>829.89171845866997</v>
      </c>
      <c r="M278" s="122">
        <f t="shared" si="57"/>
        <v>86920586</v>
      </c>
      <c r="N278" s="116">
        <f t="shared" si="58"/>
        <v>33508755</v>
      </c>
      <c r="O278" s="123">
        <f t="shared" si="59"/>
        <v>520.64566500932256</v>
      </c>
      <c r="P278" s="5"/>
      <c r="Q278" s="5">
        <f t="shared" si="54"/>
        <v>1</v>
      </c>
      <c r="R278" s="7">
        <f t="shared" si="55"/>
        <v>64360</v>
      </c>
      <c r="S278" s="5">
        <f t="shared" si="52"/>
        <v>1</v>
      </c>
      <c r="T278" s="7">
        <f t="shared" si="53"/>
        <v>64360</v>
      </c>
    </row>
    <row r="279" spans="1:20">
      <c r="A279" s="23" t="s">
        <v>307</v>
      </c>
      <c r="B279" s="35" t="s">
        <v>300</v>
      </c>
      <c r="C279" s="36">
        <v>265</v>
      </c>
      <c r="D279" s="6"/>
      <c r="E279" s="113">
        <v>36168423</v>
      </c>
      <c r="F279" s="116">
        <f t="shared" si="49"/>
        <v>136484.61509433962</v>
      </c>
      <c r="G279" s="117">
        <v>20425336</v>
      </c>
      <c r="H279" s="117">
        <f t="shared" si="50"/>
        <v>77076.739622641515</v>
      </c>
      <c r="I279" s="9" t="s">
        <v>528</v>
      </c>
      <c r="J279" s="12"/>
      <c r="K279" s="117"/>
      <c r="L279" s="120"/>
      <c r="M279" s="122">
        <f t="shared" si="57"/>
        <v>204253.36000000002</v>
      </c>
      <c r="N279" s="116">
        <f t="shared" si="58"/>
        <v>204253.36000000002</v>
      </c>
      <c r="O279" s="123">
        <f t="shared" si="59"/>
        <v>770.76739622641514</v>
      </c>
      <c r="P279" s="5"/>
      <c r="Q279" s="5">
        <f t="shared" si="54"/>
        <v>1</v>
      </c>
      <c r="R279" s="7">
        <f t="shared" si="55"/>
        <v>265</v>
      </c>
      <c r="S279" s="5">
        <f t="shared" si="52"/>
        <v>0</v>
      </c>
      <c r="T279" s="7">
        <f t="shared" si="53"/>
        <v>0</v>
      </c>
    </row>
    <row r="280" spans="1:20">
      <c r="A280" s="23" t="s">
        <v>308</v>
      </c>
      <c r="B280" s="35" t="s">
        <v>300</v>
      </c>
      <c r="C280" s="36">
        <v>266</v>
      </c>
      <c r="D280" s="6"/>
      <c r="E280" s="113">
        <v>219121346</v>
      </c>
      <c r="F280" s="116">
        <f t="shared" si="49"/>
        <v>823764.45864661655</v>
      </c>
      <c r="G280" s="117">
        <v>159957296</v>
      </c>
      <c r="H280" s="117">
        <f t="shared" si="50"/>
        <v>601343.21804511279</v>
      </c>
      <c r="I280" s="7"/>
      <c r="J280" s="10">
        <v>6.1890000000000001</v>
      </c>
      <c r="K280" s="117">
        <v>989976</v>
      </c>
      <c r="L280" s="120">
        <f t="shared" ref="L280:L292" si="60">(K280/C280)</f>
        <v>3721.7142857142858</v>
      </c>
      <c r="M280" s="122">
        <f t="shared" si="57"/>
        <v>1599572.96</v>
      </c>
      <c r="N280" s="116">
        <f t="shared" si="58"/>
        <v>609596.96</v>
      </c>
      <c r="O280" s="123">
        <f t="shared" si="59"/>
        <v>2291.717894736842</v>
      </c>
      <c r="P280" s="5"/>
      <c r="Q280" s="5">
        <f t="shared" si="54"/>
        <v>1</v>
      </c>
      <c r="R280" s="7">
        <f t="shared" si="55"/>
        <v>266</v>
      </c>
      <c r="S280" s="5">
        <f t="shared" si="52"/>
        <v>1</v>
      </c>
      <c r="T280" s="7">
        <f t="shared" si="53"/>
        <v>266</v>
      </c>
    </row>
    <row r="281" spans="1:20">
      <c r="A281" s="23" t="s">
        <v>309</v>
      </c>
      <c r="B281" s="35" t="s">
        <v>300</v>
      </c>
      <c r="C281" s="36">
        <v>32105</v>
      </c>
      <c r="D281" s="6"/>
      <c r="E281" s="113">
        <v>3124743908</v>
      </c>
      <c r="F281" s="116">
        <f t="shared" si="49"/>
        <v>97328.886715464876</v>
      </c>
      <c r="G281" s="117">
        <v>2150408573</v>
      </c>
      <c r="H281" s="117">
        <f t="shared" si="50"/>
        <v>66980.488179411303</v>
      </c>
      <c r="I281" s="7"/>
      <c r="J281" s="10">
        <v>4.7022000000000004</v>
      </c>
      <c r="K281" s="117">
        <v>10111651</v>
      </c>
      <c r="L281" s="120">
        <f t="shared" si="60"/>
        <v>314.95564553807816</v>
      </c>
      <c r="M281" s="122">
        <f t="shared" si="57"/>
        <v>21504085.73</v>
      </c>
      <c r="N281" s="116">
        <f t="shared" si="58"/>
        <v>11392434.73</v>
      </c>
      <c r="O281" s="123">
        <f t="shared" si="59"/>
        <v>354.84923625603489</v>
      </c>
      <c r="P281" s="5"/>
      <c r="Q281" s="5">
        <f t="shared" si="54"/>
        <v>1</v>
      </c>
      <c r="R281" s="7">
        <f t="shared" si="55"/>
        <v>32105</v>
      </c>
      <c r="S281" s="5">
        <f t="shared" si="52"/>
        <v>1</v>
      </c>
      <c r="T281" s="7">
        <f t="shared" si="53"/>
        <v>32105</v>
      </c>
    </row>
    <row r="282" spans="1:20">
      <c r="A282" s="23" t="s">
        <v>310</v>
      </c>
      <c r="B282" s="35" t="s">
        <v>300</v>
      </c>
      <c r="C282" s="36">
        <v>693</v>
      </c>
      <c r="D282" s="6"/>
      <c r="E282" s="113">
        <v>952214861</v>
      </c>
      <c r="F282" s="116">
        <f t="shared" si="49"/>
        <v>1374047.4184704185</v>
      </c>
      <c r="G282" s="117">
        <v>730416229</v>
      </c>
      <c r="H282" s="117">
        <f t="shared" si="50"/>
        <v>1053991.6724386725</v>
      </c>
      <c r="I282" s="7"/>
      <c r="J282" s="10">
        <v>2.9563000000000001</v>
      </c>
      <c r="K282" s="117">
        <v>2159329</v>
      </c>
      <c r="L282" s="120">
        <f t="shared" si="60"/>
        <v>3115.9148629148631</v>
      </c>
      <c r="M282" s="122">
        <f t="shared" si="57"/>
        <v>7304162.29</v>
      </c>
      <c r="N282" s="116">
        <f t="shared" si="58"/>
        <v>5144833.29</v>
      </c>
      <c r="O282" s="123">
        <f t="shared" si="59"/>
        <v>7424.001861471862</v>
      </c>
      <c r="P282" s="5"/>
      <c r="Q282" s="5">
        <f t="shared" si="54"/>
        <v>1</v>
      </c>
      <c r="R282" s="7">
        <f t="shared" si="55"/>
        <v>693</v>
      </c>
      <c r="S282" s="5">
        <f t="shared" si="52"/>
        <v>1</v>
      </c>
      <c r="T282" s="7">
        <f t="shared" si="53"/>
        <v>693</v>
      </c>
    </row>
    <row r="283" spans="1:20">
      <c r="A283" s="23" t="s">
        <v>311</v>
      </c>
      <c r="B283" s="35" t="s">
        <v>300</v>
      </c>
      <c r="C283" s="36">
        <v>1530</v>
      </c>
      <c r="D283" s="6"/>
      <c r="E283" s="113">
        <v>158143127</v>
      </c>
      <c r="F283" s="116">
        <f t="shared" si="49"/>
        <v>103361.52091503268</v>
      </c>
      <c r="G283" s="117">
        <v>97113393</v>
      </c>
      <c r="H283" s="117">
        <f t="shared" si="50"/>
        <v>63472.805882352943</v>
      </c>
      <c r="I283" s="7"/>
      <c r="J283" s="10">
        <v>4.2952000000000004</v>
      </c>
      <c r="K283" s="117">
        <v>417121</v>
      </c>
      <c r="L283" s="120">
        <f t="shared" si="60"/>
        <v>272.62810457516338</v>
      </c>
      <c r="M283" s="122">
        <f t="shared" si="57"/>
        <v>971133.93</v>
      </c>
      <c r="N283" s="116">
        <f t="shared" si="58"/>
        <v>554012.93000000005</v>
      </c>
      <c r="O283" s="123">
        <f t="shared" si="59"/>
        <v>362.09995424836603</v>
      </c>
      <c r="P283" s="5"/>
      <c r="Q283" s="5">
        <f t="shared" si="54"/>
        <v>1</v>
      </c>
      <c r="R283" s="7">
        <f t="shared" si="55"/>
        <v>1530</v>
      </c>
      <c r="S283" s="5">
        <f t="shared" si="52"/>
        <v>1</v>
      </c>
      <c r="T283" s="7">
        <f t="shared" si="53"/>
        <v>1530</v>
      </c>
    </row>
    <row r="284" spans="1:20">
      <c r="A284" s="23" t="s">
        <v>312</v>
      </c>
      <c r="B284" s="35" t="s">
        <v>300</v>
      </c>
      <c r="C284" s="36">
        <v>4155</v>
      </c>
      <c r="D284" s="6"/>
      <c r="E284" s="113">
        <v>2692072278</v>
      </c>
      <c r="F284" s="116">
        <f t="shared" si="49"/>
        <v>647911.49891696754</v>
      </c>
      <c r="G284" s="117">
        <v>2238941501</v>
      </c>
      <c r="H284" s="117">
        <f t="shared" si="50"/>
        <v>538854.75354993984</v>
      </c>
      <c r="I284" s="7"/>
      <c r="J284" s="10">
        <v>3.5232000000000001</v>
      </c>
      <c r="K284" s="117">
        <v>7888239</v>
      </c>
      <c r="L284" s="120">
        <f t="shared" si="60"/>
        <v>1898.4931407942238</v>
      </c>
      <c r="M284" s="122">
        <f t="shared" si="57"/>
        <v>22389415.010000002</v>
      </c>
      <c r="N284" s="116">
        <f t="shared" si="58"/>
        <v>14501176.010000002</v>
      </c>
      <c r="O284" s="123">
        <f t="shared" si="59"/>
        <v>3490.0543947051747</v>
      </c>
      <c r="P284" s="5"/>
      <c r="Q284" s="5">
        <f t="shared" si="54"/>
        <v>1</v>
      </c>
      <c r="R284" s="7">
        <f t="shared" si="55"/>
        <v>4155</v>
      </c>
      <c r="S284" s="5">
        <f t="shared" si="52"/>
        <v>1</v>
      </c>
      <c r="T284" s="7">
        <f t="shared" si="53"/>
        <v>4155</v>
      </c>
    </row>
    <row r="285" spans="1:20">
      <c r="A285" s="23" t="s">
        <v>313</v>
      </c>
      <c r="B285" s="35" t="s">
        <v>300</v>
      </c>
      <c r="C285" s="36">
        <v>2499</v>
      </c>
      <c r="D285" s="6"/>
      <c r="E285" s="113">
        <v>569162534</v>
      </c>
      <c r="F285" s="116">
        <f t="shared" si="49"/>
        <v>227756.11604641858</v>
      </c>
      <c r="G285" s="117">
        <v>448031324</v>
      </c>
      <c r="H285" s="117">
        <f t="shared" si="50"/>
        <v>179284.24329731893</v>
      </c>
      <c r="I285" s="7"/>
      <c r="J285" s="10">
        <v>2.35</v>
      </c>
      <c r="K285" s="117">
        <v>1052874</v>
      </c>
      <c r="L285" s="120">
        <f t="shared" si="60"/>
        <v>421.31812725090037</v>
      </c>
      <c r="M285" s="122">
        <f t="shared" si="57"/>
        <v>4480313.24</v>
      </c>
      <c r="N285" s="116">
        <f t="shared" si="58"/>
        <v>3427439.24</v>
      </c>
      <c r="O285" s="123">
        <f t="shared" si="59"/>
        <v>1371.524305722289</v>
      </c>
      <c r="P285" s="5"/>
      <c r="Q285" s="5">
        <f t="shared" si="54"/>
        <v>1</v>
      </c>
      <c r="R285" s="7">
        <f t="shared" si="55"/>
        <v>2499</v>
      </c>
      <c r="S285" s="5">
        <f t="shared" si="52"/>
        <v>1</v>
      </c>
      <c r="T285" s="7">
        <f t="shared" si="53"/>
        <v>2499</v>
      </c>
    </row>
    <row r="286" spans="1:20">
      <c r="A286" s="23" t="s">
        <v>314</v>
      </c>
      <c r="B286" s="35" t="s">
        <v>300</v>
      </c>
      <c r="C286" s="36">
        <v>3644</v>
      </c>
      <c r="D286" s="6"/>
      <c r="E286" s="113">
        <v>1569789967</v>
      </c>
      <c r="F286" s="116">
        <f t="shared" si="49"/>
        <v>430787.58699231612</v>
      </c>
      <c r="G286" s="117">
        <v>1243210439</v>
      </c>
      <c r="H286" s="117">
        <f t="shared" si="50"/>
        <v>341166.42124039517</v>
      </c>
      <c r="I286" s="7"/>
      <c r="J286" s="10">
        <v>2.8</v>
      </c>
      <c r="K286" s="117">
        <v>3480989</v>
      </c>
      <c r="L286" s="120">
        <f t="shared" si="60"/>
        <v>955.26591657519214</v>
      </c>
      <c r="M286" s="122">
        <f t="shared" si="57"/>
        <v>12432104.390000001</v>
      </c>
      <c r="N286" s="116">
        <f t="shared" si="58"/>
        <v>8951115.3900000006</v>
      </c>
      <c r="O286" s="123">
        <f t="shared" si="59"/>
        <v>2456.3982958287597</v>
      </c>
      <c r="P286" s="5"/>
      <c r="Q286" s="5">
        <f t="shared" si="54"/>
        <v>1</v>
      </c>
      <c r="R286" s="7">
        <f t="shared" si="55"/>
        <v>3644</v>
      </c>
      <c r="S286" s="5">
        <f t="shared" si="52"/>
        <v>1</v>
      </c>
      <c r="T286" s="7">
        <f t="shared" si="53"/>
        <v>3644</v>
      </c>
    </row>
    <row r="287" spans="1:20">
      <c r="A287" s="23" t="s">
        <v>315</v>
      </c>
      <c r="B287" s="35" t="s">
        <v>300</v>
      </c>
      <c r="C287" s="36">
        <v>49724</v>
      </c>
      <c r="D287" s="6"/>
      <c r="E287" s="113">
        <v>12041711633</v>
      </c>
      <c r="F287" s="116">
        <f t="shared" si="49"/>
        <v>242171.0166720296</v>
      </c>
      <c r="G287" s="117">
        <v>9160365038</v>
      </c>
      <c r="H287" s="117">
        <f t="shared" si="50"/>
        <v>184224.21844582094</v>
      </c>
      <c r="I287" s="7"/>
      <c r="J287" s="10">
        <v>2.2496999999999998</v>
      </c>
      <c r="K287" s="117">
        <v>20608073</v>
      </c>
      <c r="L287" s="120">
        <f t="shared" si="60"/>
        <v>414.44921969270371</v>
      </c>
      <c r="M287" s="122">
        <f t="shared" si="57"/>
        <v>91603650.379999995</v>
      </c>
      <c r="N287" s="116">
        <f t="shared" si="58"/>
        <v>70995577.379999995</v>
      </c>
      <c r="O287" s="123">
        <f t="shared" si="59"/>
        <v>1427.7929647655055</v>
      </c>
      <c r="P287" s="5"/>
      <c r="Q287" s="5">
        <f t="shared" si="54"/>
        <v>1</v>
      </c>
      <c r="R287" s="7">
        <f t="shared" si="55"/>
        <v>49724</v>
      </c>
      <c r="S287" s="5">
        <f t="shared" si="52"/>
        <v>1</v>
      </c>
      <c r="T287" s="7">
        <f t="shared" si="53"/>
        <v>49724</v>
      </c>
    </row>
    <row r="288" spans="1:20">
      <c r="A288" s="23" t="s">
        <v>316</v>
      </c>
      <c r="B288" s="35" t="s">
        <v>300</v>
      </c>
      <c r="C288" s="36">
        <v>368</v>
      </c>
      <c r="D288" s="6"/>
      <c r="E288" s="113">
        <v>329107953</v>
      </c>
      <c r="F288" s="116">
        <f t="shared" ref="F288:F351" si="61">(E288/C288)</f>
        <v>894315.08967391308</v>
      </c>
      <c r="G288" s="117">
        <v>236923666</v>
      </c>
      <c r="H288" s="117">
        <f t="shared" ref="H288:H351" si="62">(G288/C288)</f>
        <v>643814.30978260865</v>
      </c>
      <c r="I288" s="7"/>
      <c r="J288" s="10">
        <v>3.9455</v>
      </c>
      <c r="K288" s="117">
        <v>934782</v>
      </c>
      <c r="L288" s="120">
        <f t="shared" si="60"/>
        <v>2540.1684782608695</v>
      </c>
      <c r="M288" s="122">
        <f t="shared" si="57"/>
        <v>2369236.66</v>
      </c>
      <c r="N288" s="116">
        <f t="shared" si="58"/>
        <v>1434454.6600000001</v>
      </c>
      <c r="O288" s="123">
        <f t="shared" si="59"/>
        <v>3897.9746195652178</v>
      </c>
      <c r="P288" s="5"/>
      <c r="Q288" s="5">
        <f t="shared" si="54"/>
        <v>1</v>
      </c>
      <c r="R288" s="7">
        <f t="shared" si="55"/>
        <v>368</v>
      </c>
      <c r="S288" s="5">
        <f t="shared" si="52"/>
        <v>1</v>
      </c>
      <c r="T288" s="7">
        <f t="shared" si="53"/>
        <v>368</v>
      </c>
    </row>
    <row r="289" spans="1:20">
      <c r="A289" s="23" t="s">
        <v>317</v>
      </c>
      <c r="B289" s="35" t="s">
        <v>300</v>
      </c>
      <c r="C289" s="36">
        <v>3450</v>
      </c>
      <c r="D289" s="6"/>
      <c r="E289" s="113">
        <v>470804673</v>
      </c>
      <c r="F289" s="116">
        <f t="shared" si="61"/>
        <v>136465.12260869564</v>
      </c>
      <c r="G289" s="117">
        <v>263105397</v>
      </c>
      <c r="H289" s="117">
        <f t="shared" si="62"/>
        <v>76262.433913043482</v>
      </c>
      <c r="I289" s="7"/>
      <c r="J289" s="10">
        <v>4.84</v>
      </c>
      <c r="K289" s="117">
        <v>1273430</v>
      </c>
      <c r="L289" s="120">
        <f t="shared" si="60"/>
        <v>369.11014492753623</v>
      </c>
      <c r="M289" s="122">
        <f t="shared" si="57"/>
        <v>2631053.9700000002</v>
      </c>
      <c r="N289" s="116">
        <f t="shared" si="58"/>
        <v>1357623.9700000002</v>
      </c>
      <c r="O289" s="123">
        <f t="shared" si="59"/>
        <v>393.51419420289864</v>
      </c>
      <c r="P289" s="5"/>
      <c r="Q289" s="5">
        <f t="shared" si="54"/>
        <v>1</v>
      </c>
      <c r="R289" s="7">
        <f t="shared" si="55"/>
        <v>3450</v>
      </c>
      <c r="S289" s="5">
        <f t="shared" si="52"/>
        <v>1</v>
      </c>
      <c r="T289" s="7">
        <f t="shared" si="53"/>
        <v>3450</v>
      </c>
    </row>
    <row r="290" spans="1:20">
      <c r="A290" s="23" t="s">
        <v>318</v>
      </c>
      <c r="B290" s="35" t="s">
        <v>300</v>
      </c>
      <c r="C290" s="36">
        <v>9035</v>
      </c>
      <c r="D290" s="6"/>
      <c r="E290" s="113">
        <v>932287505</v>
      </c>
      <c r="F290" s="116">
        <f t="shared" si="61"/>
        <v>103186.220807969</v>
      </c>
      <c r="G290" s="117">
        <v>728272034</v>
      </c>
      <c r="H290" s="117">
        <f t="shared" si="62"/>
        <v>80605.64847814056</v>
      </c>
      <c r="I290" s="7"/>
      <c r="J290" s="10">
        <v>7.6349999999999998</v>
      </c>
      <c r="K290" s="117">
        <v>5560357</v>
      </c>
      <c r="L290" s="120">
        <f t="shared" si="60"/>
        <v>615.42412838959604</v>
      </c>
      <c r="M290" s="122">
        <f t="shared" si="57"/>
        <v>7282720.3399999999</v>
      </c>
      <c r="N290" s="116">
        <f t="shared" si="58"/>
        <v>1722363.3399999999</v>
      </c>
      <c r="O290" s="123">
        <f t="shared" si="59"/>
        <v>190.63235639180962</v>
      </c>
      <c r="P290" s="5"/>
      <c r="Q290" s="5">
        <f t="shared" si="54"/>
        <v>1</v>
      </c>
      <c r="R290" s="7">
        <f t="shared" si="55"/>
        <v>9035</v>
      </c>
      <c r="S290" s="5">
        <f t="shared" si="52"/>
        <v>1</v>
      </c>
      <c r="T290" s="7">
        <f t="shared" si="53"/>
        <v>9035</v>
      </c>
    </row>
    <row r="291" spans="1:20">
      <c r="A291" s="24" t="s">
        <v>628</v>
      </c>
      <c r="B291" s="35" t="s">
        <v>300</v>
      </c>
      <c r="C291" s="36">
        <v>37044</v>
      </c>
      <c r="D291" s="6"/>
      <c r="E291" s="113">
        <v>3237834001</v>
      </c>
      <c r="F291" s="116">
        <f t="shared" si="61"/>
        <v>87405.085870856274</v>
      </c>
      <c r="G291" s="117">
        <v>2154780378</v>
      </c>
      <c r="H291" s="117">
        <f t="shared" si="62"/>
        <v>58168.134596695818</v>
      </c>
      <c r="I291" s="7"/>
      <c r="J291" s="10">
        <v>7.2958999999999996</v>
      </c>
      <c r="K291" s="117">
        <v>15721062</v>
      </c>
      <c r="L291" s="120">
        <f t="shared" si="60"/>
        <v>424.38888888888891</v>
      </c>
      <c r="M291" s="122">
        <f t="shared" si="57"/>
        <v>21547803.780000001</v>
      </c>
      <c r="N291" s="116">
        <f t="shared" si="58"/>
        <v>5826741.7800000012</v>
      </c>
      <c r="O291" s="123">
        <f t="shared" si="59"/>
        <v>157.29245707806936</v>
      </c>
      <c r="P291" s="5"/>
      <c r="Q291" s="5">
        <f t="shared" si="54"/>
        <v>1</v>
      </c>
      <c r="R291" s="7">
        <f t="shared" si="55"/>
        <v>37044</v>
      </c>
      <c r="S291" s="5">
        <f t="shared" si="52"/>
        <v>1</v>
      </c>
      <c r="T291" s="7">
        <f t="shared" si="53"/>
        <v>37044</v>
      </c>
    </row>
    <row r="292" spans="1:20">
      <c r="A292" s="23" t="s">
        <v>319</v>
      </c>
      <c r="B292" s="35" t="s">
        <v>300</v>
      </c>
      <c r="C292" s="36">
        <v>9961</v>
      </c>
      <c r="D292" s="6"/>
      <c r="E292" s="113">
        <v>1591478586</v>
      </c>
      <c r="F292" s="116">
        <f t="shared" si="61"/>
        <v>159770.96536492321</v>
      </c>
      <c r="G292" s="117">
        <v>1098018560</v>
      </c>
      <c r="H292" s="117">
        <f t="shared" si="62"/>
        <v>110231.75986346752</v>
      </c>
      <c r="I292" s="7"/>
      <c r="J292" s="10">
        <v>6.1894999999999998</v>
      </c>
      <c r="K292" s="117">
        <v>6796186</v>
      </c>
      <c r="L292" s="120">
        <f t="shared" si="60"/>
        <v>682.27949001104309</v>
      </c>
      <c r="M292" s="122">
        <f t="shared" si="57"/>
        <v>10980185.6</v>
      </c>
      <c r="N292" s="116">
        <f t="shared" si="58"/>
        <v>4183999.5999999996</v>
      </c>
      <c r="O292" s="123">
        <f t="shared" si="59"/>
        <v>420.03810862363213</v>
      </c>
      <c r="P292" s="5"/>
      <c r="Q292" s="5">
        <f t="shared" si="54"/>
        <v>1</v>
      </c>
      <c r="R292" s="7">
        <f t="shared" si="55"/>
        <v>9961</v>
      </c>
      <c r="S292" s="5">
        <f t="shared" si="52"/>
        <v>1</v>
      </c>
      <c r="T292" s="7">
        <f t="shared" si="53"/>
        <v>9961</v>
      </c>
    </row>
    <row r="293" spans="1:20">
      <c r="A293" s="23" t="s">
        <v>531</v>
      </c>
      <c r="B293" s="35" t="s">
        <v>300</v>
      </c>
      <c r="C293" s="36">
        <v>3196</v>
      </c>
      <c r="D293" s="6"/>
      <c r="E293" s="113">
        <v>730708196</v>
      </c>
      <c r="F293" s="116">
        <f t="shared" si="61"/>
        <v>228632.10137672091</v>
      </c>
      <c r="G293" s="117">
        <v>350580282</v>
      </c>
      <c r="H293" s="117">
        <f t="shared" si="62"/>
        <v>109693.45494367959</v>
      </c>
      <c r="I293" s="9" t="s">
        <v>528</v>
      </c>
      <c r="J293" s="10"/>
      <c r="K293" s="117"/>
      <c r="L293" s="120"/>
      <c r="M293" s="122">
        <f t="shared" si="57"/>
        <v>3505802.8200000003</v>
      </c>
      <c r="N293" s="116">
        <f t="shared" si="58"/>
        <v>3505802.8200000003</v>
      </c>
      <c r="O293" s="123">
        <f t="shared" si="59"/>
        <v>1096.934549436796</v>
      </c>
      <c r="P293" s="5"/>
      <c r="Q293" s="5">
        <f t="shared" si="54"/>
        <v>1</v>
      </c>
      <c r="R293" s="7">
        <f t="shared" si="55"/>
        <v>3196</v>
      </c>
      <c r="S293" s="5">
        <f t="shared" si="52"/>
        <v>0</v>
      </c>
      <c r="T293" s="7">
        <f t="shared" si="53"/>
        <v>0</v>
      </c>
    </row>
    <row r="294" spans="1:20">
      <c r="A294" s="23" t="s">
        <v>320</v>
      </c>
      <c r="B294" s="35" t="s">
        <v>300</v>
      </c>
      <c r="C294" s="36">
        <v>354</v>
      </c>
      <c r="D294" s="6"/>
      <c r="E294" s="113">
        <v>1001379217</v>
      </c>
      <c r="F294" s="116">
        <f t="shared" si="61"/>
        <v>2828754.8502824861</v>
      </c>
      <c r="G294" s="117">
        <v>902072538</v>
      </c>
      <c r="H294" s="117">
        <f t="shared" si="62"/>
        <v>2548227.5084745763</v>
      </c>
      <c r="I294" s="7"/>
      <c r="J294" s="10">
        <v>2.9079999999999999</v>
      </c>
      <c r="K294" s="117">
        <v>2623227</v>
      </c>
      <c r="L294" s="120">
        <f t="shared" ref="L294:L325" si="63">(K294/C294)</f>
        <v>7410.2457627118647</v>
      </c>
      <c r="M294" s="122">
        <f t="shared" si="57"/>
        <v>9020725.3800000008</v>
      </c>
      <c r="N294" s="116">
        <f t="shared" si="58"/>
        <v>6397498.3800000008</v>
      </c>
      <c r="O294" s="123">
        <f t="shared" si="59"/>
        <v>18072.029322033901</v>
      </c>
      <c r="P294" s="5"/>
      <c r="Q294" s="5">
        <f t="shared" si="54"/>
        <v>1</v>
      </c>
      <c r="R294" s="7">
        <f t="shared" si="55"/>
        <v>354</v>
      </c>
      <c r="S294" s="5">
        <f t="shared" si="52"/>
        <v>1</v>
      </c>
      <c r="T294" s="7">
        <f t="shared" si="53"/>
        <v>354</v>
      </c>
    </row>
    <row r="295" spans="1:20">
      <c r="A295" s="23" t="s">
        <v>321</v>
      </c>
      <c r="B295" s="35" t="s">
        <v>300</v>
      </c>
      <c r="C295" s="36">
        <v>2369</v>
      </c>
      <c r="D295" s="6"/>
      <c r="E295" s="113">
        <v>250373282</v>
      </c>
      <c r="F295" s="116">
        <f t="shared" si="61"/>
        <v>105687.32883073027</v>
      </c>
      <c r="G295" s="117">
        <v>209421798</v>
      </c>
      <c r="H295" s="117">
        <f t="shared" si="62"/>
        <v>88400.927817644581</v>
      </c>
      <c r="I295" s="7"/>
      <c r="J295" s="10">
        <v>9.8000000000000007</v>
      </c>
      <c r="K295" s="117">
        <v>2052334</v>
      </c>
      <c r="L295" s="120">
        <f t="shared" si="63"/>
        <v>866.32925284930354</v>
      </c>
      <c r="M295" s="122">
        <f t="shared" si="57"/>
        <v>2094217.98</v>
      </c>
      <c r="N295" s="116">
        <f t="shared" si="58"/>
        <v>41883.979999999981</v>
      </c>
      <c r="O295" s="123">
        <f t="shared" si="59"/>
        <v>17.680025327142246</v>
      </c>
      <c r="P295" s="5"/>
      <c r="Q295" s="5">
        <f t="shared" si="54"/>
        <v>1</v>
      </c>
      <c r="R295" s="7">
        <f t="shared" si="55"/>
        <v>2369</v>
      </c>
      <c r="S295" s="5">
        <f t="shared" si="52"/>
        <v>1</v>
      </c>
      <c r="T295" s="7">
        <f t="shared" si="53"/>
        <v>2369</v>
      </c>
    </row>
    <row r="296" spans="1:20">
      <c r="A296" s="23" t="s">
        <v>322</v>
      </c>
      <c r="B296" s="35" t="s">
        <v>300</v>
      </c>
      <c r="C296" s="36">
        <v>12476</v>
      </c>
      <c r="D296" s="6"/>
      <c r="E296" s="113">
        <v>2933155924</v>
      </c>
      <c r="F296" s="116">
        <f t="shared" si="61"/>
        <v>235103.87335684514</v>
      </c>
      <c r="G296" s="117">
        <v>2017239341</v>
      </c>
      <c r="H296" s="117">
        <f t="shared" si="62"/>
        <v>161689.59129528695</v>
      </c>
      <c r="I296" s="7"/>
      <c r="J296" s="10">
        <v>6.1</v>
      </c>
      <c r="K296" s="117">
        <v>12305160</v>
      </c>
      <c r="L296" s="120">
        <f t="shared" si="63"/>
        <v>986.30650849631297</v>
      </c>
      <c r="M296" s="122">
        <f t="shared" si="57"/>
        <v>20172393.41</v>
      </c>
      <c r="N296" s="116">
        <f t="shared" si="58"/>
        <v>7867233.4100000001</v>
      </c>
      <c r="O296" s="123">
        <f t="shared" si="59"/>
        <v>630.58940445655662</v>
      </c>
      <c r="P296" s="5"/>
      <c r="Q296" s="5">
        <f t="shared" si="54"/>
        <v>1</v>
      </c>
      <c r="R296" s="7">
        <f t="shared" si="55"/>
        <v>12476</v>
      </c>
      <c r="S296" s="5">
        <f t="shared" si="52"/>
        <v>1</v>
      </c>
      <c r="T296" s="7">
        <f t="shared" si="53"/>
        <v>12476</v>
      </c>
    </row>
    <row r="297" spans="1:20">
      <c r="A297" s="23" t="s">
        <v>323</v>
      </c>
      <c r="B297" s="35" t="s">
        <v>300</v>
      </c>
      <c r="C297" s="36">
        <v>1628</v>
      </c>
      <c r="D297" s="6"/>
      <c r="E297" s="113">
        <v>1079528848</v>
      </c>
      <c r="F297" s="116">
        <f t="shared" si="61"/>
        <v>663101.25798525801</v>
      </c>
      <c r="G297" s="117">
        <v>837617982</v>
      </c>
      <c r="H297" s="117">
        <f t="shared" si="62"/>
        <v>514507.35995085997</v>
      </c>
      <c r="I297" s="7"/>
      <c r="J297" s="10">
        <v>4.75</v>
      </c>
      <c r="K297" s="117">
        <v>3978685</v>
      </c>
      <c r="L297" s="120">
        <f t="shared" si="63"/>
        <v>2443.909705159705</v>
      </c>
      <c r="M297" s="122">
        <f t="shared" si="57"/>
        <v>8376179.8200000003</v>
      </c>
      <c r="N297" s="116">
        <f t="shared" si="58"/>
        <v>4397494.82</v>
      </c>
      <c r="O297" s="123">
        <f t="shared" si="59"/>
        <v>2701.1638943488947</v>
      </c>
      <c r="P297" s="5"/>
      <c r="Q297" s="5">
        <f t="shared" si="54"/>
        <v>1</v>
      </c>
      <c r="R297" s="7">
        <f t="shared" si="55"/>
        <v>1628</v>
      </c>
      <c r="S297" s="5">
        <f t="shared" si="52"/>
        <v>1</v>
      </c>
      <c r="T297" s="7">
        <f t="shared" si="53"/>
        <v>1628</v>
      </c>
    </row>
    <row r="298" spans="1:20">
      <c r="A298" s="23" t="s">
        <v>324</v>
      </c>
      <c r="B298" s="35" t="s">
        <v>300</v>
      </c>
      <c r="C298" s="36">
        <v>6479</v>
      </c>
      <c r="D298" s="6"/>
      <c r="E298" s="113">
        <v>225897566</v>
      </c>
      <c r="F298" s="116">
        <f t="shared" si="61"/>
        <v>34866.116067294337</v>
      </c>
      <c r="G298" s="117">
        <v>99277317</v>
      </c>
      <c r="H298" s="117">
        <f t="shared" si="62"/>
        <v>15322.938262077481</v>
      </c>
      <c r="I298" s="9"/>
      <c r="J298" s="10">
        <v>7.02</v>
      </c>
      <c r="K298" s="117">
        <v>696927</v>
      </c>
      <c r="L298" s="120">
        <f t="shared" si="63"/>
        <v>107.56706281833617</v>
      </c>
      <c r="M298" s="122">
        <f t="shared" si="57"/>
        <v>992773.17</v>
      </c>
      <c r="N298" s="116">
        <f t="shared" si="58"/>
        <v>295846.17000000004</v>
      </c>
      <c r="O298" s="123">
        <f t="shared" si="59"/>
        <v>45.662319802438653</v>
      </c>
      <c r="P298" s="5"/>
      <c r="Q298" s="5">
        <f t="shared" si="54"/>
        <v>1</v>
      </c>
      <c r="R298" s="7">
        <f t="shared" si="55"/>
        <v>6479</v>
      </c>
      <c r="S298" s="5">
        <f t="shared" si="52"/>
        <v>1</v>
      </c>
      <c r="T298" s="7">
        <f t="shared" si="53"/>
        <v>6479</v>
      </c>
    </row>
    <row r="299" spans="1:20">
      <c r="A299" s="23" t="s">
        <v>300</v>
      </c>
      <c r="B299" s="35" t="s">
        <v>300</v>
      </c>
      <c r="C299" s="36">
        <v>9744</v>
      </c>
      <c r="D299" s="6"/>
      <c r="E299" s="113">
        <v>16443283471</v>
      </c>
      <c r="F299" s="116">
        <f t="shared" si="61"/>
        <v>1687529.0918513958</v>
      </c>
      <c r="G299" s="117">
        <v>12786206000</v>
      </c>
      <c r="H299" s="117">
        <f t="shared" si="62"/>
        <v>1312213.2594417077</v>
      </c>
      <c r="I299" s="7"/>
      <c r="J299" s="10">
        <v>3.3637000000000001</v>
      </c>
      <c r="K299" s="117">
        <v>43008961</v>
      </c>
      <c r="L299" s="120">
        <f t="shared" si="63"/>
        <v>4413.8917282430211</v>
      </c>
      <c r="M299" s="122">
        <f t="shared" si="57"/>
        <v>127862060</v>
      </c>
      <c r="N299" s="116">
        <f t="shared" si="58"/>
        <v>84853099</v>
      </c>
      <c r="O299" s="123">
        <f t="shared" si="59"/>
        <v>8708.2408661740556</v>
      </c>
      <c r="P299" s="5"/>
      <c r="Q299" s="5">
        <f t="shared" si="54"/>
        <v>1</v>
      </c>
      <c r="R299" s="7">
        <f t="shared" si="55"/>
        <v>9744</v>
      </c>
      <c r="S299" s="5">
        <f t="shared" si="52"/>
        <v>1</v>
      </c>
      <c r="T299" s="7">
        <f t="shared" si="53"/>
        <v>9744</v>
      </c>
    </row>
    <row r="300" spans="1:20">
      <c r="A300" s="23" t="s">
        <v>325</v>
      </c>
      <c r="B300" s="35" t="s">
        <v>300</v>
      </c>
      <c r="C300" s="36">
        <v>49387</v>
      </c>
      <c r="D300" s="6"/>
      <c r="E300" s="113">
        <v>12395021087</v>
      </c>
      <c r="F300" s="116">
        <f t="shared" si="61"/>
        <v>250977.40472189037</v>
      </c>
      <c r="G300" s="117">
        <v>9966130375</v>
      </c>
      <c r="H300" s="117">
        <f t="shared" si="62"/>
        <v>201796.63423573005</v>
      </c>
      <c r="I300" s="7"/>
      <c r="J300" s="10">
        <v>5.1050000000000004</v>
      </c>
      <c r="K300" s="117">
        <v>50877096</v>
      </c>
      <c r="L300" s="120">
        <f t="shared" si="63"/>
        <v>1030.1718265940431</v>
      </c>
      <c r="M300" s="122">
        <f t="shared" si="57"/>
        <v>99661303.75</v>
      </c>
      <c r="N300" s="116">
        <f t="shared" si="58"/>
        <v>48784207.75</v>
      </c>
      <c r="O300" s="123">
        <f t="shared" si="59"/>
        <v>987.79451576325755</v>
      </c>
      <c r="P300" s="5"/>
      <c r="Q300" s="5">
        <f t="shared" si="54"/>
        <v>1</v>
      </c>
      <c r="R300" s="7">
        <f t="shared" si="55"/>
        <v>49387</v>
      </c>
      <c r="S300" s="5">
        <f t="shared" si="52"/>
        <v>1</v>
      </c>
      <c r="T300" s="7">
        <f t="shared" si="53"/>
        <v>49387</v>
      </c>
    </row>
    <row r="301" spans="1:20">
      <c r="A301" s="23" t="s">
        <v>326</v>
      </c>
      <c r="B301" s="35" t="s">
        <v>300</v>
      </c>
      <c r="C301" s="36">
        <v>1370</v>
      </c>
      <c r="D301" s="6"/>
      <c r="E301" s="113">
        <v>736986601</v>
      </c>
      <c r="F301" s="116">
        <f t="shared" si="61"/>
        <v>537946.42408759124</v>
      </c>
      <c r="G301" s="117">
        <v>640761488</v>
      </c>
      <c r="H301" s="117">
        <f t="shared" si="62"/>
        <v>467709.11532846716</v>
      </c>
      <c r="I301" s="7"/>
      <c r="J301" s="10">
        <v>5.742</v>
      </c>
      <c r="K301" s="117">
        <v>3679252</v>
      </c>
      <c r="L301" s="120">
        <f t="shared" si="63"/>
        <v>2685.585401459854</v>
      </c>
      <c r="M301" s="122">
        <f t="shared" si="57"/>
        <v>6407614.8799999999</v>
      </c>
      <c r="N301" s="116">
        <f t="shared" si="58"/>
        <v>2728362.88</v>
      </c>
      <c r="O301" s="123">
        <f t="shared" si="59"/>
        <v>1991.5057518248175</v>
      </c>
      <c r="P301" s="5"/>
      <c r="Q301" s="5">
        <f t="shared" si="54"/>
        <v>1</v>
      </c>
      <c r="R301" s="7">
        <f t="shared" si="55"/>
        <v>1370</v>
      </c>
      <c r="S301" s="5">
        <f t="shared" si="52"/>
        <v>1</v>
      </c>
      <c r="T301" s="7">
        <f t="shared" si="53"/>
        <v>1370</v>
      </c>
    </row>
    <row r="302" spans="1:20">
      <c r="A302" s="23" t="s">
        <v>327</v>
      </c>
      <c r="B302" s="35" t="s">
        <v>300</v>
      </c>
      <c r="C302" s="36">
        <v>15419</v>
      </c>
      <c r="D302" s="6"/>
      <c r="E302" s="113">
        <v>1406950386</v>
      </c>
      <c r="F302" s="116">
        <f t="shared" si="61"/>
        <v>91247.836176146317</v>
      </c>
      <c r="G302" s="117">
        <v>945695948</v>
      </c>
      <c r="H302" s="117">
        <f t="shared" si="62"/>
        <v>61333.157014073542</v>
      </c>
      <c r="I302" s="7"/>
      <c r="J302" s="10">
        <v>4.0076000000000001</v>
      </c>
      <c r="K302" s="117">
        <v>3789971</v>
      </c>
      <c r="L302" s="120">
        <f t="shared" si="63"/>
        <v>245.79875478305985</v>
      </c>
      <c r="M302" s="122">
        <f t="shared" si="57"/>
        <v>9456959.4800000004</v>
      </c>
      <c r="N302" s="116">
        <f t="shared" si="58"/>
        <v>5666988.4800000004</v>
      </c>
      <c r="O302" s="123">
        <f t="shared" si="59"/>
        <v>367.53281535767564</v>
      </c>
      <c r="P302" s="5"/>
      <c r="Q302" s="5">
        <f t="shared" si="54"/>
        <v>1</v>
      </c>
      <c r="R302" s="7">
        <f t="shared" si="55"/>
        <v>15419</v>
      </c>
      <c r="S302" s="5">
        <f t="shared" si="52"/>
        <v>1</v>
      </c>
      <c r="T302" s="7">
        <f t="shared" si="53"/>
        <v>15419</v>
      </c>
    </row>
    <row r="303" spans="1:20">
      <c r="A303" s="23" t="s">
        <v>328</v>
      </c>
      <c r="B303" s="35" t="s">
        <v>300</v>
      </c>
      <c r="C303" s="36">
        <v>34470</v>
      </c>
      <c r="D303" s="6"/>
      <c r="E303" s="113">
        <v>5351161713</v>
      </c>
      <c r="F303" s="116">
        <f t="shared" si="61"/>
        <v>155241.12889469104</v>
      </c>
      <c r="G303" s="117">
        <v>3997708060</v>
      </c>
      <c r="H303" s="117">
        <f t="shared" si="62"/>
        <v>115976.44502465913</v>
      </c>
      <c r="I303" s="7"/>
      <c r="J303" s="10">
        <v>8.4260000000000002</v>
      </c>
      <c r="K303" s="117">
        <v>33684688</v>
      </c>
      <c r="L303" s="120">
        <f t="shared" si="63"/>
        <v>977.21752248331882</v>
      </c>
      <c r="M303" s="122">
        <f t="shared" si="57"/>
        <v>39977080.600000001</v>
      </c>
      <c r="N303" s="116">
        <f t="shared" si="58"/>
        <v>6292392.6000000015</v>
      </c>
      <c r="O303" s="123">
        <f t="shared" si="59"/>
        <v>182.54692776327246</v>
      </c>
      <c r="P303" s="5"/>
      <c r="Q303" s="5">
        <f t="shared" si="54"/>
        <v>1</v>
      </c>
      <c r="R303" s="7">
        <f t="shared" si="55"/>
        <v>34470</v>
      </c>
      <c r="S303" s="5">
        <f t="shared" si="52"/>
        <v>1</v>
      </c>
      <c r="T303" s="7">
        <f t="shared" si="53"/>
        <v>34470</v>
      </c>
    </row>
    <row r="304" spans="1:20">
      <c r="A304" s="23" t="s">
        <v>329</v>
      </c>
      <c r="B304" s="35" t="s">
        <v>300</v>
      </c>
      <c r="C304" s="36">
        <v>31864</v>
      </c>
      <c r="D304" s="6"/>
      <c r="E304" s="113">
        <v>4084697513</v>
      </c>
      <c r="F304" s="116">
        <f t="shared" si="61"/>
        <v>128191.61163068039</v>
      </c>
      <c r="G304" s="117">
        <v>2850123183</v>
      </c>
      <c r="H304" s="117">
        <f t="shared" si="62"/>
        <v>89446.497081345718</v>
      </c>
      <c r="I304" s="7"/>
      <c r="J304" s="10">
        <v>1.99</v>
      </c>
      <c r="K304" s="117">
        <v>5671745</v>
      </c>
      <c r="L304" s="120">
        <f t="shared" si="63"/>
        <v>177.99852498116996</v>
      </c>
      <c r="M304" s="122">
        <f t="shared" si="57"/>
        <v>28501231.830000002</v>
      </c>
      <c r="N304" s="116">
        <f t="shared" si="58"/>
        <v>22829486.830000002</v>
      </c>
      <c r="O304" s="123">
        <f t="shared" si="59"/>
        <v>716.46644583228726</v>
      </c>
      <c r="P304" s="5"/>
      <c r="Q304" s="5">
        <f t="shared" si="54"/>
        <v>1</v>
      </c>
      <c r="R304" s="7">
        <f t="shared" si="55"/>
        <v>31864</v>
      </c>
      <c r="S304" s="5">
        <f t="shared" si="52"/>
        <v>1</v>
      </c>
      <c r="T304" s="7">
        <f t="shared" si="53"/>
        <v>31864</v>
      </c>
    </row>
    <row r="305" spans="1:20">
      <c r="A305" s="23" t="s">
        <v>330</v>
      </c>
      <c r="B305" s="35" t="s">
        <v>300</v>
      </c>
      <c r="C305" s="36">
        <v>4698</v>
      </c>
      <c r="D305" s="6"/>
      <c r="E305" s="113">
        <v>168719132</v>
      </c>
      <c r="F305" s="116">
        <f t="shared" si="61"/>
        <v>35912.969774372075</v>
      </c>
      <c r="G305" s="117">
        <v>63731553</v>
      </c>
      <c r="H305" s="117">
        <f t="shared" si="62"/>
        <v>13565.677522349935</v>
      </c>
      <c r="I305" s="7"/>
      <c r="J305" s="10">
        <v>6.3089000000000004</v>
      </c>
      <c r="K305" s="117">
        <v>402076</v>
      </c>
      <c r="L305" s="120">
        <f t="shared" si="63"/>
        <v>85.584504044274155</v>
      </c>
      <c r="M305" s="122">
        <f t="shared" si="57"/>
        <v>637315.53</v>
      </c>
      <c r="N305" s="116">
        <f t="shared" si="58"/>
        <v>235239.53000000003</v>
      </c>
      <c r="O305" s="123">
        <f t="shared" si="59"/>
        <v>50.072271179225211</v>
      </c>
      <c r="P305" s="5"/>
      <c r="Q305" s="5">
        <f t="shared" si="54"/>
        <v>1</v>
      </c>
      <c r="R305" s="7">
        <f t="shared" si="55"/>
        <v>4698</v>
      </c>
      <c r="S305" s="5">
        <f t="shared" si="52"/>
        <v>1</v>
      </c>
      <c r="T305" s="7">
        <f t="shared" si="53"/>
        <v>4698</v>
      </c>
    </row>
    <row r="306" spans="1:20">
      <c r="A306" s="23" t="s">
        <v>331</v>
      </c>
      <c r="B306" s="35" t="s">
        <v>300</v>
      </c>
      <c r="C306" s="36">
        <v>1528</v>
      </c>
      <c r="D306" s="6"/>
      <c r="E306" s="113">
        <v>539789568</v>
      </c>
      <c r="F306" s="116">
        <f t="shared" si="61"/>
        <v>353265.42408376961</v>
      </c>
      <c r="G306" s="117">
        <v>426528562</v>
      </c>
      <c r="H306" s="117">
        <f t="shared" si="62"/>
        <v>279141.72905759164</v>
      </c>
      <c r="I306" s="7"/>
      <c r="J306" s="10">
        <v>5.9607000000000001</v>
      </c>
      <c r="K306" s="117">
        <v>2542409</v>
      </c>
      <c r="L306" s="120">
        <f t="shared" si="63"/>
        <v>1663.8802356020942</v>
      </c>
      <c r="M306" s="122">
        <f t="shared" si="57"/>
        <v>4265285.62</v>
      </c>
      <c r="N306" s="116">
        <f t="shared" si="58"/>
        <v>1722876.62</v>
      </c>
      <c r="O306" s="123">
        <f t="shared" si="59"/>
        <v>1127.537054973822</v>
      </c>
      <c r="P306" s="5"/>
      <c r="Q306" s="5">
        <f t="shared" si="54"/>
        <v>1</v>
      </c>
      <c r="R306" s="7">
        <f t="shared" si="55"/>
        <v>1528</v>
      </c>
      <c r="S306" s="5">
        <f t="shared" si="52"/>
        <v>1</v>
      </c>
      <c r="T306" s="7">
        <f t="shared" si="53"/>
        <v>1528</v>
      </c>
    </row>
    <row r="307" spans="1:20">
      <c r="A307" s="23" t="s">
        <v>332</v>
      </c>
      <c r="B307" s="35" t="s">
        <v>300</v>
      </c>
      <c r="C307" s="36">
        <v>5855</v>
      </c>
      <c r="D307" s="6"/>
      <c r="E307" s="113">
        <v>1438117381</v>
      </c>
      <c r="F307" s="116">
        <f t="shared" si="61"/>
        <v>245622.0975234842</v>
      </c>
      <c r="G307" s="117">
        <v>1016766767</v>
      </c>
      <c r="H307" s="117">
        <f t="shared" si="62"/>
        <v>173657.85943637916</v>
      </c>
      <c r="I307" s="7"/>
      <c r="J307" s="10">
        <v>5.7671000000000001</v>
      </c>
      <c r="K307" s="117">
        <v>5863796</v>
      </c>
      <c r="L307" s="120">
        <f t="shared" si="63"/>
        <v>1001.5023057216055</v>
      </c>
      <c r="M307" s="122">
        <f t="shared" si="57"/>
        <v>10167667.67</v>
      </c>
      <c r="N307" s="116">
        <f t="shared" si="58"/>
        <v>4303871.67</v>
      </c>
      <c r="O307" s="123">
        <f t="shared" si="59"/>
        <v>735.07628864218611</v>
      </c>
      <c r="P307" s="5"/>
      <c r="Q307" s="5">
        <f t="shared" si="54"/>
        <v>1</v>
      </c>
      <c r="R307" s="7">
        <f t="shared" si="55"/>
        <v>5855</v>
      </c>
      <c r="S307" s="5">
        <f t="shared" si="52"/>
        <v>1</v>
      </c>
      <c r="T307" s="7">
        <f t="shared" si="53"/>
        <v>5855</v>
      </c>
    </row>
    <row r="308" spans="1:20">
      <c r="A308" s="23" t="s">
        <v>333</v>
      </c>
      <c r="B308" s="35" t="s">
        <v>300</v>
      </c>
      <c r="C308" s="36">
        <v>55259</v>
      </c>
      <c r="D308" s="6"/>
      <c r="E308" s="113">
        <v>10721435663</v>
      </c>
      <c r="F308" s="116">
        <f t="shared" si="61"/>
        <v>194021.52885502813</v>
      </c>
      <c r="G308" s="117">
        <v>7764654967</v>
      </c>
      <c r="H308" s="117">
        <f t="shared" si="62"/>
        <v>140513.85234984345</v>
      </c>
      <c r="I308" s="7"/>
      <c r="J308" s="10">
        <v>2.34</v>
      </c>
      <c r="K308" s="117">
        <v>18169293</v>
      </c>
      <c r="L308" s="120">
        <f t="shared" si="63"/>
        <v>328.80242132503304</v>
      </c>
      <c r="M308" s="122">
        <f t="shared" si="57"/>
        <v>77646549.670000002</v>
      </c>
      <c r="N308" s="116">
        <f t="shared" si="58"/>
        <v>59477256.670000002</v>
      </c>
      <c r="O308" s="123">
        <f t="shared" si="59"/>
        <v>1076.3361021734017</v>
      </c>
      <c r="P308" s="5"/>
      <c r="Q308" s="5">
        <f t="shared" si="54"/>
        <v>1</v>
      </c>
      <c r="R308" s="7">
        <f t="shared" si="55"/>
        <v>55259</v>
      </c>
      <c r="S308" s="5">
        <f t="shared" si="52"/>
        <v>1</v>
      </c>
      <c r="T308" s="7">
        <f t="shared" si="53"/>
        <v>55259</v>
      </c>
    </row>
    <row r="309" spans="1:20">
      <c r="A309" s="23" t="s">
        <v>334</v>
      </c>
      <c r="B309" s="35" t="s">
        <v>300</v>
      </c>
      <c r="C309" s="36">
        <v>105068</v>
      </c>
      <c r="D309" s="6"/>
      <c r="E309" s="113">
        <v>17431206297</v>
      </c>
      <c r="F309" s="116">
        <f t="shared" si="61"/>
        <v>165904.04592264057</v>
      </c>
      <c r="G309" s="117">
        <v>12665198698</v>
      </c>
      <c r="H309" s="117">
        <f t="shared" si="62"/>
        <v>120542.87411961777</v>
      </c>
      <c r="I309" s="7"/>
      <c r="J309" s="10">
        <v>7.1916000000000002</v>
      </c>
      <c r="K309" s="117">
        <v>91083043</v>
      </c>
      <c r="L309" s="120">
        <f t="shared" si="63"/>
        <v>866.89613393231048</v>
      </c>
      <c r="M309" s="122">
        <f t="shared" si="57"/>
        <v>126651986.98</v>
      </c>
      <c r="N309" s="116">
        <f t="shared" si="58"/>
        <v>35568943.980000004</v>
      </c>
      <c r="O309" s="123">
        <f t="shared" si="59"/>
        <v>338.53260726386725</v>
      </c>
      <c r="P309" s="5"/>
      <c r="Q309" s="5">
        <f t="shared" si="54"/>
        <v>1</v>
      </c>
      <c r="R309" s="7">
        <f t="shared" si="55"/>
        <v>105068</v>
      </c>
      <c r="S309" s="5">
        <f t="shared" si="52"/>
        <v>1</v>
      </c>
      <c r="T309" s="7">
        <f t="shared" si="53"/>
        <v>105068</v>
      </c>
    </row>
    <row r="310" spans="1:20">
      <c r="A310" s="23" t="s">
        <v>335</v>
      </c>
      <c r="B310" s="35" t="s">
        <v>336</v>
      </c>
      <c r="C310" s="36">
        <v>6906</v>
      </c>
      <c r="D310" s="6"/>
      <c r="E310" s="113">
        <v>599069333</v>
      </c>
      <c r="F310" s="116">
        <f t="shared" si="61"/>
        <v>86746.210975962924</v>
      </c>
      <c r="G310" s="117">
        <v>339314538</v>
      </c>
      <c r="H310" s="117">
        <f t="shared" si="62"/>
        <v>49133.295395308429</v>
      </c>
      <c r="I310" s="7"/>
      <c r="J310" s="10">
        <v>7.1040000000000001</v>
      </c>
      <c r="K310" s="117">
        <v>2410490</v>
      </c>
      <c r="L310" s="120">
        <f t="shared" si="63"/>
        <v>349.04286128004634</v>
      </c>
      <c r="M310" s="122">
        <f t="shared" si="57"/>
        <v>3393145.38</v>
      </c>
      <c r="N310" s="116">
        <f t="shared" si="58"/>
        <v>982655.37999999989</v>
      </c>
      <c r="O310" s="123">
        <f t="shared" si="59"/>
        <v>142.29009267303792</v>
      </c>
      <c r="P310" s="5"/>
      <c r="Q310" s="5">
        <f t="shared" si="54"/>
        <v>1</v>
      </c>
      <c r="R310" s="7">
        <f t="shared" si="55"/>
        <v>6906</v>
      </c>
      <c r="S310" s="5">
        <f t="shared" si="52"/>
        <v>1</v>
      </c>
      <c r="T310" s="7">
        <f t="shared" si="53"/>
        <v>6906</v>
      </c>
    </row>
    <row r="311" spans="1:20">
      <c r="A311" s="23" t="s">
        <v>337</v>
      </c>
      <c r="B311" s="35" t="s">
        <v>336</v>
      </c>
      <c r="C311" s="36">
        <v>16747</v>
      </c>
      <c r="D311" s="6"/>
      <c r="E311" s="113">
        <v>1372061058</v>
      </c>
      <c r="F311" s="116">
        <f t="shared" si="61"/>
        <v>81928.766823908765</v>
      </c>
      <c r="G311" s="117">
        <v>919592133</v>
      </c>
      <c r="H311" s="117">
        <f t="shared" si="62"/>
        <v>54910.857646145581</v>
      </c>
      <c r="I311" s="7"/>
      <c r="J311" s="10">
        <v>6.7839999999999998</v>
      </c>
      <c r="K311" s="117">
        <v>6238513</v>
      </c>
      <c r="L311" s="120">
        <f t="shared" si="63"/>
        <v>372.51525646384425</v>
      </c>
      <c r="M311" s="122">
        <f t="shared" si="57"/>
        <v>9195921.3300000001</v>
      </c>
      <c r="N311" s="116">
        <f t="shared" si="58"/>
        <v>2957408.33</v>
      </c>
      <c r="O311" s="123">
        <f t="shared" si="59"/>
        <v>176.59331999761153</v>
      </c>
      <c r="P311" s="5"/>
      <c r="Q311" s="5">
        <f t="shared" si="54"/>
        <v>1</v>
      </c>
      <c r="R311" s="7">
        <f t="shared" si="55"/>
        <v>16747</v>
      </c>
      <c r="S311" s="5">
        <f t="shared" si="52"/>
        <v>1</v>
      </c>
      <c r="T311" s="7">
        <f t="shared" si="53"/>
        <v>16747</v>
      </c>
    </row>
    <row r="312" spans="1:20">
      <c r="A312" s="23" t="s">
        <v>338</v>
      </c>
      <c r="B312" s="35" t="s">
        <v>336</v>
      </c>
      <c r="C312" s="36">
        <v>3165</v>
      </c>
      <c r="D312" s="6"/>
      <c r="E312" s="113">
        <v>522390589</v>
      </c>
      <c r="F312" s="116">
        <f t="shared" si="61"/>
        <v>165052.31879936808</v>
      </c>
      <c r="G312" s="117">
        <v>408190737</v>
      </c>
      <c r="H312" s="117">
        <f t="shared" si="62"/>
        <v>128970.21706161137</v>
      </c>
      <c r="I312" s="7"/>
      <c r="J312" s="10">
        <v>3.9</v>
      </c>
      <c r="K312" s="117">
        <v>1591944</v>
      </c>
      <c r="L312" s="120">
        <f t="shared" si="63"/>
        <v>502.98388625592418</v>
      </c>
      <c r="M312" s="122">
        <f t="shared" si="57"/>
        <v>4081907.37</v>
      </c>
      <c r="N312" s="116">
        <f t="shared" si="58"/>
        <v>2489963.37</v>
      </c>
      <c r="O312" s="123">
        <f t="shared" si="59"/>
        <v>786.71828436018961</v>
      </c>
      <c r="P312" s="5"/>
      <c r="Q312" s="5">
        <f t="shared" si="54"/>
        <v>1</v>
      </c>
      <c r="R312" s="7">
        <f t="shared" si="55"/>
        <v>3165</v>
      </c>
      <c r="S312" s="5">
        <f t="shared" si="52"/>
        <v>1</v>
      </c>
      <c r="T312" s="7">
        <f t="shared" si="53"/>
        <v>3165</v>
      </c>
    </row>
    <row r="313" spans="1:20">
      <c r="A313" s="23" t="s">
        <v>339</v>
      </c>
      <c r="B313" s="35" t="s">
        <v>336</v>
      </c>
      <c r="C313" s="36">
        <v>959</v>
      </c>
      <c r="D313" s="6"/>
      <c r="E313" s="113">
        <v>109496714</v>
      </c>
      <c r="F313" s="116">
        <f t="shared" si="61"/>
        <v>114178.01251303441</v>
      </c>
      <c r="G313" s="117">
        <v>64657098</v>
      </c>
      <c r="H313" s="117">
        <f t="shared" si="62"/>
        <v>67421.374348279453</v>
      </c>
      <c r="I313" s="7"/>
      <c r="J313" s="10">
        <v>2.0735000000000001</v>
      </c>
      <c r="K313" s="117">
        <v>134066</v>
      </c>
      <c r="L313" s="120">
        <f t="shared" si="63"/>
        <v>139.79770594369134</v>
      </c>
      <c r="M313" s="122">
        <f t="shared" si="57"/>
        <v>646570.98</v>
      </c>
      <c r="N313" s="116">
        <f t="shared" si="58"/>
        <v>512504.98</v>
      </c>
      <c r="O313" s="123">
        <f t="shared" si="59"/>
        <v>534.41603753910317</v>
      </c>
      <c r="P313" s="5"/>
      <c r="Q313" s="5">
        <f t="shared" si="54"/>
        <v>1</v>
      </c>
      <c r="R313" s="7">
        <f t="shared" si="55"/>
        <v>959</v>
      </c>
      <c r="S313" s="5">
        <f t="shared" si="52"/>
        <v>1</v>
      </c>
      <c r="T313" s="7">
        <f t="shared" si="53"/>
        <v>959</v>
      </c>
    </row>
    <row r="314" spans="1:20">
      <c r="A314" s="23" t="s">
        <v>547</v>
      </c>
      <c r="B314" s="35" t="s">
        <v>336</v>
      </c>
      <c r="C314" s="36">
        <v>1320</v>
      </c>
      <c r="D314" s="6"/>
      <c r="E314" s="113">
        <v>110461609</v>
      </c>
      <c r="F314" s="116">
        <f t="shared" si="61"/>
        <v>83683.037121212124</v>
      </c>
      <c r="G314" s="117">
        <v>50072846</v>
      </c>
      <c r="H314" s="117">
        <f t="shared" si="62"/>
        <v>37933.974242424243</v>
      </c>
      <c r="I314" s="7"/>
      <c r="J314" s="10">
        <v>1.3779999999999999</v>
      </c>
      <c r="K314" s="117">
        <v>69000</v>
      </c>
      <c r="L314" s="120">
        <f t="shared" si="63"/>
        <v>52.272727272727273</v>
      </c>
      <c r="M314" s="122">
        <f t="shared" si="57"/>
        <v>500728.46</v>
      </c>
      <c r="N314" s="116">
        <f t="shared" si="58"/>
        <v>431728.46</v>
      </c>
      <c r="O314" s="123">
        <f t="shared" si="59"/>
        <v>327.06701515151519</v>
      </c>
      <c r="P314" s="5"/>
      <c r="Q314" s="5">
        <f t="shared" si="54"/>
        <v>1</v>
      </c>
      <c r="R314" s="7">
        <f t="shared" si="55"/>
        <v>1320</v>
      </c>
      <c r="S314" s="5">
        <f t="shared" si="52"/>
        <v>1</v>
      </c>
      <c r="T314" s="7">
        <f t="shared" si="53"/>
        <v>1320</v>
      </c>
    </row>
    <row r="315" spans="1:20">
      <c r="A315" s="23" t="s">
        <v>340</v>
      </c>
      <c r="B315" s="35" t="s">
        <v>336</v>
      </c>
      <c r="C315" s="36">
        <v>12730</v>
      </c>
      <c r="D315" s="6"/>
      <c r="E315" s="113">
        <v>1218971538</v>
      </c>
      <c r="F315" s="116">
        <f t="shared" si="61"/>
        <v>95755.816025137465</v>
      </c>
      <c r="G315" s="117">
        <v>817784041</v>
      </c>
      <c r="H315" s="117">
        <f t="shared" si="62"/>
        <v>64240.694501178317</v>
      </c>
      <c r="I315" s="7"/>
      <c r="J315" s="10">
        <v>5.5708000000000002</v>
      </c>
      <c r="K315" s="117">
        <v>4555703</v>
      </c>
      <c r="L315" s="120">
        <f t="shared" si="63"/>
        <v>357.87140612725847</v>
      </c>
      <c r="M315" s="122">
        <f t="shared" si="57"/>
        <v>8177840.4100000001</v>
      </c>
      <c r="N315" s="116">
        <f t="shared" si="58"/>
        <v>3622137.41</v>
      </c>
      <c r="O315" s="123">
        <f t="shared" si="59"/>
        <v>284.53553888452478</v>
      </c>
      <c r="P315" s="5"/>
      <c r="Q315" s="5">
        <f t="shared" si="54"/>
        <v>1</v>
      </c>
      <c r="R315" s="7">
        <f t="shared" si="55"/>
        <v>12730</v>
      </c>
      <c r="S315" s="5">
        <f t="shared" si="52"/>
        <v>1</v>
      </c>
      <c r="T315" s="7">
        <f t="shared" si="53"/>
        <v>12730</v>
      </c>
    </row>
    <row r="316" spans="1:20">
      <c r="A316" s="23" t="s">
        <v>341</v>
      </c>
      <c r="B316" s="35" t="s">
        <v>342</v>
      </c>
      <c r="C316" s="36">
        <v>4158</v>
      </c>
      <c r="D316" s="6"/>
      <c r="E316" s="113">
        <v>1235731800</v>
      </c>
      <c r="F316" s="116">
        <f t="shared" si="61"/>
        <v>297193.79509379511</v>
      </c>
      <c r="G316" s="117">
        <v>839447822</v>
      </c>
      <c r="H316" s="117">
        <f t="shared" si="62"/>
        <v>201887.40307840309</v>
      </c>
      <c r="I316" s="7"/>
      <c r="J316" s="10">
        <v>4.2118000000000002</v>
      </c>
      <c r="K316" s="117">
        <v>3535586</v>
      </c>
      <c r="L316" s="120">
        <f t="shared" si="63"/>
        <v>850.30928330928327</v>
      </c>
      <c r="M316" s="122">
        <f t="shared" si="57"/>
        <v>8394478.2200000007</v>
      </c>
      <c r="N316" s="116">
        <f t="shared" si="58"/>
        <v>4858892.2200000007</v>
      </c>
      <c r="O316" s="123">
        <f t="shared" si="59"/>
        <v>1168.5647474747477</v>
      </c>
      <c r="P316" s="5"/>
      <c r="Q316" s="5">
        <f t="shared" si="54"/>
        <v>1</v>
      </c>
      <c r="R316" s="7">
        <f t="shared" si="55"/>
        <v>4158</v>
      </c>
      <c r="S316" s="5">
        <f t="shared" si="52"/>
        <v>1</v>
      </c>
      <c r="T316" s="7">
        <f t="shared" si="53"/>
        <v>4158</v>
      </c>
    </row>
    <row r="317" spans="1:20">
      <c r="A317" s="23" t="s">
        <v>343</v>
      </c>
      <c r="B317" s="35" t="s">
        <v>342</v>
      </c>
      <c r="C317" s="36">
        <v>1617</v>
      </c>
      <c r="D317" s="6"/>
      <c r="E317" s="113">
        <v>765758840</v>
      </c>
      <c r="F317" s="116">
        <f t="shared" si="61"/>
        <v>473567.61904761905</v>
      </c>
      <c r="G317" s="117">
        <v>530430241</v>
      </c>
      <c r="H317" s="117">
        <f t="shared" si="62"/>
        <v>328033.5442176871</v>
      </c>
      <c r="I317" s="7"/>
      <c r="J317" s="10">
        <v>1.98</v>
      </c>
      <c r="K317" s="117">
        <v>1050252</v>
      </c>
      <c r="L317" s="120">
        <f t="shared" si="63"/>
        <v>649.50649350649348</v>
      </c>
      <c r="M317" s="122">
        <f t="shared" si="57"/>
        <v>5304302.41</v>
      </c>
      <c r="N317" s="116">
        <f t="shared" si="58"/>
        <v>4254050.41</v>
      </c>
      <c r="O317" s="123">
        <f t="shared" si="59"/>
        <v>2630.8289486703775</v>
      </c>
      <c r="P317" s="5"/>
      <c r="Q317" s="5">
        <f t="shared" si="54"/>
        <v>1</v>
      </c>
      <c r="R317" s="7">
        <f t="shared" si="55"/>
        <v>1617</v>
      </c>
      <c r="S317" s="5">
        <f t="shared" si="52"/>
        <v>1</v>
      </c>
      <c r="T317" s="7">
        <f t="shared" si="53"/>
        <v>1617</v>
      </c>
    </row>
    <row r="318" spans="1:20">
      <c r="A318" s="23" t="s">
        <v>344</v>
      </c>
      <c r="B318" s="35" t="s">
        <v>342</v>
      </c>
      <c r="C318" s="36">
        <v>2181</v>
      </c>
      <c r="D318" s="6"/>
      <c r="E318" s="113">
        <v>353738100</v>
      </c>
      <c r="F318" s="116">
        <f t="shared" si="61"/>
        <v>162190.7840440165</v>
      </c>
      <c r="G318" s="117">
        <v>245473300</v>
      </c>
      <c r="H318" s="117">
        <f t="shared" si="62"/>
        <v>112550.80238422741</v>
      </c>
      <c r="I318" s="7"/>
      <c r="J318" s="10">
        <v>3.9996999999999998</v>
      </c>
      <c r="K318" s="117">
        <v>981820</v>
      </c>
      <c r="L318" s="120">
        <f t="shared" si="63"/>
        <v>450.16964695093992</v>
      </c>
      <c r="M318" s="122">
        <f t="shared" si="57"/>
        <v>2454733</v>
      </c>
      <c r="N318" s="116">
        <f t="shared" si="58"/>
        <v>1472913</v>
      </c>
      <c r="O318" s="123">
        <f t="shared" si="59"/>
        <v>675.33837689133429</v>
      </c>
      <c r="P318" s="5"/>
      <c r="Q318" s="5">
        <f t="shared" si="54"/>
        <v>1</v>
      </c>
      <c r="R318" s="7">
        <f t="shared" si="55"/>
        <v>2181</v>
      </c>
      <c r="S318" s="5">
        <f t="shared" si="52"/>
        <v>1</v>
      </c>
      <c r="T318" s="7">
        <f t="shared" si="53"/>
        <v>2181</v>
      </c>
    </row>
    <row r="319" spans="1:20">
      <c r="A319" s="23" t="s">
        <v>345</v>
      </c>
      <c r="B319" s="35" t="s">
        <v>342</v>
      </c>
      <c r="C319" s="36">
        <v>74</v>
      </c>
      <c r="D319" s="6"/>
      <c r="E319" s="113">
        <v>179431990</v>
      </c>
      <c r="F319" s="116">
        <f t="shared" si="61"/>
        <v>2424756.6216216218</v>
      </c>
      <c r="G319" s="117">
        <v>121070526</v>
      </c>
      <c r="H319" s="117">
        <f t="shared" si="62"/>
        <v>1636088.1891891891</v>
      </c>
      <c r="I319" s="7"/>
      <c r="J319" s="10">
        <v>0.52559999999999996</v>
      </c>
      <c r="K319" s="117">
        <v>63635</v>
      </c>
      <c r="L319" s="120">
        <f t="shared" si="63"/>
        <v>859.93243243243239</v>
      </c>
      <c r="M319" s="122">
        <f t="shared" si="57"/>
        <v>1210705.26</v>
      </c>
      <c r="N319" s="116">
        <f t="shared" si="58"/>
        <v>1147070.26</v>
      </c>
      <c r="O319" s="123">
        <f t="shared" si="59"/>
        <v>15500.94945945946</v>
      </c>
      <c r="P319" s="5"/>
      <c r="Q319" s="5">
        <f t="shared" si="54"/>
        <v>1</v>
      </c>
      <c r="R319" s="7">
        <f t="shared" si="55"/>
        <v>74</v>
      </c>
      <c r="S319" s="5">
        <f t="shared" si="52"/>
        <v>1</v>
      </c>
      <c r="T319" s="7">
        <f t="shared" si="53"/>
        <v>74</v>
      </c>
    </row>
    <row r="320" spans="1:20">
      <c r="A320" s="23" t="s">
        <v>346</v>
      </c>
      <c r="B320" s="35" t="s">
        <v>342</v>
      </c>
      <c r="C320" s="36">
        <v>110469</v>
      </c>
      <c r="D320" s="6"/>
      <c r="E320" s="113">
        <v>16147184739</v>
      </c>
      <c r="F320" s="116">
        <f t="shared" si="61"/>
        <v>146169.37547185182</v>
      </c>
      <c r="G320" s="117">
        <v>11148755499</v>
      </c>
      <c r="H320" s="117">
        <f t="shared" si="62"/>
        <v>100922.02789017734</v>
      </c>
      <c r="I320" s="7"/>
      <c r="J320" s="10">
        <v>4.6776999999999997</v>
      </c>
      <c r="K320" s="117">
        <v>52150534</v>
      </c>
      <c r="L320" s="120">
        <f t="shared" si="63"/>
        <v>472.08297350387892</v>
      </c>
      <c r="M320" s="122">
        <f t="shared" si="57"/>
        <v>111487554.99000001</v>
      </c>
      <c r="N320" s="116">
        <f t="shared" si="58"/>
        <v>59337020.99000001</v>
      </c>
      <c r="O320" s="123">
        <f t="shared" si="59"/>
        <v>537.13730539789447</v>
      </c>
      <c r="P320" s="5"/>
      <c r="Q320" s="5">
        <f t="shared" si="54"/>
        <v>1</v>
      </c>
      <c r="R320" s="7">
        <f t="shared" si="55"/>
        <v>110469</v>
      </c>
      <c r="S320" s="5">
        <f t="shared" si="52"/>
        <v>1</v>
      </c>
      <c r="T320" s="7">
        <f t="shared" si="53"/>
        <v>110469</v>
      </c>
    </row>
    <row r="321" spans="1:20">
      <c r="A321" s="23" t="s">
        <v>347</v>
      </c>
      <c r="B321" s="35" t="s">
        <v>342</v>
      </c>
      <c r="C321" s="36">
        <v>37662</v>
      </c>
      <c r="D321" s="6"/>
      <c r="E321" s="113">
        <v>4211355400</v>
      </c>
      <c r="F321" s="116">
        <f t="shared" si="61"/>
        <v>111819.74934947693</v>
      </c>
      <c r="G321" s="117">
        <v>2553134902</v>
      </c>
      <c r="H321" s="117">
        <f t="shared" si="62"/>
        <v>67790.741383888264</v>
      </c>
      <c r="I321" s="7"/>
      <c r="J321" s="10">
        <v>3.5596999999999999</v>
      </c>
      <c r="K321" s="117">
        <v>9088394</v>
      </c>
      <c r="L321" s="120">
        <f t="shared" si="63"/>
        <v>241.31469385587596</v>
      </c>
      <c r="M321" s="122">
        <f t="shared" si="57"/>
        <v>25531349.02</v>
      </c>
      <c r="N321" s="116">
        <f t="shared" si="58"/>
        <v>16442955.02</v>
      </c>
      <c r="O321" s="123">
        <f t="shared" si="59"/>
        <v>436.59271998300676</v>
      </c>
      <c r="P321" s="5"/>
      <c r="Q321" s="5">
        <f t="shared" si="54"/>
        <v>1</v>
      </c>
      <c r="R321" s="7">
        <f t="shared" si="55"/>
        <v>37662</v>
      </c>
      <c r="S321" s="5">
        <f t="shared" si="52"/>
        <v>1</v>
      </c>
      <c r="T321" s="7">
        <f t="shared" si="53"/>
        <v>37662</v>
      </c>
    </row>
    <row r="322" spans="1:20">
      <c r="A322" s="23" t="s">
        <v>348</v>
      </c>
      <c r="B322" s="35" t="s">
        <v>342</v>
      </c>
      <c r="C322" s="36">
        <v>12814</v>
      </c>
      <c r="D322" s="6"/>
      <c r="E322" s="113">
        <v>1580102220</v>
      </c>
      <c r="F322" s="116">
        <f t="shared" si="61"/>
        <v>123310.61495239582</v>
      </c>
      <c r="G322" s="117">
        <v>1005346275</v>
      </c>
      <c r="H322" s="117">
        <f t="shared" si="62"/>
        <v>78456.865537693142</v>
      </c>
      <c r="I322" s="7"/>
      <c r="J322" s="10">
        <v>3.3487</v>
      </c>
      <c r="K322" s="117">
        <v>3366603</v>
      </c>
      <c r="L322" s="120">
        <f t="shared" si="63"/>
        <v>262.72850007803964</v>
      </c>
      <c r="M322" s="122">
        <f t="shared" si="57"/>
        <v>10053462.75</v>
      </c>
      <c r="N322" s="116">
        <f t="shared" si="58"/>
        <v>6686859.75</v>
      </c>
      <c r="O322" s="123">
        <f t="shared" si="59"/>
        <v>521.84015529889189</v>
      </c>
      <c r="P322" s="5"/>
      <c r="Q322" s="5">
        <f t="shared" si="54"/>
        <v>1</v>
      </c>
      <c r="R322" s="7">
        <f t="shared" si="55"/>
        <v>12814</v>
      </c>
      <c r="S322" s="5">
        <f t="shared" si="52"/>
        <v>1</v>
      </c>
      <c r="T322" s="7">
        <f t="shared" si="53"/>
        <v>12814</v>
      </c>
    </row>
    <row r="323" spans="1:20">
      <c r="A323" s="23" t="s">
        <v>349</v>
      </c>
      <c r="B323" s="35" t="s">
        <v>342</v>
      </c>
      <c r="C323" s="36">
        <v>5300</v>
      </c>
      <c r="D323" s="6"/>
      <c r="E323" s="113">
        <v>1543624880</v>
      </c>
      <c r="F323" s="116">
        <f t="shared" si="61"/>
        <v>291249.97735849058</v>
      </c>
      <c r="G323" s="117">
        <v>1185912828</v>
      </c>
      <c r="H323" s="117">
        <f t="shared" si="62"/>
        <v>223757.13735849055</v>
      </c>
      <c r="I323" s="7"/>
      <c r="J323" s="10">
        <v>1.4695</v>
      </c>
      <c r="K323" s="117">
        <v>1742699</v>
      </c>
      <c r="L323" s="120">
        <f t="shared" si="63"/>
        <v>328.81113207547168</v>
      </c>
      <c r="M323" s="122">
        <f t="shared" si="57"/>
        <v>11859128.279999999</v>
      </c>
      <c r="N323" s="116">
        <f t="shared" si="58"/>
        <v>10116429.279999999</v>
      </c>
      <c r="O323" s="123">
        <f t="shared" si="59"/>
        <v>1908.7602415094339</v>
      </c>
      <c r="P323" s="5"/>
      <c r="Q323" s="5">
        <f t="shared" si="54"/>
        <v>1</v>
      </c>
      <c r="R323" s="7">
        <f t="shared" si="55"/>
        <v>5300</v>
      </c>
      <c r="S323" s="5">
        <f t="shared" si="52"/>
        <v>1</v>
      </c>
      <c r="T323" s="7">
        <f t="shared" si="53"/>
        <v>5300</v>
      </c>
    </row>
    <row r="324" spans="1:20">
      <c r="A324" s="23" t="s">
        <v>350</v>
      </c>
      <c r="B324" s="35" t="s">
        <v>342</v>
      </c>
      <c r="C324" s="36">
        <v>1804</v>
      </c>
      <c r="D324" s="6"/>
      <c r="E324" s="113">
        <v>1191725805</v>
      </c>
      <c r="F324" s="116">
        <f t="shared" si="61"/>
        <v>660601.88747228379</v>
      </c>
      <c r="G324" s="117">
        <v>1040179094</v>
      </c>
      <c r="H324" s="117">
        <f t="shared" si="62"/>
        <v>576595.95011086471</v>
      </c>
      <c r="I324" s="7"/>
      <c r="J324" s="10">
        <v>1.6</v>
      </c>
      <c r="K324" s="117">
        <v>1664287</v>
      </c>
      <c r="L324" s="120">
        <f t="shared" si="63"/>
        <v>922.55376940133033</v>
      </c>
      <c r="M324" s="122">
        <f t="shared" si="57"/>
        <v>10401790.939999999</v>
      </c>
      <c r="N324" s="116">
        <f t="shared" si="58"/>
        <v>8737503.9399999995</v>
      </c>
      <c r="O324" s="123">
        <f t="shared" si="59"/>
        <v>4843.4057317073166</v>
      </c>
      <c r="P324" s="5"/>
      <c r="Q324" s="5">
        <f t="shared" si="54"/>
        <v>1</v>
      </c>
      <c r="R324" s="7">
        <f t="shared" si="55"/>
        <v>1804</v>
      </c>
      <c r="S324" s="5">
        <f t="shared" si="52"/>
        <v>1</v>
      </c>
      <c r="T324" s="7">
        <f t="shared" si="53"/>
        <v>1804</v>
      </c>
    </row>
    <row r="325" spans="1:20">
      <c r="A325" s="23" t="s">
        <v>351</v>
      </c>
      <c r="B325" s="35" t="s">
        <v>342</v>
      </c>
      <c r="C325" s="36">
        <v>4567</v>
      </c>
      <c r="D325" s="6"/>
      <c r="E325" s="113">
        <v>302954570</v>
      </c>
      <c r="F325" s="116">
        <f t="shared" si="61"/>
        <v>66335.574775563829</v>
      </c>
      <c r="G325" s="117">
        <v>180902959</v>
      </c>
      <c r="H325" s="117">
        <f t="shared" si="62"/>
        <v>39610.895336106856</v>
      </c>
      <c r="I325" s="7"/>
      <c r="J325" s="10">
        <v>3.4447999999999999</v>
      </c>
      <c r="K325" s="117">
        <v>623175</v>
      </c>
      <c r="L325" s="120">
        <f t="shared" si="63"/>
        <v>136.45171885263849</v>
      </c>
      <c r="M325" s="122">
        <f t="shared" si="57"/>
        <v>1809029.59</v>
      </c>
      <c r="N325" s="116">
        <f t="shared" si="58"/>
        <v>1185854.5900000001</v>
      </c>
      <c r="O325" s="123">
        <f t="shared" si="59"/>
        <v>259.65723450843007</v>
      </c>
      <c r="P325" s="5"/>
      <c r="Q325" s="5">
        <f t="shared" si="54"/>
        <v>1</v>
      </c>
      <c r="R325" s="7">
        <f t="shared" si="55"/>
        <v>4567</v>
      </c>
      <c r="S325" s="5">
        <f t="shared" si="52"/>
        <v>1</v>
      </c>
      <c r="T325" s="7">
        <f t="shared" si="53"/>
        <v>4567</v>
      </c>
    </row>
    <row r="326" spans="1:20">
      <c r="A326" s="23" t="s">
        <v>352</v>
      </c>
      <c r="B326" s="35" t="s">
        <v>342</v>
      </c>
      <c r="C326" s="36">
        <v>75924</v>
      </c>
      <c r="D326" s="6"/>
      <c r="E326" s="113">
        <v>6698596298</v>
      </c>
      <c r="F326" s="116">
        <f t="shared" si="61"/>
        <v>88227.652626310519</v>
      </c>
      <c r="G326" s="117">
        <v>4722352663</v>
      </c>
      <c r="H326" s="117">
        <f t="shared" si="62"/>
        <v>62198.417667667665</v>
      </c>
      <c r="I326" s="7"/>
      <c r="J326" s="10">
        <v>3.6514000000000002</v>
      </c>
      <c r="K326" s="117">
        <v>17243199</v>
      </c>
      <c r="L326" s="120">
        <f t="shared" ref="L326:L357" si="64">(K326/C326)</f>
        <v>227.11130867709815</v>
      </c>
      <c r="M326" s="122">
        <f t="shared" si="57"/>
        <v>47223526.630000003</v>
      </c>
      <c r="N326" s="116">
        <f t="shared" si="58"/>
        <v>29980327.630000003</v>
      </c>
      <c r="O326" s="123">
        <f t="shared" si="59"/>
        <v>394.87286799957855</v>
      </c>
      <c r="P326" s="5"/>
      <c r="Q326" s="5">
        <f t="shared" si="54"/>
        <v>1</v>
      </c>
      <c r="R326" s="7">
        <f t="shared" si="55"/>
        <v>75924</v>
      </c>
      <c r="S326" s="5">
        <f t="shared" ref="S326:S389" si="65">IF(J326&gt;0,1,0)</f>
        <v>1</v>
      </c>
      <c r="T326" s="7">
        <f t="shared" ref="T326:T389" si="66">IF(J326&gt;0,C326,0)</f>
        <v>75924</v>
      </c>
    </row>
    <row r="327" spans="1:20">
      <c r="A327" s="23" t="s">
        <v>353</v>
      </c>
      <c r="B327" s="35" t="s">
        <v>342</v>
      </c>
      <c r="C327" s="36">
        <v>4525</v>
      </c>
      <c r="D327" s="6"/>
      <c r="E327" s="113">
        <v>1645133990</v>
      </c>
      <c r="F327" s="116">
        <f t="shared" si="61"/>
        <v>363565.52265193372</v>
      </c>
      <c r="G327" s="117">
        <v>1291012843</v>
      </c>
      <c r="H327" s="117">
        <f t="shared" si="62"/>
        <v>285306.7056353591</v>
      </c>
      <c r="I327" s="7"/>
      <c r="J327" s="10">
        <v>1.7954000000000001</v>
      </c>
      <c r="K327" s="117">
        <v>2317884</v>
      </c>
      <c r="L327" s="120">
        <f t="shared" si="64"/>
        <v>512.23955801104978</v>
      </c>
      <c r="M327" s="122">
        <f t="shared" si="57"/>
        <v>12910128.43</v>
      </c>
      <c r="N327" s="116">
        <f t="shared" si="58"/>
        <v>10592244.43</v>
      </c>
      <c r="O327" s="123">
        <f t="shared" si="59"/>
        <v>2340.8274983425413</v>
      </c>
      <c r="P327" s="5"/>
      <c r="Q327" s="5">
        <f t="shared" ref="Q327:Q390" si="67">IF(E327&gt;0,1,0)</f>
        <v>1</v>
      </c>
      <c r="R327" s="7">
        <f t="shared" ref="R327:R390" si="68">IF(E327&gt;0,C327,0)</f>
        <v>4525</v>
      </c>
      <c r="S327" s="5">
        <f t="shared" si="65"/>
        <v>1</v>
      </c>
      <c r="T327" s="7">
        <f t="shared" si="66"/>
        <v>4525</v>
      </c>
    </row>
    <row r="328" spans="1:20">
      <c r="A328" s="23" t="s">
        <v>354</v>
      </c>
      <c r="B328" s="35" t="s">
        <v>342</v>
      </c>
      <c r="C328" s="36">
        <v>1504</v>
      </c>
      <c r="D328" s="6"/>
      <c r="E328" s="113">
        <v>642915160</v>
      </c>
      <c r="F328" s="116">
        <f t="shared" si="61"/>
        <v>427470.18617021275</v>
      </c>
      <c r="G328" s="117">
        <v>526657478</v>
      </c>
      <c r="H328" s="117">
        <f t="shared" si="62"/>
        <v>350171.19547872338</v>
      </c>
      <c r="I328" s="7"/>
      <c r="J328" s="10">
        <v>0.75109999999999999</v>
      </c>
      <c r="K328" s="117">
        <v>395572</v>
      </c>
      <c r="L328" s="120">
        <f t="shared" si="64"/>
        <v>263.01329787234044</v>
      </c>
      <c r="M328" s="122">
        <f t="shared" ref="M328:M391" si="69">(G328*0.01)</f>
        <v>5266574.78</v>
      </c>
      <c r="N328" s="116">
        <f t="shared" ref="N328:N391" si="70">(M328-K328)</f>
        <v>4871002.78</v>
      </c>
      <c r="O328" s="123">
        <f t="shared" ref="O328:O391" si="71">(N328/C328)</f>
        <v>3238.6986569148939</v>
      </c>
      <c r="P328" s="5"/>
      <c r="Q328" s="5">
        <f t="shared" si="67"/>
        <v>1</v>
      </c>
      <c r="R328" s="7">
        <f t="shared" si="68"/>
        <v>1504</v>
      </c>
      <c r="S328" s="5">
        <f t="shared" si="65"/>
        <v>1</v>
      </c>
      <c r="T328" s="7">
        <f t="shared" si="66"/>
        <v>1504</v>
      </c>
    </row>
    <row r="329" spans="1:20">
      <c r="A329" s="23" t="s">
        <v>355</v>
      </c>
      <c r="B329" s="35" t="s">
        <v>342</v>
      </c>
      <c r="C329" s="36">
        <v>13959</v>
      </c>
      <c r="D329" s="6"/>
      <c r="E329" s="113">
        <v>1841747420</v>
      </c>
      <c r="F329" s="116">
        <f t="shared" si="61"/>
        <v>131939.78221935668</v>
      </c>
      <c r="G329" s="117">
        <v>1367989239</v>
      </c>
      <c r="H329" s="117">
        <f t="shared" si="62"/>
        <v>98000.518590156891</v>
      </c>
      <c r="I329" s="7"/>
      <c r="J329" s="10">
        <v>4.0721999999999996</v>
      </c>
      <c r="K329" s="117">
        <v>5570726</v>
      </c>
      <c r="L329" s="120">
        <f t="shared" si="64"/>
        <v>399.07772763091913</v>
      </c>
      <c r="M329" s="122">
        <f t="shared" si="69"/>
        <v>13679892.390000001</v>
      </c>
      <c r="N329" s="116">
        <f t="shared" si="70"/>
        <v>8109166.3900000006</v>
      </c>
      <c r="O329" s="123">
        <f t="shared" si="71"/>
        <v>580.92745827064982</v>
      </c>
      <c r="P329" s="5"/>
      <c r="Q329" s="5">
        <f t="shared" si="67"/>
        <v>1</v>
      </c>
      <c r="R329" s="7">
        <f t="shared" si="68"/>
        <v>13959</v>
      </c>
      <c r="S329" s="5">
        <f t="shared" si="65"/>
        <v>1</v>
      </c>
      <c r="T329" s="7">
        <f t="shared" si="66"/>
        <v>13959</v>
      </c>
    </row>
    <row r="330" spans="1:20">
      <c r="A330" s="23" t="s">
        <v>356</v>
      </c>
      <c r="B330" s="35" t="s">
        <v>342</v>
      </c>
      <c r="C330" s="36">
        <v>49320</v>
      </c>
      <c r="D330" s="6"/>
      <c r="E330" s="113">
        <v>5240702731</v>
      </c>
      <c r="F330" s="116">
        <f t="shared" si="61"/>
        <v>106259.17946066505</v>
      </c>
      <c r="G330" s="117">
        <v>3711722563</v>
      </c>
      <c r="H330" s="117">
        <f t="shared" si="62"/>
        <v>75257.959509326844</v>
      </c>
      <c r="I330" s="7"/>
      <c r="J330" s="10">
        <v>4.5477999999999996</v>
      </c>
      <c r="K330" s="117">
        <v>16880172</v>
      </c>
      <c r="L330" s="120">
        <f t="shared" si="64"/>
        <v>342.25815085158149</v>
      </c>
      <c r="M330" s="122">
        <f t="shared" si="69"/>
        <v>37117225.630000003</v>
      </c>
      <c r="N330" s="116">
        <f t="shared" si="70"/>
        <v>20237053.630000003</v>
      </c>
      <c r="O330" s="123">
        <f t="shared" si="71"/>
        <v>410.321444241687</v>
      </c>
      <c r="P330" s="5"/>
      <c r="Q330" s="5">
        <f t="shared" si="67"/>
        <v>1</v>
      </c>
      <c r="R330" s="7">
        <f t="shared" si="68"/>
        <v>49320</v>
      </c>
      <c r="S330" s="5">
        <f t="shared" si="65"/>
        <v>1</v>
      </c>
      <c r="T330" s="7">
        <f t="shared" si="66"/>
        <v>49320</v>
      </c>
    </row>
    <row r="331" spans="1:20">
      <c r="A331" s="23" t="s">
        <v>357</v>
      </c>
      <c r="B331" s="35" t="s">
        <v>342</v>
      </c>
      <c r="C331" s="36">
        <v>1597</v>
      </c>
      <c r="D331" s="6"/>
      <c r="E331" s="113">
        <v>575689840</v>
      </c>
      <c r="F331" s="116">
        <f t="shared" si="61"/>
        <v>360482.05385097058</v>
      </c>
      <c r="G331" s="117">
        <v>419484055</v>
      </c>
      <c r="H331" s="117">
        <f t="shared" si="62"/>
        <v>262670.04070131498</v>
      </c>
      <c r="I331" s="7"/>
      <c r="J331" s="10">
        <v>1.9410000000000001</v>
      </c>
      <c r="K331" s="117">
        <v>814219</v>
      </c>
      <c r="L331" s="120">
        <f t="shared" si="64"/>
        <v>509.84283030682531</v>
      </c>
      <c r="M331" s="122">
        <f t="shared" si="69"/>
        <v>4194840.55</v>
      </c>
      <c r="N331" s="116">
        <f t="shared" si="70"/>
        <v>3380621.55</v>
      </c>
      <c r="O331" s="123">
        <f t="shared" si="71"/>
        <v>2116.8575767063244</v>
      </c>
      <c r="P331" s="5"/>
      <c r="Q331" s="5">
        <f t="shared" si="67"/>
        <v>1</v>
      </c>
      <c r="R331" s="7">
        <f t="shared" si="68"/>
        <v>1597</v>
      </c>
      <c r="S331" s="5">
        <f t="shared" si="65"/>
        <v>1</v>
      </c>
      <c r="T331" s="7">
        <f t="shared" si="66"/>
        <v>1597</v>
      </c>
    </row>
    <row r="332" spans="1:20">
      <c r="A332" s="23" t="s">
        <v>358</v>
      </c>
      <c r="B332" s="35" t="s">
        <v>342</v>
      </c>
      <c r="C332" s="36">
        <v>2440</v>
      </c>
      <c r="D332" s="6"/>
      <c r="E332" s="113">
        <v>849782790</v>
      </c>
      <c r="F332" s="116">
        <f t="shared" si="61"/>
        <v>348271.63524590165</v>
      </c>
      <c r="G332" s="117">
        <v>658239330</v>
      </c>
      <c r="H332" s="117">
        <f t="shared" si="62"/>
        <v>269770.21721311478</v>
      </c>
      <c r="I332" s="7"/>
      <c r="J332" s="10">
        <v>1.5228999999999999</v>
      </c>
      <c r="K332" s="117">
        <v>1002433</v>
      </c>
      <c r="L332" s="120">
        <f t="shared" si="64"/>
        <v>410.83319672131148</v>
      </c>
      <c r="M332" s="122">
        <f t="shared" si="69"/>
        <v>6582393.2999999998</v>
      </c>
      <c r="N332" s="116">
        <f t="shared" si="70"/>
        <v>5579960.2999999998</v>
      </c>
      <c r="O332" s="123">
        <f t="shared" si="71"/>
        <v>2286.8689754098359</v>
      </c>
      <c r="P332" s="5"/>
      <c r="Q332" s="5">
        <f t="shared" si="67"/>
        <v>1</v>
      </c>
      <c r="R332" s="7">
        <f t="shared" si="68"/>
        <v>2440</v>
      </c>
      <c r="S332" s="5">
        <f t="shared" si="65"/>
        <v>1</v>
      </c>
      <c r="T332" s="7">
        <f t="shared" si="66"/>
        <v>2440</v>
      </c>
    </row>
    <row r="333" spans="1:20">
      <c r="A333" s="23" t="s">
        <v>359</v>
      </c>
      <c r="B333" s="35" t="s">
        <v>342</v>
      </c>
      <c r="C333" s="36">
        <v>17844</v>
      </c>
      <c r="D333" s="6"/>
      <c r="E333" s="113">
        <v>2214322216</v>
      </c>
      <c r="F333" s="116">
        <f t="shared" si="61"/>
        <v>124093.37682134051</v>
      </c>
      <c r="G333" s="117">
        <v>1329839984</v>
      </c>
      <c r="H333" s="117">
        <f t="shared" si="62"/>
        <v>74525.890159157134</v>
      </c>
      <c r="I333" s="7"/>
      <c r="J333" s="10">
        <v>2.5139999999999998</v>
      </c>
      <c r="K333" s="117">
        <v>3343218</v>
      </c>
      <c r="L333" s="120">
        <f t="shared" si="64"/>
        <v>187.35810356422326</v>
      </c>
      <c r="M333" s="122">
        <f t="shared" si="69"/>
        <v>13298399.84</v>
      </c>
      <c r="N333" s="116">
        <f t="shared" si="70"/>
        <v>9955181.8399999999</v>
      </c>
      <c r="O333" s="123">
        <f t="shared" si="71"/>
        <v>557.90079802734817</v>
      </c>
      <c r="P333" s="5"/>
      <c r="Q333" s="5">
        <f t="shared" si="67"/>
        <v>1</v>
      </c>
      <c r="R333" s="7">
        <f t="shared" si="68"/>
        <v>17844</v>
      </c>
      <c r="S333" s="5">
        <f t="shared" si="65"/>
        <v>1</v>
      </c>
      <c r="T333" s="7">
        <f t="shared" si="66"/>
        <v>17844</v>
      </c>
    </row>
    <row r="334" spans="1:20">
      <c r="A334" s="23" t="s">
        <v>360</v>
      </c>
      <c r="B334" s="35" t="s">
        <v>342</v>
      </c>
      <c r="C334" s="36">
        <v>18739</v>
      </c>
      <c r="D334" s="6"/>
      <c r="E334" s="113">
        <v>2141611450</v>
      </c>
      <c r="F334" s="116">
        <f t="shared" si="61"/>
        <v>114286.32531084903</v>
      </c>
      <c r="G334" s="117">
        <v>1434928438</v>
      </c>
      <c r="H334" s="117">
        <f t="shared" si="62"/>
        <v>76574.440365014147</v>
      </c>
      <c r="I334" s="7"/>
      <c r="J334" s="10">
        <v>2.4792999999999998</v>
      </c>
      <c r="K334" s="117">
        <v>3557618</v>
      </c>
      <c r="L334" s="120">
        <f t="shared" si="64"/>
        <v>189.8510059234751</v>
      </c>
      <c r="M334" s="122">
        <f t="shared" si="69"/>
        <v>14349284.380000001</v>
      </c>
      <c r="N334" s="116">
        <f t="shared" si="70"/>
        <v>10791666.380000001</v>
      </c>
      <c r="O334" s="123">
        <f t="shared" si="71"/>
        <v>575.89339772666631</v>
      </c>
      <c r="P334" s="5"/>
      <c r="Q334" s="5">
        <f t="shared" si="67"/>
        <v>1</v>
      </c>
      <c r="R334" s="7">
        <f t="shared" si="68"/>
        <v>18739</v>
      </c>
      <c r="S334" s="5">
        <f t="shared" si="65"/>
        <v>1</v>
      </c>
      <c r="T334" s="7">
        <f t="shared" si="66"/>
        <v>18739</v>
      </c>
    </row>
    <row r="335" spans="1:20">
      <c r="A335" s="23" t="s">
        <v>361</v>
      </c>
      <c r="B335" s="35" t="s">
        <v>342</v>
      </c>
      <c r="C335" s="36">
        <v>5658</v>
      </c>
      <c r="D335" s="6"/>
      <c r="E335" s="113">
        <v>888965150</v>
      </c>
      <c r="F335" s="116">
        <f t="shared" si="61"/>
        <v>157116.49876281372</v>
      </c>
      <c r="G335" s="117">
        <v>639378462</v>
      </c>
      <c r="H335" s="117">
        <f t="shared" si="62"/>
        <v>113004.32343584305</v>
      </c>
      <c r="I335" s="7"/>
      <c r="J335" s="10">
        <v>1.2748999999999999</v>
      </c>
      <c r="K335" s="117">
        <v>815144</v>
      </c>
      <c r="L335" s="120">
        <f t="shared" si="64"/>
        <v>144.06928243195475</v>
      </c>
      <c r="M335" s="122">
        <f t="shared" si="69"/>
        <v>6393784.6200000001</v>
      </c>
      <c r="N335" s="116">
        <f t="shared" si="70"/>
        <v>5578640.6200000001</v>
      </c>
      <c r="O335" s="123">
        <f t="shared" si="71"/>
        <v>985.97395192647582</v>
      </c>
      <c r="P335" s="5"/>
      <c r="Q335" s="5">
        <f t="shared" si="67"/>
        <v>1</v>
      </c>
      <c r="R335" s="7">
        <f t="shared" si="68"/>
        <v>5658</v>
      </c>
      <c r="S335" s="5">
        <f t="shared" si="65"/>
        <v>1</v>
      </c>
      <c r="T335" s="7">
        <f t="shared" si="66"/>
        <v>5658</v>
      </c>
    </row>
    <row r="336" spans="1:20">
      <c r="A336" s="24" t="s">
        <v>561</v>
      </c>
      <c r="B336" s="35" t="s">
        <v>342</v>
      </c>
      <c r="C336" s="36">
        <v>10086</v>
      </c>
      <c r="D336" s="6"/>
      <c r="E336" s="113">
        <v>3774779680</v>
      </c>
      <c r="F336" s="116">
        <f t="shared" si="61"/>
        <v>374259.33769581601</v>
      </c>
      <c r="G336" s="117">
        <v>2824677447</v>
      </c>
      <c r="H336" s="117">
        <f t="shared" si="62"/>
        <v>280059.23527662107</v>
      </c>
      <c r="I336" s="7"/>
      <c r="J336" s="10">
        <v>2.3763999999999998</v>
      </c>
      <c r="K336" s="117">
        <v>6712563</v>
      </c>
      <c r="L336" s="120">
        <f t="shared" si="64"/>
        <v>665.53271861986912</v>
      </c>
      <c r="M336" s="122">
        <f t="shared" si="69"/>
        <v>28246774.469999999</v>
      </c>
      <c r="N336" s="116">
        <f t="shared" si="70"/>
        <v>21534211.469999999</v>
      </c>
      <c r="O336" s="123">
        <f t="shared" si="71"/>
        <v>2135.0596341463415</v>
      </c>
      <c r="P336" s="5"/>
      <c r="Q336" s="5">
        <f t="shared" si="67"/>
        <v>1</v>
      </c>
      <c r="R336" s="7">
        <f t="shared" si="68"/>
        <v>10086</v>
      </c>
      <c r="S336" s="5">
        <f t="shared" si="65"/>
        <v>1</v>
      </c>
      <c r="T336" s="7">
        <f t="shared" si="66"/>
        <v>10086</v>
      </c>
    </row>
    <row r="337" spans="1:20">
      <c r="A337" s="23" t="s">
        <v>548</v>
      </c>
      <c r="B337" s="35" t="s">
        <v>342</v>
      </c>
      <c r="C337" s="36">
        <v>253369</v>
      </c>
      <c r="D337" s="6"/>
      <c r="E337" s="113">
        <v>28342735052</v>
      </c>
      <c r="F337" s="116">
        <f t="shared" si="61"/>
        <v>111863.46811172638</v>
      </c>
      <c r="G337" s="117">
        <v>17718466042</v>
      </c>
      <c r="H337" s="117">
        <f t="shared" si="62"/>
        <v>69931.467709151475</v>
      </c>
      <c r="I337" s="7"/>
      <c r="J337" s="10">
        <v>5.9124999999999996</v>
      </c>
      <c r="K337" s="117">
        <v>104760430</v>
      </c>
      <c r="L337" s="120">
        <f t="shared" si="64"/>
        <v>413.46980096223297</v>
      </c>
      <c r="M337" s="122">
        <f t="shared" si="69"/>
        <v>177184660.42000002</v>
      </c>
      <c r="N337" s="116">
        <f t="shared" si="70"/>
        <v>72424230.420000017</v>
      </c>
      <c r="O337" s="123">
        <f t="shared" si="71"/>
        <v>285.84487612928189</v>
      </c>
      <c r="P337" s="5"/>
      <c r="Q337" s="5">
        <f t="shared" si="67"/>
        <v>1</v>
      </c>
      <c r="R337" s="7">
        <f t="shared" si="68"/>
        <v>253369</v>
      </c>
      <c r="S337" s="5">
        <f t="shared" si="65"/>
        <v>1</v>
      </c>
      <c r="T337" s="7">
        <f t="shared" si="66"/>
        <v>253369</v>
      </c>
    </row>
    <row r="338" spans="1:20">
      <c r="A338" s="23" t="s">
        <v>362</v>
      </c>
      <c r="B338" s="35" t="s">
        <v>342</v>
      </c>
      <c r="C338" s="36">
        <v>24628</v>
      </c>
      <c r="D338" s="6"/>
      <c r="E338" s="113">
        <v>2968013180</v>
      </c>
      <c r="F338" s="116">
        <f t="shared" si="61"/>
        <v>120513.77212928374</v>
      </c>
      <c r="G338" s="117">
        <v>1938896972</v>
      </c>
      <c r="H338" s="117">
        <f t="shared" si="62"/>
        <v>78727.341724866012</v>
      </c>
      <c r="I338" s="7"/>
      <c r="J338" s="10">
        <v>4.3089000000000004</v>
      </c>
      <c r="K338" s="117">
        <v>8354513</v>
      </c>
      <c r="L338" s="120">
        <f t="shared" si="64"/>
        <v>339.22823615397107</v>
      </c>
      <c r="M338" s="122">
        <f t="shared" si="69"/>
        <v>19388969.719999999</v>
      </c>
      <c r="N338" s="116">
        <f t="shared" si="70"/>
        <v>11034456.719999999</v>
      </c>
      <c r="O338" s="123">
        <f t="shared" si="71"/>
        <v>448.04518109468893</v>
      </c>
      <c r="P338" s="5"/>
      <c r="Q338" s="5">
        <f t="shared" si="67"/>
        <v>1</v>
      </c>
      <c r="R338" s="7">
        <f t="shared" si="68"/>
        <v>24628</v>
      </c>
      <c r="S338" s="5">
        <f t="shared" si="65"/>
        <v>1</v>
      </c>
      <c r="T338" s="7">
        <f t="shared" si="66"/>
        <v>24628</v>
      </c>
    </row>
    <row r="339" spans="1:20">
      <c r="A339" s="23" t="s">
        <v>363</v>
      </c>
      <c r="B339" s="35" t="s">
        <v>342</v>
      </c>
      <c r="C339" s="36">
        <v>7597</v>
      </c>
      <c r="D339" s="6"/>
      <c r="E339" s="113">
        <v>2482013100</v>
      </c>
      <c r="F339" s="116">
        <f t="shared" si="61"/>
        <v>326709.63538238779</v>
      </c>
      <c r="G339" s="117">
        <v>1856323265</v>
      </c>
      <c r="H339" s="117">
        <f t="shared" si="62"/>
        <v>244349.51494010794</v>
      </c>
      <c r="I339" s="7"/>
      <c r="J339" s="10">
        <v>2.3877999999999999</v>
      </c>
      <c r="K339" s="117">
        <v>4432529</v>
      </c>
      <c r="L339" s="120">
        <f t="shared" si="64"/>
        <v>583.45781229432669</v>
      </c>
      <c r="M339" s="122">
        <f t="shared" si="69"/>
        <v>18563232.650000002</v>
      </c>
      <c r="N339" s="116">
        <f t="shared" si="70"/>
        <v>14130703.650000002</v>
      </c>
      <c r="O339" s="123">
        <f t="shared" si="71"/>
        <v>1860.0373371067531</v>
      </c>
      <c r="P339" s="5"/>
      <c r="Q339" s="5">
        <f t="shared" si="67"/>
        <v>1</v>
      </c>
      <c r="R339" s="7">
        <f t="shared" si="68"/>
        <v>7597</v>
      </c>
      <c r="S339" s="5">
        <f t="shared" si="65"/>
        <v>1</v>
      </c>
      <c r="T339" s="7">
        <f t="shared" si="66"/>
        <v>7597</v>
      </c>
    </row>
    <row r="340" spans="1:20">
      <c r="A340" s="23" t="s">
        <v>364</v>
      </c>
      <c r="B340" s="35" t="s">
        <v>365</v>
      </c>
      <c r="C340" s="36">
        <v>13883</v>
      </c>
      <c r="D340" s="6"/>
      <c r="E340" s="113">
        <v>1460661741</v>
      </c>
      <c r="F340" s="116">
        <f t="shared" si="61"/>
        <v>105212.25534826766</v>
      </c>
      <c r="G340" s="117">
        <v>1103650897</v>
      </c>
      <c r="H340" s="117">
        <f t="shared" si="62"/>
        <v>79496.571130159195</v>
      </c>
      <c r="I340" s="7"/>
      <c r="J340" s="10">
        <v>3.3317000000000001</v>
      </c>
      <c r="K340" s="117">
        <v>3677034</v>
      </c>
      <c r="L340" s="120">
        <f t="shared" si="64"/>
        <v>264.8587481091983</v>
      </c>
      <c r="M340" s="122">
        <f t="shared" si="69"/>
        <v>11036508.970000001</v>
      </c>
      <c r="N340" s="116">
        <f t="shared" si="70"/>
        <v>7359474.9700000007</v>
      </c>
      <c r="O340" s="123">
        <f t="shared" si="71"/>
        <v>530.10696319239366</v>
      </c>
      <c r="P340" s="5"/>
      <c r="Q340" s="5">
        <f t="shared" si="67"/>
        <v>1</v>
      </c>
      <c r="R340" s="7">
        <f t="shared" si="68"/>
        <v>13883</v>
      </c>
      <c r="S340" s="5">
        <f t="shared" si="65"/>
        <v>1</v>
      </c>
      <c r="T340" s="7">
        <f t="shared" si="66"/>
        <v>13883</v>
      </c>
    </row>
    <row r="341" spans="1:20">
      <c r="A341" s="23" t="s">
        <v>366</v>
      </c>
      <c r="B341" s="35" t="s">
        <v>365</v>
      </c>
      <c r="C341" s="36">
        <v>16515</v>
      </c>
      <c r="D341" s="6"/>
      <c r="E341" s="113">
        <v>1318717892</v>
      </c>
      <c r="F341" s="116">
        <f t="shared" si="61"/>
        <v>79849.70584317288</v>
      </c>
      <c r="G341" s="117">
        <v>771704830</v>
      </c>
      <c r="H341" s="117">
        <f t="shared" si="62"/>
        <v>46727.510142294886</v>
      </c>
      <c r="I341" s="7"/>
      <c r="J341" s="10">
        <v>3.1160999999999999</v>
      </c>
      <c r="K341" s="117">
        <v>2404709</v>
      </c>
      <c r="L341" s="120">
        <f t="shared" si="64"/>
        <v>145.60756887677869</v>
      </c>
      <c r="M341" s="122">
        <f t="shared" si="69"/>
        <v>7717048.2999999998</v>
      </c>
      <c r="N341" s="116">
        <f t="shared" si="70"/>
        <v>5312339.3</v>
      </c>
      <c r="O341" s="123">
        <f t="shared" si="71"/>
        <v>321.66753254617015</v>
      </c>
      <c r="P341" s="5"/>
      <c r="Q341" s="5">
        <f t="shared" si="67"/>
        <v>1</v>
      </c>
      <c r="R341" s="7">
        <f t="shared" si="68"/>
        <v>16515</v>
      </c>
      <c r="S341" s="5">
        <f t="shared" si="65"/>
        <v>1</v>
      </c>
      <c r="T341" s="7">
        <f t="shared" si="66"/>
        <v>16515</v>
      </c>
    </row>
    <row r="342" spans="1:20">
      <c r="A342" s="23" t="s">
        <v>367</v>
      </c>
      <c r="B342" s="35" t="s">
        <v>365</v>
      </c>
      <c r="C342" s="36">
        <v>2439</v>
      </c>
      <c r="D342" s="6"/>
      <c r="E342" s="113">
        <v>215932285</v>
      </c>
      <c r="F342" s="116">
        <f t="shared" si="61"/>
        <v>88533.122181221814</v>
      </c>
      <c r="G342" s="117">
        <v>125469077</v>
      </c>
      <c r="H342" s="117">
        <f t="shared" si="62"/>
        <v>51442.83599835998</v>
      </c>
      <c r="I342" s="7"/>
      <c r="J342" s="10">
        <v>4.6910999999999996</v>
      </c>
      <c r="K342" s="117">
        <v>588588</v>
      </c>
      <c r="L342" s="120">
        <f t="shared" si="64"/>
        <v>241.32349323493236</v>
      </c>
      <c r="M342" s="122">
        <f t="shared" si="69"/>
        <v>1254690.77</v>
      </c>
      <c r="N342" s="116">
        <f t="shared" si="70"/>
        <v>666102.77</v>
      </c>
      <c r="O342" s="123">
        <f t="shared" si="71"/>
        <v>273.10486674866752</v>
      </c>
      <c r="P342" s="5"/>
      <c r="Q342" s="5">
        <f t="shared" si="67"/>
        <v>1</v>
      </c>
      <c r="R342" s="7">
        <f t="shared" si="68"/>
        <v>2439</v>
      </c>
      <c r="S342" s="5">
        <f t="shared" si="65"/>
        <v>1</v>
      </c>
      <c r="T342" s="7">
        <f t="shared" si="66"/>
        <v>2439</v>
      </c>
    </row>
    <row r="343" spans="1:20">
      <c r="A343" s="23" t="s">
        <v>368</v>
      </c>
      <c r="B343" s="35" t="s">
        <v>365</v>
      </c>
      <c r="C343" s="36">
        <v>3324</v>
      </c>
      <c r="D343" s="6"/>
      <c r="E343" s="113">
        <v>293408995</v>
      </c>
      <c r="F343" s="116">
        <f t="shared" si="61"/>
        <v>88269.854091456073</v>
      </c>
      <c r="G343" s="117">
        <v>185821528</v>
      </c>
      <c r="H343" s="117">
        <f t="shared" si="62"/>
        <v>55902.98676293622</v>
      </c>
      <c r="I343" s="9"/>
      <c r="J343" s="10">
        <v>7</v>
      </c>
      <c r="K343" s="117">
        <v>1300751</v>
      </c>
      <c r="L343" s="120">
        <f t="shared" si="64"/>
        <v>391.32099879663059</v>
      </c>
      <c r="M343" s="122">
        <f t="shared" si="69"/>
        <v>1858215.28</v>
      </c>
      <c r="N343" s="116">
        <f t="shared" si="70"/>
        <v>557464.28</v>
      </c>
      <c r="O343" s="123">
        <f t="shared" si="71"/>
        <v>167.70886883273167</v>
      </c>
      <c r="P343" s="5"/>
      <c r="Q343" s="5">
        <f t="shared" si="67"/>
        <v>1</v>
      </c>
      <c r="R343" s="7">
        <f t="shared" si="68"/>
        <v>3324</v>
      </c>
      <c r="S343" s="5">
        <f t="shared" si="65"/>
        <v>1</v>
      </c>
      <c r="T343" s="7">
        <f t="shared" si="66"/>
        <v>3324</v>
      </c>
    </row>
    <row r="344" spans="1:20">
      <c r="A344" s="23" t="s">
        <v>369</v>
      </c>
      <c r="B344" s="35" t="s">
        <v>365</v>
      </c>
      <c r="C344" s="36">
        <v>2702</v>
      </c>
      <c r="D344" s="6"/>
      <c r="E344" s="113">
        <v>164363188</v>
      </c>
      <c r="F344" s="116">
        <f t="shared" si="61"/>
        <v>60830.195410806809</v>
      </c>
      <c r="G344" s="117">
        <v>87449212</v>
      </c>
      <c r="H344" s="117">
        <f t="shared" si="62"/>
        <v>32364.62324204293</v>
      </c>
      <c r="I344" s="7"/>
      <c r="J344" s="10">
        <v>6.7614000000000001</v>
      </c>
      <c r="K344" s="117">
        <v>591279</v>
      </c>
      <c r="L344" s="120">
        <f t="shared" si="64"/>
        <v>218.8301258327165</v>
      </c>
      <c r="M344" s="122">
        <f t="shared" si="69"/>
        <v>874492.12</v>
      </c>
      <c r="N344" s="116">
        <f t="shared" si="70"/>
        <v>283213.12</v>
      </c>
      <c r="O344" s="123">
        <f t="shared" si="71"/>
        <v>104.81610658771281</v>
      </c>
      <c r="P344" s="5"/>
      <c r="Q344" s="5">
        <f t="shared" si="67"/>
        <v>1</v>
      </c>
      <c r="R344" s="7">
        <f t="shared" si="68"/>
        <v>2702</v>
      </c>
      <c r="S344" s="5">
        <f t="shared" si="65"/>
        <v>1</v>
      </c>
      <c r="T344" s="7">
        <f t="shared" si="66"/>
        <v>2702</v>
      </c>
    </row>
    <row r="345" spans="1:20">
      <c r="A345" s="23" t="s">
        <v>370</v>
      </c>
      <c r="B345" s="35" t="s">
        <v>365</v>
      </c>
      <c r="C345" s="36">
        <v>5987</v>
      </c>
      <c r="D345" s="6"/>
      <c r="E345" s="113">
        <v>248290849</v>
      </c>
      <c r="F345" s="116">
        <f t="shared" si="61"/>
        <v>41471.663437447802</v>
      </c>
      <c r="G345" s="117">
        <v>138269130</v>
      </c>
      <c r="H345" s="117">
        <f t="shared" si="62"/>
        <v>23094.893936863202</v>
      </c>
      <c r="I345" s="7"/>
      <c r="J345" s="10">
        <v>2.7959000000000001</v>
      </c>
      <c r="K345" s="117">
        <v>386587</v>
      </c>
      <c r="L345" s="120">
        <f t="shared" si="64"/>
        <v>64.571070653081676</v>
      </c>
      <c r="M345" s="122">
        <f t="shared" si="69"/>
        <v>1382691.3</v>
      </c>
      <c r="N345" s="116">
        <f t="shared" si="70"/>
        <v>996104.3</v>
      </c>
      <c r="O345" s="123">
        <f t="shared" si="71"/>
        <v>166.37786871555036</v>
      </c>
      <c r="P345" s="5"/>
      <c r="Q345" s="5">
        <f t="shared" si="67"/>
        <v>1</v>
      </c>
      <c r="R345" s="7">
        <f t="shared" si="68"/>
        <v>5987</v>
      </c>
      <c r="S345" s="5">
        <f t="shared" si="65"/>
        <v>1</v>
      </c>
      <c r="T345" s="7">
        <f t="shared" si="66"/>
        <v>5987</v>
      </c>
    </row>
    <row r="346" spans="1:20">
      <c r="A346" s="23" t="s">
        <v>371</v>
      </c>
      <c r="B346" s="35" t="s">
        <v>365</v>
      </c>
      <c r="C346" s="36">
        <v>2900</v>
      </c>
      <c r="D346" s="6"/>
      <c r="E346" s="113">
        <v>241733258</v>
      </c>
      <c r="F346" s="116">
        <f t="shared" si="61"/>
        <v>83356.295862068961</v>
      </c>
      <c r="G346" s="117">
        <v>137775434</v>
      </c>
      <c r="H346" s="117">
        <f t="shared" si="62"/>
        <v>47508.770344827586</v>
      </c>
      <c r="I346" s="7"/>
      <c r="J346" s="11">
        <v>7.1395</v>
      </c>
      <c r="K346" s="117">
        <v>983648</v>
      </c>
      <c r="L346" s="120">
        <f t="shared" si="64"/>
        <v>339.1889655172414</v>
      </c>
      <c r="M346" s="122">
        <f t="shared" si="69"/>
        <v>1377754.34</v>
      </c>
      <c r="N346" s="116">
        <f t="shared" si="70"/>
        <v>394106.34000000008</v>
      </c>
      <c r="O346" s="123">
        <f t="shared" si="71"/>
        <v>135.8987379310345</v>
      </c>
      <c r="P346" s="5"/>
      <c r="Q346" s="5">
        <f t="shared" si="67"/>
        <v>1</v>
      </c>
      <c r="R346" s="7">
        <f t="shared" si="68"/>
        <v>2900</v>
      </c>
      <c r="S346" s="5">
        <f t="shared" si="65"/>
        <v>1</v>
      </c>
      <c r="T346" s="7">
        <f t="shared" si="66"/>
        <v>2900</v>
      </c>
    </row>
    <row r="347" spans="1:20">
      <c r="A347" s="23" t="s">
        <v>372</v>
      </c>
      <c r="B347" s="35" t="s">
        <v>365</v>
      </c>
      <c r="C347" s="36">
        <v>18748</v>
      </c>
      <c r="D347" s="6"/>
      <c r="E347" s="113">
        <v>1605458375</v>
      </c>
      <c r="F347" s="116">
        <f t="shared" si="61"/>
        <v>85633.580915297629</v>
      </c>
      <c r="G347" s="117">
        <v>1204809305</v>
      </c>
      <c r="H347" s="117">
        <f t="shared" si="62"/>
        <v>64263.351024109237</v>
      </c>
      <c r="I347" s="7"/>
      <c r="J347" s="10">
        <v>6.8185000000000002</v>
      </c>
      <c r="K347" s="117">
        <v>8214992</v>
      </c>
      <c r="L347" s="120">
        <f t="shared" si="64"/>
        <v>438.1796458288884</v>
      </c>
      <c r="M347" s="122">
        <f t="shared" si="69"/>
        <v>12048093.050000001</v>
      </c>
      <c r="N347" s="116">
        <f t="shared" si="70"/>
        <v>3833101.0500000007</v>
      </c>
      <c r="O347" s="123">
        <f t="shared" si="71"/>
        <v>204.45386441220401</v>
      </c>
      <c r="P347" s="5"/>
      <c r="Q347" s="5">
        <f t="shared" si="67"/>
        <v>1</v>
      </c>
      <c r="R347" s="7">
        <f t="shared" si="68"/>
        <v>18748</v>
      </c>
      <c r="S347" s="5">
        <f t="shared" si="65"/>
        <v>1</v>
      </c>
      <c r="T347" s="7">
        <f t="shared" si="66"/>
        <v>18748</v>
      </c>
    </row>
    <row r="348" spans="1:20">
      <c r="A348" s="23" t="s">
        <v>373</v>
      </c>
      <c r="B348" s="35" t="s">
        <v>365</v>
      </c>
      <c r="C348" s="36">
        <v>246</v>
      </c>
      <c r="D348" s="6"/>
      <c r="E348" s="113">
        <v>23769731</v>
      </c>
      <c r="F348" s="116">
        <f t="shared" si="61"/>
        <v>96624.922764227638</v>
      </c>
      <c r="G348" s="117">
        <v>17845758</v>
      </c>
      <c r="H348" s="117">
        <f t="shared" si="62"/>
        <v>72543.731707317071</v>
      </c>
      <c r="I348" s="7"/>
      <c r="J348" s="10">
        <v>7.3160999999999996</v>
      </c>
      <c r="K348" s="117">
        <v>130561</v>
      </c>
      <c r="L348" s="120">
        <f t="shared" si="64"/>
        <v>530.73577235772359</v>
      </c>
      <c r="M348" s="122">
        <f t="shared" si="69"/>
        <v>178457.58000000002</v>
      </c>
      <c r="N348" s="116">
        <f t="shared" si="70"/>
        <v>47896.580000000016</v>
      </c>
      <c r="O348" s="123">
        <f t="shared" si="71"/>
        <v>194.70154471544723</v>
      </c>
      <c r="P348" s="5"/>
      <c r="Q348" s="5">
        <f t="shared" si="67"/>
        <v>1</v>
      </c>
      <c r="R348" s="7">
        <f t="shared" si="68"/>
        <v>246</v>
      </c>
      <c r="S348" s="5">
        <f t="shared" si="65"/>
        <v>1</v>
      </c>
      <c r="T348" s="7">
        <f t="shared" si="66"/>
        <v>246</v>
      </c>
    </row>
    <row r="349" spans="1:20">
      <c r="A349" s="23" t="s">
        <v>374</v>
      </c>
      <c r="B349" s="35" t="s">
        <v>365</v>
      </c>
      <c r="C349" s="36">
        <v>262</v>
      </c>
      <c r="D349" s="6"/>
      <c r="E349" s="113">
        <v>21167754</v>
      </c>
      <c r="F349" s="116">
        <f t="shared" si="61"/>
        <v>80792.954198473279</v>
      </c>
      <c r="G349" s="117">
        <v>13066418</v>
      </c>
      <c r="H349" s="117">
        <f t="shared" si="62"/>
        <v>49871.824427480919</v>
      </c>
      <c r="I349" s="7"/>
      <c r="J349" s="10">
        <v>0.3306</v>
      </c>
      <c r="K349" s="117">
        <v>4320</v>
      </c>
      <c r="L349" s="120">
        <f t="shared" si="64"/>
        <v>16.488549618320612</v>
      </c>
      <c r="M349" s="122">
        <f t="shared" si="69"/>
        <v>130664.18000000001</v>
      </c>
      <c r="N349" s="116">
        <f t="shared" si="70"/>
        <v>126344.18000000001</v>
      </c>
      <c r="O349" s="123">
        <f t="shared" si="71"/>
        <v>482.22969465648856</v>
      </c>
      <c r="P349" s="5"/>
      <c r="Q349" s="5">
        <f t="shared" si="67"/>
        <v>1</v>
      </c>
      <c r="R349" s="7">
        <f t="shared" si="68"/>
        <v>262</v>
      </c>
      <c r="S349" s="5">
        <f t="shared" si="65"/>
        <v>1</v>
      </c>
      <c r="T349" s="7">
        <f t="shared" si="66"/>
        <v>262</v>
      </c>
    </row>
    <row r="350" spans="1:20">
      <c r="A350" s="23" t="s">
        <v>375</v>
      </c>
      <c r="B350" s="35" t="s">
        <v>365</v>
      </c>
      <c r="C350" s="36">
        <v>4517</v>
      </c>
      <c r="D350" s="6"/>
      <c r="E350" s="113">
        <v>375186143</v>
      </c>
      <c r="F350" s="116">
        <f t="shared" si="61"/>
        <v>83060.912773965014</v>
      </c>
      <c r="G350" s="117">
        <v>245600044</v>
      </c>
      <c r="H350" s="117">
        <f t="shared" si="62"/>
        <v>54372.380783706001</v>
      </c>
      <c r="I350" s="7"/>
      <c r="J350" s="10">
        <v>6.58</v>
      </c>
      <c r="K350" s="117">
        <v>1616048</v>
      </c>
      <c r="L350" s="120">
        <f t="shared" si="64"/>
        <v>357.77020146114677</v>
      </c>
      <c r="M350" s="122">
        <f t="shared" si="69"/>
        <v>2456000.44</v>
      </c>
      <c r="N350" s="116">
        <f t="shared" si="70"/>
        <v>839952.44</v>
      </c>
      <c r="O350" s="123">
        <f t="shared" si="71"/>
        <v>185.95360637591321</v>
      </c>
      <c r="P350" s="5"/>
      <c r="Q350" s="5">
        <f t="shared" si="67"/>
        <v>1</v>
      </c>
      <c r="R350" s="7">
        <f t="shared" si="68"/>
        <v>4517</v>
      </c>
      <c r="S350" s="5">
        <f t="shared" si="65"/>
        <v>1</v>
      </c>
      <c r="T350" s="7">
        <f t="shared" si="66"/>
        <v>4517</v>
      </c>
    </row>
    <row r="351" spans="1:20">
      <c r="A351" s="23" t="s">
        <v>376</v>
      </c>
      <c r="B351" s="35" t="s">
        <v>365</v>
      </c>
      <c r="C351" s="36">
        <v>1405</v>
      </c>
      <c r="D351" s="6"/>
      <c r="E351" s="113">
        <v>124437772</v>
      </c>
      <c r="F351" s="116">
        <f t="shared" si="61"/>
        <v>88567.809252669045</v>
      </c>
      <c r="G351" s="117">
        <v>84389021</v>
      </c>
      <c r="H351" s="117">
        <f t="shared" si="62"/>
        <v>60063.360142348756</v>
      </c>
      <c r="I351" s="7"/>
      <c r="J351" s="10">
        <v>5.5766</v>
      </c>
      <c r="K351" s="117">
        <v>470604</v>
      </c>
      <c r="L351" s="120">
        <f t="shared" si="64"/>
        <v>334.9494661921708</v>
      </c>
      <c r="M351" s="122">
        <f t="shared" si="69"/>
        <v>843890.21</v>
      </c>
      <c r="N351" s="116">
        <f t="shared" si="70"/>
        <v>373286.20999999996</v>
      </c>
      <c r="O351" s="123">
        <f t="shared" si="71"/>
        <v>265.6841352313167</v>
      </c>
      <c r="P351" s="5"/>
      <c r="Q351" s="5">
        <f t="shared" si="67"/>
        <v>1</v>
      </c>
      <c r="R351" s="7">
        <f t="shared" si="68"/>
        <v>1405</v>
      </c>
      <c r="S351" s="5">
        <f t="shared" si="65"/>
        <v>1</v>
      </c>
      <c r="T351" s="7">
        <f t="shared" si="66"/>
        <v>1405</v>
      </c>
    </row>
    <row r="352" spans="1:20">
      <c r="A352" s="23" t="s">
        <v>377</v>
      </c>
      <c r="B352" s="35" t="s">
        <v>365</v>
      </c>
      <c r="C352" s="36">
        <v>13039</v>
      </c>
      <c r="D352" s="6"/>
      <c r="E352" s="113">
        <v>1188800106</v>
      </c>
      <c r="F352" s="116">
        <f t="shared" ref="F352:F390" si="72">(E352/C352)</f>
        <v>91172.644067796617</v>
      </c>
      <c r="G352" s="117">
        <v>848687715</v>
      </c>
      <c r="H352" s="117">
        <f t="shared" ref="H352:H390" si="73">(G352/C352)</f>
        <v>65088.40516910806</v>
      </c>
      <c r="I352" s="9"/>
      <c r="J352" s="10">
        <v>7.3521000000000001</v>
      </c>
      <c r="K352" s="117">
        <v>6239637</v>
      </c>
      <c r="L352" s="120">
        <f t="shared" si="64"/>
        <v>478.53646752051537</v>
      </c>
      <c r="M352" s="122">
        <f t="shared" si="69"/>
        <v>8486877.1500000004</v>
      </c>
      <c r="N352" s="116">
        <f t="shared" si="70"/>
        <v>2247240.1500000004</v>
      </c>
      <c r="O352" s="123">
        <f t="shared" si="71"/>
        <v>172.34758417056526</v>
      </c>
      <c r="P352" s="5"/>
      <c r="Q352" s="5">
        <f t="shared" si="67"/>
        <v>1</v>
      </c>
      <c r="R352" s="7">
        <f t="shared" si="68"/>
        <v>13039</v>
      </c>
      <c r="S352" s="5">
        <f t="shared" si="65"/>
        <v>1</v>
      </c>
      <c r="T352" s="7">
        <f t="shared" si="66"/>
        <v>13039</v>
      </c>
    </row>
    <row r="353" spans="1:20">
      <c r="A353" s="23" t="s">
        <v>378</v>
      </c>
      <c r="B353" s="35" t="s">
        <v>365</v>
      </c>
      <c r="C353" s="36">
        <v>93428</v>
      </c>
      <c r="D353" s="6"/>
      <c r="E353" s="113">
        <v>8908736117</v>
      </c>
      <c r="F353" s="116">
        <f t="shared" si="72"/>
        <v>95354.027882433526</v>
      </c>
      <c r="G353" s="117">
        <v>6045214497</v>
      </c>
      <c r="H353" s="117">
        <f t="shared" si="73"/>
        <v>64704.526448173994</v>
      </c>
      <c r="I353" s="9"/>
      <c r="J353" s="10">
        <v>3.2296</v>
      </c>
      <c r="K353" s="117">
        <v>19523625</v>
      </c>
      <c r="L353" s="120">
        <f t="shared" si="64"/>
        <v>208.96974140514621</v>
      </c>
      <c r="M353" s="122">
        <f t="shared" si="69"/>
        <v>60452144.969999999</v>
      </c>
      <c r="N353" s="116">
        <f t="shared" si="70"/>
        <v>40928519.969999999</v>
      </c>
      <c r="O353" s="123">
        <f t="shared" si="71"/>
        <v>438.07552307659375</v>
      </c>
      <c r="P353" s="5"/>
      <c r="Q353" s="5">
        <f t="shared" si="67"/>
        <v>1</v>
      </c>
      <c r="R353" s="7">
        <f t="shared" si="68"/>
        <v>93428</v>
      </c>
      <c r="S353" s="5">
        <f t="shared" si="65"/>
        <v>1</v>
      </c>
      <c r="T353" s="7">
        <f t="shared" si="66"/>
        <v>93428</v>
      </c>
    </row>
    <row r="354" spans="1:20">
      <c r="A354" s="23" t="s">
        <v>379</v>
      </c>
      <c r="B354" s="35" t="s">
        <v>365</v>
      </c>
      <c r="C354" s="36">
        <v>3495</v>
      </c>
      <c r="D354" s="6"/>
      <c r="E354" s="113">
        <v>274760853</v>
      </c>
      <c r="F354" s="116">
        <f t="shared" si="72"/>
        <v>78615.40858369098</v>
      </c>
      <c r="G354" s="117">
        <v>199404157</v>
      </c>
      <c r="H354" s="117">
        <f t="shared" si="73"/>
        <v>57054.122174535049</v>
      </c>
      <c r="I354" s="9"/>
      <c r="J354" s="10">
        <v>7.8357999999999999</v>
      </c>
      <c r="K354" s="117">
        <v>1562491</v>
      </c>
      <c r="L354" s="120">
        <f t="shared" si="64"/>
        <v>447.06466380543634</v>
      </c>
      <c r="M354" s="122">
        <f t="shared" si="69"/>
        <v>1994041.57</v>
      </c>
      <c r="N354" s="116">
        <f t="shared" si="70"/>
        <v>431550.57000000007</v>
      </c>
      <c r="O354" s="123">
        <f t="shared" si="71"/>
        <v>123.47655793991419</v>
      </c>
      <c r="P354" s="5"/>
      <c r="Q354" s="5">
        <f t="shared" si="67"/>
        <v>1</v>
      </c>
      <c r="R354" s="7">
        <f t="shared" si="68"/>
        <v>3495</v>
      </c>
      <c r="S354" s="5">
        <f t="shared" si="65"/>
        <v>1</v>
      </c>
      <c r="T354" s="7">
        <f t="shared" si="66"/>
        <v>3495</v>
      </c>
    </row>
    <row r="355" spans="1:20">
      <c r="A355" s="23" t="s">
        <v>380</v>
      </c>
      <c r="B355" s="35" t="s">
        <v>365</v>
      </c>
      <c r="C355" s="36">
        <v>1798</v>
      </c>
      <c r="D355" s="6"/>
      <c r="E355" s="113">
        <v>121884927</v>
      </c>
      <c r="F355" s="116">
        <f t="shared" si="72"/>
        <v>67789.169632925477</v>
      </c>
      <c r="G355" s="117">
        <v>84427208</v>
      </c>
      <c r="H355" s="117">
        <f t="shared" si="73"/>
        <v>46956.177975528364</v>
      </c>
      <c r="I355" s="7"/>
      <c r="J355" s="10">
        <v>6.6707000000000001</v>
      </c>
      <c r="K355" s="117">
        <v>563189</v>
      </c>
      <c r="L355" s="120">
        <f t="shared" si="64"/>
        <v>313.23081201334816</v>
      </c>
      <c r="M355" s="122">
        <f t="shared" si="69"/>
        <v>844272.08000000007</v>
      </c>
      <c r="N355" s="116">
        <f t="shared" si="70"/>
        <v>281083.08000000007</v>
      </c>
      <c r="O355" s="123">
        <f t="shared" si="71"/>
        <v>156.33096774193552</v>
      </c>
      <c r="P355" s="5"/>
      <c r="Q355" s="5">
        <f t="shared" si="67"/>
        <v>1</v>
      </c>
      <c r="R355" s="7">
        <f t="shared" si="68"/>
        <v>1798</v>
      </c>
      <c r="S355" s="5">
        <f t="shared" si="65"/>
        <v>1</v>
      </c>
      <c r="T355" s="7">
        <f t="shared" si="66"/>
        <v>1798</v>
      </c>
    </row>
    <row r="356" spans="1:20">
      <c r="A356" s="23" t="s">
        <v>381</v>
      </c>
      <c r="B356" s="35" t="s">
        <v>365</v>
      </c>
      <c r="C356" s="36">
        <v>33569</v>
      </c>
      <c r="D356" s="6"/>
      <c r="E356" s="113">
        <v>3080432035</v>
      </c>
      <c r="F356" s="116">
        <f t="shared" si="72"/>
        <v>91764.188239149211</v>
      </c>
      <c r="G356" s="117">
        <v>2180789937</v>
      </c>
      <c r="H356" s="117">
        <f t="shared" si="73"/>
        <v>64964.399803390035</v>
      </c>
      <c r="I356" s="7"/>
      <c r="J356" s="10">
        <v>5.8643999999999998</v>
      </c>
      <c r="K356" s="117">
        <v>12789025</v>
      </c>
      <c r="L356" s="120">
        <f t="shared" si="64"/>
        <v>380.97724090678901</v>
      </c>
      <c r="M356" s="122">
        <f t="shared" si="69"/>
        <v>21807899.370000001</v>
      </c>
      <c r="N356" s="116">
        <f t="shared" si="70"/>
        <v>9018874.370000001</v>
      </c>
      <c r="O356" s="123">
        <f t="shared" si="71"/>
        <v>268.66675712711134</v>
      </c>
      <c r="P356" s="5"/>
      <c r="Q356" s="5">
        <f t="shared" si="67"/>
        <v>1</v>
      </c>
      <c r="R356" s="7">
        <f t="shared" si="68"/>
        <v>33569</v>
      </c>
      <c r="S356" s="5">
        <f t="shared" si="65"/>
        <v>1</v>
      </c>
      <c r="T356" s="7">
        <f t="shared" si="66"/>
        <v>33569</v>
      </c>
    </row>
    <row r="357" spans="1:20">
      <c r="A357" s="23" t="s">
        <v>382</v>
      </c>
      <c r="B357" s="35" t="s">
        <v>383</v>
      </c>
      <c r="C357" s="36">
        <v>1778</v>
      </c>
      <c r="D357" s="6"/>
      <c r="E357" s="113">
        <v>127192959</v>
      </c>
      <c r="F357" s="116">
        <f t="shared" si="72"/>
        <v>71537.097300337453</v>
      </c>
      <c r="G357" s="117">
        <v>70535952</v>
      </c>
      <c r="H357" s="117">
        <f t="shared" si="73"/>
        <v>39671.514060742404</v>
      </c>
      <c r="I357" s="7"/>
      <c r="J357" s="10">
        <v>8.1722999999999999</v>
      </c>
      <c r="K357" s="117">
        <v>576441</v>
      </c>
      <c r="L357" s="120">
        <f t="shared" si="64"/>
        <v>324.20753655793027</v>
      </c>
      <c r="M357" s="122">
        <f t="shared" si="69"/>
        <v>705359.52</v>
      </c>
      <c r="N357" s="116">
        <f t="shared" si="70"/>
        <v>128918.52000000002</v>
      </c>
      <c r="O357" s="123">
        <f t="shared" si="71"/>
        <v>72.507604049493821</v>
      </c>
      <c r="P357" s="5"/>
      <c r="Q357" s="5">
        <f t="shared" si="67"/>
        <v>1</v>
      </c>
      <c r="R357" s="7">
        <f t="shared" si="68"/>
        <v>1778</v>
      </c>
      <c r="S357" s="5">
        <f t="shared" si="65"/>
        <v>1</v>
      </c>
      <c r="T357" s="7">
        <f t="shared" si="66"/>
        <v>1778</v>
      </c>
    </row>
    <row r="358" spans="1:20">
      <c r="A358" s="23" t="s">
        <v>384</v>
      </c>
      <c r="B358" s="35" t="s">
        <v>383</v>
      </c>
      <c r="C358" s="36">
        <v>1442</v>
      </c>
      <c r="D358" s="6"/>
      <c r="E358" s="113">
        <v>133936594</v>
      </c>
      <c r="F358" s="116">
        <f t="shared" si="72"/>
        <v>92882.520110957004</v>
      </c>
      <c r="G358" s="117">
        <v>67591137</v>
      </c>
      <c r="H358" s="117">
        <f t="shared" si="73"/>
        <v>46873.187933425797</v>
      </c>
      <c r="I358" s="7"/>
      <c r="J358" s="10">
        <v>8.5</v>
      </c>
      <c r="K358" s="117">
        <v>574525</v>
      </c>
      <c r="L358" s="120">
        <f t="shared" ref="L358:L382" si="74">(K358/C358)</f>
        <v>398.42233009708735</v>
      </c>
      <c r="M358" s="122">
        <f t="shared" si="69"/>
        <v>675911.37</v>
      </c>
      <c r="N358" s="116">
        <f t="shared" si="70"/>
        <v>101386.37</v>
      </c>
      <c r="O358" s="123">
        <f t="shared" si="71"/>
        <v>70.3095492371706</v>
      </c>
      <c r="P358" s="5"/>
      <c r="Q358" s="5">
        <f t="shared" si="67"/>
        <v>1</v>
      </c>
      <c r="R358" s="7">
        <f t="shared" si="68"/>
        <v>1442</v>
      </c>
      <c r="S358" s="5">
        <f t="shared" si="65"/>
        <v>1</v>
      </c>
      <c r="T358" s="7">
        <f t="shared" si="66"/>
        <v>1442</v>
      </c>
    </row>
    <row r="359" spans="1:20">
      <c r="A359" s="23" t="s">
        <v>385</v>
      </c>
      <c r="B359" s="35" t="s">
        <v>383</v>
      </c>
      <c r="C359" s="36">
        <v>11470</v>
      </c>
      <c r="D359" s="6"/>
      <c r="E359" s="113">
        <v>837742302</v>
      </c>
      <c r="F359" s="116">
        <f t="shared" si="72"/>
        <v>73037.689799476895</v>
      </c>
      <c r="G359" s="117">
        <v>433960817</v>
      </c>
      <c r="H359" s="117">
        <f t="shared" si="73"/>
        <v>37834.421708805581</v>
      </c>
      <c r="I359" s="7"/>
      <c r="J359" s="10">
        <v>8.5</v>
      </c>
      <c r="K359" s="117">
        <v>3688667</v>
      </c>
      <c r="L359" s="120">
        <f t="shared" si="74"/>
        <v>321.59258936355712</v>
      </c>
      <c r="M359" s="122">
        <f t="shared" si="69"/>
        <v>4339608.17</v>
      </c>
      <c r="N359" s="116">
        <f t="shared" si="70"/>
        <v>650941.16999999993</v>
      </c>
      <c r="O359" s="123">
        <f t="shared" si="71"/>
        <v>56.751627724498682</v>
      </c>
      <c r="P359" s="5"/>
      <c r="Q359" s="5">
        <f t="shared" si="67"/>
        <v>1</v>
      </c>
      <c r="R359" s="7">
        <f t="shared" si="68"/>
        <v>11470</v>
      </c>
      <c r="S359" s="5">
        <f t="shared" si="65"/>
        <v>1</v>
      </c>
      <c r="T359" s="7">
        <f t="shared" si="66"/>
        <v>11470</v>
      </c>
    </row>
    <row r="360" spans="1:20">
      <c r="A360" s="23" t="s">
        <v>386</v>
      </c>
      <c r="B360" s="35" t="s">
        <v>383</v>
      </c>
      <c r="C360" s="36">
        <v>787</v>
      </c>
      <c r="D360" s="6"/>
      <c r="E360" s="113">
        <v>54504722</v>
      </c>
      <c r="F360" s="116">
        <f t="shared" si="72"/>
        <v>69256.317662007626</v>
      </c>
      <c r="G360" s="117">
        <v>32681916</v>
      </c>
      <c r="H360" s="117">
        <f t="shared" si="73"/>
        <v>41527.212198221096</v>
      </c>
      <c r="I360" s="7"/>
      <c r="J360" s="10">
        <v>4.7736999999999998</v>
      </c>
      <c r="K360" s="117">
        <v>156014</v>
      </c>
      <c r="L360" s="120">
        <f t="shared" si="74"/>
        <v>198.23888182973317</v>
      </c>
      <c r="M360" s="122">
        <f t="shared" si="69"/>
        <v>326819.16000000003</v>
      </c>
      <c r="N360" s="116">
        <f t="shared" si="70"/>
        <v>170805.16000000003</v>
      </c>
      <c r="O360" s="123">
        <f t="shared" si="71"/>
        <v>217.03324015247782</v>
      </c>
      <c r="P360" s="5"/>
      <c r="Q360" s="5">
        <f t="shared" si="67"/>
        <v>1</v>
      </c>
      <c r="R360" s="7">
        <f t="shared" si="68"/>
        <v>787</v>
      </c>
      <c r="S360" s="5">
        <f t="shared" si="65"/>
        <v>1</v>
      </c>
      <c r="T360" s="7">
        <f t="shared" si="66"/>
        <v>787</v>
      </c>
    </row>
    <row r="361" spans="1:20">
      <c r="A361" s="23" t="s">
        <v>387</v>
      </c>
      <c r="B361" s="35" t="s">
        <v>383</v>
      </c>
      <c r="C361" s="36">
        <v>646</v>
      </c>
      <c r="D361" s="6"/>
      <c r="E361" s="113">
        <v>93147096</v>
      </c>
      <c r="F361" s="116">
        <f t="shared" si="72"/>
        <v>144190.55108359133</v>
      </c>
      <c r="G361" s="117">
        <v>65412983</v>
      </c>
      <c r="H361" s="117">
        <f t="shared" si="73"/>
        <v>101258.48761609907</v>
      </c>
      <c r="I361" s="7"/>
      <c r="J361" s="10">
        <v>5.5049999999999999</v>
      </c>
      <c r="K361" s="117">
        <v>360098</v>
      </c>
      <c r="L361" s="120">
        <f t="shared" si="74"/>
        <v>557.42724458204339</v>
      </c>
      <c r="M361" s="122">
        <f t="shared" si="69"/>
        <v>654129.82999999996</v>
      </c>
      <c r="N361" s="116">
        <f t="shared" si="70"/>
        <v>294031.82999999996</v>
      </c>
      <c r="O361" s="123">
        <f t="shared" si="71"/>
        <v>455.1576315789473</v>
      </c>
      <c r="P361" s="5"/>
      <c r="Q361" s="5">
        <f t="shared" si="67"/>
        <v>1</v>
      </c>
      <c r="R361" s="7">
        <f t="shared" si="68"/>
        <v>646</v>
      </c>
      <c r="S361" s="5">
        <f t="shared" si="65"/>
        <v>1</v>
      </c>
      <c r="T361" s="7">
        <f t="shared" si="66"/>
        <v>646</v>
      </c>
    </row>
    <row r="362" spans="1:20">
      <c r="A362" s="23" t="s">
        <v>390</v>
      </c>
      <c r="B362" s="35" t="s">
        <v>391</v>
      </c>
      <c r="C362" s="36">
        <v>5805</v>
      </c>
      <c r="D362" s="6"/>
      <c r="E362" s="113">
        <v>1144267173</v>
      </c>
      <c r="F362" s="116">
        <f t="shared" si="72"/>
        <v>197117.51472868217</v>
      </c>
      <c r="G362" s="117">
        <v>684777132</v>
      </c>
      <c r="H362" s="117">
        <f t="shared" si="73"/>
        <v>117963.33023255815</v>
      </c>
      <c r="I362" s="7"/>
      <c r="J362" s="10">
        <v>1.552</v>
      </c>
      <c r="K362" s="117">
        <v>1062774</v>
      </c>
      <c r="L362" s="120">
        <f t="shared" si="74"/>
        <v>183.07906976744187</v>
      </c>
      <c r="M362" s="122">
        <f t="shared" si="69"/>
        <v>6847771.3200000003</v>
      </c>
      <c r="N362" s="116">
        <f t="shared" si="70"/>
        <v>5784997.3200000003</v>
      </c>
      <c r="O362" s="123">
        <f t="shared" si="71"/>
        <v>996.55423255813957</v>
      </c>
      <c r="P362" s="5"/>
      <c r="Q362" s="5">
        <f t="shared" si="67"/>
        <v>1</v>
      </c>
      <c r="R362" s="7">
        <f t="shared" si="68"/>
        <v>5805</v>
      </c>
      <c r="S362" s="5">
        <f t="shared" si="65"/>
        <v>1</v>
      </c>
      <c r="T362" s="7">
        <f t="shared" si="66"/>
        <v>5805</v>
      </c>
    </row>
    <row r="363" spans="1:20">
      <c r="A363" s="23" t="s">
        <v>392</v>
      </c>
      <c r="B363" s="35" t="s">
        <v>391</v>
      </c>
      <c r="C363" s="36">
        <v>572</v>
      </c>
      <c r="D363" s="6"/>
      <c r="E363" s="113">
        <v>61109315</v>
      </c>
      <c r="F363" s="116">
        <f t="shared" si="72"/>
        <v>106834.46678321678</v>
      </c>
      <c r="G363" s="117">
        <v>39701168</v>
      </c>
      <c r="H363" s="117">
        <f t="shared" si="73"/>
        <v>69407.636363636368</v>
      </c>
      <c r="I363" s="7"/>
      <c r="J363" s="10">
        <v>2</v>
      </c>
      <c r="K363" s="117">
        <v>79402</v>
      </c>
      <c r="L363" s="120">
        <f t="shared" si="74"/>
        <v>138.81468531468531</v>
      </c>
      <c r="M363" s="122">
        <f t="shared" si="69"/>
        <v>397011.68</v>
      </c>
      <c r="N363" s="116">
        <f t="shared" si="70"/>
        <v>317609.68</v>
      </c>
      <c r="O363" s="123">
        <f t="shared" si="71"/>
        <v>555.26167832167835</v>
      </c>
      <c r="P363" s="5"/>
      <c r="Q363" s="5">
        <f t="shared" si="67"/>
        <v>1</v>
      </c>
      <c r="R363" s="7">
        <f t="shared" si="68"/>
        <v>572</v>
      </c>
      <c r="S363" s="5">
        <f t="shared" si="65"/>
        <v>1</v>
      </c>
      <c r="T363" s="7">
        <f t="shared" si="66"/>
        <v>572</v>
      </c>
    </row>
    <row r="364" spans="1:20">
      <c r="A364" s="23" t="s">
        <v>393</v>
      </c>
      <c r="B364" s="35" t="s">
        <v>391</v>
      </c>
      <c r="C364" s="36">
        <v>7717</v>
      </c>
      <c r="D364" s="6"/>
      <c r="E364" s="113">
        <v>540861776</v>
      </c>
      <c r="F364" s="116">
        <f t="shared" si="72"/>
        <v>70087.051444861994</v>
      </c>
      <c r="G364" s="117">
        <v>347762899</v>
      </c>
      <c r="H364" s="117">
        <f t="shared" si="73"/>
        <v>45064.519761565374</v>
      </c>
      <c r="I364" s="7"/>
      <c r="J364" s="10">
        <v>2.75</v>
      </c>
      <c r="K364" s="117">
        <v>956348</v>
      </c>
      <c r="L364" s="120">
        <f t="shared" si="74"/>
        <v>123.92743294026177</v>
      </c>
      <c r="M364" s="122">
        <f t="shared" si="69"/>
        <v>3477628.99</v>
      </c>
      <c r="N364" s="116">
        <f t="shared" si="70"/>
        <v>2521280.9900000002</v>
      </c>
      <c r="O364" s="123">
        <f t="shared" si="71"/>
        <v>326.717764675392</v>
      </c>
      <c r="P364" s="5"/>
      <c r="Q364" s="5">
        <f t="shared" si="67"/>
        <v>1</v>
      </c>
      <c r="R364" s="7">
        <f t="shared" si="68"/>
        <v>7717</v>
      </c>
      <c r="S364" s="5">
        <f t="shared" si="65"/>
        <v>1</v>
      </c>
      <c r="T364" s="7">
        <f t="shared" si="66"/>
        <v>7717</v>
      </c>
    </row>
    <row r="365" spans="1:20">
      <c r="A365" s="23" t="s">
        <v>394</v>
      </c>
      <c r="B365" s="35" t="s">
        <v>395</v>
      </c>
      <c r="C365" s="36">
        <v>53732</v>
      </c>
      <c r="D365" s="6"/>
      <c r="E365" s="113">
        <v>6972721754</v>
      </c>
      <c r="F365" s="116">
        <f t="shared" si="72"/>
        <v>129768.51325094915</v>
      </c>
      <c r="G365" s="117">
        <v>5581541930</v>
      </c>
      <c r="H365" s="117">
        <f t="shared" si="73"/>
        <v>103877.42741755379</v>
      </c>
      <c r="I365" s="7"/>
      <c r="J365" s="10">
        <v>2.9805000000000001</v>
      </c>
      <c r="K365" s="117">
        <v>16635786</v>
      </c>
      <c r="L365" s="120">
        <f t="shared" si="74"/>
        <v>309.60667758505173</v>
      </c>
      <c r="M365" s="122">
        <f t="shared" si="69"/>
        <v>55815419.300000004</v>
      </c>
      <c r="N365" s="116">
        <f t="shared" si="70"/>
        <v>39179633.300000004</v>
      </c>
      <c r="O365" s="123">
        <f t="shared" si="71"/>
        <v>729.16759659048626</v>
      </c>
      <c r="P365" s="5"/>
      <c r="Q365" s="5">
        <f t="shared" si="67"/>
        <v>1</v>
      </c>
      <c r="R365" s="7">
        <f t="shared" si="68"/>
        <v>53732</v>
      </c>
      <c r="S365" s="5">
        <f t="shared" si="65"/>
        <v>1</v>
      </c>
      <c r="T365" s="7">
        <f t="shared" si="66"/>
        <v>53732</v>
      </c>
    </row>
    <row r="366" spans="1:20">
      <c r="A366" s="23" t="s">
        <v>395</v>
      </c>
      <c r="B366" s="35" t="s">
        <v>395</v>
      </c>
      <c r="C366" s="36">
        <v>55644</v>
      </c>
      <c r="D366" s="6"/>
      <c r="E366" s="113">
        <v>15313049305</v>
      </c>
      <c r="F366" s="116">
        <f t="shared" si="72"/>
        <v>275196.77422543312</v>
      </c>
      <c r="G366" s="117">
        <v>10295562093</v>
      </c>
      <c r="H366" s="117">
        <f t="shared" si="73"/>
        <v>185025.55698727624</v>
      </c>
      <c r="I366" s="7"/>
      <c r="J366" s="10">
        <v>2.7770999999999999</v>
      </c>
      <c r="K366" s="117">
        <v>28591805</v>
      </c>
      <c r="L366" s="120">
        <f t="shared" si="74"/>
        <v>513.83446553087481</v>
      </c>
      <c r="M366" s="122">
        <f t="shared" si="69"/>
        <v>102955620.93000001</v>
      </c>
      <c r="N366" s="116">
        <f t="shared" si="70"/>
        <v>74363815.930000007</v>
      </c>
      <c r="O366" s="123">
        <f t="shared" si="71"/>
        <v>1336.4211043418879</v>
      </c>
      <c r="P366" s="5"/>
      <c r="Q366" s="5">
        <f t="shared" si="67"/>
        <v>1</v>
      </c>
      <c r="R366" s="7">
        <f t="shared" si="68"/>
        <v>55644</v>
      </c>
      <c r="S366" s="5">
        <f t="shared" si="65"/>
        <v>1</v>
      </c>
      <c r="T366" s="7">
        <f t="shared" si="66"/>
        <v>55644</v>
      </c>
    </row>
    <row r="367" spans="1:20">
      <c r="A367" s="23" t="s">
        <v>396</v>
      </c>
      <c r="B367" s="35" t="s">
        <v>395</v>
      </c>
      <c r="C367" s="36">
        <v>22149</v>
      </c>
      <c r="D367" s="6"/>
      <c r="E367" s="113">
        <v>5648418841</v>
      </c>
      <c r="F367" s="116">
        <f t="shared" si="72"/>
        <v>255019.13589778318</v>
      </c>
      <c r="G367" s="117">
        <v>4335628082</v>
      </c>
      <c r="H367" s="117">
        <f t="shared" si="73"/>
        <v>195748.25418754798</v>
      </c>
      <c r="I367" s="7"/>
      <c r="J367" s="10">
        <v>2.7789999999999999</v>
      </c>
      <c r="K367" s="117">
        <v>12048710</v>
      </c>
      <c r="L367" s="120">
        <f t="shared" si="74"/>
        <v>543.98437852724726</v>
      </c>
      <c r="M367" s="122">
        <f t="shared" si="69"/>
        <v>43356280.82</v>
      </c>
      <c r="N367" s="116">
        <f t="shared" si="70"/>
        <v>31307570.82</v>
      </c>
      <c r="O367" s="123">
        <f t="shared" si="71"/>
        <v>1413.4981633482325</v>
      </c>
      <c r="P367" s="5"/>
      <c r="Q367" s="5">
        <f t="shared" si="67"/>
        <v>1</v>
      </c>
      <c r="R367" s="7">
        <f t="shared" si="68"/>
        <v>22149</v>
      </c>
      <c r="S367" s="5">
        <f t="shared" si="65"/>
        <v>1</v>
      </c>
      <c r="T367" s="7">
        <f t="shared" si="66"/>
        <v>22149</v>
      </c>
    </row>
    <row r="368" spans="1:20">
      <c r="A368" s="23" t="s">
        <v>397</v>
      </c>
      <c r="B368" s="35" t="s">
        <v>360</v>
      </c>
      <c r="C368" s="36">
        <v>43529</v>
      </c>
      <c r="D368" s="6"/>
      <c r="E368" s="113">
        <v>4730256292</v>
      </c>
      <c r="F368" s="116">
        <f t="shared" si="72"/>
        <v>108669.07790208826</v>
      </c>
      <c r="G368" s="117">
        <v>3733291896</v>
      </c>
      <c r="H368" s="117">
        <f t="shared" si="73"/>
        <v>85765.625123480902</v>
      </c>
      <c r="I368" s="7"/>
      <c r="J368" s="10">
        <v>2.4342999999999999</v>
      </c>
      <c r="K368" s="117">
        <v>9087952</v>
      </c>
      <c r="L368" s="120">
        <f t="shared" si="74"/>
        <v>208.77925061453283</v>
      </c>
      <c r="M368" s="122">
        <f t="shared" si="69"/>
        <v>37332918.960000001</v>
      </c>
      <c r="N368" s="116">
        <f t="shared" si="70"/>
        <v>28244966.960000001</v>
      </c>
      <c r="O368" s="123">
        <f t="shared" si="71"/>
        <v>648.87700062027614</v>
      </c>
      <c r="P368" s="5"/>
      <c r="Q368" s="5">
        <f t="shared" si="67"/>
        <v>1</v>
      </c>
      <c r="R368" s="7">
        <f t="shared" si="68"/>
        <v>43529</v>
      </c>
      <c r="S368" s="5">
        <f t="shared" si="65"/>
        <v>1</v>
      </c>
      <c r="T368" s="7">
        <f t="shared" si="66"/>
        <v>43529</v>
      </c>
    </row>
    <row r="369" spans="1:20">
      <c r="A369" s="23" t="s">
        <v>398</v>
      </c>
      <c r="B369" s="35" t="s">
        <v>360</v>
      </c>
      <c r="C369" s="36">
        <v>25013</v>
      </c>
      <c r="D369" s="6"/>
      <c r="E369" s="113">
        <v>2223434880</v>
      </c>
      <c r="F369" s="116">
        <f t="shared" si="72"/>
        <v>88891.171790668857</v>
      </c>
      <c r="G369" s="117">
        <v>1598475028</v>
      </c>
      <c r="H369" s="117">
        <f t="shared" si="73"/>
        <v>63905.770119537839</v>
      </c>
      <c r="I369" s="7"/>
      <c r="J369" s="10">
        <v>4.5410000000000004</v>
      </c>
      <c r="K369" s="117">
        <v>7258675</v>
      </c>
      <c r="L369" s="120">
        <f t="shared" si="74"/>
        <v>290.19609802902488</v>
      </c>
      <c r="M369" s="122">
        <f t="shared" si="69"/>
        <v>15984750.280000001</v>
      </c>
      <c r="N369" s="116">
        <f t="shared" si="70"/>
        <v>8726075.2800000012</v>
      </c>
      <c r="O369" s="123">
        <f t="shared" si="71"/>
        <v>348.86160316635352</v>
      </c>
      <c r="P369" s="5"/>
      <c r="Q369" s="5">
        <f t="shared" si="67"/>
        <v>1</v>
      </c>
      <c r="R369" s="7">
        <f t="shared" si="68"/>
        <v>25013</v>
      </c>
      <c r="S369" s="5">
        <f t="shared" si="65"/>
        <v>1</v>
      </c>
      <c r="T369" s="7">
        <f t="shared" si="66"/>
        <v>25013</v>
      </c>
    </row>
    <row r="370" spans="1:20">
      <c r="A370" s="23" t="s">
        <v>399</v>
      </c>
      <c r="B370" s="35" t="s">
        <v>360</v>
      </c>
      <c r="C370" s="36">
        <v>14288</v>
      </c>
      <c r="D370" s="6"/>
      <c r="E370" s="113">
        <v>2927880071</v>
      </c>
      <c r="F370" s="116">
        <f t="shared" si="72"/>
        <v>204918.81795912655</v>
      </c>
      <c r="G370" s="117">
        <v>2260669266</v>
      </c>
      <c r="H370" s="117">
        <f t="shared" si="73"/>
        <v>158221.53317469204</v>
      </c>
      <c r="I370" s="7"/>
      <c r="J370" s="10">
        <v>3.5796999999999999</v>
      </c>
      <c r="K370" s="117">
        <v>8092518</v>
      </c>
      <c r="L370" s="120">
        <f t="shared" si="74"/>
        <v>566.38563829787233</v>
      </c>
      <c r="M370" s="122">
        <f t="shared" si="69"/>
        <v>22606692.66</v>
      </c>
      <c r="N370" s="116">
        <f t="shared" si="70"/>
        <v>14514174.66</v>
      </c>
      <c r="O370" s="123">
        <f t="shared" si="71"/>
        <v>1015.8296934490481</v>
      </c>
      <c r="P370" s="5"/>
      <c r="Q370" s="5">
        <f t="shared" si="67"/>
        <v>1</v>
      </c>
      <c r="R370" s="7">
        <f t="shared" si="68"/>
        <v>14288</v>
      </c>
      <c r="S370" s="5">
        <f t="shared" si="65"/>
        <v>1</v>
      </c>
      <c r="T370" s="7">
        <f t="shared" si="66"/>
        <v>14288</v>
      </c>
    </row>
    <row r="371" spans="1:20">
      <c r="A371" s="23" t="s">
        <v>400</v>
      </c>
      <c r="B371" s="35" t="s">
        <v>360</v>
      </c>
      <c r="C371" s="36">
        <v>14062</v>
      </c>
      <c r="D371" s="6"/>
      <c r="E371" s="113">
        <v>1730304377</v>
      </c>
      <c r="F371" s="116">
        <f t="shared" si="72"/>
        <v>123048.24185748826</v>
      </c>
      <c r="G371" s="117">
        <v>1221156737</v>
      </c>
      <c r="H371" s="117">
        <f t="shared" si="73"/>
        <v>86840.900085336369</v>
      </c>
      <c r="I371" s="7"/>
      <c r="J371" s="10">
        <v>4.99</v>
      </c>
      <c r="K371" s="117">
        <v>6093572</v>
      </c>
      <c r="L371" s="120">
        <f t="shared" si="74"/>
        <v>433.33608306073103</v>
      </c>
      <c r="M371" s="122">
        <f t="shared" si="69"/>
        <v>12211567.370000001</v>
      </c>
      <c r="N371" s="116">
        <f t="shared" si="70"/>
        <v>6117995.370000001</v>
      </c>
      <c r="O371" s="123">
        <f t="shared" si="71"/>
        <v>435.07291779263272</v>
      </c>
      <c r="P371" s="5"/>
      <c r="Q371" s="5">
        <f t="shared" si="67"/>
        <v>1</v>
      </c>
      <c r="R371" s="7">
        <f t="shared" si="68"/>
        <v>14062</v>
      </c>
      <c r="S371" s="5">
        <f t="shared" si="65"/>
        <v>1</v>
      </c>
      <c r="T371" s="7">
        <f t="shared" si="66"/>
        <v>14062</v>
      </c>
    </row>
    <row r="372" spans="1:20">
      <c r="A372" s="23" t="s">
        <v>401</v>
      </c>
      <c r="B372" s="35" t="s">
        <v>360</v>
      </c>
      <c r="C372" s="36">
        <v>32855</v>
      </c>
      <c r="D372" s="6"/>
      <c r="E372" s="113">
        <v>3614580334</v>
      </c>
      <c r="F372" s="116">
        <f t="shared" si="72"/>
        <v>110016.14165271648</v>
      </c>
      <c r="G372" s="117">
        <v>2441090301</v>
      </c>
      <c r="H372" s="117">
        <f t="shared" si="73"/>
        <v>74298.898219449096</v>
      </c>
      <c r="I372" s="7"/>
      <c r="J372" s="10">
        <v>4.6544999999999996</v>
      </c>
      <c r="K372" s="117">
        <v>11362055</v>
      </c>
      <c r="L372" s="120">
        <f t="shared" si="74"/>
        <v>345.82422766702177</v>
      </c>
      <c r="M372" s="122">
        <f t="shared" si="69"/>
        <v>24410903.010000002</v>
      </c>
      <c r="N372" s="116">
        <f t="shared" si="70"/>
        <v>13048848.010000002</v>
      </c>
      <c r="O372" s="123">
        <f t="shared" si="71"/>
        <v>397.16475452746926</v>
      </c>
      <c r="P372" s="5"/>
      <c r="Q372" s="5">
        <f t="shared" si="67"/>
        <v>1</v>
      </c>
      <c r="R372" s="7">
        <f t="shared" si="68"/>
        <v>32855</v>
      </c>
      <c r="S372" s="5">
        <f t="shared" si="65"/>
        <v>1</v>
      </c>
      <c r="T372" s="7">
        <f t="shared" si="66"/>
        <v>32855</v>
      </c>
    </row>
    <row r="373" spans="1:20">
      <c r="A373" s="23" t="s">
        <v>402</v>
      </c>
      <c r="B373" s="35" t="s">
        <v>360</v>
      </c>
      <c r="C373" s="36">
        <v>53099</v>
      </c>
      <c r="D373" s="6"/>
      <c r="E373" s="113">
        <v>4770827365</v>
      </c>
      <c r="F373" s="116">
        <f t="shared" si="72"/>
        <v>89847.781784967709</v>
      </c>
      <c r="G373" s="117">
        <v>3407806390</v>
      </c>
      <c r="H373" s="117">
        <f t="shared" si="73"/>
        <v>64178.353452984047</v>
      </c>
      <c r="I373" s="7"/>
      <c r="J373" s="10">
        <v>6.3250000000000002</v>
      </c>
      <c r="K373" s="117">
        <v>21554375</v>
      </c>
      <c r="L373" s="120">
        <f t="shared" si="74"/>
        <v>405.92807774157706</v>
      </c>
      <c r="M373" s="122">
        <f t="shared" si="69"/>
        <v>34078063.899999999</v>
      </c>
      <c r="N373" s="116">
        <f t="shared" si="70"/>
        <v>12523688.899999999</v>
      </c>
      <c r="O373" s="123">
        <f t="shared" si="71"/>
        <v>235.85545678826341</v>
      </c>
      <c r="P373" s="5"/>
      <c r="Q373" s="5">
        <f t="shared" si="67"/>
        <v>1</v>
      </c>
      <c r="R373" s="7">
        <f t="shared" si="68"/>
        <v>53099</v>
      </c>
      <c r="S373" s="5">
        <f t="shared" si="65"/>
        <v>1</v>
      </c>
      <c r="T373" s="7">
        <f t="shared" si="66"/>
        <v>53099</v>
      </c>
    </row>
    <row r="374" spans="1:20">
      <c r="A374" s="23" t="s">
        <v>403</v>
      </c>
      <c r="B374" s="35" t="s">
        <v>360</v>
      </c>
      <c r="C374" s="36">
        <v>34433</v>
      </c>
      <c r="D374" s="6"/>
      <c r="E374" s="113">
        <v>3582778093</v>
      </c>
      <c r="F374" s="116">
        <f t="shared" si="72"/>
        <v>104050.70987134436</v>
      </c>
      <c r="G374" s="117">
        <v>2220522082</v>
      </c>
      <c r="H374" s="117">
        <f t="shared" si="73"/>
        <v>64488.19684604885</v>
      </c>
      <c r="I374" s="7"/>
      <c r="J374" s="10">
        <v>3.2496</v>
      </c>
      <c r="K374" s="117">
        <v>7215809</v>
      </c>
      <c r="L374" s="120">
        <f t="shared" si="74"/>
        <v>209.5608573171086</v>
      </c>
      <c r="M374" s="122">
        <f t="shared" si="69"/>
        <v>22205220.82</v>
      </c>
      <c r="N374" s="116">
        <f t="shared" si="70"/>
        <v>14989411.82</v>
      </c>
      <c r="O374" s="123">
        <f t="shared" si="71"/>
        <v>435.32111114337988</v>
      </c>
      <c r="P374" s="5"/>
      <c r="Q374" s="5">
        <f t="shared" si="67"/>
        <v>1</v>
      </c>
      <c r="R374" s="7">
        <f t="shared" si="68"/>
        <v>34433</v>
      </c>
      <c r="S374" s="5">
        <f t="shared" si="65"/>
        <v>1</v>
      </c>
      <c r="T374" s="7">
        <f t="shared" si="66"/>
        <v>34433</v>
      </c>
    </row>
    <row r="375" spans="1:20">
      <c r="A375" s="23" t="s">
        <v>388</v>
      </c>
      <c r="B375" s="35" t="s">
        <v>551</v>
      </c>
      <c r="C375" s="36">
        <v>685</v>
      </c>
      <c r="D375" s="6"/>
      <c r="E375" s="113">
        <v>51020501</v>
      </c>
      <c r="F375" s="116">
        <f t="shared" si="72"/>
        <v>74482.483211678831</v>
      </c>
      <c r="G375" s="117">
        <v>32114411</v>
      </c>
      <c r="H375" s="117">
        <f t="shared" si="73"/>
        <v>46882.351824817517</v>
      </c>
      <c r="I375" s="7"/>
      <c r="J375" s="10">
        <v>7.7087000000000003</v>
      </c>
      <c r="K375" s="117">
        <v>247560</v>
      </c>
      <c r="L375" s="120">
        <f t="shared" si="74"/>
        <v>361.4014598540146</v>
      </c>
      <c r="M375" s="122">
        <f t="shared" si="69"/>
        <v>321144.11</v>
      </c>
      <c r="N375" s="116">
        <f t="shared" si="70"/>
        <v>73584.109999999986</v>
      </c>
      <c r="O375" s="123">
        <f t="shared" si="71"/>
        <v>107.42205839416056</v>
      </c>
      <c r="P375" s="5"/>
      <c r="Q375" s="5">
        <f t="shared" si="67"/>
        <v>1</v>
      </c>
      <c r="R375" s="7">
        <f t="shared" si="68"/>
        <v>685</v>
      </c>
      <c r="S375" s="5">
        <f t="shared" si="65"/>
        <v>1</v>
      </c>
      <c r="T375" s="7">
        <f t="shared" si="66"/>
        <v>685</v>
      </c>
    </row>
    <row r="376" spans="1:20">
      <c r="A376" s="23" t="s">
        <v>549</v>
      </c>
      <c r="B376" s="35" t="s">
        <v>551</v>
      </c>
      <c r="C376" s="36">
        <v>13912</v>
      </c>
      <c r="D376" s="6"/>
      <c r="E376" s="113">
        <v>2768894675</v>
      </c>
      <c r="F376" s="116">
        <f t="shared" si="72"/>
        <v>199029.23195802185</v>
      </c>
      <c r="G376" s="117">
        <v>1756679689</v>
      </c>
      <c r="H376" s="117">
        <f t="shared" si="73"/>
        <v>126270.82295859689</v>
      </c>
      <c r="I376" s="7"/>
      <c r="J376" s="10">
        <v>6.3129</v>
      </c>
      <c r="K376" s="117">
        <v>11089743</v>
      </c>
      <c r="L376" s="120">
        <f t="shared" si="74"/>
        <v>797.13506325474407</v>
      </c>
      <c r="M376" s="122">
        <f t="shared" si="69"/>
        <v>17566796.890000001</v>
      </c>
      <c r="N376" s="116">
        <f t="shared" si="70"/>
        <v>6477053.8900000006</v>
      </c>
      <c r="O376" s="123">
        <f t="shared" si="71"/>
        <v>465.57316633122491</v>
      </c>
      <c r="P376" s="5"/>
      <c r="Q376" s="5">
        <f t="shared" si="67"/>
        <v>1</v>
      </c>
      <c r="R376" s="7">
        <f t="shared" si="68"/>
        <v>13912</v>
      </c>
      <c r="S376" s="5">
        <f t="shared" si="65"/>
        <v>1</v>
      </c>
      <c r="T376" s="7">
        <f t="shared" si="66"/>
        <v>13912</v>
      </c>
    </row>
    <row r="377" spans="1:20">
      <c r="A377" s="23" t="s">
        <v>550</v>
      </c>
      <c r="B377" s="35" t="s">
        <v>551</v>
      </c>
      <c r="C377" s="36">
        <v>6031</v>
      </c>
      <c r="D377" s="6"/>
      <c r="E377" s="113">
        <v>1671244722</v>
      </c>
      <c r="F377" s="116">
        <f t="shared" si="72"/>
        <v>277109.05687282374</v>
      </c>
      <c r="G377" s="117">
        <v>1380279148</v>
      </c>
      <c r="H377" s="117">
        <f t="shared" si="73"/>
        <v>228864.06035483337</v>
      </c>
      <c r="I377" s="7"/>
      <c r="J377" s="10">
        <v>1.5864</v>
      </c>
      <c r="K377" s="117">
        <v>2189675</v>
      </c>
      <c r="L377" s="120">
        <f t="shared" si="74"/>
        <v>363.06997181230309</v>
      </c>
      <c r="M377" s="122">
        <f t="shared" si="69"/>
        <v>13802791.48</v>
      </c>
      <c r="N377" s="116">
        <f t="shared" si="70"/>
        <v>11613116.48</v>
      </c>
      <c r="O377" s="123">
        <f t="shared" si="71"/>
        <v>1925.5706317360307</v>
      </c>
      <c r="P377" s="5"/>
      <c r="Q377" s="5">
        <f t="shared" si="67"/>
        <v>1</v>
      </c>
      <c r="R377" s="7">
        <f t="shared" si="68"/>
        <v>6031</v>
      </c>
      <c r="S377" s="5">
        <f t="shared" si="65"/>
        <v>1</v>
      </c>
      <c r="T377" s="7">
        <f t="shared" si="66"/>
        <v>6031</v>
      </c>
    </row>
    <row r="378" spans="1:20">
      <c r="A378" s="23" t="s">
        <v>389</v>
      </c>
      <c r="B378" s="35" t="s">
        <v>552</v>
      </c>
      <c r="C378" s="36">
        <v>41972</v>
      </c>
      <c r="D378" s="6"/>
      <c r="E378" s="113">
        <v>4353838496</v>
      </c>
      <c r="F378" s="116">
        <f t="shared" si="72"/>
        <v>103731.97598398932</v>
      </c>
      <c r="G378" s="117">
        <v>3062235349</v>
      </c>
      <c r="H378" s="117">
        <f t="shared" si="73"/>
        <v>72959.004788906896</v>
      </c>
      <c r="I378" s="7"/>
      <c r="J378" s="10">
        <v>5.4673999999999996</v>
      </c>
      <c r="K378" s="117">
        <v>16742466</v>
      </c>
      <c r="L378" s="120">
        <f t="shared" si="74"/>
        <v>398.89607357285809</v>
      </c>
      <c r="M378" s="122">
        <f t="shared" si="69"/>
        <v>30622353.490000002</v>
      </c>
      <c r="N378" s="116">
        <f t="shared" si="70"/>
        <v>13879887.490000002</v>
      </c>
      <c r="O378" s="123">
        <f t="shared" si="71"/>
        <v>330.69397431621087</v>
      </c>
      <c r="P378" s="5"/>
      <c r="Q378" s="5">
        <f t="shared" si="67"/>
        <v>1</v>
      </c>
      <c r="R378" s="7">
        <f t="shared" si="68"/>
        <v>41972</v>
      </c>
      <c r="S378" s="5">
        <f t="shared" si="65"/>
        <v>1</v>
      </c>
      <c r="T378" s="7">
        <f t="shared" si="66"/>
        <v>41972</v>
      </c>
    </row>
    <row r="379" spans="1:20">
      <c r="A379" s="23" t="s">
        <v>553</v>
      </c>
      <c r="B379" s="35" t="s">
        <v>552</v>
      </c>
      <c r="C379" s="36">
        <v>155315</v>
      </c>
      <c r="D379" s="6"/>
      <c r="E379" s="113">
        <v>18294810573</v>
      </c>
      <c r="F379" s="116">
        <f t="shared" si="72"/>
        <v>117791.65291826289</v>
      </c>
      <c r="G379" s="117">
        <v>13091352883</v>
      </c>
      <c r="H379" s="117">
        <f t="shared" si="73"/>
        <v>84289.044091040792</v>
      </c>
      <c r="I379" s="7"/>
      <c r="J379" s="10">
        <v>3.2172000000000001</v>
      </c>
      <c r="K379" s="117">
        <v>42117500</v>
      </c>
      <c r="L379" s="120">
        <f t="shared" si="74"/>
        <v>271.17470946141714</v>
      </c>
      <c r="M379" s="122">
        <f t="shared" si="69"/>
        <v>130913528.83</v>
      </c>
      <c r="N379" s="116">
        <f t="shared" si="70"/>
        <v>88796028.829999998</v>
      </c>
      <c r="O379" s="123">
        <f t="shared" si="71"/>
        <v>571.71573144899071</v>
      </c>
      <c r="P379" s="5"/>
      <c r="Q379" s="5">
        <f t="shared" si="67"/>
        <v>1</v>
      </c>
      <c r="R379" s="7">
        <f t="shared" si="68"/>
        <v>155315</v>
      </c>
      <c r="S379" s="5">
        <f t="shared" si="65"/>
        <v>1</v>
      </c>
      <c r="T379" s="7">
        <f t="shared" si="66"/>
        <v>155315</v>
      </c>
    </row>
    <row r="380" spans="1:20">
      <c r="A380" s="23" t="s">
        <v>554</v>
      </c>
      <c r="B380" s="35" t="s">
        <v>552</v>
      </c>
      <c r="C380" s="36">
        <v>635</v>
      </c>
      <c r="D380" s="6"/>
      <c r="E380" s="113">
        <v>114594668</v>
      </c>
      <c r="F380" s="116">
        <f t="shared" si="72"/>
        <v>180464.0440944882</v>
      </c>
      <c r="G380" s="117">
        <v>77706925</v>
      </c>
      <c r="H380" s="117">
        <f t="shared" si="73"/>
        <v>122373.11023622047</v>
      </c>
      <c r="I380" s="7"/>
      <c r="J380" s="10">
        <v>1.25</v>
      </c>
      <c r="K380" s="117">
        <v>97134</v>
      </c>
      <c r="L380" s="120">
        <f t="shared" si="74"/>
        <v>152.96692913385826</v>
      </c>
      <c r="M380" s="122">
        <f t="shared" si="69"/>
        <v>777069.25</v>
      </c>
      <c r="N380" s="116">
        <f t="shared" si="70"/>
        <v>679935.25</v>
      </c>
      <c r="O380" s="123">
        <f t="shared" si="71"/>
        <v>1070.7641732283464</v>
      </c>
      <c r="P380" s="5"/>
      <c r="Q380" s="5">
        <f t="shared" si="67"/>
        <v>1</v>
      </c>
      <c r="R380" s="7">
        <f t="shared" si="68"/>
        <v>635</v>
      </c>
      <c r="S380" s="5">
        <f t="shared" si="65"/>
        <v>1</v>
      </c>
      <c r="T380" s="7">
        <f t="shared" si="66"/>
        <v>635</v>
      </c>
    </row>
    <row r="381" spans="1:20">
      <c r="A381" s="23" t="s">
        <v>404</v>
      </c>
      <c r="B381" s="35" t="s">
        <v>405</v>
      </c>
      <c r="C381" s="36">
        <v>2338</v>
      </c>
      <c r="D381" s="6"/>
      <c r="E381" s="113">
        <v>180256738</v>
      </c>
      <c r="F381" s="116">
        <f t="shared" si="72"/>
        <v>77098.690333618477</v>
      </c>
      <c r="G381" s="117">
        <v>130032267</v>
      </c>
      <c r="H381" s="117">
        <f t="shared" si="73"/>
        <v>55616.880667236954</v>
      </c>
      <c r="I381" s="9"/>
      <c r="J381" s="10">
        <v>4.6399999999999997</v>
      </c>
      <c r="K381" s="117">
        <v>603350</v>
      </c>
      <c r="L381" s="120">
        <f t="shared" si="74"/>
        <v>258.06244653550044</v>
      </c>
      <c r="M381" s="122">
        <f t="shared" si="69"/>
        <v>1300322.67</v>
      </c>
      <c r="N381" s="116">
        <f t="shared" si="70"/>
        <v>696972.66999999993</v>
      </c>
      <c r="O381" s="123">
        <f t="shared" si="71"/>
        <v>298.10636013686911</v>
      </c>
      <c r="P381" s="5"/>
      <c r="Q381" s="5">
        <f t="shared" si="67"/>
        <v>1</v>
      </c>
      <c r="R381" s="7">
        <f t="shared" si="68"/>
        <v>2338</v>
      </c>
      <c r="S381" s="5">
        <f t="shared" si="65"/>
        <v>1</v>
      </c>
      <c r="T381" s="7">
        <f t="shared" si="66"/>
        <v>2338</v>
      </c>
    </row>
    <row r="382" spans="1:20">
      <c r="A382" s="23" t="s">
        <v>406</v>
      </c>
      <c r="B382" s="35" t="s">
        <v>405</v>
      </c>
      <c r="C382" s="36">
        <v>912</v>
      </c>
      <c r="D382" s="6"/>
      <c r="E382" s="113">
        <v>37317817</v>
      </c>
      <c r="F382" s="116">
        <f t="shared" si="72"/>
        <v>40918.658991228069</v>
      </c>
      <c r="G382" s="117">
        <v>19432041</v>
      </c>
      <c r="H382" s="117">
        <f t="shared" si="73"/>
        <v>21307.0625</v>
      </c>
      <c r="I382" s="9"/>
      <c r="J382" s="10">
        <v>3.36</v>
      </c>
      <c r="K382" s="117">
        <v>65292</v>
      </c>
      <c r="L382" s="120">
        <f t="shared" si="74"/>
        <v>71.59210526315789</v>
      </c>
      <c r="M382" s="122">
        <f t="shared" si="69"/>
        <v>194320.41</v>
      </c>
      <c r="N382" s="116">
        <f t="shared" si="70"/>
        <v>129028.41</v>
      </c>
      <c r="O382" s="123">
        <f t="shared" si="71"/>
        <v>141.47851973684212</v>
      </c>
      <c r="P382" s="5"/>
      <c r="Q382" s="5">
        <f t="shared" si="67"/>
        <v>1</v>
      </c>
      <c r="R382" s="7">
        <f t="shared" si="68"/>
        <v>912</v>
      </c>
      <c r="S382" s="5">
        <f t="shared" si="65"/>
        <v>1</v>
      </c>
      <c r="T382" s="7">
        <f t="shared" si="66"/>
        <v>912</v>
      </c>
    </row>
    <row r="383" spans="1:20">
      <c r="A383" s="23" t="s">
        <v>407</v>
      </c>
      <c r="B383" s="35" t="s">
        <v>405</v>
      </c>
      <c r="C383" s="36">
        <v>647</v>
      </c>
      <c r="D383" s="6"/>
      <c r="E383" s="113">
        <v>28550526</v>
      </c>
      <c r="F383" s="116">
        <f t="shared" si="72"/>
        <v>44127.55177743431</v>
      </c>
      <c r="G383" s="117">
        <v>14903140</v>
      </c>
      <c r="H383" s="117">
        <f t="shared" si="73"/>
        <v>23034.21947449768</v>
      </c>
      <c r="I383" s="9" t="s">
        <v>528</v>
      </c>
      <c r="J383" s="10"/>
      <c r="K383" s="117"/>
      <c r="L383" s="120"/>
      <c r="M383" s="122">
        <f t="shared" si="69"/>
        <v>149031.4</v>
      </c>
      <c r="N383" s="116">
        <f t="shared" si="70"/>
        <v>149031.4</v>
      </c>
      <c r="O383" s="123">
        <f t="shared" si="71"/>
        <v>230.34219474497681</v>
      </c>
      <c r="P383" s="5"/>
      <c r="Q383" s="5">
        <f t="shared" si="67"/>
        <v>1</v>
      </c>
      <c r="R383" s="7">
        <f t="shared" si="68"/>
        <v>647</v>
      </c>
      <c r="S383" s="5">
        <f t="shared" si="65"/>
        <v>0</v>
      </c>
      <c r="T383" s="7">
        <f t="shared" si="66"/>
        <v>0</v>
      </c>
    </row>
    <row r="384" spans="1:20">
      <c r="A384" s="23" t="s">
        <v>408</v>
      </c>
      <c r="B384" s="35" t="s">
        <v>405</v>
      </c>
      <c r="C384" s="36">
        <v>777</v>
      </c>
      <c r="D384" s="6"/>
      <c r="E384" s="113">
        <v>26396350</v>
      </c>
      <c r="F384" s="116">
        <f t="shared" si="72"/>
        <v>33972.13642213642</v>
      </c>
      <c r="G384" s="117">
        <v>15695683</v>
      </c>
      <c r="H384" s="117">
        <f t="shared" si="73"/>
        <v>20200.36422136422</v>
      </c>
      <c r="I384" s="7"/>
      <c r="J384" s="11">
        <v>6.657</v>
      </c>
      <c r="K384" s="117">
        <v>104486</v>
      </c>
      <c r="L384" s="120">
        <f t="shared" ref="L384:L389" si="75">(K384/C384)</f>
        <v>134.47361647361646</v>
      </c>
      <c r="M384" s="122">
        <f t="shared" si="69"/>
        <v>156956.83000000002</v>
      </c>
      <c r="N384" s="116">
        <f t="shared" si="70"/>
        <v>52470.830000000016</v>
      </c>
      <c r="O384" s="123">
        <f t="shared" si="71"/>
        <v>67.530025740025764</v>
      </c>
      <c r="P384" s="5"/>
      <c r="Q384" s="5">
        <f t="shared" si="67"/>
        <v>1</v>
      </c>
      <c r="R384" s="7">
        <f t="shared" si="68"/>
        <v>777</v>
      </c>
      <c r="S384" s="5">
        <f t="shared" si="65"/>
        <v>1</v>
      </c>
      <c r="T384" s="7">
        <f t="shared" si="66"/>
        <v>777</v>
      </c>
    </row>
    <row r="385" spans="1:20">
      <c r="A385" s="23" t="s">
        <v>409</v>
      </c>
      <c r="B385" s="35" t="s">
        <v>405</v>
      </c>
      <c r="C385" s="36">
        <v>4895</v>
      </c>
      <c r="D385" s="6"/>
      <c r="E385" s="113">
        <v>406702959</v>
      </c>
      <c r="F385" s="116">
        <f t="shared" si="72"/>
        <v>83085.384882533195</v>
      </c>
      <c r="G385" s="117">
        <v>274353115</v>
      </c>
      <c r="H385" s="117">
        <f t="shared" si="73"/>
        <v>56047.623084780389</v>
      </c>
      <c r="I385" s="7"/>
      <c r="J385" s="10">
        <v>3.91</v>
      </c>
      <c r="K385" s="117">
        <v>1072721</v>
      </c>
      <c r="L385" s="120">
        <f t="shared" si="75"/>
        <v>219.14627170582227</v>
      </c>
      <c r="M385" s="122">
        <f t="shared" si="69"/>
        <v>2743531.15</v>
      </c>
      <c r="N385" s="116">
        <f t="shared" si="70"/>
        <v>1670810.15</v>
      </c>
      <c r="O385" s="123">
        <f t="shared" si="71"/>
        <v>341.32995914198159</v>
      </c>
      <c r="P385" s="5"/>
      <c r="Q385" s="5">
        <f t="shared" si="67"/>
        <v>1</v>
      </c>
      <c r="R385" s="7">
        <f t="shared" si="68"/>
        <v>4895</v>
      </c>
      <c r="S385" s="5">
        <f t="shared" si="65"/>
        <v>1</v>
      </c>
      <c r="T385" s="7">
        <f t="shared" si="66"/>
        <v>4895</v>
      </c>
    </row>
    <row r="386" spans="1:20">
      <c r="A386" s="23" t="s">
        <v>410</v>
      </c>
      <c r="B386" s="35" t="s">
        <v>411</v>
      </c>
      <c r="C386" s="36">
        <v>700</v>
      </c>
      <c r="D386" s="6"/>
      <c r="E386" s="113">
        <v>39225458</v>
      </c>
      <c r="F386" s="116">
        <f t="shared" si="72"/>
        <v>56036.368571428575</v>
      </c>
      <c r="G386" s="117">
        <v>22305670</v>
      </c>
      <c r="H386" s="117">
        <f t="shared" si="73"/>
        <v>31865.242857142857</v>
      </c>
      <c r="I386" s="7"/>
      <c r="J386" s="10">
        <v>4.0999999999999996</v>
      </c>
      <c r="K386" s="117">
        <v>91453</v>
      </c>
      <c r="L386" s="120">
        <f t="shared" si="75"/>
        <v>130.64714285714285</v>
      </c>
      <c r="M386" s="122">
        <f t="shared" si="69"/>
        <v>223056.7</v>
      </c>
      <c r="N386" s="116">
        <f t="shared" si="70"/>
        <v>131603.70000000001</v>
      </c>
      <c r="O386" s="123">
        <f t="shared" si="71"/>
        <v>188.00528571428572</v>
      </c>
      <c r="P386" s="5"/>
      <c r="Q386" s="5">
        <f t="shared" si="67"/>
        <v>1</v>
      </c>
      <c r="R386" s="7">
        <f t="shared" si="68"/>
        <v>700</v>
      </c>
      <c r="S386" s="5">
        <f t="shared" si="65"/>
        <v>1</v>
      </c>
      <c r="T386" s="7">
        <f t="shared" si="66"/>
        <v>700</v>
      </c>
    </row>
    <row r="387" spans="1:20">
      <c r="A387" s="23" t="s">
        <v>412</v>
      </c>
      <c r="B387" s="35" t="s">
        <v>411</v>
      </c>
      <c r="C387" s="36">
        <v>6855</v>
      </c>
      <c r="D387" s="6"/>
      <c r="E387" s="113">
        <v>259407506</v>
      </c>
      <c r="F387" s="116">
        <f t="shared" si="72"/>
        <v>37842.086943836614</v>
      </c>
      <c r="G387" s="117">
        <v>161421661</v>
      </c>
      <c r="H387" s="117">
        <f t="shared" si="73"/>
        <v>23548.017651349379</v>
      </c>
      <c r="I387" s="7"/>
      <c r="J387" s="10">
        <v>6.0490000000000004</v>
      </c>
      <c r="K387" s="117">
        <v>976440</v>
      </c>
      <c r="L387" s="120">
        <f t="shared" si="75"/>
        <v>142.44201312910283</v>
      </c>
      <c r="M387" s="122">
        <f t="shared" si="69"/>
        <v>1614216.61</v>
      </c>
      <c r="N387" s="116">
        <f t="shared" si="70"/>
        <v>637776.6100000001</v>
      </c>
      <c r="O387" s="123">
        <f t="shared" si="71"/>
        <v>93.03816338439097</v>
      </c>
      <c r="P387" s="5"/>
      <c r="Q387" s="5">
        <f t="shared" si="67"/>
        <v>1</v>
      </c>
      <c r="R387" s="7">
        <f t="shared" si="68"/>
        <v>6855</v>
      </c>
      <c r="S387" s="5">
        <f t="shared" si="65"/>
        <v>1</v>
      </c>
      <c r="T387" s="7">
        <f t="shared" si="66"/>
        <v>6855</v>
      </c>
    </row>
    <row r="388" spans="1:20">
      <c r="A388" s="23" t="s">
        <v>413</v>
      </c>
      <c r="B388" s="35" t="s">
        <v>414</v>
      </c>
      <c r="C388" s="36">
        <v>6796</v>
      </c>
      <c r="D388" s="6"/>
      <c r="E388" s="113">
        <v>431498106</v>
      </c>
      <c r="F388" s="116">
        <f t="shared" si="72"/>
        <v>63492.952619187759</v>
      </c>
      <c r="G388" s="117">
        <v>261935331</v>
      </c>
      <c r="H388" s="117">
        <f t="shared" si="73"/>
        <v>38542.5737198352</v>
      </c>
      <c r="I388" s="9"/>
      <c r="J388" s="10">
        <v>4.1231</v>
      </c>
      <c r="K388" s="117">
        <v>1079986</v>
      </c>
      <c r="L388" s="120">
        <f t="shared" si="75"/>
        <v>158.91494997057092</v>
      </c>
      <c r="M388" s="122">
        <f t="shared" si="69"/>
        <v>2619353.31</v>
      </c>
      <c r="N388" s="116">
        <f t="shared" si="70"/>
        <v>1539367.31</v>
      </c>
      <c r="O388" s="123">
        <f t="shared" si="71"/>
        <v>226.51078722778107</v>
      </c>
      <c r="P388" s="5"/>
      <c r="Q388" s="5">
        <f t="shared" si="67"/>
        <v>1</v>
      </c>
      <c r="R388" s="7">
        <f t="shared" si="68"/>
        <v>6796</v>
      </c>
      <c r="S388" s="5">
        <f t="shared" si="65"/>
        <v>1</v>
      </c>
      <c r="T388" s="7">
        <f t="shared" si="66"/>
        <v>6796</v>
      </c>
    </row>
    <row r="389" spans="1:20">
      <c r="A389" s="23" t="s">
        <v>415</v>
      </c>
      <c r="B389" s="35" t="s">
        <v>416</v>
      </c>
      <c r="C389" s="36">
        <v>1930</v>
      </c>
      <c r="D389" s="6"/>
      <c r="E389" s="113">
        <v>69317689</v>
      </c>
      <c r="F389" s="116">
        <f t="shared" si="72"/>
        <v>35915.901036269432</v>
      </c>
      <c r="G389" s="117">
        <v>36360309</v>
      </c>
      <c r="H389" s="117">
        <f t="shared" si="73"/>
        <v>18839.538341968913</v>
      </c>
      <c r="I389" s="9"/>
      <c r="J389" s="10">
        <v>2.25</v>
      </c>
      <c r="K389" s="117">
        <v>81811</v>
      </c>
      <c r="L389" s="120">
        <f t="shared" si="75"/>
        <v>42.389119170984458</v>
      </c>
      <c r="M389" s="122">
        <f t="shared" si="69"/>
        <v>363603.09</v>
      </c>
      <c r="N389" s="116">
        <f t="shared" si="70"/>
        <v>281792.09000000003</v>
      </c>
      <c r="O389" s="123">
        <f t="shared" si="71"/>
        <v>146.00626424870467</v>
      </c>
      <c r="P389" s="5"/>
      <c r="Q389" s="5">
        <f t="shared" si="67"/>
        <v>1</v>
      </c>
      <c r="R389" s="7">
        <f t="shared" si="68"/>
        <v>1930</v>
      </c>
      <c r="S389" s="5">
        <f t="shared" si="65"/>
        <v>1</v>
      </c>
      <c r="T389" s="7">
        <f t="shared" si="66"/>
        <v>1930</v>
      </c>
    </row>
    <row r="390" spans="1:20">
      <c r="A390" s="23" t="s">
        <v>417</v>
      </c>
      <c r="B390" s="35" t="s">
        <v>416</v>
      </c>
      <c r="C390" s="36">
        <v>271</v>
      </c>
      <c r="D390" s="6"/>
      <c r="E390" s="113">
        <v>7213883</v>
      </c>
      <c r="F390" s="116">
        <f t="shared" si="72"/>
        <v>26619.494464944648</v>
      </c>
      <c r="G390" s="117">
        <v>3088284</v>
      </c>
      <c r="H390" s="117">
        <f t="shared" si="73"/>
        <v>11395.881918819188</v>
      </c>
      <c r="I390" s="9" t="s">
        <v>528</v>
      </c>
      <c r="J390" s="10"/>
      <c r="K390" s="117"/>
      <c r="L390" s="120"/>
      <c r="M390" s="122">
        <f t="shared" si="69"/>
        <v>30882.84</v>
      </c>
      <c r="N390" s="116">
        <f t="shared" si="70"/>
        <v>30882.84</v>
      </c>
      <c r="O390" s="123">
        <f t="shared" si="71"/>
        <v>113.95881918819188</v>
      </c>
      <c r="P390" s="5"/>
      <c r="Q390" s="5">
        <f t="shared" si="67"/>
        <v>1</v>
      </c>
      <c r="R390" s="7">
        <f t="shared" si="68"/>
        <v>271</v>
      </c>
      <c r="S390" s="5">
        <f t="shared" ref="S390:S417" si="76">IF(J390&gt;0,1,0)</f>
        <v>0</v>
      </c>
      <c r="T390" s="7">
        <f t="shared" ref="T390:T417" si="77">IF(J390&gt;0,C390,0)</f>
        <v>0</v>
      </c>
    </row>
    <row r="391" spans="1:20">
      <c r="A391" s="23" t="s">
        <v>418</v>
      </c>
      <c r="B391" s="35" t="s">
        <v>416</v>
      </c>
      <c r="C391" s="36">
        <v>508</v>
      </c>
      <c r="D391" s="6" t="s">
        <v>527</v>
      </c>
      <c r="E391" s="113"/>
      <c r="F391" s="116"/>
      <c r="G391" s="117"/>
      <c r="H391" s="117"/>
      <c r="I391" s="9" t="s">
        <v>528</v>
      </c>
      <c r="J391" s="11"/>
      <c r="K391" s="117"/>
      <c r="L391" s="120"/>
      <c r="M391" s="122">
        <f t="shared" si="69"/>
        <v>0</v>
      </c>
      <c r="N391" s="116">
        <f t="shared" si="70"/>
        <v>0</v>
      </c>
      <c r="O391" s="123">
        <f t="shared" si="71"/>
        <v>0</v>
      </c>
      <c r="P391" s="5"/>
      <c r="Q391" s="5">
        <f t="shared" ref="Q391:Q417" si="78">IF(E391&gt;0,1,0)</f>
        <v>0</v>
      </c>
      <c r="R391" s="7">
        <f t="shared" ref="R391:R417" si="79">IF(E391&gt;0,C391,0)</f>
        <v>0</v>
      </c>
      <c r="S391" s="5">
        <f t="shared" si="76"/>
        <v>0</v>
      </c>
      <c r="T391" s="7">
        <f t="shared" si="77"/>
        <v>0</v>
      </c>
    </row>
    <row r="392" spans="1:20">
      <c r="A392" s="23" t="s">
        <v>419</v>
      </c>
      <c r="B392" s="35" t="s">
        <v>420</v>
      </c>
      <c r="C392" s="36">
        <v>64370</v>
      </c>
      <c r="D392" s="6"/>
      <c r="E392" s="113">
        <v>8499458555</v>
      </c>
      <c r="F392" s="116">
        <f t="shared" ref="F392:F407" si="80">(E392/C392)</f>
        <v>132040.6797421159</v>
      </c>
      <c r="G392" s="117">
        <v>5739215301</v>
      </c>
      <c r="H392" s="117">
        <f t="shared" ref="H392:H407" si="81">(G392/C392)</f>
        <v>89159.784076433119</v>
      </c>
      <c r="I392" s="7"/>
      <c r="J392" s="10">
        <v>5.1749000000000001</v>
      </c>
      <c r="K392" s="117">
        <v>29699923</v>
      </c>
      <c r="L392" s="120">
        <f t="shared" ref="L392:L407" si="82">(K392/C392)</f>
        <v>461.39386360105641</v>
      </c>
      <c r="M392" s="122">
        <f t="shared" ref="M392:M417" si="83">(G392*0.01)</f>
        <v>57392153.009999998</v>
      </c>
      <c r="N392" s="116">
        <f t="shared" ref="N392:N417" si="84">(M392-K392)</f>
        <v>27692230.009999998</v>
      </c>
      <c r="O392" s="123">
        <f t="shared" ref="O392:O417" si="85">(N392/C392)</f>
        <v>430.20397716327477</v>
      </c>
      <c r="P392" s="5"/>
      <c r="Q392" s="5">
        <f t="shared" si="78"/>
        <v>1</v>
      </c>
      <c r="R392" s="7">
        <f t="shared" si="79"/>
        <v>64370</v>
      </c>
      <c r="S392" s="5">
        <f t="shared" si="76"/>
        <v>1</v>
      </c>
      <c r="T392" s="7">
        <f t="shared" si="77"/>
        <v>64370</v>
      </c>
    </row>
    <row r="393" spans="1:20">
      <c r="A393" s="23" t="s">
        <v>421</v>
      </c>
      <c r="B393" s="35" t="s">
        <v>420</v>
      </c>
      <c r="C393" s="36">
        <v>5335</v>
      </c>
      <c r="D393" s="6"/>
      <c r="E393" s="113">
        <v>2219577059</v>
      </c>
      <c r="F393" s="116">
        <f t="shared" si="80"/>
        <v>416040.68584817246</v>
      </c>
      <c r="G393" s="117">
        <v>1916601450</v>
      </c>
      <c r="H393" s="117">
        <f t="shared" si="81"/>
        <v>359250.50609184627</v>
      </c>
      <c r="I393" s="7"/>
      <c r="J393" s="10">
        <v>3.5139999999999998</v>
      </c>
      <c r="K393" s="117">
        <v>6734937</v>
      </c>
      <c r="L393" s="120">
        <f t="shared" si="82"/>
        <v>1262.4061855670102</v>
      </c>
      <c r="M393" s="122">
        <f t="shared" si="83"/>
        <v>19166014.5</v>
      </c>
      <c r="N393" s="116">
        <f t="shared" si="84"/>
        <v>12431077.5</v>
      </c>
      <c r="O393" s="123">
        <f t="shared" si="85"/>
        <v>2330.0988753514525</v>
      </c>
      <c r="P393" s="5"/>
      <c r="Q393" s="5">
        <f t="shared" si="78"/>
        <v>1</v>
      </c>
      <c r="R393" s="7">
        <f t="shared" si="79"/>
        <v>5335</v>
      </c>
      <c r="S393" s="5">
        <f t="shared" si="76"/>
        <v>1</v>
      </c>
      <c r="T393" s="7">
        <f t="shared" si="77"/>
        <v>5335</v>
      </c>
    </row>
    <row r="394" spans="1:20">
      <c r="A394" s="23" t="s">
        <v>462</v>
      </c>
      <c r="B394" s="35" t="s">
        <v>420</v>
      </c>
      <c r="C394" s="36">
        <v>18869</v>
      </c>
      <c r="D394" s="6"/>
      <c r="E394" s="113">
        <v>2901358296</v>
      </c>
      <c r="F394" s="116">
        <f t="shared" si="80"/>
        <v>153763.2251841645</v>
      </c>
      <c r="G394" s="117">
        <v>2131592109</v>
      </c>
      <c r="H394" s="117">
        <f t="shared" si="81"/>
        <v>112967.94260427155</v>
      </c>
      <c r="I394" s="7"/>
      <c r="J394" s="10">
        <v>2.5728</v>
      </c>
      <c r="K394" s="117">
        <v>5484139</v>
      </c>
      <c r="L394" s="120">
        <f t="shared" si="82"/>
        <v>290.64280036037945</v>
      </c>
      <c r="M394" s="122">
        <f t="shared" si="83"/>
        <v>21315921.09</v>
      </c>
      <c r="N394" s="116">
        <f t="shared" si="84"/>
        <v>15831782.09</v>
      </c>
      <c r="O394" s="123">
        <f t="shared" si="85"/>
        <v>839.03662568233608</v>
      </c>
      <c r="P394" s="5"/>
      <c r="Q394" s="5">
        <f t="shared" si="78"/>
        <v>1</v>
      </c>
      <c r="R394" s="7">
        <f t="shared" si="79"/>
        <v>18869</v>
      </c>
      <c r="S394" s="5">
        <f t="shared" si="76"/>
        <v>1</v>
      </c>
      <c r="T394" s="7">
        <f t="shared" si="77"/>
        <v>18869</v>
      </c>
    </row>
    <row r="395" spans="1:20">
      <c r="A395" s="23" t="s">
        <v>463</v>
      </c>
      <c r="B395" s="35" t="s">
        <v>420</v>
      </c>
      <c r="C395" s="36">
        <v>26905</v>
      </c>
      <c r="D395" s="6"/>
      <c r="E395" s="113">
        <v>2994764917</v>
      </c>
      <c r="F395" s="116">
        <f t="shared" si="80"/>
        <v>111308.86143839435</v>
      </c>
      <c r="G395" s="117">
        <v>2009982453</v>
      </c>
      <c r="H395" s="117">
        <f t="shared" si="81"/>
        <v>74706.651291581496</v>
      </c>
      <c r="I395" s="7"/>
      <c r="J395" s="10">
        <v>4.5770999999999997</v>
      </c>
      <c r="K395" s="117">
        <v>9199871</v>
      </c>
      <c r="L395" s="120">
        <f t="shared" si="82"/>
        <v>341.93908195502695</v>
      </c>
      <c r="M395" s="122">
        <f t="shared" si="83"/>
        <v>20099824.530000001</v>
      </c>
      <c r="N395" s="116">
        <f t="shared" si="84"/>
        <v>10899953.530000001</v>
      </c>
      <c r="O395" s="123">
        <f t="shared" si="85"/>
        <v>405.12743096078799</v>
      </c>
      <c r="P395" s="5"/>
      <c r="Q395" s="5">
        <f t="shared" si="78"/>
        <v>1</v>
      </c>
      <c r="R395" s="7">
        <f t="shared" si="79"/>
        <v>26905</v>
      </c>
      <c r="S395" s="5">
        <f t="shared" si="76"/>
        <v>1</v>
      </c>
      <c r="T395" s="7">
        <f t="shared" si="77"/>
        <v>26905</v>
      </c>
    </row>
    <row r="396" spans="1:20">
      <c r="A396" s="23" t="s">
        <v>422</v>
      </c>
      <c r="B396" s="35" t="s">
        <v>420</v>
      </c>
      <c r="C396" s="36">
        <v>86540</v>
      </c>
      <c r="D396" s="6"/>
      <c r="E396" s="113">
        <v>6404587497</v>
      </c>
      <c r="F396" s="116">
        <f t="shared" si="80"/>
        <v>74007.250947538705</v>
      </c>
      <c r="G396" s="117">
        <v>3803589343</v>
      </c>
      <c r="H396" s="117">
        <f t="shared" si="81"/>
        <v>43951.806598104922</v>
      </c>
      <c r="I396" s="7"/>
      <c r="J396" s="10">
        <v>3.2837000000000001</v>
      </c>
      <c r="K396" s="117">
        <v>12489846</v>
      </c>
      <c r="L396" s="120">
        <f t="shared" si="82"/>
        <v>144.32454356366998</v>
      </c>
      <c r="M396" s="122">
        <f t="shared" si="83"/>
        <v>38035893.43</v>
      </c>
      <c r="N396" s="116">
        <f t="shared" si="84"/>
        <v>25546047.43</v>
      </c>
      <c r="O396" s="123">
        <f t="shared" si="85"/>
        <v>295.19352241737926</v>
      </c>
      <c r="P396" s="5"/>
      <c r="Q396" s="5">
        <f t="shared" si="78"/>
        <v>1</v>
      </c>
      <c r="R396" s="7">
        <f t="shared" si="79"/>
        <v>86540</v>
      </c>
      <c r="S396" s="5">
        <f t="shared" si="76"/>
        <v>1</v>
      </c>
      <c r="T396" s="7">
        <f t="shared" si="77"/>
        <v>86540</v>
      </c>
    </row>
    <row r="397" spans="1:20">
      <c r="A397" s="23" t="s">
        <v>423</v>
      </c>
      <c r="B397" s="35" t="s">
        <v>420</v>
      </c>
      <c r="C397" s="36">
        <v>21770</v>
      </c>
      <c r="D397" s="6"/>
      <c r="E397" s="113">
        <v>1960131250</v>
      </c>
      <c r="F397" s="116">
        <f t="shared" si="80"/>
        <v>90038.183279742763</v>
      </c>
      <c r="G397" s="117">
        <v>1195974542</v>
      </c>
      <c r="H397" s="117">
        <f t="shared" si="81"/>
        <v>54936.818649517685</v>
      </c>
      <c r="I397" s="7"/>
      <c r="J397" s="10">
        <v>5.2</v>
      </c>
      <c r="K397" s="117">
        <v>6219068</v>
      </c>
      <c r="L397" s="120">
        <f t="shared" si="82"/>
        <v>285.67147450620121</v>
      </c>
      <c r="M397" s="122">
        <f t="shared" si="83"/>
        <v>11959745.42</v>
      </c>
      <c r="N397" s="116">
        <f t="shared" si="84"/>
        <v>5740677.4199999999</v>
      </c>
      <c r="O397" s="123">
        <f t="shared" si="85"/>
        <v>263.69671198897566</v>
      </c>
      <c r="P397" s="5"/>
      <c r="Q397" s="5">
        <f t="shared" si="78"/>
        <v>1</v>
      </c>
      <c r="R397" s="7">
        <f t="shared" si="79"/>
        <v>21770</v>
      </c>
      <c r="S397" s="5">
        <f t="shared" si="76"/>
        <v>1</v>
      </c>
      <c r="T397" s="7">
        <f t="shared" si="77"/>
        <v>21770</v>
      </c>
    </row>
    <row r="398" spans="1:20">
      <c r="A398" s="23" t="s">
        <v>424</v>
      </c>
      <c r="B398" s="35" t="s">
        <v>420</v>
      </c>
      <c r="C398" s="36">
        <v>12494</v>
      </c>
      <c r="D398" s="6"/>
      <c r="E398" s="113">
        <v>1018217142</v>
      </c>
      <c r="F398" s="116">
        <f t="shared" si="80"/>
        <v>81496.489675044024</v>
      </c>
      <c r="G398" s="117">
        <v>707029990</v>
      </c>
      <c r="H398" s="117">
        <f t="shared" si="81"/>
        <v>56589.562189851131</v>
      </c>
      <c r="I398" s="7"/>
      <c r="J398" s="10">
        <v>3.6818</v>
      </c>
      <c r="K398" s="117">
        <v>2603122</v>
      </c>
      <c r="L398" s="120">
        <f t="shared" si="82"/>
        <v>208.34976788858651</v>
      </c>
      <c r="M398" s="122">
        <f t="shared" si="83"/>
        <v>7070299.9000000004</v>
      </c>
      <c r="N398" s="116">
        <f t="shared" si="84"/>
        <v>4467177.9000000004</v>
      </c>
      <c r="O398" s="123">
        <f t="shared" si="85"/>
        <v>357.54585400992477</v>
      </c>
      <c r="P398" s="5"/>
      <c r="Q398" s="5">
        <f t="shared" si="78"/>
        <v>1</v>
      </c>
      <c r="R398" s="7">
        <f t="shared" si="79"/>
        <v>12494</v>
      </c>
      <c r="S398" s="5">
        <f t="shared" si="76"/>
        <v>1</v>
      </c>
      <c r="T398" s="7">
        <f t="shared" si="77"/>
        <v>12494</v>
      </c>
    </row>
    <row r="399" spans="1:20">
      <c r="A399" s="23" t="s">
        <v>425</v>
      </c>
      <c r="B399" s="35" t="s">
        <v>420</v>
      </c>
      <c r="C399" s="36">
        <v>2905</v>
      </c>
      <c r="D399" s="6"/>
      <c r="E399" s="113">
        <v>246041089</v>
      </c>
      <c r="F399" s="116">
        <f t="shared" si="80"/>
        <v>84695.727710843377</v>
      </c>
      <c r="G399" s="117">
        <v>147041487</v>
      </c>
      <c r="H399" s="117">
        <f t="shared" si="81"/>
        <v>50616.6908777969</v>
      </c>
      <c r="I399" s="7"/>
      <c r="J399" s="10">
        <v>4.2</v>
      </c>
      <c r="K399" s="117">
        <v>617574</v>
      </c>
      <c r="L399" s="120">
        <f t="shared" si="82"/>
        <v>212.59001721170395</v>
      </c>
      <c r="M399" s="122">
        <f t="shared" si="83"/>
        <v>1470414.87</v>
      </c>
      <c r="N399" s="116">
        <f t="shared" si="84"/>
        <v>852840.87000000011</v>
      </c>
      <c r="O399" s="123">
        <f t="shared" si="85"/>
        <v>293.57689156626509</v>
      </c>
      <c r="P399" s="5"/>
      <c r="Q399" s="5">
        <f t="shared" si="78"/>
        <v>1</v>
      </c>
      <c r="R399" s="7">
        <f t="shared" si="79"/>
        <v>2905</v>
      </c>
      <c r="S399" s="5">
        <f t="shared" si="76"/>
        <v>1</v>
      </c>
      <c r="T399" s="7">
        <f t="shared" si="77"/>
        <v>2905</v>
      </c>
    </row>
    <row r="400" spans="1:20">
      <c r="A400" s="23" t="s">
        <v>426</v>
      </c>
      <c r="B400" s="35" t="s">
        <v>420</v>
      </c>
      <c r="C400" s="36">
        <v>23286</v>
      </c>
      <c r="D400" s="6"/>
      <c r="E400" s="113">
        <v>5144854270</v>
      </c>
      <c r="F400" s="116">
        <f t="shared" si="80"/>
        <v>220941.95095765695</v>
      </c>
      <c r="G400" s="117">
        <v>3750485808</v>
      </c>
      <c r="H400" s="117">
        <f t="shared" si="81"/>
        <v>161061.83148673023</v>
      </c>
      <c r="I400" s="7"/>
      <c r="J400" s="10">
        <v>3.1</v>
      </c>
      <c r="K400" s="117">
        <v>11626506</v>
      </c>
      <c r="L400" s="120">
        <f t="shared" si="82"/>
        <v>499.29167740273124</v>
      </c>
      <c r="M400" s="122">
        <f t="shared" si="83"/>
        <v>37504858.079999998</v>
      </c>
      <c r="N400" s="116">
        <f t="shared" si="84"/>
        <v>25878352.079999998</v>
      </c>
      <c r="O400" s="123">
        <f t="shared" si="85"/>
        <v>1111.3266374645709</v>
      </c>
      <c r="P400" s="5"/>
      <c r="Q400" s="5">
        <f t="shared" si="78"/>
        <v>1</v>
      </c>
      <c r="R400" s="7">
        <f t="shared" si="79"/>
        <v>23286</v>
      </c>
      <c r="S400" s="5">
        <f t="shared" si="76"/>
        <v>1</v>
      </c>
      <c r="T400" s="7">
        <f t="shared" si="77"/>
        <v>23286</v>
      </c>
    </row>
    <row r="401" spans="1:20">
      <c r="A401" s="23" t="s">
        <v>427</v>
      </c>
      <c r="B401" s="35" t="s">
        <v>420</v>
      </c>
      <c r="C401" s="36">
        <v>2031</v>
      </c>
      <c r="D401" s="6"/>
      <c r="E401" s="113">
        <v>229649948</v>
      </c>
      <c r="F401" s="116">
        <f t="shared" si="80"/>
        <v>113072.3525356967</v>
      </c>
      <c r="G401" s="117">
        <v>139627262</v>
      </c>
      <c r="H401" s="117">
        <f t="shared" si="81"/>
        <v>68748.036435253569</v>
      </c>
      <c r="I401" s="7"/>
      <c r="J401" s="10">
        <v>4.7495000000000003</v>
      </c>
      <c r="K401" s="117">
        <v>663160</v>
      </c>
      <c r="L401" s="120">
        <f t="shared" si="82"/>
        <v>326.51895617922207</v>
      </c>
      <c r="M401" s="122">
        <f t="shared" si="83"/>
        <v>1396272.62</v>
      </c>
      <c r="N401" s="116">
        <f t="shared" si="84"/>
        <v>733112.62000000011</v>
      </c>
      <c r="O401" s="123">
        <f t="shared" si="85"/>
        <v>360.96140817331371</v>
      </c>
      <c r="P401" s="5"/>
      <c r="Q401" s="5">
        <f t="shared" si="78"/>
        <v>1</v>
      </c>
      <c r="R401" s="7">
        <f t="shared" si="79"/>
        <v>2031</v>
      </c>
      <c r="S401" s="5">
        <f t="shared" si="76"/>
        <v>1</v>
      </c>
      <c r="T401" s="7">
        <f t="shared" si="77"/>
        <v>2031</v>
      </c>
    </row>
    <row r="402" spans="1:20">
      <c r="A402" s="23" t="s">
        <v>428</v>
      </c>
      <c r="B402" s="35" t="s">
        <v>420</v>
      </c>
      <c r="C402" s="36">
        <v>9617</v>
      </c>
      <c r="D402" s="6"/>
      <c r="E402" s="113">
        <v>992528952</v>
      </c>
      <c r="F402" s="116">
        <f t="shared" si="80"/>
        <v>103205.67245502755</v>
      </c>
      <c r="G402" s="117">
        <v>730910586</v>
      </c>
      <c r="H402" s="117">
        <f t="shared" si="81"/>
        <v>76001.932619319952</v>
      </c>
      <c r="I402" s="7"/>
      <c r="J402" s="10">
        <v>4.3823999999999996</v>
      </c>
      <c r="K402" s="117">
        <v>3203121</v>
      </c>
      <c r="L402" s="120">
        <f t="shared" si="82"/>
        <v>333.06862847041697</v>
      </c>
      <c r="M402" s="122">
        <f t="shared" si="83"/>
        <v>7309105.8600000003</v>
      </c>
      <c r="N402" s="116">
        <f t="shared" si="84"/>
        <v>4105984.8600000003</v>
      </c>
      <c r="O402" s="123">
        <f t="shared" si="85"/>
        <v>426.95069772278259</v>
      </c>
      <c r="P402" s="5"/>
      <c r="Q402" s="5">
        <f t="shared" si="78"/>
        <v>1</v>
      </c>
      <c r="R402" s="7">
        <f t="shared" si="79"/>
        <v>9617</v>
      </c>
      <c r="S402" s="5">
        <f t="shared" si="76"/>
        <v>1</v>
      </c>
      <c r="T402" s="7">
        <f t="shared" si="77"/>
        <v>9617</v>
      </c>
    </row>
    <row r="403" spans="1:20">
      <c r="A403" s="23" t="s">
        <v>429</v>
      </c>
      <c r="B403" s="35" t="s">
        <v>420</v>
      </c>
      <c r="C403" s="36">
        <v>40941</v>
      </c>
      <c r="D403" s="6"/>
      <c r="E403" s="113">
        <v>5748841972</v>
      </c>
      <c r="F403" s="116">
        <f t="shared" si="80"/>
        <v>140417.72238098728</v>
      </c>
      <c r="G403" s="117">
        <v>3774191461</v>
      </c>
      <c r="H403" s="117">
        <f t="shared" si="81"/>
        <v>92186.108326616348</v>
      </c>
      <c r="I403" s="7"/>
      <c r="J403" s="10">
        <v>3.0110000000000001</v>
      </c>
      <c r="K403" s="117">
        <v>11364090</v>
      </c>
      <c r="L403" s="120">
        <f t="shared" si="82"/>
        <v>277.5723602256906</v>
      </c>
      <c r="M403" s="122">
        <f t="shared" si="83"/>
        <v>37741914.609999999</v>
      </c>
      <c r="N403" s="116">
        <f t="shared" si="84"/>
        <v>26377824.609999999</v>
      </c>
      <c r="O403" s="123">
        <f t="shared" si="85"/>
        <v>644.28872304047286</v>
      </c>
      <c r="P403" s="5"/>
      <c r="Q403" s="5">
        <f t="shared" si="78"/>
        <v>1</v>
      </c>
      <c r="R403" s="7">
        <f t="shared" si="79"/>
        <v>40941</v>
      </c>
      <c r="S403" s="5">
        <f t="shared" si="76"/>
        <v>1</v>
      </c>
      <c r="T403" s="7">
        <f t="shared" si="77"/>
        <v>40941</v>
      </c>
    </row>
    <row r="404" spans="1:20">
      <c r="A404" s="23" t="s">
        <v>430</v>
      </c>
      <c r="B404" s="35" t="s">
        <v>420</v>
      </c>
      <c r="C404" s="36">
        <v>2657</v>
      </c>
      <c r="D404" s="6"/>
      <c r="E404" s="113">
        <v>138435685</v>
      </c>
      <c r="F404" s="116">
        <f t="shared" si="80"/>
        <v>52102.252540459165</v>
      </c>
      <c r="G404" s="117">
        <v>69734763</v>
      </c>
      <c r="H404" s="117">
        <f t="shared" si="81"/>
        <v>26245.67670304855</v>
      </c>
      <c r="I404" s="7"/>
      <c r="J404" s="10">
        <v>2.8359000000000001</v>
      </c>
      <c r="K404" s="117">
        <v>197758</v>
      </c>
      <c r="L404" s="120">
        <f t="shared" si="82"/>
        <v>74.42905532555514</v>
      </c>
      <c r="M404" s="122">
        <f t="shared" si="83"/>
        <v>697347.63</v>
      </c>
      <c r="N404" s="116">
        <f t="shared" si="84"/>
        <v>499589.63</v>
      </c>
      <c r="O404" s="123">
        <f t="shared" si="85"/>
        <v>188.02771170493037</v>
      </c>
      <c r="P404" s="5"/>
      <c r="Q404" s="5">
        <f t="shared" si="78"/>
        <v>1</v>
      </c>
      <c r="R404" s="7">
        <f t="shared" si="79"/>
        <v>2657</v>
      </c>
      <c r="S404" s="5">
        <f t="shared" si="76"/>
        <v>1</v>
      </c>
      <c r="T404" s="7">
        <f t="shared" si="77"/>
        <v>2657</v>
      </c>
    </row>
    <row r="405" spans="1:20">
      <c r="A405" s="23" t="s">
        <v>431</v>
      </c>
      <c r="B405" s="35" t="s">
        <v>420</v>
      </c>
      <c r="C405" s="36">
        <v>3279</v>
      </c>
      <c r="D405" s="6"/>
      <c r="E405" s="113">
        <v>1546868098</v>
      </c>
      <c r="F405" s="116">
        <f t="shared" si="80"/>
        <v>471749.95364440378</v>
      </c>
      <c r="G405" s="117">
        <v>1172367800</v>
      </c>
      <c r="H405" s="117">
        <f t="shared" si="81"/>
        <v>357538.21286977734</v>
      </c>
      <c r="I405" s="7"/>
      <c r="J405" s="10">
        <v>3.7440000000000002</v>
      </c>
      <c r="K405" s="117">
        <v>4389345</v>
      </c>
      <c r="L405" s="120">
        <f t="shared" si="82"/>
        <v>1338.6230558096981</v>
      </c>
      <c r="M405" s="122">
        <f t="shared" si="83"/>
        <v>11723678</v>
      </c>
      <c r="N405" s="116">
        <f t="shared" si="84"/>
        <v>7334333</v>
      </c>
      <c r="O405" s="123">
        <f t="shared" si="85"/>
        <v>2236.7590728880755</v>
      </c>
      <c r="P405" s="5"/>
      <c r="Q405" s="5">
        <f t="shared" si="78"/>
        <v>1</v>
      </c>
      <c r="R405" s="7">
        <f t="shared" si="79"/>
        <v>3279</v>
      </c>
      <c r="S405" s="5">
        <f t="shared" si="76"/>
        <v>1</v>
      </c>
      <c r="T405" s="7">
        <f t="shared" si="77"/>
        <v>3279</v>
      </c>
    </row>
    <row r="406" spans="1:20">
      <c r="A406" s="23" t="s">
        <v>432</v>
      </c>
      <c r="B406" s="35" t="s">
        <v>420</v>
      </c>
      <c r="C406" s="36">
        <v>56850</v>
      </c>
      <c r="D406" s="6"/>
      <c r="E406" s="113">
        <v>5331279494</v>
      </c>
      <c r="F406" s="116">
        <f t="shared" si="80"/>
        <v>93778.003412489008</v>
      </c>
      <c r="G406" s="117">
        <v>3431642146</v>
      </c>
      <c r="H406" s="117">
        <f t="shared" si="81"/>
        <v>60363.098434476691</v>
      </c>
      <c r="I406" s="7"/>
      <c r="J406" s="10">
        <v>4.0439999999999996</v>
      </c>
      <c r="K406" s="117">
        <v>13877561</v>
      </c>
      <c r="L406" s="120">
        <f t="shared" si="82"/>
        <v>244.10837291116974</v>
      </c>
      <c r="M406" s="122">
        <f t="shared" si="83"/>
        <v>34316421.460000001</v>
      </c>
      <c r="N406" s="116">
        <f t="shared" si="84"/>
        <v>20438860.460000001</v>
      </c>
      <c r="O406" s="123">
        <f t="shared" si="85"/>
        <v>359.52261143359721</v>
      </c>
      <c r="P406" s="5"/>
      <c r="Q406" s="5">
        <f t="shared" si="78"/>
        <v>1</v>
      </c>
      <c r="R406" s="7">
        <f t="shared" si="79"/>
        <v>56850</v>
      </c>
      <c r="S406" s="5">
        <f t="shared" si="76"/>
        <v>1</v>
      </c>
      <c r="T406" s="7">
        <f t="shared" si="77"/>
        <v>56850</v>
      </c>
    </row>
    <row r="407" spans="1:20">
      <c r="A407" s="23" t="s">
        <v>433</v>
      </c>
      <c r="B407" s="35" t="s">
        <v>420</v>
      </c>
      <c r="C407" s="36">
        <v>13547</v>
      </c>
      <c r="D407" s="6"/>
      <c r="E407" s="113">
        <v>1153398997</v>
      </c>
      <c r="F407" s="116">
        <f t="shared" si="80"/>
        <v>85140.547501291803</v>
      </c>
      <c r="G407" s="117">
        <v>754798276</v>
      </c>
      <c r="H407" s="117">
        <f t="shared" si="81"/>
        <v>55717.00568391526</v>
      </c>
      <c r="I407" s="9"/>
      <c r="J407" s="10">
        <v>4.2492999999999999</v>
      </c>
      <c r="K407" s="117">
        <v>3207364</v>
      </c>
      <c r="L407" s="120">
        <f t="shared" si="82"/>
        <v>236.75824905883221</v>
      </c>
      <c r="M407" s="122">
        <f t="shared" si="83"/>
        <v>7547982.7599999998</v>
      </c>
      <c r="N407" s="116">
        <f t="shared" si="84"/>
        <v>4340618.76</v>
      </c>
      <c r="O407" s="123">
        <f t="shared" si="85"/>
        <v>320.41180778032037</v>
      </c>
      <c r="P407" s="5"/>
      <c r="Q407" s="5">
        <f t="shared" si="78"/>
        <v>1</v>
      </c>
      <c r="R407" s="7">
        <f t="shared" si="79"/>
        <v>13547</v>
      </c>
      <c r="S407" s="5">
        <f t="shared" si="76"/>
        <v>1</v>
      </c>
      <c r="T407" s="7">
        <f t="shared" si="77"/>
        <v>13547</v>
      </c>
    </row>
    <row r="408" spans="1:20">
      <c r="A408" s="23" t="s">
        <v>435</v>
      </c>
      <c r="B408" s="35" t="s">
        <v>434</v>
      </c>
      <c r="C408" s="36">
        <v>418</v>
      </c>
      <c r="D408" s="6" t="s">
        <v>527</v>
      </c>
      <c r="E408" s="113"/>
      <c r="F408" s="116"/>
      <c r="G408" s="117"/>
      <c r="H408" s="117"/>
      <c r="I408" s="9" t="s">
        <v>528</v>
      </c>
      <c r="J408" s="11"/>
      <c r="K408" s="117"/>
      <c r="L408" s="120"/>
      <c r="M408" s="122">
        <f t="shared" si="83"/>
        <v>0</v>
      </c>
      <c r="N408" s="116">
        <f t="shared" si="84"/>
        <v>0</v>
      </c>
      <c r="O408" s="123">
        <f t="shared" si="85"/>
        <v>0</v>
      </c>
      <c r="P408" s="5"/>
      <c r="Q408" s="5">
        <f t="shared" si="78"/>
        <v>0</v>
      </c>
      <c r="R408" s="7">
        <f t="shared" si="79"/>
        <v>0</v>
      </c>
      <c r="S408" s="5">
        <f t="shared" si="76"/>
        <v>0</v>
      </c>
      <c r="T408" s="7">
        <f t="shared" si="77"/>
        <v>0</v>
      </c>
    </row>
    <row r="409" spans="1:20">
      <c r="A409" s="23" t="s">
        <v>555</v>
      </c>
      <c r="B409" s="35" t="s">
        <v>434</v>
      </c>
      <c r="C409" s="36">
        <v>323</v>
      </c>
      <c r="D409" s="6"/>
      <c r="E409" s="113">
        <v>88598188</v>
      </c>
      <c r="F409" s="116">
        <f>(E409/C409)</f>
        <v>274297.79566563468</v>
      </c>
      <c r="G409" s="117">
        <v>43159850</v>
      </c>
      <c r="H409" s="117">
        <f>(G409/C409)</f>
        <v>133621.82662538701</v>
      </c>
      <c r="I409" s="9" t="s">
        <v>528</v>
      </c>
      <c r="J409" s="10"/>
      <c r="K409" s="117"/>
      <c r="L409" s="120"/>
      <c r="M409" s="122">
        <f t="shared" si="83"/>
        <v>431598.5</v>
      </c>
      <c r="N409" s="116">
        <f t="shared" si="84"/>
        <v>431598.5</v>
      </c>
      <c r="O409" s="123">
        <f t="shared" si="85"/>
        <v>1336.2182662538701</v>
      </c>
      <c r="P409" s="5"/>
      <c r="Q409" s="5">
        <f t="shared" si="78"/>
        <v>1</v>
      </c>
      <c r="R409" s="7">
        <f t="shared" si="79"/>
        <v>323</v>
      </c>
      <c r="S409" s="5">
        <f t="shared" si="76"/>
        <v>0</v>
      </c>
      <c r="T409" s="7">
        <f t="shared" si="77"/>
        <v>0</v>
      </c>
    </row>
    <row r="410" spans="1:20">
      <c r="A410" s="23" t="s">
        <v>436</v>
      </c>
      <c r="B410" s="35" t="s">
        <v>437</v>
      </c>
      <c r="C410" s="36">
        <v>5288</v>
      </c>
      <c r="D410" s="6"/>
      <c r="E410" s="113">
        <v>303027730</v>
      </c>
      <c r="F410" s="116">
        <f>(E410/C410)</f>
        <v>57304.790090771559</v>
      </c>
      <c r="G410" s="117">
        <v>211340593</v>
      </c>
      <c r="H410" s="117">
        <f>(G410/C410)</f>
        <v>39966.072806354008</v>
      </c>
      <c r="I410" s="9"/>
      <c r="J410" s="11">
        <v>4.4252000000000002</v>
      </c>
      <c r="K410" s="117">
        <v>935224</v>
      </c>
      <c r="L410" s="120">
        <f>(K410/C410)</f>
        <v>176.85779122541604</v>
      </c>
      <c r="M410" s="122">
        <f t="shared" si="83"/>
        <v>2113405.9300000002</v>
      </c>
      <c r="N410" s="116">
        <f t="shared" si="84"/>
        <v>1178181.9300000002</v>
      </c>
      <c r="O410" s="123">
        <f t="shared" si="85"/>
        <v>222.80293683812408</v>
      </c>
      <c r="P410" s="5"/>
      <c r="Q410" s="5">
        <f t="shared" si="78"/>
        <v>1</v>
      </c>
      <c r="R410" s="7">
        <f t="shared" si="79"/>
        <v>5288</v>
      </c>
      <c r="S410" s="5">
        <f t="shared" si="76"/>
        <v>1</v>
      </c>
      <c r="T410" s="7">
        <f t="shared" si="77"/>
        <v>5288</v>
      </c>
    </row>
    <row r="411" spans="1:20">
      <c r="A411" s="23" t="s">
        <v>438</v>
      </c>
      <c r="B411" s="35" t="s">
        <v>437</v>
      </c>
      <c r="C411" s="36">
        <v>1662</v>
      </c>
      <c r="D411" s="6"/>
      <c r="E411" s="113">
        <v>239790833</v>
      </c>
      <c r="F411" s="116">
        <f>(E411/C411)</f>
        <v>144278.47954271961</v>
      </c>
      <c r="G411" s="117">
        <v>206136669</v>
      </c>
      <c r="H411" s="117">
        <f>(G411/C411)</f>
        <v>124029.2833935018</v>
      </c>
      <c r="I411" s="9"/>
      <c r="J411" s="11">
        <v>3.93</v>
      </c>
      <c r="K411" s="117">
        <v>810117</v>
      </c>
      <c r="L411" s="120">
        <f>(K411/C411)</f>
        <v>487.43501805054154</v>
      </c>
      <c r="M411" s="122">
        <f t="shared" si="83"/>
        <v>2061366.69</v>
      </c>
      <c r="N411" s="116">
        <f t="shared" si="84"/>
        <v>1251249.69</v>
      </c>
      <c r="O411" s="123">
        <f t="shared" si="85"/>
        <v>752.85781588447651</v>
      </c>
      <c r="P411" s="5"/>
      <c r="Q411" s="5">
        <f t="shared" si="78"/>
        <v>1</v>
      </c>
      <c r="R411" s="7">
        <f t="shared" si="79"/>
        <v>1662</v>
      </c>
      <c r="S411" s="5">
        <f t="shared" si="76"/>
        <v>1</v>
      </c>
      <c r="T411" s="7">
        <f t="shared" si="77"/>
        <v>1662</v>
      </c>
    </row>
    <row r="412" spans="1:20">
      <c r="A412" s="23" t="s">
        <v>439</v>
      </c>
      <c r="B412" s="35" t="s">
        <v>437</v>
      </c>
      <c r="C412" s="36">
        <v>723</v>
      </c>
      <c r="D412" s="6" t="s">
        <v>527</v>
      </c>
      <c r="E412" s="113"/>
      <c r="F412" s="116"/>
      <c r="G412" s="117"/>
      <c r="H412" s="117"/>
      <c r="I412" s="9" t="s">
        <v>528</v>
      </c>
      <c r="J412" s="11"/>
      <c r="K412" s="117"/>
      <c r="L412" s="120"/>
      <c r="M412" s="122">
        <f t="shared" si="83"/>
        <v>0</v>
      </c>
      <c r="N412" s="116">
        <f t="shared" si="84"/>
        <v>0</v>
      </c>
      <c r="O412" s="123">
        <f t="shared" si="85"/>
        <v>0</v>
      </c>
      <c r="P412" s="5"/>
      <c r="Q412" s="5">
        <f t="shared" si="78"/>
        <v>0</v>
      </c>
      <c r="R412" s="7">
        <f t="shared" si="79"/>
        <v>0</v>
      </c>
      <c r="S412" s="5">
        <f t="shared" si="76"/>
        <v>0</v>
      </c>
      <c r="T412" s="7">
        <f t="shared" si="77"/>
        <v>0</v>
      </c>
    </row>
    <row r="413" spans="1:20">
      <c r="A413" s="23" t="s">
        <v>440</v>
      </c>
      <c r="B413" s="35" t="s">
        <v>441</v>
      </c>
      <c r="C413" s="36">
        <v>356</v>
      </c>
      <c r="D413" s="6"/>
      <c r="E413" s="113">
        <v>8617096</v>
      </c>
      <c r="F413" s="116">
        <f>(E413/C413)</f>
        <v>24205.325842696628</v>
      </c>
      <c r="G413" s="117">
        <v>3639034</v>
      </c>
      <c r="H413" s="117">
        <f>(G413/C413)</f>
        <v>10222.005617977527</v>
      </c>
      <c r="I413" s="9" t="s">
        <v>528</v>
      </c>
      <c r="J413" s="11"/>
      <c r="K413" s="117"/>
      <c r="L413" s="120"/>
      <c r="M413" s="122">
        <f t="shared" si="83"/>
        <v>36390.340000000004</v>
      </c>
      <c r="N413" s="116">
        <f t="shared" si="84"/>
        <v>36390.340000000004</v>
      </c>
      <c r="O413" s="123">
        <f t="shared" si="85"/>
        <v>102.2200561797753</v>
      </c>
      <c r="P413" s="5"/>
      <c r="Q413" s="5">
        <f t="shared" si="78"/>
        <v>1</v>
      </c>
      <c r="R413" s="7">
        <f t="shared" si="79"/>
        <v>356</v>
      </c>
      <c r="S413" s="5">
        <f t="shared" si="76"/>
        <v>0</v>
      </c>
      <c r="T413" s="7">
        <f t="shared" si="77"/>
        <v>0</v>
      </c>
    </row>
    <row r="414" spans="1:20">
      <c r="A414" s="23" t="s">
        <v>442</v>
      </c>
      <c r="B414" s="35" t="s">
        <v>441</v>
      </c>
      <c r="C414" s="36">
        <v>3679</v>
      </c>
      <c r="D414" s="6"/>
      <c r="E414" s="113">
        <v>215955042</v>
      </c>
      <c r="F414" s="116">
        <f>(E414/C414)</f>
        <v>58699.386246262569</v>
      </c>
      <c r="G414" s="117">
        <v>155188760</v>
      </c>
      <c r="H414" s="117">
        <f>(G414/C414)</f>
        <v>42182.321282957324</v>
      </c>
      <c r="I414" s="9"/>
      <c r="J414" s="11">
        <v>5.2436999999999996</v>
      </c>
      <c r="K414" s="117">
        <v>813763</v>
      </c>
      <c r="L414" s="120">
        <f>(K414/C414)</f>
        <v>221.19135634683337</v>
      </c>
      <c r="M414" s="122">
        <f t="shared" si="83"/>
        <v>1551887.6</v>
      </c>
      <c r="N414" s="116">
        <f t="shared" si="84"/>
        <v>738124.60000000009</v>
      </c>
      <c r="O414" s="123">
        <f t="shared" si="85"/>
        <v>200.63185648273989</v>
      </c>
      <c r="P414" s="5"/>
      <c r="Q414" s="5">
        <f t="shared" si="78"/>
        <v>1</v>
      </c>
      <c r="R414" s="7">
        <f t="shared" si="79"/>
        <v>3679</v>
      </c>
      <c r="S414" s="5">
        <f t="shared" si="76"/>
        <v>1</v>
      </c>
      <c r="T414" s="7">
        <f t="shared" si="77"/>
        <v>3679</v>
      </c>
    </row>
    <row r="415" spans="1:20">
      <c r="A415" s="23" t="s">
        <v>443</v>
      </c>
      <c r="B415" s="35" t="s">
        <v>441</v>
      </c>
      <c r="C415" s="36">
        <v>259</v>
      </c>
      <c r="D415" s="6"/>
      <c r="E415" s="113">
        <v>10878708</v>
      </c>
      <c r="F415" s="116">
        <f>(E415/C415)</f>
        <v>42002.733590733587</v>
      </c>
      <c r="G415" s="117">
        <v>6306789</v>
      </c>
      <c r="H415" s="117">
        <f>(G415/C415)</f>
        <v>24350.536679536679</v>
      </c>
      <c r="I415" s="9" t="s">
        <v>528</v>
      </c>
      <c r="J415" s="11"/>
      <c r="K415" s="117"/>
      <c r="L415" s="120"/>
      <c r="M415" s="122">
        <f t="shared" si="83"/>
        <v>63067.89</v>
      </c>
      <c r="N415" s="116">
        <f t="shared" si="84"/>
        <v>63067.89</v>
      </c>
      <c r="O415" s="123">
        <f t="shared" si="85"/>
        <v>243.5053667953668</v>
      </c>
      <c r="P415" s="5"/>
      <c r="Q415" s="5">
        <f t="shared" si="78"/>
        <v>1</v>
      </c>
      <c r="R415" s="7">
        <f t="shared" si="79"/>
        <v>259</v>
      </c>
      <c r="S415" s="5">
        <f t="shared" si="76"/>
        <v>0</v>
      </c>
      <c r="T415" s="7">
        <f t="shared" si="77"/>
        <v>0</v>
      </c>
    </row>
    <row r="416" spans="1:20">
      <c r="A416" s="23" t="s">
        <v>444</v>
      </c>
      <c r="B416" s="35" t="s">
        <v>441</v>
      </c>
      <c r="C416" s="36">
        <v>769</v>
      </c>
      <c r="D416" s="6"/>
      <c r="E416" s="113">
        <v>31299213</v>
      </c>
      <c r="F416" s="116">
        <f>(E416/C416)</f>
        <v>40701.187256176854</v>
      </c>
      <c r="G416" s="117">
        <v>15170750</v>
      </c>
      <c r="H416" s="117">
        <f>(G416/C416)</f>
        <v>19727.893368010402</v>
      </c>
      <c r="I416" s="9"/>
      <c r="J416" s="11">
        <v>2.2789999999999999</v>
      </c>
      <c r="K416" s="117">
        <v>34574</v>
      </c>
      <c r="L416" s="120">
        <f>(K416/C416)</f>
        <v>44.959687906371911</v>
      </c>
      <c r="M416" s="122">
        <f t="shared" si="83"/>
        <v>151707.5</v>
      </c>
      <c r="N416" s="116">
        <f t="shared" si="84"/>
        <v>117133.5</v>
      </c>
      <c r="O416" s="123">
        <f t="shared" si="85"/>
        <v>152.31924577373212</v>
      </c>
      <c r="P416" s="5"/>
      <c r="Q416" s="5">
        <f t="shared" si="78"/>
        <v>1</v>
      </c>
      <c r="R416" s="7">
        <f t="shared" si="79"/>
        <v>769</v>
      </c>
      <c r="S416" s="5">
        <f t="shared" si="76"/>
        <v>1</v>
      </c>
      <c r="T416" s="7">
        <f t="shared" si="77"/>
        <v>769</v>
      </c>
    </row>
    <row r="417" spans="1:20">
      <c r="A417" s="23" t="s">
        <v>445</v>
      </c>
      <c r="B417" s="35" t="s">
        <v>441</v>
      </c>
      <c r="C417" s="36">
        <v>434</v>
      </c>
      <c r="D417" s="6"/>
      <c r="E417" s="113">
        <v>9739610</v>
      </c>
      <c r="F417" s="116">
        <f>(E417/C417)</f>
        <v>22441.497695852533</v>
      </c>
      <c r="G417" s="117">
        <v>4403078</v>
      </c>
      <c r="H417" s="117">
        <f>(G417/C417)</f>
        <v>10145.341013824886</v>
      </c>
      <c r="I417" s="9" t="s">
        <v>528</v>
      </c>
      <c r="J417" s="11"/>
      <c r="K417" s="117"/>
      <c r="L417" s="120"/>
      <c r="M417" s="122">
        <f t="shared" si="83"/>
        <v>44030.78</v>
      </c>
      <c r="N417" s="116">
        <f t="shared" si="84"/>
        <v>44030.78</v>
      </c>
      <c r="O417" s="123">
        <f t="shared" si="85"/>
        <v>101.45341013824884</v>
      </c>
      <c r="P417" s="5"/>
      <c r="Q417" s="5">
        <f t="shared" si="78"/>
        <v>1</v>
      </c>
      <c r="R417" s="7">
        <f t="shared" si="79"/>
        <v>434</v>
      </c>
      <c r="S417" s="5">
        <f t="shared" si="76"/>
        <v>0</v>
      </c>
      <c r="T417" s="7">
        <f t="shared" si="77"/>
        <v>0</v>
      </c>
    </row>
    <row r="418" spans="1:20">
      <c r="A418" s="70" t="s">
        <v>451</v>
      </c>
      <c r="B418" s="71"/>
      <c r="C418" s="72">
        <f>SUM(C6:C417)</f>
        <v>9508495</v>
      </c>
      <c r="D418" s="73"/>
      <c r="E418" s="73">
        <f>SUM(E6:E417)</f>
        <v>1334762545070</v>
      </c>
      <c r="F418" s="74">
        <f>(E418/R418)</f>
        <v>154237.82215237594</v>
      </c>
      <c r="G418" s="75">
        <f>SUM(G6:G417)</f>
        <v>936971328002</v>
      </c>
      <c r="H418" s="76">
        <f>(G418/R418)</f>
        <v>108271.25587545536</v>
      </c>
      <c r="I418" s="71"/>
      <c r="J418" s="77"/>
      <c r="K418" s="78">
        <f>SUM(K6:K417)</f>
        <v>3903932305.8800001</v>
      </c>
      <c r="L418" s="79">
        <f>(K418/T418)</f>
        <v>453.53943548231575</v>
      </c>
      <c r="M418" s="79">
        <f>SUM(M6:M417)</f>
        <v>9369713280.0199986</v>
      </c>
      <c r="N418" s="78">
        <f>SUM(N6:N417)</f>
        <v>5465780974.1399965</v>
      </c>
      <c r="O418" s="80">
        <f>(N418/R418)</f>
        <v>631.59560247402146</v>
      </c>
      <c r="P418" s="20"/>
      <c r="Q418" s="20">
        <f>SUM(Q6:Q417)</f>
        <v>407</v>
      </c>
      <c r="R418" s="21">
        <f>SUM(R6:R417)</f>
        <v>8653925</v>
      </c>
      <c r="S418" s="20">
        <f>SUM(S6:S417)</f>
        <v>383</v>
      </c>
      <c r="T418" s="21">
        <f>SUM(T6:T417)</f>
        <v>8607702</v>
      </c>
    </row>
    <row r="419" spans="1:20">
      <c r="A419" s="27" t="s">
        <v>453</v>
      </c>
      <c r="B419" s="13"/>
      <c r="C419" s="60">
        <f>(S418)</f>
        <v>383</v>
      </c>
      <c r="D419" s="14"/>
      <c r="E419" s="14"/>
      <c r="F419" s="16"/>
      <c r="G419" s="16"/>
      <c r="H419" s="16"/>
      <c r="I419" s="16"/>
      <c r="J419" s="14"/>
      <c r="K419" s="17"/>
      <c r="L419" s="17"/>
      <c r="M419" s="2"/>
      <c r="N419" s="2"/>
      <c r="O419" s="63"/>
      <c r="P419" s="2"/>
      <c r="Q419" s="2"/>
      <c r="R419" s="2"/>
      <c r="S419" s="2"/>
      <c r="T419" s="2"/>
    </row>
    <row r="420" spans="1:20">
      <c r="A420" s="22"/>
      <c r="B420" s="16"/>
      <c r="C420" s="16"/>
      <c r="D420" s="16"/>
      <c r="E420" s="16"/>
      <c r="F420" s="16"/>
      <c r="G420" s="16"/>
      <c r="H420" s="16"/>
      <c r="I420" s="16"/>
      <c r="J420" s="17"/>
      <c r="K420" s="17"/>
      <c r="L420" s="17"/>
      <c r="M420" s="2"/>
      <c r="N420" s="2"/>
      <c r="O420" s="63"/>
      <c r="P420" s="2"/>
      <c r="Q420" s="2"/>
      <c r="R420" s="2"/>
      <c r="S420" s="2"/>
      <c r="T420" s="2"/>
    </row>
    <row r="421" spans="1:20">
      <c r="A421" s="28" t="s">
        <v>498</v>
      </c>
      <c r="B421" s="25"/>
      <c r="C421" s="25"/>
      <c r="D421" s="25"/>
      <c r="E421" s="25"/>
      <c r="F421" s="25"/>
      <c r="G421" s="25"/>
      <c r="H421" s="25"/>
      <c r="I421" s="25"/>
      <c r="J421" s="26"/>
      <c r="K421" s="26"/>
      <c r="L421" s="26"/>
      <c r="M421" s="1"/>
      <c r="N421" s="1"/>
      <c r="O421" s="64"/>
      <c r="P421" s="1"/>
      <c r="Q421" s="1"/>
      <c r="R421" s="1"/>
      <c r="S421" s="1"/>
      <c r="T421" s="1"/>
    </row>
    <row r="422" spans="1:20">
      <c r="A422" s="96" t="s">
        <v>566</v>
      </c>
      <c r="B422" s="25"/>
      <c r="C422" s="25"/>
      <c r="D422" s="25"/>
      <c r="E422" s="25"/>
      <c r="F422" s="25"/>
      <c r="G422" s="25"/>
      <c r="H422" s="25"/>
      <c r="I422" s="25"/>
      <c r="J422" s="26"/>
      <c r="K422" s="26"/>
      <c r="L422" s="26"/>
      <c r="M422" s="1"/>
      <c r="N422" s="1"/>
      <c r="O422" s="64"/>
      <c r="P422" s="1"/>
      <c r="Q422" s="1"/>
      <c r="R422" s="1"/>
      <c r="S422" s="1"/>
      <c r="T422" s="1"/>
    </row>
    <row r="423" spans="1:20">
      <c r="A423" s="96" t="s">
        <v>570</v>
      </c>
      <c r="B423" s="25"/>
      <c r="C423" s="25"/>
      <c r="D423" s="25"/>
      <c r="E423" s="25"/>
      <c r="F423" s="25"/>
      <c r="G423" s="25"/>
      <c r="H423" s="25"/>
      <c r="I423" s="25"/>
      <c r="J423" s="26"/>
      <c r="K423" s="26"/>
      <c r="L423" s="26"/>
      <c r="M423" s="1"/>
      <c r="N423" s="1"/>
      <c r="O423" s="64"/>
      <c r="P423" s="1"/>
      <c r="Q423" s="1"/>
      <c r="R423" s="1"/>
      <c r="S423" s="1"/>
      <c r="T423" s="1"/>
    </row>
    <row r="424" spans="1:20">
      <c r="A424" s="96" t="s">
        <v>571</v>
      </c>
      <c r="B424" s="25"/>
      <c r="C424" s="25"/>
      <c r="D424" s="25"/>
      <c r="E424" s="25"/>
      <c r="F424" s="25"/>
      <c r="G424" s="25"/>
      <c r="H424" s="25"/>
      <c r="I424" s="25"/>
      <c r="J424" s="26"/>
      <c r="K424" s="26"/>
      <c r="L424" s="26"/>
      <c r="M424" s="1"/>
      <c r="N424" s="1"/>
      <c r="O424" s="64"/>
      <c r="P424" s="1"/>
      <c r="Q424" s="1"/>
      <c r="R424" s="1"/>
      <c r="S424" s="1"/>
      <c r="T424" s="1"/>
    </row>
    <row r="425" spans="1:20">
      <c r="A425" s="96" t="s">
        <v>572</v>
      </c>
      <c r="B425" s="25"/>
      <c r="C425" s="25"/>
      <c r="D425" s="25"/>
      <c r="E425" s="25"/>
      <c r="F425" s="25"/>
      <c r="G425" s="25"/>
      <c r="H425" s="25"/>
      <c r="I425" s="25"/>
      <c r="J425" s="26"/>
      <c r="K425" s="26"/>
      <c r="L425" s="26"/>
      <c r="M425" s="1"/>
      <c r="N425" s="1"/>
      <c r="O425" s="64"/>
      <c r="P425" s="1"/>
      <c r="Q425" s="1"/>
      <c r="R425" s="1"/>
      <c r="S425" s="1"/>
      <c r="T425" s="1"/>
    </row>
    <row r="426" spans="1:20">
      <c r="A426" s="29" t="s">
        <v>505</v>
      </c>
      <c r="B426" s="25"/>
      <c r="C426" s="25"/>
      <c r="D426" s="25"/>
      <c r="E426" s="25"/>
      <c r="F426" s="25"/>
      <c r="G426" s="25"/>
      <c r="H426" s="25"/>
      <c r="I426" s="25"/>
      <c r="J426" s="26"/>
      <c r="K426" s="26"/>
      <c r="L426" s="26"/>
      <c r="M426" s="1"/>
      <c r="N426" s="1"/>
      <c r="O426" s="64"/>
      <c r="P426" s="1"/>
      <c r="Q426" s="1"/>
      <c r="R426" s="1"/>
      <c r="S426" s="1"/>
      <c r="T426" s="1"/>
    </row>
    <row r="427" spans="1:20">
      <c r="A427" s="29"/>
      <c r="B427" s="25"/>
      <c r="C427" s="25"/>
      <c r="D427" s="25"/>
      <c r="E427" s="25"/>
      <c r="F427" s="25"/>
      <c r="G427" s="25"/>
      <c r="H427" s="25"/>
      <c r="I427" s="25"/>
      <c r="J427" s="26"/>
      <c r="K427" s="26"/>
      <c r="L427" s="26"/>
      <c r="M427" s="1"/>
      <c r="N427" s="1"/>
      <c r="O427" s="64"/>
      <c r="P427" s="1"/>
      <c r="Q427" s="1"/>
      <c r="R427" s="1"/>
      <c r="S427" s="1"/>
      <c r="T427" s="1"/>
    </row>
    <row r="428" spans="1:20">
      <c r="A428" s="96" t="s">
        <v>579</v>
      </c>
      <c r="B428" s="25"/>
      <c r="C428" s="25"/>
      <c r="D428" s="25"/>
      <c r="E428" s="25"/>
      <c r="F428" s="25"/>
      <c r="G428" s="25"/>
      <c r="H428" s="25"/>
      <c r="I428" s="25"/>
      <c r="J428" s="26"/>
      <c r="K428" s="26"/>
      <c r="L428" s="26"/>
      <c r="M428" s="1"/>
      <c r="N428" s="1"/>
      <c r="O428" s="64"/>
      <c r="P428" s="1"/>
      <c r="Q428" s="1"/>
      <c r="R428" s="1"/>
      <c r="S428" s="1"/>
      <c r="T428" s="1"/>
    </row>
    <row r="429" spans="1:20">
      <c r="A429" s="96" t="s">
        <v>542</v>
      </c>
      <c r="B429" s="25"/>
      <c r="C429" s="25"/>
      <c r="D429" s="25"/>
      <c r="E429" s="25"/>
      <c r="F429" s="25"/>
      <c r="G429" s="25"/>
      <c r="H429" s="25"/>
      <c r="I429" s="25"/>
      <c r="J429" s="26"/>
      <c r="K429" s="26"/>
      <c r="L429" s="26"/>
      <c r="M429" s="1"/>
      <c r="N429" s="1"/>
      <c r="O429" s="64"/>
      <c r="P429" s="1"/>
      <c r="Q429" s="1"/>
      <c r="R429" s="1"/>
      <c r="S429" s="1"/>
      <c r="T429" s="1"/>
    </row>
    <row r="430" spans="1:20" ht="13.5" thickBot="1">
      <c r="A430" s="30" t="s">
        <v>529</v>
      </c>
      <c r="B430" s="31"/>
      <c r="C430" s="31"/>
      <c r="D430" s="31"/>
      <c r="E430" s="31"/>
      <c r="F430" s="31"/>
      <c r="G430" s="31"/>
      <c r="H430" s="31"/>
      <c r="I430" s="31"/>
      <c r="J430" s="32"/>
      <c r="K430" s="32"/>
      <c r="L430" s="32"/>
      <c r="M430" s="31"/>
      <c r="N430" s="31"/>
      <c r="O430" s="81"/>
      <c r="P430" s="1"/>
      <c r="Q430" s="1"/>
      <c r="R430" s="1"/>
      <c r="S430" s="1"/>
      <c r="T430" s="1"/>
    </row>
    <row r="431" spans="1:20">
      <c r="A431" s="4"/>
      <c r="B431" s="1"/>
      <c r="C431" s="1"/>
      <c r="D431" s="1"/>
      <c r="E431" s="1"/>
      <c r="F431" s="1"/>
      <c r="G431" s="1"/>
      <c r="H431" s="1"/>
      <c r="I431" s="1"/>
      <c r="J431" s="3"/>
      <c r="K431" s="3"/>
      <c r="L431" s="3"/>
      <c r="M431" s="1"/>
      <c r="N431" s="1"/>
      <c r="O431" s="1"/>
      <c r="P431" s="1"/>
      <c r="Q431" s="1"/>
      <c r="R431" s="1"/>
      <c r="S431" s="1"/>
      <c r="T431" s="1"/>
    </row>
    <row r="432" spans="1:20">
      <c r="A432" s="4"/>
      <c r="B432" s="1"/>
      <c r="C432" s="1"/>
      <c r="D432" s="1"/>
      <c r="E432" s="1"/>
      <c r="F432" s="1"/>
      <c r="G432" s="1"/>
      <c r="H432" s="1"/>
      <c r="I432" s="1"/>
      <c r="J432" s="3"/>
      <c r="K432" s="3"/>
      <c r="L432" s="3"/>
      <c r="M432" s="1"/>
      <c r="N432" s="1"/>
      <c r="O432" s="1"/>
      <c r="P432" s="1"/>
      <c r="Q432" s="1"/>
      <c r="R432" s="1"/>
      <c r="S432" s="1"/>
      <c r="T432" s="1"/>
    </row>
    <row r="433" spans="1:20">
      <c r="A433" s="2"/>
      <c r="B433" s="2"/>
      <c r="C433" s="2"/>
      <c r="D433" s="2"/>
      <c r="E433" s="2"/>
      <c r="F433" s="2"/>
      <c r="G433" s="2"/>
      <c r="H433" s="2"/>
      <c r="I433" s="2"/>
      <c r="J433" s="2"/>
      <c r="K433" s="2"/>
      <c r="L433" s="2"/>
      <c r="M433" s="2"/>
      <c r="N433" s="2"/>
      <c r="O433" s="2"/>
      <c r="P433" s="2"/>
      <c r="Q433" s="2"/>
      <c r="R433" s="2"/>
      <c r="S433" s="2"/>
      <c r="T433"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rowBreaks count="1" manualBreakCount="1">
    <brk id="419" max="14" man="1"/>
  </rowBreaks>
  <ignoredErrors>
    <ignoredError sqref="L418 F41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T431"/>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8.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7" t="s">
        <v>523</v>
      </c>
      <c r="B1" s="198"/>
      <c r="C1" s="198"/>
      <c r="D1" s="198"/>
      <c r="E1" s="198"/>
      <c r="F1" s="198"/>
      <c r="G1" s="198"/>
      <c r="H1" s="198"/>
      <c r="I1" s="198"/>
      <c r="J1" s="198"/>
      <c r="K1" s="198"/>
      <c r="L1" s="198"/>
      <c r="M1" s="198"/>
      <c r="N1" s="198"/>
      <c r="O1" s="199"/>
    </row>
    <row r="2" spans="1:20" ht="18">
      <c r="A2" s="41"/>
      <c r="B2" s="42"/>
      <c r="C2" s="43"/>
      <c r="D2" s="200" t="s">
        <v>483</v>
      </c>
      <c r="E2" s="201"/>
      <c r="F2" s="201"/>
      <c r="G2" s="201"/>
      <c r="H2" s="202"/>
      <c r="I2" s="44"/>
      <c r="J2" s="61" t="s">
        <v>456</v>
      </c>
      <c r="K2" s="45"/>
      <c r="L2" s="68"/>
      <c r="M2" s="201" t="s">
        <v>503</v>
      </c>
      <c r="N2" s="201"/>
      <c r="O2" s="203"/>
    </row>
    <row r="3" spans="1:20" ht="12.75" customHeight="1">
      <c r="A3" s="46"/>
      <c r="B3" s="47"/>
      <c r="C3" s="48">
        <v>2006</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7657</v>
      </c>
      <c r="D6" s="18"/>
      <c r="E6" s="18">
        <v>901033026</v>
      </c>
      <c r="F6" s="38">
        <f>(E6/C6)</f>
        <v>117674.41896304036</v>
      </c>
      <c r="G6" s="18">
        <v>583548796</v>
      </c>
      <c r="H6" s="39">
        <f t="shared" ref="H6:H14" si="0">(G6/C6)</f>
        <v>76211.152670758776</v>
      </c>
      <c r="I6" s="15"/>
      <c r="J6" s="17">
        <v>5.5</v>
      </c>
      <c r="K6" s="40">
        <v>3209518</v>
      </c>
      <c r="L6" s="84">
        <f t="shared" ref="L6:L14" si="1">(K6/C6)</f>
        <v>419.16129032258067</v>
      </c>
      <c r="M6" s="65">
        <f>(G6*0.01)</f>
        <v>5835487.96</v>
      </c>
      <c r="N6" s="83">
        <f>(M6-K6)</f>
        <v>2625969.96</v>
      </c>
      <c r="O6" s="62">
        <f>(N6/C6)</f>
        <v>342.9502363850072</v>
      </c>
      <c r="P6" s="5"/>
      <c r="Q6" s="5">
        <f>IF(E6&gt;0,1,0)</f>
        <v>1</v>
      </c>
      <c r="R6" s="7">
        <f>IF(E6&gt;0,C6,0)</f>
        <v>7657</v>
      </c>
      <c r="S6" s="5">
        <f t="shared" ref="S6:S69" si="2">IF(J6&gt;0,1,0)</f>
        <v>1</v>
      </c>
      <c r="T6" s="7">
        <f t="shared" ref="T6:T69" si="3">IF(J6&gt;0,C6,0)</f>
        <v>7657</v>
      </c>
    </row>
    <row r="7" spans="1:20">
      <c r="A7" s="23" t="s">
        <v>9</v>
      </c>
      <c r="B7" s="35" t="s">
        <v>8</v>
      </c>
      <c r="C7" s="36">
        <v>1225</v>
      </c>
      <c r="D7" s="6"/>
      <c r="E7" s="113">
        <v>57192890</v>
      </c>
      <c r="F7" s="116">
        <f>(E7/C7)</f>
        <v>46688.073469387753</v>
      </c>
      <c r="G7" s="113">
        <v>30874100</v>
      </c>
      <c r="H7" s="117">
        <f t="shared" si="0"/>
        <v>25203.34693877551</v>
      </c>
      <c r="I7" s="7"/>
      <c r="J7" s="10">
        <v>4.75</v>
      </c>
      <c r="K7" s="117">
        <v>146652</v>
      </c>
      <c r="L7" s="120">
        <f t="shared" si="1"/>
        <v>119.71591836734694</v>
      </c>
      <c r="M7" s="122">
        <f>(G7*0.01)</f>
        <v>308741</v>
      </c>
      <c r="N7" s="116">
        <f>(M7-K7)</f>
        <v>162089</v>
      </c>
      <c r="O7" s="123">
        <f>(N7/C7)</f>
        <v>132.31755102040816</v>
      </c>
      <c r="P7" s="5"/>
      <c r="Q7" s="5">
        <f t="shared" ref="Q7:Q70" si="4">IF(E7&gt;0,1,0)</f>
        <v>1</v>
      </c>
      <c r="R7" s="7">
        <f t="shared" ref="R7:R70" si="5">IF(E7&gt;0,C7,0)</f>
        <v>1225</v>
      </c>
      <c r="S7" s="5">
        <f t="shared" si="2"/>
        <v>1</v>
      </c>
      <c r="T7" s="7">
        <f t="shared" si="3"/>
        <v>1225</v>
      </c>
    </row>
    <row r="8" spans="1:20">
      <c r="A8" s="23" t="s">
        <v>10</v>
      </c>
      <c r="B8" s="35" t="s">
        <v>8</v>
      </c>
      <c r="C8" s="36">
        <v>120919</v>
      </c>
      <c r="D8" s="6"/>
      <c r="E8" s="113">
        <v>10604175314</v>
      </c>
      <c r="F8" s="116">
        <f t="shared" ref="F8:F71" si="6">(E8/C8)</f>
        <v>87696.5184462326</v>
      </c>
      <c r="G8" s="113">
        <v>4969172232</v>
      </c>
      <c r="H8" s="117">
        <f t="shared" si="0"/>
        <v>41095.049016283629</v>
      </c>
      <c r="I8" s="7"/>
      <c r="J8" s="10">
        <v>4.8509000000000002</v>
      </c>
      <c r="K8" s="117">
        <v>24104958</v>
      </c>
      <c r="L8" s="120">
        <f t="shared" si="1"/>
        <v>199.34797674476303</v>
      </c>
      <c r="M8" s="122">
        <f t="shared" ref="M8:M71" si="7">(G8*0.01)</f>
        <v>49691722.32</v>
      </c>
      <c r="N8" s="116">
        <f t="shared" ref="N8:N71" si="8">(M8-K8)</f>
        <v>25586764.32</v>
      </c>
      <c r="O8" s="123">
        <f t="shared" ref="O8:O71" si="9">(N8/C8)</f>
        <v>211.60251341807327</v>
      </c>
      <c r="P8" s="5"/>
      <c r="Q8" s="5">
        <f t="shared" si="4"/>
        <v>1</v>
      </c>
      <c r="R8" s="7">
        <f t="shared" si="5"/>
        <v>120919</v>
      </c>
      <c r="S8" s="5">
        <f t="shared" si="2"/>
        <v>1</v>
      </c>
      <c r="T8" s="7">
        <f t="shared" si="3"/>
        <v>120919</v>
      </c>
    </row>
    <row r="9" spans="1:20">
      <c r="A9" s="23" t="s">
        <v>11</v>
      </c>
      <c r="B9" s="35" t="s">
        <v>8</v>
      </c>
      <c r="C9" s="36">
        <v>1401</v>
      </c>
      <c r="D9" s="6"/>
      <c r="E9" s="113">
        <v>89786606</v>
      </c>
      <c r="F9" s="116">
        <f t="shared" si="6"/>
        <v>64087.513204853676</v>
      </c>
      <c r="G9" s="117">
        <v>45529776</v>
      </c>
      <c r="H9" s="117">
        <f t="shared" si="0"/>
        <v>32498.0556745182</v>
      </c>
      <c r="I9" s="7"/>
      <c r="J9" s="10">
        <v>6.5</v>
      </c>
      <c r="K9" s="117">
        <v>295944</v>
      </c>
      <c r="L9" s="120">
        <f t="shared" si="1"/>
        <v>211.23768736616702</v>
      </c>
      <c r="M9" s="122">
        <f t="shared" si="7"/>
        <v>455297.76</v>
      </c>
      <c r="N9" s="116">
        <f t="shared" si="8"/>
        <v>159353.76</v>
      </c>
      <c r="O9" s="123">
        <f t="shared" si="9"/>
        <v>113.74286937901499</v>
      </c>
      <c r="P9" s="5"/>
      <c r="Q9" s="5">
        <f t="shared" si="4"/>
        <v>1</v>
      </c>
      <c r="R9" s="7">
        <f t="shared" si="5"/>
        <v>1401</v>
      </c>
      <c r="S9" s="5">
        <f t="shared" si="2"/>
        <v>1</v>
      </c>
      <c r="T9" s="7">
        <f t="shared" si="3"/>
        <v>1401</v>
      </c>
    </row>
    <row r="10" spans="1:20">
      <c r="A10" s="23" t="s">
        <v>12</v>
      </c>
      <c r="B10" s="35" t="s">
        <v>8</v>
      </c>
      <c r="C10" s="36">
        <v>4576</v>
      </c>
      <c r="D10" s="6"/>
      <c r="E10" s="113">
        <v>349736937</v>
      </c>
      <c r="F10" s="116">
        <f t="shared" si="6"/>
        <v>76428.526442307688</v>
      </c>
      <c r="G10" s="117">
        <v>221588031</v>
      </c>
      <c r="H10" s="117">
        <f t="shared" si="0"/>
        <v>48423.957823426572</v>
      </c>
      <c r="I10" s="7"/>
      <c r="J10" s="10">
        <v>6.25</v>
      </c>
      <c r="K10" s="117">
        <v>1384925</v>
      </c>
      <c r="L10" s="120">
        <f t="shared" si="1"/>
        <v>302.64969405594405</v>
      </c>
      <c r="M10" s="122">
        <f t="shared" si="7"/>
        <v>2215880.31</v>
      </c>
      <c r="N10" s="116">
        <f t="shared" si="8"/>
        <v>830955.31</v>
      </c>
      <c r="O10" s="123">
        <f t="shared" si="9"/>
        <v>181.58988417832168</v>
      </c>
      <c r="P10" s="5"/>
      <c r="Q10" s="5">
        <f t="shared" si="4"/>
        <v>1</v>
      </c>
      <c r="R10" s="7">
        <f t="shared" si="5"/>
        <v>4576</v>
      </c>
      <c r="S10" s="5">
        <f t="shared" si="2"/>
        <v>1</v>
      </c>
      <c r="T10" s="7">
        <f t="shared" si="3"/>
        <v>4576</v>
      </c>
    </row>
    <row r="11" spans="1:20">
      <c r="A11" s="23" t="s">
        <v>559</v>
      </c>
      <c r="B11" s="35" t="s">
        <v>8</v>
      </c>
      <c r="C11" s="36">
        <v>190</v>
      </c>
      <c r="D11" s="6"/>
      <c r="E11" s="113">
        <v>15096889</v>
      </c>
      <c r="F11" s="116">
        <f t="shared" si="6"/>
        <v>79457.310526315792</v>
      </c>
      <c r="G11" s="117">
        <v>8583939</v>
      </c>
      <c r="H11" s="117">
        <f t="shared" si="0"/>
        <v>45178.626315789472</v>
      </c>
      <c r="I11" s="7"/>
      <c r="J11" s="10">
        <v>2.4611000000000001</v>
      </c>
      <c r="K11" s="117">
        <v>21126</v>
      </c>
      <c r="L11" s="120">
        <f t="shared" si="1"/>
        <v>111.18947368421053</v>
      </c>
      <c r="M11" s="122">
        <f t="shared" si="7"/>
        <v>85839.39</v>
      </c>
      <c r="N11" s="116">
        <f t="shared" si="8"/>
        <v>64713.39</v>
      </c>
      <c r="O11" s="123">
        <f t="shared" si="9"/>
        <v>340.59678947368423</v>
      </c>
      <c r="P11" s="5"/>
      <c r="Q11" s="5">
        <f t="shared" si="4"/>
        <v>1</v>
      </c>
      <c r="R11" s="7">
        <f t="shared" si="5"/>
        <v>190</v>
      </c>
      <c r="S11" s="5">
        <f t="shared" si="2"/>
        <v>1</v>
      </c>
      <c r="T11" s="7">
        <f t="shared" si="3"/>
        <v>190</v>
      </c>
    </row>
    <row r="12" spans="1:20">
      <c r="A12" s="23" t="s">
        <v>13</v>
      </c>
      <c r="B12" s="35" t="s">
        <v>8</v>
      </c>
      <c r="C12" s="36">
        <v>626</v>
      </c>
      <c r="D12" s="6"/>
      <c r="E12" s="113">
        <v>39043788</v>
      </c>
      <c r="F12" s="116">
        <f t="shared" si="6"/>
        <v>62370.268370607031</v>
      </c>
      <c r="G12" s="117">
        <v>23269588</v>
      </c>
      <c r="H12" s="117">
        <f t="shared" si="0"/>
        <v>37171.865814696488</v>
      </c>
      <c r="I12" s="7"/>
      <c r="J12" s="10">
        <v>8</v>
      </c>
      <c r="K12" s="117">
        <v>186157</v>
      </c>
      <c r="L12" s="120">
        <f t="shared" si="1"/>
        <v>297.37539936102235</v>
      </c>
      <c r="M12" s="122">
        <f t="shared" si="7"/>
        <v>232695.88</v>
      </c>
      <c r="N12" s="116">
        <f t="shared" si="8"/>
        <v>46538.880000000005</v>
      </c>
      <c r="O12" s="123">
        <f t="shared" si="9"/>
        <v>74.343258785942496</v>
      </c>
      <c r="P12" s="5"/>
      <c r="Q12" s="5">
        <f t="shared" si="4"/>
        <v>1</v>
      </c>
      <c r="R12" s="7">
        <f t="shared" si="5"/>
        <v>626</v>
      </c>
      <c r="S12" s="5">
        <f t="shared" si="2"/>
        <v>1</v>
      </c>
      <c r="T12" s="7">
        <f t="shared" si="3"/>
        <v>626</v>
      </c>
    </row>
    <row r="13" spans="1:20">
      <c r="A13" s="23" t="s">
        <v>14</v>
      </c>
      <c r="B13" s="35" t="s">
        <v>8</v>
      </c>
      <c r="C13" s="36">
        <v>4414</v>
      </c>
      <c r="D13" s="6"/>
      <c r="E13" s="113">
        <v>395499626</v>
      </c>
      <c r="F13" s="116">
        <f t="shared" si="6"/>
        <v>89601.183960126873</v>
      </c>
      <c r="G13" s="117">
        <v>230721020</v>
      </c>
      <c r="H13" s="117">
        <f t="shared" si="0"/>
        <v>52270.280924331673</v>
      </c>
      <c r="I13" s="7"/>
      <c r="J13" s="10">
        <v>4.45</v>
      </c>
      <c r="K13" s="117">
        <v>1026709</v>
      </c>
      <c r="L13" s="120">
        <f t="shared" si="1"/>
        <v>232.60285455369279</v>
      </c>
      <c r="M13" s="122">
        <f t="shared" si="7"/>
        <v>2307210.2000000002</v>
      </c>
      <c r="N13" s="116">
        <f t="shared" si="8"/>
        <v>1280501.2000000002</v>
      </c>
      <c r="O13" s="123">
        <f t="shared" si="9"/>
        <v>290.09995468962398</v>
      </c>
      <c r="P13" s="5"/>
      <c r="Q13" s="5">
        <f t="shared" si="4"/>
        <v>1</v>
      </c>
      <c r="R13" s="7">
        <f t="shared" si="5"/>
        <v>4414</v>
      </c>
      <c r="S13" s="5">
        <f t="shared" si="2"/>
        <v>1</v>
      </c>
      <c r="T13" s="7">
        <f t="shared" si="3"/>
        <v>4414</v>
      </c>
    </row>
    <row r="14" spans="1:20">
      <c r="A14" s="23" t="s">
        <v>15</v>
      </c>
      <c r="B14" s="35" t="s">
        <v>8</v>
      </c>
      <c r="C14" s="36">
        <v>821</v>
      </c>
      <c r="D14" s="6"/>
      <c r="E14" s="113">
        <v>41962219</v>
      </c>
      <c r="F14" s="116">
        <f t="shared" si="6"/>
        <v>51111.107186358102</v>
      </c>
      <c r="G14" s="117">
        <v>23256774</v>
      </c>
      <c r="H14" s="117">
        <f t="shared" si="0"/>
        <v>28327.373934226554</v>
      </c>
      <c r="I14" s="7"/>
      <c r="J14" s="10">
        <v>5.0313999999999997</v>
      </c>
      <c r="K14" s="117">
        <v>117014</v>
      </c>
      <c r="L14" s="120">
        <f t="shared" si="1"/>
        <v>142.52618757612669</v>
      </c>
      <c r="M14" s="122">
        <f t="shared" si="7"/>
        <v>232567.74</v>
      </c>
      <c r="N14" s="116">
        <f t="shared" si="8"/>
        <v>115553.73999999999</v>
      </c>
      <c r="O14" s="123">
        <f t="shared" si="9"/>
        <v>140.74755176613886</v>
      </c>
      <c r="P14" s="5"/>
      <c r="Q14" s="5">
        <f t="shared" si="4"/>
        <v>1</v>
      </c>
      <c r="R14" s="7">
        <f t="shared" si="5"/>
        <v>821</v>
      </c>
      <c r="S14" s="5">
        <f t="shared" si="2"/>
        <v>1</v>
      </c>
      <c r="T14" s="7">
        <f t="shared" si="3"/>
        <v>821</v>
      </c>
    </row>
    <row r="15" spans="1:20">
      <c r="A15" s="23" t="s">
        <v>544</v>
      </c>
      <c r="B15" s="35" t="s">
        <v>16</v>
      </c>
      <c r="C15" s="36">
        <v>466</v>
      </c>
      <c r="D15" s="6" t="s">
        <v>527</v>
      </c>
      <c r="E15" s="113"/>
      <c r="F15" s="116"/>
      <c r="G15" s="117"/>
      <c r="H15" s="117"/>
      <c r="I15" s="9" t="s">
        <v>528</v>
      </c>
      <c r="J15" s="10"/>
      <c r="K15" s="117"/>
      <c r="L15" s="120"/>
      <c r="M15" s="122">
        <f t="shared" si="7"/>
        <v>0</v>
      </c>
      <c r="N15" s="116">
        <f t="shared" si="8"/>
        <v>0</v>
      </c>
      <c r="O15" s="123">
        <f t="shared" si="9"/>
        <v>0</v>
      </c>
      <c r="P15" s="5"/>
      <c r="Q15" s="5">
        <f t="shared" si="4"/>
        <v>0</v>
      </c>
      <c r="R15" s="7">
        <f t="shared" si="5"/>
        <v>0</v>
      </c>
      <c r="S15" s="5">
        <f t="shared" si="2"/>
        <v>0</v>
      </c>
      <c r="T15" s="7">
        <f t="shared" si="3"/>
        <v>0</v>
      </c>
    </row>
    <row r="16" spans="1:20">
      <c r="A16" s="23" t="s">
        <v>17</v>
      </c>
      <c r="B16" s="35" t="s">
        <v>16</v>
      </c>
      <c r="C16" s="36">
        <v>5433</v>
      </c>
      <c r="D16" s="6"/>
      <c r="E16" s="113">
        <v>308061808</v>
      </c>
      <c r="F16" s="116">
        <f t="shared" si="6"/>
        <v>56701.970918461258</v>
      </c>
      <c r="G16" s="117">
        <v>192188524</v>
      </c>
      <c r="H16" s="117">
        <f t="shared" ref="H16:H47" si="10">(G16/C16)</f>
        <v>35374.29118350819</v>
      </c>
      <c r="I16" s="7"/>
      <c r="J16" s="10">
        <v>3.65</v>
      </c>
      <c r="K16" s="117">
        <v>701488</v>
      </c>
      <c r="L16" s="120">
        <f t="shared" ref="L16:L21" si="11">(K16/C16)</f>
        <v>129.11614209460703</v>
      </c>
      <c r="M16" s="122">
        <f t="shared" si="7"/>
        <v>1921885.24</v>
      </c>
      <c r="N16" s="116">
        <f t="shared" si="8"/>
        <v>1220397.24</v>
      </c>
      <c r="O16" s="123">
        <f t="shared" si="9"/>
        <v>224.62676974047488</v>
      </c>
      <c r="P16" s="5"/>
      <c r="Q16" s="5">
        <f t="shared" si="4"/>
        <v>1</v>
      </c>
      <c r="R16" s="7">
        <f t="shared" si="5"/>
        <v>5433</v>
      </c>
      <c r="S16" s="5">
        <f t="shared" si="2"/>
        <v>1</v>
      </c>
      <c r="T16" s="7">
        <f t="shared" si="3"/>
        <v>5433</v>
      </c>
    </row>
    <row r="17" spans="1:20">
      <c r="A17" s="23" t="s">
        <v>18</v>
      </c>
      <c r="B17" s="35" t="s">
        <v>19</v>
      </c>
      <c r="C17" s="36">
        <v>14789</v>
      </c>
      <c r="D17" s="6"/>
      <c r="E17" s="113">
        <v>781757289</v>
      </c>
      <c r="F17" s="116">
        <f t="shared" si="6"/>
        <v>52860.726823990801</v>
      </c>
      <c r="G17" s="117">
        <v>525540455</v>
      </c>
      <c r="H17" s="117">
        <f t="shared" si="10"/>
        <v>35535.902021772941</v>
      </c>
      <c r="I17" s="8"/>
      <c r="J17" s="10">
        <v>2</v>
      </c>
      <c r="K17" s="117">
        <v>1051081</v>
      </c>
      <c r="L17" s="120">
        <f t="shared" si="11"/>
        <v>71.071810129150037</v>
      </c>
      <c r="M17" s="122">
        <f t="shared" si="7"/>
        <v>5255404.55</v>
      </c>
      <c r="N17" s="116">
        <f t="shared" si="8"/>
        <v>4204323.55</v>
      </c>
      <c r="O17" s="123">
        <f t="shared" si="9"/>
        <v>284.28721008857934</v>
      </c>
      <c r="P17" s="5"/>
      <c r="Q17" s="5">
        <f t="shared" si="4"/>
        <v>1</v>
      </c>
      <c r="R17" s="7">
        <f t="shared" si="5"/>
        <v>14789</v>
      </c>
      <c r="S17" s="5">
        <f t="shared" si="2"/>
        <v>1</v>
      </c>
      <c r="T17" s="7">
        <f t="shared" si="3"/>
        <v>14789</v>
      </c>
    </row>
    <row r="18" spans="1:20">
      <c r="A18" s="23" t="s">
        <v>20</v>
      </c>
      <c r="B18" s="35" t="s">
        <v>19</v>
      </c>
      <c r="C18" s="36">
        <v>6325</v>
      </c>
      <c r="D18" s="6"/>
      <c r="E18" s="113">
        <v>310945037</v>
      </c>
      <c r="F18" s="116">
        <f t="shared" si="6"/>
        <v>49161.270671936756</v>
      </c>
      <c r="G18" s="117">
        <v>204966289</v>
      </c>
      <c r="H18" s="117">
        <f t="shared" si="10"/>
        <v>32405.737391304348</v>
      </c>
      <c r="I18" s="9"/>
      <c r="J18" s="10">
        <v>1.5</v>
      </c>
      <c r="K18" s="117">
        <v>307449</v>
      </c>
      <c r="L18" s="120">
        <f t="shared" si="11"/>
        <v>48.608537549407117</v>
      </c>
      <c r="M18" s="122">
        <f t="shared" si="7"/>
        <v>2049662.8900000001</v>
      </c>
      <c r="N18" s="116">
        <f t="shared" si="8"/>
        <v>1742213.8900000001</v>
      </c>
      <c r="O18" s="123">
        <f t="shared" si="9"/>
        <v>275.44883636363636</v>
      </c>
      <c r="P18" s="5"/>
      <c r="Q18" s="5">
        <f t="shared" si="4"/>
        <v>1</v>
      </c>
      <c r="R18" s="7">
        <f t="shared" si="5"/>
        <v>6325</v>
      </c>
      <c r="S18" s="5">
        <f t="shared" si="2"/>
        <v>1</v>
      </c>
      <c r="T18" s="7">
        <f t="shared" si="3"/>
        <v>6325</v>
      </c>
    </row>
    <row r="19" spans="1:20">
      <c r="A19" s="23" t="s">
        <v>21</v>
      </c>
      <c r="B19" s="35" t="s">
        <v>19</v>
      </c>
      <c r="C19" s="36">
        <v>16436</v>
      </c>
      <c r="D19" s="6"/>
      <c r="E19" s="113">
        <v>1519973483</v>
      </c>
      <c r="F19" s="116">
        <f t="shared" si="6"/>
        <v>92478.308773424185</v>
      </c>
      <c r="G19" s="117">
        <v>969710422</v>
      </c>
      <c r="H19" s="117">
        <f t="shared" si="10"/>
        <v>58999.173886590412</v>
      </c>
      <c r="I19" s="7"/>
      <c r="J19" s="10">
        <v>3.25</v>
      </c>
      <c r="K19" s="117">
        <v>3151559</v>
      </c>
      <c r="L19" s="120">
        <f t="shared" si="11"/>
        <v>191.74732294962277</v>
      </c>
      <c r="M19" s="122">
        <f t="shared" si="7"/>
        <v>9697104.2200000007</v>
      </c>
      <c r="N19" s="116">
        <f t="shared" si="8"/>
        <v>6545545.2200000007</v>
      </c>
      <c r="O19" s="123">
        <f t="shared" si="9"/>
        <v>398.24441591628135</v>
      </c>
      <c r="P19" s="5"/>
      <c r="Q19" s="5">
        <f t="shared" si="4"/>
        <v>1</v>
      </c>
      <c r="R19" s="7">
        <f t="shared" si="5"/>
        <v>16436</v>
      </c>
      <c r="S19" s="5">
        <f t="shared" si="2"/>
        <v>1</v>
      </c>
      <c r="T19" s="7">
        <f t="shared" si="3"/>
        <v>16436</v>
      </c>
    </row>
    <row r="20" spans="1:20">
      <c r="A20" s="23" t="s">
        <v>22</v>
      </c>
      <c r="B20" s="35" t="s">
        <v>19</v>
      </c>
      <c r="C20" s="36">
        <v>1164</v>
      </c>
      <c r="D20" s="6"/>
      <c r="E20" s="113">
        <v>779069535</v>
      </c>
      <c r="F20" s="116">
        <f t="shared" si="6"/>
        <v>669303.7242268041</v>
      </c>
      <c r="G20" s="117">
        <v>603467862</v>
      </c>
      <c r="H20" s="117">
        <f t="shared" si="10"/>
        <v>518443.18041237112</v>
      </c>
      <c r="I20" s="7"/>
      <c r="J20" s="11">
        <v>3.79</v>
      </c>
      <c r="K20" s="117">
        <v>2287143</v>
      </c>
      <c r="L20" s="120">
        <f t="shared" si="11"/>
        <v>1964.8994845360826</v>
      </c>
      <c r="M20" s="122">
        <f t="shared" si="7"/>
        <v>6034678.6200000001</v>
      </c>
      <c r="N20" s="116">
        <f t="shared" si="8"/>
        <v>3747535.62</v>
      </c>
      <c r="O20" s="123">
        <f t="shared" si="9"/>
        <v>3219.532319587629</v>
      </c>
      <c r="P20" s="5"/>
      <c r="Q20" s="5">
        <f t="shared" si="4"/>
        <v>1</v>
      </c>
      <c r="R20" s="7">
        <f t="shared" si="5"/>
        <v>1164</v>
      </c>
      <c r="S20" s="5">
        <f t="shared" si="2"/>
        <v>1</v>
      </c>
      <c r="T20" s="7">
        <f t="shared" si="3"/>
        <v>1164</v>
      </c>
    </row>
    <row r="21" spans="1:20">
      <c r="A21" s="23" t="s">
        <v>23</v>
      </c>
      <c r="B21" s="35" t="s">
        <v>19</v>
      </c>
      <c r="C21" s="36">
        <v>37540</v>
      </c>
      <c r="D21" s="6"/>
      <c r="E21" s="113">
        <v>3556286130</v>
      </c>
      <c r="F21" s="116">
        <f t="shared" si="6"/>
        <v>94733.248002131062</v>
      </c>
      <c r="G21" s="117">
        <v>2117800208</v>
      </c>
      <c r="H21" s="117">
        <f t="shared" si="10"/>
        <v>56414.496750133192</v>
      </c>
      <c r="I21" s="7"/>
      <c r="J21" s="10">
        <v>4.1722000000000001</v>
      </c>
      <c r="K21" s="117">
        <v>8835886</v>
      </c>
      <c r="L21" s="120">
        <f t="shared" si="11"/>
        <v>235.37256259989346</v>
      </c>
      <c r="M21" s="122">
        <f t="shared" si="7"/>
        <v>21178002.080000002</v>
      </c>
      <c r="N21" s="116">
        <f t="shared" si="8"/>
        <v>12342116.080000002</v>
      </c>
      <c r="O21" s="123">
        <f t="shared" si="9"/>
        <v>328.77240490143851</v>
      </c>
      <c r="P21" s="5"/>
      <c r="Q21" s="5">
        <f t="shared" si="4"/>
        <v>1</v>
      </c>
      <c r="R21" s="7">
        <f t="shared" si="5"/>
        <v>37540</v>
      </c>
      <c r="S21" s="5">
        <f t="shared" si="2"/>
        <v>1</v>
      </c>
      <c r="T21" s="7">
        <f t="shared" si="3"/>
        <v>37540</v>
      </c>
    </row>
    <row r="22" spans="1:20">
      <c r="A22" s="23" t="s">
        <v>24</v>
      </c>
      <c r="B22" s="35" t="s">
        <v>19</v>
      </c>
      <c r="C22" s="36">
        <v>10005</v>
      </c>
      <c r="D22" s="6"/>
      <c r="E22" s="113">
        <v>5051880321</v>
      </c>
      <c r="F22" s="116">
        <f t="shared" si="6"/>
        <v>504935.56431784108</v>
      </c>
      <c r="G22" s="117">
        <v>4348198287</v>
      </c>
      <c r="H22" s="117">
        <f t="shared" si="10"/>
        <v>434602.52743628185</v>
      </c>
      <c r="I22" s="9" t="s">
        <v>528</v>
      </c>
      <c r="J22" s="12"/>
      <c r="K22" s="117"/>
      <c r="L22" s="120"/>
      <c r="M22" s="122">
        <f t="shared" si="7"/>
        <v>43481982.869999997</v>
      </c>
      <c r="N22" s="116">
        <f t="shared" si="8"/>
        <v>43481982.869999997</v>
      </c>
      <c r="O22" s="123">
        <f t="shared" si="9"/>
        <v>4346.025274362818</v>
      </c>
      <c r="P22" s="5"/>
      <c r="Q22" s="5">
        <f t="shared" si="4"/>
        <v>1</v>
      </c>
      <c r="R22" s="7">
        <f t="shared" si="5"/>
        <v>10005</v>
      </c>
      <c r="S22" s="5">
        <f t="shared" si="2"/>
        <v>0</v>
      </c>
      <c r="T22" s="7">
        <f t="shared" si="3"/>
        <v>0</v>
      </c>
    </row>
    <row r="23" spans="1:20">
      <c r="A23" s="23" t="s">
        <v>25</v>
      </c>
      <c r="B23" s="35" t="s">
        <v>19</v>
      </c>
      <c r="C23" s="36">
        <v>4688</v>
      </c>
      <c r="D23" s="6"/>
      <c r="E23" s="113">
        <v>355342923</v>
      </c>
      <c r="F23" s="116">
        <f t="shared" si="6"/>
        <v>75798.405076791809</v>
      </c>
      <c r="G23" s="117">
        <v>226623339</v>
      </c>
      <c r="H23" s="117">
        <f t="shared" si="10"/>
        <v>48341.155930034132</v>
      </c>
      <c r="I23" s="9" t="s">
        <v>528</v>
      </c>
      <c r="J23" s="12"/>
      <c r="K23" s="117"/>
      <c r="L23" s="120"/>
      <c r="M23" s="122">
        <f t="shared" si="7"/>
        <v>2266233.39</v>
      </c>
      <c r="N23" s="116">
        <f t="shared" si="8"/>
        <v>2266233.39</v>
      </c>
      <c r="O23" s="123">
        <f t="shared" si="9"/>
        <v>483.41155930034131</v>
      </c>
      <c r="P23" s="5"/>
      <c r="Q23" s="5">
        <f t="shared" si="4"/>
        <v>1</v>
      </c>
      <c r="R23" s="7">
        <f t="shared" si="5"/>
        <v>4688</v>
      </c>
      <c r="S23" s="5">
        <f t="shared" si="2"/>
        <v>0</v>
      </c>
      <c r="T23" s="7">
        <f t="shared" si="3"/>
        <v>0</v>
      </c>
    </row>
    <row r="24" spans="1:20">
      <c r="A24" s="23" t="s">
        <v>26</v>
      </c>
      <c r="B24" s="35" t="s">
        <v>19</v>
      </c>
      <c r="C24" s="36">
        <v>9017</v>
      </c>
      <c r="D24" s="6"/>
      <c r="E24" s="113">
        <v>364919709</v>
      </c>
      <c r="F24" s="116">
        <f t="shared" si="6"/>
        <v>40470.190639902408</v>
      </c>
      <c r="G24" s="117">
        <v>206817311</v>
      </c>
      <c r="H24" s="117">
        <f t="shared" si="10"/>
        <v>22936.376954641233</v>
      </c>
      <c r="I24" s="9" t="s">
        <v>528</v>
      </c>
      <c r="J24" s="10"/>
      <c r="K24" s="117"/>
      <c r="L24" s="120"/>
      <c r="M24" s="122">
        <f t="shared" si="7"/>
        <v>2068173.11</v>
      </c>
      <c r="N24" s="116">
        <f t="shared" si="8"/>
        <v>2068173.11</v>
      </c>
      <c r="O24" s="123">
        <f t="shared" si="9"/>
        <v>229.36376954641236</v>
      </c>
      <c r="P24" s="5"/>
      <c r="Q24" s="5">
        <f t="shared" si="4"/>
        <v>1</v>
      </c>
      <c r="R24" s="7">
        <f t="shared" si="5"/>
        <v>9017</v>
      </c>
      <c r="S24" s="5">
        <f t="shared" si="2"/>
        <v>0</v>
      </c>
      <c r="T24" s="7">
        <f t="shared" si="3"/>
        <v>0</v>
      </c>
    </row>
    <row r="25" spans="1:20">
      <c r="A25" s="23" t="s">
        <v>27</v>
      </c>
      <c r="B25" s="35" t="s">
        <v>28</v>
      </c>
      <c r="C25" s="36">
        <v>355</v>
      </c>
      <c r="D25" s="6"/>
      <c r="E25" s="113">
        <v>11870053</v>
      </c>
      <c r="F25" s="116">
        <f t="shared" si="6"/>
        <v>33436.769014084508</v>
      </c>
      <c r="G25" s="117">
        <v>5588673</v>
      </c>
      <c r="H25" s="117">
        <f t="shared" si="10"/>
        <v>15742.740845070422</v>
      </c>
      <c r="I25" s="7"/>
      <c r="J25" s="10">
        <v>3.65</v>
      </c>
      <c r="K25" s="117">
        <v>20399</v>
      </c>
      <c r="L25" s="120">
        <f t="shared" ref="L25:L38" si="12">(K25/C25)</f>
        <v>57.461971830985917</v>
      </c>
      <c r="M25" s="122">
        <f t="shared" si="7"/>
        <v>55886.73</v>
      </c>
      <c r="N25" s="116">
        <f t="shared" si="8"/>
        <v>35487.730000000003</v>
      </c>
      <c r="O25" s="123">
        <f t="shared" si="9"/>
        <v>99.965436619718318</v>
      </c>
      <c r="P25" s="5"/>
      <c r="Q25" s="5">
        <f t="shared" si="4"/>
        <v>1</v>
      </c>
      <c r="R25" s="7">
        <f t="shared" si="5"/>
        <v>355</v>
      </c>
      <c r="S25" s="5">
        <f t="shared" si="2"/>
        <v>1</v>
      </c>
      <c r="T25" s="7">
        <f t="shared" si="3"/>
        <v>355</v>
      </c>
    </row>
    <row r="26" spans="1:20">
      <c r="A26" s="23" t="s">
        <v>29</v>
      </c>
      <c r="B26" s="35" t="s">
        <v>28</v>
      </c>
      <c r="C26" s="36">
        <v>425</v>
      </c>
      <c r="D26" s="6"/>
      <c r="E26" s="113">
        <v>12652694</v>
      </c>
      <c r="F26" s="116">
        <f t="shared" si="6"/>
        <v>29771.044705882352</v>
      </c>
      <c r="G26" s="117">
        <v>7259423</v>
      </c>
      <c r="H26" s="117">
        <f t="shared" si="10"/>
        <v>17080.995294117645</v>
      </c>
      <c r="I26" s="7"/>
      <c r="J26" s="10">
        <v>0.27600000000000002</v>
      </c>
      <c r="K26" s="117">
        <v>2004</v>
      </c>
      <c r="L26" s="120">
        <f t="shared" si="12"/>
        <v>4.7152941176470584</v>
      </c>
      <c r="M26" s="122">
        <f t="shared" si="7"/>
        <v>72594.23</v>
      </c>
      <c r="N26" s="116">
        <f t="shared" si="8"/>
        <v>70590.23</v>
      </c>
      <c r="O26" s="123">
        <f t="shared" si="9"/>
        <v>166.09465882352941</v>
      </c>
      <c r="P26" s="5"/>
      <c r="Q26" s="5">
        <f t="shared" si="4"/>
        <v>1</v>
      </c>
      <c r="R26" s="7">
        <f t="shared" si="5"/>
        <v>425</v>
      </c>
      <c r="S26" s="5">
        <f t="shared" si="2"/>
        <v>1</v>
      </c>
      <c r="T26" s="7">
        <f t="shared" si="3"/>
        <v>425</v>
      </c>
    </row>
    <row r="27" spans="1:20">
      <c r="A27" s="23" t="s">
        <v>30</v>
      </c>
      <c r="B27" s="35" t="s">
        <v>28</v>
      </c>
      <c r="C27" s="36">
        <v>667</v>
      </c>
      <c r="D27" s="6"/>
      <c r="E27" s="113">
        <v>24548609</v>
      </c>
      <c r="F27" s="116">
        <f t="shared" si="6"/>
        <v>36804.511244377813</v>
      </c>
      <c r="G27" s="117">
        <v>13951721</v>
      </c>
      <c r="H27" s="117">
        <f t="shared" si="10"/>
        <v>20917.122938530734</v>
      </c>
      <c r="I27" s="7"/>
      <c r="J27" s="11">
        <v>1.5348999999999999</v>
      </c>
      <c r="K27" s="117">
        <v>21414</v>
      </c>
      <c r="L27" s="120">
        <f t="shared" si="12"/>
        <v>32.104947526236884</v>
      </c>
      <c r="M27" s="122">
        <f t="shared" si="7"/>
        <v>139517.21</v>
      </c>
      <c r="N27" s="116">
        <f t="shared" si="8"/>
        <v>118103.20999999999</v>
      </c>
      <c r="O27" s="123">
        <f t="shared" si="9"/>
        <v>177.06628185907044</v>
      </c>
      <c r="P27" s="5"/>
      <c r="Q27" s="5">
        <f t="shared" si="4"/>
        <v>1</v>
      </c>
      <c r="R27" s="7">
        <f t="shared" si="5"/>
        <v>667</v>
      </c>
      <c r="S27" s="5">
        <f t="shared" si="2"/>
        <v>1</v>
      </c>
      <c r="T27" s="7">
        <f t="shared" si="3"/>
        <v>667</v>
      </c>
    </row>
    <row r="28" spans="1:20">
      <c r="A28" s="23" t="s">
        <v>31</v>
      </c>
      <c r="B28" s="35" t="s">
        <v>28</v>
      </c>
      <c r="C28" s="36">
        <v>6053</v>
      </c>
      <c r="D28" s="6"/>
      <c r="E28" s="113">
        <v>327592131</v>
      </c>
      <c r="F28" s="116">
        <f t="shared" si="6"/>
        <v>54120.622996861064</v>
      </c>
      <c r="G28" s="117">
        <v>190025667</v>
      </c>
      <c r="H28" s="117">
        <f t="shared" si="10"/>
        <v>31393.634065752518</v>
      </c>
      <c r="I28" s="7"/>
      <c r="J28" s="11">
        <v>4</v>
      </c>
      <c r="K28" s="117">
        <v>760103</v>
      </c>
      <c r="L28" s="120">
        <f t="shared" si="12"/>
        <v>125.57459111184536</v>
      </c>
      <c r="M28" s="122">
        <f t="shared" si="7"/>
        <v>1900256.67</v>
      </c>
      <c r="N28" s="116">
        <f t="shared" si="8"/>
        <v>1140153.67</v>
      </c>
      <c r="O28" s="123">
        <f t="shared" si="9"/>
        <v>188.36174954567983</v>
      </c>
      <c r="P28" s="5"/>
      <c r="Q28" s="5">
        <f t="shared" si="4"/>
        <v>1</v>
      </c>
      <c r="R28" s="7">
        <f t="shared" si="5"/>
        <v>6053</v>
      </c>
      <c r="S28" s="5">
        <f t="shared" si="2"/>
        <v>1</v>
      </c>
      <c r="T28" s="7">
        <f t="shared" si="3"/>
        <v>6053</v>
      </c>
    </row>
    <row r="29" spans="1:20">
      <c r="A29" s="23" t="s">
        <v>32</v>
      </c>
      <c r="B29" s="35" t="s">
        <v>33</v>
      </c>
      <c r="C29" s="36">
        <v>10317</v>
      </c>
      <c r="D29" s="6"/>
      <c r="E29" s="113">
        <v>1812996659</v>
      </c>
      <c r="F29" s="116">
        <f t="shared" si="6"/>
        <v>175729.05486090918</v>
      </c>
      <c r="G29" s="117">
        <v>1426267389</v>
      </c>
      <c r="H29" s="117">
        <f t="shared" si="10"/>
        <v>138244.39168362896</v>
      </c>
      <c r="I29" s="7"/>
      <c r="J29" s="11">
        <v>3</v>
      </c>
      <c r="K29" s="117">
        <v>4278802</v>
      </c>
      <c r="L29" s="120">
        <f t="shared" si="12"/>
        <v>414.73315886401087</v>
      </c>
      <c r="M29" s="122">
        <f t="shared" si="7"/>
        <v>14262673.890000001</v>
      </c>
      <c r="N29" s="116">
        <f t="shared" si="8"/>
        <v>9983871.8900000006</v>
      </c>
      <c r="O29" s="123">
        <f t="shared" si="9"/>
        <v>967.71075797227877</v>
      </c>
      <c r="P29" s="5"/>
      <c r="Q29" s="5">
        <f t="shared" si="4"/>
        <v>1</v>
      </c>
      <c r="R29" s="7">
        <f t="shared" si="5"/>
        <v>10317</v>
      </c>
      <c r="S29" s="5">
        <f t="shared" si="2"/>
        <v>1</v>
      </c>
      <c r="T29" s="7">
        <f t="shared" si="3"/>
        <v>10317</v>
      </c>
    </row>
    <row r="30" spans="1:20">
      <c r="A30" s="23" t="s">
        <v>34</v>
      </c>
      <c r="B30" s="35" t="s">
        <v>33</v>
      </c>
      <c r="C30" s="36">
        <v>17395</v>
      </c>
      <c r="D30" s="6"/>
      <c r="E30" s="113">
        <v>1749964888</v>
      </c>
      <c r="F30" s="116">
        <f t="shared" si="6"/>
        <v>100601.60321931589</v>
      </c>
      <c r="G30" s="117">
        <v>1133403892</v>
      </c>
      <c r="H30" s="117">
        <f t="shared" si="10"/>
        <v>65156.877953434894</v>
      </c>
      <c r="I30" s="7"/>
      <c r="J30" s="10">
        <v>4.5705</v>
      </c>
      <c r="K30" s="117">
        <v>5180222</v>
      </c>
      <c r="L30" s="120">
        <f t="shared" si="12"/>
        <v>297.79948260994541</v>
      </c>
      <c r="M30" s="122">
        <f t="shared" si="7"/>
        <v>11334038.92</v>
      </c>
      <c r="N30" s="116">
        <f t="shared" si="8"/>
        <v>6153816.9199999999</v>
      </c>
      <c r="O30" s="123">
        <f t="shared" si="9"/>
        <v>353.76929692440353</v>
      </c>
      <c r="P30" s="5"/>
      <c r="Q30" s="5">
        <f t="shared" si="4"/>
        <v>1</v>
      </c>
      <c r="R30" s="7">
        <f t="shared" si="5"/>
        <v>17395</v>
      </c>
      <c r="S30" s="5">
        <f t="shared" si="2"/>
        <v>1</v>
      </c>
      <c r="T30" s="7">
        <f t="shared" si="3"/>
        <v>17395</v>
      </c>
    </row>
    <row r="31" spans="1:20">
      <c r="A31" s="23" t="s">
        <v>35</v>
      </c>
      <c r="B31" s="35" t="s">
        <v>33</v>
      </c>
      <c r="C31" s="36">
        <v>12785</v>
      </c>
      <c r="D31" s="6"/>
      <c r="E31" s="113">
        <v>3254399992</v>
      </c>
      <c r="F31" s="116">
        <f t="shared" si="6"/>
        <v>254548.29816190849</v>
      </c>
      <c r="G31" s="117">
        <v>2117961532</v>
      </c>
      <c r="H31" s="117">
        <f t="shared" si="10"/>
        <v>165659.87735627688</v>
      </c>
      <c r="I31" s="7"/>
      <c r="J31" s="10">
        <v>3.58</v>
      </c>
      <c r="K31" s="117">
        <v>7582302</v>
      </c>
      <c r="L31" s="120">
        <f t="shared" si="12"/>
        <v>593.06233867813842</v>
      </c>
      <c r="M31" s="122">
        <f t="shared" si="7"/>
        <v>21179615.32</v>
      </c>
      <c r="N31" s="116">
        <f t="shared" si="8"/>
        <v>13597313.32</v>
      </c>
      <c r="O31" s="123">
        <f t="shared" si="9"/>
        <v>1063.5364348846304</v>
      </c>
      <c r="P31" s="5"/>
      <c r="Q31" s="5">
        <f t="shared" si="4"/>
        <v>1</v>
      </c>
      <c r="R31" s="7">
        <f t="shared" si="5"/>
        <v>12785</v>
      </c>
      <c r="S31" s="5">
        <f t="shared" si="2"/>
        <v>1</v>
      </c>
      <c r="T31" s="7">
        <f t="shared" si="3"/>
        <v>12785</v>
      </c>
    </row>
    <row r="32" spans="1:20">
      <c r="A32" s="23" t="s">
        <v>36</v>
      </c>
      <c r="B32" s="35" t="s">
        <v>33</v>
      </c>
      <c r="C32" s="36">
        <v>2961</v>
      </c>
      <c r="D32" s="6"/>
      <c r="E32" s="113">
        <v>594175766</v>
      </c>
      <c r="F32" s="116">
        <f t="shared" si="6"/>
        <v>200667.26308679499</v>
      </c>
      <c r="G32" s="117">
        <v>354655586</v>
      </c>
      <c r="H32" s="117">
        <f t="shared" si="10"/>
        <v>119775.61161769672</v>
      </c>
      <c r="I32" s="7"/>
      <c r="J32" s="10">
        <v>4.3312999999999997</v>
      </c>
      <c r="K32" s="117">
        <v>1536120</v>
      </c>
      <c r="L32" s="120">
        <f t="shared" si="12"/>
        <v>518.78419452887533</v>
      </c>
      <c r="M32" s="122">
        <f t="shared" si="7"/>
        <v>3546555.86</v>
      </c>
      <c r="N32" s="116">
        <f t="shared" si="8"/>
        <v>2010435.8599999999</v>
      </c>
      <c r="O32" s="123">
        <f t="shared" si="9"/>
        <v>678.97192164809178</v>
      </c>
      <c r="P32" s="5"/>
      <c r="Q32" s="5">
        <f t="shared" si="4"/>
        <v>1</v>
      </c>
      <c r="R32" s="7">
        <f t="shared" si="5"/>
        <v>2961</v>
      </c>
      <c r="S32" s="5">
        <f t="shared" si="2"/>
        <v>1</v>
      </c>
      <c r="T32" s="7">
        <f t="shared" si="3"/>
        <v>2961</v>
      </c>
    </row>
    <row r="33" spans="1:20">
      <c r="A33" s="23" t="s">
        <v>37</v>
      </c>
      <c r="B33" s="35" t="s">
        <v>33</v>
      </c>
      <c r="C33" s="36">
        <v>8696</v>
      </c>
      <c r="D33" s="6"/>
      <c r="E33" s="113">
        <v>1457611638</v>
      </c>
      <c r="F33" s="116">
        <f t="shared" si="6"/>
        <v>167618.63362465502</v>
      </c>
      <c r="G33" s="117">
        <v>917148148</v>
      </c>
      <c r="H33" s="117">
        <f t="shared" si="10"/>
        <v>105467.81830726771</v>
      </c>
      <c r="I33" s="7"/>
      <c r="J33" s="10">
        <v>4.3674999999999997</v>
      </c>
      <c r="K33" s="117">
        <v>4005645</v>
      </c>
      <c r="L33" s="120">
        <f t="shared" si="12"/>
        <v>460.63074977000917</v>
      </c>
      <c r="M33" s="122">
        <f t="shared" si="7"/>
        <v>9171481.4800000004</v>
      </c>
      <c r="N33" s="116">
        <f t="shared" si="8"/>
        <v>5165836.4800000004</v>
      </c>
      <c r="O33" s="123">
        <f t="shared" si="9"/>
        <v>594.04743330266797</v>
      </c>
      <c r="P33" s="5"/>
      <c r="Q33" s="5">
        <f t="shared" si="4"/>
        <v>1</v>
      </c>
      <c r="R33" s="7">
        <f t="shared" si="5"/>
        <v>8696</v>
      </c>
      <c r="S33" s="5">
        <f t="shared" si="2"/>
        <v>1</v>
      </c>
      <c r="T33" s="7">
        <f t="shared" si="3"/>
        <v>8696</v>
      </c>
    </row>
    <row r="34" spans="1:20">
      <c r="A34" s="23" t="s">
        <v>38</v>
      </c>
      <c r="B34" s="35" t="s">
        <v>33</v>
      </c>
      <c r="C34" s="36">
        <v>2872</v>
      </c>
      <c r="D34" s="6"/>
      <c r="E34" s="113">
        <v>424953333</v>
      </c>
      <c r="F34" s="116">
        <f t="shared" si="6"/>
        <v>147964.25243732589</v>
      </c>
      <c r="G34" s="117">
        <v>262958463</v>
      </c>
      <c r="H34" s="117">
        <f t="shared" si="10"/>
        <v>91559.353412256271</v>
      </c>
      <c r="I34" s="7"/>
      <c r="J34" s="10">
        <v>1.397</v>
      </c>
      <c r="K34" s="117">
        <v>367353</v>
      </c>
      <c r="L34" s="120">
        <f t="shared" si="12"/>
        <v>127.90842618384401</v>
      </c>
      <c r="M34" s="122">
        <f t="shared" si="7"/>
        <v>2629584.63</v>
      </c>
      <c r="N34" s="116">
        <f t="shared" si="8"/>
        <v>2262231.63</v>
      </c>
      <c r="O34" s="123">
        <f t="shared" si="9"/>
        <v>787.6851079387186</v>
      </c>
      <c r="P34" s="5"/>
      <c r="Q34" s="5">
        <f t="shared" si="4"/>
        <v>1</v>
      </c>
      <c r="R34" s="7">
        <f t="shared" si="5"/>
        <v>2872</v>
      </c>
      <c r="S34" s="5">
        <f t="shared" si="2"/>
        <v>1</v>
      </c>
      <c r="T34" s="7">
        <f t="shared" si="3"/>
        <v>2872</v>
      </c>
    </row>
    <row r="35" spans="1:20">
      <c r="A35" s="23" t="s">
        <v>39</v>
      </c>
      <c r="B35" s="35" t="s">
        <v>33</v>
      </c>
      <c r="C35" s="36">
        <v>76742</v>
      </c>
      <c r="D35" s="6"/>
      <c r="E35" s="113">
        <v>7638715559</v>
      </c>
      <c r="F35" s="116">
        <f t="shared" si="6"/>
        <v>99537.613809908522</v>
      </c>
      <c r="G35" s="117">
        <v>4646466845</v>
      </c>
      <c r="H35" s="117">
        <f t="shared" si="10"/>
        <v>60546.595671210031</v>
      </c>
      <c r="I35" s="7"/>
      <c r="J35" s="10">
        <v>4.5080999999999998</v>
      </c>
      <c r="K35" s="117">
        <v>20946737</v>
      </c>
      <c r="L35" s="120">
        <f t="shared" si="12"/>
        <v>272.95010554846107</v>
      </c>
      <c r="M35" s="122">
        <f t="shared" si="7"/>
        <v>46464668.450000003</v>
      </c>
      <c r="N35" s="116">
        <f t="shared" si="8"/>
        <v>25517931.450000003</v>
      </c>
      <c r="O35" s="123">
        <f t="shared" si="9"/>
        <v>332.51585116363924</v>
      </c>
      <c r="P35" s="5"/>
      <c r="Q35" s="5">
        <f t="shared" si="4"/>
        <v>1</v>
      </c>
      <c r="R35" s="7">
        <f t="shared" si="5"/>
        <v>76742</v>
      </c>
      <c r="S35" s="5">
        <f t="shared" si="2"/>
        <v>1</v>
      </c>
      <c r="T35" s="7">
        <f t="shared" si="3"/>
        <v>76742</v>
      </c>
    </row>
    <row r="36" spans="1:20">
      <c r="A36" s="23" t="s">
        <v>40</v>
      </c>
      <c r="B36" s="35" t="s">
        <v>33</v>
      </c>
      <c r="C36" s="36">
        <v>3308</v>
      </c>
      <c r="D36" s="6"/>
      <c r="E36" s="113">
        <v>685405881</v>
      </c>
      <c r="F36" s="116">
        <f t="shared" si="6"/>
        <v>207196.45737605804</v>
      </c>
      <c r="G36" s="117">
        <v>373045371</v>
      </c>
      <c r="H36" s="117">
        <f t="shared" si="10"/>
        <v>112770.66837968561</v>
      </c>
      <c r="I36" s="7"/>
      <c r="J36" s="10">
        <v>2.6331000000000002</v>
      </c>
      <c r="K36" s="117">
        <v>982266</v>
      </c>
      <c r="L36" s="120">
        <f t="shared" si="12"/>
        <v>296.9365175332527</v>
      </c>
      <c r="M36" s="122">
        <f t="shared" si="7"/>
        <v>3730453.71</v>
      </c>
      <c r="N36" s="116">
        <f t="shared" si="8"/>
        <v>2748187.71</v>
      </c>
      <c r="O36" s="123">
        <f t="shared" si="9"/>
        <v>830.77016626360341</v>
      </c>
      <c r="P36" s="5"/>
      <c r="Q36" s="5">
        <f t="shared" si="4"/>
        <v>1</v>
      </c>
      <c r="R36" s="7">
        <f t="shared" si="5"/>
        <v>3308</v>
      </c>
      <c r="S36" s="5">
        <f t="shared" si="2"/>
        <v>1</v>
      </c>
      <c r="T36" s="7">
        <f t="shared" si="3"/>
        <v>3308</v>
      </c>
    </row>
    <row r="37" spans="1:20">
      <c r="A37" s="23" t="s">
        <v>41</v>
      </c>
      <c r="B37" s="35" t="s">
        <v>33</v>
      </c>
      <c r="C37" s="36">
        <v>715</v>
      </c>
      <c r="D37" s="6"/>
      <c r="E37" s="113">
        <v>87892120</v>
      </c>
      <c r="F37" s="116">
        <f t="shared" si="6"/>
        <v>122926.04195804195</v>
      </c>
      <c r="G37" s="117">
        <v>52144590</v>
      </c>
      <c r="H37" s="117">
        <f t="shared" si="10"/>
        <v>72929.496503496499</v>
      </c>
      <c r="I37" s="7"/>
      <c r="J37" s="10">
        <v>4.5384000000000002</v>
      </c>
      <c r="K37" s="117">
        <v>236653</v>
      </c>
      <c r="L37" s="120">
        <f t="shared" si="12"/>
        <v>330.98321678321679</v>
      </c>
      <c r="M37" s="122">
        <f t="shared" si="7"/>
        <v>521445.9</v>
      </c>
      <c r="N37" s="116">
        <f t="shared" si="8"/>
        <v>284792.90000000002</v>
      </c>
      <c r="O37" s="123">
        <f t="shared" si="9"/>
        <v>398.31174825174827</v>
      </c>
      <c r="P37" s="5"/>
      <c r="Q37" s="5">
        <f t="shared" si="4"/>
        <v>1</v>
      </c>
      <c r="R37" s="7">
        <f t="shared" si="5"/>
        <v>715</v>
      </c>
      <c r="S37" s="5">
        <f t="shared" si="2"/>
        <v>1</v>
      </c>
      <c r="T37" s="7">
        <f t="shared" si="3"/>
        <v>715</v>
      </c>
    </row>
    <row r="38" spans="1:20">
      <c r="A38" s="23" t="s">
        <v>42</v>
      </c>
      <c r="B38" s="35" t="s">
        <v>33</v>
      </c>
      <c r="C38" s="36">
        <v>96683</v>
      </c>
      <c r="D38" s="6"/>
      <c r="E38" s="113">
        <v>8496954241</v>
      </c>
      <c r="F38" s="116">
        <f t="shared" si="6"/>
        <v>87884.677151102049</v>
      </c>
      <c r="G38" s="117">
        <v>5724848747</v>
      </c>
      <c r="H38" s="117">
        <f t="shared" si="10"/>
        <v>59212.568362587008</v>
      </c>
      <c r="I38" s="7"/>
      <c r="J38" s="10">
        <v>4.5999999999999996</v>
      </c>
      <c r="K38" s="117">
        <v>26334304</v>
      </c>
      <c r="L38" s="120">
        <f t="shared" si="12"/>
        <v>272.37781202486474</v>
      </c>
      <c r="M38" s="122">
        <f t="shared" si="7"/>
        <v>57248487.469999999</v>
      </c>
      <c r="N38" s="116">
        <f t="shared" si="8"/>
        <v>30914183.469999999</v>
      </c>
      <c r="O38" s="123">
        <f t="shared" si="9"/>
        <v>319.74787160100533</v>
      </c>
      <c r="P38" s="5"/>
      <c r="Q38" s="5">
        <f t="shared" si="4"/>
        <v>1</v>
      </c>
      <c r="R38" s="7">
        <f t="shared" si="5"/>
        <v>96683</v>
      </c>
      <c r="S38" s="5">
        <f t="shared" si="2"/>
        <v>1</v>
      </c>
      <c r="T38" s="7">
        <f t="shared" si="3"/>
        <v>96683</v>
      </c>
    </row>
    <row r="39" spans="1:20">
      <c r="A39" s="23" t="s">
        <v>43</v>
      </c>
      <c r="B39" s="35" t="s">
        <v>33</v>
      </c>
      <c r="C39" s="36">
        <v>949</v>
      </c>
      <c r="D39" s="6"/>
      <c r="E39" s="113">
        <v>93103431</v>
      </c>
      <c r="F39" s="116">
        <f t="shared" si="6"/>
        <v>98106.881981032668</v>
      </c>
      <c r="G39" s="117">
        <v>61770611</v>
      </c>
      <c r="H39" s="117">
        <f t="shared" si="10"/>
        <v>65090.21180189673</v>
      </c>
      <c r="I39" s="9" t="s">
        <v>528</v>
      </c>
      <c r="J39" s="10"/>
      <c r="K39" s="117"/>
      <c r="L39" s="120"/>
      <c r="M39" s="122">
        <f t="shared" si="7"/>
        <v>617706.11</v>
      </c>
      <c r="N39" s="116">
        <f t="shared" si="8"/>
        <v>617706.11</v>
      </c>
      <c r="O39" s="123">
        <f t="shared" si="9"/>
        <v>650.90211801896737</v>
      </c>
      <c r="P39" s="5"/>
      <c r="Q39" s="5">
        <f t="shared" si="4"/>
        <v>1</v>
      </c>
      <c r="R39" s="7">
        <f t="shared" si="5"/>
        <v>949</v>
      </c>
      <c r="S39" s="5">
        <f t="shared" si="2"/>
        <v>0</v>
      </c>
      <c r="T39" s="7">
        <f t="shared" si="3"/>
        <v>0</v>
      </c>
    </row>
    <row r="40" spans="1:20">
      <c r="A40" s="23" t="s">
        <v>44</v>
      </c>
      <c r="B40" s="35" t="s">
        <v>33</v>
      </c>
      <c r="C40" s="36">
        <v>25225</v>
      </c>
      <c r="D40" s="6"/>
      <c r="E40" s="113">
        <v>2560714800</v>
      </c>
      <c r="F40" s="116">
        <f t="shared" si="6"/>
        <v>101514.95738354807</v>
      </c>
      <c r="G40" s="117">
        <v>1500081473</v>
      </c>
      <c r="H40" s="117">
        <f t="shared" si="10"/>
        <v>59468.04650148662</v>
      </c>
      <c r="I40" s="7"/>
      <c r="J40" s="10">
        <v>4.95</v>
      </c>
      <c r="K40" s="117">
        <v>7425403</v>
      </c>
      <c r="L40" s="120">
        <f t="shared" ref="L40:L74" si="13">(K40/C40)</f>
        <v>294.36681863230922</v>
      </c>
      <c r="M40" s="122">
        <f t="shared" si="7"/>
        <v>15000814.73</v>
      </c>
      <c r="N40" s="116">
        <f t="shared" si="8"/>
        <v>7575411.7300000004</v>
      </c>
      <c r="O40" s="123">
        <f t="shared" si="9"/>
        <v>300.31364638255701</v>
      </c>
      <c r="P40" s="5"/>
      <c r="Q40" s="5">
        <f t="shared" si="4"/>
        <v>1</v>
      </c>
      <c r="R40" s="7">
        <f t="shared" si="5"/>
        <v>25225</v>
      </c>
      <c r="S40" s="5">
        <f t="shared" si="2"/>
        <v>1</v>
      </c>
      <c r="T40" s="7">
        <f t="shared" si="3"/>
        <v>25225</v>
      </c>
    </row>
    <row r="41" spans="1:20">
      <c r="A41" s="23" t="s">
        <v>45</v>
      </c>
      <c r="B41" s="35" t="s">
        <v>33</v>
      </c>
      <c r="C41" s="36">
        <v>10938</v>
      </c>
      <c r="D41" s="6"/>
      <c r="E41" s="113">
        <v>1606028083</v>
      </c>
      <c r="F41" s="116">
        <f t="shared" si="6"/>
        <v>146830.1410678369</v>
      </c>
      <c r="G41" s="117">
        <v>884039093</v>
      </c>
      <c r="H41" s="117">
        <f t="shared" si="10"/>
        <v>80822.736606326565</v>
      </c>
      <c r="I41" s="7"/>
      <c r="J41" s="10">
        <v>5.9</v>
      </c>
      <c r="K41" s="121">
        <v>5215831</v>
      </c>
      <c r="L41" s="120">
        <f t="shared" si="13"/>
        <v>476.85417809471568</v>
      </c>
      <c r="M41" s="122">
        <f t="shared" si="7"/>
        <v>8840390.9299999997</v>
      </c>
      <c r="N41" s="116">
        <f t="shared" si="8"/>
        <v>3624559.9299999997</v>
      </c>
      <c r="O41" s="123">
        <f t="shared" si="9"/>
        <v>331.37318796854998</v>
      </c>
      <c r="P41" s="5"/>
      <c r="Q41" s="5">
        <f t="shared" si="4"/>
        <v>1</v>
      </c>
      <c r="R41" s="7">
        <f t="shared" si="5"/>
        <v>10938</v>
      </c>
      <c r="S41" s="5">
        <f t="shared" si="2"/>
        <v>1</v>
      </c>
      <c r="T41" s="7">
        <f t="shared" si="3"/>
        <v>10938</v>
      </c>
    </row>
    <row r="42" spans="1:20">
      <c r="A42" s="23" t="s">
        <v>46</v>
      </c>
      <c r="B42" s="35" t="s">
        <v>33</v>
      </c>
      <c r="C42" s="36">
        <v>44020</v>
      </c>
      <c r="D42" s="6"/>
      <c r="E42" s="113">
        <v>3596082536</v>
      </c>
      <c r="F42" s="116">
        <f t="shared" si="6"/>
        <v>81692.015810994999</v>
      </c>
      <c r="G42" s="117">
        <v>2122794043</v>
      </c>
      <c r="H42" s="117">
        <f t="shared" si="10"/>
        <v>48223.39943207633</v>
      </c>
      <c r="I42" s="7"/>
      <c r="J42" s="10">
        <v>4.8193000000000001</v>
      </c>
      <c r="K42" s="117">
        <v>10230381</v>
      </c>
      <c r="L42" s="120">
        <f t="shared" si="13"/>
        <v>232.40302135393003</v>
      </c>
      <c r="M42" s="122">
        <f t="shared" si="7"/>
        <v>21227940.43</v>
      </c>
      <c r="N42" s="116">
        <f t="shared" si="8"/>
        <v>10997559.43</v>
      </c>
      <c r="O42" s="123">
        <f t="shared" si="9"/>
        <v>249.83097296683326</v>
      </c>
      <c r="P42" s="5"/>
      <c r="Q42" s="5">
        <f t="shared" si="4"/>
        <v>1</v>
      </c>
      <c r="R42" s="7">
        <f t="shared" si="5"/>
        <v>44020</v>
      </c>
      <c r="S42" s="5">
        <f t="shared" si="2"/>
        <v>1</v>
      </c>
      <c r="T42" s="7">
        <f t="shared" si="3"/>
        <v>44020</v>
      </c>
    </row>
    <row r="43" spans="1:20">
      <c r="A43" s="23" t="s">
        <v>47</v>
      </c>
      <c r="B43" s="35" t="s">
        <v>33</v>
      </c>
      <c r="C43" s="36">
        <v>15777</v>
      </c>
      <c r="D43" s="6"/>
      <c r="E43" s="113">
        <v>1786815873</v>
      </c>
      <c r="F43" s="116">
        <f t="shared" si="6"/>
        <v>113254.47632629778</v>
      </c>
      <c r="G43" s="117">
        <v>1281513834</v>
      </c>
      <c r="H43" s="117">
        <f t="shared" si="10"/>
        <v>81226.711922418704</v>
      </c>
      <c r="I43" s="9"/>
      <c r="J43" s="10">
        <v>1.5899000000000001</v>
      </c>
      <c r="K43" s="117">
        <v>2037479</v>
      </c>
      <c r="L43" s="120">
        <f t="shared" si="13"/>
        <v>129.14235913037967</v>
      </c>
      <c r="M43" s="122">
        <f t="shared" si="7"/>
        <v>12815138.34</v>
      </c>
      <c r="N43" s="116">
        <f t="shared" si="8"/>
        <v>10777659.34</v>
      </c>
      <c r="O43" s="123">
        <f t="shared" si="9"/>
        <v>683.12476009380748</v>
      </c>
      <c r="P43" s="5"/>
      <c r="Q43" s="5">
        <f t="shared" si="4"/>
        <v>1</v>
      </c>
      <c r="R43" s="7">
        <f t="shared" si="5"/>
        <v>15777</v>
      </c>
      <c r="S43" s="5">
        <f t="shared" si="2"/>
        <v>1</v>
      </c>
      <c r="T43" s="7">
        <f t="shared" si="3"/>
        <v>15777</v>
      </c>
    </row>
    <row r="44" spans="1:20">
      <c r="A44" s="23" t="s">
        <v>48</v>
      </c>
      <c r="B44" s="35" t="s">
        <v>49</v>
      </c>
      <c r="C44" s="36">
        <v>48283</v>
      </c>
      <c r="D44" s="6"/>
      <c r="E44" s="113">
        <v>5551585988</v>
      </c>
      <c r="F44" s="116">
        <f t="shared" si="6"/>
        <v>114980.13768821325</v>
      </c>
      <c r="G44" s="117">
        <v>3385955789</v>
      </c>
      <c r="H44" s="117">
        <f t="shared" si="10"/>
        <v>70127.286809021811</v>
      </c>
      <c r="I44" s="7"/>
      <c r="J44" s="11">
        <v>5.3407999999999998</v>
      </c>
      <c r="K44" s="117">
        <v>18083713</v>
      </c>
      <c r="L44" s="120">
        <f t="shared" si="13"/>
        <v>374.53582006089101</v>
      </c>
      <c r="M44" s="122">
        <f t="shared" si="7"/>
        <v>33859557.890000001</v>
      </c>
      <c r="N44" s="116">
        <f t="shared" si="8"/>
        <v>15775844.890000001</v>
      </c>
      <c r="O44" s="123">
        <f t="shared" si="9"/>
        <v>326.73704802932713</v>
      </c>
      <c r="P44" s="5"/>
      <c r="Q44" s="5">
        <f t="shared" si="4"/>
        <v>1</v>
      </c>
      <c r="R44" s="7">
        <f t="shared" si="5"/>
        <v>48283</v>
      </c>
      <c r="S44" s="5">
        <f t="shared" si="2"/>
        <v>1</v>
      </c>
      <c r="T44" s="7">
        <f t="shared" si="3"/>
        <v>48283</v>
      </c>
    </row>
    <row r="45" spans="1:20">
      <c r="A45" s="23" t="s">
        <v>50</v>
      </c>
      <c r="B45" s="35" t="s">
        <v>49</v>
      </c>
      <c r="C45" s="36">
        <v>29859</v>
      </c>
      <c r="D45" s="6"/>
      <c r="E45" s="113">
        <v>3796856103</v>
      </c>
      <c r="F45" s="116">
        <f t="shared" si="6"/>
        <v>127159.51984326333</v>
      </c>
      <c r="G45" s="117">
        <v>2127056601</v>
      </c>
      <c r="H45" s="117">
        <f t="shared" si="10"/>
        <v>71236.699186175028</v>
      </c>
      <c r="I45" s="7"/>
      <c r="J45" s="10">
        <v>5.4</v>
      </c>
      <c r="K45" s="117">
        <v>11486106</v>
      </c>
      <c r="L45" s="120">
        <f t="shared" si="13"/>
        <v>384.67818748116144</v>
      </c>
      <c r="M45" s="122">
        <f t="shared" si="7"/>
        <v>21270566.010000002</v>
      </c>
      <c r="N45" s="116">
        <f t="shared" si="8"/>
        <v>9784460.0100000016</v>
      </c>
      <c r="O45" s="123">
        <f t="shared" si="9"/>
        <v>327.68880438058881</v>
      </c>
      <c r="P45" s="5"/>
      <c r="Q45" s="5">
        <f t="shared" si="4"/>
        <v>1</v>
      </c>
      <c r="R45" s="7">
        <f t="shared" si="5"/>
        <v>29859</v>
      </c>
      <c r="S45" s="5">
        <f t="shared" si="2"/>
        <v>1</v>
      </c>
      <c r="T45" s="7">
        <f t="shared" si="3"/>
        <v>29859</v>
      </c>
    </row>
    <row r="46" spans="1:20">
      <c r="A46" s="23" t="s">
        <v>51</v>
      </c>
      <c r="B46" s="35" t="s">
        <v>49</v>
      </c>
      <c r="C46" s="36">
        <v>129615</v>
      </c>
      <c r="D46" s="6"/>
      <c r="E46" s="113">
        <v>14586781585</v>
      </c>
      <c r="F46" s="116">
        <f t="shared" si="6"/>
        <v>112539.30166261621</v>
      </c>
      <c r="G46" s="117">
        <v>9505845128</v>
      </c>
      <c r="H46" s="117">
        <f t="shared" si="10"/>
        <v>73339.082112409829</v>
      </c>
      <c r="I46" s="7"/>
      <c r="J46" s="10">
        <v>3.8715000000000002</v>
      </c>
      <c r="K46" s="117">
        <v>36801879</v>
      </c>
      <c r="L46" s="120">
        <f t="shared" si="13"/>
        <v>283.93225321143387</v>
      </c>
      <c r="M46" s="122">
        <f t="shared" si="7"/>
        <v>95058451.280000001</v>
      </c>
      <c r="N46" s="116">
        <f t="shared" si="8"/>
        <v>58256572.280000001</v>
      </c>
      <c r="O46" s="123">
        <f t="shared" si="9"/>
        <v>449.45856791266442</v>
      </c>
      <c r="P46" s="5"/>
      <c r="Q46" s="5">
        <f t="shared" si="4"/>
        <v>1</v>
      </c>
      <c r="R46" s="7">
        <f t="shared" si="5"/>
        <v>129615</v>
      </c>
      <c r="S46" s="5">
        <f t="shared" si="2"/>
        <v>1</v>
      </c>
      <c r="T46" s="7">
        <f t="shared" si="3"/>
        <v>129615</v>
      </c>
    </row>
    <row r="47" spans="1:20">
      <c r="A47" s="23" t="s">
        <v>464</v>
      </c>
      <c r="B47" s="35" t="s">
        <v>49</v>
      </c>
      <c r="C47" s="36">
        <v>28555</v>
      </c>
      <c r="D47" s="6"/>
      <c r="E47" s="113">
        <v>4062116302</v>
      </c>
      <c r="F47" s="116">
        <f t="shared" si="6"/>
        <v>142255.867693924</v>
      </c>
      <c r="G47" s="117">
        <v>2986492407</v>
      </c>
      <c r="H47" s="117">
        <f t="shared" si="10"/>
        <v>104587.37198389074</v>
      </c>
      <c r="I47" s="7"/>
      <c r="J47" s="10">
        <v>6.0678999999999998</v>
      </c>
      <c r="K47" s="117">
        <v>18121737</v>
      </c>
      <c r="L47" s="120">
        <f t="shared" si="13"/>
        <v>634.62570478024861</v>
      </c>
      <c r="M47" s="122">
        <f t="shared" si="7"/>
        <v>29864924.07</v>
      </c>
      <c r="N47" s="116">
        <f t="shared" si="8"/>
        <v>11743187.07</v>
      </c>
      <c r="O47" s="123">
        <f t="shared" si="9"/>
        <v>411.24801505865872</v>
      </c>
      <c r="P47" s="5"/>
      <c r="Q47" s="5">
        <f t="shared" si="4"/>
        <v>1</v>
      </c>
      <c r="R47" s="7">
        <f t="shared" si="5"/>
        <v>28555</v>
      </c>
      <c r="S47" s="5">
        <f t="shared" si="2"/>
        <v>1</v>
      </c>
      <c r="T47" s="7">
        <f t="shared" si="3"/>
        <v>28555</v>
      </c>
    </row>
    <row r="48" spans="1:20">
      <c r="A48" s="23" t="s">
        <v>52</v>
      </c>
      <c r="B48" s="35" t="s">
        <v>49</v>
      </c>
      <c r="C48" s="36">
        <v>84057</v>
      </c>
      <c r="D48" s="6"/>
      <c r="E48" s="113">
        <v>11985726031</v>
      </c>
      <c r="F48" s="116">
        <f t="shared" si="6"/>
        <v>142590.45684476011</v>
      </c>
      <c r="G48" s="117">
        <v>7551094514</v>
      </c>
      <c r="H48" s="117">
        <f t="shared" ref="H48:H79" si="14">(G48/C48)</f>
        <v>89833.024185969043</v>
      </c>
      <c r="I48" s="7"/>
      <c r="J48" s="11">
        <v>4.9878999999999998</v>
      </c>
      <c r="K48" s="117">
        <v>37664104</v>
      </c>
      <c r="L48" s="120">
        <f t="shared" si="13"/>
        <v>448.07813745434646</v>
      </c>
      <c r="M48" s="122">
        <f t="shared" si="7"/>
        <v>75510945.140000001</v>
      </c>
      <c r="N48" s="116">
        <f t="shared" si="8"/>
        <v>37846841.140000001</v>
      </c>
      <c r="O48" s="123">
        <f t="shared" si="9"/>
        <v>450.25210440534403</v>
      </c>
      <c r="P48" s="5"/>
      <c r="Q48" s="5">
        <f t="shared" si="4"/>
        <v>1</v>
      </c>
      <c r="R48" s="7">
        <f t="shared" si="5"/>
        <v>84057</v>
      </c>
      <c r="S48" s="5">
        <f t="shared" si="2"/>
        <v>1</v>
      </c>
      <c r="T48" s="7">
        <f t="shared" si="3"/>
        <v>84057</v>
      </c>
    </row>
    <row r="49" spans="1:20">
      <c r="A49" s="23" t="s">
        <v>53</v>
      </c>
      <c r="B49" s="35" t="s">
        <v>49</v>
      </c>
      <c r="C49" s="36">
        <v>75603</v>
      </c>
      <c r="D49" s="6"/>
      <c r="E49" s="113">
        <v>9372071968</v>
      </c>
      <c r="F49" s="116">
        <f t="shared" si="6"/>
        <v>123964.2867081994</v>
      </c>
      <c r="G49" s="117">
        <v>6609893946</v>
      </c>
      <c r="H49" s="117">
        <f t="shared" si="14"/>
        <v>87428.990198801635</v>
      </c>
      <c r="I49" s="7"/>
      <c r="J49" s="10">
        <v>5.8250000000000002</v>
      </c>
      <c r="K49" s="117">
        <v>38502632</v>
      </c>
      <c r="L49" s="120">
        <f t="shared" si="13"/>
        <v>509.27386479372512</v>
      </c>
      <c r="M49" s="122">
        <f t="shared" si="7"/>
        <v>66098939.460000001</v>
      </c>
      <c r="N49" s="116">
        <f t="shared" si="8"/>
        <v>27596307.460000001</v>
      </c>
      <c r="O49" s="123">
        <f t="shared" si="9"/>
        <v>365.01603719429124</v>
      </c>
      <c r="P49" s="5"/>
      <c r="Q49" s="5">
        <f t="shared" si="4"/>
        <v>1</v>
      </c>
      <c r="R49" s="7">
        <f t="shared" si="5"/>
        <v>75603</v>
      </c>
      <c r="S49" s="5">
        <f t="shared" si="2"/>
        <v>1</v>
      </c>
      <c r="T49" s="7">
        <f t="shared" si="3"/>
        <v>75603</v>
      </c>
    </row>
    <row r="50" spans="1:20">
      <c r="A50" s="23" t="s">
        <v>54</v>
      </c>
      <c r="B50" s="35" t="s">
        <v>49</v>
      </c>
      <c r="C50" s="36">
        <v>175836</v>
      </c>
      <c r="D50" s="6"/>
      <c r="E50" s="113">
        <v>39986619903</v>
      </c>
      <c r="F50" s="116">
        <f t="shared" si="6"/>
        <v>227408.60746946017</v>
      </c>
      <c r="G50" s="117">
        <v>28369035621</v>
      </c>
      <c r="H50" s="117">
        <f t="shared" si="14"/>
        <v>161338.04011124003</v>
      </c>
      <c r="I50" s="7"/>
      <c r="J50" s="10">
        <v>4.8066000000000004</v>
      </c>
      <c r="K50" s="117">
        <v>136358607</v>
      </c>
      <c r="L50" s="120">
        <f t="shared" si="13"/>
        <v>775.48742578311612</v>
      </c>
      <c r="M50" s="122">
        <f t="shared" si="7"/>
        <v>283690356.20999998</v>
      </c>
      <c r="N50" s="116">
        <f t="shared" si="8"/>
        <v>147331749.20999998</v>
      </c>
      <c r="O50" s="123">
        <f t="shared" si="9"/>
        <v>837.89297532928401</v>
      </c>
      <c r="P50" s="5"/>
      <c r="Q50" s="5">
        <f t="shared" si="4"/>
        <v>1</v>
      </c>
      <c r="R50" s="7">
        <f t="shared" si="5"/>
        <v>175836</v>
      </c>
      <c r="S50" s="5">
        <f t="shared" si="2"/>
        <v>1</v>
      </c>
      <c r="T50" s="7">
        <f t="shared" si="3"/>
        <v>175836</v>
      </c>
    </row>
    <row r="51" spans="1:20">
      <c r="A51" s="23" t="s">
        <v>465</v>
      </c>
      <c r="B51" s="35" t="s">
        <v>49</v>
      </c>
      <c r="C51" s="36">
        <v>35844</v>
      </c>
      <c r="D51" s="6"/>
      <c r="E51" s="113">
        <v>5681194100</v>
      </c>
      <c r="F51" s="116">
        <f t="shared" si="6"/>
        <v>158497.77089610536</v>
      </c>
      <c r="G51" s="117">
        <v>4197777283</v>
      </c>
      <c r="H51" s="117">
        <f t="shared" si="14"/>
        <v>117112.4116449057</v>
      </c>
      <c r="I51" s="7"/>
      <c r="J51" s="10">
        <v>5.9695999999999998</v>
      </c>
      <c r="K51" s="117">
        <v>25059051</v>
      </c>
      <c r="L51" s="120">
        <f t="shared" si="13"/>
        <v>699.11424506193509</v>
      </c>
      <c r="M51" s="122">
        <f t="shared" si="7"/>
        <v>41977772.829999998</v>
      </c>
      <c r="N51" s="116">
        <f t="shared" si="8"/>
        <v>16918721.829999998</v>
      </c>
      <c r="O51" s="123">
        <f t="shared" si="9"/>
        <v>472.0098713871219</v>
      </c>
      <c r="P51" s="5"/>
      <c r="Q51" s="5">
        <f t="shared" si="4"/>
        <v>1</v>
      </c>
      <c r="R51" s="7">
        <f t="shared" si="5"/>
        <v>35844</v>
      </c>
      <c r="S51" s="5">
        <f t="shared" si="2"/>
        <v>1</v>
      </c>
      <c r="T51" s="7">
        <f t="shared" si="3"/>
        <v>35844</v>
      </c>
    </row>
    <row r="52" spans="1:20">
      <c r="A52" s="23" t="s">
        <v>55</v>
      </c>
      <c r="B52" s="35" t="s">
        <v>49</v>
      </c>
      <c r="C52" s="36">
        <v>2234</v>
      </c>
      <c r="D52" s="6"/>
      <c r="E52" s="113">
        <v>1483887495</v>
      </c>
      <c r="F52" s="116">
        <f t="shared" si="6"/>
        <v>664228.95926589076</v>
      </c>
      <c r="G52" s="117">
        <v>1153363065</v>
      </c>
      <c r="H52" s="117">
        <f t="shared" si="14"/>
        <v>516277.11056401074</v>
      </c>
      <c r="I52" s="7"/>
      <c r="J52" s="10">
        <v>2.2498</v>
      </c>
      <c r="K52" s="117">
        <v>2594836</v>
      </c>
      <c r="L52" s="120">
        <f t="shared" si="13"/>
        <v>1161.5201432408237</v>
      </c>
      <c r="M52" s="122">
        <f t="shared" si="7"/>
        <v>11533630.65</v>
      </c>
      <c r="N52" s="116">
        <f t="shared" si="8"/>
        <v>8938794.6500000004</v>
      </c>
      <c r="O52" s="123">
        <f t="shared" si="9"/>
        <v>4001.2509623992842</v>
      </c>
      <c r="P52" s="5"/>
      <c r="Q52" s="5">
        <f t="shared" si="4"/>
        <v>1</v>
      </c>
      <c r="R52" s="7">
        <f t="shared" si="5"/>
        <v>2234</v>
      </c>
      <c r="S52" s="5">
        <f t="shared" si="2"/>
        <v>1</v>
      </c>
      <c r="T52" s="7">
        <f t="shared" si="3"/>
        <v>2234</v>
      </c>
    </row>
    <row r="53" spans="1:20">
      <c r="A53" s="23" t="s">
        <v>56</v>
      </c>
      <c r="B53" s="35" t="s">
        <v>49</v>
      </c>
      <c r="C53" s="36">
        <v>143287</v>
      </c>
      <c r="D53" s="6"/>
      <c r="E53" s="113">
        <v>19143388745</v>
      </c>
      <c r="F53" s="116">
        <f t="shared" si="6"/>
        <v>133601.71365860128</v>
      </c>
      <c r="G53" s="117">
        <v>12671187758</v>
      </c>
      <c r="H53" s="117">
        <f t="shared" si="14"/>
        <v>88432.221750751982</v>
      </c>
      <c r="I53" s="7"/>
      <c r="J53" s="10">
        <v>6.8051000000000004</v>
      </c>
      <c r="K53" s="117">
        <v>86228700</v>
      </c>
      <c r="L53" s="120">
        <f t="shared" si="13"/>
        <v>601.79011354833301</v>
      </c>
      <c r="M53" s="122">
        <f t="shared" si="7"/>
        <v>126711877.58</v>
      </c>
      <c r="N53" s="116">
        <f t="shared" si="8"/>
        <v>40483177.579999998</v>
      </c>
      <c r="O53" s="123">
        <f t="shared" si="9"/>
        <v>282.53210395918677</v>
      </c>
      <c r="P53" s="5"/>
      <c r="Q53" s="5">
        <f t="shared" si="4"/>
        <v>1</v>
      </c>
      <c r="R53" s="7">
        <f t="shared" si="5"/>
        <v>143287</v>
      </c>
      <c r="S53" s="5">
        <f t="shared" si="2"/>
        <v>1</v>
      </c>
      <c r="T53" s="7">
        <f t="shared" si="3"/>
        <v>143287</v>
      </c>
    </row>
    <row r="54" spans="1:20">
      <c r="A54" s="23" t="s">
        <v>57</v>
      </c>
      <c r="B54" s="35" t="s">
        <v>49</v>
      </c>
      <c r="C54" s="36">
        <v>32161</v>
      </c>
      <c r="D54" s="6"/>
      <c r="E54" s="113">
        <v>1841627575</v>
      </c>
      <c r="F54" s="116">
        <f t="shared" si="6"/>
        <v>57262.75846522185</v>
      </c>
      <c r="G54" s="117">
        <v>1151954522</v>
      </c>
      <c r="H54" s="117">
        <f t="shared" si="14"/>
        <v>35818.367650259628</v>
      </c>
      <c r="I54" s="7"/>
      <c r="J54" s="10">
        <v>6.4006999999999996</v>
      </c>
      <c r="K54" s="117">
        <v>7373315</v>
      </c>
      <c r="L54" s="120">
        <f t="shared" si="13"/>
        <v>229.26261621218245</v>
      </c>
      <c r="M54" s="122">
        <f t="shared" si="7"/>
        <v>11519545.220000001</v>
      </c>
      <c r="N54" s="116">
        <f t="shared" si="8"/>
        <v>4146230.2200000007</v>
      </c>
      <c r="O54" s="123">
        <f t="shared" si="9"/>
        <v>128.92106029041386</v>
      </c>
      <c r="P54" s="5"/>
      <c r="Q54" s="5">
        <f t="shared" si="4"/>
        <v>1</v>
      </c>
      <c r="R54" s="7">
        <f t="shared" si="5"/>
        <v>32161</v>
      </c>
      <c r="S54" s="5">
        <f t="shared" si="2"/>
        <v>1</v>
      </c>
      <c r="T54" s="7">
        <f t="shared" si="3"/>
        <v>32161</v>
      </c>
    </row>
    <row r="55" spans="1:20">
      <c r="A55" s="24" t="s">
        <v>560</v>
      </c>
      <c r="B55" s="35" t="s">
        <v>49</v>
      </c>
      <c r="C55" s="36">
        <v>5831</v>
      </c>
      <c r="D55" s="6"/>
      <c r="E55" s="113">
        <v>2688193799</v>
      </c>
      <c r="F55" s="116">
        <f t="shared" si="6"/>
        <v>461017.62973760936</v>
      </c>
      <c r="G55" s="117">
        <v>2151038439</v>
      </c>
      <c r="H55" s="117">
        <f t="shared" si="14"/>
        <v>368897.00548790942</v>
      </c>
      <c r="I55" s="7"/>
      <c r="J55" s="10">
        <v>4.3499999999999996</v>
      </c>
      <c r="K55" s="117">
        <v>9357017</v>
      </c>
      <c r="L55" s="120">
        <f t="shared" si="13"/>
        <v>1604.7019379180244</v>
      </c>
      <c r="M55" s="122">
        <f t="shared" si="7"/>
        <v>21510384.390000001</v>
      </c>
      <c r="N55" s="116">
        <f t="shared" si="8"/>
        <v>12153367.390000001</v>
      </c>
      <c r="O55" s="123">
        <f t="shared" si="9"/>
        <v>2084.2681169610701</v>
      </c>
      <c r="P55" s="5"/>
      <c r="Q55" s="5">
        <f t="shared" si="4"/>
        <v>1</v>
      </c>
      <c r="R55" s="7">
        <f t="shared" si="5"/>
        <v>5831</v>
      </c>
      <c r="S55" s="5">
        <f t="shared" si="2"/>
        <v>1</v>
      </c>
      <c r="T55" s="7">
        <f t="shared" si="3"/>
        <v>5831</v>
      </c>
    </row>
    <row r="56" spans="1:20">
      <c r="A56" s="23" t="s">
        <v>58</v>
      </c>
      <c r="B56" s="35" t="s">
        <v>49</v>
      </c>
      <c r="C56" s="36">
        <v>63134</v>
      </c>
      <c r="D56" s="6"/>
      <c r="E56" s="113">
        <v>4250982301</v>
      </c>
      <c r="F56" s="116">
        <f t="shared" si="6"/>
        <v>67332.693968384701</v>
      </c>
      <c r="G56" s="117">
        <v>2675359177</v>
      </c>
      <c r="H56" s="117">
        <f t="shared" si="14"/>
        <v>42375.885845978395</v>
      </c>
      <c r="I56" s="7"/>
      <c r="J56" s="10">
        <v>6.02</v>
      </c>
      <c r="K56" s="117">
        <v>16105662</v>
      </c>
      <c r="L56" s="120">
        <f t="shared" si="13"/>
        <v>255.10282890360187</v>
      </c>
      <c r="M56" s="122">
        <f t="shared" si="7"/>
        <v>26753591.77</v>
      </c>
      <c r="N56" s="116">
        <f t="shared" si="8"/>
        <v>10647929.77</v>
      </c>
      <c r="O56" s="123">
        <f t="shared" si="9"/>
        <v>168.65602955618209</v>
      </c>
      <c r="P56" s="5"/>
      <c r="Q56" s="5">
        <f t="shared" si="4"/>
        <v>1</v>
      </c>
      <c r="R56" s="7">
        <f t="shared" si="5"/>
        <v>63134</v>
      </c>
      <c r="S56" s="5">
        <f t="shared" si="2"/>
        <v>1</v>
      </c>
      <c r="T56" s="7">
        <f t="shared" si="3"/>
        <v>63134</v>
      </c>
    </row>
    <row r="57" spans="1:20">
      <c r="A57" s="23" t="s">
        <v>59</v>
      </c>
      <c r="B57" s="35" t="s">
        <v>49</v>
      </c>
      <c r="C57" s="36">
        <v>41</v>
      </c>
      <c r="D57" s="6"/>
      <c r="E57" s="113">
        <v>10052169</v>
      </c>
      <c r="F57" s="116">
        <f t="shared" si="6"/>
        <v>245174.85365853659</v>
      </c>
      <c r="G57" s="117">
        <v>6698609</v>
      </c>
      <c r="H57" s="117">
        <f t="shared" si="14"/>
        <v>163380.70731707316</v>
      </c>
      <c r="I57" s="7"/>
      <c r="J57" s="10">
        <v>3.4735999999999998</v>
      </c>
      <c r="K57" s="117">
        <v>23268</v>
      </c>
      <c r="L57" s="120">
        <f t="shared" si="13"/>
        <v>567.51219512195121</v>
      </c>
      <c r="M57" s="122">
        <f t="shared" si="7"/>
        <v>66986.09</v>
      </c>
      <c r="N57" s="116">
        <f t="shared" si="8"/>
        <v>43718.09</v>
      </c>
      <c r="O57" s="123">
        <f t="shared" si="9"/>
        <v>1066.2948780487804</v>
      </c>
      <c r="P57" s="5"/>
      <c r="Q57" s="5">
        <f t="shared" si="4"/>
        <v>1</v>
      </c>
      <c r="R57" s="7">
        <f t="shared" si="5"/>
        <v>41</v>
      </c>
      <c r="S57" s="5">
        <f t="shared" si="2"/>
        <v>1</v>
      </c>
      <c r="T57" s="7">
        <f t="shared" si="3"/>
        <v>41</v>
      </c>
    </row>
    <row r="58" spans="1:20">
      <c r="A58" s="23" t="s">
        <v>60</v>
      </c>
      <c r="B58" s="35" t="s">
        <v>49</v>
      </c>
      <c r="C58" s="36">
        <v>10899</v>
      </c>
      <c r="D58" s="6"/>
      <c r="E58" s="113">
        <v>3153758709</v>
      </c>
      <c r="F58" s="116">
        <f t="shared" si="6"/>
        <v>289362.20836774015</v>
      </c>
      <c r="G58" s="117">
        <v>2036792100</v>
      </c>
      <c r="H58" s="117">
        <f t="shared" si="14"/>
        <v>186878.80539499037</v>
      </c>
      <c r="I58" s="7"/>
      <c r="J58" s="10">
        <v>3.544</v>
      </c>
      <c r="K58" s="117">
        <v>7218391</v>
      </c>
      <c r="L58" s="120">
        <f t="shared" si="13"/>
        <v>662.2984677493348</v>
      </c>
      <c r="M58" s="122">
        <f t="shared" si="7"/>
        <v>20367921</v>
      </c>
      <c r="N58" s="116">
        <f t="shared" si="8"/>
        <v>13149530</v>
      </c>
      <c r="O58" s="123">
        <f t="shared" si="9"/>
        <v>1206.489586200569</v>
      </c>
      <c r="P58" s="5"/>
      <c r="Q58" s="5">
        <f t="shared" si="4"/>
        <v>1</v>
      </c>
      <c r="R58" s="7">
        <f t="shared" si="5"/>
        <v>10899</v>
      </c>
      <c r="S58" s="5">
        <f t="shared" si="2"/>
        <v>1</v>
      </c>
      <c r="T58" s="7">
        <f t="shared" si="3"/>
        <v>10899</v>
      </c>
    </row>
    <row r="59" spans="1:20">
      <c r="A59" s="23" t="s">
        <v>61</v>
      </c>
      <c r="B59" s="35" t="s">
        <v>49</v>
      </c>
      <c r="C59" s="36">
        <v>55332</v>
      </c>
      <c r="D59" s="6"/>
      <c r="E59" s="113">
        <v>4804390577</v>
      </c>
      <c r="F59" s="116">
        <f t="shared" si="6"/>
        <v>86828.427980192297</v>
      </c>
      <c r="G59" s="117">
        <v>2986945763</v>
      </c>
      <c r="H59" s="117">
        <f t="shared" si="14"/>
        <v>53982.248301163883</v>
      </c>
      <c r="I59" s="7"/>
      <c r="J59" s="10">
        <v>6.5610999999999997</v>
      </c>
      <c r="K59" s="117">
        <v>19597650</v>
      </c>
      <c r="L59" s="120">
        <f t="shared" si="13"/>
        <v>354.18293211884622</v>
      </c>
      <c r="M59" s="122">
        <f t="shared" si="7"/>
        <v>29869457.629999999</v>
      </c>
      <c r="N59" s="116">
        <f t="shared" si="8"/>
        <v>10271807.629999999</v>
      </c>
      <c r="O59" s="123">
        <f t="shared" si="9"/>
        <v>185.63955089279258</v>
      </c>
      <c r="P59" s="5"/>
      <c r="Q59" s="5">
        <f t="shared" si="4"/>
        <v>1</v>
      </c>
      <c r="R59" s="7">
        <f t="shared" si="5"/>
        <v>55332</v>
      </c>
      <c r="S59" s="5">
        <f t="shared" si="2"/>
        <v>1</v>
      </c>
      <c r="T59" s="7">
        <f t="shared" si="3"/>
        <v>55332</v>
      </c>
    </row>
    <row r="60" spans="1:20">
      <c r="A60" s="23" t="s">
        <v>62</v>
      </c>
      <c r="B60" s="35" t="s">
        <v>49</v>
      </c>
      <c r="C60" s="36">
        <v>110322</v>
      </c>
      <c r="D60" s="6"/>
      <c r="E60" s="113">
        <v>12059239694</v>
      </c>
      <c r="F60" s="116">
        <f t="shared" si="6"/>
        <v>109309.47312412756</v>
      </c>
      <c r="G60" s="117">
        <v>8363071918</v>
      </c>
      <c r="H60" s="117">
        <f t="shared" si="14"/>
        <v>75806.021627599213</v>
      </c>
      <c r="I60" s="7"/>
      <c r="J60" s="10">
        <v>6.55</v>
      </c>
      <c r="K60" s="117">
        <v>54778121</v>
      </c>
      <c r="L60" s="120">
        <f t="shared" si="13"/>
        <v>496.5294410906256</v>
      </c>
      <c r="M60" s="122">
        <f t="shared" si="7"/>
        <v>83630719.180000007</v>
      </c>
      <c r="N60" s="116">
        <f t="shared" si="8"/>
        <v>28852598.180000007</v>
      </c>
      <c r="O60" s="123">
        <f t="shared" si="9"/>
        <v>261.53077518536656</v>
      </c>
      <c r="P60" s="5"/>
      <c r="Q60" s="5">
        <f t="shared" si="4"/>
        <v>1</v>
      </c>
      <c r="R60" s="7">
        <f t="shared" si="5"/>
        <v>110322</v>
      </c>
      <c r="S60" s="5">
        <f t="shared" si="2"/>
        <v>1</v>
      </c>
      <c r="T60" s="7">
        <f t="shared" si="3"/>
        <v>110322</v>
      </c>
    </row>
    <row r="61" spans="1:20">
      <c r="A61" s="23" t="s">
        <v>63</v>
      </c>
      <c r="B61" s="35" t="s">
        <v>49</v>
      </c>
      <c r="C61" s="36">
        <v>41584</v>
      </c>
      <c r="D61" s="6"/>
      <c r="E61" s="113">
        <v>2381041954</v>
      </c>
      <c r="F61" s="116">
        <f t="shared" si="6"/>
        <v>57258.607974220853</v>
      </c>
      <c r="G61" s="117">
        <v>1543483189</v>
      </c>
      <c r="H61" s="117">
        <f t="shared" si="14"/>
        <v>37117.237134474795</v>
      </c>
      <c r="I61" s="7"/>
      <c r="J61" s="10">
        <v>6.4291999999999998</v>
      </c>
      <c r="K61" s="117">
        <v>9923362</v>
      </c>
      <c r="L61" s="120">
        <f t="shared" si="13"/>
        <v>238.63413813005002</v>
      </c>
      <c r="M61" s="122">
        <f t="shared" si="7"/>
        <v>15434831.890000001</v>
      </c>
      <c r="N61" s="116">
        <f t="shared" si="8"/>
        <v>5511469.8900000006</v>
      </c>
      <c r="O61" s="123">
        <f t="shared" si="9"/>
        <v>132.53823321469798</v>
      </c>
      <c r="P61" s="5"/>
      <c r="Q61" s="5">
        <f t="shared" si="4"/>
        <v>1</v>
      </c>
      <c r="R61" s="7">
        <f t="shared" si="5"/>
        <v>41584</v>
      </c>
      <c r="S61" s="5">
        <f t="shared" si="2"/>
        <v>1</v>
      </c>
      <c r="T61" s="7">
        <f t="shared" si="3"/>
        <v>41584</v>
      </c>
    </row>
    <row r="62" spans="1:20">
      <c r="A62" s="23" t="s">
        <v>64</v>
      </c>
      <c r="B62" s="35" t="s">
        <v>49</v>
      </c>
      <c r="C62" s="36">
        <v>42427</v>
      </c>
      <c r="D62" s="6"/>
      <c r="E62" s="113">
        <v>4791050331</v>
      </c>
      <c r="F62" s="116">
        <f t="shared" si="6"/>
        <v>112924.56056284913</v>
      </c>
      <c r="G62" s="117">
        <v>3197757210</v>
      </c>
      <c r="H62" s="117">
        <f t="shared" si="14"/>
        <v>75370.806561859194</v>
      </c>
      <c r="I62" s="7"/>
      <c r="J62" s="10">
        <v>5.5823</v>
      </c>
      <c r="K62" s="117">
        <v>17850840</v>
      </c>
      <c r="L62" s="120">
        <f t="shared" si="13"/>
        <v>420.74245174063685</v>
      </c>
      <c r="M62" s="122">
        <f t="shared" si="7"/>
        <v>31977572.100000001</v>
      </c>
      <c r="N62" s="116">
        <f t="shared" si="8"/>
        <v>14126732.100000001</v>
      </c>
      <c r="O62" s="123">
        <f t="shared" si="9"/>
        <v>332.96561387795509</v>
      </c>
      <c r="P62" s="5"/>
      <c r="Q62" s="5">
        <f t="shared" si="4"/>
        <v>1</v>
      </c>
      <c r="R62" s="7">
        <f t="shared" si="5"/>
        <v>42427</v>
      </c>
      <c r="S62" s="5">
        <f t="shared" si="2"/>
        <v>1</v>
      </c>
      <c r="T62" s="7">
        <f t="shared" si="3"/>
        <v>42427</v>
      </c>
    </row>
    <row r="63" spans="1:20">
      <c r="A63" s="23" t="s">
        <v>65</v>
      </c>
      <c r="B63" s="35" t="s">
        <v>49</v>
      </c>
      <c r="C63" s="36">
        <v>21913</v>
      </c>
      <c r="D63" s="6"/>
      <c r="E63" s="113">
        <v>4478003127</v>
      </c>
      <c r="F63" s="116">
        <f t="shared" si="6"/>
        <v>204353.72276730707</v>
      </c>
      <c r="G63" s="117">
        <v>3069737237</v>
      </c>
      <c r="H63" s="117">
        <f t="shared" si="14"/>
        <v>140087.49313193082</v>
      </c>
      <c r="I63" s="7"/>
      <c r="J63" s="10">
        <v>3.95</v>
      </c>
      <c r="K63" s="117">
        <v>12125462</v>
      </c>
      <c r="L63" s="120">
        <f t="shared" si="13"/>
        <v>553.34559393967049</v>
      </c>
      <c r="M63" s="122">
        <f t="shared" si="7"/>
        <v>30697372.370000001</v>
      </c>
      <c r="N63" s="116">
        <f t="shared" si="8"/>
        <v>18571910.370000001</v>
      </c>
      <c r="O63" s="123">
        <f t="shared" si="9"/>
        <v>847.5293373796377</v>
      </c>
      <c r="P63" s="5"/>
      <c r="Q63" s="5">
        <f t="shared" si="4"/>
        <v>1</v>
      </c>
      <c r="R63" s="7">
        <f t="shared" si="5"/>
        <v>21913</v>
      </c>
      <c r="S63" s="5">
        <f t="shared" si="2"/>
        <v>1</v>
      </c>
      <c r="T63" s="7">
        <f t="shared" si="3"/>
        <v>21913</v>
      </c>
    </row>
    <row r="64" spans="1:20">
      <c r="A64" s="23" t="s">
        <v>66</v>
      </c>
      <c r="B64" s="35" t="s">
        <v>49</v>
      </c>
      <c r="C64" s="36">
        <v>5740</v>
      </c>
      <c r="D64" s="6"/>
      <c r="E64" s="113">
        <v>534992888</v>
      </c>
      <c r="F64" s="116">
        <f t="shared" si="6"/>
        <v>93204.335888501737</v>
      </c>
      <c r="G64" s="117">
        <v>487242300</v>
      </c>
      <c r="H64" s="117">
        <f t="shared" si="14"/>
        <v>84885.4181184669</v>
      </c>
      <c r="I64" s="7"/>
      <c r="J64" s="10">
        <v>8.5</v>
      </c>
      <c r="K64" s="117">
        <v>4141560</v>
      </c>
      <c r="L64" s="120">
        <f t="shared" si="13"/>
        <v>721.52613240418123</v>
      </c>
      <c r="M64" s="122">
        <f t="shared" si="7"/>
        <v>4872423</v>
      </c>
      <c r="N64" s="116">
        <f t="shared" si="8"/>
        <v>730863</v>
      </c>
      <c r="O64" s="123">
        <f t="shared" si="9"/>
        <v>127.3280487804878</v>
      </c>
      <c r="P64" s="5"/>
      <c r="Q64" s="5">
        <f t="shared" si="4"/>
        <v>1</v>
      </c>
      <c r="R64" s="7">
        <f t="shared" si="5"/>
        <v>5740</v>
      </c>
      <c r="S64" s="5">
        <f t="shared" si="2"/>
        <v>1</v>
      </c>
      <c r="T64" s="7">
        <f t="shared" si="3"/>
        <v>5740</v>
      </c>
    </row>
    <row r="65" spans="1:20">
      <c r="A65" s="23" t="s">
        <v>67</v>
      </c>
      <c r="B65" s="35" t="s">
        <v>49</v>
      </c>
      <c r="C65" s="36">
        <v>151786</v>
      </c>
      <c r="D65" s="6"/>
      <c r="E65" s="113">
        <v>17145457817</v>
      </c>
      <c r="F65" s="116">
        <f t="shared" si="6"/>
        <v>112958.09769675728</v>
      </c>
      <c r="G65" s="117">
        <v>10638992020</v>
      </c>
      <c r="H65" s="117">
        <f t="shared" si="14"/>
        <v>70092.050782022052</v>
      </c>
      <c r="I65" s="7"/>
      <c r="J65" s="10">
        <v>4.5990000000000002</v>
      </c>
      <c r="K65" s="117">
        <v>48928724</v>
      </c>
      <c r="L65" s="120">
        <f t="shared" si="13"/>
        <v>322.35333957018435</v>
      </c>
      <c r="M65" s="122">
        <f t="shared" si="7"/>
        <v>106389920.2</v>
      </c>
      <c r="N65" s="116">
        <f t="shared" si="8"/>
        <v>57461196.200000003</v>
      </c>
      <c r="O65" s="123">
        <f t="shared" si="9"/>
        <v>378.56716825003627</v>
      </c>
      <c r="P65" s="5"/>
      <c r="Q65" s="5">
        <f t="shared" si="4"/>
        <v>1</v>
      </c>
      <c r="R65" s="7">
        <f t="shared" si="5"/>
        <v>151786</v>
      </c>
      <c r="S65" s="5">
        <f t="shared" si="2"/>
        <v>1</v>
      </c>
      <c r="T65" s="7">
        <f t="shared" si="3"/>
        <v>151786</v>
      </c>
    </row>
    <row r="66" spans="1:20">
      <c r="A66" s="23" t="s">
        <v>68</v>
      </c>
      <c r="B66" s="35" t="s">
        <v>49</v>
      </c>
      <c r="C66" s="36">
        <v>84891</v>
      </c>
      <c r="D66" s="6"/>
      <c r="E66" s="113">
        <v>12181652699</v>
      </c>
      <c r="F66" s="116">
        <f t="shared" si="6"/>
        <v>143497.57570296025</v>
      </c>
      <c r="G66" s="117">
        <v>7927442736</v>
      </c>
      <c r="H66" s="117">
        <f t="shared" si="14"/>
        <v>93383.783157225145</v>
      </c>
      <c r="I66" s="7"/>
      <c r="J66" s="10">
        <v>4.5888999999999998</v>
      </c>
      <c r="K66" s="117">
        <v>36378242</v>
      </c>
      <c r="L66" s="120">
        <f t="shared" si="13"/>
        <v>428.52884286909097</v>
      </c>
      <c r="M66" s="122">
        <f t="shared" si="7"/>
        <v>79274427.359999999</v>
      </c>
      <c r="N66" s="116">
        <f t="shared" si="8"/>
        <v>42896185.359999999</v>
      </c>
      <c r="O66" s="123">
        <f t="shared" si="9"/>
        <v>505.30898870316054</v>
      </c>
      <c r="P66" s="5"/>
      <c r="Q66" s="5">
        <f t="shared" si="4"/>
        <v>1</v>
      </c>
      <c r="R66" s="7">
        <f t="shared" si="5"/>
        <v>84891</v>
      </c>
      <c r="S66" s="5">
        <f t="shared" si="2"/>
        <v>1</v>
      </c>
      <c r="T66" s="7">
        <f t="shared" si="3"/>
        <v>84891</v>
      </c>
    </row>
    <row r="67" spans="1:20">
      <c r="A67" s="23" t="s">
        <v>69</v>
      </c>
      <c r="B67" s="35" t="s">
        <v>49</v>
      </c>
      <c r="C67" s="36">
        <v>101103</v>
      </c>
      <c r="D67" s="6"/>
      <c r="E67" s="113">
        <v>16490649418</v>
      </c>
      <c r="F67" s="116">
        <f t="shared" si="6"/>
        <v>163107.41934462875</v>
      </c>
      <c r="G67" s="117">
        <v>11756471059</v>
      </c>
      <c r="H67" s="117">
        <f t="shared" si="14"/>
        <v>116282.11881942178</v>
      </c>
      <c r="I67" s="7"/>
      <c r="J67" s="10">
        <v>3.7250000000000001</v>
      </c>
      <c r="K67" s="117">
        <v>43792855</v>
      </c>
      <c r="L67" s="120">
        <f t="shared" si="13"/>
        <v>433.15089562129708</v>
      </c>
      <c r="M67" s="122">
        <f t="shared" si="7"/>
        <v>117564710.59</v>
      </c>
      <c r="N67" s="116">
        <f t="shared" si="8"/>
        <v>73771855.590000004</v>
      </c>
      <c r="O67" s="123">
        <f t="shared" si="9"/>
        <v>729.67029257292074</v>
      </c>
      <c r="P67" s="5"/>
      <c r="Q67" s="5">
        <f t="shared" si="4"/>
        <v>1</v>
      </c>
      <c r="R67" s="7">
        <f t="shared" si="5"/>
        <v>101103</v>
      </c>
      <c r="S67" s="5">
        <f t="shared" si="2"/>
        <v>1</v>
      </c>
      <c r="T67" s="7">
        <f t="shared" si="3"/>
        <v>101103</v>
      </c>
    </row>
    <row r="68" spans="1:20">
      <c r="A68" s="23" t="s">
        <v>70</v>
      </c>
      <c r="B68" s="35" t="s">
        <v>49</v>
      </c>
      <c r="C68" s="36">
        <v>730</v>
      </c>
      <c r="D68" s="6"/>
      <c r="E68" s="113">
        <v>233946058</v>
      </c>
      <c r="F68" s="116">
        <f t="shared" si="6"/>
        <v>320474.05205479451</v>
      </c>
      <c r="G68" s="117">
        <v>160324938</v>
      </c>
      <c r="H68" s="117">
        <f t="shared" si="14"/>
        <v>219623.20273972602</v>
      </c>
      <c r="I68" s="7"/>
      <c r="J68" s="10">
        <v>6.95</v>
      </c>
      <c r="K68" s="117">
        <v>1114258</v>
      </c>
      <c r="L68" s="120">
        <f t="shared" si="13"/>
        <v>1526.3808219178081</v>
      </c>
      <c r="M68" s="122">
        <f t="shared" si="7"/>
        <v>1603249.3800000001</v>
      </c>
      <c r="N68" s="116">
        <f t="shared" si="8"/>
        <v>488991.38000000012</v>
      </c>
      <c r="O68" s="123">
        <f t="shared" si="9"/>
        <v>669.85120547945223</v>
      </c>
      <c r="P68" s="5"/>
      <c r="Q68" s="5">
        <f t="shared" si="4"/>
        <v>1</v>
      </c>
      <c r="R68" s="7">
        <f t="shared" si="5"/>
        <v>730</v>
      </c>
      <c r="S68" s="5">
        <f t="shared" si="2"/>
        <v>1</v>
      </c>
      <c r="T68" s="7">
        <f t="shared" si="3"/>
        <v>730</v>
      </c>
    </row>
    <row r="69" spans="1:20">
      <c r="A69" s="23" t="s">
        <v>450</v>
      </c>
      <c r="B69" s="35" t="s">
        <v>49</v>
      </c>
      <c r="C69" s="36">
        <v>7415</v>
      </c>
      <c r="D69" s="6"/>
      <c r="E69" s="113">
        <v>2239726509</v>
      </c>
      <c r="F69" s="116">
        <f t="shared" si="6"/>
        <v>302053.47390424815</v>
      </c>
      <c r="G69" s="117">
        <v>1222647079</v>
      </c>
      <c r="H69" s="117">
        <f t="shared" si="14"/>
        <v>164888.34511126095</v>
      </c>
      <c r="I69" s="7"/>
      <c r="J69" s="10">
        <v>0.3</v>
      </c>
      <c r="K69" s="117">
        <v>366794</v>
      </c>
      <c r="L69" s="120">
        <f t="shared" si="13"/>
        <v>49.466486850977745</v>
      </c>
      <c r="M69" s="122">
        <f t="shared" si="7"/>
        <v>12226470.790000001</v>
      </c>
      <c r="N69" s="116">
        <f t="shared" si="8"/>
        <v>11859676.790000001</v>
      </c>
      <c r="O69" s="123">
        <f t="shared" si="9"/>
        <v>1599.4169642616318</v>
      </c>
      <c r="P69" s="5"/>
      <c r="Q69" s="5">
        <f t="shared" si="4"/>
        <v>1</v>
      </c>
      <c r="R69" s="7">
        <f t="shared" si="5"/>
        <v>7415</v>
      </c>
      <c r="S69" s="5">
        <f t="shared" si="2"/>
        <v>1</v>
      </c>
      <c r="T69" s="7">
        <f t="shared" si="3"/>
        <v>7415</v>
      </c>
    </row>
    <row r="70" spans="1:20">
      <c r="A70" s="23" t="s">
        <v>71</v>
      </c>
      <c r="B70" s="35" t="s">
        <v>49</v>
      </c>
      <c r="C70" s="36">
        <v>89669</v>
      </c>
      <c r="D70" s="6"/>
      <c r="E70" s="113">
        <v>9438668918</v>
      </c>
      <c r="F70" s="116">
        <f t="shared" si="6"/>
        <v>105261.22648853004</v>
      </c>
      <c r="G70" s="117">
        <v>6099494783</v>
      </c>
      <c r="H70" s="117">
        <f t="shared" si="14"/>
        <v>68022.335288672781</v>
      </c>
      <c r="I70" s="7"/>
      <c r="J70" s="10">
        <v>6.11</v>
      </c>
      <c r="K70" s="117">
        <v>37267913</v>
      </c>
      <c r="L70" s="120">
        <f t="shared" si="13"/>
        <v>415.61646722947728</v>
      </c>
      <c r="M70" s="122">
        <f t="shared" si="7"/>
        <v>60994947.829999998</v>
      </c>
      <c r="N70" s="116">
        <f t="shared" si="8"/>
        <v>23727034.829999998</v>
      </c>
      <c r="O70" s="123">
        <f t="shared" si="9"/>
        <v>264.60688565725053</v>
      </c>
      <c r="P70" s="5"/>
      <c r="Q70" s="5">
        <f t="shared" si="4"/>
        <v>1</v>
      </c>
      <c r="R70" s="7">
        <f t="shared" si="5"/>
        <v>89669</v>
      </c>
      <c r="S70" s="5">
        <f t="shared" ref="S70:S133" si="15">IF(J70&gt;0,1,0)</f>
        <v>1</v>
      </c>
      <c r="T70" s="7">
        <f t="shared" ref="T70:T133" si="16">IF(J70&gt;0,C70,0)</f>
        <v>89669</v>
      </c>
    </row>
    <row r="71" spans="1:20">
      <c r="A71" s="23" t="s">
        <v>72</v>
      </c>
      <c r="B71" s="35" t="s">
        <v>49</v>
      </c>
      <c r="C71" s="36">
        <v>59259</v>
      </c>
      <c r="D71" s="6"/>
      <c r="E71" s="113">
        <v>6242664146</v>
      </c>
      <c r="F71" s="116">
        <f t="shared" si="6"/>
        <v>105345.41834995527</v>
      </c>
      <c r="G71" s="117">
        <v>3852962888</v>
      </c>
      <c r="H71" s="117">
        <f t="shared" si="14"/>
        <v>65019.033193270217</v>
      </c>
      <c r="I71" s="7"/>
      <c r="J71" s="10">
        <v>6.2224000000000004</v>
      </c>
      <c r="K71" s="117">
        <v>23974676</v>
      </c>
      <c r="L71" s="120">
        <f t="shared" si="13"/>
        <v>404.57442751312038</v>
      </c>
      <c r="M71" s="122">
        <f t="shared" si="7"/>
        <v>38529628.880000003</v>
      </c>
      <c r="N71" s="116">
        <f t="shared" si="8"/>
        <v>14554952.880000003</v>
      </c>
      <c r="O71" s="123">
        <f t="shared" si="9"/>
        <v>245.61590441958188</v>
      </c>
      <c r="P71" s="5"/>
      <c r="Q71" s="5">
        <f t="shared" ref="Q71:Q134" si="17">IF(E71&gt;0,1,0)</f>
        <v>1</v>
      </c>
      <c r="R71" s="7">
        <f t="shared" ref="R71:R134" si="18">IF(E71&gt;0,C71,0)</f>
        <v>59259</v>
      </c>
      <c r="S71" s="5">
        <f t="shared" si="15"/>
        <v>1</v>
      </c>
      <c r="T71" s="7">
        <f t="shared" si="16"/>
        <v>59259</v>
      </c>
    </row>
    <row r="72" spans="1:20">
      <c r="A72" s="23" t="s">
        <v>507</v>
      </c>
      <c r="B72" s="35" t="s">
        <v>49</v>
      </c>
      <c r="C72" s="36">
        <v>13804</v>
      </c>
      <c r="D72" s="6"/>
      <c r="E72" s="113">
        <v>907054455</v>
      </c>
      <c r="F72" s="116">
        <f t="shared" ref="F72:F93" si="19">(E72/C72)</f>
        <v>65709.537452912205</v>
      </c>
      <c r="G72" s="117">
        <v>556771264</v>
      </c>
      <c r="H72" s="117">
        <f t="shared" si="14"/>
        <v>40334.052738336715</v>
      </c>
      <c r="I72" s="9"/>
      <c r="J72" s="10">
        <v>6.5239000000000003</v>
      </c>
      <c r="K72" s="117">
        <v>3632320</v>
      </c>
      <c r="L72" s="120">
        <f t="shared" si="13"/>
        <v>263.13532309475517</v>
      </c>
      <c r="M72" s="122">
        <f t="shared" ref="M72:M135" si="20">(G72*0.01)</f>
        <v>5567712.6399999997</v>
      </c>
      <c r="N72" s="116">
        <f t="shared" ref="N72:N135" si="21">(M72-K72)</f>
        <v>1935392.6399999997</v>
      </c>
      <c r="O72" s="123">
        <f t="shared" ref="O72:O135" si="22">(N72/C72)</f>
        <v>140.20520428861198</v>
      </c>
      <c r="P72" s="5"/>
      <c r="Q72" s="5">
        <f t="shared" si="17"/>
        <v>1</v>
      </c>
      <c r="R72" s="7">
        <f t="shared" si="18"/>
        <v>13804</v>
      </c>
      <c r="S72" s="5">
        <f t="shared" si="15"/>
        <v>1</v>
      </c>
      <c r="T72" s="7">
        <f t="shared" si="16"/>
        <v>13804</v>
      </c>
    </row>
    <row r="73" spans="1:20">
      <c r="A73" s="23" t="s">
        <v>73</v>
      </c>
      <c r="B73" s="35" t="s">
        <v>49</v>
      </c>
      <c r="C73" s="36">
        <v>61629</v>
      </c>
      <c r="D73" s="6"/>
      <c r="E73" s="113">
        <v>10966261442</v>
      </c>
      <c r="F73" s="116">
        <f t="shared" si="19"/>
        <v>177939.95427477325</v>
      </c>
      <c r="G73" s="117">
        <v>7840402713</v>
      </c>
      <c r="H73" s="117">
        <f t="shared" si="14"/>
        <v>127219.3725843353</v>
      </c>
      <c r="I73" s="7"/>
      <c r="J73" s="10">
        <v>1.5235000000000001</v>
      </c>
      <c r="K73" s="117">
        <v>11944854</v>
      </c>
      <c r="L73" s="120">
        <f t="shared" si="13"/>
        <v>193.81872170569051</v>
      </c>
      <c r="M73" s="122">
        <f t="shared" si="20"/>
        <v>78404027.129999995</v>
      </c>
      <c r="N73" s="116">
        <f t="shared" si="21"/>
        <v>66459173.129999995</v>
      </c>
      <c r="O73" s="123">
        <f t="shared" si="22"/>
        <v>1078.3750041376625</v>
      </c>
      <c r="P73" s="5"/>
      <c r="Q73" s="5">
        <f t="shared" si="17"/>
        <v>1</v>
      </c>
      <c r="R73" s="7">
        <f t="shared" si="18"/>
        <v>61629</v>
      </c>
      <c r="S73" s="5">
        <f t="shared" si="15"/>
        <v>1</v>
      </c>
      <c r="T73" s="7">
        <f t="shared" si="16"/>
        <v>61629</v>
      </c>
    </row>
    <row r="74" spans="1:20">
      <c r="A74" s="23" t="s">
        <v>74</v>
      </c>
      <c r="B74" s="35" t="s">
        <v>49</v>
      </c>
      <c r="C74" s="36">
        <v>12546</v>
      </c>
      <c r="D74" s="6"/>
      <c r="E74" s="113">
        <v>1732266684</v>
      </c>
      <c r="F74" s="116">
        <f t="shared" si="19"/>
        <v>138073.22525107604</v>
      </c>
      <c r="G74" s="117">
        <v>1068467677</v>
      </c>
      <c r="H74" s="117">
        <f t="shared" si="14"/>
        <v>85164.01060098836</v>
      </c>
      <c r="I74" s="9"/>
      <c r="J74" s="10">
        <v>6.2763999999999998</v>
      </c>
      <c r="K74" s="117">
        <v>6706131</v>
      </c>
      <c r="L74" s="120">
        <f t="shared" si="13"/>
        <v>534.52343376374938</v>
      </c>
      <c r="M74" s="122">
        <f t="shared" si="20"/>
        <v>10684676.77</v>
      </c>
      <c r="N74" s="116">
        <f t="shared" si="21"/>
        <v>3978545.7699999996</v>
      </c>
      <c r="O74" s="123">
        <f t="shared" si="22"/>
        <v>317.11667224613421</v>
      </c>
      <c r="P74" s="5"/>
      <c r="Q74" s="5">
        <f t="shared" si="17"/>
        <v>1</v>
      </c>
      <c r="R74" s="7">
        <f t="shared" si="18"/>
        <v>12546</v>
      </c>
      <c r="S74" s="5">
        <f t="shared" si="15"/>
        <v>1</v>
      </c>
      <c r="T74" s="7">
        <f t="shared" si="16"/>
        <v>12546</v>
      </c>
    </row>
    <row r="75" spans="1:20">
      <c r="A75" s="23" t="s">
        <v>75</v>
      </c>
      <c r="B75" s="35" t="s">
        <v>76</v>
      </c>
      <c r="C75" s="36">
        <v>562</v>
      </c>
      <c r="D75" s="6"/>
      <c r="E75" s="113">
        <v>14093443</v>
      </c>
      <c r="F75" s="116">
        <f t="shared" si="19"/>
        <v>25077.300711743774</v>
      </c>
      <c r="G75" s="117">
        <v>6483596</v>
      </c>
      <c r="H75" s="117">
        <f t="shared" si="14"/>
        <v>11536.647686832741</v>
      </c>
      <c r="I75" s="9" t="s">
        <v>528</v>
      </c>
      <c r="J75" s="10"/>
      <c r="K75" s="117"/>
      <c r="L75" s="120"/>
      <c r="M75" s="122">
        <f t="shared" si="20"/>
        <v>64835.96</v>
      </c>
      <c r="N75" s="116">
        <f t="shared" si="21"/>
        <v>64835.96</v>
      </c>
      <c r="O75" s="123">
        <f t="shared" si="22"/>
        <v>115.3664768683274</v>
      </c>
      <c r="P75" s="5"/>
      <c r="Q75" s="5">
        <f t="shared" si="17"/>
        <v>1</v>
      </c>
      <c r="R75" s="7">
        <f t="shared" si="18"/>
        <v>562</v>
      </c>
      <c r="S75" s="5">
        <f t="shared" si="15"/>
        <v>0</v>
      </c>
      <c r="T75" s="7">
        <f t="shared" si="16"/>
        <v>0</v>
      </c>
    </row>
    <row r="76" spans="1:20">
      <c r="A76" s="23" t="s">
        <v>77</v>
      </c>
      <c r="B76" s="35" t="s">
        <v>76</v>
      </c>
      <c r="C76" s="36">
        <v>2476</v>
      </c>
      <c r="D76" s="6"/>
      <c r="E76" s="113">
        <v>90239408</v>
      </c>
      <c r="F76" s="116">
        <f t="shared" si="19"/>
        <v>36445.641357027467</v>
      </c>
      <c r="G76" s="117">
        <v>54443296</v>
      </c>
      <c r="H76" s="117">
        <f t="shared" si="14"/>
        <v>21988.407108239095</v>
      </c>
      <c r="I76" s="7"/>
      <c r="J76" s="10">
        <v>1.5</v>
      </c>
      <c r="K76" s="117">
        <v>81665</v>
      </c>
      <c r="L76" s="120">
        <f t="shared" ref="L76:L82" si="23">(K76/C76)</f>
        <v>32.982633279483039</v>
      </c>
      <c r="M76" s="122">
        <f t="shared" si="20"/>
        <v>544432.96</v>
      </c>
      <c r="N76" s="116">
        <f t="shared" si="21"/>
        <v>462767.95999999996</v>
      </c>
      <c r="O76" s="123">
        <f t="shared" si="22"/>
        <v>186.90143780290791</v>
      </c>
      <c r="P76" s="5"/>
      <c r="Q76" s="5">
        <f t="shared" si="17"/>
        <v>1</v>
      </c>
      <c r="R76" s="7">
        <f t="shared" si="18"/>
        <v>2476</v>
      </c>
      <c r="S76" s="5">
        <f t="shared" si="15"/>
        <v>1</v>
      </c>
      <c r="T76" s="7">
        <f t="shared" si="16"/>
        <v>2476</v>
      </c>
    </row>
    <row r="77" spans="1:20">
      <c r="A77" s="23" t="s">
        <v>78</v>
      </c>
      <c r="B77" s="35" t="s">
        <v>79</v>
      </c>
      <c r="C77" s="36">
        <v>16952</v>
      </c>
      <c r="D77" s="6"/>
      <c r="E77" s="113">
        <v>5098491586</v>
      </c>
      <c r="F77" s="116">
        <f t="shared" si="19"/>
        <v>300760.47581406322</v>
      </c>
      <c r="G77" s="117">
        <v>3568269513</v>
      </c>
      <c r="H77" s="117">
        <f t="shared" si="14"/>
        <v>210492.53852052856</v>
      </c>
      <c r="I77" s="7"/>
      <c r="J77" s="10">
        <v>2.1772</v>
      </c>
      <c r="K77" s="117">
        <v>7768836</v>
      </c>
      <c r="L77" s="120">
        <f t="shared" si="23"/>
        <v>458.28433223218497</v>
      </c>
      <c r="M77" s="122">
        <f t="shared" si="20"/>
        <v>35682695.130000003</v>
      </c>
      <c r="N77" s="116">
        <f t="shared" si="21"/>
        <v>27913859.130000003</v>
      </c>
      <c r="O77" s="123">
        <f t="shared" si="22"/>
        <v>1646.6410529731006</v>
      </c>
      <c r="P77" s="5"/>
      <c r="Q77" s="5">
        <f t="shared" si="17"/>
        <v>1</v>
      </c>
      <c r="R77" s="7">
        <f t="shared" si="18"/>
        <v>16952</v>
      </c>
      <c r="S77" s="5">
        <f t="shared" si="15"/>
        <v>1</v>
      </c>
      <c r="T77" s="7">
        <f t="shared" si="16"/>
        <v>16952</v>
      </c>
    </row>
    <row r="78" spans="1:20">
      <c r="A78" s="23" t="s">
        <v>80</v>
      </c>
      <c r="B78" s="35" t="s">
        <v>81</v>
      </c>
      <c r="C78" s="36">
        <v>3737</v>
      </c>
      <c r="D78" s="6"/>
      <c r="E78" s="113">
        <v>713775850</v>
      </c>
      <c r="F78" s="116">
        <f t="shared" si="19"/>
        <v>191002.36820979396</v>
      </c>
      <c r="G78" s="117">
        <v>512109754</v>
      </c>
      <c r="H78" s="117">
        <f t="shared" si="14"/>
        <v>137037.66497190259</v>
      </c>
      <c r="I78" s="7"/>
      <c r="J78" s="11">
        <v>5.6</v>
      </c>
      <c r="K78" s="117">
        <v>2867815</v>
      </c>
      <c r="L78" s="120">
        <f t="shared" si="23"/>
        <v>767.41102488627246</v>
      </c>
      <c r="M78" s="122">
        <f t="shared" si="20"/>
        <v>5121097.54</v>
      </c>
      <c r="N78" s="116">
        <f t="shared" si="21"/>
        <v>2253282.54</v>
      </c>
      <c r="O78" s="123">
        <f t="shared" si="22"/>
        <v>602.96562483275352</v>
      </c>
      <c r="P78" s="5"/>
      <c r="Q78" s="5">
        <f t="shared" si="17"/>
        <v>1</v>
      </c>
      <c r="R78" s="7">
        <f t="shared" si="18"/>
        <v>3737</v>
      </c>
      <c r="S78" s="5">
        <f t="shared" si="15"/>
        <v>1</v>
      </c>
      <c r="T78" s="7">
        <f t="shared" si="16"/>
        <v>3737</v>
      </c>
    </row>
    <row r="79" spans="1:20">
      <c r="A79" s="23" t="s">
        <v>82</v>
      </c>
      <c r="B79" s="35" t="s">
        <v>81</v>
      </c>
      <c r="C79" s="36">
        <v>7240</v>
      </c>
      <c r="D79" s="6"/>
      <c r="E79" s="113">
        <v>838365251</v>
      </c>
      <c r="F79" s="116">
        <f t="shared" si="19"/>
        <v>115796.30538674034</v>
      </c>
      <c r="G79" s="117">
        <v>468512513</v>
      </c>
      <c r="H79" s="117">
        <f t="shared" si="14"/>
        <v>64711.673066298339</v>
      </c>
      <c r="I79" s="7"/>
      <c r="J79" s="10">
        <v>4.875</v>
      </c>
      <c r="K79" s="117">
        <v>2283999</v>
      </c>
      <c r="L79" s="120">
        <f t="shared" si="23"/>
        <v>315.46947513812154</v>
      </c>
      <c r="M79" s="122">
        <f t="shared" si="20"/>
        <v>4685125.13</v>
      </c>
      <c r="N79" s="116">
        <f t="shared" si="21"/>
        <v>2401126.13</v>
      </c>
      <c r="O79" s="123">
        <f t="shared" si="22"/>
        <v>331.64725552486186</v>
      </c>
      <c r="P79" s="5"/>
      <c r="Q79" s="5">
        <f t="shared" si="17"/>
        <v>1</v>
      </c>
      <c r="R79" s="7">
        <f t="shared" si="18"/>
        <v>7240</v>
      </c>
      <c r="S79" s="5">
        <f t="shared" si="15"/>
        <v>1</v>
      </c>
      <c r="T79" s="7">
        <f t="shared" si="16"/>
        <v>7240</v>
      </c>
    </row>
    <row r="80" spans="1:20">
      <c r="A80" s="23" t="s">
        <v>83</v>
      </c>
      <c r="B80" s="35" t="s">
        <v>84</v>
      </c>
      <c r="C80" s="36">
        <v>6381</v>
      </c>
      <c r="D80" s="6"/>
      <c r="E80" s="113">
        <v>522931274</v>
      </c>
      <c r="F80" s="116">
        <f t="shared" si="19"/>
        <v>81951.304497727629</v>
      </c>
      <c r="G80" s="117">
        <v>362945359</v>
      </c>
      <c r="H80" s="117">
        <f t="shared" ref="H80:H93" si="24">(G80/C80)</f>
        <v>56879.072089014262</v>
      </c>
      <c r="I80" s="7"/>
      <c r="J80" s="10">
        <v>2.6</v>
      </c>
      <c r="K80" s="117">
        <v>943658</v>
      </c>
      <c r="L80" s="120">
        <f t="shared" si="23"/>
        <v>147.88559786867262</v>
      </c>
      <c r="M80" s="122">
        <f t="shared" si="20"/>
        <v>3629453.59</v>
      </c>
      <c r="N80" s="116">
        <f t="shared" si="21"/>
        <v>2685795.59</v>
      </c>
      <c r="O80" s="123">
        <f t="shared" si="22"/>
        <v>420.90512302146999</v>
      </c>
      <c r="P80" s="5"/>
      <c r="Q80" s="5">
        <f t="shared" si="17"/>
        <v>1</v>
      </c>
      <c r="R80" s="7">
        <f t="shared" si="18"/>
        <v>6381</v>
      </c>
      <c r="S80" s="5">
        <f t="shared" si="15"/>
        <v>1</v>
      </c>
      <c r="T80" s="7">
        <f t="shared" si="16"/>
        <v>6381</v>
      </c>
    </row>
    <row r="81" spans="1:20">
      <c r="A81" s="23" t="s">
        <v>85</v>
      </c>
      <c r="B81" s="35" t="s">
        <v>84</v>
      </c>
      <c r="C81" s="36">
        <v>1411</v>
      </c>
      <c r="D81" s="6"/>
      <c r="E81" s="113">
        <v>93145636</v>
      </c>
      <c r="F81" s="116">
        <f t="shared" si="19"/>
        <v>66013.916371367828</v>
      </c>
      <c r="G81" s="117">
        <v>57284896</v>
      </c>
      <c r="H81" s="117">
        <f t="shared" si="24"/>
        <v>40598.792345854003</v>
      </c>
      <c r="I81" s="7"/>
      <c r="J81" s="10">
        <v>2</v>
      </c>
      <c r="K81" s="117">
        <v>114570</v>
      </c>
      <c r="L81" s="120">
        <f t="shared" si="23"/>
        <v>81.19773210489015</v>
      </c>
      <c r="M81" s="122">
        <f t="shared" si="20"/>
        <v>572848.96</v>
      </c>
      <c r="N81" s="116">
        <f t="shared" si="21"/>
        <v>458278.95999999996</v>
      </c>
      <c r="O81" s="123">
        <f t="shared" si="22"/>
        <v>324.79019135364985</v>
      </c>
      <c r="P81" s="5"/>
      <c r="Q81" s="5">
        <f t="shared" si="17"/>
        <v>1</v>
      </c>
      <c r="R81" s="7">
        <f t="shared" si="18"/>
        <v>1411</v>
      </c>
      <c r="S81" s="5">
        <f t="shared" si="15"/>
        <v>1</v>
      </c>
      <c r="T81" s="7">
        <f t="shared" si="16"/>
        <v>1411</v>
      </c>
    </row>
    <row r="82" spans="1:20">
      <c r="A82" s="23" t="s">
        <v>86</v>
      </c>
      <c r="B82" s="35" t="s">
        <v>84</v>
      </c>
      <c r="C82" s="36">
        <v>9034</v>
      </c>
      <c r="D82" s="6"/>
      <c r="E82" s="113">
        <v>848399566</v>
      </c>
      <c r="F82" s="116">
        <f t="shared" si="19"/>
        <v>93911.840380783702</v>
      </c>
      <c r="G82" s="117">
        <v>520585720</v>
      </c>
      <c r="H82" s="117">
        <f t="shared" si="24"/>
        <v>57625.162718618551</v>
      </c>
      <c r="I82" s="9"/>
      <c r="J82" s="10">
        <v>5</v>
      </c>
      <c r="K82" s="117">
        <v>2602929</v>
      </c>
      <c r="L82" s="120">
        <f t="shared" si="23"/>
        <v>288.12585787026785</v>
      </c>
      <c r="M82" s="122">
        <f t="shared" si="20"/>
        <v>5205857.2</v>
      </c>
      <c r="N82" s="116">
        <f t="shared" si="21"/>
        <v>2602928.2000000002</v>
      </c>
      <c r="O82" s="123">
        <f t="shared" si="22"/>
        <v>288.12576931591764</v>
      </c>
      <c r="P82" s="5"/>
      <c r="Q82" s="5">
        <f t="shared" si="17"/>
        <v>1</v>
      </c>
      <c r="R82" s="7">
        <f t="shared" si="18"/>
        <v>9034</v>
      </c>
      <c r="S82" s="5">
        <f t="shared" si="15"/>
        <v>1</v>
      </c>
      <c r="T82" s="7">
        <f t="shared" si="16"/>
        <v>9034</v>
      </c>
    </row>
    <row r="83" spans="1:20">
      <c r="A83" s="23" t="s">
        <v>87</v>
      </c>
      <c r="B83" s="35" t="s">
        <v>84</v>
      </c>
      <c r="C83" s="36">
        <v>633</v>
      </c>
      <c r="D83" s="6"/>
      <c r="E83" s="113">
        <v>29173873</v>
      </c>
      <c r="F83" s="116">
        <f t="shared" si="19"/>
        <v>46088.26698262243</v>
      </c>
      <c r="G83" s="117">
        <v>10180017</v>
      </c>
      <c r="H83" s="117">
        <f t="shared" si="24"/>
        <v>16082.175355450237</v>
      </c>
      <c r="I83" s="9" t="s">
        <v>528</v>
      </c>
      <c r="J83" s="10"/>
      <c r="K83" s="117"/>
      <c r="L83" s="120"/>
      <c r="M83" s="122">
        <f t="shared" si="20"/>
        <v>101800.17</v>
      </c>
      <c r="N83" s="116">
        <f t="shared" si="21"/>
        <v>101800.17</v>
      </c>
      <c r="O83" s="123">
        <f t="shared" si="22"/>
        <v>160.82175355450238</v>
      </c>
      <c r="P83" s="5"/>
      <c r="Q83" s="5">
        <f t="shared" si="17"/>
        <v>1</v>
      </c>
      <c r="R83" s="7">
        <f t="shared" si="18"/>
        <v>633</v>
      </c>
      <c r="S83" s="5">
        <f t="shared" si="15"/>
        <v>0</v>
      </c>
      <c r="T83" s="7">
        <f t="shared" si="16"/>
        <v>0</v>
      </c>
    </row>
    <row r="84" spans="1:20">
      <c r="A84" s="23" t="s">
        <v>88</v>
      </c>
      <c r="B84" s="35" t="s">
        <v>89</v>
      </c>
      <c r="C84" s="36">
        <v>527</v>
      </c>
      <c r="D84" s="6"/>
      <c r="E84" s="113">
        <v>180392890</v>
      </c>
      <c r="F84" s="116">
        <f t="shared" si="19"/>
        <v>342301.4990512334</v>
      </c>
      <c r="G84" s="117">
        <v>128063057</v>
      </c>
      <c r="H84" s="117">
        <f t="shared" si="24"/>
        <v>243003.90322580645</v>
      </c>
      <c r="I84" s="7"/>
      <c r="J84" s="10">
        <v>2.0813999999999999</v>
      </c>
      <c r="K84" s="117">
        <v>266550</v>
      </c>
      <c r="L84" s="120">
        <f>(K84/C84)</f>
        <v>505.78747628083494</v>
      </c>
      <c r="M84" s="122">
        <f t="shared" si="20"/>
        <v>1280630.57</v>
      </c>
      <c r="N84" s="116">
        <f t="shared" si="21"/>
        <v>1014080.5700000001</v>
      </c>
      <c r="O84" s="123">
        <f t="shared" si="22"/>
        <v>1924.2515559772298</v>
      </c>
      <c r="P84" s="5"/>
      <c r="Q84" s="5">
        <f t="shared" si="17"/>
        <v>1</v>
      </c>
      <c r="R84" s="7">
        <f t="shared" si="18"/>
        <v>527</v>
      </c>
      <c r="S84" s="5">
        <f t="shared" si="15"/>
        <v>1</v>
      </c>
      <c r="T84" s="7">
        <f t="shared" si="16"/>
        <v>527</v>
      </c>
    </row>
    <row r="85" spans="1:20">
      <c r="A85" s="23" t="s">
        <v>90</v>
      </c>
      <c r="B85" s="35" t="s">
        <v>89</v>
      </c>
      <c r="C85" s="36">
        <v>15719</v>
      </c>
      <c r="D85" s="6"/>
      <c r="E85" s="113">
        <v>15002620990</v>
      </c>
      <c r="F85" s="116">
        <f t="shared" si="19"/>
        <v>954425.91704306891</v>
      </c>
      <c r="G85" s="117">
        <v>12026168600</v>
      </c>
      <c r="H85" s="117">
        <f t="shared" si="24"/>
        <v>765072.11654685414</v>
      </c>
      <c r="I85" s="7"/>
      <c r="J85" s="10">
        <v>1.2444999999999999</v>
      </c>
      <c r="K85" s="117">
        <v>14966567</v>
      </c>
      <c r="L85" s="120">
        <f>(K85/C85)</f>
        <v>952.13226032190346</v>
      </c>
      <c r="M85" s="122">
        <f t="shared" si="20"/>
        <v>120261686</v>
      </c>
      <c r="N85" s="116">
        <f t="shared" si="21"/>
        <v>105295119</v>
      </c>
      <c r="O85" s="123">
        <f t="shared" si="22"/>
        <v>6698.5889051466374</v>
      </c>
      <c r="P85" s="5"/>
      <c r="Q85" s="5">
        <f t="shared" si="17"/>
        <v>1</v>
      </c>
      <c r="R85" s="7">
        <f t="shared" si="18"/>
        <v>15719</v>
      </c>
      <c r="S85" s="5">
        <f t="shared" si="15"/>
        <v>1</v>
      </c>
      <c r="T85" s="7">
        <f t="shared" si="16"/>
        <v>15719</v>
      </c>
    </row>
    <row r="86" spans="1:20">
      <c r="A86" s="23" t="s">
        <v>91</v>
      </c>
      <c r="B86" s="35" t="s">
        <v>89</v>
      </c>
      <c r="C86" s="36">
        <v>22970</v>
      </c>
      <c r="D86" s="6"/>
      <c r="E86" s="113">
        <v>21802038544</v>
      </c>
      <c r="F86" s="116">
        <f t="shared" si="19"/>
        <v>949152.74462342181</v>
      </c>
      <c r="G86" s="117">
        <v>16534048798</v>
      </c>
      <c r="H86" s="117">
        <f t="shared" si="24"/>
        <v>719810.57022202876</v>
      </c>
      <c r="I86" s="9"/>
      <c r="J86" s="11">
        <v>1.2450000000000001</v>
      </c>
      <c r="K86" s="117">
        <v>20584891</v>
      </c>
      <c r="L86" s="120">
        <f>(K86/C86)</f>
        <v>896.16417065737915</v>
      </c>
      <c r="M86" s="122">
        <f t="shared" si="20"/>
        <v>165340487.97999999</v>
      </c>
      <c r="N86" s="116">
        <f t="shared" si="21"/>
        <v>144755596.97999999</v>
      </c>
      <c r="O86" s="123">
        <f t="shared" si="22"/>
        <v>6301.9415315629076</v>
      </c>
      <c r="P86" s="5"/>
      <c r="Q86" s="5">
        <f t="shared" si="17"/>
        <v>1</v>
      </c>
      <c r="R86" s="7">
        <f t="shared" si="18"/>
        <v>22970</v>
      </c>
      <c r="S86" s="5">
        <f t="shared" si="15"/>
        <v>1</v>
      </c>
      <c r="T86" s="7">
        <f t="shared" si="16"/>
        <v>22970</v>
      </c>
    </row>
    <row r="87" spans="1:20">
      <c r="A87" s="23" t="s">
        <v>92</v>
      </c>
      <c r="B87" s="35" t="s">
        <v>93</v>
      </c>
      <c r="C87" s="36">
        <v>463</v>
      </c>
      <c r="D87" s="6"/>
      <c r="E87" s="113">
        <v>34740342</v>
      </c>
      <c r="F87" s="116">
        <f t="shared" si="19"/>
        <v>75033.136069114465</v>
      </c>
      <c r="G87" s="117">
        <v>20131021</v>
      </c>
      <c r="H87" s="117">
        <f t="shared" si="24"/>
        <v>43479.52699784017</v>
      </c>
      <c r="I87" s="9" t="s">
        <v>528</v>
      </c>
      <c r="J87" s="10"/>
      <c r="K87" s="117"/>
      <c r="L87" s="120"/>
      <c r="M87" s="122">
        <f t="shared" si="20"/>
        <v>201310.21</v>
      </c>
      <c r="N87" s="116">
        <f t="shared" si="21"/>
        <v>201310.21</v>
      </c>
      <c r="O87" s="123">
        <f t="shared" si="22"/>
        <v>434.79526997840173</v>
      </c>
      <c r="P87" s="5"/>
      <c r="Q87" s="5">
        <f t="shared" si="17"/>
        <v>1</v>
      </c>
      <c r="R87" s="7">
        <f t="shared" si="18"/>
        <v>463</v>
      </c>
      <c r="S87" s="5">
        <f t="shared" si="15"/>
        <v>0</v>
      </c>
      <c r="T87" s="7">
        <f t="shared" si="16"/>
        <v>0</v>
      </c>
    </row>
    <row r="88" spans="1:20">
      <c r="A88" s="23" t="s">
        <v>94</v>
      </c>
      <c r="B88" s="35" t="s">
        <v>93</v>
      </c>
      <c r="C88" s="36">
        <v>10919</v>
      </c>
      <c r="D88" s="6"/>
      <c r="E88" s="113">
        <v>935909706</v>
      </c>
      <c r="F88" s="116">
        <f t="shared" si="19"/>
        <v>85713.86628812163</v>
      </c>
      <c r="G88" s="117">
        <v>599600739</v>
      </c>
      <c r="H88" s="117">
        <f t="shared" si="24"/>
        <v>54913.521293158716</v>
      </c>
      <c r="I88" s="7"/>
      <c r="J88" s="10">
        <v>3.5550000000000002</v>
      </c>
      <c r="K88" s="117">
        <v>2131581</v>
      </c>
      <c r="L88" s="120">
        <f t="shared" ref="L88:L93" si="25">(K88/C88)</f>
        <v>195.21760234453706</v>
      </c>
      <c r="M88" s="122">
        <f t="shared" si="20"/>
        <v>5996007.3899999997</v>
      </c>
      <c r="N88" s="116">
        <f t="shared" si="21"/>
        <v>3864426.3899999997</v>
      </c>
      <c r="O88" s="123">
        <f t="shared" si="22"/>
        <v>353.91761058705009</v>
      </c>
      <c r="P88" s="5"/>
      <c r="Q88" s="5">
        <f t="shared" si="17"/>
        <v>1</v>
      </c>
      <c r="R88" s="7">
        <f t="shared" si="18"/>
        <v>10919</v>
      </c>
      <c r="S88" s="5">
        <f t="shared" si="15"/>
        <v>1</v>
      </c>
      <c r="T88" s="7">
        <f t="shared" si="16"/>
        <v>10919</v>
      </c>
    </row>
    <row r="89" spans="1:20">
      <c r="A89" s="23" t="s">
        <v>95</v>
      </c>
      <c r="B89" s="35" t="s">
        <v>468</v>
      </c>
      <c r="C89" s="36">
        <v>6755</v>
      </c>
      <c r="D89" s="6"/>
      <c r="E89" s="113">
        <v>427509653</v>
      </c>
      <c r="F89" s="116">
        <f t="shared" si="19"/>
        <v>63287.883493708367</v>
      </c>
      <c r="G89" s="117">
        <v>221969512</v>
      </c>
      <c r="H89" s="117">
        <f t="shared" si="24"/>
        <v>32860.031384159884</v>
      </c>
      <c r="I89" s="8"/>
      <c r="J89" s="10">
        <v>7.9180000000000001</v>
      </c>
      <c r="K89" s="117">
        <v>1757555</v>
      </c>
      <c r="L89" s="120">
        <f t="shared" si="25"/>
        <v>260.18578830495932</v>
      </c>
      <c r="M89" s="122">
        <f t="shared" si="20"/>
        <v>2219695.12</v>
      </c>
      <c r="N89" s="116">
        <f t="shared" si="21"/>
        <v>462140.12000000011</v>
      </c>
      <c r="O89" s="123">
        <f t="shared" si="22"/>
        <v>68.414525536639545</v>
      </c>
      <c r="P89" s="5"/>
      <c r="Q89" s="5">
        <f t="shared" si="17"/>
        <v>1</v>
      </c>
      <c r="R89" s="7">
        <f t="shared" si="18"/>
        <v>6755</v>
      </c>
      <c r="S89" s="5">
        <f t="shared" si="15"/>
        <v>1</v>
      </c>
      <c r="T89" s="7">
        <f t="shared" si="16"/>
        <v>6755</v>
      </c>
    </row>
    <row r="90" spans="1:20">
      <c r="A90" s="23" t="s">
        <v>96</v>
      </c>
      <c r="B90" s="35" t="s">
        <v>97</v>
      </c>
      <c r="C90" s="36">
        <v>1768</v>
      </c>
      <c r="D90" s="6"/>
      <c r="E90" s="113">
        <v>69680688</v>
      </c>
      <c r="F90" s="116">
        <f t="shared" si="19"/>
        <v>39412.153846153844</v>
      </c>
      <c r="G90" s="117">
        <v>29362136</v>
      </c>
      <c r="H90" s="117">
        <f t="shared" si="24"/>
        <v>16607.542986425338</v>
      </c>
      <c r="I90" s="8"/>
      <c r="J90" s="10">
        <v>6.5</v>
      </c>
      <c r="K90" s="117">
        <v>190854</v>
      </c>
      <c r="L90" s="120">
        <f t="shared" si="25"/>
        <v>107.94909502262443</v>
      </c>
      <c r="M90" s="122">
        <f t="shared" si="20"/>
        <v>293621.36</v>
      </c>
      <c r="N90" s="116">
        <f t="shared" si="21"/>
        <v>102767.35999999999</v>
      </c>
      <c r="O90" s="123">
        <f t="shared" si="22"/>
        <v>58.126334841628953</v>
      </c>
      <c r="P90" s="5"/>
      <c r="Q90" s="5">
        <f t="shared" si="17"/>
        <v>1</v>
      </c>
      <c r="R90" s="7">
        <f t="shared" si="18"/>
        <v>1768</v>
      </c>
      <c r="S90" s="5">
        <f t="shared" si="15"/>
        <v>1</v>
      </c>
      <c r="T90" s="7">
        <f t="shared" si="16"/>
        <v>1768</v>
      </c>
    </row>
    <row r="91" spans="1:20">
      <c r="A91" s="23" t="s">
        <v>98</v>
      </c>
      <c r="B91" s="35" t="s">
        <v>97</v>
      </c>
      <c r="C91" s="36">
        <v>274</v>
      </c>
      <c r="D91" s="6"/>
      <c r="E91" s="113">
        <v>79252834</v>
      </c>
      <c r="F91" s="116">
        <f t="shared" si="19"/>
        <v>289243.91970802919</v>
      </c>
      <c r="G91" s="117">
        <v>64022769</v>
      </c>
      <c r="H91" s="117">
        <f t="shared" si="24"/>
        <v>233659.74087591242</v>
      </c>
      <c r="I91" s="9"/>
      <c r="J91" s="11">
        <v>3</v>
      </c>
      <c r="K91" s="117">
        <v>192068</v>
      </c>
      <c r="L91" s="120">
        <f t="shared" si="25"/>
        <v>700.978102189781</v>
      </c>
      <c r="M91" s="122">
        <f t="shared" si="20"/>
        <v>640227.69000000006</v>
      </c>
      <c r="N91" s="116">
        <f t="shared" si="21"/>
        <v>448159.69000000006</v>
      </c>
      <c r="O91" s="123">
        <f t="shared" si="22"/>
        <v>1635.6193065693433</v>
      </c>
      <c r="P91" s="5"/>
      <c r="Q91" s="5">
        <f t="shared" si="17"/>
        <v>1</v>
      </c>
      <c r="R91" s="7">
        <f t="shared" si="18"/>
        <v>274</v>
      </c>
      <c r="S91" s="5">
        <f t="shared" si="15"/>
        <v>1</v>
      </c>
      <c r="T91" s="7">
        <f t="shared" si="16"/>
        <v>274</v>
      </c>
    </row>
    <row r="92" spans="1:20">
      <c r="A92" s="23" t="s">
        <v>99</v>
      </c>
      <c r="B92" s="35" t="s">
        <v>100</v>
      </c>
      <c r="C92" s="36">
        <v>14015</v>
      </c>
      <c r="D92" s="6"/>
      <c r="E92" s="113">
        <v>2183341496</v>
      </c>
      <c r="F92" s="116">
        <f t="shared" si="19"/>
        <v>155786.05037459865</v>
      </c>
      <c r="G92" s="117">
        <v>1348767794</v>
      </c>
      <c r="H92" s="117">
        <f t="shared" si="24"/>
        <v>96237.445165893689</v>
      </c>
      <c r="I92" s="9"/>
      <c r="J92" s="10">
        <v>2.9973999999999998</v>
      </c>
      <c r="K92" s="117">
        <v>4042797</v>
      </c>
      <c r="L92" s="120">
        <f t="shared" si="25"/>
        <v>288.46214769889406</v>
      </c>
      <c r="M92" s="122">
        <f t="shared" si="20"/>
        <v>13487677.939999999</v>
      </c>
      <c r="N92" s="116">
        <f t="shared" si="21"/>
        <v>9444880.9399999995</v>
      </c>
      <c r="O92" s="123">
        <f t="shared" si="22"/>
        <v>673.91230396004278</v>
      </c>
      <c r="P92" s="5"/>
      <c r="Q92" s="5">
        <f t="shared" si="17"/>
        <v>1</v>
      </c>
      <c r="R92" s="7">
        <f t="shared" si="18"/>
        <v>14015</v>
      </c>
      <c r="S92" s="5">
        <f t="shared" si="15"/>
        <v>1</v>
      </c>
      <c r="T92" s="7">
        <f t="shared" si="16"/>
        <v>14015</v>
      </c>
    </row>
    <row r="93" spans="1:20">
      <c r="A93" s="23" t="s">
        <v>101</v>
      </c>
      <c r="B93" s="35" t="s">
        <v>100</v>
      </c>
      <c r="C93" s="36">
        <v>1604</v>
      </c>
      <c r="D93" s="6"/>
      <c r="E93" s="113">
        <v>72389910</v>
      </c>
      <c r="F93" s="116">
        <f t="shared" si="19"/>
        <v>45130.866583541145</v>
      </c>
      <c r="G93" s="117">
        <v>41405771</v>
      </c>
      <c r="H93" s="117">
        <f t="shared" si="24"/>
        <v>25814.071695760598</v>
      </c>
      <c r="I93" s="9"/>
      <c r="J93" s="10">
        <v>3</v>
      </c>
      <c r="K93" s="117">
        <v>124217</v>
      </c>
      <c r="L93" s="120">
        <f t="shared" si="25"/>
        <v>77.442019950124688</v>
      </c>
      <c r="M93" s="122">
        <f t="shared" si="20"/>
        <v>414057.71</v>
      </c>
      <c r="N93" s="116">
        <f t="shared" si="21"/>
        <v>289840.71000000002</v>
      </c>
      <c r="O93" s="123">
        <f t="shared" si="22"/>
        <v>180.69869700748131</v>
      </c>
      <c r="P93" s="5"/>
      <c r="Q93" s="5">
        <f t="shared" si="17"/>
        <v>1</v>
      </c>
      <c r="R93" s="7">
        <f t="shared" si="18"/>
        <v>1604</v>
      </c>
      <c r="S93" s="5">
        <f t="shared" si="15"/>
        <v>1</v>
      </c>
      <c r="T93" s="7">
        <f t="shared" si="16"/>
        <v>1604</v>
      </c>
    </row>
    <row r="94" spans="1:20">
      <c r="A94" s="23" t="s">
        <v>102</v>
      </c>
      <c r="B94" s="35" t="s">
        <v>100</v>
      </c>
      <c r="C94" s="36">
        <v>834789</v>
      </c>
      <c r="D94" s="36" t="s">
        <v>525</v>
      </c>
      <c r="E94" s="116"/>
      <c r="F94" s="116"/>
      <c r="G94" s="117"/>
      <c r="H94" s="117"/>
      <c r="I94" s="9"/>
      <c r="J94" s="10"/>
      <c r="K94" s="117"/>
      <c r="L94" s="120"/>
      <c r="M94" s="122">
        <f t="shared" si="20"/>
        <v>0</v>
      </c>
      <c r="N94" s="116">
        <f t="shared" si="21"/>
        <v>0</v>
      </c>
      <c r="O94" s="123">
        <f t="shared" si="22"/>
        <v>0</v>
      </c>
      <c r="P94" s="5"/>
      <c r="Q94" s="5">
        <f t="shared" si="17"/>
        <v>0</v>
      </c>
      <c r="R94" s="7">
        <f t="shared" si="18"/>
        <v>0</v>
      </c>
      <c r="S94" s="5">
        <f t="shared" si="15"/>
        <v>0</v>
      </c>
      <c r="T94" s="7">
        <f t="shared" si="16"/>
        <v>0</v>
      </c>
    </row>
    <row r="95" spans="1:20">
      <c r="A95" s="23" t="s">
        <v>103</v>
      </c>
      <c r="B95" s="35" t="s">
        <v>100</v>
      </c>
      <c r="C95" s="36">
        <v>21544</v>
      </c>
      <c r="D95" s="6"/>
      <c r="E95" s="113">
        <v>3845718392</v>
      </c>
      <c r="F95" s="116">
        <f t="shared" ref="F95:F115" si="26">(E95/C95)</f>
        <v>178505.30969179355</v>
      </c>
      <c r="G95" s="117">
        <v>2696997560</v>
      </c>
      <c r="H95" s="117">
        <f t="shared" ref="H95:H115" si="27">(G95/C95)</f>
        <v>125185.55328629781</v>
      </c>
      <c r="I95" s="9"/>
      <c r="J95" s="10">
        <v>3.9070999999999998</v>
      </c>
      <c r="K95" s="117">
        <v>10537439</v>
      </c>
      <c r="L95" s="120">
        <f t="shared" ref="L95:L115" si="28">(K95/C95)</f>
        <v>489.112467508355</v>
      </c>
      <c r="M95" s="122">
        <f t="shared" si="20"/>
        <v>26969975.600000001</v>
      </c>
      <c r="N95" s="116">
        <f t="shared" si="21"/>
        <v>16432536.600000001</v>
      </c>
      <c r="O95" s="123">
        <f t="shared" si="22"/>
        <v>762.74306535462313</v>
      </c>
      <c r="P95" s="5"/>
      <c r="Q95" s="5">
        <f t="shared" si="17"/>
        <v>1</v>
      </c>
      <c r="R95" s="7">
        <f t="shared" si="18"/>
        <v>21544</v>
      </c>
      <c r="S95" s="5">
        <f t="shared" si="15"/>
        <v>1</v>
      </c>
      <c r="T95" s="7">
        <f t="shared" si="16"/>
        <v>21544</v>
      </c>
    </row>
    <row r="96" spans="1:20">
      <c r="A96" s="23" t="s">
        <v>104</v>
      </c>
      <c r="B96" s="35" t="s">
        <v>100</v>
      </c>
      <c r="C96" s="36">
        <v>7283</v>
      </c>
      <c r="D96" s="6"/>
      <c r="E96" s="113">
        <v>1066743375</v>
      </c>
      <c r="F96" s="116">
        <f t="shared" si="26"/>
        <v>146470.32472882053</v>
      </c>
      <c r="G96" s="117">
        <v>694404548</v>
      </c>
      <c r="H96" s="117">
        <f t="shared" si="27"/>
        <v>95345.949196759582</v>
      </c>
      <c r="I96" s="7"/>
      <c r="J96" s="10">
        <v>2.9</v>
      </c>
      <c r="K96" s="117">
        <v>2013773</v>
      </c>
      <c r="L96" s="120">
        <f t="shared" si="28"/>
        <v>276.50322669229712</v>
      </c>
      <c r="M96" s="122">
        <f t="shared" si="20"/>
        <v>6944045.4800000004</v>
      </c>
      <c r="N96" s="116">
        <f t="shared" si="21"/>
        <v>4930272.4800000004</v>
      </c>
      <c r="O96" s="123">
        <f t="shared" si="22"/>
        <v>676.95626527529873</v>
      </c>
      <c r="P96" s="5"/>
      <c r="Q96" s="5">
        <f t="shared" si="17"/>
        <v>1</v>
      </c>
      <c r="R96" s="7">
        <f t="shared" si="18"/>
        <v>7283</v>
      </c>
      <c r="S96" s="5">
        <f t="shared" si="15"/>
        <v>1</v>
      </c>
      <c r="T96" s="7">
        <f t="shared" si="16"/>
        <v>7283</v>
      </c>
    </row>
    <row r="97" spans="1:20">
      <c r="A97" s="23" t="s">
        <v>105</v>
      </c>
      <c r="B97" s="35" t="s">
        <v>106</v>
      </c>
      <c r="C97" s="36">
        <v>1755</v>
      </c>
      <c r="D97" s="6"/>
      <c r="E97" s="113">
        <v>61066420</v>
      </c>
      <c r="F97" s="116">
        <f t="shared" si="26"/>
        <v>34795.680911680909</v>
      </c>
      <c r="G97" s="117">
        <v>34439331</v>
      </c>
      <c r="H97" s="117">
        <f t="shared" si="27"/>
        <v>19623.550427350427</v>
      </c>
      <c r="I97" s="7"/>
      <c r="J97" s="10">
        <v>0.76400000000000001</v>
      </c>
      <c r="K97" s="117">
        <v>26312</v>
      </c>
      <c r="L97" s="120">
        <f t="shared" si="28"/>
        <v>14.992592592592592</v>
      </c>
      <c r="M97" s="122">
        <f t="shared" si="20"/>
        <v>344393.31</v>
      </c>
      <c r="N97" s="116">
        <f t="shared" si="21"/>
        <v>318081.31</v>
      </c>
      <c r="O97" s="123">
        <f t="shared" si="22"/>
        <v>181.24291168091167</v>
      </c>
      <c r="P97" s="5"/>
      <c r="Q97" s="5">
        <f t="shared" si="17"/>
        <v>1</v>
      </c>
      <c r="R97" s="7">
        <f t="shared" si="18"/>
        <v>1755</v>
      </c>
      <c r="S97" s="5">
        <f t="shared" si="15"/>
        <v>1</v>
      </c>
      <c r="T97" s="7">
        <f t="shared" si="16"/>
        <v>1755</v>
      </c>
    </row>
    <row r="98" spans="1:20">
      <c r="A98" s="23" t="s">
        <v>107</v>
      </c>
      <c r="B98" s="35" t="s">
        <v>106</v>
      </c>
      <c r="C98" s="36">
        <v>55033</v>
      </c>
      <c r="D98" s="6"/>
      <c r="E98" s="113">
        <v>5252908549</v>
      </c>
      <c r="F98" s="116">
        <f t="shared" si="26"/>
        <v>95450.158068795092</v>
      </c>
      <c r="G98" s="117">
        <v>3239747252</v>
      </c>
      <c r="H98" s="117">
        <f t="shared" si="27"/>
        <v>58869.173986517184</v>
      </c>
      <c r="I98" s="7"/>
      <c r="J98" s="10">
        <v>4.95</v>
      </c>
      <c r="K98" s="117">
        <v>16039749</v>
      </c>
      <c r="L98" s="120">
        <f t="shared" si="28"/>
        <v>291.4569258444933</v>
      </c>
      <c r="M98" s="122">
        <f t="shared" si="20"/>
        <v>32397472.52</v>
      </c>
      <c r="N98" s="116">
        <f t="shared" si="21"/>
        <v>16357723.52</v>
      </c>
      <c r="O98" s="123">
        <f t="shared" si="22"/>
        <v>297.23481402067847</v>
      </c>
      <c r="P98" s="5"/>
      <c r="Q98" s="5">
        <f t="shared" si="17"/>
        <v>1</v>
      </c>
      <c r="R98" s="7">
        <f t="shared" si="18"/>
        <v>55033</v>
      </c>
      <c r="S98" s="5">
        <f t="shared" si="15"/>
        <v>1</v>
      </c>
      <c r="T98" s="7">
        <f t="shared" si="16"/>
        <v>55033</v>
      </c>
    </row>
    <row r="99" spans="1:20">
      <c r="A99" s="23" t="s">
        <v>108</v>
      </c>
      <c r="B99" s="35" t="s">
        <v>109</v>
      </c>
      <c r="C99" s="36">
        <v>513</v>
      </c>
      <c r="D99" s="6"/>
      <c r="E99" s="113">
        <v>98019113</v>
      </c>
      <c r="F99" s="116">
        <f t="shared" si="26"/>
        <v>191070.39571150098</v>
      </c>
      <c r="G99" s="117">
        <v>80445999</v>
      </c>
      <c r="H99" s="117">
        <f t="shared" si="27"/>
        <v>156814.81286549708</v>
      </c>
      <c r="I99" s="7"/>
      <c r="J99" s="10">
        <v>2.3197999999999999</v>
      </c>
      <c r="K99" s="117">
        <v>186619</v>
      </c>
      <c r="L99" s="120">
        <f t="shared" si="28"/>
        <v>363.77972709551659</v>
      </c>
      <c r="M99" s="122">
        <f t="shared" si="20"/>
        <v>804459.99</v>
      </c>
      <c r="N99" s="116">
        <f t="shared" si="21"/>
        <v>617840.99</v>
      </c>
      <c r="O99" s="123">
        <f t="shared" si="22"/>
        <v>1204.3684015594542</v>
      </c>
      <c r="P99" s="5"/>
      <c r="Q99" s="5">
        <f t="shared" si="17"/>
        <v>1</v>
      </c>
      <c r="R99" s="7">
        <f t="shared" si="18"/>
        <v>513</v>
      </c>
      <c r="S99" s="5">
        <f t="shared" si="15"/>
        <v>1</v>
      </c>
      <c r="T99" s="7">
        <f t="shared" si="16"/>
        <v>513</v>
      </c>
    </row>
    <row r="100" spans="1:20">
      <c r="A100" s="23" t="s">
        <v>110</v>
      </c>
      <c r="B100" s="35" t="s">
        <v>109</v>
      </c>
      <c r="C100" s="36">
        <v>2513</v>
      </c>
      <c r="D100" s="6"/>
      <c r="E100" s="113">
        <v>310078331</v>
      </c>
      <c r="F100" s="116">
        <f t="shared" si="26"/>
        <v>123389.70592916833</v>
      </c>
      <c r="G100" s="117">
        <v>194574038</v>
      </c>
      <c r="H100" s="117">
        <f t="shared" si="27"/>
        <v>77426.994826900118</v>
      </c>
      <c r="I100" s="7"/>
      <c r="J100" s="10">
        <v>5.9</v>
      </c>
      <c r="K100" s="117">
        <v>1147987</v>
      </c>
      <c r="L100" s="120">
        <f t="shared" si="28"/>
        <v>456.81933943493834</v>
      </c>
      <c r="M100" s="122">
        <f t="shared" si="20"/>
        <v>1945740.3800000001</v>
      </c>
      <c r="N100" s="116">
        <f t="shared" si="21"/>
        <v>797753.38000000012</v>
      </c>
      <c r="O100" s="123">
        <f t="shared" si="22"/>
        <v>317.4506088340629</v>
      </c>
      <c r="P100" s="5"/>
      <c r="Q100" s="5">
        <f t="shared" si="17"/>
        <v>1</v>
      </c>
      <c r="R100" s="7">
        <f t="shared" si="18"/>
        <v>2513</v>
      </c>
      <c r="S100" s="5">
        <f t="shared" si="15"/>
        <v>1</v>
      </c>
      <c r="T100" s="7">
        <f t="shared" si="16"/>
        <v>2513</v>
      </c>
    </row>
    <row r="101" spans="1:20">
      <c r="A101" s="23" t="s">
        <v>447</v>
      </c>
      <c r="B101" s="35" t="s">
        <v>109</v>
      </c>
      <c r="C101" s="36">
        <v>67832</v>
      </c>
      <c r="D101" s="6"/>
      <c r="E101" s="113">
        <v>8288439461</v>
      </c>
      <c r="F101" s="116">
        <f t="shared" si="26"/>
        <v>122190.69850513032</v>
      </c>
      <c r="G101" s="117">
        <v>6239994489</v>
      </c>
      <c r="H101" s="117">
        <f t="shared" si="27"/>
        <v>91991.898941502543</v>
      </c>
      <c r="I101" s="9"/>
      <c r="J101" s="10">
        <v>3.25</v>
      </c>
      <c r="K101" s="117">
        <v>20279982</v>
      </c>
      <c r="L101" s="120">
        <f t="shared" si="28"/>
        <v>298.97367024413256</v>
      </c>
      <c r="M101" s="122">
        <f t="shared" si="20"/>
        <v>62399944.890000001</v>
      </c>
      <c r="N101" s="116">
        <f t="shared" si="21"/>
        <v>42119962.890000001</v>
      </c>
      <c r="O101" s="123">
        <f t="shared" si="22"/>
        <v>620.94531917089284</v>
      </c>
      <c r="P101" s="5"/>
      <c r="Q101" s="5">
        <f t="shared" si="17"/>
        <v>1</v>
      </c>
      <c r="R101" s="7">
        <f t="shared" si="18"/>
        <v>67832</v>
      </c>
      <c r="S101" s="5">
        <f t="shared" si="15"/>
        <v>1</v>
      </c>
      <c r="T101" s="7">
        <f t="shared" si="16"/>
        <v>67832</v>
      </c>
    </row>
    <row r="102" spans="1:20">
      <c r="A102" s="23" t="s">
        <v>111</v>
      </c>
      <c r="B102" s="35" t="s">
        <v>557</v>
      </c>
      <c r="C102" s="36">
        <v>10</v>
      </c>
      <c r="D102" s="6"/>
      <c r="E102" s="113">
        <v>51951508</v>
      </c>
      <c r="F102" s="116">
        <f t="shared" si="26"/>
        <v>5195150.8</v>
      </c>
      <c r="G102" s="117">
        <v>19431422</v>
      </c>
      <c r="H102" s="117">
        <f t="shared" si="27"/>
        <v>1943142.2</v>
      </c>
      <c r="I102" s="7"/>
      <c r="J102" s="10">
        <v>1.766</v>
      </c>
      <c r="K102" s="117">
        <v>34316</v>
      </c>
      <c r="L102" s="120">
        <f t="shared" si="28"/>
        <v>3431.6</v>
      </c>
      <c r="M102" s="122">
        <f t="shared" si="20"/>
        <v>194314.22</v>
      </c>
      <c r="N102" s="116">
        <f t="shared" si="21"/>
        <v>159998.22</v>
      </c>
      <c r="O102" s="123">
        <f t="shared" si="22"/>
        <v>15999.822</v>
      </c>
      <c r="P102" s="5"/>
      <c r="Q102" s="5">
        <f t="shared" si="17"/>
        <v>1</v>
      </c>
      <c r="R102" s="7">
        <f t="shared" si="18"/>
        <v>10</v>
      </c>
      <c r="S102" s="5">
        <f t="shared" si="15"/>
        <v>1</v>
      </c>
      <c r="T102" s="7">
        <f t="shared" si="16"/>
        <v>10</v>
      </c>
    </row>
    <row r="103" spans="1:20">
      <c r="A103" s="23" t="s">
        <v>112</v>
      </c>
      <c r="B103" s="35" t="s">
        <v>113</v>
      </c>
      <c r="C103" s="36">
        <v>5533</v>
      </c>
      <c r="D103" s="6"/>
      <c r="E103" s="113">
        <v>1296626719</v>
      </c>
      <c r="F103" s="116">
        <f t="shared" si="26"/>
        <v>234344.24706307609</v>
      </c>
      <c r="G103" s="117">
        <v>930006077</v>
      </c>
      <c r="H103" s="117">
        <f t="shared" si="27"/>
        <v>168083.51292246522</v>
      </c>
      <c r="I103" s="7"/>
      <c r="J103" s="10">
        <v>3</v>
      </c>
      <c r="K103" s="117">
        <v>2790018</v>
      </c>
      <c r="L103" s="120">
        <f t="shared" si="28"/>
        <v>504.25049701789266</v>
      </c>
      <c r="M103" s="122">
        <f t="shared" si="20"/>
        <v>9300060.7699999996</v>
      </c>
      <c r="N103" s="116">
        <f t="shared" si="21"/>
        <v>6510042.7699999996</v>
      </c>
      <c r="O103" s="123">
        <f t="shared" si="22"/>
        <v>1176.5846322067594</v>
      </c>
      <c r="P103" s="5"/>
      <c r="Q103" s="5">
        <f t="shared" si="17"/>
        <v>1</v>
      </c>
      <c r="R103" s="7">
        <f t="shared" si="18"/>
        <v>5533</v>
      </c>
      <c r="S103" s="5">
        <f t="shared" si="15"/>
        <v>1</v>
      </c>
      <c r="T103" s="7">
        <f t="shared" si="16"/>
        <v>5533</v>
      </c>
    </row>
    <row r="104" spans="1:20">
      <c r="A104" s="23" t="s">
        <v>114</v>
      </c>
      <c r="B104" s="35" t="s">
        <v>115</v>
      </c>
      <c r="C104" s="36">
        <v>2507</v>
      </c>
      <c r="D104" s="6"/>
      <c r="E104" s="113">
        <v>413170976</v>
      </c>
      <c r="F104" s="116">
        <f t="shared" si="26"/>
        <v>164806.93099321899</v>
      </c>
      <c r="G104" s="117">
        <v>233809613</v>
      </c>
      <c r="H104" s="117">
        <f t="shared" si="27"/>
        <v>93262.709613083367</v>
      </c>
      <c r="I104" s="7"/>
      <c r="J104" s="11">
        <v>6.25</v>
      </c>
      <c r="K104" s="117">
        <v>1461310</v>
      </c>
      <c r="L104" s="120">
        <f t="shared" si="28"/>
        <v>582.89190267251695</v>
      </c>
      <c r="M104" s="122">
        <f t="shared" si="20"/>
        <v>2338096.13</v>
      </c>
      <c r="N104" s="116">
        <f t="shared" si="21"/>
        <v>876786.12999999989</v>
      </c>
      <c r="O104" s="123">
        <f t="shared" si="22"/>
        <v>349.73519345831664</v>
      </c>
      <c r="P104" s="5"/>
      <c r="Q104" s="5">
        <f t="shared" si="17"/>
        <v>1</v>
      </c>
      <c r="R104" s="7">
        <f t="shared" si="18"/>
        <v>2507</v>
      </c>
      <c r="S104" s="5">
        <f t="shared" si="15"/>
        <v>1</v>
      </c>
      <c r="T104" s="7">
        <f t="shared" si="16"/>
        <v>2507</v>
      </c>
    </row>
    <row r="105" spans="1:20">
      <c r="A105" s="23" t="s">
        <v>116</v>
      </c>
      <c r="B105" s="35" t="s">
        <v>115</v>
      </c>
      <c r="C105" s="36">
        <v>1282</v>
      </c>
      <c r="D105" s="6"/>
      <c r="E105" s="113">
        <v>352665476</v>
      </c>
      <c r="F105" s="116">
        <f t="shared" si="26"/>
        <v>275090.07488299534</v>
      </c>
      <c r="G105" s="117">
        <v>275561323</v>
      </c>
      <c r="H105" s="117">
        <f t="shared" si="27"/>
        <v>214946.4297971919</v>
      </c>
      <c r="I105" s="7"/>
      <c r="J105" s="10">
        <v>5</v>
      </c>
      <c r="K105" s="117">
        <v>1377807</v>
      </c>
      <c r="L105" s="120">
        <f t="shared" si="28"/>
        <v>1074.7324492979719</v>
      </c>
      <c r="M105" s="122">
        <f t="shared" si="20"/>
        <v>2755613.23</v>
      </c>
      <c r="N105" s="116">
        <f t="shared" si="21"/>
        <v>1377806.23</v>
      </c>
      <c r="O105" s="123">
        <f t="shared" si="22"/>
        <v>1074.7318486739468</v>
      </c>
      <c r="P105" s="5"/>
      <c r="Q105" s="5">
        <f t="shared" si="17"/>
        <v>1</v>
      </c>
      <c r="R105" s="7">
        <f t="shared" si="18"/>
        <v>1282</v>
      </c>
      <c r="S105" s="5">
        <f t="shared" si="15"/>
        <v>1</v>
      </c>
      <c r="T105" s="7">
        <f t="shared" si="16"/>
        <v>1282</v>
      </c>
    </row>
    <row r="106" spans="1:20">
      <c r="A106" s="23" t="s">
        <v>117</v>
      </c>
      <c r="B106" s="35" t="s">
        <v>118</v>
      </c>
      <c r="C106" s="36">
        <v>3833</v>
      </c>
      <c r="D106" s="6"/>
      <c r="E106" s="113">
        <v>232746421</v>
      </c>
      <c r="F106" s="116">
        <f t="shared" si="26"/>
        <v>60721.737803287244</v>
      </c>
      <c r="G106" s="117">
        <v>35770795</v>
      </c>
      <c r="H106" s="117">
        <f t="shared" si="27"/>
        <v>9332.3232454996087</v>
      </c>
      <c r="I106" s="7"/>
      <c r="J106" s="10">
        <v>0.80230000000000001</v>
      </c>
      <c r="K106" s="117">
        <v>28699</v>
      </c>
      <c r="L106" s="120">
        <f t="shared" si="28"/>
        <v>7.4873467258022437</v>
      </c>
      <c r="M106" s="122">
        <f t="shared" si="20"/>
        <v>357707.95</v>
      </c>
      <c r="N106" s="116">
        <f t="shared" si="21"/>
        <v>329008.95</v>
      </c>
      <c r="O106" s="123">
        <f t="shared" si="22"/>
        <v>85.835885729193848</v>
      </c>
      <c r="P106" s="5"/>
      <c r="Q106" s="5">
        <f t="shared" si="17"/>
        <v>1</v>
      </c>
      <c r="R106" s="7">
        <f t="shared" si="18"/>
        <v>3833</v>
      </c>
      <c r="S106" s="5">
        <f t="shared" si="15"/>
        <v>1</v>
      </c>
      <c r="T106" s="7">
        <f t="shared" si="16"/>
        <v>3833</v>
      </c>
    </row>
    <row r="107" spans="1:20">
      <c r="A107" s="23" t="s">
        <v>119</v>
      </c>
      <c r="B107" s="35" t="s">
        <v>118</v>
      </c>
      <c r="C107" s="36">
        <v>652</v>
      </c>
      <c r="D107" s="6"/>
      <c r="E107" s="113">
        <v>17457318</v>
      </c>
      <c r="F107" s="116">
        <f t="shared" si="26"/>
        <v>26775.027607361964</v>
      </c>
      <c r="G107" s="117">
        <v>8794826</v>
      </c>
      <c r="H107" s="117">
        <f t="shared" si="27"/>
        <v>13488.996932515338</v>
      </c>
      <c r="I107" s="7"/>
      <c r="J107" s="10">
        <v>3</v>
      </c>
      <c r="K107" s="117">
        <v>26384</v>
      </c>
      <c r="L107" s="120">
        <f t="shared" si="28"/>
        <v>40.466257668711656</v>
      </c>
      <c r="M107" s="122">
        <f t="shared" si="20"/>
        <v>87948.26</v>
      </c>
      <c r="N107" s="116">
        <f t="shared" si="21"/>
        <v>61564.259999999995</v>
      </c>
      <c r="O107" s="123">
        <f t="shared" si="22"/>
        <v>94.423711656441711</v>
      </c>
      <c r="P107" s="5"/>
      <c r="Q107" s="5">
        <f t="shared" si="17"/>
        <v>1</v>
      </c>
      <c r="R107" s="7">
        <f t="shared" si="18"/>
        <v>652</v>
      </c>
      <c r="S107" s="5">
        <f t="shared" si="15"/>
        <v>1</v>
      </c>
      <c r="T107" s="7">
        <f t="shared" si="16"/>
        <v>652</v>
      </c>
    </row>
    <row r="108" spans="1:20">
      <c r="A108" s="23" t="s">
        <v>120</v>
      </c>
      <c r="B108" s="35" t="s">
        <v>118</v>
      </c>
      <c r="C108" s="36">
        <v>1741</v>
      </c>
      <c r="D108" s="6"/>
      <c r="E108" s="113">
        <v>28537158</v>
      </c>
      <c r="F108" s="116">
        <f t="shared" si="26"/>
        <v>16391.245261344055</v>
      </c>
      <c r="G108" s="117">
        <v>11477855</v>
      </c>
      <c r="H108" s="117">
        <f t="shared" si="27"/>
        <v>6592.6794945433658</v>
      </c>
      <c r="I108" s="7"/>
      <c r="J108" s="10">
        <v>4.2359</v>
      </c>
      <c r="K108" s="117">
        <v>48619</v>
      </c>
      <c r="L108" s="120">
        <f t="shared" si="28"/>
        <v>27.925904652498563</v>
      </c>
      <c r="M108" s="122">
        <f t="shared" si="20"/>
        <v>114778.55</v>
      </c>
      <c r="N108" s="116">
        <f t="shared" si="21"/>
        <v>66159.55</v>
      </c>
      <c r="O108" s="123">
        <f t="shared" si="22"/>
        <v>38.000890292935097</v>
      </c>
      <c r="P108" s="5"/>
      <c r="Q108" s="5">
        <f t="shared" si="17"/>
        <v>1</v>
      </c>
      <c r="R108" s="7">
        <f t="shared" si="18"/>
        <v>1741</v>
      </c>
      <c r="S108" s="5">
        <f t="shared" si="15"/>
        <v>1</v>
      </c>
      <c r="T108" s="7">
        <f t="shared" si="16"/>
        <v>1741</v>
      </c>
    </row>
    <row r="109" spans="1:20">
      <c r="A109" s="23" t="s">
        <v>121</v>
      </c>
      <c r="B109" s="35" t="s">
        <v>118</v>
      </c>
      <c r="C109" s="36">
        <v>1764</v>
      </c>
      <c r="D109" s="6"/>
      <c r="E109" s="113">
        <v>83840165</v>
      </c>
      <c r="F109" s="116">
        <f t="shared" si="26"/>
        <v>47528.438208616783</v>
      </c>
      <c r="G109" s="117">
        <v>54805152</v>
      </c>
      <c r="H109" s="117">
        <f t="shared" si="27"/>
        <v>31068.680272108842</v>
      </c>
      <c r="I109" s="7"/>
      <c r="J109" s="10">
        <v>2</v>
      </c>
      <c r="K109" s="117">
        <v>109610</v>
      </c>
      <c r="L109" s="120">
        <f t="shared" si="28"/>
        <v>62.137188208616777</v>
      </c>
      <c r="M109" s="122">
        <f t="shared" si="20"/>
        <v>548051.52</v>
      </c>
      <c r="N109" s="116">
        <f t="shared" si="21"/>
        <v>438441.52</v>
      </c>
      <c r="O109" s="123">
        <f t="shared" si="22"/>
        <v>248.54961451247166</v>
      </c>
      <c r="P109" s="5"/>
      <c r="Q109" s="5">
        <f t="shared" si="17"/>
        <v>1</v>
      </c>
      <c r="R109" s="7">
        <f t="shared" si="18"/>
        <v>1764</v>
      </c>
      <c r="S109" s="5">
        <f t="shared" si="15"/>
        <v>1</v>
      </c>
      <c r="T109" s="7">
        <f t="shared" si="16"/>
        <v>1764</v>
      </c>
    </row>
    <row r="110" spans="1:20">
      <c r="A110" s="23" t="s">
        <v>122</v>
      </c>
      <c r="B110" s="35" t="s">
        <v>118</v>
      </c>
      <c r="C110" s="36">
        <v>1683</v>
      </c>
      <c r="D110" s="6"/>
      <c r="E110" s="113">
        <v>89747242</v>
      </c>
      <c r="F110" s="116">
        <f t="shared" si="26"/>
        <v>53325.752822341055</v>
      </c>
      <c r="G110" s="117">
        <v>65979319</v>
      </c>
      <c r="H110" s="117">
        <f t="shared" si="27"/>
        <v>39203.398098633392</v>
      </c>
      <c r="I110" s="7"/>
      <c r="J110" s="10">
        <v>3.2159</v>
      </c>
      <c r="K110" s="117">
        <v>212183</v>
      </c>
      <c r="L110" s="120">
        <f t="shared" si="28"/>
        <v>126.07427213309566</v>
      </c>
      <c r="M110" s="122">
        <f t="shared" si="20"/>
        <v>659793.19000000006</v>
      </c>
      <c r="N110" s="116">
        <f t="shared" si="21"/>
        <v>447610.19000000006</v>
      </c>
      <c r="O110" s="123">
        <f t="shared" si="22"/>
        <v>265.95970885323828</v>
      </c>
      <c r="P110" s="5"/>
      <c r="Q110" s="5">
        <f t="shared" si="17"/>
        <v>1</v>
      </c>
      <c r="R110" s="7">
        <f t="shared" si="18"/>
        <v>1683</v>
      </c>
      <c r="S110" s="5">
        <f t="shared" si="15"/>
        <v>1</v>
      </c>
      <c r="T110" s="7">
        <f t="shared" si="16"/>
        <v>1683</v>
      </c>
    </row>
    <row r="111" spans="1:20">
      <c r="A111" s="23" t="s">
        <v>123</v>
      </c>
      <c r="B111" s="35" t="s">
        <v>118</v>
      </c>
      <c r="C111" s="36">
        <v>7300</v>
      </c>
      <c r="D111" s="6"/>
      <c r="E111" s="113">
        <v>343412863</v>
      </c>
      <c r="F111" s="116">
        <f t="shared" si="26"/>
        <v>47042.857945205476</v>
      </c>
      <c r="G111" s="117">
        <v>218028691</v>
      </c>
      <c r="H111" s="117">
        <f t="shared" si="27"/>
        <v>29866.943972602741</v>
      </c>
      <c r="I111" s="9"/>
      <c r="J111" s="10">
        <v>2.75</v>
      </c>
      <c r="K111" s="117">
        <v>599579</v>
      </c>
      <c r="L111" s="120">
        <f t="shared" si="28"/>
        <v>82.134109589041103</v>
      </c>
      <c r="M111" s="122">
        <f t="shared" si="20"/>
        <v>2180286.91</v>
      </c>
      <c r="N111" s="116">
        <f t="shared" si="21"/>
        <v>1580707.9100000001</v>
      </c>
      <c r="O111" s="123">
        <f t="shared" si="22"/>
        <v>216.53533013698632</v>
      </c>
      <c r="P111" s="5"/>
      <c r="Q111" s="5">
        <f t="shared" si="17"/>
        <v>1</v>
      </c>
      <c r="R111" s="7">
        <f t="shared" si="18"/>
        <v>7300</v>
      </c>
      <c r="S111" s="5">
        <f t="shared" si="15"/>
        <v>1</v>
      </c>
      <c r="T111" s="7">
        <f t="shared" si="16"/>
        <v>7300</v>
      </c>
    </row>
    <row r="112" spans="1:20">
      <c r="A112" s="23" t="s">
        <v>124</v>
      </c>
      <c r="B112" s="35" t="s">
        <v>125</v>
      </c>
      <c r="C112" s="36">
        <v>452</v>
      </c>
      <c r="D112" s="6"/>
      <c r="E112" s="113">
        <v>34171947</v>
      </c>
      <c r="F112" s="116">
        <f t="shared" si="26"/>
        <v>75601.652654867255</v>
      </c>
      <c r="G112" s="117">
        <v>13924925</v>
      </c>
      <c r="H112" s="117">
        <f t="shared" si="27"/>
        <v>30807.356194690266</v>
      </c>
      <c r="I112" s="9"/>
      <c r="J112" s="10">
        <v>2</v>
      </c>
      <c r="K112" s="117">
        <v>27850</v>
      </c>
      <c r="L112" s="120">
        <f t="shared" si="28"/>
        <v>61.615044247787608</v>
      </c>
      <c r="M112" s="122">
        <f t="shared" si="20"/>
        <v>139249.25</v>
      </c>
      <c r="N112" s="116">
        <f t="shared" si="21"/>
        <v>111399.25</v>
      </c>
      <c r="O112" s="123">
        <f t="shared" si="22"/>
        <v>246.45851769911505</v>
      </c>
      <c r="P112" s="5"/>
      <c r="Q112" s="5">
        <f t="shared" si="17"/>
        <v>1</v>
      </c>
      <c r="R112" s="7">
        <f t="shared" si="18"/>
        <v>452</v>
      </c>
      <c r="S112" s="5">
        <f t="shared" si="15"/>
        <v>1</v>
      </c>
      <c r="T112" s="7">
        <f t="shared" si="16"/>
        <v>452</v>
      </c>
    </row>
    <row r="113" spans="1:20">
      <c r="A113" s="23" t="s">
        <v>126</v>
      </c>
      <c r="B113" s="35" t="s">
        <v>125</v>
      </c>
      <c r="C113" s="36">
        <v>1686</v>
      </c>
      <c r="D113" s="6"/>
      <c r="E113" s="113">
        <v>99440738</v>
      </c>
      <c r="F113" s="116">
        <f t="shared" si="26"/>
        <v>58980.271648873073</v>
      </c>
      <c r="G113" s="117">
        <v>48452767</v>
      </c>
      <c r="H113" s="117">
        <f t="shared" si="27"/>
        <v>28738.295966785292</v>
      </c>
      <c r="I113" s="9"/>
      <c r="J113" s="11">
        <v>3.14</v>
      </c>
      <c r="K113" s="117">
        <v>152142</v>
      </c>
      <c r="L113" s="120">
        <f t="shared" si="28"/>
        <v>90.238434163701072</v>
      </c>
      <c r="M113" s="122">
        <f t="shared" si="20"/>
        <v>484527.67</v>
      </c>
      <c r="N113" s="116">
        <f t="shared" si="21"/>
        <v>332385.67</v>
      </c>
      <c r="O113" s="123">
        <f t="shared" si="22"/>
        <v>197.14452550415183</v>
      </c>
      <c r="P113" s="5"/>
      <c r="Q113" s="5">
        <f t="shared" si="17"/>
        <v>1</v>
      </c>
      <c r="R113" s="7">
        <f t="shared" si="18"/>
        <v>1686</v>
      </c>
      <c r="S113" s="5">
        <f t="shared" si="15"/>
        <v>1</v>
      </c>
      <c r="T113" s="7">
        <f t="shared" si="16"/>
        <v>1686</v>
      </c>
    </row>
    <row r="114" spans="1:20">
      <c r="A114" s="23" t="s">
        <v>127</v>
      </c>
      <c r="B114" s="35" t="s">
        <v>128</v>
      </c>
      <c r="C114" s="36">
        <v>932</v>
      </c>
      <c r="D114" s="6"/>
      <c r="E114" s="113">
        <v>57681260</v>
      </c>
      <c r="F114" s="116">
        <f t="shared" si="26"/>
        <v>61889.763948497857</v>
      </c>
      <c r="G114" s="117">
        <v>40015894</v>
      </c>
      <c r="H114" s="117">
        <f t="shared" si="27"/>
        <v>42935.508583690986</v>
      </c>
      <c r="I114" s="7"/>
      <c r="J114" s="11">
        <v>2</v>
      </c>
      <c r="K114" s="117">
        <v>80031</v>
      </c>
      <c r="L114" s="120">
        <f t="shared" si="28"/>
        <v>85.87017167381974</v>
      </c>
      <c r="M114" s="122">
        <f t="shared" si="20"/>
        <v>400158.94</v>
      </c>
      <c r="N114" s="116">
        <f t="shared" si="21"/>
        <v>320127.94</v>
      </c>
      <c r="O114" s="123">
        <f t="shared" si="22"/>
        <v>343.48491416309014</v>
      </c>
      <c r="P114" s="5"/>
      <c r="Q114" s="5">
        <f t="shared" si="17"/>
        <v>1</v>
      </c>
      <c r="R114" s="7">
        <f t="shared" si="18"/>
        <v>932</v>
      </c>
      <c r="S114" s="5">
        <f t="shared" si="15"/>
        <v>1</v>
      </c>
      <c r="T114" s="7">
        <f t="shared" si="16"/>
        <v>932</v>
      </c>
    </row>
    <row r="115" spans="1:20">
      <c r="A115" s="23" t="s">
        <v>129</v>
      </c>
      <c r="B115" s="35" t="s">
        <v>130</v>
      </c>
      <c r="C115" s="36">
        <v>1626</v>
      </c>
      <c r="D115" s="6"/>
      <c r="E115" s="113">
        <v>92855844</v>
      </c>
      <c r="F115" s="116">
        <f t="shared" si="26"/>
        <v>57106.91512915129</v>
      </c>
      <c r="G115" s="117">
        <v>47088656</v>
      </c>
      <c r="H115" s="117">
        <f t="shared" si="27"/>
        <v>28959.813038130382</v>
      </c>
      <c r="I115" s="7"/>
      <c r="J115" s="10">
        <v>4</v>
      </c>
      <c r="K115" s="117">
        <v>188355</v>
      </c>
      <c r="L115" s="120">
        <f t="shared" si="28"/>
        <v>115.83948339483395</v>
      </c>
      <c r="M115" s="122">
        <f t="shared" si="20"/>
        <v>470886.56</v>
      </c>
      <c r="N115" s="116">
        <f t="shared" si="21"/>
        <v>282531.56</v>
      </c>
      <c r="O115" s="123">
        <f t="shared" si="22"/>
        <v>173.75864698646987</v>
      </c>
      <c r="P115" s="5"/>
      <c r="Q115" s="5">
        <f t="shared" si="17"/>
        <v>1</v>
      </c>
      <c r="R115" s="7">
        <f t="shared" si="18"/>
        <v>1626</v>
      </c>
      <c r="S115" s="5">
        <f t="shared" si="15"/>
        <v>1</v>
      </c>
      <c r="T115" s="7">
        <f t="shared" si="16"/>
        <v>1626</v>
      </c>
    </row>
    <row r="116" spans="1:20">
      <c r="A116" s="23" t="s">
        <v>545</v>
      </c>
      <c r="B116" s="35" t="s">
        <v>131</v>
      </c>
      <c r="C116" s="36">
        <v>3791</v>
      </c>
      <c r="D116" s="6" t="s">
        <v>527</v>
      </c>
      <c r="E116" s="113"/>
      <c r="F116" s="116"/>
      <c r="G116" s="117"/>
      <c r="H116" s="117"/>
      <c r="I116" s="9" t="s">
        <v>528</v>
      </c>
      <c r="J116" s="10"/>
      <c r="K116" s="117"/>
      <c r="L116" s="120"/>
      <c r="M116" s="122">
        <f t="shared" si="20"/>
        <v>0</v>
      </c>
      <c r="N116" s="116">
        <f t="shared" si="21"/>
        <v>0</v>
      </c>
      <c r="O116" s="123">
        <f t="shared" si="22"/>
        <v>0</v>
      </c>
      <c r="P116" s="5"/>
      <c r="Q116" s="5">
        <f t="shared" si="17"/>
        <v>0</v>
      </c>
      <c r="R116" s="7">
        <f t="shared" si="18"/>
        <v>0</v>
      </c>
      <c r="S116" s="5">
        <f t="shared" si="15"/>
        <v>0</v>
      </c>
      <c r="T116" s="7">
        <f t="shared" si="16"/>
        <v>0</v>
      </c>
    </row>
    <row r="117" spans="1:20">
      <c r="A117" s="23" t="s">
        <v>132</v>
      </c>
      <c r="B117" s="35" t="s">
        <v>131</v>
      </c>
      <c r="C117" s="36">
        <v>1949</v>
      </c>
      <c r="D117" s="6"/>
      <c r="E117" s="113">
        <v>109742381</v>
      </c>
      <c r="F117" s="116">
        <f t="shared" ref="F117:F129" si="29">(E117/C117)</f>
        <v>56307.019497178037</v>
      </c>
      <c r="G117" s="117">
        <v>67289534</v>
      </c>
      <c r="H117" s="117">
        <f t="shared" ref="H117:H129" si="30">(G117/C117)</f>
        <v>34525.158542842481</v>
      </c>
      <c r="I117" s="7"/>
      <c r="J117" s="10">
        <v>6</v>
      </c>
      <c r="K117" s="117">
        <v>403737</v>
      </c>
      <c r="L117" s="120">
        <f t="shared" ref="L117:L133" si="31">(K117/C117)</f>
        <v>207.15084658799384</v>
      </c>
      <c r="M117" s="122">
        <f t="shared" si="20"/>
        <v>672895.34</v>
      </c>
      <c r="N117" s="116">
        <f t="shared" si="21"/>
        <v>269158.33999999997</v>
      </c>
      <c r="O117" s="123">
        <f t="shared" si="22"/>
        <v>138.10073884043098</v>
      </c>
      <c r="P117" s="5"/>
      <c r="Q117" s="5">
        <f t="shared" si="17"/>
        <v>1</v>
      </c>
      <c r="R117" s="7">
        <f t="shared" si="18"/>
        <v>1949</v>
      </c>
      <c r="S117" s="5">
        <f t="shared" si="15"/>
        <v>1</v>
      </c>
      <c r="T117" s="7">
        <f t="shared" si="16"/>
        <v>1949</v>
      </c>
    </row>
    <row r="118" spans="1:20">
      <c r="A118" s="23" t="s">
        <v>133</v>
      </c>
      <c r="B118" s="35" t="s">
        <v>134</v>
      </c>
      <c r="C118" s="36">
        <v>1705</v>
      </c>
      <c r="D118" s="6"/>
      <c r="E118" s="113">
        <v>103009094</v>
      </c>
      <c r="F118" s="116">
        <f t="shared" si="29"/>
        <v>60415.890909090907</v>
      </c>
      <c r="G118" s="117">
        <v>52001030</v>
      </c>
      <c r="H118" s="117">
        <f t="shared" si="30"/>
        <v>30499.137829912022</v>
      </c>
      <c r="I118" s="7"/>
      <c r="J118" s="10">
        <v>4.7469999999999999</v>
      </c>
      <c r="K118" s="117">
        <v>246849</v>
      </c>
      <c r="L118" s="120">
        <f t="shared" si="31"/>
        <v>144.77947214076246</v>
      </c>
      <c r="M118" s="122">
        <f t="shared" si="20"/>
        <v>520010.3</v>
      </c>
      <c r="N118" s="116">
        <f t="shared" si="21"/>
        <v>273161.3</v>
      </c>
      <c r="O118" s="123">
        <f t="shared" si="22"/>
        <v>160.21190615835778</v>
      </c>
      <c r="P118" s="5"/>
      <c r="Q118" s="5">
        <f t="shared" si="17"/>
        <v>1</v>
      </c>
      <c r="R118" s="7">
        <f t="shared" si="18"/>
        <v>1705</v>
      </c>
      <c r="S118" s="5">
        <f t="shared" si="15"/>
        <v>1</v>
      </c>
      <c r="T118" s="7">
        <f t="shared" si="16"/>
        <v>1705</v>
      </c>
    </row>
    <row r="119" spans="1:20">
      <c r="A119" s="23" t="s">
        <v>135</v>
      </c>
      <c r="B119" s="35" t="s">
        <v>134</v>
      </c>
      <c r="C119" s="36">
        <v>805</v>
      </c>
      <c r="D119" s="6"/>
      <c r="E119" s="113">
        <v>18643712</v>
      </c>
      <c r="F119" s="116">
        <f t="shared" si="29"/>
        <v>23159.890683229813</v>
      </c>
      <c r="G119" s="117">
        <v>10965911</v>
      </c>
      <c r="H119" s="117">
        <f t="shared" si="30"/>
        <v>13622.249689440994</v>
      </c>
      <c r="I119" s="7"/>
      <c r="J119" s="10">
        <v>1.3771</v>
      </c>
      <c r="K119" s="117">
        <v>15101</v>
      </c>
      <c r="L119" s="120">
        <f t="shared" si="31"/>
        <v>18.759006211180125</v>
      </c>
      <c r="M119" s="122">
        <f t="shared" si="20"/>
        <v>109659.11</v>
      </c>
      <c r="N119" s="116">
        <f t="shared" si="21"/>
        <v>94558.11</v>
      </c>
      <c r="O119" s="123">
        <f t="shared" si="22"/>
        <v>117.46349068322982</v>
      </c>
      <c r="P119" s="5"/>
      <c r="Q119" s="5">
        <f t="shared" si="17"/>
        <v>1</v>
      </c>
      <c r="R119" s="7">
        <f t="shared" si="18"/>
        <v>805</v>
      </c>
      <c r="S119" s="5">
        <f t="shared" si="15"/>
        <v>1</v>
      </c>
      <c r="T119" s="7">
        <f t="shared" si="16"/>
        <v>805</v>
      </c>
    </row>
    <row r="120" spans="1:20">
      <c r="A120" s="23" t="s">
        <v>136</v>
      </c>
      <c r="B120" s="35" t="s">
        <v>134</v>
      </c>
      <c r="C120" s="36">
        <v>774</v>
      </c>
      <c r="D120" s="6"/>
      <c r="E120" s="113">
        <v>30971365</v>
      </c>
      <c r="F120" s="116">
        <f t="shared" si="29"/>
        <v>40014.683462532303</v>
      </c>
      <c r="G120" s="117">
        <v>14729636</v>
      </c>
      <c r="H120" s="117">
        <f t="shared" si="30"/>
        <v>19030.537467700258</v>
      </c>
      <c r="I120" s="7"/>
      <c r="J120" s="10">
        <v>3.8584999999999998</v>
      </c>
      <c r="K120" s="117">
        <v>56834</v>
      </c>
      <c r="L120" s="120">
        <f t="shared" si="31"/>
        <v>73.428940568475454</v>
      </c>
      <c r="M120" s="122">
        <f t="shared" si="20"/>
        <v>147296.36000000002</v>
      </c>
      <c r="N120" s="116">
        <f t="shared" si="21"/>
        <v>90462.360000000015</v>
      </c>
      <c r="O120" s="123">
        <f t="shared" si="22"/>
        <v>116.87643410852715</v>
      </c>
      <c r="P120" s="5"/>
      <c r="Q120" s="5">
        <f t="shared" si="17"/>
        <v>1</v>
      </c>
      <c r="R120" s="7">
        <f t="shared" si="18"/>
        <v>774</v>
      </c>
      <c r="S120" s="5">
        <f t="shared" si="15"/>
        <v>1</v>
      </c>
      <c r="T120" s="7">
        <f t="shared" si="16"/>
        <v>774</v>
      </c>
    </row>
    <row r="121" spans="1:20">
      <c r="A121" s="23" t="s">
        <v>137</v>
      </c>
      <c r="B121" s="35" t="s">
        <v>138</v>
      </c>
      <c r="C121" s="36">
        <v>3084</v>
      </c>
      <c r="D121" s="6"/>
      <c r="E121" s="113">
        <v>61277226</v>
      </c>
      <c r="F121" s="116">
        <f t="shared" si="29"/>
        <v>19869.398832684827</v>
      </c>
      <c r="G121" s="117">
        <v>30291084</v>
      </c>
      <c r="H121" s="117">
        <f t="shared" si="30"/>
        <v>9822.0116731517501</v>
      </c>
      <c r="I121" s="7"/>
      <c r="J121" s="10">
        <v>7.25</v>
      </c>
      <c r="K121" s="117">
        <v>219610</v>
      </c>
      <c r="L121" s="120">
        <f t="shared" si="31"/>
        <v>71.209468223086901</v>
      </c>
      <c r="M121" s="122">
        <f t="shared" si="20"/>
        <v>302910.84000000003</v>
      </c>
      <c r="N121" s="116">
        <f t="shared" si="21"/>
        <v>83300.840000000026</v>
      </c>
      <c r="O121" s="123">
        <f t="shared" si="22"/>
        <v>27.010648508430616</v>
      </c>
      <c r="P121" s="5"/>
      <c r="Q121" s="5">
        <f t="shared" si="17"/>
        <v>1</v>
      </c>
      <c r="R121" s="7">
        <f t="shared" si="18"/>
        <v>3084</v>
      </c>
      <c r="S121" s="5">
        <f t="shared" si="15"/>
        <v>1</v>
      </c>
      <c r="T121" s="7">
        <f t="shared" si="16"/>
        <v>3084</v>
      </c>
    </row>
    <row r="122" spans="1:20">
      <c r="A122" s="23" t="s">
        <v>139</v>
      </c>
      <c r="B122" s="35" t="s">
        <v>138</v>
      </c>
      <c r="C122" s="36">
        <v>4454</v>
      </c>
      <c r="D122" s="6"/>
      <c r="E122" s="113">
        <v>194330953</v>
      </c>
      <c r="F122" s="116">
        <f t="shared" si="29"/>
        <v>43630.658509205212</v>
      </c>
      <c r="G122" s="117">
        <v>102988738</v>
      </c>
      <c r="H122" s="117">
        <f t="shared" si="30"/>
        <v>23122.752132914233</v>
      </c>
      <c r="I122" s="7"/>
      <c r="J122" s="10">
        <v>5.0199999999999996</v>
      </c>
      <c r="K122" s="117">
        <v>517003</v>
      </c>
      <c r="L122" s="120">
        <f t="shared" si="31"/>
        <v>116.07611136057477</v>
      </c>
      <c r="M122" s="122">
        <f t="shared" si="20"/>
        <v>1029887.38</v>
      </c>
      <c r="N122" s="116">
        <f t="shared" si="21"/>
        <v>512884.38</v>
      </c>
      <c r="O122" s="123">
        <f t="shared" si="22"/>
        <v>115.15140996856758</v>
      </c>
      <c r="P122" s="5"/>
      <c r="Q122" s="5">
        <f t="shared" si="17"/>
        <v>1</v>
      </c>
      <c r="R122" s="7">
        <f t="shared" si="18"/>
        <v>4454</v>
      </c>
      <c r="S122" s="5">
        <f t="shared" si="15"/>
        <v>1</v>
      </c>
      <c r="T122" s="7">
        <f t="shared" si="16"/>
        <v>4454</v>
      </c>
    </row>
    <row r="123" spans="1:20">
      <c r="A123" s="23" t="s">
        <v>140</v>
      </c>
      <c r="B123" s="35" t="s">
        <v>138</v>
      </c>
      <c r="C123" s="36">
        <v>1551</v>
      </c>
      <c r="D123" s="6"/>
      <c r="E123" s="113">
        <v>48141697</v>
      </c>
      <c r="F123" s="116">
        <f t="shared" si="29"/>
        <v>31039.134107027723</v>
      </c>
      <c r="G123" s="117">
        <v>24696566</v>
      </c>
      <c r="H123" s="117">
        <f t="shared" si="30"/>
        <v>15922.99548678272</v>
      </c>
      <c r="I123" s="7"/>
      <c r="J123" s="10">
        <v>9</v>
      </c>
      <c r="K123" s="117">
        <v>222269</v>
      </c>
      <c r="L123" s="120">
        <f t="shared" si="31"/>
        <v>143.30689877498389</v>
      </c>
      <c r="M123" s="122">
        <f t="shared" si="20"/>
        <v>246965.66</v>
      </c>
      <c r="N123" s="116">
        <f t="shared" si="21"/>
        <v>24696.660000000003</v>
      </c>
      <c r="O123" s="123">
        <f t="shared" si="22"/>
        <v>15.923056092843328</v>
      </c>
      <c r="P123" s="5"/>
      <c r="Q123" s="5">
        <f t="shared" si="17"/>
        <v>1</v>
      </c>
      <c r="R123" s="7">
        <f t="shared" si="18"/>
        <v>1551</v>
      </c>
      <c r="S123" s="5">
        <f t="shared" si="15"/>
        <v>1</v>
      </c>
      <c r="T123" s="7">
        <f t="shared" si="16"/>
        <v>1551</v>
      </c>
    </row>
    <row r="124" spans="1:20">
      <c r="A124" s="23" t="s">
        <v>141</v>
      </c>
      <c r="B124" s="35" t="s">
        <v>142</v>
      </c>
      <c r="C124" s="36">
        <v>6573</v>
      </c>
      <c r="D124" s="6"/>
      <c r="E124" s="113">
        <v>484129984</v>
      </c>
      <c r="F124" s="116">
        <f t="shared" si="29"/>
        <v>73654.341092347488</v>
      </c>
      <c r="G124" s="117">
        <v>250503984</v>
      </c>
      <c r="H124" s="117">
        <f t="shared" si="30"/>
        <v>38111.057964399821</v>
      </c>
      <c r="I124" s="7"/>
      <c r="J124" s="10">
        <v>5.6341000000000001</v>
      </c>
      <c r="K124" s="117">
        <v>1411364</v>
      </c>
      <c r="L124" s="120">
        <f t="shared" si="31"/>
        <v>214.7214361783052</v>
      </c>
      <c r="M124" s="122">
        <f t="shared" si="20"/>
        <v>2505039.84</v>
      </c>
      <c r="N124" s="116">
        <f t="shared" si="21"/>
        <v>1093675.8399999999</v>
      </c>
      <c r="O124" s="123">
        <f t="shared" si="22"/>
        <v>166.38914346569297</v>
      </c>
      <c r="P124" s="5"/>
      <c r="Q124" s="5">
        <f t="shared" si="17"/>
        <v>1</v>
      </c>
      <c r="R124" s="7">
        <f t="shared" si="18"/>
        <v>6573</v>
      </c>
      <c r="S124" s="5">
        <f t="shared" si="15"/>
        <v>1</v>
      </c>
      <c r="T124" s="7">
        <f t="shared" si="16"/>
        <v>6573</v>
      </c>
    </row>
    <row r="125" spans="1:20">
      <c r="A125" s="23" t="s">
        <v>558</v>
      </c>
      <c r="B125" s="35" t="s">
        <v>142</v>
      </c>
      <c r="C125" s="36">
        <v>4571</v>
      </c>
      <c r="D125" s="6"/>
      <c r="E125" s="113">
        <v>448735350</v>
      </c>
      <c r="F125" s="116">
        <f t="shared" si="29"/>
        <v>98170.061255742723</v>
      </c>
      <c r="G125" s="117">
        <v>256026120</v>
      </c>
      <c r="H125" s="117">
        <f t="shared" si="30"/>
        <v>56010.964777947935</v>
      </c>
      <c r="I125" s="7"/>
      <c r="J125" s="10">
        <v>3.5</v>
      </c>
      <c r="K125" s="117">
        <v>896091</v>
      </c>
      <c r="L125" s="120">
        <f t="shared" si="31"/>
        <v>196.03828483920367</v>
      </c>
      <c r="M125" s="122">
        <f t="shared" si="20"/>
        <v>2560261.2000000002</v>
      </c>
      <c r="N125" s="116">
        <f t="shared" si="21"/>
        <v>1664170.2000000002</v>
      </c>
      <c r="O125" s="123">
        <f t="shared" si="22"/>
        <v>364.07136294027572</v>
      </c>
      <c r="P125" s="5"/>
      <c r="Q125" s="5">
        <f t="shared" si="17"/>
        <v>1</v>
      </c>
      <c r="R125" s="7">
        <f t="shared" si="18"/>
        <v>4571</v>
      </c>
      <c r="S125" s="5">
        <f t="shared" si="15"/>
        <v>1</v>
      </c>
      <c r="T125" s="7">
        <f t="shared" si="16"/>
        <v>4571</v>
      </c>
    </row>
    <row r="126" spans="1:20">
      <c r="A126" s="23" t="s">
        <v>143</v>
      </c>
      <c r="B126" s="35" t="s">
        <v>144</v>
      </c>
      <c r="C126" s="36">
        <v>7322</v>
      </c>
      <c r="D126" s="6"/>
      <c r="E126" s="113">
        <v>781990004</v>
      </c>
      <c r="F126" s="116">
        <f t="shared" si="29"/>
        <v>106800.05517618137</v>
      </c>
      <c r="G126" s="117">
        <v>482065315</v>
      </c>
      <c r="H126" s="117">
        <f t="shared" si="30"/>
        <v>65837.928844577982</v>
      </c>
      <c r="I126" s="7"/>
      <c r="J126" s="10">
        <v>7.5</v>
      </c>
      <c r="K126" s="117">
        <v>3615490</v>
      </c>
      <c r="L126" s="120">
        <f t="shared" si="31"/>
        <v>493.78448511335699</v>
      </c>
      <c r="M126" s="122">
        <f t="shared" si="20"/>
        <v>4820653.1500000004</v>
      </c>
      <c r="N126" s="116">
        <f t="shared" si="21"/>
        <v>1205163.1500000004</v>
      </c>
      <c r="O126" s="123">
        <f t="shared" si="22"/>
        <v>164.59480333242288</v>
      </c>
      <c r="P126" s="5"/>
      <c r="Q126" s="5">
        <f t="shared" si="17"/>
        <v>1</v>
      </c>
      <c r="R126" s="7">
        <f t="shared" si="18"/>
        <v>7322</v>
      </c>
      <c r="S126" s="5">
        <f t="shared" si="15"/>
        <v>1</v>
      </c>
      <c r="T126" s="7">
        <f t="shared" si="16"/>
        <v>7322</v>
      </c>
    </row>
    <row r="127" spans="1:20">
      <c r="A127" s="23" t="s">
        <v>145</v>
      </c>
      <c r="B127" s="35" t="s">
        <v>144</v>
      </c>
      <c r="C127" s="36">
        <v>8</v>
      </c>
      <c r="D127" s="6"/>
      <c r="E127" s="113">
        <v>31993122</v>
      </c>
      <c r="F127" s="116">
        <f t="shared" si="29"/>
        <v>3999140.25</v>
      </c>
      <c r="G127" s="117">
        <v>20552326</v>
      </c>
      <c r="H127" s="117">
        <f t="shared" si="30"/>
        <v>2569040.75</v>
      </c>
      <c r="I127" s="7"/>
      <c r="J127" s="10">
        <v>2.3898000000000001</v>
      </c>
      <c r="K127" s="117">
        <v>49116</v>
      </c>
      <c r="L127" s="120">
        <f t="shared" si="31"/>
        <v>6139.5</v>
      </c>
      <c r="M127" s="122">
        <f t="shared" si="20"/>
        <v>205523.26</v>
      </c>
      <c r="N127" s="116">
        <f t="shared" si="21"/>
        <v>156407.26</v>
      </c>
      <c r="O127" s="123">
        <f t="shared" si="22"/>
        <v>19550.907500000001</v>
      </c>
      <c r="P127" s="5"/>
      <c r="Q127" s="5">
        <f t="shared" si="17"/>
        <v>1</v>
      </c>
      <c r="R127" s="7">
        <f t="shared" si="18"/>
        <v>8</v>
      </c>
      <c r="S127" s="5">
        <f t="shared" si="15"/>
        <v>1</v>
      </c>
      <c r="T127" s="7">
        <f t="shared" si="16"/>
        <v>8</v>
      </c>
    </row>
    <row r="128" spans="1:20">
      <c r="A128" s="23" t="s">
        <v>146</v>
      </c>
      <c r="B128" s="35" t="s">
        <v>147</v>
      </c>
      <c r="C128" s="36">
        <v>8792</v>
      </c>
      <c r="D128" s="6"/>
      <c r="E128" s="113">
        <v>382105499</v>
      </c>
      <c r="F128" s="116">
        <f t="shared" si="29"/>
        <v>43460.589058234757</v>
      </c>
      <c r="G128" s="117">
        <v>220575802</v>
      </c>
      <c r="H128" s="117">
        <f t="shared" si="30"/>
        <v>25088.239535941764</v>
      </c>
      <c r="I128" s="7"/>
      <c r="J128" s="10">
        <v>7.5</v>
      </c>
      <c r="K128" s="117">
        <v>1654319</v>
      </c>
      <c r="L128" s="120">
        <f t="shared" si="31"/>
        <v>188.16185168334849</v>
      </c>
      <c r="M128" s="122">
        <f t="shared" si="20"/>
        <v>2205758.02</v>
      </c>
      <c r="N128" s="116">
        <f t="shared" si="21"/>
        <v>551439.02</v>
      </c>
      <c r="O128" s="123">
        <f t="shared" si="22"/>
        <v>62.720543676069155</v>
      </c>
      <c r="P128" s="5"/>
      <c r="Q128" s="5">
        <f t="shared" si="17"/>
        <v>1</v>
      </c>
      <c r="R128" s="7">
        <f t="shared" si="18"/>
        <v>8792</v>
      </c>
      <c r="S128" s="5">
        <f t="shared" si="15"/>
        <v>1</v>
      </c>
      <c r="T128" s="7">
        <f t="shared" si="16"/>
        <v>8792</v>
      </c>
    </row>
    <row r="129" spans="1:20">
      <c r="A129" s="23" t="s">
        <v>148</v>
      </c>
      <c r="B129" s="35" t="s">
        <v>147</v>
      </c>
      <c r="C129" s="36">
        <v>1762</v>
      </c>
      <c r="D129" s="6"/>
      <c r="E129" s="113">
        <v>266255429</v>
      </c>
      <c r="F129" s="116">
        <f t="shared" si="29"/>
        <v>151109.77809307605</v>
      </c>
      <c r="G129" s="117">
        <v>186531040</v>
      </c>
      <c r="H129" s="117">
        <f t="shared" si="30"/>
        <v>105863.24631101021</v>
      </c>
      <c r="I129" s="7"/>
      <c r="J129" s="10">
        <v>5</v>
      </c>
      <c r="K129" s="117">
        <v>932655</v>
      </c>
      <c r="L129" s="120">
        <f t="shared" si="31"/>
        <v>529.31611804767306</v>
      </c>
      <c r="M129" s="122">
        <f t="shared" si="20"/>
        <v>1865310.4000000001</v>
      </c>
      <c r="N129" s="116">
        <f t="shared" si="21"/>
        <v>932655.40000000014</v>
      </c>
      <c r="O129" s="123">
        <f t="shared" si="22"/>
        <v>529.31634506242915</v>
      </c>
      <c r="P129" s="5"/>
      <c r="Q129" s="5">
        <f t="shared" si="17"/>
        <v>1</v>
      </c>
      <c r="R129" s="7">
        <f t="shared" si="18"/>
        <v>1762</v>
      </c>
      <c r="S129" s="5">
        <f t="shared" si="15"/>
        <v>1</v>
      </c>
      <c r="T129" s="7">
        <f t="shared" si="16"/>
        <v>1762</v>
      </c>
    </row>
    <row r="130" spans="1:20">
      <c r="A130" s="23" t="s">
        <v>149</v>
      </c>
      <c r="B130" s="35" t="s">
        <v>147</v>
      </c>
      <c r="C130" s="36">
        <v>10218</v>
      </c>
      <c r="D130" s="6" t="s">
        <v>527</v>
      </c>
      <c r="E130" s="113"/>
      <c r="F130" s="116"/>
      <c r="G130" s="117"/>
      <c r="H130" s="117"/>
      <c r="I130" s="7"/>
      <c r="J130" s="10">
        <v>6.5</v>
      </c>
      <c r="K130" s="117">
        <v>4015789</v>
      </c>
      <c r="L130" s="120">
        <f t="shared" si="31"/>
        <v>393.01125464865925</v>
      </c>
      <c r="M130" s="122">
        <f t="shared" si="20"/>
        <v>0</v>
      </c>
      <c r="N130" s="116">
        <f t="shared" si="21"/>
        <v>-4015789</v>
      </c>
      <c r="O130" s="123">
        <f t="shared" si="22"/>
        <v>-393.01125464865925</v>
      </c>
      <c r="P130" s="5"/>
      <c r="Q130" s="5">
        <f t="shared" si="17"/>
        <v>0</v>
      </c>
      <c r="R130" s="7">
        <f t="shared" si="18"/>
        <v>0</v>
      </c>
      <c r="S130" s="5">
        <f t="shared" si="15"/>
        <v>1</v>
      </c>
      <c r="T130" s="7">
        <f t="shared" si="16"/>
        <v>10218</v>
      </c>
    </row>
    <row r="131" spans="1:20">
      <c r="A131" s="23" t="s">
        <v>150</v>
      </c>
      <c r="B131" s="35" t="s">
        <v>151</v>
      </c>
      <c r="C131" s="36">
        <v>32834</v>
      </c>
      <c r="D131" s="6"/>
      <c r="E131" s="113">
        <v>2839102356</v>
      </c>
      <c r="F131" s="116">
        <f t="shared" ref="F131:F156" si="32">(E131/C131)</f>
        <v>86468.366814887006</v>
      </c>
      <c r="G131" s="117">
        <v>1933820784</v>
      </c>
      <c r="H131" s="117">
        <f t="shared" ref="H131:H156" si="33">(G131/C131)</f>
        <v>58896.899068039231</v>
      </c>
      <c r="I131" s="7"/>
      <c r="J131" s="10">
        <v>4.7</v>
      </c>
      <c r="K131" s="117">
        <v>9088958</v>
      </c>
      <c r="L131" s="120">
        <f t="shared" si="31"/>
        <v>276.81543521958946</v>
      </c>
      <c r="M131" s="122">
        <f t="shared" si="20"/>
        <v>19338207.84</v>
      </c>
      <c r="N131" s="116">
        <f t="shared" si="21"/>
        <v>10249249.84</v>
      </c>
      <c r="O131" s="123">
        <f t="shared" si="22"/>
        <v>312.15355546080281</v>
      </c>
      <c r="P131" s="5"/>
      <c r="Q131" s="5">
        <f t="shared" si="17"/>
        <v>1</v>
      </c>
      <c r="R131" s="7">
        <f t="shared" si="18"/>
        <v>32834</v>
      </c>
      <c r="S131" s="5">
        <f t="shared" si="15"/>
        <v>1</v>
      </c>
      <c r="T131" s="7">
        <f t="shared" si="16"/>
        <v>32834</v>
      </c>
    </row>
    <row r="132" spans="1:20">
      <c r="A132" s="23" t="s">
        <v>152</v>
      </c>
      <c r="B132" s="35" t="s">
        <v>151</v>
      </c>
      <c r="C132" s="36">
        <v>330886</v>
      </c>
      <c r="D132" s="6"/>
      <c r="E132" s="113">
        <v>42932006667</v>
      </c>
      <c r="F132" s="116">
        <f t="shared" si="32"/>
        <v>129748.63447531778</v>
      </c>
      <c r="G132" s="117">
        <v>26918495581</v>
      </c>
      <c r="H132" s="117">
        <f t="shared" si="33"/>
        <v>81352.778845282068</v>
      </c>
      <c r="I132" s="7"/>
      <c r="J132" s="10">
        <v>6.4080000000000004</v>
      </c>
      <c r="K132" s="117">
        <v>172493720</v>
      </c>
      <c r="L132" s="120">
        <f t="shared" si="31"/>
        <v>521.30860779845625</v>
      </c>
      <c r="M132" s="122">
        <f t="shared" si="20"/>
        <v>269184955.81</v>
      </c>
      <c r="N132" s="116">
        <f t="shared" si="21"/>
        <v>96691235.810000002</v>
      </c>
      <c r="O132" s="123">
        <f t="shared" si="22"/>
        <v>292.21918065436432</v>
      </c>
      <c r="P132" s="5"/>
      <c r="Q132" s="5">
        <f t="shared" si="17"/>
        <v>1</v>
      </c>
      <c r="R132" s="7">
        <f t="shared" si="18"/>
        <v>330886</v>
      </c>
      <c r="S132" s="5">
        <f t="shared" si="15"/>
        <v>1</v>
      </c>
      <c r="T132" s="7">
        <f t="shared" si="16"/>
        <v>330886</v>
      </c>
    </row>
    <row r="133" spans="1:20">
      <c r="A133" s="23" t="s">
        <v>153</v>
      </c>
      <c r="B133" s="35" t="s">
        <v>151</v>
      </c>
      <c r="C133" s="36">
        <v>23035</v>
      </c>
      <c r="D133" s="6"/>
      <c r="E133" s="113">
        <v>2149171778</v>
      </c>
      <c r="F133" s="116">
        <f t="shared" si="32"/>
        <v>93300.272541784245</v>
      </c>
      <c r="G133" s="117">
        <v>1480476183</v>
      </c>
      <c r="H133" s="117">
        <f t="shared" si="33"/>
        <v>64270.726416322985</v>
      </c>
      <c r="I133" s="9"/>
      <c r="J133" s="10">
        <v>4.91</v>
      </c>
      <c r="K133" s="117">
        <v>7269138</v>
      </c>
      <c r="L133" s="120">
        <f t="shared" si="31"/>
        <v>315.56926416322989</v>
      </c>
      <c r="M133" s="122">
        <f t="shared" si="20"/>
        <v>14804761.83</v>
      </c>
      <c r="N133" s="116">
        <f t="shared" si="21"/>
        <v>7535623.8300000001</v>
      </c>
      <c r="O133" s="123">
        <f t="shared" si="22"/>
        <v>327.13799999999998</v>
      </c>
      <c r="P133" s="5"/>
      <c r="Q133" s="5">
        <f t="shared" si="17"/>
        <v>1</v>
      </c>
      <c r="R133" s="7">
        <f t="shared" si="18"/>
        <v>23035</v>
      </c>
      <c r="S133" s="5">
        <f t="shared" si="15"/>
        <v>1</v>
      </c>
      <c r="T133" s="7">
        <f t="shared" si="16"/>
        <v>23035</v>
      </c>
    </row>
    <row r="134" spans="1:20">
      <c r="A134" s="23" t="s">
        <v>154</v>
      </c>
      <c r="B134" s="35" t="s">
        <v>155</v>
      </c>
      <c r="C134" s="36">
        <v>2732</v>
      </c>
      <c r="D134" s="6"/>
      <c r="E134" s="113">
        <v>129992398</v>
      </c>
      <c r="F134" s="116">
        <f t="shared" si="32"/>
        <v>47581.404831625186</v>
      </c>
      <c r="G134" s="117">
        <v>81776411</v>
      </c>
      <c r="H134" s="117">
        <f t="shared" si="33"/>
        <v>29932.800512445094</v>
      </c>
      <c r="I134" s="9" t="s">
        <v>528</v>
      </c>
      <c r="J134" s="10"/>
      <c r="K134" s="117"/>
      <c r="L134" s="120"/>
      <c r="M134" s="122">
        <f t="shared" si="20"/>
        <v>817764.11</v>
      </c>
      <c r="N134" s="116">
        <f t="shared" si="21"/>
        <v>817764.11</v>
      </c>
      <c r="O134" s="123">
        <f t="shared" si="22"/>
        <v>299.32800512445095</v>
      </c>
      <c r="P134" s="5"/>
      <c r="Q134" s="5">
        <f t="shared" si="17"/>
        <v>1</v>
      </c>
      <c r="R134" s="7">
        <f t="shared" si="18"/>
        <v>2732</v>
      </c>
      <c r="S134" s="5">
        <f t="shared" ref="S134:S197" si="34">IF(J134&gt;0,1,0)</f>
        <v>0</v>
      </c>
      <c r="T134" s="7">
        <f t="shared" ref="T134:T197" si="35">IF(J134&gt;0,C134,0)</f>
        <v>0</v>
      </c>
    </row>
    <row r="135" spans="1:20">
      <c r="A135" s="23" t="s">
        <v>156</v>
      </c>
      <c r="B135" s="35" t="s">
        <v>155</v>
      </c>
      <c r="C135" s="36">
        <v>379</v>
      </c>
      <c r="D135" s="6"/>
      <c r="E135" s="113">
        <v>10262255</v>
      </c>
      <c r="F135" s="116">
        <f t="shared" si="32"/>
        <v>27077.189973614775</v>
      </c>
      <c r="G135" s="117">
        <v>4617951</v>
      </c>
      <c r="H135" s="117">
        <f t="shared" si="33"/>
        <v>12184.567282321899</v>
      </c>
      <c r="I135" s="7"/>
      <c r="J135" s="12">
        <v>5.2869999999999999</v>
      </c>
      <c r="K135" s="117">
        <v>24415</v>
      </c>
      <c r="L135" s="120">
        <f>(K135/C135)</f>
        <v>64.419525065963057</v>
      </c>
      <c r="M135" s="122">
        <f t="shared" si="20"/>
        <v>46179.51</v>
      </c>
      <c r="N135" s="116">
        <f t="shared" si="21"/>
        <v>21764.510000000002</v>
      </c>
      <c r="O135" s="123">
        <f t="shared" si="22"/>
        <v>57.42614775725594</v>
      </c>
      <c r="P135" s="5"/>
      <c r="Q135" s="5">
        <f t="shared" ref="Q135:Q198" si="36">IF(E135&gt;0,1,0)</f>
        <v>1</v>
      </c>
      <c r="R135" s="7">
        <f t="shared" ref="R135:R198" si="37">IF(E135&gt;0,C135,0)</f>
        <v>379</v>
      </c>
      <c r="S135" s="5">
        <f t="shared" si="34"/>
        <v>1</v>
      </c>
      <c r="T135" s="7">
        <f t="shared" si="35"/>
        <v>379</v>
      </c>
    </row>
    <row r="136" spans="1:20">
      <c r="A136" s="23" t="s">
        <v>157</v>
      </c>
      <c r="B136" s="35" t="s">
        <v>155</v>
      </c>
      <c r="C136" s="36">
        <v>213</v>
      </c>
      <c r="D136" s="6"/>
      <c r="E136" s="113">
        <v>4196785</v>
      </c>
      <c r="F136" s="116">
        <f t="shared" si="32"/>
        <v>19703.215962441314</v>
      </c>
      <c r="G136" s="117">
        <v>1685624</v>
      </c>
      <c r="H136" s="117">
        <f t="shared" si="33"/>
        <v>7913.7276995305165</v>
      </c>
      <c r="I136" s="9"/>
      <c r="J136" s="10">
        <v>1.0966</v>
      </c>
      <c r="K136" s="117">
        <v>1848</v>
      </c>
      <c r="L136" s="120">
        <f>(K136/C136)</f>
        <v>8.6760563380281699</v>
      </c>
      <c r="M136" s="122">
        <f t="shared" ref="M136:M199" si="38">(G136*0.01)</f>
        <v>16856.240000000002</v>
      </c>
      <c r="N136" s="116">
        <f t="shared" ref="N136:N199" si="39">(M136-K136)</f>
        <v>15008.240000000002</v>
      </c>
      <c r="O136" s="123">
        <f t="shared" ref="O136:O199" si="40">(N136/C136)</f>
        <v>70.461220657276996</v>
      </c>
      <c r="P136" s="5"/>
      <c r="Q136" s="5">
        <f t="shared" si="36"/>
        <v>1</v>
      </c>
      <c r="R136" s="7">
        <f t="shared" si="37"/>
        <v>213</v>
      </c>
      <c r="S136" s="5">
        <f t="shared" si="34"/>
        <v>1</v>
      </c>
      <c r="T136" s="7">
        <f t="shared" si="35"/>
        <v>213</v>
      </c>
    </row>
    <row r="137" spans="1:20">
      <c r="A137" s="23" t="s">
        <v>158</v>
      </c>
      <c r="B137" s="35" t="s">
        <v>155</v>
      </c>
      <c r="C137" s="36">
        <v>477</v>
      </c>
      <c r="D137" s="6"/>
      <c r="E137" s="113">
        <v>22902770</v>
      </c>
      <c r="F137" s="116">
        <f t="shared" si="32"/>
        <v>48014.192872117397</v>
      </c>
      <c r="G137" s="117">
        <v>12836914</v>
      </c>
      <c r="H137" s="117">
        <f t="shared" si="33"/>
        <v>26911.769392033544</v>
      </c>
      <c r="I137" s="9" t="s">
        <v>528</v>
      </c>
      <c r="J137" s="10"/>
      <c r="K137" s="117"/>
      <c r="L137" s="120"/>
      <c r="M137" s="122">
        <f t="shared" si="38"/>
        <v>128369.14</v>
      </c>
      <c r="N137" s="116">
        <f t="shared" si="39"/>
        <v>128369.14</v>
      </c>
      <c r="O137" s="123">
        <f t="shared" si="40"/>
        <v>269.11769392033546</v>
      </c>
      <c r="P137" s="5"/>
      <c r="Q137" s="5">
        <f t="shared" si="36"/>
        <v>1</v>
      </c>
      <c r="R137" s="7">
        <f t="shared" si="37"/>
        <v>477</v>
      </c>
      <c r="S137" s="5">
        <f t="shared" si="34"/>
        <v>0</v>
      </c>
      <c r="T137" s="7">
        <f t="shared" si="35"/>
        <v>0</v>
      </c>
    </row>
    <row r="138" spans="1:20">
      <c r="A138" s="23" t="s">
        <v>159</v>
      </c>
      <c r="B138" s="35" t="s">
        <v>155</v>
      </c>
      <c r="C138" s="36">
        <v>226</v>
      </c>
      <c r="D138" s="6"/>
      <c r="E138" s="113">
        <v>13473132</v>
      </c>
      <c r="F138" s="116">
        <f t="shared" si="32"/>
        <v>59615.628318584073</v>
      </c>
      <c r="G138" s="117">
        <v>3133848</v>
      </c>
      <c r="H138" s="117">
        <f t="shared" si="33"/>
        <v>13866.58407079646</v>
      </c>
      <c r="I138" s="9" t="s">
        <v>528</v>
      </c>
      <c r="J138" s="11"/>
      <c r="K138" s="117"/>
      <c r="L138" s="120"/>
      <c r="M138" s="122">
        <f t="shared" si="38"/>
        <v>31338.48</v>
      </c>
      <c r="N138" s="116">
        <f t="shared" si="39"/>
        <v>31338.48</v>
      </c>
      <c r="O138" s="123">
        <f t="shared" si="40"/>
        <v>138.66584070796461</v>
      </c>
      <c r="P138" s="5"/>
      <c r="Q138" s="5">
        <f t="shared" si="36"/>
        <v>1</v>
      </c>
      <c r="R138" s="7">
        <f t="shared" si="37"/>
        <v>226</v>
      </c>
      <c r="S138" s="5">
        <f t="shared" si="34"/>
        <v>0</v>
      </c>
      <c r="T138" s="7">
        <f t="shared" si="35"/>
        <v>0</v>
      </c>
    </row>
    <row r="139" spans="1:20">
      <c r="A139" s="23" t="s">
        <v>160</v>
      </c>
      <c r="B139" s="35" t="s">
        <v>161</v>
      </c>
      <c r="C139" s="36">
        <v>4628</v>
      </c>
      <c r="D139" s="6"/>
      <c r="E139" s="113">
        <v>180332592</v>
      </c>
      <c r="F139" s="116">
        <f t="shared" si="32"/>
        <v>38965.555747623162</v>
      </c>
      <c r="G139" s="117">
        <v>99022967</v>
      </c>
      <c r="H139" s="117">
        <f t="shared" si="33"/>
        <v>21396.492437337944</v>
      </c>
      <c r="I139" s="7"/>
      <c r="J139" s="11">
        <v>5.75</v>
      </c>
      <c r="K139" s="117">
        <v>569382</v>
      </c>
      <c r="L139" s="120">
        <f t="shared" ref="L139:L144" si="41">(K139/C139)</f>
        <v>123.02981849611064</v>
      </c>
      <c r="M139" s="122">
        <f t="shared" si="38"/>
        <v>990229.67</v>
      </c>
      <c r="N139" s="116">
        <f t="shared" si="39"/>
        <v>420847.67000000004</v>
      </c>
      <c r="O139" s="123">
        <f t="shared" si="40"/>
        <v>90.935105877268811</v>
      </c>
      <c r="P139" s="5"/>
      <c r="Q139" s="5">
        <f t="shared" si="36"/>
        <v>1</v>
      </c>
      <c r="R139" s="7">
        <f t="shared" si="37"/>
        <v>4628</v>
      </c>
      <c r="S139" s="5">
        <f t="shared" si="34"/>
        <v>1</v>
      </c>
      <c r="T139" s="7">
        <f t="shared" si="35"/>
        <v>4628</v>
      </c>
    </row>
    <row r="140" spans="1:20">
      <c r="A140" s="23" t="s">
        <v>162</v>
      </c>
      <c r="B140" s="35" t="s">
        <v>161</v>
      </c>
      <c r="C140" s="36">
        <v>3722</v>
      </c>
      <c r="D140" s="6"/>
      <c r="E140" s="113">
        <v>3099934019</v>
      </c>
      <c r="F140" s="116">
        <f t="shared" si="32"/>
        <v>832867.81810854375</v>
      </c>
      <c r="G140" s="117">
        <v>2559401735</v>
      </c>
      <c r="H140" s="117">
        <f t="shared" si="33"/>
        <v>687641.51934443845</v>
      </c>
      <c r="I140" s="7"/>
      <c r="J140" s="10">
        <v>1.4730000000000001</v>
      </c>
      <c r="K140" s="117">
        <v>3769999</v>
      </c>
      <c r="L140" s="120">
        <f t="shared" si="41"/>
        <v>1012.8960236432026</v>
      </c>
      <c r="M140" s="122">
        <f t="shared" si="38"/>
        <v>25594017.350000001</v>
      </c>
      <c r="N140" s="116">
        <f t="shared" si="39"/>
        <v>21824018.350000001</v>
      </c>
      <c r="O140" s="123">
        <f t="shared" si="40"/>
        <v>5863.5191698011822</v>
      </c>
      <c r="P140" s="5"/>
      <c r="Q140" s="5">
        <f t="shared" si="36"/>
        <v>1</v>
      </c>
      <c r="R140" s="7">
        <f t="shared" si="37"/>
        <v>3722</v>
      </c>
      <c r="S140" s="5">
        <f t="shared" si="34"/>
        <v>1</v>
      </c>
      <c r="T140" s="7">
        <f t="shared" si="35"/>
        <v>3722</v>
      </c>
    </row>
    <row r="141" spans="1:20">
      <c r="A141" s="23" t="s">
        <v>163</v>
      </c>
      <c r="B141" s="35" t="s">
        <v>161</v>
      </c>
      <c r="C141" s="36">
        <v>307</v>
      </c>
      <c r="D141" s="6"/>
      <c r="E141" s="113">
        <v>581173358</v>
      </c>
      <c r="F141" s="116">
        <f t="shared" si="32"/>
        <v>1893072.8273615635</v>
      </c>
      <c r="G141" s="117">
        <v>529095588</v>
      </c>
      <c r="H141" s="117">
        <f t="shared" si="33"/>
        <v>1723438.3973941368</v>
      </c>
      <c r="I141" s="7"/>
      <c r="J141" s="10">
        <v>0.45250000000000001</v>
      </c>
      <c r="K141" s="117">
        <v>239416</v>
      </c>
      <c r="L141" s="120">
        <f t="shared" si="41"/>
        <v>779.85667752442998</v>
      </c>
      <c r="M141" s="122">
        <f t="shared" si="38"/>
        <v>5290955.88</v>
      </c>
      <c r="N141" s="116">
        <f t="shared" si="39"/>
        <v>5051539.88</v>
      </c>
      <c r="O141" s="123">
        <f t="shared" si="40"/>
        <v>16454.527296416938</v>
      </c>
      <c r="P141" s="5"/>
      <c r="Q141" s="5">
        <f t="shared" si="36"/>
        <v>1</v>
      </c>
      <c r="R141" s="7">
        <f t="shared" si="37"/>
        <v>307</v>
      </c>
      <c r="S141" s="5">
        <f t="shared" si="34"/>
        <v>1</v>
      </c>
      <c r="T141" s="7">
        <f t="shared" si="35"/>
        <v>307</v>
      </c>
    </row>
    <row r="142" spans="1:20">
      <c r="A142" s="23" t="s">
        <v>164</v>
      </c>
      <c r="B142" s="35" t="s">
        <v>161</v>
      </c>
      <c r="C142" s="36">
        <v>21666</v>
      </c>
      <c r="D142" s="6"/>
      <c r="E142" s="113">
        <v>2320217512</v>
      </c>
      <c r="F142" s="116">
        <f t="shared" si="32"/>
        <v>107090.25717714391</v>
      </c>
      <c r="G142" s="117">
        <v>1547382601</v>
      </c>
      <c r="H142" s="117">
        <f t="shared" si="33"/>
        <v>71419.856041724357</v>
      </c>
      <c r="I142" s="7"/>
      <c r="J142" s="10">
        <v>3.0518999999999998</v>
      </c>
      <c r="K142" s="117">
        <v>4722457</v>
      </c>
      <c r="L142" s="120">
        <f t="shared" si="41"/>
        <v>217.96626050032307</v>
      </c>
      <c r="M142" s="122">
        <f t="shared" si="38"/>
        <v>15473826.01</v>
      </c>
      <c r="N142" s="116">
        <f t="shared" si="39"/>
        <v>10751369.01</v>
      </c>
      <c r="O142" s="123">
        <f t="shared" si="40"/>
        <v>496.23229991692051</v>
      </c>
      <c r="P142" s="5"/>
      <c r="Q142" s="5">
        <f t="shared" si="36"/>
        <v>1</v>
      </c>
      <c r="R142" s="7">
        <f t="shared" si="37"/>
        <v>21666</v>
      </c>
      <c r="S142" s="5">
        <f t="shared" si="34"/>
        <v>1</v>
      </c>
      <c r="T142" s="7">
        <f t="shared" si="35"/>
        <v>21666</v>
      </c>
    </row>
    <row r="143" spans="1:20">
      <c r="A143" s="23" t="s">
        <v>165</v>
      </c>
      <c r="B143" s="35" t="s">
        <v>161</v>
      </c>
      <c r="C143" s="36">
        <v>18160</v>
      </c>
      <c r="D143" s="6"/>
      <c r="E143" s="113">
        <v>4024326226</v>
      </c>
      <c r="F143" s="116">
        <f t="shared" si="32"/>
        <v>221603.86707048459</v>
      </c>
      <c r="G143" s="117">
        <v>2758014121</v>
      </c>
      <c r="H143" s="117">
        <f t="shared" si="33"/>
        <v>151873.02428414096</v>
      </c>
      <c r="I143" s="7"/>
      <c r="J143" s="10">
        <v>2.1425000000000001</v>
      </c>
      <c r="K143" s="117">
        <v>5909045</v>
      </c>
      <c r="L143" s="120">
        <f t="shared" si="41"/>
        <v>325.38794052863437</v>
      </c>
      <c r="M143" s="122">
        <f t="shared" si="38"/>
        <v>27580141.210000001</v>
      </c>
      <c r="N143" s="116">
        <f t="shared" si="39"/>
        <v>21671096.210000001</v>
      </c>
      <c r="O143" s="123">
        <f t="shared" si="40"/>
        <v>1193.3423023127755</v>
      </c>
      <c r="P143" s="5"/>
      <c r="Q143" s="5">
        <f t="shared" si="36"/>
        <v>1</v>
      </c>
      <c r="R143" s="7">
        <f t="shared" si="37"/>
        <v>18160</v>
      </c>
      <c r="S143" s="5">
        <f t="shared" si="34"/>
        <v>1</v>
      </c>
      <c r="T143" s="7">
        <f t="shared" si="35"/>
        <v>18160</v>
      </c>
    </row>
    <row r="144" spans="1:20">
      <c r="A144" s="23" t="s">
        <v>166</v>
      </c>
      <c r="B144" s="35" t="s">
        <v>167</v>
      </c>
      <c r="C144" s="36">
        <v>492</v>
      </c>
      <c r="D144" s="6"/>
      <c r="E144" s="113">
        <v>11986644</v>
      </c>
      <c r="F144" s="116">
        <f t="shared" si="32"/>
        <v>24363.09756097561</v>
      </c>
      <c r="G144" s="117">
        <v>6380932</v>
      </c>
      <c r="H144" s="117">
        <f t="shared" si="33"/>
        <v>12969.373983739837</v>
      </c>
      <c r="I144" s="9"/>
      <c r="J144" s="10">
        <v>1.5</v>
      </c>
      <c r="K144" s="117">
        <v>9571</v>
      </c>
      <c r="L144" s="120">
        <f t="shared" si="41"/>
        <v>19.453252032520325</v>
      </c>
      <c r="M144" s="122">
        <f t="shared" si="38"/>
        <v>63809.32</v>
      </c>
      <c r="N144" s="116">
        <f t="shared" si="39"/>
        <v>54238.32</v>
      </c>
      <c r="O144" s="123">
        <f t="shared" si="40"/>
        <v>110.24048780487804</v>
      </c>
      <c r="P144" s="5"/>
      <c r="Q144" s="5">
        <f t="shared" si="36"/>
        <v>1</v>
      </c>
      <c r="R144" s="7">
        <f t="shared" si="37"/>
        <v>492</v>
      </c>
      <c r="S144" s="5">
        <f t="shared" si="34"/>
        <v>1</v>
      </c>
      <c r="T144" s="7">
        <f t="shared" si="35"/>
        <v>492</v>
      </c>
    </row>
    <row r="145" spans="1:20">
      <c r="A145" s="23" t="s">
        <v>168</v>
      </c>
      <c r="B145" s="35" t="s">
        <v>167</v>
      </c>
      <c r="C145" s="36">
        <v>111</v>
      </c>
      <c r="D145" s="6"/>
      <c r="E145" s="113">
        <v>3013584</v>
      </c>
      <c r="F145" s="116">
        <f t="shared" si="32"/>
        <v>27149.405405405407</v>
      </c>
      <c r="G145" s="117">
        <v>1453480</v>
      </c>
      <c r="H145" s="117">
        <f t="shared" si="33"/>
        <v>13094.414414414414</v>
      </c>
      <c r="I145" s="9" t="s">
        <v>528</v>
      </c>
      <c r="J145" s="10"/>
      <c r="K145" s="117"/>
      <c r="L145" s="120"/>
      <c r="M145" s="122">
        <f t="shared" si="38"/>
        <v>14534.800000000001</v>
      </c>
      <c r="N145" s="116">
        <f t="shared" si="39"/>
        <v>14534.800000000001</v>
      </c>
      <c r="O145" s="123">
        <f t="shared" si="40"/>
        <v>130.94414414414416</v>
      </c>
      <c r="P145" s="5"/>
      <c r="Q145" s="5">
        <f t="shared" si="36"/>
        <v>1</v>
      </c>
      <c r="R145" s="7">
        <f t="shared" si="37"/>
        <v>111</v>
      </c>
      <c r="S145" s="5">
        <f t="shared" si="34"/>
        <v>0</v>
      </c>
      <c r="T145" s="7">
        <f t="shared" si="35"/>
        <v>0</v>
      </c>
    </row>
    <row r="146" spans="1:20">
      <c r="A146" s="23" t="s">
        <v>169</v>
      </c>
      <c r="B146" s="35" t="s">
        <v>167</v>
      </c>
      <c r="C146" s="36">
        <v>208</v>
      </c>
      <c r="D146" s="6"/>
      <c r="E146" s="113">
        <v>7363551</v>
      </c>
      <c r="F146" s="116">
        <f t="shared" si="32"/>
        <v>35401.6875</v>
      </c>
      <c r="G146" s="117">
        <v>4538958</v>
      </c>
      <c r="H146" s="117">
        <f t="shared" si="33"/>
        <v>21821.913461538461</v>
      </c>
      <c r="I146" s="7"/>
      <c r="J146" s="12">
        <v>2</v>
      </c>
      <c r="K146" s="117">
        <v>9078</v>
      </c>
      <c r="L146" s="120">
        <f>(K146/C146)</f>
        <v>43.644230769230766</v>
      </c>
      <c r="M146" s="122">
        <f t="shared" si="38"/>
        <v>45389.58</v>
      </c>
      <c r="N146" s="116">
        <f t="shared" si="39"/>
        <v>36311.58</v>
      </c>
      <c r="O146" s="123">
        <f t="shared" si="40"/>
        <v>174.57490384615386</v>
      </c>
      <c r="P146" s="5"/>
      <c r="Q146" s="5">
        <f t="shared" si="36"/>
        <v>1</v>
      </c>
      <c r="R146" s="7">
        <f t="shared" si="37"/>
        <v>208</v>
      </c>
      <c r="S146" s="5">
        <f t="shared" si="34"/>
        <v>1</v>
      </c>
      <c r="T146" s="7">
        <f t="shared" si="35"/>
        <v>208</v>
      </c>
    </row>
    <row r="147" spans="1:20">
      <c r="A147" s="23" t="s">
        <v>170</v>
      </c>
      <c r="B147" s="35" t="s">
        <v>167</v>
      </c>
      <c r="C147" s="36">
        <v>918</v>
      </c>
      <c r="D147" s="6"/>
      <c r="E147" s="113">
        <v>26258872</v>
      </c>
      <c r="F147" s="116">
        <f t="shared" si="32"/>
        <v>28604.435729847493</v>
      </c>
      <c r="G147" s="117">
        <v>15071703</v>
      </c>
      <c r="H147" s="117">
        <f t="shared" si="33"/>
        <v>16417.977124183006</v>
      </c>
      <c r="I147" s="7"/>
      <c r="J147" s="10">
        <v>3.5</v>
      </c>
      <c r="K147" s="117">
        <v>52751</v>
      </c>
      <c r="L147" s="120">
        <f>(K147/C147)</f>
        <v>57.462962962962962</v>
      </c>
      <c r="M147" s="122">
        <f t="shared" si="38"/>
        <v>150717.03</v>
      </c>
      <c r="N147" s="116">
        <f t="shared" si="39"/>
        <v>97966.03</v>
      </c>
      <c r="O147" s="123">
        <f t="shared" si="40"/>
        <v>106.71680827886711</v>
      </c>
      <c r="P147" s="5"/>
      <c r="Q147" s="5">
        <f t="shared" si="36"/>
        <v>1</v>
      </c>
      <c r="R147" s="7">
        <f t="shared" si="37"/>
        <v>918</v>
      </c>
      <c r="S147" s="5">
        <f t="shared" si="34"/>
        <v>1</v>
      </c>
      <c r="T147" s="7">
        <f t="shared" si="35"/>
        <v>918</v>
      </c>
    </row>
    <row r="148" spans="1:20">
      <c r="A148" s="23" t="s">
        <v>171</v>
      </c>
      <c r="B148" s="35" t="s">
        <v>167</v>
      </c>
      <c r="C148" s="36">
        <v>2500</v>
      </c>
      <c r="D148" s="6"/>
      <c r="E148" s="113">
        <v>104379249</v>
      </c>
      <c r="F148" s="116">
        <f t="shared" si="32"/>
        <v>41751.6996</v>
      </c>
      <c r="G148" s="117">
        <v>64703286</v>
      </c>
      <c r="H148" s="117">
        <f t="shared" si="33"/>
        <v>25881.314399999999</v>
      </c>
      <c r="I148" s="9"/>
      <c r="J148" s="10">
        <v>4</v>
      </c>
      <c r="K148" s="117">
        <v>258813</v>
      </c>
      <c r="L148" s="120">
        <f>(K148/C148)</f>
        <v>103.5252</v>
      </c>
      <c r="M148" s="122">
        <f t="shared" si="38"/>
        <v>647032.86</v>
      </c>
      <c r="N148" s="116">
        <f t="shared" si="39"/>
        <v>388219.86</v>
      </c>
      <c r="O148" s="123">
        <f t="shared" si="40"/>
        <v>155.28794399999998</v>
      </c>
      <c r="P148" s="5"/>
      <c r="Q148" s="5">
        <f t="shared" si="36"/>
        <v>1</v>
      </c>
      <c r="R148" s="7">
        <f t="shared" si="37"/>
        <v>2500</v>
      </c>
      <c r="S148" s="5">
        <f t="shared" si="34"/>
        <v>1</v>
      </c>
      <c r="T148" s="7">
        <f t="shared" si="35"/>
        <v>2500</v>
      </c>
    </row>
    <row r="149" spans="1:20">
      <c r="A149" s="23" t="s">
        <v>172</v>
      </c>
      <c r="B149" s="35" t="s">
        <v>167</v>
      </c>
      <c r="C149" s="36">
        <v>899</v>
      </c>
      <c r="D149" s="6"/>
      <c r="E149" s="113">
        <v>16928633</v>
      </c>
      <c r="F149" s="116">
        <f t="shared" si="32"/>
        <v>18830.515016685207</v>
      </c>
      <c r="G149" s="117">
        <v>7843885</v>
      </c>
      <c r="H149" s="117">
        <f t="shared" si="33"/>
        <v>8725.1223581757513</v>
      </c>
      <c r="I149" s="9" t="s">
        <v>528</v>
      </c>
      <c r="J149" s="10"/>
      <c r="K149" s="117"/>
      <c r="L149" s="120"/>
      <c r="M149" s="122">
        <f t="shared" si="38"/>
        <v>78438.850000000006</v>
      </c>
      <c r="N149" s="116">
        <f t="shared" si="39"/>
        <v>78438.850000000006</v>
      </c>
      <c r="O149" s="123">
        <f t="shared" si="40"/>
        <v>87.251223581757515</v>
      </c>
      <c r="P149" s="5"/>
      <c r="Q149" s="5">
        <f t="shared" si="36"/>
        <v>1</v>
      </c>
      <c r="R149" s="7">
        <f t="shared" si="37"/>
        <v>899</v>
      </c>
      <c r="S149" s="5">
        <f t="shared" si="34"/>
        <v>0</v>
      </c>
      <c r="T149" s="7">
        <f t="shared" si="35"/>
        <v>0</v>
      </c>
    </row>
    <row r="150" spans="1:20">
      <c r="A150" s="23" t="s">
        <v>173</v>
      </c>
      <c r="B150" s="35" t="s">
        <v>167</v>
      </c>
      <c r="C150" s="36">
        <v>776</v>
      </c>
      <c r="D150" s="6"/>
      <c r="E150" s="113">
        <v>22337928</v>
      </c>
      <c r="F150" s="116">
        <f t="shared" si="32"/>
        <v>28785.98969072165</v>
      </c>
      <c r="G150" s="117">
        <v>11925469</v>
      </c>
      <c r="H150" s="117">
        <f t="shared" si="33"/>
        <v>15367.872422680412</v>
      </c>
      <c r="I150" s="7"/>
      <c r="J150" s="11">
        <v>1</v>
      </c>
      <c r="K150" s="117">
        <v>11925</v>
      </c>
      <c r="L150" s="120">
        <f>(K150/C150)</f>
        <v>15.367268041237113</v>
      </c>
      <c r="M150" s="122">
        <f t="shared" si="38"/>
        <v>119254.69</v>
      </c>
      <c r="N150" s="116">
        <f t="shared" si="39"/>
        <v>107329.69</v>
      </c>
      <c r="O150" s="123">
        <f t="shared" si="40"/>
        <v>138.31145618556701</v>
      </c>
      <c r="P150" s="5"/>
      <c r="Q150" s="5">
        <f t="shared" si="36"/>
        <v>1</v>
      </c>
      <c r="R150" s="7">
        <f t="shared" si="37"/>
        <v>776</v>
      </c>
      <c r="S150" s="5">
        <f t="shared" si="34"/>
        <v>1</v>
      </c>
      <c r="T150" s="7">
        <f t="shared" si="35"/>
        <v>776</v>
      </c>
    </row>
    <row r="151" spans="1:20">
      <c r="A151" s="23" t="s">
        <v>508</v>
      </c>
      <c r="B151" s="35" t="s">
        <v>167</v>
      </c>
      <c r="C151" s="36">
        <v>293</v>
      </c>
      <c r="D151" s="6"/>
      <c r="E151" s="113">
        <v>5912602</v>
      </c>
      <c r="F151" s="116">
        <f t="shared" si="32"/>
        <v>20179.529010238908</v>
      </c>
      <c r="G151" s="117">
        <v>2766514</v>
      </c>
      <c r="H151" s="117">
        <f t="shared" si="33"/>
        <v>9442.0273037542665</v>
      </c>
      <c r="I151" s="9"/>
      <c r="J151" s="10">
        <v>3</v>
      </c>
      <c r="K151" s="117">
        <v>8300</v>
      </c>
      <c r="L151" s="120">
        <f>(K151/C151)</f>
        <v>28.327645051194541</v>
      </c>
      <c r="M151" s="122">
        <f t="shared" si="38"/>
        <v>27665.14</v>
      </c>
      <c r="N151" s="116">
        <f t="shared" si="39"/>
        <v>19365.14</v>
      </c>
      <c r="O151" s="123">
        <f t="shared" si="40"/>
        <v>66.09262798634812</v>
      </c>
      <c r="P151" s="5"/>
      <c r="Q151" s="5">
        <f t="shared" si="36"/>
        <v>1</v>
      </c>
      <c r="R151" s="7">
        <f t="shared" si="37"/>
        <v>293</v>
      </c>
      <c r="S151" s="5">
        <f t="shared" si="34"/>
        <v>1</v>
      </c>
      <c r="T151" s="7">
        <f t="shared" si="35"/>
        <v>293</v>
      </c>
    </row>
    <row r="152" spans="1:20">
      <c r="A152" s="23" t="s">
        <v>175</v>
      </c>
      <c r="B152" s="35" t="s">
        <v>167</v>
      </c>
      <c r="C152" s="36">
        <v>2300</v>
      </c>
      <c r="D152" s="6"/>
      <c r="E152" s="113">
        <v>43804377</v>
      </c>
      <c r="F152" s="116">
        <f t="shared" si="32"/>
        <v>19045.381304347826</v>
      </c>
      <c r="G152" s="117">
        <v>11288654</v>
      </c>
      <c r="H152" s="117">
        <f t="shared" si="33"/>
        <v>4908.1104347826085</v>
      </c>
      <c r="I152" s="9" t="s">
        <v>528</v>
      </c>
      <c r="J152" s="10"/>
      <c r="K152" s="117"/>
      <c r="L152" s="120"/>
      <c r="M152" s="122">
        <f t="shared" si="38"/>
        <v>112886.54000000001</v>
      </c>
      <c r="N152" s="116">
        <f t="shared" si="39"/>
        <v>112886.54000000001</v>
      </c>
      <c r="O152" s="123">
        <f t="shared" si="40"/>
        <v>49.081104347826091</v>
      </c>
      <c r="P152" s="5"/>
      <c r="Q152" s="5">
        <f t="shared" si="36"/>
        <v>1</v>
      </c>
      <c r="R152" s="7">
        <f t="shared" si="37"/>
        <v>2300</v>
      </c>
      <c r="S152" s="5">
        <f t="shared" si="34"/>
        <v>0</v>
      </c>
      <c r="T152" s="7">
        <f t="shared" si="35"/>
        <v>0</v>
      </c>
    </row>
    <row r="153" spans="1:20">
      <c r="A153" s="23" t="s">
        <v>176</v>
      </c>
      <c r="B153" s="35" t="s">
        <v>167</v>
      </c>
      <c r="C153" s="36">
        <v>6562</v>
      </c>
      <c r="D153" s="6"/>
      <c r="E153" s="113">
        <v>336639365</v>
      </c>
      <c r="F153" s="116">
        <f t="shared" si="32"/>
        <v>51301.335720816824</v>
      </c>
      <c r="G153" s="117">
        <v>201388771</v>
      </c>
      <c r="H153" s="117">
        <f t="shared" si="33"/>
        <v>30690.151021030175</v>
      </c>
      <c r="I153" s="7"/>
      <c r="J153" s="11">
        <v>2.1</v>
      </c>
      <c r="K153" s="117">
        <v>422916</v>
      </c>
      <c r="L153" s="120">
        <f>(K153/C153)</f>
        <v>64.449253276440103</v>
      </c>
      <c r="M153" s="122">
        <f t="shared" si="38"/>
        <v>2013887.71</v>
      </c>
      <c r="N153" s="116">
        <f t="shared" si="39"/>
        <v>1590971.71</v>
      </c>
      <c r="O153" s="123">
        <f t="shared" si="40"/>
        <v>242.45225693386163</v>
      </c>
      <c r="P153" s="5"/>
      <c r="Q153" s="5">
        <f t="shared" si="36"/>
        <v>1</v>
      </c>
      <c r="R153" s="7">
        <f t="shared" si="37"/>
        <v>6562</v>
      </c>
      <c r="S153" s="5">
        <f t="shared" si="34"/>
        <v>1</v>
      </c>
      <c r="T153" s="7">
        <f t="shared" si="35"/>
        <v>6562</v>
      </c>
    </row>
    <row r="154" spans="1:20">
      <c r="A154" s="23" t="s">
        <v>177</v>
      </c>
      <c r="B154" s="35" t="s">
        <v>167</v>
      </c>
      <c r="C154" s="36">
        <v>1996</v>
      </c>
      <c r="D154" s="6"/>
      <c r="E154" s="113">
        <v>55919330</v>
      </c>
      <c r="F154" s="116">
        <f t="shared" si="32"/>
        <v>28015.696392785572</v>
      </c>
      <c r="G154" s="117">
        <v>29273562</v>
      </c>
      <c r="H154" s="117">
        <f t="shared" si="33"/>
        <v>14666.113226452906</v>
      </c>
      <c r="I154" s="7"/>
      <c r="J154" s="10">
        <v>0.53610000000000002</v>
      </c>
      <c r="K154" s="117">
        <v>15694</v>
      </c>
      <c r="L154" s="120">
        <f>(K154/C154)</f>
        <v>7.8627254509018032</v>
      </c>
      <c r="M154" s="122">
        <f t="shared" si="38"/>
        <v>292735.62</v>
      </c>
      <c r="N154" s="116">
        <f t="shared" si="39"/>
        <v>277041.62</v>
      </c>
      <c r="O154" s="123">
        <f t="shared" si="40"/>
        <v>138.79840681362725</v>
      </c>
      <c r="P154" s="5"/>
      <c r="Q154" s="5">
        <f t="shared" si="36"/>
        <v>1</v>
      </c>
      <c r="R154" s="7">
        <f t="shared" si="37"/>
        <v>1996</v>
      </c>
      <c r="S154" s="5">
        <f t="shared" si="34"/>
        <v>1</v>
      </c>
      <c r="T154" s="7">
        <f t="shared" si="35"/>
        <v>1996</v>
      </c>
    </row>
    <row r="155" spans="1:20">
      <c r="A155" s="23" t="s">
        <v>178</v>
      </c>
      <c r="B155" s="35" t="s">
        <v>179</v>
      </c>
      <c r="C155" s="36">
        <v>2520</v>
      </c>
      <c r="D155" s="6"/>
      <c r="E155" s="113">
        <v>132980491</v>
      </c>
      <c r="F155" s="116">
        <f t="shared" si="32"/>
        <v>52770.036111111112</v>
      </c>
      <c r="G155" s="117">
        <v>84550811</v>
      </c>
      <c r="H155" s="117">
        <f t="shared" si="33"/>
        <v>33551.90912698413</v>
      </c>
      <c r="I155" s="7"/>
      <c r="J155" s="10">
        <v>7</v>
      </c>
      <c r="K155" s="117">
        <v>591856</v>
      </c>
      <c r="L155" s="120">
        <f>(K155/C155)</f>
        <v>234.86349206349206</v>
      </c>
      <c r="M155" s="122">
        <f t="shared" si="38"/>
        <v>845508.11</v>
      </c>
      <c r="N155" s="116">
        <f t="shared" si="39"/>
        <v>253652.11</v>
      </c>
      <c r="O155" s="123">
        <f t="shared" si="40"/>
        <v>100.65559920634919</v>
      </c>
      <c r="P155" s="5"/>
      <c r="Q155" s="5">
        <f t="shared" si="36"/>
        <v>1</v>
      </c>
      <c r="R155" s="7">
        <f t="shared" si="37"/>
        <v>2520</v>
      </c>
      <c r="S155" s="5">
        <f t="shared" si="34"/>
        <v>1</v>
      </c>
      <c r="T155" s="7">
        <f t="shared" si="35"/>
        <v>2520</v>
      </c>
    </row>
    <row r="156" spans="1:20">
      <c r="A156" s="23" t="s">
        <v>180</v>
      </c>
      <c r="B156" s="35" t="s">
        <v>181</v>
      </c>
      <c r="C156" s="36">
        <v>1025</v>
      </c>
      <c r="D156" s="6"/>
      <c r="E156" s="113">
        <v>42116949</v>
      </c>
      <c r="F156" s="116">
        <f t="shared" si="32"/>
        <v>41089.706341463418</v>
      </c>
      <c r="G156" s="117">
        <v>20802252</v>
      </c>
      <c r="H156" s="117">
        <f t="shared" si="33"/>
        <v>20294.88</v>
      </c>
      <c r="I156" s="7"/>
      <c r="J156" s="10">
        <v>2.5</v>
      </c>
      <c r="K156" s="117">
        <v>52006</v>
      </c>
      <c r="L156" s="120">
        <f>(K156/C156)</f>
        <v>50.737560975609753</v>
      </c>
      <c r="M156" s="122">
        <f t="shared" si="38"/>
        <v>208022.52000000002</v>
      </c>
      <c r="N156" s="116">
        <f t="shared" si="39"/>
        <v>156016.52000000002</v>
      </c>
      <c r="O156" s="123">
        <f t="shared" si="40"/>
        <v>152.21123902439027</v>
      </c>
      <c r="P156" s="5"/>
      <c r="Q156" s="5">
        <f t="shared" si="36"/>
        <v>1</v>
      </c>
      <c r="R156" s="7">
        <f t="shared" si="37"/>
        <v>1025</v>
      </c>
      <c r="S156" s="5">
        <f t="shared" si="34"/>
        <v>1</v>
      </c>
      <c r="T156" s="7">
        <f t="shared" si="35"/>
        <v>1025</v>
      </c>
    </row>
    <row r="157" spans="1:20">
      <c r="A157" s="23" t="s">
        <v>182</v>
      </c>
      <c r="B157" s="35" t="s">
        <v>183</v>
      </c>
      <c r="C157" s="36">
        <v>1591</v>
      </c>
      <c r="D157" s="6" t="s">
        <v>527</v>
      </c>
      <c r="E157" s="113"/>
      <c r="F157" s="116"/>
      <c r="G157" s="113"/>
      <c r="H157" s="117"/>
      <c r="I157" s="9" t="s">
        <v>528</v>
      </c>
      <c r="J157" s="10"/>
      <c r="K157" s="117"/>
      <c r="L157" s="120"/>
      <c r="M157" s="122">
        <f t="shared" si="38"/>
        <v>0</v>
      </c>
      <c r="N157" s="116">
        <f t="shared" si="39"/>
        <v>0</v>
      </c>
      <c r="O157" s="123">
        <f t="shared" si="40"/>
        <v>0</v>
      </c>
      <c r="P157" s="5"/>
      <c r="Q157" s="5">
        <f t="shared" si="36"/>
        <v>0</v>
      </c>
      <c r="R157" s="7">
        <f t="shared" si="37"/>
        <v>0</v>
      </c>
      <c r="S157" s="5">
        <f t="shared" si="34"/>
        <v>0</v>
      </c>
      <c r="T157" s="7">
        <f t="shared" si="35"/>
        <v>0</v>
      </c>
    </row>
    <row r="158" spans="1:20">
      <c r="A158" s="23" t="s">
        <v>184</v>
      </c>
      <c r="B158" s="35" t="s">
        <v>183</v>
      </c>
      <c r="C158" s="36">
        <v>22097</v>
      </c>
      <c r="D158" s="6"/>
      <c r="E158" s="113">
        <v>2638018202</v>
      </c>
      <c r="F158" s="116">
        <f t="shared" ref="F158:F221" si="42">(E158/C158)</f>
        <v>119383.54536814953</v>
      </c>
      <c r="G158" s="117">
        <v>2017376695</v>
      </c>
      <c r="H158" s="117">
        <f t="shared" ref="H158:H221" si="43">(G158/C158)</f>
        <v>91296.406525772734</v>
      </c>
      <c r="I158" s="7"/>
      <c r="J158" s="10">
        <v>3.7290000000000001</v>
      </c>
      <c r="K158" s="117">
        <v>7522798</v>
      </c>
      <c r="L158" s="120">
        <f t="shared" ref="L158:L197" si="44">(K158/C158)</f>
        <v>340.44431370774311</v>
      </c>
      <c r="M158" s="122">
        <f t="shared" si="38"/>
        <v>20173766.949999999</v>
      </c>
      <c r="N158" s="116">
        <f t="shared" si="39"/>
        <v>12650968.949999999</v>
      </c>
      <c r="O158" s="123">
        <f t="shared" si="40"/>
        <v>572.51975154998411</v>
      </c>
      <c r="P158" s="5"/>
      <c r="Q158" s="5">
        <f t="shared" si="36"/>
        <v>1</v>
      </c>
      <c r="R158" s="7">
        <f t="shared" si="37"/>
        <v>22097</v>
      </c>
      <c r="S158" s="5">
        <f t="shared" si="34"/>
        <v>1</v>
      </c>
      <c r="T158" s="7">
        <f t="shared" si="35"/>
        <v>22097</v>
      </c>
    </row>
    <row r="159" spans="1:20">
      <c r="A159" s="23" t="s">
        <v>185</v>
      </c>
      <c r="B159" s="35" t="s">
        <v>183</v>
      </c>
      <c r="C159" s="36">
        <v>17766</v>
      </c>
      <c r="D159" s="6"/>
      <c r="E159" s="113">
        <v>1271558295</v>
      </c>
      <c r="F159" s="116">
        <f t="shared" si="42"/>
        <v>71572.570921985811</v>
      </c>
      <c r="G159" s="117">
        <v>911547969</v>
      </c>
      <c r="H159" s="117">
        <f t="shared" si="43"/>
        <v>51308.565180682199</v>
      </c>
      <c r="I159" s="7"/>
      <c r="J159" s="10">
        <v>5.5</v>
      </c>
      <c r="K159" s="117">
        <v>5013514</v>
      </c>
      <c r="L159" s="120">
        <f t="shared" si="44"/>
        <v>282.1971180907351</v>
      </c>
      <c r="M159" s="122">
        <f t="shared" si="38"/>
        <v>9115479.6899999995</v>
      </c>
      <c r="N159" s="116">
        <f t="shared" si="39"/>
        <v>4101965.6899999995</v>
      </c>
      <c r="O159" s="123">
        <f t="shared" si="40"/>
        <v>230.88853371608687</v>
      </c>
      <c r="P159" s="5"/>
      <c r="Q159" s="5">
        <f t="shared" si="36"/>
        <v>1</v>
      </c>
      <c r="R159" s="7">
        <f t="shared" si="37"/>
        <v>17766</v>
      </c>
      <c r="S159" s="5">
        <f t="shared" si="34"/>
        <v>1</v>
      </c>
      <c r="T159" s="7">
        <f t="shared" si="35"/>
        <v>17766</v>
      </c>
    </row>
    <row r="160" spans="1:20">
      <c r="A160" s="23" t="s">
        <v>186</v>
      </c>
      <c r="B160" s="35" t="s">
        <v>183</v>
      </c>
      <c r="C160" s="36">
        <v>3628</v>
      </c>
      <c r="D160" s="6"/>
      <c r="E160" s="113">
        <v>225152371</v>
      </c>
      <c r="F160" s="116">
        <f t="shared" si="42"/>
        <v>62059.63919514884</v>
      </c>
      <c r="G160" s="117">
        <v>161233539</v>
      </c>
      <c r="H160" s="117">
        <f t="shared" si="43"/>
        <v>44441.438533627341</v>
      </c>
      <c r="I160" s="7"/>
      <c r="J160" s="10">
        <v>4.3899999999999997</v>
      </c>
      <c r="K160" s="117">
        <v>707815</v>
      </c>
      <c r="L160" s="120">
        <f t="shared" si="44"/>
        <v>195.0978500551268</v>
      </c>
      <c r="M160" s="122">
        <f t="shared" si="38"/>
        <v>1612335.3900000001</v>
      </c>
      <c r="N160" s="116">
        <f t="shared" si="39"/>
        <v>904520.39000000013</v>
      </c>
      <c r="O160" s="123">
        <f t="shared" si="40"/>
        <v>249.31653528114668</v>
      </c>
      <c r="P160" s="5"/>
      <c r="Q160" s="5">
        <f t="shared" si="36"/>
        <v>1</v>
      </c>
      <c r="R160" s="7">
        <f t="shared" si="37"/>
        <v>3628</v>
      </c>
      <c r="S160" s="5">
        <f t="shared" si="34"/>
        <v>1</v>
      </c>
      <c r="T160" s="7">
        <f t="shared" si="35"/>
        <v>3628</v>
      </c>
    </row>
    <row r="161" spans="1:20">
      <c r="A161" s="23" t="s">
        <v>187</v>
      </c>
      <c r="B161" s="35" t="s">
        <v>183</v>
      </c>
      <c r="C161" s="36">
        <v>5923</v>
      </c>
      <c r="D161" s="6"/>
      <c r="E161" s="113">
        <v>505064267</v>
      </c>
      <c r="F161" s="116">
        <f t="shared" si="42"/>
        <v>85271.697957116325</v>
      </c>
      <c r="G161" s="117">
        <v>409029743</v>
      </c>
      <c r="H161" s="117">
        <f t="shared" si="43"/>
        <v>69057.866452811082</v>
      </c>
      <c r="I161" s="7"/>
      <c r="J161" s="10">
        <v>5.65</v>
      </c>
      <c r="K161" s="117">
        <v>2311018</v>
      </c>
      <c r="L161" s="120">
        <f t="shared" si="44"/>
        <v>390.17693736282291</v>
      </c>
      <c r="M161" s="122">
        <f t="shared" si="38"/>
        <v>4090297.43</v>
      </c>
      <c r="N161" s="116">
        <f t="shared" si="39"/>
        <v>1779279.4300000002</v>
      </c>
      <c r="O161" s="123">
        <f t="shared" si="40"/>
        <v>300.40172716528787</v>
      </c>
      <c r="P161" s="5"/>
      <c r="Q161" s="5">
        <f t="shared" si="36"/>
        <v>1</v>
      </c>
      <c r="R161" s="7">
        <f t="shared" si="37"/>
        <v>5923</v>
      </c>
      <c r="S161" s="5">
        <f t="shared" si="34"/>
        <v>1</v>
      </c>
      <c r="T161" s="7">
        <f t="shared" si="35"/>
        <v>5923</v>
      </c>
    </row>
    <row r="162" spans="1:20">
      <c r="A162" s="23" t="s">
        <v>188</v>
      </c>
      <c r="B162" s="35" t="s">
        <v>183</v>
      </c>
      <c r="C162" s="36">
        <v>1156</v>
      </c>
      <c r="D162" s="6"/>
      <c r="E162" s="113">
        <v>139493095</v>
      </c>
      <c r="F162" s="116">
        <f t="shared" si="42"/>
        <v>120668.76730103807</v>
      </c>
      <c r="G162" s="117">
        <v>108714811</v>
      </c>
      <c r="H162" s="117">
        <f t="shared" si="43"/>
        <v>94043.954152249134</v>
      </c>
      <c r="I162" s="7"/>
      <c r="J162" s="10">
        <v>5.4450000000000003</v>
      </c>
      <c r="K162" s="117">
        <v>591952</v>
      </c>
      <c r="L162" s="120">
        <f t="shared" si="44"/>
        <v>512.06920415224909</v>
      </c>
      <c r="M162" s="122">
        <f t="shared" si="38"/>
        <v>1087148.1100000001</v>
      </c>
      <c r="N162" s="116">
        <f t="shared" si="39"/>
        <v>495196.1100000001</v>
      </c>
      <c r="O162" s="123">
        <f t="shared" si="40"/>
        <v>428.37033737024228</v>
      </c>
      <c r="P162" s="5"/>
      <c r="Q162" s="5">
        <f t="shared" si="36"/>
        <v>1</v>
      </c>
      <c r="R162" s="7">
        <f t="shared" si="37"/>
        <v>1156</v>
      </c>
      <c r="S162" s="5">
        <f t="shared" si="34"/>
        <v>1</v>
      </c>
      <c r="T162" s="7">
        <f t="shared" si="35"/>
        <v>1156</v>
      </c>
    </row>
    <row r="163" spans="1:20">
      <c r="A163" s="23" t="s">
        <v>189</v>
      </c>
      <c r="B163" s="35" t="s">
        <v>183</v>
      </c>
      <c r="C163" s="36">
        <v>12805</v>
      </c>
      <c r="D163" s="6"/>
      <c r="E163" s="113">
        <v>1275538830</v>
      </c>
      <c r="F163" s="116">
        <f t="shared" si="42"/>
        <v>99612.559937524406</v>
      </c>
      <c r="G163" s="117">
        <v>848420320</v>
      </c>
      <c r="H163" s="117">
        <f t="shared" si="43"/>
        <v>66256.955876610693</v>
      </c>
      <c r="I163" s="7"/>
      <c r="J163" s="10">
        <v>2.2000000000000002</v>
      </c>
      <c r="K163" s="117">
        <v>1866525</v>
      </c>
      <c r="L163" s="120">
        <f t="shared" si="44"/>
        <v>145.76532604451387</v>
      </c>
      <c r="M163" s="122">
        <f t="shared" si="38"/>
        <v>8484203.1999999993</v>
      </c>
      <c r="N163" s="116">
        <f t="shared" si="39"/>
        <v>6617678.1999999993</v>
      </c>
      <c r="O163" s="123">
        <f t="shared" si="40"/>
        <v>516.80423272159305</v>
      </c>
      <c r="P163" s="5"/>
      <c r="Q163" s="5">
        <f t="shared" si="36"/>
        <v>1</v>
      </c>
      <c r="R163" s="7">
        <f t="shared" si="37"/>
        <v>12805</v>
      </c>
      <c r="S163" s="5">
        <f t="shared" si="34"/>
        <v>1</v>
      </c>
      <c r="T163" s="7">
        <f t="shared" si="35"/>
        <v>12805</v>
      </c>
    </row>
    <row r="164" spans="1:20">
      <c r="A164" s="23" t="s">
        <v>190</v>
      </c>
      <c r="B164" s="35" t="s">
        <v>183</v>
      </c>
      <c r="C164" s="36">
        <v>18841</v>
      </c>
      <c r="D164" s="6"/>
      <c r="E164" s="113">
        <v>1763111380</v>
      </c>
      <c r="F164" s="116">
        <f t="shared" si="42"/>
        <v>93578.439573271055</v>
      </c>
      <c r="G164" s="117">
        <v>1317008576</v>
      </c>
      <c r="H164" s="117">
        <f t="shared" si="43"/>
        <v>69901.203545459372</v>
      </c>
      <c r="I164" s="7"/>
      <c r="J164" s="10">
        <v>4.5</v>
      </c>
      <c r="K164" s="117">
        <v>5926539</v>
      </c>
      <c r="L164" s="120">
        <f t="shared" si="44"/>
        <v>314.5554376094687</v>
      </c>
      <c r="M164" s="122">
        <f t="shared" si="38"/>
        <v>13170085.76</v>
      </c>
      <c r="N164" s="116">
        <f t="shared" si="39"/>
        <v>7243546.7599999998</v>
      </c>
      <c r="O164" s="123">
        <f t="shared" si="40"/>
        <v>384.45659784512497</v>
      </c>
      <c r="P164" s="5"/>
      <c r="Q164" s="5">
        <f t="shared" si="36"/>
        <v>1</v>
      </c>
      <c r="R164" s="7">
        <f t="shared" si="37"/>
        <v>18841</v>
      </c>
      <c r="S164" s="5">
        <f t="shared" si="34"/>
        <v>1</v>
      </c>
      <c r="T164" s="7">
        <f t="shared" si="35"/>
        <v>18841</v>
      </c>
    </row>
    <row r="165" spans="1:20">
      <c r="A165" s="23" t="s">
        <v>191</v>
      </c>
      <c r="B165" s="35" t="s">
        <v>183</v>
      </c>
      <c r="C165" s="36">
        <v>4270</v>
      </c>
      <c r="D165" s="6"/>
      <c r="E165" s="113">
        <v>226152760</v>
      </c>
      <c r="F165" s="116">
        <f t="shared" si="42"/>
        <v>52963.175644028102</v>
      </c>
      <c r="G165" s="117">
        <v>171665543</v>
      </c>
      <c r="H165" s="117">
        <f t="shared" si="43"/>
        <v>40202.703278688525</v>
      </c>
      <c r="I165" s="7"/>
      <c r="J165" s="10">
        <v>5.9989999999999997</v>
      </c>
      <c r="K165" s="117">
        <v>1029822</v>
      </c>
      <c r="L165" s="120">
        <f t="shared" si="44"/>
        <v>241.17611241217799</v>
      </c>
      <c r="M165" s="122">
        <f t="shared" si="38"/>
        <v>1716655.43</v>
      </c>
      <c r="N165" s="116">
        <f t="shared" si="39"/>
        <v>686833.42999999993</v>
      </c>
      <c r="O165" s="123">
        <f t="shared" si="40"/>
        <v>160.85092037470724</v>
      </c>
      <c r="P165" s="5"/>
      <c r="Q165" s="5">
        <f t="shared" si="36"/>
        <v>1</v>
      </c>
      <c r="R165" s="7">
        <f t="shared" si="37"/>
        <v>4270</v>
      </c>
      <c r="S165" s="5">
        <f t="shared" si="34"/>
        <v>1</v>
      </c>
      <c r="T165" s="7">
        <f t="shared" si="35"/>
        <v>4270</v>
      </c>
    </row>
    <row r="166" spans="1:20">
      <c r="A166" s="23" t="s">
        <v>192</v>
      </c>
      <c r="B166" s="35" t="s">
        <v>183</v>
      </c>
      <c r="C166" s="36">
        <v>9440</v>
      </c>
      <c r="D166" s="6"/>
      <c r="E166" s="113">
        <v>648581135</v>
      </c>
      <c r="F166" s="116">
        <f t="shared" si="42"/>
        <v>68705.628707627126</v>
      </c>
      <c r="G166" s="117">
        <v>486128636</v>
      </c>
      <c r="H166" s="117">
        <f t="shared" si="43"/>
        <v>51496.677542372883</v>
      </c>
      <c r="I166" s="7"/>
      <c r="J166" s="10">
        <v>4.1500000000000004</v>
      </c>
      <c r="K166" s="117">
        <v>2017434</v>
      </c>
      <c r="L166" s="120">
        <f t="shared" si="44"/>
        <v>213.71122881355933</v>
      </c>
      <c r="M166" s="122">
        <f t="shared" si="38"/>
        <v>4861286.3600000003</v>
      </c>
      <c r="N166" s="116">
        <f t="shared" si="39"/>
        <v>2843852.3600000003</v>
      </c>
      <c r="O166" s="123">
        <f t="shared" si="40"/>
        <v>301.25554661016952</v>
      </c>
      <c r="P166" s="5"/>
      <c r="Q166" s="5">
        <f t="shared" si="36"/>
        <v>1</v>
      </c>
      <c r="R166" s="7">
        <f t="shared" si="37"/>
        <v>9440</v>
      </c>
      <c r="S166" s="5">
        <f t="shared" si="34"/>
        <v>1</v>
      </c>
      <c r="T166" s="7">
        <f t="shared" si="35"/>
        <v>9440</v>
      </c>
    </row>
    <row r="167" spans="1:20">
      <c r="A167" s="23" t="s">
        <v>193</v>
      </c>
      <c r="B167" s="35" t="s">
        <v>183</v>
      </c>
      <c r="C167" s="36">
        <v>1183</v>
      </c>
      <c r="D167" s="6"/>
      <c r="E167" s="113">
        <v>143525501</v>
      </c>
      <c r="F167" s="116">
        <f t="shared" si="42"/>
        <v>121323.33136094674</v>
      </c>
      <c r="G167" s="117">
        <v>104207997</v>
      </c>
      <c r="H167" s="117">
        <f t="shared" si="43"/>
        <v>88087.909551986479</v>
      </c>
      <c r="I167" s="7"/>
      <c r="J167" s="10">
        <v>2.99</v>
      </c>
      <c r="K167" s="117">
        <v>311582</v>
      </c>
      <c r="L167" s="120">
        <f t="shared" si="44"/>
        <v>263.38292476754015</v>
      </c>
      <c r="M167" s="122">
        <f t="shared" si="38"/>
        <v>1042079.97</v>
      </c>
      <c r="N167" s="116">
        <f t="shared" si="39"/>
        <v>730497.97</v>
      </c>
      <c r="O167" s="123">
        <f t="shared" si="40"/>
        <v>617.49617075232459</v>
      </c>
      <c r="P167" s="5"/>
      <c r="Q167" s="5">
        <f t="shared" si="36"/>
        <v>1</v>
      </c>
      <c r="R167" s="7">
        <f t="shared" si="37"/>
        <v>1183</v>
      </c>
      <c r="S167" s="5">
        <f t="shared" si="34"/>
        <v>1</v>
      </c>
      <c r="T167" s="7">
        <f t="shared" si="35"/>
        <v>1183</v>
      </c>
    </row>
    <row r="168" spans="1:20">
      <c r="A168" s="23" t="s">
        <v>194</v>
      </c>
      <c r="B168" s="35" t="s">
        <v>183</v>
      </c>
      <c r="C168" s="36">
        <v>11125</v>
      </c>
      <c r="D168" s="6"/>
      <c r="E168" s="113">
        <v>1161378821</v>
      </c>
      <c r="F168" s="116">
        <f t="shared" si="42"/>
        <v>104393.60188764046</v>
      </c>
      <c r="G168" s="117">
        <v>888374815</v>
      </c>
      <c r="H168" s="117">
        <f t="shared" si="43"/>
        <v>79853.915955056174</v>
      </c>
      <c r="I168" s="7"/>
      <c r="J168" s="10">
        <v>5.9749999999999996</v>
      </c>
      <c r="K168" s="117">
        <v>5308040</v>
      </c>
      <c r="L168" s="120">
        <f t="shared" si="44"/>
        <v>477.12719101123594</v>
      </c>
      <c r="M168" s="122">
        <f t="shared" si="38"/>
        <v>8883748.1500000004</v>
      </c>
      <c r="N168" s="116">
        <f t="shared" si="39"/>
        <v>3575708.1500000004</v>
      </c>
      <c r="O168" s="123">
        <f t="shared" si="40"/>
        <v>321.41196853932587</v>
      </c>
      <c r="P168" s="5"/>
      <c r="Q168" s="5">
        <f t="shared" si="36"/>
        <v>1</v>
      </c>
      <c r="R168" s="7">
        <f t="shared" si="37"/>
        <v>11125</v>
      </c>
      <c r="S168" s="5">
        <f t="shared" si="34"/>
        <v>1</v>
      </c>
      <c r="T168" s="7">
        <f t="shared" si="35"/>
        <v>11125</v>
      </c>
    </row>
    <row r="169" spans="1:20">
      <c r="A169" s="23" t="s">
        <v>195</v>
      </c>
      <c r="B169" s="35" t="s">
        <v>183</v>
      </c>
      <c r="C169" s="36">
        <v>12552</v>
      </c>
      <c r="D169" s="6"/>
      <c r="E169" s="113">
        <v>1137857386</v>
      </c>
      <c r="F169" s="116">
        <f t="shared" si="42"/>
        <v>90651.480720203952</v>
      </c>
      <c r="G169" s="117">
        <v>724246068</v>
      </c>
      <c r="H169" s="117">
        <f t="shared" si="43"/>
        <v>57699.654875717017</v>
      </c>
      <c r="I169" s="7"/>
      <c r="J169" s="10">
        <v>5.42</v>
      </c>
      <c r="K169" s="117">
        <v>3925414</v>
      </c>
      <c r="L169" s="120">
        <f t="shared" si="44"/>
        <v>312.73215423836837</v>
      </c>
      <c r="M169" s="122">
        <f t="shared" si="38"/>
        <v>7242460.6799999997</v>
      </c>
      <c r="N169" s="116">
        <f t="shared" si="39"/>
        <v>3317046.6799999997</v>
      </c>
      <c r="O169" s="123">
        <f t="shared" si="40"/>
        <v>264.26439451880174</v>
      </c>
      <c r="P169" s="5"/>
      <c r="Q169" s="5">
        <f t="shared" si="36"/>
        <v>1</v>
      </c>
      <c r="R169" s="7">
        <f t="shared" si="37"/>
        <v>12552</v>
      </c>
      <c r="S169" s="5">
        <f t="shared" si="34"/>
        <v>1</v>
      </c>
      <c r="T169" s="7">
        <f t="shared" si="35"/>
        <v>12552</v>
      </c>
    </row>
    <row r="170" spans="1:20">
      <c r="A170" s="23" t="s">
        <v>196</v>
      </c>
      <c r="B170" s="35" t="s">
        <v>183</v>
      </c>
      <c r="C170" s="36">
        <v>2672</v>
      </c>
      <c r="D170" s="6"/>
      <c r="E170" s="113">
        <v>178592493</v>
      </c>
      <c r="F170" s="116">
        <f t="shared" si="42"/>
        <v>66838.507859281439</v>
      </c>
      <c r="G170" s="117">
        <v>123658294</v>
      </c>
      <c r="H170" s="117">
        <f t="shared" si="43"/>
        <v>46279.30164670659</v>
      </c>
      <c r="I170" s="7"/>
      <c r="J170" s="10">
        <v>6.24</v>
      </c>
      <c r="K170" s="117">
        <v>771628</v>
      </c>
      <c r="L170" s="120">
        <f t="shared" si="44"/>
        <v>288.78293413173651</v>
      </c>
      <c r="M170" s="122">
        <f t="shared" si="38"/>
        <v>1236582.94</v>
      </c>
      <c r="N170" s="116">
        <f t="shared" si="39"/>
        <v>464954.93999999994</v>
      </c>
      <c r="O170" s="123">
        <f t="shared" si="40"/>
        <v>174.01008233532932</v>
      </c>
      <c r="P170" s="5"/>
      <c r="Q170" s="5">
        <f t="shared" si="36"/>
        <v>1</v>
      </c>
      <c r="R170" s="7">
        <f t="shared" si="37"/>
        <v>2672</v>
      </c>
      <c r="S170" s="5">
        <f t="shared" si="34"/>
        <v>1</v>
      </c>
      <c r="T170" s="7">
        <f t="shared" si="35"/>
        <v>2672</v>
      </c>
    </row>
    <row r="171" spans="1:20">
      <c r="A171" s="23" t="s">
        <v>448</v>
      </c>
      <c r="B171" s="35" t="s">
        <v>198</v>
      </c>
      <c r="C171" s="36">
        <v>43518</v>
      </c>
      <c r="D171" s="6"/>
      <c r="E171" s="113">
        <v>11856793266</v>
      </c>
      <c r="F171" s="116">
        <f t="shared" si="42"/>
        <v>272457.21921963326</v>
      </c>
      <c r="G171" s="117">
        <v>9803524786</v>
      </c>
      <c r="H171" s="117">
        <f t="shared" si="43"/>
        <v>225275.16857392344</v>
      </c>
      <c r="I171" s="7"/>
      <c r="J171" s="10">
        <v>0.79190000000000005</v>
      </c>
      <c r="K171" s="117">
        <v>7763411</v>
      </c>
      <c r="L171" s="120">
        <f t="shared" si="44"/>
        <v>178.39539960476125</v>
      </c>
      <c r="M171" s="122">
        <f t="shared" si="38"/>
        <v>98035247.859999999</v>
      </c>
      <c r="N171" s="116">
        <f t="shared" si="39"/>
        <v>90271836.859999999</v>
      </c>
      <c r="O171" s="123">
        <f t="shared" si="40"/>
        <v>2074.3562861344731</v>
      </c>
      <c r="P171" s="5"/>
      <c r="Q171" s="5">
        <f t="shared" si="36"/>
        <v>1</v>
      </c>
      <c r="R171" s="7">
        <f t="shared" si="37"/>
        <v>43518</v>
      </c>
      <c r="S171" s="5">
        <f t="shared" si="34"/>
        <v>1</v>
      </c>
      <c r="T171" s="7">
        <f t="shared" si="35"/>
        <v>43518</v>
      </c>
    </row>
    <row r="172" spans="1:20">
      <c r="A172" s="23" t="s">
        <v>197</v>
      </c>
      <c r="B172" s="35" t="s">
        <v>198</v>
      </c>
      <c r="C172" s="36">
        <v>154499</v>
      </c>
      <c r="D172" s="6"/>
      <c r="E172" s="113">
        <v>29114084950</v>
      </c>
      <c r="F172" s="116">
        <f t="shared" si="42"/>
        <v>188441.89897669241</v>
      </c>
      <c r="G172" s="117">
        <v>21683370120</v>
      </c>
      <c r="H172" s="117">
        <f t="shared" si="43"/>
        <v>140346.3460604923</v>
      </c>
      <c r="I172" s="7"/>
      <c r="J172" s="10">
        <v>4.8787000000000003</v>
      </c>
      <c r="K172" s="117">
        <v>105786658</v>
      </c>
      <c r="L172" s="120">
        <f t="shared" si="44"/>
        <v>684.70771979106667</v>
      </c>
      <c r="M172" s="122">
        <f t="shared" si="38"/>
        <v>216833701.20000002</v>
      </c>
      <c r="N172" s="116">
        <f t="shared" si="39"/>
        <v>111047043.20000002</v>
      </c>
      <c r="O172" s="123">
        <f t="shared" si="40"/>
        <v>718.75574081385651</v>
      </c>
      <c r="P172" s="5"/>
      <c r="Q172" s="5">
        <f t="shared" si="36"/>
        <v>1</v>
      </c>
      <c r="R172" s="7">
        <f t="shared" si="37"/>
        <v>154499</v>
      </c>
      <c r="S172" s="5">
        <f t="shared" si="34"/>
        <v>1</v>
      </c>
      <c r="T172" s="7">
        <f t="shared" si="35"/>
        <v>154499</v>
      </c>
    </row>
    <row r="173" spans="1:20">
      <c r="A173" s="23" t="s">
        <v>199</v>
      </c>
      <c r="B173" s="35" t="s">
        <v>198</v>
      </c>
      <c r="C173" s="36">
        <v>65729</v>
      </c>
      <c r="D173" s="6"/>
      <c r="E173" s="113">
        <v>8208669737</v>
      </c>
      <c r="F173" s="116">
        <f t="shared" si="42"/>
        <v>124886.57574282281</v>
      </c>
      <c r="G173" s="117">
        <v>5936396097</v>
      </c>
      <c r="H173" s="117">
        <f t="shared" si="43"/>
        <v>90316.239361621207</v>
      </c>
      <c r="I173" s="7"/>
      <c r="J173" s="10">
        <v>6.8</v>
      </c>
      <c r="K173" s="117">
        <v>40367493</v>
      </c>
      <c r="L173" s="120">
        <f t="shared" si="44"/>
        <v>614.15042066667684</v>
      </c>
      <c r="M173" s="122">
        <f t="shared" si="38"/>
        <v>59363960.969999999</v>
      </c>
      <c r="N173" s="116">
        <f t="shared" si="39"/>
        <v>18996467.969999999</v>
      </c>
      <c r="O173" s="123">
        <f t="shared" si="40"/>
        <v>289.01197294953522</v>
      </c>
      <c r="P173" s="5"/>
      <c r="Q173" s="5">
        <f t="shared" si="36"/>
        <v>1</v>
      </c>
      <c r="R173" s="7">
        <f t="shared" si="37"/>
        <v>65729</v>
      </c>
      <c r="S173" s="5">
        <f t="shared" si="34"/>
        <v>1</v>
      </c>
      <c r="T173" s="7">
        <f t="shared" si="35"/>
        <v>65729</v>
      </c>
    </row>
    <row r="174" spans="1:20">
      <c r="A174" s="23" t="s">
        <v>200</v>
      </c>
      <c r="B174" s="35" t="s">
        <v>198</v>
      </c>
      <c r="C174" s="36">
        <v>6874</v>
      </c>
      <c r="D174" s="6"/>
      <c r="E174" s="113">
        <v>4508373170</v>
      </c>
      <c r="F174" s="116">
        <f t="shared" si="42"/>
        <v>655858.76782077388</v>
      </c>
      <c r="G174" s="117">
        <v>3780475940</v>
      </c>
      <c r="H174" s="117">
        <f t="shared" si="43"/>
        <v>549967.40471341286</v>
      </c>
      <c r="I174" s="7"/>
      <c r="J174" s="10">
        <v>0.60960000000000003</v>
      </c>
      <c r="K174" s="117">
        <v>2304578</v>
      </c>
      <c r="L174" s="120">
        <f t="shared" si="44"/>
        <v>335.26011056153624</v>
      </c>
      <c r="M174" s="122">
        <f t="shared" si="38"/>
        <v>37804759.399999999</v>
      </c>
      <c r="N174" s="116">
        <f t="shared" si="39"/>
        <v>35500181.399999999</v>
      </c>
      <c r="O174" s="123">
        <f t="shared" si="40"/>
        <v>5164.4139365725923</v>
      </c>
      <c r="P174" s="5"/>
      <c r="Q174" s="5">
        <f t="shared" si="36"/>
        <v>1</v>
      </c>
      <c r="R174" s="7">
        <f t="shared" si="37"/>
        <v>6874</v>
      </c>
      <c r="S174" s="5">
        <f t="shared" si="34"/>
        <v>1</v>
      </c>
      <c r="T174" s="7">
        <f t="shared" si="35"/>
        <v>6874</v>
      </c>
    </row>
    <row r="175" spans="1:20">
      <c r="A175" s="23" t="s">
        <v>201</v>
      </c>
      <c r="B175" s="35" t="s">
        <v>198</v>
      </c>
      <c r="C175" s="36">
        <v>6321</v>
      </c>
      <c r="D175" s="6"/>
      <c r="E175" s="113">
        <v>5808792820</v>
      </c>
      <c r="F175" s="116">
        <f t="shared" si="42"/>
        <v>918967.381743395</v>
      </c>
      <c r="G175" s="117">
        <v>4990360370</v>
      </c>
      <c r="H175" s="117">
        <f t="shared" si="43"/>
        <v>789489.06343932927</v>
      </c>
      <c r="I175" s="7"/>
      <c r="J175" s="10">
        <v>2.5</v>
      </c>
      <c r="K175" s="117">
        <v>12475901</v>
      </c>
      <c r="L175" s="120">
        <f t="shared" si="44"/>
        <v>1973.7226704635343</v>
      </c>
      <c r="M175" s="122">
        <f t="shared" si="38"/>
        <v>49903603.700000003</v>
      </c>
      <c r="N175" s="116">
        <f t="shared" si="39"/>
        <v>37427702.700000003</v>
      </c>
      <c r="O175" s="123">
        <f t="shared" si="40"/>
        <v>5921.1679639297581</v>
      </c>
      <c r="P175" s="5"/>
      <c r="Q175" s="5">
        <f t="shared" si="36"/>
        <v>1</v>
      </c>
      <c r="R175" s="7">
        <f t="shared" si="37"/>
        <v>6321</v>
      </c>
      <c r="S175" s="5">
        <f t="shared" si="34"/>
        <v>1</v>
      </c>
      <c r="T175" s="7">
        <f t="shared" si="35"/>
        <v>6321</v>
      </c>
    </row>
    <row r="176" spans="1:20">
      <c r="A176" s="23" t="s">
        <v>202</v>
      </c>
      <c r="B176" s="35" t="s">
        <v>203</v>
      </c>
      <c r="C176" s="36">
        <v>176336</v>
      </c>
      <c r="D176" s="6"/>
      <c r="E176" s="113">
        <v>17643757605</v>
      </c>
      <c r="F176" s="116">
        <f t="shared" si="42"/>
        <v>100057.60369408403</v>
      </c>
      <c r="G176" s="117">
        <v>10083178419</v>
      </c>
      <c r="H176" s="117">
        <f t="shared" si="43"/>
        <v>57181.621557708015</v>
      </c>
      <c r="I176" s="7"/>
      <c r="J176" s="10">
        <v>3.7</v>
      </c>
      <c r="K176" s="117">
        <v>37307760</v>
      </c>
      <c r="L176" s="120">
        <f t="shared" si="44"/>
        <v>211.57199891116957</v>
      </c>
      <c r="M176" s="122">
        <f t="shared" si="38"/>
        <v>100831784.19</v>
      </c>
      <c r="N176" s="116">
        <f t="shared" si="39"/>
        <v>63524024.189999998</v>
      </c>
      <c r="O176" s="123">
        <f t="shared" si="40"/>
        <v>360.24421666591053</v>
      </c>
      <c r="P176" s="5"/>
      <c r="Q176" s="5">
        <f t="shared" si="36"/>
        <v>1</v>
      </c>
      <c r="R176" s="7">
        <f t="shared" si="37"/>
        <v>176336</v>
      </c>
      <c r="S176" s="5">
        <f t="shared" si="34"/>
        <v>1</v>
      </c>
      <c r="T176" s="7">
        <f t="shared" si="35"/>
        <v>176336</v>
      </c>
    </row>
    <row r="177" spans="1:20">
      <c r="A177" s="23" t="s">
        <v>204</v>
      </c>
      <c r="B177" s="35" t="s">
        <v>205</v>
      </c>
      <c r="C177" s="36">
        <v>1130</v>
      </c>
      <c r="D177" s="6"/>
      <c r="E177" s="113">
        <v>59590506</v>
      </c>
      <c r="F177" s="116">
        <f t="shared" si="42"/>
        <v>52734.961061946902</v>
      </c>
      <c r="G177" s="117">
        <v>35182116</v>
      </c>
      <c r="H177" s="117">
        <f t="shared" si="43"/>
        <v>31134.615929203541</v>
      </c>
      <c r="I177" s="7"/>
      <c r="J177" s="10">
        <v>3.2</v>
      </c>
      <c r="K177" s="117">
        <v>112583</v>
      </c>
      <c r="L177" s="120">
        <f t="shared" si="44"/>
        <v>99.630973451327435</v>
      </c>
      <c r="M177" s="122">
        <f t="shared" si="38"/>
        <v>351821.16000000003</v>
      </c>
      <c r="N177" s="116">
        <f t="shared" si="39"/>
        <v>239238.16000000003</v>
      </c>
      <c r="O177" s="123">
        <f t="shared" si="40"/>
        <v>211.71518584070799</v>
      </c>
      <c r="P177" s="5"/>
      <c r="Q177" s="5">
        <f t="shared" si="36"/>
        <v>1</v>
      </c>
      <c r="R177" s="7">
        <f t="shared" si="37"/>
        <v>1130</v>
      </c>
      <c r="S177" s="5">
        <f t="shared" si="34"/>
        <v>1</v>
      </c>
      <c r="T177" s="7">
        <f t="shared" si="35"/>
        <v>1130</v>
      </c>
    </row>
    <row r="178" spans="1:20">
      <c r="A178" s="23" t="s">
        <v>206</v>
      </c>
      <c r="B178" s="35" t="s">
        <v>205</v>
      </c>
      <c r="C178" s="36">
        <v>924</v>
      </c>
      <c r="D178" s="6"/>
      <c r="E178" s="113">
        <v>334940300</v>
      </c>
      <c r="F178" s="116">
        <f t="shared" si="42"/>
        <v>362489.50216450216</v>
      </c>
      <c r="G178" s="117">
        <v>241293927</v>
      </c>
      <c r="H178" s="117">
        <f t="shared" si="43"/>
        <v>261140.61363636365</v>
      </c>
      <c r="I178" s="7"/>
      <c r="J178" s="10">
        <v>3.125</v>
      </c>
      <c r="K178" s="117">
        <v>754044</v>
      </c>
      <c r="L178" s="120">
        <f t="shared" si="44"/>
        <v>816.06493506493507</v>
      </c>
      <c r="M178" s="122">
        <f t="shared" si="38"/>
        <v>2412939.27</v>
      </c>
      <c r="N178" s="116">
        <f t="shared" si="39"/>
        <v>1658895.27</v>
      </c>
      <c r="O178" s="123">
        <f t="shared" si="40"/>
        <v>1795.3412012987012</v>
      </c>
      <c r="P178" s="5"/>
      <c r="Q178" s="5">
        <f t="shared" si="36"/>
        <v>1</v>
      </c>
      <c r="R178" s="7">
        <f t="shared" si="37"/>
        <v>924</v>
      </c>
      <c r="S178" s="5">
        <f t="shared" si="34"/>
        <v>1</v>
      </c>
      <c r="T178" s="7">
        <f t="shared" si="35"/>
        <v>924</v>
      </c>
    </row>
    <row r="179" spans="1:20">
      <c r="A179" s="23" t="s">
        <v>207</v>
      </c>
      <c r="B179" s="35" t="s">
        <v>205</v>
      </c>
      <c r="C179" s="36">
        <v>2140</v>
      </c>
      <c r="D179" s="6"/>
      <c r="E179" s="113">
        <v>170213177</v>
      </c>
      <c r="F179" s="116">
        <f t="shared" si="42"/>
        <v>79538.867757009342</v>
      </c>
      <c r="G179" s="117">
        <v>123967719</v>
      </c>
      <c r="H179" s="117">
        <f t="shared" si="43"/>
        <v>57928.840654205611</v>
      </c>
      <c r="I179" s="7"/>
      <c r="J179" s="10">
        <v>4.9390000000000001</v>
      </c>
      <c r="K179" s="117">
        <v>612277</v>
      </c>
      <c r="L179" s="120">
        <f t="shared" si="44"/>
        <v>286.11074766355142</v>
      </c>
      <c r="M179" s="122">
        <f t="shared" si="38"/>
        <v>1239677.19</v>
      </c>
      <c r="N179" s="116">
        <f t="shared" si="39"/>
        <v>627400.18999999994</v>
      </c>
      <c r="O179" s="123">
        <f t="shared" si="40"/>
        <v>293.17765887850464</v>
      </c>
      <c r="P179" s="5"/>
      <c r="Q179" s="5">
        <f t="shared" si="36"/>
        <v>1</v>
      </c>
      <c r="R179" s="7">
        <f t="shared" si="37"/>
        <v>2140</v>
      </c>
      <c r="S179" s="5">
        <f t="shared" si="34"/>
        <v>1</v>
      </c>
      <c r="T179" s="7">
        <f t="shared" si="35"/>
        <v>2140</v>
      </c>
    </row>
    <row r="180" spans="1:20">
      <c r="A180" s="23" t="s">
        <v>208</v>
      </c>
      <c r="B180" s="35" t="s">
        <v>205</v>
      </c>
      <c r="C180" s="36">
        <v>1731</v>
      </c>
      <c r="D180" s="6"/>
      <c r="E180" s="113">
        <v>129589001</v>
      </c>
      <c r="F180" s="116">
        <f t="shared" si="42"/>
        <v>74863.663200462164</v>
      </c>
      <c r="G180" s="117">
        <v>89445047</v>
      </c>
      <c r="H180" s="117">
        <f t="shared" si="43"/>
        <v>51672.470826112076</v>
      </c>
      <c r="I180" s="7"/>
      <c r="J180" s="10">
        <v>4.5</v>
      </c>
      <c r="K180" s="117">
        <v>402503</v>
      </c>
      <c r="L180" s="120">
        <f t="shared" si="44"/>
        <v>232.52628538417099</v>
      </c>
      <c r="M180" s="122">
        <f t="shared" si="38"/>
        <v>894450.47</v>
      </c>
      <c r="N180" s="116">
        <f t="shared" si="39"/>
        <v>491947.47</v>
      </c>
      <c r="O180" s="123">
        <f t="shared" si="40"/>
        <v>284.19842287694973</v>
      </c>
      <c r="P180" s="5"/>
      <c r="Q180" s="5">
        <f t="shared" si="36"/>
        <v>1</v>
      </c>
      <c r="R180" s="7">
        <f t="shared" si="37"/>
        <v>1731</v>
      </c>
      <c r="S180" s="5">
        <f t="shared" si="34"/>
        <v>1</v>
      </c>
      <c r="T180" s="7">
        <f t="shared" si="35"/>
        <v>1731</v>
      </c>
    </row>
    <row r="181" spans="1:20">
      <c r="A181" s="23" t="s">
        <v>209</v>
      </c>
      <c r="B181" s="35" t="s">
        <v>205</v>
      </c>
      <c r="C181" s="36">
        <v>143</v>
      </c>
      <c r="D181" s="6"/>
      <c r="E181" s="113">
        <v>8583528</v>
      </c>
      <c r="F181" s="116">
        <f t="shared" si="42"/>
        <v>60024.671328671328</v>
      </c>
      <c r="G181" s="117">
        <v>4761280</v>
      </c>
      <c r="H181" s="117">
        <f t="shared" si="43"/>
        <v>33295.664335664333</v>
      </c>
      <c r="I181" s="7"/>
      <c r="J181" s="10">
        <v>3</v>
      </c>
      <c r="K181" s="117">
        <v>14284</v>
      </c>
      <c r="L181" s="120">
        <f t="shared" si="44"/>
        <v>99.888111888111894</v>
      </c>
      <c r="M181" s="122">
        <f t="shared" si="38"/>
        <v>47612.800000000003</v>
      </c>
      <c r="N181" s="116">
        <f t="shared" si="39"/>
        <v>33328.800000000003</v>
      </c>
      <c r="O181" s="123">
        <f t="shared" si="40"/>
        <v>233.06853146853149</v>
      </c>
      <c r="P181" s="5"/>
      <c r="Q181" s="5">
        <f t="shared" si="36"/>
        <v>1</v>
      </c>
      <c r="R181" s="7">
        <f t="shared" si="37"/>
        <v>143</v>
      </c>
      <c r="S181" s="5">
        <f t="shared" si="34"/>
        <v>1</v>
      </c>
      <c r="T181" s="7">
        <f t="shared" si="35"/>
        <v>143</v>
      </c>
    </row>
    <row r="182" spans="1:20">
      <c r="A182" s="23" t="s">
        <v>210</v>
      </c>
      <c r="B182" s="35" t="s">
        <v>205</v>
      </c>
      <c r="C182" s="36">
        <v>2425</v>
      </c>
      <c r="D182" s="6"/>
      <c r="E182" s="113">
        <v>194817954</v>
      </c>
      <c r="F182" s="116">
        <f t="shared" si="42"/>
        <v>80337.300618556706</v>
      </c>
      <c r="G182" s="117">
        <v>113438881</v>
      </c>
      <c r="H182" s="117">
        <f t="shared" si="43"/>
        <v>46778.92</v>
      </c>
      <c r="I182" s="7"/>
      <c r="J182" s="10">
        <v>5.5</v>
      </c>
      <c r="K182" s="117">
        <v>623914</v>
      </c>
      <c r="L182" s="120">
        <f t="shared" si="44"/>
        <v>257.28412371134021</v>
      </c>
      <c r="M182" s="122">
        <f t="shared" si="38"/>
        <v>1134388.81</v>
      </c>
      <c r="N182" s="116">
        <f t="shared" si="39"/>
        <v>510474.81000000006</v>
      </c>
      <c r="O182" s="123">
        <f t="shared" si="40"/>
        <v>210.50507628865981</v>
      </c>
      <c r="P182" s="5"/>
      <c r="Q182" s="5">
        <f t="shared" si="36"/>
        <v>1</v>
      </c>
      <c r="R182" s="7">
        <f t="shared" si="37"/>
        <v>2425</v>
      </c>
      <c r="S182" s="5">
        <f t="shared" si="34"/>
        <v>1</v>
      </c>
      <c r="T182" s="7">
        <f t="shared" si="35"/>
        <v>2425</v>
      </c>
    </row>
    <row r="183" spans="1:20">
      <c r="A183" s="23" t="s">
        <v>211</v>
      </c>
      <c r="B183" s="35" t="s">
        <v>205</v>
      </c>
      <c r="C183" s="36">
        <v>759</v>
      </c>
      <c r="D183" s="6"/>
      <c r="E183" s="113">
        <v>134595806</v>
      </c>
      <c r="F183" s="116">
        <f t="shared" si="42"/>
        <v>177333.07773386035</v>
      </c>
      <c r="G183" s="117">
        <v>94422642</v>
      </c>
      <c r="H183" s="117">
        <f t="shared" si="43"/>
        <v>124404.00790513834</v>
      </c>
      <c r="I183" s="7"/>
      <c r="J183" s="10">
        <v>1.5</v>
      </c>
      <c r="K183" s="117">
        <v>141634</v>
      </c>
      <c r="L183" s="120">
        <f t="shared" si="44"/>
        <v>186.60606060606059</v>
      </c>
      <c r="M183" s="122">
        <f t="shared" si="38"/>
        <v>944226.42</v>
      </c>
      <c r="N183" s="116">
        <f t="shared" si="39"/>
        <v>802592.42</v>
      </c>
      <c r="O183" s="123">
        <f t="shared" si="40"/>
        <v>1057.4340184453229</v>
      </c>
      <c r="P183" s="5"/>
      <c r="Q183" s="5">
        <f t="shared" si="36"/>
        <v>1</v>
      </c>
      <c r="R183" s="7">
        <f t="shared" si="37"/>
        <v>759</v>
      </c>
      <c r="S183" s="5">
        <f t="shared" si="34"/>
        <v>1</v>
      </c>
      <c r="T183" s="7">
        <f t="shared" si="35"/>
        <v>759</v>
      </c>
    </row>
    <row r="184" spans="1:20">
      <c r="A184" s="23" t="s">
        <v>212</v>
      </c>
      <c r="B184" s="35" t="s">
        <v>213</v>
      </c>
      <c r="C184" s="36">
        <v>957</v>
      </c>
      <c r="D184" s="6"/>
      <c r="E184" s="113">
        <v>52231342</v>
      </c>
      <c r="F184" s="116">
        <f t="shared" si="42"/>
        <v>54578.204806687565</v>
      </c>
      <c r="G184" s="117">
        <v>21200830</v>
      </c>
      <c r="H184" s="117">
        <f t="shared" si="43"/>
        <v>22153.42737722048</v>
      </c>
      <c r="I184" s="7"/>
      <c r="J184" s="10">
        <v>3</v>
      </c>
      <c r="K184" s="117">
        <v>63602</v>
      </c>
      <c r="L184" s="120">
        <f t="shared" si="44"/>
        <v>66.459770114942529</v>
      </c>
      <c r="M184" s="122">
        <f t="shared" si="38"/>
        <v>212008.30000000002</v>
      </c>
      <c r="N184" s="116">
        <f t="shared" si="39"/>
        <v>148406.30000000002</v>
      </c>
      <c r="O184" s="123">
        <f t="shared" si="40"/>
        <v>155.07450365726228</v>
      </c>
      <c r="P184" s="5"/>
      <c r="Q184" s="5">
        <f t="shared" si="36"/>
        <v>1</v>
      </c>
      <c r="R184" s="7">
        <f t="shared" si="37"/>
        <v>957</v>
      </c>
      <c r="S184" s="5">
        <f t="shared" si="34"/>
        <v>1</v>
      </c>
      <c r="T184" s="7">
        <f t="shared" si="35"/>
        <v>957</v>
      </c>
    </row>
    <row r="185" spans="1:20">
      <c r="A185" s="23" t="s">
        <v>214</v>
      </c>
      <c r="B185" s="35" t="s">
        <v>215</v>
      </c>
      <c r="C185" s="36">
        <v>852</v>
      </c>
      <c r="D185" s="6"/>
      <c r="E185" s="113">
        <v>17091239</v>
      </c>
      <c r="F185" s="116">
        <f t="shared" si="42"/>
        <v>20060.139671361503</v>
      </c>
      <c r="G185" s="117">
        <v>9331511</v>
      </c>
      <c r="H185" s="117">
        <f t="shared" si="43"/>
        <v>10952.477699530516</v>
      </c>
      <c r="I185" s="7"/>
      <c r="J185" s="10">
        <v>9.2100000000000009</v>
      </c>
      <c r="K185" s="117">
        <v>85943</v>
      </c>
      <c r="L185" s="120">
        <f t="shared" si="44"/>
        <v>100.87206572769954</v>
      </c>
      <c r="M185" s="122">
        <f t="shared" si="38"/>
        <v>93315.11</v>
      </c>
      <c r="N185" s="116">
        <f t="shared" si="39"/>
        <v>7372.1100000000006</v>
      </c>
      <c r="O185" s="123">
        <f t="shared" si="40"/>
        <v>8.6527112676056337</v>
      </c>
      <c r="P185" s="5"/>
      <c r="Q185" s="5">
        <f t="shared" si="36"/>
        <v>1</v>
      </c>
      <c r="R185" s="7">
        <f t="shared" si="37"/>
        <v>852</v>
      </c>
      <c r="S185" s="5">
        <f t="shared" si="34"/>
        <v>1</v>
      </c>
      <c r="T185" s="7">
        <f t="shared" si="35"/>
        <v>852</v>
      </c>
    </row>
    <row r="186" spans="1:20">
      <c r="A186" s="23" t="s">
        <v>198</v>
      </c>
      <c r="B186" s="35" t="s">
        <v>215</v>
      </c>
      <c r="C186" s="36">
        <v>380</v>
      </c>
      <c r="D186" s="6"/>
      <c r="E186" s="113">
        <v>12079349</v>
      </c>
      <c r="F186" s="116">
        <f t="shared" si="42"/>
        <v>31787.760526315789</v>
      </c>
      <c r="G186" s="117">
        <v>6473867</v>
      </c>
      <c r="H186" s="117">
        <f t="shared" si="43"/>
        <v>17036.492105263158</v>
      </c>
      <c r="I186" s="7"/>
      <c r="J186" s="10">
        <v>6.67</v>
      </c>
      <c r="K186" s="117">
        <v>43181</v>
      </c>
      <c r="L186" s="120">
        <f t="shared" si="44"/>
        <v>113.63421052631578</v>
      </c>
      <c r="M186" s="122">
        <f t="shared" si="38"/>
        <v>64738.67</v>
      </c>
      <c r="N186" s="116">
        <f t="shared" si="39"/>
        <v>21557.67</v>
      </c>
      <c r="O186" s="123">
        <f t="shared" si="40"/>
        <v>56.730710526315782</v>
      </c>
      <c r="P186" s="5"/>
      <c r="Q186" s="5">
        <f t="shared" si="36"/>
        <v>1</v>
      </c>
      <c r="R186" s="7">
        <f t="shared" si="37"/>
        <v>380</v>
      </c>
      <c r="S186" s="5">
        <f t="shared" si="34"/>
        <v>1</v>
      </c>
      <c r="T186" s="7">
        <f t="shared" si="35"/>
        <v>380</v>
      </c>
    </row>
    <row r="187" spans="1:20">
      <c r="A187" s="23" t="s">
        <v>215</v>
      </c>
      <c r="B187" s="35" t="s">
        <v>215</v>
      </c>
      <c r="C187" s="36">
        <v>3106</v>
      </c>
      <c r="D187" s="6"/>
      <c r="E187" s="113">
        <v>130047567</v>
      </c>
      <c r="F187" s="116">
        <f t="shared" si="42"/>
        <v>41869.789761751446</v>
      </c>
      <c r="G187" s="117">
        <v>82101237</v>
      </c>
      <c r="H187" s="117">
        <f t="shared" si="43"/>
        <v>26433.109143593047</v>
      </c>
      <c r="I187" s="7"/>
      <c r="J187" s="10">
        <v>7</v>
      </c>
      <c r="K187" s="117">
        <v>574709</v>
      </c>
      <c r="L187" s="120">
        <f t="shared" si="44"/>
        <v>185.03187379265938</v>
      </c>
      <c r="M187" s="122">
        <f t="shared" si="38"/>
        <v>821012.37</v>
      </c>
      <c r="N187" s="116">
        <f t="shared" si="39"/>
        <v>246303.37</v>
      </c>
      <c r="O187" s="123">
        <f t="shared" si="40"/>
        <v>79.299217643271092</v>
      </c>
      <c r="P187" s="5"/>
      <c r="Q187" s="5">
        <f t="shared" si="36"/>
        <v>1</v>
      </c>
      <c r="R187" s="7">
        <f t="shared" si="37"/>
        <v>3106</v>
      </c>
      <c r="S187" s="5">
        <f t="shared" si="34"/>
        <v>1</v>
      </c>
      <c r="T187" s="7">
        <f t="shared" si="35"/>
        <v>3106</v>
      </c>
    </row>
    <row r="188" spans="1:20">
      <c r="A188" s="23" t="s">
        <v>216</v>
      </c>
      <c r="B188" s="35" t="s">
        <v>217</v>
      </c>
      <c r="C188" s="36">
        <v>1847</v>
      </c>
      <c r="D188" s="6"/>
      <c r="E188" s="113">
        <v>1048236547</v>
      </c>
      <c r="F188" s="116">
        <f t="shared" si="42"/>
        <v>567534.67623172712</v>
      </c>
      <c r="G188" s="117">
        <v>776660560</v>
      </c>
      <c r="H188" s="117">
        <f t="shared" si="43"/>
        <v>420498.40822956146</v>
      </c>
      <c r="I188" s="7"/>
      <c r="J188" s="10">
        <v>2</v>
      </c>
      <c r="K188" s="117">
        <v>1553321</v>
      </c>
      <c r="L188" s="120">
        <f t="shared" si="44"/>
        <v>840.99675148890094</v>
      </c>
      <c r="M188" s="122">
        <f t="shared" si="38"/>
        <v>7766605.6000000006</v>
      </c>
      <c r="N188" s="116">
        <f t="shared" si="39"/>
        <v>6213284.6000000006</v>
      </c>
      <c r="O188" s="123">
        <f t="shared" si="40"/>
        <v>3363.987330806714</v>
      </c>
      <c r="P188" s="5"/>
      <c r="Q188" s="5">
        <f t="shared" si="36"/>
        <v>1</v>
      </c>
      <c r="R188" s="7">
        <f t="shared" si="37"/>
        <v>1847</v>
      </c>
      <c r="S188" s="5">
        <f t="shared" si="34"/>
        <v>1</v>
      </c>
      <c r="T188" s="7">
        <f t="shared" si="35"/>
        <v>1847</v>
      </c>
    </row>
    <row r="189" spans="1:20">
      <c r="A189" s="23" t="s">
        <v>218</v>
      </c>
      <c r="B189" s="35" t="s">
        <v>217</v>
      </c>
      <c r="C189" s="36">
        <v>54911</v>
      </c>
      <c r="D189" s="6"/>
      <c r="E189" s="113">
        <v>4641589201</v>
      </c>
      <c r="F189" s="116">
        <f t="shared" si="42"/>
        <v>84529.314727468081</v>
      </c>
      <c r="G189" s="117">
        <v>3260552514</v>
      </c>
      <c r="H189" s="117">
        <f t="shared" si="43"/>
        <v>59378.858771466555</v>
      </c>
      <c r="I189" s="7"/>
      <c r="J189" s="10">
        <v>4.75</v>
      </c>
      <c r="K189" s="117">
        <v>15487624</v>
      </c>
      <c r="L189" s="120">
        <f t="shared" si="44"/>
        <v>282.04957112418276</v>
      </c>
      <c r="M189" s="122">
        <f t="shared" si="38"/>
        <v>32605525.140000001</v>
      </c>
      <c r="N189" s="116">
        <f t="shared" si="39"/>
        <v>17117901.140000001</v>
      </c>
      <c r="O189" s="123">
        <f t="shared" si="40"/>
        <v>311.73901659048278</v>
      </c>
      <c r="P189" s="5"/>
      <c r="Q189" s="5">
        <f t="shared" si="36"/>
        <v>1</v>
      </c>
      <c r="R189" s="7">
        <f t="shared" si="37"/>
        <v>54911</v>
      </c>
      <c r="S189" s="5">
        <f t="shared" si="34"/>
        <v>1</v>
      </c>
      <c r="T189" s="7">
        <f t="shared" si="35"/>
        <v>54911</v>
      </c>
    </row>
    <row r="190" spans="1:20">
      <c r="A190" s="23" t="s">
        <v>219</v>
      </c>
      <c r="B190" s="35" t="s">
        <v>217</v>
      </c>
      <c r="C190" s="36">
        <v>1553</v>
      </c>
      <c r="D190" s="6"/>
      <c r="E190" s="113">
        <v>772112557</v>
      </c>
      <c r="F190" s="116">
        <f t="shared" si="42"/>
        <v>497174.85962652927</v>
      </c>
      <c r="G190" s="117">
        <v>648841203</v>
      </c>
      <c r="H190" s="117">
        <f t="shared" si="43"/>
        <v>417798.58531873795</v>
      </c>
      <c r="I190" s="7"/>
      <c r="J190" s="10">
        <v>2.4878</v>
      </c>
      <c r="K190" s="117">
        <v>1614187</v>
      </c>
      <c r="L190" s="120">
        <f t="shared" si="44"/>
        <v>1039.3992273019962</v>
      </c>
      <c r="M190" s="122">
        <f t="shared" si="38"/>
        <v>6488412.0300000003</v>
      </c>
      <c r="N190" s="116">
        <f t="shared" si="39"/>
        <v>4874225.03</v>
      </c>
      <c r="O190" s="123">
        <f t="shared" si="40"/>
        <v>3138.5866258853835</v>
      </c>
      <c r="P190" s="5"/>
      <c r="Q190" s="5">
        <f t="shared" si="36"/>
        <v>1</v>
      </c>
      <c r="R190" s="7">
        <f t="shared" si="37"/>
        <v>1553</v>
      </c>
      <c r="S190" s="5">
        <f t="shared" si="34"/>
        <v>1</v>
      </c>
      <c r="T190" s="7">
        <f t="shared" si="35"/>
        <v>1553</v>
      </c>
    </row>
    <row r="191" spans="1:20">
      <c r="A191" s="23" t="s">
        <v>220</v>
      </c>
      <c r="B191" s="35" t="s">
        <v>217</v>
      </c>
      <c r="C191" s="36">
        <v>5038</v>
      </c>
      <c r="D191" s="6"/>
      <c r="E191" s="113">
        <v>2074632544</v>
      </c>
      <c r="F191" s="116">
        <f t="shared" si="42"/>
        <v>411796.85271933308</v>
      </c>
      <c r="G191" s="117">
        <v>1621038084</v>
      </c>
      <c r="H191" s="117">
        <f t="shared" si="43"/>
        <v>321762.22389837238</v>
      </c>
      <c r="I191" s="7"/>
      <c r="J191" s="10">
        <v>1.8</v>
      </c>
      <c r="K191" s="117">
        <v>2917869</v>
      </c>
      <c r="L191" s="120">
        <f t="shared" si="44"/>
        <v>579.17209210003966</v>
      </c>
      <c r="M191" s="122">
        <f t="shared" si="38"/>
        <v>16210380.84</v>
      </c>
      <c r="N191" s="116">
        <f t="shared" si="39"/>
        <v>13292511.84</v>
      </c>
      <c r="O191" s="123">
        <f t="shared" si="40"/>
        <v>2638.4501468836838</v>
      </c>
      <c r="P191" s="5"/>
      <c r="Q191" s="5">
        <f t="shared" si="36"/>
        <v>1</v>
      </c>
      <c r="R191" s="7">
        <f t="shared" si="37"/>
        <v>5038</v>
      </c>
      <c r="S191" s="5">
        <f t="shared" si="34"/>
        <v>1</v>
      </c>
      <c r="T191" s="7">
        <f t="shared" si="35"/>
        <v>5038</v>
      </c>
    </row>
    <row r="192" spans="1:20">
      <c r="A192" s="23" t="s">
        <v>221</v>
      </c>
      <c r="B192" s="35" t="s">
        <v>217</v>
      </c>
      <c r="C192" s="36">
        <v>13756</v>
      </c>
      <c r="D192" s="6"/>
      <c r="E192" s="113">
        <v>1248311104</v>
      </c>
      <c r="F192" s="116">
        <f t="shared" si="42"/>
        <v>90746.663564989823</v>
      </c>
      <c r="G192" s="117">
        <v>884008892</v>
      </c>
      <c r="H192" s="117">
        <f t="shared" si="43"/>
        <v>64263.513521372493</v>
      </c>
      <c r="I192" s="7"/>
      <c r="J192" s="10">
        <v>5.1645000000000003</v>
      </c>
      <c r="K192" s="117">
        <v>4565464</v>
      </c>
      <c r="L192" s="120">
        <f t="shared" si="44"/>
        <v>331.88892119802267</v>
      </c>
      <c r="M192" s="122">
        <f t="shared" si="38"/>
        <v>8840088.9199999999</v>
      </c>
      <c r="N192" s="116">
        <f t="shared" si="39"/>
        <v>4274624.92</v>
      </c>
      <c r="O192" s="123">
        <f t="shared" si="40"/>
        <v>310.74621401570221</v>
      </c>
      <c r="P192" s="5"/>
      <c r="Q192" s="5">
        <f t="shared" si="36"/>
        <v>1</v>
      </c>
      <c r="R192" s="7">
        <f t="shared" si="37"/>
        <v>13756</v>
      </c>
      <c r="S192" s="5">
        <f t="shared" si="34"/>
        <v>1</v>
      </c>
      <c r="T192" s="7">
        <f t="shared" si="35"/>
        <v>13756</v>
      </c>
    </row>
    <row r="193" spans="1:20">
      <c r="A193" s="23" t="s">
        <v>478</v>
      </c>
      <c r="B193" s="35" t="s">
        <v>222</v>
      </c>
      <c r="C193" s="36">
        <v>7665</v>
      </c>
      <c r="D193" s="6"/>
      <c r="E193" s="113">
        <v>7880617178</v>
      </c>
      <c r="F193" s="116">
        <f t="shared" si="42"/>
        <v>1028130.0949771689</v>
      </c>
      <c r="G193" s="117">
        <v>6544439222</v>
      </c>
      <c r="H193" s="117">
        <f t="shared" si="43"/>
        <v>853808.117677756</v>
      </c>
      <c r="I193" s="7"/>
      <c r="J193" s="10">
        <v>1.4175</v>
      </c>
      <c r="K193" s="117">
        <v>9276742</v>
      </c>
      <c r="L193" s="120">
        <f t="shared" si="44"/>
        <v>1210.2729288975863</v>
      </c>
      <c r="M193" s="122">
        <f t="shared" si="38"/>
        <v>65444392.219999999</v>
      </c>
      <c r="N193" s="116">
        <f t="shared" si="39"/>
        <v>56167650.219999999</v>
      </c>
      <c r="O193" s="123">
        <f t="shared" si="40"/>
        <v>7327.8082478799734</v>
      </c>
      <c r="P193" s="5"/>
      <c r="Q193" s="5">
        <f t="shared" si="36"/>
        <v>1</v>
      </c>
      <c r="R193" s="7">
        <f t="shared" si="37"/>
        <v>7665</v>
      </c>
      <c r="S193" s="5">
        <f t="shared" si="34"/>
        <v>1</v>
      </c>
      <c r="T193" s="7">
        <f t="shared" si="35"/>
        <v>7665</v>
      </c>
    </row>
    <row r="194" spans="1:20">
      <c r="A194" s="23" t="s">
        <v>223</v>
      </c>
      <c r="B194" s="35" t="s">
        <v>224</v>
      </c>
      <c r="C194" s="36">
        <v>3859</v>
      </c>
      <c r="D194" s="6"/>
      <c r="E194" s="113">
        <v>276915969</v>
      </c>
      <c r="F194" s="116">
        <f t="shared" si="42"/>
        <v>71758.478621404516</v>
      </c>
      <c r="G194" s="117">
        <v>205224536</v>
      </c>
      <c r="H194" s="117">
        <f t="shared" si="43"/>
        <v>53180.755636175178</v>
      </c>
      <c r="I194" s="7"/>
      <c r="J194" s="10">
        <v>3.8188</v>
      </c>
      <c r="K194" s="117">
        <v>783711</v>
      </c>
      <c r="L194" s="120">
        <f t="shared" si="44"/>
        <v>203.08655091992745</v>
      </c>
      <c r="M194" s="122">
        <f t="shared" si="38"/>
        <v>2052245.36</v>
      </c>
      <c r="N194" s="116">
        <f t="shared" si="39"/>
        <v>1268534.3600000001</v>
      </c>
      <c r="O194" s="123">
        <f t="shared" si="40"/>
        <v>328.72100544182433</v>
      </c>
      <c r="P194" s="5"/>
      <c r="Q194" s="5">
        <f t="shared" si="36"/>
        <v>1</v>
      </c>
      <c r="R194" s="7">
        <f t="shared" si="37"/>
        <v>3859</v>
      </c>
      <c r="S194" s="5">
        <f t="shared" si="34"/>
        <v>1</v>
      </c>
      <c r="T194" s="7">
        <f t="shared" si="35"/>
        <v>3859</v>
      </c>
    </row>
    <row r="195" spans="1:20">
      <c r="A195" s="23" t="s">
        <v>225</v>
      </c>
      <c r="B195" s="35" t="s">
        <v>224</v>
      </c>
      <c r="C195" s="36">
        <v>2014</v>
      </c>
      <c r="D195" s="6"/>
      <c r="E195" s="113">
        <v>224742544</v>
      </c>
      <c r="F195" s="116">
        <f t="shared" si="42"/>
        <v>111590.14101290963</v>
      </c>
      <c r="G195" s="117">
        <v>149498650</v>
      </c>
      <c r="H195" s="117">
        <f t="shared" si="43"/>
        <v>74229.716981132078</v>
      </c>
      <c r="I195" s="7"/>
      <c r="J195" s="10">
        <v>6.5</v>
      </c>
      <c r="K195" s="117">
        <v>971741</v>
      </c>
      <c r="L195" s="120">
        <f t="shared" si="44"/>
        <v>482.49304865938433</v>
      </c>
      <c r="M195" s="122">
        <f t="shared" si="38"/>
        <v>1494986.5</v>
      </c>
      <c r="N195" s="116">
        <f t="shared" si="39"/>
        <v>523245.5</v>
      </c>
      <c r="O195" s="123">
        <f t="shared" si="40"/>
        <v>259.80412115193644</v>
      </c>
      <c r="P195" s="5"/>
      <c r="Q195" s="5">
        <f t="shared" si="36"/>
        <v>1</v>
      </c>
      <c r="R195" s="7">
        <f t="shared" si="37"/>
        <v>2014</v>
      </c>
      <c r="S195" s="5">
        <f t="shared" si="34"/>
        <v>1</v>
      </c>
      <c r="T195" s="7">
        <f t="shared" si="35"/>
        <v>2014</v>
      </c>
    </row>
    <row r="196" spans="1:20">
      <c r="A196" s="23" t="s">
        <v>226</v>
      </c>
      <c r="B196" s="35" t="s">
        <v>224</v>
      </c>
      <c r="C196" s="36">
        <v>446</v>
      </c>
      <c r="D196" s="6"/>
      <c r="E196" s="113">
        <v>34363799</v>
      </c>
      <c r="F196" s="116">
        <f t="shared" si="42"/>
        <v>77048.876681614347</v>
      </c>
      <c r="G196" s="117">
        <v>20159920</v>
      </c>
      <c r="H196" s="117">
        <f t="shared" si="43"/>
        <v>45201.614349775788</v>
      </c>
      <c r="I196" s="7"/>
      <c r="J196" s="10">
        <v>1.054</v>
      </c>
      <c r="K196" s="117">
        <v>21249</v>
      </c>
      <c r="L196" s="120">
        <f t="shared" si="44"/>
        <v>47.643497757847534</v>
      </c>
      <c r="M196" s="122">
        <f t="shared" si="38"/>
        <v>201599.2</v>
      </c>
      <c r="N196" s="116">
        <f t="shared" si="39"/>
        <v>180350.2</v>
      </c>
      <c r="O196" s="123">
        <f t="shared" si="40"/>
        <v>404.37264573991035</v>
      </c>
      <c r="P196" s="5"/>
      <c r="Q196" s="5">
        <f t="shared" si="36"/>
        <v>1</v>
      </c>
      <c r="R196" s="7">
        <f t="shared" si="37"/>
        <v>446</v>
      </c>
      <c r="S196" s="5">
        <f t="shared" si="34"/>
        <v>1</v>
      </c>
      <c r="T196" s="7">
        <f t="shared" si="35"/>
        <v>446</v>
      </c>
    </row>
    <row r="197" spans="1:20">
      <c r="A197" s="23" t="s">
        <v>227</v>
      </c>
      <c r="B197" s="35" t="s">
        <v>224</v>
      </c>
      <c r="C197" s="36">
        <v>51853</v>
      </c>
      <c r="D197" s="6"/>
      <c r="E197" s="113">
        <v>5166249683</v>
      </c>
      <c r="F197" s="116">
        <f t="shared" si="42"/>
        <v>99632.609164368507</v>
      </c>
      <c r="G197" s="117">
        <v>3762147735</v>
      </c>
      <c r="H197" s="117">
        <f t="shared" si="43"/>
        <v>72554.099762790967</v>
      </c>
      <c r="I197" s="9"/>
      <c r="J197" s="10">
        <v>5.6760000000000002</v>
      </c>
      <c r="K197" s="117">
        <v>21353951</v>
      </c>
      <c r="L197" s="120">
        <f t="shared" si="44"/>
        <v>411.81707905039246</v>
      </c>
      <c r="M197" s="122">
        <f t="shared" si="38"/>
        <v>37621477.350000001</v>
      </c>
      <c r="N197" s="116">
        <f t="shared" si="39"/>
        <v>16267526.350000001</v>
      </c>
      <c r="O197" s="123">
        <f t="shared" si="40"/>
        <v>313.72391857751722</v>
      </c>
      <c r="P197" s="5"/>
      <c r="Q197" s="5">
        <f t="shared" si="36"/>
        <v>1</v>
      </c>
      <c r="R197" s="7">
        <f t="shared" si="37"/>
        <v>51853</v>
      </c>
      <c r="S197" s="5">
        <f t="shared" si="34"/>
        <v>1</v>
      </c>
      <c r="T197" s="7">
        <f t="shared" si="35"/>
        <v>51853</v>
      </c>
    </row>
    <row r="198" spans="1:20">
      <c r="A198" s="23" t="s">
        <v>228</v>
      </c>
      <c r="B198" s="35" t="s">
        <v>224</v>
      </c>
      <c r="C198" s="36">
        <v>516</v>
      </c>
      <c r="D198" s="6"/>
      <c r="E198" s="113">
        <v>21686161</v>
      </c>
      <c r="F198" s="116">
        <f t="shared" si="42"/>
        <v>42027.443798449611</v>
      </c>
      <c r="G198" s="117">
        <v>10878368</v>
      </c>
      <c r="H198" s="117">
        <f t="shared" si="43"/>
        <v>21082.108527131782</v>
      </c>
      <c r="I198" s="9" t="s">
        <v>528</v>
      </c>
      <c r="J198" s="10"/>
      <c r="K198" s="117"/>
      <c r="L198" s="120"/>
      <c r="M198" s="122">
        <f t="shared" si="38"/>
        <v>108783.68000000001</v>
      </c>
      <c r="N198" s="116">
        <f t="shared" si="39"/>
        <v>108783.68000000001</v>
      </c>
      <c r="O198" s="123">
        <f t="shared" si="40"/>
        <v>210.82108527131786</v>
      </c>
      <c r="P198" s="5"/>
      <c r="Q198" s="5">
        <f t="shared" si="36"/>
        <v>1</v>
      </c>
      <c r="R198" s="7">
        <f t="shared" si="37"/>
        <v>516</v>
      </c>
      <c r="S198" s="5">
        <f t="shared" ref="S198:S264" si="45">IF(J198&gt;0,1,0)</f>
        <v>0</v>
      </c>
      <c r="T198" s="7">
        <f t="shared" ref="T198:T261" si="46">IF(J198&gt;0,C198,0)</f>
        <v>0</v>
      </c>
    </row>
    <row r="199" spans="1:20">
      <c r="A199" s="23" t="s">
        <v>229</v>
      </c>
      <c r="B199" s="35" t="s">
        <v>230</v>
      </c>
      <c r="C199" s="36">
        <v>628</v>
      </c>
      <c r="D199" s="6"/>
      <c r="E199" s="113">
        <v>2399946298</v>
      </c>
      <c r="F199" s="116">
        <f t="shared" si="42"/>
        <v>3821570.5382165606</v>
      </c>
      <c r="G199" s="117">
        <v>1861208696</v>
      </c>
      <c r="H199" s="117">
        <f t="shared" si="43"/>
        <v>2963708.1146496814</v>
      </c>
      <c r="I199" s="9"/>
      <c r="J199" s="10">
        <v>2.2494000000000001</v>
      </c>
      <c r="K199" s="117">
        <v>4186603</v>
      </c>
      <c r="L199" s="120">
        <f t="shared" ref="L199:L230" si="47">(K199/C199)</f>
        <v>6666.5652866242035</v>
      </c>
      <c r="M199" s="122">
        <f t="shared" si="38"/>
        <v>18612086.960000001</v>
      </c>
      <c r="N199" s="116">
        <f t="shared" si="39"/>
        <v>14425483.960000001</v>
      </c>
      <c r="O199" s="123">
        <f t="shared" si="40"/>
        <v>22970.515859872612</v>
      </c>
      <c r="P199" s="5"/>
      <c r="Q199" s="5">
        <f t="shared" ref="Q199:Q262" si="48">IF(E199&gt;0,1,0)</f>
        <v>1</v>
      </c>
      <c r="R199" s="7">
        <f t="shared" ref="R199:R262" si="49">IF(E199&gt;0,C199,0)</f>
        <v>628</v>
      </c>
      <c r="S199" s="5">
        <f t="shared" si="45"/>
        <v>1</v>
      </c>
      <c r="T199" s="7">
        <f t="shared" si="46"/>
        <v>628</v>
      </c>
    </row>
    <row r="200" spans="1:20">
      <c r="A200" s="24" t="s">
        <v>582</v>
      </c>
      <c r="B200" s="35" t="s">
        <v>230</v>
      </c>
      <c r="C200" s="36">
        <v>421</v>
      </c>
      <c r="D200" s="6"/>
      <c r="E200" s="113">
        <v>21972835</v>
      </c>
      <c r="F200" s="116">
        <f t="shared" si="42"/>
        <v>52192.007125890734</v>
      </c>
      <c r="G200" s="117">
        <v>21969316</v>
      </c>
      <c r="H200" s="117">
        <f t="shared" si="43"/>
        <v>52183.64845605701</v>
      </c>
      <c r="I200" s="7"/>
      <c r="J200" s="11">
        <v>3.4815</v>
      </c>
      <c r="K200" s="117">
        <v>76486</v>
      </c>
      <c r="L200" s="120">
        <f t="shared" si="47"/>
        <v>181.6769596199525</v>
      </c>
      <c r="M200" s="122">
        <f t="shared" ref="M200:M263" si="50">(G200*0.01)</f>
        <v>219693.16</v>
      </c>
      <c r="N200" s="116">
        <f t="shared" ref="N200:N263" si="51">(M200-K200)</f>
        <v>143207.16</v>
      </c>
      <c r="O200" s="123">
        <f t="shared" ref="O200:O263" si="52">(N200/C200)</f>
        <v>340.15952494061759</v>
      </c>
      <c r="P200" s="5"/>
      <c r="Q200" s="5">
        <f t="shared" si="48"/>
        <v>1</v>
      </c>
      <c r="R200" s="7">
        <f t="shared" si="49"/>
        <v>421</v>
      </c>
      <c r="S200" s="5">
        <f t="shared" si="45"/>
        <v>1</v>
      </c>
      <c r="T200" s="7">
        <f t="shared" si="46"/>
        <v>421</v>
      </c>
    </row>
    <row r="201" spans="1:20">
      <c r="A201" s="23" t="s">
        <v>446</v>
      </c>
      <c r="B201" s="35" t="s">
        <v>230</v>
      </c>
      <c r="C201" s="36">
        <v>1995</v>
      </c>
      <c r="D201" s="6"/>
      <c r="E201" s="113">
        <v>1075468315</v>
      </c>
      <c r="F201" s="116">
        <f t="shared" si="42"/>
        <v>539081.86215538846</v>
      </c>
      <c r="G201" s="117">
        <v>664522488</v>
      </c>
      <c r="H201" s="117">
        <f t="shared" si="43"/>
        <v>333093.97894736839</v>
      </c>
      <c r="I201" s="7"/>
      <c r="J201" s="10">
        <v>2.4</v>
      </c>
      <c r="K201" s="117">
        <v>1594854</v>
      </c>
      <c r="L201" s="120">
        <f t="shared" si="47"/>
        <v>799.42556390977438</v>
      </c>
      <c r="M201" s="122">
        <f t="shared" si="50"/>
        <v>6645224.8799999999</v>
      </c>
      <c r="N201" s="116">
        <f t="shared" si="51"/>
        <v>5050370.88</v>
      </c>
      <c r="O201" s="123">
        <f t="shared" si="52"/>
        <v>2531.5142255639098</v>
      </c>
      <c r="P201" s="5"/>
      <c r="Q201" s="5">
        <f t="shared" si="48"/>
        <v>1</v>
      </c>
      <c r="R201" s="7">
        <f t="shared" si="49"/>
        <v>1995</v>
      </c>
      <c r="S201" s="5">
        <f t="shared" si="45"/>
        <v>1</v>
      </c>
      <c r="T201" s="7">
        <f t="shared" si="46"/>
        <v>1995</v>
      </c>
    </row>
    <row r="202" spans="1:20">
      <c r="A202" s="24" t="s">
        <v>231</v>
      </c>
      <c r="B202" s="37" t="s">
        <v>230</v>
      </c>
      <c r="C202" s="36">
        <v>16661</v>
      </c>
      <c r="D202" s="6"/>
      <c r="E202" s="113">
        <v>3123841381</v>
      </c>
      <c r="F202" s="116">
        <f t="shared" si="42"/>
        <v>187494.23089850548</v>
      </c>
      <c r="G202" s="117">
        <v>2125221187</v>
      </c>
      <c r="H202" s="117">
        <f t="shared" si="43"/>
        <v>127556.64047776244</v>
      </c>
      <c r="I202" s="7"/>
      <c r="J202" s="10">
        <v>5.0999999999999996</v>
      </c>
      <c r="K202" s="117">
        <v>10838628</v>
      </c>
      <c r="L202" s="120">
        <f t="shared" si="47"/>
        <v>650.53886321349262</v>
      </c>
      <c r="M202" s="122">
        <f t="shared" si="50"/>
        <v>21252211.870000001</v>
      </c>
      <c r="N202" s="116">
        <f t="shared" si="51"/>
        <v>10413583.870000001</v>
      </c>
      <c r="O202" s="123">
        <f t="shared" si="52"/>
        <v>625.02754156413187</v>
      </c>
      <c r="P202" s="5"/>
      <c r="Q202" s="5">
        <f t="shared" si="48"/>
        <v>1</v>
      </c>
      <c r="R202" s="7">
        <f t="shared" si="49"/>
        <v>16661</v>
      </c>
      <c r="S202" s="5">
        <f t="shared" si="45"/>
        <v>1</v>
      </c>
      <c r="T202" s="7">
        <f t="shared" si="46"/>
        <v>16661</v>
      </c>
    </row>
    <row r="203" spans="1:20">
      <c r="A203" s="23" t="s">
        <v>232</v>
      </c>
      <c r="B203" s="37" t="s">
        <v>233</v>
      </c>
      <c r="C203" s="36">
        <v>29451</v>
      </c>
      <c r="D203" s="6"/>
      <c r="E203" s="113">
        <v>9459878238</v>
      </c>
      <c r="F203" s="116">
        <f t="shared" si="42"/>
        <v>321207.36946113885</v>
      </c>
      <c r="G203" s="117">
        <v>8067910222</v>
      </c>
      <c r="H203" s="117">
        <f t="shared" si="43"/>
        <v>273943.50690978236</v>
      </c>
      <c r="I203" s="7"/>
      <c r="J203" s="11">
        <v>2.2269999999999999</v>
      </c>
      <c r="K203" s="117">
        <v>17967236</v>
      </c>
      <c r="L203" s="120">
        <f t="shared" si="47"/>
        <v>610.07218770160603</v>
      </c>
      <c r="M203" s="122">
        <f t="shared" si="50"/>
        <v>80679102.219999999</v>
      </c>
      <c r="N203" s="116">
        <f t="shared" si="51"/>
        <v>62711866.219999999</v>
      </c>
      <c r="O203" s="123">
        <f t="shared" si="52"/>
        <v>2129.3628813962173</v>
      </c>
      <c r="P203" s="5"/>
      <c r="Q203" s="5">
        <f t="shared" si="48"/>
        <v>1</v>
      </c>
      <c r="R203" s="7">
        <f t="shared" si="49"/>
        <v>29451</v>
      </c>
      <c r="S203" s="5">
        <f t="shared" si="45"/>
        <v>1</v>
      </c>
      <c r="T203" s="7">
        <f t="shared" si="46"/>
        <v>29451</v>
      </c>
    </row>
    <row r="204" spans="1:20">
      <c r="A204" s="23" t="s">
        <v>234</v>
      </c>
      <c r="B204" s="37" t="s">
        <v>233</v>
      </c>
      <c r="C204" s="36">
        <v>2973</v>
      </c>
      <c r="D204" s="6"/>
      <c r="E204" s="113">
        <v>2525430718</v>
      </c>
      <c r="F204" s="116">
        <f t="shared" si="42"/>
        <v>849455.33736966026</v>
      </c>
      <c r="G204" s="117">
        <v>2186663944</v>
      </c>
      <c r="H204" s="117">
        <f t="shared" si="43"/>
        <v>735507.54927682481</v>
      </c>
      <c r="I204" s="7"/>
      <c r="J204" s="10">
        <v>2.9020000000000001</v>
      </c>
      <c r="K204" s="117">
        <v>6345699</v>
      </c>
      <c r="L204" s="120">
        <f t="shared" si="47"/>
        <v>2134.4429868819375</v>
      </c>
      <c r="M204" s="122">
        <f t="shared" si="50"/>
        <v>21866639.440000001</v>
      </c>
      <c r="N204" s="116">
        <f t="shared" si="51"/>
        <v>15520940.440000001</v>
      </c>
      <c r="O204" s="123">
        <f t="shared" si="52"/>
        <v>5220.6325058863104</v>
      </c>
      <c r="P204" s="5"/>
      <c r="Q204" s="5">
        <f t="shared" si="48"/>
        <v>1</v>
      </c>
      <c r="R204" s="7">
        <f t="shared" si="49"/>
        <v>2973</v>
      </c>
      <c r="S204" s="5">
        <f t="shared" si="45"/>
        <v>1</v>
      </c>
      <c r="T204" s="7">
        <f t="shared" si="46"/>
        <v>2973</v>
      </c>
    </row>
    <row r="205" spans="1:20">
      <c r="A205" s="23" t="s">
        <v>235</v>
      </c>
      <c r="B205" s="37" t="s">
        <v>233</v>
      </c>
      <c r="C205" s="36">
        <v>5208</v>
      </c>
      <c r="D205" s="6"/>
      <c r="E205" s="113">
        <v>1103970794</v>
      </c>
      <c r="F205" s="116">
        <f t="shared" si="42"/>
        <v>211975.95890937021</v>
      </c>
      <c r="G205" s="117">
        <v>765392567</v>
      </c>
      <c r="H205" s="117">
        <f t="shared" si="43"/>
        <v>146964.77860983103</v>
      </c>
      <c r="I205" s="7"/>
      <c r="J205" s="10">
        <v>4.75</v>
      </c>
      <c r="K205" s="117">
        <v>3635615</v>
      </c>
      <c r="L205" s="120">
        <f t="shared" si="47"/>
        <v>698.08275729646698</v>
      </c>
      <c r="M205" s="122">
        <f t="shared" si="50"/>
        <v>7653925.6699999999</v>
      </c>
      <c r="N205" s="116">
        <f t="shared" si="51"/>
        <v>4018310.67</v>
      </c>
      <c r="O205" s="123">
        <f t="shared" si="52"/>
        <v>771.56502880184325</v>
      </c>
      <c r="P205" s="5"/>
      <c r="Q205" s="5">
        <f t="shared" si="48"/>
        <v>1</v>
      </c>
      <c r="R205" s="7">
        <f t="shared" si="49"/>
        <v>5208</v>
      </c>
      <c r="S205" s="5">
        <f t="shared" si="45"/>
        <v>1</v>
      </c>
      <c r="T205" s="7">
        <f t="shared" si="46"/>
        <v>5208</v>
      </c>
    </row>
    <row r="206" spans="1:20">
      <c r="A206" s="23" t="s">
        <v>236</v>
      </c>
      <c r="B206" s="37" t="s">
        <v>233</v>
      </c>
      <c r="C206" s="36">
        <v>3320</v>
      </c>
      <c r="D206" s="6"/>
      <c r="E206" s="113">
        <v>366689778</v>
      </c>
      <c r="F206" s="116">
        <f t="shared" si="42"/>
        <v>110448.72831325301</v>
      </c>
      <c r="G206" s="117">
        <v>192606648</v>
      </c>
      <c r="H206" s="117">
        <f t="shared" si="43"/>
        <v>58014.050602409639</v>
      </c>
      <c r="I206" s="7"/>
      <c r="J206" s="10">
        <v>9.1999999999999993</v>
      </c>
      <c r="K206" s="117">
        <v>1771981</v>
      </c>
      <c r="L206" s="120">
        <f t="shared" si="47"/>
        <v>533.72921686746986</v>
      </c>
      <c r="M206" s="122">
        <f t="shared" si="50"/>
        <v>1926066.48</v>
      </c>
      <c r="N206" s="116">
        <f t="shared" si="51"/>
        <v>154085.47999999998</v>
      </c>
      <c r="O206" s="123">
        <f t="shared" si="52"/>
        <v>46.411289156626502</v>
      </c>
      <c r="P206" s="5"/>
      <c r="Q206" s="5">
        <f t="shared" si="48"/>
        <v>1</v>
      </c>
      <c r="R206" s="7">
        <f t="shared" si="49"/>
        <v>3320</v>
      </c>
      <c r="S206" s="5">
        <f t="shared" si="45"/>
        <v>1</v>
      </c>
      <c r="T206" s="7">
        <f t="shared" si="46"/>
        <v>3320</v>
      </c>
    </row>
    <row r="207" spans="1:20">
      <c r="A207" s="23" t="s">
        <v>237</v>
      </c>
      <c r="B207" s="37" t="s">
        <v>233</v>
      </c>
      <c r="C207" s="36">
        <v>44404</v>
      </c>
      <c r="D207" s="6"/>
      <c r="E207" s="113">
        <v>17245982906</v>
      </c>
      <c r="F207" s="116">
        <f t="shared" si="42"/>
        <v>388388.04850914329</v>
      </c>
      <c r="G207" s="117">
        <v>11948670970</v>
      </c>
      <c r="H207" s="117">
        <f t="shared" si="43"/>
        <v>269089.96869651385</v>
      </c>
      <c r="I207" s="7"/>
      <c r="J207" s="10">
        <v>6.15</v>
      </c>
      <c r="K207" s="117">
        <v>73484326</v>
      </c>
      <c r="L207" s="120">
        <f t="shared" si="47"/>
        <v>1654.9032970002702</v>
      </c>
      <c r="M207" s="122">
        <f t="shared" si="50"/>
        <v>119486709.7</v>
      </c>
      <c r="N207" s="116">
        <f t="shared" si="51"/>
        <v>46002383.700000003</v>
      </c>
      <c r="O207" s="123">
        <f t="shared" si="52"/>
        <v>1035.9963899648681</v>
      </c>
      <c r="P207" s="5"/>
      <c r="Q207" s="5">
        <f t="shared" si="48"/>
        <v>1</v>
      </c>
      <c r="R207" s="7">
        <f t="shared" si="49"/>
        <v>44404</v>
      </c>
      <c r="S207" s="5">
        <f>IF(J207&gt;0,1,0)</f>
        <v>1</v>
      </c>
      <c r="T207" s="7">
        <f t="shared" si="46"/>
        <v>44404</v>
      </c>
    </row>
    <row r="208" spans="1:20">
      <c r="A208" s="23" t="s">
        <v>524</v>
      </c>
      <c r="B208" s="37" t="s">
        <v>233</v>
      </c>
      <c r="C208" s="36">
        <v>37103</v>
      </c>
      <c r="D208" s="6"/>
      <c r="E208" s="113">
        <v>3565259554</v>
      </c>
      <c r="F208" s="116">
        <f t="shared" si="42"/>
        <v>96090.870118319275</v>
      </c>
      <c r="G208" s="117">
        <v>2258952958</v>
      </c>
      <c r="H208" s="117">
        <f t="shared" si="43"/>
        <v>60883.296714551383</v>
      </c>
      <c r="I208" s="7"/>
      <c r="J208" s="10">
        <v>2.4470000000000001</v>
      </c>
      <c r="K208" s="117">
        <v>5527658</v>
      </c>
      <c r="L208" s="120">
        <f t="shared" si="47"/>
        <v>148.98143007303992</v>
      </c>
      <c r="M208" s="122">
        <f t="shared" si="50"/>
        <v>22589529.580000002</v>
      </c>
      <c r="N208" s="116">
        <f t="shared" si="51"/>
        <v>17061871.580000002</v>
      </c>
      <c r="O208" s="123">
        <f t="shared" si="52"/>
        <v>459.851537072474</v>
      </c>
      <c r="P208" s="5"/>
      <c r="Q208" s="5">
        <f t="shared" si="48"/>
        <v>1</v>
      </c>
      <c r="R208" s="7">
        <f t="shared" si="49"/>
        <v>37103</v>
      </c>
      <c r="S208" s="5">
        <f t="shared" si="45"/>
        <v>1</v>
      </c>
      <c r="T208" s="7">
        <f t="shared" si="46"/>
        <v>37103</v>
      </c>
    </row>
    <row r="209" spans="1:20">
      <c r="A209" s="23" t="s">
        <v>501</v>
      </c>
      <c r="B209" s="37" t="s">
        <v>233</v>
      </c>
      <c r="C209" s="36">
        <v>32541</v>
      </c>
      <c r="D209" s="6"/>
      <c r="E209" s="113">
        <v>10349823306</v>
      </c>
      <c r="F209" s="116">
        <f t="shared" si="42"/>
        <v>318054.86328016961</v>
      </c>
      <c r="G209" s="117">
        <v>9136386403</v>
      </c>
      <c r="H209" s="117">
        <f t="shared" si="43"/>
        <v>280765.38529854646</v>
      </c>
      <c r="I209" s="7"/>
      <c r="J209" s="10">
        <v>2.4470000000000001</v>
      </c>
      <c r="K209" s="117">
        <v>22356738</v>
      </c>
      <c r="L209" s="120">
        <f t="shared" si="47"/>
        <v>687.03291232598872</v>
      </c>
      <c r="M209" s="122">
        <f t="shared" si="50"/>
        <v>91363864.030000001</v>
      </c>
      <c r="N209" s="116">
        <f t="shared" si="51"/>
        <v>69007126.030000001</v>
      </c>
      <c r="O209" s="123">
        <f t="shared" si="52"/>
        <v>2120.6209406594758</v>
      </c>
      <c r="P209" s="5"/>
      <c r="Q209" s="5">
        <f t="shared" si="48"/>
        <v>1</v>
      </c>
      <c r="R209" s="7">
        <f t="shared" si="49"/>
        <v>32541</v>
      </c>
      <c r="S209" s="5">
        <f t="shared" si="45"/>
        <v>1</v>
      </c>
      <c r="T209" s="7">
        <f t="shared" si="46"/>
        <v>32541</v>
      </c>
    </row>
    <row r="210" spans="1:20">
      <c r="A210" s="23" t="s">
        <v>238</v>
      </c>
      <c r="B210" s="37" t="s">
        <v>233</v>
      </c>
      <c r="C210" s="36">
        <v>2552</v>
      </c>
      <c r="D210" s="6"/>
      <c r="E210" s="113">
        <v>271450626</v>
      </c>
      <c r="F210" s="116">
        <f t="shared" si="42"/>
        <v>106367.80015673982</v>
      </c>
      <c r="G210" s="117">
        <v>122421568</v>
      </c>
      <c r="H210" s="117">
        <f t="shared" si="43"/>
        <v>47970.83385579937</v>
      </c>
      <c r="I210" s="7"/>
      <c r="J210" s="10">
        <v>8.6999999999999993</v>
      </c>
      <c r="K210" s="117">
        <v>1065068</v>
      </c>
      <c r="L210" s="120">
        <f t="shared" si="47"/>
        <v>417.34639498432603</v>
      </c>
      <c r="M210" s="122">
        <f t="shared" si="50"/>
        <v>1224215.68</v>
      </c>
      <c r="N210" s="116">
        <f t="shared" si="51"/>
        <v>159147.67999999993</v>
      </c>
      <c r="O210" s="123">
        <f t="shared" si="52"/>
        <v>62.361943573667688</v>
      </c>
      <c r="P210" s="5"/>
      <c r="Q210" s="5">
        <f t="shared" si="48"/>
        <v>1</v>
      </c>
      <c r="R210" s="7">
        <f t="shared" si="49"/>
        <v>2552</v>
      </c>
      <c r="S210" s="5">
        <f t="shared" si="45"/>
        <v>1</v>
      </c>
      <c r="T210" s="7">
        <f t="shared" si="46"/>
        <v>2552</v>
      </c>
    </row>
    <row r="211" spans="1:20">
      <c r="A211" s="23" t="s">
        <v>239</v>
      </c>
      <c r="B211" s="37" t="s">
        <v>233</v>
      </c>
      <c r="C211" s="36">
        <v>9195</v>
      </c>
      <c r="D211" s="6"/>
      <c r="E211" s="113">
        <v>846399598</v>
      </c>
      <c r="F211" s="116">
        <f t="shared" si="42"/>
        <v>92049.983469276776</v>
      </c>
      <c r="G211" s="117">
        <v>573317851</v>
      </c>
      <c r="H211" s="117">
        <f t="shared" si="43"/>
        <v>62351.044154431758</v>
      </c>
      <c r="I211" s="7"/>
      <c r="J211" s="10">
        <v>8.9</v>
      </c>
      <c r="K211" s="117">
        <v>5102529</v>
      </c>
      <c r="L211" s="120">
        <f t="shared" si="47"/>
        <v>554.92430668841757</v>
      </c>
      <c r="M211" s="122">
        <f t="shared" si="50"/>
        <v>5733178.5099999998</v>
      </c>
      <c r="N211" s="116">
        <f t="shared" si="51"/>
        <v>630649.50999999978</v>
      </c>
      <c r="O211" s="123">
        <f t="shared" si="52"/>
        <v>68.586134855899928</v>
      </c>
      <c r="P211" s="5"/>
      <c r="Q211" s="5">
        <f t="shared" si="48"/>
        <v>1</v>
      </c>
      <c r="R211" s="7">
        <f t="shared" si="49"/>
        <v>9195</v>
      </c>
      <c r="S211" s="5">
        <f t="shared" si="45"/>
        <v>1</v>
      </c>
      <c r="T211" s="7">
        <f t="shared" si="46"/>
        <v>9195</v>
      </c>
    </row>
    <row r="212" spans="1:20">
      <c r="A212" s="23" t="s">
        <v>240</v>
      </c>
      <c r="B212" s="37" t="s">
        <v>233</v>
      </c>
      <c r="C212" s="36">
        <v>942</v>
      </c>
      <c r="D212" s="6"/>
      <c r="E212" s="113">
        <v>905287407</v>
      </c>
      <c r="F212" s="116">
        <f t="shared" si="42"/>
        <v>961026.97133757966</v>
      </c>
      <c r="G212" s="117">
        <v>620012440</v>
      </c>
      <c r="H212" s="117">
        <f t="shared" si="43"/>
        <v>658187.30360934185</v>
      </c>
      <c r="I212" s="7"/>
      <c r="J212" s="10">
        <v>8.59</v>
      </c>
      <c r="K212" s="117">
        <v>5325907</v>
      </c>
      <c r="L212" s="120">
        <f t="shared" si="47"/>
        <v>5653.8290870488327</v>
      </c>
      <c r="M212" s="122">
        <f t="shared" si="50"/>
        <v>6200124.4000000004</v>
      </c>
      <c r="N212" s="116">
        <f t="shared" si="51"/>
        <v>874217.40000000037</v>
      </c>
      <c r="O212" s="123">
        <f t="shared" si="52"/>
        <v>928.04394904458638</v>
      </c>
      <c r="P212" s="5"/>
      <c r="Q212" s="5">
        <f t="shared" si="48"/>
        <v>1</v>
      </c>
      <c r="R212" s="7">
        <f t="shared" si="49"/>
        <v>942</v>
      </c>
      <c r="S212" s="5">
        <f t="shared" si="45"/>
        <v>1</v>
      </c>
      <c r="T212" s="7">
        <f t="shared" si="46"/>
        <v>942</v>
      </c>
    </row>
    <row r="213" spans="1:20">
      <c r="A213" s="23" t="s">
        <v>241</v>
      </c>
      <c r="B213" s="37" t="s">
        <v>233</v>
      </c>
      <c r="C213" s="36">
        <v>228344</v>
      </c>
      <c r="D213" s="6"/>
      <c r="E213" s="113">
        <v>14638026340</v>
      </c>
      <c r="F213" s="116">
        <f t="shared" si="42"/>
        <v>64105.149861612306</v>
      </c>
      <c r="G213" s="117">
        <v>9699914938</v>
      </c>
      <c r="H213" s="117">
        <f t="shared" si="43"/>
        <v>42479.394851627367</v>
      </c>
      <c r="I213" s="7"/>
      <c r="J213" s="10">
        <v>6.8</v>
      </c>
      <c r="K213" s="117">
        <v>65959422</v>
      </c>
      <c r="L213" s="120">
        <f t="shared" si="47"/>
        <v>288.85988683740322</v>
      </c>
      <c r="M213" s="122">
        <f t="shared" si="50"/>
        <v>96999149.379999995</v>
      </c>
      <c r="N213" s="116">
        <f t="shared" si="51"/>
        <v>31039727.379999995</v>
      </c>
      <c r="O213" s="123">
        <f t="shared" si="52"/>
        <v>135.93406167887045</v>
      </c>
      <c r="P213" s="5"/>
      <c r="Q213" s="5">
        <f t="shared" si="48"/>
        <v>1</v>
      </c>
      <c r="R213" s="7">
        <f t="shared" si="49"/>
        <v>228344</v>
      </c>
      <c r="S213" s="5">
        <f t="shared" si="45"/>
        <v>1</v>
      </c>
      <c r="T213" s="7">
        <f t="shared" si="46"/>
        <v>228344</v>
      </c>
    </row>
    <row r="214" spans="1:20">
      <c r="A214" s="23" t="s">
        <v>242</v>
      </c>
      <c r="B214" s="37" t="s">
        <v>233</v>
      </c>
      <c r="C214" s="36">
        <v>20476</v>
      </c>
      <c r="D214" s="6"/>
      <c r="E214" s="113">
        <v>1664218060</v>
      </c>
      <c r="F214" s="116">
        <f t="shared" si="42"/>
        <v>81276.52178159797</v>
      </c>
      <c r="G214" s="117">
        <v>1152440731</v>
      </c>
      <c r="H214" s="117">
        <f t="shared" si="43"/>
        <v>56282.5127466302</v>
      </c>
      <c r="I214" s="7"/>
      <c r="J214" s="10">
        <v>6.12</v>
      </c>
      <c r="K214" s="117">
        <v>7052937</v>
      </c>
      <c r="L214" s="120">
        <f t="shared" si="47"/>
        <v>344.44896464153157</v>
      </c>
      <c r="M214" s="122">
        <f t="shared" si="50"/>
        <v>11524407.310000001</v>
      </c>
      <c r="N214" s="116">
        <f t="shared" si="51"/>
        <v>4471470.3100000005</v>
      </c>
      <c r="O214" s="123">
        <f t="shared" si="52"/>
        <v>218.37616282477049</v>
      </c>
      <c r="P214" s="5"/>
      <c r="Q214" s="5">
        <f t="shared" si="48"/>
        <v>1</v>
      </c>
      <c r="R214" s="7">
        <f t="shared" si="49"/>
        <v>20476</v>
      </c>
      <c r="S214" s="5">
        <f t="shared" si="45"/>
        <v>1</v>
      </c>
      <c r="T214" s="7">
        <f t="shared" si="46"/>
        <v>20476</v>
      </c>
    </row>
    <row r="215" spans="1:20">
      <c r="A215" s="23" t="s">
        <v>243</v>
      </c>
      <c r="B215" s="37" t="s">
        <v>233</v>
      </c>
      <c r="C215" s="36">
        <v>43167</v>
      </c>
      <c r="D215" s="6"/>
      <c r="E215" s="113">
        <v>3995091470</v>
      </c>
      <c r="F215" s="116">
        <f t="shared" si="42"/>
        <v>92549.666875159266</v>
      </c>
      <c r="G215" s="117">
        <v>2972064030</v>
      </c>
      <c r="H215" s="117">
        <f t="shared" si="43"/>
        <v>68850.37250677601</v>
      </c>
      <c r="I215" s="7"/>
      <c r="J215" s="10">
        <v>6.25</v>
      </c>
      <c r="K215" s="117">
        <v>18575400</v>
      </c>
      <c r="L215" s="120">
        <f t="shared" si="47"/>
        <v>430.31482382375424</v>
      </c>
      <c r="M215" s="122">
        <f t="shared" si="50"/>
        <v>29720640.300000001</v>
      </c>
      <c r="N215" s="116">
        <f t="shared" si="51"/>
        <v>11145240.300000001</v>
      </c>
      <c r="O215" s="123">
        <f t="shared" si="52"/>
        <v>258.18890124400588</v>
      </c>
      <c r="P215" s="5"/>
      <c r="Q215" s="5">
        <f t="shared" si="48"/>
        <v>1</v>
      </c>
      <c r="R215" s="7">
        <f t="shared" si="49"/>
        <v>43167</v>
      </c>
      <c r="S215" s="5">
        <f t="shared" si="45"/>
        <v>1</v>
      </c>
      <c r="T215" s="7">
        <f t="shared" si="46"/>
        <v>43167</v>
      </c>
    </row>
    <row r="216" spans="1:20">
      <c r="A216" s="23" t="s">
        <v>244</v>
      </c>
      <c r="B216" s="37" t="s">
        <v>233</v>
      </c>
      <c r="C216" s="36">
        <v>59</v>
      </c>
      <c r="D216" s="6"/>
      <c r="E216" s="113">
        <v>397905795</v>
      </c>
      <c r="F216" s="116">
        <f t="shared" si="42"/>
        <v>6744166.0169491526</v>
      </c>
      <c r="G216" s="117">
        <v>329739731</v>
      </c>
      <c r="H216" s="117">
        <f t="shared" si="43"/>
        <v>5588809</v>
      </c>
      <c r="I216" s="7"/>
      <c r="J216" s="10">
        <v>8.25</v>
      </c>
      <c r="K216" s="117">
        <v>2720353</v>
      </c>
      <c r="L216" s="120">
        <f t="shared" si="47"/>
        <v>46107.677966101692</v>
      </c>
      <c r="M216" s="122">
        <f t="shared" si="50"/>
        <v>3297397.31</v>
      </c>
      <c r="N216" s="116">
        <f t="shared" si="51"/>
        <v>577044.31000000006</v>
      </c>
      <c r="O216" s="123">
        <f t="shared" si="52"/>
        <v>9780.4120338983066</v>
      </c>
      <c r="P216" s="5"/>
      <c r="Q216" s="5">
        <f t="shared" si="48"/>
        <v>1</v>
      </c>
      <c r="R216" s="7">
        <f t="shared" si="49"/>
        <v>59</v>
      </c>
      <c r="S216" s="5">
        <f t="shared" si="45"/>
        <v>1</v>
      </c>
      <c r="T216" s="7">
        <f t="shared" si="46"/>
        <v>59</v>
      </c>
    </row>
    <row r="217" spans="1:20">
      <c r="A217" s="23" t="s">
        <v>245</v>
      </c>
      <c r="B217" s="37" t="s">
        <v>233</v>
      </c>
      <c r="C217" s="36">
        <v>6</v>
      </c>
      <c r="D217" s="6"/>
      <c r="E217" s="113">
        <v>9581406</v>
      </c>
      <c r="F217" s="116">
        <f t="shared" si="42"/>
        <v>1596901</v>
      </c>
      <c r="G217" s="117">
        <v>311227</v>
      </c>
      <c r="H217" s="117">
        <f t="shared" si="43"/>
        <v>51871.166666666664</v>
      </c>
      <c r="I217" s="7"/>
      <c r="J217" s="10">
        <v>8.1934000000000005</v>
      </c>
      <c r="K217" s="117">
        <v>2550</v>
      </c>
      <c r="L217" s="120">
        <f t="shared" si="47"/>
        <v>425</v>
      </c>
      <c r="M217" s="122">
        <f t="shared" si="50"/>
        <v>3112.27</v>
      </c>
      <c r="N217" s="116">
        <f t="shared" si="51"/>
        <v>562.27</v>
      </c>
      <c r="O217" s="123">
        <f t="shared" si="52"/>
        <v>93.711666666666659</v>
      </c>
      <c r="P217" s="5"/>
      <c r="Q217" s="5">
        <f t="shared" si="48"/>
        <v>1</v>
      </c>
      <c r="R217" s="7">
        <f t="shared" si="49"/>
        <v>6</v>
      </c>
      <c r="S217" s="5">
        <f t="shared" si="45"/>
        <v>1</v>
      </c>
      <c r="T217" s="7">
        <f t="shared" si="46"/>
        <v>6</v>
      </c>
    </row>
    <row r="218" spans="1:20">
      <c r="A218" s="23" t="s">
        <v>246</v>
      </c>
      <c r="B218" s="37" t="s">
        <v>233</v>
      </c>
      <c r="C218" s="36">
        <v>11464</v>
      </c>
      <c r="D218" s="6"/>
      <c r="E218" s="113">
        <v>6997311687</v>
      </c>
      <c r="F218" s="116">
        <f t="shared" si="42"/>
        <v>610372.61749825545</v>
      </c>
      <c r="G218" s="117">
        <v>5631005426</v>
      </c>
      <c r="H218" s="117">
        <f t="shared" si="43"/>
        <v>491190.2848918353</v>
      </c>
      <c r="I218" s="7"/>
      <c r="J218" s="10">
        <v>3.45</v>
      </c>
      <c r="K218" s="117">
        <v>19426969</v>
      </c>
      <c r="L218" s="120">
        <f t="shared" si="47"/>
        <v>1694.6065073272855</v>
      </c>
      <c r="M218" s="122">
        <f t="shared" si="50"/>
        <v>56310054.259999998</v>
      </c>
      <c r="N218" s="116">
        <f t="shared" si="51"/>
        <v>36883085.259999998</v>
      </c>
      <c r="O218" s="123">
        <f t="shared" si="52"/>
        <v>3217.2963415910676</v>
      </c>
      <c r="P218" s="5"/>
      <c r="Q218" s="5">
        <f t="shared" si="48"/>
        <v>1</v>
      </c>
      <c r="R218" s="7">
        <f t="shared" si="49"/>
        <v>11464</v>
      </c>
      <c r="S218" s="5">
        <f t="shared" si="45"/>
        <v>1</v>
      </c>
      <c r="T218" s="7">
        <f t="shared" si="46"/>
        <v>11464</v>
      </c>
    </row>
    <row r="219" spans="1:20">
      <c r="A219" s="23" t="s">
        <v>247</v>
      </c>
      <c r="B219" s="37" t="s">
        <v>233</v>
      </c>
      <c r="C219" s="36">
        <v>1288</v>
      </c>
      <c r="D219" s="6"/>
      <c r="E219" s="113">
        <v>1699269507</v>
      </c>
      <c r="F219" s="116">
        <f t="shared" si="42"/>
        <v>1319308.6234472049</v>
      </c>
      <c r="G219" s="117">
        <v>1669923342</v>
      </c>
      <c r="H219" s="117">
        <f t="shared" si="43"/>
        <v>1296524.3338509316</v>
      </c>
      <c r="I219" s="7"/>
      <c r="J219" s="10">
        <v>6.9</v>
      </c>
      <c r="K219" s="117">
        <v>11522471</v>
      </c>
      <c r="L219" s="120">
        <f t="shared" si="47"/>
        <v>8946.0178571428569</v>
      </c>
      <c r="M219" s="122">
        <f t="shared" si="50"/>
        <v>16699233.42</v>
      </c>
      <c r="N219" s="116">
        <f t="shared" si="51"/>
        <v>5176762.42</v>
      </c>
      <c r="O219" s="123">
        <f t="shared" si="52"/>
        <v>4019.2254813664595</v>
      </c>
      <c r="P219" s="5"/>
      <c r="Q219" s="5">
        <f t="shared" si="48"/>
        <v>1</v>
      </c>
      <c r="R219" s="7">
        <f t="shared" si="49"/>
        <v>1288</v>
      </c>
      <c r="S219" s="5">
        <f t="shared" si="45"/>
        <v>1</v>
      </c>
      <c r="T219" s="7">
        <f t="shared" si="46"/>
        <v>1288</v>
      </c>
    </row>
    <row r="220" spans="1:20">
      <c r="A220" s="23" t="s">
        <v>248</v>
      </c>
      <c r="B220" s="37" t="s">
        <v>233</v>
      </c>
      <c r="C220" s="36">
        <v>391355</v>
      </c>
      <c r="D220" s="6"/>
      <c r="E220" s="113">
        <v>48939749030</v>
      </c>
      <c r="F220" s="116">
        <f t="shared" si="42"/>
        <v>125052.06022664843</v>
      </c>
      <c r="G220" s="117">
        <v>34115055028</v>
      </c>
      <c r="H220" s="117">
        <f t="shared" si="43"/>
        <v>87171.634521086991</v>
      </c>
      <c r="I220" s="7"/>
      <c r="J220" s="10">
        <v>8.3744999999999994</v>
      </c>
      <c r="K220" s="117">
        <v>285696528</v>
      </c>
      <c r="L220" s="120">
        <f t="shared" si="47"/>
        <v>730.01885244854418</v>
      </c>
      <c r="M220" s="122">
        <f t="shared" si="50"/>
        <v>341150550.28000003</v>
      </c>
      <c r="N220" s="116">
        <f t="shared" si="51"/>
        <v>55454022.280000031</v>
      </c>
      <c r="O220" s="123">
        <f t="shared" si="52"/>
        <v>141.69749276232585</v>
      </c>
      <c r="P220" s="5"/>
      <c r="Q220" s="5">
        <f t="shared" si="48"/>
        <v>1</v>
      </c>
      <c r="R220" s="7">
        <f t="shared" si="49"/>
        <v>391355</v>
      </c>
      <c r="S220" s="5">
        <f>IF(J220&gt;0,1,0)</f>
        <v>1</v>
      </c>
      <c r="T220" s="7">
        <f t="shared" si="46"/>
        <v>391355</v>
      </c>
    </row>
    <row r="221" spans="1:20">
      <c r="A221" s="23" t="s">
        <v>249</v>
      </c>
      <c r="B221" s="37" t="s">
        <v>233</v>
      </c>
      <c r="C221" s="36">
        <v>92145</v>
      </c>
      <c r="D221" s="6"/>
      <c r="E221" s="113">
        <v>29233324179</v>
      </c>
      <c r="F221" s="116">
        <f t="shared" si="42"/>
        <v>317253.50457431225</v>
      </c>
      <c r="G221" s="117">
        <v>22745809098</v>
      </c>
      <c r="H221" s="117">
        <f t="shared" si="43"/>
        <v>246848.00149763958</v>
      </c>
      <c r="I221" s="7"/>
      <c r="J221" s="10">
        <v>7.3739999999999997</v>
      </c>
      <c r="K221" s="117">
        <v>167727596</v>
      </c>
      <c r="L221" s="120">
        <f t="shared" si="47"/>
        <v>1820.2571599110099</v>
      </c>
      <c r="M221" s="122">
        <f t="shared" si="50"/>
        <v>227458090.98000002</v>
      </c>
      <c r="N221" s="116">
        <f t="shared" si="51"/>
        <v>59730494.980000019</v>
      </c>
      <c r="O221" s="123">
        <f t="shared" si="52"/>
        <v>648.22285506538628</v>
      </c>
      <c r="P221" s="5"/>
      <c r="Q221" s="5">
        <f t="shared" si="48"/>
        <v>1</v>
      </c>
      <c r="R221" s="7">
        <f t="shared" si="49"/>
        <v>92145</v>
      </c>
      <c r="S221" s="5">
        <f t="shared" si="45"/>
        <v>1</v>
      </c>
      <c r="T221" s="7">
        <f t="shared" si="46"/>
        <v>92145</v>
      </c>
    </row>
    <row r="222" spans="1:20">
      <c r="A222" s="23" t="s">
        <v>500</v>
      </c>
      <c r="B222" s="37" t="s">
        <v>233</v>
      </c>
      <c r="C222" s="36">
        <v>107579</v>
      </c>
      <c r="D222" s="6"/>
      <c r="E222" s="113">
        <v>6316924278</v>
      </c>
      <c r="F222" s="116">
        <f t="shared" ref="F222:F285" si="53">(E222/C222)</f>
        <v>58718.934717742311</v>
      </c>
      <c r="G222" s="117">
        <v>3934458974</v>
      </c>
      <c r="H222" s="117">
        <f t="shared" ref="H222:H285" si="54">(G222/C222)</f>
        <v>36572.741650322088</v>
      </c>
      <c r="I222" s="7"/>
      <c r="J222" s="10">
        <v>5.1487999999999996</v>
      </c>
      <c r="K222" s="117">
        <v>20257742</v>
      </c>
      <c r="L222" s="120">
        <f t="shared" si="47"/>
        <v>188.30572881324423</v>
      </c>
      <c r="M222" s="122">
        <f t="shared" si="50"/>
        <v>39344589.740000002</v>
      </c>
      <c r="N222" s="116">
        <f t="shared" si="51"/>
        <v>19086847.740000002</v>
      </c>
      <c r="O222" s="123">
        <f t="shared" si="52"/>
        <v>177.42168768997669</v>
      </c>
      <c r="P222" s="5"/>
      <c r="Q222" s="5">
        <f t="shared" si="48"/>
        <v>1</v>
      </c>
      <c r="R222" s="7">
        <f t="shared" si="49"/>
        <v>107579</v>
      </c>
      <c r="S222" s="5">
        <f t="shared" si="45"/>
        <v>1</v>
      </c>
      <c r="T222" s="7">
        <f t="shared" si="46"/>
        <v>107579</v>
      </c>
    </row>
    <row r="223" spans="1:20">
      <c r="A223" s="23" t="s">
        <v>459</v>
      </c>
      <c r="B223" s="37" t="s">
        <v>233</v>
      </c>
      <c r="C223" s="36">
        <v>27292</v>
      </c>
      <c r="D223" s="6"/>
      <c r="E223" s="113">
        <v>4520925676</v>
      </c>
      <c r="F223" s="116">
        <f t="shared" si="53"/>
        <v>165650.21530118716</v>
      </c>
      <c r="G223" s="117">
        <v>3071961664</v>
      </c>
      <c r="H223" s="117">
        <f t="shared" si="54"/>
        <v>112559.05261615125</v>
      </c>
      <c r="I223" s="7"/>
      <c r="J223" s="10">
        <v>2.7403</v>
      </c>
      <c r="K223" s="117">
        <v>8418097</v>
      </c>
      <c r="L223" s="120">
        <f t="shared" si="47"/>
        <v>308.4455884508281</v>
      </c>
      <c r="M223" s="122">
        <f t="shared" si="50"/>
        <v>30719616.640000001</v>
      </c>
      <c r="N223" s="116">
        <f t="shared" si="51"/>
        <v>22301519.640000001</v>
      </c>
      <c r="O223" s="123">
        <f t="shared" si="52"/>
        <v>817.14493771068442</v>
      </c>
      <c r="P223" s="5"/>
      <c r="Q223" s="5">
        <f t="shared" si="48"/>
        <v>1</v>
      </c>
      <c r="R223" s="7">
        <f t="shared" si="49"/>
        <v>27292</v>
      </c>
      <c r="S223" s="5">
        <f t="shared" si="45"/>
        <v>1</v>
      </c>
      <c r="T223" s="7">
        <f t="shared" si="46"/>
        <v>27292</v>
      </c>
    </row>
    <row r="224" spans="1:20">
      <c r="A224" s="23" t="s">
        <v>250</v>
      </c>
      <c r="B224" s="37" t="s">
        <v>233</v>
      </c>
      <c r="C224" s="36">
        <v>10456</v>
      </c>
      <c r="D224" s="6"/>
      <c r="E224" s="113">
        <v>1859454622</v>
      </c>
      <c r="F224" s="116">
        <f t="shared" si="53"/>
        <v>177836.13446824791</v>
      </c>
      <c r="G224" s="117">
        <v>835967895</v>
      </c>
      <c r="H224" s="117">
        <f t="shared" si="54"/>
        <v>79951.022857689371</v>
      </c>
      <c r="I224" s="7"/>
      <c r="J224" s="10">
        <v>8.25</v>
      </c>
      <c r="K224" s="117">
        <v>6896735</v>
      </c>
      <c r="L224" s="120">
        <f t="shared" si="47"/>
        <v>659.59592578423872</v>
      </c>
      <c r="M224" s="122">
        <f t="shared" si="50"/>
        <v>8359678.9500000002</v>
      </c>
      <c r="N224" s="116">
        <f t="shared" si="51"/>
        <v>1462943.9500000002</v>
      </c>
      <c r="O224" s="123">
        <f t="shared" si="52"/>
        <v>139.91430279265495</v>
      </c>
      <c r="P224" s="5"/>
      <c r="Q224" s="5">
        <f t="shared" si="48"/>
        <v>1</v>
      </c>
      <c r="R224" s="7">
        <f t="shared" si="49"/>
        <v>10456</v>
      </c>
      <c r="S224" s="5">
        <f t="shared" si="45"/>
        <v>1</v>
      </c>
      <c r="T224" s="7">
        <f t="shared" si="46"/>
        <v>10456</v>
      </c>
    </row>
    <row r="225" spans="1:20">
      <c r="A225" s="23" t="s">
        <v>251</v>
      </c>
      <c r="B225" s="37" t="s">
        <v>233</v>
      </c>
      <c r="C225" s="36">
        <v>13723</v>
      </c>
      <c r="D225" s="6"/>
      <c r="E225" s="113">
        <v>1679940734</v>
      </c>
      <c r="F225" s="116">
        <f t="shared" si="53"/>
        <v>122417.89215186184</v>
      </c>
      <c r="G225" s="117">
        <v>1018698661</v>
      </c>
      <c r="H225" s="117">
        <f t="shared" si="54"/>
        <v>74232.941849449824</v>
      </c>
      <c r="I225" s="7"/>
      <c r="J225" s="10">
        <v>7.5</v>
      </c>
      <c r="K225" s="117">
        <v>7640240</v>
      </c>
      <c r="L225" s="120">
        <f t="shared" si="47"/>
        <v>556.74706696786416</v>
      </c>
      <c r="M225" s="122">
        <f t="shared" si="50"/>
        <v>10186986.609999999</v>
      </c>
      <c r="N225" s="116">
        <f t="shared" si="51"/>
        <v>2546746.6099999994</v>
      </c>
      <c r="O225" s="123">
        <f t="shared" si="52"/>
        <v>185.58235152663408</v>
      </c>
      <c r="P225" s="5"/>
      <c r="Q225" s="5">
        <f t="shared" si="48"/>
        <v>1</v>
      </c>
      <c r="R225" s="7">
        <f t="shared" si="49"/>
        <v>13723</v>
      </c>
      <c r="S225" s="5">
        <f t="shared" si="45"/>
        <v>1</v>
      </c>
      <c r="T225" s="7">
        <f t="shared" si="46"/>
        <v>13723</v>
      </c>
    </row>
    <row r="226" spans="1:20">
      <c r="A226" s="23" t="s">
        <v>252</v>
      </c>
      <c r="B226" s="37" t="s">
        <v>233</v>
      </c>
      <c r="C226" s="36">
        <v>5794</v>
      </c>
      <c r="D226" s="6"/>
      <c r="E226" s="113">
        <v>912064005</v>
      </c>
      <c r="F226" s="116">
        <f t="shared" si="53"/>
        <v>157415.25802554368</v>
      </c>
      <c r="G226" s="117">
        <v>723731468</v>
      </c>
      <c r="H226" s="117">
        <f t="shared" si="54"/>
        <v>124910.50535036244</v>
      </c>
      <c r="I226" s="7"/>
      <c r="J226" s="10">
        <v>5.9</v>
      </c>
      <c r="K226" s="117">
        <v>4270016</v>
      </c>
      <c r="L226" s="120">
        <f t="shared" si="47"/>
        <v>736.97204004142213</v>
      </c>
      <c r="M226" s="122">
        <f t="shared" si="50"/>
        <v>7237314.6799999997</v>
      </c>
      <c r="N226" s="116">
        <f t="shared" si="51"/>
        <v>2967298.6799999997</v>
      </c>
      <c r="O226" s="123">
        <f t="shared" si="52"/>
        <v>512.13301346220226</v>
      </c>
      <c r="P226" s="5"/>
      <c r="Q226" s="5">
        <f t="shared" si="48"/>
        <v>1</v>
      </c>
      <c r="R226" s="7">
        <f t="shared" si="49"/>
        <v>5794</v>
      </c>
      <c r="S226" s="5">
        <f t="shared" si="45"/>
        <v>1</v>
      </c>
      <c r="T226" s="7">
        <f t="shared" si="46"/>
        <v>5794</v>
      </c>
    </row>
    <row r="227" spans="1:20">
      <c r="A227" s="23" t="s">
        <v>253</v>
      </c>
      <c r="B227" s="37" t="s">
        <v>233</v>
      </c>
      <c r="C227" s="36">
        <v>59734</v>
      </c>
      <c r="D227" s="6"/>
      <c r="E227" s="113">
        <v>4577059145</v>
      </c>
      <c r="F227" s="116">
        <f t="shared" si="53"/>
        <v>76624.018900458701</v>
      </c>
      <c r="G227" s="117">
        <v>2787736053</v>
      </c>
      <c r="H227" s="117">
        <f t="shared" si="54"/>
        <v>46669.167526032077</v>
      </c>
      <c r="I227" s="7"/>
      <c r="J227" s="10">
        <v>8.3000000000000007</v>
      </c>
      <c r="K227" s="117">
        <v>23138209</v>
      </c>
      <c r="L227" s="120">
        <f t="shared" si="47"/>
        <v>387.35408644992799</v>
      </c>
      <c r="M227" s="122">
        <f t="shared" si="50"/>
        <v>27877360.530000001</v>
      </c>
      <c r="N227" s="116">
        <f t="shared" si="51"/>
        <v>4739151.5300000012</v>
      </c>
      <c r="O227" s="123">
        <f t="shared" si="52"/>
        <v>79.337588810392759</v>
      </c>
      <c r="P227" s="5"/>
      <c r="Q227" s="5">
        <f t="shared" si="48"/>
        <v>1</v>
      </c>
      <c r="R227" s="7">
        <f t="shared" si="49"/>
        <v>59734</v>
      </c>
      <c r="S227" s="5">
        <f t="shared" si="45"/>
        <v>1</v>
      </c>
      <c r="T227" s="7">
        <f t="shared" si="46"/>
        <v>59734</v>
      </c>
    </row>
    <row r="228" spans="1:20">
      <c r="A228" s="23" t="s">
        <v>254</v>
      </c>
      <c r="B228" s="37" t="s">
        <v>233</v>
      </c>
      <c r="C228" s="36">
        <v>40688</v>
      </c>
      <c r="D228" s="6"/>
      <c r="E228" s="113">
        <v>3757784626</v>
      </c>
      <c r="F228" s="116">
        <f t="shared" si="53"/>
        <v>92356.09088674793</v>
      </c>
      <c r="G228" s="117">
        <v>2387775183</v>
      </c>
      <c r="H228" s="117">
        <f t="shared" si="54"/>
        <v>58684.997616004715</v>
      </c>
      <c r="I228" s="7"/>
      <c r="J228" s="10">
        <v>7.5</v>
      </c>
      <c r="K228" s="117">
        <v>17908314</v>
      </c>
      <c r="L228" s="120">
        <f t="shared" si="47"/>
        <v>440.13748525363741</v>
      </c>
      <c r="M228" s="122">
        <f t="shared" si="50"/>
        <v>23877751.830000002</v>
      </c>
      <c r="N228" s="116">
        <f t="shared" si="51"/>
        <v>5969437.8300000019</v>
      </c>
      <c r="O228" s="123">
        <f t="shared" si="52"/>
        <v>146.71249090640981</v>
      </c>
      <c r="P228" s="5"/>
      <c r="Q228" s="5">
        <f t="shared" si="48"/>
        <v>1</v>
      </c>
      <c r="R228" s="7">
        <f t="shared" si="49"/>
        <v>40688</v>
      </c>
      <c r="S228" s="5">
        <f>IF(J228&gt;0,1,0)</f>
        <v>1</v>
      </c>
      <c r="T228" s="7">
        <f t="shared" si="46"/>
        <v>40688</v>
      </c>
    </row>
    <row r="229" spans="1:20">
      <c r="A229" s="23" t="s">
        <v>255</v>
      </c>
      <c r="B229" s="37" t="s">
        <v>233</v>
      </c>
      <c r="C229" s="36">
        <v>15487</v>
      </c>
      <c r="D229" s="6"/>
      <c r="E229" s="113">
        <v>1038594409</v>
      </c>
      <c r="F229" s="116">
        <f t="shared" si="53"/>
        <v>67062.336734034994</v>
      </c>
      <c r="G229" s="117">
        <v>776746787</v>
      </c>
      <c r="H229" s="117">
        <f t="shared" si="54"/>
        <v>50154.761219086977</v>
      </c>
      <c r="I229" s="7"/>
      <c r="J229" s="10">
        <v>9.8000000000000007</v>
      </c>
      <c r="K229" s="117">
        <v>7612119</v>
      </c>
      <c r="L229" s="120">
        <f t="shared" si="47"/>
        <v>491.51669141860918</v>
      </c>
      <c r="M229" s="122">
        <f t="shared" si="50"/>
        <v>7767467.8700000001</v>
      </c>
      <c r="N229" s="116">
        <f t="shared" si="51"/>
        <v>155348.87000000011</v>
      </c>
      <c r="O229" s="123">
        <f t="shared" si="52"/>
        <v>10.030920772260613</v>
      </c>
      <c r="P229" s="5"/>
      <c r="Q229" s="5">
        <f t="shared" si="48"/>
        <v>1</v>
      </c>
      <c r="R229" s="7">
        <f t="shared" si="49"/>
        <v>15487</v>
      </c>
      <c r="S229" s="5">
        <f t="shared" si="45"/>
        <v>1</v>
      </c>
      <c r="T229" s="7">
        <f t="shared" si="46"/>
        <v>15487</v>
      </c>
    </row>
    <row r="230" spans="1:20">
      <c r="A230" s="23" t="s">
        <v>493</v>
      </c>
      <c r="B230" s="37" t="s">
        <v>233</v>
      </c>
      <c r="C230" s="36">
        <v>25142</v>
      </c>
      <c r="D230" s="6"/>
      <c r="E230" s="113">
        <v>4508072836</v>
      </c>
      <c r="F230" s="116">
        <f t="shared" si="53"/>
        <v>179304.46408400286</v>
      </c>
      <c r="G230" s="117">
        <v>2671864456</v>
      </c>
      <c r="H230" s="117">
        <f t="shared" si="54"/>
        <v>106270.95919179064</v>
      </c>
      <c r="I230" s="7"/>
      <c r="J230" s="10">
        <v>2.3736000000000002</v>
      </c>
      <c r="K230" s="117">
        <v>6341937</v>
      </c>
      <c r="L230" s="120">
        <f t="shared" si="47"/>
        <v>252.24472993397501</v>
      </c>
      <c r="M230" s="122">
        <f t="shared" si="50"/>
        <v>26718644.560000002</v>
      </c>
      <c r="N230" s="116">
        <f t="shared" si="51"/>
        <v>20376707.560000002</v>
      </c>
      <c r="O230" s="123">
        <f t="shared" si="52"/>
        <v>810.46486198393131</v>
      </c>
      <c r="P230" s="5"/>
      <c r="Q230" s="5">
        <f t="shared" si="48"/>
        <v>1</v>
      </c>
      <c r="R230" s="7">
        <f t="shared" si="49"/>
        <v>25142</v>
      </c>
      <c r="S230" s="5">
        <f t="shared" si="45"/>
        <v>1</v>
      </c>
      <c r="T230" s="7">
        <f t="shared" si="46"/>
        <v>25142</v>
      </c>
    </row>
    <row r="231" spans="1:20">
      <c r="A231" s="23" t="s">
        <v>256</v>
      </c>
      <c r="B231" s="37" t="s">
        <v>233</v>
      </c>
      <c r="C231" s="36">
        <v>19530</v>
      </c>
      <c r="D231" s="6"/>
      <c r="E231" s="113">
        <v>5678758515</v>
      </c>
      <c r="F231" s="116">
        <f t="shared" si="53"/>
        <v>290771.04531490017</v>
      </c>
      <c r="G231" s="117">
        <v>3501000979</v>
      </c>
      <c r="H231" s="117">
        <f t="shared" si="54"/>
        <v>179262.7229390681</v>
      </c>
      <c r="I231" s="7"/>
      <c r="J231" s="10">
        <v>2.4</v>
      </c>
      <c r="K231" s="117">
        <v>8402402</v>
      </c>
      <c r="L231" s="120">
        <f t="shared" ref="L231:L262" si="55">(K231/C231)</f>
        <v>430.23051715309782</v>
      </c>
      <c r="M231" s="122">
        <f t="shared" si="50"/>
        <v>35010009.789999999</v>
      </c>
      <c r="N231" s="116">
        <f t="shared" si="51"/>
        <v>26607607.789999999</v>
      </c>
      <c r="O231" s="123">
        <f t="shared" si="52"/>
        <v>1362.3967122375832</v>
      </c>
      <c r="P231" s="5"/>
      <c r="Q231" s="5">
        <f t="shared" si="48"/>
        <v>1</v>
      </c>
      <c r="R231" s="7">
        <f t="shared" si="49"/>
        <v>19530</v>
      </c>
      <c r="S231" s="5">
        <f t="shared" si="45"/>
        <v>1</v>
      </c>
      <c r="T231" s="7">
        <f t="shared" si="46"/>
        <v>19530</v>
      </c>
    </row>
    <row r="232" spans="1:20">
      <c r="A232" s="23" t="s">
        <v>257</v>
      </c>
      <c r="B232" s="37" t="s">
        <v>233</v>
      </c>
      <c r="C232" s="36">
        <v>10528</v>
      </c>
      <c r="D232" s="6"/>
      <c r="E232" s="113">
        <v>2358289266</v>
      </c>
      <c r="F232" s="116">
        <f t="shared" si="53"/>
        <v>224001.64000759879</v>
      </c>
      <c r="G232" s="117">
        <v>1457847420</v>
      </c>
      <c r="H232" s="117">
        <f t="shared" si="54"/>
        <v>138473.34916413375</v>
      </c>
      <c r="I232" s="7"/>
      <c r="J232" s="11">
        <v>5.8810000000000002</v>
      </c>
      <c r="K232" s="117">
        <v>8573601</v>
      </c>
      <c r="L232" s="120">
        <f t="shared" si="55"/>
        <v>814.361797112462</v>
      </c>
      <c r="M232" s="122">
        <f t="shared" si="50"/>
        <v>14578474.200000001</v>
      </c>
      <c r="N232" s="116">
        <f t="shared" si="51"/>
        <v>6004873.2000000011</v>
      </c>
      <c r="O232" s="123">
        <f t="shared" si="52"/>
        <v>570.37169452887554</v>
      </c>
      <c r="P232" s="5"/>
      <c r="Q232" s="5">
        <f t="shared" si="48"/>
        <v>1</v>
      </c>
      <c r="R232" s="7">
        <f t="shared" si="49"/>
        <v>10528</v>
      </c>
      <c r="S232" s="5">
        <f t="shared" si="45"/>
        <v>1</v>
      </c>
      <c r="T232" s="7">
        <f t="shared" si="46"/>
        <v>10528</v>
      </c>
    </row>
    <row r="233" spans="1:20">
      <c r="A233" s="23" t="s">
        <v>258</v>
      </c>
      <c r="B233" s="37" t="s">
        <v>233</v>
      </c>
      <c r="C233" s="36">
        <v>18121</v>
      </c>
      <c r="D233" s="6"/>
      <c r="E233" s="113">
        <v>5674581596</v>
      </c>
      <c r="F233" s="116">
        <f t="shared" si="53"/>
        <v>313149.47276640363</v>
      </c>
      <c r="G233" s="117">
        <v>4853651997</v>
      </c>
      <c r="H233" s="117">
        <f t="shared" si="54"/>
        <v>267846.80740577233</v>
      </c>
      <c r="I233" s="7"/>
      <c r="J233" s="10">
        <v>2.95</v>
      </c>
      <c r="K233" s="117">
        <v>14318273</v>
      </c>
      <c r="L233" s="120">
        <f t="shared" si="55"/>
        <v>790.14806026157498</v>
      </c>
      <c r="M233" s="122">
        <f t="shared" si="50"/>
        <v>48536519.969999999</v>
      </c>
      <c r="N233" s="116">
        <f t="shared" si="51"/>
        <v>34218246.969999999</v>
      </c>
      <c r="O233" s="123">
        <f t="shared" si="52"/>
        <v>1888.320013796148</v>
      </c>
      <c r="P233" s="5"/>
      <c r="Q233" s="5">
        <f t="shared" si="48"/>
        <v>1</v>
      </c>
      <c r="R233" s="7">
        <f t="shared" si="49"/>
        <v>18121</v>
      </c>
      <c r="S233" s="5">
        <f t="shared" si="45"/>
        <v>1</v>
      </c>
      <c r="T233" s="7">
        <f t="shared" si="46"/>
        <v>18121</v>
      </c>
    </row>
    <row r="234" spans="1:20">
      <c r="A234" s="23" t="s">
        <v>259</v>
      </c>
      <c r="B234" s="37" t="s">
        <v>233</v>
      </c>
      <c r="C234" s="36">
        <v>5635</v>
      </c>
      <c r="D234" s="6"/>
      <c r="E234" s="113">
        <v>1822612969</v>
      </c>
      <c r="F234" s="116">
        <f t="shared" si="53"/>
        <v>323445.06992014195</v>
      </c>
      <c r="G234" s="117">
        <v>1373684263</v>
      </c>
      <c r="H234" s="117">
        <f t="shared" si="54"/>
        <v>243777.15403726709</v>
      </c>
      <c r="I234" s="7"/>
      <c r="J234" s="10">
        <v>5.6</v>
      </c>
      <c r="K234" s="117">
        <v>7692632</v>
      </c>
      <c r="L234" s="120">
        <f t="shared" si="55"/>
        <v>1365.1520851818989</v>
      </c>
      <c r="M234" s="122">
        <f t="shared" si="50"/>
        <v>13736842.630000001</v>
      </c>
      <c r="N234" s="116">
        <f t="shared" si="51"/>
        <v>6044210.6300000008</v>
      </c>
      <c r="O234" s="123">
        <f t="shared" si="52"/>
        <v>1072.6194551907722</v>
      </c>
      <c r="P234" s="5"/>
      <c r="Q234" s="5">
        <f t="shared" si="48"/>
        <v>1</v>
      </c>
      <c r="R234" s="7">
        <f t="shared" si="49"/>
        <v>5635</v>
      </c>
      <c r="S234" s="5">
        <f t="shared" si="45"/>
        <v>1</v>
      </c>
      <c r="T234" s="7">
        <f t="shared" si="46"/>
        <v>5635</v>
      </c>
    </row>
    <row r="235" spans="1:20">
      <c r="A235" s="23" t="s">
        <v>260</v>
      </c>
      <c r="B235" s="37" t="s">
        <v>233</v>
      </c>
      <c r="C235" s="36">
        <v>14281</v>
      </c>
      <c r="D235" s="6"/>
      <c r="E235" s="113">
        <v>613094176</v>
      </c>
      <c r="F235" s="116">
        <f t="shared" si="53"/>
        <v>42930.759470625308</v>
      </c>
      <c r="G235" s="117">
        <v>413929222</v>
      </c>
      <c r="H235" s="117">
        <f t="shared" si="54"/>
        <v>28984.610461452281</v>
      </c>
      <c r="I235" s="7"/>
      <c r="J235" s="10">
        <v>3.9487000000000001</v>
      </c>
      <c r="K235" s="117">
        <v>1634482</v>
      </c>
      <c r="L235" s="120">
        <f t="shared" si="55"/>
        <v>114.45150899796933</v>
      </c>
      <c r="M235" s="122">
        <f t="shared" si="50"/>
        <v>4139292.22</v>
      </c>
      <c r="N235" s="116">
        <f t="shared" si="51"/>
        <v>2504810.2200000002</v>
      </c>
      <c r="O235" s="123">
        <f t="shared" si="52"/>
        <v>175.39459561655349</v>
      </c>
      <c r="P235" s="5"/>
      <c r="Q235" s="5">
        <f t="shared" si="48"/>
        <v>1</v>
      </c>
      <c r="R235" s="7">
        <f t="shared" si="49"/>
        <v>14281</v>
      </c>
      <c r="S235" s="5">
        <f t="shared" si="45"/>
        <v>1</v>
      </c>
      <c r="T235" s="7">
        <f t="shared" si="46"/>
        <v>14281</v>
      </c>
    </row>
    <row r="236" spans="1:20">
      <c r="A236" s="23" t="s">
        <v>261</v>
      </c>
      <c r="B236" s="35" t="s">
        <v>233</v>
      </c>
      <c r="C236" s="36">
        <v>2371</v>
      </c>
      <c r="D236" s="6"/>
      <c r="E236" s="113">
        <v>289368021</v>
      </c>
      <c r="F236" s="116">
        <f t="shared" si="53"/>
        <v>122044.71573175876</v>
      </c>
      <c r="G236" s="117">
        <v>212494091</v>
      </c>
      <c r="H236" s="117">
        <f t="shared" si="54"/>
        <v>89622.138760016867</v>
      </c>
      <c r="I236" s="7"/>
      <c r="J236" s="11">
        <v>4.5999999999999996</v>
      </c>
      <c r="K236" s="117">
        <v>977473</v>
      </c>
      <c r="L236" s="120">
        <f t="shared" si="55"/>
        <v>412.26191480388025</v>
      </c>
      <c r="M236" s="122">
        <f t="shared" si="50"/>
        <v>2124940.91</v>
      </c>
      <c r="N236" s="116">
        <f t="shared" si="51"/>
        <v>1147467.9100000001</v>
      </c>
      <c r="O236" s="123">
        <f t="shared" si="52"/>
        <v>483.95947279628854</v>
      </c>
      <c r="P236" s="5"/>
      <c r="Q236" s="5">
        <f t="shared" si="48"/>
        <v>1</v>
      </c>
      <c r="R236" s="7">
        <f t="shared" si="49"/>
        <v>2371</v>
      </c>
      <c r="S236" s="5">
        <f t="shared" si="45"/>
        <v>1</v>
      </c>
      <c r="T236" s="7">
        <f t="shared" si="46"/>
        <v>2371</v>
      </c>
    </row>
    <row r="237" spans="1:20">
      <c r="A237" s="23" t="s">
        <v>262</v>
      </c>
      <c r="B237" s="35" t="s">
        <v>233</v>
      </c>
      <c r="C237" s="36">
        <v>5744</v>
      </c>
      <c r="D237" s="6"/>
      <c r="E237" s="113">
        <v>596649821</v>
      </c>
      <c r="F237" s="116">
        <f t="shared" si="53"/>
        <v>103873.57607938719</v>
      </c>
      <c r="G237" s="117">
        <v>367720903</v>
      </c>
      <c r="H237" s="117">
        <f t="shared" si="54"/>
        <v>64018.263057103068</v>
      </c>
      <c r="I237" s="7"/>
      <c r="J237" s="10">
        <v>8.4949999999999992</v>
      </c>
      <c r="K237" s="117">
        <v>3123789</v>
      </c>
      <c r="L237" s="120">
        <f t="shared" si="55"/>
        <v>543.83513231197776</v>
      </c>
      <c r="M237" s="122">
        <f t="shared" si="50"/>
        <v>3677209.0300000003</v>
      </c>
      <c r="N237" s="116">
        <f t="shared" si="51"/>
        <v>553420.03000000026</v>
      </c>
      <c r="O237" s="123">
        <f t="shared" si="52"/>
        <v>96.347498259052969</v>
      </c>
      <c r="P237" s="5"/>
      <c r="Q237" s="5">
        <f t="shared" si="48"/>
        <v>1</v>
      </c>
      <c r="R237" s="7">
        <f t="shared" si="49"/>
        <v>5744</v>
      </c>
      <c r="S237" s="5">
        <f t="shared" si="45"/>
        <v>1</v>
      </c>
      <c r="T237" s="7">
        <f t="shared" si="46"/>
        <v>5744</v>
      </c>
    </row>
    <row r="238" spans="1:20">
      <c r="A238" s="23" t="s">
        <v>263</v>
      </c>
      <c r="B238" s="35" t="s">
        <v>264</v>
      </c>
      <c r="C238" s="36">
        <v>7057</v>
      </c>
      <c r="D238" s="6"/>
      <c r="E238" s="113">
        <v>4809704297</v>
      </c>
      <c r="F238" s="116">
        <f t="shared" si="53"/>
        <v>681550.84270936658</v>
      </c>
      <c r="G238" s="117">
        <v>3632691257</v>
      </c>
      <c r="H238" s="117">
        <f t="shared" si="54"/>
        <v>514764.24217089417</v>
      </c>
      <c r="I238" s="7"/>
      <c r="J238" s="10">
        <v>1.95</v>
      </c>
      <c r="K238" s="117">
        <v>7083748</v>
      </c>
      <c r="L238" s="120">
        <f t="shared" si="55"/>
        <v>1003.7902791554485</v>
      </c>
      <c r="M238" s="122">
        <f t="shared" si="50"/>
        <v>36326912.57</v>
      </c>
      <c r="N238" s="116">
        <f t="shared" si="51"/>
        <v>29243164.57</v>
      </c>
      <c r="O238" s="123">
        <f t="shared" si="52"/>
        <v>4143.8521425534927</v>
      </c>
      <c r="P238" s="5"/>
      <c r="Q238" s="5">
        <f t="shared" si="48"/>
        <v>1</v>
      </c>
      <c r="R238" s="7">
        <f t="shared" si="49"/>
        <v>7057</v>
      </c>
      <c r="S238" s="5">
        <f t="shared" si="45"/>
        <v>1</v>
      </c>
      <c r="T238" s="7">
        <f t="shared" si="46"/>
        <v>7057</v>
      </c>
    </row>
    <row r="239" spans="1:20">
      <c r="A239" s="23" t="s">
        <v>265</v>
      </c>
      <c r="B239" s="35" t="s">
        <v>264</v>
      </c>
      <c r="C239" s="36">
        <v>857</v>
      </c>
      <c r="D239" s="6"/>
      <c r="E239" s="113">
        <v>1044321105</v>
      </c>
      <c r="F239" s="116">
        <f t="shared" si="53"/>
        <v>1218577.7187864643</v>
      </c>
      <c r="G239" s="117">
        <v>910732541</v>
      </c>
      <c r="H239" s="117">
        <f t="shared" si="54"/>
        <v>1062698.414235706</v>
      </c>
      <c r="I239" s="7"/>
      <c r="J239" s="10">
        <v>1.2373000000000001</v>
      </c>
      <c r="K239" s="117">
        <v>1126849</v>
      </c>
      <c r="L239" s="120">
        <f t="shared" si="55"/>
        <v>1314.8763127187865</v>
      </c>
      <c r="M239" s="122">
        <f t="shared" si="50"/>
        <v>9107325.4100000001</v>
      </c>
      <c r="N239" s="116">
        <f t="shared" si="51"/>
        <v>7980476.4100000001</v>
      </c>
      <c r="O239" s="123">
        <f t="shared" si="52"/>
        <v>9312.107829638273</v>
      </c>
      <c r="P239" s="5"/>
      <c r="Q239" s="5">
        <f t="shared" si="48"/>
        <v>1</v>
      </c>
      <c r="R239" s="7">
        <f t="shared" si="49"/>
        <v>857</v>
      </c>
      <c r="S239" s="5">
        <f t="shared" si="45"/>
        <v>1</v>
      </c>
      <c r="T239" s="7">
        <f t="shared" si="46"/>
        <v>857</v>
      </c>
    </row>
    <row r="240" spans="1:20">
      <c r="A240" s="23" t="s">
        <v>266</v>
      </c>
      <c r="B240" s="35" t="s">
        <v>264</v>
      </c>
      <c r="C240" s="36">
        <v>25319</v>
      </c>
      <c r="D240" s="6"/>
      <c r="E240" s="113">
        <v>12381126001</v>
      </c>
      <c r="F240" s="116">
        <f t="shared" si="53"/>
        <v>489005.33200363361</v>
      </c>
      <c r="G240" s="117">
        <v>6706910203</v>
      </c>
      <c r="H240" s="117">
        <f t="shared" si="54"/>
        <v>264896.3309372408</v>
      </c>
      <c r="I240" s="7"/>
      <c r="J240" s="10">
        <v>2.3033999999999999</v>
      </c>
      <c r="K240" s="117">
        <v>15448697</v>
      </c>
      <c r="L240" s="120">
        <f t="shared" si="55"/>
        <v>610.16221019787508</v>
      </c>
      <c r="M240" s="122">
        <f t="shared" si="50"/>
        <v>67069102.030000001</v>
      </c>
      <c r="N240" s="116">
        <f t="shared" si="51"/>
        <v>51620405.030000001</v>
      </c>
      <c r="O240" s="123">
        <f t="shared" si="52"/>
        <v>2038.801099174533</v>
      </c>
      <c r="P240" s="5"/>
      <c r="Q240" s="5">
        <f t="shared" si="48"/>
        <v>1</v>
      </c>
      <c r="R240" s="7">
        <f t="shared" si="49"/>
        <v>25319</v>
      </c>
      <c r="S240" s="5">
        <f t="shared" si="45"/>
        <v>1</v>
      </c>
      <c r="T240" s="7">
        <f t="shared" si="46"/>
        <v>25319</v>
      </c>
    </row>
    <row r="241" spans="1:20">
      <c r="A241" s="23" t="s">
        <v>267</v>
      </c>
      <c r="B241" s="35" t="s">
        <v>264</v>
      </c>
      <c r="C241" s="36">
        <v>206</v>
      </c>
      <c r="D241" s="6"/>
      <c r="E241" s="113">
        <v>102269382</v>
      </c>
      <c r="F241" s="116">
        <f t="shared" si="53"/>
        <v>496453.31067961163</v>
      </c>
      <c r="G241" s="117">
        <v>76899276</v>
      </c>
      <c r="H241" s="117">
        <f t="shared" si="54"/>
        <v>373297.45631067961</v>
      </c>
      <c r="I241" s="7"/>
      <c r="J241" s="10">
        <v>1.1000000000000001</v>
      </c>
      <c r="K241" s="117">
        <v>84589</v>
      </c>
      <c r="L241" s="120">
        <f t="shared" si="55"/>
        <v>410.626213592233</v>
      </c>
      <c r="M241" s="122">
        <f t="shared" si="50"/>
        <v>768992.76</v>
      </c>
      <c r="N241" s="116">
        <f t="shared" si="51"/>
        <v>684403.76</v>
      </c>
      <c r="O241" s="123">
        <f t="shared" si="52"/>
        <v>3322.3483495145633</v>
      </c>
      <c r="P241" s="5"/>
      <c r="Q241" s="5">
        <f t="shared" si="48"/>
        <v>1</v>
      </c>
      <c r="R241" s="7">
        <f t="shared" si="49"/>
        <v>206</v>
      </c>
      <c r="S241" s="5">
        <f t="shared" si="45"/>
        <v>1</v>
      </c>
      <c r="T241" s="7">
        <f t="shared" si="46"/>
        <v>206</v>
      </c>
    </row>
    <row r="242" spans="1:20">
      <c r="A242" s="23" t="s">
        <v>449</v>
      </c>
      <c r="B242" s="35" t="s">
        <v>264</v>
      </c>
      <c r="C242" s="36">
        <v>10605</v>
      </c>
      <c r="D242" s="6"/>
      <c r="E242" s="113">
        <v>3667276618</v>
      </c>
      <c r="F242" s="116">
        <f t="shared" si="53"/>
        <v>345806.37604903348</v>
      </c>
      <c r="G242" s="117">
        <v>2775039426</v>
      </c>
      <c r="H242" s="117">
        <f t="shared" si="54"/>
        <v>261672.74172560114</v>
      </c>
      <c r="I242" s="7"/>
      <c r="J242" s="10">
        <v>1.7896000000000001</v>
      </c>
      <c r="K242" s="117">
        <v>4966211</v>
      </c>
      <c r="L242" s="120">
        <f t="shared" si="55"/>
        <v>468.28958038661011</v>
      </c>
      <c r="M242" s="122">
        <f t="shared" si="50"/>
        <v>27750394.260000002</v>
      </c>
      <c r="N242" s="116">
        <f t="shared" si="51"/>
        <v>22784183.260000002</v>
      </c>
      <c r="O242" s="123">
        <f t="shared" si="52"/>
        <v>2148.4378368694015</v>
      </c>
      <c r="P242" s="5"/>
      <c r="Q242" s="5">
        <f t="shared" si="48"/>
        <v>1</v>
      </c>
      <c r="R242" s="7">
        <f t="shared" si="49"/>
        <v>10605</v>
      </c>
      <c r="S242" s="5">
        <f t="shared" si="45"/>
        <v>1</v>
      </c>
      <c r="T242" s="7">
        <f t="shared" si="46"/>
        <v>10605</v>
      </c>
    </row>
    <row r="243" spans="1:20">
      <c r="A243" s="23" t="s">
        <v>268</v>
      </c>
      <c r="B243" s="35" t="s">
        <v>269</v>
      </c>
      <c r="C243" s="36">
        <v>1345</v>
      </c>
      <c r="D243" s="6"/>
      <c r="E243" s="113">
        <v>98684056</v>
      </c>
      <c r="F243" s="116">
        <f t="shared" si="53"/>
        <v>73371.045353159847</v>
      </c>
      <c r="G243" s="117">
        <v>61793439</v>
      </c>
      <c r="H243" s="117">
        <f t="shared" si="54"/>
        <v>45943.077323420075</v>
      </c>
      <c r="I243" s="7"/>
      <c r="J243" s="10">
        <v>2.75</v>
      </c>
      <c r="K243" s="117">
        <v>169932</v>
      </c>
      <c r="L243" s="120">
        <f t="shared" si="55"/>
        <v>126.34349442379182</v>
      </c>
      <c r="M243" s="122">
        <f t="shared" si="50"/>
        <v>617934.39</v>
      </c>
      <c r="N243" s="116">
        <f t="shared" si="51"/>
        <v>448002.39</v>
      </c>
      <c r="O243" s="123">
        <f t="shared" si="52"/>
        <v>333.08727881040892</v>
      </c>
      <c r="P243" s="5"/>
      <c r="Q243" s="5">
        <f t="shared" si="48"/>
        <v>1</v>
      </c>
      <c r="R243" s="7">
        <f t="shared" si="49"/>
        <v>1345</v>
      </c>
      <c r="S243" s="5">
        <f t="shared" si="45"/>
        <v>1</v>
      </c>
      <c r="T243" s="7">
        <f t="shared" si="46"/>
        <v>1345</v>
      </c>
    </row>
    <row r="244" spans="1:20">
      <c r="A244" s="23" t="s">
        <v>270</v>
      </c>
      <c r="B244" s="35" t="s">
        <v>269</v>
      </c>
      <c r="C244" s="36">
        <v>11815</v>
      </c>
      <c r="D244" s="6"/>
      <c r="E244" s="113">
        <v>2558255068</v>
      </c>
      <c r="F244" s="116">
        <f t="shared" si="53"/>
        <v>216526.03199322894</v>
      </c>
      <c r="G244" s="117">
        <v>1847029060</v>
      </c>
      <c r="H244" s="117">
        <f t="shared" si="54"/>
        <v>156329.16292848074</v>
      </c>
      <c r="I244" s="7"/>
      <c r="J244" s="10">
        <v>4.1482999999999999</v>
      </c>
      <c r="K244" s="117">
        <v>7662031</v>
      </c>
      <c r="L244" s="120">
        <f t="shared" si="55"/>
        <v>648.50029623360138</v>
      </c>
      <c r="M244" s="122">
        <f t="shared" si="50"/>
        <v>18470290.600000001</v>
      </c>
      <c r="N244" s="116">
        <f t="shared" si="51"/>
        <v>10808259.600000001</v>
      </c>
      <c r="O244" s="123">
        <f t="shared" si="52"/>
        <v>914.79133305120627</v>
      </c>
      <c r="P244" s="5"/>
      <c r="Q244" s="5">
        <f t="shared" si="48"/>
        <v>1</v>
      </c>
      <c r="R244" s="7">
        <f t="shared" si="49"/>
        <v>11815</v>
      </c>
      <c r="S244" s="5">
        <f t="shared" si="45"/>
        <v>1</v>
      </c>
      <c r="T244" s="7">
        <f t="shared" si="46"/>
        <v>11815</v>
      </c>
    </row>
    <row r="245" spans="1:20">
      <c r="A245" s="23" t="s">
        <v>271</v>
      </c>
      <c r="B245" s="35" t="s">
        <v>269</v>
      </c>
      <c r="C245" s="36">
        <v>2964</v>
      </c>
      <c r="D245" s="6"/>
      <c r="E245" s="113">
        <v>250348418</v>
      </c>
      <c r="F245" s="116">
        <f t="shared" si="53"/>
        <v>84463.029014844811</v>
      </c>
      <c r="G245" s="117">
        <v>77541714</v>
      </c>
      <c r="H245" s="117">
        <f t="shared" si="54"/>
        <v>26161.172064777329</v>
      </c>
      <c r="I245" s="7"/>
      <c r="J245" s="10">
        <v>0.50160000000000005</v>
      </c>
      <c r="K245" s="117">
        <v>38895</v>
      </c>
      <c r="L245" s="120">
        <f t="shared" si="55"/>
        <v>13.12246963562753</v>
      </c>
      <c r="M245" s="122">
        <f t="shared" si="50"/>
        <v>775417.14</v>
      </c>
      <c r="N245" s="116">
        <f t="shared" si="51"/>
        <v>736522.14</v>
      </c>
      <c r="O245" s="123">
        <f t="shared" si="52"/>
        <v>248.48925101214576</v>
      </c>
      <c r="P245" s="5"/>
      <c r="Q245" s="5">
        <f t="shared" si="48"/>
        <v>1</v>
      </c>
      <c r="R245" s="7">
        <f t="shared" si="49"/>
        <v>2964</v>
      </c>
      <c r="S245" s="5">
        <f t="shared" si="45"/>
        <v>1</v>
      </c>
      <c r="T245" s="7">
        <f t="shared" si="46"/>
        <v>2964</v>
      </c>
    </row>
    <row r="246" spans="1:20">
      <c r="A246" s="23" t="s">
        <v>272</v>
      </c>
      <c r="B246" s="35" t="s">
        <v>273</v>
      </c>
      <c r="C246" s="36">
        <v>382</v>
      </c>
      <c r="D246" s="6"/>
      <c r="E246" s="113">
        <v>72913159</v>
      </c>
      <c r="F246" s="116">
        <f t="shared" si="53"/>
        <v>190872.14397905758</v>
      </c>
      <c r="G246" s="117">
        <v>58947154</v>
      </c>
      <c r="H246" s="117">
        <f t="shared" si="54"/>
        <v>154311.9214659686</v>
      </c>
      <c r="I246" s="7"/>
      <c r="J246" s="10">
        <v>2.2999999999999998</v>
      </c>
      <c r="K246" s="117">
        <v>135578</v>
      </c>
      <c r="L246" s="120">
        <f t="shared" si="55"/>
        <v>354.91623036649213</v>
      </c>
      <c r="M246" s="122">
        <f t="shared" si="50"/>
        <v>589471.54</v>
      </c>
      <c r="N246" s="116">
        <f t="shared" si="51"/>
        <v>453893.54000000004</v>
      </c>
      <c r="O246" s="123">
        <f t="shared" si="52"/>
        <v>1188.2029842931938</v>
      </c>
      <c r="P246" s="5"/>
      <c r="Q246" s="5">
        <f t="shared" si="48"/>
        <v>1</v>
      </c>
      <c r="R246" s="7">
        <f t="shared" si="49"/>
        <v>382</v>
      </c>
      <c r="S246" s="5">
        <f t="shared" si="45"/>
        <v>1</v>
      </c>
      <c r="T246" s="7">
        <f t="shared" si="46"/>
        <v>382</v>
      </c>
    </row>
    <row r="247" spans="1:20">
      <c r="A247" s="23" t="s">
        <v>274</v>
      </c>
      <c r="B247" s="35" t="s">
        <v>273</v>
      </c>
      <c r="C247" s="36">
        <v>19494</v>
      </c>
      <c r="D247" s="6"/>
      <c r="E247" s="113">
        <v>1380238519</v>
      </c>
      <c r="F247" s="116">
        <f t="shared" si="53"/>
        <v>70803.24812762902</v>
      </c>
      <c r="G247" s="117">
        <v>941782500</v>
      </c>
      <c r="H247" s="117">
        <f t="shared" si="54"/>
        <v>48311.403508771931</v>
      </c>
      <c r="I247" s="7"/>
      <c r="J247" s="10">
        <v>6.4988999999999999</v>
      </c>
      <c r="K247" s="117">
        <v>6120550</v>
      </c>
      <c r="L247" s="120">
        <f t="shared" si="55"/>
        <v>313.97096542525907</v>
      </c>
      <c r="M247" s="122">
        <f t="shared" si="50"/>
        <v>9417825</v>
      </c>
      <c r="N247" s="116">
        <f t="shared" si="51"/>
        <v>3297275</v>
      </c>
      <c r="O247" s="123">
        <f t="shared" si="52"/>
        <v>169.14306966246025</v>
      </c>
      <c r="P247" s="5"/>
      <c r="Q247" s="5">
        <f t="shared" si="48"/>
        <v>1</v>
      </c>
      <c r="R247" s="7">
        <f t="shared" si="49"/>
        <v>19494</v>
      </c>
      <c r="S247" s="5">
        <f t="shared" si="45"/>
        <v>1</v>
      </c>
      <c r="T247" s="7">
        <f t="shared" si="46"/>
        <v>19494</v>
      </c>
    </row>
    <row r="248" spans="1:20">
      <c r="A248" s="23" t="s">
        <v>275</v>
      </c>
      <c r="B248" s="35" t="s">
        <v>273</v>
      </c>
      <c r="C248" s="36">
        <v>12098</v>
      </c>
      <c r="D248" s="6"/>
      <c r="E248" s="113">
        <v>7134132863</v>
      </c>
      <c r="F248" s="116">
        <f t="shared" si="53"/>
        <v>589695.22755827405</v>
      </c>
      <c r="G248" s="117">
        <v>6194422053</v>
      </c>
      <c r="H248" s="117">
        <f t="shared" si="54"/>
        <v>512020.33832038351</v>
      </c>
      <c r="I248" s="9"/>
      <c r="J248" s="10">
        <v>1.5</v>
      </c>
      <c r="K248" s="117">
        <v>9291633</v>
      </c>
      <c r="L248" s="120">
        <f t="shared" si="55"/>
        <v>768.03050090924114</v>
      </c>
      <c r="M248" s="122">
        <f t="shared" si="50"/>
        <v>61944220.530000001</v>
      </c>
      <c r="N248" s="116">
        <f t="shared" si="51"/>
        <v>52652587.530000001</v>
      </c>
      <c r="O248" s="123">
        <f t="shared" si="52"/>
        <v>4352.1728822945943</v>
      </c>
      <c r="P248" s="5"/>
      <c r="Q248" s="5">
        <f t="shared" si="48"/>
        <v>1</v>
      </c>
      <c r="R248" s="7">
        <f t="shared" si="49"/>
        <v>12098</v>
      </c>
      <c r="S248" s="5">
        <f t="shared" si="45"/>
        <v>1</v>
      </c>
      <c r="T248" s="7">
        <f t="shared" si="46"/>
        <v>12098</v>
      </c>
    </row>
    <row r="249" spans="1:20">
      <c r="A249" s="23" t="s">
        <v>276</v>
      </c>
      <c r="B249" s="35" t="s">
        <v>273</v>
      </c>
      <c r="C249" s="36">
        <v>20882</v>
      </c>
      <c r="D249" s="6"/>
      <c r="E249" s="113">
        <v>2117353727</v>
      </c>
      <c r="F249" s="116">
        <f t="shared" si="53"/>
        <v>101396.1175653673</v>
      </c>
      <c r="G249" s="117">
        <v>1355358652</v>
      </c>
      <c r="H249" s="117">
        <f t="shared" si="54"/>
        <v>64905.595824154778</v>
      </c>
      <c r="I249" s="9"/>
      <c r="J249" s="10">
        <v>4.6458000000000004</v>
      </c>
      <c r="K249" s="117">
        <v>6296725</v>
      </c>
      <c r="L249" s="120">
        <f t="shared" si="55"/>
        <v>301.53840628292312</v>
      </c>
      <c r="M249" s="122">
        <f t="shared" si="50"/>
        <v>13553586.52</v>
      </c>
      <c r="N249" s="116">
        <f t="shared" si="51"/>
        <v>7256861.5199999996</v>
      </c>
      <c r="O249" s="123">
        <f t="shared" si="52"/>
        <v>347.51755195862461</v>
      </c>
      <c r="P249" s="5"/>
      <c r="Q249" s="5">
        <f t="shared" si="48"/>
        <v>1</v>
      </c>
      <c r="R249" s="7">
        <f t="shared" si="49"/>
        <v>20882</v>
      </c>
      <c r="S249" s="5">
        <f t="shared" si="45"/>
        <v>1</v>
      </c>
      <c r="T249" s="7">
        <f t="shared" si="46"/>
        <v>20882</v>
      </c>
    </row>
    <row r="250" spans="1:20">
      <c r="A250" s="23" t="s">
        <v>277</v>
      </c>
      <c r="B250" s="35" t="s">
        <v>273</v>
      </c>
      <c r="C250" s="36">
        <v>581</v>
      </c>
      <c r="D250" s="6"/>
      <c r="E250" s="113">
        <v>30555184</v>
      </c>
      <c r="F250" s="116">
        <f t="shared" si="53"/>
        <v>52590.67814113597</v>
      </c>
      <c r="G250" s="117">
        <v>12775302</v>
      </c>
      <c r="H250" s="117">
        <f t="shared" si="54"/>
        <v>21988.471600688466</v>
      </c>
      <c r="I250" s="7"/>
      <c r="J250" s="11">
        <v>5</v>
      </c>
      <c r="K250" s="117">
        <v>63877</v>
      </c>
      <c r="L250" s="120">
        <f t="shared" si="55"/>
        <v>109.94320137693632</v>
      </c>
      <c r="M250" s="122">
        <f t="shared" si="50"/>
        <v>127753.02</v>
      </c>
      <c r="N250" s="116">
        <f t="shared" si="51"/>
        <v>63876.020000000004</v>
      </c>
      <c r="O250" s="123">
        <f t="shared" si="52"/>
        <v>109.94151462994837</v>
      </c>
      <c r="P250" s="5"/>
      <c r="Q250" s="5">
        <f t="shared" si="48"/>
        <v>1</v>
      </c>
      <c r="R250" s="7">
        <f t="shared" si="49"/>
        <v>581</v>
      </c>
      <c r="S250" s="5">
        <f t="shared" si="45"/>
        <v>1</v>
      </c>
      <c r="T250" s="7">
        <f t="shared" si="46"/>
        <v>581</v>
      </c>
    </row>
    <row r="251" spans="1:20">
      <c r="A251" s="23" t="s">
        <v>278</v>
      </c>
      <c r="B251" s="35" t="s">
        <v>273</v>
      </c>
      <c r="C251" s="36">
        <v>4264</v>
      </c>
      <c r="D251" s="6"/>
      <c r="E251" s="113">
        <v>494518893</v>
      </c>
      <c r="F251" s="116">
        <f t="shared" si="53"/>
        <v>115975.35014071295</v>
      </c>
      <c r="G251" s="117">
        <v>336127820</v>
      </c>
      <c r="H251" s="117">
        <f t="shared" si="54"/>
        <v>78829.226078799256</v>
      </c>
      <c r="I251" s="7"/>
      <c r="J251" s="10">
        <v>3.4</v>
      </c>
      <c r="K251" s="117">
        <v>1142835</v>
      </c>
      <c r="L251" s="120">
        <f t="shared" si="55"/>
        <v>268.01946529080675</v>
      </c>
      <c r="M251" s="122">
        <f t="shared" si="50"/>
        <v>3361278.2</v>
      </c>
      <c r="N251" s="116">
        <f t="shared" si="51"/>
        <v>2218443.2000000002</v>
      </c>
      <c r="O251" s="123">
        <f t="shared" si="52"/>
        <v>520.27279549718583</v>
      </c>
      <c r="P251" s="5"/>
      <c r="Q251" s="5">
        <f t="shared" si="48"/>
        <v>1</v>
      </c>
      <c r="R251" s="7">
        <f t="shared" si="49"/>
        <v>4264</v>
      </c>
      <c r="S251" s="5">
        <f t="shared" si="45"/>
        <v>1</v>
      </c>
      <c r="T251" s="7">
        <f t="shared" si="46"/>
        <v>4264</v>
      </c>
    </row>
    <row r="252" spans="1:20">
      <c r="A252" s="23" t="s">
        <v>279</v>
      </c>
      <c r="B252" s="35" t="s">
        <v>273</v>
      </c>
      <c r="C252" s="36">
        <v>13221</v>
      </c>
      <c r="D252" s="6"/>
      <c r="E252" s="113">
        <v>1329179581</v>
      </c>
      <c r="F252" s="116">
        <f t="shared" si="53"/>
        <v>100535.47999394902</v>
      </c>
      <c r="G252" s="117">
        <v>821985367</v>
      </c>
      <c r="H252" s="117">
        <f t="shared" si="54"/>
        <v>62172.707586415549</v>
      </c>
      <c r="I252" s="7"/>
      <c r="J252" s="10">
        <v>3.5</v>
      </c>
      <c r="K252" s="117">
        <v>2876949</v>
      </c>
      <c r="L252" s="120">
        <f t="shared" si="55"/>
        <v>217.60449285228046</v>
      </c>
      <c r="M252" s="122">
        <f t="shared" si="50"/>
        <v>8219853.6699999999</v>
      </c>
      <c r="N252" s="116">
        <f t="shared" si="51"/>
        <v>5342904.67</v>
      </c>
      <c r="O252" s="123">
        <f t="shared" si="52"/>
        <v>404.12258301187507</v>
      </c>
      <c r="P252" s="5"/>
      <c r="Q252" s="5">
        <f t="shared" si="48"/>
        <v>1</v>
      </c>
      <c r="R252" s="7">
        <f t="shared" si="49"/>
        <v>13221</v>
      </c>
      <c r="S252" s="5">
        <f t="shared" si="45"/>
        <v>1</v>
      </c>
      <c r="T252" s="7">
        <f t="shared" si="46"/>
        <v>13221</v>
      </c>
    </row>
    <row r="253" spans="1:20">
      <c r="A253" s="23" t="s">
        <v>280</v>
      </c>
      <c r="B253" s="35" t="s">
        <v>273</v>
      </c>
      <c r="C253" s="36">
        <v>730</v>
      </c>
      <c r="D253" s="6"/>
      <c r="E253" s="113">
        <v>151145722</v>
      </c>
      <c r="F253" s="116">
        <f t="shared" si="53"/>
        <v>207048.93424657534</v>
      </c>
      <c r="G253" s="117">
        <v>99760220</v>
      </c>
      <c r="H253" s="117">
        <f t="shared" si="54"/>
        <v>136657.83561643836</v>
      </c>
      <c r="I253" s="7"/>
      <c r="J253" s="10">
        <v>2.2000000000000002</v>
      </c>
      <c r="K253" s="117">
        <v>219472</v>
      </c>
      <c r="L253" s="120">
        <f t="shared" si="55"/>
        <v>300.64657534246578</v>
      </c>
      <c r="M253" s="122">
        <f t="shared" si="50"/>
        <v>997602.20000000007</v>
      </c>
      <c r="N253" s="116">
        <f t="shared" si="51"/>
        <v>778130.20000000007</v>
      </c>
      <c r="O253" s="123">
        <f t="shared" si="52"/>
        <v>1065.931780821918</v>
      </c>
      <c r="P253" s="5"/>
      <c r="Q253" s="5">
        <f t="shared" si="48"/>
        <v>1</v>
      </c>
      <c r="R253" s="7">
        <f t="shared" si="49"/>
        <v>730</v>
      </c>
      <c r="S253" s="5">
        <f t="shared" si="45"/>
        <v>1</v>
      </c>
      <c r="T253" s="7">
        <f t="shared" si="46"/>
        <v>730</v>
      </c>
    </row>
    <row r="254" spans="1:20">
      <c r="A254" s="23" t="s">
        <v>281</v>
      </c>
      <c r="B254" s="35" t="s">
        <v>273</v>
      </c>
      <c r="C254" s="36">
        <v>6537</v>
      </c>
      <c r="D254" s="6"/>
      <c r="E254" s="113">
        <v>409833740</v>
      </c>
      <c r="F254" s="116">
        <f t="shared" si="53"/>
        <v>62694.468410585898</v>
      </c>
      <c r="G254" s="117">
        <v>215406919</v>
      </c>
      <c r="H254" s="117">
        <f t="shared" si="54"/>
        <v>32951.953342511857</v>
      </c>
      <c r="I254" s="7"/>
      <c r="J254" s="10">
        <v>3.12</v>
      </c>
      <c r="K254" s="117">
        <v>672070</v>
      </c>
      <c r="L254" s="120">
        <f t="shared" si="55"/>
        <v>102.81015756463209</v>
      </c>
      <c r="M254" s="122">
        <f t="shared" si="50"/>
        <v>2154069.19</v>
      </c>
      <c r="N254" s="116">
        <f t="shared" si="51"/>
        <v>1481999.19</v>
      </c>
      <c r="O254" s="123">
        <f t="shared" si="52"/>
        <v>226.70937586048646</v>
      </c>
      <c r="P254" s="5"/>
      <c r="Q254" s="5">
        <f t="shared" si="48"/>
        <v>1</v>
      </c>
      <c r="R254" s="7">
        <f t="shared" si="49"/>
        <v>6537</v>
      </c>
      <c r="S254" s="5">
        <f t="shared" si="45"/>
        <v>1</v>
      </c>
      <c r="T254" s="7">
        <f t="shared" si="46"/>
        <v>6537</v>
      </c>
    </row>
    <row r="255" spans="1:20">
      <c r="A255" s="23" t="s">
        <v>282</v>
      </c>
      <c r="B255" s="35" t="s">
        <v>282</v>
      </c>
      <c r="C255" s="36">
        <v>5673</v>
      </c>
      <c r="D255" s="6"/>
      <c r="E255" s="113">
        <v>436869999</v>
      </c>
      <c r="F255" s="116">
        <f t="shared" si="53"/>
        <v>77008.63722897938</v>
      </c>
      <c r="G255" s="117">
        <v>304509163</v>
      </c>
      <c r="H255" s="117">
        <f t="shared" si="54"/>
        <v>53676.919266701923</v>
      </c>
      <c r="I255" s="7"/>
      <c r="J255" s="10">
        <v>7.1898999999999997</v>
      </c>
      <c r="K255" s="117">
        <v>2189390</v>
      </c>
      <c r="L255" s="120">
        <f t="shared" si="55"/>
        <v>385.93160585228276</v>
      </c>
      <c r="M255" s="122">
        <f t="shared" si="50"/>
        <v>3045091.63</v>
      </c>
      <c r="N255" s="116">
        <f t="shared" si="51"/>
        <v>855701.62999999989</v>
      </c>
      <c r="O255" s="123">
        <f t="shared" si="52"/>
        <v>150.83758681473645</v>
      </c>
      <c r="P255" s="5"/>
      <c r="Q255" s="5">
        <f t="shared" si="48"/>
        <v>1</v>
      </c>
      <c r="R255" s="7">
        <f t="shared" si="49"/>
        <v>5673</v>
      </c>
      <c r="S255" s="5">
        <f t="shared" si="45"/>
        <v>1</v>
      </c>
      <c r="T255" s="7">
        <f t="shared" si="46"/>
        <v>5673</v>
      </c>
    </row>
    <row r="256" spans="1:20">
      <c r="A256" s="23" t="s">
        <v>283</v>
      </c>
      <c r="B256" s="35" t="s">
        <v>284</v>
      </c>
      <c r="C256" s="36">
        <v>37253</v>
      </c>
      <c r="D256" s="6"/>
      <c r="E256" s="113">
        <v>3296009259</v>
      </c>
      <c r="F256" s="116">
        <f t="shared" si="53"/>
        <v>88476.344428636614</v>
      </c>
      <c r="G256" s="117">
        <v>2321868845</v>
      </c>
      <c r="H256" s="117">
        <f t="shared" si="54"/>
        <v>62327.029903631919</v>
      </c>
      <c r="I256" s="7"/>
      <c r="J256" s="10">
        <v>3.7618999999999998</v>
      </c>
      <c r="K256" s="117">
        <v>8734638</v>
      </c>
      <c r="L256" s="120">
        <f t="shared" si="55"/>
        <v>234.4680428421872</v>
      </c>
      <c r="M256" s="122">
        <f t="shared" si="50"/>
        <v>23218688.449999999</v>
      </c>
      <c r="N256" s="116">
        <f t="shared" si="51"/>
        <v>14484050.449999999</v>
      </c>
      <c r="O256" s="123">
        <f t="shared" si="52"/>
        <v>388.80225619413199</v>
      </c>
      <c r="P256" s="5"/>
      <c r="Q256" s="5">
        <f t="shared" si="48"/>
        <v>1</v>
      </c>
      <c r="R256" s="7">
        <f t="shared" si="49"/>
        <v>37253</v>
      </c>
      <c r="S256" s="5">
        <f t="shared" si="45"/>
        <v>1</v>
      </c>
      <c r="T256" s="7">
        <f t="shared" si="46"/>
        <v>37253</v>
      </c>
    </row>
    <row r="257" spans="1:20">
      <c r="A257" s="23" t="s">
        <v>285</v>
      </c>
      <c r="B257" s="35" t="s">
        <v>284</v>
      </c>
      <c r="C257" s="36">
        <v>28</v>
      </c>
      <c r="D257" s="6"/>
      <c r="E257" s="113">
        <v>4547357543</v>
      </c>
      <c r="F257" s="116">
        <f t="shared" si="53"/>
        <v>162405626.5357143</v>
      </c>
      <c r="G257" s="117">
        <v>4360595431</v>
      </c>
      <c r="H257" s="117">
        <f t="shared" si="54"/>
        <v>155735551.10714287</v>
      </c>
      <c r="I257" s="7"/>
      <c r="J257" s="10">
        <v>1.1315999999999999</v>
      </c>
      <c r="K257" s="117">
        <v>4934450</v>
      </c>
      <c r="L257" s="120">
        <f t="shared" si="55"/>
        <v>176230.35714285713</v>
      </c>
      <c r="M257" s="122">
        <f t="shared" si="50"/>
        <v>43605954.310000002</v>
      </c>
      <c r="N257" s="116">
        <f t="shared" si="51"/>
        <v>38671504.310000002</v>
      </c>
      <c r="O257" s="123">
        <f t="shared" si="52"/>
        <v>1381125.1539285716</v>
      </c>
      <c r="P257" s="5"/>
      <c r="Q257" s="5">
        <f t="shared" si="48"/>
        <v>1</v>
      </c>
      <c r="R257" s="7">
        <f t="shared" si="49"/>
        <v>28</v>
      </c>
      <c r="S257" s="5">
        <f t="shared" si="45"/>
        <v>1</v>
      </c>
      <c r="T257" s="7">
        <f t="shared" si="46"/>
        <v>28</v>
      </c>
    </row>
    <row r="258" spans="1:20">
      <c r="A258" s="23" t="s">
        <v>286</v>
      </c>
      <c r="B258" s="35" t="s">
        <v>284</v>
      </c>
      <c r="C258" s="36">
        <v>5891</v>
      </c>
      <c r="D258" s="6"/>
      <c r="E258" s="113">
        <v>908326364</v>
      </c>
      <c r="F258" s="116">
        <f t="shared" si="53"/>
        <v>154188.82430826683</v>
      </c>
      <c r="G258" s="117">
        <v>585626030</v>
      </c>
      <c r="H258" s="117">
        <f t="shared" si="54"/>
        <v>99410.291970802922</v>
      </c>
      <c r="I258" s="7"/>
      <c r="J258" s="10">
        <v>3.6655000000000002</v>
      </c>
      <c r="K258" s="117">
        <v>2146612</v>
      </c>
      <c r="L258" s="120">
        <f t="shared" si="55"/>
        <v>364.38838906806996</v>
      </c>
      <c r="M258" s="122">
        <f t="shared" si="50"/>
        <v>5856260.2999999998</v>
      </c>
      <c r="N258" s="116">
        <f t="shared" si="51"/>
        <v>3709648.3</v>
      </c>
      <c r="O258" s="123">
        <f t="shared" si="52"/>
        <v>629.71453063995921</v>
      </c>
      <c r="P258" s="5"/>
      <c r="Q258" s="5">
        <f t="shared" si="48"/>
        <v>1</v>
      </c>
      <c r="R258" s="7">
        <f t="shared" si="49"/>
        <v>5891</v>
      </c>
      <c r="S258" s="5">
        <f t="shared" si="45"/>
        <v>1</v>
      </c>
      <c r="T258" s="7">
        <f t="shared" si="46"/>
        <v>5891</v>
      </c>
    </row>
    <row r="259" spans="1:20">
      <c r="A259" s="23" t="s">
        <v>287</v>
      </c>
      <c r="B259" s="35" t="s">
        <v>284</v>
      </c>
      <c r="C259" s="36">
        <v>2547</v>
      </c>
      <c r="D259" s="6"/>
      <c r="E259" s="113">
        <v>271510363</v>
      </c>
      <c r="F259" s="116">
        <f t="shared" si="53"/>
        <v>106600.06399685905</v>
      </c>
      <c r="G259" s="117">
        <v>216329730</v>
      </c>
      <c r="H259" s="117">
        <f t="shared" si="54"/>
        <v>84935.111896348651</v>
      </c>
      <c r="I259" s="7"/>
      <c r="J259" s="10">
        <v>6.9039999999999999</v>
      </c>
      <c r="K259" s="117">
        <v>1493540</v>
      </c>
      <c r="L259" s="120">
        <f t="shared" si="55"/>
        <v>586.39183352964267</v>
      </c>
      <c r="M259" s="122">
        <f t="shared" si="50"/>
        <v>2163297.2999999998</v>
      </c>
      <c r="N259" s="116">
        <f t="shared" si="51"/>
        <v>669757.29999999981</v>
      </c>
      <c r="O259" s="123">
        <f t="shared" si="52"/>
        <v>262.95928543384366</v>
      </c>
      <c r="P259" s="5"/>
      <c r="Q259" s="5">
        <f t="shared" si="48"/>
        <v>1</v>
      </c>
      <c r="R259" s="7">
        <f t="shared" si="49"/>
        <v>2547</v>
      </c>
      <c r="S259" s="5">
        <f t="shared" si="45"/>
        <v>1</v>
      </c>
      <c r="T259" s="7">
        <f t="shared" si="46"/>
        <v>2547</v>
      </c>
    </row>
    <row r="260" spans="1:20">
      <c r="A260" s="23" t="s">
        <v>288</v>
      </c>
      <c r="B260" s="35" t="s">
        <v>284</v>
      </c>
      <c r="C260" s="36">
        <v>2160</v>
      </c>
      <c r="D260" s="6"/>
      <c r="E260" s="113">
        <v>368723741</v>
      </c>
      <c r="F260" s="116">
        <f t="shared" si="53"/>
        <v>170705.43564814815</v>
      </c>
      <c r="G260" s="117">
        <v>268557983</v>
      </c>
      <c r="H260" s="117">
        <f t="shared" si="54"/>
        <v>124332.39953703704</v>
      </c>
      <c r="I260" s="7"/>
      <c r="J260" s="10">
        <v>6.9039999999999999</v>
      </c>
      <c r="K260" s="117">
        <v>1854124</v>
      </c>
      <c r="L260" s="120">
        <f t="shared" si="55"/>
        <v>858.39074074074074</v>
      </c>
      <c r="M260" s="122">
        <f t="shared" si="50"/>
        <v>2685579.83</v>
      </c>
      <c r="N260" s="116">
        <f t="shared" si="51"/>
        <v>831455.83000000007</v>
      </c>
      <c r="O260" s="123">
        <f t="shared" si="52"/>
        <v>384.93325462962969</v>
      </c>
      <c r="P260" s="5"/>
      <c r="Q260" s="5">
        <f t="shared" si="48"/>
        <v>1</v>
      </c>
      <c r="R260" s="7">
        <f t="shared" si="49"/>
        <v>2160</v>
      </c>
      <c r="S260" s="5">
        <f t="shared" si="45"/>
        <v>1</v>
      </c>
      <c r="T260" s="7">
        <f t="shared" si="46"/>
        <v>2160</v>
      </c>
    </row>
    <row r="261" spans="1:20">
      <c r="A261" s="23" t="s">
        <v>289</v>
      </c>
      <c r="B261" s="35" t="s">
        <v>284</v>
      </c>
      <c r="C261" s="36">
        <v>19</v>
      </c>
      <c r="D261" s="6"/>
      <c r="E261" s="113">
        <v>1731177295</v>
      </c>
      <c r="F261" s="116">
        <f t="shared" si="53"/>
        <v>91114594.473684207</v>
      </c>
      <c r="G261" s="117">
        <v>1673630775</v>
      </c>
      <c r="H261" s="117">
        <f t="shared" si="54"/>
        <v>88085830.263157889</v>
      </c>
      <c r="I261" s="7"/>
      <c r="J261" s="10">
        <v>1.05</v>
      </c>
      <c r="K261" s="117">
        <v>1757312</v>
      </c>
      <c r="L261" s="120">
        <f t="shared" si="55"/>
        <v>92490.105263157893</v>
      </c>
      <c r="M261" s="122">
        <f t="shared" si="50"/>
        <v>16736307.75</v>
      </c>
      <c r="N261" s="116">
        <f t="shared" si="51"/>
        <v>14978995.75</v>
      </c>
      <c r="O261" s="123">
        <f t="shared" si="52"/>
        <v>788368.19736842101</v>
      </c>
      <c r="P261" s="5"/>
      <c r="Q261" s="5">
        <f t="shared" si="48"/>
        <v>1</v>
      </c>
      <c r="R261" s="7">
        <f t="shared" si="49"/>
        <v>19</v>
      </c>
      <c r="S261" s="5">
        <f t="shared" si="45"/>
        <v>1</v>
      </c>
      <c r="T261" s="7">
        <f t="shared" si="46"/>
        <v>19</v>
      </c>
    </row>
    <row r="262" spans="1:20">
      <c r="A262" s="23" t="s">
        <v>290</v>
      </c>
      <c r="B262" s="35" t="s">
        <v>284</v>
      </c>
      <c r="C262" s="36">
        <v>16055</v>
      </c>
      <c r="D262" s="6"/>
      <c r="E262" s="113">
        <v>2891341299</v>
      </c>
      <c r="F262" s="116">
        <f t="shared" si="53"/>
        <v>180089.7725942074</v>
      </c>
      <c r="G262" s="117">
        <v>2256338462</v>
      </c>
      <c r="H262" s="117">
        <f t="shared" si="54"/>
        <v>140538.05431329802</v>
      </c>
      <c r="I262" s="7"/>
      <c r="J262" s="10">
        <v>3.88</v>
      </c>
      <c r="K262" s="117">
        <v>8754593</v>
      </c>
      <c r="L262" s="120">
        <f t="shared" si="55"/>
        <v>545.28763625038926</v>
      </c>
      <c r="M262" s="122">
        <f t="shared" si="50"/>
        <v>22563384.620000001</v>
      </c>
      <c r="N262" s="116">
        <f t="shared" si="51"/>
        <v>13808791.620000001</v>
      </c>
      <c r="O262" s="123">
        <f t="shared" si="52"/>
        <v>860.09290688259114</v>
      </c>
      <c r="P262" s="5"/>
      <c r="Q262" s="5">
        <f t="shared" si="48"/>
        <v>1</v>
      </c>
      <c r="R262" s="7">
        <f t="shared" si="49"/>
        <v>16055</v>
      </c>
      <c r="S262" s="5">
        <f t="shared" si="45"/>
        <v>1</v>
      </c>
      <c r="T262" s="7">
        <f t="shared" ref="T262:T325" si="56">IF(J262&gt;0,C262,0)</f>
        <v>16055</v>
      </c>
    </row>
    <row r="263" spans="1:20">
      <c r="A263" s="23" t="s">
        <v>291</v>
      </c>
      <c r="B263" s="35" t="s">
        <v>284</v>
      </c>
      <c r="C263" s="36">
        <v>1933</v>
      </c>
      <c r="D263" s="6"/>
      <c r="E263" s="113">
        <v>316377076</v>
      </c>
      <c r="F263" s="116">
        <f t="shared" si="53"/>
        <v>163671.5344024832</v>
      </c>
      <c r="G263" s="117">
        <v>227126677</v>
      </c>
      <c r="H263" s="117">
        <f t="shared" si="54"/>
        <v>117499.57423693741</v>
      </c>
      <c r="I263" s="7"/>
      <c r="J263" s="10">
        <v>4.9245000000000001</v>
      </c>
      <c r="K263" s="117">
        <v>1118485</v>
      </c>
      <c r="L263" s="120">
        <f t="shared" ref="L263:L275" si="57">(K263/C263)</f>
        <v>578.62648732540094</v>
      </c>
      <c r="M263" s="122">
        <f t="shared" si="50"/>
        <v>2271266.77</v>
      </c>
      <c r="N263" s="116">
        <f t="shared" si="51"/>
        <v>1152781.77</v>
      </c>
      <c r="O263" s="123">
        <f t="shared" si="52"/>
        <v>596.36925504397311</v>
      </c>
      <c r="P263" s="5"/>
      <c r="Q263" s="5">
        <f t="shared" ref="Q263:Q326" si="58">IF(E263&gt;0,1,0)</f>
        <v>1</v>
      </c>
      <c r="R263" s="7">
        <f t="shared" ref="R263:R326" si="59">IF(E263&gt;0,C263,0)</f>
        <v>1933</v>
      </c>
      <c r="S263" s="5">
        <f t="shared" si="45"/>
        <v>1</v>
      </c>
      <c r="T263" s="7">
        <f t="shared" si="56"/>
        <v>1933</v>
      </c>
    </row>
    <row r="264" spans="1:20">
      <c r="A264" s="23" t="s">
        <v>292</v>
      </c>
      <c r="B264" s="35" t="s">
        <v>284</v>
      </c>
      <c r="C264" s="36">
        <v>32175</v>
      </c>
      <c r="D264" s="6"/>
      <c r="E264" s="113">
        <v>2925222505</v>
      </c>
      <c r="F264" s="116">
        <f t="shared" si="53"/>
        <v>90916.006371406373</v>
      </c>
      <c r="G264" s="117">
        <v>2062174520</v>
      </c>
      <c r="H264" s="117">
        <f t="shared" si="54"/>
        <v>64092.448174048171</v>
      </c>
      <c r="I264" s="7"/>
      <c r="J264" s="10">
        <v>4.6295000000000002</v>
      </c>
      <c r="K264" s="117">
        <v>9546837</v>
      </c>
      <c r="L264" s="120">
        <f t="shared" si="57"/>
        <v>296.71599067599067</v>
      </c>
      <c r="M264" s="122">
        <f t="shared" ref="M264:M327" si="60">(G264*0.01)</f>
        <v>20621745.199999999</v>
      </c>
      <c r="N264" s="116">
        <f t="shared" ref="N264:N327" si="61">(M264-K264)</f>
        <v>11074908.199999999</v>
      </c>
      <c r="O264" s="123">
        <f t="shared" ref="O264:O327" si="62">(N264/C264)</f>
        <v>344.20849106449106</v>
      </c>
      <c r="P264" s="5"/>
      <c r="Q264" s="5">
        <f t="shared" si="58"/>
        <v>1</v>
      </c>
      <c r="R264" s="7">
        <f t="shared" si="59"/>
        <v>32175</v>
      </c>
      <c r="S264" s="5">
        <f t="shared" si="45"/>
        <v>1</v>
      </c>
      <c r="T264" s="7">
        <f t="shared" si="56"/>
        <v>32175</v>
      </c>
    </row>
    <row r="265" spans="1:20">
      <c r="A265" s="23" t="s">
        <v>293</v>
      </c>
      <c r="B265" s="35" t="s">
        <v>284</v>
      </c>
      <c r="C265" s="36">
        <v>224055</v>
      </c>
      <c r="D265" s="6"/>
      <c r="E265" s="113">
        <v>31506282526</v>
      </c>
      <c r="F265" s="116">
        <f t="shared" si="53"/>
        <v>140618.5201222914</v>
      </c>
      <c r="G265" s="117">
        <v>21248741808</v>
      </c>
      <c r="H265" s="117">
        <f t="shared" si="54"/>
        <v>94837.168588069893</v>
      </c>
      <c r="I265" s="7"/>
      <c r="J265" s="10">
        <v>5.6916000000000002</v>
      </c>
      <c r="K265" s="117">
        <v>120939339</v>
      </c>
      <c r="L265" s="120">
        <f t="shared" si="57"/>
        <v>539.77522929637814</v>
      </c>
      <c r="M265" s="122">
        <f t="shared" si="60"/>
        <v>212487418.08000001</v>
      </c>
      <c r="N265" s="116">
        <f t="shared" si="61"/>
        <v>91548079.080000013</v>
      </c>
      <c r="O265" s="123">
        <f t="shared" si="62"/>
        <v>408.59645658432089</v>
      </c>
      <c r="P265" s="5"/>
      <c r="Q265" s="5">
        <f t="shared" si="58"/>
        <v>1</v>
      </c>
      <c r="R265" s="7">
        <f t="shared" si="59"/>
        <v>224055</v>
      </c>
      <c r="S265" s="5">
        <f t="shared" ref="S265:S328" si="63">IF(J265&gt;0,1,0)</f>
        <v>1</v>
      </c>
      <c r="T265" s="7">
        <f t="shared" si="56"/>
        <v>224055</v>
      </c>
    </row>
    <row r="266" spans="1:20">
      <c r="A266" s="23" t="s">
        <v>294</v>
      </c>
      <c r="B266" s="35" t="s">
        <v>284</v>
      </c>
      <c r="C266" s="36">
        <v>2682</v>
      </c>
      <c r="D266" s="6"/>
      <c r="E266" s="113">
        <v>680888095</v>
      </c>
      <c r="F266" s="116">
        <f t="shared" si="53"/>
        <v>253873.26435495898</v>
      </c>
      <c r="G266" s="117">
        <v>452901353</v>
      </c>
      <c r="H266" s="117">
        <f t="shared" si="54"/>
        <v>168867.02199850857</v>
      </c>
      <c r="I266" s="7"/>
      <c r="J266" s="10">
        <v>3.95</v>
      </c>
      <c r="K266" s="117">
        <v>1788960</v>
      </c>
      <c r="L266" s="120">
        <f t="shared" si="57"/>
        <v>667.02460850111856</v>
      </c>
      <c r="M266" s="122">
        <f t="shared" si="60"/>
        <v>4529013.53</v>
      </c>
      <c r="N266" s="116">
        <f t="shared" si="61"/>
        <v>2740053.5300000003</v>
      </c>
      <c r="O266" s="123">
        <f t="shared" si="62"/>
        <v>1021.6456114839673</v>
      </c>
      <c r="P266" s="5"/>
      <c r="Q266" s="5">
        <f t="shared" si="58"/>
        <v>1</v>
      </c>
      <c r="R266" s="7">
        <f t="shared" si="59"/>
        <v>2682</v>
      </c>
      <c r="S266" s="5">
        <f t="shared" si="63"/>
        <v>1</v>
      </c>
      <c r="T266" s="7">
        <f t="shared" si="56"/>
        <v>2682</v>
      </c>
    </row>
    <row r="267" spans="1:20">
      <c r="A267" s="23" t="s">
        <v>295</v>
      </c>
      <c r="B267" s="35" t="s">
        <v>284</v>
      </c>
      <c r="C267" s="36">
        <v>28440</v>
      </c>
      <c r="D267" s="6"/>
      <c r="E267" s="113">
        <v>2663649159</v>
      </c>
      <c r="F267" s="116">
        <f t="shared" si="53"/>
        <v>93658.54989451477</v>
      </c>
      <c r="G267" s="117">
        <v>1998587019</v>
      </c>
      <c r="H267" s="117">
        <f t="shared" si="54"/>
        <v>70273.805168776365</v>
      </c>
      <c r="I267" s="7"/>
      <c r="J267" s="10">
        <v>4.3040000000000003</v>
      </c>
      <c r="K267" s="117">
        <v>8601919</v>
      </c>
      <c r="L267" s="120">
        <f t="shared" si="57"/>
        <v>302.45847398030941</v>
      </c>
      <c r="M267" s="122">
        <f t="shared" si="60"/>
        <v>19985870.190000001</v>
      </c>
      <c r="N267" s="116">
        <f t="shared" si="61"/>
        <v>11383951.190000001</v>
      </c>
      <c r="O267" s="123">
        <f t="shared" si="62"/>
        <v>400.27957770745434</v>
      </c>
      <c r="P267" s="5"/>
      <c r="Q267" s="5">
        <f t="shared" si="58"/>
        <v>1</v>
      </c>
      <c r="R267" s="7">
        <f t="shared" si="59"/>
        <v>28440</v>
      </c>
      <c r="S267" s="5">
        <f t="shared" si="63"/>
        <v>1</v>
      </c>
      <c r="T267" s="7">
        <f t="shared" si="56"/>
        <v>28440</v>
      </c>
    </row>
    <row r="268" spans="1:20">
      <c r="A268" s="23" t="s">
        <v>296</v>
      </c>
      <c r="B268" s="35" t="s">
        <v>284</v>
      </c>
      <c r="C268" s="36">
        <v>28620</v>
      </c>
      <c r="D268" s="6"/>
      <c r="E268" s="113">
        <v>5641009832</v>
      </c>
      <c r="F268" s="116">
        <f t="shared" si="53"/>
        <v>197100.27365478687</v>
      </c>
      <c r="G268" s="117">
        <v>3993130658</v>
      </c>
      <c r="H268" s="117">
        <f t="shared" si="54"/>
        <v>139522.38497554159</v>
      </c>
      <c r="I268" s="7"/>
      <c r="J268" s="10">
        <v>4.758</v>
      </c>
      <c r="K268" s="117">
        <v>18999316</v>
      </c>
      <c r="L268" s="120">
        <f t="shared" si="57"/>
        <v>663.8475192173305</v>
      </c>
      <c r="M268" s="122">
        <f t="shared" si="60"/>
        <v>39931306.579999998</v>
      </c>
      <c r="N268" s="116">
        <f t="shared" si="61"/>
        <v>20931990.579999998</v>
      </c>
      <c r="O268" s="123">
        <f t="shared" si="62"/>
        <v>731.3763305380852</v>
      </c>
      <c r="P268" s="5"/>
      <c r="Q268" s="5">
        <f t="shared" si="58"/>
        <v>1</v>
      </c>
      <c r="R268" s="7">
        <f t="shared" si="59"/>
        <v>28620</v>
      </c>
      <c r="S268" s="5">
        <f t="shared" si="63"/>
        <v>1</v>
      </c>
      <c r="T268" s="7">
        <f t="shared" si="56"/>
        <v>28620</v>
      </c>
    </row>
    <row r="269" spans="1:20">
      <c r="A269" s="23" t="s">
        <v>297</v>
      </c>
      <c r="B269" s="35" t="s">
        <v>298</v>
      </c>
      <c r="C269" s="36">
        <v>60241</v>
      </c>
      <c r="D269" s="6"/>
      <c r="E269" s="113">
        <v>4316991975</v>
      </c>
      <c r="F269" s="116">
        <f t="shared" si="53"/>
        <v>71662.023787785729</v>
      </c>
      <c r="G269" s="117">
        <v>3293917205</v>
      </c>
      <c r="H269" s="117">
        <f t="shared" si="54"/>
        <v>54678.992795604325</v>
      </c>
      <c r="I269" s="7"/>
      <c r="J269" s="10">
        <v>5.5453000000000001</v>
      </c>
      <c r="K269" s="117">
        <v>18265759</v>
      </c>
      <c r="L269" s="120">
        <f t="shared" si="57"/>
        <v>303.21141747314954</v>
      </c>
      <c r="M269" s="122">
        <f t="shared" si="60"/>
        <v>32939172.050000001</v>
      </c>
      <c r="N269" s="116">
        <f t="shared" si="61"/>
        <v>14673413.050000001</v>
      </c>
      <c r="O269" s="123">
        <f t="shared" si="62"/>
        <v>243.57851048289373</v>
      </c>
      <c r="P269" s="5"/>
      <c r="Q269" s="5">
        <f t="shared" si="58"/>
        <v>1</v>
      </c>
      <c r="R269" s="7">
        <f t="shared" si="59"/>
        <v>60241</v>
      </c>
      <c r="S269" s="5">
        <f t="shared" si="63"/>
        <v>1</v>
      </c>
      <c r="T269" s="7">
        <f t="shared" si="56"/>
        <v>60241</v>
      </c>
    </row>
    <row r="270" spans="1:20">
      <c r="A270" s="23" t="s">
        <v>546</v>
      </c>
      <c r="B270" s="35" t="s">
        <v>298</v>
      </c>
      <c r="C270" s="36">
        <v>30035</v>
      </c>
      <c r="D270" s="6"/>
      <c r="E270" s="113">
        <v>2162408502</v>
      </c>
      <c r="F270" s="116">
        <f t="shared" si="53"/>
        <v>71996.287730980519</v>
      </c>
      <c r="G270" s="117">
        <v>1510406168</v>
      </c>
      <c r="H270" s="117">
        <f t="shared" si="54"/>
        <v>50288.202696853674</v>
      </c>
      <c r="I270" s="7"/>
      <c r="J270" s="10">
        <v>4.1790000000000003</v>
      </c>
      <c r="K270" s="117">
        <v>6311987</v>
      </c>
      <c r="L270" s="120">
        <f t="shared" si="57"/>
        <v>210.15438654902613</v>
      </c>
      <c r="M270" s="122">
        <f t="shared" si="60"/>
        <v>15104061.68</v>
      </c>
      <c r="N270" s="116">
        <f t="shared" si="61"/>
        <v>8792074.6799999997</v>
      </c>
      <c r="O270" s="123">
        <f t="shared" si="62"/>
        <v>292.72764041951058</v>
      </c>
      <c r="P270" s="5"/>
      <c r="Q270" s="5">
        <f t="shared" si="58"/>
        <v>1</v>
      </c>
      <c r="R270" s="7">
        <f t="shared" si="59"/>
        <v>30035</v>
      </c>
      <c r="S270" s="5">
        <f t="shared" si="63"/>
        <v>1</v>
      </c>
      <c r="T270" s="7">
        <f t="shared" si="56"/>
        <v>30035</v>
      </c>
    </row>
    <row r="271" spans="1:20">
      <c r="A271" s="23" t="s">
        <v>299</v>
      </c>
      <c r="B271" s="35" t="s">
        <v>300</v>
      </c>
      <c r="C271" s="36">
        <v>2138</v>
      </c>
      <c r="D271" s="6"/>
      <c r="E271" s="113">
        <v>675032236</v>
      </c>
      <c r="F271" s="116">
        <f t="shared" si="53"/>
        <v>315730.69971936388</v>
      </c>
      <c r="G271" s="117">
        <v>522270799</v>
      </c>
      <c r="H271" s="117">
        <f t="shared" si="54"/>
        <v>244280.07436856875</v>
      </c>
      <c r="I271" s="7"/>
      <c r="J271" s="10">
        <v>6</v>
      </c>
      <c r="K271" s="117">
        <v>3133625</v>
      </c>
      <c r="L271" s="120">
        <f t="shared" si="57"/>
        <v>1465.680542563143</v>
      </c>
      <c r="M271" s="122">
        <f t="shared" si="60"/>
        <v>5222707.99</v>
      </c>
      <c r="N271" s="116">
        <f t="shared" si="61"/>
        <v>2089082.9900000002</v>
      </c>
      <c r="O271" s="123">
        <f t="shared" si="62"/>
        <v>977.12020112254459</v>
      </c>
      <c r="P271" s="5"/>
      <c r="Q271" s="5">
        <f t="shared" si="58"/>
        <v>1</v>
      </c>
      <c r="R271" s="7">
        <f t="shared" si="59"/>
        <v>2138</v>
      </c>
      <c r="S271" s="5">
        <f t="shared" si="63"/>
        <v>1</v>
      </c>
      <c r="T271" s="7">
        <f t="shared" si="56"/>
        <v>2138</v>
      </c>
    </row>
    <row r="272" spans="1:20">
      <c r="A272" s="23" t="s">
        <v>301</v>
      </c>
      <c r="B272" s="35" t="s">
        <v>300</v>
      </c>
      <c r="C272" s="36">
        <v>16894</v>
      </c>
      <c r="D272" s="6"/>
      <c r="E272" s="113">
        <v>556323501</v>
      </c>
      <c r="F272" s="116">
        <f t="shared" si="53"/>
        <v>32930.241565052682</v>
      </c>
      <c r="G272" s="117">
        <v>311412666</v>
      </c>
      <c r="H272" s="117">
        <f t="shared" si="54"/>
        <v>18433.329347697407</v>
      </c>
      <c r="I272" s="7"/>
      <c r="J272" s="10">
        <v>6.43</v>
      </c>
      <c r="K272" s="117">
        <v>2002383</v>
      </c>
      <c r="L272" s="120">
        <f t="shared" si="57"/>
        <v>118.52628152006629</v>
      </c>
      <c r="M272" s="122">
        <f t="shared" si="60"/>
        <v>3114126.66</v>
      </c>
      <c r="N272" s="116">
        <f t="shared" si="61"/>
        <v>1111743.6600000001</v>
      </c>
      <c r="O272" s="123">
        <f t="shared" si="62"/>
        <v>65.807011956907786</v>
      </c>
      <c r="P272" s="5"/>
      <c r="Q272" s="5">
        <f t="shared" si="58"/>
        <v>1</v>
      </c>
      <c r="R272" s="7">
        <f t="shared" si="59"/>
        <v>16894</v>
      </c>
      <c r="S272" s="5">
        <f t="shared" si="63"/>
        <v>1</v>
      </c>
      <c r="T272" s="7">
        <f t="shared" si="56"/>
        <v>16894</v>
      </c>
    </row>
    <row r="273" spans="1:20">
      <c r="A273" s="23" t="s">
        <v>302</v>
      </c>
      <c r="B273" s="35" t="s">
        <v>300</v>
      </c>
      <c r="C273" s="36">
        <v>85488</v>
      </c>
      <c r="D273" s="6"/>
      <c r="E273" s="113">
        <v>27437081788</v>
      </c>
      <c r="F273" s="116">
        <f t="shared" si="53"/>
        <v>320946.58651506645</v>
      </c>
      <c r="G273" s="117">
        <v>19931341591</v>
      </c>
      <c r="H273" s="117">
        <f t="shared" si="54"/>
        <v>233147.82882977728</v>
      </c>
      <c r="I273" s="9"/>
      <c r="J273" s="10">
        <v>3.3</v>
      </c>
      <c r="K273" s="117">
        <v>65773427</v>
      </c>
      <c r="L273" s="120">
        <f t="shared" si="57"/>
        <v>769.38783221036874</v>
      </c>
      <c r="M273" s="122">
        <f t="shared" si="60"/>
        <v>199313415.91</v>
      </c>
      <c r="N273" s="116">
        <f t="shared" si="61"/>
        <v>133539988.91</v>
      </c>
      <c r="O273" s="123">
        <f t="shared" si="62"/>
        <v>1562.0904560874039</v>
      </c>
      <c r="P273" s="5"/>
      <c r="Q273" s="5">
        <f t="shared" si="58"/>
        <v>1</v>
      </c>
      <c r="R273" s="7">
        <f t="shared" si="59"/>
        <v>85488</v>
      </c>
      <c r="S273" s="5">
        <f t="shared" si="63"/>
        <v>1</v>
      </c>
      <c r="T273" s="7">
        <f t="shared" si="56"/>
        <v>85488</v>
      </c>
    </row>
    <row r="274" spans="1:20">
      <c r="A274" s="23" t="s">
        <v>303</v>
      </c>
      <c r="B274" s="35" t="s">
        <v>300</v>
      </c>
      <c r="C274" s="36">
        <v>67071</v>
      </c>
      <c r="D274" s="6"/>
      <c r="E274" s="113">
        <v>8297640191</v>
      </c>
      <c r="F274" s="116">
        <f t="shared" si="53"/>
        <v>123714.27578237986</v>
      </c>
      <c r="G274" s="117">
        <v>5594966739</v>
      </c>
      <c r="H274" s="117">
        <f t="shared" si="54"/>
        <v>83418.567473274583</v>
      </c>
      <c r="I274" s="9"/>
      <c r="J274" s="10">
        <v>7.1</v>
      </c>
      <c r="K274" s="117">
        <v>39724264</v>
      </c>
      <c r="L274" s="120">
        <f t="shared" si="57"/>
        <v>592.27183134290533</v>
      </c>
      <c r="M274" s="122">
        <f t="shared" si="60"/>
        <v>55949667.390000001</v>
      </c>
      <c r="N274" s="116">
        <f t="shared" si="61"/>
        <v>16225403.390000001</v>
      </c>
      <c r="O274" s="123">
        <f t="shared" si="62"/>
        <v>241.91384338984062</v>
      </c>
      <c r="P274" s="5"/>
      <c r="Q274" s="5">
        <f t="shared" si="58"/>
        <v>1</v>
      </c>
      <c r="R274" s="7">
        <f t="shared" si="59"/>
        <v>67071</v>
      </c>
      <c r="S274" s="5">
        <f t="shared" si="63"/>
        <v>1</v>
      </c>
      <c r="T274" s="7">
        <f t="shared" si="56"/>
        <v>67071</v>
      </c>
    </row>
    <row r="275" spans="1:20">
      <c r="A275" s="23" t="s">
        <v>304</v>
      </c>
      <c r="B275" s="35" t="s">
        <v>300</v>
      </c>
      <c r="C275" s="36">
        <v>418</v>
      </c>
      <c r="D275" s="6"/>
      <c r="E275" s="113">
        <v>53351894</v>
      </c>
      <c r="F275" s="116">
        <f t="shared" si="53"/>
        <v>127636.11004784689</v>
      </c>
      <c r="G275" s="117">
        <v>41648980</v>
      </c>
      <c r="H275" s="117">
        <f t="shared" si="54"/>
        <v>99638.708133971289</v>
      </c>
      <c r="I275" s="9"/>
      <c r="J275" s="10">
        <v>2.7504</v>
      </c>
      <c r="K275" s="117">
        <v>114551</v>
      </c>
      <c r="L275" s="120">
        <f t="shared" si="57"/>
        <v>274.04545454545456</v>
      </c>
      <c r="M275" s="122">
        <f t="shared" si="60"/>
        <v>416489.8</v>
      </c>
      <c r="N275" s="116">
        <f t="shared" si="61"/>
        <v>301938.8</v>
      </c>
      <c r="O275" s="123">
        <f t="shared" si="62"/>
        <v>722.34162679425833</v>
      </c>
      <c r="P275" s="5"/>
      <c r="Q275" s="5">
        <f t="shared" si="58"/>
        <v>1</v>
      </c>
      <c r="R275" s="7">
        <f t="shared" si="59"/>
        <v>418</v>
      </c>
      <c r="S275" s="5">
        <f t="shared" si="63"/>
        <v>1</v>
      </c>
      <c r="T275" s="7">
        <f t="shared" si="56"/>
        <v>418</v>
      </c>
    </row>
    <row r="276" spans="1:20">
      <c r="A276" s="23" t="s">
        <v>305</v>
      </c>
      <c r="B276" s="35" t="s">
        <v>300</v>
      </c>
      <c r="C276" s="36">
        <v>164</v>
      </c>
      <c r="D276" s="6"/>
      <c r="E276" s="113">
        <v>13387695</v>
      </c>
      <c r="F276" s="116">
        <f t="shared" si="53"/>
        <v>81632.286585365859</v>
      </c>
      <c r="G276" s="117">
        <v>8652084</v>
      </c>
      <c r="H276" s="117">
        <f t="shared" si="54"/>
        <v>52756.609756097561</v>
      </c>
      <c r="I276" s="9" t="s">
        <v>528</v>
      </c>
      <c r="J276" s="11"/>
      <c r="K276" s="117"/>
      <c r="L276" s="120"/>
      <c r="M276" s="122">
        <f t="shared" si="60"/>
        <v>86520.84</v>
      </c>
      <c r="N276" s="116">
        <f t="shared" si="61"/>
        <v>86520.84</v>
      </c>
      <c r="O276" s="123">
        <f t="shared" si="62"/>
        <v>527.56609756097555</v>
      </c>
      <c r="P276" s="5"/>
      <c r="Q276" s="5">
        <f t="shared" si="58"/>
        <v>1</v>
      </c>
      <c r="R276" s="7">
        <f t="shared" si="59"/>
        <v>164</v>
      </c>
      <c r="S276" s="5">
        <f t="shared" si="63"/>
        <v>0</v>
      </c>
      <c r="T276" s="7">
        <f t="shared" si="56"/>
        <v>0</v>
      </c>
    </row>
    <row r="277" spans="1:20">
      <c r="A277" s="23" t="s">
        <v>306</v>
      </c>
      <c r="B277" s="35" t="s">
        <v>300</v>
      </c>
      <c r="C277" s="36">
        <v>64095</v>
      </c>
      <c r="D277" s="6"/>
      <c r="E277" s="113">
        <v>11986221938</v>
      </c>
      <c r="F277" s="116">
        <f t="shared" si="53"/>
        <v>187007.12907403073</v>
      </c>
      <c r="G277" s="117">
        <v>8416046250</v>
      </c>
      <c r="H277" s="117">
        <f t="shared" si="54"/>
        <v>131305.81558623919</v>
      </c>
      <c r="I277" s="9"/>
      <c r="J277" s="10">
        <v>6.86</v>
      </c>
      <c r="K277" s="117">
        <v>57734077</v>
      </c>
      <c r="L277" s="120">
        <f>(K277/C277)</f>
        <v>900.75789063109448</v>
      </c>
      <c r="M277" s="122">
        <f t="shared" si="60"/>
        <v>84160462.5</v>
      </c>
      <c r="N277" s="116">
        <f t="shared" si="61"/>
        <v>26426385.5</v>
      </c>
      <c r="O277" s="123">
        <f t="shared" si="62"/>
        <v>412.30026523129732</v>
      </c>
      <c r="P277" s="5"/>
      <c r="Q277" s="5">
        <f t="shared" si="58"/>
        <v>1</v>
      </c>
      <c r="R277" s="7">
        <f t="shared" si="59"/>
        <v>64095</v>
      </c>
      <c r="S277" s="5">
        <f t="shared" si="63"/>
        <v>1</v>
      </c>
      <c r="T277" s="7">
        <f t="shared" si="56"/>
        <v>64095</v>
      </c>
    </row>
    <row r="278" spans="1:20">
      <c r="A278" s="23" t="s">
        <v>307</v>
      </c>
      <c r="B278" s="35" t="s">
        <v>300</v>
      </c>
      <c r="C278" s="36">
        <v>265</v>
      </c>
      <c r="D278" s="6"/>
      <c r="E278" s="113">
        <v>35032787</v>
      </c>
      <c r="F278" s="116">
        <f t="shared" si="53"/>
        <v>132199.19622641511</v>
      </c>
      <c r="G278" s="117">
        <v>19189590</v>
      </c>
      <c r="H278" s="117">
        <f t="shared" si="54"/>
        <v>72413.547169811325</v>
      </c>
      <c r="I278" s="9" t="s">
        <v>528</v>
      </c>
      <c r="J278" s="12"/>
      <c r="K278" s="117"/>
      <c r="L278" s="120"/>
      <c r="M278" s="122">
        <f t="shared" si="60"/>
        <v>191895.9</v>
      </c>
      <c r="N278" s="116">
        <f t="shared" si="61"/>
        <v>191895.9</v>
      </c>
      <c r="O278" s="123">
        <f t="shared" si="62"/>
        <v>724.13547169811318</v>
      </c>
      <c r="P278" s="5"/>
      <c r="Q278" s="5">
        <f t="shared" si="58"/>
        <v>1</v>
      </c>
      <c r="R278" s="7">
        <f t="shared" si="59"/>
        <v>265</v>
      </c>
      <c r="S278" s="5">
        <f t="shared" si="63"/>
        <v>0</v>
      </c>
      <c r="T278" s="7">
        <f t="shared" si="56"/>
        <v>0</v>
      </c>
    </row>
    <row r="279" spans="1:20">
      <c r="A279" s="23" t="s">
        <v>308</v>
      </c>
      <c r="B279" s="35" t="s">
        <v>300</v>
      </c>
      <c r="C279" s="36">
        <v>232</v>
      </c>
      <c r="D279" s="6"/>
      <c r="E279" s="113">
        <v>209184082</v>
      </c>
      <c r="F279" s="116">
        <f t="shared" si="53"/>
        <v>901655.52586206899</v>
      </c>
      <c r="G279" s="117">
        <v>152472624</v>
      </c>
      <c r="H279" s="117">
        <f t="shared" si="54"/>
        <v>657209.58620689658</v>
      </c>
      <c r="I279" s="7"/>
      <c r="J279" s="10">
        <v>7.0998999999999999</v>
      </c>
      <c r="K279" s="117">
        <v>1082540</v>
      </c>
      <c r="L279" s="120">
        <f t="shared" ref="L279:L310" si="64">(K279/C279)</f>
        <v>4666.1206896551721</v>
      </c>
      <c r="M279" s="122">
        <f t="shared" si="60"/>
        <v>1524726.24</v>
      </c>
      <c r="N279" s="116">
        <f t="shared" si="61"/>
        <v>442186.23999999999</v>
      </c>
      <c r="O279" s="123">
        <f t="shared" si="62"/>
        <v>1905.975172413793</v>
      </c>
      <c r="P279" s="5"/>
      <c r="Q279" s="5">
        <f t="shared" si="58"/>
        <v>1</v>
      </c>
      <c r="R279" s="7">
        <f t="shared" si="59"/>
        <v>232</v>
      </c>
      <c r="S279" s="5">
        <f t="shared" si="63"/>
        <v>1</v>
      </c>
      <c r="T279" s="7">
        <f t="shared" si="56"/>
        <v>232</v>
      </c>
    </row>
    <row r="280" spans="1:20">
      <c r="A280" s="23" t="s">
        <v>309</v>
      </c>
      <c r="B280" s="35" t="s">
        <v>300</v>
      </c>
      <c r="C280" s="36">
        <v>31734</v>
      </c>
      <c r="D280" s="6"/>
      <c r="E280" s="113">
        <v>3005256103</v>
      </c>
      <c r="F280" s="116">
        <f t="shared" si="53"/>
        <v>94701.459097497951</v>
      </c>
      <c r="G280" s="117">
        <v>1976149164</v>
      </c>
      <c r="H280" s="117">
        <f t="shared" si="54"/>
        <v>62272.299867649839</v>
      </c>
      <c r="I280" s="7"/>
      <c r="J280" s="10">
        <v>5.55</v>
      </c>
      <c r="K280" s="117">
        <v>10967628</v>
      </c>
      <c r="L280" s="120">
        <f t="shared" si="64"/>
        <v>345.61126867082623</v>
      </c>
      <c r="M280" s="122">
        <f t="shared" si="60"/>
        <v>19761491.640000001</v>
      </c>
      <c r="N280" s="116">
        <f t="shared" si="61"/>
        <v>8793863.6400000006</v>
      </c>
      <c r="O280" s="123">
        <f t="shared" si="62"/>
        <v>277.11173000567214</v>
      </c>
      <c r="P280" s="5"/>
      <c r="Q280" s="5">
        <f t="shared" si="58"/>
        <v>1</v>
      </c>
      <c r="R280" s="7">
        <f t="shared" si="59"/>
        <v>31734</v>
      </c>
      <c r="S280" s="5">
        <f t="shared" si="63"/>
        <v>1</v>
      </c>
      <c r="T280" s="7">
        <f t="shared" si="56"/>
        <v>31734</v>
      </c>
    </row>
    <row r="281" spans="1:20">
      <c r="A281" s="23" t="s">
        <v>310</v>
      </c>
      <c r="B281" s="35" t="s">
        <v>300</v>
      </c>
      <c r="C281" s="36">
        <v>736</v>
      </c>
      <c r="D281" s="6"/>
      <c r="E281" s="113">
        <v>908387833</v>
      </c>
      <c r="F281" s="116">
        <f t="shared" si="53"/>
        <v>1234222.5991847827</v>
      </c>
      <c r="G281" s="117">
        <v>696565717</v>
      </c>
      <c r="H281" s="117">
        <f t="shared" si="54"/>
        <v>946420.81114130432</v>
      </c>
      <c r="I281" s="7"/>
      <c r="J281" s="10">
        <v>3.1</v>
      </c>
      <c r="K281" s="117">
        <v>2159354</v>
      </c>
      <c r="L281" s="120">
        <f t="shared" si="64"/>
        <v>2933.904891304348</v>
      </c>
      <c r="M281" s="122">
        <f t="shared" si="60"/>
        <v>6965657.1699999999</v>
      </c>
      <c r="N281" s="116">
        <f t="shared" si="61"/>
        <v>4806303.17</v>
      </c>
      <c r="O281" s="123">
        <f t="shared" si="62"/>
        <v>6530.3032201086953</v>
      </c>
      <c r="P281" s="5"/>
      <c r="Q281" s="5">
        <f t="shared" si="58"/>
        <v>1</v>
      </c>
      <c r="R281" s="7">
        <f t="shared" si="59"/>
        <v>736</v>
      </c>
      <c r="S281" s="5">
        <f t="shared" si="63"/>
        <v>1</v>
      </c>
      <c r="T281" s="7">
        <f t="shared" si="56"/>
        <v>736</v>
      </c>
    </row>
    <row r="282" spans="1:20">
      <c r="A282" s="23" t="s">
        <v>311</v>
      </c>
      <c r="B282" s="35" t="s">
        <v>300</v>
      </c>
      <c r="C282" s="36">
        <v>1554</v>
      </c>
      <c r="D282" s="6"/>
      <c r="E282" s="113">
        <v>144215866</v>
      </c>
      <c r="F282" s="116">
        <f t="shared" si="53"/>
        <v>92803.002574002574</v>
      </c>
      <c r="G282" s="117">
        <v>84517168</v>
      </c>
      <c r="H282" s="117">
        <f t="shared" si="54"/>
        <v>54386.851994851997</v>
      </c>
      <c r="I282" s="7"/>
      <c r="J282" s="10">
        <v>4.7854000000000001</v>
      </c>
      <c r="K282" s="117">
        <v>404448</v>
      </c>
      <c r="L282" s="120">
        <f t="shared" si="64"/>
        <v>260.26254826254825</v>
      </c>
      <c r="M282" s="122">
        <f t="shared" si="60"/>
        <v>845171.68</v>
      </c>
      <c r="N282" s="116">
        <f t="shared" si="61"/>
        <v>440723.68000000005</v>
      </c>
      <c r="O282" s="123">
        <f t="shared" si="62"/>
        <v>283.60597168597172</v>
      </c>
      <c r="P282" s="5"/>
      <c r="Q282" s="5">
        <f t="shared" si="58"/>
        <v>1</v>
      </c>
      <c r="R282" s="7">
        <f t="shared" si="59"/>
        <v>1554</v>
      </c>
      <c r="S282" s="5">
        <f t="shared" si="63"/>
        <v>1</v>
      </c>
      <c r="T282" s="7">
        <f t="shared" si="56"/>
        <v>1554</v>
      </c>
    </row>
    <row r="283" spans="1:20">
      <c r="A283" s="23" t="s">
        <v>312</v>
      </c>
      <c r="B283" s="35" t="s">
        <v>300</v>
      </c>
      <c r="C283" s="36">
        <v>4157</v>
      </c>
      <c r="D283" s="6"/>
      <c r="E283" s="113">
        <v>2846383564</v>
      </c>
      <c r="F283" s="116">
        <f t="shared" si="53"/>
        <v>684720.60716863128</v>
      </c>
      <c r="G283" s="117">
        <v>2302751039</v>
      </c>
      <c r="H283" s="117">
        <f t="shared" si="54"/>
        <v>553945.40269425069</v>
      </c>
      <c r="I283" s="7"/>
      <c r="J283" s="10">
        <v>3.5792999999999999</v>
      </c>
      <c r="K283" s="117">
        <v>8242237</v>
      </c>
      <c r="L283" s="120">
        <f t="shared" si="64"/>
        <v>1982.7368294443108</v>
      </c>
      <c r="M283" s="122">
        <f t="shared" si="60"/>
        <v>23027510.390000001</v>
      </c>
      <c r="N283" s="116">
        <f t="shared" si="61"/>
        <v>14785273.390000001</v>
      </c>
      <c r="O283" s="123">
        <f t="shared" si="62"/>
        <v>3556.7171974981961</v>
      </c>
      <c r="P283" s="5"/>
      <c r="Q283" s="5">
        <f t="shared" si="58"/>
        <v>1</v>
      </c>
      <c r="R283" s="7">
        <f t="shared" si="59"/>
        <v>4157</v>
      </c>
      <c r="S283" s="5">
        <f t="shared" si="63"/>
        <v>1</v>
      </c>
      <c r="T283" s="7">
        <f t="shared" si="56"/>
        <v>4157</v>
      </c>
    </row>
    <row r="284" spans="1:20">
      <c r="A284" s="23" t="s">
        <v>313</v>
      </c>
      <c r="B284" s="35" t="s">
        <v>300</v>
      </c>
      <c r="C284" s="36">
        <v>2463</v>
      </c>
      <c r="D284" s="6"/>
      <c r="E284" s="113">
        <v>593874151</v>
      </c>
      <c r="F284" s="116">
        <f t="shared" si="53"/>
        <v>241118.20990661794</v>
      </c>
      <c r="G284" s="117">
        <v>459115297</v>
      </c>
      <c r="H284" s="117">
        <f t="shared" si="54"/>
        <v>186404.91149005279</v>
      </c>
      <c r="I284" s="7"/>
      <c r="J284" s="10">
        <v>2.4500000000000002</v>
      </c>
      <c r="K284" s="117">
        <v>1124832</v>
      </c>
      <c r="L284" s="120">
        <f t="shared" si="64"/>
        <v>456.69183922046284</v>
      </c>
      <c r="M284" s="122">
        <f t="shared" si="60"/>
        <v>4591152.97</v>
      </c>
      <c r="N284" s="116">
        <f t="shared" si="61"/>
        <v>3466320.9699999997</v>
      </c>
      <c r="O284" s="123">
        <f t="shared" si="62"/>
        <v>1407.357275680065</v>
      </c>
      <c r="P284" s="5"/>
      <c r="Q284" s="5">
        <f t="shared" si="58"/>
        <v>1</v>
      </c>
      <c r="R284" s="7">
        <f t="shared" si="59"/>
        <v>2463</v>
      </c>
      <c r="S284" s="5">
        <f t="shared" si="63"/>
        <v>1</v>
      </c>
      <c r="T284" s="7">
        <f t="shared" si="56"/>
        <v>2463</v>
      </c>
    </row>
    <row r="285" spans="1:20">
      <c r="A285" s="23" t="s">
        <v>314</v>
      </c>
      <c r="B285" s="35" t="s">
        <v>300</v>
      </c>
      <c r="C285" s="36">
        <v>3637</v>
      </c>
      <c r="D285" s="6"/>
      <c r="E285" s="113">
        <v>1569691355</v>
      </c>
      <c r="F285" s="116">
        <f t="shared" si="53"/>
        <v>431589.59444597195</v>
      </c>
      <c r="G285" s="117">
        <v>1220497984</v>
      </c>
      <c r="H285" s="117">
        <f t="shared" si="54"/>
        <v>335578.21941160294</v>
      </c>
      <c r="I285" s="7"/>
      <c r="J285" s="10">
        <v>3.2</v>
      </c>
      <c r="K285" s="117">
        <v>3905594</v>
      </c>
      <c r="L285" s="120">
        <f t="shared" si="64"/>
        <v>1073.8504261754192</v>
      </c>
      <c r="M285" s="122">
        <f t="shared" si="60"/>
        <v>12204979.84</v>
      </c>
      <c r="N285" s="116">
        <f t="shared" si="61"/>
        <v>8299385.8399999999</v>
      </c>
      <c r="O285" s="123">
        <f t="shared" si="62"/>
        <v>2281.9317679406104</v>
      </c>
      <c r="P285" s="5"/>
      <c r="Q285" s="5">
        <f t="shared" si="58"/>
        <v>1</v>
      </c>
      <c r="R285" s="7">
        <f t="shared" si="59"/>
        <v>3637</v>
      </c>
      <c r="S285" s="5">
        <f t="shared" si="63"/>
        <v>1</v>
      </c>
      <c r="T285" s="7">
        <f t="shared" si="56"/>
        <v>3637</v>
      </c>
    </row>
    <row r="286" spans="1:20">
      <c r="A286" s="23" t="s">
        <v>315</v>
      </c>
      <c r="B286" s="35" t="s">
        <v>300</v>
      </c>
      <c r="C286" s="36">
        <v>50028</v>
      </c>
      <c r="D286" s="6"/>
      <c r="E286" s="113">
        <v>12089827487</v>
      </c>
      <c r="F286" s="116">
        <f t="shared" ref="F286:F349" si="65">(E286/C286)</f>
        <v>241661.21945710402</v>
      </c>
      <c r="G286" s="117">
        <v>8819014707</v>
      </c>
      <c r="H286" s="117">
        <f t="shared" ref="H286:H349" si="66">(G286/C286)</f>
        <v>176281.57645718398</v>
      </c>
      <c r="I286" s="7"/>
      <c r="J286" s="10">
        <v>2.5417000000000001</v>
      </c>
      <c r="K286" s="117">
        <v>22415290</v>
      </c>
      <c r="L286" s="120">
        <f t="shared" si="64"/>
        <v>448.05488926201326</v>
      </c>
      <c r="M286" s="122">
        <f t="shared" si="60"/>
        <v>88190147.070000008</v>
      </c>
      <c r="N286" s="116">
        <f t="shared" si="61"/>
        <v>65774857.070000008</v>
      </c>
      <c r="O286" s="123">
        <f t="shared" si="62"/>
        <v>1314.7608753098266</v>
      </c>
      <c r="P286" s="5"/>
      <c r="Q286" s="5">
        <f t="shared" si="58"/>
        <v>1</v>
      </c>
      <c r="R286" s="7">
        <f t="shared" si="59"/>
        <v>50028</v>
      </c>
      <c r="S286" s="5">
        <f t="shared" si="63"/>
        <v>1</v>
      </c>
      <c r="T286" s="7">
        <f t="shared" si="56"/>
        <v>50028</v>
      </c>
    </row>
    <row r="287" spans="1:20">
      <c r="A287" s="23" t="s">
        <v>316</v>
      </c>
      <c r="B287" s="35" t="s">
        <v>300</v>
      </c>
      <c r="C287" s="36">
        <v>371</v>
      </c>
      <c r="D287" s="6"/>
      <c r="E287" s="113">
        <v>345977012</v>
      </c>
      <c r="F287" s="116">
        <f t="shared" si="65"/>
        <v>932552.59299191379</v>
      </c>
      <c r="G287" s="117">
        <v>239263462</v>
      </c>
      <c r="H287" s="117">
        <f t="shared" si="66"/>
        <v>644914.99191374658</v>
      </c>
      <c r="I287" s="7"/>
      <c r="J287" s="10">
        <v>4.0674999999999999</v>
      </c>
      <c r="K287" s="117">
        <v>973204</v>
      </c>
      <c r="L287" s="120">
        <f t="shared" si="64"/>
        <v>2623.1913746630726</v>
      </c>
      <c r="M287" s="122">
        <f t="shared" si="60"/>
        <v>2392634.62</v>
      </c>
      <c r="N287" s="116">
        <f t="shared" si="61"/>
        <v>1419430.62</v>
      </c>
      <c r="O287" s="123">
        <f t="shared" si="62"/>
        <v>3825.9585444743939</v>
      </c>
      <c r="P287" s="5"/>
      <c r="Q287" s="5">
        <f t="shared" si="58"/>
        <v>1</v>
      </c>
      <c r="R287" s="7">
        <f t="shared" si="59"/>
        <v>371</v>
      </c>
      <c r="S287" s="5">
        <f t="shared" si="63"/>
        <v>1</v>
      </c>
      <c r="T287" s="7">
        <f t="shared" si="56"/>
        <v>371</v>
      </c>
    </row>
    <row r="288" spans="1:20">
      <c r="A288" s="23" t="s">
        <v>317</v>
      </c>
      <c r="B288" s="35" t="s">
        <v>300</v>
      </c>
      <c r="C288" s="36">
        <v>3469</v>
      </c>
      <c r="D288" s="6"/>
      <c r="E288" s="113">
        <v>471878206</v>
      </c>
      <c r="F288" s="116">
        <f t="shared" si="65"/>
        <v>136027.15652925914</v>
      </c>
      <c r="G288" s="117">
        <v>246933396</v>
      </c>
      <c r="H288" s="117">
        <f t="shared" si="66"/>
        <v>71182.875756702226</v>
      </c>
      <c r="I288" s="7"/>
      <c r="J288" s="10">
        <v>5.3163999999999998</v>
      </c>
      <c r="K288" s="117">
        <v>1312797</v>
      </c>
      <c r="L288" s="120">
        <f t="shared" si="64"/>
        <v>378.43672528106083</v>
      </c>
      <c r="M288" s="122">
        <f t="shared" si="60"/>
        <v>2469333.96</v>
      </c>
      <c r="N288" s="116">
        <f t="shared" si="61"/>
        <v>1156536.96</v>
      </c>
      <c r="O288" s="123">
        <f t="shared" si="62"/>
        <v>333.39203228596136</v>
      </c>
      <c r="P288" s="5"/>
      <c r="Q288" s="5">
        <f t="shared" si="58"/>
        <v>1</v>
      </c>
      <c r="R288" s="7">
        <f t="shared" si="59"/>
        <v>3469</v>
      </c>
      <c r="S288" s="5">
        <f t="shared" si="63"/>
        <v>1</v>
      </c>
      <c r="T288" s="7">
        <f t="shared" si="56"/>
        <v>3469</v>
      </c>
    </row>
    <row r="289" spans="1:20">
      <c r="A289" s="23" t="s">
        <v>318</v>
      </c>
      <c r="B289" s="35" t="s">
        <v>300</v>
      </c>
      <c r="C289" s="36">
        <v>9113</v>
      </c>
      <c r="D289" s="6"/>
      <c r="E289" s="113">
        <v>889327479</v>
      </c>
      <c r="F289" s="116">
        <f t="shared" si="65"/>
        <v>97588.881707450899</v>
      </c>
      <c r="G289" s="117">
        <v>666763442</v>
      </c>
      <c r="H289" s="117">
        <f t="shared" si="66"/>
        <v>73166.184790957966</v>
      </c>
      <c r="I289" s="7"/>
      <c r="J289" s="10">
        <v>8</v>
      </c>
      <c r="K289" s="117">
        <v>5334108</v>
      </c>
      <c r="L289" s="120">
        <f t="shared" si="64"/>
        <v>585.32952924393726</v>
      </c>
      <c r="M289" s="122">
        <f t="shared" si="60"/>
        <v>6667634.4199999999</v>
      </c>
      <c r="N289" s="116">
        <f t="shared" si="61"/>
        <v>1333526.42</v>
      </c>
      <c r="O289" s="123">
        <f t="shared" si="62"/>
        <v>146.33231866564248</v>
      </c>
      <c r="P289" s="5"/>
      <c r="Q289" s="5">
        <f t="shared" si="58"/>
        <v>1</v>
      </c>
      <c r="R289" s="7">
        <f t="shared" si="59"/>
        <v>9113</v>
      </c>
      <c r="S289" s="5">
        <f t="shared" si="63"/>
        <v>1</v>
      </c>
      <c r="T289" s="7">
        <f t="shared" si="56"/>
        <v>9113</v>
      </c>
    </row>
    <row r="290" spans="1:20">
      <c r="A290" s="24" t="s">
        <v>628</v>
      </c>
      <c r="B290" s="35" t="s">
        <v>300</v>
      </c>
      <c r="C290" s="36">
        <v>36412</v>
      </c>
      <c r="D290" s="6"/>
      <c r="E290" s="113">
        <v>3169312801</v>
      </c>
      <c r="F290" s="116">
        <f t="shared" si="65"/>
        <v>87040.338377457985</v>
      </c>
      <c r="G290" s="117">
        <v>2024765565</v>
      </c>
      <c r="H290" s="117">
        <f t="shared" si="66"/>
        <v>55607.095600351531</v>
      </c>
      <c r="I290" s="7"/>
      <c r="J290" s="10">
        <v>8.15</v>
      </c>
      <c r="K290" s="117">
        <v>16501839</v>
      </c>
      <c r="L290" s="120">
        <f t="shared" si="64"/>
        <v>453.19781940019772</v>
      </c>
      <c r="M290" s="122">
        <f t="shared" si="60"/>
        <v>20247655.650000002</v>
      </c>
      <c r="N290" s="116">
        <f t="shared" si="61"/>
        <v>3745816.6500000022</v>
      </c>
      <c r="O290" s="123">
        <f t="shared" si="62"/>
        <v>102.87313660331765</v>
      </c>
      <c r="P290" s="5"/>
      <c r="Q290" s="5">
        <f t="shared" si="58"/>
        <v>1</v>
      </c>
      <c r="R290" s="7">
        <f t="shared" si="59"/>
        <v>36412</v>
      </c>
      <c r="S290" s="5">
        <f t="shared" si="63"/>
        <v>1</v>
      </c>
      <c r="T290" s="7">
        <f t="shared" si="56"/>
        <v>36412</v>
      </c>
    </row>
    <row r="291" spans="1:20">
      <c r="A291" s="23" t="s">
        <v>319</v>
      </c>
      <c r="B291" s="35" t="s">
        <v>300</v>
      </c>
      <c r="C291" s="36">
        <v>10121</v>
      </c>
      <c r="D291" s="6"/>
      <c r="E291" s="113">
        <v>1542216546</v>
      </c>
      <c r="F291" s="116">
        <f t="shared" si="65"/>
        <v>152377.88222507658</v>
      </c>
      <c r="G291" s="117">
        <v>1031033126</v>
      </c>
      <c r="H291" s="117">
        <f t="shared" si="66"/>
        <v>101870.67740341864</v>
      </c>
      <c r="I291" s="7"/>
      <c r="J291" s="10">
        <v>7.0385</v>
      </c>
      <c r="K291" s="117">
        <v>7256927</v>
      </c>
      <c r="L291" s="120">
        <f t="shared" si="64"/>
        <v>717.01679675921355</v>
      </c>
      <c r="M291" s="122">
        <f t="shared" si="60"/>
        <v>10310331.26</v>
      </c>
      <c r="N291" s="116">
        <f t="shared" si="61"/>
        <v>3053404.26</v>
      </c>
      <c r="O291" s="123">
        <f t="shared" si="62"/>
        <v>301.68997727497282</v>
      </c>
      <c r="P291" s="5"/>
      <c r="Q291" s="5">
        <f t="shared" si="58"/>
        <v>1</v>
      </c>
      <c r="R291" s="7">
        <f t="shared" si="59"/>
        <v>10121</v>
      </c>
      <c r="S291" s="5">
        <f t="shared" si="63"/>
        <v>1</v>
      </c>
      <c r="T291" s="7">
        <f t="shared" si="56"/>
        <v>10121</v>
      </c>
    </row>
    <row r="292" spans="1:20">
      <c r="A292" s="23" t="s">
        <v>320</v>
      </c>
      <c r="B292" s="35" t="s">
        <v>300</v>
      </c>
      <c r="C292" s="36">
        <v>360</v>
      </c>
      <c r="D292" s="6"/>
      <c r="E292" s="113">
        <v>985016208</v>
      </c>
      <c r="F292" s="116">
        <f t="shared" si="65"/>
        <v>2736156.1333333333</v>
      </c>
      <c r="G292" s="117">
        <v>875908520</v>
      </c>
      <c r="H292" s="117">
        <f t="shared" si="66"/>
        <v>2433079.222222222</v>
      </c>
      <c r="I292" s="7"/>
      <c r="J292" s="10">
        <v>3.0419999999999998</v>
      </c>
      <c r="K292" s="117">
        <v>2664514</v>
      </c>
      <c r="L292" s="120">
        <f t="shared" si="64"/>
        <v>7401.4277777777779</v>
      </c>
      <c r="M292" s="122">
        <f t="shared" si="60"/>
        <v>8759085.1999999993</v>
      </c>
      <c r="N292" s="116">
        <f t="shared" si="61"/>
        <v>6094571.1999999993</v>
      </c>
      <c r="O292" s="123">
        <f t="shared" si="62"/>
        <v>16929.364444444444</v>
      </c>
      <c r="P292" s="5"/>
      <c r="Q292" s="5">
        <f t="shared" si="58"/>
        <v>1</v>
      </c>
      <c r="R292" s="7">
        <f t="shared" si="59"/>
        <v>360</v>
      </c>
      <c r="S292" s="5">
        <f t="shared" si="63"/>
        <v>1</v>
      </c>
      <c r="T292" s="7">
        <f t="shared" si="56"/>
        <v>360</v>
      </c>
    </row>
    <row r="293" spans="1:20">
      <c r="A293" s="23" t="s">
        <v>321</v>
      </c>
      <c r="B293" s="35" t="s">
        <v>300</v>
      </c>
      <c r="C293" s="36">
        <v>2539</v>
      </c>
      <c r="D293" s="6"/>
      <c r="E293" s="113">
        <v>216909678</v>
      </c>
      <c r="F293" s="116">
        <f t="shared" si="65"/>
        <v>85431.145332808199</v>
      </c>
      <c r="G293" s="117">
        <v>183338790</v>
      </c>
      <c r="H293" s="117">
        <f t="shared" si="66"/>
        <v>72209.054745962974</v>
      </c>
      <c r="I293" s="7"/>
      <c r="J293" s="10">
        <v>9.8000000000000007</v>
      </c>
      <c r="K293" s="117">
        <v>1796720</v>
      </c>
      <c r="L293" s="120">
        <f t="shared" si="64"/>
        <v>707.64868058290665</v>
      </c>
      <c r="M293" s="122">
        <f t="shared" si="60"/>
        <v>1833387.9000000001</v>
      </c>
      <c r="N293" s="116">
        <f t="shared" si="61"/>
        <v>36667.90000000014</v>
      </c>
      <c r="O293" s="123">
        <f t="shared" si="62"/>
        <v>14.441866876723175</v>
      </c>
      <c r="P293" s="5"/>
      <c r="Q293" s="5">
        <f t="shared" si="58"/>
        <v>1</v>
      </c>
      <c r="R293" s="7">
        <f t="shared" si="59"/>
        <v>2539</v>
      </c>
      <c r="S293" s="5">
        <f t="shared" si="63"/>
        <v>1</v>
      </c>
      <c r="T293" s="7">
        <f t="shared" si="56"/>
        <v>2539</v>
      </c>
    </row>
    <row r="294" spans="1:20">
      <c r="A294" s="23" t="s">
        <v>322</v>
      </c>
      <c r="B294" s="35" t="s">
        <v>300</v>
      </c>
      <c r="C294" s="36">
        <v>12562</v>
      </c>
      <c r="D294" s="6"/>
      <c r="E294" s="113">
        <v>3040647658</v>
      </c>
      <c r="F294" s="116">
        <f t="shared" si="65"/>
        <v>242051.23849705461</v>
      </c>
      <c r="G294" s="117">
        <v>2000286958</v>
      </c>
      <c r="H294" s="117">
        <f t="shared" si="66"/>
        <v>159233.16016557874</v>
      </c>
      <c r="I294" s="7"/>
      <c r="J294" s="10">
        <v>6.3</v>
      </c>
      <c r="K294" s="117">
        <v>12601808</v>
      </c>
      <c r="L294" s="120">
        <f t="shared" si="64"/>
        <v>1003.1689221461551</v>
      </c>
      <c r="M294" s="122">
        <f t="shared" si="60"/>
        <v>20002869.580000002</v>
      </c>
      <c r="N294" s="116">
        <f t="shared" si="61"/>
        <v>7401061.5800000019</v>
      </c>
      <c r="O294" s="123">
        <f t="shared" si="62"/>
        <v>589.16267950963243</v>
      </c>
      <c r="P294" s="5"/>
      <c r="Q294" s="5">
        <f t="shared" si="58"/>
        <v>1</v>
      </c>
      <c r="R294" s="7">
        <f t="shared" si="59"/>
        <v>12562</v>
      </c>
      <c r="S294" s="5">
        <f t="shared" si="63"/>
        <v>1</v>
      </c>
      <c r="T294" s="7">
        <f t="shared" si="56"/>
        <v>12562</v>
      </c>
    </row>
    <row r="295" spans="1:20">
      <c r="A295" s="23" t="s">
        <v>323</v>
      </c>
      <c r="B295" s="35" t="s">
        <v>300</v>
      </c>
      <c r="C295" s="36">
        <v>1640</v>
      </c>
      <c r="D295" s="6"/>
      <c r="E295" s="113">
        <v>1078026126</v>
      </c>
      <c r="F295" s="116">
        <f t="shared" si="65"/>
        <v>657333.00365853659</v>
      </c>
      <c r="G295" s="117">
        <v>807932066</v>
      </c>
      <c r="H295" s="117">
        <f t="shared" si="66"/>
        <v>492641.50365853659</v>
      </c>
      <c r="I295" s="7"/>
      <c r="J295" s="10">
        <v>4.75</v>
      </c>
      <c r="K295" s="117">
        <v>3837677</v>
      </c>
      <c r="L295" s="120">
        <f t="shared" si="64"/>
        <v>2340.0469512195123</v>
      </c>
      <c r="M295" s="122">
        <f t="shared" si="60"/>
        <v>8079320.6600000001</v>
      </c>
      <c r="N295" s="116">
        <f t="shared" si="61"/>
        <v>4241643.66</v>
      </c>
      <c r="O295" s="123">
        <f t="shared" si="62"/>
        <v>2586.3680853658539</v>
      </c>
      <c r="P295" s="5"/>
      <c r="Q295" s="5">
        <f t="shared" si="58"/>
        <v>1</v>
      </c>
      <c r="R295" s="7">
        <f t="shared" si="59"/>
        <v>1640</v>
      </c>
      <c r="S295" s="5">
        <f t="shared" si="63"/>
        <v>1</v>
      </c>
      <c r="T295" s="7">
        <f t="shared" si="56"/>
        <v>1640</v>
      </c>
    </row>
    <row r="296" spans="1:20">
      <c r="A296" s="23" t="s">
        <v>324</v>
      </c>
      <c r="B296" s="35" t="s">
        <v>300</v>
      </c>
      <c r="C296" s="36">
        <v>6419</v>
      </c>
      <c r="D296" s="6"/>
      <c r="E296" s="113">
        <v>220769631</v>
      </c>
      <c r="F296" s="116">
        <f t="shared" si="65"/>
        <v>34393.150179155629</v>
      </c>
      <c r="G296" s="117">
        <v>93912983</v>
      </c>
      <c r="H296" s="117">
        <f t="shared" si="66"/>
        <v>14630.469387755102</v>
      </c>
      <c r="I296" s="9"/>
      <c r="J296" s="10">
        <v>7.02</v>
      </c>
      <c r="K296" s="117">
        <v>659269</v>
      </c>
      <c r="L296" s="120">
        <f t="shared" si="64"/>
        <v>102.70587318897024</v>
      </c>
      <c r="M296" s="122">
        <f t="shared" si="60"/>
        <v>939129.83000000007</v>
      </c>
      <c r="N296" s="116">
        <f t="shared" si="61"/>
        <v>279860.83000000007</v>
      </c>
      <c r="O296" s="123">
        <f t="shared" si="62"/>
        <v>43.598820688580787</v>
      </c>
      <c r="P296" s="5"/>
      <c r="Q296" s="5">
        <f t="shared" si="58"/>
        <v>1</v>
      </c>
      <c r="R296" s="7">
        <f t="shared" si="59"/>
        <v>6419</v>
      </c>
      <c r="S296" s="5">
        <f t="shared" si="63"/>
        <v>1</v>
      </c>
      <c r="T296" s="7">
        <f t="shared" si="56"/>
        <v>6419</v>
      </c>
    </row>
    <row r="297" spans="1:20">
      <c r="A297" s="23" t="s">
        <v>300</v>
      </c>
      <c r="B297" s="35" t="s">
        <v>300</v>
      </c>
      <c r="C297" s="36">
        <v>9706</v>
      </c>
      <c r="D297" s="6"/>
      <c r="E297" s="113">
        <v>15561059348</v>
      </c>
      <c r="F297" s="116">
        <f t="shared" si="65"/>
        <v>1603241.2268699773</v>
      </c>
      <c r="G297" s="117">
        <v>12039602941</v>
      </c>
      <c r="H297" s="117">
        <f t="shared" si="66"/>
        <v>1240428.9038738925</v>
      </c>
      <c r="I297" s="7"/>
      <c r="J297" s="10">
        <v>3.7273000000000001</v>
      </c>
      <c r="K297" s="117">
        <v>44875212</v>
      </c>
      <c r="L297" s="120">
        <f t="shared" si="64"/>
        <v>4623.4506490830418</v>
      </c>
      <c r="M297" s="122">
        <f t="shared" si="60"/>
        <v>120396029.41</v>
      </c>
      <c r="N297" s="116">
        <f t="shared" si="61"/>
        <v>75520817.409999996</v>
      </c>
      <c r="O297" s="123">
        <f t="shared" si="62"/>
        <v>7780.8383896558826</v>
      </c>
      <c r="P297" s="5"/>
      <c r="Q297" s="5">
        <f t="shared" si="58"/>
        <v>1</v>
      </c>
      <c r="R297" s="7">
        <f t="shared" si="59"/>
        <v>9706</v>
      </c>
      <c r="S297" s="5">
        <f t="shared" si="63"/>
        <v>1</v>
      </c>
      <c r="T297" s="7">
        <f t="shared" si="56"/>
        <v>9706</v>
      </c>
    </row>
    <row r="298" spans="1:20">
      <c r="A298" s="23" t="s">
        <v>325</v>
      </c>
      <c r="B298" s="35" t="s">
        <v>300</v>
      </c>
      <c r="C298" s="36">
        <v>48176</v>
      </c>
      <c r="D298" s="6"/>
      <c r="E298" s="113">
        <v>11933929470</v>
      </c>
      <c r="F298" s="116">
        <f t="shared" si="65"/>
        <v>247715.24140650948</v>
      </c>
      <c r="G298" s="117">
        <v>9304522294</v>
      </c>
      <c r="H298" s="117">
        <f t="shared" si="66"/>
        <v>193136.04894553305</v>
      </c>
      <c r="I298" s="7"/>
      <c r="J298" s="10">
        <v>5.4950000000000001</v>
      </c>
      <c r="K298" s="117">
        <v>51128350</v>
      </c>
      <c r="L298" s="120">
        <f t="shared" si="64"/>
        <v>1061.2825888409166</v>
      </c>
      <c r="M298" s="122">
        <f t="shared" si="60"/>
        <v>93045222.939999998</v>
      </c>
      <c r="N298" s="116">
        <f t="shared" si="61"/>
        <v>41916872.939999998</v>
      </c>
      <c r="O298" s="123">
        <f t="shared" si="62"/>
        <v>870.07790061441381</v>
      </c>
      <c r="P298" s="5"/>
      <c r="Q298" s="5">
        <f t="shared" si="58"/>
        <v>1</v>
      </c>
      <c r="R298" s="7">
        <f t="shared" si="59"/>
        <v>48176</v>
      </c>
      <c r="S298" s="5">
        <f t="shared" si="63"/>
        <v>1</v>
      </c>
      <c r="T298" s="7">
        <f t="shared" si="56"/>
        <v>48176</v>
      </c>
    </row>
    <row r="299" spans="1:20">
      <c r="A299" s="23" t="s">
        <v>326</v>
      </c>
      <c r="B299" s="35" t="s">
        <v>300</v>
      </c>
      <c r="C299" s="36">
        <v>1366</v>
      </c>
      <c r="D299" s="6"/>
      <c r="E299" s="113">
        <v>791316333</v>
      </c>
      <c r="F299" s="116">
        <f t="shared" si="65"/>
        <v>579294.5336749634</v>
      </c>
      <c r="G299" s="117">
        <v>675720973</v>
      </c>
      <c r="H299" s="117">
        <f t="shared" si="66"/>
        <v>494671.28330893116</v>
      </c>
      <c r="I299" s="7"/>
      <c r="J299" s="10">
        <v>6.25</v>
      </c>
      <c r="K299" s="117">
        <v>4223256</v>
      </c>
      <c r="L299" s="120">
        <f t="shared" si="64"/>
        <v>3091.6954612005857</v>
      </c>
      <c r="M299" s="122">
        <f t="shared" si="60"/>
        <v>6757209.7300000004</v>
      </c>
      <c r="N299" s="116">
        <f t="shared" si="61"/>
        <v>2533953.7300000004</v>
      </c>
      <c r="O299" s="123">
        <f t="shared" si="62"/>
        <v>1855.0173718887265</v>
      </c>
      <c r="P299" s="5"/>
      <c r="Q299" s="5">
        <f t="shared" si="58"/>
        <v>1</v>
      </c>
      <c r="R299" s="7">
        <f t="shared" si="59"/>
        <v>1366</v>
      </c>
      <c r="S299" s="5">
        <f t="shared" si="63"/>
        <v>1</v>
      </c>
      <c r="T299" s="7">
        <f t="shared" si="56"/>
        <v>1366</v>
      </c>
    </row>
    <row r="300" spans="1:20">
      <c r="A300" s="23" t="s">
        <v>327</v>
      </c>
      <c r="B300" s="35" t="s">
        <v>300</v>
      </c>
      <c r="C300" s="36">
        <v>14512</v>
      </c>
      <c r="D300" s="6"/>
      <c r="E300" s="113">
        <v>1279045360</v>
      </c>
      <c r="F300" s="116">
        <f t="shared" si="65"/>
        <v>88137.083792723264</v>
      </c>
      <c r="G300" s="117">
        <v>811025923</v>
      </c>
      <c r="H300" s="117">
        <f t="shared" si="66"/>
        <v>55886.571320286661</v>
      </c>
      <c r="I300" s="7"/>
      <c r="J300" s="10">
        <v>4.7713999999999999</v>
      </c>
      <c r="K300" s="117">
        <v>3869729</v>
      </c>
      <c r="L300" s="120">
        <f t="shared" si="64"/>
        <v>266.6571802646086</v>
      </c>
      <c r="M300" s="122">
        <f t="shared" si="60"/>
        <v>8110259.2300000004</v>
      </c>
      <c r="N300" s="116">
        <f t="shared" si="61"/>
        <v>4240530.2300000004</v>
      </c>
      <c r="O300" s="123">
        <f t="shared" si="62"/>
        <v>292.20853293825803</v>
      </c>
      <c r="P300" s="5"/>
      <c r="Q300" s="5">
        <f t="shared" si="58"/>
        <v>1</v>
      </c>
      <c r="R300" s="7">
        <f t="shared" si="59"/>
        <v>14512</v>
      </c>
      <c r="S300" s="5">
        <f t="shared" si="63"/>
        <v>1</v>
      </c>
      <c r="T300" s="7">
        <f t="shared" si="56"/>
        <v>14512</v>
      </c>
    </row>
    <row r="301" spans="1:20">
      <c r="A301" s="23" t="s">
        <v>328</v>
      </c>
      <c r="B301" s="35" t="s">
        <v>300</v>
      </c>
      <c r="C301" s="36">
        <v>33408</v>
      </c>
      <c r="D301" s="6"/>
      <c r="E301" s="113">
        <v>5248853924</v>
      </c>
      <c r="F301" s="116">
        <f t="shared" si="65"/>
        <v>157113.68306992337</v>
      </c>
      <c r="G301" s="117">
        <v>3783219763</v>
      </c>
      <c r="H301" s="117">
        <f t="shared" si="66"/>
        <v>113242.92872964559</v>
      </c>
      <c r="I301" s="7"/>
      <c r="J301" s="10">
        <v>8.75</v>
      </c>
      <c r="K301" s="117">
        <v>33103173</v>
      </c>
      <c r="L301" s="120">
        <f t="shared" si="64"/>
        <v>990.87562859195407</v>
      </c>
      <c r="M301" s="122">
        <f t="shared" si="60"/>
        <v>37832197.630000003</v>
      </c>
      <c r="N301" s="116">
        <f t="shared" si="61"/>
        <v>4729024.6300000027</v>
      </c>
      <c r="O301" s="123">
        <f t="shared" si="62"/>
        <v>141.553658704502</v>
      </c>
      <c r="P301" s="5"/>
      <c r="Q301" s="5">
        <f t="shared" si="58"/>
        <v>1</v>
      </c>
      <c r="R301" s="7">
        <f t="shared" si="59"/>
        <v>33408</v>
      </c>
      <c r="S301" s="5">
        <f t="shared" si="63"/>
        <v>1</v>
      </c>
      <c r="T301" s="7">
        <f t="shared" si="56"/>
        <v>33408</v>
      </c>
    </row>
    <row r="302" spans="1:20">
      <c r="A302" s="23" t="s">
        <v>329</v>
      </c>
      <c r="B302" s="35" t="s">
        <v>300</v>
      </c>
      <c r="C302" s="36">
        <v>30334</v>
      </c>
      <c r="D302" s="6"/>
      <c r="E302" s="113">
        <v>3922997761</v>
      </c>
      <c r="F302" s="116">
        <f t="shared" si="65"/>
        <v>129326.75417023801</v>
      </c>
      <c r="G302" s="117">
        <v>2537374087</v>
      </c>
      <c r="H302" s="117">
        <f t="shared" si="66"/>
        <v>83647.856761389863</v>
      </c>
      <c r="I302" s="7"/>
      <c r="J302" s="10">
        <v>2.14</v>
      </c>
      <c r="K302" s="117">
        <v>5429981</v>
      </c>
      <c r="L302" s="120">
        <f t="shared" si="64"/>
        <v>179.00642843014438</v>
      </c>
      <c r="M302" s="122">
        <f t="shared" si="60"/>
        <v>25373740.870000001</v>
      </c>
      <c r="N302" s="116">
        <f t="shared" si="61"/>
        <v>19943759.870000001</v>
      </c>
      <c r="O302" s="123">
        <f t="shared" si="62"/>
        <v>657.47213918375428</v>
      </c>
      <c r="P302" s="5"/>
      <c r="Q302" s="5">
        <f t="shared" si="58"/>
        <v>1</v>
      </c>
      <c r="R302" s="7">
        <f t="shared" si="59"/>
        <v>30334</v>
      </c>
      <c r="S302" s="5">
        <f t="shared" si="63"/>
        <v>1</v>
      </c>
      <c r="T302" s="7">
        <f t="shared" si="56"/>
        <v>30334</v>
      </c>
    </row>
    <row r="303" spans="1:20">
      <c r="A303" s="23" t="s">
        <v>330</v>
      </c>
      <c r="B303" s="35" t="s">
        <v>300</v>
      </c>
      <c r="C303" s="36">
        <v>4666</v>
      </c>
      <c r="D303" s="6"/>
      <c r="E303" s="113">
        <v>150963340</v>
      </c>
      <c r="F303" s="116">
        <f t="shared" si="65"/>
        <v>32353.909129875698</v>
      </c>
      <c r="G303" s="117">
        <v>54697468</v>
      </c>
      <c r="H303" s="117">
        <f t="shared" si="66"/>
        <v>11722.560651521646</v>
      </c>
      <c r="I303" s="7"/>
      <c r="J303" s="10">
        <v>6.3089000000000004</v>
      </c>
      <c r="K303" s="117">
        <v>345081</v>
      </c>
      <c r="L303" s="120">
        <f t="shared" si="64"/>
        <v>73.956493784826407</v>
      </c>
      <c r="M303" s="122">
        <f t="shared" si="60"/>
        <v>546974.68000000005</v>
      </c>
      <c r="N303" s="116">
        <f t="shared" si="61"/>
        <v>201893.68000000005</v>
      </c>
      <c r="O303" s="123">
        <f t="shared" si="62"/>
        <v>43.26911273039007</v>
      </c>
      <c r="P303" s="5"/>
      <c r="Q303" s="5">
        <f t="shared" si="58"/>
        <v>1</v>
      </c>
      <c r="R303" s="7">
        <f t="shared" si="59"/>
        <v>4666</v>
      </c>
      <c r="S303" s="5">
        <f t="shared" si="63"/>
        <v>1</v>
      </c>
      <c r="T303" s="7">
        <f t="shared" si="56"/>
        <v>4666</v>
      </c>
    </row>
    <row r="304" spans="1:20">
      <c r="A304" s="23" t="s">
        <v>331</v>
      </c>
      <c r="B304" s="35" t="s">
        <v>300</v>
      </c>
      <c r="C304" s="36">
        <v>1526</v>
      </c>
      <c r="D304" s="6"/>
      <c r="E304" s="113">
        <v>563032249</v>
      </c>
      <c r="F304" s="116">
        <f t="shared" si="65"/>
        <v>368959.53407601576</v>
      </c>
      <c r="G304" s="117">
        <v>432193388</v>
      </c>
      <c r="H304" s="117">
        <f t="shared" si="66"/>
        <v>283219.78243774571</v>
      </c>
      <c r="I304" s="7"/>
      <c r="J304" s="10">
        <v>6.25</v>
      </c>
      <c r="K304" s="117">
        <v>2701209</v>
      </c>
      <c r="L304" s="120">
        <f t="shared" si="64"/>
        <v>1770.1238532110092</v>
      </c>
      <c r="M304" s="122">
        <f t="shared" si="60"/>
        <v>4321933.88</v>
      </c>
      <c r="N304" s="116">
        <f t="shared" si="61"/>
        <v>1620724.88</v>
      </c>
      <c r="O304" s="123">
        <f t="shared" si="62"/>
        <v>1062.0739711664482</v>
      </c>
      <c r="P304" s="5"/>
      <c r="Q304" s="5">
        <f t="shared" si="58"/>
        <v>1</v>
      </c>
      <c r="R304" s="7">
        <f t="shared" si="59"/>
        <v>1526</v>
      </c>
      <c r="S304" s="5">
        <f t="shared" si="63"/>
        <v>1</v>
      </c>
      <c r="T304" s="7">
        <f t="shared" si="56"/>
        <v>1526</v>
      </c>
    </row>
    <row r="305" spans="1:20">
      <c r="A305" s="23" t="s">
        <v>332</v>
      </c>
      <c r="B305" s="35" t="s">
        <v>300</v>
      </c>
      <c r="C305" s="36">
        <v>5702</v>
      </c>
      <c r="D305" s="6"/>
      <c r="E305" s="113">
        <v>1455254967</v>
      </c>
      <c r="F305" s="116">
        <f t="shared" si="65"/>
        <v>255218.33865310418</v>
      </c>
      <c r="G305" s="117">
        <v>981960499</v>
      </c>
      <c r="H305" s="117">
        <f t="shared" si="66"/>
        <v>172213.34601894073</v>
      </c>
      <c r="I305" s="7"/>
      <c r="J305" s="10">
        <v>6.4980000000000002</v>
      </c>
      <c r="K305" s="117">
        <v>6380779</v>
      </c>
      <c r="L305" s="120">
        <f t="shared" si="64"/>
        <v>1119.0422658716241</v>
      </c>
      <c r="M305" s="122">
        <f t="shared" si="60"/>
        <v>9819604.9900000002</v>
      </c>
      <c r="N305" s="116">
        <f t="shared" si="61"/>
        <v>3438825.99</v>
      </c>
      <c r="O305" s="123">
        <f t="shared" si="62"/>
        <v>603.09119431778322</v>
      </c>
      <c r="P305" s="5"/>
      <c r="Q305" s="5">
        <f t="shared" si="58"/>
        <v>1</v>
      </c>
      <c r="R305" s="7">
        <f t="shared" si="59"/>
        <v>5702</v>
      </c>
      <c r="S305" s="5">
        <f t="shared" si="63"/>
        <v>1</v>
      </c>
      <c r="T305" s="7">
        <f t="shared" si="56"/>
        <v>5702</v>
      </c>
    </row>
    <row r="306" spans="1:20">
      <c r="A306" s="23" t="s">
        <v>333</v>
      </c>
      <c r="B306" s="35" t="s">
        <v>300</v>
      </c>
      <c r="C306" s="36">
        <v>55564</v>
      </c>
      <c r="D306" s="6"/>
      <c r="E306" s="113">
        <v>10252473315</v>
      </c>
      <c r="F306" s="116">
        <f t="shared" si="65"/>
        <v>184516.47316607877</v>
      </c>
      <c r="G306" s="117">
        <v>7224388157</v>
      </c>
      <c r="H306" s="117">
        <f t="shared" si="66"/>
        <v>130019.2239039666</v>
      </c>
      <c r="I306" s="7"/>
      <c r="J306" s="10">
        <v>2.7</v>
      </c>
      <c r="K306" s="117">
        <v>19505848</v>
      </c>
      <c r="L306" s="120">
        <f t="shared" si="64"/>
        <v>351.05190411057521</v>
      </c>
      <c r="M306" s="122">
        <f t="shared" si="60"/>
        <v>72243881.570000008</v>
      </c>
      <c r="N306" s="116">
        <f t="shared" si="61"/>
        <v>52738033.570000008</v>
      </c>
      <c r="O306" s="123">
        <f t="shared" si="62"/>
        <v>949.14033492909095</v>
      </c>
      <c r="P306" s="5"/>
      <c r="Q306" s="5">
        <f t="shared" si="58"/>
        <v>1</v>
      </c>
      <c r="R306" s="7">
        <f t="shared" si="59"/>
        <v>55564</v>
      </c>
      <c r="S306" s="5">
        <f t="shared" si="63"/>
        <v>1</v>
      </c>
      <c r="T306" s="7">
        <f t="shared" si="56"/>
        <v>55564</v>
      </c>
    </row>
    <row r="307" spans="1:20">
      <c r="A307" s="23" t="s">
        <v>334</v>
      </c>
      <c r="B307" s="35" t="s">
        <v>300</v>
      </c>
      <c r="C307" s="36">
        <v>107617</v>
      </c>
      <c r="D307" s="6"/>
      <c r="E307" s="113">
        <v>17023994097</v>
      </c>
      <c r="F307" s="116">
        <f t="shared" si="65"/>
        <v>158190.56558907978</v>
      </c>
      <c r="G307" s="117">
        <v>12009022188</v>
      </c>
      <c r="H307" s="117">
        <f t="shared" si="66"/>
        <v>111590.3824488696</v>
      </c>
      <c r="I307" s="7"/>
      <c r="J307" s="10">
        <v>7.85</v>
      </c>
      <c r="K307" s="117">
        <v>94270824</v>
      </c>
      <c r="L307" s="120">
        <f t="shared" si="64"/>
        <v>875.98450059005552</v>
      </c>
      <c r="M307" s="122">
        <f t="shared" si="60"/>
        <v>120090221.88</v>
      </c>
      <c r="N307" s="116">
        <f t="shared" si="61"/>
        <v>25819397.879999995</v>
      </c>
      <c r="O307" s="123">
        <f t="shared" si="62"/>
        <v>239.9193238986405</v>
      </c>
      <c r="P307" s="5"/>
      <c r="Q307" s="5">
        <f t="shared" si="58"/>
        <v>1</v>
      </c>
      <c r="R307" s="7">
        <f t="shared" si="59"/>
        <v>107617</v>
      </c>
      <c r="S307" s="5">
        <f t="shared" si="63"/>
        <v>1</v>
      </c>
      <c r="T307" s="7">
        <f t="shared" si="56"/>
        <v>107617</v>
      </c>
    </row>
    <row r="308" spans="1:20">
      <c r="A308" s="23" t="s">
        <v>335</v>
      </c>
      <c r="B308" s="35" t="s">
        <v>336</v>
      </c>
      <c r="C308" s="36">
        <v>6856</v>
      </c>
      <c r="D308" s="6"/>
      <c r="E308" s="113">
        <v>543817567</v>
      </c>
      <c r="F308" s="116">
        <f t="shared" si="65"/>
        <v>79319.948512252042</v>
      </c>
      <c r="G308" s="117">
        <v>290403509</v>
      </c>
      <c r="H308" s="117">
        <f t="shared" si="66"/>
        <v>42357.571324387398</v>
      </c>
      <c r="I308" s="7"/>
      <c r="J308" s="10">
        <v>7.84</v>
      </c>
      <c r="K308" s="117">
        <v>2276764</v>
      </c>
      <c r="L308" s="120">
        <f t="shared" si="64"/>
        <v>332.08343057176194</v>
      </c>
      <c r="M308" s="122">
        <f t="shared" si="60"/>
        <v>2904035.09</v>
      </c>
      <c r="N308" s="116">
        <f t="shared" si="61"/>
        <v>627271.08999999985</v>
      </c>
      <c r="O308" s="123">
        <f t="shared" si="62"/>
        <v>91.492282672111997</v>
      </c>
      <c r="P308" s="5"/>
      <c r="Q308" s="5">
        <f t="shared" si="58"/>
        <v>1</v>
      </c>
      <c r="R308" s="7">
        <f t="shared" si="59"/>
        <v>6856</v>
      </c>
      <c r="S308" s="5">
        <f t="shared" si="63"/>
        <v>1</v>
      </c>
      <c r="T308" s="7">
        <f t="shared" si="56"/>
        <v>6856</v>
      </c>
    </row>
    <row r="309" spans="1:20">
      <c r="A309" s="23" t="s">
        <v>337</v>
      </c>
      <c r="B309" s="35" t="s">
        <v>336</v>
      </c>
      <c r="C309" s="36">
        <v>16645</v>
      </c>
      <c r="D309" s="6"/>
      <c r="E309" s="113">
        <v>1307304904</v>
      </c>
      <c r="F309" s="116">
        <f t="shared" si="65"/>
        <v>78540.396755782524</v>
      </c>
      <c r="G309" s="117">
        <v>862688185</v>
      </c>
      <c r="H309" s="117">
        <f t="shared" si="66"/>
        <v>51828.668368879546</v>
      </c>
      <c r="I309" s="7"/>
      <c r="J309" s="10">
        <v>7</v>
      </c>
      <c r="K309" s="117">
        <v>6038817</v>
      </c>
      <c r="L309" s="120">
        <f t="shared" si="64"/>
        <v>362.80066085911687</v>
      </c>
      <c r="M309" s="122">
        <f t="shared" si="60"/>
        <v>8626881.8499999996</v>
      </c>
      <c r="N309" s="116">
        <f t="shared" si="61"/>
        <v>2588064.8499999996</v>
      </c>
      <c r="O309" s="123">
        <f t="shared" si="62"/>
        <v>155.48602282967855</v>
      </c>
      <c r="P309" s="5"/>
      <c r="Q309" s="5">
        <f t="shared" si="58"/>
        <v>1</v>
      </c>
      <c r="R309" s="7">
        <f t="shared" si="59"/>
        <v>16645</v>
      </c>
      <c r="S309" s="5">
        <f t="shared" si="63"/>
        <v>1</v>
      </c>
      <c r="T309" s="7">
        <f t="shared" si="56"/>
        <v>16645</v>
      </c>
    </row>
    <row r="310" spans="1:20">
      <c r="A310" s="23" t="s">
        <v>338</v>
      </c>
      <c r="B310" s="35" t="s">
        <v>336</v>
      </c>
      <c r="C310" s="36">
        <v>3205</v>
      </c>
      <c r="D310" s="6"/>
      <c r="E310" s="113">
        <v>492425791</v>
      </c>
      <c r="F310" s="116">
        <f t="shared" si="65"/>
        <v>153642.99251170046</v>
      </c>
      <c r="G310" s="117">
        <v>376046116</v>
      </c>
      <c r="H310" s="117">
        <f t="shared" si="66"/>
        <v>117331.08143525741</v>
      </c>
      <c r="I310" s="7"/>
      <c r="J310" s="10">
        <v>4.7</v>
      </c>
      <c r="K310" s="117">
        <v>1767417</v>
      </c>
      <c r="L310" s="120">
        <f t="shared" si="64"/>
        <v>551.45616224648984</v>
      </c>
      <c r="M310" s="122">
        <f t="shared" si="60"/>
        <v>3760461.16</v>
      </c>
      <c r="N310" s="116">
        <f t="shared" si="61"/>
        <v>1993044.1600000001</v>
      </c>
      <c r="O310" s="123">
        <f t="shared" si="62"/>
        <v>621.85465210608425</v>
      </c>
      <c r="P310" s="5"/>
      <c r="Q310" s="5">
        <f t="shared" si="58"/>
        <v>1</v>
      </c>
      <c r="R310" s="7">
        <f t="shared" si="59"/>
        <v>3205</v>
      </c>
      <c r="S310" s="5">
        <f t="shared" si="63"/>
        <v>1</v>
      </c>
      <c r="T310" s="7">
        <f t="shared" si="56"/>
        <v>3205</v>
      </c>
    </row>
    <row r="311" spans="1:20">
      <c r="A311" s="23" t="s">
        <v>339</v>
      </c>
      <c r="B311" s="35" t="s">
        <v>336</v>
      </c>
      <c r="C311" s="36">
        <v>948</v>
      </c>
      <c r="D311" s="6"/>
      <c r="E311" s="113">
        <v>102490541</v>
      </c>
      <c r="F311" s="116">
        <f t="shared" si="65"/>
        <v>108112.38502109704</v>
      </c>
      <c r="G311" s="117">
        <v>58050300</v>
      </c>
      <c r="H311" s="117">
        <f t="shared" si="66"/>
        <v>61234.493670886077</v>
      </c>
      <c r="I311" s="7"/>
      <c r="J311" s="10">
        <v>2.4155000000000002</v>
      </c>
      <c r="K311" s="117">
        <v>140220</v>
      </c>
      <c r="L311" s="120">
        <f t="shared" ref="L311:L342" si="67">(K311/C311)</f>
        <v>147.91139240506328</v>
      </c>
      <c r="M311" s="122">
        <f t="shared" si="60"/>
        <v>580503</v>
      </c>
      <c r="N311" s="116">
        <f t="shared" si="61"/>
        <v>440283</v>
      </c>
      <c r="O311" s="123">
        <f t="shared" si="62"/>
        <v>464.43354430379748</v>
      </c>
      <c r="P311" s="5"/>
      <c r="Q311" s="5">
        <f t="shared" si="58"/>
        <v>1</v>
      </c>
      <c r="R311" s="7">
        <f t="shared" si="59"/>
        <v>948</v>
      </c>
      <c r="S311" s="5">
        <f t="shared" si="63"/>
        <v>1</v>
      </c>
      <c r="T311" s="7">
        <f t="shared" si="56"/>
        <v>948</v>
      </c>
    </row>
    <row r="312" spans="1:20">
      <c r="A312" s="23" t="s">
        <v>547</v>
      </c>
      <c r="B312" s="35" t="s">
        <v>336</v>
      </c>
      <c r="C312" s="36">
        <v>1250</v>
      </c>
      <c r="D312" s="6"/>
      <c r="E312" s="113">
        <v>97163547</v>
      </c>
      <c r="F312" s="116">
        <f t="shared" si="65"/>
        <v>77730.837599999999</v>
      </c>
      <c r="G312" s="117">
        <v>43919502</v>
      </c>
      <c r="H312" s="117">
        <f t="shared" si="66"/>
        <v>35135.601600000002</v>
      </c>
      <c r="I312" s="7"/>
      <c r="J312" s="10">
        <v>1.5</v>
      </c>
      <c r="K312" s="117">
        <v>65879</v>
      </c>
      <c r="L312" s="120">
        <f t="shared" si="67"/>
        <v>52.703200000000002</v>
      </c>
      <c r="M312" s="122">
        <f t="shared" si="60"/>
        <v>439195.02</v>
      </c>
      <c r="N312" s="116">
        <f t="shared" si="61"/>
        <v>373316.02</v>
      </c>
      <c r="O312" s="123">
        <f t="shared" si="62"/>
        <v>298.65281600000003</v>
      </c>
      <c r="P312" s="5"/>
      <c r="Q312" s="5">
        <f t="shared" si="58"/>
        <v>1</v>
      </c>
      <c r="R312" s="7">
        <f t="shared" si="59"/>
        <v>1250</v>
      </c>
      <c r="S312" s="5">
        <f t="shared" si="63"/>
        <v>1</v>
      </c>
      <c r="T312" s="7">
        <f t="shared" si="56"/>
        <v>1250</v>
      </c>
    </row>
    <row r="313" spans="1:20">
      <c r="A313" s="23" t="s">
        <v>340</v>
      </c>
      <c r="B313" s="35" t="s">
        <v>336</v>
      </c>
      <c r="C313" s="36">
        <v>12579</v>
      </c>
      <c r="D313" s="6"/>
      <c r="E313" s="113">
        <v>1099577155</v>
      </c>
      <c r="F313" s="116">
        <f t="shared" si="65"/>
        <v>87413.717704110022</v>
      </c>
      <c r="G313" s="117">
        <v>708547851</v>
      </c>
      <c r="H313" s="117">
        <f t="shared" si="66"/>
        <v>56327.836155497258</v>
      </c>
      <c r="I313" s="7"/>
      <c r="J313" s="10">
        <v>6.42</v>
      </c>
      <c r="K313" s="117">
        <v>4548877</v>
      </c>
      <c r="L313" s="120">
        <f t="shared" si="67"/>
        <v>361.62469194689561</v>
      </c>
      <c r="M313" s="122">
        <f t="shared" si="60"/>
        <v>7085478.5099999998</v>
      </c>
      <c r="N313" s="116">
        <f t="shared" si="61"/>
        <v>2536601.5099999998</v>
      </c>
      <c r="O313" s="123">
        <f t="shared" si="62"/>
        <v>201.65366960807694</v>
      </c>
      <c r="P313" s="5"/>
      <c r="Q313" s="5">
        <f t="shared" si="58"/>
        <v>1</v>
      </c>
      <c r="R313" s="7">
        <f t="shared" si="59"/>
        <v>12579</v>
      </c>
      <c r="S313" s="5">
        <f t="shared" si="63"/>
        <v>1</v>
      </c>
      <c r="T313" s="7">
        <f t="shared" si="56"/>
        <v>12579</v>
      </c>
    </row>
    <row r="314" spans="1:20">
      <c r="A314" s="23" t="s">
        <v>341</v>
      </c>
      <c r="B314" s="35" t="s">
        <v>342</v>
      </c>
      <c r="C314" s="36">
        <v>4144</v>
      </c>
      <c r="D314" s="6"/>
      <c r="E314" s="113">
        <v>1205071660</v>
      </c>
      <c r="F314" s="116">
        <f t="shared" si="65"/>
        <v>290799.14575289574</v>
      </c>
      <c r="G314" s="117">
        <v>800668388</v>
      </c>
      <c r="H314" s="117">
        <f t="shared" si="66"/>
        <v>193211.48359073358</v>
      </c>
      <c r="I314" s="7"/>
      <c r="J314" s="10">
        <v>4.6388999999999996</v>
      </c>
      <c r="K314" s="117">
        <v>3714221</v>
      </c>
      <c r="L314" s="120">
        <f t="shared" si="67"/>
        <v>896.28885135135135</v>
      </c>
      <c r="M314" s="122">
        <f t="shared" si="60"/>
        <v>8006683.8799999999</v>
      </c>
      <c r="N314" s="116">
        <f t="shared" si="61"/>
        <v>4292462.88</v>
      </c>
      <c r="O314" s="123">
        <f t="shared" si="62"/>
        <v>1035.8259845559846</v>
      </c>
      <c r="P314" s="5"/>
      <c r="Q314" s="5">
        <f t="shared" si="58"/>
        <v>1</v>
      </c>
      <c r="R314" s="7">
        <f t="shared" si="59"/>
        <v>4144</v>
      </c>
      <c r="S314" s="5">
        <f t="shared" si="63"/>
        <v>1</v>
      </c>
      <c r="T314" s="7">
        <f t="shared" si="56"/>
        <v>4144</v>
      </c>
    </row>
    <row r="315" spans="1:20">
      <c r="A315" s="23" t="s">
        <v>343</v>
      </c>
      <c r="B315" s="35" t="s">
        <v>342</v>
      </c>
      <c r="C315" s="36">
        <v>1619</v>
      </c>
      <c r="D315" s="6"/>
      <c r="E315" s="113">
        <v>766555150</v>
      </c>
      <c r="F315" s="116">
        <f t="shared" si="65"/>
        <v>473474.45954292774</v>
      </c>
      <c r="G315" s="117">
        <v>519954139</v>
      </c>
      <c r="H315" s="117">
        <f t="shared" si="66"/>
        <v>321157.59048795555</v>
      </c>
      <c r="I315" s="7"/>
      <c r="J315" s="10">
        <v>2.31</v>
      </c>
      <c r="K315" s="117">
        <v>1201094</v>
      </c>
      <c r="L315" s="120">
        <f t="shared" si="67"/>
        <v>741.87399629400863</v>
      </c>
      <c r="M315" s="122">
        <f t="shared" si="60"/>
        <v>5199541.3899999997</v>
      </c>
      <c r="N315" s="116">
        <f t="shared" si="61"/>
        <v>3998447.3899999997</v>
      </c>
      <c r="O315" s="123">
        <f t="shared" si="62"/>
        <v>2469.7019085855463</v>
      </c>
      <c r="P315" s="5"/>
      <c r="Q315" s="5">
        <f t="shared" si="58"/>
        <v>1</v>
      </c>
      <c r="R315" s="7">
        <f t="shared" si="59"/>
        <v>1619</v>
      </c>
      <c r="S315" s="5">
        <f t="shared" si="63"/>
        <v>1</v>
      </c>
      <c r="T315" s="7">
        <f t="shared" si="56"/>
        <v>1619</v>
      </c>
    </row>
    <row r="316" spans="1:20">
      <c r="A316" s="23" t="s">
        <v>344</v>
      </c>
      <c r="B316" s="35" t="s">
        <v>342</v>
      </c>
      <c r="C316" s="36">
        <v>2232</v>
      </c>
      <c r="D316" s="6"/>
      <c r="E316" s="113">
        <v>354292980</v>
      </c>
      <c r="F316" s="116">
        <f t="shared" si="65"/>
        <v>158733.41397849462</v>
      </c>
      <c r="G316" s="117">
        <v>237111663</v>
      </c>
      <c r="H316" s="117">
        <f t="shared" si="66"/>
        <v>106232.82392473119</v>
      </c>
      <c r="I316" s="7"/>
      <c r="J316" s="10">
        <v>4.3499999999999996</v>
      </c>
      <c r="K316" s="117">
        <v>1031436</v>
      </c>
      <c r="L316" s="120">
        <f t="shared" si="67"/>
        <v>462.11290322580646</v>
      </c>
      <c r="M316" s="122">
        <f t="shared" si="60"/>
        <v>2371116.63</v>
      </c>
      <c r="N316" s="116">
        <f t="shared" si="61"/>
        <v>1339680.6299999999</v>
      </c>
      <c r="O316" s="123">
        <f t="shared" si="62"/>
        <v>600.21533602150532</v>
      </c>
      <c r="P316" s="5"/>
      <c r="Q316" s="5">
        <f t="shared" si="58"/>
        <v>1</v>
      </c>
      <c r="R316" s="7">
        <f t="shared" si="59"/>
        <v>2232</v>
      </c>
      <c r="S316" s="5">
        <f t="shared" si="63"/>
        <v>1</v>
      </c>
      <c r="T316" s="7">
        <f t="shared" si="56"/>
        <v>2232</v>
      </c>
    </row>
    <row r="317" spans="1:20">
      <c r="A317" s="23" t="s">
        <v>345</v>
      </c>
      <c r="B317" s="35" t="s">
        <v>342</v>
      </c>
      <c r="C317" s="36">
        <v>71</v>
      </c>
      <c r="D317" s="6"/>
      <c r="E317" s="113">
        <v>203924340</v>
      </c>
      <c r="F317" s="116">
        <f t="shared" si="65"/>
        <v>2872173.8028169014</v>
      </c>
      <c r="G317" s="117">
        <v>127025868</v>
      </c>
      <c r="H317" s="117">
        <f t="shared" si="66"/>
        <v>1789096.7323943663</v>
      </c>
      <c r="I317" s="7"/>
      <c r="J317" s="10">
        <v>0.51639999999999997</v>
      </c>
      <c r="K317" s="117">
        <v>65596</v>
      </c>
      <c r="L317" s="120">
        <f t="shared" si="67"/>
        <v>923.88732394366195</v>
      </c>
      <c r="M317" s="122">
        <f t="shared" si="60"/>
        <v>1270258.68</v>
      </c>
      <c r="N317" s="116">
        <f t="shared" si="61"/>
        <v>1204662.68</v>
      </c>
      <c r="O317" s="123">
        <f t="shared" si="62"/>
        <v>16967.079999999998</v>
      </c>
      <c r="P317" s="5"/>
      <c r="Q317" s="5">
        <f t="shared" si="58"/>
        <v>1</v>
      </c>
      <c r="R317" s="7">
        <f t="shared" si="59"/>
        <v>71</v>
      </c>
      <c r="S317" s="5">
        <f t="shared" si="63"/>
        <v>1</v>
      </c>
      <c r="T317" s="7">
        <f t="shared" si="56"/>
        <v>71</v>
      </c>
    </row>
    <row r="318" spans="1:20">
      <c r="A318" s="23" t="s">
        <v>346</v>
      </c>
      <c r="B318" s="35" t="s">
        <v>342</v>
      </c>
      <c r="C318" s="36">
        <v>110602</v>
      </c>
      <c r="D318" s="6"/>
      <c r="E318" s="113">
        <v>15647109972</v>
      </c>
      <c r="F318" s="116">
        <f t="shared" si="65"/>
        <v>141472.21543914214</v>
      </c>
      <c r="G318" s="117">
        <v>10658106132</v>
      </c>
      <c r="H318" s="117">
        <f t="shared" si="66"/>
        <v>96364.497314695938</v>
      </c>
      <c r="I318" s="7"/>
      <c r="J318" s="10">
        <v>5.2088000000000001</v>
      </c>
      <c r="K318" s="117">
        <v>55515943</v>
      </c>
      <c r="L318" s="120">
        <f t="shared" si="67"/>
        <v>501.94339162040467</v>
      </c>
      <c r="M318" s="122">
        <f t="shared" si="60"/>
        <v>106581061.32000001</v>
      </c>
      <c r="N318" s="116">
        <f t="shared" si="61"/>
        <v>51065118.320000008</v>
      </c>
      <c r="O318" s="123">
        <f t="shared" si="62"/>
        <v>461.70158152655472</v>
      </c>
      <c r="P318" s="5"/>
      <c r="Q318" s="5">
        <f t="shared" si="58"/>
        <v>1</v>
      </c>
      <c r="R318" s="7">
        <f t="shared" si="59"/>
        <v>110602</v>
      </c>
      <c r="S318" s="5">
        <f t="shared" si="63"/>
        <v>1</v>
      </c>
      <c r="T318" s="7">
        <f t="shared" si="56"/>
        <v>110602</v>
      </c>
    </row>
    <row r="319" spans="1:20">
      <c r="A319" s="23" t="s">
        <v>347</v>
      </c>
      <c r="B319" s="35" t="s">
        <v>342</v>
      </c>
      <c r="C319" s="36">
        <v>37574</v>
      </c>
      <c r="D319" s="6"/>
      <c r="E319" s="113">
        <v>3955414190</v>
      </c>
      <c r="F319" s="116">
        <f t="shared" si="65"/>
        <v>105269.97897482301</v>
      </c>
      <c r="G319" s="117">
        <v>2345182207</v>
      </c>
      <c r="H319" s="117">
        <f t="shared" si="66"/>
        <v>62415.026534305638</v>
      </c>
      <c r="I319" s="7"/>
      <c r="J319" s="10">
        <v>4.0933999999999999</v>
      </c>
      <c r="K319" s="117">
        <v>9599769</v>
      </c>
      <c r="L319" s="120">
        <f t="shared" si="67"/>
        <v>255.48967371054454</v>
      </c>
      <c r="M319" s="122">
        <f t="shared" si="60"/>
        <v>23451822.07</v>
      </c>
      <c r="N319" s="116">
        <f t="shared" si="61"/>
        <v>13852053.07</v>
      </c>
      <c r="O319" s="123">
        <f t="shared" si="62"/>
        <v>368.66059163251185</v>
      </c>
      <c r="P319" s="5"/>
      <c r="Q319" s="5">
        <f t="shared" si="58"/>
        <v>1</v>
      </c>
      <c r="R319" s="7">
        <f t="shared" si="59"/>
        <v>37574</v>
      </c>
      <c r="S319" s="5">
        <f t="shared" si="63"/>
        <v>1</v>
      </c>
      <c r="T319" s="7">
        <f t="shared" si="56"/>
        <v>37574</v>
      </c>
    </row>
    <row r="320" spans="1:20">
      <c r="A320" s="23" t="s">
        <v>348</v>
      </c>
      <c r="B320" s="35" t="s">
        <v>342</v>
      </c>
      <c r="C320" s="36">
        <v>12935</v>
      </c>
      <c r="D320" s="6"/>
      <c r="E320" s="113">
        <v>1557025120</v>
      </c>
      <c r="F320" s="116">
        <f t="shared" si="65"/>
        <v>120373.02821801315</v>
      </c>
      <c r="G320" s="117">
        <v>949203346</v>
      </c>
      <c r="H320" s="117">
        <f t="shared" si="66"/>
        <v>73382.554773869342</v>
      </c>
      <c r="I320" s="7"/>
      <c r="J320" s="10">
        <v>3.87</v>
      </c>
      <c r="K320" s="117">
        <v>3673417</v>
      </c>
      <c r="L320" s="120">
        <f t="shared" si="67"/>
        <v>283.99049091611903</v>
      </c>
      <c r="M320" s="122">
        <f t="shared" si="60"/>
        <v>9492033.4600000009</v>
      </c>
      <c r="N320" s="116">
        <f t="shared" si="61"/>
        <v>5818616.4600000009</v>
      </c>
      <c r="O320" s="123">
        <f t="shared" si="62"/>
        <v>449.83505682257447</v>
      </c>
      <c r="P320" s="5"/>
      <c r="Q320" s="5">
        <f t="shared" si="58"/>
        <v>1</v>
      </c>
      <c r="R320" s="7">
        <f t="shared" si="59"/>
        <v>12935</v>
      </c>
      <c r="S320" s="5">
        <f t="shared" si="63"/>
        <v>1</v>
      </c>
      <c r="T320" s="7">
        <f t="shared" si="56"/>
        <v>12935</v>
      </c>
    </row>
    <row r="321" spans="1:20">
      <c r="A321" s="23" t="s">
        <v>349</v>
      </c>
      <c r="B321" s="35" t="s">
        <v>342</v>
      </c>
      <c r="C321" s="36">
        <v>5345</v>
      </c>
      <c r="D321" s="6"/>
      <c r="E321" s="113">
        <v>1590938240</v>
      </c>
      <c r="F321" s="116">
        <f t="shared" si="65"/>
        <v>297649.8110383536</v>
      </c>
      <c r="G321" s="117">
        <v>1195713568</v>
      </c>
      <c r="H321" s="117">
        <f t="shared" si="66"/>
        <v>223706.93507951355</v>
      </c>
      <c r="I321" s="7"/>
      <c r="J321" s="10">
        <v>1.52</v>
      </c>
      <c r="K321" s="117">
        <v>1817485</v>
      </c>
      <c r="L321" s="120">
        <f t="shared" si="67"/>
        <v>340.03461178671654</v>
      </c>
      <c r="M321" s="122">
        <f t="shared" si="60"/>
        <v>11957135.68</v>
      </c>
      <c r="N321" s="116">
        <f t="shared" si="61"/>
        <v>10139650.68</v>
      </c>
      <c r="O321" s="123">
        <f t="shared" si="62"/>
        <v>1897.0347390084191</v>
      </c>
      <c r="P321" s="5"/>
      <c r="Q321" s="5">
        <f t="shared" si="58"/>
        <v>1</v>
      </c>
      <c r="R321" s="7">
        <f t="shared" si="59"/>
        <v>5345</v>
      </c>
      <c r="S321" s="5">
        <f t="shared" si="63"/>
        <v>1</v>
      </c>
      <c r="T321" s="7">
        <f t="shared" si="56"/>
        <v>5345</v>
      </c>
    </row>
    <row r="322" spans="1:20">
      <c r="A322" s="23" t="s">
        <v>350</v>
      </c>
      <c r="B322" s="35" t="s">
        <v>342</v>
      </c>
      <c r="C322" s="36">
        <v>1803</v>
      </c>
      <c r="D322" s="6"/>
      <c r="E322" s="113">
        <v>1246528930</v>
      </c>
      <c r="F322" s="116">
        <f t="shared" si="65"/>
        <v>691363.79922351637</v>
      </c>
      <c r="G322" s="117">
        <v>1071158885</v>
      </c>
      <c r="H322" s="117">
        <f t="shared" si="66"/>
        <v>594098.10593455355</v>
      </c>
      <c r="I322" s="7"/>
      <c r="J322" s="10">
        <v>1.67</v>
      </c>
      <c r="K322" s="117">
        <v>1788835</v>
      </c>
      <c r="L322" s="120">
        <f t="shared" si="67"/>
        <v>992.14364947310037</v>
      </c>
      <c r="M322" s="122">
        <f t="shared" si="60"/>
        <v>10711588.85</v>
      </c>
      <c r="N322" s="116">
        <f t="shared" si="61"/>
        <v>8922753.8499999996</v>
      </c>
      <c r="O322" s="123">
        <f t="shared" si="62"/>
        <v>4948.8374098724344</v>
      </c>
      <c r="P322" s="5"/>
      <c r="Q322" s="5">
        <f t="shared" si="58"/>
        <v>1</v>
      </c>
      <c r="R322" s="7">
        <f t="shared" si="59"/>
        <v>1803</v>
      </c>
      <c r="S322" s="5">
        <f t="shared" si="63"/>
        <v>1</v>
      </c>
      <c r="T322" s="7">
        <f t="shared" si="56"/>
        <v>1803</v>
      </c>
    </row>
    <row r="323" spans="1:20">
      <c r="A323" s="23" t="s">
        <v>351</v>
      </c>
      <c r="B323" s="35" t="s">
        <v>342</v>
      </c>
      <c r="C323" s="36">
        <v>4551</v>
      </c>
      <c r="D323" s="6"/>
      <c r="E323" s="113">
        <v>290372720</v>
      </c>
      <c r="F323" s="116">
        <f t="shared" si="65"/>
        <v>63804.157328059766</v>
      </c>
      <c r="G323" s="117">
        <v>170431716</v>
      </c>
      <c r="H323" s="117">
        <f t="shared" si="66"/>
        <v>37449.289386947923</v>
      </c>
      <c r="I323" s="7"/>
      <c r="J323" s="10">
        <v>3.754</v>
      </c>
      <c r="K323" s="117">
        <v>639801</v>
      </c>
      <c r="L323" s="120">
        <f t="shared" si="67"/>
        <v>140.58470665787738</v>
      </c>
      <c r="M323" s="122">
        <f t="shared" si="60"/>
        <v>1704317.1600000001</v>
      </c>
      <c r="N323" s="116">
        <f t="shared" si="61"/>
        <v>1064516.1600000001</v>
      </c>
      <c r="O323" s="123">
        <f t="shared" si="62"/>
        <v>233.90818721160187</v>
      </c>
      <c r="P323" s="5"/>
      <c r="Q323" s="5">
        <f t="shared" si="58"/>
        <v>1</v>
      </c>
      <c r="R323" s="7">
        <f t="shared" si="59"/>
        <v>4551</v>
      </c>
      <c r="S323" s="5">
        <f t="shared" si="63"/>
        <v>1</v>
      </c>
      <c r="T323" s="7">
        <f t="shared" si="56"/>
        <v>4551</v>
      </c>
    </row>
    <row r="324" spans="1:20">
      <c r="A324" s="23" t="s">
        <v>352</v>
      </c>
      <c r="B324" s="35" t="s">
        <v>342</v>
      </c>
      <c r="C324" s="36">
        <v>75850</v>
      </c>
      <c r="D324" s="6"/>
      <c r="E324" s="113">
        <v>6320456804</v>
      </c>
      <c r="F324" s="116">
        <f t="shared" si="65"/>
        <v>83328.369202373098</v>
      </c>
      <c r="G324" s="117">
        <v>4377661325</v>
      </c>
      <c r="H324" s="117">
        <f t="shared" si="66"/>
        <v>57714.717534607778</v>
      </c>
      <c r="I324" s="7"/>
      <c r="J324" s="10">
        <v>4.2758000000000003</v>
      </c>
      <c r="K324" s="117">
        <v>18718004</v>
      </c>
      <c r="L324" s="120">
        <f t="shared" si="67"/>
        <v>246.77658536585366</v>
      </c>
      <c r="M324" s="122">
        <f t="shared" si="60"/>
        <v>43776613.25</v>
      </c>
      <c r="N324" s="116">
        <f t="shared" si="61"/>
        <v>25058609.25</v>
      </c>
      <c r="O324" s="123">
        <f t="shared" si="62"/>
        <v>330.37058998022411</v>
      </c>
      <c r="P324" s="5"/>
      <c r="Q324" s="5">
        <f t="shared" si="58"/>
        <v>1</v>
      </c>
      <c r="R324" s="7">
        <f t="shared" si="59"/>
        <v>75850</v>
      </c>
      <c r="S324" s="5">
        <f t="shared" si="63"/>
        <v>1</v>
      </c>
      <c r="T324" s="7">
        <f t="shared" si="56"/>
        <v>75850</v>
      </c>
    </row>
    <row r="325" spans="1:20">
      <c r="A325" s="23" t="s">
        <v>353</v>
      </c>
      <c r="B325" s="35" t="s">
        <v>342</v>
      </c>
      <c r="C325" s="36">
        <v>4514</v>
      </c>
      <c r="D325" s="6"/>
      <c r="E325" s="113">
        <v>1720323120</v>
      </c>
      <c r="F325" s="116">
        <f t="shared" si="65"/>
        <v>381108.35622507753</v>
      </c>
      <c r="G325" s="117">
        <v>1311894603</v>
      </c>
      <c r="H325" s="117">
        <f t="shared" si="66"/>
        <v>290627.9581302614</v>
      </c>
      <c r="I325" s="7"/>
      <c r="J325" s="10">
        <v>1.9</v>
      </c>
      <c r="K325" s="117">
        <v>2492600</v>
      </c>
      <c r="L325" s="120">
        <f t="shared" si="67"/>
        <v>552.19317678334073</v>
      </c>
      <c r="M325" s="122">
        <f t="shared" si="60"/>
        <v>13118946.030000001</v>
      </c>
      <c r="N325" s="116">
        <f t="shared" si="61"/>
        <v>10626346.030000001</v>
      </c>
      <c r="O325" s="123">
        <f t="shared" si="62"/>
        <v>2354.0864045192739</v>
      </c>
      <c r="P325" s="5"/>
      <c r="Q325" s="5">
        <f t="shared" si="58"/>
        <v>1</v>
      </c>
      <c r="R325" s="7">
        <f t="shared" si="59"/>
        <v>4514</v>
      </c>
      <c r="S325" s="5">
        <f t="shared" si="63"/>
        <v>1</v>
      </c>
      <c r="T325" s="7">
        <f t="shared" si="56"/>
        <v>4514</v>
      </c>
    </row>
    <row r="326" spans="1:20">
      <c r="A326" s="23" t="s">
        <v>354</v>
      </c>
      <c r="B326" s="35" t="s">
        <v>342</v>
      </c>
      <c r="C326" s="36">
        <v>1509</v>
      </c>
      <c r="D326" s="6"/>
      <c r="E326" s="113">
        <v>668576640</v>
      </c>
      <c r="F326" s="116">
        <f t="shared" si="65"/>
        <v>443059.40357852884</v>
      </c>
      <c r="G326" s="117">
        <v>525785291</v>
      </c>
      <c r="H326" s="117">
        <f t="shared" si="66"/>
        <v>348432.92975480453</v>
      </c>
      <c r="I326" s="7"/>
      <c r="J326" s="10">
        <v>0.82520000000000004</v>
      </c>
      <c r="K326" s="117">
        <v>433878</v>
      </c>
      <c r="L326" s="120">
        <f t="shared" si="67"/>
        <v>287.52683896620277</v>
      </c>
      <c r="M326" s="122">
        <f t="shared" si="60"/>
        <v>5257852.91</v>
      </c>
      <c r="N326" s="116">
        <f t="shared" si="61"/>
        <v>4823974.91</v>
      </c>
      <c r="O326" s="123">
        <f t="shared" si="62"/>
        <v>3196.8024585818425</v>
      </c>
      <c r="P326" s="5"/>
      <c r="Q326" s="5">
        <f t="shared" si="58"/>
        <v>1</v>
      </c>
      <c r="R326" s="7">
        <f t="shared" si="59"/>
        <v>1509</v>
      </c>
      <c r="S326" s="5">
        <f t="shared" si="63"/>
        <v>1</v>
      </c>
      <c r="T326" s="7">
        <f t="shared" ref="T326:T389" si="68">IF(J326&gt;0,C326,0)</f>
        <v>1509</v>
      </c>
    </row>
    <row r="327" spans="1:20">
      <c r="A327" s="23" t="s">
        <v>355</v>
      </c>
      <c r="B327" s="35" t="s">
        <v>342</v>
      </c>
      <c r="C327" s="36">
        <v>13829</v>
      </c>
      <c r="D327" s="6"/>
      <c r="E327" s="113">
        <v>1749901001</v>
      </c>
      <c r="F327" s="116">
        <f t="shared" si="65"/>
        <v>126538.50611034782</v>
      </c>
      <c r="G327" s="117">
        <v>1265941691</v>
      </c>
      <c r="H327" s="117">
        <f t="shared" si="66"/>
        <v>91542.5331549642</v>
      </c>
      <c r="I327" s="7"/>
      <c r="J327" s="10">
        <v>4.5999999999999996</v>
      </c>
      <c r="K327" s="117">
        <v>5823332</v>
      </c>
      <c r="L327" s="120">
        <f t="shared" si="67"/>
        <v>421.09566852266977</v>
      </c>
      <c r="M327" s="122">
        <f t="shared" si="60"/>
        <v>12659416.91</v>
      </c>
      <c r="N327" s="116">
        <f t="shared" si="61"/>
        <v>6836084.9100000001</v>
      </c>
      <c r="O327" s="123">
        <f t="shared" si="62"/>
        <v>494.3296630269723</v>
      </c>
      <c r="P327" s="5"/>
      <c r="Q327" s="5">
        <f t="shared" ref="Q327:Q390" si="69">IF(E327&gt;0,1,0)</f>
        <v>1</v>
      </c>
      <c r="R327" s="7">
        <f t="shared" ref="R327:R390" si="70">IF(E327&gt;0,C327,0)</f>
        <v>13829</v>
      </c>
      <c r="S327" s="5">
        <f t="shared" si="63"/>
        <v>1</v>
      </c>
      <c r="T327" s="7">
        <f t="shared" si="68"/>
        <v>13829</v>
      </c>
    </row>
    <row r="328" spans="1:20">
      <c r="A328" s="23" t="s">
        <v>356</v>
      </c>
      <c r="B328" s="35" t="s">
        <v>342</v>
      </c>
      <c r="C328" s="36">
        <v>48835</v>
      </c>
      <c r="D328" s="6"/>
      <c r="E328" s="113">
        <v>4965590308</v>
      </c>
      <c r="F328" s="116">
        <f t="shared" si="65"/>
        <v>101680.97282686598</v>
      </c>
      <c r="G328" s="117">
        <v>3466701506</v>
      </c>
      <c r="H328" s="117">
        <f t="shared" si="66"/>
        <v>70988.051725197089</v>
      </c>
      <c r="I328" s="7"/>
      <c r="J328" s="10">
        <v>4.9787999999999997</v>
      </c>
      <c r="K328" s="117">
        <v>17260013</v>
      </c>
      <c r="L328" s="120">
        <f t="shared" si="67"/>
        <v>353.43530254940106</v>
      </c>
      <c r="M328" s="122">
        <f t="shared" ref="M328:M391" si="71">(G328*0.01)</f>
        <v>34667015.060000002</v>
      </c>
      <c r="N328" s="116">
        <f t="shared" ref="N328:N391" si="72">(M328-K328)</f>
        <v>17407002.060000002</v>
      </c>
      <c r="O328" s="123">
        <f t="shared" ref="O328:O391" si="73">(N328/C328)</f>
        <v>356.4452147025699</v>
      </c>
      <c r="P328" s="5"/>
      <c r="Q328" s="5">
        <f t="shared" si="69"/>
        <v>1</v>
      </c>
      <c r="R328" s="7">
        <f t="shared" si="70"/>
        <v>48835</v>
      </c>
      <c r="S328" s="5">
        <f t="shared" si="63"/>
        <v>1</v>
      </c>
      <c r="T328" s="7">
        <f t="shared" si="68"/>
        <v>48835</v>
      </c>
    </row>
    <row r="329" spans="1:20">
      <c r="A329" s="23" t="s">
        <v>357</v>
      </c>
      <c r="B329" s="35" t="s">
        <v>342</v>
      </c>
      <c r="C329" s="36">
        <v>1583</v>
      </c>
      <c r="D329" s="6"/>
      <c r="E329" s="113">
        <v>607113770</v>
      </c>
      <c r="F329" s="116">
        <f t="shared" si="65"/>
        <v>383521.01705622236</v>
      </c>
      <c r="G329" s="117">
        <v>422434560</v>
      </c>
      <c r="H329" s="117">
        <f t="shared" si="66"/>
        <v>266856.95514845231</v>
      </c>
      <c r="I329" s="7"/>
      <c r="J329" s="10">
        <v>2.1</v>
      </c>
      <c r="K329" s="117">
        <v>887113</v>
      </c>
      <c r="L329" s="120">
        <f t="shared" si="67"/>
        <v>560.39987365761215</v>
      </c>
      <c r="M329" s="122">
        <f t="shared" si="71"/>
        <v>4224345.5999999996</v>
      </c>
      <c r="N329" s="116">
        <f t="shared" si="72"/>
        <v>3337232.5999999996</v>
      </c>
      <c r="O329" s="123">
        <f t="shared" si="73"/>
        <v>2108.1696778269106</v>
      </c>
      <c r="P329" s="5"/>
      <c r="Q329" s="5">
        <f t="shared" si="69"/>
        <v>1</v>
      </c>
      <c r="R329" s="7">
        <f t="shared" si="70"/>
        <v>1583</v>
      </c>
      <c r="S329" s="5">
        <f t="shared" ref="S329:S392" si="74">IF(J329&gt;0,1,0)</f>
        <v>1</v>
      </c>
      <c r="T329" s="7">
        <f t="shared" si="68"/>
        <v>1583</v>
      </c>
    </row>
    <row r="330" spans="1:20">
      <c r="A330" s="23" t="s">
        <v>358</v>
      </c>
      <c r="B330" s="35" t="s">
        <v>342</v>
      </c>
      <c r="C330" s="36">
        <v>2366</v>
      </c>
      <c r="D330" s="6"/>
      <c r="E330" s="113">
        <v>846818660</v>
      </c>
      <c r="F330" s="116">
        <f t="shared" si="65"/>
        <v>357911.52155536768</v>
      </c>
      <c r="G330" s="117">
        <v>627185360</v>
      </c>
      <c r="H330" s="117">
        <f t="shared" si="66"/>
        <v>265082.56973795436</v>
      </c>
      <c r="I330" s="7"/>
      <c r="J330" s="10">
        <v>1.68</v>
      </c>
      <c r="K330" s="117">
        <v>1053671</v>
      </c>
      <c r="L330" s="120">
        <f t="shared" si="67"/>
        <v>445.33854606931533</v>
      </c>
      <c r="M330" s="122">
        <f t="shared" si="71"/>
        <v>6271853.6000000006</v>
      </c>
      <c r="N330" s="116">
        <f t="shared" si="72"/>
        <v>5218182.6000000006</v>
      </c>
      <c r="O330" s="123">
        <f t="shared" si="73"/>
        <v>2205.4871513102285</v>
      </c>
      <c r="P330" s="5"/>
      <c r="Q330" s="5">
        <f t="shared" si="69"/>
        <v>1</v>
      </c>
      <c r="R330" s="7">
        <f t="shared" si="70"/>
        <v>2366</v>
      </c>
      <c r="S330" s="5">
        <f t="shared" si="74"/>
        <v>1</v>
      </c>
      <c r="T330" s="7">
        <f t="shared" si="68"/>
        <v>2366</v>
      </c>
    </row>
    <row r="331" spans="1:20">
      <c r="A331" s="23" t="s">
        <v>359</v>
      </c>
      <c r="B331" s="35" t="s">
        <v>342</v>
      </c>
      <c r="C331" s="36">
        <v>17838</v>
      </c>
      <c r="D331" s="6"/>
      <c r="E331" s="113">
        <v>2110638451</v>
      </c>
      <c r="F331" s="116">
        <f t="shared" si="65"/>
        <v>118322.59507792353</v>
      </c>
      <c r="G331" s="117">
        <v>1245292118</v>
      </c>
      <c r="H331" s="117">
        <f t="shared" si="66"/>
        <v>69811.196210337483</v>
      </c>
      <c r="I331" s="7"/>
      <c r="J331" s="10">
        <v>2.7391000000000001</v>
      </c>
      <c r="K331" s="117">
        <v>3410980</v>
      </c>
      <c r="L331" s="120">
        <f t="shared" si="67"/>
        <v>191.21986769817244</v>
      </c>
      <c r="M331" s="122">
        <f t="shared" si="71"/>
        <v>12452921.18</v>
      </c>
      <c r="N331" s="116">
        <f t="shared" si="72"/>
        <v>9041941.1799999997</v>
      </c>
      <c r="O331" s="123">
        <f t="shared" si="73"/>
        <v>506.89209440520239</v>
      </c>
      <c r="P331" s="5"/>
      <c r="Q331" s="5">
        <f t="shared" si="69"/>
        <v>1</v>
      </c>
      <c r="R331" s="7">
        <f t="shared" si="70"/>
        <v>17838</v>
      </c>
      <c r="S331" s="5">
        <f t="shared" si="74"/>
        <v>1</v>
      </c>
      <c r="T331" s="7">
        <f t="shared" si="68"/>
        <v>17838</v>
      </c>
    </row>
    <row r="332" spans="1:20">
      <c r="A332" s="23" t="s">
        <v>360</v>
      </c>
      <c r="B332" s="35" t="s">
        <v>342</v>
      </c>
      <c r="C332" s="36">
        <v>18716</v>
      </c>
      <c r="D332" s="6"/>
      <c r="E332" s="113">
        <v>2025697300</v>
      </c>
      <c r="F332" s="116">
        <f t="shared" si="65"/>
        <v>108233.45266082496</v>
      </c>
      <c r="G332" s="117">
        <v>1313858749</v>
      </c>
      <c r="H332" s="117">
        <f t="shared" si="66"/>
        <v>70199.762182090184</v>
      </c>
      <c r="I332" s="7"/>
      <c r="J332" s="10">
        <v>2.75</v>
      </c>
      <c r="K332" s="117">
        <v>3613112</v>
      </c>
      <c r="L332" s="120">
        <f t="shared" si="67"/>
        <v>193.04936952340245</v>
      </c>
      <c r="M332" s="122">
        <f t="shared" si="71"/>
        <v>13138587.49</v>
      </c>
      <c r="N332" s="116">
        <f t="shared" si="72"/>
        <v>9525475.4900000002</v>
      </c>
      <c r="O332" s="123">
        <f t="shared" si="73"/>
        <v>508.94825229749949</v>
      </c>
      <c r="P332" s="5"/>
      <c r="Q332" s="5">
        <f t="shared" si="69"/>
        <v>1</v>
      </c>
      <c r="R332" s="7">
        <f t="shared" si="70"/>
        <v>18716</v>
      </c>
      <c r="S332" s="5">
        <f t="shared" si="74"/>
        <v>1</v>
      </c>
      <c r="T332" s="7">
        <f t="shared" si="68"/>
        <v>18716</v>
      </c>
    </row>
    <row r="333" spans="1:20">
      <c r="A333" s="23" t="s">
        <v>361</v>
      </c>
      <c r="B333" s="35" t="s">
        <v>342</v>
      </c>
      <c r="C333" s="36">
        <v>5758</v>
      </c>
      <c r="D333" s="6"/>
      <c r="E333" s="113">
        <v>907767490</v>
      </c>
      <c r="F333" s="116">
        <f t="shared" si="65"/>
        <v>157653.26328586316</v>
      </c>
      <c r="G333" s="117">
        <v>634593516</v>
      </c>
      <c r="H333" s="117">
        <f t="shared" si="66"/>
        <v>110210.75303924974</v>
      </c>
      <c r="I333" s="7"/>
      <c r="J333" s="10">
        <v>1.3872</v>
      </c>
      <c r="K333" s="117">
        <v>880308</v>
      </c>
      <c r="L333" s="120">
        <f t="shared" si="67"/>
        <v>152.88433483848559</v>
      </c>
      <c r="M333" s="122">
        <f t="shared" si="71"/>
        <v>6345935.1600000001</v>
      </c>
      <c r="N333" s="116">
        <f t="shared" si="72"/>
        <v>5465627.1600000001</v>
      </c>
      <c r="O333" s="123">
        <f t="shared" si="73"/>
        <v>949.2231955540118</v>
      </c>
      <c r="P333" s="5"/>
      <c r="Q333" s="5">
        <f t="shared" si="69"/>
        <v>1</v>
      </c>
      <c r="R333" s="7">
        <f t="shared" si="70"/>
        <v>5758</v>
      </c>
      <c r="S333" s="5">
        <f t="shared" si="74"/>
        <v>1</v>
      </c>
      <c r="T333" s="7">
        <f t="shared" si="68"/>
        <v>5758</v>
      </c>
    </row>
    <row r="334" spans="1:20">
      <c r="A334" s="24" t="s">
        <v>561</v>
      </c>
      <c r="B334" s="35" t="s">
        <v>342</v>
      </c>
      <c r="C334" s="36">
        <v>10050</v>
      </c>
      <c r="D334" s="6"/>
      <c r="E334" s="113">
        <v>3834250660</v>
      </c>
      <c r="F334" s="116">
        <f t="shared" si="65"/>
        <v>381517.47860696516</v>
      </c>
      <c r="G334" s="117">
        <v>2789816854</v>
      </c>
      <c r="H334" s="117">
        <f t="shared" si="66"/>
        <v>277593.71681592037</v>
      </c>
      <c r="I334" s="7"/>
      <c r="J334" s="10">
        <v>2.6</v>
      </c>
      <c r="K334" s="117">
        <v>7253524</v>
      </c>
      <c r="L334" s="120">
        <f t="shared" si="67"/>
        <v>721.74368159203982</v>
      </c>
      <c r="M334" s="122">
        <f t="shared" si="71"/>
        <v>27898168.539999999</v>
      </c>
      <c r="N334" s="116">
        <f t="shared" si="72"/>
        <v>20644644.539999999</v>
      </c>
      <c r="O334" s="123">
        <f t="shared" si="73"/>
        <v>2054.1934865671642</v>
      </c>
      <c r="P334" s="5"/>
      <c r="Q334" s="5">
        <f t="shared" si="69"/>
        <v>1</v>
      </c>
      <c r="R334" s="7">
        <f t="shared" si="70"/>
        <v>10050</v>
      </c>
      <c r="S334" s="5">
        <f t="shared" si="74"/>
        <v>1</v>
      </c>
      <c r="T334" s="7">
        <f t="shared" si="68"/>
        <v>10050</v>
      </c>
    </row>
    <row r="335" spans="1:20">
      <c r="A335" s="23" t="s">
        <v>548</v>
      </c>
      <c r="B335" s="35" t="s">
        <v>342</v>
      </c>
      <c r="C335" s="36">
        <v>254225</v>
      </c>
      <c r="D335" s="6"/>
      <c r="E335" s="113">
        <v>26876287877</v>
      </c>
      <c r="F335" s="116">
        <f t="shared" si="65"/>
        <v>105718.50871078769</v>
      </c>
      <c r="G335" s="117">
        <v>16307324063</v>
      </c>
      <c r="H335" s="117">
        <f t="shared" si="66"/>
        <v>64145.241667813942</v>
      </c>
      <c r="I335" s="7"/>
      <c r="J335" s="10">
        <v>6.6</v>
      </c>
      <c r="K335" s="117">
        <v>107628339</v>
      </c>
      <c r="L335" s="120">
        <f t="shared" si="67"/>
        <v>423.35859573212707</v>
      </c>
      <c r="M335" s="122">
        <f t="shared" si="71"/>
        <v>163073240.63</v>
      </c>
      <c r="N335" s="116">
        <f t="shared" si="72"/>
        <v>55444901.629999995</v>
      </c>
      <c r="O335" s="123">
        <f t="shared" si="73"/>
        <v>218.09382094601239</v>
      </c>
      <c r="P335" s="5"/>
      <c r="Q335" s="5">
        <f t="shared" si="69"/>
        <v>1</v>
      </c>
      <c r="R335" s="7">
        <f t="shared" si="70"/>
        <v>254225</v>
      </c>
      <c r="S335" s="5">
        <f t="shared" si="74"/>
        <v>1</v>
      </c>
      <c r="T335" s="7">
        <f t="shared" si="68"/>
        <v>254225</v>
      </c>
    </row>
    <row r="336" spans="1:20">
      <c r="A336" s="23" t="s">
        <v>362</v>
      </c>
      <c r="B336" s="35" t="s">
        <v>342</v>
      </c>
      <c r="C336" s="36">
        <v>24161</v>
      </c>
      <c r="D336" s="6"/>
      <c r="E336" s="113">
        <v>2769949930</v>
      </c>
      <c r="F336" s="116">
        <f t="shared" si="65"/>
        <v>114645.50018625057</v>
      </c>
      <c r="G336" s="117">
        <v>1793346193</v>
      </c>
      <c r="H336" s="117">
        <f t="shared" si="66"/>
        <v>74224.833119490082</v>
      </c>
      <c r="I336" s="7"/>
      <c r="J336" s="10">
        <v>4.7957000000000001</v>
      </c>
      <c r="K336" s="117">
        <v>8600350</v>
      </c>
      <c r="L336" s="120">
        <f t="shared" si="67"/>
        <v>355.96001821116676</v>
      </c>
      <c r="M336" s="122">
        <f t="shared" si="71"/>
        <v>17933461.93</v>
      </c>
      <c r="N336" s="116">
        <f t="shared" si="72"/>
        <v>9333111.9299999997</v>
      </c>
      <c r="O336" s="123">
        <f t="shared" si="73"/>
        <v>386.2883129837341</v>
      </c>
      <c r="P336" s="5"/>
      <c r="Q336" s="5">
        <f t="shared" si="69"/>
        <v>1</v>
      </c>
      <c r="R336" s="7">
        <f t="shared" si="70"/>
        <v>24161</v>
      </c>
      <c r="S336" s="5">
        <f t="shared" si="74"/>
        <v>1</v>
      </c>
      <c r="T336" s="7">
        <f t="shared" si="68"/>
        <v>24161</v>
      </c>
    </row>
    <row r="337" spans="1:20">
      <c r="A337" s="23" t="s">
        <v>363</v>
      </c>
      <c r="B337" s="35" t="s">
        <v>342</v>
      </c>
      <c r="C337" s="36">
        <v>7505</v>
      </c>
      <c r="D337" s="6"/>
      <c r="E337" s="113">
        <v>2552350370</v>
      </c>
      <c r="F337" s="116">
        <f t="shared" si="65"/>
        <v>340086.65822784812</v>
      </c>
      <c r="G337" s="117">
        <v>1799410244</v>
      </c>
      <c r="H337" s="117">
        <f t="shared" si="66"/>
        <v>239761.52485009993</v>
      </c>
      <c r="I337" s="7"/>
      <c r="J337" s="10">
        <v>2.6272000000000002</v>
      </c>
      <c r="K337" s="117">
        <v>4727411</v>
      </c>
      <c r="L337" s="120">
        <f t="shared" si="67"/>
        <v>629.90153231179215</v>
      </c>
      <c r="M337" s="122">
        <f t="shared" si="71"/>
        <v>17994102.440000001</v>
      </c>
      <c r="N337" s="116">
        <f t="shared" si="72"/>
        <v>13266691.440000001</v>
      </c>
      <c r="O337" s="123">
        <f t="shared" si="73"/>
        <v>1767.7137161892074</v>
      </c>
      <c r="P337" s="5"/>
      <c r="Q337" s="5">
        <f t="shared" si="69"/>
        <v>1</v>
      </c>
      <c r="R337" s="7">
        <f t="shared" si="70"/>
        <v>7505</v>
      </c>
      <c r="S337" s="5">
        <f t="shared" si="74"/>
        <v>1</v>
      </c>
      <c r="T337" s="7">
        <f t="shared" si="68"/>
        <v>7505</v>
      </c>
    </row>
    <row r="338" spans="1:20">
      <c r="A338" s="23" t="s">
        <v>364</v>
      </c>
      <c r="B338" s="35" t="s">
        <v>365</v>
      </c>
      <c r="C338" s="36">
        <v>12512</v>
      </c>
      <c r="D338" s="6"/>
      <c r="E338" s="113">
        <v>1175437276</v>
      </c>
      <c r="F338" s="116">
        <f t="shared" si="65"/>
        <v>93944.795076726339</v>
      </c>
      <c r="G338" s="117">
        <v>833313988</v>
      </c>
      <c r="H338" s="117">
        <f t="shared" si="66"/>
        <v>66601.181905370846</v>
      </c>
      <c r="I338" s="7"/>
      <c r="J338" s="10">
        <v>4.41</v>
      </c>
      <c r="K338" s="117">
        <v>3674915</v>
      </c>
      <c r="L338" s="120">
        <f t="shared" si="67"/>
        <v>293.71123721227622</v>
      </c>
      <c r="M338" s="122">
        <f t="shared" si="71"/>
        <v>8333139.8799999999</v>
      </c>
      <c r="N338" s="116">
        <f t="shared" si="72"/>
        <v>4658224.88</v>
      </c>
      <c r="O338" s="123">
        <f t="shared" si="73"/>
        <v>372.30058184143223</v>
      </c>
      <c r="P338" s="5"/>
      <c r="Q338" s="5">
        <f t="shared" si="69"/>
        <v>1</v>
      </c>
      <c r="R338" s="7">
        <f t="shared" si="70"/>
        <v>12512</v>
      </c>
      <c r="S338" s="5">
        <f t="shared" si="74"/>
        <v>1</v>
      </c>
      <c r="T338" s="7">
        <f t="shared" si="68"/>
        <v>12512</v>
      </c>
    </row>
    <row r="339" spans="1:20">
      <c r="A339" s="23" t="s">
        <v>366</v>
      </c>
      <c r="B339" s="35" t="s">
        <v>365</v>
      </c>
      <c r="C339" s="36">
        <v>16181</v>
      </c>
      <c r="D339" s="6"/>
      <c r="E339" s="113">
        <v>1129359633</v>
      </c>
      <c r="F339" s="116">
        <f t="shared" si="65"/>
        <v>69795.416414313077</v>
      </c>
      <c r="G339" s="117">
        <v>633490404</v>
      </c>
      <c r="H339" s="117">
        <f t="shared" si="66"/>
        <v>39150.262900933194</v>
      </c>
      <c r="I339" s="7"/>
      <c r="J339" s="10">
        <v>4.5</v>
      </c>
      <c r="K339" s="117">
        <v>2850707</v>
      </c>
      <c r="L339" s="120">
        <f t="shared" si="67"/>
        <v>176.1761943019591</v>
      </c>
      <c r="M339" s="122">
        <f t="shared" si="71"/>
        <v>6334904.04</v>
      </c>
      <c r="N339" s="116">
        <f t="shared" si="72"/>
        <v>3484197.04</v>
      </c>
      <c r="O339" s="123">
        <f t="shared" si="73"/>
        <v>215.32643470737284</v>
      </c>
      <c r="P339" s="5"/>
      <c r="Q339" s="5">
        <f t="shared" si="69"/>
        <v>1</v>
      </c>
      <c r="R339" s="7">
        <f t="shared" si="70"/>
        <v>16181</v>
      </c>
      <c r="S339" s="5">
        <f t="shared" si="74"/>
        <v>1</v>
      </c>
      <c r="T339" s="7">
        <f t="shared" si="68"/>
        <v>16181</v>
      </c>
    </row>
    <row r="340" spans="1:20">
      <c r="A340" s="23" t="s">
        <v>367</v>
      </c>
      <c r="B340" s="35" t="s">
        <v>365</v>
      </c>
      <c r="C340" s="36">
        <v>2344</v>
      </c>
      <c r="D340" s="6"/>
      <c r="E340" s="113">
        <v>170484578</v>
      </c>
      <c r="F340" s="116">
        <f t="shared" si="65"/>
        <v>72732.328498293515</v>
      </c>
      <c r="G340" s="117">
        <v>93350136</v>
      </c>
      <c r="H340" s="117">
        <f t="shared" si="66"/>
        <v>39825.143344709897</v>
      </c>
      <c r="I340" s="7"/>
      <c r="J340" s="10">
        <v>6.5</v>
      </c>
      <c r="K340" s="117">
        <v>606776</v>
      </c>
      <c r="L340" s="120">
        <f t="shared" si="67"/>
        <v>258.86348122866895</v>
      </c>
      <c r="M340" s="122">
        <f t="shared" si="71"/>
        <v>933501.36</v>
      </c>
      <c r="N340" s="116">
        <f t="shared" si="72"/>
        <v>326725.36</v>
      </c>
      <c r="O340" s="123">
        <f t="shared" si="73"/>
        <v>139.38795221843003</v>
      </c>
      <c r="P340" s="5"/>
      <c r="Q340" s="5">
        <f t="shared" si="69"/>
        <v>1</v>
      </c>
      <c r="R340" s="7">
        <f t="shared" si="70"/>
        <v>2344</v>
      </c>
      <c r="S340" s="5">
        <f t="shared" si="74"/>
        <v>1</v>
      </c>
      <c r="T340" s="7">
        <f t="shared" si="68"/>
        <v>2344</v>
      </c>
    </row>
    <row r="341" spans="1:20">
      <c r="A341" s="23" t="s">
        <v>368</v>
      </c>
      <c r="B341" s="35" t="s">
        <v>365</v>
      </c>
      <c r="C341" s="36">
        <v>3126</v>
      </c>
      <c r="D341" s="6"/>
      <c r="E341" s="113">
        <v>246280920</v>
      </c>
      <c r="F341" s="116">
        <f t="shared" si="65"/>
        <v>78784.683301343568</v>
      </c>
      <c r="G341" s="117">
        <v>150262312</v>
      </c>
      <c r="H341" s="117">
        <f t="shared" si="66"/>
        <v>48068.557901471526</v>
      </c>
      <c r="I341" s="9"/>
      <c r="J341" s="10">
        <v>7</v>
      </c>
      <c r="K341" s="117">
        <v>1051836</v>
      </c>
      <c r="L341" s="120">
        <f t="shared" si="67"/>
        <v>336.47984644913629</v>
      </c>
      <c r="M341" s="122">
        <f t="shared" si="71"/>
        <v>1502623.12</v>
      </c>
      <c r="N341" s="116">
        <f t="shared" si="72"/>
        <v>450787.12000000011</v>
      </c>
      <c r="O341" s="123">
        <f t="shared" si="73"/>
        <v>144.20573256557904</v>
      </c>
      <c r="P341" s="5"/>
      <c r="Q341" s="5">
        <f t="shared" si="69"/>
        <v>1</v>
      </c>
      <c r="R341" s="7">
        <f t="shared" si="70"/>
        <v>3126</v>
      </c>
      <c r="S341" s="5">
        <f t="shared" si="74"/>
        <v>1</v>
      </c>
      <c r="T341" s="7">
        <f t="shared" si="68"/>
        <v>3126</v>
      </c>
    </row>
    <row r="342" spans="1:20">
      <c r="A342" s="23" t="s">
        <v>369</v>
      </c>
      <c r="B342" s="35" t="s">
        <v>365</v>
      </c>
      <c r="C342" s="36">
        <v>2659</v>
      </c>
      <c r="D342" s="6"/>
      <c r="E342" s="113">
        <v>130741557</v>
      </c>
      <c r="F342" s="116">
        <f t="shared" si="65"/>
        <v>49169.446032342988</v>
      </c>
      <c r="G342" s="117">
        <v>59163351</v>
      </c>
      <c r="H342" s="117">
        <f t="shared" si="66"/>
        <v>22250.226024821361</v>
      </c>
      <c r="I342" s="7"/>
      <c r="J342" s="10">
        <v>8.5</v>
      </c>
      <c r="K342" s="117">
        <v>502888</v>
      </c>
      <c r="L342" s="120">
        <f t="shared" si="67"/>
        <v>189.12673937570514</v>
      </c>
      <c r="M342" s="122">
        <f t="shared" si="71"/>
        <v>591633.51</v>
      </c>
      <c r="N342" s="116">
        <f t="shared" si="72"/>
        <v>88745.510000000009</v>
      </c>
      <c r="O342" s="123">
        <f t="shared" si="73"/>
        <v>33.375520872508467</v>
      </c>
      <c r="P342" s="5"/>
      <c r="Q342" s="5">
        <f t="shared" si="69"/>
        <v>1</v>
      </c>
      <c r="R342" s="7">
        <f t="shared" si="70"/>
        <v>2659</v>
      </c>
      <c r="S342" s="5">
        <f t="shared" si="74"/>
        <v>1</v>
      </c>
      <c r="T342" s="7">
        <f t="shared" si="68"/>
        <v>2659</v>
      </c>
    </row>
    <row r="343" spans="1:20">
      <c r="A343" s="23" t="s">
        <v>370</v>
      </c>
      <c r="B343" s="35" t="s">
        <v>365</v>
      </c>
      <c r="C343" s="36">
        <v>5877</v>
      </c>
      <c r="D343" s="6"/>
      <c r="E343" s="113">
        <v>222129753</v>
      </c>
      <c r="F343" s="116">
        <f t="shared" si="65"/>
        <v>37796.452782031651</v>
      </c>
      <c r="G343" s="117">
        <v>119077775</v>
      </c>
      <c r="H343" s="117">
        <f t="shared" si="66"/>
        <v>20261.659860473032</v>
      </c>
      <c r="I343" s="7"/>
      <c r="J343" s="10">
        <v>3.5</v>
      </c>
      <c r="K343" s="117">
        <v>416772</v>
      </c>
      <c r="L343" s="120">
        <f t="shared" ref="L343:L374" si="75">(K343/C343)</f>
        <v>70.915773353751916</v>
      </c>
      <c r="M343" s="122">
        <f t="shared" si="71"/>
        <v>1190777.75</v>
      </c>
      <c r="N343" s="116">
        <f t="shared" si="72"/>
        <v>774005.75</v>
      </c>
      <c r="O343" s="123">
        <f t="shared" si="73"/>
        <v>131.7008252509784</v>
      </c>
      <c r="P343" s="5"/>
      <c r="Q343" s="5">
        <f t="shared" si="69"/>
        <v>1</v>
      </c>
      <c r="R343" s="7">
        <f t="shared" si="70"/>
        <v>5877</v>
      </c>
      <c r="S343" s="5">
        <f t="shared" si="74"/>
        <v>1</v>
      </c>
      <c r="T343" s="7">
        <f t="shared" si="68"/>
        <v>5877</v>
      </c>
    </row>
    <row r="344" spans="1:20">
      <c r="A344" s="23" t="s">
        <v>371</v>
      </c>
      <c r="B344" s="35" t="s">
        <v>365</v>
      </c>
      <c r="C344" s="36">
        <v>2991</v>
      </c>
      <c r="D344" s="6"/>
      <c r="E344" s="113">
        <v>213715210</v>
      </c>
      <c r="F344" s="116">
        <f t="shared" si="65"/>
        <v>71452.761618187898</v>
      </c>
      <c r="G344" s="117">
        <v>121428532</v>
      </c>
      <c r="H344" s="117">
        <f t="shared" si="66"/>
        <v>40597.971247074558</v>
      </c>
      <c r="I344" s="7"/>
      <c r="J344" s="11">
        <v>8.5</v>
      </c>
      <c r="K344" s="117">
        <v>1032143</v>
      </c>
      <c r="L344" s="120">
        <f t="shared" si="75"/>
        <v>345.08291541290538</v>
      </c>
      <c r="M344" s="122">
        <f t="shared" si="71"/>
        <v>1214285.32</v>
      </c>
      <c r="N344" s="116">
        <f t="shared" si="72"/>
        <v>182142.32000000007</v>
      </c>
      <c r="O344" s="123">
        <f t="shared" si="73"/>
        <v>60.89679705784021</v>
      </c>
      <c r="P344" s="5"/>
      <c r="Q344" s="5">
        <f t="shared" si="69"/>
        <v>1</v>
      </c>
      <c r="R344" s="7">
        <f t="shared" si="70"/>
        <v>2991</v>
      </c>
      <c r="S344" s="5">
        <f t="shared" si="74"/>
        <v>1</v>
      </c>
      <c r="T344" s="7">
        <f t="shared" si="68"/>
        <v>2991</v>
      </c>
    </row>
    <row r="345" spans="1:20">
      <c r="A345" s="23" t="s">
        <v>372</v>
      </c>
      <c r="B345" s="35" t="s">
        <v>365</v>
      </c>
      <c r="C345" s="36">
        <v>17973</v>
      </c>
      <c r="D345" s="6"/>
      <c r="E345" s="113">
        <v>1305060062</v>
      </c>
      <c r="F345" s="116">
        <f t="shared" si="65"/>
        <v>72612.255160518558</v>
      </c>
      <c r="G345" s="117">
        <v>970197488</v>
      </c>
      <c r="H345" s="117">
        <f t="shared" si="66"/>
        <v>53980.831691982421</v>
      </c>
      <c r="I345" s="7"/>
      <c r="J345" s="10">
        <v>6.89</v>
      </c>
      <c r="K345" s="117">
        <v>6684661</v>
      </c>
      <c r="L345" s="120">
        <f t="shared" si="75"/>
        <v>371.92794747677073</v>
      </c>
      <c r="M345" s="122">
        <f t="shared" si="71"/>
        <v>9701974.8800000008</v>
      </c>
      <c r="N345" s="116">
        <f t="shared" si="72"/>
        <v>3017313.8800000008</v>
      </c>
      <c r="O345" s="123">
        <f t="shared" si="73"/>
        <v>167.88036944305352</v>
      </c>
      <c r="P345" s="5"/>
      <c r="Q345" s="5">
        <f t="shared" si="69"/>
        <v>1</v>
      </c>
      <c r="R345" s="7">
        <f t="shared" si="70"/>
        <v>17973</v>
      </c>
      <c r="S345" s="5">
        <f t="shared" si="74"/>
        <v>1</v>
      </c>
      <c r="T345" s="7">
        <f t="shared" si="68"/>
        <v>17973</v>
      </c>
    </row>
    <row r="346" spans="1:20">
      <c r="A346" s="23" t="s">
        <v>373</v>
      </c>
      <c r="B346" s="35" t="s">
        <v>365</v>
      </c>
      <c r="C346" s="36">
        <v>246</v>
      </c>
      <c r="D346" s="6"/>
      <c r="E346" s="113">
        <v>21468757</v>
      </c>
      <c r="F346" s="116">
        <f t="shared" si="65"/>
        <v>87271.369918699187</v>
      </c>
      <c r="G346" s="117">
        <v>15550808</v>
      </c>
      <c r="H346" s="117">
        <f t="shared" si="66"/>
        <v>63214.666666666664</v>
      </c>
      <c r="I346" s="7"/>
      <c r="J346" s="10">
        <v>7.4294000000000002</v>
      </c>
      <c r="K346" s="117">
        <v>115533</v>
      </c>
      <c r="L346" s="120">
        <f t="shared" si="75"/>
        <v>469.64634146341461</v>
      </c>
      <c r="M346" s="122">
        <f t="shared" si="71"/>
        <v>155508.08000000002</v>
      </c>
      <c r="N346" s="116">
        <f t="shared" si="72"/>
        <v>39975.080000000016</v>
      </c>
      <c r="O346" s="123">
        <f t="shared" si="73"/>
        <v>162.50032520325209</v>
      </c>
      <c r="P346" s="5"/>
      <c r="Q346" s="5">
        <f t="shared" si="69"/>
        <v>1</v>
      </c>
      <c r="R346" s="7">
        <f t="shared" si="70"/>
        <v>246</v>
      </c>
      <c r="S346" s="5">
        <f t="shared" si="74"/>
        <v>1</v>
      </c>
      <c r="T346" s="7">
        <f t="shared" si="68"/>
        <v>246</v>
      </c>
    </row>
    <row r="347" spans="1:20">
      <c r="A347" s="23" t="s">
        <v>374</v>
      </c>
      <c r="B347" s="35" t="s">
        <v>365</v>
      </c>
      <c r="C347" s="36">
        <v>262</v>
      </c>
      <c r="D347" s="6"/>
      <c r="E347" s="113">
        <v>19339660</v>
      </c>
      <c r="F347" s="116">
        <f t="shared" si="65"/>
        <v>73815.496183206109</v>
      </c>
      <c r="G347" s="117">
        <v>12057934</v>
      </c>
      <c r="H347" s="117">
        <f t="shared" si="66"/>
        <v>46022.64885496183</v>
      </c>
      <c r="I347" s="7"/>
      <c r="J347" s="10">
        <v>0.35709999999999997</v>
      </c>
      <c r="K347" s="117">
        <v>4306</v>
      </c>
      <c r="L347" s="120">
        <f t="shared" si="75"/>
        <v>16.435114503816795</v>
      </c>
      <c r="M347" s="122">
        <f t="shared" si="71"/>
        <v>120579.34</v>
      </c>
      <c r="N347" s="116">
        <f t="shared" si="72"/>
        <v>116273.34</v>
      </c>
      <c r="O347" s="123">
        <f t="shared" si="73"/>
        <v>443.79137404580149</v>
      </c>
      <c r="P347" s="5"/>
      <c r="Q347" s="5">
        <f t="shared" si="69"/>
        <v>1</v>
      </c>
      <c r="R347" s="7">
        <f t="shared" si="70"/>
        <v>262</v>
      </c>
      <c r="S347" s="5">
        <f t="shared" si="74"/>
        <v>1</v>
      </c>
      <c r="T347" s="7">
        <f t="shared" si="68"/>
        <v>262</v>
      </c>
    </row>
    <row r="348" spans="1:20">
      <c r="A348" s="23" t="s">
        <v>375</v>
      </c>
      <c r="B348" s="35" t="s">
        <v>365</v>
      </c>
      <c r="C348" s="36">
        <v>4239</v>
      </c>
      <c r="D348" s="6"/>
      <c r="E348" s="113">
        <v>256739763</v>
      </c>
      <c r="F348" s="116">
        <f t="shared" si="65"/>
        <v>60566.115357395611</v>
      </c>
      <c r="G348" s="117">
        <v>143722086</v>
      </c>
      <c r="H348" s="117">
        <f t="shared" si="66"/>
        <v>33904.714791224345</v>
      </c>
      <c r="I348" s="7"/>
      <c r="J348" s="10">
        <v>7.0579999999999998</v>
      </c>
      <c r="K348" s="117">
        <v>1014390</v>
      </c>
      <c r="L348" s="120">
        <f t="shared" si="75"/>
        <v>239.29936305732485</v>
      </c>
      <c r="M348" s="122">
        <f t="shared" si="71"/>
        <v>1437220.86</v>
      </c>
      <c r="N348" s="116">
        <f t="shared" si="72"/>
        <v>422830.8600000001</v>
      </c>
      <c r="O348" s="123">
        <f t="shared" si="73"/>
        <v>99.747784854918635</v>
      </c>
      <c r="P348" s="5"/>
      <c r="Q348" s="5">
        <f t="shared" si="69"/>
        <v>1</v>
      </c>
      <c r="R348" s="7">
        <f t="shared" si="70"/>
        <v>4239</v>
      </c>
      <c r="S348" s="5">
        <f t="shared" si="74"/>
        <v>1</v>
      </c>
      <c r="T348" s="7">
        <f t="shared" si="68"/>
        <v>4239</v>
      </c>
    </row>
    <row r="349" spans="1:20">
      <c r="A349" s="23" t="s">
        <v>376</v>
      </c>
      <c r="B349" s="35" t="s">
        <v>365</v>
      </c>
      <c r="C349" s="36">
        <v>1409</v>
      </c>
      <c r="D349" s="6"/>
      <c r="E349" s="113">
        <v>106323480</v>
      </c>
      <c r="F349" s="116">
        <f t="shared" si="65"/>
        <v>75460.241305890697</v>
      </c>
      <c r="G349" s="117">
        <v>71964635</v>
      </c>
      <c r="H349" s="117">
        <f t="shared" si="66"/>
        <v>51074.971611071684</v>
      </c>
      <c r="I349" s="7"/>
      <c r="J349" s="10">
        <v>7.1479999999999997</v>
      </c>
      <c r="K349" s="117">
        <v>514403</v>
      </c>
      <c r="L349" s="120">
        <f t="shared" si="75"/>
        <v>365.08374733853799</v>
      </c>
      <c r="M349" s="122">
        <f t="shared" si="71"/>
        <v>719646.35</v>
      </c>
      <c r="N349" s="116">
        <f t="shared" si="72"/>
        <v>205243.34999999998</v>
      </c>
      <c r="O349" s="123">
        <f t="shared" si="73"/>
        <v>145.66596877217884</v>
      </c>
      <c r="P349" s="5"/>
      <c r="Q349" s="5">
        <f t="shared" si="69"/>
        <v>1</v>
      </c>
      <c r="R349" s="7">
        <f t="shared" si="70"/>
        <v>1409</v>
      </c>
      <c r="S349" s="5">
        <f t="shared" si="74"/>
        <v>1</v>
      </c>
      <c r="T349" s="7">
        <f t="shared" si="68"/>
        <v>1409</v>
      </c>
    </row>
    <row r="350" spans="1:20">
      <c r="A350" s="23" t="s">
        <v>377</v>
      </c>
      <c r="B350" s="35" t="s">
        <v>365</v>
      </c>
      <c r="C350" s="36">
        <v>12755</v>
      </c>
      <c r="D350" s="6"/>
      <c r="E350" s="113">
        <v>997616942</v>
      </c>
      <c r="F350" s="116">
        <f t="shared" ref="F350:F380" si="76">(E350/C350)</f>
        <v>78213.793963151707</v>
      </c>
      <c r="G350" s="117">
        <v>713487458</v>
      </c>
      <c r="H350" s="117">
        <f t="shared" ref="H350:H380" si="77">(G350/C350)</f>
        <v>55937.864210113679</v>
      </c>
      <c r="I350" s="9"/>
      <c r="J350" s="10">
        <v>8.44</v>
      </c>
      <c r="K350" s="117">
        <v>6021834</v>
      </c>
      <c r="L350" s="120">
        <f t="shared" si="75"/>
        <v>472.11556252450021</v>
      </c>
      <c r="M350" s="122">
        <f t="shared" si="71"/>
        <v>7134874.5800000001</v>
      </c>
      <c r="N350" s="116">
        <f t="shared" si="72"/>
        <v>1113040.58</v>
      </c>
      <c r="O350" s="123">
        <f t="shared" si="73"/>
        <v>87.263079576636613</v>
      </c>
      <c r="P350" s="5"/>
      <c r="Q350" s="5">
        <f t="shared" si="69"/>
        <v>1</v>
      </c>
      <c r="R350" s="7">
        <f t="shared" si="70"/>
        <v>12755</v>
      </c>
      <c r="S350" s="5">
        <f t="shared" si="74"/>
        <v>1</v>
      </c>
      <c r="T350" s="7">
        <f t="shared" si="68"/>
        <v>12755</v>
      </c>
    </row>
    <row r="351" spans="1:20">
      <c r="A351" s="23" t="s">
        <v>378</v>
      </c>
      <c r="B351" s="35" t="s">
        <v>365</v>
      </c>
      <c r="C351" s="36">
        <v>91623</v>
      </c>
      <c r="D351" s="6"/>
      <c r="E351" s="113">
        <v>7903167608</v>
      </c>
      <c r="F351" s="116">
        <f t="shared" si="76"/>
        <v>86257.463824585531</v>
      </c>
      <c r="G351" s="117">
        <v>5295703458</v>
      </c>
      <c r="H351" s="117">
        <f t="shared" si="77"/>
        <v>57798.843718280346</v>
      </c>
      <c r="I351" s="9"/>
      <c r="J351" s="10">
        <v>3.5449999999999999</v>
      </c>
      <c r="K351" s="117">
        <v>18773269</v>
      </c>
      <c r="L351" s="120">
        <f t="shared" si="75"/>
        <v>204.89690361590431</v>
      </c>
      <c r="M351" s="122">
        <f t="shared" si="71"/>
        <v>52957034.579999998</v>
      </c>
      <c r="N351" s="116">
        <f t="shared" si="72"/>
        <v>34183765.579999998</v>
      </c>
      <c r="O351" s="123">
        <f t="shared" si="73"/>
        <v>373.0915335668991</v>
      </c>
      <c r="P351" s="5"/>
      <c r="Q351" s="5">
        <f t="shared" si="69"/>
        <v>1</v>
      </c>
      <c r="R351" s="7">
        <f t="shared" si="70"/>
        <v>91623</v>
      </c>
      <c r="S351" s="5">
        <f t="shared" si="74"/>
        <v>1</v>
      </c>
      <c r="T351" s="7">
        <f t="shared" si="68"/>
        <v>91623</v>
      </c>
    </row>
    <row r="352" spans="1:20">
      <c r="A352" s="23" t="s">
        <v>379</v>
      </c>
      <c r="B352" s="35" t="s">
        <v>365</v>
      </c>
      <c r="C352" s="36">
        <v>3459</v>
      </c>
      <c r="D352" s="6"/>
      <c r="E352" s="113">
        <v>256926727</v>
      </c>
      <c r="F352" s="116">
        <f t="shared" si="76"/>
        <v>74277.747036715809</v>
      </c>
      <c r="G352" s="117">
        <v>187016505</v>
      </c>
      <c r="H352" s="117">
        <f t="shared" si="77"/>
        <v>54066.639202081526</v>
      </c>
      <c r="I352" s="9"/>
      <c r="J352" s="10">
        <v>8.5</v>
      </c>
      <c r="K352" s="117">
        <v>1589640</v>
      </c>
      <c r="L352" s="120">
        <f t="shared" si="75"/>
        <v>459.56634865568083</v>
      </c>
      <c r="M352" s="122">
        <f t="shared" si="71"/>
        <v>1870165.05</v>
      </c>
      <c r="N352" s="116">
        <f t="shared" si="72"/>
        <v>280525.05000000005</v>
      </c>
      <c r="O352" s="123">
        <f t="shared" si="73"/>
        <v>81.100043365134439</v>
      </c>
      <c r="P352" s="5"/>
      <c r="Q352" s="5">
        <f t="shared" si="69"/>
        <v>1</v>
      </c>
      <c r="R352" s="7">
        <f t="shared" si="70"/>
        <v>3459</v>
      </c>
      <c r="S352" s="5">
        <f t="shared" si="74"/>
        <v>1</v>
      </c>
      <c r="T352" s="7">
        <f t="shared" si="68"/>
        <v>3459</v>
      </c>
    </row>
    <row r="353" spans="1:20">
      <c r="A353" s="23" t="s">
        <v>380</v>
      </c>
      <c r="B353" s="35" t="s">
        <v>365</v>
      </c>
      <c r="C353" s="36">
        <v>1831</v>
      </c>
      <c r="D353" s="6"/>
      <c r="E353" s="113">
        <v>84745107</v>
      </c>
      <c r="F353" s="116">
        <f t="shared" si="76"/>
        <v>46283.510103768429</v>
      </c>
      <c r="G353" s="117">
        <v>50304594</v>
      </c>
      <c r="H353" s="117">
        <f t="shared" si="77"/>
        <v>27473.836155106499</v>
      </c>
      <c r="I353" s="7"/>
      <c r="J353" s="10">
        <v>6.7424999999999997</v>
      </c>
      <c r="K353" s="117">
        <v>339179</v>
      </c>
      <c r="L353" s="120">
        <f t="shared" si="75"/>
        <v>185.24249044238121</v>
      </c>
      <c r="M353" s="122">
        <f t="shared" si="71"/>
        <v>503045.94</v>
      </c>
      <c r="N353" s="116">
        <f t="shared" si="72"/>
        <v>163866.94</v>
      </c>
      <c r="O353" s="123">
        <f t="shared" si="73"/>
        <v>89.495871108683787</v>
      </c>
      <c r="P353" s="5"/>
      <c r="Q353" s="5">
        <f t="shared" si="69"/>
        <v>1</v>
      </c>
      <c r="R353" s="7">
        <f t="shared" si="70"/>
        <v>1831</v>
      </c>
      <c r="S353" s="5">
        <f t="shared" si="74"/>
        <v>1</v>
      </c>
      <c r="T353" s="7">
        <f t="shared" si="68"/>
        <v>1831</v>
      </c>
    </row>
    <row r="354" spans="1:20">
      <c r="A354" s="23" t="s">
        <v>381</v>
      </c>
      <c r="B354" s="35" t="s">
        <v>365</v>
      </c>
      <c r="C354" s="36">
        <v>31419</v>
      </c>
      <c r="D354" s="6"/>
      <c r="E354" s="113">
        <v>2541374792</v>
      </c>
      <c r="F354" s="116">
        <f t="shared" si="76"/>
        <v>80886.558833826668</v>
      </c>
      <c r="G354" s="117">
        <v>1768148020</v>
      </c>
      <c r="H354" s="117">
        <f t="shared" si="77"/>
        <v>56276.393901779178</v>
      </c>
      <c r="I354" s="7"/>
      <c r="J354" s="10">
        <v>6.9</v>
      </c>
      <c r="K354" s="117">
        <v>12200221</v>
      </c>
      <c r="L354" s="120">
        <f t="shared" si="75"/>
        <v>388.30710716445464</v>
      </c>
      <c r="M354" s="122">
        <f t="shared" si="71"/>
        <v>17681480.199999999</v>
      </c>
      <c r="N354" s="116">
        <f t="shared" si="72"/>
        <v>5481259.1999999993</v>
      </c>
      <c r="O354" s="123">
        <f t="shared" si="73"/>
        <v>174.45683185333712</v>
      </c>
      <c r="P354" s="5"/>
      <c r="Q354" s="5">
        <f t="shared" si="69"/>
        <v>1</v>
      </c>
      <c r="R354" s="7">
        <f t="shared" si="70"/>
        <v>31419</v>
      </c>
      <c r="S354" s="5">
        <f t="shared" si="74"/>
        <v>1</v>
      </c>
      <c r="T354" s="7">
        <f t="shared" si="68"/>
        <v>31419</v>
      </c>
    </row>
    <row r="355" spans="1:20">
      <c r="A355" s="23" t="s">
        <v>382</v>
      </c>
      <c r="B355" s="35" t="s">
        <v>383</v>
      </c>
      <c r="C355" s="36">
        <v>1787</v>
      </c>
      <c r="D355" s="6"/>
      <c r="E355" s="113">
        <v>115132043</v>
      </c>
      <c r="F355" s="116">
        <f t="shared" si="76"/>
        <v>64427.556239507554</v>
      </c>
      <c r="G355" s="117">
        <v>62891013</v>
      </c>
      <c r="H355" s="117">
        <f t="shared" si="77"/>
        <v>35193.627867935087</v>
      </c>
      <c r="I355" s="7"/>
      <c r="J355" s="10">
        <v>8.8000000000000007</v>
      </c>
      <c r="K355" s="117">
        <v>553441</v>
      </c>
      <c r="L355" s="120">
        <f t="shared" si="75"/>
        <v>309.70397313933967</v>
      </c>
      <c r="M355" s="122">
        <f t="shared" si="71"/>
        <v>628910.13</v>
      </c>
      <c r="N355" s="116">
        <f t="shared" si="72"/>
        <v>75469.13</v>
      </c>
      <c r="O355" s="123">
        <f t="shared" si="73"/>
        <v>42.232305540011197</v>
      </c>
      <c r="P355" s="5"/>
      <c r="Q355" s="5">
        <f t="shared" si="69"/>
        <v>1</v>
      </c>
      <c r="R355" s="7">
        <f t="shared" si="70"/>
        <v>1787</v>
      </c>
      <c r="S355" s="5">
        <f t="shared" si="74"/>
        <v>1</v>
      </c>
      <c r="T355" s="7">
        <f t="shared" si="68"/>
        <v>1787</v>
      </c>
    </row>
    <row r="356" spans="1:20">
      <c r="A356" s="23" t="s">
        <v>384</v>
      </c>
      <c r="B356" s="35" t="s">
        <v>383</v>
      </c>
      <c r="C356" s="36">
        <v>1475</v>
      </c>
      <c r="D356" s="6"/>
      <c r="E356" s="113">
        <v>130805030</v>
      </c>
      <c r="F356" s="116">
        <f t="shared" si="76"/>
        <v>88681.37627118644</v>
      </c>
      <c r="G356" s="117">
        <v>68318070</v>
      </c>
      <c r="H356" s="117">
        <f t="shared" si="77"/>
        <v>46317.335593220341</v>
      </c>
      <c r="I356" s="7"/>
      <c r="J356" s="10">
        <v>8.5</v>
      </c>
      <c r="K356" s="117">
        <v>580704</v>
      </c>
      <c r="L356" s="120">
        <f t="shared" si="75"/>
        <v>393.69762711864405</v>
      </c>
      <c r="M356" s="122">
        <f t="shared" si="71"/>
        <v>683180.70000000007</v>
      </c>
      <c r="N356" s="116">
        <f t="shared" si="72"/>
        <v>102476.70000000007</v>
      </c>
      <c r="O356" s="123">
        <f t="shared" si="73"/>
        <v>69.475728813559371</v>
      </c>
      <c r="P356" s="5"/>
      <c r="Q356" s="5">
        <f t="shared" si="69"/>
        <v>1</v>
      </c>
      <c r="R356" s="7">
        <f t="shared" si="70"/>
        <v>1475</v>
      </c>
      <c r="S356" s="5">
        <f t="shared" si="74"/>
        <v>1</v>
      </c>
      <c r="T356" s="7">
        <f t="shared" si="68"/>
        <v>1475</v>
      </c>
    </row>
    <row r="357" spans="1:20">
      <c r="A357" s="23" t="s">
        <v>385</v>
      </c>
      <c r="B357" s="35" t="s">
        <v>383</v>
      </c>
      <c r="C357" s="36">
        <v>11417</v>
      </c>
      <c r="D357" s="6"/>
      <c r="E357" s="113">
        <v>797416508</v>
      </c>
      <c r="F357" s="116">
        <f t="shared" si="76"/>
        <v>69844.662170447584</v>
      </c>
      <c r="G357" s="117">
        <v>424050596</v>
      </c>
      <c r="H357" s="117">
        <f t="shared" si="77"/>
        <v>37142.033458877115</v>
      </c>
      <c r="I357" s="7"/>
      <c r="J357" s="10">
        <v>8.65</v>
      </c>
      <c r="K357" s="117">
        <v>3668038</v>
      </c>
      <c r="L357" s="120">
        <f t="shared" si="75"/>
        <v>321.27861960234736</v>
      </c>
      <c r="M357" s="122">
        <f t="shared" si="71"/>
        <v>4240505.96</v>
      </c>
      <c r="N357" s="116">
        <f t="shared" si="72"/>
        <v>572467.96</v>
      </c>
      <c r="O357" s="123">
        <f t="shared" si="73"/>
        <v>50.14171498642375</v>
      </c>
      <c r="P357" s="5"/>
      <c r="Q357" s="5">
        <f t="shared" si="69"/>
        <v>1</v>
      </c>
      <c r="R357" s="7">
        <f t="shared" si="70"/>
        <v>11417</v>
      </c>
      <c r="S357" s="5">
        <f t="shared" si="74"/>
        <v>1</v>
      </c>
      <c r="T357" s="7">
        <f t="shared" si="68"/>
        <v>11417</v>
      </c>
    </row>
    <row r="358" spans="1:20">
      <c r="A358" s="23" t="s">
        <v>386</v>
      </c>
      <c r="B358" s="35" t="s">
        <v>383</v>
      </c>
      <c r="C358" s="36">
        <v>796</v>
      </c>
      <c r="D358" s="6"/>
      <c r="E358" s="113">
        <v>42562161</v>
      </c>
      <c r="F358" s="116">
        <f t="shared" si="76"/>
        <v>53470.05150753769</v>
      </c>
      <c r="G358" s="117">
        <v>26797596</v>
      </c>
      <c r="H358" s="117">
        <f t="shared" si="77"/>
        <v>33665.321608040198</v>
      </c>
      <c r="I358" s="7"/>
      <c r="J358" s="10">
        <v>5.6535000000000002</v>
      </c>
      <c r="K358" s="117">
        <v>151500</v>
      </c>
      <c r="L358" s="120">
        <f t="shared" si="75"/>
        <v>190.32663316582915</v>
      </c>
      <c r="M358" s="122">
        <f t="shared" si="71"/>
        <v>267975.96000000002</v>
      </c>
      <c r="N358" s="116">
        <f t="shared" si="72"/>
        <v>116475.96000000002</v>
      </c>
      <c r="O358" s="123">
        <f t="shared" si="73"/>
        <v>146.3265829145729</v>
      </c>
      <c r="P358" s="5"/>
      <c r="Q358" s="5">
        <f t="shared" si="69"/>
        <v>1</v>
      </c>
      <c r="R358" s="7">
        <f t="shared" si="70"/>
        <v>796</v>
      </c>
      <c r="S358" s="5">
        <f t="shared" si="74"/>
        <v>1</v>
      </c>
      <c r="T358" s="7">
        <f t="shared" si="68"/>
        <v>796</v>
      </c>
    </row>
    <row r="359" spans="1:20">
      <c r="A359" s="23" t="s">
        <v>387</v>
      </c>
      <c r="B359" s="35" t="s">
        <v>383</v>
      </c>
      <c r="C359" s="36">
        <v>624</v>
      </c>
      <c r="D359" s="6"/>
      <c r="E359" s="113">
        <v>79660258</v>
      </c>
      <c r="F359" s="116">
        <f t="shared" si="76"/>
        <v>127660.66987179487</v>
      </c>
      <c r="G359" s="117">
        <v>55169055</v>
      </c>
      <c r="H359" s="117">
        <f t="shared" si="77"/>
        <v>88411.94711538461</v>
      </c>
      <c r="I359" s="7"/>
      <c r="J359" s="10">
        <v>6.3</v>
      </c>
      <c r="K359" s="117">
        <v>347565</v>
      </c>
      <c r="L359" s="120">
        <f t="shared" si="75"/>
        <v>556.99519230769226</v>
      </c>
      <c r="M359" s="122">
        <f t="shared" si="71"/>
        <v>551690.55000000005</v>
      </c>
      <c r="N359" s="116">
        <f t="shared" si="72"/>
        <v>204125.55000000005</v>
      </c>
      <c r="O359" s="123">
        <f t="shared" si="73"/>
        <v>327.12427884615391</v>
      </c>
      <c r="P359" s="5"/>
      <c r="Q359" s="5">
        <f t="shared" si="69"/>
        <v>1</v>
      </c>
      <c r="R359" s="7">
        <f t="shared" si="70"/>
        <v>624</v>
      </c>
      <c r="S359" s="5">
        <f t="shared" si="74"/>
        <v>1</v>
      </c>
      <c r="T359" s="7">
        <f t="shared" si="68"/>
        <v>624</v>
      </c>
    </row>
    <row r="360" spans="1:20">
      <c r="A360" s="23" t="s">
        <v>390</v>
      </c>
      <c r="B360" s="35" t="s">
        <v>391</v>
      </c>
      <c r="C360" s="36">
        <v>5774</v>
      </c>
      <c r="D360" s="6"/>
      <c r="E360" s="113">
        <v>1189762102</v>
      </c>
      <c r="F360" s="116">
        <f t="shared" si="76"/>
        <v>206055.09213716662</v>
      </c>
      <c r="G360" s="117">
        <v>666719387</v>
      </c>
      <c r="H360" s="117">
        <f t="shared" si="77"/>
        <v>115469.23917561483</v>
      </c>
      <c r="I360" s="7"/>
      <c r="J360" s="10">
        <v>1.6283000000000001</v>
      </c>
      <c r="K360" s="117">
        <v>1085619</v>
      </c>
      <c r="L360" s="120">
        <f t="shared" si="75"/>
        <v>188.01853134741947</v>
      </c>
      <c r="M360" s="122">
        <f t="shared" si="71"/>
        <v>6667193.8700000001</v>
      </c>
      <c r="N360" s="116">
        <f t="shared" si="72"/>
        <v>5581574.8700000001</v>
      </c>
      <c r="O360" s="123">
        <f t="shared" si="73"/>
        <v>966.67386040872884</v>
      </c>
      <c r="P360" s="5"/>
      <c r="Q360" s="5">
        <f t="shared" si="69"/>
        <v>1</v>
      </c>
      <c r="R360" s="7">
        <f t="shared" si="70"/>
        <v>5774</v>
      </c>
      <c r="S360" s="5">
        <f t="shared" si="74"/>
        <v>1</v>
      </c>
      <c r="T360" s="7">
        <f t="shared" si="68"/>
        <v>5774</v>
      </c>
    </row>
    <row r="361" spans="1:20">
      <c r="A361" s="23" t="s">
        <v>392</v>
      </c>
      <c r="B361" s="35" t="s">
        <v>391</v>
      </c>
      <c r="C361" s="36">
        <v>554</v>
      </c>
      <c r="D361" s="6"/>
      <c r="E361" s="113">
        <v>66307223</v>
      </c>
      <c r="F361" s="116">
        <f t="shared" si="76"/>
        <v>119688.12815884476</v>
      </c>
      <c r="G361" s="117">
        <v>43373426</v>
      </c>
      <c r="H361" s="117">
        <f t="shared" si="77"/>
        <v>78291.38267148014</v>
      </c>
      <c r="I361" s="7"/>
      <c r="J361" s="10">
        <v>2</v>
      </c>
      <c r="K361" s="117">
        <v>86747</v>
      </c>
      <c r="L361" s="120">
        <f t="shared" si="75"/>
        <v>156.58303249097472</v>
      </c>
      <c r="M361" s="122">
        <f t="shared" si="71"/>
        <v>433734.26</v>
      </c>
      <c r="N361" s="116">
        <f t="shared" si="72"/>
        <v>346987.26</v>
      </c>
      <c r="O361" s="123">
        <f t="shared" si="73"/>
        <v>626.33079422382673</v>
      </c>
      <c r="P361" s="5"/>
      <c r="Q361" s="5">
        <f t="shared" si="69"/>
        <v>1</v>
      </c>
      <c r="R361" s="7">
        <f t="shared" si="70"/>
        <v>554</v>
      </c>
      <c r="S361" s="5">
        <f t="shared" si="74"/>
        <v>1</v>
      </c>
      <c r="T361" s="7">
        <f t="shared" si="68"/>
        <v>554</v>
      </c>
    </row>
    <row r="362" spans="1:20">
      <c r="A362" s="23" t="s">
        <v>393</v>
      </c>
      <c r="B362" s="35" t="s">
        <v>391</v>
      </c>
      <c r="C362" s="36">
        <v>7689</v>
      </c>
      <c r="D362" s="6"/>
      <c r="E362" s="113">
        <v>546333361</v>
      </c>
      <c r="F362" s="116">
        <f t="shared" si="76"/>
        <v>71053.890102744175</v>
      </c>
      <c r="G362" s="117">
        <v>340196232</v>
      </c>
      <c r="H362" s="117">
        <f t="shared" si="77"/>
        <v>44244.535310183375</v>
      </c>
      <c r="I362" s="7"/>
      <c r="J362" s="10">
        <v>2.75</v>
      </c>
      <c r="K362" s="117">
        <v>935540</v>
      </c>
      <c r="L362" s="120">
        <f t="shared" si="75"/>
        <v>121.6725191832488</v>
      </c>
      <c r="M362" s="122">
        <f t="shared" si="71"/>
        <v>3401962.3200000003</v>
      </c>
      <c r="N362" s="116">
        <f t="shared" si="72"/>
        <v>2466422.3200000003</v>
      </c>
      <c r="O362" s="123">
        <f t="shared" si="73"/>
        <v>320.77283391858504</v>
      </c>
      <c r="P362" s="5"/>
      <c r="Q362" s="5">
        <f t="shared" si="69"/>
        <v>1</v>
      </c>
      <c r="R362" s="7">
        <f t="shared" si="70"/>
        <v>7689</v>
      </c>
      <c r="S362" s="5">
        <f t="shared" si="74"/>
        <v>1</v>
      </c>
      <c r="T362" s="7">
        <f t="shared" si="68"/>
        <v>7689</v>
      </c>
    </row>
    <row r="363" spans="1:20">
      <c r="A363" s="23" t="s">
        <v>394</v>
      </c>
      <c r="B363" s="35" t="s">
        <v>395</v>
      </c>
      <c r="C363" s="36">
        <v>47770</v>
      </c>
      <c r="D363" s="6"/>
      <c r="E363" s="113">
        <v>6494749447</v>
      </c>
      <c r="F363" s="116">
        <f t="shared" si="76"/>
        <v>135958.74915218758</v>
      </c>
      <c r="G363" s="117">
        <v>4931137038</v>
      </c>
      <c r="H363" s="117">
        <f t="shared" si="77"/>
        <v>103226.64931965669</v>
      </c>
      <c r="I363" s="7"/>
      <c r="J363" s="10">
        <v>3.3</v>
      </c>
      <c r="K363" s="117">
        <v>16272752</v>
      </c>
      <c r="L363" s="120">
        <f t="shared" si="75"/>
        <v>340.64793803642453</v>
      </c>
      <c r="M363" s="122">
        <f t="shared" si="71"/>
        <v>49311370.380000003</v>
      </c>
      <c r="N363" s="116">
        <f t="shared" si="72"/>
        <v>33038618.380000003</v>
      </c>
      <c r="O363" s="123">
        <f t="shared" si="73"/>
        <v>691.61855516014236</v>
      </c>
      <c r="P363" s="5"/>
      <c r="Q363" s="5">
        <f t="shared" si="69"/>
        <v>1</v>
      </c>
      <c r="R363" s="7">
        <f t="shared" si="70"/>
        <v>47770</v>
      </c>
      <c r="S363" s="5">
        <f t="shared" si="74"/>
        <v>1</v>
      </c>
      <c r="T363" s="7">
        <f t="shared" si="68"/>
        <v>47770</v>
      </c>
    </row>
    <row r="364" spans="1:20">
      <c r="A364" s="23" t="s">
        <v>395</v>
      </c>
      <c r="B364" s="35" t="s">
        <v>395</v>
      </c>
      <c r="C364" s="36">
        <v>55364</v>
      </c>
      <c r="D364" s="6"/>
      <c r="E364" s="113">
        <v>15015205934</v>
      </c>
      <c r="F364" s="116">
        <f t="shared" si="76"/>
        <v>271208.83487464779</v>
      </c>
      <c r="G364" s="117">
        <v>9716115668</v>
      </c>
      <c r="H364" s="117">
        <f t="shared" si="77"/>
        <v>175495.18943717939</v>
      </c>
      <c r="I364" s="7"/>
      <c r="J364" s="10">
        <v>2.9022000000000001</v>
      </c>
      <c r="K364" s="117">
        <v>28198111</v>
      </c>
      <c r="L364" s="120">
        <f t="shared" si="75"/>
        <v>509.32214074127592</v>
      </c>
      <c r="M364" s="122">
        <f t="shared" si="71"/>
        <v>97161156.680000007</v>
      </c>
      <c r="N364" s="116">
        <f t="shared" si="72"/>
        <v>68963045.680000007</v>
      </c>
      <c r="O364" s="123">
        <f t="shared" si="73"/>
        <v>1245.6297536305181</v>
      </c>
      <c r="P364" s="5"/>
      <c r="Q364" s="5">
        <f t="shared" si="69"/>
        <v>1</v>
      </c>
      <c r="R364" s="7">
        <f t="shared" si="70"/>
        <v>55364</v>
      </c>
      <c r="S364" s="5">
        <f t="shared" si="74"/>
        <v>1</v>
      </c>
      <c r="T364" s="7">
        <f t="shared" si="68"/>
        <v>55364</v>
      </c>
    </row>
    <row r="365" spans="1:20">
      <c r="A365" s="23" t="s">
        <v>396</v>
      </c>
      <c r="B365" s="35" t="s">
        <v>395</v>
      </c>
      <c r="C365" s="36">
        <v>21584</v>
      </c>
      <c r="D365" s="6"/>
      <c r="E365" s="113">
        <v>5577397584</v>
      </c>
      <c r="F365" s="116">
        <f t="shared" si="76"/>
        <v>258404.26167531504</v>
      </c>
      <c r="G365" s="117">
        <v>4150313277</v>
      </c>
      <c r="H365" s="117">
        <f t="shared" si="77"/>
        <v>192286.56768902892</v>
      </c>
      <c r="I365" s="7"/>
      <c r="J365" s="10">
        <v>3.129</v>
      </c>
      <c r="K365" s="117">
        <v>12986330</v>
      </c>
      <c r="L365" s="120">
        <f t="shared" si="75"/>
        <v>601.66465900667163</v>
      </c>
      <c r="M365" s="122">
        <f t="shared" si="71"/>
        <v>41503132.770000003</v>
      </c>
      <c r="N365" s="116">
        <f t="shared" si="72"/>
        <v>28516802.770000003</v>
      </c>
      <c r="O365" s="123">
        <f t="shared" si="73"/>
        <v>1321.2010178836176</v>
      </c>
      <c r="P365" s="5"/>
      <c r="Q365" s="5">
        <f t="shared" si="69"/>
        <v>1</v>
      </c>
      <c r="R365" s="7">
        <f t="shared" si="70"/>
        <v>21584</v>
      </c>
      <c r="S365" s="5">
        <f t="shared" si="74"/>
        <v>1</v>
      </c>
      <c r="T365" s="7">
        <f t="shared" si="68"/>
        <v>21584</v>
      </c>
    </row>
    <row r="366" spans="1:20">
      <c r="A366" s="23" t="s">
        <v>397</v>
      </c>
      <c r="B366" s="35" t="s">
        <v>360</v>
      </c>
      <c r="C366" s="36">
        <v>43054</v>
      </c>
      <c r="D366" s="6"/>
      <c r="E366" s="113">
        <v>4152189223</v>
      </c>
      <c r="F366" s="116">
        <f t="shared" si="76"/>
        <v>96441.427579318988</v>
      </c>
      <c r="G366" s="117">
        <v>3267600361</v>
      </c>
      <c r="H366" s="117">
        <f t="shared" si="77"/>
        <v>75895.39557300134</v>
      </c>
      <c r="I366" s="7"/>
      <c r="J366" s="10">
        <v>2.65</v>
      </c>
      <c r="K366" s="117">
        <v>8659141</v>
      </c>
      <c r="L366" s="120">
        <f t="shared" si="75"/>
        <v>201.12279927532865</v>
      </c>
      <c r="M366" s="122">
        <f t="shared" si="71"/>
        <v>32676003.609999999</v>
      </c>
      <c r="N366" s="116">
        <f t="shared" si="72"/>
        <v>24016862.609999999</v>
      </c>
      <c r="O366" s="123">
        <f t="shared" si="73"/>
        <v>557.83115645468479</v>
      </c>
      <c r="P366" s="5"/>
      <c r="Q366" s="5">
        <f t="shared" si="69"/>
        <v>1</v>
      </c>
      <c r="R366" s="7">
        <f t="shared" si="70"/>
        <v>43054</v>
      </c>
      <c r="S366" s="5">
        <f t="shared" si="74"/>
        <v>1</v>
      </c>
      <c r="T366" s="7">
        <f t="shared" si="68"/>
        <v>43054</v>
      </c>
    </row>
    <row r="367" spans="1:20">
      <c r="A367" s="23" t="s">
        <v>398</v>
      </c>
      <c r="B367" s="35" t="s">
        <v>360</v>
      </c>
      <c r="C367" s="36">
        <v>24930</v>
      </c>
      <c r="D367" s="6"/>
      <c r="E367" s="113">
        <v>1978699825</v>
      </c>
      <c r="F367" s="116">
        <f t="shared" si="76"/>
        <v>79370.229643000406</v>
      </c>
      <c r="G367" s="117">
        <v>1414394195</v>
      </c>
      <c r="H367" s="117">
        <f t="shared" si="77"/>
        <v>56734.624749298033</v>
      </c>
      <c r="I367" s="7"/>
      <c r="J367" s="10">
        <v>5</v>
      </c>
      <c r="K367" s="117">
        <v>7071971</v>
      </c>
      <c r="L367" s="120">
        <f t="shared" si="75"/>
        <v>283.67312474929804</v>
      </c>
      <c r="M367" s="122">
        <f t="shared" si="71"/>
        <v>14143941.950000001</v>
      </c>
      <c r="N367" s="116">
        <f t="shared" si="72"/>
        <v>7071970.9500000011</v>
      </c>
      <c r="O367" s="123">
        <f t="shared" si="73"/>
        <v>283.67312274368237</v>
      </c>
      <c r="P367" s="5"/>
      <c r="Q367" s="5">
        <f t="shared" si="69"/>
        <v>1</v>
      </c>
      <c r="R367" s="7">
        <f t="shared" si="70"/>
        <v>24930</v>
      </c>
      <c r="S367" s="5">
        <f t="shared" si="74"/>
        <v>1</v>
      </c>
      <c r="T367" s="7">
        <f t="shared" si="68"/>
        <v>24930</v>
      </c>
    </row>
    <row r="368" spans="1:20">
      <c r="A368" s="23" t="s">
        <v>399</v>
      </c>
      <c r="B368" s="35" t="s">
        <v>360</v>
      </c>
      <c r="C368" s="36">
        <v>14020</v>
      </c>
      <c r="D368" s="6"/>
      <c r="E368" s="113">
        <v>2550769791</v>
      </c>
      <c r="F368" s="116">
        <f t="shared" si="76"/>
        <v>181937.93088445079</v>
      </c>
      <c r="G368" s="117">
        <v>1994307290</v>
      </c>
      <c r="H368" s="117">
        <f t="shared" si="77"/>
        <v>142247.31027104138</v>
      </c>
      <c r="I368" s="7"/>
      <c r="J368" s="10">
        <v>3.9998</v>
      </c>
      <c r="K368" s="117">
        <v>7976830</v>
      </c>
      <c r="L368" s="120">
        <f t="shared" si="75"/>
        <v>568.96077032810274</v>
      </c>
      <c r="M368" s="122">
        <f t="shared" si="71"/>
        <v>19943072.900000002</v>
      </c>
      <c r="N368" s="116">
        <f t="shared" si="72"/>
        <v>11966242.900000002</v>
      </c>
      <c r="O368" s="123">
        <f t="shared" si="73"/>
        <v>853.51233238231111</v>
      </c>
      <c r="P368" s="5"/>
      <c r="Q368" s="5">
        <f t="shared" si="69"/>
        <v>1</v>
      </c>
      <c r="R368" s="7">
        <f t="shared" si="70"/>
        <v>14020</v>
      </c>
      <c r="S368" s="5">
        <f t="shared" si="74"/>
        <v>1</v>
      </c>
      <c r="T368" s="7">
        <f t="shared" si="68"/>
        <v>14020</v>
      </c>
    </row>
    <row r="369" spans="1:20">
      <c r="A369" s="23" t="s">
        <v>400</v>
      </c>
      <c r="B369" s="35" t="s">
        <v>360</v>
      </c>
      <c r="C369" s="36">
        <v>13925</v>
      </c>
      <c r="D369" s="6"/>
      <c r="E369" s="113">
        <v>1535178870</v>
      </c>
      <c r="F369" s="116">
        <f t="shared" si="76"/>
        <v>110246.23842010772</v>
      </c>
      <c r="G369" s="117">
        <v>1077622701</v>
      </c>
      <c r="H369" s="117">
        <f t="shared" si="77"/>
        <v>77387.626642728908</v>
      </c>
      <c r="I369" s="7"/>
      <c r="J369" s="10">
        <v>4.99</v>
      </c>
      <c r="K369" s="117">
        <v>5377337</v>
      </c>
      <c r="L369" s="120">
        <f t="shared" si="75"/>
        <v>386.16423698384199</v>
      </c>
      <c r="M369" s="122">
        <f t="shared" si="71"/>
        <v>10776227.01</v>
      </c>
      <c r="N369" s="116">
        <f t="shared" si="72"/>
        <v>5398890.0099999998</v>
      </c>
      <c r="O369" s="123">
        <f t="shared" si="73"/>
        <v>387.71202944344702</v>
      </c>
      <c r="P369" s="5"/>
      <c r="Q369" s="5">
        <f t="shared" si="69"/>
        <v>1</v>
      </c>
      <c r="R369" s="7">
        <f t="shared" si="70"/>
        <v>13925</v>
      </c>
      <c r="S369" s="5">
        <f t="shared" si="74"/>
        <v>1</v>
      </c>
      <c r="T369" s="7">
        <f t="shared" si="68"/>
        <v>13925</v>
      </c>
    </row>
    <row r="370" spans="1:20">
      <c r="A370" s="23" t="s">
        <v>401</v>
      </c>
      <c r="B370" s="35" t="s">
        <v>360</v>
      </c>
      <c r="C370" s="36">
        <v>31946</v>
      </c>
      <c r="D370" s="6"/>
      <c r="E370" s="113">
        <v>3224911467</v>
      </c>
      <c r="F370" s="116">
        <f t="shared" si="76"/>
        <v>100948.83450197207</v>
      </c>
      <c r="G370" s="117">
        <v>2143914844</v>
      </c>
      <c r="H370" s="117">
        <f t="shared" si="77"/>
        <v>67110.587992236906</v>
      </c>
      <c r="I370" s="7"/>
      <c r="J370" s="10">
        <v>5.335</v>
      </c>
      <c r="K370" s="117">
        <v>11437786</v>
      </c>
      <c r="L370" s="120">
        <f t="shared" si="75"/>
        <v>358.03499655668941</v>
      </c>
      <c r="M370" s="122">
        <f t="shared" si="71"/>
        <v>21439148.440000001</v>
      </c>
      <c r="N370" s="116">
        <f t="shared" si="72"/>
        <v>10001362.440000001</v>
      </c>
      <c r="O370" s="123">
        <f t="shared" si="73"/>
        <v>313.07088336567961</v>
      </c>
      <c r="P370" s="5"/>
      <c r="Q370" s="5">
        <f t="shared" si="69"/>
        <v>1</v>
      </c>
      <c r="R370" s="7">
        <f t="shared" si="70"/>
        <v>31946</v>
      </c>
      <c r="S370" s="5">
        <f t="shared" si="74"/>
        <v>1</v>
      </c>
      <c r="T370" s="7">
        <f t="shared" si="68"/>
        <v>31946</v>
      </c>
    </row>
    <row r="371" spans="1:20">
      <c r="A371" s="23" t="s">
        <v>402</v>
      </c>
      <c r="B371" s="35" t="s">
        <v>360</v>
      </c>
      <c r="C371" s="36">
        <v>51227</v>
      </c>
      <c r="D371" s="6"/>
      <c r="E371" s="113">
        <v>4125353589</v>
      </c>
      <c r="F371" s="116">
        <f t="shared" si="76"/>
        <v>80530.844847443732</v>
      </c>
      <c r="G371" s="117">
        <v>2905254614</v>
      </c>
      <c r="H371" s="117">
        <f t="shared" si="77"/>
        <v>56713.346750736913</v>
      </c>
      <c r="I371" s="7"/>
      <c r="J371" s="10">
        <v>6.3250000000000002</v>
      </c>
      <c r="K371" s="117">
        <v>18375735</v>
      </c>
      <c r="L371" s="120">
        <f t="shared" si="75"/>
        <v>358.71190973510062</v>
      </c>
      <c r="M371" s="122">
        <f t="shared" si="71"/>
        <v>29052546.140000001</v>
      </c>
      <c r="N371" s="116">
        <f t="shared" si="72"/>
        <v>10676811.140000001</v>
      </c>
      <c r="O371" s="123">
        <f t="shared" si="73"/>
        <v>208.42155777226853</v>
      </c>
      <c r="P371" s="5"/>
      <c r="Q371" s="5">
        <f t="shared" si="69"/>
        <v>1</v>
      </c>
      <c r="R371" s="7">
        <f t="shared" si="70"/>
        <v>51227</v>
      </c>
      <c r="S371" s="5">
        <f t="shared" si="74"/>
        <v>1</v>
      </c>
      <c r="T371" s="7">
        <f t="shared" si="68"/>
        <v>51227</v>
      </c>
    </row>
    <row r="372" spans="1:20">
      <c r="A372" s="23" t="s">
        <v>403</v>
      </c>
      <c r="B372" s="35" t="s">
        <v>360</v>
      </c>
      <c r="C372" s="36">
        <v>33971</v>
      </c>
      <c r="D372" s="6"/>
      <c r="E372" s="113">
        <v>3199177668</v>
      </c>
      <c r="F372" s="116">
        <f t="shared" si="76"/>
        <v>94173.78552294604</v>
      </c>
      <c r="G372" s="117">
        <v>2003805968</v>
      </c>
      <c r="H372" s="117">
        <f t="shared" si="77"/>
        <v>58985.781048541401</v>
      </c>
      <c r="I372" s="7"/>
      <c r="J372" s="10">
        <v>4.2919</v>
      </c>
      <c r="K372" s="117">
        <v>8600135</v>
      </c>
      <c r="L372" s="120">
        <f t="shared" si="75"/>
        <v>253.16107856701305</v>
      </c>
      <c r="M372" s="122">
        <f t="shared" si="71"/>
        <v>20038059.68</v>
      </c>
      <c r="N372" s="116">
        <f t="shared" si="72"/>
        <v>11437924.68</v>
      </c>
      <c r="O372" s="123">
        <f t="shared" si="73"/>
        <v>336.69673191840099</v>
      </c>
      <c r="P372" s="5"/>
      <c r="Q372" s="5">
        <f t="shared" si="69"/>
        <v>1</v>
      </c>
      <c r="R372" s="7">
        <f t="shared" si="70"/>
        <v>33971</v>
      </c>
      <c r="S372" s="5">
        <f t="shared" si="74"/>
        <v>1</v>
      </c>
      <c r="T372" s="7">
        <f t="shared" si="68"/>
        <v>33971</v>
      </c>
    </row>
    <row r="373" spans="1:20">
      <c r="A373" s="23" t="s">
        <v>388</v>
      </c>
      <c r="B373" s="35" t="s">
        <v>551</v>
      </c>
      <c r="C373" s="36">
        <v>655</v>
      </c>
      <c r="D373" s="6"/>
      <c r="E373" s="113">
        <v>45533009</v>
      </c>
      <c r="F373" s="116">
        <f t="shared" si="76"/>
        <v>69516.044274809159</v>
      </c>
      <c r="G373" s="117">
        <v>28297174</v>
      </c>
      <c r="H373" s="117">
        <f t="shared" si="77"/>
        <v>43201.792366412214</v>
      </c>
      <c r="I373" s="7"/>
      <c r="J373" s="10">
        <v>8</v>
      </c>
      <c r="K373" s="117">
        <v>226377</v>
      </c>
      <c r="L373" s="120">
        <f t="shared" si="75"/>
        <v>345.61374045801529</v>
      </c>
      <c r="M373" s="122">
        <f t="shared" si="71"/>
        <v>282971.74</v>
      </c>
      <c r="N373" s="116">
        <f t="shared" si="72"/>
        <v>56594.739999999991</v>
      </c>
      <c r="O373" s="123">
        <f t="shared" si="73"/>
        <v>86.40418320610685</v>
      </c>
      <c r="P373" s="5"/>
      <c r="Q373" s="5">
        <f t="shared" si="69"/>
        <v>1</v>
      </c>
      <c r="R373" s="7">
        <f t="shared" si="70"/>
        <v>655</v>
      </c>
      <c r="S373" s="5">
        <f t="shared" si="74"/>
        <v>1</v>
      </c>
      <c r="T373" s="7">
        <f t="shared" si="68"/>
        <v>655</v>
      </c>
    </row>
    <row r="374" spans="1:20">
      <c r="A374" s="23" t="s">
        <v>549</v>
      </c>
      <c r="B374" s="35" t="s">
        <v>551</v>
      </c>
      <c r="C374" s="36">
        <v>13702</v>
      </c>
      <c r="D374" s="6"/>
      <c r="E374" s="113">
        <v>2595268541</v>
      </c>
      <c r="F374" s="116">
        <f t="shared" si="76"/>
        <v>189408.00912275582</v>
      </c>
      <c r="G374" s="117">
        <v>1646838435</v>
      </c>
      <c r="H374" s="117">
        <f t="shared" si="77"/>
        <v>120189.63910378047</v>
      </c>
      <c r="I374" s="7"/>
      <c r="J374" s="10">
        <v>6.6</v>
      </c>
      <c r="K374" s="117">
        <v>10869134</v>
      </c>
      <c r="L374" s="120">
        <f t="shared" si="75"/>
        <v>793.25164209604441</v>
      </c>
      <c r="M374" s="122">
        <f t="shared" si="71"/>
        <v>16468384.35</v>
      </c>
      <c r="N374" s="116">
        <f t="shared" si="72"/>
        <v>5599250.3499999996</v>
      </c>
      <c r="O374" s="123">
        <f t="shared" si="73"/>
        <v>408.64474894176033</v>
      </c>
      <c r="P374" s="5"/>
      <c r="Q374" s="5">
        <f t="shared" si="69"/>
        <v>1</v>
      </c>
      <c r="R374" s="7">
        <f t="shared" si="70"/>
        <v>13702</v>
      </c>
      <c r="S374" s="5">
        <f t="shared" si="74"/>
        <v>1</v>
      </c>
      <c r="T374" s="7">
        <f t="shared" si="68"/>
        <v>13702</v>
      </c>
    </row>
    <row r="375" spans="1:20">
      <c r="A375" s="23" t="s">
        <v>550</v>
      </c>
      <c r="B375" s="35" t="s">
        <v>551</v>
      </c>
      <c r="C375" s="36">
        <v>5908</v>
      </c>
      <c r="D375" s="6"/>
      <c r="E375" s="113">
        <v>1537580264</v>
      </c>
      <c r="F375" s="116">
        <f t="shared" si="76"/>
        <v>260253.93771157751</v>
      </c>
      <c r="G375" s="117">
        <v>1262524813</v>
      </c>
      <c r="H375" s="117">
        <f t="shared" si="77"/>
        <v>213697.4971225457</v>
      </c>
      <c r="I375" s="7"/>
      <c r="J375" s="10">
        <v>1.8</v>
      </c>
      <c r="K375" s="117">
        <v>2272545</v>
      </c>
      <c r="L375" s="120">
        <f t="shared" ref="L375:L380" si="78">(K375/C375)</f>
        <v>384.65555179417737</v>
      </c>
      <c r="M375" s="122">
        <f t="shared" si="71"/>
        <v>12625248.130000001</v>
      </c>
      <c r="N375" s="116">
        <f t="shared" si="72"/>
        <v>10352703.130000001</v>
      </c>
      <c r="O375" s="123">
        <f t="shared" si="73"/>
        <v>1752.3194194312798</v>
      </c>
      <c r="P375" s="5"/>
      <c r="Q375" s="5">
        <f t="shared" si="69"/>
        <v>1</v>
      </c>
      <c r="R375" s="7">
        <f t="shared" si="70"/>
        <v>5908</v>
      </c>
      <c r="S375" s="5">
        <f t="shared" si="74"/>
        <v>1</v>
      </c>
      <c r="T375" s="7">
        <f t="shared" si="68"/>
        <v>5908</v>
      </c>
    </row>
    <row r="376" spans="1:20">
      <c r="A376" s="23" t="s">
        <v>389</v>
      </c>
      <c r="B376" s="35" t="s">
        <v>552</v>
      </c>
      <c r="C376" s="36">
        <v>41102</v>
      </c>
      <c r="D376" s="6"/>
      <c r="E376" s="113">
        <v>4016507461</v>
      </c>
      <c r="F376" s="116">
        <f t="shared" si="76"/>
        <v>97720.487105250359</v>
      </c>
      <c r="G376" s="117">
        <v>2733746997</v>
      </c>
      <c r="H376" s="117">
        <f t="shared" si="77"/>
        <v>66511.288915381243</v>
      </c>
      <c r="I376" s="7"/>
      <c r="J376" s="10">
        <v>5.9823000000000004</v>
      </c>
      <c r="K376" s="117">
        <v>16354095</v>
      </c>
      <c r="L376" s="120">
        <f t="shared" si="78"/>
        <v>397.8904919468639</v>
      </c>
      <c r="M376" s="122">
        <f t="shared" si="71"/>
        <v>27337469.969999999</v>
      </c>
      <c r="N376" s="116">
        <f t="shared" si="72"/>
        <v>10983374.969999999</v>
      </c>
      <c r="O376" s="123">
        <f t="shared" si="73"/>
        <v>267.22239720694853</v>
      </c>
      <c r="P376" s="5"/>
      <c r="Q376" s="5">
        <f t="shared" si="69"/>
        <v>1</v>
      </c>
      <c r="R376" s="7">
        <f t="shared" si="70"/>
        <v>41102</v>
      </c>
      <c r="S376" s="5">
        <f t="shared" si="74"/>
        <v>1</v>
      </c>
      <c r="T376" s="7">
        <f t="shared" si="68"/>
        <v>41102</v>
      </c>
    </row>
    <row r="377" spans="1:20">
      <c r="A377" s="23" t="s">
        <v>553</v>
      </c>
      <c r="B377" s="35" t="s">
        <v>552</v>
      </c>
      <c r="C377" s="36">
        <v>144159</v>
      </c>
      <c r="D377" s="6"/>
      <c r="E377" s="113">
        <v>17865941110</v>
      </c>
      <c r="F377" s="116">
        <f t="shared" si="76"/>
        <v>123932.19368891294</v>
      </c>
      <c r="G377" s="117">
        <v>12140246044</v>
      </c>
      <c r="H377" s="117">
        <f t="shared" si="77"/>
        <v>84214.277596265238</v>
      </c>
      <c r="I377" s="7"/>
      <c r="J377" s="10">
        <v>3.4399000000000002</v>
      </c>
      <c r="K377" s="117">
        <v>41761232</v>
      </c>
      <c r="L377" s="120">
        <f t="shared" si="78"/>
        <v>289.68869095928801</v>
      </c>
      <c r="M377" s="122">
        <f t="shared" si="71"/>
        <v>121402460.44</v>
      </c>
      <c r="N377" s="116">
        <f t="shared" si="72"/>
        <v>79641228.439999998</v>
      </c>
      <c r="O377" s="123">
        <f t="shared" si="73"/>
        <v>552.4540850033643</v>
      </c>
      <c r="P377" s="5"/>
      <c r="Q377" s="5">
        <f t="shared" si="69"/>
        <v>1</v>
      </c>
      <c r="R377" s="7">
        <f t="shared" si="70"/>
        <v>144159</v>
      </c>
      <c r="S377" s="5">
        <f t="shared" si="74"/>
        <v>1</v>
      </c>
      <c r="T377" s="7">
        <f t="shared" si="68"/>
        <v>144159</v>
      </c>
    </row>
    <row r="378" spans="1:20">
      <c r="A378" s="23" t="s">
        <v>554</v>
      </c>
      <c r="B378" s="35" t="s">
        <v>552</v>
      </c>
      <c r="C378" s="36">
        <v>622</v>
      </c>
      <c r="D378" s="6"/>
      <c r="E378" s="113">
        <v>109568822</v>
      </c>
      <c r="F378" s="116">
        <f t="shared" si="76"/>
        <v>176155.66237942124</v>
      </c>
      <c r="G378" s="117">
        <v>71208234</v>
      </c>
      <c r="H378" s="117">
        <f t="shared" si="77"/>
        <v>114482.69131832797</v>
      </c>
      <c r="I378" s="7"/>
      <c r="J378" s="10">
        <v>1.5</v>
      </c>
      <c r="K378" s="117">
        <v>106812</v>
      </c>
      <c r="L378" s="120">
        <f t="shared" si="78"/>
        <v>171.7234726688103</v>
      </c>
      <c r="M378" s="122">
        <f t="shared" si="71"/>
        <v>712082.34</v>
      </c>
      <c r="N378" s="116">
        <f t="shared" si="72"/>
        <v>605270.34</v>
      </c>
      <c r="O378" s="123">
        <f t="shared" si="73"/>
        <v>973.10344051446941</v>
      </c>
      <c r="P378" s="5"/>
      <c r="Q378" s="5">
        <f t="shared" si="69"/>
        <v>1</v>
      </c>
      <c r="R378" s="7">
        <f t="shared" si="70"/>
        <v>622</v>
      </c>
      <c r="S378" s="5">
        <f t="shared" si="74"/>
        <v>1</v>
      </c>
      <c r="T378" s="7">
        <f t="shared" si="68"/>
        <v>622</v>
      </c>
    </row>
    <row r="379" spans="1:20">
      <c r="A379" s="23" t="s">
        <v>404</v>
      </c>
      <c r="B379" s="35" t="s">
        <v>405</v>
      </c>
      <c r="C379" s="36">
        <v>2327</v>
      </c>
      <c r="D379" s="6"/>
      <c r="E379" s="113">
        <v>161618406</v>
      </c>
      <c r="F379" s="116">
        <f t="shared" si="76"/>
        <v>69453.547915771385</v>
      </c>
      <c r="G379" s="117">
        <v>119514283</v>
      </c>
      <c r="H379" s="117">
        <f t="shared" si="77"/>
        <v>51359.812204555223</v>
      </c>
      <c r="I379" s="9"/>
      <c r="J379" s="10">
        <v>5</v>
      </c>
      <c r="K379" s="117">
        <v>597571</v>
      </c>
      <c r="L379" s="120">
        <f t="shared" si="78"/>
        <v>256.79888268156424</v>
      </c>
      <c r="M379" s="122">
        <f t="shared" si="71"/>
        <v>1195142.83</v>
      </c>
      <c r="N379" s="116">
        <f t="shared" si="72"/>
        <v>597571.83000000007</v>
      </c>
      <c r="O379" s="123">
        <f t="shared" si="73"/>
        <v>256.79923936398802</v>
      </c>
      <c r="P379" s="5"/>
      <c r="Q379" s="5">
        <f t="shared" si="69"/>
        <v>1</v>
      </c>
      <c r="R379" s="7">
        <f t="shared" si="70"/>
        <v>2327</v>
      </c>
      <c r="S379" s="5">
        <f t="shared" si="74"/>
        <v>1</v>
      </c>
      <c r="T379" s="7">
        <f t="shared" si="68"/>
        <v>2327</v>
      </c>
    </row>
    <row r="380" spans="1:20">
      <c r="A380" s="23" t="s">
        <v>406</v>
      </c>
      <c r="B380" s="35" t="s">
        <v>405</v>
      </c>
      <c r="C380" s="36">
        <v>893</v>
      </c>
      <c r="D380" s="6"/>
      <c r="E380" s="113">
        <v>30363623</v>
      </c>
      <c r="F380" s="116">
        <f t="shared" si="76"/>
        <v>34001.817469204929</v>
      </c>
      <c r="G380" s="117">
        <v>14427428</v>
      </c>
      <c r="H380" s="117">
        <f t="shared" si="77"/>
        <v>16156.134378499441</v>
      </c>
      <c r="I380" s="9"/>
      <c r="J380" s="10">
        <v>4</v>
      </c>
      <c r="K380" s="117">
        <v>57710</v>
      </c>
      <c r="L380" s="120">
        <f t="shared" si="78"/>
        <v>64.624860022396419</v>
      </c>
      <c r="M380" s="122">
        <f t="shared" si="71"/>
        <v>144274.28</v>
      </c>
      <c r="N380" s="116">
        <f t="shared" si="72"/>
        <v>86564.28</v>
      </c>
      <c r="O380" s="123">
        <f t="shared" si="73"/>
        <v>96.936483762597987</v>
      </c>
      <c r="P380" s="5"/>
      <c r="Q380" s="5">
        <f t="shared" si="69"/>
        <v>1</v>
      </c>
      <c r="R380" s="7">
        <f t="shared" si="70"/>
        <v>893</v>
      </c>
      <c r="S380" s="5">
        <f t="shared" si="74"/>
        <v>1</v>
      </c>
      <c r="T380" s="7">
        <f t="shared" si="68"/>
        <v>893</v>
      </c>
    </row>
    <row r="381" spans="1:20">
      <c r="A381" s="23" t="s">
        <v>407</v>
      </c>
      <c r="B381" s="35" t="s">
        <v>405</v>
      </c>
      <c r="C381" s="36">
        <v>655</v>
      </c>
      <c r="D381" s="6" t="s">
        <v>527</v>
      </c>
      <c r="E381" s="113"/>
      <c r="F381" s="116"/>
      <c r="G381" s="117"/>
      <c r="H381" s="117"/>
      <c r="I381" s="9" t="s">
        <v>528</v>
      </c>
      <c r="J381" s="10"/>
      <c r="K381" s="117"/>
      <c r="L381" s="120"/>
      <c r="M381" s="122">
        <f t="shared" si="71"/>
        <v>0</v>
      </c>
      <c r="N381" s="116">
        <f t="shared" si="72"/>
        <v>0</v>
      </c>
      <c r="O381" s="123">
        <f t="shared" si="73"/>
        <v>0</v>
      </c>
      <c r="P381" s="5"/>
      <c r="Q381" s="5">
        <f t="shared" si="69"/>
        <v>0</v>
      </c>
      <c r="R381" s="7">
        <f t="shared" si="70"/>
        <v>0</v>
      </c>
      <c r="S381" s="5">
        <f t="shared" si="74"/>
        <v>0</v>
      </c>
      <c r="T381" s="7">
        <f t="shared" si="68"/>
        <v>0</v>
      </c>
    </row>
    <row r="382" spans="1:20">
      <c r="A382" s="23" t="s">
        <v>408</v>
      </c>
      <c r="B382" s="35" t="s">
        <v>405</v>
      </c>
      <c r="C382" s="36">
        <v>767</v>
      </c>
      <c r="D382" s="6"/>
      <c r="E382" s="113">
        <v>23798574</v>
      </c>
      <c r="F382" s="116">
        <f t="shared" ref="F382:F405" si="79">(E382/C382)</f>
        <v>31028.127770534549</v>
      </c>
      <c r="G382" s="117">
        <v>14635439</v>
      </c>
      <c r="H382" s="117">
        <f t="shared" ref="H382:H405" si="80">(G382/C382)</f>
        <v>19081.406779661018</v>
      </c>
      <c r="I382" s="7"/>
      <c r="J382" s="11">
        <v>7</v>
      </c>
      <c r="K382" s="117">
        <v>102448</v>
      </c>
      <c r="L382" s="120">
        <f t="shared" ref="L382:L387" si="81">(K382/C382)</f>
        <v>133.5697522816167</v>
      </c>
      <c r="M382" s="122">
        <f t="shared" si="71"/>
        <v>146354.39000000001</v>
      </c>
      <c r="N382" s="116">
        <f t="shared" si="72"/>
        <v>43906.390000000014</v>
      </c>
      <c r="O382" s="123">
        <f t="shared" si="73"/>
        <v>57.244315514993502</v>
      </c>
      <c r="P382" s="5"/>
      <c r="Q382" s="5">
        <f t="shared" si="69"/>
        <v>1</v>
      </c>
      <c r="R382" s="7">
        <f t="shared" si="70"/>
        <v>767</v>
      </c>
      <c r="S382" s="5">
        <f t="shared" si="74"/>
        <v>1</v>
      </c>
      <c r="T382" s="7">
        <f t="shared" si="68"/>
        <v>767</v>
      </c>
    </row>
    <row r="383" spans="1:20">
      <c r="A383" s="23" t="s">
        <v>409</v>
      </c>
      <c r="B383" s="35" t="s">
        <v>405</v>
      </c>
      <c r="C383" s="36">
        <v>4564</v>
      </c>
      <c r="D383" s="6"/>
      <c r="E383" s="113">
        <v>277637503</v>
      </c>
      <c r="F383" s="116">
        <f t="shared" si="79"/>
        <v>60832.055872042067</v>
      </c>
      <c r="G383" s="117">
        <v>209904931</v>
      </c>
      <c r="H383" s="117">
        <f t="shared" si="80"/>
        <v>45991.439745836986</v>
      </c>
      <c r="I383" s="7"/>
      <c r="J383" s="10">
        <v>4.79</v>
      </c>
      <c r="K383" s="117">
        <v>1005445</v>
      </c>
      <c r="L383" s="120">
        <f t="shared" si="81"/>
        <v>220.29907975460122</v>
      </c>
      <c r="M383" s="122">
        <f t="shared" si="71"/>
        <v>2099049.31</v>
      </c>
      <c r="N383" s="116">
        <f t="shared" si="72"/>
        <v>1093604.31</v>
      </c>
      <c r="O383" s="123">
        <f t="shared" si="73"/>
        <v>239.61531770376862</v>
      </c>
      <c r="P383" s="5"/>
      <c r="Q383" s="5">
        <f t="shared" si="69"/>
        <v>1</v>
      </c>
      <c r="R383" s="7">
        <f t="shared" si="70"/>
        <v>4564</v>
      </c>
      <c r="S383" s="5">
        <f t="shared" si="74"/>
        <v>1</v>
      </c>
      <c r="T383" s="7">
        <f t="shared" si="68"/>
        <v>4564</v>
      </c>
    </row>
    <row r="384" spans="1:20">
      <c r="A384" s="23" t="s">
        <v>410</v>
      </c>
      <c r="B384" s="35" t="s">
        <v>411</v>
      </c>
      <c r="C384" s="36">
        <v>711</v>
      </c>
      <c r="D384" s="6"/>
      <c r="E384" s="113">
        <v>36937353</v>
      </c>
      <c r="F384" s="116">
        <f t="shared" si="79"/>
        <v>51951.27004219409</v>
      </c>
      <c r="G384" s="117">
        <v>21511278</v>
      </c>
      <c r="H384" s="117">
        <f t="shared" si="80"/>
        <v>30254.962025316454</v>
      </c>
      <c r="I384" s="7"/>
      <c r="J384" s="10">
        <v>4.25</v>
      </c>
      <c r="K384" s="117">
        <v>91423</v>
      </c>
      <c r="L384" s="120">
        <f t="shared" si="81"/>
        <v>128.58368495077355</v>
      </c>
      <c r="M384" s="122">
        <f t="shared" si="71"/>
        <v>215112.78</v>
      </c>
      <c r="N384" s="116">
        <f t="shared" si="72"/>
        <v>123689.78</v>
      </c>
      <c r="O384" s="123">
        <f t="shared" si="73"/>
        <v>173.96593530239099</v>
      </c>
      <c r="P384" s="5"/>
      <c r="Q384" s="5">
        <f t="shared" si="69"/>
        <v>1</v>
      </c>
      <c r="R384" s="7">
        <f t="shared" si="70"/>
        <v>711</v>
      </c>
      <c r="S384" s="5">
        <f t="shared" si="74"/>
        <v>1</v>
      </c>
      <c r="T384" s="7">
        <f t="shared" si="68"/>
        <v>711</v>
      </c>
    </row>
    <row r="385" spans="1:20">
      <c r="A385" s="23" t="s">
        <v>412</v>
      </c>
      <c r="B385" s="35" t="s">
        <v>411</v>
      </c>
      <c r="C385" s="36">
        <v>6634</v>
      </c>
      <c r="D385" s="6"/>
      <c r="E385" s="113">
        <v>243105643</v>
      </c>
      <c r="F385" s="116">
        <f t="shared" si="79"/>
        <v>36645.408953873979</v>
      </c>
      <c r="G385" s="117">
        <v>151078940</v>
      </c>
      <c r="H385" s="117">
        <f t="shared" si="80"/>
        <v>22773.430810973772</v>
      </c>
      <c r="I385" s="7"/>
      <c r="J385" s="10">
        <v>6.75</v>
      </c>
      <c r="K385" s="117">
        <v>1019783</v>
      </c>
      <c r="L385" s="120">
        <f t="shared" si="81"/>
        <v>153.72068133855893</v>
      </c>
      <c r="M385" s="122">
        <f t="shared" si="71"/>
        <v>1510789.4000000001</v>
      </c>
      <c r="N385" s="116">
        <f t="shared" si="72"/>
        <v>491006.40000000014</v>
      </c>
      <c r="O385" s="123">
        <f t="shared" si="73"/>
        <v>74.013626771178792</v>
      </c>
      <c r="P385" s="5"/>
      <c r="Q385" s="5">
        <f t="shared" si="69"/>
        <v>1</v>
      </c>
      <c r="R385" s="7">
        <f t="shared" si="70"/>
        <v>6634</v>
      </c>
      <c r="S385" s="5">
        <f t="shared" si="74"/>
        <v>1</v>
      </c>
      <c r="T385" s="7">
        <f t="shared" si="68"/>
        <v>6634</v>
      </c>
    </row>
    <row r="386" spans="1:20">
      <c r="A386" s="23" t="s">
        <v>413</v>
      </c>
      <c r="B386" s="35" t="s">
        <v>414</v>
      </c>
      <c r="C386" s="36">
        <v>6839</v>
      </c>
      <c r="D386" s="6"/>
      <c r="E386" s="113">
        <v>400334481</v>
      </c>
      <c r="F386" s="116">
        <f t="shared" si="79"/>
        <v>58536.99093434713</v>
      </c>
      <c r="G386" s="117">
        <v>231342067</v>
      </c>
      <c r="H386" s="117">
        <f t="shared" si="80"/>
        <v>33826.885070916804</v>
      </c>
      <c r="I386" s="9"/>
      <c r="J386" s="10">
        <v>4.6675000000000004</v>
      </c>
      <c r="K386" s="117">
        <v>1079789</v>
      </c>
      <c r="L386" s="120">
        <f t="shared" si="81"/>
        <v>157.88697177949993</v>
      </c>
      <c r="M386" s="122">
        <f t="shared" si="71"/>
        <v>2313420.67</v>
      </c>
      <c r="N386" s="116">
        <f t="shared" si="72"/>
        <v>1233631.67</v>
      </c>
      <c r="O386" s="123">
        <f t="shared" si="73"/>
        <v>180.38187892966806</v>
      </c>
      <c r="P386" s="5"/>
      <c r="Q386" s="5">
        <f t="shared" si="69"/>
        <v>1</v>
      </c>
      <c r="R386" s="7">
        <f t="shared" si="70"/>
        <v>6839</v>
      </c>
      <c r="S386" s="5">
        <f t="shared" si="74"/>
        <v>1</v>
      </c>
      <c r="T386" s="7">
        <f t="shared" si="68"/>
        <v>6839</v>
      </c>
    </row>
    <row r="387" spans="1:20">
      <c r="A387" s="23" t="s">
        <v>415</v>
      </c>
      <c r="B387" s="35" t="s">
        <v>416</v>
      </c>
      <c r="C387" s="36">
        <v>1917</v>
      </c>
      <c r="D387" s="6"/>
      <c r="E387" s="113">
        <v>60868144</v>
      </c>
      <c r="F387" s="116">
        <f t="shared" si="79"/>
        <v>31751.770474700053</v>
      </c>
      <c r="G387" s="117">
        <v>30737190</v>
      </c>
      <c r="H387" s="117">
        <f t="shared" si="80"/>
        <v>16034.006259780908</v>
      </c>
      <c r="I387" s="9"/>
      <c r="J387" s="10">
        <v>2.25</v>
      </c>
      <c r="K387" s="117">
        <v>69159</v>
      </c>
      <c r="L387" s="120">
        <f t="shared" si="81"/>
        <v>36.076682316118934</v>
      </c>
      <c r="M387" s="122">
        <f t="shared" si="71"/>
        <v>307371.90000000002</v>
      </c>
      <c r="N387" s="116">
        <f t="shared" si="72"/>
        <v>238212.90000000002</v>
      </c>
      <c r="O387" s="123">
        <f t="shared" si="73"/>
        <v>124.26338028169015</v>
      </c>
      <c r="P387" s="5"/>
      <c r="Q387" s="5">
        <f t="shared" si="69"/>
        <v>1</v>
      </c>
      <c r="R387" s="7">
        <f t="shared" si="70"/>
        <v>1917</v>
      </c>
      <c r="S387" s="5">
        <f t="shared" si="74"/>
        <v>1</v>
      </c>
      <c r="T387" s="7">
        <f t="shared" si="68"/>
        <v>1917</v>
      </c>
    </row>
    <row r="388" spans="1:20">
      <c r="A388" s="23" t="s">
        <v>417</v>
      </c>
      <c r="B388" s="35" t="s">
        <v>416</v>
      </c>
      <c r="C388" s="36">
        <v>251</v>
      </c>
      <c r="D388" s="6"/>
      <c r="E388" s="113">
        <v>5445561</v>
      </c>
      <c r="F388" s="116">
        <f t="shared" si="79"/>
        <v>21695.462151394422</v>
      </c>
      <c r="G388" s="117">
        <v>2304332</v>
      </c>
      <c r="H388" s="117">
        <f t="shared" si="80"/>
        <v>9180.6055776892426</v>
      </c>
      <c r="I388" s="9" t="s">
        <v>528</v>
      </c>
      <c r="J388" s="10"/>
      <c r="K388" s="117"/>
      <c r="L388" s="120"/>
      <c r="M388" s="122">
        <f t="shared" si="71"/>
        <v>23043.32</v>
      </c>
      <c r="N388" s="116">
        <f t="shared" si="72"/>
        <v>23043.32</v>
      </c>
      <c r="O388" s="123">
        <f t="shared" si="73"/>
        <v>91.806055776892435</v>
      </c>
      <c r="P388" s="5"/>
      <c r="Q388" s="5">
        <f t="shared" si="69"/>
        <v>1</v>
      </c>
      <c r="R388" s="7">
        <f t="shared" si="70"/>
        <v>251</v>
      </c>
      <c r="S388" s="5">
        <f t="shared" si="74"/>
        <v>0</v>
      </c>
      <c r="T388" s="7">
        <f t="shared" si="68"/>
        <v>0</v>
      </c>
    </row>
    <row r="389" spans="1:20">
      <c r="A389" s="23" t="s">
        <v>418</v>
      </c>
      <c r="B389" s="35" t="s">
        <v>416</v>
      </c>
      <c r="C389" s="36">
        <v>494</v>
      </c>
      <c r="D389" s="6"/>
      <c r="E389" s="113">
        <v>8939538</v>
      </c>
      <c r="F389" s="116">
        <f t="shared" si="79"/>
        <v>18096.23076923077</v>
      </c>
      <c r="G389" s="117">
        <v>5078268</v>
      </c>
      <c r="H389" s="117">
        <f t="shared" si="80"/>
        <v>10279.894736842105</v>
      </c>
      <c r="I389" s="7"/>
      <c r="J389" s="11">
        <v>1.68</v>
      </c>
      <c r="K389" s="117">
        <v>8531</v>
      </c>
      <c r="L389" s="120">
        <f t="shared" ref="L389:L405" si="82">(K389/C389)</f>
        <v>17.26923076923077</v>
      </c>
      <c r="M389" s="122">
        <f t="shared" si="71"/>
        <v>50782.68</v>
      </c>
      <c r="N389" s="116">
        <f t="shared" si="72"/>
        <v>42251.68</v>
      </c>
      <c r="O389" s="123">
        <f t="shared" si="73"/>
        <v>85.52971659919028</v>
      </c>
      <c r="P389" s="5"/>
      <c r="Q389" s="5">
        <f t="shared" si="69"/>
        <v>1</v>
      </c>
      <c r="R389" s="7">
        <f t="shared" si="70"/>
        <v>494</v>
      </c>
      <c r="S389" s="5">
        <f t="shared" si="74"/>
        <v>1</v>
      </c>
      <c r="T389" s="7">
        <f t="shared" si="68"/>
        <v>494</v>
      </c>
    </row>
    <row r="390" spans="1:20">
      <c r="A390" s="23" t="s">
        <v>419</v>
      </c>
      <c r="B390" s="35" t="s">
        <v>420</v>
      </c>
      <c r="C390" s="36">
        <v>64977</v>
      </c>
      <c r="D390" s="6"/>
      <c r="E390" s="113">
        <v>8141262496</v>
      </c>
      <c r="F390" s="116">
        <f t="shared" si="79"/>
        <v>125294.52723271311</v>
      </c>
      <c r="G390" s="117">
        <v>5490762595</v>
      </c>
      <c r="H390" s="117">
        <f t="shared" si="80"/>
        <v>84503.171814642104</v>
      </c>
      <c r="I390" s="7"/>
      <c r="J390" s="10">
        <v>5.9939</v>
      </c>
      <c r="K390" s="117">
        <v>32910862</v>
      </c>
      <c r="L390" s="120">
        <f t="shared" si="82"/>
        <v>506.50017698570264</v>
      </c>
      <c r="M390" s="122">
        <f t="shared" si="71"/>
        <v>54907625.950000003</v>
      </c>
      <c r="N390" s="116">
        <f t="shared" si="72"/>
        <v>21996763.950000003</v>
      </c>
      <c r="O390" s="123">
        <f t="shared" si="73"/>
        <v>338.53154116071846</v>
      </c>
      <c r="P390" s="5"/>
      <c r="Q390" s="5">
        <f t="shared" si="69"/>
        <v>1</v>
      </c>
      <c r="R390" s="7">
        <f t="shared" si="70"/>
        <v>64977</v>
      </c>
      <c r="S390" s="5">
        <f t="shared" si="74"/>
        <v>1</v>
      </c>
      <c r="T390" s="7">
        <f t="shared" ref="T390:T411" si="83">IF(J390&gt;0,C390,0)</f>
        <v>64977</v>
      </c>
    </row>
    <row r="391" spans="1:20">
      <c r="A391" s="23" t="s">
        <v>421</v>
      </c>
      <c r="B391" s="35" t="s">
        <v>420</v>
      </c>
      <c r="C391" s="36">
        <v>4980</v>
      </c>
      <c r="D391" s="6"/>
      <c r="E391" s="113">
        <v>2207197389</v>
      </c>
      <c r="F391" s="116">
        <f t="shared" si="79"/>
        <v>443212.32710843376</v>
      </c>
      <c r="G391" s="117">
        <v>1860086586</v>
      </c>
      <c r="H391" s="117">
        <f t="shared" si="80"/>
        <v>373511.36265060242</v>
      </c>
      <c r="I391" s="7"/>
      <c r="J391" s="10">
        <v>3.8370000000000002</v>
      </c>
      <c r="K391" s="117">
        <v>7137152</v>
      </c>
      <c r="L391" s="120">
        <f t="shared" si="82"/>
        <v>1433.1630522088353</v>
      </c>
      <c r="M391" s="122">
        <f t="shared" si="71"/>
        <v>18600865.859999999</v>
      </c>
      <c r="N391" s="116">
        <f t="shared" si="72"/>
        <v>11463713.859999999</v>
      </c>
      <c r="O391" s="123">
        <f t="shared" si="73"/>
        <v>2301.9505742971887</v>
      </c>
      <c r="P391" s="5"/>
      <c r="Q391" s="5">
        <f t="shared" ref="Q391:Q415" si="84">IF(E391&gt;0,1,0)</f>
        <v>1</v>
      </c>
      <c r="R391" s="7">
        <f t="shared" ref="R391:R415" si="85">IF(E391&gt;0,C391,0)</f>
        <v>4980</v>
      </c>
      <c r="S391" s="5">
        <f t="shared" si="74"/>
        <v>1</v>
      </c>
      <c r="T391" s="7">
        <f t="shared" si="83"/>
        <v>4980</v>
      </c>
    </row>
    <row r="392" spans="1:20">
      <c r="A392" s="23" t="s">
        <v>462</v>
      </c>
      <c r="B392" s="35" t="s">
        <v>420</v>
      </c>
      <c r="C392" s="36">
        <v>18620</v>
      </c>
      <c r="D392" s="6"/>
      <c r="E392" s="113">
        <v>2596094435</v>
      </c>
      <c r="F392" s="116">
        <f t="shared" si="79"/>
        <v>139425.05021482278</v>
      </c>
      <c r="G392" s="117">
        <v>1926649969</v>
      </c>
      <c r="H392" s="117">
        <f t="shared" si="80"/>
        <v>103472.07137486573</v>
      </c>
      <c r="I392" s="7"/>
      <c r="J392" s="10">
        <v>3</v>
      </c>
      <c r="K392" s="117">
        <v>5779950</v>
      </c>
      <c r="L392" s="120">
        <f t="shared" si="82"/>
        <v>310.41621911922664</v>
      </c>
      <c r="M392" s="122">
        <f t="shared" ref="M392:M415" si="86">(G392*0.01)</f>
        <v>19266499.690000001</v>
      </c>
      <c r="N392" s="116">
        <f t="shared" ref="N392:N415" si="87">(M392-K392)</f>
        <v>13486549.690000001</v>
      </c>
      <c r="O392" s="123">
        <f t="shared" ref="O392:O415" si="88">(N392/C392)</f>
        <v>724.30449462943079</v>
      </c>
      <c r="P392" s="5"/>
      <c r="Q392" s="5">
        <f t="shared" si="84"/>
        <v>1</v>
      </c>
      <c r="R392" s="7">
        <f t="shared" si="85"/>
        <v>18620</v>
      </c>
      <c r="S392" s="5">
        <f t="shared" si="74"/>
        <v>1</v>
      </c>
      <c r="T392" s="7">
        <f t="shared" si="83"/>
        <v>18620</v>
      </c>
    </row>
    <row r="393" spans="1:20">
      <c r="A393" s="23" t="s">
        <v>463</v>
      </c>
      <c r="B393" s="35" t="s">
        <v>420</v>
      </c>
      <c r="C393" s="36">
        <v>26536</v>
      </c>
      <c r="D393" s="6"/>
      <c r="E393" s="113">
        <v>2574505579</v>
      </c>
      <c r="F393" s="116">
        <f t="shared" si="79"/>
        <v>97019.35404733193</v>
      </c>
      <c r="G393" s="117">
        <v>1704512926</v>
      </c>
      <c r="H393" s="117">
        <f t="shared" si="80"/>
        <v>64233.981233041908</v>
      </c>
      <c r="I393" s="7"/>
      <c r="J393" s="10">
        <v>5.5976999999999997</v>
      </c>
      <c r="K393" s="117">
        <v>9541352</v>
      </c>
      <c r="L393" s="120">
        <f t="shared" si="82"/>
        <v>359.56255652698223</v>
      </c>
      <c r="M393" s="122">
        <f t="shared" si="86"/>
        <v>17045129.260000002</v>
      </c>
      <c r="N393" s="116">
        <f t="shared" si="87"/>
        <v>7503777.2600000016</v>
      </c>
      <c r="O393" s="123">
        <f t="shared" si="88"/>
        <v>282.7772558034369</v>
      </c>
      <c r="P393" s="5"/>
      <c r="Q393" s="5">
        <f t="shared" si="84"/>
        <v>1</v>
      </c>
      <c r="R393" s="7">
        <f t="shared" si="85"/>
        <v>26536</v>
      </c>
      <c r="S393" s="5">
        <f t="shared" ref="S393:S411" si="89">IF(J393&gt;0,1,0)</f>
        <v>1</v>
      </c>
      <c r="T393" s="7">
        <f t="shared" si="83"/>
        <v>26536</v>
      </c>
    </row>
    <row r="394" spans="1:20">
      <c r="A394" s="23" t="s">
        <v>422</v>
      </c>
      <c r="B394" s="35" t="s">
        <v>420</v>
      </c>
      <c r="C394" s="36">
        <v>85484</v>
      </c>
      <c r="D394" s="6"/>
      <c r="E394" s="113">
        <v>5490448886</v>
      </c>
      <c r="F394" s="116">
        <f t="shared" si="79"/>
        <v>64227.795681063122</v>
      </c>
      <c r="G394" s="117">
        <v>3292073571</v>
      </c>
      <c r="H394" s="117">
        <f t="shared" si="80"/>
        <v>38510.991191334047</v>
      </c>
      <c r="I394" s="7"/>
      <c r="J394" s="10">
        <v>4.0145</v>
      </c>
      <c r="K394" s="117">
        <v>13216062</v>
      </c>
      <c r="L394" s="120">
        <f t="shared" si="82"/>
        <v>154.6027560713116</v>
      </c>
      <c r="M394" s="122">
        <f t="shared" si="86"/>
        <v>32920735.710000001</v>
      </c>
      <c r="N394" s="116">
        <f t="shared" si="87"/>
        <v>19704673.710000001</v>
      </c>
      <c r="O394" s="123">
        <f t="shared" si="88"/>
        <v>230.50715584202894</v>
      </c>
      <c r="P394" s="5"/>
      <c r="Q394" s="5">
        <f t="shared" si="84"/>
        <v>1</v>
      </c>
      <c r="R394" s="7">
        <f t="shared" si="85"/>
        <v>85484</v>
      </c>
      <c r="S394" s="5">
        <f t="shared" si="89"/>
        <v>1</v>
      </c>
      <c r="T394" s="7">
        <f t="shared" si="83"/>
        <v>85484</v>
      </c>
    </row>
    <row r="395" spans="1:20">
      <c r="A395" s="23" t="s">
        <v>423</v>
      </c>
      <c r="B395" s="35" t="s">
        <v>420</v>
      </c>
      <c r="C395" s="36">
        <v>21572</v>
      </c>
      <c r="D395" s="6"/>
      <c r="E395" s="113">
        <v>1867683313</v>
      </c>
      <c r="F395" s="116">
        <f t="shared" si="79"/>
        <v>86579.052150936404</v>
      </c>
      <c r="G395" s="117">
        <v>1089419939</v>
      </c>
      <c r="H395" s="117">
        <f t="shared" si="80"/>
        <v>50501.573289449283</v>
      </c>
      <c r="I395" s="7"/>
      <c r="J395" s="10">
        <v>5.7</v>
      </c>
      <c r="K395" s="117">
        <v>6209694</v>
      </c>
      <c r="L395" s="120">
        <f t="shared" si="82"/>
        <v>287.85898386797703</v>
      </c>
      <c r="M395" s="122">
        <f t="shared" si="86"/>
        <v>10894199.390000001</v>
      </c>
      <c r="N395" s="116">
        <f t="shared" si="87"/>
        <v>4684505.3900000006</v>
      </c>
      <c r="O395" s="123">
        <f t="shared" si="88"/>
        <v>217.15674902651588</v>
      </c>
      <c r="P395" s="5"/>
      <c r="Q395" s="5">
        <f t="shared" si="84"/>
        <v>1</v>
      </c>
      <c r="R395" s="7">
        <f t="shared" si="85"/>
        <v>21572</v>
      </c>
      <c r="S395" s="5">
        <f t="shared" si="89"/>
        <v>1</v>
      </c>
      <c r="T395" s="7">
        <f t="shared" si="83"/>
        <v>21572</v>
      </c>
    </row>
    <row r="396" spans="1:20">
      <c r="A396" s="23" t="s">
        <v>424</v>
      </c>
      <c r="B396" s="35" t="s">
        <v>420</v>
      </c>
      <c r="C396" s="36">
        <v>12614</v>
      </c>
      <c r="D396" s="6"/>
      <c r="E396" s="113">
        <v>947884271</v>
      </c>
      <c r="F396" s="116">
        <f t="shared" si="79"/>
        <v>75145.415490724597</v>
      </c>
      <c r="G396" s="117">
        <v>636264930</v>
      </c>
      <c r="H396" s="117">
        <f t="shared" si="80"/>
        <v>50441.170921198667</v>
      </c>
      <c r="I396" s="7"/>
      <c r="J396" s="10">
        <v>4.08</v>
      </c>
      <c r="K396" s="117">
        <v>2595961</v>
      </c>
      <c r="L396" s="120">
        <f t="shared" si="82"/>
        <v>205.79998414460124</v>
      </c>
      <c r="M396" s="122">
        <f t="shared" si="86"/>
        <v>6362649.2999999998</v>
      </c>
      <c r="N396" s="116">
        <f t="shared" si="87"/>
        <v>3766688.3</v>
      </c>
      <c r="O396" s="123">
        <f t="shared" si="88"/>
        <v>298.61172506738541</v>
      </c>
      <c r="P396" s="5"/>
      <c r="Q396" s="5">
        <f t="shared" si="84"/>
        <v>1</v>
      </c>
      <c r="R396" s="7">
        <f t="shared" si="85"/>
        <v>12614</v>
      </c>
      <c r="S396" s="5">
        <f t="shared" si="89"/>
        <v>1</v>
      </c>
      <c r="T396" s="7">
        <f t="shared" si="83"/>
        <v>12614</v>
      </c>
    </row>
    <row r="397" spans="1:20">
      <c r="A397" s="23" t="s">
        <v>425</v>
      </c>
      <c r="B397" s="35" t="s">
        <v>420</v>
      </c>
      <c r="C397" s="36">
        <v>2893</v>
      </c>
      <c r="D397" s="6"/>
      <c r="E397" s="113">
        <v>221593095</v>
      </c>
      <c r="F397" s="116">
        <f t="shared" si="79"/>
        <v>76596.299688904255</v>
      </c>
      <c r="G397" s="117">
        <v>131635859</v>
      </c>
      <c r="H397" s="117">
        <f t="shared" si="80"/>
        <v>45501.50674040788</v>
      </c>
      <c r="I397" s="7"/>
      <c r="J397" s="10">
        <v>5.2</v>
      </c>
      <c r="K397" s="117">
        <v>684506</v>
      </c>
      <c r="L397" s="120">
        <f t="shared" si="82"/>
        <v>236.60767369512618</v>
      </c>
      <c r="M397" s="122">
        <f t="shared" si="86"/>
        <v>1316358.5900000001</v>
      </c>
      <c r="N397" s="116">
        <f t="shared" si="87"/>
        <v>631852.59000000008</v>
      </c>
      <c r="O397" s="123">
        <f t="shared" si="88"/>
        <v>218.40739370895267</v>
      </c>
      <c r="P397" s="5"/>
      <c r="Q397" s="5">
        <f t="shared" si="84"/>
        <v>1</v>
      </c>
      <c r="R397" s="7">
        <f t="shared" si="85"/>
        <v>2893</v>
      </c>
      <c r="S397" s="5">
        <f t="shared" si="89"/>
        <v>1</v>
      </c>
      <c r="T397" s="7">
        <f t="shared" si="83"/>
        <v>2893</v>
      </c>
    </row>
    <row r="398" spans="1:20">
      <c r="A398" s="23" t="s">
        <v>426</v>
      </c>
      <c r="B398" s="35" t="s">
        <v>420</v>
      </c>
      <c r="C398" s="36">
        <v>22864</v>
      </c>
      <c r="D398" s="6"/>
      <c r="E398" s="113">
        <v>5243112104</v>
      </c>
      <c r="F398" s="116">
        <f t="shared" si="79"/>
        <v>229317.35934219733</v>
      </c>
      <c r="G398" s="117">
        <v>3743475297</v>
      </c>
      <c r="H398" s="117">
        <f t="shared" si="80"/>
        <v>163727.9258659902</v>
      </c>
      <c r="I398" s="7"/>
      <c r="J398" s="10">
        <v>3.3671000000000002</v>
      </c>
      <c r="K398" s="117">
        <v>12604656</v>
      </c>
      <c r="L398" s="120">
        <f t="shared" si="82"/>
        <v>551.28831350594817</v>
      </c>
      <c r="M398" s="122">
        <f t="shared" si="86"/>
        <v>37434752.969999999</v>
      </c>
      <c r="N398" s="116">
        <f t="shared" si="87"/>
        <v>24830096.969999999</v>
      </c>
      <c r="O398" s="123">
        <f t="shared" si="88"/>
        <v>1085.9909451539538</v>
      </c>
      <c r="P398" s="5"/>
      <c r="Q398" s="5">
        <f t="shared" si="84"/>
        <v>1</v>
      </c>
      <c r="R398" s="7">
        <f t="shared" si="85"/>
        <v>22864</v>
      </c>
      <c r="S398" s="5">
        <f t="shared" si="89"/>
        <v>1</v>
      </c>
      <c r="T398" s="7">
        <f t="shared" si="83"/>
        <v>22864</v>
      </c>
    </row>
    <row r="399" spans="1:20">
      <c r="A399" s="23" t="s">
        <v>427</v>
      </c>
      <c r="B399" s="35" t="s">
        <v>420</v>
      </c>
      <c r="C399" s="36">
        <v>2042</v>
      </c>
      <c r="D399" s="6"/>
      <c r="E399" s="113">
        <v>211321556</v>
      </c>
      <c r="F399" s="116">
        <f t="shared" si="79"/>
        <v>103487.53966699315</v>
      </c>
      <c r="G399" s="117">
        <v>128091472</v>
      </c>
      <c r="H399" s="117">
        <f t="shared" si="80"/>
        <v>62728.438785504404</v>
      </c>
      <c r="I399" s="7"/>
      <c r="J399" s="10">
        <v>5.0625999999999998</v>
      </c>
      <c r="K399" s="117">
        <v>648476</v>
      </c>
      <c r="L399" s="120">
        <f t="shared" si="82"/>
        <v>317.56904995102838</v>
      </c>
      <c r="M399" s="122">
        <f t="shared" si="86"/>
        <v>1280914.72</v>
      </c>
      <c r="N399" s="116">
        <f t="shared" si="87"/>
        <v>632438.72</v>
      </c>
      <c r="O399" s="123">
        <f t="shared" si="88"/>
        <v>309.71533790401566</v>
      </c>
      <c r="P399" s="5"/>
      <c r="Q399" s="5">
        <f t="shared" si="84"/>
        <v>1</v>
      </c>
      <c r="R399" s="7">
        <f t="shared" si="85"/>
        <v>2042</v>
      </c>
      <c r="S399" s="5">
        <f t="shared" si="89"/>
        <v>1</v>
      </c>
      <c r="T399" s="7">
        <f t="shared" si="83"/>
        <v>2042</v>
      </c>
    </row>
    <row r="400" spans="1:20">
      <c r="A400" s="23" t="s">
        <v>428</v>
      </c>
      <c r="B400" s="35" t="s">
        <v>420</v>
      </c>
      <c r="C400" s="36">
        <v>9416</v>
      </c>
      <c r="D400" s="6"/>
      <c r="E400" s="113">
        <v>845592017</v>
      </c>
      <c r="F400" s="116">
        <f t="shared" si="79"/>
        <v>89803.74012319457</v>
      </c>
      <c r="G400" s="117">
        <v>618526879</v>
      </c>
      <c r="H400" s="117">
        <f t="shared" si="80"/>
        <v>65688.920879354293</v>
      </c>
      <c r="I400" s="7"/>
      <c r="J400" s="10">
        <v>4.8750999999999998</v>
      </c>
      <c r="K400" s="117">
        <v>3015356</v>
      </c>
      <c r="L400" s="120">
        <f t="shared" si="82"/>
        <v>320.2374681393373</v>
      </c>
      <c r="M400" s="122">
        <f t="shared" si="86"/>
        <v>6185268.79</v>
      </c>
      <c r="N400" s="116">
        <f t="shared" si="87"/>
        <v>3169912.79</v>
      </c>
      <c r="O400" s="123">
        <f t="shared" si="88"/>
        <v>336.65174065420564</v>
      </c>
      <c r="P400" s="5"/>
      <c r="Q400" s="5">
        <f t="shared" si="84"/>
        <v>1</v>
      </c>
      <c r="R400" s="7">
        <f t="shared" si="85"/>
        <v>9416</v>
      </c>
      <c r="S400" s="5">
        <f t="shared" si="89"/>
        <v>1</v>
      </c>
      <c r="T400" s="7">
        <f t="shared" si="83"/>
        <v>9416</v>
      </c>
    </row>
    <row r="401" spans="1:20">
      <c r="A401" s="23" t="s">
        <v>429</v>
      </c>
      <c r="B401" s="35" t="s">
        <v>420</v>
      </c>
      <c r="C401" s="36">
        <v>40294</v>
      </c>
      <c r="D401" s="6"/>
      <c r="E401" s="113">
        <v>5564115375</v>
      </c>
      <c r="F401" s="116">
        <f t="shared" si="79"/>
        <v>138087.93803047601</v>
      </c>
      <c r="G401" s="117">
        <v>3551109205</v>
      </c>
      <c r="H401" s="117">
        <f t="shared" si="80"/>
        <v>88129.974810145432</v>
      </c>
      <c r="I401" s="7"/>
      <c r="J401" s="10">
        <v>3.44</v>
      </c>
      <c r="K401" s="117">
        <v>12215958</v>
      </c>
      <c r="L401" s="120">
        <f t="shared" si="82"/>
        <v>303.17064575371023</v>
      </c>
      <c r="M401" s="122">
        <f t="shared" si="86"/>
        <v>35511092.049999997</v>
      </c>
      <c r="N401" s="116">
        <f t="shared" si="87"/>
        <v>23295134.049999997</v>
      </c>
      <c r="O401" s="123">
        <f t="shared" si="88"/>
        <v>578.12910234774404</v>
      </c>
      <c r="P401" s="5"/>
      <c r="Q401" s="5">
        <f t="shared" si="84"/>
        <v>1</v>
      </c>
      <c r="R401" s="7">
        <f t="shared" si="85"/>
        <v>40294</v>
      </c>
      <c r="S401" s="5">
        <f t="shared" si="89"/>
        <v>1</v>
      </c>
      <c r="T401" s="7">
        <f t="shared" si="83"/>
        <v>40294</v>
      </c>
    </row>
    <row r="402" spans="1:20">
      <c r="A402" s="23" t="s">
        <v>430</v>
      </c>
      <c r="B402" s="35" t="s">
        <v>420</v>
      </c>
      <c r="C402" s="36">
        <v>2645</v>
      </c>
      <c r="D402" s="6"/>
      <c r="E402" s="113">
        <v>121703692</v>
      </c>
      <c r="F402" s="116">
        <f t="shared" si="79"/>
        <v>46012.737996219279</v>
      </c>
      <c r="G402" s="117">
        <v>61950675</v>
      </c>
      <c r="H402" s="117">
        <f t="shared" si="80"/>
        <v>23421.805293005673</v>
      </c>
      <c r="I402" s="7"/>
      <c r="J402" s="10">
        <v>3.0669</v>
      </c>
      <c r="K402" s="117">
        <v>189999</v>
      </c>
      <c r="L402" s="120">
        <f t="shared" si="82"/>
        <v>71.833270321361056</v>
      </c>
      <c r="M402" s="122">
        <f t="shared" si="86"/>
        <v>619506.75</v>
      </c>
      <c r="N402" s="116">
        <f t="shared" si="87"/>
        <v>429507.75</v>
      </c>
      <c r="O402" s="123">
        <f t="shared" si="88"/>
        <v>162.38478260869564</v>
      </c>
      <c r="P402" s="5"/>
      <c r="Q402" s="5">
        <f t="shared" si="84"/>
        <v>1</v>
      </c>
      <c r="R402" s="7">
        <f t="shared" si="85"/>
        <v>2645</v>
      </c>
      <c r="S402" s="5">
        <f t="shared" si="89"/>
        <v>1</v>
      </c>
      <c r="T402" s="7">
        <f t="shared" si="83"/>
        <v>2645</v>
      </c>
    </row>
    <row r="403" spans="1:20">
      <c r="A403" s="23" t="s">
        <v>431</v>
      </c>
      <c r="B403" s="35" t="s">
        <v>420</v>
      </c>
      <c r="C403" s="36">
        <v>3271</v>
      </c>
      <c r="D403" s="6"/>
      <c r="E403" s="113">
        <v>1528837033</v>
      </c>
      <c r="F403" s="116">
        <f t="shared" si="79"/>
        <v>467391.32772852341</v>
      </c>
      <c r="G403" s="117">
        <v>1177151610</v>
      </c>
      <c r="H403" s="117">
        <f t="shared" si="80"/>
        <v>359875.1482726995</v>
      </c>
      <c r="I403" s="7"/>
      <c r="J403" s="10">
        <v>4.0949999999999998</v>
      </c>
      <c r="K403" s="117">
        <v>4820436</v>
      </c>
      <c r="L403" s="120">
        <f t="shared" si="82"/>
        <v>1473.6887801895446</v>
      </c>
      <c r="M403" s="122">
        <f t="shared" si="86"/>
        <v>11771516.1</v>
      </c>
      <c r="N403" s="116">
        <f t="shared" si="87"/>
        <v>6951080.0999999996</v>
      </c>
      <c r="O403" s="123">
        <f t="shared" si="88"/>
        <v>2125.0627025374501</v>
      </c>
      <c r="P403" s="5"/>
      <c r="Q403" s="5">
        <f t="shared" si="84"/>
        <v>1</v>
      </c>
      <c r="R403" s="7">
        <f t="shared" si="85"/>
        <v>3271</v>
      </c>
      <c r="S403" s="5">
        <f t="shared" si="89"/>
        <v>1</v>
      </c>
      <c r="T403" s="7">
        <f t="shared" si="83"/>
        <v>3271</v>
      </c>
    </row>
    <row r="404" spans="1:20">
      <c r="A404" s="23" t="s">
        <v>432</v>
      </c>
      <c r="B404" s="35" t="s">
        <v>420</v>
      </c>
      <c r="C404" s="36">
        <v>56067</v>
      </c>
      <c r="D404" s="6"/>
      <c r="E404" s="113">
        <v>5037437582</v>
      </c>
      <c r="F404" s="116">
        <f t="shared" si="79"/>
        <v>89846.747320170514</v>
      </c>
      <c r="G404" s="117">
        <v>3176985326</v>
      </c>
      <c r="H404" s="117">
        <f t="shared" si="80"/>
        <v>56664.086289617779</v>
      </c>
      <c r="I404" s="7"/>
      <c r="J404" s="10">
        <v>4.66</v>
      </c>
      <c r="K404" s="117">
        <v>14804752</v>
      </c>
      <c r="L404" s="120">
        <f t="shared" si="82"/>
        <v>264.05464890220628</v>
      </c>
      <c r="M404" s="122">
        <f t="shared" si="86"/>
        <v>31769853.260000002</v>
      </c>
      <c r="N404" s="116">
        <f t="shared" si="87"/>
        <v>16965101.260000002</v>
      </c>
      <c r="O404" s="123">
        <f t="shared" si="88"/>
        <v>302.58621399397151</v>
      </c>
      <c r="P404" s="5"/>
      <c r="Q404" s="5">
        <f t="shared" si="84"/>
        <v>1</v>
      </c>
      <c r="R404" s="7">
        <f t="shared" si="85"/>
        <v>56067</v>
      </c>
      <c r="S404" s="5">
        <f t="shared" si="89"/>
        <v>1</v>
      </c>
      <c r="T404" s="7">
        <f t="shared" si="83"/>
        <v>56067</v>
      </c>
    </row>
    <row r="405" spans="1:20">
      <c r="A405" s="23" t="s">
        <v>433</v>
      </c>
      <c r="B405" s="35" t="s">
        <v>420</v>
      </c>
      <c r="C405" s="36">
        <v>13773</v>
      </c>
      <c r="D405" s="6"/>
      <c r="E405" s="113">
        <v>1111770799</v>
      </c>
      <c r="F405" s="116">
        <f t="shared" si="79"/>
        <v>80721.033834313508</v>
      </c>
      <c r="G405" s="117">
        <v>703834686</v>
      </c>
      <c r="H405" s="117">
        <f t="shared" si="80"/>
        <v>51102.496623829233</v>
      </c>
      <c r="I405" s="9"/>
      <c r="J405" s="10">
        <v>4.8</v>
      </c>
      <c r="K405" s="117">
        <v>3378406</v>
      </c>
      <c r="L405" s="120">
        <f t="shared" si="82"/>
        <v>245.29194801423074</v>
      </c>
      <c r="M405" s="122">
        <f t="shared" si="86"/>
        <v>7038346.8600000003</v>
      </c>
      <c r="N405" s="116">
        <f t="shared" si="87"/>
        <v>3659940.8600000003</v>
      </c>
      <c r="O405" s="123">
        <f t="shared" si="88"/>
        <v>265.7330182240616</v>
      </c>
      <c r="P405" s="5"/>
      <c r="Q405" s="5">
        <f t="shared" si="84"/>
        <v>1</v>
      </c>
      <c r="R405" s="7">
        <f t="shared" si="85"/>
        <v>13773</v>
      </c>
      <c r="S405" s="5">
        <f t="shared" si="89"/>
        <v>1</v>
      </c>
      <c r="T405" s="7">
        <f t="shared" si="83"/>
        <v>13773</v>
      </c>
    </row>
    <row r="406" spans="1:20">
      <c r="A406" s="23" t="s">
        <v>435</v>
      </c>
      <c r="B406" s="35" t="s">
        <v>434</v>
      </c>
      <c r="C406" s="36">
        <v>415</v>
      </c>
      <c r="D406" s="6" t="s">
        <v>527</v>
      </c>
      <c r="E406" s="113"/>
      <c r="F406" s="116"/>
      <c r="G406" s="117"/>
      <c r="H406" s="117"/>
      <c r="I406" s="9" t="s">
        <v>528</v>
      </c>
      <c r="J406" s="11"/>
      <c r="K406" s="117"/>
      <c r="L406" s="120"/>
      <c r="M406" s="122">
        <f t="shared" si="86"/>
        <v>0</v>
      </c>
      <c r="N406" s="116">
        <f t="shared" si="87"/>
        <v>0</v>
      </c>
      <c r="O406" s="123">
        <f t="shared" si="88"/>
        <v>0</v>
      </c>
      <c r="P406" s="5"/>
      <c r="Q406" s="5">
        <f t="shared" si="84"/>
        <v>0</v>
      </c>
      <c r="R406" s="7">
        <f t="shared" si="85"/>
        <v>0</v>
      </c>
      <c r="S406" s="5">
        <f t="shared" si="89"/>
        <v>0</v>
      </c>
      <c r="T406" s="7">
        <f t="shared" si="83"/>
        <v>0</v>
      </c>
    </row>
    <row r="407" spans="1:20">
      <c r="A407" s="23" t="s">
        <v>555</v>
      </c>
      <c r="B407" s="35" t="s">
        <v>434</v>
      </c>
      <c r="C407" s="36">
        <v>315</v>
      </c>
      <c r="D407" s="6"/>
      <c r="E407" s="113">
        <v>88208948</v>
      </c>
      <c r="F407" s="116">
        <f t="shared" ref="F407:F415" si="90">(E407/C407)</f>
        <v>280028.40634920634</v>
      </c>
      <c r="G407" s="117">
        <v>39790348</v>
      </c>
      <c r="H407" s="117">
        <f t="shared" ref="H407:H415" si="91">(G407/C407)</f>
        <v>126318.56507936509</v>
      </c>
      <c r="I407" s="9"/>
      <c r="J407" s="10">
        <v>4.25</v>
      </c>
      <c r="K407" s="117">
        <v>169109</v>
      </c>
      <c r="L407" s="120">
        <f>(K407/C407)</f>
        <v>536.85396825396822</v>
      </c>
      <c r="M407" s="122">
        <f t="shared" si="86"/>
        <v>397903.48</v>
      </c>
      <c r="N407" s="116">
        <f t="shared" si="87"/>
        <v>228794.47999999998</v>
      </c>
      <c r="O407" s="123">
        <f t="shared" si="88"/>
        <v>726.33168253968245</v>
      </c>
      <c r="P407" s="5"/>
      <c r="Q407" s="5">
        <f t="shared" si="84"/>
        <v>1</v>
      </c>
      <c r="R407" s="7">
        <f t="shared" si="85"/>
        <v>315</v>
      </c>
      <c r="S407" s="5">
        <f t="shared" si="89"/>
        <v>1</v>
      </c>
      <c r="T407" s="7">
        <f t="shared" si="83"/>
        <v>315</v>
      </c>
    </row>
    <row r="408" spans="1:20">
      <c r="A408" s="23" t="s">
        <v>436</v>
      </c>
      <c r="B408" s="35" t="s">
        <v>437</v>
      </c>
      <c r="C408" s="36">
        <v>5387</v>
      </c>
      <c r="D408" s="6"/>
      <c r="E408" s="113">
        <v>283646324</v>
      </c>
      <c r="F408" s="116">
        <f t="shared" si="90"/>
        <v>52653.856320772233</v>
      </c>
      <c r="G408" s="117">
        <v>195749857</v>
      </c>
      <c r="H408" s="117">
        <f t="shared" si="91"/>
        <v>36337.452571004273</v>
      </c>
      <c r="I408" s="9"/>
      <c r="J408" s="11">
        <v>4.5</v>
      </c>
      <c r="K408" s="117">
        <v>880874</v>
      </c>
      <c r="L408" s="120">
        <f>(K408/C408)</f>
        <v>163.51847039168368</v>
      </c>
      <c r="M408" s="122">
        <f t="shared" si="86"/>
        <v>1957498.57</v>
      </c>
      <c r="N408" s="116">
        <f t="shared" si="87"/>
        <v>1076624.57</v>
      </c>
      <c r="O408" s="123">
        <f t="shared" si="88"/>
        <v>199.85605531835901</v>
      </c>
      <c r="P408" s="5"/>
      <c r="Q408" s="5">
        <f t="shared" si="84"/>
        <v>1</v>
      </c>
      <c r="R408" s="7">
        <f t="shared" si="85"/>
        <v>5387</v>
      </c>
      <c r="S408" s="5">
        <f t="shared" si="89"/>
        <v>1</v>
      </c>
      <c r="T408" s="7">
        <f t="shared" si="83"/>
        <v>5387</v>
      </c>
    </row>
    <row r="409" spans="1:20">
      <c r="A409" s="23" t="s">
        <v>438</v>
      </c>
      <c r="B409" s="35" t="s">
        <v>437</v>
      </c>
      <c r="C409" s="36">
        <v>1645</v>
      </c>
      <c r="D409" s="6"/>
      <c r="E409" s="113">
        <v>149256176</v>
      </c>
      <c r="F409" s="116">
        <f t="shared" si="90"/>
        <v>90733.23768996961</v>
      </c>
      <c r="G409" s="117">
        <v>118603522</v>
      </c>
      <c r="H409" s="117">
        <f t="shared" si="91"/>
        <v>72099.405471124614</v>
      </c>
      <c r="I409" s="9"/>
      <c r="J409" s="11">
        <v>3.93</v>
      </c>
      <c r="K409" s="117">
        <v>466112</v>
      </c>
      <c r="L409" s="120">
        <f>(K409/C409)</f>
        <v>283.35075987841947</v>
      </c>
      <c r="M409" s="122">
        <f t="shared" si="86"/>
        <v>1186035.22</v>
      </c>
      <c r="N409" s="116">
        <f t="shared" si="87"/>
        <v>719923.22</v>
      </c>
      <c r="O409" s="123">
        <f t="shared" si="88"/>
        <v>437.64329483282671</v>
      </c>
      <c r="P409" s="5"/>
      <c r="Q409" s="5">
        <f t="shared" si="84"/>
        <v>1</v>
      </c>
      <c r="R409" s="7">
        <f t="shared" si="85"/>
        <v>1645</v>
      </c>
      <c r="S409" s="5">
        <f t="shared" si="89"/>
        <v>1</v>
      </c>
      <c r="T409" s="7">
        <f t="shared" si="83"/>
        <v>1645</v>
      </c>
    </row>
    <row r="410" spans="1:20">
      <c r="A410" s="23" t="s">
        <v>439</v>
      </c>
      <c r="B410" s="35" t="s">
        <v>437</v>
      </c>
      <c r="C410" s="36">
        <v>720</v>
      </c>
      <c r="D410" s="6"/>
      <c r="E410" s="113">
        <v>18264558</v>
      </c>
      <c r="F410" s="116">
        <f t="shared" si="90"/>
        <v>25367.441666666666</v>
      </c>
      <c r="G410" s="117">
        <v>9958514</v>
      </c>
      <c r="H410" s="117">
        <f t="shared" si="91"/>
        <v>13831.269444444444</v>
      </c>
      <c r="I410" s="9" t="s">
        <v>528</v>
      </c>
      <c r="J410" s="11"/>
      <c r="K410" s="117"/>
      <c r="L410" s="120"/>
      <c r="M410" s="122">
        <f t="shared" si="86"/>
        <v>99585.14</v>
      </c>
      <c r="N410" s="116">
        <f t="shared" si="87"/>
        <v>99585.14</v>
      </c>
      <c r="O410" s="123">
        <f t="shared" si="88"/>
        <v>138.31269444444445</v>
      </c>
      <c r="P410" s="5"/>
      <c r="Q410" s="5">
        <f t="shared" si="84"/>
        <v>1</v>
      </c>
      <c r="R410" s="7">
        <f t="shared" si="85"/>
        <v>720</v>
      </c>
      <c r="S410" s="5">
        <f t="shared" si="89"/>
        <v>0</v>
      </c>
      <c r="T410" s="7">
        <f t="shared" si="83"/>
        <v>0</v>
      </c>
    </row>
    <row r="411" spans="1:20">
      <c r="A411" s="23" t="s">
        <v>440</v>
      </c>
      <c r="B411" s="35" t="s">
        <v>441</v>
      </c>
      <c r="C411" s="36">
        <v>365</v>
      </c>
      <c r="D411" s="6"/>
      <c r="E411" s="113">
        <v>7976792</v>
      </c>
      <c r="F411" s="116">
        <f t="shared" si="90"/>
        <v>21854.224657534247</v>
      </c>
      <c r="G411" s="117">
        <v>3325439</v>
      </c>
      <c r="H411" s="117">
        <f t="shared" si="91"/>
        <v>9110.7917808219172</v>
      </c>
      <c r="I411" s="9" t="s">
        <v>528</v>
      </c>
      <c r="J411" s="11"/>
      <c r="K411" s="117"/>
      <c r="L411" s="120"/>
      <c r="M411" s="122">
        <f t="shared" si="86"/>
        <v>33254.39</v>
      </c>
      <c r="N411" s="116">
        <f t="shared" si="87"/>
        <v>33254.39</v>
      </c>
      <c r="O411" s="123">
        <f t="shared" si="88"/>
        <v>91.10791780821917</v>
      </c>
      <c r="P411" s="5"/>
      <c r="Q411" s="5">
        <f t="shared" si="84"/>
        <v>1</v>
      </c>
      <c r="R411" s="7">
        <f t="shared" si="85"/>
        <v>365</v>
      </c>
      <c r="S411" s="5">
        <f t="shared" si="89"/>
        <v>0</v>
      </c>
      <c r="T411" s="7">
        <f t="shared" si="83"/>
        <v>0</v>
      </c>
    </row>
    <row r="412" spans="1:20">
      <c r="A412" s="23" t="s">
        <v>442</v>
      </c>
      <c r="B412" s="35" t="s">
        <v>441</v>
      </c>
      <c r="C412" s="36">
        <v>3653</v>
      </c>
      <c r="D412" s="6"/>
      <c r="E412" s="113">
        <v>197800052</v>
      </c>
      <c r="F412" s="116">
        <f t="shared" si="90"/>
        <v>54147.290446208593</v>
      </c>
      <c r="G412" s="117">
        <v>139972928</v>
      </c>
      <c r="H412" s="117">
        <f t="shared" si="91"/>
        <v>38317.253764029563</v>
      </c>
      <c r="I412" s="9"/>
      <c r="J412" s="11">
        <v>6</v>
      </c>
      <c r="K412" s="117">
        <v>839838</v>
      </c>
      <c r="L412" s="120">
        <f>(K412/C412)</f>
        <v>229.90364084314263</v>
      </c>
      <c r="M412" s="122">
        <f t="shared" si="86"/>
        <v>1399729.28</v>
      </c>
      <c r="N412" s="116">
        <f t="shared" si="87"/>
        <v>559891.28</v>
      </c>
      <c r="O412" s="123">
        <f t="shared" si="88"/>
        <v>153.26889679715302</v>
      </c>
      <c r="P412" s="5"/>
      <c r="Q412" s="5">
        <f t="shared" si="84"/>
        <v>1</v>
      </c>
      <c r="R412" s="7">
        <f t="shared" si="85"/>
        <v>3653</v>
      </c>
      <c r="S412" s="5">
        <f>IF(J412&gt;0,1,0)</f>
        <v>1</v>
      </c>
      <c r="T412" s="7">
        <f>IF(J412&gt;0,C412,0)</f>
        <v>3653</v>
      </c>
    </row>
    <row r="413" spans="1:20">
      <c r="A413" s="23" t="s">
        <v>443</v>
      </c>
      <c r="B413" s="35" t="s">
        <v>441</v>
      </c>
      <c r="C413" s="36">
        <v>259</v>
      </c>
      <c r="D413" s="6"/>
      <c r="E413" s="113">
        <v>9865647</v>
      </c>
      <c r="F413" s="116">
        <f t="shared" si="90"/>
        <v>38091.301158301161</v>
      </c>
      <c r="G413" s="117">
        <v>5626010</v>
      </c>
      <c r="H413" s="117">
        <f t="shared" si="91"/>
        <v>21722.046332046331</v>
      </c>
      <c r="I413" s="9" t="s">
        <v>528</v>
      </c>
      <c r="J413" s="11"/>
      <c r="K413" s="117"/>
      <c r="L413" s="120"/>
      <c r="M413" s="122">
        <f t="shared" si="86"/>
        <v>56260.1</v>
      </c>
      <c r="N413" s="116">
        <f t="shared" si="87"/>
        <v>56260.1</v>
      </c>
      <c r="O413" s="123">
        <f t="shared" si="88"/>
        <v>217.22046332046332</v>
      </c>
      <c r="P413" s="5"/>
      <c r="Q413" s="5">
        <f t="shared" si="84"/>
        <v>1</v>
      </c>
      <c r="R413" s="7">
        <f t="shared" si="85"/>
        <v>259</v>
      </c>
      <c r="S413" s="5">
        <f>IF(J413&gt;0,1,0)</f>
        <v>0</v>
      </c>
      <c r="T413" s="7">
        <f>IF(J413&gt;0,C413,0)</f>
        <v>0</v>
      </c>
    </row>
    <row r="414" spans="1:20">
      <c r="A414" s="23" t="s">
        <v>444</v>
      </c>
      <c r="B414" s="35" t="s">
        <v>441</v>
      </c>
      <c r="C414" s="36">
        <v>789</v>
      </c>
      <c r="D414" s="6"/>
      <c r="E414" s="113">
        <v>28859730</v>
      </c>
      <c r="F414" s="116">
        <f t="shared" si="90"/>
        <v>36577.604562737644</v>
      </c>
      <c r="G414" s="117">
        <v>13243052</v>
      </c>
      <c r="H414" s="117">
        <f t="shared" si="91"/>
        <v>16784.60329531052</v>
      </c>
      <c r="I414" s="9"/>
      <c r="J414" s="11">
        <v>2.5143</v>
      </c>
      <c r="K414" s="117">
        <v>33297</v>
      </c>
      <c r="L414" s="120">
        <f>(K414/C414)</f>
        <v>42.201520912547529</v>
      </c>
      <c r="M414" s="122">
        <f t="shared" si="86"/>
        <v>132430.51999999999</v>
      </c>
      <c r="N414" s="116">
        <f t="shared" si="87"/>
        <v>99133.51999999999</v>
      </c>
      <c r="O414" s="123">
        <f t="shared" si="88"/>
        <v>125.64451204055766</v>
      </c>
      <c r="P414" s="5"/>
      <c r="Q414" s="5">
        <f t="shared" si="84"/>
        <v>1</v>
      </c>
      <c r="R414" s="7">
        <f t="shared" si="85"/>
        <v>789</v>
      </c>
      <c r="S414" s="5">
        <f>IF(J414&gt;0,1,0)</f>
        <v>1</v>
      </c>
      <c r="T414" s="7">
        <f>IF(J414&gt;0,C414,0)</f>
        <v>789</v>
      </c>
    </row>
    <row r="415" spans="1:20">
      <c r="A415" s="23" t="s">
        <v>445</v>
      </c>
      <c r="B415" s="35" t="s">
        <v>441</v>
      </c>
      <c r="C415" s="36">
        <v>436</v>
      </c>
      <c r="D415" s="6"/>
      <c r="E415" s="113">
        <v>8816506</v>
      </c>
      <c r="F415" s="116">
        <f t="shared" si="90"/>
        <v>20221.344036697246</v>
      </c>
      <c r="G415" s="117">
        <v>3796142</v>
      </c>
      <c r="H415" s="117">
        <f t="shared" si="91"/>
        <v>8706.7477064220184</v>
      </c>
      <c r="I415" s="9" t="s">
        <v>528</v>
      </c>
      <c r="J415" s="11"/>
      <c r="K415" s="117"/>
      <c r="L415" s="120"/>
      <c r="M415" s="122">
        <f t="shared" si="86"/>
        <v>37961.42</v>
      </c>
      <c r="N415" s="116">
        <f t="shared" si="87"/>
        <v>37961.42</v>
      </c>
      <c r="O415" s="123">
        <f t="shared" si="88"/>
        <v>87.067477064220185</v>
      </c>
      <c r="P415" s="5"/>
      <c r="Q415" s="5">
        <f t="shared" si="84"/>
        <v>1</v>
      </c>
      <c r="R415" s="7">
        <f t="shared" si="85"/>
        <v>436</v>
      </c>
      <c r="S415" s="5">
        <f>IF(J415&gt;0,1,0)</f>
        <v>0</v>
      </c>
      <c r="T415" s="7">
        <f>IF(J415&gt;0,C415,0)</f>
        <v>0</v>
      </c>
    </row>
    <row r="416" spans="1:20">
      <c r="A416" s="70" t="s">
        <v>451</v>
      </c>
      <c r="B416" s="71"/>
      <c r="C416" s="72">
        <f>SUM(C6:C415)</f>
        <v>9331989</v>
      </c>
      <c r="D416" s="73"/>
      <c r="E416" s="73">
        <f>SUM(E6:E415)</f>
        <v>1230526627156</v>
      </c>
      <c r="F416" s="74">
        <f>(E416/R416)</f>
        <v>145108.17691423083</v>
      </c>
      <c r="G416" s="75">
        <f>SUM(G6:G415)</f>
        <v>855145185726</v>
      </c>
      <c r="H416" s="76">
        <f>(G416/R416)</f>
        <v>100841.83158594086</v>
      </c>
      <c r="I416" s="71"/>
      <c r="J416" s="77"/>
      <c r="K416" s="78">
        <f>SUM(K6:K415)</f>
        <v>3948600948</v>
      </c>
      <c r="L416" s="79">
        <f>(K416/T416)</f>
        <v>467.05547509629486</v>
      </c>
      <c r="M416" s="79">
        <f>SUM(M6:M415)</f>
        <v>8551451857.260004</v>
      </c>
      <c r="N416" s="78">
        <f>SUM(N6:N415)</f>
        <v>4602850909.2600021</v>
      </c>
      <c r="O416" s="80">
        <f>(N416/R416)</f>
        <v>542.78492582839021</v>
      </c>
      <c r="P416" s="20"/>
      <c r="Q416" s="20">
        <f>SUM(Q6:Q415)</f>
        <v>403</v>
      </c>
      <c r="R416" s="21">
        <f>SUM(R6:R415)</f>
        <v>8480064</v>
      </c>
      <c r="S416" s="20">
        <f>SUM(S6:S415)</f>
        <v>383</v>
      </c>
      <c r="T416" s="21">
        <f>SUM(T6:T415)</f>
        <v>8454244</v>
      </c>
    </row>
    <row r="417" spans="1:20">
      <c r="A417" s="27" t="s">
        <v>453</v>
      </c>
      <c r="B417" s="13"/>
      <c r="C417" s="60">
        <f>(S416)</f>
        <v>383</v>
      </c>
      <c r="D417" s="14"/>
      <c r="E417" s="14"/>
      <c r="F417" s="16"/>
      <c r="G417" s="16"/>
      <c r="H417" s="16"/>
      <c r="I417" s="16"/>
      <c r="J417" s="14"/>
      <c r="K417" s="17"/>
      <c r="L417" s="17"/>
      <c r="M417" s="2"/>
      <c r="N417" s="2"/>
      <c r="O417" s="63"/>
      <c r="P417" s="2"/>
      <c r="Q417" s="2"/>
      <c r="R417" s="2"/>
      <c r="S417" s="2"/>
      <c r="T417" s="2"/>
    </row>
    <row r="418" spans="1:20">
      <c r="A418" s="22"/>
      <c r="B418" s="16"/>
      <c r="C418" s="16"/>
      <c r="D418" s="16"/>
      <c r="E418" s="16"/>
      <c r="F418" s="16"/>
      <c r="G418" s="16"/>
      <c r="H418" s="16"/>
      <c r="I418" s="16"/>
      <c r="J418" s="17"/>
      <c r="K418" s="17"/>
      <c r="L418" s="17"/>
      <c r="M418" s="2"/>
      <c r="N418" s="2"/>
      <c r="O418" s="63"/>
      <c r="P418" s="2"/>
      <c r="Q418" s="2"/>
      <c r="R418" s="2"/>
      <c r="S418" s="2"/>
      <c r="T418" s="2"/>
    </row>
    <row r="419" spans="1:20">
      <c r="A419" s="28" t="s">
        <v>498</v>
      </c>
      <c r="B419" s="25"/>
      <c r="C419" s="25"/>
      <c r="D419" s="25"/>
      <c r="E419" s="25"/>
      <c r="F419" s="25"/>
      <c r="G419" s="25"/>
      <c r="H419" s="25"/>
      <c r="I419" s="25"/>
      <c r="J419" s="26"/>
      <c r="K419" s="26"/>
      <c r="L419" s="26"/>
      <c r="M419" s="1"/>
      <c r="N419" s="1"/>
      <c r="O419" s="64"/>
      <c r="P419" s="1"/>
      <c r="Q419" s="1"/>
      <c r="R419" s="1"/>
      <c r="S419" s="1"/>
      <c r="T419" s="1"/>
    </row>
    <row r="420" spans="1:20">
      <c r="A420" s="96" t="s">
        <v>566</v>
      </c>
      <c r="B420" s="25"/>
      <c r="C420" s="25"/>
      <c r="D420" s="25"/>
      <c r="E420" s="25"/>
      <c r="F420" s="25"/>
      <c r="G420" s="25"/>
      <c r="H420" s="25"/>
      <c r="I420" s="25"/>
      <c r="J420" s="26"/>
      <c r="K420" s="26"/>
      <c r="L420" s="26"/>
      <c r="M420" s="1"/>
      <c r="N420" s="1"/>
      <c r="O420" s="64"/>
      <c r="P420" s="1"/>
      <c r="Q420" s="1"/>
      <c r="R420" s="1"/>
      <c r="S420" s="1"/>
      <c r="T420" s="1"/>
    </row>
    <row r="421" spans="1:20">
      <c r="A421" s="96" t="s">
        <v>570</v>
      </c>
      <c r="B421" s="25"/>
      <c r="C421" s="25"/>
      <c r="D421" s="25"/>
      <c r="E421" s="25"/>
      <c r="F421" s="25"/>
      <c r="G421" s="25"/>
      <c r="H421" s="25"/>
      <c r="I421" s="25"/>
      <c r="J421" s="26"/>
      <c r="K421" s="26"/>
      <c r="L421" s="26"/>
      <c r="M421" s="1"/>
      <c r="N421" s="1"/>
      <c r="O421" s="64"/>
      <c r="P421" s="1"/>
      <c r="Q421" s="1"/>
      <c r="R421" s="1"/>
      <c r="S421" s="1"/>
      <c r="T421" s="1"/>
    </row>
    <row r="422" spans="1:20">
      <c r="A422" s="96" t="s">
        <v>571</v>
      </c>
      <c r="B422" s="25"/>
      <c r="C422" s="25"/>
      <c r="D422" s="25"/>
      <c r="E422" s="25"/>
      <c r="F422" s="25"/>
      <c r="G422" s="25"/>
      <c r="H422" s="25"/>
      <c r="I422" s="25"/>
      <c r="J422" s="26"/>
      <c r="K422" s="26"/>
      <c r="L422" s="26"/>
      <c r="M422" s="1"/>
      <c r="N422" s="1"/>
      <c r="O422" s="64"/>
      <c r="P422" s="1"/>
      <c r="Q422" s="1"/>
      <c r="R422" s="1"/>
      <c r="S422" s="1"/>
      <c r="T422" s="1"/>
    </row>
    <row r="423" spans="1:20">
      <c r="A423" s="96" t="s">
        <v>572</v>
      </c>
      <c r="B423" s="25"/>
      <c r="C423" s="25"/>
      <c r="D423" s="25"/>
      <c r="E423" s="25"/>
      <c r="F423" s="25"/>
      <c r="G423" s="25"/>
      <c r="H423" s="25"/>
      <c r="I423" s="25"/>
      <c r="J423" s="26"/>
      <c r="K423" s="26"/>
      <c r="L423" s="26"/>
      <c r="M423" s="1"/>
      <c r="N423" s="1"/>
      <c r="O423" s="64"/>
      <c r="P423" s="1"/>
      <c r="Q423" s="1"/>
      <c r="R423" s="1"/>
      <c r="S423" s="1"/>
      <c r="T423" s="1"/>
    </row>
    <row r="424" spans="1:20">
      <c r="A424" s="29" t="s">
        <v>505</v>
      </c>
      <c r="B424" s="25"/>
      <c r="C424" s="25"/>
      <c r="D424" s="25"/>
      <c r="E424" s="25"/>
      <c r="F424" s="25"/>
      <c r="G424" s="25"/>
      <c r="H424" s="25"/>
      <c r="I424" s="25"/>
      <c r="J424" s="26"/>
      <c r="K424" s="26"/>
      <c r="L424" s="26"/>
      <c r="M424" s="1"/>
      <c r="N424" s="1"/>
      <c r="O424" s="64"/>
      <c r="P424" s="1"/>
      <c r="Q424" s="1"/>
      <c r="R424" s="1"/>
      <c r="S424" s="1"/>
      <c r="T424" s="1"/>
    </row>
    <row r="425" spans="1:20">
      <c r="A425" s="29"/>
      <c r="B425" s="25"/>
      <c r="C425" s="25"/>
      <c r="D425" s="25"/>
      <c r="E425" s="25"/>
      <c r="F425" s="25"/>
      <c r="G425" s="25"/>
      <c r="H425" s="25"/>
      <c r="I425" s="25"/>
      <c r="J425" s="26"/>
      <c r="K425" s="26"/>
      <c r="L425" s="26"/>
      <c r="M425" s="1"/>
      <c r="N425" s="1"/>
      <c r="O425" s="64"/>
      <c r="P425" s="1"/>
      <c r="Q425" s="1"/>
      <c r="R425" s="1"/>
      <c r="S425" s="1"/>
      <c r="T425" s="1"/>
    </row>
    <row r="426" spans="1:20">
      <c r="A426" s="96" t="s">
        <v>579</v>
      </c>
      <c r="B426" s="25"/>
      <c r="C426" s="25"/>
      <c r="D426" s="25"/>
      <c r="E426" s="25"/>
      <c r="F426" s="25"/>
      <c r="G426" s="25"/>
      <c r="H426" s="25"/>
      <c r="I426" s="25"/>
      <c r="J426" s="26"/>
      <c r="K426" s="26"/>
      <c r="L426" s="26"/>
      <c r="M426" s="1"/>
      <c r="N426" s="1"/>
      <c r="O426" s="64"/>
      <c r="P426" s="1"/>
      <c r="Q426" s="1"/>
      <c r="R426" s="1"/>
      <c r="S426" s="1"/>
      <c r="T426" s="1"/>
    </row>
    <row r="427" spans="1:20">
      <c r="A427" s="28" t="s">
        <v>526</v>
      </c>
      <c r="B427" s="25"/>
      <c r="C427" s="25"/>
      <c r="D427" s="25"/>
      <c r="E427" s="25"/>
      <c r="F427" s="25"/>
      <c r="G427" s="25"/>
      <c r="H427" s="25"/>
      <c r="I427" s="25"/>
      <c r="J427" s="26"/>
      <c r="K427" s="26"/>
      <c r="L427" s="26"/>
      <c r="M427" s="1"/>
      <c r="N427" s="1"/>
      <c r="O427" s="64"/>
      <c r="P427" s="1"/>
      <c r="Q427" s="1"/>
      <c r="R427" s="1"/>
      <c r="S427" s="1"/>
      <c r="T427" s="1"/>
    </row>
    <row r="428" spans="1:20" ht="13.5" thickBot="1">
      <c r="A428" s="30" t="s">
        <v>534</v>
      </c>
      <c r="B428" s="31"/>
      <c r="C428" s="31"/>
      <c r="D428" s="31"/>
      <c r="E428" s="31"/>
      <c r="F428" s="31"/>
      <c r="G428" s="31"/>
      <c r="H428" s="31"/>
      <c r="I428" s="31"/>
      <c r="J428" s="32"/>
      <c r="K428" s="32"/>
      <c r="L428" s="32"/>
      <c r="M428" s="31"/>
      <c r="N428" s="31"/>
      <c r="O428" s="81"/>
      <c r="P428" s="1"/>
      <c r="Q428" s="1"/>
      <c r="R428" s="1"/>
      <c r="S428" s="1"/>
      <c r="T428" s="1"/>
    </row>
    <row r="429" spans="1:20">
      <c r="A429" s="4"/>
      <c r="B429" s="1"/>
      <c r="C429" s="1"/>
      <c r="D429" s="1"/>
      <c r="E429" s="1"/>
      <c r="F429" s="1"/>
      <c r="G429" s="1"/>
      <c r="H429" s="1"/>
      <c r="I429" s="1"/>
      <c r="J429" s="3"/>
      <c r="K429" s="3"/>
      <c r="L429" s="3"/>
      <c r="M429" s="1"/>
      <c r="N429" s="1"/>
      <c r="O429" s="1"/>
      <c r="P429" s="1"/>
      <c r="Q429" s="1"/>
      <c r="R429" s="1"/>
      <c r="S429" s="1"/>
      <c r="T429" s="1"/>
    </row>
    <row r="430" spans="1:20">
      <c r="A430" s="4"/>
      <c r="B430" s="1"/>
      <c r="C430" s="1"/>
      <c r="D430" s="1"/>
      <c r="E430" s="1"/>
      <c r="F430" s="1"/>
      <c r="G430" s="1"/>
      <c r="H430" s="1"/>
      <c r="I430" s="1"/>
      <c r="J430" s="3"/>
      <c r="K430" s="3"/>
      <c r="L430" s="3"/>
      <c r="M430" s="1"/>
      <c r="N430" s="1"/>
      <c r="O430" s="1"/>
      <c r="P430" s="1"/>
      <c r="Q430" s="1"/>
      <c r="R430" s="1"/>
      <c r="S430" s="1"/>
      <c r="T430" s="1"/>
    </row>
    <row r="431" spans="1:20">
      <c r="A431" s="2"/>
      <c r="B431" s="2"/>
      <c r="C431" s="2"/>
      <c r="D431" s="2"/>
      <c r="E431" s="2"/>
      <c r="F431" s="2"/>
      <c r="G431" s="2"/>
      <c r="H431" s="2"/>
      <c r="I431" s="2"/>
      <c r="J431" s="2"/>
      <c r="K431" s="2"/>
      <c r="L431" s="2"/>
      <c r="M431" s="2"/>
      <c r="N431" s="2"/>
      <c r="O431" s="2"/>
      <c r="P431" s="2"/>
      <c r="Q431" s="2"/>
      <c r="R431" s="2"/>
      <c r="S431" s="2"/>
      <c r="T431"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rowBreaks count="1" manualBreakCount="1">
    <brk id="417" max="14" man="1"/>
  </rowBreaks>
  <ignoredErrors>
    <ignoredError sqref="L416 F416"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431"/>
  <sheetViews>
    <sheetView workbookViewId="0">
      <selection sqref="A1:N1"/>
    </sheetView>
  </sheetViews>
  <sheetFormatPr defaultRowHeight="12.75"/>
  <cols>
    <col min="1" max="1" width="25.7109375" customWidth="1"/>
    <col min="2" max="2" width="16.7109375" customWidth="1"/>
    <col min="3" max="3" width="11.7109375" customWidth="1"/>
    <col min="4" max="4" width="19.7109375" style="163" customWidth="1"/>
    <col min="5" max="5" width="13.7109375" customWidth="1"/>
    <col min="6" max="6" width="19.7109375" style="163" customWidth="1"/>
    <col min="7" max="7" width="13.7109375" customWidth="1"/>
    <col min="8" max="8" width="1.7109375" customWidth="1"/>
    <col min="9" max="9" width="10.7109375" style="163" customWidth="1"/>
    <col min="10" max="10" width="15.7109375" style="163" customWidth="1"/>
    <col min="11" max="11" width="13.7109375" customWidth="1"/>
    <col min="12" max="12" width="16.7109375" customWidth="1"/>
    <col min="13" max="13" width="15.7109375" customWidth="1"/>
    <col min="14" max="14" width="14.7109375" customWidth="1"/>
    <col min="15" max="15" width="2.7109375" customWidth="1"/>
    <col min="16" max="16" width="4.5703125" customWidth="1"/>
    <col min="17" max="17" width="11.7109375" customWidth="1"/>
    <col min="19" max="20" width="17.7109375" customWidth="1"/>
    <col min="21" max="21" width="16.7109375" customWidth="1"/>
    <col min="23" max="23" width="15.7109375" customWidth="1"/>
  </cols>
  <sheetData>
    <row r="1" spans="1:24" ht="26.25">
      <c r="A1" s="197" t="s">
        <v>638</v>
      </c>
      <c r="B1" s="198"/>
      <c r="C1" s="198"/>
      <c r="D1" s="198"/>
      <c r="E1" s="198"/>
      <c r="F1" s="198"/>
      <c r="G1" s="198"/>
      <c r="H1" s="198"/>
      <c r="I1" s="198"/>
      <c r="J1" s="198"/>
      <c r="K1" s="198"/>
      <c r="L1" s="198"/>
      <c r="M1" s="198"/>
      <c r="N1" s="199"/>
    </row>
    <row r="2" spans="1:24" ht="18">
      <c r="A2" s="41"/>
      <c r="B2" s="42"/>
      <c r="C2" s="164"/>
      <c r="D2" s="200" t="s">
        <v>562</v>
      </c>
      <c r="E2" s="201"/>
      <c r="F2" s="201"/>
      <c r="G2" s="202"/>
      <c r="H2" s="44"/>
      <c r="I2" s="176" t="s">
        <v>456</v>
      </c>
      <c r="J2" s="177"/>
      <c r="K2" s="68"/>
      <c r="L2" s="201" t="s">
        <v>503</v>
      </c>
      <c r="M2" s="201"/>
      <c r="N2" s="203"/>
      <c r="S2" s="200" t="s">
        <v>591</v>
      </c>
      <c r="T2" s="201"/>
      <c r="U2" s="202"/>
    </row>
    <row r="3" spans="1:24" ht="12.75" customHeight="1">
      <c r="A3" s="46"/>
      <c r="B3" s="47"/>
      <c r="C3" s="48">
        <v>2023</v>
      </c>
      <c r="D3" s="165"/>
      <c r="E3" s="50" t="s">
        <v>1</v>
      </c>
      <c r="F3" s="173"/>
      <c r="G3" s="50" t="s">
        <v>1</v>
      </c>
      <c r="H3" s="52"/>
      <c r="I3" s="178"/>
      <c r="J3" s="179"/>
      <c r="K3" s="67" t="s">
        <v>1</v>
      </c>
      <c r="L3" s="66" t="s">
        <v>455</v>
      </c>
      <c r="M3" s="50" t="s">
        <v>455</v>
      </c>
      <c r="N3" s="59" t="s">
        <v>1</v>
      </c>
      <c r="S3" s="51"/>
      <c r="T3" s="51"/>
      <c r="U3" s="54"/>
    </row>
    <row r="4" spans="1:24">
      <c r="A4" s="46"/>
      <c r="B4" s="47"/>
      <c r="C4" s="48" t="s">
        <v>3</v>
      </c>
      <c r="D4" s="165" t="s">
        <v>563</v>
      </c>
      <c r="E4" s="56" t="s">
        <v>563</v>
      </c>
      <c r="F4" s="174" t="s">
        <v>2</v>
      </c>
      <c r="G4" s="56" t="s">
        <v>2</v>
      </c>
      <c r="H4" s="52"/>
      <c r="I4" s="180" t="s">
        <v>4</v>
      </c>
      <c r="J4" s="181" t="s">
        <v>455</v>
      </c>
      <c r="K4" s="69" t="s">
        <v>455</v>
      </c>
      <c r="L4" s="67" t="s">
        <v>454</v>
      </c>
      <c r="M4" s="82" t="s">
        <v>495</v>
      </c>
      <c r="N4" s="55" t="s">
        <v>495</v>
      </c>
      <c r="S4" s="48" t="s">
        <v>563</v>
      </c>
      <c r="T4" s="56" t="s">
        <v>2</v>
      </c>
      <c r="U4" s="58" t="s">
        <v>455</v>
      </c>
    </row>
    <row r="5" spans="1:24">
      <c r="A5" s="85" t="s">
        <v>5</v>
      </c>
      <c r="B5" s="86" t="s">
        <v>6</v>
      </c>
      <c r="C5" s="48" t="s">
        <v>458</v>
      </c>
      <c r="D5" s="166" t="s">
        <v>7</v>
      </c>
      <c r="E5" s="89" t="s">
        <v>7</v>
      </c>
      <c r="F5" s="175" t="s">
        <v>7</v>
      </c>
      <c r="G5" s="89" t="s">
        <v>7</v>
      </c>
      <c r="H5" s="91"/>
      <c r="I5" s="182" t="s">
        <v>587</v>
      </c>
      <c r="J5" s="175" t="s">
        <v>454</v>
      </c>
      <c r="K5" s="90" t="s">
        <v>454</v>
      </c>
      <c r="L5" s="93" t="s">
        <v>502</v>
      </c>
      <c r="M5" s="94" t="s">
        <v>496</v>
      </c>
      <c r="N5" s="95" t="s">
        <v>496</v>
      </c>
      <c r="O5" s="19"/>
      <c r="P5" s="19"/>
      <c r="Q5" s="19"/>
      <c r="S5" s="87" t="s">
        <v>7</v>
      </c>
      <c r="T5" s="90" t="s">
        <v>7</v>
      </c>
      <c r="U5" s="90" t="s">
        <v>454</v>
      </c>
    </row>
    <row r="6" spans="1:24">
      <c r="A6" s="22" t="s">
        <v>8</v>
      </c>
      <c r="B6" s="33" t="s">
        <v>8</v>
      </c>
      <c r="C6" s="97">
        <v>11015</v>
      </c>
      <c r="D6" s="141">
        <v>2000095270</v>
      </c>
      <c r="E6" s="38">
        <f t="shared" ref="E6:E14" si="0">(D6/C6)</f>
        <v>181579.23467998183</v>
      </c>
      <c r="F6" s="141">
        <v>1217998425</v>
      </c>
      <c r="G6" s="39">
        <f t="shared" ref="G6:G14" si="1">(F6/C6)</f>
        <v>110576.34362233318</v>
      </c>
      <c r="H6" s="15"/>
      <c r="I6" s="145">
        <v>5.95</v>
      </c>
      <c r="J6" s="146">
        <v>7247090.6287500001</v>
      </c>
      <c r="K6" s="84">
        <f t="shared" ref="K6:K14" si="2">(J6/C6)</f>
        <v>657.92924455288244</v>
      </c>
      <c r="L6" s="65">
        <f t="shared" ref="L6:L69" si="3">(F6*0.01)</f>
        <v>12179984.25</v>
      </c>
      <c r="M6" s="83">
        <f t="shared" ref="M6:M69" si="4">(L6-J6)</f>
        <v>4932893.6212499999</v>
      </c>
      <c r="N6" s="62">
        <f t="shared" ref="N6:N69" si="5">(M6/C6)</f>
        <v>447.8341916704494</v>
      </c>
      <c r="O6" s="5"/>
      <c r="P6" s="5">
        <f t="shared" ref="P6:P69" si="6">IF(I6&gt;0,1,0)</f>
        <v>1</v>
      </c>
      <c r="Q6" s="7">
        <f t="shared" ref="Q6:Q69" si="7">IF(I6&gt;0,C6,0)</f>
        <v>11015</v>
      </c>
      <c r="S6" s="124"/>
      <c r="W6" s="124">
        <f>F6*(I6/1000)</f>
        <v>7247090.6287500001</v>
      </c>
      <c r="X6">
        <f>IF(W6=J6,0,1)</f>
        <v>0</v>
      </c>
    </row>
    <row r="7" spans="1:24">
      <c r="A7" s="23" t="s">
        <v>9</v>
      </c>
      <c r="B7" s="35" t="s">
        <v>8</v>
      </c>
      <c r="C7" s="97">
        <v>1160</v>
      </c>
      <c r="D7" s="132">
        <v>109851264</v>
      </c>
      <c r="E7" s="116">
        <f t="shared" si="0"/>
        <v>94699.365517241386</v>
      </c>
      <c r="F7" s="132">
        <v>52942949</v>
      </c>
      <c r="G7" s="117">
        <f t="shared" si="1"/>
        <v>45640.473275862067</v>
      </c>
      <c r="H7" s="7"/>
      <c r="I7" s="136">
        <v>5.5479000000000003</v>
      </c>
      <c r="J7" s="134">
        <v>293722.18675709999</v>
      </c>
      <c r="K7" s="120">
        <f t="shared" si="2"/>
        <v>253.20878168715515</v>
      </c>
      <c r="L7" s="122">
        <f t="shared" si="3"/>
        <v>529429.49</v>
      </c>
      <c r="M7" s="116">
        <f t="shared" si="4"/>
        <v>235707.3032429</v>
      </c>
      <c r="N7" s="123">
        <f t="shared" si="5"/>
        <v>203.19595107146552</v>
      </c>
      <c r="O7" s="5"/>
      <c r="P7" s="5">
        <f t="shared" si="6"/>
        <v>1</v>
      </c>
      <c r="Q7" s="7">
        <f t="shared" si="7"/>
        <v>1160</v>
      </c>
      <c r="S7" s="124"/>
      <c r="W7" s="124">
        <f t="shared" ref="W7:W70" si="8">F7*(I7/1000)</f>
        <v>293722.18675710005</v>
      </c>
      <c r="X7">
        <f t="shared" ref="X7:X70" si="9">IF(W7=J7,0,1)</f>
        <v>0</v>
      </c>
    </row>
    <row r="8" spans="1:24">
      <c r="A8" s="23" t="s">
        <v>10</v>
      </c>
      <c r="B8" s="35" t="s">
        <v>8</v>
      </c>
      <c r="C8" s="97">
        <v>147865</v>
      </c>
      <c r="D8" s="132">
        <v>21618934075</v>
      </c>
      <c r="E8" s="116">
        <f t="shared" si="0"/>
        <v>146207.2436005816</v>
      </c>
      <c r="F8" s="132">
        <v>10108303089</v>
      </c>
      <c r="G8" s="117">
        <f t="shared" si="1"/>
        <v>68361.702153991821</v>
      </c>
      <c r="H8" s="7"/>
      <c r="I8" s="136">
        <v>6.4297000000000004</v>
      </c>
      <c r="J8" s="134">
        <v>64993356.371343307</v>
      </c>
      <c r="K8" s="120">
        <f t="shared" si="2"/>
        <v>439.54523633952124</v>
      </c>
      <c r="L8" s="122">
        <f t="shared" si="3"/>
        <v>101083030.89</v>
      </c>
      <c r="M8" s="116">
        <f t="shared" si="4"/>
        <v>36089674.518656693</v>
      </c>
      <c r="N8" s="123">
        <f t="shared" si="5"/>
        <v>244.07178520039693</v>
      </c>
      <c r="O8" s="5"/>
      <c r="P8" s="5">
        <f t="shared" si="6"/>
        <v>1</v>
      </c>
      <c r="Q8" s="7">
        <f t="shared" si="7"/>
        <v>147865</v>
      </c>
      <c r="S8" s="124"/>
      <c r="W8" s="124">
        <f t="shared" si="8"/>
        <v>64993356.3713433</v>
      </c>
      <c r="X8">
        <f t="shared" si="9"/>
        <v>0</v>
      </c>
    </row>
    <row r="9" spans="1:24">
      <c r="A9" s="23" t="s">
        <v>11</v>
      </c>
      <c r="B9" s="35" t="s">
        <v>8</v>
      </c>
      <c r="C9" s="97">
        <v>1462</v>
      </c>
      <c r="D9" s="132">
        <v>158291759</v>
      </c>
      <c r="E9" s="116">
        <f t="shared" si="0"/>
        <v>108270.69699042408</v>
      </c>
      <c r="F9" s="134">
        <v>68725372</v>
      </c>
      <c r="G9" s="117">
        <f t="shared" si="1"/>
        <v>47007.778385772915</v>
      </c>
      <c r="H9" s="7"/>
      <c r="I9" s="136">
        <v>5.8593999999999999</v>
      </c>
      <c r="J9" s="134">
        <v>402689.44469679997</v>
      </c>
      <c r="K9" s="120">
        <f t="shared" si="2"/>
        <v>275.43737667359778</v>
      </c>
      <c r="L9" s="122">
        <f t="shared" si="3"/>
        <v>687253.72</v>
      </c>
      <c r="M9" s="116">
        <f t="shared" si="4"/>
        <v>284564.2753032</v>
      </c>
      <c r="N9" s="123">
        <f t="shared" si="5"/>
        <v>194.64040718413133</v>
      </c>
      <c r="O9" s="5"/>
      <c r="P9" s="5">
        <f t="shared" si="6"/>
        <v>1</v>
      </c>
      <c r="Q9" s="7">
        <f t="shared" si="7"/>
        <v>1462</v>
      </c>
      <c r="S9" s="124"/>
      <c r="W9" s="124">
        <f t="shared" si="8"/>
        <v>402689.44469679997</v>
      </c>
      <c r="X9">
        <f t="shared" si="9"/>
        <v>0</v>
      </c>
    </row>
    <row r="10" spans="1:24">
      <c r="A10" s="23" t="s">
        <v>12</v>
      </c>
      <c r="B10" s="35" t="s">
        <v>8</v>
      </c>
      <c r="C10" s="97">
        <v>6975</v>
      </c>
      <c r="D10" s="132">
        <v>852372317</v>
      </c>
      <c r="E10" s="116">
        <f t="shared" si="0"/>
        <v>122203.91641577061</v>
      </c>
      <c r="F10" s="134">
        <v>472495370</v>
      </c>
      <c r="G10" s="117">
        <f t="shared" si="1"/>
        <v>67741.271684587817</v>
      </c>
      <c r="H10" s="7"/>
      <c r="I10" s="136">
        <v>6.99</v>
      </c>
      <c r="J10" s="134">
        <v>3302742.6363000004</v>
      </c>
      <c r="K10" s="120">
        <f t="shared" si="2"/>
        <v>473.51148907526886</v>
      </c>
      <c r="L10" s="122">
        <f t="shared" si="3"/>
        <v>4724953.7</v>
      </c>
      <c r="M10" s="116">
        <f t="shared" si="4"/>
        <v>1422211.0636999998</v>
      </c>
      <c r="N10" s="123">
        <f t="shared" si="5"/>
        <v>203.9012277706093</v>
      </c>
      <c r="O10" s="5"/>
      <c r="P10" s="5">
        <f t="shared" si="6"/>
        <v>1</v>
      </c>
      <c r="Q10" s="7">
        <f t="shared" si="7"/>
        <v>6975</v>
      </c>
      <c r="S10" s="124"/>
      <c r="W10" s="124">
        <f t="shared" si="8"/>
        <v>3302742.6363000004</v>
      </c>
      <c r="X10">
        <f t="shared" si="9"/>
        <v>0</v>
      </c>
    </row>
    <row r="11" spans="1:24">
      <c r="A11" s="23" t="s">
        <v>559</v>
      </c>
      <c r="B11" s="35" t="s">
        <v>8</v>
      </c>
      <c r="C11" s="97">
        <v>305</v>
      </c>
      <c r="D11" s="132">
        <v>32747534</v>
      </c>
      <c r="E11" s="116">
        <f t="shared" si="0"/>
        <v>107368.96393442623</v>
      </c>
      <c r="F11" s="134">
        <v>13959380</v>
      </c>
      <c r="G11" s="117">
        <f t="shared" si="1"/>
        <v>45768.459016393441</v>
      </c>
      <c r="H11" s="7"/>
      <c r="I11" s="136">
        <v>6.5410000000000004</v>
      </c>
      <c r="J11" s="134">
        <v>91308.304579999996</v>
      </c>
      <c r="K11" s="120">
        <f t="shared" si="2"/>
        <v>299.37149042622951</v>
      </c>
      <c r="L11" s="122">
        <f t="shared" si="3"/>
        <v>139593.79999999999</v>
      </c>
      <c r="M11" s="116">
        <f t="shared" si="4"/>
        <v>48285.495419999992</v>
      </c>
      <c r="N11" s="123">
        <f t="shared" si="5"/>
        <v>158.3130997377049</v>
      </c>
      <c r="O11" s="5"/>
      <c r="P11" s="5">
        <f t="shared" si="6"/>
        <v>1</v>
      </c>
      <c r="Q11" s="7">
        <f t="shared" si="7"/>
        <v>305</v>
      </c>
      <c r="S11" s="124"/>
      <c r="W11" s="124">
        <f t="shared" si="8"/>
        <v>91308.304579999996</v>
      </c>
      <c r="X11">
        <f t="shared" si="9"/>
        <v>0</v>
      </c>
    </row>
    <row r="12" spans="1:24">
      <c r="A12" s="23" t="s">
        <v>13</v>
      </c>
      <c r="B12" s="35" t="s">
        <v>8</v>
      </c>
      <c r="C12" s="97">
        <v>660</v>
      </c>
      <c r="D12" s="132">
        <v>80631773</v>
      </c>
      <c r="E12" s="116">
        <f t="shared" si="0"/>
        <v>122169.35303030303</v>
      </c>
      <c r="F12" s="134">
        <v>44213111</v>
      </c>
      <c r="G12" s="117">
        <f t="shared" si="1"/>
        <v>66989.562121212119</v>
      </c>
      <c r="H12" s="7"/>
      <c r="I12" s="136">
        <v>5.2</v>
      </c>
      <c r="J12" s="134">
        <v>229908.17720000001</v>
      </c>
      <c r="K12" s="120">
        <f t="shared" si="2"/>
        <v>348.34572303030302</v>
      </c>
      <c r="L12" s="122">
        <f t="shared" si="3"/>
        <v>442131.11</v>
      </c>
      <c r="M12" s="116">
        <f t="shared" si="4"/>
        <v>212222.93279999998</v>
      </c>
      <c r="N12" s="123">
        <f t="shared" si="5"/>
        <v>321.54989818181815</v>
      </c>
      <c r="O12" s="5"/>
      <c r="P12" s="5">
        <f t="shared" si="6"/>
        <v>1</v>
      </c>
      <c r="Q12" s="7">
        <f t="shared" si="7"/>
        <v>660</v>
      </c>
      <c r="S12" s="124"/>
      <c r="W12" s="124">
        <f t="shared" si="8"/>
        <v>229908.17719999998</v>
      </c>
      <c r="X12">
        <f t="shared" si="9"/>
        <v>0</v>
      </c>
    </row>
    <row r="13" spans="1:24">
      <c r="A13" s="23" t="s">
        <v>14</v>
      </c>
      <c r="B13" s="35" t="s">
        <v>8</v>
      </c>
      <c r="C13" s="97">
        <v>8503</v>
      </c>
      <c r="D13" s="132">
        <v>1475203251</v>
      </c>
      <c r="E13" s="116">
        <f t="shared" si="0"/>
        <v>173492.09114430202</v>
      </c>
      <c r="F13" s="134">
        <v>689810007</v>
      </c>
      <c r="G13" s="117">
        <f t="shared" si="1"/>
        <v>81125.485946136658</v>
      </c>
      <c r="H13" s="7"/>
      <c r="I13" s="136">
        <v>5.9</v>
      </c>
      <c r="J13" s="134">
        <v>4069879.0413000002</v>
      </c>
      <c r="K13" s="120">
        <f t="shared" si="2"/>
        <v>478.6403670822063</v>
      </c>
      <c r="L13" s="122">
        <f t="shared" si="3"/>
        <v>6898100.0700000003</v>
      </c>
      <c r="M13" s="116">
        <f t="shared" si="4"/>
        <v>2828221.0287000001</v>
      </c>
      <c r="N13" s="123">
        <f t="shared" si="5"/>
        <v>332.61449237916031</v>
      </c>
      <c r="O13" s="5"/>
      <c r="P13" s="5">
        <f t="shared" si="6"/>
        <v>1</v>
      </c>
      <c r="Q13" s="7">
        <f t="shared" si="7"/>
        <v>8503</v>
      </c>
      <c r="S13" s="124"/>
      <c r="W13" s="124">
        <f t="shared" si="8"/>
        <v>4069879.0413000006</v>
      </c>
      <c r="X13">
        <f t="shared" si="9"/>
        <v>0</v>
      </c>
    </row>
    <row r="14" spans="1:24">
      <c r="A14" s="23" t="s">
        <v>15</v>
      </c>
      <c r="B14" s="35" t="s">
        <v>8</v>
      </c>
      <c r="C14" s="97">
        <v>882</v>
      </c>
      <c r="D14" s="132">
        <v>65056768</v>
      </c>
      <c r="E14" s="116">
        <f t="shared" si="0"/>
        <v>73760.507936507944</v>
      </c>
      <c r="F14" s="134">
        <v>37495761</v>
      </c>
      <c r="G14" s="117">
        <f t="shared" si="1"/>
        <v>42512.200680272108</v>
      </c>
      <c r="H14" s="7"/>
      <c r="I14" s="136">
        <v>6.4</v>
      </c>
      <c r="J14" s="134">
        <v>239972.87040000001</v>
      </c>
      <c r="K14" s="120">
        <f t="shared" si="2"/>
        <v>272.07808435374153</v>
      </c>
      <c r="L14" s="122">
        <f t="shared" si="3"/>
        <v>374957.61</v>
      </c>
      <c r="M14" s="116">
        <f t="shared" si="4"/>
        <v>134984.73959999997</v>
      </c>
      <c r="N14" s="123">
        <f t="shared" si="5"/>
        <v>153.04392244897957</v>
      </c>
      <c r="O14" s="5"/>
      <c r="P14" s="5">
        <f t="shared" si="6"/>
        <v>1</v>
      </c>
      <c r="Q14" s="7">
        <f t="shared" si="7"/>
        <v>882</v>
      </c>
      <c r="S14" s="124">
        <f>SUM(D6:D14)</f>
        <v>26393184011</v>
      </c>
      <c r="T14" s="184">
        <f>SUM(F6:F14)</f>
        <v>12705943464</v>
      </c>
      <c r="U14" s="184">
        <f>SUM(J6:J14)</f>
        <v>80870669.661327213</v>
      </c>
      <c r="W14" s="124">
        <f t="shared" si="8"/>
        <v>239972.87040000001</v>
      </c>
      <c r="X14">
        <f t="shared" si="9"/>
        <v>0</v>
      </c>
    </row>
    <row r="15" spans="1:24">
      <c r="A15" s="24" t="s">
        <v>544</v>
      </c>
      <c r="B15" s="35" t="s">
        <v>16</v>
      </c>
      <c r="C15" s="97">
        <v>457</v>
      </c>
      <c r="D15" s="147" t="s">
        <v>564</v>
      </c>
      <c r="E15" s="116"/>
      <c r="F15" s="134"/>
      <c r="G15" s="117"/>
      <c r="H15" s="98" t="s">
        <v>588</v>
      </c>
      <c r="I15" s="136"/>
      <c r="J15" s="134"/>
      <c r="K15" s="120"/>
      <c r="L15" s="122">
        <f t="shared" si="3"/>
        <v>0</v>
      </c>
      <c r="M15" s="116">
        <f t="shared" si="4"/>
        <v>0</v>
      </c>
      <c r="N15" s="123">
        <f t="shared" si="5"/>
        <v>0</v>
      </c>
      <c r="O15" s="5"/>
      <c r="P15" s="5">
        <f t="shared" si="6"/>
        <v>0</v>
      </c>
      <c r="Q15" s="7">
        <f t="shared" si="7"/>
        <v>0</v>
      </c>
      <c r="W15" s="124">
        <f t="shared" si="8"/>
        <v>0</v>
      </c>
      <c r="X15">
        <f t="shared" si="9"/>
        <v>0</v>
      </c>
    </row>
    <row r="16" spans="1:24">
      <c r="A16" s="23" t="s">
        <v>17</v>
      </c>
      <c r="B16" s="35" t="s">
        <v>16</v>
      </c>
      <c r="C16" s="97">
        <v>7754</v>
      </c>
      <c r="D16" s="132">
        <v>696501586</v>
      </c>
      <c r="E16" s="116">
        <f>(D16/C16)</f>
        <v>89824.811194222333</v>
      </c>
      <c r="F16" s="134">
        <v>393843890</v>
      </c>
      <c r="G16" s="117">
        <f>(F16/C16)</f>
        <v>50792.351044622133</v>
      </c>
      <c r="H16" s="7"/>
      <c r="I16" s="136">
        <v>3.6</v>
      </c>
      <c r="J16" s="134">
        <v>1417838.004</v>
      </c>
      <c r="K16" s="120">
        <f>(J16/C16)</f>
        <v>182.85246376063967</v>
      </c>
      <c r="L16" s="122">
        <f t="shared" si="3"/>
        <v>3938438.9</v>
      </c>
      <c r="M16" s="116">
        <f t="shared" si="4"/>
        <v>2520600.8959999997</v>
      </c>
      <c r="N16" s="123">
        <f t="shared" si="5"/>
        <v>325.07104668558162</v>
      </c>
      <c r="O16" s="5"/>
      <c r="P16" s="5">
        <f t="shared" si="6"/>
        <v>1</v>
      </c>
      <c r="Q16" s="7">
        <f t="shared" si="7"/>
        <v>7754</v>
      </c>
      <c r="S16" s="124">
        <f>SUM(D15:D16)</f>
        <v>696501586</v>
      </c>
      <c r="T16" s="124">
        <f>SUM(F15:F16)</f>
        <v>393843890</v>
      </c>
      <c r="U16" s="124">
        <f>SUM(J15:J16)</f>
        <v>1417838.004</v>
      </c>
      <c r="W16" s="124">
        <f t="shared" si="8"/>
        <v>1417838.004</v>
      </c>
      <c r="X16">
        <f t="shared" si="9"/>
        <v>0</v>
      </c>
    </row>
    <row r="17" spans="1:24">
      <c r="A17" s="23" t="s">
        <v>18</v>
      </c>
      <c r="B17" s="35" t="s">
        <v>19</v>
      </c>
      <c r="C17" s="97">
        <v>13200</v>
      </c>
      <c r="D17" s="132">
        <v>1213967589</v>
      </c>
      <c r="E17" s="116">
        <f>(D17/C17)</f>
        <v>91967.241590909092</v>
      </c>
      <c r="F17" s="134">
        <v>851624477</v>
      </c>
      <c r="G17" s="117">
        <f>(F17/C17)</f>
        <v>64517.005833333336</v>
      </c>
      <c r="H17" s="8"/>
      <c r="I17" s="136">
        <v>2.75</v>
      </c>
      <c r="J17" s="134">
        <v>1914329.2052500001</v>
      </c>
      <c r="K17" s="120">
        <f>(J17/C17)</f>
        <v>145.02493979166667</v>
      </c>
      <c r="L17" s="122">
        <f t="shared" si="3"/>
        <v>8516244.7699999996</v>
      </c>
      <c r="M17" s="116">
        <f t="shared" si="4"/>
        <v>6601915.564749999</v>
      </c>
      <c r="N17" s="123">
        <f t="shared" si="5"/>
        <v>500.14511854166659</v>
      </c>
      <c r="O17" s="5"/>
      <c r="P17" s="5">
        <f t="shared" si="6"/>
        <v>1</v>
      </c>
      <c r="Q17" s="7">
        <f t="shared" si="7"/>
        <v>13200</v>
      </c>
      <c r="W17" s="124">
        <f t="shared" si="8"/>
        <v>2341967.3117499999</v>
      </c>
      <c r="X17">
        <f t="shared" si="9"/>
        <v>1</v>
      </c>
    </row>
    <row r="18" spans="1:24">
      <c r="A18" s="23" t="s">
        <v>21</v>
      </c>
      <c r="B18" s="35" t="s">
        <v>19</v>
      </c>
      <c r="C18" s="97">
        <v>19432</v>
      </c>
      <c r="D18" s="132">
        <v>2398605241</v>
      </c>
      <c r="E18" s="116">
        <f>(D18/C18)</f>
        <v>123435.83990325237</v>
      </c>
      <c r="F18" s="134">
        <v>1614159745</v>
      </c>
      <c r="G18" s="117">
        <f>(F18/C18)</f>
        <v>83067.092682173738</v>
      </c>
      <c r="H18" s="7"/>
      <c r="I18" s="136">
        <v>4</v>
      </c>
      <c r="J18" s="134">
        <v>5781900.1262999997</v>
      </c>
      <c r="K18" s="120">
        <f>(J18/C18)</f>
        <v>297.54529262556605</v>
      </c>
      <c r="L18" s="122">
        <f t="shared" si="3"/>
        <v>16141597.450000001</v>
      </c>
      <c r="M18" s="116">
        <f t="shared" si="4"/>
        <v>10359697.323700001</v>
      </c>
      <c r="N18" s="123">
        <f t="shared" si="5"/>
        <v>533.12563419617129</v>
      </c>
      <c r="O18" s="5"/>
      <c r="P18" s="5">
        <f t="shared" si="6"/>
        <v>1</v>
      </c>
      <c r="Q18" s="7">
        <f t="shared" si="7"/>
        <v>19432</v>
      </c>
      <c r="W18" s="124">
        <f t="shared" si="8"/>
        <v>6456638.9800000004</v>
      </c>
      <c r="X18">
        <f t="shared" si="9"/>
        <v>1</v>
      </c>
    </row>
    <row r="19" spans="1:24">
      <c r="A19" s="23" t="s">
        <v>22</v>
      </c>
      <c r="B19" s="35" t="s">
        <v>19</v>
      </c>
      <c r="C19" s="97">
        <v>1285</v>
      </c>
      <c r="D19" s="132">
        <v>955239869</v>
      </c>
      <c r="E19" s="116">
        <f>(D19/C19)</f>
        <v>743377.32996108953</v>
      </c>
      <c r="F19" s="134">
        <v>642443797</v>
      </c>
      <c r="G19" s="117">
        <f>(F19/C19)</f>
        <v>499956.26225680934</v>
      </c>
      <c r="H19" s="7"/>
      <c r="I19" s="150">
        <v>5.9999000000000002</v>
      </c>
      <c r="J19" s="134">
        <v>3478945.34</v>
      </c>
      <c r="K19" s="120">
        <f>(J19/C19)</f>
        <v>2707.3504591439687</v>
      </c>
      <c r="L19" s="122">
        <f t="shared" si="3"/>
        <v>6424437.9699999997</v>
      </c>
      <c r="M19" s="116">
        <f t="shared" si="4"/>
        <v>2945492.63</v>
      </c>
      <c r="N19" s="123">
        <f t="shared" si="5"/>
        <v>2292.2121634241244</v>
      </c>
      <c r="O19" s="5"/>
      <c r="P19" s="5">
        <f t="shared" si="6"/>
        <v>1</v>
      </c>
      <c r="Q19" s="7">
        <f t="shared" si="7"/>
        <v>1285</v>
      </c>
      <c r="W19" s="124">
        <f t="shared" si="8"/>
        <v>3854598.5376203</v>
      </c>
      <c r="X19">
        <f t="shared" si="9"/>
        <v>1</v>
      </c>
    </row>
    <row r="20" spans="1:24">
      <c r="A20" s="23" t="s">
        <v>23</v>
      </c>
      <c r="B20" s="35" t="s">
        <v>19</v>
      </c>
      <c r="C20" s="97">
        <v>37526</v>
      </c>
      <c r="D20" s="132">
        <v>4894663360</v>
      </c>
      <c r="E20" s="116">
        <f>(D20/C20)</f>
        <v>130433.92208069073</v>
      </c>
      <c r="F20" s="134">
        <v>3280084217</v>
      </c>
      <c r="G20" s="117">
        <f>(F20/C20)</f>
        <v>87408.309358844534</v>
      </c>
      <c r="H20" s="7"/>
      <c r="I20" s="136">
        <v>4.7999000000000001</v>
      </c>
      <c r="J20" s="134">
        <v>13326940.3880242</v>
      </c>
      <c r="K20" s="120">
        <f>(J20/C20)</f>
        <v>355.13884741310557</v>
      </c>
      <c r="L20" s="122">
        <f t="shared" si="3"/>
        <v>32800842.170000002</v>
      </c>
      <c r="M20" s="116">
        <f t="shared" si="4"/>
        <v>19473901.781975802</v>
      </c>
      <c r="N20" s="123">
        <f t="shared" si="5"/>
        <v>518.9442461753398</v>
      </c>
      <c r="O20" s="5"/>
      <c r="P20" s="5">
        <f t="shared" si="6"/>
        <v>1</v>
      </c>
      <c r="Q20" s="7">
        <f t="shared" si="7"/>
        <v>37526</v>
      </c>
      <c r="W20" s="124">
        <f t="shared" si="8"/>
        <v>15744076.233178301</v>
      </c>
      <c r="X20">
        <f t="shared" si="9"/>
        <v>1</v>
      </c>
    </row>
    <row r="21" spans="1:24">
      <c r="A21" s="23" t="s">
        <v>24</v>
      </c>
      <c r="B21" s="35" t="s">
        <v>19</v>
      </c>
      <c r="C21" s="97">
        <v>19842</v>
      </c>
      <c r="D21" s="147" t="s">
        <v>564</v>
      </c>
      <c r="E21" s="116"/>
      <c r="F21" s="134"/>
      <c r="G21" s="117"/>
      <c r="H21" s="98" t="s">
        <v>588</v>
      </c>
      <c r="I21" s="151"/>
      <c r="J21" s="134"/>
      <c r="K21" s="120"/>
      <c r="L21" s="122">
        <f t="shared" si="3"/>
        <v>0</v>
      </c>
      <c r="M21" s="116">
        <f t="shared" si="4"/>
        <v>0</v>
      </c>
      <c r="N21" s="123">
        <f t="shared" si="5"/>
        <v>0</v>
      </c>
      <c r="O21" s="5"/>
      <c r="P21" s="5">
        <f t="shared" si="6"/>
        <v>0</v>
      </c>
      <c r="Q21" s="7">
        <f t="shared" si="7"/>
        <v>0</v>
      </c>
      <c r="W21" s="124">
        <f t="shared" si="8"/>
        <v>0</v>
      </c>
      <c r="X21">
        <f t="shared" si="9"/>
        <v>0</v>
      </c>
    </row>
    <row r="22" spans="1:24">
      <c r="A22" s="23" t="s">
        <v>25</v>
      </c>
      <c r="B22" s="35" t="s">
        <v>19</v>
      </c>
      <c r="C22" s="97">
        <v>4279</v>
      </c>
      <c r="D22" s="147" t="s">
        <v>564</v>
      </c>
      <c r="E22" s="116"/>
      <c r="F22" s="134"/>
      <c r="G22" s="117"/>
      <c r="H22" s="98" t="s">
        <v>588</v>
      </c>
      <c r="I22" s="151"/>
      <c r="J22" s="134"/>
      <c r="K22" s="120"/>
      <c r="L22" s="122">
        <f t="shared" si="3"/>
        <v>0</v>
      </c>
      <c r="M22" s="116">
        <f t="shared" si="4"/>
        <v>0</v>
      </c>
      <c r="N22" s="123">
        <f t="shared" si="5"/>
        <v>0</v>
      </c>
      <c r="O22" s="5"/>
      <c r="P22" s="5">
        <f t="shared" si="6"/>
        <v>0</v>
      </c>
      <c r="Q22" s="7">
        <f t="shared" si="7"/>
        <v>0</v>
      </c>
      <c r="W22" s="124">
        <f t="shared" si="8"/>
        <v>0</v>
      </c>
      <c r="X22">
        <f t="shared" si="9"/>
        <v>0</v>
      </c>
    </row>
    <row r="23" spans="1:24">
      <c r="A23" s="23" t="s">
        <v>26</v>
      </c>
      <c r="B23" s="35" t="s">
        <v>19</v>
      </c>
      <c r="C23" s="97">
        <v>8510</v>
      </c>
      <c r="D23" s="147">
        <v>546262199</v>
      </c>
      <c r="E23" s="116">
        <f t="shared" ref="E23:E38" si="10">(D23/C23)</f>
        <v>64190.62267920094</v>
      </c>
      <c r="F23" s="134">
        <v>351522577</v>
      </c>
      <c r="G23" s="117">
        <f t="shared" ref="G23:G38" si="11">(F23/C23)</f>
        <v>41307.000822561691</v>
      </c>
      <c r="H23" s="98"/>
      <c r="I23" s="136">
        <v>4.8650000000000002</v>
      </c>
      <c r="J23" s="134">
        <v>1394442.169645</v>
      </c>
      <c r="K23" s="120">
        <f t="shared" ref="K23:K38" si="12">(J23/C23)</f>
        <v>163.85924437661575</v>
      </c>
      <c r="L23" s="122">
        <f t="shared" si="3"/>
        <v>3515225.77</v>
      </c>
      <c r="M23" s="116">
        <f t="shared" si="4"/>
        <v>2120783.6003550002</v>
      </c>
      <c r="N23" s="123">
        <f t="shared" si="5"/>
        <v>249.21076384900121</v>
      </c>
      <c r="O23" s="5"/>
      <c r="P23" s="5">
        <f t="shared" si="6"/>
        <v>1</v>
      </c>
      <c r="Q23" s="7">
        <f t="shared" si="7"/>
        <v>8510</v>
      </c>
      <c r="S23" s="124">
        <f>SUM(D17:D23)</f>
        <v>10008738258</v>
      </c>
      <c r="T23" s="124">
        <f>SUM(F17:F23)</f>
        <v>6739834813</v>
      </c>
      <c r="U23" s="124">
        <f>SUM(J17:J23)</f>
        <v>25896557.229219202</v>
      </c>
      <c r="W23" s="124">
        <f t="shared" si="8"/>
        <v>1710157.3371050002</v>
      </c>
      <c r="X23">
        <f t="shared" si="9"/>
        <v>1</v>
      </c>
    </row>
    <row r="24" spans="1:24">
      <c r="A24" s="23" t="s">
        <v>27</v>
      </c>
      <c r="B24" s="35" t="s">
        <v>28</v>
      </c>
      <c r="C24" s="97">
        <v>331</v>
      </c>
      <c r="D24" s="132">
        <v>24020106</v>
      </c>
      <c r="E24" s="116">
        <f t="shared" si="10"/>
        <v>72568.296072507554</v>
      </c>
      <c r="F24" s="134">
        <v>11912830</v>
      </c>
      <c r="G24" s="117">
        <f t="shared" si="11"/>
        <v>35990.422960725075</v>
      </c>
      <c r="H24" s="7"/>
      <c r="I24" s="136">
        <v>0.27189999999999998</v>
      </c>
      <c r="J24" s="134">
        <v>3239.0984769999995</v>
      </c>
      <c r="K24" s="120">
        <f t="shared" si="12"/>
        <v>9.7857960030211473</v>
      </c>
      <c r="L24" s="122">
        <f t="shared" si="3"/>
        <v>119128.3</v>
      </c>
      <c r="M24" s="116">
        <f t="shared" si="4"/>
        <v>115889.201523</v>
      </c>
      <c r="N24" s="123">
        <f t="shared" si="5"/>
        <v>350.11843360422961</v>
      </c>
      <c r="O24" s="5"/>
      <c r="P24" s="5">
        <f t="shared" si="6"/>
        <v>1</v>
      </c>
      <c r="Q24" s="7">
        <f t="shared" si="7"/>
        <v>331</v>
      </c>
      <c r="W24" s="124">
        <f t="shared" si="8"/>
        <v>3239.098477</v>
      </c>
      <c r="X24">
        <f t="shared" si="9"/>
        <v>0</v>
      </c>
    </row>
    <row r="25" spans="1:24">
      <c r="A25" s="23" t="s">
        <v>29</v>
      </c>
      <c r="B25" s="35" t="s">
        <v>28</v>
      </c>
      <c r="C25" s="97">
        <v>483</v>
      </c>
      <c r="D25" s="132">
        <v>23239745</v>
      </c>
      <c r="E25" s="116">
        <f t="shared" si="10"/>
        <v>48115.414078674949</v>
      </c>
      <c r="F25" s="134">
        <v>13115839</v>
      </c>
      <c r="G25" s="117">
        <f t="shared" si="11"/>
        <v>27154.946169772258</v>
      </c>
      <c r="H25" s="7"/>
      <c r="I25" s="136">
        <v>1.75</v>
      </c>
      <c r="J25" s="134">
        <v>22952.718250000002</v>
      </c>
      <c r="K25" s="120">
        <f t="shared" si="12"/>
        <v>47.52115579710145</v>
      </c>
      <c r="L25" s="122">
        <f t="shared" si="3"/>
        <v>131158.39000000001</v>
      </c>
      <c r="M25" s="116">
        <f t="shared" si="4"/>
        <v>108205.67175000001</v>
      </c>
      <c r="N25" s="123">
        <f t="shared" si="5"/>
        <v>224.02830590062115</v>
      </c>
      <c r="O25" s="5"/>
      <c r="P25" s="5">
        <f t="shared" si="6"/>
        <v>1</v>
      </c>
      <c r="Q25" s="7">
        <f t="shared" si="7"/>
        <v>483</v>
      </c>
      <c r="W25" s="124">
        <f t="shared" si="8"/>
        <v>22952.718250000002</v>
      </c>
      <c r="X25">
        <f t="shared" si="9"/>
        <v>0</v>
      </c>
    </row>
    <row r="26" spans="1:24">
      <c r="A26" s="23" t="s">
        <v>30</v>
      </c>
      <c r="B26" s="35" t="s">
        <v>28</v>
      </c>
      <c r="C26" s="97">
        <v>659</v>
      </c>
      <c r="D26" s="132">
        <v>38674937</v>
      </c>
      <c r="E26" s="116">
        <f t="shared" si="10"/>
        <v>58687.309559939305</v>
      </c>
      <c r="F26" s="134">
        <v>21243507</v>
      </c>
      <c r="G26" s="117">
        <f t="shared" si="11"/>
        <v>32235.974203338392</v>
      </c>
      <c r="H26" s="7"/>
      <c r="I26" s="150">
        <v>2.1616</v>
      </c>
      <c r="J26" s="134">
        <v>45919.964731200002</v>
      </c>
      <c r="K26" s="120">
        <f t="shared" si="12"/>
        <v>69.681281837936268</v>
      </c>
      <c r="L26" s="122">
        <f t="shared" si="3"/>
        <v>212435.07</v>
      </c>
      <c r="M26" s="116">
        <f t="shared" si="4"/>
        <v>166515.10526879999</v>
      </c>
      <c r="N26" s="123">
        <f t="shared" si="5"/>
        <v>252.67846019544763</v>
      </c>
      <c r="O26" s="5"/>
      <c r="P26" s="5">
        <f t="shared" si="6"/>
        <v>1</v>
      </c>
      <c r="Q26" s="7">
        <f t="shared" si="7"/>
        <v>659</v>
      </c>
      <c r="W26" s="124">
        <f t="shared" si="8"/>
        <v>45919.964731200002</v>
      </c>
      <c r="X26">
        <f t="shared" si="9"/>
        <v>0</v>
      </c>
    </row>
    <row r="27" spans="1:24">
      <c r="A27" s="23" t="s">
        <v>31</v>
      </c>
      <c r="B27" s="35" t="s">
        <v>28</v>
      </c>
      <c r="C27" s="97">
        <v>6107</v>
      </c>
      <c r="D27" s="132">
        <v>420126607</v>
      </c>
      <c r="E27" s="116">
        <f t="shared" si="10"/>
        <v>68794.270018012117</v>
      </c>
      <c r="F27" s="134">
        <v>261125175</v>
      </c>
      <c r="G27" s="117">
        <f t="shared" si="11"/>
        <v>42758.338791550683</v>
      </c>
      <c r="H27" s="7"/>
      <c r="I27" s="150">
        <v>4.8754</v>
      </c>
      <c r="J27" s="134">
        <v>1273089.6781949999</v>
      </c>
      <c r="K27" s="120">
        <f t="shared" si="12"/>
        <v>208.46400494432618</v>
      </c>
      <c r="L27" s="122">
        <f t="shared" si="3"/>
        <v>2611251.75</v>
      </c>
      <c r="M27" s="116">
        <f t="shared" si="4"/>
        <v>1338162.0718050001</v>
      </c>
      <c r="N27" s="123">
        <f t="shared" si="5"/>
        <v>219.11938297118061</v>
      </c>
      <c r="O27" s="5"/>
      <c r="P27" s="5">
        <f t="shared" si="6"/>
        <v>1</v>
      </c>
      <c r="Q27" s="7">
        <f t="shared" si="7"/>
        <v>6107</v>
      </c>
      <c r="S27" s="124">
        <f>SUM(D24:D27)</f>
        <v>506061395</v>
      </c>
      <c r="T27" s="124">
        <f>SUM(F24:F27)</f>
        <v>307397351</v>
      </c>
      <c r="U27" s="124">
        <f>SUM(J24:J27)</f>
        <v>1345201.4596531999</v>
      </c>
      <c r="W27" s="124">
        <f t="shared" si="8"/>
        <v>1273089.6781950002</v>
      </c>
      <c r="X27">
        <f t="shared" si="9"/>
        <v>0</v>
      </c>
    </row>
    <row r="28" spans="1:24">
      <c r="A28" s="23" t="s">
        <v>32</v>
      </c>
      <c r="B28" s="35" t="s">
        <v>33</v>
      </c>
      <c r="C28" s="97">
        <v>10001</v>
      </c>
      <c r="D28" s="132">
        <v>2731125766</v>
      </c>
      <c r="E28" s="116">
        <f t="shared" si="10"/>
        <v>273085.26807319268</v>
      </c>
      <c r="F28" s="134">
        <v>1899851784</v>
      </c>
      <c r="G28" s="117">
        <f t="shared" si="11"/>
        <v>189966.18178182183</v>
      </c>
      <c r="H28" s="7"/>
      <c r="I28" s="150">
        <v>3.4632000000000001</v>
      </c>
      <c r="J28" s="134">
        <v>6579566.6983487997</v>
      </c>
      <c r="K28" s="120">
        <f t="shared" si="12"/>
        <v>657.89088074680524</v>
      </c>
      <c r="L28" s="122">
        <f t="shared" si="3"/>
        <v>18998517.84</v>
      </c>
      <c r="M28" s="116">
        <f t="shared" si="4"/>
        <v>12418951.1416512</v>
      </c>
      <c r="N28" s="123">
        <f t="shared" si="5"/>
        <v>1241.7709370714128</v>
      </c>
      <c r="O28" s="5"/>
      <c r="P28" s="5">
        <f t="shared" si="6"/>
        <v>1</v>
      </c>
      <c r="Q28" s="7">
        <f t="shared" si="7"/>
        <v>10001</v>
      </c>
      <c r="W28" s="124">
        <f t="shared" si="8"/>
        <v>6579566.6983487997</v>
      </c>
      <c r="X28">
        <f t="shared" si="9"/>
        <v>0</v>
      </c>
    </row>
    <row r="29" spans="1:24">
      <c r="A29" s="23" t="s">
        <v>34</v>
      </c>
      <c r="B29" s="35" t="s">
        <v>33</v>
      </c>
      <c r="C29" s="97">
        <v>20670</v>
      </c>
      <c r="D29" s="132">
        <v>2710566579</v>
      </c>
      <c r="E29" s="116">
        <f t="shared" si="10"/>
        <v>131135.29651669087</v>
      </c>
      <c r="F29" s="134">
        <v>1619004268</v>
      </c>
      <c r="G29" s="117">
        <f t="shared" si="11"/>
        <v>78326.282922109342</v>
      </c>
      <c r="H29" s="7"/>
      <c r="I29" s="136">
        <v>6.9531999999999998</v>
      </c>
      <c r="J29" s="134">
        <v>11257260.476257598</v>
      </c>
      <c r="K29" s="120">
        <f t="shared" si="12"/>
        <v>544.61831041401058</v>
      </c>
      <c r="L29" s="122">
        <f t="shared" si="3"/>
        <v>16190042.68</v>
      </c>
      <c r="M29" s="116">
        <f t="shared" si="4"/>
        <v>4932782.2037424017</v>
      </c>
      <c r="N29" s="123">
        <f t="shared" si="5"/>
        <v>238.64451880708282</v>
      </c>
      <c r="O29" s="5"/>
      <c r="P29" s="5">
        <f t="shared" si="6"/>
        <v>1</v>
      </c>
      <c r="Q29" s="7">
        <f t="shared" si="7"/>
        <v>20670</v>
      </c>
      <c r="W29" s="124">
        <f t="shared" si="8"/>
        <v>11257260.4762576</v>
      </c>
      <c r="X29">
        <f t="shared" si="9"/>
        <v>0</v>
      </c>
    </row>
    <row r="30" spans="1:24">
      <c r="A30" s="23" t="s">
        <v>35</v>
      </c>
      <c r="B30" s="35" t="s">
        <v>33</v>
      </c>
      <c r="C30" s="97">
        <v>11356</v>
      </c>
      <c r="D30" s="132">
        <v>4689372737</v>
      </c>
      <c r="E30" s="116">
        <f t="shared" si="10"/>
        <v>412942.29808030999</v>
      </c>
      <c r="F30" s="134">
        <v>2900465222</v>
      </c>
      <c r="G30" s="117">
        <f t="shared" si="11"/>
        <v>255412.57678760125</v>
      </c>
      <c r="H30" s="7"/>
      <c r="I30" s="136">
        <v>6.1643999999999997</v>
      </c>
      <c r="J30" s="134">
        <v>17879627.8144968</v>
      </c>
      <c r="K30" s="120">
        <f t="shared" si="12"/>
        <v>1574.4652883494894</v>
      </c>
      <c r="L30" s="122">
        <f t="shared" si="3"/>
        <v>29004652.219999999</v>
      </c>
      <c r="M30" s="116">
        <f t="shared" si="4"/>
        <v>11125024.405503199</v>
      </c>
      <c r="N30" s="123">
        <f t="shared" si="5"/>
        <v>979.66047952652332</v>
      </c>
      <c r="O30" s="5"/>
      <c r="P30" s="5">
        <f t="shared" si="6"/>
        <v>1</v>
      </c>
      <c r="Q30" s="7">
        <f t="shared" si="7"/>
        <v>11356</v>
      </c>
      <c r="W30" s="124">
        <f t="shared" si="8"/>
        <v>17879627.8144968</v>
      </c>
      <c r="X30">
        <f t="shared" si="9"/>
        <v>0</v>
      </c>
    </row>
    <row r="31" spans="1:24">
      <c r="A31" s="23" t="s">
        <v>530</v>
      </c>
      <c r="B31" s="35" t="s">
        <v>33</v>
      </c>
      <c r="C31" s="97">
        <v>4996</v>
      </c>
      <c r="D31" s="132">
        <v>1191254925</v>
      </c>
      <c r="E31" s="116">
        <f t="shared" si="10"/>
        <v>238441.73839071256</v>
      </c>
      <c r="F31" s="134">
        <v>651095605</v>
      </c>
      <c r="G31" s="117">
        <f t="shared" si="11"/>
        <v>130323.37970376301</v>
      </c>
      <c r="H31" s="9"/>
      <c r="I31" s="136">
        <v>1.3038000000000001</v>
      </c>
      <c r="J31" s="134">
        <v>848898.44979900005</v>
      </c>
      <c r="K31" s="120">
        <f t="shared" si="12"/>
        <v>169.91562245776623</v>
      </c>
      <c r="L31" s="122">
        <f t="shared" si="3"/>
        <v>6510956.0499999998</v>
      </c>
      <c r="M31" s="116">
        <f t="shared" si="4"/>
        <v>5662057.6002009995</v>
      </c>
      <c r="N31" s="123">
        <f t="shared" si="5"/>
        <v>1133.3181745798638</v>
      </c>
      <c r="O31" s="5"/>
      <c r="P31" s="5">
        <f t="shared" si="6"/>
        <v>1</v>
      </c>
      <c r="Q31" s="7">
        <f t="shared" si="7"/>
        <v>4996</v>
      </c>
      <c r="W31" s="124">
        <f t="shared" si="8"/>
        <v>848898.44979900005</v>
      </c>
      <c r="X31">
        <f t="shared" si="9"/>
        <v>0</v>
      </c>
    </row>
    <row r="32" spans="1:24">
      <c r="A32" s="23" t="s">
        <v>36</v>
      </c>
      <c r="B32" s="35" t="s">
        <v>33</v>
      </c>
      <c r="C32" s="97">
        <v>3005</v>
      </c>
      <c r="D32" s="132">
        <v>1008770474</v>
      </c>
      <c r="E32" s="116">
        <f t="shared" si="10"/>
        <v>335697.32911813643</v>
      </c>
      <c r="F32" s="134">
        <v>605428666</v>
      </c>
      <c r="G32" s="117">
        <f t="shared" si="11"/>
        <v>201473.76572379368</v>
      </c>
      <c r="H32" s="7"/>
      <c r="I32" s="136">
        <v>5.9809999999999999</v>
      </c>
      <c r="J32" s="134">
        <v>3621068.8513459996</v>
      </c>
      <c r="K32" s="120">
        <f t="shared" si="12"/>
        <v>1205.0145927940098</v>
      </c>
      <c r="L32" s="122">
        <f t="shared" si="3"/>
        <v>6054286.6600000001</v>
      </c>
      <c r="M32" s="116">
        <f t="shared" si="4"/>
        <v>2433217.8086540005</v>
      </c>
      <c r="N32" s="123">
        <f t="shared" si="5"/>
        <v>809.723064443927</v>
      </c>
      <c r="O32" s="5"/>
      <c r="P32" s="5">
        <f t="shared" si="6"/>
        <v>1</v>
      </c>
      <c r="Q32" s="7">
        <f t="shared" si="7"/>
        <v>3005</v>
      </c>
      <c r="W32" s="124">
        <f t="shared" si="8"/>
        <v>3621068.8513460001</v>
      </c>
      <c r="X32">
        <f t="shared" si="9"/>
        <v>0</v>
      </c>
    </row>
    <row r="33" spans="1:24">
      <c r="A33" s="23" t="s">
        <v>37</v>
      </c>
      <c r="B33" s="35" t="s">
        <v>33</v>
      </c>
      <c r="C33" s="97">
        <v>8982</v>
      </c>
      <c r="D33" s="132">
        <v>2135533523</v>
      </c>
      <c r="E33" s="116">
        <f t="shared" si="10"/>
        <v>237757.01658873301</v>
      </c>
      <c r="F33" s="134">
        <v>1314359642</v>
      </c>
      <c r="G33" s="117">
        <f t="shared" si="11"/>
        <v>146332.62547316856</v>
      </c>
      <c r="H33" s="7"/>
      <c r="I33" s="136">
        <v>5.5449000000000002</v>
      </c>
      <c r="J33" s="134">
        <v>7287992.7789258007</v>
      </c>
      <c r="K33" s="120">
        <f t="shared" si="12"/>
        <v>811.39977498617247</v>
      </c>
      <c r="L33" s="122">
        <f t="shared" si="3"/>
        <v>13143596.42</v>
      </c>
      <c r="M33" s="116">
        <f t="shared" si="4"/>
        <v>5855603.6410741992</v>
      </c>
      <c r="N33" s="123">
        <f t="shared" si="5"/>
        <v>651.92647974551312</v>
      </c>
      <c r="O33" s="5"/>
      <c r="P33" s="5">
        <f t="shared" si="6"/>
        <v>1</v>
      </c>
      <c r="Q33" s="7">
        <f t="shared" si="7"/>
        <v>8982</v>
      </c>
      <c r="W33" s="124">
        <f t="shared" si="8"/>
        <v>7287992.7789258007</v>
      </c>
      <c r="X33">
        <f t="shared" si="9"/>
        <v>0</v>
      </c>
    </row>
    <row r="34" spans="1:24">
      <c r="A34" s="23" t="s">
        <v>38</v>
      </c>
      <c r="B34" s="35" t="s">
        <v>33</v>
      </c>
      <c r="C34" s="97">
        <v>3083</v>
      </c>
      <c r="D34" s="132">
        <v>675525732</v>
      </c>
      <c r="E34" s="116">
        <f t="shared" si="10"/>
        <v>219113.11449886474</v>
      </c>
      <c r="F34" s="134">
        <v>379368640</v>
      </c>
      <c r="G34" s="117">
        <f t="shared" si="11"/>
        <v>123051.78073305222</v>
      </c>
      <c r="H34" s="7"/>
      <c r="I34" s="136">
        <v>4.5</v>
      </c>
      <c r="J34" s="134">
        <v>1707158.88</v>
      </c>
      <c r="K34" s="120">
        <f t="shared" si="12"/>
        <v>553.73301329873493</v>
      </c>
      <c r="L34" s="122">
        <f t="shared" si="3"/>
        <v>3793686.4</v>
      </c>
      <c r="M34" s="116">
        <f t="shared" si="4"/>
        <v>2086527.52</v>
      </c>
      <c r="N34" s="123">
        <f t="shared" si="5"/>
        <v>676.78479403178721</v>
      </c>
      <c r="O34" s="5"/>
      <c r="P34" s="5">
        <f t="shared" si="6"/>
        <v>1</v>
      </c>
      <c r="Q34" s="7">
        <f t="shared" si="7"/>
        <v>3083</v>
      </c>
      <c r="W34" s="124">
        <f t="shared" si="8"/>
        <v>1707158.88</v>
      </c>
      <c r="X34">
        <f t="shared" si="9"/>
        <v>0</v>
      </c>
    </row>
    <row r="35" spans="1:24">
      <c r="A35" s="23" t="s">
        <v>39</v>
      </c>
      <c r="B35" s="35" t="s">
        <v>33</v>
      </c>
      <c r="C35" s="97">
        <v>87662</v>
      </c>
      <c r="D35" s="132">
        <v>14063609327</v>
      </c>
      <c r="E35" s="116">
        <f t="shared" si="10"/>
        <v>160429.93916406197</v>
      </c>
      <c r="F35" s="134">
        <v>7758924210</v>
      </c>
      <c r="G35" s="117">
        <f t="shared" si="11"/>
        <v>88509.55043234241</v>
      </c>
      <c r="H35" s="7"/>
      <c r="I35" s="136">
        <v>6.5465999999999998</v>
      </c>
      <c r="J35" s="134">
        <v>50794573.233185999</v>
      </c>
      <c r="K35" s="120">
        <f t="shared" si="12"/>
        <v>579.43662286037284</v>
      </c>
      <c r="L35" s="122">
        <f t="shared" si="3"/>
        <v>77589242.100000009</v>
      </c>
      <c r="M35" s="116">
        <f t="shared" si="4"/>
        <v>26794668.86681401</v>
      </c>
      <c r="N35" s="123">
        <f t="shared" si="5"/>
        <v>305.65888146305139</v>
      </c>
      <c r="O35" s="5"/>
      <c r="P35" s="5">
        <f t="shared" si="6"/>
        <v>1</v>
      </c>
      <c r="Q35" s="7">
        <f t="shared" si="7"/>
        <v>87662</v>
      </c>
      <c r="W35" s="124">
        <f t="shared" si="8"/>
        <v>50794573.233185999</v>
      </c>
      <c r="X35">
        <f t="shared" si="9"/>
        <v>0</v>
      </c>
    </row>
    <row r="36" spans="1:24">
      <c r="A36" s="23" t="s">
        <v>40</v>
      </c>
      <c r="B36" s="35" t="s">
        <v>33</v>
      </c>
      <c r="C36" s="97">
        <v>3248</v>
      </c>
      <c r="D36" s="132">
        <v>1127914222</v>
      </c>
      <c r="E36" s="116">
        <f t="shared" si="10"/>
        <v>347264.23091133003</v>
      </c>
      <c r="F36" s="134">
        <v>604638598</v>
      </c>
      <c r="G36" s="117">
        <f t="shared" si="11"/>
        <v>186157.203817734</v>
      </c>
      <c r="H36" s="7"/>
      <c r="I36" s="136">
        <v>4.57</v>
      </c>
      <c r="J36" s="134">
        <v>2763198.39286</v>
      </c>
      <c r="K36" s="120">
        <f t="shared" si="12"/>
        <v>850.73842144704429</v>
      </c>
      <c r="L36" s="122">
        <f t="shared" si="3"/>
        <v>6046385.9800000004</v>
      </c>
      <c r="M36" s="116">
        <f t="shared" si="4"/>
        <v>3283187.5871400004</v>
      </c>
      <c r="N36" s="123">
        <f t="shared" si="5"/>
        <v>1010.8336167302957</v>
      </c>
      <c r="O36" s="5"/>
      <c r="P36" s="5">
        <f t="shared" si="6"/>
        <v>1</v>
      </c>
      <c r="Q36" s="7">
        <f t="shared" si="7"/>
        <v>3248</v>
      </c>
      <c r="W36" s="124">
        <f t="shared" si="8"/>
        <v>2763198.39286</v>
      </c>
      <c r="X36">
        <f t="shared" si="9"/>
        <v>0</v>
      </c>
    </row>
    <row r="37" spans="1:24">
      <c r="A37" s="23" t="s">
        <v>41</v>
      </c>
      <c r="B37" s="35" t="s">
        <v>33</v>
      </c>
      <c r="C37" s="97">
        <v>683</v>
      </c>
      <c r="D37" s="132">
        <v>132796156</v>
      </c>
      <c r="E37" s="116">
        <f t="shared" si="10"/>
        <v>194430.68228404099</v>
      </c>
      <c r="F37" s="134">
        <v>67522280</v>
      </c>
      <c r="G37" s="117">
        <f t="shared" si="11"/>
        <v>98861.317715958998</v>
      </c>
      <c r="H37" s="7"/>
      <c r="I37" s="136">
        <v>9.0145</v>
      </c>
      <c r="J37" s="134">
        <v>608679.59305999998</v>
      </c>
      <c r="K37" s="120">
        <f t="shared" si="12"/>
        <v>891.18534855051246</v>
      </c>
      <c r="L37" s="122">
        <f t="shared" si="3"/>
        <v>675222.8</v>
      </c>
      <c r="M37" s="116">
        <f t="shared" si="4"/>
        <v>66543.206940000062</v>
      </c>
      <c r="N37" s="123">
        <f t="shared" si="5"/>
        <v>97.427828609077693</v>
      </c>
      <c r="O37" s="5"/>
      <c r="P37" s="5">
        <f t="shared" si="6"/>
        <v>1</v>
      </c>
      <c r="Q37" s="7">
        <f t="shared" si="7"/>
        <v>683</v>
      </c>
      <c r="W37" s="124">
        <f t="shared" si="8"/>
        <v>608679.59305999998</v>
      </c>
      <c r="X37">
        <f t="shared" si="9"/>
        <v>0</v>
      </c>
    </row>
    <row r="38" spans="1:24">
      <c r="A38" s="23" t="s">
        <v>42</v>
      </c>
      <c r="B38" s="35" t="s">
        <v>33</v>
      </c>
      <c r="C38" s="97">
        <v>133459</v>
      </c>
      <c r="D38" s="132">
        <v>15970841401</v>
      </c>
      <c r="E38" s="116">
        <f t="shared" si="10"/>
        <v>119668.52292464352</v>
      </c>
      <c r="F38" s="134">
        <v>7970734541</v>
      </c>
      <c r="G38" s="117">
        <f t="shared" si="11"/>
        <v>59724.218981110302</v>
      </c>
      <c r="H38" s="7"/>
      <c r="I38" s="136">
        <v>7.0171000000000001</v>
      </c>
      <c r="J38" s="134">
        <v>55931441.347651102</v>
      </c>
      <c r="K38" s="120">
        <f t="shared" si="12"/>
        <v>419.09081701234913</v>
      </c>
      <c r="L38" s="122">
        <f t="shared" si="3"/>
        <v>79707345.409999996</v>
      </c>
      <c r="M38" s="116">
        <f t="shared" si="4"/>
        <v>23775904.062348895</v>
      </c>
      <c r="N38" s="123">
        <f t="shared" si="5"/>
        <v>178.1513727987539</v>
      </c>
      <c r="O38" s="5"/>
      <c r="P38" s="5">
        <f t="shared" si="6"/>
        <v>1</v>
      </c>
      <c r="Q38" s="7">
        <f t="shared" si="7"/>
        <v>133459</v>
      </c>
      <c r="W38" s="124">
        <f t="shared" si="8"/>
        <v>55931441.347651102</v>
      </c>
      <c r="X38">
        <f t="shared" si="9"/>
        <v>0</v>
      </c>
    </row>
    <row r="39" spans="1:24">
      <c r="A39" s="23" t="s">
        <v>43</v>
      </c>
      <c r="B39" s="35" t="s">
        <v>33</v>
      </c>
      <c r="C39" s="97">
        <v>1197</v>
      </c>
      <c r="D39" s="147" t="s">
        <v>564</v>
      </c>
      <c r="E39" s="116"/>
      <c r="F39" s="134"/>
      <c r="G39" s="117"/>
      <c r="H39" s="98" t="s">
        <v>588</v>
      </c>
      <c r="I39" s="136"/>
      <c r="J39" s="134"/>
      <c r="K39" s="120"/>
      <c r="L39" s="122">
        <f t="shared" si="3"/>
        <v>0</v>
      </c>
      <c r="M39" s="116">
        <f t="shared" si="4"/>
        <v>0</v>
      </c>
      <c r="N39" s="123">
        <f t="shared" si="5"/>
        <v>0</v>
      </c>
      <c r="O39" s="5"/>
      <c r="P39" s="5">
        <f t="shared" si="6"/>
        <v>0</v>
      </c>
      <c r="Q39" s="7">
        <f t="shared" si="7"/>
        <v>0</v>
      </c>
      <c r="W39" s="124">
        <f t="shared" si="8"/>
        <v>0</v>
      </c>
      <c r="X39">
        <f t="shared" si="9"/>
        <v>0</v>
      </c>
    </row>
    <row r="40" spans="1:24">
      <c r="A40" s="23" t="s">
        <v>44</v>
      </c>
      <c r="B40" s="35" t="s">
        <v>33</v>
      </c>
      <c r="C40" s="97">
        <v>28774</v>
      </c>
      <c r="D40" s="132">
        <v>4348263951</v>
      </c>
      <c r="E40" s="116">
        <f t="shared" ref="E40:E74" si="13">(D40/C40)</f>
        <v>151117.81299089457</v>
      </c>
      <c r="F40" s="134">
        <v>2342201964</v>
      </c>
      <c r="G40" s="117">
        <f t="shared" ref="G40:G74" si="14">(F40/C40)</f>
        <v>81399.943143115306</v>
      </c>
      <c r="H40" s="7"/>
      <c r="I40" s="136">
        <v>5.55</v>
      </c>
      <c r="J40" s="134">
        <v>12999220.900199998</v>
      </c>
      <c r="K40" s="120">
        <f t="shared" ref="K40:K74" si="15">(J40/C40)</f>
        <v>451.76968444428991</v>
      </c>
      <c r="L40" s="122">
        <f t="shared" si="3"/>
        <v>23422019.640000001</v>
      </c>
      <c r="M40" s="116">
        <f t="shared" si="4"/>
        <v>10422798.739800002</v>
      </c>
      <c r="N40" s="123">
        <f t="shared" si="5"/>
        <v>362.22974698686323</v>
      </c>
      <c r="O40" s="5"/>
      <c r="P40" s="5">
        <f t="shared" si="6"/>
        <v>1</v>
      </c>
      <c r="Q40" s="7">
        <f t="shared" si="7"/>
        <v>28774</v>
      </c>
      <c r="W40" s="124">
        <f t="shared" si="8"/>
        <v>12999220.9002</v>
      </c>
      <c r="X40">
        <f t="shared" si="9"/>
        <v>0</v>
      </c>
    </row>
    <row r="41" spans="1:24">
      <c r="A41" s="23" t="s">
        <v>45</v>
      </c>
      <c r="B41" s="35" t="s">
        <v>33</v>
      </c>
      <c r="C41" s="97">
        <v>11389</v>
      </c>
      <c r="D41" s="132">
        <v>2754944201</v>
      </c>
      <c r="E41" s="116">
        <f t="shared" si="13"/>
        <v>241895.17964702784</v>
      </c>
      <c r="F41" s="134">
        <v>1422832522</v>
      </c>
      <c r="G41" s="117">
        <f t="shared" si="14"/>
        <v>124930.41724470981</v>
      </c>
      <c r="H41" s="7"/>
      <c r="I41" s="136">
        <v>8.1311999999999998</v>
      </c>
      <c r="J41" s="153">
        <v>11569335.8028864</v>
      </c>
      <c r="K41" s="120">
        <f t="shared" si="15"/>
        <v>1015.8342087001844</v>
      </c>
      <c r="L41" s="122">
        <f t="shared" si="3"/>
        <v>14228325.220000001</v>
      </c>
      <c r="M41" s="116">
        <f t="shared" si="4"/>
        <v>2658989.4171136003</v>
      </c>
      <c r="N41" s="123">
        <f t="shared" si="5"/>
        <v>233.46996374691372</v>
      </c>
      <c r="O41" s="5"/>
      <c r="P41" s="5">
        <f t="shared" si="6"/>
        <v>1</v>
      </c>
      <c r="Q41" s="7">
        <f t="shared" si="7"/>
        <v>11389</v>
      </c>
      <c r="W41" s="124">
        <f t="shared" si="8"/>
        <v>11569335.8028864</v>
      </c>
      <c r="X41">
        <f t="shared" si="9"/>
        <v>0</v>
      </c>
    </row>
    <row r="42" spans="1:24">
      <c r="A42" s="23" t="s">
        <v>46</v>
      </c>
      <c r="B42" s="35" t="s">
        <v>33</v>
      </c>
      <c r="C42" s="97">
        <v>49982</v>
      </c>
      <c r="D42" s="132">
        <v>6065238860</v>
      </c>
      <c r="E42" s="116">
        <f t="shared" si="13"/>
        <v>121348.46264655275</v>
      </c>
      <c r="F42" s="134">
        <v>3165192844</v>
      </c>
      <c r="G42" s="117">
        <f t="shared" si="14"/>
        <v>63326.65447561122</v>
      </c>
      <c r="H42" s="7"/>
      <c r="I42" s="136">
        <v>6.7945000000000002</v>
      </c>
      <c r="J42" s="134">
        <v>21505902.778558001</v>
      </c>
      <c r="K42" s="120">
        <f t="shared" si="15"/>
        <v>430.27295383454043</v>
      </c>
      <c r="L42" s="122">
        <f t="shared" si="3"/>
        <v>31651928.440000001</v>
      </c>
      <c r="M42" s="116">
        <f t="shared" si="4"/>
        <v>10146025.661442</v>
      </c>
      <c r="N42" s="123">
        <f t="shared" si="5"/>
        <v>202.99359092157178</v>
      </c>
      <c r="O42" s="5"/>
      <c r="P42" s="5">
        <f t="shared" si="6"/>
        <v>1</v>
      </c>
      <c r="Q42" s="7">
        <f t="shared" si="7"/>
        <v>49982</v>
      </c>
      <c r="W42" s="124">
        <f t="shared" si="8"/>
        <v>21505902.778558001</v>
      </c>
      <c r="X42">
        <f t="shared" si="9"/>
        <v>0</v>
      </c>
    </row>
    <row r="43" spans="1:24">
      <c r="A43" s="23" t="s">
        <v>47</v>
      </c>
      <c r="B43" s="35" t="s">
        <v>33</v>
      </c>
      <c r="C43" s="97">
        <v>29739</v>
      </c>
      <c r="D43" s="132">
        <v>4520867292</v>
      </c>
      <c r="E43" s="116">
        <f t="shared" si="13"/>
        <v>152018.13416725511</v>
      </c>
      <c r="F43" s="134">
        <v>2787564294</v>
      </c>
      <c r="G43" s="117">
        <f t="shared" si="14"/>
        <v>93734.298194290328</v>
      </c>
      <c r="H43" s="98"/>
      <c r="I43" s="136">
        <v>1.9947999999999999</v>
      </c>
      <c r="J43" s="134">
        <v>5560633.2536712</v>
      </c>
      <c r="K43" s="120">
        <f t="shared" si="15"/>
        <v>186.98117803797035</v>
      </c>
      <c r="L43" s="122">
        <f t="shared" si="3"/>
        <v>27875642.940000001</v>
      </c>
      <c r="M43" s="116">
        <f t="shared" si="4"/>
        <v>22315009.686328802</v>
      </c>
      <c r="N43" s="123">
        <f t="shared" si="5"/>
        <v>750.36180390493303</v>
      </c>
      <c r="O43" s="5"/>
      <c r="P43" s="5">
        <f t="shared" si="6"/>
        <v>1</v>
      </c>
      <c r="Q43" s="7">
        <f t="shared" si="7"/>
        <v>29739</v>
      </c>
      <c r="S43" s="124">
        <f>SUM(D28:D43)</f>
        <v>64126625146</v>
      </c>
      <c r="T43" s="124">
        <f>SUM(F28:F43)</f>
        <v>35489185080</v>
      </c>
      <c r="U43" s="124">
        <f>SUM(J28:J43)</f>
        <v>210914559.25124672</v>
      </c>
      <c r="W43" s="124">
        <f t="shared" si="8"/>
        <v>5560633.2536711991</v>
      </c>
      <c r="X43">
        <f t="shared" si="9"/>
        <v>0</v>
      </c>
    </row>
    <row r="44" spans="1:24">
      <c r="A44" s="23" t="s">
        <v>48</v>
      </c>
      <c r="B44" s="35" t="s">
        <v>49</v>
      </c>
      <c r="C44" s="97">
        <v>57875</v>
      </c>
      <c r="D44" s="132">
        <v>9857074646</v>
      </c>
      <c r="E44" s="116">
        <f t="shared" si="13"/>
        <v>170316.62455291577</v>
      </c>
      <c r="F44" s="134">
        <v>5691154223</v>
      </c>
      <c r="G44" s="117">
        <f t="shared" si="14"/>
        <v>98335.2781511879</v>
      </c>
      <c r="H44" s="98"/>
      <c r="I44" s="150">
        <v>6.4462999999999999</v>
      </c>
      <c r="J44" s="134">
        <v>36686887.467724897</v>
      </c>
      <c r="K44" s="120">
        <f t="shared" si="15"/>
        <v>633.89870354600259</v>
      </c>
      <c r="L44" s="122">
        <f t="shared" si="3"/>
        <v>56911542.230000004</v>
      </c>
      <c r="M44" s="116">
        <f t="shared" si="4"/>
        <v>20224654.762275107</v>
      </c>
      <c r="N44" s="123">
        <f t="shared" si="5"/>
        <v>349.45407796587659</v>
      </c>
      <c r="O44" s="5"/>
      <c r="P44" s="5">
        <f t="shared" si="6"/>
        <v>1</v>
      </c>
      <c r="Q44" s="7">
        <f t="shared" si="7"/>
        <v>57875</v>
      </c>
      <c r="W44" s="124">
        <f t="shared" si="8"/>
        <v>36686887.467724904</v>
      </c>
      <c r="X44">
        <f t="shared" si="9"/>
        <v>0</v>
      </c>
    </row>
    <row r="45" spans="1:24">
      <c r="A45" s="23" t="s">
        <v>50</v>
      </c>
      <c r="B45" s="35" t="s">
        <v>49</v>
      </c>
      <c r="C45" s="97">
        <v>34878</v>
      </c>
      <c r="D45" s="132">
        <v>7615933124</v>
      </c>
      <c r="E45" s="116">
        <f t="shared" si="13"/>
        <v>218359.2271345834</v>
      </c>
      <c r="F45" s="134">
        <v>4027557241</v>
      </c>
      <c r="G45" s="117">
        <f t="shared" si="14"/>
        <v>115475.57890360686</v>
      </c>
      <c r="H45" s="98"/>
      <c r="I45" s="136">
        <v>5.8650000000000002</v>
      </c>
      <c r="J45" s="134">
        <v>23621623.218465</v>
      </c>
      <c r="K45" s="120">
        <f t="shared" si="15"/>
        <v>677.26427026965428</v>
      </c>
      <c r="L45" s="122">
        <f t="shared" si="3"/>
        <v>40275572.410000004</v>
      </c>
      <c r="M45" s="116">
        <f t="shared" si="4"/>
        <v>16653949.191535003</v>
      </c>
      <c r="N45" s="123">
        <f t="shared" si="5"/>
        <v>477.49151876641446</v>
      </c>
      <c r="O45" s="5"/>
      <c r="P45" s="5">
        <f t="shared" si="6"/>
        <v>1</v>
      </c>
      <c r="Q45" s="7">
        <f t="shared" si="7"/>
        <v>34878</v>
      </c>
      <c r="W45" s="124">
        <f t="shared" si="8"/>
        <v>23621623.218465</v>
      </c>
      <c r="X45">
        <f t="shared" si="9"/>
        <v>0</v>
      </c>
    </row>
    <row r="46" spans="1:24">
      <c r="A46" s="23" t="s">
        <v>51</v>
      </c>
      <c r="B46" s="35" t="s">
        <v>49</v>
      </c>
      <c r="C46" s="97">
        <v>135010</v>
      </c>
      <c r="D46" s="132">
        <v>23098746216</v>
      </c>
      <c r="E46" s="116">
        <f t="shared" si="13"/>
        <v>171089.15055181098</v>
      </c>
      <c r="F46" s="134">
        <v>13871326715</v>
      </c>
      <c r="G46" s="117">
        <f t="shared" si="14"/>
        <v>102742.95766980224</v>
      </c>
      <c r="H46" s="98"/>
      <c r="I46" s="136">
        <v>6.0232000000000001</v>
      </c>
      <c r="J46" s="134">
        <v>83549775.069787994</v>
      </c>
      <c r="K46" s="120">
        <f t="shared" si="15"/>
        <v>618.84138263675277</v>
      </c>
      <c r="L46" s="122">
        <f t="shared" si="3"/>
        <v>138713267.15000001</v>
      </c>
      <c r="M46" s="116">
        <f t="shared" si="4"/>
        <v>55163492.080212012</v>
      </c>
      <c r="N46" s="123">
        <f t="shared" si="5"/>
        <v>408.58819406126963</v>
      </c>
      <c r="O46" s="5"/>
      <c r="P46" s="5">
        <f t="shared" si="6"/>
        <v>1</v>
      </c>
      <c r="Q46" s="7">
        <f t="shared" si="7"/>
        <v>135010</v>
      </c>
      <c r="W46" s="124">
        <f t="shared" si="8"/>
        <v>83549775.069788009</v>
      </c>
      <c r="X46">
        <f t="shared" si="9"/>
        <v>0</v>
      </c>
    </row>
    <row r="47" spans="1:24">
      <c r="A47" s="23" t="s">
        <v>464</v>
      </c>
      <c r="B47" s="35" t="s">
        <v>49</v>
      </c>
      <c r="C47" s="97">
        <v>32811</v>
      </c>
      <c r="D47" s="132">
        <v>8641679809</v>
      </c>
      <c r="E47" s="116">
        <f t="shared" si="13"/>
        <v>263377.52000853373</v>
      </c>
      <c r="F47" s="134">
        <v>6443005961</v>
      </c>
      <c r="G47" s="117">
        <f t="shared" si="14"/>
        <v>196367.25369540704</v>
      </c>
      <c r="H47" s="98"/>
      <c r="I47" s="136">
        <v>5.9997999999999996</v>
      </c>
      <c r="J47" s="134">
        <v>38656747.164807804</v>
      </c>
      <c r="K47" s="120">
        <f t="shared" si="15"/>
        <v>1178.1642487217032</v>
      </c>
      <c r="L47" s="122">
        <f t="shared" si="3"/>
        <v>64430059.609999999</v>
      </c>
      <c r="M47" s="116">
        <f t="shared" si="4"/>
        <v>25773312.445192195</v>
      </c>
      <c r="N47" s="123">
        <f t="shared" si="5"/>
        <v>785.50828823236702</v>
      </c>
      <c r="O47" s="5"/>
      <c r="P47" s="5">
        <f t="shared" si="6"/>
        <v>1</v>
      </c>
      <c r="Q47" s="7">
        <f t="shared" si="7"/>
        <v>32811</v>
      </c>
      <c r="W47" s="124">
        <f t="shared" si="8"/>
        <v>38656747.164807796</v>
      </c>
      <c r="X47">
        <f t="shared" si="9"/>
        <v>0</v>
      </c>
    </row>
    <row r="48" spans="1:24">
      <c r="A48" s="23" t="s">
        <v>52</v>
      </c>
      <c r="B48" s="35" t="s">
        <v>49</v>
      </c>
      <c r="C48" s="97">
        <v>106989</v>
      </c>
      <c r="D48" s="132">
        <v>22917594339</v>
      </c>
      <c r="E48" s="116">
        <f t="shared" si="13"/>
        <v>214205.14575330174</v>
      </c>
      <c r="F48" s="134">
        <v>13683417067</v>
      </c>
      <c r="G48" s="117">
        <f t="shared" si="14"/>
        <v>127895.5506360467</v>
      </c>
      <c r="H48" s="98"/>
      <c r="I48" s="150">
        <v>5.625</v>
      </c>
      <c r="J48" s="134">
        <v>76969221.001874998</v>
      </c>
      <c r="K48" s="120">
        <f t="shared" si="15"/>
        <v>719.41247232776266</v>
      </c>
      <c r="L48" s="122">
        <f t="shared" si="3"/>
        <v>136834170.67000002</v>
      </c>
      <c r="M48" s="116">
        <f t="shared" si="4"/>
        <v>59864949.668125018</v>
      </c>
      <c r="N48" s="123">
        <f t="shared" si="5"/>
        <v>559.54303403270444</v>
      </c>
      <c r="O48" s="5"/>
      <c r="P48" s="5">
        <f t="shared" si="6"/>
        <v>1</v>
      </c>
      <c r="Q48" s="7">
        <f t="shared" si="7"/>
        <v>106989</v>
      </c>
      <c r="W48" s="124">
        <f t="shared" si="8"/>
        <v>76969221.001874998</v>
      </c>
      <c r="X48">
        <f t="shared" si="9"/>
        <v>0</v>
      </c>
    </row>
    <row r="49" spans="1:24">
      <c r="A49" s="23" t="s">
        <v>53</v>
      </c>
      <c r="B49" s="35" t="s">
        <v>49</v>
      </c>
      <c r="C49" s="97">
        <v>87578</v>
      </c>
      <c r="D49" s="132">
        <v>15698992451</v>
      </c>
      <c r="E49" s="116">
        <f t="shared" si="13"/>
        <v>179257.26153828588</v>
      </c>
      <c r="F49" s="134">
        <v>10354447087</v>
      </c>
      <c r="G49" s="117">
        <f t="shared" si="14"/>
        <v>118231.14351777844</v>
      </c>
      <c r="H49" s="98"/>
      <c r="I49" s="136">
        <v>6.0018000000000002</v>
      </c>
      <c r="J49" s="134">
        <v>62145320.5267566</v>
      </c>
      <c r="K49" s="120">
        <f t="shared" si="15"/>
        <v>709.59967716500262</v>
      </c>
      <c r="L49" s="122">
        <f t="shared" si="3"/>
        <v>103544470.87</v>
      </c>
      <c r="M49" s="116">
        <f t="shared" si="4"/>
        <v>41399150.343243405</v>
      </c>
      <c r="N49" s="123">
        <f t="shared" si="5"/>
        <v>472.71175801278179</v>
      </c>
      <c r="O49" s="5"/>
      <c r="P49" s="5">
        <f t="shared" si="6"/>
        <v>1</v>
      </c>
      <c r="Q49" s="7">
        <f t="shared" si="7"/>
        <v>87578</v>
      </c>
      <c r="W49" s="124">
        <f t="shared" si="8"/>
        <v>62145320.5267566</v>
      </c>
      <c r="X49">
        <f t="shared" si="9"/>
        <v>0</v>
      </c>
    </row>
    <row r="50" spans="1:24">
      <c r="A50" s="23" t="s">
        <v>54</v>
      </c>
      <c r="B50" s="35" t="s">
        <v>49</v>
      </c>
      <c r="C50" s="97">
        <v>189118</v>
      </c>
      <c r="D50" s="132">
        <v>77626137687</v>
      </c>
      <c r="E50" s="116">
        <f t="shared" si="13"/>
        <v>410464.03667022707</v>
      </c>
      <c r="F50" s="134">
        <v>54319031027</v>
      </c>
      <c r="G50" s="117">
        <f t="shared" si="14"/>
        <v>287222.95618079719</v>
      </c>
      <c r="H50" s="98"/>
      <c r="I50" s="136">
        <v>4.1193</v>
      </c>
      <c r="J50" s="134">
        <v>223756384.5095211</v>
      </c>
      <c r="K50" s="120">
        <f t="shared" si="15"/>
        <v>1183.1575233955577</v>
      </c>
      <c r="L50" s="122">
        <f t="shared" si="3"/>
        <v>543190310.26999998</v>
      </c>
      <c r="M50" s="116">
        <f t="shared" si="4"/>
        <v>319433925.76047885</v>
      </c>
      <c r="N50" s="123">
        <f t="shared" si="5"/>
        <v>1689.0720384124138</v>
      </c>
      <c r="O50" s="5"/>
      <c r="P50" s="5">
        <f t="shared" si="6"/>
        <v>1</v>
      </c>
      <c r="Q50" s="7">
        <f t="shared" si="7"/>
        <v>189118</v>
      </c>
      <c r="W50" s="124">
        <f t="shared" si="8"/>
        <v>223756384.50952113</v>
      </c>
      <c r="X50">
        <f t="shared" si="9"/>
        <v>0</v>
      </c>
    </row>
    <row r="51" spans="1:24">
      <c r="A51" s="23" t="s">
        <v>465</v>
      </c>
      <c r="B51" s="35" t="s">
        <v>49</v>
      </c>
      <c r="C51" s="97">
        <v>41726</v>
      </c>
      <c r="D51" s="132">
        <v>10894790072</v>
      </c>
      <c r="E51" s="116">
        <f t="shared" si="13"/>
        <v>261103.15084120212</v>
      </c>
      <c r="F51" s="134">
        <v>7732685198</v>
      </c>
      <c r="G51" s="117">
        <f t="shared" si="14"/>
        <v>185320.54829123328</v>
      </c>
      <c r="H51" s="98"/>
      <c r="I51" s="136">
        <v>8.2466000000000008</v>
      </c>
      <c r="J51" s="134">
        <v>63768361.753826804</v>
      </c>
      <c r="K51" s="120">
        <f t="shared" si="15"/>
        <v>1528.2644335384846</v>
      </c>
      <c r="L51" s="122">
        <f t="shared" si="3"/>
        <v>77326851.980000004</v>
      </c>
      <c r="M51" s="116">
        <f t="shared" si="4"/>
        <v>13558490.2261732</v>
      </c>
      <c r="N51" s="123">
        <f t="shared" si="5"/>
        <v>324.94104937384844</v>
      </c>
      <c r="O51" s="5"/>
      <c r="P51" s="5">
        <f t="shared" si="6"/>
        <v>1</v>
      </c>
      <c r="Q51" s="7">
        <f t="shared" si="7"/>
        <v>41726</v>
      </c>
      <c r="W51" s="124">
        <f t="shared" si="8"/>
        <v>63768361.753826812</v>
      </c>
      <c r="X51">
        <f t="shared" si="9"/>
        <v>0</v>
      </c>
    </row>
    <row r="52" spans="1:24">
      <c r="A52" s="23" t="s">
        <v>55</v>
      </c>
      <c r="B52" s="35" t="s">
        <v>49</v>
      </c>
      <c r="C52" s="97">
        <v>1980</v>
      </c>
      <c r="D52" s="132">
        <v>2353982251</v>
      </c>
      <c r="E52" s="116">
        <f t="shared" si="13"/>
        <v>1188879.9247474747</v>
      </c>
      <c r="F52" s="134">
        <v>1799030197</v>
      </c>
      <c r="G52" s="117">
        <f t="shared" si="14"/>
        <v>908601.10959595954</v>
      </c>
      <c r="H52" s="98"/>
      <c r="I52" s="136">
        <v>3.5</v>
      </c>
      <c r="J52" s="134">
        <v>6296605.6895000003</v>
      </c>
      <c r="K52" s="120">
        <f t="shared" si="15"/>
        <v>3180.103883585859</v>
      </c>
      <c r="L52" s="122">
        <f t="shared" si="3"/>
        <v>17990301.969999999</v>
      </c>
      <c r="M52" s="116">
        <f t="shared" si="4"/>
        <v>11693696.280499998</v>
      </c>
      <c r="N52" s="123">
        <f t="shared" si="5"/>
        <v>5905.9072123737369</v>
      </c>
      <c r="O52" s="5"/>
      <c r="P52" s="5">
        <f t="shared" si="6"/>
        <v>1</v>
      </c>
      <c r="Q52" s="7">
        <f t="shared" si="7"/>
        <v>1980</v>
      </c>
      <c r="W52" s="124">
        <f t="shared" si="8"/>
        <v>6296605.6895000003</v>
      </c>
      <c r="X52">
        <f t="shared" si="9"/>
        <v>0</v>
      </c>
    </row>
    <row r="53" spans="1:24">
      <c r="A53" s="23" t="s">
        <v>56</v>
      </c>
      <c r="B53" s="35" t="s">
        <v>49</v>
      </c>
      <c r="C53" s="97">
        <v>154875</v>
      </c>
      <c r="D53" s="132">
        <v>36574755497</v>
      </c>
      <c r="E53" s="116">
        <f t="shared" si="13"/>
        <v>236156.61337853107</v>
      </c>
      <c r="F53" s="134">
        <v>23231620042</v>
      </c>
      <c r="G53" s="117">
        <f t="shared" si="14"/>
        <v>150002.3892945924</v>
      </c>
      <c r="H53" s="98"/>
      <c r="I53" s="136">
        <v>7.4664999999999999</v>
      </c>
      <c r="J53" s="134">
        <v>173458891.04359299</v>
      </c>
      <c r="K53" s="120">
        <f t="shared" si="15"/>
        <v>1119.9928396680741</v>
      </c>
      <c r="L53" s="122">
        <f t="shared" si="3"/>
        <v>232316200.42000002</v>
      </c>
      <c r="M53" s="116">
        <f t="shared" si="4"/>
        <v>58857309.376407027</v>
      </c>
      <c r="N53" s="123">
        <f t="shared" si="5"/>
        <v>380.03105327785005</v>
      </c>
      <c r="O53" s="5"/>
      <c r="P53" s="5">
        <f t="shared" si="6"/>
        <v>1</v>
      </c>
      <c r="Q53" s="7">
        <f t="shared" si="7"/>
        <v>154875</v>
      </c>
      <c r="W53" s="124">
        <f t="shared" si="8"/>
        <v>173458891.04359299</v>
      </c>
      <c r="X53">
        <f t="shared" si="9"/>
        <v>0</v>
      </c>
    </row>
    <row r="54" spans="1:24">
      <c r="A54" s="23" t="s">
        <v>57</v>
      </c>
      <c r="B54" s="35" t="s">
        <v>49</v>
      </c>
      <c r="C54" s="97">
        <v>36792</v>
      </c>
      <c r="D54" s="132">
        <v>3490270930</v>
      </c>
      <c r="E54" s="116">
        <f t="shared" si="13"/>
        <v>94864.941563383341</v>
      </c>
      <c r="F54" s="134">
        <v>1857541475</v>
      </c>
      <c r="G54" s="117">
        <f t="shared" si="14"/>
        <v>50487.646091541639</v>
      </c>
      <c r="H54" s="98"/>
      <c r="I54" s="136">
        <v>8.6</v>
      </c>
      <c r="J54" s="134">
        <v>15974856.685000001</v>
      </c>
      <c r="K54" s="120">
        <f t="shared" si="15"/>
        <v>434.19375638725813</v>
      </c>
      <c r="L54" s="122">
        <f t="shared" si="3"/>
        <v>18575414.75</v>
      </c>
      <c r="M54" s="116">
        <f t="shared" si="4"/>
        <v>2600558.0649999995</v>
      </c>
      <c r="N54" s="123">
        <f t="shared" si="5"/>
        <v>70.682704528158283</v>
      </c>
      <c r="O54" s="5"/>
      <c r="P54" s="5">
        <f t="shared" si="6"/>
        <v>1</v>
      </c>
      <c r="Q54" s="7">
        <f t="shared" si="7"/>
        <v>36792</v>
      </c>
      <c r="W54" s="124">
        <f t="shared" si="8"/>
        <v>15974856.685000001</v>
      </c>
      <c r="X54">
        <f t="shared" si="9"/>
        <v>0</v>
      </c>
    </row>
    <row r="55" spans="1:24">
      <c r="A55" s="23" t="s">
        <v>560</v>
      </c>
      <c r="B55" s="35" t="s">
        <v>49</v>
      </c>
      <c r="C55" s="97">
        <v>6191</v>
      </c>
      <c r="D55" s="132">
        <v>4652085407</v>
      </c>
      <c r="E55" s="116">
        <f t="shared" si="13"/>
        <v>751427.137296075</v>
      </c>
      <c r="F55" s="134">
        <v>3360949678</v>
      </c>
      <c r="G55" s="117">
        <f t="shared" si="14"/>
        <v>542876.70457115164</v>
      </c>
      <c r="H55" s="98"/>
      <c r="I55" s="136">
        <v>3.9235000000000002</v>
      </c>
      <c r="J55" s="134">
        <v>13186686.061633002</v>
      </c>
      <c r="K55" s="120">
        <f t="shared" si="15"/>
        <v>2129.9767503849139</v>
      </c>
      <c r="L55" s="122">
        <f t="shared" si="3"/>
        <v>33609496.780000001</v>
      </c>
      <c r="M55" s="116">
        <f t="shared" si="4"/>
        <v>20422810.718366999</v>
      </c>
      <c r="N55" s="123">
        <f t="shared" si="5"/>
        <v>3298.790295326603</v>
      </c>
      <c r="O55" s="5"/>
      <c r="P55" s="5">
        <f t="shared" si="6"/>
        <v>1</v>
      </c>
      <c r="Q55" s="7">
        <f t="shared" si="7"/>
        <v>6191</v>
      </c>
      <c r="W55" s="124">
        <f t="shared" si="8"/>
        <v>13186686.061633</v>
      </c>
      <c r="X55">
        <f t="shared" si="9"/>
        <v>0</v>
      </c>
    </row>
    <row r="56" spans="1:24">
      <c r="A56" s="23" t="s">
        <v>58</v>
      </c>
      <c r="B56" s="35" t="s">
        <v>49</v>
      </c>
      <c r="C56" s="97">
        <v>74592</v>
      </c>
      <c r="D56" s="132">
        <v>7444103760</v>
      </c>
      <c r="E56" s="116">
        <f t="shared" si="13"/>
        <v>99797.615830115828</v>
      </c>
      <c r="F56" s="134">
        <v>3991916395</v>
      </c>
      <c r="G56" s="117">
        <f t="shared" si="14"/>
        <v>53516.682687151435</v>
      </c>
      <c r="H56" s="98"/>
      <c r="I56" s="136">
        <v>8.1998999999999995</v>
      </c>
      <c r="J56" s="134">
        <v>32733315.247360498</v>
      </c>
      <c r="K56" s="120">
        <f t="shared" si="15"/>
        <v>438.83144636637303</v>
      </c>
      <c r="L56" s="122">
        <f t="shared" si="3"/>
        <v>39919163.950000003</v>
      </c>
      <c r="M56" s="116">
        <f t="shared" si="4"/>
        <v>7185848.7026395053</v>
      </c>
      <c r="N56" s="123">
        <f t="shared" si="5"/>
        <v>96.335380505141373</v>
      </c>
      <c r="O56" s="5"/>
      <c r="P56" s="5">
        <f t="shared" si="6"/>
        <v>1</v>
      </c>
      <c r="Q56" s="7">
        <f t="shared" si="7"/>
        <v>74592</v>
      </c>
      <c r="W56" s="124">
        <f t="shared" si="8"/>
        <v>32733315.247360498</v>
      </c>
      <c r="X56">
        <f t="shared" si="9"/>
        <v>0</v>
      </c>
    </row>
    <row r="57" spans="1:24">
      <c r="A57" s="23" t="s">
        <v>59</v>
      </c>
      <c r="B57" s="35" t="s">
        <v>49</v>
      </c>
      <c r="C57" s="97">
        <v>33</v>
      </c>
      <c r="D57" s="147">
        <v>13344708</v>
      </c>
      <c r="E57" s="116">
        <f t="shared" si="13"/>
        <v>404385.09090909088</v>
      </c>
      <c r="F57" s="134">
        <v>10913751</v>
      </c>
      <c r="G57" s="117">
        <f t="shared" si="14"/>
        <v>330719.72727272729</v>
      </c>
      <c r="H57" s="98"/>
      <c r="I57" s="136">
        <v>6.5</v>
      </c>
      <c r="J57" s="134">
        <v>70939.381500000003</v>
      </c>
      <c r="K57" s="120">
        <f t="shared" si="15"/>
        <v>2149.6782272727273</v>
      </c>
      <c r="L57" s="122">
        <f t="shared" si="3"/>
        <v>109137.51000000001</v>
      </c>
      <c r="M57" s="116">
        <f t="shared" si="4"/>
        <v>38198.128500000006</v>
      </c>
      <c r="N57" s="123">
        <f t="shared" si="5"/>
        <v>1157.5190454545457</v>
      </c>
      <c r="O57" s="5"/>
      <c r="P57" s="5">
        <f t="shared" si="6"/>
        <v>1</v>
      </c>
      <c r="Q57" s="7">
        <f t="shared" si="7"/>
        <v>33</v>
      </c>
      <c r="W57" s="124">
        <f t="shared" si="8"/>
        <v>70939.381500000003</v>
      </c>
      <c r="X57">
        <f t="shared" si="9"/>
        <v>0</v>
      </c>
    </row>
    <row r="58" spans="1:24">
      <c r="A58" s="23" t="s">
        <v>60</v>
      </c>
      <c r="B58" s="35" t="s">
        <v>49</v>
      </c>
      <c r="C58" s="97">
        <v>10504</v>
      </c>
      <c r="D58" s="132">
        <v>5619573654</v>
      </c>
      <c r="E58" s="116">
        <f t="shared" si="13"/>
        <v>534993.68373952783</v>
      </c>
      <c r="F58" s="134">
        <v>3433701057</v>
      </c>
      <c r="G58" s="117">
        <f t="shared" si="14"/>
        <v>326894.61700304644</v>
      </c>
      <c r="H58" s="98"/>
      <c r="I58" s="136">
        <v>3.8500999999999999</v>
      </c>
      <c r="J58" s="134">
        <v>13220092.439555701</v>
      </c>
      <c r="K58" s="120">
        <f t="shared" si="15"/>
        <v>1258.5769649234292</v>
      </c>
      <c r="L58" s="122">
        <f t="shared" si="3"/>
        <v>34337010.57</v>
      </c>
      <c r="M58" s="116">
        <f t="shared" si="4"/>
        <v>21116918.130444299</v>
      </c>
      <c r="N58" s="123">
        <f t="shared" si="5"/>
        <v>2010.3692051070354</v>
      </c>
      <c r="O58" s="5"/>
      <c r="P58" s="5">
        <f t="shared" si="6"/>
        <v>1</v>
      </c>
      <c r="Q58" s="7">
        <f t="shared" si="7"/>
        <v>10504</v>
      </c>
      <c r="W58" s="124">
        <f t="shared" si="8"/>
        <v>13220092.439555699</v>
      </c>
      <c r="X58">
        <f t="shared" si="9"/>
        <v>0</v>
      </c>
    </row>
    <row r="59" spans="1:24">
      <c r="A59" s="23" t="s">
        <v>61</v>
      </c>
      <c r="B59" s="35" t="s">
        <v>49</v>
      </c>
      <c r="C59" s="97">
        <v>58725</v>
      </c>
      <c r="D59" s="132">
        <v>8012119584</v>
      </c>
      <c r="E59" s="116">
        <f t="shared" si="13"/>
        <v>136434.56081736909</v>
      </c>
      <c r="F59" s="134">
        <v>4535804337</v>
      </c>
      <c r="G59" s="117">
        <f t="shared" si="14"/>
        <v>77238.047458492976</v>
      </c>
      <c r="H59" s="98"/>
      <c r="I59" s="136">
        <v>7.1170999999999998</v>
      </c>
      <c r="J59" s="134">
        <v>32281773.046862699</v>
      </c>
      <c r="K59" s="120">
        <f t="shared" si="15"/>
        <v>549.71090756684032</v>
      </c>
      <c r="L59" s="122">
        <f t="shared" si="3"/>
        <v>45358043.369999997</v>
      </c>
      <c r="M59" s="116">
        <f t="shared" si="4"/>
        <v>13076270.323137298</v>
      </c>
      <c r="N59" s="123">
        <f t="shared" si="5"/>
        <v>222.66956701808937</v>
      </c>
      <c r="O59" s="5"/>
      <c r="P59" s="5">
        <f t="shared" si="6"/>
        <v>1</v>
      </c>
      <c r="Q59" s="7">
        <f t="shared" si="7"/>
        <v>58725</v>
      </c>
      <c r="W59" s="124">
        <f t="shared" si="8"/>
        <v>32281773.046862699</v>
      </c>
      <c r="X59">
        <f t="shared" si="9"/>
        <v>0</v>
      </c>
    </row>
    <row r="60" spans="1:24">
      <c r="A60" s="23" t="s">
        <v>62</v>
      </c>
      <c r="B60" s="35" t="s">
        <v>49</v>
      </c>
      <c r="C60" s="97">
        <v>138590</v>
      </c>
      <c r="D60" s="132">
        <v>23597225303</v>
      </c>
      <c r="E60" s="116">
        <f t="shared" si="13"/>
        <v>170266.43555090556</v>
      </c>
      <c r="F60" s="134">
        <v>14001008008</v>
      </c>
      <c r="G60" s="117">
        <f t="shared" si="14"/>
        <v>101024.66273179883</v>
      </c>
      <c r="H60" s="98"/>
      <c r="I60" s="136">
        <v>7.1172000000000004</v>
      </c>
      <c r="J60" s="134">
        <v>99647974.19453761</v>
      </c>
      <c r="K60" s="120">
        <f t="shared" si="15"/>
        <v>719.01272959475875</v>
      </c>
      <c r="L60" s="122">
        <f t="shared" si="3"/>
        <v>140010080.08000001</v>
      </c>
      <c r="M60" s="116">
        <f t="shared" si="4"/>
        <v>40362105.885462403</v>
      </c>
      <c r="N60" s="123">
        <f t="shared" si="5"/>
        <v>291.23389772322969</v>
      </c>
      <c r="O60" s="5"/>
      <c r="P60" s="5">
        <f t="shared" si="6"/>
        <v>1</v>
      </c>
      <c r="Q60" s="7">
        <f t="shared" si="7"/>
        <v>138590</v>
      </c>
      <c r="W60" s="124">
        <f t="shared" si="8"/>
        <v>99647974.19453761</v>
      </c>
      <c r="X60">
        <f t="shared" si="9"/>
        <v>0</v>
      </c>
    </row>
    <row r="61" spans="1:24">
      <c r="A61" s="23" t="s">
        <v>63</v>
      </c>
      <c r="B61" s="35" t="s">
        <v>49</v>
      </c>
      <c r="C61" s="97">
        <v>44971</v>
      </c>
      <c r="D61" s="132">
        <v>4246742379</v>
      </c>
      <c r="E61" s="116">
        <f t="shared" si="13"/>
        <v>94432.909630650858</v>
      </c>
      <c r="F61" s="134">
        <v>2269340110</v>
      </c>
      <c r="G61" s="117">
        <f t="shared" si="14"/>
        <v>50462.300371350422</v>
      </c>
      <c r="H61" s="98"/>
      <c r="I61" s="136">
        <v>7.4</v>
      </c>
      <c r="J61" s="134">
        <v>16793116.813999999</v>
      </c>
      <c r="K61" s="120">
        <f t="shared" si="15"/>
        <v>373.42102274799316</v>
      </c>
      <c r="L61" s="122">
        <f t="shared" si="3"/>
        <v>22693401.100000001</v>
      </c>
      <c r="M61" s="116">
        <f t="shared" si="4"/>
        <v>5900284.2860000022</v>
      </c>
      <c r="N61" s="123">
        <f t="shared" si="5"/>
        <v>131.20198096551115</v>
      </c>
      <c r="O61" s="5"/>
      <c r="P61" s="5">
        <f t="shared" si="6"/>
        <v>1</v>
      </c>
      <c r="Q61" s="7">
        <f t="shared" si="7"/>
        <v>44971</v>
      </c>
      <c r="W61" s="124">
        <f t="shared" si="8"/>
        <v>16793116.813999999</v>
      </c>
      <c r="X61">
        <f t="shared" si="9"/>
        <v>0</v>
      </c>
    </row>
    <row r="62" spans="1:24">
      <c r="A62" s="23" t="s">
        <v>64</v>
      </c>
      <c r="B62" s="35" t="s">
        <v>49</v>
      </c>
      <c r="C62" s="97">
        <v>45065</v>
      </c>
      <c r="D62" s="132">
        <v>8218351642</v>
      </c>
      <c r="E62" s="116">
        <f t="shared" si="13"/>
        <v>182366.61804060801</v>
      </c>
      <c r="F62" s="134">
        <v>5049819622</v>
      </c>
      <c r="G62" s="117">
        <f t="shared" si="14"/>
        <v>112056.35464329302</v>
      </c>
      <c r="H62" s="98"/>
      <c r="I62" s="136">
        <v>5.8361999999999998</v>
      </c>
      <c r="J62" s="134">
        <v>29471757.277916402</v>
      </c>
      <c r="K62" s="120">
        <f t="shared" si="15"/>
        <v>653.98329696918677</v>
      </c>
      <c r="L62" s="122">
        <f t="shared" si="3"/>
        <v>50498196.219999999</v>
      </c>
      <c r="M62" s="116">
        <f t="shared" si="4"/>
        <v>21026438.942083597</v>
      </c>
      <c r="N62" s="123">
        <f t="shared" si="5"/>
        <v>466.58024946374343</v>
      </c>
      <c r="O62" s="5"/>
      <c r="P62" s="5">
        <f t="shared" si="6"/>
        <v>1</v>
      </c>
      <c r="Q62" s="7">
        <f t="shared" si="7"/>
        <v>45065</v>
      </c>
      <c r="W62" s="124">
        <f t="shared" si="8"/>
        <v>29471757.277916398</v>
      </c>
      <c r="X62">
        <f t="shared" si="9"/>
        <v>0</v>
      </c>
    </row>
    <row r="63" spans="1:24">
      <c r="A63" s="23" t="s">
        <v>65</v>
      </c>
      <c r="B63" s="35" t="s">
        <v>49</v>
      </c>
      <c r="C63" s="97">
        <v>37365</v>
      </c>
      <c r="D63" s="132">
        <v>12022904494</v>
      </c>
      <c r="E63" s="116">
        <f t="shared" si="13"/>
        <v>321769.15546634549</v>
      </c>
      <c r="F63" s="134">
        <v>7556795986</v>
      </c>
      <c r="G63" s="117">
        <f t="shared" si="14"/>
        <v>202242.63310584772</v>
      </c>
      <c r="H63" s="98"/>
      <c r="I63" s="136">
        <v>4.2979000000000003</v>
      </c>
      <c r="J63" s="134">
        <v>32478353.468229402</v>
      </c>
      <c r="K63" s="120">
        <f t="shared" si="15"/>
        <v>869.21861282562293</v>
      </c>
      <c r="L63" s="122">
        <f t="shared" si="3"/>
        <v>75567959.859999999</v>
      </c>
      <c r="M63" s="116">
        <f t="shared" si="4"/>
        <v>43089606.391770601</v>
      </c>
      <c r="N63" s="123">
        <f t="shared" si="5"/>
        <v>1153.2077182328544</v>
      </c>
      <c r="O63" s="5"/>
      <c r="P63" s="5">
        <f t="shared" si="6"/>
        <v>1</v>
      </c>
      <c r="Q63" s="7">
        <f t="shared" si="7"/>
        <v>37365</v>
      </c>
      <c r="W63" s="124">
        <f t="shared" si="8"/>
        <v>32478353.468229402</v>
      </c>
      <c r="X63">
        <f t="shared" si="9"/>
        <v>0</v>
      </c>
    </row>
    <row r="64" spans="1:24">
      <c r="A64" s="23" t="s">
        <v>66</v>
      </c>
      <c r="B64" s="35" t="s">
        <v>49</v>
      </c>
      <c r="C64" s="97">
        <v>6115</v>
      </c>
      <c r="D64" s="132">
        <v>1266143889</v>
      </c>
      <c r="E64" s="116">
        <f t="shared" si="13"/>
        <v>207055.41929681113</v>
      </c>
      <c r="F64" s="134">
        <v>1034002281</v>
      </c>
      <c r="G64" s="117">
        <f t="shared" si="14"/>
        <v>169092.76876533116</v>
      </c>
      <c r="H64" s="98"/>
      <c r="I64" s="136">
        <v>8.5</v>
      </c>
      <c r="J64" s="134">
        <v>8789019.3884999994</v>
      </c>
      <c r="K64" s="120">
        <f t="shared" si="15"/>
        <v>1437.2885345053146</v>
      </c>
      <c r="L64" s="122">
        <f t="shared" si="3"/>
        <v>10340022.810000001</v>
      </c>
      <c r="M64" s="116">
        <f t="shared" si="4"/>
        <v>1551003.4215000011</v>
      </c>
      <c r="N64" s="123">
        <f t="shared" si="5"/>
        <v>253.63915314799692</v>
      </c>
      <c r="O64" s="5"/>
      <c r="P64" s="5">
        <f t="shared" si="6"/>
        <v>1</v>
      </c>
      <c r="Q64" s="7">
        <f t="shared" si="7"/>
        <v>6115</v>
      </c>
      <c r="W64" s="124">
        <f t="shared" si="8"/>
        <v>8789019.3885000013</v>
      </c>
      <c r="X64">
        <f t="shared" si="9"/>
        <v>0</v>
      </c>
    </row>
    <row r="65" spans="1:24">
      <c r="A65" s="23" t="s">
        <v>67</v>
      </c>
      <c r="B65" s="35" t="s">
        <v>49</v>
      </c>
      <c r="C65" s="97">
        <v>171222</v>
      </c>
      <c r="D65" s="132">
        <v>30463965750</v>
      </c>
      <c r="E65" s="116">
        <f t="shared" si="13"/>
        <v>177920.86151312332</v>
      </c>
      <c r="F65" s="134">
        <v>17426216039</v>
      </c>
      <c r="G65" s="117">
        <f t="shared" si="14"/>
        <v>101775.56645174102</v>
      </c>
      <c r="H65" s="98"/>
      <c r="I65" s="136">
        <v>5.6689999999999996</v>
      </c>
      <c r="J65" s="134">
        <v>98789218.725090995</v>
      </c>
      <c r="K65" s="120">
        <f t="shared" si="15"/>
        <v>576.96568621491974</v>
      </c>
      <c r="L65" s="122">
        <f t="shared" si="3"/>
        <v>174262160.39000002</v>
      </c>
      <c r="M65" s="116">
        <f t="shared" si="4"/>
        <v>75472941.66490902</v>
      </c>
      <c r="N65" s="123">
        <f t="shared" si="5"/>
        <v>440.78997830249045</v>
      </c>
      <c r="O65" s="5"/>
      <c r="P65" s="5">
        <f t="shared" si="6"/>
        <v>1</v>
      </c>
      <c r="Q65" s="7">
        <f t="shared" si="7"/>
        <v>171222</v>
      </c>
      <c r="W65" s="124">
        <f t="shared" si="8"/>
        <v>98789218.725090995</v>
      </c>
      <c r="X65">
        <f t="shared" si="9"/>
        <v>0</v>
      </c>
    </row>
    <row r="66" spans="1:24">
      <c r="A66" s="23" t="s">
        <v>68</v>
      </c>
      <c r="B66" s="35" t="s">
        <v>49</v>
      </c>
      <c r="C66" s="97">
        <v>95293</v>
      </c>
      <c r="D66" s="132">
        <v>19964775511</v>
      </c>
      <c r="E66" s="116">
        <f t="shared" si="13"/>
        <v>209509.36071904548</v>
      </c>
      <c r="F66" s="134">
        <v>12748035713</v>
      </c>
      <c r="G66" s="117">
        <f t="shared" si="14"/>
        <v>133777.25240049112</v>
      </c>
      <c r="H66" s="98"/>
      <c r="I66" s="136">
        <v>5.8</v>
      </c>
      <c r="J66" s="134">
        <v>73938607.135399997</v>
      </c>
      <c r="K66" s="120">
        <f t="shared" si="15"/>
        <v>775.90806392284844</v>
      </c>
      <c r="L66" s="122">
        <f t="shared" si="3"/>
        <v>127480357.13</v>
      </c>
      <c r="M66" s="116">
        <f t="shared" si="4"/>
        <v>53541749.994599998</v>
      </c>
      <c r="N66" s="123">
        <f t="shared" si="5"/>
        <v>561.86446008206269</v>
      </c>
      <c r="O66" s="5"/>
      <c r="P66" s="5">
        <f t="shared" si="6"/>
        <v>1</v>
      </c>
      <c r="Q66" s="7">
        <f t="shared" si="7"/>
        <v>95293</v>
      </c>
      <c r="W66" s="124">
        <f t="shared" si="8"/>
        <v>73938607.135399997</v>
      </c>
      <c r="X66">
        <f t="shared" si="9"/>
        <v>0</v>
      </c>
    </row>
    <row r="67" spans="1:24">
      <c r="A67" s="23" t="s">
        <v>69</v>
      </c>
      <c r="B67" s="35" t="s">
        <v>49</v>
      </c>
      <c r="C67" s="97">
        <v>113691</v>
      </c>
      <c r="D67" s="132">
        <v>27948725402</v>
      </c>
      <c r="E67" s="116">
        <f t="shared" si="13"/>
        <v>245830.58819079786</v>
      </c>
      <c r="F67" s="154">
        <v>18964802840</v>
      </c>
      <c r="G67" s="117">
        <f t="shared" si="14"/>
        <v>166810.06271384718</v>
      </c>
      <c r="H67" s="98"/>
      <c r="I67" s="136">
        <v>5.2705000000000002</v>
      </c>
      <c r="J67" s="154">
        <v>99953993.368220001</v>
      </c>
      <c r="K67" s="120">
        <f t="shared" ref="K67" si="16">(J67/C67)</f>
        <v>879.17243553333162</v>
      </c>
      <c r="L67" s="122">
        <f t="shared" ref="L67" si="17">(F67*0.01)</f>
        <v>189648028.40000001</v>
      </c>
      <c r="M67" s="116">
        <f t="shared" ref="M67" si="18">(L67-J67)</f>
        <v>89694035.031780005</v>
      </c>
      <c r="N67" s="123">
        <f t="shared" ref="N67" si="19">(M67/C67)</f>
        <v>788.92819160514034</v>
      </c>
      <c r="O67" s="5"/>
      <c r="P67" s="5">
        <f t="shared" ref="P67" si="20">IF(I67&gt;0,1,0)</f>
        <v>1</v>
      </c>
      <c r="Q67" s="7">
        <f t="shared" ref="Q67" si="21">IF(I67&gt;0,C67,0)</f>
        <v>113691</v>
      </c>
      <c r="W67" s="124">
        <f t="shared" si="8"/>
        <v>99953993.368220001</v>
      </c>
      <c r="X67">
        <f t="shared" si="9"/>
        <v>0</v>
      </c>
    </row>
    <row r="68" spans="1:24">
      <c r="A68" s="23" t="s">
        <v>70</v>
      </c>
      <c r="B68" s="35" t="s">
        <v>49</v>
      </c>
      <c r="C68" s="97">
        <v>537</v>
      </c>
      <c r="D68" s="132">
        <v>545527737</v>
      </c>
      <c r="E68" s="116">
        <f t="shared" si="13"/>
        <v>1015880.3296089385</v>
      </c>
      <c r="F68" s="134">
        <v>308860854</v>
      </c>
      <c r="G68" s="117">
        <f t="shared" si="14"/>
        <v>575159.87709497206</v>
      </c>
      <c r="H68" s="98"/>
      <c r="I68" s="136">
        <v>6.5</v>
      </c>
      <c r="J68" s="134">
        <v>2007595.551</v>
      </c>
      <c r="K68" s="120">
        <f t="shared" si="15"/>
        <v>3738.5392011173185</v>
      </c>
      <c r="L68" s="122">
        <f t="shared" si="3"/>
        <v>3088608.54</v>
      </c>
      <c r="M68" s="116">
        <f t="shared" si="4"/>
        <v>1081012.9890000001</v>
      </c>
      <c r="N68" s="123">
        <f t="shared" si="5"/>
        <v>2013.0595698324023</v>
      </c>
      <c r="O68" s="5"/>
      <c r="P68" s="5">
        <f t="shared" si="6"/>
        <v>1</v>
      </c>
      <c r="Q68" s="7">
        <f t="shared" si="7"/>
        <v>537</v>
      </c>
      <c r="W68" s="124">
        <f t="shared" si="8"/>
        <v>2007595.551</v>
      </c>
      <c r="X68">
        <f t="shared" si="9"/>
        <v>0</v>
      </c>
    </row>
    <row r="69" spans="1:24">
      <c r="A69" s="23" t="s">
        <v>450</v>
      </c>
      <c r="B69" s="35" t="s">
        <v>49</v>
      </c>
      <c r="C69" s="97">
        <v>7747</v>
      </c>
      <c r="D69" s="132">
        <v>4083568672</v>
      </c>
      <c r="E69" s="116">
        <f t="shared" si="13"/>
        <v>527116.13166386983</v>
      </c>
      <c r="F69" s="134">
        <v>2197122572</v>
      </c>
      <c r="G69" s="117">
        <f t="shared" si="14"/>
        <v>283609.4710210404</v>
      </c>
      <c r="H69" s="98"/>
      <c r="I69" s="136">
        <v>3.9</v>
      </c>
      <c r="J69" s="134">
        <v>8568778.0307999998</v>
      </c>
      <c r="K69" s="120">
        <f t="shared" si="15"/>
        <v>1106.0769369820575</v>
      </c>
      <c r="L69" s="122">
        <f t="shared" si="3"/>
        <v>21971225.719999999</v>
      </c>
      <c r="M69" s="116">
        <f t="shared" si="4"/>
        <v>13402447.689199999</v>
      </c>
      <c r="N69" s="123">
        <f t="shared" si="5"/>
        <v>1730.0177732283464</v>
      </c>
      <c r="O69" s="5"/>
      <c r="P69" s="5">
        <f t="shared" si="6"/>
        <v>1</v>
      </c>
      <c r="Q69" s="7">
        <f t="shared" si="7"/>
        <v>7747</v>
      </c>
      <c r="W69" s="124">
        <f t="shared" si="8"/>
        <v>8568778.0307999998</v>
      </c>
      <c r="X69">
        <f t="shared" si="9"/>
        <v>0</v>
      </c>
    </row>
    <row r="70" spans="1:24">
      <c r="A70" s="23" t="s">
        <v>71</v>
      </c>
      <c r="B70" s="35" t="s">
        <v>49</v>
      </c>
      <c r="C70" s="97">
        <v>98011</v>
      </c>
      <c r="D70" s="132">
        <v>16615073920</v>
      </c>
      <c r="E70" s="116">
        <f t="shared" si="13"/>
        <v>169522.54257175216</v>
      </c>
      <c r="F70" s="134">
        <v>10014622844</v>
      </c>
      <c r="G70" s="117">
        <f t="shared" si="14"/>
        <v>102178.55999836753</v>
      </c>
      <c r="H70" s="98"/>
      <c r="I70" s="136">
        <v>6.0542999999999996</v>
      </c>
      <c r="J70" s="134">
        <v>60631531.084429197</v>
      </c>
      <c r="K70" s="120">
        <f t="shared" si="15"/>
        <v>618.61965579811647</v>
      </c>
      <c r="L70" s="122">
        <f t="shared" ref="L70:L133" si="22">(F70*0.01)</f>
        <v>100146228.44</v>
      </c>
      <c r="M70" s="116">
        <f t="shared" ref="M70:M133" si="23">(L70-J70)</f>
        <v>39514697.355570801</v>
      </c>
      <c r="N70" s="123">
        <f t="shared" ref="N70:N133" si="24">(M70/C70)</f>
        <v>403.16594418555877</v>
      </c>
      <c r="O70" s="5"/>
      <c r="P70" s="5">
        <f t="shared" ref="P70:P133" si="25">IF(I70&gt;0,1,0)</f>
        <v>1</v>
      </c>
      <c r="Q70" s="7">
        <f t="shared" ref="Q70:Q133" si="26">IF(I70&gt;0,C70,0)</f>
        <v>98011</v>
      </c>
      <c r="W70" s="124">
        <f t="shared" si="8"/>
        <v>60631531.084429197</v>
      </c>
      <c r="X70">
        <f t="shared" si="9"/>
        <v>0</v>
      </c>
    </row>
    <row r="71" spans="1:24">
      <c r="A71" s="23" t="s">
        <v>72</v>
      </c>
      <c r="B71" s="35" t="s">
        <v>49</v>
      </c>
      <c r="C71" s="97">
        <v>73063</v>
      </c>
      <c r="D71" s="132">
        <v>10529482615</v>
      </c>
      <c r="E71" s="116">
        <f t="shared" si="13"/>
        <v>144115.11455866855</v>
      </c>
      <c r="F71" s="154">
        <v>5881949201</v>
      </c>
      <c r="G71" s="117">
        <f t="shared" si="14"/>
        <v>80505.169524930534</v>
      </c>
      <c r="H71" s="98"/>
      <c r="I71" s="136">
        <v>7</v>
      </c>
      <c r="J71" s="134">
        <v>41173644.406999998</v>
      </c>
      <c r="K71" s="120">
        <f t="shared" si="15"/>
        <v>563.53618667451371</v>
      </c>
      <c r="L71" s="122">
        <f t="shared" si="22"/>
        <v>58819492.009999998</v>
      </c>
      <c r="M71" s="116">
        <f t="shared" si="23"/>
        <v>17645847.603</v>
      </c>
      <c r="N71" s="123">
        <f t="shared" si="24"/>
        <v>241.51550857479162</v>
      </c>
      <c r="O71" s="5"/>
      <c r="P71" s="5">
        <f t="shared" si="25"/>
        <v>1</v>
      </c>
      <c r="Q71" s="7">
        <f t="shared" si="26"/>
        <v>73063</v>
      </c>
      <c r="W71" s="124">
        <f t="shared" ref="W71:W134" si="27">F71*(I71/1000)</f>
        <v>41173644.406999998</v>
      </c>
      <c r="X71">
        <f t="shared" ref="X71:X134" si="28">IF(W71=J71,0,1)</f>
        <v>0</v>
      </c>
    </row>
    <row r="72" spans="1:24">
      <c r="A72" s="23" t="s">
        <v>507</v>
      </c>
      <c r="B72" s="35" t="s">
        <v>49</v>
      </c>
      <c r="C72" s="97">
        <v>15249</v>
      </c>
      <c r="D72" s="132">
        <v>1837243376</v>
      </c>
      <c r="E72" s="116">
        <f t="shared" si="13"/>
        <v>120482.87599186832</v>
      </c>
      <c r="F72" s="134">
        <v>927079968</v>
      </c>
      <c r="G72" s="117">
        <f t="shared" si="14"/>
        <v>60796.115679716706</v>
      </c>
      <c r="H72" s="98"/>
      <c r="I72" s="136">
        <v>8.1999999999999993</v>
      </c>
      <c r="J72" s="134">
        <v>7602055.7375999996</v>
      </c>
      <c r="K72" s="120">
        <f t="shared" si="15"/>
        <v>498.52814857367696</v>
      </c>
      <c r="L72" s="122">
        <f t="shared" si="22"/>
        <v>9270799.6799999997</v>
      </c>
      <c r="M72" s="116">
        <f t="shared" si="23"/>
        <v>1668743.9424000001</v>
      </c>
      <c r="N72" s="123">
        <f t="shared" si="24"/>
        <v>109.43300822349006</v>
      </c>
      <c r="O72" s="5"/>
      <c r="P72" s="5">
        <f t="shared" si="25"/>
        <v>1</v>
      </c>
      <c r="Q72" s="7">
        <f t="shared" si="26"/>
        <v>15249</v>
      </c>
      <c r="W72" s="124">
        <f t="shared" si="27"/>
        <v>7602055.7375999987</v>
      </c>
      <c r="X72">
        <f t="shared" si="28"/>
        <v>0</v>
      </c>
    </row>
    <row r="73" spans="1:24">
      <c r="A73" s="23" t="s">
        <v>73</v>
      </c>
      <c r="B73" s="35" t="s">
        <v>49</v>
      </c>
      <c r="C73" s="97">
        <v>68227</v>
      </c>
      <c r="D73" s="132">
        <v>17931885508</v>
      </c>
      <c r="E73" s="116">
        <f t="shared" si="13"/>
        <v>262826.82087736524</v>
      </c>
      <c r="F73" s="134">
        <v>11362731264</v>
      </c>
      <c r="G73" s="117">
        <f t="shared" si="14"/>
        <v>166543.02935787884</v>
      </c>
      <c r="H73" s="98"/>
      <c r="I73" s="136">
        <v>3.3464</v>
      </c>
      <c r="J73" s="134">
        <v>38024243.901849605</v>
      </c>
      <c r="K73" s="120">
        <f t="shared" si="15"/>
        <v>557.3195934432058</v>
      </c>
      <c r="L73" s="122">
        <f t="shared" si="22"/>
        <v>113627312.64</v>
      </c>
      <c r="M73" s="116">
        <f t="shared" si="23"/>
        <v>75603068.738150388</v>
      </c>
      <c r="N73" s="123">
        <f t="shared" si="24"/>
        <v>1108.1107001355824</v>
      </c>
      <c r="O73" s="5"/>
      <c r="P73" s="5">
        <f t="shared" si="25"/>
        <v>1</v>
      </c>
      <c r="Q73" s="7">
        <f t="shared" si="26"/>
        <v>68227</v>
      </c>
      <c r="W73" s="124">
        <f t="shared" si="27"/>
        <v>38024243.901849605</v>
      </c>
      <c r="X73">
        <f t="shared" si="28"/>
        <v>0</v>
      </c>
    </row>
    <row r="74" spans="1:24">
      <c r="A74" s="23" t="s">
        <v>74</v>
      </c>
      <c r="B74" s="35" t="s">
        <v>49</v>
      </c>
      <c r="C74" s="97">
        <v>11532</v>
      </c>
      <c r="D74" s="132">
        <v>3400215706</v>
      </c>
      <c r="E74" s="116">
        <f t="shared" si="13"/>
        <v>294850.47745404096</v>
      </c>
      <c r="F74" s="134">
        <v>2107266943</v>
      </c>
      <c r="G74" s="117">
        <f t="shared" si="14"/>
        <v>182732.1317204301</v>
      </c>
      <c r="H74" s="98"/>
      <c r="I74" s="136">
        <v>5.8360000000000003</v>
      </c>
      <c r="J74" s="134">
        <v>12298009.879348002</v>
      </c>
      <c r="K74" s="120">
        <f t="shared" si="15"/>
        <v>1066.4247207204303</v>
      </c>
      <c r="L74" s="122">
        <f t="shared" si="22"/>
        <v>21072669.43</v>
      </c>
      <c r="M74" s="116">
        <f t="shared" si="23"/>
        <v>8774659.5506519973</v>
      </c>
      <c r="N74" s="123">
        <f t="shared" si="24"/>
        <v>760.89659648387078</v>
      </c>
      <c r="O74" s="5"/>
      <c r="P74" s="5">
        <f t="shared" si="25"/>
        <v>1</v>
      </c>
      <c r="Q74" s="7">
        <f t="shared" si="26"/>
        <v>11532</v>
      </c>
      <c r="S74" s="124">
        <f>SUM(D44:D74)</f>
        <v>427183016039</v>
      </c>
      <c r="T74" s="124">
        <f>SUM(F44:F74)</f>
        <v>270193755696</v>
      </c>
      <c r="U74" s="124">
        <f>SUM(J44:J74)</f>
        <v>1526545379.2716918</v>
      </c>
      <c r="W74" s="124">
        <f t="shared" si="27"/>
        <v>12298009.879348001</v>
      </c>
      <c r="X74">
        <f t="shared" si="28"/>
        <v>0</v>
      </c>
    </row>
    <row r="75" spans="1:24">
      <c r="A75" s="23" t="s">
        <v>75</v>
      </c>
      <c r="B75" s="35" t="s">
        <v>76</v>
      </c>
      <c r="C75" s="97">
        <v>505</v>
      </c>
      <c r="D75" s="147" t="s">
        <v>564</v>
      </c>
      <c r="E75" s="116"/>
      <c r="F75" s="134"/>
      <c r="G75" s="117"/>
      <c r="H75" s="98" t="s">
        <v>588</v>
      </c>
      <c r="I75" s="136"/>
      <c r="J75" s="134"/>
      <c r="K75" s="120"/>
      <c r="L75" s="122">
        <f t="shared" si="22"/>
        <v>0</v>
      </c>
      <c r="M75" s="116">
        <f t="shared" si="23"/>
        <v>0</v>
      </c>
      <c r="N75" s="123">
        <f t="shared" si="24"/>
        <v>0</v>
      </c>
      <c r="O75" s="5"/>
      <c r="P75" s="5">
        <f t="shared" si="25"/>
        <v>0</v>
      </c>
      <c r="Q75" s="7">
        <f t="shared" si="26"/>
        <v>0</v>
      </c>
      <c r="W75" s="124">
        <f t="shared" si="27"/>
        <v>0</v>
      </c>
      <c r="X75">
        <f t="shared" si="28"/>
        <v>0</v>
      </c>
    </row>
    <row r="76" spans="1:24">
      <c r="A76" s="23" t="s">
        <v>77</v>
      </c>
      <c r="B76" s="35" t="s">
        <v>76</v>
      </c>
      <c r="C76" s="97">
        <v>2259</v>
      </c>
      <c r="D76" s="132">
        <v>136570392</v>
      </c>
      <c r="E76" s="116">
        <f t="shared" ref="E76:E86" si="29">(D76/C76)</f>
        <v>60456.127490039842</v>
      </c>
      <c r="F76" s="134">
        <v>80022266</v>
      </c>
      <c r="G76" s="117">
        <f t="shared" ref="G76:G86" si="30">(F76/C76)</f>
        <v>35423.756529437807</v>
      </c>
      <c r="H76" s="7"/>
      <c r="I76" s="136">
        <v>1.5</v>
      </c>
      <c r="J76" s="134">
        <v>120033.399</v>
      </c>
      <c r="K76" s="120">
        <f t="shared" ref="K76:K86" si="31">(J76/C76)</f>
        <v>53.135634794156708</v>
      </c>
      <c r="L76" s="122">
        <f t="shared" si="22"/>
        <v>800222.66</v>
      </c>
      <c r="M76" s="116">
        <f t="shared" si="23"/>
        <v>680189.26100000006</v>
      </c>
      <c r="N76" s="123">
        <f t="shared" si="24"/>
        <v>301.10193050022139</v>
      </c>
      <c r="O76" s="5"/>
      <c r="P76" s="5">
        <f t="shared" si="25"/>
        <v>1</v>
      </c>
      <c r="Q76" s="7">
        <f t="shared" si="26"/>
        <v>2259</v>
      </c>
      <c r="S76" s="124">
        <f>SUM(D75:D76)</f>
        <v>136570392</v>
      </c>
      <c r="T76" s="124">
        <f>SUM(F75:F76)</f>
        <v>80022266</v>
      </c>
      <c r="U76" s="124">
        <f>SUM(J75:J76)</f>
        <v>120033.399</v>
      </c>
      <c r="W76" s="124">
        <f t="shared" si="27"/>
        <v>120033.399</v>
      </c>
      <c r="X76">
        <f t="shared" si="28"/>
        <v>0</v>
      </c>
    </row>
    <row r="77" spans="1:24">
      <c r="A77" s="23" t="s">
        <v>78</v>
      </c>
      <c r="B77" s="35" t="s">
        <v>79</v>
      </c>
      <c r="C77" s="97">
        <v>20410</v>
      </c>
      <c r="D77" s="132">
        <v>7701693773</v>
      </c>
      <c r="E77" s="116">
        <f t="shared" si="29"/>
        <v>377349.03346398822</v>
      </c>
      <c r="F77" s="134">
        <v>4561393197</v>
      </c>
      <c r="G77" s="117">
        <f t="shared" si="30"/>
        <v>223488.15271925527</v>
      </c>
      <c r="H77" s="7"/>
      <c r="I77" s="136">
        <v>3.95</v>
      </c>
      <c r="J77" s="134">
        <v>18017503.128150001</v>
      </c>
      <c r="K77" s="120">
        <f t="shared" si="31"/>
        <v>882.77820324105835</v>
      </c>
      <c r="L77" s="122">
        <f t="shared" si="22"/>
        <v>45613931.969999999</v>
      </c>
      <c r="M77" s="116">
        <f t="shared" si="23"/>
        <v>27596428.841849998</v>
      </c>
      <c r="N77" s="123">
        <f t="shared" si="24"/>
        <v>1352.1033239514943</v>
      </c>
      <c r="O77" s="5"/>
      <c r="P77" s="5">
        <f t="shared" si="25"/>
        <v>1</v>
      </c>
      <c r="Q77" s="7">
        <f t="shared" si="26"/>
        <v>20410</v>
      </c>
      <c r="S77" s="124">
        <f>SUM(D77)</f>
        <v>7701693773</v>
      </c>
      <c r="T77" s="124">
        <f>SUM(F77)</f>
        <v>4561393197</v>
      </c>
      <c r="U77" s="124">
        <f>SUM(J77)</f>
        <v>18017503.128150001</v>
      </c>
      <c r="W77" s="124">
        <f t="shared" si="27"/>
        <v>18017503.128150001</v>
      </c>
      <c r="X77">
        <f t="shared" si="28"/>
        <v>0</v>
      </c>
    </row>
    <row r="78" spans="1:24">
      <c r="A78" s="23" t="s">
        <v>80</v>
      </c>
      <c r="B78" s="35" t="s">
        <v>81</v>
      </c>
      <c r="C78" s="97">
        <v>3491</v>
      </c>
      <c r="D78" s="132">
        <v>957768124</v>
      </c>
      <c r="E78" s="116">
        <f t="shared" si="29"/>
        <v>274353.5158980235</v>
      </c>
      <c r="F78" s="134">
        <v>658924464</v>
      </c>
      <c r="G78" s="117">
        <f t="shared" si="30"/>
        <v>188749.4883987396</v>
      </c>
      <c r="H78" s="7"/>
      <c r="I78" s="150">
        <v>6.59</v>
      </c>
      <c r="J78" s="134">
        <v>4342312.2177600004</v>
      </c>
      <c r="K78" s="120">
        <f t="shared" si="31"/>
        <v>1243.8591285476941</v>
      </c>
      <c r="L78" s="122">
        <f t="shared" si="22"/>
        <v>6589244.6400000006</v>
      </c>
      <c r="M78" s="116">
        <f t="shared" si="23"/>
        <v>2246932.4222400002</v>
      </c>
      <c r="N78" s="123">
        <f t="shared" si="24"/>
        <v>643.63575543970217</v>
      </c>
      <c r="O78" s="5"/>
      <c r="P78" s="5">
        <f t="shared" si="25"/>
        <v>1</v>
      </c>
      <c r="Q78" s="7">
        <f t="shared" si="26"/>
        <v>3491</v>
      </c>
      <c r="W78" s="124">
        <f t="shared" si="27"/>
        <v>4342312.2177599994</v>
      </c>
      <c r="X78">
        <f t="shared" si="28"/>
        <v>0</v>
      </c>
    </row>
    <row r="79" spans="1:24">
      <c r="A79" s="23" t="s">
        <v>82</v>
      </c>
      <c r="B79" s="35" t="s">
        <v>81</v>
      </c>
      <c r="C79" s="97">
        <v>7860</v>
      </c>
      <c r="D79" s="132">
        <v>889367422</v>
      </c>
      <c r="E79" s="116">
        <f t="shared" si="29"/>
        <v>113151.07150127226</v>
      </c>
      <c r="F79" s="134">
        <v>625618227</v>
      </c>
      <c r="G79" s="117">
        <f t="shared" si="30"/>
        <v>79595.194274809153</v>
      </c>
      <c r="H79" s="7"/>
      <c r="I79" s="136">
        <v>7.76</v>
      </c>
      <c r="J79" s="134">
        <v>4854797.4415199999</v>
      </c>
      <c r="K79" s="120">
        <f t="shared" si="31"/>
        <v>617.65870757251912</v>
      </c>
      <c r="L79" s="122">
        <f t="shared" si="22"/>
        <v>6256182.2700000005</v>
      </c>
      <c r="M79" s="116">
        <f t="shared" si="23"/>
        <v>1401384.8284800006</v>
      </c>
      <c r="N79" s="123">
        <f t="shared" si="24"/>
        <v>178.29323517557259</v>
      </c>
      <c r="O79" s="5"/>
      <c r="P79" s="5">
        <f t="shared" si="25"/>
        <v>1</v>
      </c>
      <c r="Q79" s="7">
        <f t="shared" si="26"/>
        <v>7860</v>
      </c>
      <c r="S79" s="124">
        <f>SUM(D78:D79)</f>
        <v>1847135546</v>
      </c>
      <c r="T79" s="124">
        <f>SUM(F78:F79)</f>
        <v>1284542691</v>
      </c>
      <c r="U79" s="124">
        <f>SUM(J78:J79)</f>
        <v>9197109.6592800003</v>
      </c>
      <c r="W79" s="124">
        <f t="shared" si="27"/>
        <v>4854797.4415199999</v>
      </c>
      <c r="X79">
        <f t="shared" si="28"/>
        <v>0</v>
      </c>
    </row>
    <row r="80" spans="1:24">
      <c r="A80" s="23" t="s">
        <v>83</v>
      </c>
      <c r="B80" s="35" t="s">
        <v>84</v>
      </c>
      <c r="C80" s="97">
        <v>10384</v>
      </c>
      <c r="D80" s="132">
        <v>1240985879</v>
      </c>
      <c r="E80" s="116">
        <f t="shared" si="29"/>
        <v>119509.42594375963</v>
      </c>
      <c r="F80" s="134">
        <v>690201258</v>
      </c>
      <c r="G80" s="117">
        <f t="shared" si="30"/>
        <v>66467.763674884438</v>
      </c>
      <c r="H80" s="98"/>
      <c r="I80" s="136">
        <v>4.7</v>
      </c>
      <c r="J80" s="134">
        <v>3243945.9125999999</v>
      </c>
      <c r="K80" s="120">
        <f t="shared" si="31"/>
        <v>312.39848927195686</v>
      </c>
      <c r="L80" s="122">
        <f t="shared" si="22"/>
        <v>6902012.5800000001</v>
      </c>
      <c r="M80" s="116">
        <f t="shared" si="23"/>
        <v>3658066.6674000002</v>
      </c>
      <c r="N80" s="123">
        <f t="shared" si="24"/>
        <v>352.27914747688754</v>
      </c>
      <c r="O80" s="5"/>
      <c r="P80" s="5">
        <f t="shared" si="25"/>
        <v>1</v>
      </c>
      <c r="Q80" s="7">
        <f t="shared" si="26"/>
        <v>10384</v>
      </c>
      <c r="W80" s="124">
        <f t="shared" si="27"/>
        <v>3243945.9125999999</v>
      </c>
      <c r="X80">
        <f t="shared" si="28"/>
        <v>0</v>
      </c>
    </row>
    <row r="81" spans="1:24">
      <c r="A81" s="23" t="s">
        <v>85</v>
      </c>
      <c r="B81" s="35" t="s">
        <v>84</v>
      </c>
      <c r="C81" s="97">
        <v>1464</v>
      </c>
      <c r="D81" s="132">
        <v>166500466</v>
      </c>
      <c r="E81" s="116">
        <f t="shared" si="29"/>
        <v>113729.82650273223</v>
      </c>
      <c r="F81" s="134">
        <v>88269597</v>
      </c>
      <c r="G81" s="117">
        <f t="shared" si="30"/>
        <v>60293.440573770495</v>
      </c>
      <c r="H81" s="7"/>
      <c r="I81" s="136">
        <v>4.2900999999999998</v>
      </c>
      <c r="J81" s="134">
        <v>378685.39808969997</v>
      </c>
      <c r="K81" s="120">
        <f t="shared" si="31"/>
        <v>258.66488940553279</v>
      </c>
      <c r="L81" s="122">
        <f t="shared" si="22"/>
        <v>882695.97</v>
      </c>
      <c r="M81" s="116">
        <f t="shared" si="23"/>
        <v>504010.5719103</v>
      </c>
      <c r="N81" s="123">
        <f t="shared" si="24"/>
        <v>344.26951633217215</v>
      </c>
      <c r="O81" s="5"/>
      <c r="P81" s="5">
        <f t="shared" si="25"/>
        <v>1</v>
      </c>
      <c r="Q81" s="7">
        <f t="shared" si="26"/>
        <v>1464</v>
      </c>
      <c r="W81" s="124">
        <f t="shared" si="27"/>
        <v>378685.39808969997</v>
      </c>
      <c r="X81">
        <f t="shared" si="28"/>
        <v>0</v>
      </c>
    </row>
    <row r="82" spans="1:24">
      <c r="A82" s="23" t="s">
        <v>86</v>
      </c>
      <c r="B82" s="35" t="s">
        <v>84</v>
      </c>
      <c r="C82" s="97">
        <v>9165</v>
      </c>
      <c r="D82" s="132">
        <v>1317536834</v>
      </c>
      <c r="E82" s="116">
        <f t="shared" si="29"/>
        <v>143757.42869612656</v>
      </c>
      <c r="F82" s="134">
        <v>803512602</v>
      </c>
      <c r="G82" s="117">
        <f t="shared" si="30"/>
        <v>87671.860556464817</v>
      </c>
      <c r="H82" s="9"/>
      <c r="I82" s="136">
        <v>5.7</v>
      </c>
      <c r="J82" s="134">
        <v>4580021.8314000005</v>
      </c>
      <c r="K82" s="120">
        <f t="shared" si="31"/>
        <v>499.72960517184947</v>
      </c>
      <c r="L82" s="122">
        <f t="shared" si="22"/>
        <v>8035126.0200000005</v>
      </c>
      <c r="M82" s="116">
        <f t="shared" si="23"/>
        <v>3455104.1886</v>
      </c>
      <c r="N82" s="123">
        <f t="shared" si="24"/>
        <v>376.98900039279869</v>
      </c>
      <c r="O82" s="5"/>
      <c r="P82" s="5">
        <f t="shared" si="25"/>
        <v>1</v>
      </c>
      <c r="Q82" s="7">
        <f t="shared" si="26"/>
        <v>9165</v>
      </c>
      <c r="W82" s="124">
        <f t="shared" si="27"/>
        <v>4580021.8314000005</v>
      </c>
      <c r="X82">
        <f t="shared" si="28"/>
        <v>0</v>
      </c>
    </row>
    <row r="83" spans="1:24">
      <c r="A83" s="23" t="s">
        <v>87</v>
      </c>
      <c r="B83" s="35" t="s">
        <v>84</v>
      </c>
      <c r="C83" s="97">
        <v>840</v>
      </c>
      <c r="D83" s="147">
        <v>59275080</v>
      </c>
      <c r="E83" s="116">
        <f t="shared" si="29"/>
        <v>70565.571428571435</v>
      </c>
      <c r="F83" s="134">
        <v>24684918</v>
      </c>
      <c r="G83" s="117">
        <f t="shared" si="30"/>
        <v>29386.807142857142</v>
      </c>
      <c r="H83" s="98"/>
      <c r="I83" s="136">
        <v>4.4535</v>
      </c>
      <c r="J83" s="134">
        <v>109934.28231299999</v>
      </c>
      <c r="K83" s="120">
        <f t="shared" si="31"/>
        <v>130.87414561071427</v>
      </c>
      <c r="L83" s="122">
        <f t="shared" si="22"/>
        <v>246849.18</v>
      </c>
      <c r="M83" s="116">
        <f t="shared" si="23"/>
        <v>136914.89768699999</v>
      </c>
      <c r="N83" s="123">
        <f t="shared" si="24"/>
        <v>162.99392581785713</v>
      </c>
      <c r="O83" s="5"/>
      <c r="P83" s="5">
        <f t="shared" si="25"/>
        <v>1</v>
      </c>
      <c r="Q83" s="7">
        <f t="shared" si="26"/>
        <v>840</v>
      </c>
      <c r="S83" s="124">
        <f>SUM(D80:D83)</f>
        <v>2784298259</v>
      </c>
      <c r="T83" s="124">
        <f>SUM(F80:F83)</f>
        <v>1606668375</v>
      </c>
      <c r="U83" s="124">
        <f>SUM(J80:J83)</f>
        <v>8312587.4244027007</v>
      </c>
      <c r="W83" s="124">
        <f t="shared" si="27"/>
        <v>109934.282313</v>
      </c>
      <c r="X83">
        <f t="shared" si="28"/>
        <v>0</v>
      </c>
    </row>
    <row r="84" spans="1:24">
      <c r="A84" s="23" t="s">
        <v>88</v>
      </c>
      <c r="B84" s="35" t="s">
        <v>89</v>
      </c>
      <c r="C84" s="97">
        <v>376</v>
      </c>
      <c r="D84" s="132">
        <v>185233277</v>
      </c>
      <c r="E84" s="116">
        <f t="shared" si="29"/>
        <v>492641.69414893619</v>
      </c>
      <c r="F84" s="134">
        <v>121389227</v>
      </c>
      <c r="G84" s="117">
        <f t="shared" si="30"/>
        <v>322843.68882978725</v>
      </c>
      <c r="H84" s="7"/>
      <c r="I84" s="136">
        <v>6.3380000000000001</v>
      </c>
      <c r="J84" s="134">
        <v>769364.92072599998</v>
      </c>
      <c r="K84" s="120">
        <f t="shared" si="31"/>
        <v>2046.1832998031914</v>
      </c>
      <c r="L84" s="122">
        <f t="shared" si="22"/>
        <v>1213892.27</v>
      </c>
      <c r="M84" s="116">
        <f t="shared" si="23"/>
        <v>444527.34927400004</v>
      </c>
      <c r="N84" s="123">
        <f t="shared" si="24"/>
        <v>1182.253588494681</v>
      </c>
      <c r="O84" s="5"/>
      <c r="P84" s="5">
        <f t="shared" si="25"/>
        <v>1</v>
      </c>
      <c r="Q84" s="7">
        <f t="shared" si="26"/>
        <v>376</v>
      </c>
      <c r="W84" s="124">
        <f t="shared" si="27"/>
        <v>769364.92072599998</v>
      </c>
      <c r="X84">
        <f t="shared" si="28"/>
        <v>0</v>
      </c>
    </row>
    <row r="85" spans="1:24">
      <c r="A85" s="23" t="s">
        <v>90</v>
      </c>
      <c r="B85" s="35" t="s">
        <v>89</v>
      </c>
      <c r="C85" s="97">
        <v>16198</v>
      </c>
      <c r="D85" s="132">
        <v>24746874902</v>
      </c>
      <c r="E85" s="116">
        <f t="shared" si="29"/>
        <v>1527773.4845042599</v>
      </c>
      <c r="F85" s="134">
        <v>15905387394</v>
      </c>
      <c r="G85" s="117">
        <f t="shared" si="30"/>
        <v>981935.26324237557</v>
      </c>
      <c r="H85" s="7"/>
      <c r="I85" s="136">
        <v>1.3137000000000001</v>
      </c>
      <c r="J85" s="134">
        <v>20894907.419497803</v>
      </c>
      <c r="K85" s="120">
        <f t="shared" si="31"/>
        <v>1289.9683553215091</v>
      </c>
      <c r="L85" s="122">
        <f t="shared" si="22"/>
        <v>159053873.94</v>
      </c>
      <c r="M85" s="116">
        <f t="shared" si="23"/>
        <v>138158966.52050221</v>
      </c>
      <c r="N85" s="123">
        <f t="shared" si="24"/>
        <v>8529.3842771022482</v>
      </c>
      <c r="O85" s="5"/>
      <c r="P85" s="5">
        <f t="shared" si="25"/>
        <v>1</v>
      </c>
      <c r="Q85" s="7">
        <f t="shared" si="26"/>
        <v>16198</v>
      </c>
      <c r="W85" s="124">
        <f t="shared" si="27"/>
        <v>20894907.419497803</v>
      </c>
      <c r="X85">
        <f t="shared" si="28"/>
        <v>0</v>
      </c>
    </row>
    <row r="86" spans="1:24">
      <c r="A86" s="23" t="s">
        <v>91</v>
      </c>
      <c r="B86" s="35" t="s">
        <v>89</v>
      </c>
      <c r="C86" s="97">
        <v>19306</v>
      </c>
      <c r="D86" s="132">
        <v>54884623722</v>
      </c>
      <c r="E86" s="116">
        <f t="shared" si="29"/>
        <v>2842879.0905418005</v>
      </c>
      <c r="F86" s="134">
        <v>34644061281</v>
      </c>
      <c r="G86" s="117">
        <f t="shared" si="30"/>
        <v>1794471.2152180669</v>
      </c>
      <c r="H86" s="9"/>
      <c r="I86" s="150">
        <v>1.17</v>
      </c>
      <c r="J86" s="134">
        <v>40533551.698769994</v>
      </c>
      <c r="K86" s="120">
        <f t="shared" si="31"/>
        <v>2099.5313218051378</v>
      </c>
      <c r="L86" s="122">
        <f t="shared" si="22"/>
        <v>346440612.81</v>
      </c>
      <c r="M86" s="116">
        <f t="shared" si="23"/>
        <v>305907061.11123002</v>
      </c>
      <c r="N86" s="123">
        <f t="shared" si="24"/>
        <v>15845.180830375532</v>
      </c>
      <c r="O86" s="5"/>
      <c r="P86" s="5">
        <f t="shared" si="25"/>
        <v>1</v>
      </c>
      <c r="Q86" s="7">
        <f t="shared" si="26"/>
        <v>19306</v>
      </c>
      <c r="S86" s="124">
        <f>SUM(D84:D86)</f>
        <v>79816731901</v>
      </c>
      <c r="T86" s="124">
        <f>SUM(F84:F86)</f>
        <v>50670837902</v>
      </c>
      <c r="U86" s="124">
        <f>SUM(J84:J86)</f>
        <v>62197824.038993798</v>
      </c>
      <c r="W86" s="124">
        <f t="shared" si="27"/>
        <v>40533551.698770002</v>
      </c>
      <c r="X86">
        <f t="shared" si="28"/>
        <v>0</v>
      </c>
    </row>
    <row r="87" spans="1:24">
      <c r="A87" s="23" t="s">
        <v>92</v>
      </c>
      <c r="B87" s="35" t="s">
        <v>93</v>
      </c>
      <c r="C87" s="97">
        <v>651</v>
      </c>
      <c r="D87" s="147" t="s">
        <v>564</v>
      </c>
      <c r="E87" s="116"/>
      <c r="F87" s="134"/>
      <c r="G87" s="117"/>
      <c r="H87" s="98" t="s">
        <v>588</v>
      </c>
      <c r="I87" s="136"/>
      <c r="J87" s="134"/>
      <c r="K87" s="120"/>
      <c r="L87" s="122">
        <f t="shared" si="22"/>
        <v>0</v>
      </c>
      <c r="M87" s="116">
        <f t="shared" si="23"/>
        <v>0</v>
      </c>
      <c r="N87" s="123">
        <f t="shared" si="24"/>
        <v>0</v>
      </c>
      <c r="O87" s="5"/>
      <c r="P87" s="5">
        <f t="shared" si="25"/>
        <v>0</v>
      </c>
      <c r="Q87" s="7">
        <f t="shared" si="26"/>
        <v>0</v>
      </c>
      <c r="W87" s="124">
        <f t="shared" si="27"/>
        <v>0</v>
      </c>
      <c r="X87">
        <f t="shared" si="28"/>
        <v>0</v>
      </c>
    </row>
    <row r="88" spans="1:24">
      <c r="A88" s="23" t="s">
        <v>94</v>
      </c>
      <c r="B88" s="35" t="s">
        <v>93</v>
      </c>
      <c r="C88" s="97">
        <v>12428</v>
      </c>
      <c r="D88" s="132">
        <v>1514888115</v>
      </c>
      <c r="E88" s="116">
        <f t="shared" ref="E88:E93" si="32">(D88/C88)</f>
        <v>121893.15376569038</v>
      </c>
      <c r="F88" s="134">
        <v>1047566487</v>
      </c>
      <c r="G88" s="117">
        <f t="shared" ref="G88:G93" si="33">(F88/C88)</f>
        <v>84290.834164789179</v>
      </c>
      <c r="H88" s="7"/>
      <c r="I88" s="136">
        <v>4.9000000000000004</v>
      </c>
      <c r="J88" s="134">
        <v>5133075.7862999998</v>
      </c>
      <c r="K88" s="120">
        <f t="shared" ref="K88:K93" si="34">(J88/C88)</f>
        <v>413.02508740746697</v>
      </c>
      <c r="L88" s="122">
        <f t="shared" si="22"/>
        <v>10475664.870000001</v>
      </c>
      <c r="M88" s="116">
        <f t="shared" si="23"/>
        <v>5342589.0837000012</v>
      </c>
      <c r="N88" s="123">
        <f t="shared" si="24"/>
        <v>429.88325424042495</v>
      </c>
      <c r="O88" s="5"/>
      <c r="P88" s="5">
        <f t="shared" si="25"/>
        <v>1</v>
      </c>
      <c r="Q88" s="7">
        <f t="shared" si="26"/>
        <v>12428</v>
      </c>
      <c r="S88" s="124">
        <f>SUM(D87:D88)</f>
        <v>1514888115</v>
      </c>
      <c r="T88" s="124">
        <f>SUM(F87:F88)</f>
        <v>1047566487</v>
      </c>
      <c r="U88" s="124">
        <f>SUM(J87:J88)</f>
        <v>5133075.7862999998</v>
      </c>
      <c r="W88" s="124">
        <f t="shared" si="27"/>
        <v>5133075.7863000007</v>
      </c>
      <c r="X88">
        <f t="shared" si="28"/>
        <v>0</v>
      </c>
    </row>
    <row r="89" spans="1:24">
      <c r="A89" s="23" t="s">
        <v>95</v>
      </c>
      <c r="B89" s="37" t="s">
        <v>575</v>
      </c>
      <c r="C89" s="97">
        <v>7638</v>
      </c>
      <c r="D89" s="132">
        <v>564293044</v>
      </c>
      <c r="E89" s="116">
        <f t="shared" si="32"/>
        <v>73879.686305315525</v>
      </c>
      <c r="F89" s="134">
        <v>285985084</v>
      </c>
      <c r="G89" s="117">
        <f t="shared" si="33"/>
        <v>37442.404294317887</v>
      </c>
      <c r="H89" s="8"/>
      <c r="I89" s="136">
        <v>7.9</v>
      </c>
      <c r="J89" s="134">
        <v>2259282.1636000001</v>
      </c>
      <c r="K89" s="120">
        <f t="shared" si="34"/>
        <v>295.79499392511127</v>
      </c>
      <c r="L89" s="122">
        <f t="shared" si="22"/>
        <v>2859850.84</v>
      </c>
      <c r="M89" s="116">
        <f t="shared" si="23"/>
        <v>600568.67639999976</v>
      </c>
      <c r="N89" s="123">
        <f t="shared" si="24"/>
        <v>78.629049018067519</v>
      </c>
      <c r="O89" s="5"/>
      <c r="P89" s="5">
        <f t="shared" si="25"/>
        <v>1</v>
      </c>
      <c r="Q89" s="7">
        <f t="shared" si="26"/>
        <v>7638</v>
      </c>
      <c r="S89" s="124">
        <f>SUM(D89)</f>
        <v>564293044</v>
      </c>
      <c r="T89" s="124">
        <f>SUM(F89)</f>
        <v>285985084</v>
      </c>
      <c r="U89" s="124">
        <f>SUM(J89)</f>
        <v>2259282.1636000001</v>
      </c>
      <c r="W89" s="124">
        <f t="shared" si="27"/>
        <v>2259282.1636000001</v>
      </c>
      <c r="X89">
        <f t="shared" si="28"/>
        <v>0</v>
      </c>
    </row>
    <row r="90" spans="1:24">
      <c r="A90" s="23" t="s">
        <v>96</v>
      </c>
      <c r="B90" s="35" t="s">
        <v>97</v>
      </c>
      <c r="C90" s="97">
        <v>1701</v>
      </c>
      <c r="D90" s="132">
        <v>89780793</v>
      </c>
      <c r="E90" s="116">
        <f t="shared" si="32"/>
        <v>52781.183421516755</v>
      </c>
      <c r="F90" s="134">
        <v>42563924</v>
      </c>
      <c r="G90" s="117">
        <f t="shared" si="33"/>
        <v>25022.883009994122</v>
      </c>
      <c r="H90" s="8"/>
      <c r="I90" s="136">
        <v>5.93</v>
      </c>
      <c r="J90" s="134">
        <v>252404.06931999998</v>
      </c>
      <c r="K90" s="120">
        <f t="shared" si="34"/>
        <v>148.38569624926512</v>
      </c>
      <c r="L90" s="122">
        <f t="shared" si="22"/>
        <v>425639.24</v>
      </c>
      <c r="M90" s="116">
        <f t="shared" si="23"/>
        <v>173235.17068000001</v>
      </c>
      <c r="N90" s="123">
        <f t="shared" si="24"/>
        <v>101.84313385067608</v>
      </c>
      <c r="O90" s="5"/>
      <c r="P90" s="5">
        <f t="shared" si="25"/>
        <v>1</v>
      </c>
      <c r="Q90" s="7">
        <f t="shared" si="26"/>
        <v>1701</v>
      </c>
      <c r="W90" s="124">
        <f t="shared" si="27"/>
        <v>252404.06931999998</v>
      </c>
      <c r="X90">
        <f t="shared" si="28"/>
        <v>0</v>
      </c>
    </row>
    <row r="91" spans="1:24">
      <c r="A91" s="23" t="s">
        <v>98</v>
      </c>
      <c r="B91" s="35" t="s">
        <v>97</v>
      </c>
      <c r="C91" s="97">
        <v>164</v>
      </c>
      <c r="D91" s="132">
        <v>79124036</v>
      </c>
      <c r="E91" s="116">
        <f t="shared" si="32"/>
        <v>482463.63414634147</v>
      </c>
      <c r="F91" s="134">
        <v>63515445</v>
      </c>
      <c r="G91" s="117">
        <f t="shared" si="33"/>
        <v>387289.29878048779</v>
      </c>
      <c r="H91" s="9"/>
      <c r="I91" s="150">
        <v>2</v>
      </c>
      <c r="J91" s="134">
        <v>127030.89</v>
      </c>
      <c r="K91" s="120">
        <f t="shared" si="34"/>
        <v>774.5785975609756</v>
      </c>
      <c r="L91" s="122">
        <f t="shared" si="22"/>
        <v>635154.45000000007</v>
      </c>
      <c r="M91" s="116">
        <f t="shared" si="23"/>
        <v>508123.56000000006</v>
      </c>
      <c r="N91" s="123">
        <f t="shared" si="24"/>
        <v>3098.3143902439028</v>
      </c>
      <c r="O91" s="5"/>
      <c r="P91" s="5">
        <f t="shared" si="25"/>
        <v>1</v>
      </c>
      <c r="Q91" s="7">
        <f t="shared" si="26"/>
        <v>164</v>
      </c>
      <c r="S91" s="124">
        <f>SUM(D90:D91)</f>
        <v>168904829</v>
      </c>
      <c r="T91" s="124">
        <f>SUM(F90:F91)</f>
        <v>106079369</v>
      </c>
      <c r="U91" s="124">
        <f>SUM(J90:J91)</f>
        <v>379434.95931999997</v>
      </c>
      <c r="W91" s="124">
        <f t="shared" si="27"/>
        <v>127030.89</v>
      </c>
      <c r="X91">
        <f t="shared" si="28"/>
        <v>0</v>
      </c>
    </row>
    <row r="92" spans="1:24">
      <c r="A92" s="23" t="s">
        <v>99</v>
      </c>
      <c r="B92" s="35" t="s">
        <v>100</v>
      </c>
      <c r="C92" s="97">
        <v>13529</v>
      </c>
      <c r="D92" s="132">
        <v>4402238090</v>
      </c>
      <c r="E92" s="116">
        <f t="shared" si="32"/>
        <v>325392.71860447928</v>
      </c>
      <c r="F92" s="134">
        <v>2638106409</v>
      </c>
      <c r="G92" s="117">
        <f t="shared" si="33"/>
        <v>194996.40838199423</v>
      </c>
      <c r="H92" s="9"/>
      <c r="I92" s="136">
        <v>3.1034999999999999</v>
      </c>
      <c r="J92" s="134">
        <v>8187363.2403314998</v>
      </c>
      <c r="K92" s="120">
        <f t="shared" si="34"/>
        <v>605.17135341351911</v>
      </c>
      <c r="L92" s="122">
        <f t="shared" si="22"/>
        <v>26381064.09</v>
      </c>
      <c r="M92" s="116">
        <f t="shared" si="23"/>
        <v>18193700.849668499</v>
      </c>
      <c r="N92" s="123">
        <f t="shared" si="24"/>
        <v>1344.7927304064231</v>
      </c>
      <c r="O92" s="5"/>
      <c r="P92" s="5">
        <f t="shared" si="25"/>
        <v>1</v>
      </c>
      <c r="Q92" s="7">
        <f t="shared" si="26"/>
        <v>13529</v>
      </c>
      <c r="W92" s="124">
        <f t="shared" si="27"/>
        <v>8187363.2403314998</v>
      </c>
      <c r="X92">
        <f t="shared" si="28"/>
        <v>0</v>
      </c>
    </row>
    <row r="93" spans="1:24">
      <c r="A93" s="23" t="s">
        <v>101</v>
      </c>
      <c r="B93" s="35" t="s">
        <v>100</v>
      </c>
      <c r="C93" s="97">
        <v>1415</v>
      </c>
      <c r="D93" s="132">
        <v>132832015</v>
      </c>
      <c r="E93" s="116">
        <f t="shared" si="32"/>
        <v>93874.215547703177</v>
      </c>
      <c r="F93" s="134">
        <v>69750081</v>
      </c>
      <c r="G93" s="117">
        <f t="shared" si="33"/>
        <v>49293.34346289753</v>
      </c>
      <c r="H93" s="9"/>
      <c r="I93" s="136">
        <v>2.0897000000000001</v>
      </c>
      <c r="J93" s="134">
        <v>145756.74426570002</v>
      </c>
      <c r="K93" s="120">
        <f t="shared" si="34"/>
        <v>103.00829983441697</v>
      </c>
      <c r="L93" s="122">
        <f t="shared" si="22"/>
        <v>697500.81</v>
      </c>
      <c r="M93" s="116">
        <f t="shared" si="23"/>
        <v>551744.06573430006</v>
      </c>
      <c r="N93" s="123">
        <f t="shared" si="24"/>
        <v>389.92513479455835</v>
      </c>
      <c r="O93" s="5"/>
      <c r="P93" s="5">
        <f t="shared" si="25"/>
        <v>1</v>
      </c>
      <c r="Q93" s="7">
        <f t="shared" si="26"/>
        <v>1415</v>
      </c>
      <c r="W93" s="124">
        <f t="shared" si="27"/>
        <v>145756.74426570002</v>
      </c>
      <c r="X93">
        <f t="shared" si="28"/>
        <v>0</v>
      </c>
    </row>
    <row r="94" spans="1:24">
      <c r="A94" s="23" t="s">
        <v>102</v>
      </c>
      <c r="B94" s="35" t="s">
        <v>100</v>
      </c>
      <c r="C94" s="97">
        <v>1004869</v>
      </c>
      <c r="D94" s="155" t="s">
        <v>641</v>
      </c>
      <c r="E94" s="116"/>
      <c r="F94" s="134"/>
      <c r="G94" s="117"/>
      <c r="H94" s="9"/>
      <c r="I94" s="136"/>
      <c r="J94" s="134"/>
      <c r="K94" s="120"/>
      <c r="L94" s="122">
        <f t="shared" si="22"/>
        <v>0</v>
      </c>
      <c r="M94" s="116">
        <f t="shared" si="23"/>
        <v>0</v>
      </c>
      <c r="N94" s="123">
        <f t="shared" si="24"/>
        <v>0</v>
      </c>
      <c r="O94" s="5"/>
      <c r="P94" s="5">
        <f t="shared" si="25"/>
        <v>0</v>
      </c>
      <c r="Q94" s="7">
        <f t="shared" si="26"/>
        <v>0</v>
      </c>
      <c r="W94" s="124">
        <f t="shared" si="27"/>
        <v>0</v>
      </c>
      <c r="X94">
        <f t="shared" si="28"/>
        <v>0</v>
      </c>
    </row>
    <row r="95" spans="1:24">
      <c r="A95" s="23" t="s">
        <v>103</v>
      </c>
      <c r="B95" s="35" t="s">
        <v>100</v>
      </c>
      <c r="C95" s="97">
        <v>24204</v>
      </c>
      <c r="D95" s="132">
        <v>8447897545</v>
      </c>
      <c r="E95" s="116">
        <f t="shared" ref="E95:E132" si="35">(D95/C95)</f>
        <v>349028.98467195506</v>
      </c>
      <c r="F95" s="134">
        <v>5274659988</v>
      </c>
      <c r="G95" s="117">
        <f t="shared" ref="G95:G132" si="36">(F95/C95)</f>
        <v>217925.13584531483</v>
      </c>
      <c r="H95" s="9"/>
      <c r="I95" s="136">
        <v>3.9946999999999999</v>
      </c>
      <c r="J95" s="134">
        <v>21070684.254063599</v>
      </c>
      <c r="K95" s="120">
        <f t="shared" ref="K95:K132" si="37">(J95/C95)</f>
        <v>870.54554016127906</v>
      </c>
      <c r="L95" s="122">
        <f t="shared" si="22"/>
        <v>52746599.880000003</v>
      </c>
      <c r="M95" s="116">
        <f t="shared" si="23"/>
        <v>31675915.625936404</v>
      </c>
      <c r="N95" s="123">
        <f t="shared" si="24"/>
        <v>1308.7058182918693</v>
      </c>
      <c r="O95" s="5"/>
      <c r="P95" s="5">
        <f t="shared" si="25"/>
        <v>1</v>
      </c>
      <c r="Q95" s="7">
        <f t="shared" si="26"/>
        <v>24204</v>
      </c>
      <c r="W95" s="124">
        <f t="shared" si="27"/>
        <v>21070684.254063603</v>
      </c>
      <c r="X95">
        <f t="shared" si="28"/>
        <v>0</v>
      </c>
    </row>
    <row r="96" spans="1:24">
      <c r="A96" s="23" t="s">
        <v>104</v>
      </c>
      <c r="B96" s="35" t="s">
        <v>100</v>
      </c>
      <c r="C96" s="97">
        <v>7261</v>
      </c>
      <c r="D96" s="132">
        <v>2099270339</v>
      </c>
      <c r="E96" s="116">
        <f t="shared" si="35"/>
        <v>289115.87095441401</v>
      </c>
      <c r="F96" s="134">
        <v>1252640013</v>
      </c>
      <c r="G96" s="117">
        <f t="shared" si="36"/>
        <v>172516.18413441675</v>
      </c>
      <c r="H96" s="7"/>
      <c r="I96" s="136">
        <v>3.3656000000000001</v>
      </c>
      <c r="J96" s="134">
        <v>4215885.2277528001</v>
      </c>
      <c r="K96" s="120">
        <f t="shared" si="37"/>
        <v>580.62046932279304</v>
      </c>
      <c r="L96" s="122">
        <f t="shared" si="22"/>
        <v>12526400.130000001</v>
      </c>
      <c r="M96" s="116">
        <f t="shared" si="23"/>
        <v>8310514.9022472007</v>
      </c>
      <c r="N96" s="123">
        <f t="shared" si="24"/>
        <v>1144.5413720213746</v>
      </c>
      <c r="O96" s="5"/>
      <c r="P96" s="5">
        <f t="shared" si="25"/>
        <v>1</v>
      </c>
      <c r="Q96" s="7">
        <f t="shared" si="26"/>
        <v>7261</v>
      </c>
      <c r="S96" s="124">
        <f>SUM(D92:D96)</f>
        <v>15082237989</v>
      </c>
      <c r="T96" s="124">
        <f>SUM(F92:F96)</f>
        <v>9235156491</v>
      </c>
      <c r="U96" s="124">
        <f>SUM(J92:J96)</f>
        <v>33619689.466413595</v>
      </c>
      <c r="W96" s="124">
        <f t="shared" si="27"/>
        <v>4215885.2277528001</v>
      </c>
      <c r="X96">
        <f t="shared" si="28"/>
        <v>0</v>
      </c>
    </row>
    <row r="97" spans="1:24">
      <c r="A97" s="23" t="s">
        <v>105</v>
      </c>
      <c r="B97" s="35" t="s">
        <v>106</v>
      </c>
      <c r="C97" s="97">
        <v>1682</v>
      </c>
      <c r="D97" s="132">
        <v>92956123</v>
      </c>
      <c r="E97" s="116">
        <f t="shared" si="35"/>
        <v>55265.233650416172</v>
      </c>
      <c r="F97" s="134">
        <v>54484580</v>
      </c>
      <c r="G97" s="117">
        <f t="shared" si="36"/>
        <v>32392.734839476812</v>
      </c>
      <c r="H97" s="7"/>
      <c r="I97" s="136">
        <v>0.9204</v>
      </c>
      <c r="J97" s="134">
        <v>50147.607431999997</v>
      </c>
      <c r="K97" s="120">
        <f t="shared" si="37"/>
        <v>29.814273146254457</v>
      </c>
      <c r="L97" s="122">
        <f t="shared" si="22"/>
        <v>544845.80000000005</v>
      </c>
      <c r="M97" s="116">
        <f t="shared" si="23"/>
        <v>494698.19256800006</v>
      </c>
      <c r="N97" s="123">
        <f t="shared" si="24"/>
        <v>294.11307524851372</v>
      </c>
      <c r="O97" s="5"/>
      <c r="P97" s="5">
        <f t="shared" si="25"/>
        <v>1</v>
      </c>
      <c r="Q97" s="7">
        <f t="shared" si="26"/>
        <v>1682</v>
      </c>
      <c r="W97" s="124">
        <f t="shared" si="27"/>
        <v>50147.607432000004</v>
      </c>
      <c r="X97">
        <f t="shared" si="28"/>
        <v>0</v>
      </c>
    </row>
    <row r="98" spans="1:24">
      <c r="A98" s="23" t="s">
        <v>107</v>
      </c>
      <c r="B98" s="35" t="s">
        <v>106</v>
      </c>
      <c r="C98" s="97">
        <v>55102</v>
      </c>
      <c r="D98" s="132">
        <v>9987847327</v>
      </c>
      <c r="E98" s="116">
        <f t="shared" si="35"/>
        <v>181261.0672389387</v>
      </c>
      <c r="F98" s="134">
        <v>5896261697</v>
      </c>
      <c r="G98" s="117">
        <f t="shared" si="36"/>
        <v>107006.31006134079</v>
      </c>
      <c r="H98" s="7"/>
      <c r="I98" s="136">
        <v>4.2895000000000003</v>
      </c>
      <c r="J98" s="134">
        <v>25292014.5492815</v>
      </c>
      <c r="K98" s="120">
        <f t="shared" si="37"/>
        <v>459.00356700812131</v>
      </c>
      <c r="L98" s="122">
        <f t="shared" si="22"/>
        <v>58962616.969999999</v>
      </c>
      <c r="M98" s="116">
        <f t="shared" si="23"/>
        <v>33670602.420718499</v>
      </c>
      <c r="N98" s="123">
        <f t="shared" si="24"/>
        <v>611.05953360528656</v>
      </c>
      <c r="O98" s="5"/>
      <c r="P98" s="5">
        <f t="shared" si="25"/>
        <v>1</v>
      </c>
      <c r="Q98" s="7">
        <f t="shared" si="26"/>
        <v>55102</v>
      </c>
      <c r="S98" s="124">
        <f>SUM(D97:D98)</f>
        <v>10080803450</v>
      </c>
      <c r="T98" s="124">
        <f>SUM(F97:F98)</f>
        <v>5950746277</v>
      </c>
      <c r="U98" s="124">
        <f>SUM(J97:J98)</f>
        <v>25342162.156713501</v>
      </c>
      <c r="W98" s="124">
        <f t="shared" si="27"/>
        <v>25292014.5492815</v>
      </c>
      <c r="X98">
        <f t="shared" si="28"/>
        <v>0</v>
      </c>
    </row>
    <row r="99" spans="1:24">
      <c r="A99" s="23" t="s">
        <v>108</v>
      </c>
      <c r="B99" s="35" t="s">
        <v>109</v>
      </c>
      <c r="C99" s="97">
        <v>495</v>
      </c>
      <c r="D99" s="132">
        <v>162075891</v>
      </c>
      <c r="E99" s="116">
        <f t="shared" si="35"/>
        <v>327426.04242424242</v>
      </c>
      <c r="F99" s="134">
        <v>111547415</v>
      </c>
      <c r="G99" s="117">
        <f t="shared" si="36"/>
        <v>225348.31313131313</v>
      </c>
      <c r="H99" s="7"/>
      <c r="I99" s="136">
        <v>1.1399999999999999</v>
      </c>
      <c r="J99" s="134">
        <v>127164.05309999999</v>
      </c>
      <c r="K99" s="120">
        <f t="shared" si="37"/>
        <v>256.89707696969697</v>
      </c>
      <c r="L99" s="122">
        <f t="shared" si="22"/>
        <v>1115474.1499999999</v>
      </c>
      <c r="M99" s="116">
        <f t="shared" si="23"/>
        <v>988310.09689999989</v>
      </c>
      <c r="N99" s="123">
        <f t="shared" si="24"/>
        <v>1996.5860543434342</v>
      </c>
      <c r="O99" s="5"/>
      <c r="P99" s="5">
        <f t="shared" si="25"/>
        <v>1</v>
      </c>
      <c r="Q99" s="7">
        <f t="shared" si="26"/>
        <v>495</v>
      </c>
      <c r="W99" s="124">
        <f t="shared" si="27"/>
        <v>127164.05309999999</v>
      </c>
      <c r="X99">
        <f t="shared" si="28"/>
        <v>0</v>
      </c>
    </row>
    <row r="100" spans="1:24">
      <c r="A100" s="23" t="s">
        <v>110</v>
      </c>
      <c r="B100" s="35" t="s">
        <v>109</v>
      </c>
      <c r="C100" s="97">
        <v>4027</v>
      </c>
      <c r="D100" s="132">
        <v>739621355</v>
      </c>
      <c r="E100" s="116">
        <f t="shared" si="35"/>
        <v>183665.59597715421</v>
      </c>
      <c r="F100" s="134">
        <v>357493120</v>
      </c>
      <c r="G100" s="117">
        <f t="shared" si="36"/>
        <v>88774.055127886764</v>
      </c>
      <c r="H100" s="7"/>
      <c r="I100" s="136">
        <v>7.93</v>
      </c>
      <c r="J100" s="134">
        <v>2834920.4416</v>
      </c>
      <c r="K100" s="120">
        <f t="shared" si="37"/>
        <v>703.97825716414206</v>
      </c>
      <c r="L100" s="122">
        <f t="shared" si="22"/>
        <v>3574931.2</v>
      </c>
      <c r="M100" s="116">
        <f t="shared" si="23"/>
        <v>740010.75840000017</v>
      </c>
      <c r="N100" s="123">
        <f t="shared" si="24"/>
        <v>183.76229411472565</v>
      </c>
      <c r="O100" s="5"/>
      <c r="P100" s="5">
        <f t="shared" si="25"/>
        <v>1</v>
      </c>
      <c r="Q100" s="7">
        <f t="shared" si="26"/>
        <v>4027</v>
      </c>
      <c r="W100" s="124">
        <f t="shared" si="27"/>
        <v>2834920.4416</v>
      </c>
      <c r="X100">
        <f t="shared" si="28"/>
        <v>0</v>
      </c>
    </row>
    <row r="101" spans="1:24">
      <c r="A101" s="23" t="s">
        <v>447</v>
      </c>
      <c r="B101" s="35" t="s">
        <v>109</v>
      </c>
      <c r="C101" s="97">
        <v>101737</v>
      </c>
      <c r="D101" s="132">
        <v>15352969838</v>
      </c>
      <c r="E101" s="116">
        <f t="shared" si="35"/>
        <v>150908.41913954608</v>
      </c>
      <c r="F101" s="134">
        <v>8762097220</v>
      </c>
      <c r="G101" s="117">
        <f t="shared" si="36"/>
        <v>86124.981275248923</v>
      </c>
      <c r="H101" s="9"/>
      <c r="I101" s="136">
        <v>4.2569999999999997</v>
      </c>
      <c r="J101" s="134">
        <v>37300247.865539998</v>
      </c>
      <c r="K101" s="120">
        <f t="shared" si="37"/>
        <v>366.63404528873468</v>
      </c>
      <c r="L101" s="122">
        <f t="shared" si="22"/>
        <v>87620972.200000003</v>
      </c>
      <c r="M101" s="116">
        <f t="shared" si="23"/>
        <v>50320724.334460005</v>
      </c>
      <c r="N101" s="123">
        <f t="shared" si="24"/>
        <v>494.61576746375465</v>
      </c>
      <c r="O101" s="5"/>
      <c r="P101" s="5">
        <f t="shared" si="25"/>
        <v>1</v>
      </c>
      <c r="Q101" s="7">
        <f t="shared" si="26"/>
        <v>101737</v>
      </c>
      <c r="W101" s="124">
        <f t="shared" si="27"/>
        <v>37300247.865539998</v>
      </c>
      <c r="X101">
        <f t="shared" si="28"/>
        <v>0</v>
      </c>
    </row>
    <row r="102" spans="1:24">
      <c r="A102" s="23" t="s">
        <v>111</v>
      </c>
      <c r="B102" s="35" t="s">
        <v>557</v>
      </c>
      <c r="C102" s="97">
        <v>15</v>
      </c>
      <c r="D102" s="132">
        <v>19816374</v>
      </c>
      <c r="E102" s="116">
        <f t="shared" si="35"/>
        <v>1321091.6000000001</v>
      </c>
      <c r="F102" s="134">
        <v>13301623</v>
      </c>
      <c r="G102" s="117">
        <f t="shared" si="36"/>
        <v>886774.8666666667</v>
      </c>
      <c r="H102" s="7"/>
      <c r="I102" s="136">
        <v>10</v>
      </c>
      <c r="J102" s="134">
        <v>133016.23000000001</v>
      </c>
      <c r="K102" s="120">
        <f t="shared" si="37"/>
        <v>8867.7486666666682</v>
      </c>
      <c r="L102" s="122">
        <f t="shared" si="22"/>
        <v>133016.23000000001</v>
      </c>
      <c r="M102" s="116">
        <f t="shared" si="23"/>
        <v>0</v>
      </c>
      <c r="N102" s="123">
        <f t="shared" si="24"/>
        <v>0</v>
      </c>
      <c r="O102" s="5"/>
      <c r="P102" s="5">
        <f t="shared" si="25"/>
        <v>1</v>
      </c>
      <c r="Q102" s="7">
        <f t="shared" si="26"/>
        <v>15</v>
      </c>
      <c r="W102" s="124">
        <f t="shared" si="27"/>
        <v>133016.23000000001</v>
      </c>
      <c r="X102">
        <f t="shared" si="28"/>
        <v>0</v>
      </c>
    </row>
    <row r="103" spans="1:24">
      <c r="A103" s="23" t="s">
        <v>112</v>
      </c>
      <c r="B103" s="35" t="s">
        <v>113</v>
      </c>
      <c r="C103" s="97">
        <v>5288</v>
      </c>
      <c r="D103" s="132">
        <f>(1647320031+6040296)</f>
        <v>1653360327</v>
      </c>
      <c r="E103" s="116">
        <f t="shared" si="35"/>
        <v>312662.69421331317</v>
      </c>
      <c r="F103" s="134">
        <f>(1062986142+4316178)</f>
        <v>1067302320</v>
      </c>
      <c r="G103" s="117">
        <f t="shared" si="36"/>
        <v>201834.78063540091</v>
      </c>
      <c r="H103" s="7"/>
      <c r="I103" s="136">
        <v>5.45</v>
      </c>
      <c r="J103" s="134">
        <f>(5793274.4739+23523)</f>
        <v>5816797.4738999996</v>
      </c>
      <c r="K103" s="120">
        <f t="shared" si="37"/>
        <v>1099.9995222957639</v>
      </c>
      <c r="L103" s="122">
        <f t="shared" si="22"/>
        <v>10673023.200000001</v>
      </c>
      <c r="M103" s="116">
        <f t="shared" si="23"/>
        <v>4856225.7261000015</v>
      </c>
      <c r="N103" s="123">
        <f t="shared" si="24"/>
        <v>918.34828405824533</v>
      </c>
      <c r="O103" s="5"/>
      <c r="P103" s="5">
        <f t="shared" si="25"/>
        <v>1</v>
      </c>
      <c r="Q103" s="7">
        <f t="shared" si="26"/>
        <v>5288</v>
      </c>
      <c r="S103" s="124">
        <f>SUM(D99:D103)</f>
        <v>17927843785</v>
      </c>
      <c r="T103" s="124">
        <f>SUM(F99:F103)</f>
        <v>10311741698</v>
      </c>
      <c r="U103" s="124">
        <f>SUM(J99:J103)</f>
        <v>46212146.064139992</v>
      </c>
      <c r="W103" s="124">
        <f t="shared" si="27"/>
        <v>5816797.6440000003</v>
      </c>
      <c r="X103">
        <f t="shared" si="28"/>
        <v>1</v>
      </c>
    </row>
    <row r="104" spans="1:24">
      <c r="A104" s="23" t="s">
        <v>114</v>
      </c>
      <c r="B104" s="35" t="s">
        <v>115</v>
      </c>
      <c r="C104" s="97">
        <v>2465</v>
      </c>
      <c r="D104" s="132">
        <v>484410053</v>
      </c>
      <c r="E104" s="116">
        <f t="shared" si="35"/>
        <v>196515.23448275862</v>
      </c>
      <c r="F104" s="134">
        <v>244480762</v>
      </c>
      <c r="G104" s="117">
        <f t="shared" si="36"/>
        <v>99180.836511156187</v>
      </c>
      <c r="H104" s="9"/>
      <c r="I104" s="150">
        <v>8.3457000000000008</v>
      </c>
      <c r="J104" s="134">
        <v>2040363.0954234002</v>
      </c>
      <c r="K104" s="120">
        <f t="shared" si="37"/>
        <v>827.73350727115621</v>
      </c>
      <c r="L104" s="122">
        <f t="shared" si="22"/>
        <v>2444807.62</v>
      </c>
      <c r="M104" s="116">
        <f t="shared" si="23"/>
        <v>404444.52457659994</v>
      </c>
      <c r="N104" s="123">
        <f t="shared" si="24"/>
        <v>164.07485784040566</v>
      </c>
      <c r="O104" s="5"/>
      <c r="P104" s="5">
        <f t="shared" si="25"/>
        <v>1</v>
      </c>
      <c r="Q104" s="7">
        <f t="shared" si="26"/>
        <v>2465</v>
      </c>
      <c r="W104" s="124">
        <f t="shared" si="27"/>
        <v>2040363.0954234002</v>
      </c>
      <c r="X104">
        <f t="shared" si="28"/>
        <v>0</v>
      </c>
    </row>
    <row r="105" spans="1:24">
      <c r="A105" s="23" t="s">
        <v>116</v>
      </c>
      <c r="B105" s="35" t="s">
        <v>115</v>
      </c>
      <c r="C105" s="97">
        <v>2875</v>
      </c>
      <c r="D105" s="132">
        <v>266305217</v>
      </c>
      <c r="E105" s="116">
        <f t="shared" si="35"/>
        <v>92627.901565217398</v>
      </c>
      <c r="F105" s="134">
        <v>174292098</v>
      </c>
      <c r="G105" s="117">
        <f t="shared" si="36"/>
        <v>60623.338434782607</v>
      </c>
      <c r="H105" s="9"/>
      <c r="I105" s="136">
        <v>7.25</v>
      </c>
      <c r="J105" s="134">
        <v>1263617.7105</v>
      </c>
      <c r="K105" s="120">
        <f t="shared" si="37"/>
        <v>439.51920365217393</v>
      </c>
      <c r="L105" s="122">
        <f t="shared" si="22"/>
        <v>1742920.98</v>
      </c>
      <c r="M105" s="116">
        <f t="shared" si="23"/>
        <v>479303.26949999994</v>
      </c>
      <c r="N105" s="123">
        <f t="shared" si="24"/>
        <v>166.71418069565215</v>
      </c>
      <c r="O105" s="5"/>
      <c r="P105" s="5">
        <f t="shared" si="25"/>
        <v>1</v>
      </c>
      <c r="Q105" s="7">
        <f t="shared" si="26"/>
        <v>2875</v>
      </c>
      <c r="S105" s="124">
        <f>SUM(D104:D105)</f>
        <v>750715270</v>
      </c>
      <c r="T105" s="124">
        <f>SUM(F104:F105)</f>
        <v>418772860</v>
      </c>
      <c r="U105" s="124">
        <f>SUM(J104:J105)</f>
        <v>3303980.8059234004</v>
      </c>
      <c r="W105" s="124">
        <f t="shared" si="27"/>
        <v>1263617.7105</v>
      </c>
      <c r="X105">
        <f t="shared" si="28"/>
        <v>0</v>
      </c>
    </row>
    <row r="106" spans="1:24">
      <c r="A106" s="23" t="s">
        <v>117</v>
      </c>
      <c r="B106" s="35" t="s">
        <v>118</v>
      </c>
      <c r="C106" s="97">
        <v>3073</v>
      </c>
      <c r="D106" s="132">
        <v>236869577</v>
      </c>
      <c r="E106" s="116">
        <f t="shared" si="35"/>
        <v>77080.890660592253</v>
      </c>
      <c r="F106" s="134">
        <v>43253656</v>
      </c>
      <c r="G106" s="117">
        <f t="shared" si="36"/>
        <v>14075.384315001627</v>
      </c>
      <c r="H106" s="7"/>
      <c r="I106" s="136">
        <v>3</v>
      </c>
      <c r="J106" s="134">
        <v>129760.96799999999</v>
      </c>
      <c r="K106" s="120">
        <f t="shared" si="37"/>
        <v>42.226152945004877</v>
      </c>
      <c r="L106" s="122">
        <f t="shared" si="22"/>
        <v>432536.56</v>
      </c>
      <c r="M106" s="116">
        <f t="shared" si="23"/>
        <v>302775.592</v>
      </c>
      <c r="N106" s="123">
        <f t="shared" si="24"/>
        <v>98.527690205011396</v>
      </c>
      <c r="O106" s="5"/>
      <c r="P106" s="5">
        <f t="shared" si="25"/>
        <v>1</v>
      </c>
      <c r="Q106" s="7">
        <f t="shared" si="26"/>
        <v>3073</v>
      </c>
      <c r="W106" s="124">
        <f t="shared" si="27"/>
        <v>129760.96800000001</v>
      </c>
      <c r="X106">
        <f t="shared" si="28"/>
        <v>0</v>
      </c>
    </row>
    <row r="107" spans="1:24">
      <c r="A107" s="23" t="s">
        <v>119</v>
      </c>
      <c r="B107" s="35" t="s">
        <v>118</v>
      </c>
      <c r="C107" s="97">
        <v>465</v>
      </c>
      <c r="D107" s="132">
        <v>29516776</v>
      </c>
      <c r="E107" s="116">
        <f t="shared" si="35"/>
        <v>63476.937634408605</v>
      </c>
      <c r="F107" s="134">
        <v>10773603</v>
      </c>
      <c r="G107" s="117">
        <f t="shared" si="36"/>
        <v>23169.038709677421</v>
      </c>
      <c r="H107" s="7"/>
      <c r="I107" s="136">
        <v>5</v>
      </c>
      <c r="J107" s="134">
        <v>53868.014999999999</v>
      </c>
      <c r="K107" s="120">
        <f t="shared" si="37"/>
        <v>115.8451935483871</v>
      </c>
      <c r="L107" s="122">
        <f t="shared" si="22"/>
        <v>107736.03</v>
      </c>
      <c r="M107" s="116">
        <f t="shared" si="23"/>
        <v>53868.014999999999</v>
      </c>
      <c r="N107" s="123">
        <f t="shared" si="24"/>
        <v>115.8451935483871</v>
      </c>
      <c r="O107" s="5"/>
      <c r="P107" s="5">
        <f t="shared" si="25"/>
        <v>1</v>
      </c>
      <c r="Q107" s="7">
        <f t="shared" si="26"/>
        <v>465</v>
      </c>
      <c r="W107" s="124">
        <f t="shared" si="27"/>
        <v>53868.014999999999</v>
      </c>
      <c r="X107">
        <f t="shared" si="28"/>
        <v>0</v>
      </c>
    </row>
    <row r="108" spans="1:24">
      <c r="A108" s="23" t="s">
        <v>120</v>
      </c>
      <c r="B108" s="35" t="s">
        <v>118</v>
      </c>
      <c r="C108" s="97">
        <v>1364</v>
      </c>
      <c r="D108" s="132">
        <v>68594334</v>
      </c>
      <c r="E108" s="116">
        <f t="shared" si="35"/>
        <v>50289.101173020528</v>
      </c>
      <c r="F108" s="134">
        <v>35655748</v>
      </c>
      <c r="G108" s="117">
        <f t="shared" si="36"/>
        <v>26140.577712609971</v>
      </c>
      <c r="H108" s="7"/>
      <c r="I108" s="136">
        <v>4.7030000000000003</v>
      </c>
      <c r="J108" s="134">
        <v>167688.98284400001</v>
      </c>
      <c r="K108" s="120">
        <f t="shared" si="37"/>
        <v>122.9391369824047</v>
      </c>
      <c r="L108" s="122">
        <f t="shared" si="22"/>
        <v>356557.48</v>
      </c>
      <c r="M108" s="116">
        <f t="shared" si="23"/>
        <v>188868.49715599997</v>
      </c>
      <c r="N108" s="123">
        <f t="shared" si="24"/>
        <v>138.466640143695</v>
      </c>
      <c r="O108" s="5"/>
      <c r="P108" s="5">
        <f t="shared" si="25"/>
        <v>1</v>
      </c>
      <c r="Q108" s="7">
        <f t="shared" si="26"/>
        <v>1364</v>
      </c>
      <c r="W108" s="124">
        <f t="shared" si="27"/>
        <v>167688.98284400001</v>
      </c>
      <c r="X108">
        <f t="shared" si="28"/>
        <v>0</v>
      </c>
    </row>
    <row r="109" spans="1:24">
      <c r="A109" s="23" t="s">
        <v>121</v>
      </c>
      <c r="B109" s="35" t="s">
        <v>118</v>
      </c>
      <c r="C109" s="97">
        <v>1749</v>
      </c>
      <c r="D109" s="132">
        <v>161661843</v>
      </c>
      <c r="E109" s="116">
        <f t="shared" si="35"/>
        <v>92431.013722126925</v>
      </c>
      <c r="F109" s="134">
        <v>95734452</v>
      </c>
      <c r="G109" s="117">
        <f t="shared" si="36"/>
        <v>54736.67924528302</v>
      </c>
      <c r="H109" s="7"/>
      <c r="I109" s="136">
        <v>2.5</v>
      </c>
      <c r="J109" s="134">
        <v>239336.13</v>
      </c>
      <c r="K109" s="120">
        <f t="shared" si="37"/>
        <v>136.84169811320754</v>
      </c>
      <c r="L109" s="122">
        <f t="shared" si="22"/>
        <v>957344.52</v>
      </c>
      <c r="M109" s="116">
        <f t="shared" si="23"/>
        <v>718008.39</v>
      </c>
      <c r="N109" s="123">
        <f t="shared" si="24"/>
        <v>410.52509433962263</v>
      </c>
      <c r="O109" s="5"/>
      <c r="P109" s="5">
        <f t="shared" si="25"/>
        <v>1</v>
      </c>
      <c r="Q109" s="7">
        <f t="shared" si="26"/>
        <v>1749</v>
      </c>
      <c r="W109" s="124">
        <f t="shared" si="27"/>
        <v>239336.13</v>
      </c>
      <c r="X109">
        <f t="shared" si="28"/>
        <v>0</v>
      </c>
    </row>
    <row r="110" spans="1:24">
      <c r="A110" s="23" t="s">
        <v>122</v>
      </c>
      <c r="B110" s="35" t="s">
        <v>118</v>
      </c>
      <c r="C110" s="97">
        <v>3683</v>
      </c>
      <c r="D110" s="132">
        <v>393327462</v>
      </c>
      <c r="E110" s="116">
        <f t="shared" si="35"/>
        <v>106795.40103176759</v>
      </c>
      <c r="F110" s="134">
        <v>256097500</v>
      </c>
      <c r="G110" s="117">
        <f t="shared" si="36"/>
        <v>69535.025794189525</v>
      </c>
      <c r="H110" s="7"/>
      <c r="I110" s="136">
        <v>4.6839000000000004</v>
      </c>
      <c r="J110" s="134">
        <v>1199535.0802500001</v>
      </c>
      <c r="K110" s="120">
        <f t="shared" si="37"/>
        <v>325.69510731740434</v>
      </c>
      <c r="L110" s="122">
        <f t="shared" si="22"/>
        <v>2560975</v>
      </c>
      <c r="M110" s="116">
        <f t="shared" si="23"/>
        <v>1361439.9197499999</v>
      </c>
      <c r="N110" s="123">
        <f t="shared" si="24"/>
        <v>369.65515062449089</v>
      </c>
      <c r="O110" s="5"/>
      <c r="P110" s="5">
        <f t="shared" si="25"/>
        <v>1</v>
      </c>
      <c r="Q110" s="7">
        <f t="shared" si="26"/>
        <v>3683</v>
      </c>
      <c r="W110" s="124">
        <f t="shared" si="27"/>
        <v>1199535.0802500001</v>
      </c>
      <c r="X110">
        <f t="shared" si="28"/>
        <v>0</v>
      </c>
    </row>
    <row r="111" spans="1:24">
      <c r="A111" s="23" t="s">
        <v>123</v>
      </c>
      <c r="B111" s="35" t="s">
        <v>118</v>
      </c>
      <c r="C111" s="97">
        <v>7971</v>
      </c>
      <c r="D111" s="132">
        <v>687390197</v>
      </c>
      <c r="E111" s="116">
        <f t="shared" si="35"/>
        <v>86236.381507966376</v>
      </c>
      <c r="F111" s="134">
        <v>306805022</v>
      </c>
      <c r="G111" s="117">
        <f t="shared" si="36"/>
        <v>38490.154560281022</v>
      </c>
      <c r="H111" s="9"/>
      <c r="I111" s="136">
        <v>6.4036999999999997</v>
      </c>
      <c r="J111" s="134">
        <v>1964687.3193813998</v>
      </c>
      <c r="K111" s="120">
        <f t="shared" si="37"/>
        <v>246.47940275767152</v>
      </c>
      <c r="L111" s="122">
        <f t="shared" si="22"/>
        <v>3068050.22</v>
      </c>
      <c r="M111" s="116">
        <f t="shared" si="23"/>
        <v>1103362.9006186004</v>
      </c>
      <c r="N111" s="123">
        <f t="shared" si="24"/>
        <v>138.42214284513869</v>
      </c>
      <c r="O111" s="5"/>
      <c r="P111" s="5">
        <f t="shared" si="25"/>
        <v>1</v>
      </c>
      <c r="Q111" s="7">
        <f t="shared" si="26"/>
        <v>7971</v>
      </c>
      <c r="S111" s="124">
        <f>SUM(D106:D111)</f>
        <v>1577360189</v>
      </c>
      <c r="T111" s="124">
        <f>SUM(F106:F111)</f>
        <v>748319981</v>
      </c>
      <c r="U111" s="124">
        <f>SUM(J106:J111)</f>
        <v>3754876.4954754002</v>
      </c>
      <c r="W111" s="124">
        <f t="shared" si="27"/>
        <v>1964687.3193814</v>
      </c>
      <c r="X111">
        <f t="shared" si="28"/>
        <v>0</v>
      </c>
    </row>
    <row r="112" spans="1:24">
      <c r="A112" s="23" t="s">
        <v>124</v>
      </c>
      <c r="B112" s="35" t="s">
        <v>125</v>
      </c>
      <c r="C112" s="97">
        <v>521</v>
      </c>
      <c r="D112" s="132">
        <v>58341303</v>
      </c>
      <c r="E112" s="116">
        <f t="shared" si="35"/>
        <v>111979.46833013436</v>
      </c>
      <c r="F112" s="134">
        <v>26165975</v>
      </c>
      <c r="G112" s="117">
        <f t="shared" si="36"/>
        <v>50222.600767754317</v>
      </c>
      <c r="H112" s="9"/>
      <c r="I112" s="136">
        <v>3</v>
      </c>
      <c r="J112" s="134">
        <v>78497.925000000003</v>
      </c>
      <c r="K112" s="120">
        <f t="shared" si="37"/>
        <v>150.66780230326296</v>
      </c>
      <c r="L112" s="122">
        <f t="shared" si="22"/>
        <v>261659.75</v>
      </c>
      <c r="M112" s="116">
        <f t="shared" si="23"/>
        <v>183161.82500000001</v>
      </c>
      <c r="N112" s="123">
        <f t="shared" si="24"/>
        <v>351.55820537428025</v>
      </c>
      <c r="O112" s="5"/>
      <c r="P112" s="5">
        <f t="shared" si="25"/>
        <v>1</v>
      </c>
      <c r="Q112" s="7">
        <f t="shared" si="26"/>
        <v>521</v>
      </c>
      <c r="W112" s="124">
        <f t="shared" si="27"/>
        <v>78497.925000000003</v>
      </c>
      <c r="X112">
        <f t="shared" si="28"/>
        <v>0</v>
      </c>
    </row>
    <row r="113" spans="1:24">
      <c r="A113" s="23" t="s">
        <v>126</v>
      </c>
      <c r="B113" s="35" t="s">
        <v>125</v>
      </c>
      <c r="C113" s="97">
        <v>2149</v>
      </c>
      <c r="D113" s="132">
        <v>186788435</v>
      </c>
      <c r="E113" s="116">
        <f t="shared" si="35"/>
        <v>86918.769194974404</v>
      </c>
      <c r="F113" s="134">
        <v>98812834</v>
      </c>
      <c r="G113" s="117">
        <f t="shared" si="36"/>
        <v>45980.844113541185</v>
      </c>
      <c r="H113" s="9"/>
      <c r="I113" s="150">
        <v>3.5</v>
      </c>
      <c r="J113" s="134">
        <v>345844.91899999999</v>
      </c>
      <c r="K113" s="120">
        <f t="shared" si="37"/>
        <v>160.93295439739413</v>
      </c>
      <c r="L113" s="122">
        <f t="shared" si="22"/>
        <v>988128.34</v>
      </c>
      <c r="M113" s="116">
        <f t="shared" si="23"/>
        <v>642283.42099999997</v>
      </c>
      <c r="N113" s="123">
        <f t="shared" si="24"/>
        <v>298.87548673801768</v>
      </c>
      <c r="O113" s="5"/>
      <c r="P113" s="5">
        <f t="shared" si="25"/>
        <v>1</v>
      </c>
      <c r="Q113" s="7">
        <f t="shared" si="26"/>
        <v>2149</v>
      </c>
      <c r="W113" s="124">
        <f t="shared" si="27"/>
        <v>345844.91899999999</v>
      </c>
      <c r="X113">
        <f t="shared" si="28"/>
        <v>0</v>
      </c>
    </row>
    <row r="114" spans="1:24">
      <c r="A114" s="23" t="s">
        <v>127</v>
      </c>
      <c r="B114" s="35" t="s">
        <v>128</v>
      </c>
      <c r="C114" s="97">
        <v>1270</v>
      </c>
      <c r="D114" s="132">
        <f>(56045024+63221459)</f>
        <v>119266483</v>
      </c>
      <c r="E114" s="116">
        <f t="shared" si="35"/>
        <v>93910.616535433073</v>
      </c>
      <c r="F114" s="134">
        <f>(31152193+29709169)</f>
        <v>60861362</v>
      </c>
      <c r="G114" s="117">
        <f t="shared" si="36"/>
        <v>47922.332283464566</v>
      </c>
      <c r="H114" s="7"/>
      <c r="I114" s="150">
        <v>3</v>
      </c>
      <c r="J114" s="154">
        <f>(93456.579+89128)</f>
        <v>182584.579</v>
      </c>
      <c r="K114" s="120">
        <f t="shared" si="37"/>
        <v>143.76738503937008</v>
      </c>
      <c r="L114" s="122">
        <f t="shared" si="22"/>
        <v>608613.62</v>
      </c>
      <c r="M114" s="116">
        <f t="shared" si="23"/>
        <v>426029.04099999997</v>
      </c>
      <c r="N114" s="123">
        <f t="shared" si="24"/>
        <v>335.45593779527559</v>
      </c>
      <c r="O114" s="5"/>
      <c r="P114" s="5">
        <f t="shared" si="25"/>
        <v>1</v>
      </c>
      <c r="Q114" s="7">
        <f t="shared" si="26"/>
        <v>1270</v>
      </c>
      <c r="S114" s="124">
        <f>SUM(D112:D114)</f>
        <v>364396221</v>
      </c>
      <c r="T114" s="124">
        <f>SUM(F112:F114)</f>
        <v>185840171</v>
      </c>
      <c r="U114" s="124">
        <f>SUM(J112:J114)</f>
        <v>606927.42299999995</v>
      </c>
      <c r="W114" s="124">
        <f t="shared" si="27"/>
        <v>182584.08600000001</v>
      </c>
      <c r="X114">
        <f t="shared" si="28"/>
        <v>1</v>
      </c>
    </row>
    <row r="115" spans="1:24">
      <c r="A115" s="23" t="s">
        <v>129</v>
      </c>
      <c r="B115" s="35" t="s">
        <v>130</v>
      </c>
      <c r="C115" s="97">
        <v>1529</v>
      </c>
      <c r="D115" s="132">
        <v>160389860</v>
      </c>
      <c r="E115" s="116">
        <f t="shared" si="35"/>
        <v>104898.53499018967</v>
      </c>
      <c r="F115" s="134">
        <v>56304234</v>
      </c>
      <c r="G115" s="117">
        <f t="shared" si="36"/>
        <v>36824.221059516021</v>
      </c>
      <c r="H115" s="9"/>
      <c r="I115" s="136">
        <v>4.3499999999999996</v>
      </c>
      <c r="J115" s="134">
        <v>244923.41789999997</v>
      </c>
      <c r="K115" s="120">
        <f t="shared" si="37"/>
        <v>160.18536160889468</v>
      </c>
      <c r="L115" s="122">
        <f t="shared" si="22"/>
        <v>563042.34</v>
      </c>
      <c r="M115" s="116">
        <f t="shared" si="23"/>
        <v>318118.92209999997</v>
      </c>
      <c r="N115" s="123">
        <f t="shared" si="24"/>
        <v>208.05684898626552</v>
      </c>
      <c r="O115" s="5"/>
      <c r="P115" s="5">
        <f t="shared" si="25"/>
        <v>1</v>
      </c>
      <c r="Q115" s="7">
        <f t="shared" si="26"/>
        <v>1529</v>
      </c>
      <c r="S115" s="124">
        <f>SUM(D115)</f>
        <v>160389860</v>
      </c>
      <c r="T115" s="124">
        <f>SUM(F115)</f>
        <v>56304234</v>
      </c>
      <c r="U115" s="124">
        <f>SUM(J115)</f>
        <v>244923.41789999997</v>
      </c>
      <c r="W115" s="124">
        <f t="shared" si="27"/>
        <v>244923.41789999997</v>
      </c>
      <c r="X115">
        <f t="shared" si="28"/>
        <v>0</v>
      </c>
    </row>
    <row r="116" spans="1:24">
      <c r="A116" s="24" t="s">
        <v>545</v>
      </c>
      <c r="B116" s="35" t="s">
        <v>131</v>
      </c>
      <c r="C116" s="97">
        <v>3787</v>
      </c>
      <c r="D116" s="132">
        <v>1025466841</v>
      </c>
      <c r="E116" s="116">
        <f t="shared" si="35"/>
        <v>270786.06839186692</v>
      </c>
      <c r="F116" s="134">
        <v>595160259</v>
      </c>
      <c r="G116" s="117">
        <f t="shared" si="36"/>
        <v>157158.76921045681</v>
      </c>
      <c r="H116" s="9"/>
      <c r="I116" s="136">
        <v>3.5914000000000001</v>
      </c>
      <c r="J116" s="134">
        <v>2137458.5541726002</v>
      </c>
      <c r="K116" s="120">
        <f t="shared" si="37"/>
        <v>564.42000374243469</v>
      </c>
      <c r="L116" s="122">
        <f t="shared" si="22"/>
        <v>5951602.5899999999</v>
      </c>
      <c r="M116" s="116">
        <f t="shared" si="23"/>
        <v>3814144.0358273997</v>
      </c>
      <c r="N116" s="123">
        <f t="shared" si="24"/>
        <v>1007.1676883621335</v>
      </c>
      <c r="O116" s="5"/>
      <c r="P116" s="5">
        <f t="shared" si="25"/>
        <v>1</v>
      </c>
      <c r="Q116" s="7">
        <f t="shared" si="26"/>
        <v>3787</v>
      </c>
      <c r="W116" s="124">
        <f t="shared" si="27"/>
        <v>2137458.5541726002</v>
      </c>
      <c r="X116">
        <f t="shared" si="28"/>
        <v>0</v>
      </c>
    </row>
    <row r="117" spans="1:24">
      <c r="A117" s="23" t="s">
        <v>132</v>
      </c>
      <c r="B117" s="35" t="s">
        <v>131</v>
      </c>
      <c r="C117" s="97">
        <v>2190</v>
      </c>
      <c r="D117" s="132">
        <v>192370363</v>
      </c>
      <c r="E117" s="116">
        <f t="shared" si="35"/>
        <v>87840.348401826486</v>
      </c>
      <c r="F117" s="134">
        <v>84017114</v>
      </c>
      <c r="G117" s="117">
        <f t="shared" si="36"/>
        <v>38363.97899543379</v>
      </c>
      <c r="H117" s="9"/>
      <c r="I117" s="136">
        <v>6.1132999999999997</v>
      </c>
      <c r="J117" s="134">
        <v>513621.82301619998</v>
      </c>
      <c r="K117" s="120">
        <f t="shared" si="37"/>
        <v>234.53051279278537</v>
      </c>
      <c r="L117" s="122">
        <f t="shared" si="22"/>
        <v>840171.14</v>
      </c>
      <c r="M117" s="116">
        <f t="shared" si="23"/>
        <v>326549.31698380003</v>
      </c>
      <c r="N117" s="123">
        <f t="shared" si="24"/>
        <v>149.10927716155251</v>
      </c>
      <c r="O117" s="5"/>
      <c r="P117" s="5">
        <f t="shared" si="25"/>
        <v>1</v>
      </c>
      <c r="Q117" s="7">
        <f t="shared" si="26"/>
        <v>2190</v>
      </c>
      <c r="S117" s="124">
        <f>SUM(D116:D117)</f>
        <v>1217837204</v>
      </c>
      <c r="T117" s="124">
        <f>SUM(F116:F117)</f>
        <v>679177373</v>
      </c>
      <c r="U117" s="124">
        <f>SUM(J116:J117)</f>
        <v>2651080.3771887999</v>
      </c>
      <c r="W117" s="124">
        <f t="shared" si="27"/>
        <v>513621.82301619998</v>
      </c>
      <c r="X117">
        <f t="shared" si="28"/>
        <v>0</v>
      </c>
    </row>
    <row r="118" spans="1:24">
      <c r="A118" s="23" t="s">
        <v>133</v>
      </c>
      <c r="B118" s="35" t="s">
        <v>134</v>
      </c>
      <c r="C118" s="97">
        <v>3787</v>
      </c>
      <c r="D118" s="132">
        <v>154272625</v>
      </c>
      <c r="E118" s="116">
        <f t="shared" si="35"/>
        <v>40737.424082387115</v>
      </c>
      <c r="F118" s="134">
        <v>83835770</v>
      </c>
      <c r="G118" s="117">
        <f t="shared" si="36"/>
        <v>22137.77924478479</v>
      </c>
      <c r="H118" s="7"/>
      <c r="I118" s="136">
        <v>7.9489999999999998</v>
      </c>
      <c r="J118" s="134">
        <v>666410.53573</v>
      </c>
      <c r="K118" s="120">
        <f t="shared" si="37"/>
        <v>175.97320721679429</v>
      </c>
      <c r="L118" s="122">
        <f t="shared" si="22"/>
        <v>838357.70000000007</v>
      </c>
      <c r="M118" s="116">
        <f t="shared" si="23"/>
        <v>171947.16427000007</v>
      </c>
      <c r="N118" s="123">
        <f t="shared" si="24"/>
        <v>45.404585231053623</v>
      </c>
      <c r="O118" s="5"/>
      <c r="P118" s="5">
        <f t="shared" si="25"/>
        <v>1</v>
      </c>
      <c r="Q118" s="7">
        <f t="shared" si="26"/>
        <v>3787</v>
      </c>
      <c r="W118" s="124">
        <f t="shared" si="27"/>
        <v>666410.53573</v>
      </c>
      <c r="X118">
        <f t="shared" si="28"/>
        <v>0</v>
      </c>
    </row>
    <row r="119" spans="1:24">
      <c r="A119" s="23" t="s">
        <v>135</v>
      </c>
      <c r="B119" s="35" t="s">
        <v>134</v>
      </c>
      <c r="C119" s="97">
        <v>747</v>
      </c>
      <c r="D119" s="132">
        <v>36185078</v>
      </c>
      <c r="E119" s="116">
        <f t="shared" si="35"/>
        <v>48440.532797858097</v>
      </c>
      <c r="F119" s="134">
        <v>21823989</v>
      </c>
      <c r="G119" s="117">
        <f t="shared" si="36"/>
        <v>29215.5140562249</v>
      </c>
      <c r="H119" s="7"/>
      <c r="I119" s="136">
        <v>5.0999999999999996</v>
      </c>
      <c r="J119" s="134">
        <v>111302.34389999999</v>
      </c>
      <c r="K119" s="120">
        <f t="shared" si="37"/>
        <v>148.99912168674697</v>
      </c>
      <c r="L119" s="122">
        <f t="shared" si="22"/>
        <v>218239.89</v>
      </c>
      <c r="M119" s="116">
        <f t="shared" si="23"/>
        <v>106937.54610000002</v>
      </c>
      <c r="N119" s="123">
        <f t="shared" si="24"/>
        <v>143.15601887550204</v>
      </c>
      <c r="O119" s="5"/>
      <c r="P119" s="5">
        <f t="shared" si="25"/>
        <v>1</v>
      </c>
      <c r="Q119" s="7">
        <f t="shared" si="26"/>
        <v>747</v>
      </c>
      <c r="W119" s="124">
        <f t="shared" si="27"/>
        <v>111302.34389999999</v>
      </c>
      <c r="X119">
        <f t="shared" si="28"/>
        <v>0</v>
      </c>
    </row>
    <row r="120" spans="1:24">
      <c r="A120" s="23" t="s">
        <v>136</v>
      </c>
      <c r="B120" s="35" t="s">
        <v>134</v>
      </c>
      <c r="C120" s="97">
        <v>742</v>
      </c>
      <c r="D120" s="132">
        <v>51033157</v>
      </c>
      <c r="E120" s="116">
        <f t="shared" si="35"/>
        <v>68777.839622641506</v>
      </c>
      <c r="F120" s="134">
        <v>25127141</v>
      </c>
      <c r="G120" s="117">
        <f t="shared" si="36"/>
        <v>33864.071428571428</v>
      </c>
      <c r="H120" s="7"/>
      <c r="I120" s="136">
        <v>6</v>
      </c>
      <c r="J120" s="134">
        <v>150762.84599999999</v>
      </c>
      <c r="K120" s="120">
        <f t="shared" si="37"/>
        <v>203.18442857142855</v>
      </c>
      <c r="L120" s="122">
        <f t="shared" si="22"/>
        <v>251271.41</v>
      </c>
      <c r="M120" s="116">
        <f t="shared" si="23"/>
        <v>100508.56400000001</v>
      </c>
      <c r="N120" s="123">
        <f t="shared" si="24"/>
        <v>135.45628571428574</v>
      </c>
      <c r="O120" s="5"/>
      <c r="P120" s="5">
        <f t="shared" si="25"/>
        <v>1</v>
      </c>
      <c r="Q120" s="7">
        <f t="shared" si="26"/>
        <v>742</v>
      </c>
      <c r="S120" s="124">
        <f>SUM(D118:D120)</f>
        <v>241490860</v>
      </c>
      <c r="T120" s="124">
        <f>SUM(F118:F120)</f>
        <v>130786900</v>
      </c>
      <c r="U120" s="124">
        <f>SUM(J118:J120)</f>
        <v>928475.72563</v>
      </c>
      <c r="W120" s="124">
        <f t="shared" si="27"/>
        <v>150762.84599999999</v>
      </c>
      <c r="X120">
        <f t="shared" si="28"/>
        <v>0</v>
      </c>
    </row>
    <row r="121" spans="1:24">
      <c r="A121" s="23" t="s">
        <v>137</v>
      </c>
      <c r="B121" s="35" t="s">
        <v>138</v>
      </c>
      <c r="C121" s="97">
        <v>2450</v>
      </c>
      <c r="D121" s="132">
        <v>128299168</v>
      </c>
      <c r="E121" s="116">
        <f t="shared" si="35"/>
        <v>52367.007346938779</v>
      </c>
      <c r="F121" s="134">
        <v>58801736</v>
      </c>
      <c r="G121" s="117">
        <f t="shared" si="36"/>
        <v>24000.708571428571</v>
      </c>
      <c r="H121" s="7"/>
      <c r="I121" s="136">
        <v>7.55</v>
      </c>
      <c r="J121" s="134">
        <v>443953.10680000001</v>
      </c>
      <c r="K121" s="120">
        <f t="shared" si="37"/>
        <v>181.20534971428572</v>
      </c>
      <c r="L121" s="122">
        <f t="shared" si="22"/>
        <v>588017.36</v>
      </c>
      <c r="M121" s="116">
        <f t="shared" si="23"/>
        <v>144064.25319999998</v>
      </c>
      <c r="N121" s="123">
        <f t="shared" si="24"/>
        <v>58.801735999999991</v>
      </c>
      <c r="O121" s="5"/>
      <c r="P121" s="5">
        <f t="shared" si="25"/>
        <v>1</v>
      </c>
      <c r="Q121" s="7">
        <f t="shared" si="26"/>
        <v>2450</v>
      </c>
      <c r="W121" s="124">
        <f t="shared" si="27"/>
        <v>443953.10679999995</v>
      </c>
      <c r="X121">
        <f t="shared" si="28"/>
        <v>0</v>
      </c>
    </row>
    <row r="122" spans="1:24">
      <c r="A122" s="23" t="s">
        <v>139</v>
      </c>
      <c r="B122" s="35" t="s">
        <v>138</v>
      </c>
      <c r="C122" s="97">
        <v>4869</v>
      </c>
      <c r="D122" s="132">
        <v>388916138</v>
      </c>
      <c r="E122" s="116">
        <f t="shared" si="35"/>
        <v>79875.978229615939</v>
      </c>
      <c r="F122" s="134">
        <v>180564661</v>
      </c>
      <c r="G122" s="117">
        <f t="shared" si="36"/>
        <v>37084.547340316283</v>
      </c>
      <c r="H122" s="7"/>
      <c r="I122" s="136">
        <v>5.2042000000000002</v>
      </c>
      <c r="J122" s="134">
        <v>939694.6087762001</v>
      </c>
      <c r="K122" s="120">
        <f t="shared" si="37"/>
        <v>192.99540126847404</v>
      </c>
      <c r="L122" s="122">
        <f t="shared" si="22"/>
        <v>1805646.61</v>
      </c>
      <c r="M122" s="116">
        <f t="shared" si="23"/>
        <v>865952.00122380001</v>
      </c>
      <c r="N122" s="123">
        <f t="shared" si="24"/>
        <v>177.85007213468884</v>
      </c>
      <c r="O122" s="5"/>
      <c r="P122" s="5">
        <f t="shared" si="25"/>
        <v>1</v>
      </c>
      <c r="Q122" s="7">
        <f t="shared" si="26"/>
        <v>4869</v>
      </c>
      <c r="W122" s="124">
        <f t="shared" si="27"/>
        <v>939694.60877619998</v>
      </c>
      <c r="X122">
        <f t="shared" si="28"/>
        <v>0</v>
      </c>
    </row>
    <row r="123" spans="1:24">
      <c r="A123" s="23" t="s">
        <v>140</v>
      </c>
      <c r="B123" s="35" t="s">
        <v>138</v>
      </c>
      <c r="C123" s="97">
        <v>1753</v>
      </c>
      <c r="D123" s="132">
        <v>94682675</v>
      </c>
      <c r="E123" s="116">
        <f t="shared" si="35"/>
        <v>54011.794067313174</v>
      </c>
      <c r="F123" s="134">
        <v>42329521</v>
      </c>
      <c r="G123" s="117">
        <f t="shared" si="36"/>
        <v>24146.903023388477</v>
      </c>
      <c r="H123" s="7"/>
      <c r="I123" s="136">
        <v>8.5540000000000003</v>
      </c>
      <c r="J123" s="134">
        <v>362086.72263400001</v>
      </c>
      <c r="K123" s="120">
        <f t="shared" si="37"/>
        <v>206.55260846206502</v>
      </c>
      <c r="L123" s="122">
        <f t="shared" si="22"/>
        <v>423295.21</v>
      </c>
      <c r="M123" s="116">
        <f t="shared" si="23"/>
        <v>61208.487366000016</v>
      </c>
      <c r="N123" s="123">
        <f t="shared" si="24"/>
        <v>34.916421771819749</v>
      </c>
      <c r="O123" s="5"/>
      <c r="P123" s="5">
        <f t="shared" si="25"/>
        <v>1</v>
      </c>
      <c r="Q123" s="7">
        <f t="shared" si="26"/>
        <v>1753</v>
      </c>
      <c r="S123" s="124">
        <f>SUM(D121:D123)</f>
        <v>611897981</v>
      </c>
      <c r="T123" s="124">
        <f>SUM(F121:F123)</f>
        <v>281695918</v>
      </c>
      <c r="U123" s="124">
        <f>SUM(J121:J123)</f>
        <v>1745734.4382102001</v>
      </c>
      <c r="W123" s="124">
        <f t="shared" si="27"/>
        <v>362086.72263400006</v>
      </c>
      <c r="X123">
        <f t="shared" si="28"/>
        <v>0</v>
      </c>
    </row>
    <row r="124" spans="1:24">
      <c r="A124" s="23" t="s">
        <v>141</v>
      </c>
      <c r="B124" s="35" t="s">
        <v>142</v>
      </c>
      <c r="C124" s="97">
        <v>7278</v>
      </c>
      <c r="D124" s="132">
        <v>840133991</v>
      </c>
      <c r="E124" s="116">
        <f t="shared" si="35"/>
        <v>115434.73358065402</v>
      </c>
      <c r="F124" s="134">
        <v>349801109</v>
      </c>
      <c r="G124" s="117">
        <f t="shared" si="36"/>
        <v>48062.806952459468</v>
      </c>
      <c r="H124" s="7"/>
      <c r="I124" s="136">
        <v>6.5313999999999997</v>
      </c>
      <c r="J124" s="134">
        <v>2284690.9633225999</v>
      </c>
      <c r="K124" s="120">
        <f t="shared" si="37"/>
        <v>313.91741732929376</v>
      </c>
      <c r="L124" s="122">
        <f t="shared" si="22"/>
        <v>3498011.09</v>
      </c>
      <c r="M124" s="116">
        <f t="shared" si="23"/>
        <v>1213320.1266774</v>
      </c>
      <c r="N124" s="123">
        <f t="shared" si="24"/>
        <v>166.7106521953009</v>
      </c>
      <c r="O124" s="5"/>
      <c r="P124" s="5">
        <f t="shared" si="25"/>
        <v>1</v>
      </c>
      <c r="Q124" s="7">
        <f t="shared" si="26"/>
        <v>7278</v>
      </c>
      <c r="W124" s="124">
        <f t="shared" si="27"/>
        <v>2284690.9633225999</v>
      </c>
      <c r="X124">
        <f t="shared" si="28"/>
        <v>0</v>
      </c>
    </row>
    <row r="125" spans="1:24">
      <c r="A125" s="23" t="s">
        <v>558</v>
      </c>
      <c r="B125" s="35" t="s">
        <v>142</v>
      </c>
      <c r="C125" s="97">
        <v>5083</v>
      </c>
      <c r="D125" s="132">
        <v>767252722</v>
      </c>
      <c r="E125" s="116">
        <f t="shared" si="35"/>
        <v>150944.8597285068</v>
      </c>
      <c r="F125" s="134">
        <v>343901649</v>
      </c>
      <c r="G125" s="117">
        <f t="shared" si="36"/>
        <v>67657.219948849102</v>
      </c>
      <c r="H125" s="7"/>
      <c r="I125" s="136">
        <v>5.25</v>
      </c>
      <c r="J125" s="134">
        <v>1805483.6572499999</v>
      </c>
      <c r="K125" s="120">
        <f t="shared" si="37"/>
        <v>355.20040473145781</v>
      </c>
      <c r="L125" s="122">
        <f t="shared" si="22"/>
        <v>3439016.49</v>
      </c>
      <c r="M125" s="116">
        <f t="shared" si="23"/>
        <v>1633532.8327500003</v>
      </c>
      <c r="N125" s="123">
        <f t="shared" si="24"/>
        <v>321.37179475703329</v>
      </c>
      <c r="O125" s="5"/>
      <c r="P125" s="5">
        <f t="shared" si="25"/>
        <v>1</v>
      </c>
      <c r="Q125" s="7">
        <f t="shared" si="26"/>
        <v>5083</v>
      </c>
      <c r="S125" s="124">
        <f>SUM(D124:D125)</f>
        <v>1607386713</v>
      </c>
      <c r="T125" s="124">
        <f>SUM(F124:F125)</f>
        <v>693702758</v>
      </c>
      <c r="U125" s="124">
        <f>SUM(J124:J125)</f>
        <v>4090174.6205725996</v>
      </c>
      <c r="W125" s="124">
        <f t="shared" si="27"/>
        <v>1805483.6572500002</v>
      </c>
      <c r="X125">
        <f t="shared" si="28"/>
        <v>0</v>
      </c>
    </row>
    <row r="126" spans="1:24">
      <c r="A126" s="23" t="s">
        <v>143</v>
      </c>
      <c r="B126" s="35" t="s">
        <v>144</v>
      </c>
      <c r="C126" s="97">
        <v>9566</v>
      </c>
      <c r="D126" s="132">
        <v>1568177313</v>
      </c>
      <c r="E126" s="116">
        <f t="shared" si="35"/>
        <v>163932.39734476269</v>
      </c>
      <c r="F126" s="134">
        <v>669557121</v>
      </c>
      <c r="G126" s="117">
        <f t="shared" si="36"/>
        <v>69993.426824168928</v>
      </c>
      <c r="H126" s="7"/>
      <c r="I126" s="136">
        <v>5.9</v>
      </c>
      <c r="J126" s="134">
        <v>3950387.0139000001</v>
      </c>
      <c r="K126" s="120">
        <f t="shared" si="37"/>
        <v>412.96121826259673</v>
      </c>
      <c r="L126" s="122">
        <f t="shared" si="22"/>
        <v>6695571.21</v>
      </c>
      <c r="M126" s="116">
        <f t="shared" si="23"/>
        <v>2745184.1960999998</v>
      </c>
      <c r="N126" s="123">
        <f t="shared" si="24"/>
        <v>286.97304997909259</v>
      </c>
      <c r="O126" s="5"/>
      <c r="P126" s="5">
        <f t="shared" si="25"/>
        <v>1</v>
      </c>
      <c r="Q126" s="7">
        <f t="shared" si="26"/>
        <v>9566</v>
      </c>
      <c r="S126" s="124">
        <f>D126</f>
        <v>1568177313</v>
      </c>
      <c r="T126" s="124">
        <f>F126</f>
        <v>669557121</v>
      </c>
      <c r="U126" s="124">
        <f>J126</f>
        <v>3950387.0139000001</v>
      </c>
      <c r="W126" s="124">
        <f t="shared" si="27"/>
        <v>3950387.0139000006</v>
      </c>
      <c r="X126">
        <f t="shared" si="28"/>
        <v>0</v>
      </c>
    </row>
    <row r="127" spans="1:24">
      <c r="A127" s="23" t="s">
        <v>146</v>
      </c>
      <c r="B127" s="35" t="s">
        <v>147</v>
      </c>
      <c r="C127" s="97">
        <v>9758</v>
      </c>
      <c r="D127" s="132">
        <v>935938770</v>
      </c>
      <c r="E127" s="116">
        <f t="shared" si="35"/>
        <v>95915.020496003286</v>
      </c>
      <c r="F127" s="134">
        <v>430512997</v>
      </c>
      <c r="G127" s="117">
        <f t="shared" si="36"/>
        <v>44118.978991596639</v>
      </c>
      <c r="H127" s="7"/>
      <c r="I127" s="136">
        <v>4.3681000000000001</v>
      </c>
      <c r="J127" s="134">
        <v>1880523.8221956999</v>
      </c>
      <c r="K127" s="120">
        <f t="shared" si="37"/>
        <v>192.71611213319326</v>
      </c>
      <c r="L127" s="122">
        <f t="shared" si="22"/>
        <v>4305129.97</v>
      </c>
      <c r="M127" s="116">
        <f t="shared" si="23"/>
        <v>2424606.1478042998</v>
      </c>
      <c r="N127" s="123">
        <f t="shared" si="24"/>
        <v>248.47367778277308</v>
      </c>
      <c r="O127" s="5"/>
      <c r="P127" s="5">
        <f t="shared" si="25"/>
        <v>1</v>
      </c>
      <c r="Q127" s="7">
        <f t="shared" si="26"/>
        <v>9758</v>
      </c>
      <c r="W127" s="124">
        <f t="shared" si="27"/>
        <v>1880523.8221956999</v>
      </c>
      <c r="X127">
        <f t="shared" si="28"/>
        <v>0</v>
      </c>
    </row>
    <row r="128" spans="1:24">
      <c r="A128" s="23" t="s">
        <v>148</v>
      </c>
      <c r="B128" s="35" t="s">
        <v>147</v>
      </c>
      <c r="C128" s="97">
        <v>2409</v>
      </c>
      <c r="D128" s="132">
        <v>541901211</v>
      </c>
      <c r="E128" s="116">
        <f t="shared" si="35"/>
        <v>224948.61394769614</v>
      </c>
      <c r="F128" s="134">
        <v>319062849</v>
      </c>
      <c r="G128" s="117">
        <f t="shared" si="36"/>
        <v>132446.18057285179</v>
      </c>
      <c r="H128" s="7"/>
      <c r="I128" s="136">
        <v>3.1</v>
      </c>
      <c r="J128" s="134">
        <v>989094.83189999999</v>
      </c>
      <c r="K128" s="120">
        <f t="shared" si="37"/>
        <v>410.58315977584061</v>
      </c>
      <c r="L128" s="122">
        <f t="shared" si="22"/>
        <v>3190628.49</v>
      </c>
      <c r="M128" s="116">
        <f t="shared" si="23"/>
        <v>2201533.6581000001</v>
      </c>
      <c r="N128" s="123">
        <f t="shared" si="24"/>
        <v>913.87864595267752</v>
      </c>
      <c r="O128" s="5"/>
      <c r="P128" s="5">
        <f t="shared" si="25"/>
        <v>1</v>
      </c>
      <c r="Q128" s="7">
        <f t="shared" si="26"/>
        <v>2409</v>
      </c>
      <c r="W128" s="124">
        <f t="shared" si="27"/>
        <v>989094.83189999999</v>
      </c>
      <c r="X128">
        <f t="shared" si="28"/>
        <v>0</v>
      </c>
    </row>
    <row r="129" spans="1:24">
      <c r="A129" s="23" t="s">
        <v>149</v>
      </c>
      <c r="B129" s="35" t="s">
        <v>147</v>
      </c>
      <c r="C129" s="97">
        <v>11472</v>
      </c>
      <c r="D129" s="132">
        <v>1584609636</v>
      </c>
      <c r="E129" s="116">
        <f t="shared" si="35"/>
        <v>138128.45502092049</v>
      </c>
      <c r="F129" s="134">
        <v>975317812</v>
      </c>
      <c r="G129" s="117">
        <f t="shared" si="36"/>
        <v>85017.243026499302</v>
      </c>
      <c r="H129" s="7"/>
      <c r="I129" s="136">
        <v>6.3183999999999996</v>
      </c>
      <c r="J129" s="134">
        <v>6162448.063340799</v>
      </c>
      <c r="K129" s="120">
        <f t="shared" si="37"/>
        <v>537.17294833863309</v>
      </c>
      <c r="L129" s="122">
        <f t="shared" si="22"/>
        <v>9753178.120000001</v>
      </c>
      <c r="M129" s="116">
        <f t="shared" si="23"/>
        <v>3590730.0566592021</v>
      </c>
      <c r="N129" s="123">
        <f t="shared" si="24"/>
        <v>312.99948192636003</v>
      </c>
      <c r="O129" s="5"/>
      <c r="P129" s="5">
        <f t="shared" si="25"/>
        <v>1</v>
      </c>
      <c r="Q129" s="7">
        <f t="shared" si="26"/>
        <v>11472</v>
      </c>
      <c r="S129" s="124">
        <f>SUM(D127:D129)</f>
        <v>3062449617</v>
      </c>
      <c r="T129" s="124">
        <f>SUM(F127:F129)</f>
        <v>1724893658</v>
      </c>
      <c r="U129" s="124">
        <f>SUM(J127:J129)</f>
        <v>9032066.7174364999</v>
      </c>
      <c r="W129" s="124">
        <f t="shared" si="27"/>
        <v>6162448.063340799</v>
      </c>
      <c r="X129">
        <f t="shared" si="28"/>
        <v>0</v>
      </c>
    </row>
    <row r="130" spans="1:24">
      <c r="A130" s="23" t="s">
        <v>150</v>
      </c>
      <c r="B130" s="35" t="s">
        <v>151</v>
      </c>
      <c r="C130" s="97">
        <v>40949</v>
      </c>
      <c r="D130" s="132">
        <v>6384495577</v>
      </c>
      <c r="E130" s="116">
        <f t="shared" si="35"/>
        <v>155913.34530757772</v>
      </c>
      <c r="F130" s="134">
        <v>4198819319</v>
      </c>
      <c r="G130" s="117">
        <f t="shared" si="36"/>
        <v>102537.7742802022</v>
      </c>
      <c r="H130" s="7"/>
      <c r="I130" s="136">
        <v>5.7157</v>
      </c>
      <c r="J130" s="134">
        <v>23999191.581608299</v>
      </c>
      <c r="K130" s="120">
        <f t="shared" si="37"/>
        <v>586.07515645335172</v>
      </c>
      <c r="L130" s="122">
        <f t="shared" si="22"/>
        <v>41988193.189999998</v>
      </c>
      <c r="M130" s="116">
        <f t="shared" si="23"/>
        <v>17989001.608391698</v>
      </c>
      <c r="N130" s="123">
        <f t="shared" si="24"/>
        <v>439.30258634867027</v>
      </c>
      <c r="O130" s="5"/>
      <c r="P130" s="5">
        <f t="shared" si="25"/>
        <v>1</v>
      </c>
      <c r="Q130" s="7">
        <f t="shared" si="26"/>
        <v>40949</v>
      </c>
      <c r="W130" s="124">
        <f t="shared" si="27"/>
        <v>23999191.581608299</v>
      </c>
      <c r="X130">
        <f t="shared" si="28"/>
        <v>0</v>
      </c>
    </row>
    <row r="131" spans="1:24">
      <c r="A131" s="23" t="s">
        <v>152</v>
      </c>
      <c r="B131" s="35" t="s">
        <v>151</v>
      </c>
      <c r="C131" s="97">
        <v>406294</v>
      </c>
      <c r="D131" s="132">
        <v>92393883637</v>
      </c>
      <c r="E131" s="116">
        <f t="shared" si="35"/>
        <v>227406.46831358573</v>
      </c>
      <c r="F131" s="134">
        <v>56404111109</v>
      </c>
      <c r="G131" s="117">
        <f t="shared" si="36"/>
        <v>138825.85297592383</v>
      </c>
      <c r="H131" s="7"/>
      <c r="I131" s="136">
        <v>6.2076000000000002</v>
      </c>
      <c r="J131" s="134">
        <v>350134160.12022841</v>
      </c>
      <c r="K131" s="120">
        <f t="shared" si="37"/>
        <v>861.7753649333448</v>
      </c>
      <c r="L131" s="122">
        <f t="shared" si="22"/>
        <v>564041111.09000003</v>
      </c>
      <c r="M131" s="116">
        <f t="shared" si="23"/>
        <v>213906950.96977162</v>
      </c>
      <c r="N131" s="123">
        <f t="shared" si="24"/>
        <v>526.4831648258936</v>
      </c>
      <c r="O131" s="5"/>
      <c r="P131" s="5">
        <f t="shared" si="25"/>
        <v>1</v>
      </c>
      <c r="Q131" s="7">
        <f t="shared" si="26"/>
        <v>406294</v>
      </c>
      <c r="W131" s="124">
        <f t="shared" si="27"/>
        <v>350134160.12022841</v>
      </c>
      <c r="X131">
        <f t="shared" si="28"/>
        <v>0</v>
      </c>
    </row>
    <row r="132" spans="1:24">
      <c r="A132" s="23" t="s">
        <v>153</v>
      </c>
      <c r="B132" s="35" t="s">
        <v>151</v>
      </c>
      <c r="C132" s="97">
        <v>27327</v>
      </c>
      <c r="D132" s="132">
        <v>4247549302</v>
      </c>
      <c r="E132" s="116">
        <f t="shared" si="35"/>
        <v>155434.16042741612</v>
      </c>
      <c r="F132" s="134">
        <v>2924837438</v>
      </c>
      <c r="G132" s="117">
        <f t="shared" si="36"/>
        <v>107031.04760859224</v>
      </c>
      <c r="H132" s="9"/>
      <c r="I132" s="136">
        <v>6.4550000000000001</v>
      </c>
      <c r="J132" s="134">
        <v>18879825.662289999</v>
      </c>
      <c r="K132" s="120">
        <f t="shared" si="37"/>
        <v>690.88541231346289</v>
      </c>
      <c r="L132" s="122">
        <f t="shared" si="22"/>
        <v>29248374.379999999</v>
      </c>
      <c r="M132" s="116">
        <f t="shared" si="23"/>
        <v>10368548.71771</v>
      </c>
      <c r="N132" s="123">
        <f t="shared" si="24"/>
        <v>379.42506377245945</v>
      </c>
      <c r="O132" s="5"/>
      <c r="P132" s="5">
        <f t="shared" si="25"/>
        <v>1</v>
      </c>
      <c r="Q132" s="7">
        <f t="shared" si="26"/>
        <v>27327</v>
      </c>
      <c r="S132" s="124">
        <f>SUM(D130:D132)</f>
        <v>103025928516</v>
      </c>
      <c r="T132" s="124">
        <f>SUM(F130:F132)</f>
        <v>63527767866</v>
      </c>
      <c r="U132" s="124">
        <f>SUM(J130:J132)</f>
        <v>393013177.36412668</v>
      </c>
      <c r="W132" s="124">
        <f t="shared" si="27"/>
        <v>18879825.662289999</v>
      </c>
      <c r="X132">
        <f t="shared" si="28"/>
        <v>0</v>
      </c>
    </row>
    <row r="133" spans="1:24">
      <c r="A133" s="23" t="s">
        <v>154</v>
      </c>
      <c r="B133" s="35" t="s">
        <v>155</v>
      </c>
      <c r="C133" s="97">
        <v>2776</v>
      </c>
      <c r="D133" s="147" t="s">
        <v>564</v>
      </c>
      <c r="E133" s="116"/>
      <c r="F133" s="134"/>
      <c r="G133" s="117"/>
      <c r="H133" s="98" t="s">
        <v>588</v>
      </c>
      <c r="I133" s="136"/>
      <c r="J133" s="134"/>
      <c r="K133" s="120"/>
      <c r="L133" s="122">
        <f t="shared" si="22"/>
        <v>0</v>
      </c>
      <c r="M133" s="116">
        <f t="shared" si="23"/>
        <v>0</v>
      </c>
      <c r="N133" s="123">
        <f t="shared" si="24"/>
        <v>0</v>
      </c>
      <c r="O133" s="5"/>
      <c r="P133" s="5">
        <f t="shared" si="25"/>
        <v>0</v>
      </c>
      <c r="Q133" s="7">
        <f t="shared" si="26"/>
        <v>0</v>
      </c>
      <c r="W133" s="124">
        <f t="shared" si="27"/>
        <v>0</v>
      </c>
      <c r="X133">
        <f t="shared" si="28"/>
        <v>0</v>
      </c>
    </row>
    <row r="134" spans="1:24">
      <c r="A134" s="23" t="s">
        <v>156</v>
      </c>
      <c r="B134" s="35" t="s">
        <v>155</v>
      </c>
      <c r="C134" s="97">
        <v>350</v>
      </c>
      <c r="D134" s="132">
        <v>15331732</v>
      </c>
      <c r="E134" s="116">
        <f>(D134/C134)</f>
        <v>43804.948571428569</v>
      </c>
      <c r="F134" s="134">
        <v>9327512</v>
      </c>
      <c r="G134" s="117">
        <f>(F134/C134)</f>
        <v>26650.034285714286</v>
      </c>
      <c r="H134" s="7"/>
      <c r="I134" s="151">
        <v>2.3534999999999999</v>
      </c>
      <c r="J134" s="134">
        <v>21952.299491999998</v>
      </c>
      <c r="K134" s="120">
        <f>(J134/C134)</f>
        <v>62.720855691428568</v>
      </c>
      <c r="L134" s="122">
        <f t="shared" ref="L134:L197" si="38">(F134*0.01)</f>
        <v>93275.12</v>
      </c>
      <c r="M134" s="116">
        <f t="shared" ref="M134:M197" si="39">(L134-J134)</f>
        <v>71322.820508000004</v>
      </c>
      <c r="N134" s="123">
        <f t="shared" ref="N134:N197" si="40">(M134/C134)</f>
        <v>203.7794871657143</v>
      </c>
      <c r="O134" s="5"/>
      <c r="P134" s="5">
        <f t="shared" ref="P134:P198" si="41">IF(I134&gt;0,1,0)</f>
        <v>1</v>
      </c>
      <c r="Q134" s="7">
        <f t="shared" ref="Q134:Q198" si="42">IF(I134&gt;0,C134,0)</f>
        <v>350</v>
      </c>
      <c r="W134" s="124">
        <f t="shared" si="27"/>
        <v>21952.299492000002</v>
      </c>
      <c r="X134">
        <f t="shared" si="28"/>
        <v>0</v>
      </c>
    </row>
    <row r="135" spans="1:24">
      <c r="A135" s="23" t="s">
        <v>157</v>
      </c>
      <c r="B135" s="35" t="s">
        <v>155</v>
      </c>
      <c r="C135" s="97">
        <v>218</v>
      </c>
      <c r="D135" s="132">
        <v>5362827</v>
      </c>
      <c r="E135" s="116">
        <f>(D135/C135)</f>
        <v>24600.123853211007</v>
      </c>
      <c r="F135" s="134">
        <v>2738610</v>
      </c>
      <c r="G135" s="117">
        <f>(F135/C135)</f>
        <v>12562.43119266055</v>
      </c>
      <c r="H135" s="9"/>
      <c r="I135" s="136">
        <v>0.95130000000000003</v>
      </c>
      <c r="J135" s="134">
        <v>2605.239693</v>
      </c>
      <c r="K135" s="120">
        <f>(J135/C135)</f>
        <v>11.950640793577982</v>
      </c>
      <c r="L135" s="122">
        <f t="shared" si="38"/>
        <v>27386.100000000002</v>
      </c>
      <c r="M135" s="116">
        <f t="shared" si="39"/>
        <v>24780.860307000003</v>
      </c>
      <c r="N135" s="123">
        <f t="shared" si="40"/>
        <v>113.67367113302754</v>
      </c>
      <c r="O135" s="5"/>
      <c r="P135" s="5">
        <f t="shared" si="41"/>
        <v>1</v>
      </c>
      <c r="Q135" s="7">
        <f t="shared" si="42"/>
        <v>218</v>
      </c>
      <c r="W135" s="124">
        <f t="shared" ref="W135:W198" si="43">F135*(I135/1000)</f>
        <v>2605.2396930000004</v>
      </c>
      <c r="X135">
        <f t="shared" ref="X135:X198" si="44">IF(W135=J135,0,1)</f>
        <v>0</v>
      </c>
    </row>
    <row r="136" spans="1:24">
      <c r="A136" s="23" t="s">
        <v>158</v>
      </c>
      <c r="B136" s="35" t="s">
        <v>155</v>
      </c>
      <c r="C136" s="97">
        <v>501</v>
      </c>
      <c r="D136" s="147">
        <v>34160406</v>
      </c>
      <c r="E136" s="116">
        <f>(D136/C136)</f>
        <v>68184.44311377246</v>
      </c>
      <c r="F136" s="134">
        <v>20115281</v>
      </c>
      <c r="G136" s="117">
        <f>(F136/C136)</f>
        <v>40150.261477045911</v>
      </c>
      <c r="H136" s="98"/>
      <c r="I136" s="136">
        <v>1.5</v>
      </c>
      <c r="J136" s="134">
        <v>30172.9215</v>
      </c>
      <c r="K136" s="120">
        <f>(J136/C136)</f>
        <v>60.22539221556886</v>
      </c>
      <c r="L136" s="122">
        <f t="shared" si="38"/>
        <v>201152.81</v>
      </c>
      <c r="M136" s="116">
        <f t="shared" si="39"/>
        <v>170979.8885</v>
      </c>
      <c r="N136" s="123">
        <f t="shared" si="40"/>
        <v>341.27722255489022</v>
      </c>
      <c r="O136" s="5"/>
      <c r="P136" s="5">
        <f t="shared" si="41"/>
        <v>1</v>
      </c>
      <c r="Q136" s="7">
        <f t="shared" si="42"/>
        <v>501</v>
      </c>
      <c r="W136" s="124">
        <f t="shared" si="43"/>
        <v>30172.9215</v>
      </c>
      <c r="X136">
        <f t="shared" si="44"/>
        <v>0</v>
      </c>
    </row>
    <row r="137" spans="1:24">
      <c r="A137" s="23" t="s">
        <v>159</v>
      </c>
      <c r="B137" s="35" t="s">
        <v>155</v>
      </c>
      <c r="C137" s="97">
        <v>293</v>
      </c>
      <c r="D137" s="147" t="s">
        <v>564</v>
      </c>
      <c r="E137" s="116"/>
      <c r="F137" s="134"/>
      <c r="G137" s="117"/>
      <c r="H137" s="98" t="s">
        <v>588</v>
      </c>
      <c r="I137" s="136"/>
      <c r="J137" s="134"/>
      <c r="K137" s="120"/>
      <c r="L137" s="122">
        <f t="shared" si="38"/>
        <v>0</v>
      </c>
      <c r="M137" s="116">
        <f t="shared" si="39"/>
        <v>0</v>
      </c>
      <c r="N137" s="123">
        <f t="shared" si="40"/>
        <v>0</v>
      </c>
      <c r="O137" s="5"/>
      <c r="P137" s="5">
        <f t="shared" si="41"/>
        <v>0</v>
      </c>
      <c r="Q137" s="7">
        <f t="shared" si="42"/>
        <v>0</v>
      </c>
      <c r="S137" s="184">
        <f>SUM(D133:D137)</f>
        <v>54854965</v>
      </c>
      <c r="T137" s="184">
        <f>SUM(F133:F137)</f>
        <v>32181403</v>
      </c>
      <c r="U137" s="184">
        <f>SUM(J133:J137)</f>
        <v>54730.460684999998</v>
      </c>
      <c r="W137" s="124">
        <f t="shared" si="43"/>
        <v>0</v>
      </c>
      <c r="X137">
        <f t="shared" si="44"/>
        <v>0</v>
      </c>
    </row>
    <row r="138" spans="1:24">
      <c r="A138" s="23" t="s">
        <v>160</v>
      </c>
      <c r="B138" s="35" t="s">
        <v>161</v>
      </c>
      <c r="C138" s="97">
        <v>4933</v>
      </c>
      <c r="D138" s="132">
        <v>573905562</v>
      </c>
      <c r="E138" s="116">
        <f t="shared" ref="E138:E143" si="45">(D138/C138)</f>
        <v>116340.06932900872</v>
      </c>
      <c r="F138" s="134">
        <v>151098836</v>
      </c>
      <c r="G138" s="117">
        <f t="shared" ref="G138:G143" si="46">(F138/C138)</f>
        <v>30630.212041354145</v>
      </c>
      <c r="H138" s="7"/>
      <c r="I138" s="150">
        <v>5.15</v>
      </c>
      <c r="J138" s="134">
        <v>778159.00540000014</v>
      </c>
      <c r="K138" s="120">
        <f t="shared" ref="K138:K143" si="47">(J138/C138)</f>
        <v>157.74559201297387</v>
      </c>
      <c r="L138" s="122">
        <f t="shared" si="38"/>
        <v>1510988.36</v>
      </c>
      <c r="M138" s="116">
        <f t="shared" si="39"/>
        <v>732829.35459999996</v>
      </c>
      <c r="N138" s="123">
        <f t="shared" si="40"/>
        <v>148.5565284005676</v>
      </c>
      <c r="O138" s="5"/>
      <c r="P138" s="5">
        <f t="shared" si="41"/>
        <v>1</v>
      </c>
      <c r="Q138" s="7">
        <f t="shared" si="42"/>
        <v>4933</v>
      </c>
      <c r="W138" s="124">
        <f t="shared" si="43"/>
        <v>778159.00540000002</v>
      </c>
      <c r="X138">
        <f t="shared" si="44"/>
        <v>0</v>
      </c>
    </row>
    <row r="139" spans="1:24">
      <c r="A139" s="23" t="s">
        <v>162</v>
      </c>
      <c r="B139" s="35" t="s">
        <v>161</v>
      </c>
      <c r="C139" s="97">
        <v>4512</v>
      </c>
      <c r="D139" s="132">
        <v>7576230108</v>
      </c>
      <c r="E139" s="116">
        <f t="shared" si="45"/>
        <v>1679129.0132978724</v>
      </c>
      <c r="F139" s="134">
        <v>4654031441</v>
      </c>
      <c r="G139" s="117">
        <f t="shared" si="46"/>
        <v>1031478.5995124114</v>
      </c>
      <c r="H139" s="7"/>
      <c r="I139" s="136">
        <v>1.3349</v>
      </c>
      <c r="J139" s="134">
        <v>6212666.5705908993</v>
      </c>
      <c r="K139" s="120">
        <f t="shared" si="47"/>
        <v>1376.9207824891178</v>
      </c>
      <c r="L139" s="122">
        <f t="shared" si="38"/>
        <v>46540314.410000004</v>
      </c>
      <c r="M139" s="116">
        <f t="shared" si="39"/>
        <v>40327647.839409105</v>
      </c>
      <c r="N139" s="123">
        <f t="shared" si="40"/>
        <v>8937.8652126349971</v>
      </c>
      <c r="O139" s="5"/>
      <c r="P139" s="5">
        <f t="shared" si="41"/>
        <v>1</v>
      </c>
      <c r="Q139" s="7">
        <f t="shared" si="42"/>
        <v>4512</v>
      </c>
      <c r="W139" s="124">
        <f t="shared" si="43"/>
        <v>6212666.5705909003</v>
      </c>
      <c r="X139">
        <f t="shared" si="44"/>
        <v>0</v>
      </c>
    </row>
    <row r="140" spans="1:24">
      <c r="A140" s="23" t="s">
        <v>163</v>
      </c>
      <c r="B140" s="35" t="s">
        <v>161</v>
      </c>
      <c r="C140" s="97">
        <v>531</v>
      </c>
      <c r="D140" s="132">
        <v>772681473</v>
      </c>
      <c r="E140" s="116">
        <f t="shared" si="45"/>
        <v>1455144.0169491526</v>
      </c>
      <c r="F140" s="134">
        <v>558524208</v>
      </c>
      <c r="G140" s="117">
        <f t="shared" si="46"/>
        <v>1051834.6666666667</v>
      </c>
      <c r="H140" s="7"/>
      <c r="I140" s="136">
        <v>1</v>
      </c>
      <c r="J140" s="134">
        <v>558524.20799999998</v>
      </c>
      <c r="K140" s="120">
        <f t="shared" si="47"/>
        <v>1051.8346666666666</v>
      </c>
      <c r="L140" s="122">
        <f t="shared" si="38"/>
        <v>5585242.0800000001</v>
      </c>
      <c r="M140" s="116">
        <f t="shared" si="39"/>
        <v>5026717.8720000004</v>
      </c>
      <c r="N140" s="123">
        <f t="shared" si="40"/>
        <v>9466.5120000000006</v>
      </c>
      <c r="O140" s="5"/>
      <c r="P140" s="5">
        <f t="shared" si="41"/>
        <v>1</v>
      </c>
      <c r="Q140" s="7">
        <f t="shared" si="42"/>
        <v>531</v>
      </c>
      <c r="W140" s="124">
        <f t="shared" si="43"/>
        <v>558524.20799999998</v>
      </c>
      <c r="X140">
        <f t="shared" si="44"/>
        <v>0</v>
      </c>
    </row>
    <row r="141" spans="1:24">
      <c r="A141" s="23" t="s">
        <v>164</v>
      </c>
      <c r="B141" s="35" t="s">
        <v>161</v>
      </c>
      <c r="C141" s="97">
        <v>26405</v>
      </c>
      <c r="D141" s="132">
        <v>4117095183</v>
      </c>
      <c r="E141" s="116">
        <f t="shared" si="45"/>
        <v>155921.04461276272</v>
      </c>
      <c r="F141" s="134">
        <v>2083000350</v>
      </c>
      <c r="G141" s="117">
        <f t="shared" si="46"/>
        <v>78886.587767468285</v>
      </c>
      <c r="H141" s="7"/>
      <c r="I141" s="136">
        <v>3.1955</v>
      </c>
      <c r="J141" s="134">
        <v>6656227.6184250005</v>
      </c>
      <c r="K141" s="120">
        <f t="shared" si="47"/>
        <v>252.08209121094492</v>
      </c>
      <c r="L141" s="122">
        <f t="shared" si="38"/>
        <v>20830003.5</v>
      </c>
      <c r="M141" s="116">
        <f t="shared" si="39"/>
        <v>14173775.881575</v>
      </c>
      <c r="N141" s="123">
        <f t="shared" si="40"/>
        <v>536.7837864637379</v>
      </c>
      <c r="O141" s="5"/>
      <c r="P141" s="5">
        <f t="shared" si="41"/>
        <v>1</v>
      </c>
      <c r="Q141" s="7">
        <f t="shared" si="42"/>
        <v>26405</v>
      </c>
      <c r="W141" s="124">
        <f t="shared" si="43"/>
        <v>6656227.6184249995</v>
      </c>
      <c r="X141">
        <f t="shared" si="44"/>
        <v>0</v>
      </c>
    </row>
    <row r="142" spans="1:24">
      <c r="A142" s="23" t="s">
        <v>165</v>
      </c>
      <c r="B142" s="35" t="s">
        <v>161</v>
      </c>
      <c r="C142" s="97">
        <v>16693</v>
      </c>
      <c r="D142" s="132">
        <v>6767449749</v>
      </c>
      <c r="E142" s="116">
        <f t="shared" si="45"/>
        <v>405406.44276043848</v>
      </c>
      <c r="F142" s="134">
        <v>4223361570</v>
      </c>
      <c r="G142" s="117">
        <f t="shared" si="46"/>
        <v>253001.95111723477</v>
      </c>
      <c r="H142" s="7"/>
      <c r="I142" s="136">
        <v>2.7679999999999998</v>
      </c>
      <c r="J142" s="134">
        <v>11690264.825759998</v>
      </c>
      <c r="K142" s="120">
        <f t="shared" si="47"/>
        <v>700.30940069250573</v>
      </c>
      <c r="L142" s="122">
        <f t="shared" si="38"/>
        <v>42233615.700000003</v>
      </c>
      <c r="M142" s="116">
        <f t="shared" si="39"/>
        <v>30543350.874240004</v>
      </c>
      <c r="N142" s="123">
        <f t="shared" si="40"/>
        <v>1829.7101104798421</v>
      </c>
      <c r="O142" s="5"/>
      <c r="P142" s="5">
        <f t="shared" si="41"/>
        <v>1</v>
      </c>
      <c r="Q142" s="7">
        <f t="shared" si="42"/>
        <v>16693</v>
      </c>
      <c r="S142" s="124">
        <f>SUM(D138:D142)</f>
        <v>19807362075</v>
      </c>
      <c r="T142" s="124">
        <f>SUM(F138:F142)</f>
        <v>11670016405</v>
      </c>
      <c r="U142" s="124">
        <f>SUM(J138:J142)</f>
        <v>25895842.228175897</v>
      </c>
      <c r="W142" s="124">
        <f t="shared" si="43"/>
        <v>11690264.825759998</v>
      </c>
      <c r="X142">
        <f t="shared" si="44"/>
        <v>0</v>
      </c>
    </row>
    <row r="143" spans="1:24">
      <c r="A143" s="23" t="s">
        <v>166</v>
      </c>
      <c r="B143" s="35" t="s">
        <v>167</v>
      </c>
      <c r="C143" s="97">
        <v>488</v>
      </c>
      <c r="D143" s="132">
        <v>26175058</v>
      </c>
      <c r="E143" s="116">
        <f t="shared" si="45"/>
        <v>53637.413934426229</v>
      </c>
      <c r="F143" s="134">
        <v>13846816</v>
      </c>
      <c r="G143" s="117">
        <f t="shared" si="46"/>
        <v>28374.622950819674</v>
      </c>
      <c r="H143" s="9"/>
      <c r="I143" s="136">
        <v>1.5184</v>
      </c>
      <c r="J143" s="134">
        <v>21025.005414399999</v>
      </c>
      <c r="K143" s="120">
        <f t="shared" si="47"/>
        <v>43.08402748852459</v>
      </c>
      <c r="L143" s="122">
        <f t="shared" si="38"/>
        <v>138468.16</v>
      </c>
      <c r="M143" s="116">
        <f t="shared" si="39"/>
        <v>117443.1545856</v>
      </c>
      <c r="N143" s="123">
        <f t="shared" si="40"/>
        <v>240.66220201967212</v>
      </c>
      <c r="O143" s="5"/>
      <c r="P143" s="5">
        <f t="shared" si="41"/>
        <v>1</v>
      </c>
      <c r="Q143" s="7">
        <f t="shared" si="42"/>
        <v>488</v>
      </c>
      <c r="W143" s="124">
        <f t="shared" si="43"/>
        <v>21025.005414400002</v>
      </c>
      <c r="X143">
        <f t="shared" si="44"/>
        <v>0</v>
      </c>
    </row>
    <row r="144" spans="1:24">
      <c r="A144" s="23" t="s">
        <v>168</v>
      </c>
      <c r="B144" s="35" t="s">
        <v>167</v>
      </c>
      <c r="C144" s="97">
        <v>85</v>
      </c>
      <c r="D144" s="147" t="s">
        <v>564</v>
      </c>
      <c r="E144" s="116"/>
      <c r="F144" s="134"/>
      <c r="G144" s="117"/>
      <c r="H144" s="98" t="s">
        <v>588</v>
      </c>
      <c r="I144" s="136"/>
      <c r="J144" s="134"/>
      <c r="K144" s="120"/>
      <c r="L144" s="122">
        <f t="shared" si="38"/>
        <v>0</v>
      </c>
      <c r="M144" s="116">
        <f t="shared" si="39"/>
        <v>0</v>
      </c>
      <c r="N144" s="123">
        <f t="shared" si="40"/>
        <v>0</v>
      </c>
      <c r="O144" s="5"/>
      <c r="P144" s="5">
        <f t="shared" si="41"/>
        <v>0</v>
      </c>
      <c r="Q144" s="7">
        <f t="shared" si="42"/>
        <v>0</v>
      </c>
      <c r="W144" s="124">
        <f t="shared" si="43"/>
        <v>0</v>
      </c>
      <c r="X144">
        <f t="shared" si="44"/>
        <v>0</v>
      </c>
    </row>
    <row r="145" spans="1:24">
      <c r="A145" s="23" t="s">
        <v>169</v>
      </c>
      <c r="B145" s="35" t="s">
        <v>167</v>
      </c>
      <c r="C145" s="97">
        <v>191</v>
      </c>
      <c r="D145" s="132">
        <v>19680991</v>
      </c>
      <c r="E145" s="116">
        <f>(D145/C145)</f>
        <v>103041.83769633507</v>
      </c>
      <c r="F145" s="134">
        <v>11698214</v>
      </c>
      <c r="G145" s="117">
        <f>(F145/C145)</f>
        <v>61247.193717277485</v>
      </c>
      <c r="H145" s="7"/>
      <c r="I145" s="151">
        <v>2.9399000000000002</v>
      </c>
      <c r="J145" s="134">
        <v>34391.5793386</v>
      </c>
      <c r="K145" s="120">
        <f>(J145/C145)</f>
        <v>180.0606248094241</v>
      </c>
      <c r="L145" s="122">
        <f t="shared" si="38"/>
        <v>116982.14</v>
      </c>
      <c r="M145" s="116">
        <f t="shared" si="39"/>
        <v>82590.560661399999</v>
      </c>
      <c r="N145" s="123">
        <f t="shared" si="40"/>
        <v>432.41131236335076</v>
      </c>
      <c r="O145" s="5"/>
      <c r="P145" s="5">
        <f t="shared" si="41"/>
        <v>1</v>
      </c>
      <c r="Q145" s="7">
        <f t="shared" si="42"/>
        <v>191</v>
      </c>
      <c r="W145" s="124">
        <f t="shared" si="43"/>
        <v>34391.5793386</v>
      </c>
      <c r="X145">
        <f t="shared" si="44"/>
        <v>0</v>
      </c>
    </row>
    <row r="146" spans="1:24">
      <c r="A146" s="23" t="s">
        <v>170</v>
      </c>
      <c r="B146" s="35" t="s">
        <v>167</v>
      </c>
      <c r="C146" s="97">
        <v>846</v>
      </c>
      <c r="D146" s="132">
        <v>44140327</v>
      </c>
      <c r="E146" s="116">
        <f>(D146/C146)</f>
        <v>52175.327423167852</v>
      </c>
      <c r="F146" s="134">
        <v>21412793</v>
      </c>
      <c r="G146" s="117">
        <f>(F146/C146)</f>
        <v>25310.630023640661</v>
      </c>
      <c r="H146" s="7"/>
      <c r="I146" s="136">
        <v>4.5</v>
      </c>
      <c r="J146" s="134">
        <v>96357.568499999994</v>
      </c>
      <c r="K146" s="120">
        <f>(J146/C146)</f>
        <v>113.89783510638297</v>
      </c>
      <c r="L146" s="122">
        <f t="shared" si="38"/>
        <v>214127.93</v>
      </c>
      <c r="M146" s="116">
        <f t="shared" si="39"/>
        <v>117770.3615</v>
      </c>
      <c r="N146" s="123">
        <f t="shared" si="40"/>
        <v>139.20846513002363</v>
      </c>
      <c r="O146" s="5"/>
      <c r="P146" s="5">
        <f t="shared" si="41"/>
        <v>1</v>
      </c>
      <c r="Q146" s="7">
        <f t="shared" si="42"/>
        <v>846</v>
      </c>
      <c r="W146" s="124">
        <f t="shared" si="43"/>
        <v>96357.568499999994</v>
      </c>
      <c r="X146">
        <f t="shared" si="44"/>
        <v>0</v>
      </c>
    </row>
    <row r="147" spans="1:24">
      <c r="A147" s="23" t="s">
        <v>171</v>
      </c>
      <c r="B147" s="35" t="s">
        <v>167</v>
      </c>
      <c r="C147" s="97">
        <v>2117</v>
      </c>
      <c r="D147" s="132">
        <v>174833942</v>
      </c>
      <c r="E147" s="116">
        <f>(D147/C147)</f>
        <v>82585.707132734999</v>
      </c>
      <c r="F147" s="134">
        <v>109142285</v>
      </c>
      <c r="G147" s="117">
        <f>(F147/C147)</f>
        <v>51555.165328294759</v>
      </c>
      <c r="H147" s="9"/>
      <c r="I147" s="136">
        <v>4</v>
      </c>
      <c r="J147" s="134">
        <v>436569.14</v>
      </c>
      <c r="K147" s="120">
        <f>(J147/C147)</f>
        <v>206.22066131317902</v>
      </c>
      <c r="L147" s="122">
        <f t="shared" si="38"/>
        <v>1091422.8500000001</v>
      </c>
      <c r="M147" s="116">
        <f t="shared" si="39"/>
        <v>654853.71000000008</v>
      </c>
      <c r="N147" s="123">
        <f t="shared" si="40"/>
        <v>309.3309919697686</v>
      </c>
      <c r="O147" s="5"/>
      <c r="P147" s="5">
        <f t="shared" si="41"/>
        <v>1</v>
      </c>
      <c r="Q147" s="7">
        <f t="shared" si="42"/>
        <v>2117</v>
      </c>
      <c r="W147" s="124">
        <f t="shared" si="43"/>
        <v>436569.14</v>
      </c>
      <c r="X147">
        <f t="shared" si="44"/>
        <v>0</v>
      </c>
    </row>
    <row r="148" spans="1:24">
      <c r="A148" s="23" t="s">
        <v>172</v>
      </c>
      <c r="B148" s="35" t="s">
        <v>167</v>
      </c>
      <c r="C148" s="97">
        <v>920</v>
      </c>
      <c r="D148" s="147" t="s">
        <v>564</v>
      </c>
      <c r="E148" s="116"/>
      <c r="F148" s="134"/>
      <c r="G148" s="117"/>
      <c r="H148" s="98" t="s">
        <v>588</v>
      </c>
      <c r="I148" s="136"/>
      <c r="J148" s="134"/>
      <c r="K148" s="120"/>
      <c r="L148" s="122">
        <f t="shared" si="38"/>
        <v>0</v>
      </c>
      <c r="M148" s="116">
        <f t="shared" si="39"/>
        <v>0</v>
      </c>
      <c r="N148" s="123">
        <f t="shared" si="40"/>
        <v>0</v>
      </c>
      <c r="O148" s="5"/>
      <c r="P148" s="5">
        <f t="shared" si="41"/>
        <v>0</v>
      </c>
      <c r="Q148" s="7">
        <f t="shared" si="42"/>
        <v>0</v>
      </c>
      <c r="W148" s="124">
        <f t="shared" si="43"/>
        <v>0</v>
      </c>
      <c r="X148">
        <f t="shared" si="44"/>
        <v>0</v>
      </c>
    </row>
    <row r="149" spans="1:24">
      <c r="A149" s="23" t="s">
        <v>173</v>
      </c>
      <c r="B149" s="35" t="s">
        <v>167</v>
      </c>
      <c r="C149" s="97">
        <v>531</v>
      </c>
      <c r="D149" s="132">
        <v>37232389</v>
      </c>
      <c r="E149" s="116">
        <f t="shared" ref="E149:E197" si="48">(D149/C149)</f>
        <v>70117.493408662907</v>
      </c>
      <c r="F149" s="134">
        <v>17172867</v>
      </c>
      <c r="G149" s="117">
        <f t="shared" ref="G149:G197" si="49">(F149/C149)</f>
        <v>32340.615819209041</v>
      </c>
      <c r="H149" s="7"/>
      <c r="I149" s="150">
        <v>1</v>
      </c>
      <c r="J149" s="134">
        <v>17172.866999999998</v>
      </c>
      <c r="K149" s="120">
        <f t="shared" ref="K149:K197" si="50">(J149/C149)</f>
        <v>32.340615819209034</v>
      </c>
      <c r="L149" s="122">
        <f t="shared" si="38"/>
        <v>171728.67</v>
      </c>
      <c r="M149" s="116">
        <f t="shared" si="39"/>
        <v>154555.80300000001</v>
      </c>
      <c r="N149" s="123">
        <f t="shared" si="40"/>
        <v>291.0655423728814</v>
      </c>
      <c r="O149" s="5"/>
      <c r="P149" s="5">
        <f t="shared" si="41"/>
        <v>1</v>
      </c>
      <c r="Q149" s="7">
        <f t="shared" si="42"/>
        <v>531</v>
      </c>
      <c r="W149" s="124">
        <f t="shared" si="43"/>
        <v>17172.867000000002</v>
      </c>
      <c r="X149">
        <f t="shared" si="44"/>
        <v>0</v>
      </c>
    </row>
    <row r="150" spans="1:24">
      <c r="A150" s="23" t="s">
        <v>508</v>
      </c>
      <c r="B150" s="35" t="s">
        <v>167</v>
      </c>
      <c r="C150" s="97">
        <v>235</v>
      </c>
      <c r="D150" s="132">
        <v>11781917</v>
      </c>
      <c r="E150" s="116">
        <f t="shared" si="48"/>
        <v>50135.817021276598</v>
      </c>
      <c r="F150" s="134">
        <v>5504921</v>
      </c>
      <c r="G150" s="117">
        <f t="shared" si="49"/>
        <v>23425.195744680852</v>
      </c>
      <c r="H150" s="9"/>
      <c r="I150" s="136">
        <v>3.9878999999999998</v>
      </c>
      <c r="J150" s="134">
        <v>21953.074455899998</v>
      </c>
      <c r="K150" s="120">
        <f t="shared" si="50"/>
        <v>93.417338110212754</v>
      </c>
      <c r="L150" s="122">
        <f t="shared" si="38"/>
        <v>55049.21</v>
      </c>
      <c r="M150" s="116">
        <f t="shared" si="39"/>
        <v>33096.135544100005</v>
      </c>
      <c r="N150" s="123">
        <f t="shared" si="40"/>
        <v>140.83461933659578</v>
      </c>
      <c r="O150" s="5"/>
      <c r="P150" s="5">
        <f t="shared" si="41"/>
        <v>1</v>
      </c>
      <c r="Q150" s="7">
        <f t="shared" si="42"/>
        <v>235</v>
      </c>
      <c r="W150" s="124">
        <f t="shared" si="43"/>
        <v>21953.074455900001</v>
      </c>
      <c r="X150">
        <f t="shared" si="44"/>
        <v>0</v>
      </c>
    </row>
    <row r="151" spans="1:24">
      <c r="A151" s="23" t="s">
        <v>175</v>
      </c>
      <c r="B151" s="35" t="s">
        <v>167</v>
      </c>
      <c r="C151" s="97">
        <v>1535</v>
      </c>
      <c r="D151" s="147">
        <v>59064822</v>
      </c>
      <c r="E151" s="116">
        <f t="shared" si="48"/>
        <v>38478.711400651468</v>
      </c>
      <c r="F151" s="134">
        <v>19741927</v>
      </c>
      <c r="G151" s="117">
        <f t="shared" si="49"/>
        <v>12861.190228013029</v>
      </c>
      <c r="H151" s="98"/>
      <c r="I151" s="136">
        <v>1</v>
      </c>
      <c r="J151" s="134">
        <v>19741.927</v>
      </c>
      <c r="K151" s="120">
        <f t="shared" si="50"/>
        <v>12.861190228013029</v>
      </c>
      <c r="L151" s="122">
        <f t="shared" si="38"/>
        <v>197419.27000000002</v>
      </c>
      <c r="M151" s="116">
        <f t="shared" si="39"/>
        <v>177677.34300000002</v>
      </c>
      <c r="N151" s="123">
        <f t="shared" si="40"/>
        <v>115.75071205211728</v>
      </c>
      <c r="O151" s="5"/>
      <c r="P151" s="5">
        <f t="shared" si="41"/>
        <v>1</v>
      </c>
      <c r="Q151" s="7">
        <f t="shared" si="42"/>
        <v>1535</v>
      </c>
      <c r="W151" s="124">
        <f t="shared" si="43"/>
        <v>19741.927</v>
      </c>
      <c r="X151">
        <f t="shared" si="44"/>
        <v>0</v>
      </c>
    </row>
    <row r="152" spans="1:24">
      <c r="A152" s="23" t="s">
        <v>176</v>
      </c>
      <c r="B152" s="35" t="s">
        <v>167</v>
      </c>
      <c r="C152" s="97">
        <v>7191</v>
      </c>
      <c r="D152" s="132">
        <v>576098123</v>
      </c>
      <c r="E152" s="116">
        <f t="shared" si="48"/>
        <v>80113.770407453761</v>
      </c>
      <c r="F152" s="134">
        <v>297982615</v>
      </c>
      <c r="G152" s="117">
        <f t="shared" si="49"/>
        <v>41438.272145737727</v>
      </c>
      <c r="H152" s="7"/>
      <c r="I152" s="150">
        <v>2.9984999999999999</v>
      </c>
      <c r="J152" s="134">
        <v>893500.87107749993</v>
      </c>
      <c r="K152" s="120">
        <f t="shared" si="50"/>
        <v>124.25265902899457</v>
      </c>
      <c r="L152" s="122">
        <f t="shared" si="38"/>
        <v>2979826.15</v>
      </c>
      <c r="M152" s="116">
        <f t="shared" si="39"/>
        <v>2086325.2789225001</v>
      </c>
      <c r="N152" s="123">
        <f t="shared" si="40"/>
        <v>290.1300624283827</v>
      </c>
      <c r="O152" s="5"/>
      <c r="P152" s="5">
        <f t="shared" si="41"/>
        <v>1</v>
      </c>
      <c r="Q152" s="7">
        <f t="shared" si="42"/>
        <v>7191</v>
      </c>
      <c r="W152" s="124">
        <f t="shared" si="43"/>
        <v>893500.87107749993</v>
      </c>
      <c r="X152">
        <f t="shared" si="44"/>
        <v>0</v>
      </c>
    </row>
    <row r="153" spans="1:24">
      <c r="A153" s="23" t="s">
        <v>177</v>
      </c>
      <c r="B153" s="35" t="s">
        <v>167</v>
      </c>
      <c r="C153" s="97">
        <v>1687</v>
      </c>
      <c r="D153" s="132">
        <v>90090481</v>
      </c>
      <c r="E153" s="116">
        <f t="shared" si="48"/>
        <v>53402.774748073505</v>
      </c>
      <c r="F153" s="134">
        <v>43547929</v>
      </c>
      <c r="G153" s="117">
        <f t="shared" si="49"/>
        <v>25813.828689982216</v>
      </c>
      <c r="H153" s="7"/>
      <c r="I153" s="136">
        <v>3.5882999999999998</v>
      </c>
      <c r="J153" s="134">
        <v>156263.0336307</v>
      </c>
      <c r="K153" s="120">
        <f t="shared" si="50"/>
        <v>92.627761488263189</v>
      </c>
      <c r="L153" s="122">
        <f t="shared" si="38"/>
        <v>435479.29000000004</v>
      </c>
      <c r="M153" s="116">
        <f t="shared" si="39"/>
        <v>279216.25636930007</v>
      </c>
      <c r="N153" s="123">
        <f t="shared" si="40"/>
        <v>165.51052541155903</v>
      </c>
      <c r="O153" s="5"/>
      <c r="P153" s="5">
        <f t="shared" si="41"/>
        <v>1</v>
      </c>
      <c r="Q153" s="7">
        <f t="shared" si="42"/>
        <v>1687</v>
      </c>
      <c r="S153" s="124">
        <f>SUM(D143:D153)</f>
        <v>1039098050</v>
      </c>
      <c r="T153" s="124">
        <f>SUM(F143:F153)</f>
        <v>540050367</v>
      </c>
      <c r="U153" s="124">
        <f>SUM(J143:J153)</f>
        <v>1696975.0664171001</v>
      </c>
      <c r="W153" s="124">
        <f t="shared" si="43"/>
        <v>156263.0336307</v>
      </c>
      <c r="X153">
        <f t="shared" si="44"/>
        <v>0</v>
      </c>
    </row>
    <row r="154" spans="1:24">
      <c r="A154" s="23" t="s">
        <v>178</v>
      </c>
      <c r="B154" s="35" t="s">
        <v>179</v>
      </c>
      <c r="C154" s="97">
        <v>2694</v>
      </c>
      <c r="D154" s="132">
        <v>245612839</v>
      </c>
      <c r="E154" s="116">
        <f t="shared" si="48"/>
        <v>91170.31885671863</v>
      </c>
      <c r="F154" s="134">
        <v>138553134</v>
      </c>
      <c r="G154" s="117">
        <f t="shared" si="49"/>
        <v>51430.265033407573</v>
      </c>
      <c r="H154" s="7"/>
      <c r="I154" s="136">
        <v>6.2828999999999997</v>
      </c>
      <c r="J154" s="134">
        <v>870515.48560859985</v>
      </c>
      <c r="K154" s="120">
        <f t="shared" si="50"/>
        <v>323.13121217839637</v>
      </c>
      <c r="L154" s="122">
        <f t="shared" si="38"/>
        <v>1385531.34</v>
      </c>
      <c r="M154" s="116">
        <f t="shared" si="39"/>
        <v>515015.85439140024</v>
      </c>
      <c r="N154" s="123">
        <f t="shared" si="40"/>
        <v>191.17143815567937</v>
      </c>
      <c r="O154" s="5"/>
      <c r="P154" s="5">
        <f t="shared" si="41"/>
        <v>1</v>
      </c>
      <c r="Q154" s="7">
        <f t="shared" si="42"/>
        <v>2694</v>
      </c>
      <c r="S154" s="124">
        <f>SUM(D154)</f>
        <v>245612839</v>
      </c>
      <c r="T154" s="124">
        <f>SUM(F154)</f>
        <v>138553134</v>
      </c>
      <c r="U154" s="124">
        <f>SUM(J154)</f>
        <v>870515.48560859985</v>
      </c>
      <c r="W154" s="124">
        <f t="shared" si="43"/>
        <v>870515.48560859996</v>
      </c>
      <c r="X154">
        <f t="shared" si="44"/>
        <v>0</v>
      </c>
    </row>
    <row r="155" spans="1:24">
      <c r="A155" s="23" t="s">
        <v>180</v>
      </c>
      <c r="B155" s="35" t="s">
        <v>181</v>
      </c>
      <c r="C155" s="97">
        <v>1093</v>
      </c>
      <c r="D155" s="132">
        <v>55118952</v>
      </c>
      <c r="E155" s="116">
        <f t="shared" si="48"/>
        <v>50429.050320219576</v>
      </c>
      <c r="F155" s="134">
        <v>28389635</v>
      </c>
      <c r="G155" s="117">
        <f t="shared" si="49"/>
        <v>25974.048490393412</v>
      </c>
      <c r="H155" s="7"/>
      <c r="I155" s="136">
        <v>7</v>
      </c>
      <c r="J155" s="134">
        <v>198727.44500000001</v>
      </c>
      <c r="K155" s="120">
        <f t="shared" si="50"/>
        <v>181.8183394327539</v>
      </c>
      <c r="L155" s="122">
        <f t="shared" si="38"/>
        <v>283896.35000000003</v>
      </c>
      <c r="M155" s="116">
        <f t="shared" si="39"/>
        <v>85168.905000000028</v>
      </c>
      <c r="N155" s="123">
        <f t="shared" si="40"/>
        <v>77.922145471180258</v>
      </c>
      <c r="O155" s="5"/>
      <c r="P155" s="5">
        <f t="shared" si="41"/>
        <v>1</v>
      </c>
      <c r="Q155" s="7">
        <f t="shared" si="42"/>
        <v>1093</v>
      </c>
      <c r="S155" s="124">
        <f>SUM(D155)</f>
        <v>55118952</v>
      </c>
      <c r="T155" s="124">
        <f>SUM(F155)</f>
        <v>28389635</v>
      </c>
      <c r="U155" s="124">
        <f>SUM(J155)</f>
        <v>198727.44500000001</v>
      </c>
      <c r="W155" s="124">
        <f t="shared" si="43"/>
        <v>198727.44500000001</v>
      </c>
      <c r="X155">
        <f t="shared" si="44"/>
        <v>0</v>
      </c>
    </row>
    <row r="156" spans="1:24">
      <c r="A156" s="23" t="s">
        <v>182</v>
      </c>
      <c r="B156" s="35" t="s">
        <v>183</v>
      </c>
      <c r="C156" s="97">
        <v>2042</v>
      </c>
      <c r="D156" s="147">
        <v>182845299</v>
      </c>
      <c r="E156" s="116">
        <f t="shared" si="48"/>
        <v>89542.26199804114</v>
      </c>
      <c r="F156" s="134">
        <v>99495074</v>
      </c>
      <c r="G156" s="117">
        <f t="shared" si="49"/>
        <v>48724.326150832516</v>
      </c>
      <c r="H156" s="9"/>
      <c r="I156" s="136">
        <v>7.5</v>
      </c>
      <c r="J156" s="134">
        <v>746213.05500000005</v>
      </c>
      <c r="K156" s="120">
        <f t="shared" si="50"/>
        <v>365.43244613124392</v>
      </c>
      <c r="L156" s="122">
        <f t="shared" si="38"/>
        <v>994950.74</v>
      </c>
      <c r="M156" s="116">
        <f t="shared" si="39"/>
        <v>248737.68499999994</v>
      </c>
      <c r="N156" s="123">
        <f t="shared" si="40"/>
        <v>121.81081537708127</v>
      </c>
      <c r="O156" s="5"/>
      <c r="P156" s="5">
        <f t="shared" si="41"/>
        <v>1</v>
      </c>
      <c r="Q156" s="7">
        <f t="shared" si="42"/>
        <v>2042</v>
      </c>
      <c r="W156" s="124">
        <f t="shared" si="43"/>
        <v>746213.05499999993</v>
      </c>
      <c r="X156">
        <f t="shared" si="44"/>
        <v>0</v>
      </c>
    </row>
    <row r="157" spans="1:24">
      <c r="A157" s="23" t="s">
        <v>184</v>
      </c>
      <c r="B157" s="35" t="s">
        <v>183</v>
      </c>
      <c r="C157" s="97">
        <v>47456</v>
      </c>
      <c r="D157" s="147">
        <v>7576320461</v>
      </c>
      <c r="E157" s="116">
        <f t="shared" si="48"/>
        <v>159649.36912086987</v>
      </c>
      <c r="F157" s="134">
        <v>4878639706</v>
      </c>
      <c r="G157" s="117">
        <f t="shared" si="49"/>
        <v>102803.43277983817</v>
      </c>
      <c r="H157" s="9"/>
      <c r="I157" s="136">
        <v>5.0599999999999996</v>
      </c>
      <c r="J157" s="134">
        <v>24685916.912359998</v>
      </c>
      <c r="K157" s="120">
        <f t="shared" si="50"/>
        <v>520.1853698659811</v>
      </c>
      <c r="L157" s="122">
        <f t="shared" si="38"/>
        <v>48786397.060000002</v>
      </c>
      <c r="M157" s="116">
        <f t="shared" si="39"/>
        <v>24100480.147640005</v>
      </c>
      <c r="N157" s="123">
        <f t="shared" si="40"/>
        <v>507.84895793240065</v>
      </c>
      <c r="O157" s="5"/>
      <c r="P157" s="5">
        <f t="shared" si="41"/>
        <v>1</v>
      </c>
      <c r="Q157" s="7">
        <f t="shared" si="42"/>
        <v>47456</v>
      </c>
      <c r="W157" s="124">
        <f t="shared" si="43"/>
        <v>24685916.912359998</v>
      </c>
      <c r="X157">
        <f t="shared" si="44"/>
        <v>0</v>
      </c>
    </row>
    <row r="158" spans="1:24">
      <c r="A158" s="23" t="s">
        <v>185</v>
      </c>
      <c r="B158" s="35" t="s">
        <v>183</v>
      </c>
      <c r="C158" s="97">
        <v>23918</v>
      </c>
      <c r="D158" s="132">
        <v>2505481214</v>
      </c>
      <c r="E158" s="116">
        <f t="shared" si="48"/>
        <v>104752.95651810351</v>
      </c>
      <c r="F158" s="134">
        <v>1499362895</v>
      </c>
      <c r="G158" s="117">
        <f t="shared" si="49"/>
        <v>62687.636717116817</v>
      </c>
      <c r="H158" s="7"/>
      <c r="I158" s="136">
        <v>7.5810000000000004</v>
      </c>
      <c r="J158" s="134">
        <v>11366670.106995001</v>
      </c>
      <c r="K158" s="120">
        <f t="shared" si="50"/>
        <v>475.23497395246267</v>
      </c>
      <c r="L158" s="122">
        <f t="shared" si="38"/>
        <v>14993628.950000001</v>
      </c>
      <c r="M158" s="116">
        <f t="shared" si="39"/>
        <v>3626958.8430049997</v>
      </c>
      <c r="N158" s="123">
        <f t="shared" si="40"/>
        <v>151.64139321870556</v>
      </c>
      <c r="O158" s="5"/>
      <c r="P158" s="5">
        <f t="shared" si="41"/>
        <v>1</v>
      </c>
      <c r="Q158" s="7">
        <f t="shared" si="42"/>
        <v>23918</v>
      </c>
      <c r="W158" s="124">
        <f t="shared" si="43"/>
        <v>11366670.106995</v>
      </c>
      <c r="X158">
        <f t="shared" si="44"/>
        <v>0</v>
      </c>
    </row>
    <row r="159" spans="1:24">
      <c r="A159" s="23" t="s">
        <v>186</v>
      </c>
      <c r="B159" s="35" t="s">
        <v>183</v>
      </c>
      <c r="C159" s="97">
        <v>8615</v>
      </c>
      <c r="D159" s="132">
        <v>1657180210</v>
      </c>
      <c r="E159" s="116">
        <f t="shared" si="48"/>
        <v>192359.86186883342</v>
      </c>
      <c r="F159" s="134">
        <v>1022643349</v>
      </c>
      <c r="G159" s="117">
        <f t="shared" si="49"/>
        <v>118704.97376668602</v>
      </c>
      <c r="H159" s="7"/>
      <c r="I159" s="136">
        <v>3.9134000000000002</v>
      </c>
      <c r="J159" s="134">
        <v>4002012.4819766004</v>
      </c>
      <c r="K159" s="120">
        <f t="shared" si="50"/>
        <v>464.54004433854908</v>
      </c>
      <c r="L159" s="122">
        <f t="shared" si="38"/>
        <v>10226433.49</v>
      </c>
      <c r="M159" s="116">
        <f t="shared" si="39"/>
        <v>6224421.0080233999</v>
      </c>
      <c r="N159" s="123">
        <f t="shared" si="40"/>
        <v>722.50969332831107</v>
      </c>
      <c r="O159" s="5"/>
      <c r="P159" s="5">
        <f t="shared" si="41"/>
        <v>1</v>
      </c>
      <c r="Q159" s="7">
        <f t="shared" si="42"/>
        <v>8615</v>
      </c>
      <c r="W159" s="124">
        <f t="shared" si="43"/>
        <v>4002012.4819765999</v>
      </c>
      <c r="X159">
        <f t="shared" si="44"/>
        <v>0</v>
      </c>
    </row>
    <row r="160" spans="1:24">
      <c r="A160" s="23" t="s">
        <v>187</v>
      </c>
      <c r="B160" s="35" t="s">
        <v>183</v>
      </c>
      <c r="C160" s="97">
        <v>22760</v>
      </c>
      <c r="D160" s="132">
        <v>3076388930</v>
      </c>
      <c r="E160" s="116">
        <f t="shared" si="48"/>
        <v>135166.47319859403</v>
      </c>
      <c r="F160" s="134">
        <v>1957239783</v>
      </c>
      <c r="G160" s="117">
        <f t="shared" si="49"/>
        <v>85994.718057996492</v>
      </c>
      <c r="H160" s="7"/>
      <c r="I160" s="136">
        <v>5.5</v>
      </c>
      <c r="J160" s="134">
        <v>10764818.806500001</v>
      </c>
      <c r="K160" s="120">
        <f t="shared" si="50"/>
        <v>472.97094931898073</v>
      </c>
      <c r="L160" s="122">
        <f t="shared" si="38"/>
        <v>19572397.830000002</v>
      </c>
      <c r="M160" s="116">
        <f t="shared" si="39"/>
        <v>8807579.0235000011</v>
      </c>
      <c r="N160" s="123">
        <f t="shared" si="40"/>
        <v>386.97623126098421</v>
      </c>
      <c r="O160" s="5"/>
      <c r="P160" s="5">
        <f t="shared" si="41"/>
        <v>1</v>
      </c>
      <c r="Q160" s="7">
        <f t="shared" si="42"/>
        <v>22760</v>
      </c>
      <c r="W160" s="124">
        <f t="shared" si="43"/>
        <v>10764818.806499999</v>
      </c>
      <c r="X160">
        <f t="shared" si="44"/>
        <v>0</v>
      </c>
    </row>
    <row r="161" spans="1:24">
      <c r="A161" s="23" t="s">
        <v>188</v>
      </c>
      <c r="B161" s="35" t="s">
        <v>183</v>
      </c>
      <c r="C161" s="97">
        <v>1790</v>
      </c>
      <c r="D161" s="132">
        <v>300330320</v>
      </c>
      <c r="E161" s="116">
        <f t="shared" si="48"/>
        <v>167782.30167597765</v>
      </c>
      <c r="F161" s="134">
        <v>190170286</v>
      </c>
      <c r="G161" s="117">
        <f t="shared" si="49"/>
        <v>106240.38324022347</v>
      </c>
      <c r="H161" s="7"/>
      <c r="I161" s="136">
        <v>7.5</v>
      </c>
      <c r="J161" s="134">
        <v>1426277.145</v>
      </c>
      <c r="K161" s="120">
        <f t="shared" si="50"/>
        <v>796.80287430167596</v>
      </c>
      <c r="L161" s="122">
        <f t="shared" si="38"/>
        <v>1901702.86</v>
      </c>
      <c r="M161" s="116">
        <f t="shared" si="39"/>
        <v>475425.71500000008</v>
      </c>
      <c r="N161" s="123">
        <f t="shared" si="40"/>
        <v>265.60095810055873</v>
      </c>
      <c r="O161" s="5"/>
      <c r="P161" s="5">
        <f t="shared" si="41"/>
        <v>1</v>
      </c>
      <c r="Q161" s="7">
        <f t="shared" si="42"/>
        <v>1790</v>
      </c>
      <c r="W161" s="124">
        <f t="shared" si="43"/>
        <v>1426277.145</v>
      </c>
      <c r="X161">
        <f t="shared" si="44"/>
        <v>0</v>
      </c>
    </row>
    <row r="162" spans="1:24">
      <c r="A162" s="23" t="s">
        <v>189</v>
      </c>
      <c r="B162" s="35" t="s">
        <v>183</v>
      </c>
      <c r="C162" s="97">
        <v>16224</v>
      </c>
      <c r="D162" s="132">
        <v>2438481173</v>
      </c>
      <c r="E162" s="116">
        <f t="shared" si="48"/>
        <v>150300.86125493096</v>
      </c>
      <c r="F162" s="134">
        <v>1629553763</v>
      </c>
      <c r="G162" s="117">
        <f t="shared" si="49"/>
        <v>100440.93706854043</v>
      </c>
      <c r="H162" s="7"/>
      <c r="I162" s="136">
        <v>3.3961999999999999</v>
      </c>
      <c r="J162" s="134">
        <v>5534290.4899005992</v>
      </c>
      <c r="K162" s="120">
        <f t="shared" si="50"/>
        <v>341.117510472177</v>
      </c>
      <c r="L162" s="122">
        <f t="shared" si="38"/>
        <v>16295537.630000001</v>
      </c>
      <c r="M162" s="116">
        <f t="shared" si="39"/>
        <v>10761247.140099403</v>
      </c>
      <c r="N162" s="123">
        <f t="shared" si="40"/>
        <v>663.29186021322744</v>
      </c>
      <c r="O162" s="5"/>
      <c r="P162" s="5">
        <f t="shared" si="41"/>
        <v>1</v>
      </c>
      <c r="Q162" s="7">
        <f t="shared" si="42"/>
        <v>16224</v>
      </c>
      <c r="W162" s="124">
        <f t="shared" si="43"/>
        <v>5534290.4899006002</v>
      </c>
      <c r="X162">
        <f t="shared" si="44"/>
        <v>0</v>
      </c>
    </row>
    <row r="163" spans="1:24">
      <c r="A163" s="23" t="s">
        <v>190</v>
      </c>
      <c r="B163" s="35" t="s">
        <v>183</v>
      </c>
      <c r="C163" s="97">
        <v>30378</v>
      </c>
      <c r="D163" s="132">
        <v>3852275553</v>
      </c>
      <c r="E163" s="116">
        <f t="shared" si="48"/>
        <v>126811.36193956152</v>
      </c>
      <c r="F163" s="134">
        <v>2525656878</v>
      </c>
      <c r="G163" s="117">
        <f t="shared" si="49"/>
        <v>83140.986174205013</v>
      </c>
      <c r="H163" s="98"/>
      <c r="I163" s="136">
        <v>3.4752000000000001</v>
      </c>
      <c r="J163" s="134">
        <v>8777162.7824255992</v>
      </c>
      <c r="K163" s="120">
        <f t="shared" si="50"/>
        <v>288.93155515259724</v>
      </c>
      <c r="L163" s="122">
        <f t="shared" si="38"/>
        <v>25256568.780000001</v>
      </c>
      <c r="M163" s="116">
        <f t="shared" si="39"/>
        <v>16479405.997574402</v>
      </c>
      <c r="N163" s="123">
        <f t="shared" si="40"/>
        <v>542.47830658945293</v>
      </c>
      <c r="O163" s="5"/>
      <c r="P163" s="5">
        <f t="shared" si="41"/>
        <v>1</v>
      </c>
      <c r="Q163" s="7">
        <f t="shared" si="42"/>
        <v>30378</v>
      </c>
      <c r="W163" s="124">
        <f t="shared" si="43"/>
        <v>8777162.7824255992</v>
      </c>
      <c r="X163">
        <f t="shared" si="44"/>
        <v>0</v>
      </c>
    </row>
    <row r="164" spans="1:24">
      <c r="A164" s="23" t="s">
        <v>191</v>
      </c>
      <c r="B164" s="35" t="s">
        <v>183</v>
      </c>
      <c r="C164" s="97">
        <v>8565</v>
      </c>
      <c r="D164" s="132">
        <v>706693758</v>
      </c>
      <c r="E164" s="116">
        <f t="shared" si="48"/>
        <v>82509.487215411558</v>
      </c>
      <c r="F164" s="134">
        <v>392213004</v>
      </c>
      <c r="G164" s="117">
        <f t="shared" si="49"/>
        <v>45792.528196147112</v>
      </c>
      <c r="H164" s="98"/>
      <c r="I164" s="136">
        <v>5</v>
      </c>
      <c r="J164" s="134">
        <v>1961065.02</v>
      </c>
      <c r="K164" s="120">
        <f t="shared" si="50"/>
        <v>228.96264098073556</v>
      </c>
      <c r="L164" s="122">
        <f t="shared" si="38"/>
        <v>3922130.04</v>
      </c>
      <c r="M164" s="116">
        <f t="shared" si="39"/>
        <v>1961065.02</v>
      </c>
      <c r="N164" s="123">
        <f t="shared" si="40"/>
        <v>228.96264098073556</v>
      </c>
      <c r="O164" s="5"/>
      <c r="P164" s="5">
        <f t="shared" si="41"/>
        <v>1</v>
      </c>
      <c r="Q164" s="7">
        <f t="shared" si="42"/>
        <v>8565</v>
      </c>
      <c r="W164" s="124">
        <f t="shared" si="43"/>
        <v>1961065.02</v>
      </c>
      <c r="X164">
        <f t="shared" si="44"/>
        <v>0</v>
      </c>
    </row>
    <row r="165" spans="1:24">
      <c r="A165" s="23" t="s">
        <v>192</v>
      </c>
      <c r="B165" s="35" t="s">
        <v>183</v>
      </c>
      <c r="C165" s="97">
        <v>18064</v>
      </c>
      <c r="D165" s="147">
        <v>2188472324</v>
      </c>
      <c r="E165" s="116">
        <f t="shared" si="48"/>
        <v>121151.0365367582</v>
      </c>
      <c r="F165" s="134">
        <v>1342606660</v>
      </c>
      <c r="G165" s="117">
        <f t="shared" si="49"/>
        <v>74324.992249778559</v>
      </c>
      <c r="H165" s="98"/>
      <c r="I165" s="136">
        <v>5.7</v>
      </c>
      <c r="J165" s="134">
        <v>7652857.9620000003</v>
      </c>
      <c r="K165" s="120">
        <f t="shared" si="50"/>
        <v>423.65245582373785</v>
      </c>
      <c r="L165" s="122">
        <f t="shared" si="38"/>
        <v>13426066.6</v>
      </c>
      <c r="M165" s="116">
        <f t="shared" si="39"/>
        <v>5773208.6379999993</v>
      </c>
      <c r="N165" s="123">
        <f t="shared" si="40"/>
        <v>319.59746667404778</v>
      </c>
      <c r="O165" s="5"/>
      <c r="P165" s="5">
        <f t="shared" si="41"/>
        <v>1</v>
      </c>
      <c r="Q165" s="7">
        <f t="shared" si="42"/>
        <v>18064</v>
      </c>
      <c r="W165" s="124">
        <f t="shared" si="43"/>
        <v>7652857.9620000003</v>
      </c>
      <c r="X165">
        <f t="shared" si="44"/>
        <v>0</v>
      </c>
    </row>
    <row r="166" spans="1:24">
      <c r="A166" s="23" t="s">
        <v>193</v>
      </c>
      <c r="B166" s="35" t="s">
        <v>183</v>
      </c>
      <c r="C166" s="97">
        <v>1792</v>
      </c>
      <c r="D166" s="132">
        <v>321635877</v>
      </c>
      <c r="E166" s="116">
        <f t="shared" si="48"/>
        <v>179484.30636160713</v>
      </c>
      <c r="F166" s="134">
        <v>164704546</v>
      </c>
      <c r="G166" s="117">
        <f t="shared" si="49"/>
        <v>91911.01897321429</v>
      </c>
      <c r="H166" s="7"/>
      <c r="I166" s="136">
        <v>2.83</v>
      </c>
      <c r="J166" s="134">
        <v>466113.86518000002</v>
      </c>
      <c r="K166" s="120">
        <f t="shared" si="50"/>
        <v>260.10818369419644</v>
      </c>
      <c r="L166" s="122">
        <f t="shared" si="38"/>
        <v>1647045.46</v>
      </c>
      <c r="M166" s="116">
        <f t="shared" si="39"/>
        <v>1180931.59482</v>
      </c>
      <c r="N166" s="123">
        <f t="shared" si="40"/>
        <v>659.00200603794644</v>
      </c>
      <c r="O166" s="5"/>
      <c r="P166" s="5">
        <f t="shared" si="41"/>
        <v>1</v>
      </c>
      <c r="Q166" s="7">
        <f t="shared" si="42"/>
        <v>1792</v>
      </c>
      <c r="W166" s="124">
        <f t="shared" si="43"/>
        <v>466113.86518000002</v>
      </c>
      <c r="X166">
        <f t="shared" si="44"/>
        <v>0</v>
      </c>
    </row>
    <row r="167" spans="1:24">
      <c r="A167" s="23" t="s">
        <v>194</v>
      </c>
      <c r="B167" s="35" t="s">
        <v>183</v>
      </c>
      <c r="C167" s="97">
        <v>17843</v>
      </c>
      <c r="D167" s="132">
        <v>2735692233</v>
      </c>
      <c r="E167" s="116">
        <f t="shared" si="48"/>
        <v>153320.1946421566</v>
      </c>
      <c r="F167" s="134">
        <v>1799908407</v>
      </c>
      <c r="G167" s="117">
        <f t="shared" si="49"/>
        <v>100874.76360477498</v>
      </c>
      <c r="H167" s="7"/>
      <c r="I167" s="136">
        <v>5.9603000000000002</v>
      </c>
      <c r="J167" s="134">
        <v>10727994.078242099</v>
      </c>
      <c r="K167" s="120">
        <f t="shared" si="50"/>
        <v>601.24385351354022</v>
      </c>
      <c r="L167" s="122">
        <f t="shared" si="38"/>
        <v>17999084.07</v>
      </c>
      <c r="M167" s="116">
        <f t="shared" si="39"/>
        <v>7271089.9917579014</v>
      </c>
      <c r="N167" s="123">
        <f t="shared" si="40"/>
        <v>407.50378253420956</v>
      </c>
      <c r="O167" s="5"/>
      <c r="P167" s="5">
        <f t="shared" si="41"/>
        <v>1</v>
      </c>
      <c r="Q167" s="7">
        <f t="shared" si="42"/>
        <v>17843</v>
      </c>
      <c r="W167" s="124">
        <f t="shared" si="43"/>
        <v>10727994.078242101</v>
      </c>
      <c r="X167">
        <f t="shared" si="44"/>
        <v>0</v>
      </c>
    </row>
    <row r="168" spans="1:24">
      <c r="A168" s="23" t="s">
        <v>195</v>
      </c>
      <c r="B168" s="35" t="s">
        <v>183</v>
      </c>
      <c r="C168" s="97">
        <v>21003</v>
      </c>
      <c r="D168" s="132">
        <v>2742419849</v>
      </c>
      <c r="E168" s="116">
        <f t="shared" si="48"/>
        <v>130572.76812836262</v>
      </c>
      <c r="F168" s="134">
        <v>1496778350</v>
      </c>
      <c r="G168" s="117">
        <f t="shared" si="49"/>
        <v>71264.978812550587</v>
      </c>
      <c r="H168" s="7"/>
      <c r="I168" s="136">
        <v>6.5949999999999998</v>
      </c>
      <c r="J168" s="134">
        <v>9871253.2182500008</v>
      </c>
      <c r="K168" s="120">
        <f t="shared" si="50"/>
        <v>469.99253526877118</v>
      </c>
      <c r="L168" s="122">
        <f t="shared" si="38"/>
        <v>14967783.5</v>
      </c>
      <c r="M168" s="116">
        <f t="shared" si="39"/>
        <v>5096530.2817499992</v>
      </c>
      <c r="N168" s="123">
        <f t="shared" si="40"/>
        <v>242.65725285673471</v>
      </c>
      <c r="O168" s="5"/>
      <c r="P168" s="5">
        <f t="shared" si="41"/>
        <v>1</v>
      </c>
      <c r="Q168" s="7">
        <f t="shared" si="42"/>
        <v>21003</v>
      </c>
      <c r="W168" s="124">
        <f t="shared" si="43"/>
        <v>9871253.2182500008</v>
      </c>
      <c r="X168">
        <f t="shared" si="44"/>
        <v>0</v>
      </c>
    </row>
    <row r="169" spans="1:24">
      <c r="A169" s="23" t="s">
        <v>196</v>
      </c>
      <c r="B169" s="35" t="s">
        <v>183</v>
      </c>
      <c r="C169" s="97">
        <v>3881</v>
      </c>
      <c r="D169" s="132">
        <v>416584063</v>
      </c>
      <c r="E169" s="116">
        <f t="shared" si="48"/>
        <v>107339.36176243237</v>
      </c>
      <c r="F169" s="134">
        <v>238038514</v>
      </c>
      <c r="G169" s="117">
        <f t="shared" si="49"/>
        <v>61334.324658593148</v>
      </c>
      <c r="H169" s="7"/>
      <c r="I169" s="136">
        <v>7.1089000000000002</v>
      </c>
      <c r="J169" s="134">
        <v>1692191.9921746</v>
      </c>
      <c r="K169" s="120">
        <f t="shared" si="50"/>
        <v>436.01958056547284</v>
      </c>
      <c r="L169" s="122">
        <f t="shared" si="38"/>
        <v>2380385.14</v>
      </c>
      <c r="M169" s="116">
        <f t="shared" si="39"/>
        <v>688193.14782540011</v>
      </c>
      <c r="N169" s="123">
        <f t="shared" si="40"/>
        <v>177.32366602045866</v>
      </c>
      <c r="O169" s="5"/>
      <c r="P169" s="5">
        <f t="shared" si="41"/>
        <v>1</v>
      </c>
      <c r="Q169" s="7">
        <f t="shared" si="42"/>
        <v>3881</v>
      </c>
      <c r="S169" s="124">
        <f>SUM(D156:D169)</f>
        <v>30700801264</v>
      </c>
      <c r="T169" s="124">
        <f>SUM(F156:F169)</f>
        <v>19237011215</v>
      </c>
      <c r="U169" s="124">
        <f>SUM(J156:J169)</f>
        <v>99674837.916004494</v>
      </c>
      <c r="W169" s="124">
        <f t="shared" si="43"/>
        <v>1692191.9921746</v>
      </c>
      <c r="X169">
        <f t="shared" si="44"/>
        <v>0</v>
      </c>
    </row>
    <row r="170" spans="1:24">
      <c r="A170" s="23" t="s">
        <v>448</v>
      </c>
      <c r="B170" s="35" t="s">
        <v>198</v>
      </c>
      <c r="C170" s="97">
        <v>54868</v>
      </c>
      <c r="D170" s="132">
        <v>24610472505</v>
      </c>
      <c r="E170" s="116">
        <f t="shared" si="48"/>
        <v>448539.63157031423</v>
      </c>
      <c r="F170" s="134">
        <v>15601171673</v>
      </c>
      <c r="G170" s="117">
        <f t="shared" si="49"/>
        <v>284340.08298097254</v>
      </c>
      <c r="H170" s="7"/>
      <c r="I170" s="136">
        <v>0.81730000000000003</v>
      </c>
      <c r="J170" s="134">
        <v>12750837.608342901</v>
      </c>
      <c r="K170" s="120">
        <f t="shared" si="50"/>
        <v>232.39114982034886</v>
      </c>
      <c r="L170" s="122">
        <f t="shared" si="38"/>
        <v>156011716.72999999</v>
      </c>
      <c r="M170" s="116">
        <f t="shared" si="39"/>
        <v>143260879.12165707</v>
      </c>
      <c r="N170" s="123">
        <f t="shared" si="40"/>
        <v>2611.0096799893759</v>
      </c>
      <c r="O170" s="5"/>
      <c r="P170" s="5">
        <f t="shared" si="41"/>
        <v>1</v>
      </c>
      <c r="Q170" s="7">
        <f t="shared" si="42"/>
        <v>54868</v>
      </c>
      <c r="W170" s="124">
        <f t="shared" si="43"/>
        <v>12750837.608342901</v>
      </c>
      <c r="X170">
        <f t="shared" si="44"/>
        <v>0</v>
      </c>
    </row>
    <row r="171" spans="1:24">
      <c r="A171" s="23" t="s">
        <v>197</v>
      </c>
      <c r="B171" s="35" t="s">
        <v>198</v>
      </c>
      <c r="C171" s="97">
        <v>213301</v>
      </c>
      <c r="D171" s="132">
        <v>45989831112</v>
      </c>
      <c r="E171" s="116">
        <f t="shared" si="48"/>
        <v>215610.01172990282</v>
      </c>
      <c r="F171" s="134">
        <v>26260768006</v>
      </c>
      <c r="G171" s="117">
        <f t="shared" si="49"/>
        <v>123116.00979836006</v>
      </c>
      <c r="H171" s="7"/>
      <c r="I171" s="136">
        <v>5.3693999999999997</v>
      </c>
      <c r="J171" s="134">
        <v>141004567.73141637</v>
      </c>
      <c r="K171" s="120">
        <f t="shared" si="50"/>
        <v>661.05910301131439</v>
      </c>
      <c r="L171" s="122">
        <f t="shared" si="38"/>
        <v>262607680.06</v>
      </c>
      <c r="M171" s="116">
        <f t="shared" si="39"/>
        <v>121603112.32858363</v>
      </c>
      <c r="N171" s="123">
        <f t="shared" si="40"/>
        <v>570.10099497228623</v>
      </c>
      <c r="O171" s="5"/>
      <c r="P171" s="5">
        <f t="shared" si="41"/>
        <v>1</v>
      </c>
      <c r="Q171" s="7">
        <f t="shared" si="42"/>
        <v>213301</v>
      </c>
      <c r="W171" s="124">
        <f t="shared" si="43"/>
        <v>141004567.7314164</v>
      </c>
      <c r="X171">
        <f t="shared" si="44"/>
        <v>0</v>
      </c>
    </row>
    <row r="172" spans="1:24">
      <c r="A172" s="24" t="s">
        <v>598</v>
      </c>
      <c r="B172" s="37" t="s">
        <v>198</v>
      </c>
      <c r="C172" s="97">
        <v>37507</v>
      </c>
      <c r="D172" s="147">
        <v>13779433248</v>
      </c>
      <c r="E172" s="116">
        <f t="shared" si="48"/>
        <v>367382.97512464342</v>
      </c>
      <c r="F172" s="134">
        <v>8680149665</v>
      </c>
      <c r="G172" s="117">
        <f t="shared" si="49"/>
        <v>231427.45794118432</v>
      </c>
      <c r="H172" s="98"/>
      <c r="I172" s="136">
        <v>0.74</v>
      </c>
      <c r="J172" s="134">
        <v>6423310.7521000002</v>
      </c>
      <c r="K172" s="120">
        <f t="shared" si="50"/>
        <v>171.2563188764764</v>
      </c>
      <c r="L172" s="122">
        <f t="shared" si="38"/>
        <v>86801496.650000006</v>
      </c>
      <c r="M172" s="116">
        <f t="shared" si="39"/>
        <v>80378185.8979</v>
      </c>
      <c r="N172" s="123">
        <f t="shared" si="40"/>
        <v>2143.0182605353666</v>
      </c>
      <c r="O172" s="5"/>
      <c r="P172" s="5">
        <f>IF(I172&gt;0,1,0)</f>
        <v>1</v>
      </c>
      <c r="Q172" s="7">
        <f>IF(I172&gt;0,C172,0)</f>
        <v>37507</v>
      </c>
      <c r="W172" s="124">
        <f t="shared" si="43"/>
        <v>6423310.7521000002</v>
      </c>
      <c r="X172">
        <f t="shared" si="44"/>
        <v>0</v>
      </c>
    </row>
    <row r="173" spans="1:24">
      <c r="A173" s="23" t="s">
        <v>199</v>
      </c>
      <c r="B173" s="35" t="s">
        <v>198</v>
      </c>
      <c r="C173" s="97">
        <v>97711</v>
      </c>
      <c r="D173" s="132">
        <v>19850182510</v>
      </c>
      <c r="E173" s="116">
        <f t="shared" si="48"/>
        <v>203151.97377982008</v>
      </c>
      <c r="F173" s="134">
        <v>11979987381</v>
      </c>
      <c r="G173" s="117">
        <f t="shared" si="49"/>
        <v>122606.33276703749</v>
      </c>
      <c r="H173" s="7"/>
      <c r="I173" s="136">
        <v>6.6999000000000004</v>
      </c>
      <c r="J173" s="134">
        <v>80264717.453961894</v>
      </c>
      <c r="K173" s="120">
        <f t="shared" si="50"/>
        <v>821.45016890587442</v>
      </c>
      <c r="L173" s="122">
        <f t="shared" si="38"/>
        <v>119799873.81</v>
      </c>
      <c r="M173" s="116">
        <f t="shared" si="39"/>
        <v>39535156.356038108</v>
      </c>
      <c r="N173" s="123">
        <f t="shared" si="40"/>
        <v>404.6131587645005</v>
      </c>
      <c r="O173" s="5"/>
      <c r="P173" s="5">
        <f t="shared" si="41"/>
        <v>1</v>
      </c>
      <c r="Q173" s="7">
        <f t="shared" si="42"/>
        <v>97711</v>
      </c>
      <c r="W173" s="124">
        <f t="shared" si="43"/>
        <v>80264717.453961909</v>
      </c>
      <c r="X173">
        <f t="shared" si="44"/>
        <v>0</v>
      </c>
    </row>
    <row r="174" spans="1:24">
      <c r="A174" s="23" t="s">
        <v>200</v>
      </c>
      <c r="B174" s="35" t="s">
        <v>198</v>
      </c>
      <c r="C174" s="97">
        <v>3255</v>
      </c>
      <c r="D174" s="132">
        <v>3609456882</v>
      </c>
      <c r="E174" s="116">
        <f t="shared" si="48"/>
        <v>1108896.1235023041</v>
      </c>
      <c r="F174" s="134">
        <v>2582508859</v>
      </c>
      <c r="G174" s="117">
        <f t="shared" si="49"/>
        <v>793397.49892473116</v>
      </c>
      <c r="H174" s="7"/>
      <c r="I174" s="136">
        <v>0.99</v>
      </c>
      <c r="J174" s="134">
        <v>2556683.7704099999</v>
      </c>
      <c r="K174" s="120">
        <f t="shared" si="50"/>
        <v>785.46352393548386</v>
      </c>
      <c r="L174" s="122">
        <f t="shared" si="38"/>
        <v>25825088.59</v>
      </c>
      <c r="M174" s="116">
        <f t="shared" si="39"/>
        <v>23268404.819589999</v>
      </c>
      <c r="N174" s="123">
        <f t="shared" si="40"/>
        <v>7148.5114653118271</v>
      </c>
      <c r="O174" s="5"/>
      <c r="P174" s="5">
        <f t="shared" si="41"/>
        <v>1</v>
      </c>
      <c r="Q174" s="7">
        <f t="shared" si="42"/>
        <v>3255</v>
      </c>
      <c r="W174" s="124">
        <f t="shared" si="43"/>
        <v>2556683.7704099999</v>
      </c>
      <c r="X174">
        <f t="shared" si="44"/>
        <v>0</v>
      </c>
    </row>
    <row r="175" spans="1:24">
      <c r="A175" s="23" t="s">
        <v>201</v>
      </c>
      <c r="B175" s="35" t="s">
        <v>198</v>
      </c>
      <c r="C175" s="97">
        <v>5946</v>
      </c>
      <c r="D175" s="132">
        <v>6540601826</v>
      </c>
      <c r="E175" s="116">
        <f t="shared" si="48"/>
        <v>1100000.3070972082</v>
      </c>
      <c r="F175" s="134">
        <v>4613805560</v>
      </c>
      <c r="G175" s="117">
        <f t="shared" si="49"/>
        <v>775951.15371678444</v>
      </c>
      <c r="H175" s="98"/>
      <c r="I175" s="136">
        <v>2.5</v>
      </c>
      <c r="J175" s="134">
        <v>11534513.9</v>
      </c>
      <c r="K175" s="120">
        <f t="shared" si="50"/>
        <v>1939.877884291961</v>
      </c>
      <c r="L175" s="122">
        <f t="shared" si="38"/>
        <v>46138055.600000001</v>
      </c>
      <c r="M175" s="116">
        <f t="shared" si="39"/>
        <v>34603541.700000003</v>
      </c>
      <c r="N175" s="123">
        <f t="shared" si="40"/>
        <v>5819.6336528758839</v>
      </c>
      <c r="O175" s="5"/>
      <c r="P175" s="5">
        <f t="shared" si="41"/>
        <v>1</v>
      </c>
      <c r="Q175" s="7">
        <f t="shared" si="42"/>
        <v>5946</v>
      </c>
      <c r="S175" s="184">
        <f>SUM(D170:D175)</f>
        <v>114379978083</v>
      </c>
      <c r="T175" s="184">
        <f>SUM(F170:F175)</f>
        <v>69718391144</v>
      </c>
      <c r="U175" s="184">
        <f>SUM(J170:J175)</f>
        <v>254534631.2162312</v>
      </c>
      <c r="W175" s="124">
        <f t="shared" si="43"/>
        <v>11534513.9</v>
      </c>
      <c r="X175">
        <f t="shared" si="44"/>
        <v>0</v>
      </c>
    </row>
    <row r="176" spans="1:24">
      <c r="A176" s="23" t="s">
        <v>202</v>
      </c>
      <c r="B176" s="35" t="s">
        <v>203</v>
      </c>
      <c r="C176" s="97">
        <v>201833</v>
      </c>
      <c r="D176" s="132">
        <v>27740256546</v>
      </c>
      <c r="E176" s="116">
        <f t="shared" si="48"/>
        <v>137441.63018931492</v>
      </c>
      <c r="F176" s="134">
        <v>15634777028</v>
      </c>
      <c r="G176" s="117">
        <f t="shared" si="49"/>
        <v>77463.928237701461</v>
      </c>
      <c r="H176" s="7"/>
      <c r="I176" s="136">
        <v>4.45</v>
      </c>
      <c r="J176" s="185">
        <v>69574757.774599999</v>
      </c>
      <c r="K176" s="120">
        <f t="shared" si="50"/>
        <v>344.7144806577715</v>
      </c>
      <c r="L176" s="122">
        <f t="shared" si="38"/>
        <v>156347770.28</v>
      </c>
      <c r="M176" s="116">
        <f t="shared" si="39"/>
        <v>86773012.505400002</v>
      </c>
      <c r="N176" s="123">
        <f t="shared" si="40"/>
        <v>429.92480171924313</v>
      </c>
      <c r="O176" s="5"/>
      <c r="P176" s="5">
        <f t="shared" si="41"/>
        <v>1</v>
      </c>
      <c r="Q176" s="7">
        <f t="shared" si="42"/>
        <v>201833</v>
      </c>
      <c r="S176" s="124">
        <f>SUM(D176)</f>
        <v>27740256546</v>
      </c>
      <c r="T176" s="124">
        <f>SUM(F176)</f>
        <v>15634777028</v>
      </c>
      <c r="U176" s="124">
        <f>SUM(J176)</f>
        <v>69574757.774599999</v>
      </c>
      <c r="W176" s="124">
        <f t="shared" si="43"/>
        <v>69574757.774599999</v>
      </c>
      <c r="X176">
        <f t="shared" si="44"/>
        <v>0</v>
      </c>
    </row>
    <row r="177" spans="1:24">
      <c r="A177" s="23" t="s">
        <v>204</v>
      </c>
      <c r="B177" s="35" t="s">
        <v>205</v>
      </c>
      <c r="C177" s="97">
        <v>1152</v>
      </c>
      <c r="D177" s="132">
        <v>127480859</v>
      </c>
      <c r="E177" s="116">
        <f t="shared" si="48"/>
        <v>110660.46788194444</v>
      </c>
      <c r="F177" s="134">
        <v>57962628</v>
      </c>
      <c r="G177" s="117">
        <f t="shared" si="49"/>
        <v>50314.78125</v>
      </c>
      <c r="H177" s="7"/>
      <c r="I177" s="136">
        <v>5.2080000000000002</v>
      </c>
      <c r="J177" s="134">
        <v>301869.36662400002</v>
      </c>
      <c r="K177" s="120">
        <f t="shared" si="50"/>
        <v>262.03938075000002</v>
      </c>
      <c r="L177" s="122">
        <f t="shared" si="38"/>
        <v>579626.28</v>
      </c>
      <c r="M177" s="116">
        <f t="shared" si="39"/>
        <v>277756.91337600001</v>
      </c>
      <c r="N177" s="123">
        <f t="shared" si="40"/>
        <v>241.10843175000002</v>
      </c>
      <c r="O177" s="5"/>
      <c r="P177" s="5">
        <f t="shared" si="41"/>
        <v>1</v>
      </c>
      <c r="Q177" s="7">
        <f t="shared" si="42"/>
        <v>1152</v>
      </c>
      <c r="W177" s="124">
        <f t="shared" si="43"/>
        <v>301869.36662400002</v>
      </c>
      <c r="X177">
        <f t="shared" si="44"/>
        <v>0</v>
      </c>
    </row>
    <row r="178" spans="1:24">
      <c r="A178" s="23" t="s">
        <v>206</v>
      </c>
      <c r="B178" s="35" t="s">
        <v>205</v>
      </c>
      <c r="C178" s="97">
        <v>689</v>
      </c>
      <c r="D178" s="132">
        <v>313808567</v>
      </c>
      <c r="E178" s="116">
        <f t="shared" si="48"/>
        <v>455455.10449927428</v>
      </c>
      <c r="F178" s="134">
        <v>207987666</v>
      </c>
      <c r="G178" s="117">
        <f t="shared" si="49"/>
        <v>301868.89114658925</v>
      </c>
      <c r="H178" s="7"/>
      <c r="I178" s="136">
        <v>4.7439999999999998</v>
      </c>
      <c r="J178" s="134">
        <v>986693.48750399996</v>
      </c>
      <c r="K178" s="120">
        <f t="shared" si="50"/>
        <v>1432.0660195994194</v>
      </c>
      <c r="L178" s="122">
        <f t="shared" si="38"/>
        <v>2079876.6600000001</v>
      </c>
      <c r="M178" s="116">
        <f t="shared" si="39"/>
        <v>1093183.1724960003</v>
      </c>
      <c r="N178" s="123">
        <f t="shared" si="40"/>
        <v>1586.6228918664735</v>
      </c>
      <c r="O178" s="5"/>
      <c r="P178" s="5">
        <f t="shared" si="41"/>
        <v>1</v>
      </c>
      <c r="Q178" s="7">
        <f t="shared" si="42"/>
        <v>689</v>
      </c>
      <c r="W178" s="124">
        <f t="shared" si="43"/>
        <v>986693.48750399996</v>
      </c>
      <c r="X178">
        <f t="shared" si="44"/>
        <v>0</v>
      </c>
    </row>
    <row r="179" spans="1:24">
      <c r="A179" s="23" t="s">
        <v>207</v>
      </c>
      <c r="B179" s="35" t="s">
        <v>205</v>
      </c>
      <c r="C179" s="97">
        <v>2323</v>
      </c>
      <c r="D179" s="132">
        <v>273486588</v>
      </c>
      <c r="E179" s="116">
        <f t="shared" si="48"/>
        <v>117729.91304347826</v>
      </c>
      <c r="F179" s="134">
        <v>177348104</v>
      </c>
      <c r="G179" s="117">
        <f t="shared" si="49"/>
        <v>76344.427034007749</v>
      </c>
      <c r="H179" s="7"/>
      <c r="I179" s="136">
        <v>8.5493000000000006</v>
      </c>
      <c r="J179" s="134">
        <v>1516202.1455272001</v>
      </c>
      <c r="K179" s="120">
        <f t="shared" si="50"/>
        <v>652.69141004184246</v>
      </c>
      <c r="L179" s="122">
        <f t="shared" si="38"/>
        <v>1773481.04</v>
      </c>
      <c r="M179" s="116">
        <f t="shared" si="39"/>
        <v>257278.89447279996</v>
      </c>
      <c r="N179" s="123">
        <f t="shared" si="40"/>
        <v>110.75286029823502</v>
      </c>
      <c r="O179" s="5"/>
      <c r="P179" s="5">
        <f t="shared" si="41"/>
        <v>1</v>
      </c>
      <c r="Q179" s="7">
        <f t="shared" si="42"/>
        <v>2323</v>
      </c>
      <c r="W179" s="124">
        <f t="shared" si="43"/>
        <v>1516202.1455272001</v>
      </c>
      <c r="X179">
        <f t="shared" si="44"/>
        <v>0</v>
      </c>
    </row>
    <row r="180" spans="1:24">
      <c r="A180" s="23" t="s">
        <v>208</v>
      </c>
      <c r="B180" s="35" t="s">
        <v>205</v>
      </c>
      <c r="C180" s="97">
        <v>1506</v>
      </c>
      <c r="D180" s="132">
        <v>162301692</v>
      </c>
      <c r="E180" s="116">
        <f t="shared" si="48"/>
        <v>107770.04780876494</v>
      </c>
      <c r="F180" s="134">
        <v>89829521</v>
      </c>
      <c r="G180" s="117">
        <f t="shared" si="49"/>
        <v>59647.756308100928</v>
      </c>
      <c r="H180" s="7"/>
      <c r="I180" s="136">
        <v>4.5312000000000001</v>
      </c>
      <c r="J180" s="134">
        <v>407035.5255552</v>
      </c>
      <c r="K180" s="120">
        <f t="shared" si="50"/>
        <v>270.27591338326692</v>
      </c>
      <c r="L180" s="122">
        <f t="shared" si="38"/>
        <v>898295.21</v>
      </c>
      <c r="M180" s="116">
        <f t="shared" si="39"/>
        <v>491259.68444479996</v>
      </c>
      <c r="N180" s="123">
        <f t="shared" si="40"/>
        <v>326.20164969774231</v>
      </c>
      <c r="O180" s="5"/>
      <c r="P180" s="5">
        <f t="shared" si="41"/>
        <v>1</v>
      </c>
      <c r="Q180" s="7">
        <f t="shared" si="42"/>
        <v>1506</v>
      </c>
      <c r="W180" s="124">
        <f t="shared" si="43"/>
        <v>407035.5255552</v>
      </c>
      <c r="X180">
        <f t="shared" si="44"/>
        <v>0</v>
      </c>
    </row>
    <row r="181" spans="1:24">
      <c r="A181" s="23" t="s">
        <v>209</v>
      </c>
      <c r="B181" s="35" t="s">
        <v>205</v>
      </c>
      <c r="C181" s="97">
        <v>110</v>
      </c>
      <c r="D181" s="132">
        <v>15539128</v>
      </c>
      <c r="E181" s="116">
        <f t="shared" si="48"/>
        <v>141264.79999999999</v>
      </c>
      <c r="F181" s="134">
        <v>8740260</v>
      </c>
      <c r="G181" s="117">
        <f t="shared" si="49"/>
        <v>79456.909090909088</v>
      </c>
      <c r="H181" s="7"/>
      <c r="I181" s="136">
        <v>7.8669000000000002</v>
      </c>
      <c r="J181" s="134">
        <v>407035.5255552</v>
      </c>
      <c r="K181" s="120">
        <f t="shared" si="50"/>
        <v>3700.3229595927273</v>
      </c>
      <c r="L181" s="122">
        <f t="shared" si="38"/>
        <v>87402.6</v>
      </c>
      <c r="M181" s="116">
        <f t="shared" si="39"/>
        <v>-319632.92555519997</v>
      </c>
      <c r="N181" s="123">
        <f t="shared" si="40"/>
        <v>-2905.753868683636</v>
      </c>
      <c r="O181" s="5"/>
      <c r="P181" s="5">
        <f t="shared" si="41"/>
        <v>1</v>
      </c>
      <c r="Q181" s="7">
        <f t="shared" si="42"/>
        <v>110</v>
      </c>
      <c r="W181" s="124">
        <f t="shared" si="43"/>
        <v>68758.751393999992</v>
      </c>
      <c r="X181">
        <f t="shared" si="44"/>
        <v>1</v>
      </c>
    </row>
    <row r="182" spans="1:24">
      <c r="A182" s="23" t="s">
        <v>210</v>
      </c>
      <c r="B182" s="35" t="s">
        <v>205</v>
      </c>
      <c r="C182" s="97">
        <v>3297</v>
      </c>
      <c r="D182" s="132">
        <v>301388399</v>
      </c>
      <c r="E182" s="116">
        <f t="shared" si="48"/>
        <v>91412.920533818629</v>
      </c>
      <c r="F182" s="134">
        <v>148989075</v>
      </c>
      <c r="G182" s="117">
        <f t="shared" si="49"/>
        <v>45189.285714285717</v>
      </c>
      <c r="H182" s="7"/>
      <c r="I182" s="136">
        <v>6.75</v>
      </c>
      <c r="J182" s="134">
        <v>1005676.25625</v>
      </c>
      <c r="K182" s="120">
        <f t="shared" si="50"/>
        <v>305.02767857142857</v>
      </c>
      <c r="L182" s="122">
        <f t="shared" si="38"/>
        <v>1489890.75</v>
      </c>
      <c r="M182" s="116">
        <f t="shared" si="39"/>
        <v>484214.49375000002</v>
      </c>
      <c r="N182" s="123">
        <f t="shared" si="40"/>
        <v>146.86517857142857</v>
      </c>
      <c r="O182" s="5"/>
      <c r="P182" s="5">
        <f t="shared" si="41"/>
        <v>1</v>
      </c>
      <c r="Q182" s="7">
        <f t="shared" si="42"/>
        <v>3297</v>
      </c>
      <c r="W182" s="124">
        <f t="shared" si="43"/>
        <v>1005676.25625</v>
      </c>
      <c r="X182">
        <f t="shared" si="44"/>
        <v>0</v>
      </c>
    </row>
    <row r="183" spans="1:24">
      <c r="A183" s="23" t="s">
        <v>211</v>
      </c>
      <c r="B183" s="35" t="s">
        <v>205</v>
      </c>
      <c r="C183" s="97">
        <v>588</v>
      </c>
      <c r="D183" s="132">
        <v>144764970</v>
      </c>
      <c r="E183" s="116">
        <f t="shared" si="48"/>
        <v>246198.92857142858</v>
      </c>
      <c r="F183" s="134">
        <v>84496563</v>
      </c>
      <c r="G183" s="117">
        <f t="shared" si="49"/>
        <v>143701.63775510204</v>
      </c>
      <c r="H183" s="7"/>
      <c r="I183" s="136">
        <v>3.0442</v>
      </c>
      <c r="J183" s="134">
        <v>257224.43708460001</v>
      </c>
      <c r="K183" s="120">
        <f t="shared" si="50"/>
        <v>437.45652565408164</v>
      </c>
      <c r="L183" s="122">
        <f t="shared" si="38"/>
        <v>844965.63</v>
      </c>
      <c r="M183" s="116">
        <f t="shared" si="39"/>
        <v>587741.19291540002</v>
      </c>
      <c r="N183" s="123">
        <f t="shared" si="40"/>
        <v>999.55985189693877</v>
      </c>
      <c r="O183" s="5"/>
      <c r="P183" s="5">
        <f t="shared" si="41"/>
        <v>1</v>
      </c>
      <c r="Q183" s="7">
        <f t="shared" si="42"/>
        <v>588</v>
      </c>
      <c r="S183" s="124">
        <f>SUM(D177:D183)</f>
        <v>1338770203</v>
      </c>
      <c r="T183" s="124">
        <f>SUM(F177:F183)</f>
        <v>775353817</v>
      </c>
      <c r="U183" s="124">
        <f>SUM(J177:J183)</f>
        <v>4881736.7441002</v>
      </c>
      <c r="W183" s="124">
        <f t="shared" si="43"/>
        <v>257224.43708460001</v>
      </c>
      <c r="X183">
        <f t="shared" si="44"/>
        <v>0</v>
      </c>
    </row>
    <row r="184" spans="1:24">
      <c r="A184" s="23" t="s">
        <v>212</v>
      </c>
      <c r="B184" s="35" t="s">
        <v>213</v>
      </c>
      <c r="C184" s="97">
        <v>956</v>
      </c>
      <c r="D184" s="132">
        <v>68731535</v>
      </c>
      <c r="E184" s="116">
        <f t="shared" si="48"/>
        <v>71894.911087866116</v>
      </c>
      <c r="F184" s="134">
        <v>31653341</v>
      </c>
      <c r="G184" s="117">
        <f t="shared" si="49"/>
        <v>33110.18933054393</v>
      </c>
      <c r="H184" s="7"/>
      <c r="I184" s="136">
        <v>6.3878000000000004</v>
      </c>
      <c r="J184" s="134">
        <v>202195.21163980002</v>
      </c>
      <c r="K184" s="120">
        <f t="shared" si="50"/>
        <v>211.50126740564855</v>
      </c>
      <c r="L184" s="122">
        <f t="shared" si="38"/>
        <v>316533.41000000003</v>
      </c>
      <c r="M184" s="116">
        <f t="shared" si="39"/>
        <v>114338.19836020001</v>
      </c>
      <c r="N184" s="123">
        <f t="shared" si="40"/>
        <v>119.60062589979081</v>
      </c>
      <c r="O184" s="5"/>
      <c r="P184" s="5">
        <f t="shared" si="41"/>
        <v>1</v>
      </c>
      <c r="Q184" s="7">
        <f t="shared" si="42"/>
        <v>956</v>
      </c>
      <c r="S184" s="124">
        <f>SUM(D184)</f>
        <v>68731535</v>
      </c>
      <c r="T184" s="124">
        <f>SUM(F184)</f>
        <v>31653341</v>
      </c>
      <c r="U184" s="124">
        <f>SUM(J184)</f>
        <v>202195.21163980002</v>
      </c>
      <c r="W184" s="124">
        <f t="shared" si="43"/>
        <v>202195.21163980002</v>
      </c>
      <c r="X184">
        <f t="shared" si="44"/>
        <v>0</v>
      </c>
    </row>
    <row r="185" spans="1:24">
      <c r="A185" s="23" t="s">
        <v>214</v>
      </c>
      <c r="B185" s="35" t="s">
        <v>215</v>
      </c>
      <c r="C185" s="97">
        <v>773</v>
      </c>
      <c r="D185" s="132">
        <v>31697270</v>
      </c>
      <c r="E185" s="116">
        <f t="shared" si="48"/>
        <v>41005.523932729622</v>
      </c>
      <c r="F185" s="134">
        <v>14710930</v>
      </c>
      <c r="G185" s="117">
        <f t="shared" si="49"/>
        <v>19030.957309184992</v>
      </c>
      <c r="H185" s="7"/>
      <c r="I185" s="136">
        <v>10</v>
      </c>
      <c r="J185" s="134">
        <v>147109.29999999999</v>
      </c>
      <c r="K185" s="120">
        <f t="shared" si="50"/>
        <v>190.30957309184993</v>
      </c>
      <c r="L185" s="122">
        <f t="shared" si="38"/>
        <v>147109.30000000002</v>
      </c>
      <c r="M185" s="116">
        <f t="shared" si="39"/>
        <v>2.9103830456733704E-11</v>
      </c>
      <c r="N185" s="123">
        <f t="shared" si="40"/>
        <v>3.7650492182061715E-14</v>
      </c>
      <c r="O185" s="5"/>
      <c r="P185" s="5">
        <f t="shared" si="41"/>
        <v>1</v>
      </c>
      <c r="Q185" s="7">
        <f t="shared" si="42"/>
        <v>773</v>
      </c>
      <c r="W185" s="124">
        <f t="shared" si="43"/>
        <v>147109.30000000002</v>
      </c>
      <c r="X185">
        <f t="shared" si="44"/>
        <v>0</v>
      </c>
    </row>
    <row r="186" spans="1:24">
      <c r="A186" s="23" t="s">
        <v>198</v>
      </c>
      <c r="B186" s="35" t="s">
        <v>215</v>
      </c>
      <c r="C186" s="97">
        <v>388</v>
      </c>
      <c r="D186" s="132">
        <v>33214108</v>
      </c>
      <c r="E186" s="116">
        <f t="shared" si="48"/>
        <v>85603.371134020621</v>
      </c>
      <c r="F186" s="134">
        <v>13529268</v>
      </c>
      <c r="G186" s="117">
        <f t="shared" si="49"/>
        <v>34869.247422680412</v>
      </c>
      <c r="H186" s="7"/>
      <c r="I186" s="136">
        <v>7.5</v>
      </c>
      <c r="J186" s="134">
        <v>101469.51</v>
      </c>
      <c r="K186" s="120">
        <f t="shared" si="50"/>
        <v>261.5193556701031</v>
      </c>
      <c r="L186" s="122">
        <f t="shared" si="38"/>
        <v>135292.68</v>
      </c>
      <c r="M186" s="116">
        <f t="shared" si="39"/>
        <v>33823.17</v>
      </c>
      <c r="N186" s="123">
        <f t="shared" si="40"/>
        <v>87.173118556701027</v>
      </c>
      <c r="O186" s="5"/>
      <c r="P186" s="5">
        <f t="shared" si="41"/>
        <v>1</v>
      </c>
      <c r="Q186" s="7">
        <f t="shared" si="42"/>
        <v>388</v>
      </c>
      <c r="W186" s="124">
        <f t="shared" si="43"/>
        <v>101469.51</v>
      </c>
      <c r="X186">
        <f t="shared" si="44"/>
        <v>0</v>
      </c>
    </row>
    <row r="187" spans="1:24">
      <c r="A187" s="23" t="s">
        <v>215</v>
      </c>
      <c r="B187" s="35" t="s">
        <v>215</v>
      </c>
      <c r="C187" s="97">
        <v>2978</v>
      </c>
      <c r="D187" s="132">
        <v>222931722</v>
      </c>
      <c r="E187" s="116">
        <f t="shared" si="48"/>
        <v>74859.54398925454</v>
      </c>
      <c r="F187" s="134">
        <v>111325343</v>
      </c>
      <c r="G187" s="117">
        <f t="shared" si="49"/>
        <v>37382.586635325722</v>
      </c>
      <c r="H187" s="7"/>
      <c r="I187" s="136">
        <v>7</v>
      </c>
      <c r="J187" s="134">
        <v>779277.40099999995</v>
      </c>
      <c r="K187" s="120">
        <f t="shared" si="50"/>
        <v>261.67810644728002</v>
      </c>
      <c r="L187" s="122">
        <f t="shared" si="38"/>
        <v>1113253.43</v>
      </c>
      <c r="M187" s="116">
        <f t="shared" si="39"/>
        <v>333976.02899999998</v>
      </c>
      <c r="N187" s="123">
        <f t="shared" si="40"/>
        <v>112.14775990597715</v>
      </c>
      <c r="O187" s="5"/>
      <c r="P187" s="5">
        <f t="shared" si="41"/>
        <v>1</v>
      </c>
      <c r="Q187" s="7">
        <f t="shared" si="42"/>
        <v>2978</v>
      </c>
      <c r="S187" s="124">
        <f>SUM(D185:D187)</f>
        <v>287843100</v>
      </c>
      <c r="T187" s="124">
        <f>SUM(F185:F187)</f>
        <v>139565541</v>
      </c>
      <c r="U187" s="124">
        <f>SUM(J185:J187)</f>
        <v>1027856.2109999999</v>
      </c>
      <c r="W187" s="124">
        <f t="shared" si="43"/>
        <v>779277.40100000007</v>
      </c>
      <c r="X187">
        <f t="shared" si="44"/>
        <v>0</v>
      </c>
    </row>
    <row r="188" spans="1:24">
      <c r="A188" s="23" t="s">
        <v>216</v>
      </c>
      <c r="B188" s="35" t="s">
        <v>217</v>
      </c>
      <c r="C188" s="97">
        <v>987</v>
      </c>
      <c r="D188" s="132">
        <v>3455720931</v>
      </c>
      <c r="E188" s="116">
        <f t="shared" si="48"/>
        <v>3501237.0121580549</v>
      </c>
      <c r="F188" s="134">
        <v>2037154881</v>
      </c>
      <c r="G188" s="117">
        <f t="shared" si="49"/>
        <v>2063986.7082066869</v>
      </c>
      <c r="H188" s="7"/>
      <c r="I188" s="136">
        <v>2.0499999999999998</v>
      </c>
      <c r="J188" s="134">
        <v>4176167.5060499995</v>
      </c>
      <c r="K188" s="120">
        <f t="shared" si="50"/>
        <v>4231.1727518237076</v>
      </c>
      <c r="L188" s="122">
        <f t="shared" si="38"/>
        <v>20371548.809999999</v>
      </c>
      <c r="M188" s="116">
        <f t="shared" si="39"/>
        <v>16195381.303949999</v>
      </c>
      <c r="N188" s="123">
        <f t="shared" si="40"/>
        <v>16408.694330243161</v>
      </c>
      <c r="O188" s="5"/>
      <c r="P188" s="5">
        <f t="shared" si="41"/>
        <v>1</v>
      </c>
      <c r="Q188" s="7">
        <f t="shared" si="42"/>
        <v>987</v>
      </c>
      <c r="W188" s="124">
        <f t="shared" si="43"/>
        <v>4176167.5060499995</v>
      </c>
      <c r="X188">
        <f t="shared" si="44"/>
        <v>0</v>
      </c>
    </row>
    <row r="189" spans="1:24">
      <c r="A189" s="23" t="s">
        <v>218</v>
      </c>
      <c r="B189" s="35" t="s">
        <v>217</v>
      </c>
      <c r="C189" s="97">
        <v>57253</v>
      </c>
      <c r="D189" s="132">
        <v>9631427752</v>
      </c>
      <c r="E189" s="116">
        <f t="shared" si="48"/>
        <v>168225.73056433725</v>
      </c>
      <c r="F189" s="134">
        <v>5905139344</v>
      </c>
      <c r="G189" s="117">
        <f t="shared" si="49"/>
        <v>103141.13398424536</v>
      </c>
      <c r="H189" s="7"/>
      <c r="I189" s="136">
        <v>5.7725999999999997</v>
      </c>
      <c r="J189" s="134">
        <v>34088007.3771744</v>
      </c>
      <c r="K189" s="120">
        <f t="shared" si="50"/>
        <v>595.39251003745483</v>
      </c>
      <c r="L189" s="122">
        <f t="shared" si="38"/>
        <v>59051393.439999998</v>
      </c>
      <c r="M189" s="116">
        <f t="shared" si="39"/>
        <v>24963386.062825598</v>
      </c>
      <c r="N189" s="123">
        <f t="shared" si="40"/>
        <v>436.0188298049988</v>
      </c>
      <c r="O189" s="5"/>
      <c r="P189" s="5">
        <f t="shared" si="41"/>
        <v>1</v>
      </c>
      <c r="Q189" s="7">
        <f t="shared" si="42"/>
        <v>57253</v>
      </c>
      <c r="W189" s="124">
        <f t="shared" si="43"/>
        <v>34088007.3771744</v>
      </c>
      <c r="X189">
        <f t="shared" si="44"/>
        <v>0</v>
      </c>
    </row>
    <row r="190" spans="1:24">
      <c r="A190" s="23" t="s">
        <v>219</v>
      </c>
      <c r="B190" s="35" t="s">
        <v>217</v>
      </c>
      <c r="C190" s="97">
        <v>902</v>
      </c>
      <c r="D190" s="132">
        <v>1485597767</v>
      </c>
      <c r="E190" s="116">
        <f t="shared" si="48"/>
        <v>1647004.1762749446</v>
      </c>
      <c r="F190" s="134">
        <v>988934757</v>
      </c>
      <c r="G190" s="117">
        <f t="shared" si="49"/>
        <v>1096379.9966740576</v>
      </c>
      <c r="H190" s="7"/>
      <c r="I190" s="136">
        <v>2.3329</v>
      </c>
      <c r="J190" s="134">
        <v>2307085.8946052999</v>
      </c>
      <c r="K190" s="120">
        <f t="shared" si="50"/>
        <v>2557.7448942409092</v>
      </c>
      <c r="L190" s="122">
        <f t="shared" si="38"/>
        <v>9889347.5700000003</v>
      </c>
      <c r="M190" s="116">
        <f t="shared" si="39"/>
        <v>7582261.6753947008</v>
      </c>
      <c r="N190" s="123">
        <f t="shared" si="40"/>
        <v>8406.0550724996683</v>
      </c>
      <c r="O190" s="5"/>
      <c r="P190" s="5">
        <f t="shared" si="41"/>
        <v>1</v>
      </c>
      <c r="Q190" s="7">
        <f t="shared" si="42"/>
        <v>902</v>
      </c>
      <c r="W190" s="124">
        <f t="shared" si="43"/>
        <v>2307085.8946053004</v>
      </c>
      <c r="X190">
        <f t="shared" si="44"/>
        <v>0</v>
      </c>
    </row>
    <row r="191" spans="1:24">
      <c r="A191" s="23" t="s">
        <v>220</v>
      </c>
      <c r="B191" s="35" t="s">
        <v>217</v>
      </c>
      <c r="C191" s="97">
        <v>3026</v>
      </c>
      <c r="D191" s="132">
        <v>4895192706</v>
      </c>
      <c r="E191" s="116">
        <f t="shared" si="48"/>
        <v>1617710.7422339723</v>
      </c>
      <c r="F191" s="134">
        <v>3158663944</v>
      </c>
      <c r="G191" s="117">
        <f t="shared" si="49"/>
        <v>1043841.3562458692</v>
      </c>
      <c r="H191" s="7"/>
      <c r="I191" s="136">
        <v>2.0499999999999998</v>
      </c>
      <c r="J191" s="134">
        <v>6475261.0851999996</v>
      </c>
      <c r="K191" s="120">
        <f t="shared" si="50"/>
        <v>2139.8747803040314</v>
      </c>
      <c r="L191" s="122">
        <f t="shared" si="38"/>
        <v>31586639.440000001</v>
      </c>
      <c r="M191" s="116">
        <f t="shared" si="39"/>
        <v>25111378.354800001</v>
      </c>
      <c r="N191" s="123">
        <f t="shared" si="40"/>
        <v>8298.5387821546592</v>
      </c>
      <c r="O191" s="5"/>
      <c r="P191" s="5">
        <f t="shared" si="41"/>
        <v>1</v>
      </c>
      <c r="Q191" s="7">
        <f t="shared" si="42"/>
        <v>3026</v>
      </c>
      <c r="W191" s="124">
        <f t="shared" si="43"/>
        <v>6475261.0851999996</v>
      </c>
      <c r="X191">
        <f t="shared" si="44"/>
        <v>0</v>
      </c>
    </row>
    <row r="192" spans="1:24">
      <c r="A192" s="23" t="s">
        <v>221</v>
      </c>
      <c r="B192" s="35" t="s">
        <v>217</v>
      </c>
      <c r="C192" s="97">
        <v>13927</v>
      </c>
      <c r="D192" s="132">
        <v>2389611551</v>
      </c>
      <c r="E192" s="116">
        <f t="shared" si="48"/>
        <v>171581.2128240109</v>
      </c>
      <c r="F192" s="134">
        <v>1356996609</v>
      </c>
      <c r="G192" s="117">
        <f t="shared" si="49"/>
        <v>97436.39039276226</v>
      </c>
      <c r="H192" s="7"/>
      <c r="I192" s="136">
        <v>5.9671000000000003</v>
      </c>
      <c r="J192" s="134">
        <v>8097334.4655638998</v>
      </c>
      <c r="K192" s="120">
        <f t="shared" si="50"/>
        <v>581.41268511265162</v>
      </c>
      <c r="L192" s="122">
        <f t="shared" si="38"/>
        <v>13569966.09</v>
      </c>
      <c r="M192" s="116">
        <f t="shared" si="39"/>
        <v>5472631.6244361</v>
      </c>
      <c r="N192" s="123">
        <f t="shared" si="40"/>
        <v>392.9512188149709</v>
      </c>
      <c r="O192" s="5"/>
      <c r="P192" s="5">
        <f t="shared" si="41"/>
        <v>1</v>
      </c>
      <c r="Q192" s="7">
        <f t="shared" si="42"/>
        <v>13927</v>
      </c>
      <c r="W192" s="124">
        <f t="shared" si="43"/>
        <v>8097334.4655639008</v>
      </c>
      <c r="X192">
        <f t="shared" si="44"/>
        <v>0</v>
      </c>
    </row>
    <row r="193" spans="1:24">
      <c r="A193" s="23" t="s">
        <v>478</v>
      </c>
      <c r="B193" s="35" t="s">
        <v>222</v>
      </c>
      <c r="C193" s="97">
        <v>7537</v>
      </c>
      <c r="D193" s="132">
        <f>(3901468390+8318923622)</f>
        <v>12220392012</v>
      </c>
      <c r="E193" s="116">
        <f t="shared" si="48"/>
        <v>1621386.7602494361</v>
      </c>
      <c r="F193" s="134">
        <f>(2588930848+5739628966)</f>
        <v>8328559814</v>
      </c>
      <c r="G193" s="117">
        <f t="shared" si="49"/>
        <v>1105023.194109062</v>
      </c>
      <c r="H193" s="7"/>
      <c r="I193" s="136">
        <v>1.96</v>
      </c>
      <c r="J193" s="134">
        <f>(5074304.46208+11249673)</f>
        <v>16323977.46208</v>
      </c>
      <c r="K193" s="120">
        <f t="shared" si="50"/>
        <v>2165.845490524081</v>
      </c>
      <c r="L193" s="122">
        <f t="shared" si="38"/>
        <v>83285598.140000001</v>
      </c>
      <c r="M193" s="116">
        <f t="shared" si="39"/>
        <v>66961620.677919999</v>
      </c>
      <c r="N193" s="123">
        <f t="shared" si="40"/>
        <v>8884.3864505665388</v>
      </c>
      <c r="O193" s="5"/>
      <c r="P193" s="5">
        <f t="shared" si="41"/>
        <v>1</v>
      </c>
      <c r="Q193" s="7">
        <f t="shared" si="42"/>
        <v>7537</v>
      </c>
      <c r="S193" s="124">
        <f>SUM(D188:D193)</f>
        <v>34077942719</v>
      </c>
      <c r="T193" s="124">
        <f>SUM(F188:F193)</f>
        <v>21775449349</v>
      </c>
      <c r="U193" s="124">
        <f>SUM(J188:J193)</f>
        <v>71467833.790673599</v>
      </c>
      <c r="W193" s="124">
        <f t="shared" si="43"/>
        <v>16323977.235439999</v>
      </c>
      <c r="X193">
        <f t="shared" si="44"/>
        <v>1</v>
      </c>
    </row>
    <row r="194" spans="1:24">
      <c r="A194" s="23" t="s">
        <v>223</v>
      </c>
      <c r="B194" s="35" t="s">
        <v>224</v>
      </c>
      <c r="C194" s="97">
        <v>5833</v>
      </c>
      <c r="D194" s="132">
        <v>619261914</v>
      </c>
      <c r="E194" s="116">
        <f t="shared" si="48"/>
        <v>106165.25184296246</v>
      </c>
      <c r="F194" s="134">
        <v>364583575</v>
      </c>
      <c r="G194" s="117">
        <f t="shared" si="49"/>
        <v>62503.613063603632</v>
      </c>
      <c r="H194" s="7"/>
      <c r="I194" s="136">
        <v>5</v>
      </c>
      <c r="J194" s="134">
        <v>1822917.875</v>
      </c>
      <c r="K194" s="120">
        <f t="shared" si="50"/>
        <v>312.51806531801816</v>
      </c>
      <c r="L194" s="122">
        <f t="shared" si="38"/>
        <v>3645835.75</v>
      </c>
      <c r="M194" s="116">
        <f t="shared" si="39"/>
        <v>1822917.875</v>
      </c>
      <c r="N194" s="123">
        <f t="shared" si="40"/>
        <v>312.51806531801816</v>
      </c>
      <c r="O194" s="5"/>
      <c r="P194" s="5">
        <f t="shared" si="41"/>
        <v>1</v>
      </c>
      <c r="Q194" s="7">
        <f t="shared" si="42"/>
        <v>5833</v>
      </c>
      <c r="W194" s="124">
        <f t="shared" si="43"/>
        <v>1822917.875</v>
      </c>
      <c r="X194">
        <f t="shared" si="44"/>
        <v>0</v>
      </c>
    </row>
    <row r="195" spans="1:24">
      <c r="A195" s="23" t="s">
        <v>225</v>
      </c>
      <c r="B195" s="35" t="s">
        <v>224</v>
      </c>
      <c r="C195" s="97">
        <v>2015</v>
      </c>
      <c r="D195" s="132">
        <v>401452951</v>
      </c>
      <c r="E195" s="116">
        <f t="shared" si="48"/>
        <v>199232.23374689827</v>
      </c>
      <c r="F195" s="134">
        <v>244416940</v>
      </c>
      <c r="G195" s="117">
        <f t="shared" si="49"/>
        <v>121298.72952853599</v>
      </c>
      <c r="H195" s="7"/>
      <c r="I195" s="136">
        <v>5.6932999999999998</v>
      </c>
      <c r="J195" s="134">
        <v>1391538.9645019998</v>
      </c>
      <c r="K195" s="120">
        <f t="shared" si="50"/>
        <v>690.59005682481381</v>
      </c>
      <c r="L195" s="122">
        <f t="shared" si="38"/>
        <v>2444169.4</v>
      </c>
      <c r="M195" s="116">
        <f t="shared" si="39"/>
        <v>1052630.4354980001</v>
      </c>
      <c r="N195" s="123">
        <f t="shared" si="40"/>
        <v>522.39723846054596</v>
      </c>
      <c r="O195" s="5"/>
      <c r="P195" s="5">
        <f t="shared" si="41"/>
        <v>1</v>
      </c>
      <c r="Q195" s="7">
        <f t="shared" si="42"/>
        <v>2015</v>
      </c>
      <c r="W195" s="124">
        <f t="shared" si="43"/>
        <v>1391538.964502</v>
      </c>
      <c r="X195">
        <f t="shared" si="44"/>
        <v>0</v>
      </c>
    </row>
    <row r="196" spans="1:24">
      <c r="A196" s="23" t="s">
        <v>226</v>
      </c>
      <c r="B196" s="35" t="s">
        <v>224</v>
      </c>
      <c r="C196" s="97">
        <v>465</v>
      </c>
      <c r="D196" s="132">
        <v>53123750</v>
      </c>
      <c r="E196" s="116">
        <f t="shared" si="48"/>
        <v>114244.62365591398</v>
      </c>
      <c r="F196" s="134">
        <v>27903399</v>
      </c>
      <c r="G196" s="117">
        <f t="shared" si="49"/>
        <v>60007.309677419355</v>
      </c>
      <c r="H196" s="7"/>
      <c r="I196" s="136">
        <v>2.1187</v>
      </c>
      <c r="J196" s="134">
        <v>59118.931461300002</v>
      </c>
      <c r="K196" s="120">
        <f t="shared" si="50"/>
        <v>127.13748701354839</v>
      </c>
      <c r="L196" s="122">
        <f t="shared" si="38"/>
        <v>279033.99</v>
      </c>
      <c r="M196" s="116">
        <f t="shared" si="39"/>
        <v>219915.05853869999</v>
      </c>
      <c r="N196" s="123">
        <f t="shared" si="40"/>
        <v>472.93560976064515</v>
      </c>
      <c r="O196" s="5"/>
      <c r="P196" s="5">
        <f t="shared" si="41"/>
        <v>1</v>
      </c>
      <c r="Q196" s="7">
        <f t="shared" si="42"/>
        <v>465</v>
      </c>
      <c r="W196" s="124">
        <f t="shared" si="43"/>
        <v>59118.931461299995</v>
      </c>
      <c r="X196">
        <f t="shared" si="44"/>
        <v>0</v>
      </c>
    </row>
    <row r="197" spans="1:24">
      <c r="A197" s="23" t="s">
        <v>227</v>
      </c>
      <c r="B197" s="35" t="s">
        <v>224</v>
      </c>
      <c r="C197" s="97">
        <v>66368</v>
      </c>
      <c r="D197" s="132">
        <v>10593116513</v>
      </c>
      <c r="E197" s="116">
        <f t="shared" si="48"/>
        <v>159611.80859751688</v>
      </c>
      <c r="F197" s="134">
        <v>7029104910</v>
      </c>
      <c r="G197" s="117">
        <f t="shared" si="49"/>
        <v>105911.05517719383</v>
      </c>
      <c r="H197" s="9"/>
      <c r="I197" s="136">
        <v>6.6177000000000001</v>
      </c>
      <c r="J197" s="134">
        <v>46516507.562906995</v>
      </c>
      <c r="K197" s="120">
        <f t="shared" si="50"/>
        <v>700.88758984611547</v>
      </c>
      <c r="L197" s="122">
        <f t="shared" si="38"/>
        <v>70291049.099999994</v>
      </c>
      <c r="M197" s="116">
        <f t="shared" si="39"/>
        <v>23774541.537092999</v>
      </c>
      <c r="N197" s="123">
        <f t="shared" si="40"/>
        <v>358.22296192582269</v>
      </c>
      <c r="O197" s="5"/>
      <c r="P197" s="5">
        <f t="shared" si="41"/>
        <v>1</v>
      </c>
      <c r="Q197" s="7">
        <f t="shared" si="42"/>
        <v>66368</v>
      </c>
      <c r="W197" s="124">
        <f t="shared" si="43"/>
        <v>46516507.562906995</v>
      </c>
      <c r="X197">
        <f t="shared" si="44"/>
        <v>0</v>
      </c>
    </row>
    <row r="198" spans="1:24">
      <c r="A198" s="23" t="s">
        <v>228</v>
      </c>
      <c r="B198" s="35" t="s">
        <v>224</v>
      </c>
      <c r="C198" s="97">
        <v>477</v>
      </c>
      <c r="D198" s="147" t="s">
        <v>564</v>
      </c>
      <c r="E198" s="116"/>
      <c r="F198" s="134"/>
      <c r="G198" s="117"/>
      <c r="H198" s="98" t="s">
        <v>588</v>
      </c>
      <c r="I198" s="136"/>
      <c r="J198" s="134"/>
      <c r="K198" s="120"/>
      <c r="L198" s="122">
        <f t="shared" ref="L198:L261" si="51">(F198*0.01)</f>
        <v>0</v>
      </c>
      <c r="M198" s="116">
        <f t="shared" ref="M198:M261" si="52">(L198-J198)</f>
        <v>0</v>
      </c>
      <c r="N198" s="123">
        <f t="shared" ref="N198:N261" si="53">(M198/C198)</f>
        <v>0</v>
      </c>
      <c r="O198" s="5"/>
      <c r="P198" s="5">
        <f t="shared" si="41"/>
        <v>0</v>
      </c>
      <c r="Q198" s="7">
        <f t="shared" si="42"/>
        <v>0</v>
      </c>
      <c r="S198" s="124">
        <f>SUM(D194:D198)</f>
        <v>11666955128</v>
      </c>
      <c r="T198" s="124">
        <f>SUM(F194:F198)</f>
        <v>7666008824</v>
      </c>
      <c r="U198" s="124">
        <f>SUM(J194:J198)</f>
        <v>49790083.333870292</v>
      </c>
      <c r="W198" s="124">
        <f t="shared" si="43"/>
        <v>0</v>
      </c>
      <c r="X198">
        <f t="shared" si="44"/>
        <v>0</v>
      </c>
    </row>
    <row r="199" spans="1:24">
      <c r="A199" s="23" t="s">
        <v>616</v>
      </c>
      <c r="B199" s="35" t="s">
        <v>230</v>
      </c>
      <c r="C199" s="97">
        <v>6664</v>
      </c>
      <c r="D199" s="132">
        <v>2735741186</v>
      </c>
      <c r="E199" s="116">
        <f t="shared" ref="E199:E262" si="54">(D199/C199)</f>
        <v>410525.38805522211</v>
      </c>
      <c r="F199" s="134">
        <v>2355753458</v>
      </c>
      <c r="G199" s="117">
        <f t="shared" ref="G199:G262" si="55">(F199/C199)</f>
        <v>353504.42046818725</v>
      </c>
      <c r="H199" s="9"/>
      <c r="I199" s="136">
        <v>1.6304000000000001</v>
      </c>
      <c r="J199" s="134">
        <v>3840820.4379232</v>
      </c>
      <c r="K199" s="120">
        <f t="shared" ref="K199:K262" si="56">(J199/C199)</f>
        <v>576.35360713133252</v>
      </c>
      <c r="L199" s="122">
        <f t="shared" si="51"/>
        <v>23557534.580000002</v>
      </c>
      <c r="M199" s="116">
        <f t="shared" si="52"/>
        <v>19716714.142076802</v>
      </c>
      <c r="N199" s="123">
        <f t="shared" si="53"/>
        <v>2958.6905975505406</v>
      </c>
      <c r="O199" s="5"/>
      <c r="P199" s="5">
        <f t="shared" ref="P199:P262" si="57">IF(I199&gt;0,1,0)</f>
        <v>1</v>
      </c>
      <c r="Q199" s="7">
        <f t="shared" ref="Q199:Q262" si="58">IF(I199&gt;0,C199,0)</f>
        <v>6664</v>
      </c>
      <c r="W199" s="124">
        <f t="shared" ref="W199:W261" si="59">F199*(I199/1000)</f>
        <v>3840820.4379232004</v>
      </c>
      <c r="X199">
        <f t="shared" ref="X199:X262" si="60">IF(W199=J199,0,1)</f>
        <v>0</v>
      </c>
    </row>
    <row r="200" spans="1:24">
      <c r="A200" s="24" t="s">
        <v>229</v>
      </c>
      <c r="B200" s="35" t="s">
        <v>230</v>
      </c>
      <c r="C200" s="97">
        <v>786</v>
      </c>
      <c r="D200" s="132">
        <v>5328042395</v>
      </c>
      <c r="E200" s="116">
        <f t="shared" si="54"/>
        <v>6778679.8918575067</v>
      </c>
      <c r="F200" s="134">
        <v>3366635738</v>
      </c>
      <c r="G200" s="117">
        <f t="shared" si="55"/>
        <v>4283251.5750636132</v>
      </c>
      <c r="H200" s="9"/>
      <c r="I200" s="150">
        <v>2.7887</v>
      </c>
      <c r="J200" s="134">
        <v>9388537.0825606007</v>
      </c>
      <c r="K200" s="120">
        <f t="shared" si="56"/>
        <v>11944.703667379899</v>
      </c>
      <c r="L200" s="122">
        <f t="shared" si="51"/>
        <v>33666357.380000003</v>
      </c>
      <c r="M200" s="116">
        <f t="shared" si="52"/>
        <v>24277820.297439404</v>
      </c>
      <c r="N200" s="123">
        <f t="shared" si="53"/>
        <v>30887.812083256238</v>
      </c>
      <c r="O200" s="5"/>
      <c r="P200" s="5">
        <f t="shared" si="57"/>
        <v>1</v>
      </c>
      <c r="Q200" s="7">
        <f t="shared" si="58"/>
        <v>786</v>
      </c>
      <c r="W200" s="124">
        <f t="shared" si="59"/>
        <v>9388537.0825605989</v>
      </c>
      <c r="X200">
        <f t="shared" si="60"/>
        <v>0</v>
      </c>
    </row>
    <row r="201" spans="1:24">
      <c r="A201" s="23" t="s">
        <v>582</v>
      </c>
      <c r="B201" s="35" t="s">
        <v>230</v>
      </c>
      <c r="C201" s="97">
        <v>608</v>
      </c>
      <c r="D201" s="132">
        <v>96388271</v>
      </c>
      <c r="E201" s="116">
        <f t="shared" si="54"/>
        <v>158533.34046052632</v>
      </c>
      <c r="F201" s="134">
        <v>83868203</v>
      </c>
      <c r="G201" s="117">
        <f t="shared" si="55"/>
        <v>137941.12335526315</v>
      </c>
      <c r="H201" s="9"/>
      <c r="I201" s="136">
        <v>0.8</v>
      </c>
      <c r="J201" s="134">
        <v>67094.56240000001</v>
      </c>
      <c r="K201" s="120">
        <f t="shared" si="56"/>
        <v>110.35289868421054</v>
      </c>
      <c r="L201" s="122">
        <f t="shared" si="51"/>
        <v>838682.03</v>
      </c>
      <c r="M201" s="116">
        <f t="shared" si="52"/>
        <v>771587.46759999997</v>
      </c>
      <c r="N201" s="123">
        <f t="shared" si="53"/>
        <v>1269.0583348684211</v>
      </c>
      <c r="O201" s="5"/>
      <c r="P201" s="5">
        <f t="shared" si="57"/>
        <v>1</v>
      </c>
      <c r="Q201" s="7">
        <f t="shared" si="58"/>
        <v>608</v>
      </c>
      <c r="W201" s="124">
        <f t="shared" si="59"/>
        <v>67094.56240000001</v>
      </c>
      <c r="X201">
        <f t="shared" si="60"/>
        <v>0</v>
      </c>
    </row>
    <row r="202" spans="1:24">
      <c r="A202" s="24" t="s">
        <v>446</v>
      </c>
      <c r="B202" s="37" t="s">
        <v>230</v>
      </c>
      <c r="C202" s="97">
        <v>2038</v>
      </c>
      <c r="D202" s="132">
        <v>1448357668</v>
      </c>
      <c r="E202" s="116">
        <f t="shared" si="54"/>
        <v>710675.99018645729</v>
      </c>
      <c r="F202" s="134">
        <v>919266503</v>
      </c>
      <c r="G202" s="117">
        <f t="shared" si="55"/>
        <v>451063.05348380766</v>
      </c>
      <c r="H202" s="9"/>
      <c r="I202" s="136">
        <v>3.27</v>
      </c>
      <c r="J202" s="134">
        <v>3006001.4648099998</v>
      </c>
      <c r="K202" s="120">
        <f t="shared" si="56"/>
        <v>1474.9761848920509</v>
      </c>
      <c r="L202" s="122">
        <f t="shared" si="51"/>
        <v>9192665.0299999993</v>
      </c>
      <c r="M202" s="116">
        <f t="shared" si="52"/>
        <v>6186663.5651899995</v>
      </c>
      <c r="N202" s="123">
        <f t="shared" si="53"/>
        <v>3035.6543499460254</v>
      </c>
      <c r="O202" s="5"/>
      <c r="P202" s="5">
        <f t="shared" si="57"/>
        <v>1</v>
      </c>
      <c r="Q202" s="7">
        <f t="shared" si="58"/>
        <v>2038</v>
      </c>
      <c r="S202" s="124"/>
      <c r="T202" s="124"/>
      <c r="U202" s="124"/>
      <c r="W202" s="124">
        <f t="shared" si="59"/>
        <v>3006001.4648099998</v>
      </c>
      <c r="X202">
        <f t="shared" si="60"/>
        <v>0</v>
      </c>
    </row>
    <row r="203" spans="1:24">
      <c r="A203" s="23" t="s">
        <v>231</v>
      </c>
      <c r="B203" s="37" t="s">
        <v>230</v>
      </c>
      <c r="C203" s="97">
        <v>19264</v>
      </c>
      <c r="D203" s="132">
        <v>4915308101</v>
      </c>
      <c r="E203" s="116">
        <f t="shared" si="54"/>
        <v>255155.11321636214</v>
      </c>
      <c r="F203" s="134">
        <v>3175474284</v>
      </c>
      <c r="G203" s="117">
        <f t="shared" si="55"/>
        <v>164839.81955980067</v>
      </c>
      <c r="H203" s="9"/>
      <c r="I203" s="150">
        <v>5</v>
      </c>
      <c r="J203" s="134">
        <v>15877371.42</v>
      </c>
      <c r="K203" s="120">
        <f t="shared" si="56"/>
        <v>824.19909779900331</v>
      </c>
      <c r="L203" s="122">
        <f t="shared" si="51"/>
        <v>31754742.84</v>
      </c>
      <c r="M203" s="116">
        <f t="shared" si="52"/>
        <v>15877371.42</v>
      </c>
      <c r="N203" s="123">
        <f t="shared" si="53"/>
        <v>824.19909779900331</v>
      </c>
      <c r="O203" s="5"/>
      <c r="P203" s="5">
        <f t="shared" si="57"/>
        <v>1</v>
      </c>
      <c r="Q203" s="7">
        <f t="shared" si="58"/>
        <v>19264</v>
      </c>
      <c r="S203" s="124">
        <f>SUM(D199:D203)</f>
        <v>14523837621</v>
      </c>
      <c r="T203" s="124">
        <f>SUM(F199:F203)</f>
        <v>9900998186</v>
      </c>
      <c r="U203" s="124">
        <f>SUM(J199:J203)</f>
        <v>32179824.967693798</v>
      </c>
      <c r="W203" s="124">
        <f t="shared" si="59"/>
        <v>15877371.42</v>
      </c>
      <c r="X203">
        <f t="shared" si="60"/>
        <v>0</v>
      </c>
    </row>
    <row r="204" spans="1:24">
      <c r="A204" s="23" t="s">
        <v>232</v>
      </c>
      <c r="B204" s="37" t="s">
        <v>233</v>
      </c>
      <c r="C204" s="97">
        <v>40247</v>
      </c>
      <c r="D204" s="132">
        <v>16348083887</v>
      </c>
      <c r="E204" s="116">
        <f t="shared" si="54"/>
        <v>406193.85015032178</v>
      </c>
      <c r="F204" s="134">
        <v>12411990092</v>
      </c>
      <c r="G204" s="117">
        <f t="shared" si="55"/>
        <v>308395.41063930228</v>
      </c>
      <c r="H204" s="9"/>
      <c r="I204" s="136">
        <v>1.7261</v>
      </c>
      <c r="J204" s="134">
        <v>21424336.097801201</v>
      </c>
      <c r="K204" s="120">
        <f t="shared" si="56"/>
        <v>532.32131830449975</v>
      </c>
      <c r="L204" s="122">
        <f t="shared" si="51"/>
        <v>124119900.92</v>
      </c>
      <c r="M204" s="116">
        <f t="shared" si="52"/>
        <v>102695564.82219881</v>
      </c>
      <c r="N204" s="123">
        <f t="shared" si="53"/>
        <v>2551.6327880885237</v>
      </c>
      <c r="O204" s="5"/>
      <c r="P204" s="5">
        <f t="shared" si="57"/>
        <v>1</v>
      </c>
      <c r="Q204" s="7">
        <f t="shared" si="58"/>
        <v>40247</v>
      </c>
      <c r="W204" s="124">
        <f t="shared" si="59"/>
        <v>21424336.097801201</v>
      </c>
      <c r="X204">
        <f t="shared" si="60"/>
        <v>0</v>
      </c>
    </row>
    <row r="205" spans="1:24">
      <c r="A205" s="23" t="s">
        <v>234</v>
      </c>
      <c r="B205" s="37" t="s">
        <v>233</v>
      </c>
      <c r="C205" s="97">
        <v>3054</v>
      </c>
      <c r="D205" s="132">
        <v>8268905848</v>
      </c>
      <c r="E205" s="116">
        <f t="shared" si="54"/>
        <v>2707565.7655533724</v>
      </c>
      <c r="F205" s="134">
        <v>6251406643</v>
      </c>
      <c r="G205" s="117">
        <f t="shared" si="55"/>
        <v>2046956.9885396201</v>
      </c>
      <c r="H205" s="9"/>
      <c r="I205" s="136">
        <v>1.9654</v>
      </c>
      <c r="J205" s="134">
        <v>12286514.616152201</v>
      </c>
      <c r="K205" s="120">
        <f t="shared" si="56"/>
        <v>4023.0892652757698</v>
      </c>
      <c r="L205" s="122">
        <f t="shared" si="51"/>
        <v>62514066.43</v>
      </c>
      <c r="M205" s="116">
        <f t="shared" si="52"/>
        <v>50227551.813847795</v>
      </c>
      <c r="N205" s="123">
        <f t="shared" si="53"/>
        <v>16446.48062012043</v>
      </c>
      <c r="O205" s="5"/>
      <c r="P205" s="5">
        <f t="shared" si="57"/>
        <v>1</v>
      </c>
      <c r="Q205" s="7">
        <f t="shared" si="58"/>
        <v>3054</v>
      </c>
      <c r="W205" s="124">
        <f t="shared" si="59"/>
        <v>12286514.616152199</v>
      </c>
      <c r="X205">
        <f t="shared" si="60"/>
        <v>0</v>
      </c>
    </row>
    <row r="206" spans="1:24">
      <c r="A206" s="23" t="s">
        <v>235</v>
      </c>
      <c r="B206" s="37" t="s">
        <v>233</v>
      </c>
      <c r="C206" s="97">
        <v>5895</v>
      </c>
      <c r="D206" s="132">
        <v>2971070287</v>
      </c>
      <c r="E206" s="116">
        <f t="shared" si="54"/>
        <v>503998.35233248514</v>
      </c>
      <c r="F206" s="134">
        <v>1895652452</v>
      </c>
      <c r="G206" s="117">
        <f t="shared" si="55"/>
        <v>321569.54232400341</v>
      </c>
      <c r="H206" s="9"/>
      <c r="I206" s="136">
        <v>3.1728000000000001</v>
      </c>
      <c r="J206" s="134">
        <v>6014526.0997056002</v>
      </c>
      <c r="K206" s="120">
        <f t="shared" si="56"/>
        <v>1020.275843885598</v>
      </c>
      <c r="L206" s="122">
        <f t="shared" si="51"/>
        <v>18956524.52</v>
      </c>
      <c r="M206" s="116">
        <f t="shared" si="52"/>
        <v>12941998.4202944</v>
      </c>
      <c r="N206" s="123">
        <f t="shared" si="53"/>
        <v>2195.4195793544359</v>
      </c>
      <c r="O206" s="5"/>
      <c r="P206" s="5">
        <f t="shared" si="57"/>
        <v>1</v>
      </c>
      <c r="Q206" s="7">
        <f t="shared" si="58"/>
        <v>5895</v>
      </c>
      <c r="W206" s="124">
        <f t="shared" si="59"/>
        <v>6014526.0997056002</v>
      </c>
      <c r="X206">
        <f t="shared" si="60"/>
        <v>0</v>
      </c>
    </row>
    <row r="207" spans="1:24">
      <c r="A207" s="23" t="s">
        <v>236</v>
      </c>
      <c r="B207" s="37" t="s">
        <v>233</v>
      </c>
      <c r="C207" s="97">
        <v>3083</v>
      </c>
      <c r="D207" s="132">
        <v>748988523</v>
      </c>
      <c r="E207" s="116">
        <f t="shared" si="54"/>
        <v>242941.46059033409</v>
      </c>
      <c r="F207" s="134">
        <v>369779164</v>
      </c>
      <c r="G207" s="117">
        <f t="shared" si="55"/>
        <v>119941.34414531301</v>
      </c>
      <c r="H207" s="9"/>
      <c r="I207" s="136">
        <v>9.5</v>
      </c>
      <c r="J207" s="134">
        <v>3512902.0580000002</v>
      </c>
      <c r="K207" s="120">
        <f t="shared" si="56"/>
        <v>1139.4427693804737</v>
      </c>
      <c r="L207" s="122">
        <f t="shared" si="51"/>
        <v>3697791.64</v>
      </c>
      <c r="M207" s="116">
        <f t="shared" si="52"/>
        <v>184889.58199999994</v>
      </c>
      <c r="N207" s="123">
        <f t="shared" si="53"/>
        <v>59.970672072656484</v>
      </c>
      <c r="O207" s="5"/>
      <c r="P207" s="5">
        <f t="shared" si="57"/>
        <v>1</v>
      </c>
      <c r="Q207" s="7">
        <f t="shared" si="58"/>
        <v>3083</v>
      </c>
      <c r="W207" s="124">
        <f t="shared" si="59"/>
        <v>3512902.0579999997</v>
      </c>
      <c r="X207">
        <f t="shared" si="60"/>
        <v>0</v>
      </c>
    </row>
    <row r="208" spans="1:24">
      <c r="A208" s="23" t="s">
        <v>237</v>
      </c>
      <c r="B208" s="37" t="s">
        <v>233</v>
      </c>
      <c r="C208" s="97">
        <v>51677</v>
      </c>
      <c r="D208" s="132">
        <v>35383259602</v>
      </c>
      <c r="E208" s="116">
        <f t="shared" si="54"/>
        <v>684700.34255084465</v>
      </c>
      <c r="F208" s="134">
        <v>22419976269</v>
      </c>
      <c r="G208" s="117">
        <f t="shared" si="55"/>
        <v>433848.25491030829</v>
      </c>
      <c r="H208" s="9"/>
      <c r="I208" s="136">
        <v>5.5590000000000002</v>
      </c>
      <c r="J208" s="134">
        <v>124632648.07937101</v>
      </c>
      <c r="K208" s="120">
        <f t="shared" si="56"/>
        <v>2411.7624490464036</v>
      </c>
      <c r="L208" s="122">
        <f t="shared" si="51"/>
        <v>224199762.69</v>
      </c>
      <c r="M208" s="116">
        <f t="shared" si="52"/>
        <v>99567114.610628992</v>
      </c>
      <c r="N208" s="123">
        <f t="shared" si="53"/>
        <v>1926.7201000566788</v>
      </c>
      <c r="O208" s="5"/>
      <c r="P208" s="5">
        <f t="shared" si="57"/>
        <v>1</v>
      </c>
      <c r="Q208" s="7">
        <f t="shared" si="58"/>
        <v>51677</v>
      </c>
      <c r="W208" s="124">
        <f t="shared" si="59"/>
        <v>124632648.07937102</v>
      </c>
      <c r="X208">
        <f t="shared" si="60"/>
        <v>0</v>
      </c>
    </row>
    <row r="209" spans="1:24">
      <c r="A209" s="23" t="s">
        <v>524</v>
      </c>
      <c r="B209" s="37" t="s">
        <v>233</v>
      </c>
      <c r="C209" s="97">
        <v>45472</v>
      </c>
      <c r="D209" s="132">
        <v>7132768617</v>
      </c>
      <c r="E209" s="116">
        <f t="shared" si="54"/>
        <v>156860.67507477128</v>
      </c>
      <c r="F209" s="134">
        <v>3658123129</v>
      </c>
      <c r="G209" s="117">
        <f t="shared" si="55"/>
        <v>80447.816876319499</v>
      </c>
      <c r="H209" s="9"/>
      <c r="I209" s="136">
        <v>2.8332000000000002</v>
      </c>
      <c r="J209" s="134">
        <v>10364194.449082799</v>
      </c>
      <c r="K209" s="120">
        <f t="shared" si="56"/>
        <v>227.92475477398838</v>
      </c>
      <c r="L209" s="122">
        <f t="shared" si="51"/>
        <v>36581231.289999999</v>
      </c>
      <c r="M209" s="116">
        <f t="shared" si="52"/>
        <v>26217036.8409172</v>
      </c>
      <c r="N209" s="123">
        <f t="shared" si="53"/>
        <v>576.55341398920655</v>
      </c>
      <c r="O209" s="5"/>
      <c r="P209" s="5">
        <f t="shared" si="57"/>
        <v>1</v>
      </c>
      <c r="Q209" s="7">
        <f t="shared" si="58"/>
        <v>45472</v>
      </c>
      <c r="W209" s="124">
        <f t="shared" si="59"/>
        <v>10364194.449082801</v>
      </c>
      <c r="X209">
        <f t="shared" si="60"/>
        <v>0</v>
      </c>
    </row>
    <row r="210" spans="1:24">
      <c r="A210" s="23" t="s">
        <v>501</v>
      </c>
      <c r="B210" s="37" t="s">
        <v>233</v>
      </c>
      <c r="C210" s="97">
        <v>81318</v>
      </c>
      <c r="D210" s="132">
        <v>24169862238</v>
      </c>
      <c r="E210" s="116">
        <f t="shared" si="54"/>
        <v>297226.47185125062</v>
      </c>
      <c r="F210" s="134">
        <v>18169078851</v>
      </c>
      <c r="G210" s="117">
        <f t="shared" si="55"/>
        <v>223432.43625027669</v>
      </c>
      <c r="H210" s="9"/>
      <c r="I210" s="136">
        <v>1.7165999999999999</v>
      </c>
      <c r="J210" s="134">
        <v>31189040.755626597</v>
      </c>
      <c r="K210" s="120">
        <f t="shared" si="56"/>
        <v>383.54412006722492</v>
      </c>
      <c r="L210" s="122">
        <f t="shared" si="51"/>
        <v>181690788.50999999</v>
      </c>
      <c r="M210" s="116">
        <f t="shared" si="52"/>
        <v>150501747.7543734</v>
      </c>
      <c r="N210" s="123">
        <f t="shared" si="53"/>
        <v>1850.780242435542</v>
      </c>
      <c r="O210" s="5"/>
      <c r="P210" s="5">
        <f t="shared" si="57"/>
        <v>1</v>
      </c>
      <c r="Q210" s="7">
        <f t="shared" si="58"/>
        <v>81318</v>
      </c>
      <c r="W210" s="124">
        <f t="shared" si="59"/>
        <v>31189040.7556266</v>
      </c>
      <c r="X210">
        <f t="shared" si="60"/>
        <v>0</v>
      </c>
    </row>
    <row r="211" spans="1:24">
      <c r="A211" s="23" t="s">
        <v>238</v>
      </c>
      <c r="B211" s="37" t="s">
        <v>233</v>
      </c>
      <c r="C211" s="97">
        <v>1955</v>
      </c>
      <c r="D211" s="132">
        <v>562387172</v>
      </c>
      <c r="E211" s="116">
        <f t="shared" si="54"/>
        <v>287666.07263427111</v>
      </c>
      <c r="F211" s="134">
        <v>268608728</v>
      </c>
      <c r="G211" s="117">
        <f t="shared" si="55"/>
        <v>137395.76879795396</v>
      </c>
      <c r="H211" s="9"/>
      <c r="I211" s="136">
        <v>8.3000000000000007</v>
      </c>
      <c r="J211" s="134">
        <v>2229452.4424000001</v>
      </c>
      <c r="K211" s="120">
        <f t="shared" si="56"/>
        <v>1140.3848810230179</v>
      </c>
      <c r="L211" s="122">
        <f t="shared" si="51"/>
        <v>2686087.2800000003</v>
      </c>
      <c r="M211" s="116">
        <f t="shared" si="52"/>
        <v>456634.8376000002</v>
      </c>
      <c r="N211" s="123">
        <f t="shared" si="53"/>
        <v>233.57280695652184</v>
      </c>
      <c r="O211" s="5"/>
      <c r="P211" s="5">
        <f t="shared" si="57"/>
        <v>1</v>
      </c>
      <c r="Q211" s="7">
        <f t="shared" si="58"/>
        <v>1955</v>
      </c>
      <c r="W211" s="124">
        <f t="shared" si="59"/>
        <v>2229452.4424000001</v>
      </c>
      <c r="X211">
        <f t="shared" si="60"/>
        <v>0</v>
      </c>
    </row>
    <row r="212" spans="1:24">
      <c r="A212" s="23" t="s">
        <v>239</v>
      </c>
      <c r="B212" s="37" t="s">
        <v>233</v>
      </c>
      <c r="C212" s="97">
        <v>15690</v>
      </c>
      <c r="D212" s="132">
        <v>1833376285</v>
      </c>
      <c r="E212" s="116">
        <f t="shared" si="54"/>
        <v>116849.98629700446</v>
      </c>
      <c r="F212" s="134">
        <v>1099943494</v>
      </c>
      <c r="G212" s="117">
        <f t="shared" si="55"/>
        <v>70104.747864882083</v>
      </c>
      <c r="H212" s="9"/>
      <c r="I212" s="136">
        <v>6.4790000000000001</v>
      </c>
      <c r="J212" s="134">
        <v>7126533.8976260005</v>
      </c>
      <c r="K212" s="120">
        <f t="shared" si="56"/>
        <v>454.20866141657109</v>
      </c>
      <c r="L212" s="122">
        <f t="shared" si="51"/>
        <v>10999434.939999999</v>
      </c>
      <c r="M212" s="116">
        <f t="shared" si="52"/>
        <v>3872901.042373999</v>
      </c>
      <c r="N212" s="123">
        <f t="shared" si="53"/>
        <v>246.83881723224977</v>
      </c>
      <c r="O212" s="5"/>
      <c r="P212" s="5">
        <f t="shared" si="57"/>
        <v>1</v>
      </c>
      <c r="Q212" s="7">
        <f t="shared" si="58"/>
        <v>15690</v>
      </c>
      <c r="W212" s="124">
        <f t="shared" si="59"/>
        <v>7126533.8976260005</v>
      </c>
      <c r="X212">
        <f t="shared" si="60"/>
        <v>0</v>
      </c>
    </row>
    <row r="213" spans="1:24">
      <c r="A213" s="23" t="s">
        <v>240</v>
      </c>
      <c r="B213" s="37" t="s">
        <v>233</v>
      </c>
      <c r="C213" s="97">
        <v>966</v>
      </c>
      <c r="D213" s="132">
        <v>2791383644</v>
      </c>
      <c r="E213" s="116">
        <f t="shared" si="54"/>
        <v>2889631.1014492754</v>
      </c>
      <c r="F213" s="134">
        <v>1658147584</v>
      </c>
      <c r="G213" s="117">
        <f t="shared" si="55"/>
        <v>1716508.8861283644</v>
      </c>
      <c r="H213" s="9"/>
      <c r="I213" s="136">
        <v>7.6014999999999997</v>
      </c>
      <c r="J213" s="134">
        <v>12604408.859776</v>
      </c>
      <c r="K213" s="120">
        <f t="shared" si="56"/>
        <v>13048.042297904762</v>
      </c>
      <c r="L213" s="122">
        <f t="shared" si="51"/>
        <v>16581475.84</v>
      </c>
      <c r="M213" s="116">
        <f t="shared" si="52"/>
        <v>3977066.9802240003</v>
      </c>
      <c r="N213" s="123">
        <f t="shared" si="53"/>
        <v>4117.0465633788826</v>
      </c>
      <c r="O213" s="5"/>
      <c r="P213" s="5">
        <f t="shared" si="57"/>
        <v>1</v>
      </c>
      <c r="Q213" s="7">
        <f t="shared" si="58"/>
        <v>966</v>
      </c>
      <c r="W213" s="124">
        <f t="shared" si="59"/>
        <v>12604408.859776</v>
      </c>
      <c r="X213">
        <f t="shared" si="60"/>
        <v>0</v>
      </c>
    </row>
    <row r="214" spans="1:24">
      <c r="A214" s="23" t="s">
        <v>241</v>
      </c>
      <c r="B214" s="37" t="s">
        <v>233</v>
      </c>
      <c r="C214" s="97">
        <v>229054</v>
      </c>
      <c r="D214" s="132">
        <v>29974065489</v>
      </c>
      <c r="E214" s="116">
        <f t="shared" si="54"/>
        <v>130860.25779510509</v>
      </c>
      <c r="F214" s="134">
        <v>17438356966</v>
      </c>
      <c r="G214" s="117">
        <f t="shared" si="55"/>
        <v>76132.07787683254</v>
      </c>
      <c r="H214" s="9"/>
      <c r="I214" s="136">
        <v>6.3018000000000001</v>
      </c>
      <c r="J214" s="134">
        <v>109893037.92833881</v>
      </c>
      <c r="K214" s="120">
        <f t="shared" si="56"/>
        <v>479.76912836422332</v>
      </c>
      <c r="L214" s="122">
        <f t="shared" si="51"/>
        <v>174383569.66</v>
      </c>
      <c r="M214" s="116">
        <f t="shared" si="52"/>
        <v>64490531.731661186</v>
      </c>
      <c r="N214" s="123">
        <f t="shared" si="53"/>
        <v>281.55165040410202</v>
      </c>
      <c r="O214" s="5"/>
      <c r="P214" s="5">
        <f t="shared" si="57"/>
        <v>1</v>
      </c>
      <c r="Q214" s="7">
        <f t="shared" si="58"/>
        <v>229054</v>
      </c>
      <c r="W214" s="124">
        <f t="shared" si="59"/>
        <v>109893037.9283388</v>
      </c>
      <c r="X214">
        <f t="shared" si="60"/>
        <v>0</v>
      </c>
    </row>
    <row r="215" spans="1:24">
      <c r="A215" s="23" t="s">
        <v>242</v>
      </c>
      <c r="B215" s="37" t="s">
        <v>233</v>
      </c>
      <c r="C215" s="97">
        <v>23065</v>
      </c>
      <c r="D215" s="132">
        <v>3629365744</v>
      </c>
      <c r="E215" s="116">
        <f t="shared" si="54"/>
        <v>157353.81504443963</v>
      </c>
      <c r="F215" s="134">
        <v>2085368435</v>
      </c>
      <c r="G215" s="117">
        <f t="shared" si="55"/>
        <v>90412.678734012574</v>
      </c>
      <c r="H215" s="9"/>
      <c r="I215" s="136">
        <v>5.1612999999999998</v>
      </c>
      <c r="J215" s="134">
        <v>10763212.103565501</v>
      </c>
      <c r="K215" s="120">
        <f t="shared" si="56"/>
        <v>466.64695874985915</v>
      </c>
      <c r="L215" s="122">
        <f t="shared" si="51"/>
        <v>20853684.350000001</v>
      </c>
      <c r="M215" s="116">
        <f t="shared" si="52"/>
        <v>10090472.2464345</v>
      </c>
      <c r="N215" s="123">
        <f t="shared" si="53"/>
        <v>437.47982859026666</v>
      </c>
      <c r="O215" s="5"/>
      <c r="P215" s="5">
        <f t="shared" si="57"/>
        <v>1</v>
      </c>
      <c r="Q215" s="7">
        <f t="shared" si="58"/>
        <v>23065</v>
      </c>
      <c r="W215" s="124">
        <f t="shared" si="59"/>
        <v>10763212.103565499</v>
      </c>
      <c r="X215">
        <f t="shared" si="60"/>
        <v>0</v>
      </c>
    </row>
    <row r="216" spans="1:24">
      <c r="A216" s="23" t="s">
        <v>243</v>
      </c>
      <c r="B216" s="37" t="s">
        <v>233</v>
      </c>
      <c r="C216" s="97">
        <v>83767</v>
      </c>
      <c r="D216" s="132">
        <v>8943502747</v>
      </c>
      <c r="E216" s="116">
        <f t="shared" si="54"/>
        <v>106766.42051165733</v>
      </c>
      <c r="F216" s="134">
        <v>5044944487</v>
      </c>
      <c r="G216" s="117">
        <f t="shared" si="55"/>
        <v>60225.918165864838</v>
      </c>
      <c r="H216" s="9"/>
      <c r="I216" s="136">
        <v>6.0206</v>
      </c>
      <c r="J216" s="134">
        <v>30373592.778432202</v>
      </c>
      <c r="K216" s="120">
        <f t="shared" si="56"/>
        <v>362.59616290940585</v>
      </c>
      <c r="L216" s="122">
        <f t="shared" si="51"/>
        <v>50449444.870000005</v>
      </c>
      <c r="M216" s="116">
        <f t="shared" si="52"/>
        <v>20075852.091567803</v>
      </c>
      <c r="N216" s="123">
        <f t="shared" si="53"/>
        <v>239.66301874924258</v>
      </c>
      <c r="O216" s="5"/>
      <c r="P216" s="5">
        <f t="shared" si="57"/>
        <v>1</v>
      </c>
      <c r="Q216" s="7">
        <f t="shared" si="58"/>
        <v>83767</v>
      </c>
      <c r="W216" s="124">
        <f t="shared" si="59"/>
        <v>30373592.778432202</v>
      </c>
      <c r="X216">
        <f t="shared" si="60"/>
        <v>0</v>
      </c>
    </row>
    <row r="217" spans="1:24">
      <c r="A217" s="23" t="s">
        <v>244</v>
      </c>
      <c r="B217" s="37" t="s">
        <v>233</v>
      </c>
      <c r="C217" s="97">
        <v>93</v>
      </c>
      <c r="D217" s="132">
        <v>1288680909</v>
      </c>
      <c r="E217" s="116">
        <f t="shared" si="54"/>
        <v>13856783.967741935</v>
      </c>
      <c r="F217" s="134">
        <v>884968492</v>
      </c>
      <c r="G217" s="117">
        <f t="shared" si="55"/>
        <v>9515790.2365591396</v>
      </c>
      <c r="H217" s="9"/>
      <c r="I217" s="136">
        <v>5.9</v>
      </c>
      <c r="J217" s="134">
        <v>5221314.1028000005</v>
      </c>
      <c r="K217" s="120">
        <f t="shared" si="56"/>
        <v>56143.162395698928</v>
      </c>
      <c r="L217" s="122">
        <f t="shared" si="51"/>
        <v>8849684.9199999999</v>
      </c>
      <c r="M217" s="116">
        <f t="shared" si="52"/>
        <v>3628370.8171999995</v>
      </c>
      <c r="N217" s="123">
        <f t="shared" si="53"/>
        <v>39014.739969892471</v>
      </c>
      <c r="O217" s="5"/>
      <c r="P217" s="5">
        <f t="shared" si="57"/>
        <v>1</v>
      </c>
      <c r="Q217" s="7">
        <f t="shared" si="58"/>
        <v>93</v>
      </c>
      <c r="W217" s="124">
        <f t="shared" si="59"/>
        <v>5221314.1028000005</v>
      </c>
      <c r="X217">
        <f t="shared" si="60"/>
        <v>0</v>
      </c>
    </row>
    <row r="218" spans="1:24">
      <c r="A218" s="23" t="s">
        <v>246</v>
      </c>
      <c r="B218" s="37" t="s">
        <v>233</v>
      </c>
      <c r="C218" s="97">
        <v>14751</v>
      </c>
      <c r="D218" s="132">
        <v>13587118070</v>
      </c>
      <c r="E218" s="116">
        <f t="shared" si="54"/>
        <v>921098.09978984471</v>
      </c>
      <c r="F218" s="134">
        <v>9967658293</v>
      </c>
      <c r="G218" s="117">
        <f t="shared" si="55"/>
        <v>675727.63155040331</v>
      </c>
      <c r="H218" s="9"/>
      <c r="I218" s="136">
        <v>3.1244999999999998</v>
      </c>
      <c r="J218" s="134">
        <v>31143948.336478498</v>
      </c>
      <c r="K218" s="120">
        <f t="shared" si="56"/>
        <v>2111.3109847792352</v>
      </c>
      <c r="L218" s="122">
        <f t="shared" si="51"/>
        <v>99676582.930000007</v>
      </c>
      <c r="M218" s="116">
        <f t="shared" si="52"/>
        <v>68532634.593521506</v>
      </c>
      <c r="N218" s="123">
        <f t="shared" si="53"/>
        <v>4645.9653307247991</v>
      </c>
      <c r="O218" s="5"/>
      <c r="P218" s="5">
        <f t="shared" si="57"/>
        <v>1</v>
      </c>
      <c r="Q218" s="7">
        <f t="shared" si="58"/>
        <v>14751</v>
      </c>
      <c r="W218" s="124">
        <f t="shared" si="59"/>
        <v>31143948.336478498</v>
      </c>
      <c r="X218">
        <f t="shared" si="60"/>
        <v>0</v>
      </c>
    </row>
    <row r="219" spans="1:24">
      <c r="A219" s="23" t="s">
        <v>247</v>
      </c>
      <c r="B219" s="37" t="s">
        <v>233</v>
      </c>
      <c r="C219" s="97">
        <v>1053</v>
      </c>
      <c r="D219" s="132">
        <v>7148971400</v>
      </c>
      <c r="E219" s="116">
        <f t="shared" si="54"/>
        <v>6789146.6286799619</v>
      </c>
      <c r="F219" s="134">
        <v>5111681674</v>
      </c>
      <c r="G219" s="117">
        <f t="shared" si="55"/>
        <v>4854398.5508072171</v>
      </c>
      <c r="H219" s="9"/>
      <c r="I219" s="136">
        <v>3</v>
      </c>
      <c r="J219" s="134">
        <v>15335045.022</v>
      </c>
      <c r="K219" s="120">
        <f t="shared" si="56"/>
        <v>14563.195652421653</v>
      </c>
      <c r="L219" s="122">
        <f t="shared" si="51"/>
        <v>51116816.740000002</v>
      </c>
      <c r="M219" s="116">
        <f t="shared" si="52"/>
        <v>35781771.718000002</v>
      </c>
      <c r="N219" s="123">
        <f t="shared" si="53"/>
        <v>33980.789855650524</v>
      </c>
      <c r="O219" s="5"/>
      <c r="P219" s="5">
        <f t="shared" si="57"/>
        <v>1</v>
      </c>
      <c r="Q219" s="7">
        <f t="shared" si="58"/>
        <v>1053</v>
      </c>
      <c r="W219" s="124">
        <f t="shared" si="59"/>
        <v>15335045.022</v>
      </c>
      <c r="X219">
        <f t="shared" si="60"/>
        <v>0</v>
      </c>
    </row>
    <row r="220" spans="1:24">
      <c r="A220" s="23" t="s">
        <v>248</v>
      </c>
      <c r="B220" s="37" t="s">
        <v>233</v>
      </c>
      <c r="C220" s="97">
        <v>464225</v>
      </c>
      <c r="D220" s="132">
        <v>127074333059</v>
      </c>
      <c r="E220" s="116">
        <f t="shared" si="54"/>
        <v>273734.35954332491</v>
      </c>
      <c r="F220" s="134">
        <v>83434620677</v>
      </c>
      <c r="G220" s="117">
        <f t="shared" si="55"/>
        <v>179728.8398449028</v>
      </c>
      <c r="H220" s="9"/>
      <c r="I220" s="136">
        <v>7.4843000000000002</v>
      </c>
      <c r="J220" s="134">
        <v>624449731.53287113</v>
      </c>
      <c r="K220" s="120">
        <f t="shared" si="56"/>
        <v>1345.1445560512061</v>
      </c>
      <c r="L220" s="122">
        <f t="shared" si="51"/>
        <v>834346206.76999998</v>
      </c>
      <c r="M220" s="116">
        <f t="shared" si="52"/>
        <v>209896475.23712885</v>
      </c>
      <c r="N220" s="123">
        <f t="shared" si="53"/>
        <v>452.14384239782186</v>
      </c>
      <c r="O220" s="5"/>
      <c r="P220" s="5">
        <f t="shared" si="57"/>
        <v>1</v>
      </c>
      <c r="Q220" s="7">
        <f t="shared" si="58"/>
        <v>464225</v>
      </c>
      <c r="W220" s="124">
        <f t="shared" si="59"/>
        <v>624449731.53287113</v>
      </c>
      <c r="X220">
        <f t="shared" si="60"/>
        <v>0</v>
      </c>
    </row>
    <row r="221" spans="1:24">
      <c r="A221" s="23" t="s">
        <v>249</v>
      </c>
      <c r="B221" s="37" t="s">
        <v>233</v>
      </c>
      <c r="C221" s="97">
        <v>83430</v>
      </c>
      <c r="D221" s="132">
        <v>72496430399</v>
      </c>
      <c r="E221" s="116">
        <f t="shared" si="54"/>
        <v>868949.18373486761</v>
      </c>
      <c r="F221" s="134">
        <v>51198493690</v>
      </c>
      <c r="G221" s="117">
        <f t="shared" si="55"/>
        <v>613670.06700227736</v>
      </c>
      <c r="H221" s="9"/>
      <c r="I221" s="136">
        <v>5.8155000000000001</v>
      </c>
      <c r="J221" s="134">
        <v>297744840.05419499</v>
      </c>
      <c r="K221" s="120">
        <f t="shared" si="56"/>
        <v>3568.7982746517437</v>
      </c>
      <c r="L221" s="122">
        <f t="shared" si="51"/>
        <v>511984936.90000004</v>
      </c>
      <c r="M221" s="116">
        <f t="shared" si="52"/>
        <v>214240096.84580505</v>
      </c>
      <c r="N221" s="123">
        <f t="shared" si="53"/>
        <v>2567.9023953710303</v>
      </c>
      <c r="O221" s="5"/>
      <c r="P221" s="5">
        <f t="shared" si="57"/>
        <v>1</v>
      </c>
      <c r="Q221" s="7">
        <f t="shared" si="58"/>
        <v>83430</v>
      </c>
      <c r="W221" s="124">
        <f t="shared" si="59"/>
        <v>297744840.05419505</v>
      </c>
      <c r="X221">
        <f t="shared" si="60"/>
        <v>0</v>
      </c>
    </row>
    <row r="222" spans="1:24">
      <c r="A222" s="23" t="s">
        <v>500</v>
      </c>
      <c r="B222" s="37" t="s">
        <v>233</v>
      </c>
      <c r="C222" s="97">
        <v>115299</v>
      </c>
      <c r="D222" s="132">
        <v>14682337979</v>
      </c>
      <c r="E222" s="116">
        <f t="shared" si="54"/>
        <v>127341.41648236325</v>
      </c>
      <c r="F222" s="134">
        <v>7824599804</v>
      </c>
      <c r="G222" s="117">
        <f t="shared" si="55"/>
        <v>67863.553057702142</v>
      </c>
      <c r="H222" s="9"/>
      <c r="I222" s="136">
        <v>6.9363000000000001</v>
      </c>
      <c r="J222" s="134">
        <v>54273771.620485201</v>
      </c>
      <c r="K222" s="120">
        <f t="shared" si="56"/>
        <v>470.72196307413941</v>
      </c>
      <c r="L222" s="122">
        <f t="shared" si="51"/>
        <v>78245998.040000007</v>
      </c>
      <c r="M222" s="116">
        <f t="shared" si="52"/>
        <v>23972226.419514805</v>
      </c>
      <c r="N222" s="123">
        <f t="shared" si="53"/>
        <v>207.9135675028821</v>
      </c>
      <c r="O222" s="5"/>
      <c r="P222" s="5">
        <f t="shared" si="57"/>
        <v>1</v>
      </c>
      <c r="Q222" s="7">
        <f t="shared" si="58"/>
        <v>115299</v>
      </c>
      <c r="W222" s="124">
        <f t="shared" si="59"/>
        <v>54273771.620485201</v>
      </c>
      <c r="X222">
        <f t="shared" si="60"/>
        <v>0</v>
      </c>
    </row>
    <row r="223" spans="1:24">
      <c r="A223" s="23" t="s">
        <v>459</v>
      </c>
      <c r="B223" s="37" t="s">
        <v>233</v>
      </c>
      <c r="C223" s="97">
        <v>30902</v>
      </c>
      <c r="D223" s="132">
        <v>7076131248</v>
      </c>
      <c r="E223" s="116">
        <f t="shared" si="54"/>
        <v>228986.1901495049</v>
      </c>
      <c r="F223" s="134">
        <v>4510006025</v>
      </c>
      <c r="G223" s="117">
        <f t="shared" si="55"/>
        <v>145945.44123357712</v>
      </c>
      <c r="H223" s="9"/>
      <c r="I223" s="136">
        <v>2.0731999999999999</v>
      </c>
      <c r="J223" s="134">
        <v>9350144.4910299983</v>
      </c>
      <c r="K223" s="120">
        <f t="shared" si="56"/>
        <v>302.57408876545202</v>
      </c>
      <c r="L223" s="122">
        <f t="shared" si="51"/>
        <v>45100060.25</v>
      </c>
      <c r="M223" s="116">
        <f t="shared" si="52"/>
        <v>35749915.75897</v>
      </c>
      <c r="N223" s="123">
        <f t="shared" si="53"/>
        <v>1156.880323570319</v>
      </c>
      <c r="O223" s="5"/>
      <c r="P223" s="5">
        <f t="shared" si="57"/>
        <v>1</v>
      </c>
      <c r="Q223" s="7">
        <f t="shared" si="58"/>
        <v>30902</v>
      </c>
      <c r="W223" s="124">
        <f t="shared" si="59"/>
        <v>9350144.4910300002</v>
      </c>
      <c r="X223">
        <f t="shared" si="60"/>
        <v>0</v>
      </c>
    </row>
    <row r="224" spans="1:24">
      <c r="A224" s="23" t="s">
        <v>250</v>
      </c>
      <c r="B224" s="37" t="s">
        <v>233</v>
      </c>
      <c r="C224" s="97">
        <v>11612</v>
      </c>
      <c r="D224" s="132">
        <v>3717890354</v>
      </c>
      <c r="E224" s="116">
        <f t="shared" si="54"/>
        <v>320176.57199448848</v>
      </c>
      <c r="F224" s="134">
        <v>1757077325</v>
      </c>
      <c r="G224" s="117">
        <f t="shared" si="55"/>
        <v>151315.64975887013</v>
      </c>
      <c r="H224" s="9"/>
      <c r="I224" s="136">
        <v>7.8</v>
      </c>
      <c r="J224" s="134">
        <v>13705203.135</v>
      </c>
      <c r="K224" s="120">
        <f t="shared" si="56"/>
        <v>1180.262068119187</v>
      </c>
      <c r="L224" s="122">
        <f t="shared" si="51"/>
        <v>17570773.25</v>
      </c>
      <c r="M224" s="116">
        <f t="shared" si="52"/>
        <v>3865570.1150000002</v>
      </c>
      <c r="N224" s="123">
        <f t="shared" si="53"/>
        <v>332.89442946951431</v>
      </c>
      <c r="O224" s="5"/>
      <c r="P224" s="5">
        <f t="shared" si="57"/>
        <v>1</v>
      </c>
      <c r="Q224" s="7">
        <f t="shared" si="58"/>
        <v>11612</v>
      </c>
      <c r="W224" s="124">
        <f t="shared" si="59"/>
        <v>13705203.135</v>
      </c>
      <c r="X224">
        <f t="shared" si="60"/>
        <v>0</v>
      </c>
    </row>
    <row r="225" spans="1:24">
      <c r="A225" s="24" t="s">
        <v>251</v>
      </c>
      <c r="B225" s="37" t="s">
        <v>233</v>
      </c>
      <c r="C225" s="97">
        <v>13887</v>
      </c>
      <c r="D225" s="132">
        <v>2805492786</v>
      </c>
      <c r="E225" s="116">
        <f t="shared" si="54"/>
        <v>202022.95571397711</v>
      </c>
      <c r="F225" s="134">
        <v>1603156726</v>
      </c>
      <c r="G225" s="117">
        <f t="shared" si="55"/>
        <v>115442.98451789444</v>
      </c>
      <c r="H225" s="9"/>
      <c r="I225" s="136">
        <v>6.91</v>
      </c>
      <c r="J225" s="134">
        <v>11077812.97666</v>
      </c>
      <c r="K225" s="120">
        <f t="shared" si="56"/>
        <v>797.71102301865051</v>
      </c>
      <c r="L225" s="122">
        <f t="shared" si="51"/>
        <v>16031567.26</v>
      </c>
      <c r="M225" s="116">
        <f t="shared" si="52"/>
        <v>4953754.2833399996</v>
      </c>
      <c r="N225" s="123">
        <f t="shared" si="53"/>
        <v>356.71882216029377</v>
      </c>
      <c r="O225" s="5"/>
      <c r="P225" s="5">
        <f t="shared" si="57"/>
        <v>1</v>
      </c>
      <c r="Q225" s="7">
        <f t="shared" si="58"/>
        <v>13887</v>
      </c>
      <c r="W225" s="124">
        <f t="shared" si="59"/>
        <v>11077812.97666</v>
      </c>
      <c r="X225">
        <f t="shared" si="60"/>
        <v>0</v>
      </c>
    </row>
    <row r="226" spans="1:24">
      <c r="A226" s="23" t="s">
        <v>599</v>
      </c>
      <c r="B226" s="37" t="s">
        <v>233</v>
      </c>
      <c r="C226" s="97">
        <v>8177</v>
      </c>
      <c r="D226" s="132">
        <v>2050888213</v>
      </c>
      <c r="E226" s="116">
        <f t="shared" si="54"/>
        <v>250811.81521340346</v>
      </c>
      <c r="F226" s="134">
        <v>1468061591</v>
      </c>
      <c r="G226" s="117">
        <f t="shared" si="55"/>
        <v>179535.47645835881</v>
      </c>
      <c r="H226" s="9"/>
      <c r="I226" s="136">
        <v>5.7061999999999999</v>
      </c>
      <c r="J226" s="134">
        <v>8377053.0505641997</v>
      </c>
      <c r="K226" s="120">
        <f t="shared" si="56"/>
        <v>1024.4653357666871</v>
      </c>
      <c r="L226" s="122">
        <f t="shared" si="51"/>
        <v>14680615.91</v>
      </c>
      <c r="M226" s="116">
        <f t="shared" si="52"/>
        <v>6303562.8594358005</v>
      </c>
      <c r="N226" s="123">
        <f t="shared" si="53"/>
        <v>770.88942881690116</v>
      </c>
      <c r="O226" s="5"/>
      <c r="P226" s="5">
        <f t="shared" si="57"/>
        <v>1</v>
      </c>
      <c r="Q226" s="7">
        <f t="shared" si="58"/>
        <v>8177</v>
      </c>
      <c r="W226" s="124">
        <f t="shared" si="59"/>
        <v>8377053.0505641997</v>
      </c>
      <c r="X226">
        <f t="shared" si="60"/>
        <v>0</v>
      </c>
    </row>
    <row r="227" spans="1:24">
      <c r="A227" s="23" t="s">
        <v>253</v>
      </c>
      <c r="B227" s="37" t="s">
        <v>233</v>
      </c>
      <c r="C227" s="97">
        <v>60172</v>
      </c>
      <c r="D227" s="132">
        <v>9702070448</v>
      </c>
      <c r="E227" s="116">
        <f t="shared" si="54"/>
        <v>161238.95579339226</v>
      </c>
      <c r="F227" s="134">
        <v>5220883761</v>
      </c>
      <c r="G227" s="117">
        <f t="shared" si="55"/>
        <v>86766.000149571235</v>
      </c>
      <c r="H227" s="9"/>
      <c r="I227" s="136">
        <v>7.4</v>
      </c>
      <c r="J227" s="134">
        <v>38634539.8314</v>
      </c>
      <c r="K227" s="120">
        <f t="shared" si="56"/>
        <v>642.06840110682708</v>
      </c>
      <c r="L227" s="122">
        <f t="shared" si="51"/>
        <v>52208837.609999999</v>
      </c>
      <c r="M227" s="116">
        <f t="shared" si="52"/>
        <v>13574297.7786</v>
      </c>
      <c r="N227" s="123">
        <f t="shared" si="53"/>
        <v>225.59160038888518</v>
      </c>
      <c r="O227" s="5"/>
      <c r="P227" s="5">
        <f t="shared" si="57"/>
        <v>1</v>
      </c>
      <c r="Q227" s="7">
        <f t="shared" si="58"/>
        <v>60172</v>
      </c>
      <c r="W227" s="124">
        <f t="shared" si="59"/>
        <v>38634539.8314</v>
      </c>
      <c r="X227">
        <f t="shared" si="60"/>
        <v>0</v>
      </c>
    </row>
    <row r="228" spans="1:24">
      <c r="A228" s="23" t="s">
        <v>254</v>
      </c>
      <c r="B228" s="37" t="s">
        <v>233</v>
      </c>
      <c r="C228" s="97">
        <v>43100</v>
      </c>
      <c r="D228" s="132">
        <v>7881076000</v>
      </c>
      <c r="E228" s="116">
        <f t="shared" si="54"/>
        <v>182855.59164733178</v>
      </c>
      <c r="F228" s="134">
        <v>4716401522</v>
      </c>
      <c r="G228" s="117">
        <f t="shared" si="55"/>
        <v>109429.26965197216</v>
      </c>
      <c r="H228" s="9"/>
      <c r="I228" s="136">
        <v>6.1</v>
      </c>
      <c r="J228" s="134">
        <v>28770049.284199998</v>
      </c>
      <c r="K228" s="120">
        <f t="shared" si="56"/>
        <v>667.51854487703008</v>
      </c>
      <c r="L228" s="122">
        <f t="shared" si="51"/>
        <v>47164015.219999999</v>
      </c>
      <c r="M228" s="116">
        <f t="shared" si="52"/>
        <v>18393965.935800001</v>
      </c>
      <c r="N228" s="123">
        <f t="shared" si="53"/>
        <v>426.77415164269144</v>
      </c>
      <c r="O228" s="5"/>
      <c r="P228" s="5">
        <f t="shared" si="57"/>
        <v>1</v>
      </c>
      <c r="Q228" s="7">
        <f t="shared" si="58"/>
        <v>43100</v>
      </c>
      <c r="W228" s="124">
        <f t="shared" si="59"/>
        <v>28770049.284199998</v>
      </c>
      <c r="X228">
        <f t="shared" si="60"/>
        <v>0</v>
      </c>
    </row>
    <row r="229" spans="1:24">
      <c r="A229" s="23" t="s">
        <v>255</v>
      </c>
      <c r="B229" s="37" t="s">
        <v>233</v>
      </c>
      <c r="C229" s="97">
        <v>16723</v>
      </c>
      <c r="D229" s="132">
        <v>2912816652</v>
      </c>
      <c r="E229" s="116">
        <f t="shared" si="54"/>
        <v>174180.26980804879</v>
      </c>
      <c r="F229" s="134">
        <v>1681341195</v>
      </c>
      <c r="G229" s="117">
        <f t="shared" si="55"/>
        <v>100540.644322191</v>
      </c>
      <c r="H229" s="9"/>
      <c r="I229" s="136">
        <v>9.35</v>
      </c>
      <c r="J229" s="134">
        <v>15720540.173250001</v>
      </c>
      <c r="K229" s="120">
        <f t="shared" si="56"/>
        <v>940.05502441248586</v>
      </c>
      <c r="L229" s="122">
        <f t="shared" si="51"/>
        <v>16813411.949999999</v>
      </c>
      <c r="M229" s="116">
        <f t="shared" si="52"/>
        <v>1092871.7767499983</v>
      </c>
      <c r="N229" s="123">
        <f t="shared" si="53"/>
        <v>65.351418809424047</v>
      </c>
      <c r="O229" s="5"/>
      <c r="P229" s="5">
        <f t="shared" si="57"/>
        <v>1</v>
      </c>
      <c r="Q229" s="7">
        <f t="shared" si="58"/>
        <v>16723</v>
      </c>
      <c r="W229" s="124">
        <f t="shared" si="59"/>
        <v>15720540.173249999</v>
      </c>
      <c r="X229">
        <f t="shared" si="60"/>
        <v>0</v>
      </c>
    </row>
    <row r="230" spans="1:24">
      <c r="A230" s="23" t="s">
        <v>493</v>
      </c>
      <c r="B230" s="37" t="s">
        <v>233</v>
      </c>
      <c r="C230" s="97">
        <v>25064</v>
      </c>
      <c r="D230" s="132">
        <v>7373760583</v>
      </c>
      <c r="E230" s="116">
        <f t="shared" si="54"/>
        <v>294197.27828758379</v>
      </c>
      <c r="F230" s="134">
        <v>4158891326</v>
      </c>
      <c r="G230" s="117">
        <f t="shared" si="55"/>
        <v>165930.87001276732</v>
      </c>
      <c r="H230" s="9"/>
      <c r="I230" s="136">
        <v>2.35</v>
      </c>
      <c r="J230" s="134">
        <v>9773394.6161000002</v>
      </c>
      <c r="K230" s="120">
        <f t="shared" si="56"/>
        <v>389.93754453000321</v>
      </c>
      <c r="L230" s="122">
        <f t="shared" si="51"/>
        <v>41588913.259999998</v>
      </c>
      <c r="M230" s="116">
        <f t="shared" si="52"/>
        <v>31815518.6439</v>
      </c>
      <c r="N230" s="123">
        <f t="shared" si="53"/>
        <v>1269.3711555976699</v>
      </c>
      <c r="O230" s="5"/>
      <c r="P230" s="5">
        <f t="shared" si="57"/>
        <v>1</v>
      </c>
      <c r="Q230" s="7">
        <f t="shared" si="58"/>
        <v>25064</v>
      </c>
      <c r="W230" s="124">
        <f t="shared" si="59"/>
        <v>9773394.6161000002</v>
      </c>
      <c r="X230">
        <f t="shared" si="60"/>
        <v>0</v>
      </c>
    </row>
    <row r="231" spans="1:24">
      <c r="A231" s="23" t="s">
        <v>256</v>
      </c>
      <c r="B231" s="37" t="s">
        <v>233</v>
      </c>
      <c r="C231" s="97">
        <v>18395</v>
      </c>
      <c r="D231" s="132">
        <v>11546085439</v>
      </c>
      <c r="E231" s="116">
        <f t="shared" si="54"/>
        <v>627675.20733895083</v>
      </c>
      <c r="F231" s="134">
        <v>6804518244</v>
      </c>
      <c r="G231" s="117">
        <f t="shared" si="55"/>
        <v>369911.2935036695</v>
      </c>
      <c r="H231" s="9"/>
      <c r="I231" s="150">
        <v>2.35</v>
      </c>
      <c r="J231" s="134">
        <v>15990617.873400001</v>
      </c>
      <c r="K231" s="120">
        <f t="shared" si="56"/>
        <v>869.29153973362327</v>
      </c>
      <c r="L231" s="122">
        <f t="shared" si="51"/>
        <v>68045182.439999998</v>
      </c>
      <c r="M231" s="116">
        <f t="shared" si="52"/>
        <v>52054564.566599995</v>
      </c>
      <c r="N231" s="123">
        <f t="shared" si="53"/>
        <v>2829.8213953030713</v>
      </c>
      <c r="O231" s="5"/>
      <c r="P231" s="5">
        <f t="shared" si="57"/>
        <v>1</v>
      </c>
      <c r="Q231" s="7">
        <f t="shared" si="58"/>
        <v>18395</v>
      </c>
      <c r="W231" s="124">
        <f t="shared" si="59"/>
        <v>15990617.873400001</v>
      </c>
      <c r="X231">
        <f t="shared" si="60"/>
        <v>0</v>
      </c>
    </row>
    <row r="232" spans="1:24">
      <c r="A232" s="23" t="s">
        <v>257</v>
      </c>
      <c r="B232" s="37" t="s">
        <v>233</v>
      </c>
      <c r="C232" s="97">
        <v>11981</v>
      </c>
      <c r="D232" s="132">
        <v>4224567520</v>
      </c>
      <c r="E232" s="116">
        <f t="shared" si="54"/>
        <v>352605.58551039145</v>
      </c>
      <c r="F232" s="134">
        <v>2593338388</v>
      </c>
      <c r="G232" s="117">
        <f t="shared" si="55"/>
        <v>216454.25156497789</v>
      </c>
      <c r="H232" s="9"/>
      <c r="I232" s="136">
        <v>3.95</v>
      </c>
      <c r="J232" s="134">
        <v>10243686.6326</v>
      </c>
      <c r="K232" s="120">
        <f t="shared" si="56"/>
        <v>854.99429368166261</v>
      </c>
      <c r="L232" s="122">
        <f t="shared" si="51"/>
        <v>25933383.879999999</v>
      </c>
      <c r="M232" s="116">
        <f t="shared" si="52"/>
        <v>15689697.247399999</v>
      </c>
      <c r="N232" s="123">
        <f t="shared" si="53"/>
        <v>1309.5482219681162</v>
      </c>
      <c r="O232" s="5"/>
      <c r="P232" s="5">
        <f t="shared" si="57"/>
        <v>1</v>
      </c>
      <c r="Q232" s="7">
        <f t="shared" si="58"/>
        <v>11981</v>
      </c>
      <c r="W232" s="124">
        <f t="shared" si="59"/>
        <v>10243686.6326</v>
      </c>
      <c r="X232">
        <f t="shared" si="60"/>
        <v>0</v>
      </c>
    </row>
    <row r="233" spans="1:24">
      <c r="A233" s="23" t="s">
        <v>258</v>
      </c>
      <c r="B233" s="37" t="s">
        <v>233</v>
      </c>
      <c r="C233" s="97">
        <v>22783</v>
      </c>
      <c r="D233" s="132">
        <v>19757946125</v>
      </c>
      <c r="E233" s="116">
        <f t="shared" si="54"/>
        <v>867223.1982179695</v>
      </c>
      <c r="F233" s="134">
        <v>15763400223</v>
      </c>
      <c r="G233" s="117">
        <f t="shared" si="55"/>
        <v>691893.08796032134</v>
      </c>
      <c r="H233" s="9"/>
      <c r="I233" s="136">
        <v>1.9</v>
      </c>
      <c r="J233" s="134">
        <v>29950460.423699997</v>
      </c>
      <c r="K233" s="120">
        <f t="shared" si="56"/>
        <v>1314.5968671246103</v>
      </c>
      <c r="L233" s="122">
        <f t="shared" si="51"/>
        <v>157634002.22999999</v>
      </c>
      <c r="M233" s="116">
        <f t="shared" si="52"/>
        <v>127683541.80629998</v>
      </c>
      <c r="N233" s="123">
        <f t="shared" si="53"/>
        <v>5604.3340124786018</v>
      </c>
      <c r="O233" s="5"/>
      <c r="P233" s="5">
        <f t="shared" si="57"/>
        <v>1</v>
      </c>
      <c r="Q233" s="7">
        <f t="shared" si="58"/>
        <v>22783</v>
      </c>
      <c r="W233" s="124">
        <f t="shared" si="59"/>
        <v>29950460.423700001</v>
      </c>
      <c r="X233">
        <f t="shared" si="60"/>
        <v>0</v>
      </c>
    </row>
    <row r="234" spans="1:24">
      <c r="A234" s="23" t="s">
        <v>259</v>
      </c>
      <c r="B234" s="37" t="s">
        <v>233</v>
      </c>
      <c r="C234" s="97">
        <v>5398</v>
      </c>
      <c r="D234" s="132">
        <v>5885212711</v>
      </c>
      <c r="E234" s="116">
        <f t="shared" si="54"/>
        <v>1090258.0050018525</v>
      </c>
      <c r="F234" s="134">
        <v>4068580597</v>
      </c>
      <c r="G234" s="117">
        <f t="shared" si="55"/>
        <v>753720.00685439049</v>
      </c>
      <c r="H234" s="9"/>
      <c r="I234" s="136">
        <v>4.0999999999999996</v>
      </c>
      <c r="J234" s="134">
        <v>16681180.447699999</v>
      </c>
      <c r="K234" s="120">
        <f t="shared" si="56"/>
        <v>3090.2520281030011</v>
      </c>
      <c r="L234" s="122">
        <f t="shared" si="51"/>
        <v>40685805.969999999</v>
      </c>
      <c r="M234" s="116">
        <f t="shared" si="52"/>
        <v>24004625.522299998</v>
      </c>
      <c r="N234" s="123">
        <f t="shared" si="53"/>
        <v>4446.9480404409032</v>
      </c>
      <c r="O234" s="5"/>
      <c r="P234" s="5">
        <f t="shared" si="57"/>
        <v>1</v>
      </c>
      <c r="Q234" s="7">
        <f t="shared" si="58"/>
        <v>5398</v>
      </c>
      <c r="W234" s="124">
        <f t="shared" si="59"/>
        <v>16681180.447699998</v>
      </c>
      <c r="X234">
        <f t="shared" si="60"/>
        <v>0</v>
      </c>
    </row>
    <row r="235" spans="1:24">
      <c r="A235" s="23" t="s">
        <v>260</v>
      </c>
      <c r="B235" s="35" t="s">
        <v>233</v>
      </c>
      <c r="C235" s="97">
        <v>20571</v>
      </c>
      <c r="D235" s="132">
        <v>4876898611</v>
      </c>
      <c r="E235" s="116">
        <f t="shared" si="54"/>
        <v>237076.39934859754</v>
      </c>
      <c r="F235" s="134">
        <v>3668558591</v>
      </c>
      <c r="G235" s="117">
        <f t="shared" si="55"/>
        <v>178336.42462690195</v>
      </c>
      <c r="H235" s="9"/>
      <c r="I235" s="150">
        <v>3.5634000000000001</v>
      </c>
      <c r="J235" s="134">
        <v>13072541.6831694</v>
      </c>
      <c r="K235" s="120">
        <f t="shared" si="56"/>
        <v>635.48401551550239</v>
      </c>
      <c r="L235" s="122">
        <f t="shared" si="51"/>
        <v>36685585.910000004</v>
      </c>
      <c r="M235" s="116">
        <f t="shared" si="52"/>
        <v>23613044.226830602</v>
      </c>
      <c r="N235" s="123">
        <f t="shared" si="53"/>
        <v>1147.8802307535173</v>
      </c>
      <c r="O235" s="5"/>
      <c r="P235" s="5">
        <f t="shared" si="57"/>
        <v>1</v>
      </c>
      <c r="Q235" s="7">
        <f t="shared" si="58"/>
        <v>20571</v>
      </c>
      <c r="W235" s="124">
        <f t="shared" si="59"/>
        <v>13072541.6831694</v>
      </c>
      <c r="X235">
        <f t="shared" si="60"/>
        <v>0</v>
      </c>
    </row>
    <row r="236" spans="1:24">
      <c r="A236" s="23" t="s">
        <v>261</v>
      </c>
      <c r="B236" s="35" t="s">
        <v>233</v>
      </c>
      <c r="C236" s="97">
        <v>2382</v>
      </c>
      <c r="D236" s="132">
        <v>542016499</v>
      </c>
      <c r="E236" s="116">
        <f t="shared" si="54"/>
        <v>227546.80898404701</v>
      </c>
      <c r="F236" s="134">
        <v>374134453</v>
      </c>
      <c r="G236" s="117">
        <f t="shared" si="55"/>
        <v>157067.3606213266</v>
      </c>
      <c r="H236" s="9"/>
      <c r="I236" s="136">
        <v>4.8499999999999996</v>
      </c>
      <c r="J236" s="134">
        <v>1814552.09705</v>
      </c>
      <c r="K236" s="120">
        <f t="shared" si="56"/>
        <v>761.77669901343404</v>
      </c>
      <c r="L236" s="122">
        <f t="shared" si="51"/>
        <v>3741344.5300000003</v>
      </c>
      <c r="M236" s="116">
        <f t="shared" si="52"/>
        <v>1926792.4329500003</v>
      </c>
      <c r="N236" s="123">
        <f t="shared" si="53"/>
        <v>808.89690719983219</v>
      </c>
      <c r="O236" s="5"/>
      <c r="P236" s="5">
        <f t="shared" si="57"/>
        <v>1</v>
      </c>
      <c r="Q236" s="7">
        <f t="shared" si="58"/>
        <v>2382</v>
      </c>
      <c r="S236" s="124"/>
      <c r="T236" s="124"/>
      <c r="U236" s="124"/>
      <c r="W236" s="124">
        <f t="shared" si="59"/>
        <v>1814552.0970499997</v>
      </c>
      <c r="X236">
        <f t="shared" si="60"/>
        <v>0</v>
      </c>
    </row>
    <row r="237" spans="1:24">
      <c r="A237" s="23" t="s">
        <v>262</v>
      </c>
      <c r="B237" s="35" t="s">
        <v>233</v>
      </c>
      <c r="C237" s="97">
        <v>7305</v>
      </c>
      <c r="D237" s="132">
        <v>1305606333</v>
      </c>
      <c r="E237" s="116">
        <f t="shared" si="54"/>
        <v>178727.76632443533</v>
      </c>
      <c r="F237" s="134">
        <v>893649271</v>
      </c>
      <c r="G237" s="117">
        <f t="shared" si="55"/>
        <v>122333.91800136892</v>
      </c>
      <c r="H237" s="7"/>
      <c r="I237" s="136">
        <v>5.95</v>
      </c>
      <c r="J237" s="134">
        <v>5317213.1624499997</v>
      </c>
      <c r="K237" s="120">
        <f t="shared" si="56"/>
        <v>727.88681210814502</v>
      </c>
      <c r="L237" s="122">
        <f t="shared" si="51"/>
        <v>8936492.7100000009</v>
      </c>
      <c r="M237" s="116">
        <f t="shared" si="52"/>
        <v>3619279.5475500012</v>
      </c>
      <c r="N237" s="123">
        <f t="shared" si="53"/>
        <v>495.45236790554429</v>
      </c>
      <c r="O237" s="5"/>
      <c r="P237" s="5">
        <f t="shared" si="57"/>
        <v>1</v>
      </c>
      <c r="Q237" s="7">
        <f t="shared" si="58"/>
        <v>7305</v>
      </c>
      <c r="S237" s="124">
        <f>SUM(D204:D237)</f>
        <v>470693351421</v>
      </c>
      <c r="T237" s="124">
        <f>SUM(F204:F237)</f>
        <v>310475398162</v>
      </c>
      <c r="U237" s="124">
        <f>SUM(J204:J237)</f>
        <v>1639062040.7129815</v>
      </c>
      <c r="W237" s="124">
        <f t="shared" si="59"/>
        <v>5317213.1624500006</v>
      </c>
      <c r="X237">
        <f t="shared" si="60"/>
        <v>0</v>
      </c>
    </row>
    <row r="238" spans="1:24">
      <c r="A238" s="23" t="s">
        <v>263</v>
      </c>
      <c r="B238" s="35" t="s">
        <v>264</v>
      </c>
      <c r="C238" s="97">
        <v>7307</v>
      </c>
      <c r="D238" s="132">
        <v>8843981430</v>
      </c>
      <c r="E238" s="116">
        <f t="shared" si="54"/>
        <v>1210343.7019296566</v>
      </c>
      <c r="F238" s="134">
        <v>5829817296</v>
      </c>
      <c r="G238" s="117">
        <f t="shared" si="55"/>
        <v>797840.05693170929</v>
      </c>
      <c r="H238" s="7"/>
      <c r="I238" s="136">
        <v>2.7991999999999999</v>
      </c>
      <c r="J238" s="134">
        <v>16318824.574963199</v>
      </c>
      <c r="K238" s="120">
        <f t="shared" si="56"/>
        <v>2233.3138873632406</v>
      </c>
      <c r="L238" s="122">
        <f t="shared" si="51"/>
        <v>58298172.960000001</v>
      </c>
      <c r="M238" s="116">
        <f t="shared" si="52"/>
        <v>41979348.385036804</v>
      </c>
      <c r="N238" s="123">
        <f t="shared" si="53"/>
        <v>5745.0866819538533</v>
      </c>
      <c r="O238" s="5"/>
      <c r="P238" s="5">
        <f t="shared" si="57"/>
        <v>1</v>
      </c>
      <c r="Q238" s="7">
        <f t="shared" si="58"/>
        <v>7307</v>
      </c>
      <c r="W238" s="124">
        <f t="shared" si="59"/>
        <v>16318824.574963199</v>
      </c>
      <c r="X238">
        <f t="shared" si="60"/>
        <v>0</v>
      </c>
    </row>
    <row r="239" spans="1:24">
      <c r="A239" s="23" t="s">
        <v>265</v>
      </c>
      <c r="B239" s="35" t="s">
        <v>264</v>
      </c>
      <c r="C239" s="97">
        <v>800</v>
      </c>
      <c r="D239" s="132">
        <v>1443109437</v>
      </c>
      <c r="E239" s="116">
        <f t="shared" si="54"/>
        <v>1803886.7962499999</v>
      </c>
      <c r="F239" s="134">
        <v>1091869690</v>
      </c>
      <c r="G239" s="117">
        <f t="shared" si="55"/>
        <v>1364837.1125</v>
      </c>
      <c r="H239" s="7"/>
      <c r="I239" s="136">
        <v>2.8418999999999999</v>
      </c>
      <c r="J239" s="134">
        <v>3102984.4720109995</v>
      </c>
      <c r="K239" s="120">
        <f t="shared" si="56"/>
        <v>3878.7305900137494</v>
      </c>
      <c r="L239" s="122">
        <f t="shared" si="51"/>
        <v>10918696.9</v>
      </c>
      <c r="M239" s="116">
        <f t="shared" si="52"/>
        <v>7815712.4279890005</v>
      </c>
      <c r="N239" s="123">
        <f t="shared" si="53"/>
        <v>9769.6405349862507</v>
      </c>
      <c r="O239" s="5"/>
      <c r="P239" s="5">
        <f t="shared" si="57"/>
        <v>1</v>
      </c>
      <c r="Q239" s="7">
        <f t="shared" si="58"/>
        <v>800</v>
      </c>
      <c r="W239" s="124">
        <f t="shared" si="59"/>
        <v>3102984.4720109999</v>
      </c>
      <c r="X239">
        <f t="shared" si="60"/>
        <v>0</v>
      </c>
    </row>
    <row r="240" spans="1:24">
      <c r="A240" s="23" t="s">
        <v>266</v>
      </c>
      <c r="B240" s="35" t="s">
        <v>264</v>
      </c>
      <c r="C240" s="97">
        <v>26767</v>
      </c>
      <c r="D240" s="132">
        <v>18137056321</v>
      </c>
      <c r="E240" s="116">
        <f t="shared" si="54"/>
        <v>677590.1789890537</v>
      </c>
      <c r="F240" s="134">
        <v>10363527834</v>
      </c>
      <c r="G240" s="117">
        <f t="shared" si="55"/>
        <v>387175.54578398773</v>
      </c>
      <c r="H240" s="7"/>
      <c r="I240" s="136">
        <v>2.0821999999999998</v>
      </c>
      <c r="J240" s="134">
        <v>21578937.655954801</v>
      </c>
      <c r="K240" s="120">
        <f t="shared" si="56"/>
        <v>806.17692143141926</v>
      </c>
      <c r="L240" s="122">
        <f t="shared" si="51"/>
        <v>103635278.34</v>
      </c>
      <c r="M240" s="116">
        <f t="shared" si="52"/>
        <v>82056340.684045196</v>
      </c>
      <c r="N240" s="123">
        <f t="shared" si="53"/>
        <v>3065.5785364084581</v>
      </c>
      <c r="O240" s="5"/>
      <c r="P240" s="5">
        <f t="shared" si="57"/>
        <v>1</v>
      </c>
      <c r="Q240" s="7">
        <f t="shared" si="58"/>
        <v>26767</v>
      </c>
      <c r="W240" s="124">
        <f t="shared" si="59"/>
        <v>21578937.655954797</v>
      </c>
      <c r="X240">
        <f t="shared" si="60"/>
        <v>0</v>
      </c>
    </row>
    <row r="241" spans="1:24">
      <c r="A241" s="23" t="s">
        <v>267</v>
      </c>
      <c r="B241" s="35" t="s">
        <v>264</v>
      </c>
      <c r="C241" s="97">
        <v>214</v>
      </c>
      <c r="D241" s="132">
        <v>159106133</v>
      </c>
      <c r="E241" s="116">
        <f t="shared" si="54"/>
        <v>743486.60280373832</v>
      </c>
      <c r="F241" s="134">
        <v>99490760</v>
      </c>
      <c r="G241" s="117">
        <f t="shared" si="55"/>
        <v>464910.09345794393</v>
      </c>
      <c r="H241" s="7"/>
      <c r="I241" s="136">
        <v>2.8336999999999999</v>
      </c>
      <c r="J241" s="134">
        <v>281926.96661199996</v>
      </c>
      <c r="K241" s="120">
        <f t="shared" si="56"/>
        <v>1317.4157318317755</v>
      </c>
      <c r="L241" s="122">
        <f t="shared" si="51"/>
        <v>994907.6</v>
      </c>
      <c r="M241" s="116">
        <f t="shared" si="52"/>
        <v>712980.63338800007</v>
      </c>
      <c r="N241" s="123">
        <f t="shared" si="53"/>
        <v>3331.6852027476639</v>
      </c>
      <c r="O241" s="5"/>
      <c r="P241" s="5">
        <f t="shared" si="57"/>
        <v>1</v>
      </c>
      <c r="Q241" s="7">
        <f t="shared" si="58"/>
        <v>214</v>
      </c>
      <c r="W241" s="124">
        <f t="shared" si="59"/>
        <v>281926.96661199996</v>
      </c>
      <c r="X241">
        <f t="shared" si="60"/>
        <v>0</v>
      </c>
    </row>
    <row r="242" spans="1:24">
      <c r="A242" s="23" t="s">
        <v>449</v>
      </c>
      <c r="B242" s="35" t="s">
        <v>264</v>
      </c>
      <c r="C242" s="97">
        <v>10056</v>
      </c>
      <c r="D242" s="132">
        <v>6414412590</v>
      </c>
      <c r="E242" s="116">
        <f t="shared" si="54"/>
        <v>637869.19152744627</v>
      </c>
      <c r="F242" s="134">
        <v>4224213986</v>
      </c>
      <c r="G242" s="117">
        <f t="shared" si="55"/>
        <v>420069.01213206048</v>
      </c>
      <c r="H242" s="7"/>
      <c r="I242" s="136">
        <v>2.4477000000000002</v>
      </c>
      <c r="J242" s="134">
        <v>10339608.573532201</v>
      </c>
      <c r="K242" s="120">
        <f t="shared" si="56"/>
        <v>1028.2029209956445</v>
      </c>
      <c r="L242" s="122">
        <f t="shared" si="51"/>
        <v>42242139.859999999</v>
      </c>
      <c r="M242" s="116">
        <f t="shared" si="52"/>
        <v>31902531.286467798</v>
      </c>
      <c r="N242" s="123">
        <f t="shared" si="53"/>
        <v>3172.4872003249602</v>
      </c>
      <c r="O242" s="5"/>
      <c r="P242" s="5">
        <f t="shared" si="57"/>
        <v>1</v>
      </c>
      <c r="Q242" s="7">
        <f t="shared" si="58"/>
        <v>10056</v>
      </c>
      <c r="S242" s="124">
        <f>SUM(D238:D242)</f>
        <v>34997665911</v>
      </c>
      <c r="T242" s="124">
        <f>SUM(F238:F242)</f>
        <v>21608919566</v>
      </c>
      <c r="U242" s="124">
        <f>SUM(J238:J242)</f>
        <v>51622282.243073195</v>
      </c>
      <c r="W242" s="124">
        <f t="shared" si="59"/>
        <v>10339608.573532201</v>
      </c>
      <c r="X242">
        <f t="shared" si="60"/>
        <v>0</v>
      </c>
    </row>
    <row r="243" spans="1:24">
      <c r="A243" s="23" t="s">
        <v>268</v>
      </c>
      <c r="B243" s="35" t="s">
        <v>269</v>
      </c>
      <c r="C243" s="97">
        <v>1680</v>
      </c>
      <c r="D243" s="132">
        <v>308915043</v>
      </c>
      <c r="E243" s="116">
        <f t="shared" si="54"/>
        <v>183878.0017857143</v>
      </c>
      <c r="F243" s="134">
        <v>162822128</v>
      </c>
      <c r="G243" s="117">
        <f t="shared" si="55"/>
        <v>96917.933333333334</v>
      </c>
      <c r="H243" s="7"/>
      <c r="I243" s="136">
        <v>1.8504</v>
      </c>
      <c r="J243" s="134">
        <v>301286.06565120001</v>
      </c>
      <c r="K243" s="120">
        <f t="shared" si="56"/>
        <v>179.33694384</v>
      </c>
      <c r="L243" s="122">
        <f t="shared" si="51"/>
        <v>1628221.28</v>
      </c>
      <c r="M243" s="116">
        <f t="shared" si="52"/>
        <v>1326935.2143488</v>
      </c>
      <c r="N243" s="123">
        <f t="shared" si="53"/>
        <v>789.84238949333337</v>
      </c>
      <c r="O243" s="5"/>
      <c r="P243" s="5">
        <f t="shared" si="57"/>
        <v>1</v>
      </c>
      <c r="Q243" s="7">
        <f t="shared" si="58"/>
        <v>1680</v>
      </c>
      <c r="W243" s="124">
        <f t="shared" si="59"/>
        <v>301286.06565120001</v>
      </c>
      <c r="X243">
        <f t="shared" si="60"/>
        <v>0</v>
      </c>
    </row>
    <row r="244" spans="1:24">
      <c r="A244" s="23" t="s">
        <v>270</v>
      </c>
      <c r="B244" s="35" t="s">
        <v>269</v>
      </c>
      <c r="C244" s="97">
        <v>13499</v>
      </c>
      <c r="D244" s="132">
        <v>6319988181</v>
      </c>
      <c r="E244" s="116">
        <f t="shared" si="54"/>
        <v>468181.95281131938</v>
      </c>
      <c r="F244" s="134">
        <v>3935010538</v>
      </c>
      <c r="G244" s="117">
        <f t="shared" si="55"/>
        <v>291503.85495221871</v>
      </c>
      <c r="H244" s="7"/>
      <c r="I244" s="136">
        <v>4.8297999999999996</v>
      </c>
      <c r="J244" s="134">
        <v>19005313.8964324</v>
      </c>
      <c r="K244" s="120">
        <f t="shared" si="56"/>
        <v>1407.9053186482258</v>
      </c>
      <c r="L244" s="122">
        <f t="shared" si="51"/>
        <v>39350105.380000003</v>
      </c>
      <c r="M244" s="116">
        <f t="shared" si="52"/>
        <v>20344791.483567603</v>
      </c>
      <c r="N244" s="123">
        <f t="shared" si="53"/>
        <v>1507.1332308739613</v>
      </c>
      <c r="O244" s="5"/>
      <c r="P244" s="5">
        <f t="shared" si="57"/>
        <v>1</v>
      </c>
      <c r="Q244" s="7">
        <f t="shared" si="58"/>
        <v>13499</v>
      </c>
      <c r="S244" s="124"/>
      <c r="T244" s="124"/>
      <c r="U244" s="124"/>
      <c r="W244" s="124">
        <f t="shared" si="59"/>
        <v>19005313.8964324</v>
      </c>
      <c r="X244">
        <f t="shared" si="60"/>
        <v>0</v>
      </c>
    </row>
    <row r="245" spans="1:24">
      <c r="A245" s="23" t="s">
        <v>271</v>
      </c>
      <c r="B245" s="35" t="s">
        <v>269</v>
      </c>
      <c r="C245" s="97">
        <v>3090</v>
      </c>
      <c r="D245" s="132">
        <v>494331442</v>
      </c>
      <c r="E245" s="116">
        <f t="shared" si="54"/>
        <v>159977.81294498383</v>
      </c>
      <c r="F245" s="187">
        <v>157470770</v>
      </c>
      <c r="G245" s="117">
        <f t="shared" si="55"/>
        <v>50961.414239482197</v>
      </c>
      <c r="H245" s="7"/>
      <c r="I245" s="136">
        <v>3</v>
      </c>
      <c r="J245" s="134">
        <v>472412.31</v>
      </c>
      <c r="K245" s="120">
        <f t="shared" si="56"/>
        <v>152.88424271844661</v>
      </c>
      <c r="L245" s="122">
        <f t="shared" si="51"/>
        <v>1574707.7</v>
      </c>
      <c r="M245" s="116">
        <f t="shared" si="52"/>
        <v>1102295.3899999999</v>
      </c>
      <c r="N245" s="123">
        <f t="shared" si="53"/>
        <v>356.7298996763754</v>
      </c>
      <c r="O245" s="5"/>
      <c r="P245" s="5">
        <f t="shared" si="57"/>
        <v>1</v>
      </c>
      <c r="Q245" s="7">
        <f t="shared" si="58"/>
        <v>3090</v>
      </c>
      <c r="S245" s="124">
        <f>SUM(D243:D245)</f>
        <v>7123234666</v>
      </c>
      <c r="T245" s="124">
        <f>SUM(F243:F245)</f>
        <v>4255303436</v>
      </c>
      <c r="U245" s="124">
        <f>SUM(J243:J245)</f>
        <v>19779012.272083599</v>
      </c>
      <c r="W245" s="124">
        <f t="shared" si="59"/>
        <v>472412.31</v>
      </c>
      <c r="X245">
        <f t="shared" si="60"/>
        <v>0</v>
      </c>
    </row>
    <row r="246" spans="1:24">
      <c r="A246" s="23" t="s">
        <v>272</v>
      </c>
      <c r="B246" s="35" t="s">
        <v>273</v>
      </c>
      <c r="C246" s="97">
        <v>455</v>
      </c>
      <c r="D246" s="132">
        <v>102909487</v>
      </c>
      <c r="E246" s="116">
        <f t="shared" si="54"/>
        <v>226174.69670329671</v>
      </c>
      <c r="F246" s="134">
        <v>75324127</v>
      </c>
      <c r="G246" s="117">
        <f t="shared" si="55"/>
        <v>165547.53186813186</v>
      </c>
      <c r="H246" s="7"/>
      <c r="I246" s="136">
        <v>3</v>
      </c>
      <c r="J246" s="134">
        <v>225972.38099999999</v>
      </c>
      <c r="K246" s="120">
        <f t="shared" si="56"/>
        <v>496.64259560439558</v>
      </c>
      <c r="L246" s="122">
        <f t="shared" si="51"/>
        <v>753241.27</v>
      </c>
      <c r="M246" s="116">
        <f t="shared" si="52"/>
        <v>527268.88899999997</v>
      </c>
      <c r="N246" s="123">
        <f t="shared" si="53"/>
        <v>1158.832723076923</v>
      </c>
      <c r="O246" s="5"/>
      <c r="P246" s="5">
        <f t="shared" si="57"/>
        <v>1</v>
      </c>
      <c r="Q246" s="7">
        <f t="shared" si="58"/>
        <v>455</v>
      </c>
      <c r="W246" s="124">
        <f t="shared" si="59"/>
        <v>225972.38099999999</v>
      </c>
      <c r="X246">
        <f t="shared" si="60"/>
        <v>0</v>
      </c>
    </row>
    <row r="247" spans="1:24">
      <c r="A247" s="23" t="s">
        <v>274</v>
      </c>
      <c r="B247" s="35" t="s">
        <v>273</v>
      </c>
      <c r="C247" s="97">
        <v>27933</v>
      </c>
      <c r="D247" s="132">
        <v>2883492802</v>
      </c>
      <c r="E247" s="116">
        <f t="shared" si="54"/>
        <v>103228.8977911431</v>
      </c>
      <c r="F247" s="134">
        <v>1851714075</v>
      </c>
      <c r="G247" s="117">
        <f t="shared" si="55"/>
        <v>66291.271077220488</v>
      </c>
      <c r="H247" s="9"/>
      <c r="I247" s="136">
        <v>6.8465999999999996</v>
      </c>
      <c r="J247" s="134">
        <v>12677945.585894998</v>
      </c>
      <c r="K247" s="120">
        <f t="shared" si="56"/>
        <v>453.86981655729778</v>
      </c>
      <c r="L247" s="122">
        <f t="shared" si="51"/>
        <v>18517140.75</v>
      </c>
      <c r="M247" s="116">
        <f t="shared" si="52"/>
        <v>5839195.1641050018</v>
      </c>
      <c r="N247" s="123">
        <f t="shared" si="53"/>
        <v>209.04289421490716</v>
      </c>
      <c r="O247" s="5"/>
      <c r="P247" s="5">
        <f t="shared" si="57"/>
        <v>1</v>
      </c>
      <c r="Q247" s="7">
        <f t="shared" si="58"/>
        <v>27933</v>
      </c>
      <c r="W247" s="124">
        <f t="shared" si="59"/>
        <v>12677945.585895</v>
      </c>
      <c r="X247">
        <f t="shared" si="60"/>
        <v>0</v>
      </c>
    </row>
    <row r="248" spans="1:24">
      <c r="A248" s="23" t="s">
        <v>275</v>
      </c>
      <c r="B248" s="35" t="s">
        <v>273</v>
      </c>
      <c r="C248" s="97">
        <v>14594</v>
      </c>
      <c r="D248" s="132">
        <v>10611647116</v>
      </c>
      <c r="E248" s="116">
        <f t="shared" si="54"/>
        <v>727123.96299849253</v>
      </c>
      <c r="F248" s="134">
        <v>7933943240</v>
      </c>
      <c r="G248" s="117">
        <f t="shared" si="55"/>
        <v>543644.18528162257</v>
      </c>
      <c r="H248" s="9"/>
      <c r="I248" s="136">
        <v>1.615</v>
      </c>
      <c r="J248" s="134">
        <v>12813318.332600001</v>
      </c>
      <c r="K248" s="120">
        <f t="shared" si="56"/>
        <v>877.98535922982057</v>
      </c>
      <c r="L248" s="122">
        <f t="shared" si="51"/>
        <v>79339432.400000006</v>
      </c>
      <c r="M248" s="116">
        <f t="shared" si="52"/>
        <v>66526114.067400008</v>
      </c>
      <c r="N248" s="123">
        <f t="shared" si="53"/>
        <v>4558.4564935864064</v>
      </c>
      <c r="O248" s="5"/>
      <c r="P248" s="5">
        <f t="shared" si="57"/>
        <v>1</v>
      </c>
      <c r="Q248" s="7">
        <f t="shared" si="58"/>
        <v>14594</v>
      </c>
      <c r="W248" s="124">
        <f t="shared" si="59"/>
        <v>12813318.332599999</v>
      </c>
      <c r="X248">
        <f t="shared" si="60"/>
        <v>0</v>
      </c>
    </row>
    <row r="249" spans="1:24">
      <c r="A249" s="23" t="s">
        <v>276</v>
      </c>
      <c r="B249" s="35" t="s">
        <v>273</v>
      </c>
      <c r="C249" s="97">
        <v>21120</v>
      </c>
      <c r="D249" s="132">
        <v>3375524508</v>
      </c>
      <c r="E249" s="116">
        <f t="shared" si="54"/>
        <v>159825.97102272726</v>
      </c>
      <c r="F249" s="134">
        <v>2084218526</v>
      </c>
      <c r="G249" s="117">
        <f t="shared" si="55"/>
        <v>98684.58929924242</v>
      </c>
      <c r="H249" s="7"/>
      <c r="I249" s="150">
        <v>4.6116000000000001</v>
      </c>
      <c r="J249" s="134">
        <v>9611582.1545016002</v>
      </c>
      <c r="K249" s="120">
        <f t="shared" si="56"/>
        <v>455.09385201238638</v>
      </c>
      <c r="L249" s="122">
        <f t="shared" si="51"/>
        <v>20842185.260000002</v>
      </c>
      <c r="M249" s="116">
        <f t="shared" si="52"/>
        <v>11230603.105498401</v>
      </c>
      <c r="N249" s="123">
        <f t="shared" si="53"/>
        <v>531.75204098003792</v>
      </c>
      <c r="O249" s="5"/>
      <c r="P249" s="5">
        <f t="shared" si="57"/>
        <v>1</v>
      </c>
      <c r="Q249" s="7">
        <f t="shared" si="58"/>
        <v>21120</v>
      </c>
      <c r="W249" s="124">
        <f t="shared" si="59"/>
        <v>9611582.1545016002</v>
      </c>
      <c r="X249">
        <f t="shared" si="60"/>
        <v>0</v>
      </c>
    </row>
    <row r="250" spans="1:24">
      <c r="A250" s="23" t="s">
        <v>277</v>
      </c>
      <c r="B250" s="35" t="s">
        <v>273</v>
      </c>
      <c r="C250" s="97">
        <v>658</v>
      </c>
      <c r="D250" s="132">
        <v>48539977</v>
      </c>
      <c r="E250" s="116">
        <f t="shared" si="54"/>
        <v>73768.962006079033</v>
      </c>
      <c r="F250" s="134">
        <v>26559201</v>
      </c>
      <c r="G250" s="117">
        <f t="shared" si="55"/>
        <v>40363.527355623097</v>
      </c>
      <c r="H250" s="7"/>
      <c r="I250" s="136">
        <v>3.5</v>
      </c>
      <c r="J250" s="134">
        <v>92957.203500000003</v>
      </c>
      <c r="K250" s="120">
        <f t="shared" si="56"/>
        <v>141.27234574468085</v>
      </c>
      <c r="L250" s="122">
        <f t="shared" si="51"/>
        <v>265592.01</v>
      </c>
      <c r="M250" s="116">
        <f t="shared" si="52"/>
        <v>172634.80650000001</v>
      </c>
      <c r="N250" s="123">
        <f t="shared" si="53"/>
        <v>262.36292781155015</v>
      </c>
      <c r="O250" s="5"/>
      <c r="P250" s="5">
        <f t="shared" si="57"/>
        <v>1</v>
      </c>
      <c r="Q250" s="7">
        <f t="shared" si="58"/>
        <v>658</v>
      </c>
      <c r="W250" s="124">
        <f t="shared" si="59"/>
        <v>92957.203500000003</v>
      </c>
      <c r="X250">
        <f t="shared" si="60"/>
        <v>0</v>
      </c>
    </row>
    <row r="251" spans="1:24">
      <c r="A251" s="23" t="s">
        <v>278</v>
      </c>
      <c r="B251" s="35" t="s">
        <v>273</v>
      </c>
      <c r="C251" s="97">
        <v>4571</v>
      </c>
      <c r="D251" s="132">
        <v>704664767</v>
      </c>
      <c r="E251" s="116">
        <f t="shared" si="54"/>
        <v>154159.87026908773</v>
      </c>
      <c r="F251" s="134">
        <v>437997190</v>
      </c>
      <c r="G251" s="117">
        <f t="shared" si="55"/>
        <v>95820.868518923642</v>
      </c>
      <c r="H251" s="7"/>
      <c r="I251" s="136">
        <v>5.0260999999999996</v>
      </c>
      <c r="J251" s="134">
        <v>2201417.6766590001</v>
      </c>
      <c r="K251" s="120">
        <f t="shared" si="56"/>
        <v>481.60526726296217</v>
      </c>
      <c r="L251" s="122">
        <f t="shared" si="51"/>
        <v>4379971.9000000004</v>
      </c>
      <c r="M251" s="116">
        <f t="shared" si="52"/>
        <v>2178554.2233410003</v>
      </c>
      <c r="N251" s="123">
        <f t="shared" si="53"/>
        <v>476.6034179262744</v>
      </c>
      <c r="O251" s="5"/>
      <c r="P251" s="5">
        <f t="shared" si="57"/>
        <v>1</v>
      </c>
      <c r="Q251" s="7">
        <f t="shared" si="58"/>
        <v>4571</v>
      </c>
      <c r="W251" s="124">
        <f t="shared" si="59"/>
        <v>2201417.6766589996</v>
      </c>
      <c r="X251">
        <f t="shared" si="60"/>
        <v>0</v>
      </c>
    </row>
    <row r="252" spans="1:24">
      <c r="A252" s="23" t="s">
        <v>279</v>
      </c>
      <c r="B252" s="35" t="s">
        <v>273</v>
      </c>
      <c r="C252" s="97">
        <v>16492</v>
      </c>
      <c r="D252" s="132">
        <v>2812491406</v>
      </c>
      <c r="E252" s="116">
        <f t="shared" si="54"/>
        <v>170536.70907106475</v>
      </c>
      <c r="F252" s="134">
        <v>1679185448</v>
      </c>
      <c r="G252" s="117">
        <f t="shared" si="55"/>
        <v>101818.18142129517</v>
      </c>
      <c r="H252" s="7"/>
      <c r="I252" s="136">
        <v>4</v>
      </c>
      <c r="J252" s="134">
        <v>6716741.7920000004</v>
      </c>
      <c r="K252" s="120">
        <f t="shared" si="56"/>
        <v>407.27272568518072</v>
      </c>
      <c r="L252" s="122">
        <f t="shared" si="51"/>
        <v>16791854.48</v>
      </c>
      <c r="M252" s="116">
        <f t="shared" si="52"/>
        <v>10075112.688000001</v>
      </c>
      <c r="N252" s="123">
        <f t="shared" si="53"/>
        <v>610.90908852777113</v>
      </c>
      <c r="O252" s="5"/>
      <c r="P252" s="5">
        <f t="shared" si="57"/>
        <v>1</v>
      </c>
      <c r="Q252" s="7">
        <f t="shared" si="58"/>
        <v>16492</v>
      </c>
      <c r="W252" s="124">
        <f t="shared" si="59"/>
        <v>6716741.7920000004</v>
      </c>
      <c r="X252">
        <f t="shared" si="60"/>
        <v>0</v>
      </c>
    </row>
    <row r="253" spans="1:24">
      <c r="A253" s="23" t="s">
        <v>280</v>
      </c>
      <c r="B253" s="35" t="s">
        <v>273</v>
      </c>
      <c r="C253" s="97">
        <v>783</v>
      </c>
      <c r="D253" s="132">
        <v>208392450</v>
      </c>
      <c r="E253" s="116">
        <f t="shared" si="54"/>
        <v>266146.16858237545</v>
      </c>
      <c r="F253" s="134">
        <v>130694996</v>
      </c>
      <c r="G253" s="117">
        <f t="shared" si="55"/>
        <v>166915.70370370371</v>
      </c>
      <c r="H253" s="7"/>
      <c r="I253" s="136">
        <v>2</v>
      </c>
      <c r="J253" s="134">
        <v>261389.992</v>
      </c>
      <c r="K253" s="120">
        <f t="shared" si="56"/>
        <v>333.83140740740743</v>
      </c>
      <c r="L253" s="122">
        <f t="shared" si="51"/>
        <v>1306949.96</v>
      </c>
      <c r="M253" s="116">
        <f t="shared" si="52"/>
        <v>1045559.968</v>
      </c>
      <c r="N253" s="123">
        <f t="shared" si="53"/>
        <v>1335.3256296296297</v>
      </c>
      <c r="O253" s="5"/>
      <c r="P253" s="5">
        <f t="shared" si="57"/>
        <v>1</v>
      </c>
      <c r="Q253" s="7">
        <f t="shared" si="58"/>
        <v>783</v>
      </c>
      <c r="S253" s="124"/>
      <c r="T253" s="124"/>
      <c r="U253" s="124"/>
      <c r="W253" s="124">
        <f t="shared" si="59"/>
        <v>261389.992</v>
      </c>
      <c r="X253">
        <f t="shared" si="60"/>
        <v>0</v>
      </c>
    </row>
    <row r="254" spans="1:24">
      <c r="A254" s="23" t="s">
        <v>281</v>
      </c>
      <c r="B254" s="35" t="s">
        <v>273</v>
      </c>
      <c r="C254" s="97">
        <v>5025</v>
      </c>
      <c r="D254" s="132">
        <v>728300556</v>
      </c>
      <c r="E254" s="116">
        <f t="shared" si="54"/>
        <v>144935.43402985076</v>
      </c>
      <c r="F254" s="134">
        <v>398270042</v>
      </c>
      <c r="G254" s="117">
        <f t="shared" si="55"/>
        <v>79257.719800995023</v>
      </c>
      <c r="H254" s="7"/>
      <c r="I254" s="136">
        <v>5.024</v>
      </c>
      <c r="J254" s="134">
        <v>2000908.6910079999</v>
      </c>
      <c r="K254" s="120">
        <f t="shared" si="56"/>
        <v>398.19078428019901</v>
      </c>
      <c r="L254" s="122">
        <f t="shared" si="51"/>
        <v>3982700.42</v>
      </c>
      <c r="M254" s="116">
        <f t="shared" si="52"/>
        <v>1981791.728992</v>
      </c>
      <c r="N254" s="123">
        <f t="shared" si="53"/>
        <v>394.38641372975127</v>
      </c>
      <c r="O254" s="5"/>
      <c r="P254" s="5">
        <f t="shared" si="57"/>
        <v>1</v>
      </c>
      <c r="Q254" s="7">
        <f t="shared" si="58"/>
        <v>5025</v>
      </c>
      <c r="S254" s="124">
        <f>SUM(D246:D254)</f>
        <v>21475963069</v>
      </c>
      <c r="T254" s="124">
        <f>SUM(F246:F254)</f>
        <v>14617906845</v>
      </c>
      <c r="U254" s="124">
        <f>SUM(J246:J254)</f>
        <v>46602233.809163608</v>
      </c>
      <c r="W254" s="124">
        <f t="shared" si="59"/>
        <v>2000908.6910079999</v>
      </c>
      <c r="X254">
        <f t="shared" si="60"/>
        <v>0</v>
      </c>
    </row>
    <row r="255" spans="1:24">
      <c r="A255" s="23" t="s">
        <v>282</v>
      </c>
      <c r="B255" s="35" t="s">
        <v>282</v>
      </c>
      <c r="C255" s="97">
        <v>5361</v>
      </c>
      <c r="D255" s="132">
        <v>771338614</v>
      </c>
      <c r="E255" s="116">
        <f t="shared" si="54"/>
        <v>143879.61462413729</v>
      </c>
      <c r="F255" s="134">
        <v>464189182</v>
      </c>
      <c r="G255" s="117">
        <f t="shared" si="55"/>
        <v>86586.305166946462</v>
      </c>
      <c r="H255" s="7"/>
      <c r="I255" s="136">
        <v>6.3555999999999999</v>
      </c>
      <c r="J255" s="134">
        <v>2950200.7651191996</v>
      </c>
      <c r="K255" s="120">
        <f t="shared" si="56"/>
        <v>550.30792111904486</v>
      </c>
      <c r="L255" s="122">
        <f t="shared" si="51"/>
        <v>4641891.82</v>
      </c>
      <c r="M255" s="116">
        <f t="shared" si="52"/>
        <v>1691691.0548808007</v>
      </c>
      <c r="N255" s="123">
        <f t="shared" si="53"/>
        <v>315.55513055041985</v>
      </c>
      <c r="O255" s="5"/>
      <c r="P255" s="5">
        <f t="shared" si="57"/>
        <v>1</v>
      </c>
      <c r="Q255" s="7">
        <f t="shared" si="58"/>
        <v>5361</v>
      </c>
      <c r="S255" s="124">
        <f>SUM(D255)</f>
        <v>771338614</v>
      </c>
      <c r="T255" s="124">
        <f>SUM(F255)</f>
        <v>464189182</v>
      </c>
      <c r="U255" s="124">
        <f>SUM(J255)</f>
        <v>2950200.7651191996</v>
      </c>
      <c r="W255" s="124">
        <f t="shared" si="59"/>
        <v>2950200.7651192001</v>
      </c>
      <c r="X255">
        <f t="shared" si="60"/>
        <v>0</v>
      </c>
    </row>
    <row r="256" spans="1:24">
      <c r="A256" s="23" t="s">
        <v>283</v>
      </c>
      <c r="B256" s="35" t="s">
        <v>284</v>
      </c>
      <c r="C256" s="97">
        <v>58293</v>
      </c>
      <c r="D256" s="132">
        <v>9688041717</v>
      </c>
      <c r="E256" s="116">
        <f t="shared" si="54"/>
        <v>166195.62755390871</v>
      </c>
      <c r="F256" s="134">
        <v>5907585794</v>
      </c>
      <c r="G256" s="117">
        <f t="shared" si="55"/>
        <v>101342.97075120512</v>
      </c>
      <c r="H256" s="7"/>
      <c r="I256" s="136">
        <v>4.1875999999999998</v>
      </c>
      <c r="J256" s="134">
        <v>24738606.2709544</v>
      </c>
      <c r="K256" s="120">
        <f t="shared" si="56"/>
        <v>424.38382431774659</v>
      </c>
      <c r="L256" s="122">
        <f t="shared" si="51"/>
        <v>59075857.939999998</v>
      </c>
      <c r="M256" s="116">
        <f t="shared" si="52"/>
        <v>34337251.669045597</v>
      </c>
      <c r="N256" s="123">
        <f t="shared" si="53"/>
        <v>589.04588319430457</v>
      </c>
      <c r="O256" s="5"/>
      <c r="P256" s="5">
        <f t="shared" si="57"/>
        <v>1</v>
      </c>
      <c r="Q256" s="7">
        <f t="shared" si="58"/>
        <v>58293</v>
      </c>
      <c r="W256" s="124">
        <f t="shared" si="59"/>
        <v>24738606.270954397</v>
      </c>
      <c r="X256">
        <f t="shared" si="60"/>
        <v>0</v>
      </c>
    </row>
    <row r="257" spans="1:24">
      <c r="A257" s="23" t="s">
        <v>285</v>
      </c>
      <c r="B257" s="35" t="s">
        <v>284</v>
      </c>
      <c r="C257" s="97">
        <v>29</v>
      </c>
      <c r="D257" s="132">
        <v>13618561390</v>
      </c>
      <c r="E257" s="116">
        <f t="shared" si="54"/>
        <v>469605565.17241377</v>
      </c>
      <c r="F257" s="134">
        <v>11417061470</v>
      </c>
      <c r="G257" s="117">
        <f t="shared" si="55"/>
        <v>393691774.82758623</v>
      </c>
      <c r="H257" s="7"/>
      <c r="I257" s="136">
        <v>1.885</v>
      </c>
      <c r="J257" s="134">
        <v>21521160.870950002</v>
      </c>
      <c r="K257" s="120">
        <f t="shared" si="56"/>
        <v>742108.99555000011</v>
      </c>
      <c r="L257" s="122">
        <f t="shared" si="51"/>
        <v>114170614.7</v>
      </c>
      <c r="M257" s="116">
        <f t="shared" si="52"/>
        <v>92649453.829050004</v>
      </c>
      <c r="N257" s="123">
        <f t="shared" si="53"/>
        <v>3194808.7527258624</v>
      </c>
      <c r="O257" s="5"/>
      <c r="P257" s="5">
        <f t="shared" si="57"/>
        <v>1</v>
      </c>
      <c r="Q257" s="7">
        <f t="shared" si="58"/>
        <v>29</v>
      </c>
      <c r="W257" s="124">
        <f t="shared" si="59"/>
        <v>21521160.870949998</v>
      </c>
      <c r="X257">
        <f t="shared" si="60"/>
        <v>0</v>
      </c>
    </row>
    <row r="258" spans="1:24">
      <c r="A258" s="23" t="s">
        <v>286</v>
      </c>
      <c r="B258" s="35" t="s">
        <v>284</v>
      </c>
      <c r="C258" s="97">
        <v>7239</v>
      </c>
      <c r="D258" s="132">
        <v>1688238650</v>
      </c>
      <c r="E258" s="116">
        <f t="shared" si="54"/>
        <v>233214.3459041304</v>
      </c>
      <c r="F258" s="134">
        <v>1042283070</v>
      </c>
      <c r="G258" s="117">
        <f t="shared" si="55"/>
        <v>143981.63696643183</v>
      </c>
      <c r="H258" s="7"/>
      <c r="I258" s="136">
        <v>4.4017999999999997</v>
      </c>
      <c r="J258" s="134">
        <v>4587921.6175260004</v>
      </c>
      <c r="K258" s="120">
        <f t="shared" si="56"/>
        <v>633.77836959883962</v>
      </c>
      <c r="L258" s="122">
        <f t="shared" si="51"/>
        <v>10422830.700000001</v>
      </c>
      <c r="M258" s="116">
        <f t="shared" si="52"/>
        <v>5834909.0824740008</v>
      </c>
      <c r="N258" s="123">
        <f t="shared" si="53"/>
        <v>806.03800006547874</v>
      </c>
      <c r="O258" s="5"/>
      <c r="P258" s="5">
        <f t="shared" si="57"/>
        <v>1</v>
      </c>
      <c r="Q258" s="7">
        <f t="shared" si="58"/>
        <v>7239</v>
      </c>
      <c r="W258" s="124">
        <f t="shared" si="59"/>
        <v>4587921.6175260004</v>
      </c>
      <c r="X258">
        <f t="shared" si="60"/>
        <v>0</v>
      </c>
    </row>
    <row r="259" spans="1:24">
      <c r="A259" s="23" t="s">
        <v>287</v>
      </c>
      <c r="B259" s="35" t="s">
        <v>284</v>
      </c>
      <c r="C259" s="97">
        <v>2370</v>
      </c>
      <c r="D259" s="132">
        <v>477905150</v>
      </c>
      <c r="E259" s="116">
        <f t="shared" si="54"/>
        <v>201647.74261603376</v>
      </c>
      <c r="F259" s="134">
        <v>315243299</v>
      </c>
      <c r="G259" s="117">
        <f t="shared" si="55"/>
        <v>133014.05021097045</v>
      </c>
      <c r="H259" s="7"/>
      <c r="I259" s="136">
        <v>7.2938000000000001</v>
      </c>
      <c r="J259" s="134">
        <v>2299321.5742462003</v>
      </c>
      <c r="K259" s="120">
        <f t="shared" si="56"/>
        <v>970.17787942877646</v>
      </c>
      <c r="L259" s="122">
        <f t="shared" si="51"/>
        <v>3152432.99</v>
      </c>
      <c r="M259" s="116">
        <f t="shared" si="52"/>
        <v>853111.41575379996</v>
      </c>
      <c r="N259" s="123">
        <f t="shared" si="53"/>
        <v>359.96262268092823</v>
      </c>
      <c r="O259" s="5"/>
      <c r="P259" s="5">
        <f t="shared" si="57"/>
        <v>1</v>
      </c>
      <c r="Q259" s="7">
        <f t="shared" si="58"/>
        <v>2370</v>
      </c>
      <c r="W259" s="124">
        <f t="shared" si="59"/>
        <v>2299321.5742462003</v>
      </c>
      <c r="X259">
        <f t="shared" si="60"/>
        <v>0</v>
      </c>
    </row>
    <row r="260" spans="1:24">
      <c r="A260" s="23" t="s">
        <v>288</v>
      </c>
      <c r="B260" s="35" t="s">
        <v>284</v>
      </c>
      <c r="C260" s="97">
        <v>2631</v>
      </c>
      <c r="D260" s="132">
        <v>756731218</v>
      </c>
      <c r="E260" s="116">
        <f t="shared" si="54"/>
        <v>287621.13949068793</v>
      </c>
      <c r="F260" s="134">
        <v>503089480</v>
      </c>
      <c r="G260" s="117">
        <f t="shared" si="55"/>
        <v>191216.06993538578</v>
      </c>
      <c r="H260" s="7"/>
      <c r="I260" s="136">
        <v>5.25</v>
      </c>
      <c r="J260" s="134">
        <v>2641219.77</v>
      </c>
      <c r="K260" s="120">
        <f t="shared" si="56"/>
        <v>1003.8843671607754</v>
      </c>
      <c r="L260" s="122">
        <f t="shared" si="51"/>
        <v>5030894.8</v>
      </c>
      <c r="M260" s="116">
        <f t="shared" si="52"/>
        <v>2389675.0299999998</v>
      </c>
      <c r="N260" s="123">
        <f t="shared" si="53"/>
        <v>908.27633219308245</v>
      </c>
      <c r="O260" s="5"/>
      <c r="P260" s="5">
        <f t="shared" si="57"/>
        <v>1</v>
      </c>
      <c r="Q260" s="7">
        <f t="shared" si="58"/>
        <v>2631</v>
      </c>
      <c r="W260" s="124">
        <f t="shared" si="59"/>
        <v>2641219.77</v>
      </c>
      <c r="X260">
        <f t="shared" si="60"/>
        <v>0</v>
      </c>
    </row>
    <row r="261" spans="1:24">
      <c r="A261" s="23" t="s">
        <v>289</v>
      </c>
      <c r="B261" s="35" t="s">
        <v>284</v>
      </c>
      <c r="C261" s="97">
        <v>21</v>
      </c>
      <c r="D261" s="132">
        <v>3674118108</v>
      </c>
      <c r="E261" s="116">
        <f t="shared" si="54"/>
        <v>174958005.14285713</v>
      </c>
      <c r="F261" s="134">
        <v>2997393688</v>
      </c>
      <c r="G261" s="117">
        <f t="shared" si="55"/>
        <v>142733032.76190478</v>
      </c>
      <c r="H261" s="7"/>
      <c r="I261" s="136">
        <v>1.9242999999999999</v>
      </c>
      <c r="J261" s="134">
        <v>5767884.6738183992</v>
      </c>
      <c r="K261" s="120">
        <f t="shared" si="56"/>
        <v>274661.17494373332</v>
      </c>
      <c r="L261" s="122">
        <f t="shared" si="51"/>
        <v>29973936.879999999</v>
      </c>
      <c r="M261" s="116">
        <f t="shared" si="52"/>
        <v>24206052.206181601</v>
      </c>
      <c r="N261" s="123">
        <f t="shared" si="53"/>
        <v>1152669.1526753143</v>
      </c>
      <c r="O261" s="5"/>
      <c r="P261" s="5">
        <f t="shared" si="57"/>
        <v>1</v>
      </c>
      <c r="Q261" s="7">
        <f t="shared" si="58"/>
        <v>21</v>
      </c>
      <c r="W261" s="124">
        <f t="shared" si="59"/>
        <v>5767884.6738183992</v>
      </c>
      <c r="X261">
        <f t="shared" si="60"/>
        <v>0</v>
      </c>
    </row>
    <row r="262" spans="1:24">
      <c r="A262" s="23" t="s">
        <v>290</v>
      </c>
      <c r="B262" s="35" t="s">
        <v>284</v>
      </c>
      <c r="C262" s="97">
        <v>19964</v>
      </c>
      <c r="D262" s="132">
        <v>5705232930</v>
      </c>
      <c r="E262" s="116">
        <f t="shared" si="54"/>
        <v>285776.04337808053</v>
      </c>
      <c r="F262" s="134">
        <v>4112170428</v>
      </c>
      <c r="G262" s="117">
        <f t="shared" si="55"/>
        <v>205979.28411140051</v>
      </c>
      <c r="H262" s="7"/>
      <c r="I262" s="136">
        <v>4.9463999999999997</v>
      </c>
      <c r="J262" s="134">
        <v>20340439.805059202</v>
      </c>
      <c r="K262" s="120">
        <f t="shared" si="56"/>
        <v>1018.8559309286317</v>
      </c>
      <c r="L262" s="122">
        <f t="shared" ref="L262:L325" si="61">(F262*0.01)</f>
        <v>41121704.280000001</v>
      </c>
      <c r="M262" s="116">
        <f t="shared" ref="M262:M325" si="62">(L262-J262)</f>
        <v>20781264.474940799</v>
      </c>
      <c r="N262" s="123">
        <f t="shared" ref="N262:N325" si="63">(M262/C262)</f>
        <v>1040.9369101853736</v>
      </c>
      <c r="O262" s="5"/>
      <c r="P262" s="5">
        <f t="shared" si="57"/>
        <v>1</v>
      </c>
      <c r="Q262" s="7">
        <f t="shared" si="58"/>
        <v>19964</v>
      </c>
      <c r="W262" s="124">
        <f>F262*(I262/1000)</f>
        <v>20340439.805059202</v>
      </c>
      <c r="X262">
        <f t="shared" si="60"/>
        <v>0</v>
      </c>
    </row>
    <row r="263" spans="1:24">
      <c r="A263" s="23" t="s">
        <v>291</v>
      </c>
      <c r="B263" s="35" t="s">
        <v>284</v>
      </c>
      <c r="C263" s="97">
        <v>5402</v>
      </c>
      <c r="D263" s="132">
        <v>1106886856</v>
      </c>
      <c r="E263" s="116">
        <f t="shared" ref="E263:E275" si="64">(D263/C263)</f>
        <v>204903.15734912996</v>
      </c>
      <c r="F263" s="134">
        <v>761052389</v>
      </c>
      <c r="G263" s="117">
        <f t="shared" ref="G263:G275" si="65">(F263/C263)</f>
        <v>140883.44853757866</v>
      </c>
      <c r="H263" s="7"/>
      <c r="I263" s="136">
        <v>6.3</v>
      </c>
      <c r="J263" s="134">
        <v>4794630.0506999996</v>
      </c>
      <c r="K263" s="120">
        <f t="shared" ref="K263:K275" si="66">(J263/C263)</f>
        <v>887.56572578674559</v>
      </c>
      <c r="L263" s="122">
        <f t="shared" si="61"/>
        <v>7610523.8900000006</v>
      </c>
      <c r="M263" s="116">
        <f t="shared" si="62"/>
        <v>2815893.839300001</v>
      </c>
      <c r="N263" s="123">
        <f t="shared" si="63"/>
        <v>521.26875958904134</v>
      </c>
      <c r="O263" s="5"/>
      <c r="P263" s="5">
        <f t="shared" ref="P263:P327" si="67">IF(I263&gt;0,1,0)</f>
        <v>1</v>
      </c>
      <c r="Q263" s="7">
        <f t="shared" ref="Q263:Q327" si="68">IF(I263&gt;0,C263,0)</f>
        <v>5402</v>
      </c>
      <c r="W263" s="124">
        <f>F263*(I263/1000)</f>
        <v>4794630.0507000005</v>
      </c>
      <c r="X263">
        <f t="shared" ref="X263:X326" si="69">IF(W263=J263,0,1)</f>
        <v>0</v>
      </c>
    </row>
    <row r="264" spans="1:24">
      <c r="A264" s="23" t="s">
        <v>292</v>
      </c>
      <c r="B264" s="35" t="s">
        <v>284</v>
      </c>
      <c r="C264" s="97">
        <v>49711</v>
      </c>
      <c r="D264" s="132">
        <v>7538630630</v>
      </c>
      <c r="E264" s="116">
        <f t="shared" si="64"/>
        <v>151649.14465611233</v>
      </c>
      <c r="F264" s="134">
        <v>4594473186</v>
      </c>
      <c r="G264" s="117">
        <f t="shared" si="65"/>
        <v>92423.672547323527</v>
      </c>
      <c r="H264" s="7"/>
      <c r="I264" s="136">
        <v>4.95</v>
      </c>
      <c r="J264" s="134">
        <v>22742642.2707</v>
      </c>
      <c r="K264" s="120">
        <f t="shared" si="66"/>
        <v>457.49717910925148</v>
      </c>
      <c r="L264" s="122">
        <f t="shared" si="61"/>
        <v>45944731.859999999</v>
      </c>
      <c r="M264" s="116">
        <f t="shared" si="62"/>
        <v>23202089.589299999</v>
      </c>
      <c r="N264" s="123">
        <f t="shared" si="63"/>
        <v>466.73954636398383</v>
      </c>
      <c r="O264" s="5"/>
      <c r="P264" s="5">
        <f t="shared" si="67"/>
        <v>1</v>
      </c>
      <c r="Q264" s="7">
        <f t="shared" si="68"/>
        <v>49711</v>
      </c>
      <c r="W264" s="124">
        <f t="shared" ref="W264:W327" si="70">F264*(I264/1000)</f>
        <v>22742642.2707</v>
      </c>
      <c r="X264">
        <f t="shared" si="69"/>
        <v>0</v>
      </c>
    </row>
    <row r="265" spans="1:24">
      <c r="A265" s="23" t="s">
        <v>293</v>
      </c>
      <c r="B265" s="35" t="s">
        <v>284</v>
      </c>
      <c r="C265" s="97">
        <v>326988</v>
      </c>
      <c r="D265" s="132">
        <v>84844383104</v>
      </c>
      <c r="E265" s="116">
        <f t="shared" si="64"/>
        <v>259472.46719757299</v>
      </c>
      <c r="F265" s="134">
        <v>49778310627</v>
      </c>
      <c r="G265" s="117">
        <f t="shared" si="65"/>
        <v>152232.83614995045</v>
      </c>
      <c r="H265" s="7"/>
      <c r="I265" s="136">
        <v>6.65</v>
      </c>
      <c r="J265" s="134">
        <v>331025765.66955</v>
      </c>
      <c r="K265" s="120">
        <f t="shared" si="66"/>
        <v>1012.3483603971705</v>
      </c>
      <c r="L265" s="122">
        <f t="shared" si="61"/>
        <v>497783106.26999998</v>
      </c>
      <c r="M265" s="116">
        <f t="shared" si="62"/>
        <v>166757340.60044998</v>
      </c>
      <c r="N265" s="123">
        <f t="shared" si="63"/>
        <v>509.98000110233397</v>
      </c>
      <c r="O265" s="5"/>
      <c r="P265" s="5">
        <f t="shared" si="67"/>
        <v>1</v>
      </c>
      <c r="Q265" s="7">
        <f t="shared" si="68"/>
        <v>326988</v>
      </c>
      <c r="W265" s="124">
        <f t="shared" si="70"/>
        <v>331025765.66955</v>
      </c>
      <c r="X265">
        <f t="shared" si="69"/>
        <v>0</v>
      </c>
    </row>
    <row r="266" spans="1:24">
      <c r="A266" s="23" t="s">
        <v>294</v>
      </c>
      <c r="B266" s="35" t="s">
        <v>284</v>
      </c>
      <c r="C266" s="97">
        <v>3041</v>
      </c>
      <c r="D266" s="132">
        <v>1425563898</v>
      </c>
      <c r="E266" s="116">
        <f t="shared" si="64"/>
        <v>468781.28839197633</v>
      </c>
      <c r="F266" s="134">
        <v>951661957</v>
      </c>
      <c r="G266" s="117">
        <f t="shared" si="65"/>
        <v>312943.75435711938</v>
      </c>
      <c r="H266" s="7"/>
      <c r="I266" s="136">
        <v>3.7425000000000002</v>
      </c>
      <c r="J266" s="134">
        <v>3561594.8740725</v>
      </c>
      <c r="K266" s="120">
        <f t="shared" si="66"/>
        <v>1171.1920006815192</v>
      </c>
      <c r="L266" s="122">
        <f t="shared" si="61"/>
        <v>9516619.5700000003</v>
      </c>
      <c r="M266" s="116">
        <f t="shared" si="62"/>
        <v>5955024.6959275007</v>
      </c>
      <c r="N266" s="123">
        <f t="shared" si="63"/>
        <v>1958.2455428896747</v>
      </c>
      <c r="O266" s="5"/>
      <c r="P266" s="5">
        <f t="shared" si="67"/>
        <v>1</v>
      </c>
      <c r="Q266" s="7">
        <f t="shared" si="68"/>
        <v>3041</v>
      </c>
      <c r="W266" s="124">
        <f t="shared" si="70"/>
        <v>3561594.8740725</v>
      </c>
      <c r="X266">
        <f t="shared" si="69"/>
        <v>0</v>
      </c>
    </row>
    <row r="267" spans="1:24">
      <c r="A267" s="23" t="s">
        <v>295</v>
      </c>
      <c r="B267" s="35" t="s">
        <v>284</v>
      </c>
      <c r="C267" s="97">
        <v>50800</v>
      </c>
      <c r="D267" s="132">
        <v>9209762882</v>
      </c>
      <c r="E267" s="116">
        <f t="shared" si="64"/>
        <v>181294.54492125983</v>
      </c>
      <c r="F267" s="134">
        <v>5560953710</v>
      </c>
      <c r="G267" s="117">
        <f t="shared" si="65"/>
        <v>109467.59271653544</v>
      </c>
      <c r="H267" s="7"/>
      <c r="I267" s="136">
        <v>4.5</v>
      </c>
      <c r="J267" s="134">
        <v>25024291.695</v>
      </c>
      <c r="K267" s="120">
        <f t="shared" si="66"/>
        <v>492.60416722440948</v>
      </c>
      <c r="L267" s="122">
        <f t="shared" si="61"/>
        <v>55609537.100000001</v>
      </c>
      <c r="M267" s="116">
        <f t="shared" si="62"/>
        <v>30585245.405000001</v>
      </c>
      <c r="N267" s="123">
        <f t="shared" si="63"/>
        <v>602.07175994094496</v>
      </c>
      <c r="O267" s="5"/>
      <c r="P267" s="5">
        <f t="shared" si="67"/>
        <v>1</v>
      </c>
      <c r="Q267" s="7">
        <f t="shared" si="68"/>
        <v>50800</v>
      </c>
      <c r="S267" s="124"/>
      <c r="T267" s="124"/>
      <c r="U267" s="124"/>
      <c r="W267" s="124">
        <f t="shared" si="70"/>
        <v>25024291.694999997</v>
      </c>
      <c r="X267">
        <f t="shared" si="69"/>
        <v>0</v>
      </c>
    </row>
    <row r="268" spans="1:24">
      <c r="A268" s="23" t="s">
        <v>296</v>
      </c>
      <c r="B268" s="35" t="s">
        <v>284</v>
      </c>
      <c r="C268" s="97">
        <v>30706</v>
      </c>
      <c r="D268" s="132">
        <v>13392832481</v>
      </c>
      <c r="E268" s="116">
        <f t="shared" si="64"/>
        <v>436163.37136064615</v>
      </c>
      <c r="F268" s="134">
        <v>8453377815</v>
      </c>
      <c r="G268" s="117">
        <f t="shared" si="65"/>
        <v>275300.52155930438</v>
      </c>
      <c r="H268" s="7"/>
      <c r="I268" s="136">
        <v>4.0922999999999998</v>
      </c>
      <c r="J268" s="134">
        <v>34593758.0323245</v>
      </c>
      <c r="K268" s="120">
        <f t="shared" si="66"/>
        <v>1126.6123243771412</v>
      </c>
      <c r="L268" s="122">
        <f t="shared" si="61"/>
        <v>84533778.150000006</v>
      </c>
      <c r="M268" s="116">
        <f t="shared" si="62"/>
        <v>49940020.117675506</v>
      </c>
      <c r="N268" s="123">
        <f t="shared" si="63"/>
        <v>1626.3928912159026</v>
      </c>
      <c r="O268" s="5"/>
      <c r="P268" s="5">
        <f t="shared" si="67"/>
        <v>1</v>
      </c>
      <c r="Q268" s="7">
        <f t="shared" si="68"/>
        <v>30706</v>
      </c>
      <c r="S268" s="124">
        <f>SUM(D256:D268)</f>
        <v>153126889014</v>
      </c>
      <c r="T268" s="124">
        <f>SUM(F256:F268)</f>
        <v>96394656913</v>
      </c>
      <c r="U268" s="124">
        <f>SUM(J256:J268)</f>
        <v>503639237.17490119</v>
      </c>
      <c r="W268" s="124">
        <f t="shared" si="70"/>
        <v>34593758.0323245</v>
      </c>
      <c r="X268">
        <f t="shared" si="69"/>
        <v>0</v>
      </c>
    </row>
    <row r="269" spans="1:24">
      <c r="A269" s="24" t="s">
        <v>297</v>
      </c>
      <c r="B269" s="35" t="s">
        <v>298</v>
      </c>
      <c r="C269" s="97">
        <v>82714</v>
      </c>
      <c r="D269" s="132">
        <v>9782025994</v>
      </c>
      <c r="E269" s="116">
        <f t="shared" si="64"/>
        <v>118263.24436008415</v>
      </c>
      <c r="F269" s="134">
        <v>5672828236</v>
      </c>
      <c r="G269" s="117">
        <f t="shared" si="65"/>
        <v>68583.652537659887</v>
      </c>
      <c r="H269" s="7"/>
      <c r="I269" s="136">
        <v>4.6253000000000002</v>
      </c>
      <c r="J269" s="134">
        <v>26238532.439970803</v>
      </c>
      <c r="K269" s="120">
        <f t="shared" si="66"/>
        <v>317.2199680824383</v>
      </c>
      <c r="L269" s="122">
        <f t="shared" si="61"/>
        <v>56728282.359999999</v>
      </c>
      <c r="M269" s="116">
        <f t="shared" si="62"/>
        <v>30489749.920029197</v>
      </c>
      <c r="N269" s="123">
        <f t="shared" si="63"/>
        <v>368.61655729416054</v>
      </c>
      <c r="O269" s="5"/>
      <c r="P269" s="5">
        <f t="shared" si="67"/>
        <v>1</v>
      </c>
      <c r="Q269" s="7">
        <f t="shared" si="68"/>
        <v>82714</v>
      </c>
      <c r="S269" s="124"/>
      <c r="T269" s="124"/>
      <c r="U269" s="124"/>
      <c r="W269" s="124">
        <f t="shared" si="70"/>
        <v>26238532.439970803</v>
      </c>
      <c r="X269">
        <f t="shared" si="69"/>
        <v>0</v>
      </c>
    </row>
    <row r="270" spans="1:24">
      <c r="A270" s="23" t="s">
        <v>546</v>
      </c>
      <c r="B270" s="35" t="s">
        <v>298</v>
      </c>
      <c r="C270" s="97">
        <v>61997</v>
      </c>
      <c r="D270" s="132">
        <v>8218643965</v>
      </c>
      <c r="E270" s="116">
        <f t="shared" si="64"/>
        <v>132565.18807361647</v>
      </c>
      <c r="F270" s="134">
        <v>4514696985</v>
      </c>
      <c r="G270" s="117">
        <f t="shared" si="65"/>
        <v>72821.216913721626</v>
      </c>
      <c r="H270" s="7"/>
      <c r="I270" s="136">
        <v>5.1128</v>
      </c>
      <c r="J270" s="134">
        <v>23082742.744908001</v>
      </c>
      <c r="K270" s="120">
        <f t="shared" si="66"/>
        <v>372.32031783647597</v>
      </c>
      <c r="L270" s="122">
        <f t="shared" si="61"/>
        <v>45146969.850000001</v>
      </c>
      <c r="M270" s="116">
        <f t="shared" si="62"/>
        <v>22064227.105092</v>
      </c>
      <c r="N270" s="123">
        <f t="shared" si="63"/>
        <v>355.89185130074037</v>
      </c>
      <c r="O270" s="5"/>
      <c r="P270" s="5">
        <f t="shared" si="67"/>
        <v>1</v>
      </c>
      <c r="Q270" s="7">
        <f t="shared" si="68"/>
        <v>61997</v>
      </c>
      <c r="S270" s="124">
        <f>SUM(D269:D270)</f>
        <v>18000669959</v>
      </c>
      <c r="T270" s="124">
        <f>SUM(F269:F270)</f>
        <v>10187525221</v>
      </c>
      <c r="U270" s="124">
        <f>SUM(J269:J270)</f>
        <v>49321275.184878804</v>
      </c>
      <c r="W270" s="124">
        <f t="shared" si="70"/>
        <v>23082742.744907998</v>
      </c>
      <c r="X270">
        <f t="shared" si="69"/>
        <v>0</v>
      </c>
    </row>
    <row r="271" spans="1:24">
      <c r="A271" s="23" t="s">
        <v>299</v>
      </c>
      <c r="B271" s="35" t="s">
        <v>300</v>
      </c>
      <c r="C271" s="97">
        <v>2147</v>
      </c>
      <c r="D271" s="132">
        <v>985398130</v>
      </c>
      <c r="E271" s="116">
        <f t="shared" si="64"/>
        <v>458965.12808570097</v>
      </c>
      <c r="F271" s="134">
        <v>722348764</v>
      </c>
      <c r="G271" s="117">
        <f t="shared" si="65"/>
        <v>336445.62831858406</v>
      </c>
      <c r="H271" s="7"/>
      <c r="I271" s="136">
        <v>6.27</v>
      </c>
      <c r="J271" s="134">
        <v>4529126.7502799993</v>
      </c>
      <c r="K271" s="120">
        <f t="shared" si="66"/>
        <v>2109.5140895575219</v>
      </c>
      <c r="L271" s="122">
        <f t="shared" si="61"/>
        <v>7223487.6400000006</v>
      </c>
      <c r="M271" s="116">
        <f t="shared" si="62"/>
        <v>2694360.8897200013</v>
      </c>
      <c r="N271" s="123">
        <f t="shared" si="63"/>
        <v>1254.9421936283193</v>
      </c>
      <c r="O271" s="5"/>
      <c r="P271" s="5">
        <f t="shared" si="67"/>
        <v>1</v>
      </c>
      <c r="Q271" s="7">
        <f t="shared" si="68"/>
        <v>2147</v>
      </c>
      <c r="W271" s="124">
        <f t="shared" si="70"/>
        <v>4529126.7502799993</v>
      </c>
      <c r="X271">
        <f t="shared" si="69"/>
        <v>0</v>
      </c>
    </row>
    <row r="272" spans="1:24">
      <c r="A272" s="23" t="s">
        <v>301</v>
      </c>
      <c r="B272" s="35" t="s">
        <v>300</v>
      </c>
      <c r="C272" s="97">
        <v>17286</v>
      </c>
      <c r="D272" s="132">
        <v>1080050549</v>
      </c>
      <c r="E272" s="116">
        <f t="shared" si="64"/>
        <v>62481.230417679049</v>
      </c>
      <c r="F272" s="134">
        <v>553635401</v>
      </c>
      <c r="G272" s="117">
        <f t="shared" si="65"/>
        <v>32027.964884877936</v>
      </c>
      <c r="H272" s="9"/>
      <c r="I272" s="136">
        <v>6.5419</v>
      </c>
      <c r="J272" s="134">
        <v>3621827.4298018999</v>
      </c>
      <c r="K272" s="120">
        <f t="shared" si="66"/>
        <v>209.52374348038296</v>
      </c>
      <c r="L272" s="122">
        <f t="shared" si="61"/>
        <v>5536354.0099999998</v>
      </c>
      <c r="M272" s="116">
        <f t="shared" si="62"/>
        <v>1914526.5801980998</v>
      </c>
      <c r="N272" s="123">
        <f t="shared" si="63"/>
        <v>110.75590536839638</v>
      </c>
      <c r="O272" s="5"/>
      <c r="P272" s="5">
        <f t="shared" si="67"/>
        <v>1</v>
      </c>
      <c r="Q272" s="7">
        <f t="shared" si="68"/>
        <v>17286</v>
      </c>
      <c r="W272" s="124">
        <f t="shared" si="70"/>
        <v>3621827.4298018999</v>
      </c>
      <c r="X272">
        <f t="shared" si="69"/>
        <v>0</v>
      </c>
    </row>
    <row r="273" spans="1:24">
      <c r="A273" s="23" t="s">
        <v>302</v>
      </c>
      <c r="B273" s="35" t="s">
        <v>300</v>
      </c>
      <c r="C273" s="97">
        <v>100491</v>
      </c>
      <c r="D273" s="132">
        <v>54104104565</v>
      </c>
      <c r="E273" s="116">
        <f t="shared" si="64"/>
        <v>538397.51385696232</v>
      </c>
      <c r="F273" s="134">
        <v>34619481596</v>
      </c>
      <c r="G273" s="117">
        <f t="shared" si="65"/>
        <v>344503.30473375728</v>
      </c>
      <c r="H273" s="9"/>
      <c r="I273" s="136">
        <v>3.6579999999999999</v>
      </c>
      <c r="J273" s="134">
        <v>126638063.678168</v>
      </c>
      <c r="K273" s="120">
        <f t="shared" si="66"/>
        <v>1260.193088716084</v>
      </c>
      <c r="L273" s="122">
        <f t="shared" si="61"/>
        <v>346194815.95999998</v>
      </c>
      <c r="M273" s="116">
        <f t="shared" si="62"/>
        <v>219556752.28183198</v>
      </c>
      <c r="N273" s="123">
        <f t="shared" si="63"/>
        <v>2184.8399586214882</v>
      </c>
      <c r="O273" s="5"/>
      <c r="P273" s="5">
        <f t="shared" si="67"/>
        <v>1</v>
      </c>
      <c r="Q273" s="7">
        <f t="shared" si="68"/>
        <v>100491</v>
      </c>
      <c r="W273" s="124">
        <f t="shared" si="70"/>
        <v>126638063.678168</v>
      </c>
      <c r="X273">
        <f t="shared" si="69"/>
        <v>0</v>
      </c>
    </row>
    <row r="274" spans="1:24">
      <c r="A274" s="23" t="s">
        <v>303</v>
      </c>
      <c r="B274" s="35" t="s">
        <v>300</v>
      </c>
      <c r="C274" s="97">
        <v>82208</v>
      </c>
      <c r="D274" s="132">
        <v>14967699668</v>
      </c>
      <c r="E274" s="116">
        <f t="shared" si="64"/>
        <v>182071.08393343713</v>
      </c>
      <c r="F274" s="134">
        <v>9082214969</v>
      </c>
      <c r="G274" s="117">
        <f t="shared" si="65"/>
        <v>110478.48103590892</v>
      </c>
      <c r="H274" s="9"/>
      <c r="I274" s="136">
        <v>7.85</v>
      </c>
      <c r="J274" s="134">
        <v>71295387.506650001</v>
      </c>
      <c r="K274" s="120">
        <f t="shared" si="66"/>
        <v>867.25607613188504</v>
      </c>
      <c r="L274" s="122">
        <f t="shared" si="61"/>
        <v>90822149.689999998</v>
      </c>
      <c r="M274" s="116">
        <f t="shared" si="62"/>
        <v>19526762.183349997</v>
      </c>
      <c r="N274" s="123">
        <f t="shared" si="63"/>
        <v>237.52873422720413</v>
      </c>
      <c r="O274" s="5"/>
      <c r="P274" s="5">
        <f t="shared" si="67"/>
        <v>1</v>
      </c>
      <c r="Q274" s="7">
        <f t="shared" si="68"/>
        <v>82208</v>
      </c>
      <c r="W274" s="124">
        <f t="shared" si="70"/>
        <v>71295387.506650001</v>
      </c>
      <c r="X274">
        <f t="shared" si="69"/>
        <v>0</v>
      </c>
    </row>
    <row r="275" spans="1:24">
      <c r="A275" s="23" t="s">
        <v>304</v>
      </c>
      <c r="B275" s="35" t="s">
        <v>300</v>
      </c>
      <c r="C275" s="97">
        <v>500</v>
      </c>
      <c r="D275" s="147">
        <v>126336794</v>
      </c>
      <c r="E275" s="116">
        <f t="shared" si="64"/>
        <v>252673.58799999999</v>
      </c>
      <c r="F275" s="134">
        <v>85533422</v>
      </c>
      <c r="G275" s="117">
        <f t="shared" si="65"/>
        <v>171066.84400000001</v>
      </c>
      <c r="H275" s="98"/>
      <c r="I275" s="150">
        <v>3.75</v>
      </c>
      <c r="J275" s="134">
        <v>320750.33250000002</v>
      </c>
      <c r="K275" s="120">
        <f t="shared" si="66"/>
        <v>641.50066500000003</v>
      </c>
      <c r="L275" s="122">
        <f t="shared" si="61"/>
        <v>855334.22</v>
      </c>
      <c r="M275" s="116">
        <f t="shared" si="62"/>
        <v>534583.88749999995</v>
      </c>
      <c r="N275" s="123">
        <f t="shared" si="63"/>
        <v>1069.1677749999999</v>
      </c>
      <c r="O275" s="5"/>
      <c r="P275" s="5">
        <f t="shared" si="67"/>
        <v>1</v>
      </c>
      <c r="Q275" s="7">
        <f t="shared" si="68"/>
        <v>500</v>
      </c>
      <c r="W275" s="124">
        <f t="shared" si="70"/>
        <v>320750.33249999996</v>
      </c>
      <c r="X275">
        <f t="shared" si="69"/>
        <v>0</v>
      </c>
    </row>
    <row r="276" spans="1:24">
      <c r="A276" s="23" t="s">
        <v>305</v>
      </c>
      <c r="B276" s="35" t="s">
        <v>300</v>
      </c>
      <c r="C276" s="97">
        <v>140</v>
      </c>
      <c r="D276" s="132" t="s">
        <v>564</v>
      </c>
      <c r="E276" s="116"/>
      <c r="F276" s="134"/>
      <c r="G276" s="117"/>
      <c r="H276" s="9" t="s">
        <v>588</v>
      </c>
      <c r="I276" s="136"/>
      <c r="J276" s="134"/>
      <c r="K276" s="120"/>
      <c r="L276" s="122">
        <f t="shared" si="61"/>
        <v>0</v>
      </c>
      <c r="M276" s="116">
        <f t="shared" si="62"/>
        <v>0</v>
      </c>
      <c r="N276" s="123">
        <f t="shared" si="63"/>
        <v>0</v>
      </c>
      <c r="O276" s="5"/>
      <c r="P276" s="5">
        <f t="shared" si="67"/>
        <v>0</v>
      </c>
      <c r="Q276" s="7">
        <f t="shared" si="68"/>
        <v>0</v>
      </c>
      <c r="W276" s="124">
        <f t="shared" si="70"/>
        <v>0</v>
      </c>
      <c r="X276">
        <f t="shared" si="69"/>
        <v>0</v>
      </c>
    </row>
    <row r="277" spans="1:24">
      <c r="A277" s="23" t="s">
        <v>306</v>
      </c>
      <c r="B277" s="35" t="s">
        <v>300</v>
      </c>
      <c r="C277" s="97">
        <v>67213</v>
      </c>
      <c r="D277" s="147">
        <v>25839443545</v>
      </c>
      <c r="E277" s="116">
        <f>(D277/C277)</f>
        <v>384441.15788612323</v>
      </c>
      <c r="F277" s="134">
        <v>16332926092</v>
      </c>
      <c r="G277" s="117">
        <f>(F277/C277)</f>
        <v>243002.48600717122</v>
      </c>
      <c r="H277" s="98"/>
      <c r="I277" s="151">
        <v>6.3611000000000004</v>
      </c>
      <c r="J277" s="134">
        <v>103895376.16382121</v>
      </c>
      <c r="K277" s="120">
        <f>(J277/C277)</f>
        <v>1545.763113740217</v>
      </c>
      <c r="L277" s="122">
        <f t="shared" si="61"/>
        <v>163329260.92000002</v>
      </c>
      <c r="M277" s="116">
        <f t="shared" si="62"/>
        <v>59433884.756178811</v>
      </c>
      <c r="N277" s="123">
        <f t="shared" si="63"/>
        <v>884.2617463314956</v>
      </c>
      <c r="O277" s="5"/>
      <c r="P277" s="5">
        <f t="shared" si="67"/>
        <v>1</v>
      </c>
      <c r="Q277" s="7">
        <f t="shared" si="68"/>
        <v>67213</v>
      </c>
      <c r="W277" s="124">
        <f t="shared" si="70"/>
        <v>103895376.16382121</v>
      </c>
      <c r="X277">
        <f t="shared" si="69"/>
        <v>0</v>
      </c>
    </row>
    <row r="278" spans="1:24">
      <c r="A278" s="23" t="s">
        <v>307</v>
      </c>
      <c r="B278" s="35" t="s">
        <v>300</v>
      </c>
      <c r="C278" s="97">
        <v>215</v>
      </c>
      <c r="D278" s="132" t="s">
        <v>564</v>
      </c>
      <c r="E278" s="116"/>
      <c r="F278" s="134"/>
      <c r="G278" s="117"/>
      <c r="H278" s="9" t="s">
        <v>588</v>
      </c>
      <c r="I278" s="136"/>
      <c r="J278" s="134"/>
      <c r="K278" s="120"/>
      <c r="L278" s="122">
        <f t="shared" si="61"/>
        <v>0</v>
      </c>
      <c r="M278" s="116">
        <f t="shared" si="62"/>
        <v>0</v>
      </c>
      <c r="N278" s="123">
        <f t="shared" si="63"/>
        <v>0</v>
      </c>
      <c r="O278" s="5"/>
      <c r="P278" s="5">
        <f t="shared" si="67"/>
        <v>0</v>
      </c>
      <c r="Q278" s="7">
        <f t="shared" si="68"/>
        <v>0</v>
      </c>
      <c r="W278" s="124">
        <f t="shared" si="70"/>
        <v>0</v>
      </c>
      <c r="X278">
        <f t="shared" si="69"/>
        <v>0</v>
      </c>
    </row>
    <row r="279" spans="1:24">
      <c r="A279" s="23" t="s">
        <v>308</v>
      </c>
      <c r="B279" s="35" t="s">
        <v>300</v>
      </c>
      <c r="C279" s="97">
        <v>281</v>
      </c>
      <c r="D279" s="132">
        <v>562813888</v>
      </c>
      <c r="E279" s="116">
        <f t="shared" ref="E279:E342" si="71">(D279/C279)</f>
        <v>2002896.3985765125</v>
      </c>
      <c r="F279" s="134">
        <v>313394860</v>
      </c>
      <c r="G279" s="117">
        <f t="shared" ref="G279:G342" si="72">(F279/C279)</f>
        <v>1115284.1992882562</v>
      </c>
      <c r="H279" s="7"/>
      <c r="I279" s="136">
        <v>6.3</v>
      </c>
      <c r="J279" s="134">
        <v>1974387.618</v>
      </c>
      <c r="K279" s="120">
        <f t="shared" ref="K279:K342" si="73">(J279/C279)</f>
        <v>7026.2904555160139</v>
      </c>
      <c r="L279" s="122">
        <f t="shared" si="61"/>
        <v>3133948.6</v>
      </c>
      <c r="M279" s="116">
        <f t="shared" si="62"/>
        <v>1159560.9820000001</v>
      </c>
      <c r="N279" s="123">
        <f t="shared" si="63"/>
        <v>4126.5515373665485</v>
      </c>
      <c r="O279" s="5"/>
      <c r="P279" s="5">
        <f t="shared" si="67"/>
        <v>1</v>
      </c>
      <c r="Q279" s="7">
        <f t="shared" si="68"/>
        <v>281</v>
      </c>
      <c r="W279" s="124">
        <f t="shared" si="70"/>
        <v>1974387.618</v>
      </c>
      <c r="X279">
        <f t="shared" si="69"/>
        <v>0</v>
      </c>
    </row>
    <row r="280" spans="1:24">
      <c r="A280" s="23" t="s">
        <v>309</v>
      </c>
      <c r="B280" s="35" t="s">
        <v>300</v>
      </c>
      <c r="C280" s="97">
        <v>45476</v>
      </c>
      <c r="D280" s="132">
        <v>5123092328</v>
      </c>
      <c r="E280" s="116">
        <f t="shared" si="71"/>
        <v>112654.85812296596</v>
      </c>
      <c r="F280" s="134">
        <v>2882928035</v>
      </c>
      <c r="G280" s="117">
        <f t="shared" si="72"/>
        <v>63394.494568563641</v>
      </c>
      <c r="H280" s="7"/>
      <c r="I280" s="136">
        <v>6.3</v>
      </c>
      <c r="J280" s="134">
        <v>18162446.620499998</v>
      </c>
      <c r="K280" s="120">
        <f t="shared" si="73"/>
        <v>399.38531578195091</v>
      </c>
      <c r="L280" s="122">
        <f t="shared" si="61"/>
        <v>28829280.350000001</v>
      </c>
      <c r="M280" s="116">
        <f t="shared" si="62"/>
        <v>10666833.729500003</v>
      </c>
      <c r="N280" s="123">
        <f t="shared" si="63"/>
        <v>234.55962990368553</v>
      </c>
      <c r="O280" s="5"/>
      <c r="P280" s="5">
        <f t="shared" si="67"/>
        <v>1</v>
      </c>
      <c r="Q280" s="7">
        <f t="shared" si="68"/>
        <v>45476</v>
      </c>
      <c r="W280" s="124">
        <f t="shared" si="70"/>
        <v>18162446.620499998</v>
      </c>
      <c r="X280">
        <f t="shared" si="69"/>
        <v>0</v>
      </c>
    </row>
    <row r="281" spans="1:24">
      <c r="A281" s="23" t="s">
        <v>310</v>
      </c>
      <c r="B281" s="35" t="s">
        <v>300</v>
      </c>
      <c r="C281" s="97">
        <v>959</v>
      </c>
      <c r="D281" s="132">
        <v>2712405235</v>
      </c>
      <c r="E281" s="116">
        <f t="shared" si="71"/>
        <v>2828368.336809176</v>
      </c>
      <c r="F281" s="134">
        <v>1654634750</v>
      </c>
      <c r="G281" s="117">
        <f t="shared" si="72"/>
        <v>1725375.1303441084</v>
      </c>
      <c r="H281" s="7"/>
      <c r="I281" s="136">
        <v>3.6724000000000001</v>
      </c>
      <c r="J281" s="134">
        <v>6076480.6559000006</v>
      </c>
      <c r="K281" s="120">
        <f t="shared" si="73"/>
        <v>6336.2676286757041</v>
      </c>
      <c r="L281" s="122">
        <f t="shared" si="61"/>
        <v>16546347.5</v>
      </c>
      <c r="M281" s="116">
        <f t="shared" si="62"/>
        <v>10469866.844099998</v>
      </c>
      <c r="N281" s="123">
        <f t="shared" si="63"/>
        <v>10917.483674765379</v>
      </c>
      <c r="O281" s="5"/>
      <c r="P281" s="5">
        <f t="shared" si="67"/>
        <v>1</v>
      </c>
      <c r="Q281" s="7">
        <f t="shared" si="68"/>
        <v>959</v>
      </c>
      <c r="W281" s="124">
        <f t="shared" si="70"/>
        <v>6076480.6559000006</v>
      </c>
      <c r="X281">
        <f t="shared" si="69"/>
        <v>0</v>
      </c>
    </row>
    <row r="282" spans="1:24">
      <c r="A282" s="23" t="s">
        <v>311</v>
      </c>
      <c r="B282" s="35" t="s">
        <v>300</v>
      </c>
      <c r="C282" s="97">
        <v>2193</v>
      </c>
      <c r="D282" s="132">
        <v>289539088</v>
      </c>
      <c r="E282" s="116">
        <f t="shared" si="71"/>
        <v>132028.76789785683</v>
      </c>
      <c r="F282" s="134">
        <v>154878149</v>
      </c>
      <c r="G282" s="117">
        <f t="shared" si="72"/>
        <v>70623.870953032369</v>
      </c>
      <c r="H282" s="7"/>
      <c r="I282" s="136">
        <v>4.05</v>
      </c>
      <c r="J282" s="134">
        <v>627256.50344999996</v>
      </c>
      <c r="K282" s="120">
        <f t="shared" si="73"/>
        <v>286.0266773597811</v>
      </c>
      <c r="L282" s="122">
        <f t="shared" si="61"/>
        <v>1548781.49</v>
      </c>
      <c r="M282" s="116">
        <f t="shared" si="62"/>
        <v>921524.98655000003</v>
      </c>
      <c r="N282" s="123">
        <f t="shared" si="63"/>
        <v>420.21203217054267</v>
      </c>
      <c r="O282" s="5"/>
      <c r="P282" s="5">
        <f t="shared" si="67"/>
        <v>1</v>
      </c>
      <c r="Q282" s="7">
        <f t="shared" si="68"/>
        <v>2193</v>
      </c>
      <c r="W282" s="124">
        <f t="shared" si="70"/>
        <v>627256.50344999996</v>
      </c>
      <c r="X282">
        <f t="shared" si="69"/>
        <v>0</v>
      </c>
    </row>
    <row r="283" spans="1:24">
      <c r="A283" s="23" t="s">
        <v>312</v>
      </c>
      <c r="B283" s="35" t="s">
        <v>300</v>
      </c>
      <c r="C283" s="97">
        <v>4303</v>
      </c>
      <c r="D283" s="132">
        <v>5097929421</v>
      </c>
      <c r="E283" s="116">
        <f t="shared" si="71"/>
        <v>1184738.4199395771</v>
      </c>
      <c r="F283" s="134">
        <v>3532785744</v>
      </c>
      <c r="G283" s="117">
        <f t="shared" si="72"/>
        <v>821005.28561468748</v>
      </c>
      <c r="H283" s="7"/>
      <c r="I283" s="136">
        <v>3.4182000000000001</v>
      </c>
      <c r="J283" s="134">
        <v>12075768.2301408</v>
      </c>
      <c r="K283" s="120">
        <f t="shared" si="73"/>
        <v>2806.3602672881243</v>
      </c>
      <c r="L283" s="122">
        <f t="shared" si="61"/>
        <v>35327857.439999998</v>
      </c>
      <c r="M283" s="116">
        <f t="shared" si="62"/>
        <v>23252089.2098592</v>
      </c>
      <c r="N283" s="123">
        <f t="shared" si="63"/>
        <v>5403.6925888587493</v>
      </c>
      <c r="O283" s="5"/>
      <c r="P283" s="5">
        <f t="shared" si="67"/>
        <v>1</v>
      </c>
      <c r="Q283" s="7">
        <f t="shared" si="68"/>
        <v>4303</v>
      </c>
      <c r="W283" s="124">
        <f t="shared" si="70"/>
        <v>12075768.2301408</v>
      </c>
      <c r="X283">
        <f t="shared" si="69"/>
        <v>0</v>
      </c>
    </row>
    <row r="284" spans="1:24">
      <c r="A284" s="23" t="s">
        <v>313</v>
      </c>
      <c r="B284" s="35" t="s">
        <v>300</v>
      </c>
      <c r="C284" s="97">
        <v>2687</v>
      </c>
      <c r="D284" s="132">
        <v>799497434</v>
      </c>
      <c r="E284" s="116">
        <f t="shared" si="71"/>
        <v>297542.77409750654</v>
      </c>
      <c r="F284" s="134">
        <v>516237984</v>
      </c>
      <c r="G284" s="117">
        <f t="shared" si="72"/>
        <v>192124.29624116115</v>
      </c>
      <c r="H284" s="7"/>
      <c r="I284" s="136">
        <v>3.2</v>
      </c>
      <c r="J284" s="134">
        <v>1651961.5488000002</v>
      </c>
      <c r="K284" s="120">
        <f t="shared" si="73"/>
        <v>614.79774797171581</v>
      </c>
      <c r="L284" s="122">
        <f t="shared" si="61"/>
        <v>5162379.84</v>
      </c>
      <c r="M284" s="116">
        <f t="shared" si="62"/>
        <v>3510418.2911999999</v>
      </c>
      <c r="N284" s="123">
        <f t="shared" si="63"/>
        <v>1306.4452144398958</v>
      </c>
      <c r="O284" s="5"/>
      <c r="P284" s="5">
        <f t="shared" si="67"/>
        <v>1</v>
      </c>
      <c r="Q284" s="7">
        <f t="shared" si="68"/>
        <v>2687</v>
      </c>
      <c r="W284" s="124">
        <f t="shared" si="70"/>
        <v>1651961.5488</v>
      </c>
      <c r="X284">
        <f t="shared" si="69"/>
        <v>0</v>
      </c>
    </row>
    <row r="285" spans="1:24">
      <c r="A285" s="23" t="s">
        <v>314</v>
      </c>
      <c r="B285" s="35" t="s">
        <v>300</v>
      </c>
      <c r="C285" s="97">
        <v>3883</v>
      </c>
      <c r="D285" s="132">
        <v>3235822952</v>
      </c>
      <c r="E285" s="116">
        <f t="shared" si="71"/>
        <v>833330.65979912435</v>
      </c>
      <c r="F285" s="134">
        <v>2266657781</v>
      </c>
      <c r="G285" s="117">
        <f t="shared" si="72"/>
        <v>583738.80530517641</v>
      </c>
      <c r="H285" s="7"/>
      <c r="I285" s="136">
        <v>1.8194999999999999</v>
      </c>
      <c r="J285" s="134">
        <v>4124183.8325294997</v>
      </c>
      <c r="K285" s="120">
        <f t="shared" si="73"/>
        <v>1062.1127562527683</v>
      </c>
      <c r="L285" s="122">
        <f t="shared" si="61"/>
        <v>22666577.809999999</v>
      </c>
      <c r="M285" s="116">
        <f t="shared" si="62"/>
        <v>18542393.977470499</v>
      </c>
      <c r="N285" s="123">
        <f t="shared" si="63"/>
        <v>4775.2752967989954</v>
      </c>
      <c r="O285" s="5"/>
      <c r="P285" s="5">
        <f t="shared" si="67"/>
        <v>1</v>
      </c>
      <c r="Q285" s="7">
        <f t="shared" si="68"/>
        <v>3883</v>
      </c>
      <c r="W285" s="124">
        <f t="shared" si="70"/>
        <v>4124183.8325294997</v>
      </c>
      <c r="X285">
        <f t="shared" si="69"/>
        <v>0</v>
      </c>
    </row>
    <row r="286" spans="1:24">
      <c r="A286" s="23" t="s">
        <v>315</v>
      </c>
      <c r="B286" s="35" t="s">
        <v>300</v>
      </c>
      <c r="C286" s="97">
        <v>61333</v>
      </c>
      <c r="D286" s="132">
        <v>26777153760</v>
      </c>
      <c r="E286" s="116">
        <f t="shared" si="71"/>
        <v>436586.40144783398</v>
      </c>
      <c r="F286" s="134">
        <v>15827803960</v>
      </c>
      <c r="G286" s="117">
        <f t="shared" si="72"/>
        <v>258063.42360556306</v>
      </c>
      <c r="H286" s="7"/>
      <c r="I286" s="136">
        <v>2.3894000000000002</v>
      </c>
      <c r="J286" s="134">
        <v>37818954.782024004</v>
      </c>
      <c r="K286" s="120">
        <f t="shared" si="73"/>
        <v>616.61674436313251</v>
      </c>
      <c r="L286" s="122">
        <f t="shared" si="61"/>
        <v>158278039.59999999</v>
      </c>
      <c r="M286" s="116">
        <f t="shared" si="62"/>
        <v>120459084.817976</v>
      </c>
      <c r="N286" s="123">
        <f t="shared" si="63"/>
        <v>1964.0174916924982</v>
      </c>
      <c r="O286" s="5"/>
      <c r="P286" s="5">
        <f t="shared" si="67"/>
        <v>1</v>
      </c>
      <c r="Q286" s="7">
        <f t="shared" si="68"/>
        <v>61333</v>
      </c>
      <c r="W286" s="124">
        <f t="shared" si="70"/>
        <v>37818954.782024004</v>
      </c>
      <c r="X286">
        <f t="shared" si="69"/>
        <v>0</v>
      </c>
    </row>
    <row r="287" spans="1:24">
      <c r="A287" s="23" t="s">
        <v>316</v>
      </c>
      <c r="B287" s="35" t="s">
        <v>300</v>
      </c>
      <c r="C287" s="97">
        <v>400</v>
      </c>
      <c r="D287" s="132">
        <v>1084269364</v>
      </c>
      <c r="E287" s="116">
        <f t="shared" si="71"/>
        <v>2710673.41</v>
      </c>
      <c r="F287" s="134">
        <v>545176040</v>
      </c>
      <c r="G287" s="117">
        <f t="shared" si="72"/>
        <v>1362940.1</v>
      </c>
      <c r="H287" s="9"/>
      <c r="I287" s="136">
        <v>5.56</v>
      </c>
      <c r="J287" s="134">
        <v>3031178.7823999994</v>
      </c>
      <c r="K287" s="120">
        <f t="shared" si="73"/>
        <v>7577.9469559999989</v>
      </c>
      <c r="L287" s="122">
        <f t="shared" si="61"/>
        <v>5451760.4000000004</v>
      </c>
      <c r="M287" s="116">
        <f t="shared" si="62"/>
        <v>2420581.6176000009</v>
      </c>
      <c r="N287" s="123">
        <f t="shared" si="63"/>
        <v>6051.4540440000019</v>
      </c>
      <c r="O287" s="5"/>
      <c r="P287" s="5">
        <f t="shared" si="67"/>
        <v>1</v>
      </c>
      <c r="Q287" s="7">
        <f t="shared" si="68"/>
        <v>400</v>
      </c>
      <c r="W287" s="124">
        <f t="shared" si="70"/>
        <v>3031178.7823999999</v>
      </c>
      <c r="X287">
        <f t="shared" si="69"/>
        <v>0</v>
      </c>
    </row>
    <row r="288" spans="1:24">
      <c r="A288" s="23" t="s">
        <v>317</v>
      </c>
      <c r="B288" s="35" t="s">
        <v>300</v>
      </c>
      <c r="C288" s="97">
        <v>3556</v>
      </c>
      <c r="D288" s="132">
        <v>773098664</v>
      </c>
      <c r="E288" s="116">
        <f t="shared" si="71"/>
        <v>217406.82339707538</v>
      </c>
      <c r="F288" s="134">
        <v>371802734</v>
      </c>
      <c r="G288" s="117">
        <f t="shared" si="72"/>
        <v>104556.44938132733</v>
      </c>
      <c r="H288" s="7"/>
      <c r="I288" s="136">
        <v>6.1</v>
      </c>
      <c r="J288" s="134">
        <v>2267996.6773999999</v>
      </c>
      <c r="K288" s="120">
        <f t="shared" si="73"/>
        <v>637.79434122609666</v>
      </c>
      <c r="L288" s="122">
        <f t="shared" si="61"/>
        <v>3718027.34</v>
      </c>
      <c r="M288" s="116">
        <f t="shared" si="62"/>
        <v>1450030.6625999999</v>
      </c>
      <c r="N288" s="123">
        <f t="shared" si="63"/>
        <v>407.7701525871766</v>
      </c>
      <c r="O288" s="5"/>
      <c r="P288" s="5">
        <f t="shared" si="67"/>
        <v>1</v>
      </c>
      <c r="Q288" s="7">
        <f t="shared" si="68"/>
        <v>3556</v>
      </c>
      <c r="W288" s="124">
        <f t="shared" si="70"/>
        <v>2267996.6773999999</v>
      </c>
      <c r="X288">
        <f t="shared" si="69"/>
        <v>0</v>
      </c>
    </row>
    <row r="289" spans="1:24">
      <c r="A289" s="23" t="s">
        <v>318</v>
      </c>
      <c r="B289" s="35" t="s">
        <v>300</v>
      </c>
      <c r="C289" s="97">
        <v>9025</v>
      </c>
      <c r="D289" s="132">
        <v>1566803470</v>
      </c>
      <c r="E289" s="116">
        <f t="shared" si="71"/>
        <v>173607.03268698062</v>
      </c>
      <c r="F289" s="134">
        <v>1028721290</v>
      </c>
      <c r="G289" s="117">
        <f t="shared" si="72"/>
        <v>113985.73850415513</v>
      </c>
      <c r="H289" s="7"/>
      <c r="I289" s="136">
        <v>5.1870000000000003</v>
      </c>
      <c r="J289" s="134">
        <v>5335977.3312300006</v>
      </c>
      <c r="K289" s="120">
        <f t="shared" si="73"/>
        <v>591.24402562105274</v>
      </c>
      <c r="L289" s="122">
        <f t="shared" si="61"/>
        <v>10287212.9</v>
      </c>
      <c r="M289" s="116">
        <f t="shared" si="62"/>
        <v>4951235.5687699998</v>
      </c>
      <c r="N289" s="123">
        <f t="shared" si="63"/>
        <v>548.61335942049857</v>
      </c>
      <c r="O289" s="5"/>
      <c r="P289" s="5">
        <f t="shared" si="67"/>
        <v>1</v>
      </c>
      <c r="Q289" s="7">
        <f t="shared" si="68"/>
        <v>9025</v>
      </c>
      <c r="W289" s="124">
        <f t="shared" si="70"/>
        <v>5335977.3312300006</v>
      </c>
      <c r="X289">
        <f t="shared" si="69"/>
        <v>0</v>
      </c>
    </row>
    <row r="290" spans="1:24">
      <c r="A290" s="23" t="s">
        <v>628</v>
      </c>
      <c r="B290" s="35" t="s">
        <v>300</v>
      </c>
      <c r="C290" s="97">
        <v>43432</v>
      </c>
      <c r="D290" s="132">
        <v>5367588558</v>
      </c>
      <c r="E290" s="116">
        <f t="shared" si="71"/>
        <v>123586.03237244429</v>
      </c>
      <c r="F290" s="134">
        <v>3127783326</v>
      </c>
      <c r="G290" s="117">
        <f t="shared" si="72"/>
        <v>72015.641140173146</v>
      </c>
      <c r="H290" s="7"/>
      <c r="I290" s="136">
        <v>5.4945000000000004</v>
      </c>
      <c r="J290" s="134">
        <v>17185605.484707002</v>
      </c>
      <c r="K290" s="120">
        <f t="shared" si="73"/>
        <v>395.6899402446814</v>
      </c>
      <c r="L290" s="122">
        <f t="shared" si="61"/>
        <v>31277833.260000002</v>
      </c>
      <c r="M290" s="116">
        <f t="shared" si="62"/>
        <v>14092227.775293</v>
      </c>
      <c r="N290" s="123">
        <f t="shared" si="63"/>
        <v>324.46647115705008</v>
      </c>
      <c r="O290" s="5"/>
      <c r="P290" s="5">
        <f t="shared" si="67"/>
        <v>1</v>
      </c>
      <c r="Q290" s="7">
        <f t="shared" si="68"/>
        <v>43432</v>
      </c>
      <c r="W290" s="124">
        <f t="shared" si="70"/>
        <v>17185605.484707002</v>
      </c>
      <c r="X290">
        <f t="shared" si="69"/>
        <v>0</v>
      </c>
    </row>
    <row r="291" spans="1:24">
      <c r="A291" s="23" t="s">
        <v>319</v>
      </c>
      <c r="B291" s="35" t="s">
        <v>300</v>
      </c>
      <c r="C291" s="97">
        <v>12244</v>
      </c>
      <c r="D291" s="132">
        <v>2923565484</v>
      </c>
      <c r="E291" s="116">
        <f t="shared" si="71"/>
        <v>238775.35805292387</v>
      </c>
      <c r="F291" s="134">
        <v>1791944620</v>
      </c>
      <c r="G291" s="117">
        <f t="shared" si="72"/>
        <v>146352.87651094413</v>
      </c>
      <c r="H291" s="9"/>
      <c r="I291" s="136">
        <v>3.75</v>
      </c>
      <c r="J291" s="134">
        <v>6719792.3250000002</v>
      </c>
      <c r="K291" s="120">
        <f t="shared" si="73"/>
        <v>548.8232869160405</v>
      </c>
      <c r="L291" s="122">
        <f t="shared" si="61"/>
        <v>17919446.199999999</v>
      </c>
      <c r="M291" s="116">
        <f t="shared" si="62"/>
        <v>11199653.875</v>
      </c>
      <c r="N291" s="123">
        <f t="shared" si="63"/>
        <v>914.70547819340084</v>
      </c>
      <c r="O291" s="5"/>
      <c r="P291" s="5">
        <f t="shared" si="67"/>
        <v>1</v>
      </c>
      <c r="Q291" s="7">
        <f t="shared" si="68"/>
        <v>12244</v>
      </c>
      <c r="W291" s="124">
        <f t="shared" si="70"/>
        <v>6719792.3250000002</v>
      </c>
      <c r="X291">
        <f t="shared" si="69"/>
        <v>0</v>
      </c>
    </row>
    <row r="292" spans="1:24">
      <c r="A292" s="23" t="s">
        <v>531</v>
      </c>
      <c r="B292" s="35" t="s">
        <v>300</v>
      </c>
      <c r="C292" s="97">
        <v>3373</v>
      </c>
      <c r="D292" s="132">
        <v>1197127755</v>
      </c>
      <c r="E292" s="116">
        <f t="shared" si="71"/>
        <v>354914.83990512899</v>
      </c>
      <c r="F292" s="134">
        <v>525562007</v>
      </c>
      <c r="G292" s="117">
        <f t="shared" si="72"/>
        <v>155814.41061369699</v>
      </c>
      <c r="H292" s="7"/>
      <c r="I292" s="136">
        <v>3</v>
      </c>
      <c r="J292" s="134">
        <v>1576686.0209999999</v>
      </c>
      <c r="K292" s="120">
        <f t="shared" si="73"/>
        <v>467.44323184109101</v>
      </c>
      <c r="L292" s="122">
        <f t="shared" si="61"/>
        <v>5255620.07</v>
      </c>
      <c r="M292" s="116">
        <f t="shared" si="62"/>
        <v>3678934.0490000006</v>
      </c>
      <c r="N292" s="123">
        <f t="shared" si="63"/>
        <v>1090.7008742958792</v>
      </c>
      <c r="O292" s="5"/>
      <c r="P292" s="5">
        <f t="shared" si="67"/>
        <v>1</v>
      </c>
      <c r="Q292" s="7">
        <f t="shared" si="68"/>
        <v>3373</v>
      </c>
      <c r="W292" s="124">
        <f t="shared" si="70"/>
        <v>1576686.0209999999</v>
      </c>
      <c r="X292">
        <f t="shared" si="69"/>
        <v>0</v>
      </c>
    </row>
    <row r="293" spans="1:24">
      <c r="A293" s="23" t="s">
        <v>320</v>
      </c>
      <c r="B293" s="35" t="s">
        <v>300</v>
      </c>
      <c r="C293" s="97">
        <v>420</v>
      </c>
      <c r="D293" s="132">
        <v>3510574360</v>
      </c>
      <c r="E293" s="116">
        <f t="shared" si="71"/>
        <v>8358510.3809523806</v>
      </c>
      <c r="F293" s="134">
        <v>2136671009</v>
      </c>
      <c r="G293" s="117">
        <f t="shared" si="72"/>
        <v>5087311.9261904759</v>
      </c>
      <c r="H293" s="7"/>
      <c r="I293" s="157">
        <v>3</v>
      </c>
      <c r="J293" s="134">
        <v>6410013.0269999998</v>
      </c>
      <c r="K293" s="120">
        <f t="shared" si="73"/>
        <v>15261.935778571427</v>
      </c>
      <c r="L293" s="122">
        <f t="shared" si="61"/>
        <v>21366710.09</v>
      </c>
      <c r="M293" s="116">
        <f t="shared" si="62"/>
        <v>14956697.063000001</v>
      </c>
      <c r="N293" s="123">
        <f t="shared" si="63"/>
        <v>35611.183483333334</v>
      </c>
      <c r="O293" s="5"/>
      <c r="P293" s="5">
        <f t="shared" si="67"/>
        <v>1</v>
      </c>
      <c r="Q293" s="7">
        <f t="shared" si="68"/>
        <v>420</v>
      </c>
      <c r="W293" s="124">
        <f t="shared" si="70"/>
        <v>6410013.0269999998</v>
      </c>
      <c r="X293">
        <f t="shared" si="69"/>
        <v>0</v>
      </c>
    </row>
    <row r="294" spans="1:24">
      <c r="A294" s="23" t="s">
        <v>321</v>
      </c>
      <c r="B294" s="35" t="s">
        <v>300</v>
      </c>
      <c r="C294" s="97">
        <v>2369</v>
      </c>
      <c r="D294" s="132">
        <v>448462811</v>
      </c>
      <c r="E294" s="116">
        <f t="shared" si="71"/>
        <v>189304.69016462643</v>
      </c>
      <c r="F294" s="134">
        <v>339523745</v>
      </c>
      <c r="G294" s="117">
        <f t="shared" si="72"/>
        <v>143319.43647108486</v>
      </c>
      <c r="H294" s="7"/>
      <c r="I294" s="136">
        <v>9.9</v>
      </c>
      <c r="J294" s="134">
        <v>3361285.0754999998</v>
      </c>
      <c r="K294" s="120">
        <f t="shared" si="73"/>
        <v>1418.8624210637399</v>
      </c>
      <c r="L294" s="122">
        <f t="shared" si="61"/>
        <v>3395237.45</v>
      </c>
      <c r="M294" s="116">
        <f t="shared" si="62"/>
        <v>33952.374500000384</v>
      </c>
      <c r="N294" s="123">
        <f t="shared" si="63"/>
        <v>14.331943647108647</v>
      </c>
      <c r="O294" s="5"/>
      <c r="P294" s="5">
        <f t="shared" si="67"/>
        <v>1</v>
      </c>
      <c r="Q294" s="7">
        <f t="shared" si="68"/>
        <v>2369</v>
      </c>
      <c r="W294" s="124">
        <f t="shared" si="70"/>
        <v>3361285.0755000003</v>
      </c>
      <c r="X294">
        <f t="shared" si="69"/>
        <v>0</v>
      </c>
    </row>
    <row r="295" spans="1:24">
      <c r="A295" s="23" t="s">
        <v>322</v>
      </c>
      <c r="B295" s="35" t="s">
        <v>300</v>
      </c>
      <c r="C295" s="97">
        <v>13145</v>
      </c>
      <c r="D295" s="132">
        <v>6095415916</v>
      </c>
      <c r="E295" s="116">
        <f t="shared" si="71"/>
        <v>463706.04153670598</v>
      </c>
      <c r="F295" s="134">
        <v>3368380575</v>
      </c>
      <c r="G295" s="117">
        <f t="shared" si="72"/>
        <v>256248.04678585014</v>
      </c>
      <c r="H295" s="9"/>
      <c r="I295" s="136">
        <v>6.9</v>
      </c>
      <c r="J295" s="134">
        <v>23241825.967500001</v>
      </c>
      <c r="K295" s="120">
        <f>(J295/C295)</f>
        <v>1768.1115228223659</v>
      </c>
      <c r="L295" s="122">
        <f t="shared" si="61"/>
        <v>33683805.75</v>
      </c>
      <c r="M295" s="116">
        <f t="shared" si="62"/>
        <v>10441979.782499999</v>
      </c>
      <c r="N295" s="123">
        <f t="shared" si="63"/>
        <v>794.3689450361353</v>
      </c>
      <c r="O295" s="5"/>
      <c r="P295" s="5">
        <f t="shared" si="67"/>
        <v>1</v>
      </c>
      <c r="Q295" s="7">
        <f t="shared" si="68"/>
        <v>13145</v>
      </c>
      <c r="W295" s="124">
        <f t="shared" si="70"/>
        <v>23241825.967500001</v>
      </c>
      <c r="X295">
        <f t="shared" si="69"/>
        <v>0</v>
      </c>
    </row>
    <row r="296" spans="1:24">
      <c r="A296" s="23" t="s">
        <v>323</v>
      </c>
      <c r="B296" s="35" t="s">
        <v>300</v>
      </c>
      <c r="C296" s="97">
        <v>1830</v>
      </c>
      <c r="D296" s="132">
        <v>2625190005</v>
      </c>
      <c r="E296" s="116">
        <f t="shared" si="71"/>
        <v>1434530.0573770492</v>
      </c>
      <c r="F296" s="134">
        <v>1525596091</v>
      </c>
      <c r="G296" s="117">
        <f t="shared" si="72"/>
        <v>833659.0661202186</v>
      </c>
      <c r="H296" s="9"/>
      <c r="I296" s="136">
        <v>5.4</v>
      </c>
      <c r="J296" s="134">
        <v>8238218.891400001</v>
      </c>
      <c r="K296" s="120">
        <f t="shared" si="73"/>
        <v>4501.7589570491809</v>
      </c>
      <c r="L296" s="122">
        <f t="shared" si="61"/>
        <v>15255960.91</v>
      </c>
      <c r="M296" s="116">
        <f t="shared" si="62"/>
        <v>7017742.0185999991</v>
      </c>
      <c r="N296" s="123">
        <f t="shared" si="63"/>
        <v>3834.8317041530049</v>
      </c>
      <c r="O296" s="5"/>
      <c r="P296" s="5">
        <f t="shared" si="67"/>
        <v>1</v>
      </c>
      <c r="Q296" s="7">
        <f t="shared" si="68"/>
        <v>1830</v>
      </c>
      <c r="W296" s="124">
        <f t="shared" si="70"/>
        <v>8238218.8914000001</v>
      </c>
      <c r="X296">
        <f t="shared" si="69"/>
        <v>0</v>
      </c>
    </row>
    <row r="297" spans="1:24">
      <c r="A297" s="23" t="s">
        <v>324</v>
      </c>
      <c r="B297" s="35" t="s">
        <v>300</v>
      </c>
      <c r="C297" s="97">
        <v>5607</v>
      </c>
      <c r="D297" s="132">
        <v>324979359</v>
      </c>
      <c r="E297" s="116">
        <f t="shared" si="71"/>
        <v>57959.578919208136</v>
      </c>
      <c r="F297" s="134">
        <v>117120935</v>
      </c>
      <c r="G297" s="117">
        <f t="shared" si="72"/>
        <v>20888.342250757982</v>
      </c>
      <c r="H297" s="7"/>
      <c r="I297" s="136">
        <v>6.5419</v>
      </c>
      <c r="J297" s="134">
        <v>766193.44467649993</v>
      </c>
      <c r="K297" s="120">
        <f t="shared" si="73"/>
        <v>136.64944617023363</v>
      </c>
      <c r="L297" s="122">
        <f t="shared" si="61"/>
        <v>1171209.3500000001</v>
      </c>
      <c r="M297" s="116">
        <f t="shared" si="62"/>
        <v>405015.90532350016</v>
      </c>
      <c r="N297" s="123">
        <f t="shared" si="63"/>
        <v>72.233976337346206</v>
      </c>
      <c r="O297" s="5"/>
      <c r="P297" s="5">
        <f t="shared" si="67"/>
        <v>1</v>
      </c>
      <c r="Q297" s="7">
        <f t="shared" si="68"/>
        <v>5607</v>
      </c>
      <c r="W297" s="124">
        <f t="shared" si="70"/>
        <v>766193.44467649993</v>
      </c>
      <c r="X297">
        <f t="shared" si="69"/>
        <v>0</v>
      </c>
    </row>
    <row r="298" spans="1:24">
      <c r="A298" s="23" t="s">
        <v>300</v>
      </c>
      <c r="B298" s="35" t="s">
        <v>300</v>
      </c>
      <c r="C298" s="97">
        <v>9207</v>
      </c>
      <c r="D298" s="132">
        <v>49635743601</v>
      </c>
      <c r="E298" s="116">
        <f t="shared" si="71"/>
        <v>5391087.6073639626</v>
      </c>
      <c r="F298" s="134">
        <v>28889587970</v>
      </c>
      <c r="G298" s="117">
        <f t="shared" si="72"/>
        <v>3137785.1602041926</v>
      </c>
      <c r="H298" s="7"/>
      <c r="I298" s="136">
        <v>2.6110000000000002</v>
      </c>
      <c r="J298" s="134">
        <v>75430714.189670011</v>
      </c>
      <c r="K298" s="120">
        <f t="shared" si="73"/>
        <v>8192.7570532931477</v>
      </c>
      <c r="L298" s="122">
        <f t="shared" si="61"/>
        <v>288895879.69999999</v>
      </c>
      <c r="M298" s="116">
        <f t="shared" si="62"/>
        <v>213465165.51032996</v>
      </c>
      <c r="N298" s="123">
        <f t="shared" si="63"/>
        <v>23185.094548748773</v>
      </c>
      <c r="O298" s="5"/>
      <c r="P298" s="5">
        <f t="shared" si="67"/>
        <v>1</v>
      </c>
      <c r="Q298" s="7">
        <f t="shared" si="68"/>
        <v>9207</v>
      </c>
      <c r="W298" s="124">
        <f t="shared" si="70"/>
        <v>75430714.189669997</v>
      </c>
      <c r="X298">
        <f t="shared" si="69"/>
        <v>0</v>
      </c>
    </row>
    <row r="299" spans="1:24">
      <c r="A299" s="23" t="s">
        <v>325</v>
      </c>
      <c r="B299" s="35" t="s">
        <v>300</v>
      </c>
      <c r="C299" s="97">
        <v>61517</v>
      </c>
      <c r="D299" s="132">
        <v>28604963518</v>
      </c>
      <c r="E299" s="116">
        <f t="shared" si="71"/>
        <v>464992.82341466588</v>
      </c>
      <c r="F299" s="134">
        <v>17913970399</v>
      </c>
      <c r="G299" s="117">
        <f t="shared" si="72"/>
        <v>291203.57623096055</v>
      </c>
      <c r="H299" s="7"/>
      <c r="I299" s="136">
        <v>5.17</v>
      </c>
      <c r="J299" s="134">
        <v>92615226.962830007</v>
      </c>
      <c r="K299" s="120">
        <f t="shared" si="73"/>
        <v>1505.522489114066</v>
      </c>
      <c r="L299" s="122">
        <f t="shared" si="61"/>
        <v>179139703.99000001</v>
      </c>
      <c r="M299" s="116">
        <f t="shared" si="62"/>
        <v>86524477.027170002</v>
      </c>
      <c r="N299" s="123">
        <f t="shared" si="63"/>
        <v>1406.5132731955396</v>
      </c>
      <c r="O299" s="5"/>
      <c r="P299" s="5">
        <f t="shared" si="67"/>
        <v>1</v>
      </c>
      <c r="Q299" s="7">
        <f t="shared" si="68"/>
        <v>61517</v>
      </c>
      <c r="W299" s="124">
        <f t="shared" si="70"/>
        <v>92615226.962830007</v>
      </c>
      <c r="X299">
        <f t="shared" si="69"/>
        <v>0</v>
      </c>
    </row>
    <row r="300" spans="1:24">
      <c r="A300" s="23" t="s">
        <v>326</v>
      </c>
      <c r="B300" s="35" t="s">
        <v>300</v>
      </c>
      <c r="C300" s="97">
        <v>1309</v>
      </c>
      <c r="D300" s="132">
        <v>1040329009</v>
      </c>
      <c r="E300" s="116">
        <f t="shared" si="71"/>
        <v>794750.96180290298</v>
      </c>
      <c r="F300" s="134">
        <v>771387832</v>
      </c>
      <c r="G300" s="117">
        <f t="shared" si="72"/>
        <v>589295.51718869363</v>
      </c>
      <c r="H300" s="9"/>
      <c r="I300" s="136">
        <v>6.35</v>
      </c>
      <c r="J300" s="134">
        <v>4898312.7331999997</v>
      </c>
      <c r="K300" s="120">
        <f t="shared" si="73"/>
        <v>3742.0265341482045</v>
      </c>
      <c r="L300" s="122">
        <f t="shared" si="61"/>
        <v>7713878.3200000003</v>
      </c>
      <c r="M300" s="116">
        <f t="shared" si="62"/>
        <v>2815565.5868000006</v>
      </c>
      <c r="N300" s="123">
        <f t="shared" si="63"/>
        <v>2150.9286377387325</v>
      </c>
      <c r="O300" s="5"/>
      <c r="P300" s="5">
        <f t="shared" si="67"/>
        <v>1</v>
      </c>
      <c r="Q300" s="7">
        <f t="shared" si="68"/>
        <v>1309</v>
      </c>
      <c r="W300" s="124">
        <f t="shared" si="70"/>
        <v>4898312.7331999997</v>
      </c>
      <c r="X300">
        <f t="shared" si="69"/>
        <v>0</v>
      </c>
    </row>
    <row r="301" spans="1:24">
      <c r="A301" s="23" t="s">
        <v>327</v>
      </c>
      <c r="B301" s="35" t="s">
        <v>300</v>
      </c>
      <c r="C301" s="97">
        <v>27167</v>
      </c>
      <c r="D301" s="132">
        <v>3088833736</v>
      </c>
      <c r="E301" s="116">
        <f t="shared" si="71"/>
        <v>113698.00625759193</v>
      </c>
      <c r="F301" s="134">
        <v>1899811716</v>
      </c>
      <c r="G301" s="117">
        <f t="shared" si="72"/>
        <v>69930.861559980855</v>
      </c>
      <c r="H301" s="9"/>
      <c r="I301" s="136">
        <v>3.5</v>
      </c>
      <c r="J301" s="134">
        <v>6649341.0060000001</v>
      </c>
      <c r="K301" s="120">
        <f t="shared" si="73"/>
        <v>244.75801545993301</v>
      </c>
      <c r="L301" s="122">
        <f t="shared" si="61"/>
        <v>18998117.16</v>
      </c>
      <c r="M301" s="116">
        <f t="shared" si="62"/>
        <v>12348776.153999999</v>
      </c>
      <c r="N301" s="123">
        <f t="shared" si="63"/>
        <v>454.55060013987554</v>
      </c>
      <c r="O301" s="5"/>
      <c r="P301" s="5">
        <f t="shared" si="67"/>
        <v>1</v>
      </c>
      <c r="Q301" s="7">
        <f t="shared" si="68"/>
        <v>27167</v>
      </c>
      <c r="W301" s="124">
        <f t="shared" si="70"/>
        <v>6649341.0060000001</v>
      </c>
      <c r="X301">
        <f t="shared" si="69"/>
        <v>0</v>
      </c>
    </row>
    <row r="302" spans="1:24">
      <c r="A302" s="23" t="s">
        <v>328</v>
      </c>
      <c r="B302" s="35" t="s">
        <v>300</v>
      </c>
      <c r="C302" s="97">
        <v>38795</v>
      </c>
      <c r="D302" s="132">
        <v>11428213661</v>
      </c>
      <c r="E302" s="116">
        <f t="shared" si="71"/>
        <v>294579.55048330972</v>
      </c>
      <c r="F302" s="134">
        <v>7731593257</v>
      </c>
      <c r="G302" s="117">
        <f t="shared" si="72"/>
        <v>199293.54960690811</v>
      </c>
      <c r="H302" s="7"/>
      <c r="I302" s="136">
        <v>8.35</v>
      </c>
      <c r="J302" s="134">
        <v>64558803.695949994</v>
      </c>
      <c r="K302" s="120">
        <f t="shared" si="73"/>
        <v>1664.1011392176824</v>
      </c>
      <c r="L302" s="122">
        <f t="shared" si="61"/>
        <v>77315932.570000008</v>
      </c>
      <c r="M302" s="116">
        <f t="shared" si="62"/>
        <v>12757128.874050014</v>
      </c>
      <c r="N302" s="123">
        <f t="shared" si="63"/>
        <v>328.83435685139875</v>
      </c>
      <c r="O302" s="5"/>
      <c r="P302" s="5">
        <f t="shared" si="67"/>
        <v>1</v>
      </c>
      <c r="Q302" s="7">
        <f t="shared" si="68"/>
        <v>38795</v>
      </c>
      <c r="W302" s="124">
        <f t="shared" si="70"/>
        <v>64558803.695950001</v>
      </c>
      <c r="X302">
        <f t="shared" si="69"/>
        <v>0</v>
      </c>
    </row>
    <row r="303" spans="1:24">
      <c r="A303" s="23" t="s">
        <v>329</v>
      </c>
      <c r="B303" s="35" t="s">
        <v>300</v>
      </c>
      <c r="C303" s="97">
        <v>40299</v>
      </c>
      <c r="D303" s="132">
        <v>7129027519</v>
      </c>
      <c r="E303" s="116">
        <f t="shared" si="71"/>
        <v>176903.33554182487</v>
      </c>
      <c r="F303" s="134">
        <v>4256273703</v>
      </c>
      <c r="G303" s="117">
        <f t="shared" si="72"/>
        <v>105617.3528623539</v>
      </c>
      <c r="H303" s="7"/>
      <c r="I303" s="136">
        <v>1.92</v>
      </c>
      <c r="J303" s="134">
        <v>8172045.5097599989</v>
      </c>
      <c r="K303" s="120">
        <f t="shared" si="73"/>
        <v>202.78531749571948</v>
      </c>
      <c r="L303" s="122">
        <f t="shared" si="61"/>
        <v>42562737.030000001</v>
      </c>
      <c r="M303" s="116">
        <f t="shared" si="62"/>
        <v>34390691.520240001</v>
      </c>
      <c r="N303" s="123">
        <f t="shared" si="63"/>
        <v>853.38821112781955</v>
      </c>
      <c r="O303" s="5"/>
      <c r="P303" s="5">
        <f t="shared" si="67"/>
        <v>1</v>
      </c>
      <c r="Q303" s="7">
        <f t="shared" si="68"/>
        <v>40299</v>
      </c>
      <c r="W303" s="124">
        <f t="shared" si="70"/>
        <v>8172045.5097599989</v>
      </c>
      <c r="X303">
        <f t="shared" si="69"/>
        <v>0</v>
      </c>
    </row>
    <row r="304" spans="1:24">
      <c r="A304" s="23" t="s">
        <v>330</v>
      </c>
      <c r="B304" s="35" t="s">
        <v>300</v>
      </c>
      <c r="C304" s="97">
        <v>4958</v>
      </c>
      <c r="D304" s="132">
        <v>286361222</v>
      </c>
      <c r="E304" s="116">
        <f t="shared" si="71"/>
        <v>57757.406615570791</v>
      </c>
      <c r="F304" s="134">
        <v>99065165</v>
      </c>
      <c r="G304" s="117">
        <f t="shared" si="72"/>
        <v>19980.872327551431</v>
      </c>
      <c r="H304" s="7"/>
      <c r="I304" s="136">
        <v>6.3089000000000004</v>
      </c>
      <c r="J304" s="134">
        <v>624992.2194685</v>
      </c>
      <c r="K304" s="120">
        <f t="shared" si="73"/>
        <v>126.05732542728923</v>
      </c>
      <c r="L304" s="122">
        <f t="shared" si="61"/>
        <v>990651.65</v>
      </c>
      <c r="M304" s="116">
        <f t="shared" si="62"/>
        <v>365659.43053150002</v>
      </c>
      <c r="N304" s="123">
        <f t="shared" si="63"/>
        <v>73.751397848225096</v>
      </c>
      <c r="O304" s="5"/>
      <c r="P304" s="5">
        <f t="shared" si="67"/>
        <v>1</v>
      </c>
      <c r="Q304" s="7">
        <f t="shared" si="68"/>
        <v>4958</v>
      </c>
      <c r="W304" s="124">
        <f t="shared" si="70"/>
        <v>624992.2194685</v>
      </c>
      <c r="X304">
        <f t="shared" si="69"/>
        <v>0</v>
      </c>
    </row>
    <row r="305" spans="1:24">
      <c r="A305" s="23" t="s">
        <v>331</v>
      </c>
      <c r="B305" s="35" t="s">
        <v>300</v>
      </c>
      <c r="C305" s="97">
        <v>1469</v>
      </c>
      <c r="D305" s="132">
        <v>883205314</v>
      </c>
      <c r="E305" s="116">
        <f t="shared" si="71"/>
        <v>601228.9407760381</v>
      </c>
      <c r="F305" s="134">
        <v>584131716</v>
      </c>
      <c r="G305" s="117">
        <f t="shared" si="72"/>
        <v>397639.01701837988</v>
      </c>
      <c r="H305" s="7"/>
      <c r="I305" s="136">
        <v>3.4</v>
      </c>
      <c r="J305" s="134">
        <v>1986047.8343999998</v>
      </c>
      <c r="K305" s="120">
        <f t="shared" si="73"/>
        <v>1351.9726578624914</v>
      </c>
      <c r="L305" s="122">
        <f t="shared" si="61"/>
        <v>5841317.1600000001</v>
      </c>
      <c r="M305" s="116">
        <f t="shared" si="62"/>
        <v>3855269.3256000001</v>
      </c>
      <c r="N305" s="123">
        <f t="shared" si="63"/>
        <v>2624.4175123213072</v>
      </c>
      <c r="O305" s="5"/>
      <c r="P305" s="5">
        <f t="shared" si="67"/>
        <v>1</v>
      </c>
      <c r="Q305" s="7">
        <f t="shared" si="68"/>
        <v>1469</v>
      </c>
      <c r="W305" s="124">
        <f t="shared" si="70"/>
        <v>1986047.8343999998</v>
      </c>
      <c r="X305">
        <f t="shared" si="69"/>
        <v>0</v>
      </c>
    </row>
    <row r="306" spans="1:24">
      <c r="A306" s="23" t="s">
        <v>332</v>
      </c>
      <c r="B306" s="35" t="s">
        <v>300</v>
      </c>
      <c r="C306" s="97">
        <v>6179</v>
      </c>
      <c r="D306" s="132">
        <v>3231703115</v>
      </c>
      <c r="E306" s="116">
        <f t="shared" si="71"/>
        <v>523013.93672115228</v>
      </c>
      <c r="F306" s="134">
        <v>1874378894</v>
      </c>
      <c r="G306" s="117">
        <f t="shared" si="72"/>
        <v>303346.64088040136</v>
      </c>
      <c r="H306" s="7"/>
      <c r="I306" s="136">
        <v>6.4595000000000002</v>
      </c>
      <c r="J306" s="134">
        <v>12107550.465793001</v>
      </c>
      <c r="K306" s="120">
        <f t="shared" si="73"/>
        <v>1959.4676267669527</v>
      </c>
      <c r="L306" s="122">
        <f t="shared" si="61"/>
        <v>18743788.940000001</v>
      </c>
      <c r="M306" s="116">
        <f t="shared" si="62"/>
        <v>6636238.4742070008</v>
      </c>
      <c r="N306" s="123">
        <f t="shared" si="63"/>
        <v>1073.9987820370611</v>
      </c>
      <c r="O306" s="5"/>
      <c r="P306" s="5">
        <f t="shared" si="67"/>
        <v>1</v>
      </c>
      <c r="Q306" s="7">
        <f t="shared" si="68"/>
        <v>6179</v>
      </c>
      <c r="W306" s="124">
        <f t="shared" si="70"/>
        <v>12107550.465793001</v>
      </c>
      <c r="X306">
        <f t="shared" si="69"/>
        <v>0</v>
      </c>
    </row>
    <row r="307" spans="1:24">
      <c r="A307" s="23" t="s">
        <v>333</v>
      </c>
      <c r="B307" s="35" t="s">
        <v>300</v>
      </c>
      <c r="C307" s="97">
        <v>61788</v>
      </c>
      <c r="D307" s="132">
        <v>19691113991</v>
      </c>
      <c r="E307" s="116">
        <f t="shared" si="71"/>
        <v>318688.32121123845</v>
      </c>
      <c r="F307" s="134">
        <v>11504024117</v>
      </c>
      <c r="G307" s="117">
        <f t="shared" si="72"/>
        <v>186185.41006344275</v>
      </c>
      <c r="H307" s="7"/>
      <c r="I307" s="136">
        <v>2.4700000000000002</v>
      </c>
      <c r="J307" s="134">
        <v>28414939.568990003</v>
      </c>
      <c r="K307" s="120">
        <f t="shared" si="73"/>
        <v>459.87796285670362</v>
      </c>
      <c r="L307" s="122">
        <f t="shared" si="61"/>
        <v>115040241.17</v>
      </c>
      <c r="M307" s="116">
        <f t="shared" si="62"/>
        <v>86625301.601009995</v>
      </c>
      <c r="N307" s="123">
        <f t="shared" si="63"/>
        <v>1401.9761377777238</v>
      </c>
      <c r="O307" s="5"/>
      <c r="P307" s="5">
        <f t="shared" si="67"/>
        <v>1</v>
      </c>
      <c r="Q307" s="7">
        <f t="shared" si="68"/>
        <v>61788</v>
      </c>
      <c r="W307" s="124">
        <f t="shared" si="70"/>
        <v>28414939.568990003</v>
      </c>
      <c r="X307">
        <f t="shared" si="69"/>
        <v>0</v>
      </c>
    </row>
    <row r="308" spans="1:24">
      <c r="A308" s="24" t="s">
        <v>334</v>
      </c>
      <c r="B308" s="35" t="s">
        <v>300</v>
      </c>
      <c r="C308" s="97">
        <v>122157</v>
      </c>
      <c r="D308" s="132">
        <v>35260906093</v>
      </c>
      <c r="E308" s="116">
        <f t="shared" si="71"/>
        <v>288652.3579737551</v>
      </c>
      <c r="F308" s="134">
        <v>21047209696</v>
      </c>
      <c r="G308" s="117">
        <f t="shared" si="72"/>
        <v>172296.38658447735</v>
      </c>
      <c r="H308" s="7"/>
      <c r="I308" s="136">
        <v>8.1308000000000007</v>
      </c>
      <c r="J308" s="134">
        <v>171130652.59623682</v>
      </c>
      <c r="K308" s="120">
        <f t="shared" si="73"/>
        <v>1400.9074600410686</v>
      </c>
      <c r="L308" s="122">
        <f t="shared" si="61"/>
        <v>210472096.96000001</v>
      </c>
      <c r="M308" s="116">
        <f t="shared" si="62"/>
        <v>39341444.363763183</v>
      </c>
      <c r="N308" s="123">
        <f t="shared" si="63"/>
        <v>322.05640580370493</v>
      </c>
      <c r="O308" s="5"/>
      <c r="P308" s="5">
        <f>IF(I308&gt;0,1,0)</f>
        <v>1</v>
      </c>
      <c r="Q308" s="7">
        <f>IF(I308&gt;0,C308,0)</f>
        <v>122157</v>
      </c>
      <c r="S308" s="124"/>
      <c r="T308" s="124"/>
      <c r="U308" s="124"/>
      <c r="W308" s="124">
        <f t="shared" si="70"/>
        <v>171130652.59623682</v>
      </c>
      <c r="X308">
        <f t="shared" si="69"/>
        <v>0</v>
      </c>
    </row>
    <row r="309" spans="1:24">
      <c r="A309" s="23" t="s">
        <v>614</v>
      </c>
      <c r="B309" s="35" t="s">
        <v>300</v>
      </c>
      <c r="C309" s="97">
        <v>4694</v>
      </c>
      <c r="D309" s="132">
        <v>1516307267</v>
      </c>
      <c r="E309" s="116">
        <f t="shared" si="71"/>
        <v>323030.94737963355</v>
      </c>
      <c r="F309" s="134">
        <v>913473876</v>
      </c>
      <c r="G309" s="117">
        <f t="shared" si="72"/>
        <v>194604.57520238601</v>
      </c>
      <c r="H309" s="7"/>
      <c r="I309" s="136">
        <v>5</v>
      </c>
      <c r="J309" s="134">
        <v>4567369.38</v>
      </c>
      <c r="K309" s="120">
        <f t="shared" si="73"/>
        <v>973.02287601193007</v>
      </c>
      <c r="L309" s="122">
        <f t="shared" si="61"/>
        <v>9134738.7599999998</v>
      </c>
      <c r="M309" s="116">
        <f t="shared" si="62"/>
        <v>4567369.38</v>
      </c>
      <c r="N309" s="123">
        <f t="shared" si="63"/>
        <v>973.02287601193007</v>
      </c>
      <c r="O309" s="5"/>
      <c r="P309" s="5">
        <f t="shared" si="67"/>
        <v>1</v>
      </c>
      <c r="Q309" s="7">
        <f t="shared" si="68"/>
        <v>4694</v>
      </c>
      <c r="S309" s="124">
        <f>SUM(D271:D309)</f>
        <v>329415071149</v>
      </c>
      <c r="T309" s="124">
        <f>SUM(F271:F309)</f>
        <v>200908652220</v>
      </c>
      <c r="U309" s="124">
        <f>SUM(J271:J309)</f>
        <v>942102740.84267724</v>
      </c>
      <c r="W309" s="124">
        <f t="shared" si="70"/>
        <v>4567369.38</v>
      </c>
      <c r="X309">
        <f t="shared" si="69"/>
        <v>0</v>
      </c>
    </row>
    <row r="310" spans="1:24">
      <c r="A310" s="23" t="s">
        <v>335</v>
      </c>
      <c r="B310" s="35" t="s">
        <v>336</v>
      </c>
      <c r="C310" s="97">
        <v>8363</v>
      </c>
      <c r="D310" s="132">
        <v>1060118916</v>
      </c>
      <c r="E310" s="116">
        <f t="shared" si="71"/>
        <v>126762.99366256128</v>
      </c>
      <c r="F310" s="134">
        <v>550436885</v>
      </c>
      <c r="G310" s="117">
        <f t="shared" si="72"/>
        <v>65818.113715173982</v>
      </c>
      <c r="H310" s="7"/>
      <c r="I310" s="136">
        <v>7</v>
      </c>
      <c r="J310" s="134">
        <v>3853058.1949999998</v>
      </c>
      <c r="K310" s="120">
        <f t="shared" si="73"/>
        <v>460.72679600621785</v>
      </c>
      <c r="L310" s="122">
        <f t="shared" si="61"/>
        <v>5504368.8500000006</v>
      </c>
      <c r="M310" s="116">
        <f t="shared" si="62"/>
        <v>1651310.6550000007</v>
      </c>
      <c r="N310" s="123">
        <f t="shared" si="63"/>
        <v>197.45434114552202</v>
      </c>
      <c r="O310" s="5"/>
      <c r="P310" s="5">
        <f t="shared" si="67"/>
        <v>1</v>
      </c>
      <c r="Q310" s="7">
        <f t="shared" si="68"/>
        <v>8363</v>
      </c>
      <c r="W310" s="124">
        <f t="shared" si="70"/>
        <v>3853058.1950000003</v>
      </c>
      <c r="X310">
        <f t="shared" si="69"/>
        <v>0</v>
      </c>
    </row>
    <row r="311" spans="1:24">
      <c r="A311" s="23" t="s">
        <v>337</v>
      </c>
      <c r="B311" s="35" t="s">
        <v>336</v>
      </c>
      <c r="C311" s="97">
        <v>17213</v>
      </c>
      <c r="D311" s="132">
        <v>1855591309</v>
      </c>
      <c r="E311" s="116">
        <f t="shared" si="71"/>
        <v>107801.73758206007</v>
      </c>
      <c r="F311" s="134">
        <v>947326905</v>
      </c>
      <c r="G311" s="117">
        <f t="shared" si="72"/>
        <v>55035.549003660024</v>
      </c>
      <c r="H311" s="7"/>
      <c r="I311" s="136">
        <v>8.4</v>
      </c>
      <c r="J311" s="134">
        <v>7957546.0020000003</v>
      </c>
      <c r="K311" s="120">
        <f t="shared" si="73"/>
        <v>462.29861163074423</v>
      </c>
      <c r="L311" s="122">
        <f t="shared" si="61"/>
        <v>9473269.0500000007</v>
      </c>
      <c r="M311" s="116">
        <f t="shared" si="62"/>
        <v>1515723.0480000004</v>
      </c>
      <c r="N311" s="123">
        <f t="shared" si="63"/>
        <v>88.056878405856068</v>
      </c>
      <c r="O311" s="5"/>
      <c r="P311" s="5">
        <f t="shared" si="67"/>
        <v>1</v>
      </c>
      <c r="Q311" s="7">
        <f t="shared" si="68"/>
        <v>17213</v>
      </c>
      <c r="W311" s="124">
        <f t="shared" si="70"/>
        <v>7957546.0020000013</v>
      </c>
      <c r="X311">
        <f t="shared" si="69"/>
        <v>0</v>
      </c>
    </row>
    <row r="312" spans="1:24">
      <c r="A312" s="23" t="s">
        <v>338</v>
      </c>
      <c r="B312" s="35" t="s">
        <v>336</v>
      </c>
      <c r="C312" s="97">
        <v>3267</v>
      </c>
      <c r="D312" s="132">
        <v>612859831</v>
      </c>
      <c r="E312" s="116">
        <f t="shared" si="71"/>
        <v>187591.0104071013</v>
      </c>
      <c r="F312" s="134">
        <v>404080981</v>
      </c>
      <c r="G312" s="117">
        <f t="shared" si="72"/>
        <v>123685.63850627487</v>
      </c>
      <c r="H312" s="7"/>
      <c r="I312" s="136">
        <v>6.53</v>
      </c>
      <c r="J312" s="134">
        <v>2638648.8059300003</v>
      </c>
      <c r="K312" s="120">
        <f t="shared" si="73"/>
        <v>807.66721944597498</v>
      </c>
      <c r="L312" s="122">
        <f t="shared" si="61"/>
        <v>4040809.81</v>
      </c>
      <c r="M312" s="116">
        <f t="shared" si="62"/>
        <v>1402161.0040699998</v>
      </c>
      <c r="N312" s="123">
        <f t="shared" si="63"/>
        <v>429.18916561677372</v>
      </c>
      <c r="O312" s="5"/>
      <c r="P312" s="5">
        <f t="shared" si="67"/>
        <v>1</v>
      </c>
      <c r="Q312" s="7">
        <f t="shared" si="68"/>
        <v>3267</v>
      </c>
      <c r="W312" s="124">
        <f t="shared" si="70"/>
        <v>2638648.8059300003</v>
      </c>
      <c r="X312">
        <f t="shared" si="69"/>
        <v>0</v>
      </c>
    </row>
    <row r="313" spans="1:24">
      <c r="A313" s="24" t="s">
        <v>339</v>
      </c>
      <c r="B313" s="35" t="s">
        <v>336</v>
      </c>
      <c r="C313" s="97">
        <v>1381</v>
      </c>
      <c r="D313" s="132">
        <v>213806120</v>
      </c>
      <c r="E313" s="116">
        <f t="shared" si="71"/>
        <v>154819.78276611152</v>
      </c>
      <c r="F313" s="134">
        <v>110574203</v>
      </c>
      <c r="G313" s="117">
        <f t="shared" si="72"/>
        <v>80068.213613323678</v>
      </c>
      <c r="H313" s="9"/>
      <c r="I313" s="136">
        <v>3.9</v>
      </c>
      <c r="J313" s="134">
        <v>431239.39169999998</v>
      </c>
      <c r="K313" s="120">
        <f t="shared" si="73"/>
        <v>312.26603309196236</v>
      </c>
      <c r="L313" s="122">
        <f t="shared" si="61"/>
        <v>1105742.03</v>
      </c>
      <c r="M313" s="116">
        <f t="shared" si="62"/>
        <v>674502.63829999999</v>
      </c>
      <c r="N313" s="123">
        <f t="shared" si="63"/>
        <v>488.41610304127443</v>
      </c>
      <c r="O313" s="5"/>
      <c r="P313" s="5">
        <f t="shared" si="67"/>
        <v>1</v>
      </c>
      <c r="Q313" s="7">
        <f t="shared" si="68"/>
        <v>1381</v>
      </c>
      <c r="W313" s="124">
        <f t="shared" si="70"/>
        <v>431239.39169999998</v>
      </c>
      <c r="X313">
        <f t="shared" si="69"/>
        <v>0</v>
      </c>
    </row>
    <row r="314" spans="1:24">
      <c r="A314" s="23" t="s">
        <v>547</v>
      </c>
      <c r="B314" s="35" t="s">
        <v>336</v>
      </c>
      <c r="C314" s="97">
        <v>2462</v>
      </c>
      <c r="D314" s="132">
        <v>99248986</v>
      </c>
      <c r="E314" s="116">
        <f t="shared" si="71"/>
        <v>40312.341998375305</v>
      </c>
      <c r="F314" s="134">
        <v>11978044</v>
      </c>
      <c r="G314" s="117">
        <f t="shared" si="72"/>
        <v>4865.1681559707558</v>
      </c>
      <c r="H314" s="7"/>
      <c r="I314" s="136">
        <v>0.9</v>
      </c>
      <c r="J314" s="134">
        <v>10780.239599999999</v>
      </c>
      <c r="K314" s="120">
        <f t="shared" si="73"/>
        <v>4.3786513403736791</v>
      </c>
      <c r="L314" s="122">
        <f t="shared" si="61"/>
        <v>119780.44</v>
      </c>
      <c r="M314" s="116">
        <f t="shared" si="62"/>
        <v>109000.2004</v>
      </c>
      <c r="N314" s="123">
        <f t="shared" si="63"/>
        <v>44.273030219333876</v>
      </c>
      <c r="O314" s="5"/>
      <c r="P314" s="5">
        <f t="shared" si="67"/>
        <v>1</v>
      </c>
      <c r="Q314" s="7">
        <f t="shared" si="68"/>
        <v>2462</v>
      </c>
      <c r="S314" s="124"/>
      <c r="T314" s="124"/>
      <c r="U314" s="124"/>
      <c r="W314" s="124">
        <f t="shared" si="70"/>
        <v>10780.239599999999</v>
      </c>
      <c r="X314">
        <f t="shared" si="69"/>
        <v>0</v>
      </c>
    </row>
    <row r="315" spans="1:24">
      <c r="A315" s="23" t="s">
        <v>340</v>
      </c>
      <c r="B315" s="35" t="s">
        <v>336</v>
      </c>
      <c r="C315" s="97">
        <v>19337</v>
      </c>
      <c r="D315" s="132">
        <v>2247511428</v>
      </c>
      <c r="E315" s="116">
        <f t="shared" si="71"/>
        <v>116228.54775818379</v>
      </c>
      <c r="F315" s="134">
        <v>1348367340</v>
      </c>
      <c r="G315" s="117">
        <f t="shared" si="72"/>
        <v>69729.913637068836</v>
      </c>
      <c r="H315" s="7"/>
      <c r="I315" s="136">
        <v>6.25</v>
      </c>
      <c r="J315" s="134">
        <v>8427295.875</v>
      </c>
      <c r="K315" s="120">
        <f t="shared" si="73"/>
        <v>435.81196023168019</v>
      </c>
      <c r="L315" s="122">
        <f t="shared" si="61"/>
        <v>13483673.4</v>
      </c>
      <c r="M315" s="116">
        <f t="shared" si="62"/>
        <v>5056377.5250000004</v>
      </c>
      <c r="N315" s="123">
        <f t="shared" si="63"/>
        <v>261.48717613900811</v>
      </c>
      <c r="O315" s="5"/>
      <c r="P315" s="5">
        <f t="shared" si="67"/>
        <v>1</v>
      </c>
      <c r="Q315" s="7">
        <f t="shared" si="68"/>
        <v>19337</v>
      </c>
      <c r="S315" s="124">
        <f>SUM(D310:D315)</f>
        <v>6089136590</v>
      </c>
      <c r="T315" s="124">
        <f>SUM(F310:F315)</f>
        <v>3372764358</v>
      </c>
      <c r="U315" s="124">
        <f>SUM(J310:J315)</f>
        <v>23318568.509230003</v>
      </c>
      <c r="W315" s="124">
        <f t="shared" si="70"/>
        <v>8427295.875</v>
      </c>
      <c r="X315">
        <f t="shared" si="69"/>
        <v>0</v>
      </c>
    </row>
    <row r="316" spans="1:24">
      <c r="A316" s="23" t="s">
        <v>341</v>
      </c>
      <c r="B316" s="35" t="s">
        <v>342</v>
      </c>
      <c r="C316" s="97">
        <v>4367</v>
      </c>
      <c r="D316" s="132">
        <v>2073753263</v>
      </c>
      <c r="E316" s="116">
        <f t="shared" si="71"/>
        <v>474869.07785665215</v>
      </c>
      <c r="F316" s="134">
        <v>1190523680</v>
      </c>
      <c r="G316" s="117">
        <f t="shared" si="72"/>
        <v>272618.20013739407</v>
      </c>
      <c r="H316" s="7"/>
      <c r="I316" s="136">
        <v>6.5</v>
      </c>
      <c r="J316" s="134">
        <v>7738403.9199999999</v>
      </c>
      <c r="K316" s="120">
        <f t="shared" si="73"/>
        <v>1772.0183008930617</v>
      </c>
      <c r="L316" s="122">
        <f t="shared" si="61"/>
        <v>11905236.800000001</v>
      </c>
      <c r="M316" s="116">
        <f t="shared" si="62"/>
        <v>4166832.8800000008</v>
      </c>
      <c r="N316" s="123">
        <f t="shared" si="63"/>
        <v>954.16370048087947</v>
      </c>
      <c r="O316" s="5"/>
      <c r="P316" s="5">
        <f t="shared" si="67"/>
        <v>1</v>
      </c>
      <c r="Q316" s="7">
        <f t="shared" si="68"/>
        <v>4367</v>
      </c>
      <c r="W316" s="124">
        <f t="shared" si="70"/>
        <v>7738403.9199999999</v>
      </c>
      <c r="X316">
        <f t="shared" si="69"/>
        <v>0</v>
      </c>
    </row>
    <row r="317" spans="1:24">
      <c r="A317" s="23" t="s">
        <v>343</v>
      </c>
      <c r="B317" s="35" t="s">
        <v>342</v>
      </c>
      <c r="C317" s="97">
        <v>1641</v>
      </c>
      <c r="D317" s="132">
        <v>1375010552</v>
      </c>
      <c r="E317" s="116">
        <f t="shared" si="71"/>
        <v>837910.14747105422</v>
      </c>
      <c r="F317" s="134">
        <v>809797435</v>
      </c>
      <c r="G317" s="117">
        <f t="shared" si="72"/>
        <v>493478.02254722727</v>
      </c>
      <c r="H317" s="7"/>
      <c r="I317" s="136">
        <v>2.0394000000000001</v>
      </c>
      <c r="J317" s="134">
        <v>1651500.8889390002</v>
      </c>
      <c r="K317" s="120">
        <f t="shared" si="73"/>
        <v>1006.3990791828155</v>
      </c>
      <c r="L317" s="122">
        <f t="shared" si="61"/>
        <v>8097974.3500000006</v>
      </c>
      <c r="M317" s="116">
        <f t="shared" si="62"/>
        <v>6446473.4610610008</v>
      </c>
      <c r="N317" s="123">
        <f t="shared" si="63"/>
        <v>3928.3811462894582</v>
      </c>
      <c r="O317" s="5"/>
      <c r="P317" s="5">
        <f t="shared" si="67"/>
        <v>1</v>
      </c>
      <c r="Q317" s="7">
        <f t="shared" si="68"/>
        <v>1641</v>
      </c>
      <c r="W317" s="124">
        <f t="shared" si="70"/>
        <v>1651500.8889390002</v>
      </c>
      <c r="X317">
        <f t="shared" si="69"/>
        <v>0</v>
      </c>
    </row>
    <row r="318" spans="1:24">
      <c r="A318" s="23" t="s">
        <v>344</v>
      </c>
      <c r="B318" s="35" t="s">
        <v>342</v>
      </c>
      <c r="C318" s="97">
        <v>2324</v>
      </c>
      <c r="D318" s="132">
        <v>564818910</v>
      </c>
      <c r="E318" s="116">
        <f t="shared" si="71"/>
        <v>243037.39672977626</v>
      </c>
      <c r="F318" s="134">
        <v>348590342</v>
      </c>
      <c r="G318" s="117">
        <f t="shared" si="72"/>
        <v>149995.84423407918</v>
      </c>
      <c r="H318" s="7"/>
      <c r="I318" s="136">
        <v>5.35</v>
      </c>
      <c r="J318" s="134">
        <v>1864958.3296999999</v>
      </c>
      <c r="K318" s="120">
        <f t="shared" si="73"/>
        <v>802.47776665232357</v>
      </c>
      <c r="L318" s="122">
        <f t="shared" si="61"/>
        <v>3485903.42</v>
      </c>
      <c r="M318" s="116">
        <f t="shared" si="62"/>
        <v>1620945.0903</v>
      </c>
      <c r="N318" s="123">
        <f t="shared" si="63"/>
        <v>697.48067568846818</v>
      </c>
      <c r="O318" s="5"/>
      <c r="P318" s="5">
        <f t="shared" si="67"/>
        <v>1</v>
      </c>
      <c r="Q318" s="7">
        <f t="shared" si="68"/>
        <v>2324</v>
      </c>
      <c r="W318" s="124">
        <f t="shared" si="70"/>
        <v>1864958.3296999999</v>
      </c>
      <c r="X318">
        <f t="shared" si="69"/>
        <v>0</v>
      </c>
    </row>
    <row r="319" spans="1:24">
      <c r="A319" s="23" t="s">
        <v>345</v>
      </c>
      <c r="B319" s="35" t="s">
        <v>342</v>
      </c>
      <c r="C319" s="97">
        <v>74</v>
      </c>
      <c r="D319" s="132">
        <v>318875849</v>
      </c>
      <c r="E319" s="116">
        <f t="shared" si="71"/>
        <v>4309133.094594595</v>
      </c>
      <c r="F319" s="134">
        <v>238958542</v>
      </c>
      <c r="G319" s="117">
        <f t="shared" si="72"/>
        <v>3229169.4864864866</v>
      </c>
      <c r="H319" s="7"/>
      <c r="I319" s="136">
        <v>0.53449999999999998</v>
      </c>
      <c r="J319" s="134">
        <v>127723.34069900001</v>
      </c>
      <c r="K319" s="120">
        <f t="shared" si="73"/>
        <v>1725.9910905270272</v>
      </c>
      <c r="L319" s="122">
        <f t="shared" si="61"/>
        <v>2389585.42</v>
      </c>
      <c r="M319" s="116">
        <f t="shared" si="62"/>
        <v>2261862.0793010001</v>
      </c>
      <c r="N319" s="123">
        <f t="shared" si="63"/>
        <v>30565.703774337839</v>
      </c>
      <c r="O319" s="5"/>
      <c r="P319" s="5">
        <f t="shared" si="67"/>
        <v>1</v>
      </c>
      <c r="Q319" s="7">
        <f t="shared" si="68"/>
        <v>74</v>
      </c>
      <c r="W319" s="124">
        <f t="shared" si="70"/>
        <v>127723.34069899998</v>
      </c>
      <c r="X319">
        <f t="shared" si="69"/>
        <v>0</v>
      </c>
    </row>
    <row r="320" spans="1:24">
      <c r="A320" s="129" t="s">
        <v>346</v>
      </c>
      <c r="B320" s="130" t="s">
        <v>342</v>
      </c>
      <c r="C320" s="97">
        <v>118904</v>
      </c>
      <c r="D320" s="132">
        <v>27648854059</v>
      </c>
      <c r="E320" s="133">
        <f t="shared" si="71"/>
        <v>232530.8993726031</v>
      </c>
      <c r="F320" s="134">
        <v>16851009206</v>
      </c>
      <c r="G320" s="134">
        <f t="shared" si="72"/>
        <v>141719.44767207158</v>
      </c>
      <c r="H320" s="135"/>
      <c r="I320" s="136">
        <v>5.8849999999999998</v>
      </c>
      <c r="J320" s="134">
        <v>99168189.177310005</v>
      </c>
      <c r="K320" s="137">
        <f t="shared" si="73"/>
        <v>834.01894955014131</v>
      </c>
      <c r="L320" s="138">
        <f t="shared" si="61"/>
        <v>168510092.06</v>
      </c>
      <c r="M320" s="133">
        <f t="shared" si="62"/>
        <v>69341902.882689998</v>
      </c>
      <c r="N320" s="139">
        <f t="shared" si="63"/>
        <v>583.17552717057458</v>
      </c>
      <c r="O320" s="5"/>
      <c r="P320" s="5">
        <f t="shared" si="67"/>
        <v>1</v>
      </c>
      <c r="Q320" s="7">
        <f t="shared" si="68"/>
        <v>118904</v>
      </c>
      <c r="W320" s="124">
        <f t="shared" si="70"/>
        <v>99168189.17730999</v>
      </c>
      <c r="X320">
        <f t="shared" si="69"/>
        <v>0</v>
      </c>
    </row>
    <row r="321" spans="1:24">
      <c r="A321" s="23" t="s">
        <v>347</v>
      </c>
      <c r="B321" s="35" t="s">
        <v>342</v>
      </c>
      <c r="C321" s="97">
        <v>36083</v>
      </c>
      <c r="D321" s="132">
        <v>7951505762</v>
      </c>
      <c r="E321" s="116">
        <f t="shared" si="71"/>
        <v>220367.0914835241</v>
      </c>
      <c r="F321" s="134">
        <v>4170511330</v>
      </c>
      <c r="G321" s="117">
        <f t="shared" si="72"/>
        <v>115581.05839314913</v>
      </c>
      <c r="H321" s="7"/>
      <c r="I321" s="136">
        <v>4.1345000000000001</v>
      </c>
      <c r="J321" s="134">
        <v>17242979.093885001</v>
      </c>
      <c r="K321" s="120">
        <f t="shared" si="73"/>
        <v>477.86988592647509</v>
      </c>
      <c r="L321" s="122">
        <f t="shared" si="61"/>
        <v>41705113.300000004</v>
      </c>
      <c r="M321" s="116">
        <f t="shared" si="62"/>
        <v>24462134.206115004</v>
      </c>
      <c r="N321" s="123">
        <f t="shared" si="63"/>
        <v>677.94069800501632</v>
      </c>
      <c r="O321" s="5"/>
      <c r="P321" s="5">
        <f t="shared" si="67"/>
        <v>1</v>
      </c>
      <c r="Q321" s="7">
        <f t="shared" si="68"/>
        <v>36083</v>
      </c>
      <c r="W321" s="124">
        <f t="shared" si="70"/>
        <v>17242979.093885001</v>
      </c>
      <c r="X321">
        <f t="shared" si="69"/>
        <v>0</v>
      </c>
    </row>
    <row r="322" spans="1:24">
      <c r="A322" s="23" t="s">
        <v>348</v>
      </c>
      <c r="B322" s="35" t="s">
        <v>342</v>
      </c>
      <c r="C322" s="97">
        <v>11806</v>
      </c>
      <c r="D322" s="132">
        <v>2983962789</v>
      </c>
      <c r="E322" s="116">
        <f t="shared" si="71"/>
        <v>252749.68566830424</v>
      </c>
      <c r="F322" s="134">
        <v>1569711858</v>
      </c>
      <c r="G322" s="117">
        <f t="shared" si="72"/>
        <v>132958.82246315433</v>
      </c>
      <c r="H322" s="7"/>
      <c r="I322" s="136">
        <v>4.0258000000000003</v>
      </c>
      <c r="J322" s="134">
        <v>6319345.9979364006</v>
      </c>
      <c r="K322" s="120">
        <f t="shared" si="73"/>
        <v>535.26562747216678</v>
      </c>
      <c r="L322" s="122">
        <f t="shared" si="61"/>
        <v>15697118.58</v>
      </c>
      <c r="M322" s="116">
        <f t="shared" si="62"/>
        <v>9377772.5820636004</v>
      </c>
      <c r="N322" s="123">
        <f t="shared" si="63"/>
        <v>794.32259715937664</v>
      </c>
      <c r="O322" s="5"/>
      <c r="P322" s="5">
        <f t="shared" si="67"/>
        <v>1</v>
      </c>
      <c r="Q322" s="7">
        <f t="shared" si="68"/>
        <v>11806</v>
      </c>
      <c r="W322" s="124">
        <f t="shared" si="70"/>
        <v>6319345.9979364006</v>
      </c>
      <c r="X322">
        <f t="shared" si="69"/>
        <v>0</v>
      </c>
    </row>
    <row r="323" spans="1:24">
      <c r="A323" s="23" t="s">
        <v>349</v>
      </c>
      <c r="B323" s="35" t="s">
        <v>342</v>
      </c>
      <c r="C323" s="97">
        <v>3717</v>
      </c>
      <c r="D323" s="132">
        <v>3020795521</v>
      </c>
      <c r="E323" s="116">
        <f t="shared" si="71"/>
        <v>812697.20769437717</v>
      </c>
      <c r="F323" s="134">
        <v>1894492098</v>
      </c>
      <c r="G323" s="117">
        <f t="shared" si="72"/>
        <v>509683.10411622276</v>
      </c>
      <c r="H323" s="98"/>
      <c r="I323" s="136">
        <v>1.73</v>
      </c>
      <c r="J323" s="134">
        <v>3277471.3295399998</v>
      </c>
      <c r="K323" s="120">
        <f t="shared" si="73"/>
        <v>881.75177012106531</v>
      </c>
      <c r="L323" s="122">
        <f t="shared" si="61"/>
        <v>18944920.98</v>
      </c>
      <c r="M323" s="116">
        <f t="shared" si="62"/>
        <v>15667449.650460001</v>
      </c>
      <c r="N323" s="123">
        <f t="shared" si="63"/>
        <v>4215.0792710411624</v>
      </c>
      <c r="O323" s="5"/>
      <c r="P323" s="5">
        <f t="shared" si="67"/>
        <v>1</v>
      </c>
      <c r="Q323" s="7">
        <f t="shared" si="68"/>
        <v>3717</v>
      </c>
      <c r="W323" s="124">
        <f t="shared" si="70"/>
        <v>3277471.3295399998</v>
      </c>
      <c r="X323">
        <f t="shared" si="69"/>
        <v>0</v>
      </c>
    </row>
    <row r="324" spans="1:24">
      <c r="A324" s="23" t="s">
        <v>350</v>
      </c>
      <c r="B324" s="35" t="s">
        <v>342</v>
      </c>
      <c r="C324" s="97">
        <v>1212</v>
      </c>
      <c r="D324" s="132">
        <v>1995150349</v>
      </c>
      <c r="E324" s="116">
        <f t="shared" si="71"/>
        <v>1646163.6542904291</v>
      </c>
      <c r="F324" s="134">
        <v>1475701421</v>
      </c>
      <c r="G324" s="117">
        <f t="shared" si="72"/>
        <v>1217575.4298679868</v>
      </c>
      <c r="H324" s="7"/>
      <c r="I324" s="136">
        <v>1.87</v>
      </c>
      <c r="J324" s="134">
        <v>2759561.6572699999</v>
      </c>
      <c r="K324" s="120">
        <f t="shared" si="73"/>
        <v>2276.8660538531353</v>
      </c>
      <c r="L324" s="122">
        <f t="shared" si="61"/>
        <v>14757014.210000001</v>
      </c>
      <c r="M324" s="116">
        <f t="shared" si="62"/>
        <v>11997452.552730002</v>
      </c>
      <c r="N324" s="123">
        <f t="shared" si="63"/>
        <v>9898.8882448267341</v>
      </c>
      <c r="O324" s="5"/>
      <c r="P324" s="5">
        <f t="shared" si="67"/>
        <v>1</v>
      </c>
      <c r="Q324" s="7">
        <f t="shared" si="68"/>
        <v>1212</v>
      </c>
      <c r="W324" s="124">
        <f t="shared" si="70"/>
        <v>2759561.6572700003</v>
      </c>
      <c r="X324">
        <f t="shared" si="69"/>
        <v>0</v>
      </c>
    </row>
    <row r="325" spans="1:24">
      <c r="A325" s="23" t="s">
        <v>351</v>
      </c>
      <c r="B325" s="35" t="s">
        <v>342</v>
      </c>
      <c r="C325" s="97">
        <v>5052</v>
      </c>
      <c r="D325" s="132">
        <v>512336585</v>
      </c>
      <c r="E325" s="116">
        <f t="shared" si="71"/>
        <v>101412.62569279493</v>
      </c>
      <c r="F325" s="134">
        <v>265638386</v>
      </c>
      <c r="G325" s="117">
        <f t="shared" si="72"/>
        <v>52580.836500395882</v>
      </c>
      <c r="H325" s="7"/>
      <c r="I325" s="136">
        <v>5.4372999999999996</v>
      </c>
      <c r="J325" s="134">
        <v>1444355.5961978</v>
      </c>
      <c r="K325" s="120">
        <f t="shared" si="73"/>
        <v>285.89778230360253</v>
      </c>
      <c r="L325" s="122">
        <f t="shared" si="61"/>
        <v>2656383.86</v>
      </c>
      <c r="M325" s="116">
        <f t="shared" si="62"/>
        <v>1212028.2638021999</v>
      </c>
      <c r="N325" s="123">
        <f t="shared" si="63"/>
        <v>239.91058270035626</v>
      </c>
      <c r="O325" s="5"/>
      <c r="P325" s="5">
        <f t="shared" si="67"/>
        <v>1</v>
      </c>
      <c r="Q325" s="7">
        <f t="shared" si="68"/>
        <v>5052</v>
      </c>
      <c r="W325" s="124">
        <f t="shared" si="70"/>
        <v>1444355.5961978</v>
      </c>
      <c r="X325">
        <f t="shared" si="69"/>
        <v>0</v>
      </c>
    </row>
    <row r="326" spans="1:24">
      <c r="A326" s="23" t="s">
        <v>352</v>
      </c>
      <c r="B326" s="35" t="s">
        <v>342</v>
      </c>
      <c r="C326" s="97">
        <v>84431</v>
      </c>
      <c r="D326" s="132">
        <v>11897862760</v>
      </c>
      <c r="E326" s="116">
        <f t="shared" si="71"/>
        <v>140918.17886795136</v>
      </c>
      <c r="F326" s="134">
        <v>7510746030</v>
      </c>
      <c r="G326" s="117">
        <f t="shared" si="72"/>
        <v>88957.208016013072</v>
      </c>
      <c r="H326" s="7"/>
      <c r="I326" s="136">
        <v>5.52</v>
      </c>
      <c r="J326" s="134">
        <v>41459318.085599996</v>
      </c>
      <c r="K326" s="120">
        <f t="shared" si="73"/>
        <v>491.0437882483921</v>
      </c>
      <c r="L326" s="122">
        <f t="shared" ref="L326:L389" si="74">(F326*0.01)</f>
        <v>75107460.299999997</v>
      </c>
      <c r="M326" s="116">
        <f t="shared" ref="M326:M389" si="75">(L326-J326)</f>
        <v>33648142.214400001</v>
      </c>
      <c r="N326" s="123">
        <f t="shared" ref="N326:N389" si="76">(M326/C326)</f>
        <v>398.52829191173856</v>
      </c>
      <c r="O326" s="5"/>
      <c r="P326" s="5">
        <f t="shared" si="67"/>
        <v>1</v>
      </c>
      <c r="Q326" s="7">
        <f t="shared" si="68"/>
        <v>84431</v>
      </c>
      <c r="W326" s="124">
        <f t="shared" si="70"/>
        <v>41459318.085599996</v>
      </c>
      <c r="X326">
        <f t="shared" si="69"/>
        <v>0</v>
      </c>
    </row>
    <row r="327" spans="1:24">
      <c r="A327" s="23" t="s">
        <v>353</v>
      </c>
      <c r="B327" s="35" t="s">
        <v>342</v>
      </c>
      <c r="C327" s="97">
        <v>3994</v>
      </c>
      <c r="D327" s="132">
        <v>3072080382</v>
      </c>
      <c r="E327" s="116">
        <f t="shared" si="71"/>
        <v>769173.85628442664</v>
      </c>
      <c r="F327" s="134">
        <v>2027758722</v>
      </c>
      <c r="G327" s="117">
        <f t="shared" si="72"/>
        <v>507701.23234852281</v>
      </c>
      <c r="H327" s="7"/>
      <c r="I327" s="136">
        <v>2.75</v>
      </c>
      <c r="J327" s="134">
        <v>5576336.4855000004</v>
      </c>
      <c r="K327" s="120">
        <f t="shared" si="73"/>
        <v>1396.1783889584378</v>
      </c>
      <c r="L327" s="122">
        <f t="shared" si="74"/>
        <v>20277587.219999999</v>
      </c>
      <c r="M327" s="116">
        <f t="shared" si="75"/>
        <v>14701250.734499998</v>
      </c>
      <c r="N327" s="123">
        <f t="shared" si="76"/>
        <v>3680.8339345267896</v>
      </c>
      <c r="O327" s="5"/>
      <c r="P327" s="5">
        <f t="shared" si="67"/>
        <v>1</v>
      </c>
      <c r="Q327" s="7">
        <f t="shared" si="68"/>
        <v>3994</v>
      </c>
      <c r="W327" s="124">
        <f t="shared" si="70"/>
        <v>5576336.4854999995</v>
      </c>
      <c r="X327">
        <f t="shared" ref="X327:X390" si="77">IF(W327=J327,0,1)</f>
        <v>0</v>
      </c>
    </row>
    <row r="328" spans="1:24">
      <c r="A328" s="23" t="s">
        <v>354</v>
      </c>
      <c r="B328" s="35" t="s">
        <v>342</v>
      </c>
      <c r="C328" s="97">
        <v>1501</v>
      </c>
      <c r="D328" s="132">
        <v>1184245975</v>
      </c>
      <c r="E328" s="116">
        <f t="shared" si="71"/>
        <v>788971.33577614918</v>
      </c>
      <c r="F328" s="134">
        <v>783322769</v>
      </c>
      <c r="G328" s="117">
        <f t="shared" si="72"/>
        <v>521867.26782145235</v>
      </c>
      <c r="H328" s="7"/>
      <c r="I328" s="136">
        <v>1</v>
      </c>
      <c r="J328" s="134">
        <v>783322.76899999997</v>
      </c>
      <c r="K328" s="120">
        <f t="shared" si="73"/>
        <v>521.8672678214524</v>
      </c>
      <c r="L328" s="122">
        <f t="shared" si="74"/>
        <v>7833227.6900000004</v>
      </c>
      <c r="M328" s="116">
        <f t="shared" si="75"/>
        <v>7049904.9210000001</v>
      </c>
      <c r="N328" s="123">
        <f t="shared" si="76"/>
        <v>4696.8054103930717</v>
      </c>
      <c r="O328" s="5"/>
      <c r="P328" s="5">
        <f t="shared" ref="P328:P391" si="78">IF(I328&gt;0,1,0)</f>
        <v>1</v>
      </c>
      <c r="Q328" s="7">
        <f t="shared" ref="Q328:Q391" si="79">IF(I328&gt;0,C328,0)</f>
        <v>1501</v>
      </c>
      <c r="W328" s="124">
        <f t="shared" ref="W328:W391" si="80">F328*(I328/1000)</f>
        <v>783322.76899999997</v>
      </c>
      <c r="X328">
        <f t="shared" si="77"/>
        <v>0</v>
      </c>
    </row>
    <row r="329" spans="1:24">
      <c r="A329" s="23" t="s">
        <v>355</v>
      </c>
      <c r="B329" s="35" t="s">
        <v>342</v>
      </c>
      <c r="C329" s="97">
        <v>14928</v>
      </c>
      <c r="D329" s="132">
        <v>3120020819</v>
      </c>
      <c r="E329" s="116">
        <f t="shared" si="71"/>
        <v>209004.61006162915</v>
      </c>
      <c r="F329" s="134">
        <v>1994574618</v>
      </c>
      <c r="G329" s="117">
        <f t="shared" si="72"/>
        <v>133612.98352090034</v>
      </c>
      <c r="H329" s="7"/>
      <c r="I329" s="136">
        <v>4.05</v>
      </c>
      <c r="J329" s="134">
        <v>8078027.2028999999</v>
      </c>
      <c r="K329" s="120">
        <f t="shared" si="73"/>
        <v>541.13258325964625</v>
      </c>
      <c r="L329" s="122">
        <f t="shared" si="74"/>
        <v>19945746.18</v>
      </c>
      <c r="M329" s="116">
        <f t="shared" si="75"/>
        <v>11867718.9771</v>
      </c>
      <c r="N329" s="123">
        <f t="shared" si="76"/>
        <v>794.99725194935695</v>
      </c>
      <c r="O329" s="5"/>
      <c r="P329" s="5">
        <f t="shared" si="78"/>
        <v>1</v>
      </c>
      <c r="Q329" s="7">
        <f t="shared" si="79"/>
        <v>14928</v>
      </c>
      <c r="W329" s="124">
        <f t="shared" si="80"/>
        <v>8078027.2028999999</v>
      </c>
      <c r="X329">
        <f t="shared" si="77"/>
        <v>0</v>
      </c>
    </row>
    <row r="330" spans="1:24">
      <c r="A330" s="23" t="s">
        <v>356</v>
      </c>
      <c r="B330" s="35" t="s">
        <v>342</v>
      </c>
      <c r="C330" s="97">
        <v>55572</v>
      </c>
      <c r="D330" s="132">
        <v>8983037577</v>
      </c>
      <c r="E330" s="116">
        <f t="shared" si="71"/>
        <v>161646.82892463831</v>
      </c>
      <c r="F330" s="134">
        <v>5737699096</v>
      </c>
      <c r="G330" s="117">
        <f t="shared" si="72"/>
        <v>103248.02231339524</v>
      </c>
      <c r="H330" s="7"/>
      <c r="I330" s="136">
        <v>5.65</v>
      </c>
      <c r="J330" s="134">
        <v>32417999.8924</v>
      </c>
      <c r="K330" s="120">
        <f t="shared" si="73"/>
        <v>583.35132607068306</v>
      </c>
      <c r="L330" s="122">
        <f t="shared" si="74"/>
        <v>57376990.960000001</v>
      </c>
      <c r="M330" s="116">
        <f t="shared" si="75"/>
        <v>24958991.067600001</v>
      </c>
      <c r="N330" s="123">
        <f t="shared" si="76"/>
        <v>449.12889706326928</v>
      </c>
      <c r="O330" s="5"/>
      <c r="P330" s="5">
        <f t="shared" si="78"/>
        <v>1</v>
      </c>
      <c r="Q330" s="7">
        <f t="shared" si="79"/>
        <v>55572</v>
      </c>
      <c r="W330" s="124">
        <f t="shared" si="80"/>
        <v>32417999.892400004</v>
      </c>
      <c r="X330">
        <f t="shared" si="77"/>
        <v>0</v>
      </c>
    </row>
    <row r="331" spans="1:24">
      <c r="A331" s="23" t="s">
        <v>357</v>
      </c>
      <c r="B331" s="35" t="s">
        <v>342</v>
      </c>
      <c r="C331" s="97">
        <v>1380</v>
      </c>
      <c r="D331" s="132">
        <v>1222833979</v>
      </c>
      <c r="E331" s="116">
        <f t="shared" si="71"/>
        <v>886111.57898550725</v>
      </c>
      <c r="F331" s="134">
        <v>744800201</v>
      </c>
      <c r="G331" s="117">
        <f t="shared" si="72"/>
        <v>539710.29057971016</v>
      </c>
      <c r="H331" s="7"/>
      <c r="I331" s="136">
        <v>1.8149</v>
      </c>
      <c r="J331" s="134">
        <v>1351737.8847949</v>
      </c>
      <c r="K331" s="120">
        <f t="shared" si="73"/>
        <v>979.52020637311591</v>
      </c>
      <c r="L331" s="122">
        <f t="shared" si="74"/>
        <v>7448002.0099999998</v>
      </c>
      <c r="M331" s="116">
        <f t="shared" si="75"/>
        <v>6096264.1252050996</v>
      </c>
      <c r="N331" s="123">
        <f t="shared" si="76"/>
        <v>4417.5826994239851</v>
      </c>
      <c r="O331" s="5"/>
      <c r="P331" s="5">
        <f t="shared" si="78"/>
        <v>1</v>
      </c>
      <c r="Q331" s="7">
        <f t="shared" si="79"/>
        <v>1380</v>
      </c>
      <c r="W331" s="124">
        <f t="shared" si="80"/>
        <v>1351737.8847949</v>
      </c>
      <c r="X331">
        <f t="shared" si="77"/>
        <v>0</v>
      </c>
    </row>
    <row r="332" spans="1:24">
      <c r="A332" s="23" t="s">
        <v>358</v>
      </c>
      <c r="B332" s="35" t="s">
        <v>342</v>
      </c>
      <c r="C332" s="97">
        <v>2194</v>
      </c>
      <c r="D332" s="132">
        <v>1660830647</v>
      </c>
      <c r="E332" s="116">
        <f t="shared" si="71"/>
        <v>756987.53281677305</v>
      </c>
      <c r="F332" s="134">
        <v>1075326561</v>
      </c>
      <c r="G332" s="117">
        <f t="shared" si="72"/>
        <v>490121.49544211489</v>
      </c>
      <c r="H332" s="7"/>
      <c r="I332" s="136">
        <v>1.6896</v>
      </c>
      <c r="J332" s="134">
        <v>1816871.7574656</v>
      </c>
      <c r="K332" s="120">
        <f t="shared" si="73"/>
        <v>828.10927869899729</v>
      </c>
      <c r="L332" s="122">
        <f t="shared" si="74"/>
        <v>10753265.609999999</v>
      </c>
      <c r="M332" s="116">
        <f t="shared" si="75"/>
        <v>8936393.8525343984</v>
      </c>
      <c r="N332" s="123">
        <f t="shared" si="76"/>
        <v>4073.1056757221504</v>
      </c>
      <c r="O332" s="5"/>
      <c r="P332" s="5">
        <f t="shared" si="78"/>
        <v>1</v>
      </c>
      <c r="Q332" s="7">
        <f t="shared" si="79"/>
        <v>2194</v>
      </c>
      <c r="W332" s="124">
        <f t="shared" si="80"/>
        <v>1816871.7574656</v>
      </c>
      <c r="X332">
        <f t="shared" si="77"/>
        <v>0</v>
      </c>
    </row>
    <row r="333" spans="1:24">
      <c r="A333" s="23" t="s">
        <v>359</v>
      </c>
      <c r="B333" s="35" t="s">
        <v>342</v>
      </c>
      <c r="C333" s="97">
        <v>17059</v>
      </c>
      <c r="D333" s="132">
        <v>3914955394</v>
      </c>
      <c r="E333" s="116">
        <f t="shared" si="71"/>
        <v>229495.01107919574</v>
      </c>
      <c r="F333" s="134">
        <v>1923169061</v>
      </c>
      <c r="G333" s="117">
        <f t="shared" si="72"/>
        <v>112736.33044140923</v>
      </c>
      <c r="H333" s="7"/>
      <c r="I333" s="136">
        <v>3.95</v>
      </c>
      <c r="J333" s="134">
        <v>7596517.7909500012</v>
      </c>
      <c r="K333" s="120">
        <f t="shared" si="73"/>
        <v>445.30850524356651</v>
      </c>
      <c r="L333" s="122">
        <f t="shared" si="74"/>
        <v>19231690.609999999</v>
      </c>
      <c r="M333" s="116">
        <f t="shared" si="75"/>
        <v>11635172.819049999</v>
      </c>
      <c r="N333" s="123">
        <f t="shared" si="76"/>
        <v>682.05479917052583</v>
      </c>
      <c r="O333" s="5"/>
      <c r="P333" s="5">
        <f t="shared" si="78"/>
        <v>1</v>
      </c>
      <c r="Q333" s="7">
        <f t="shared" si="79"/>
        <v>17059</v>
      </c>
      <c r="W333" s="124">
        <f t="shared" si="80"/>
        <v>7596517.7909500003</v>
      </c>
      <c r="X333">
        <f t="shared" si="77"/>
        <v>0</v>
      </c>
    </row>
    <row r="334" spans="1:24">
      <c r="A334" s="23" t="s">
        <v>360</v>
      </c>
      <c r="B334" s="35" t="s">
        <v>342</v>
      </c>
      <c r="C334" s="97">
        <v>19428</v>
      </c>
      <c r="D334" s="132">
        <v>3700210464</v>
      </c>
      <c r="E334" s="116">
        <f t="shared" si="71"/>
        <v>190457.61087090796</v>
      </c>
      <c r="F334" s="134">
        <v>2155349098</v>
      </c>
      <c r="G334" s="117">
        <f t="shared" si="72"/>
        <v>110940.34887790817</v>
      </c>
      <c r="H334" s="7"/>
      <c r="I334" s="136">
        <v>2.4792999999999998</v>
      </c>
      <c r="J334" s="134">
        <v>5343757.0186713999</v>
      </c>
      <c r="K334" s="120">
        <f t="shared" si="73"/>
        <v>275.05440697299775</v>
      </c>
      <c r="L334" s="122">
        <f t="shared" si="74"/>
        <v>21553490.98</v>
      </c>
      <c r="M334" s="116">
        <f t="shared" si="75"/>
        <v>16209733.9613286</v>
      </c>
      <c r="N334" s="123">
        <f t="shared" si="76"/>
        <v>834.34908180608397</v>
      </c>
      <c r="O334" s="5"/>
      <c r="P334" s="5">
        <f t="shared" si="78"/>
        <v>1</v>
      </c>
      <c r="Q334" s="7">
        <f t="shared" si="79"/>
        <v>19428</v>
      </c>
      <c r="W334" s="124">
        <f t="shared" si="80"/>
        <v>5343757.0186713999</v>
      </c>
      <c r="X334">
        <f t="shared" si="77"/>
        <v>0</v>
      </c>
    </row>
    <row r="335" spans="1:24">
      <c r="A335" s="24" t="s">
        <v>361</v>
      </c>
      <c r="B335" s="35" t="s">
        <v>342</v>
      </c>
      <c r="C335" s="97">
        <v>5428</v>
      </c>
      <c r="D335" s="132">
        <v>1358400401</v>
      </c>
      <c r="E335" s="116">
        <f t="shared" si="71"/>
        <v>250257.99576271186</v>
      </c>
      <c r="F335" s="134">
        <v>906819396</v>
      </c>
      <c r="G335" s="117">
        <f t="shared" si="72"/>
        <v>167063.26381724392</v>
      </c>
      <c r="H335" s="7"/>
      <c r="I335" s="136">
        <v>5.0637999999999996</v>
      </c>
      <c r="J335" s="134">
        <v>4591952.0574647998</v>
      </c>
      <c r="K335" s="120">
        <f t="shared" si="73"/>
        <v>845.97495531775974</v>
      </c>
      <c r="L335" s="122">
        <f t="shared" si="74"/>
        <v>9068193.9600000009</v>
      </c>
      <c r="M335" s="116">
        <f t="shared" si="75"/>
        <v>4476241.9025352011</v>
      </c>
      <c r="N335" s="123">
        <f t="shared" si="76"/>
        <v>824.65768285467959</v>
      </c>
      <c r="O335" s="5"/>
      <c r="P335" s="5">
        <f t="shared" si="78"/>
        <v>1</v>
      </c>
      <c r="Q335" s="7">
        <f t="shared" si="79"/>
        <v>5428</v>
      </c>
      <c r="W335" s="124">
        <f t="shared" si="80"/>
        <v>4591952.0574647998</v>
      </c>
      <c r="X335">
        <f t="shared" si="77"/>
        <v>0</v>
      </c>
    </row>
    <row r="336" spans="1:24">
      <c r="A336" s="24" t="s">
        <v>561</v>
      </c>
      <c r="B336" s="35" t="s">
        <v>342</v>
      </c>
      <c r="C336" s="97">
        <v>8879</v>
      </c>
      <c r="D336" s="132">
        <v>7243645936</v>
      </c>
      <c r="E336" s="116">
        <f t="shared" si="71"/>
        <v>815817.76506363333</v>
      </c>
      <c r="F336" s="134">
        <v>4792357621</v>
      </c>
      <c r="G336" s="117">
        <f t="shared" si="72"/>
        <v>539740.6938844464</v>
      </c>
      <c r="H336" s="7"/>
      <c r="I336" s="136">
        <v>3.0912999999999999</v>
      </c>
      <c r="J336" s="134">
        <v>14814615.1137973</v>
      </c>
      <c r="K336" s="120">
        <f t="shared" si="73"/>
        <v>1668.5004070049893</v>
      </c>
      <c r="L336" s="122">
        <f t="shared" si="74"/>
        <v>47923576.210000001</v>
      </c>
      <c r="M336" s="116">
        <f t="shared" si="75"/>
        <v>33108961.096202701</v>
      </c>
      <c r="N336" s="123">
        <f t="shared" si="76"/>
        <v>3728.9065318394755</v>
      </c>
      <c r="O336" s="5"/>
      <c r="P336" s="5">
        <f t="shared" si="78"/>
        <v>1</v>
      </c>
      <c r="Q336" s="7">
        <f t="shared" si="79"/>
        <v>8879</v>
      </c>
      <c r="W336" s="124">
        <f t="shared" si="80"/>
        <v>14814615.1137973</v>
      </c>
      <c r="X336">
        <f t="shared" si="77"/>
        <v>0</v>
      </c>
    </row>
    <row r="337" spans="1:24">
      <c r="A337" s="23" t="s">
        <v>548</v>
      </c>
      <c r="B337" s="35" t="s">
        <v>342</v>
      </c>
      <c r="C337" s="97">
        <v>265782</v>
      </c>
      <c r="D337" s="132">
        <v>58034110959</v>
      </c>
      <c r="E337" s="116">
        <f t="shared" si="71"/>
        <v>218352.29985100572</v>
      </c>
      <c r="F337" s="134">
        <v>31830505802</v>
      </c>
      <c r="G337" s="117">
        <f t="shared" si="72"/>
        <v>119761.70621787781</v>
      </c>
      <c r="H337" s="7"/>
      <c r="I337" s="136">
        <v>6.4675000000000002</v>
      </c>
      <c r="J337" s="134">
        <v>205863796.27443498</v>
      </c>
      <c r="K337" s="120">
        <f t="shared" si="73"/>
        <v>774.55883496412469</v>
      </c>
      <c r="L337" s="122">
        <f t="shared" si="74"/>
        <v>318305058.01999998</v>
      </c>
      <c r="M337" s="116">
        <f t="shared" si="75"/>
        <v>112441261.745565</v>
      </c>
      <c r="N337" s="123">
        <f t="shared" si="76"/>
        <v>423.05822721465336</v>
      </c>
      <c r="O337" s="5"/>
      <c r="P337" s="5">
        <f t="shared" si="78"/>
        <v>1</v>
      </c>
      <c r="Q337" s="7">
        <f t="shared" si="79"/>
        <v>265782</v>
      </c>
      <c r="W337" s="124">
        <f t="shared" si="80"/>
        <v>205863796.27443501</v>
      </c>
      <c r="X337">
        <f t="shared" si="77"/>
        <v>0</v>
      </c>
    </row>
    <row r="338" spans="1:24">
      <c r="A338" s="23" t="s">
        <v>362</v>
      </c>
      <c r="B338" s="35" t="s">
        <v>342</v>
      </c>
      <c r="C338" s="97">
        <v>25849</v>
      </c>
      <c r="D338" s="132">
        <v>5067135503</v>
      </c>
      <c r="E338" s="116">
        <f t="shared" si="71"/>
        <v>196028.29908313669</v>
      </c>
      <c r="F338" s="134">
        <v>2774052911</v>
      </c>
      <c r="G338" s="117">
        <f t="shared" si="72"/>
        <v>107317.61039111765</v>
      </c>
      <c r="H338" s="7"/>
      <c r="I338" s="136">
        <v>5.37</v>
      </c>
      <c r="J338" s="134">
        <v>14896664.132069999</v>
      </c>
      <c r="K338" s="120">
        <f t="shared" si="73"/>
        <v>576.29556780030168</v>
      </c>
      <c r="L338" s="122">
        <f t="shared" si="74"/>
        <v>27740529.109999999</v>
      </c>
      <c r="M338" s="116">
        <f t="shared" si="75"/>
        <v>12843864.97793</v>
      </c>
      <c r="N338" s="123">
        <f t="shared" si="76"/>
        <v>496.88053611087469</v>
      </c>
      <c r="O338" s="5"/>
      <c r="P338" s="5">
        <f t="shared" si="78"/>
        <v>1</v>
      </c>
      <c r="Q338" s="7">
        <f t="shared" si="79"/>
        <v>25849</v>
      </c>
      <c r="S338" s="124"/>
      <c r="T338" s="124"/>
      <c r="U338" s="124"/>
      <c r="W338" s="124">
        <f t="shared" si="80"/>
        <v>14896664.132069999</v>
      </c>
      <c r="X338">
        <f t="shared" si="77"/>
        <v>0</v>
      </c>
    </row>
    <row r="339" spans="1:24">
      <c r="A339" s="23" t="s">
        <v>363</v>
      </c>
      <c r="B339" s="35" t="s">
        <v>342</v>
      </c>
      <c r="C339" s="97">
        <v>6583</v>
      </c>
      <c r="D339" s="132">
        <v>4415079746</v>
      </c>
      <c r="E339" s="116">
        <f t="shared" si="71"/>
        <v>670678.98313838674</v>
      </c>
      <c r="F339" s="134">
        <v>2830351920</v>
      </c>
      <c r="G339" s="117">
        <f t="shared" si="72"/>
        <v>429948.64347561903</v>
      </c>
      <c r="H339" s="7"/>
      <c r="I339" s="136">
        <v>3.8129</v>
      </c>
      <c r="J339" s="134">
        <v>10791848.835767999</v>
      </c>
      <c r="K339" s="120">
        <f t="shared" si="73"/>
        <v>1639.3511827081877</v>
      </c>
      <c r="L339" s="122">
        <f t="shared" si="74"/>
        <v>28303519.199999999</v>
      </c>
      <c r="M339" s="116">
        <f t="shared" si="75"/>
        <v>17511670.364232</v>
      </c>
      <c r="N339" s="123">
        <f t="shared" si="76"/>
        <v>2660.1352520480023</v>
      </c>
      <c r="O339" s="5"/>
      <c r="P339" s="5">
        <f t="shared" si="78"/>
        <v>1</v>
      </c>
      <c r="Q339" s="7">
        <f t="shared" si="79"/>
        <v>6583</v>
      </c>
      <c r="S339" s="124">
        <f>SUM(D316:D339)</f>
        <v>163319514181</v>
      </c>
      <c r="T339" s="124">
        <f>SUM(F316:F339)</f>
        <v>95901768104</v>
      </c>
      <c r="U339" s="124">
        <f>SUM(J316:J339)</f>
        <v>496977254.63229424</v>
      </c>
      <c r="W339" s="124">
        <f t="shared" si="80"/>
        <v>10791848.835768001</v>
      </c>
      <c r="X339">
        <f t="shared" si="77"/>
        <v>0</v>
      </c>
    </row>
    <row r="340" spans="1:24">
      <c r="A340" s="23" t="s">
        <v>364</v>
      </c>
      <c r="B340" s="35" t="s">
        <v>365</v>
      </c>
      <c r="C340" s="97">
        <v>19298</v>
      </c>
      <c r="D340" s="132">
        <v>3244371163</v>
      </c>
      <c r="E340" s="116">
        <f t="shared" si="71"/>
        <v>168119.55451342108</v>
      </c>
      <c r="F340" s="134">
        <v>2230645757</v>
      </c>
      <c r="G340" s="117">
        <f t="shared" si="72"/>
        <v>115589.47854699969</v>
      </c>
      <c r="H340" s="7"/>
      <c r="I340" s="136">
        <v>4.2515000000000001</v>
      </c>
      <c r="J340" s="134">
        <v>9483590.4358855002</v>
      </c>
      <c r="K340" s="120">
        <f t="shared" si="73"/>
        <v>491.4286680425692</v>
      </c>
      <c r="L340" s="122">
        <f t="shared" si="74"/>
        <v>22306457.57</v>
      </c>
      <c r="M340" s="116">
        <f t="shared" si="75"/>
        <v>12822867.1341145</v>
      </c>
      <c r="N340" s="123">
        <f t="shared" si="76"/>
        <v>664.46611742742778</v>
      </c>
      <c r="O340" s="5"/>
      <c r="P340" s="5">
        <f t="shared" si="78"/>
        <v>1</v>
      </c>
      <c r="Q340" s="7">
        <f t="shared" si="79"/>
        <v>19298</v>
      </c>
      <c r="W340" s="124">
        <f t="shared" si="80"/>
        <v>9483590.4358855002</v>
      </c>
      <c r="X340">
        <f t="shared" si="77"/>
        <v>0</v>
      </c>
    </row>
    <row r="341" spans="1:24">
      <c r="A341" s="23" t="s">
        <v>366</v>
      </c>
      <c r="B341" s="35" t="s">
        <v>365</v>
      </c>
      <c r="C341" s="97">
        <v>19969</v>
      </c>
      <c r="D341" s="132">
        <v>2401227227</v>
      </c>
      <c r="E341" s="116">
        <f t="shared" si="71"/>
        <v>120247.74535530072</v>
      </c>
      <c r="F341" s="134">
        <v>1192355826</v>
      </c>
      <c r="G341" s="117">
        <f t="shared" si="72"/>
        <v>59710.342330612446</v>
      </c>
      <c r="H341" s="7"/>
      <c r="I341" s="136">
        <v>6.1079999999999997</v>
      </c>
      <c r="J341" s="134">
        <v>7282909.3852079995</v>
      </c>
      <c r="K341" s="120">
        <f t="shared" si="73"/>
        <v>364.71077095538084</v>
      </c>
      <c r="L341" s="122">
        <f t="shared" si="74"/>
        <v>11923558.26</v>
      </c>
      <c r="M341" s="116">
        <f t="shared" si="75"/>
        <v>4640648.8747920003</v>
      </c>
      <c r="N341" s="123">
        <f t="shared" si="76"/>
        <v>232.39265235074367</v>
      </c>
      <c r="O341" s="5"/>
      <c r="P341" s="5">
        <f t="shared" si="78"/>
        <v>1</v>
      </c>
      <c r="Q341" s="7">
        <f t="shared" si="79"/>
        <v>19969</v>
      </c>
      <c r="W341" s="124">
        <f t="shared" si="80"/>
        <v>7282909.3852079995</v>
      </c>
      <c r="X341">
        <f t="shared" si="77"/>
        <v>0</v>
      </c>
    </row>
    <row r="342" spans="1:24">
      <c r="A342" s="23" t="s">
        <v>367</v>
      </c>
      <c r="B342" s="35" t="s">
        <v>365</v>
      </c>
      <c r="C342" s="97">
        <v>12413</v>
      </c>
      <c r="D342" s="132">
        <v>1560158381</v>
      </c>
      <c r="E342" s="116">
        <f t="shared" si="71"/>
        <v>125687.45516796906</v>
      </c>
      <c r="F342" s="134">
        <v>1048522033</v>
      </c>
      <c r="G342" s="117">
        <f t="shared" si="72"/>
        <v>84469.671554015949</v>
      </c>
      <c r="H342" s="9"/>
      <c r="I342" s="136">
        <v>7.25</v>
      </c>
      <c r="J342" s="134">
        <v>7601784.7392499996</v>
      </c>
      <c r="K342" s="120">
        <f t="shared" si="73"/>
        <v>612.4051187666156</v>
      </c>
      <c r="L342" s="122">
        <f t="shared" si="74"/>
        <v>10485220.33</v>
      </c>
      <c r="M342" s="116">
        <f t="shared" si="75"/>
        <v>2883435.5907500004</v>
      </c>
      <c r="N342" s="123">
        <f t="shared" si="76"/>
        <v>232.29159677354389</v>
      </c>
      <c r="O342" s="5"/>
      <c r="P342" s="5">
        <f t="shared" si="78"/>
        <v>1</v>
      </c>
      <c r="Q342" s="7">
        <f t="shared" si="79"/>
        <v>12413</v>
      </c>
      <c r="W342" s="124">
        <f t="shared" si="80"/>
        <v>7601784.7392500006</v>
      </c>
      <c r="X342">
        <f t="shared" si="77"/>
        <v>0</v>
      </c>
    </row>
    <row r="343" spans="1:24">
      <c r="A343" s="23" t="s">
        <v>368</v>
      </c>
      <c r="B343" s="35" t="s">
        <v>365</v>
      </c>
      <c r="C343" s="97">
        <v>5653</v>
      </c>
      <c r="D343" s="132">
        <v>653895179</v>
      </c>
      <c r="E343" s="116">
        <f t="shared" ref="E343:E388" si="81">(D343/C343)</f>
        <v>115672.24111091456</v>
      </c>
      <c r="F343" s="134">
        <v>354562937</v>
      </c>
      <c r="G343" s="117">
        <f t="shared" ref="G343:G388" si="82">(F343/C343)</f>
        <v>62721.198832478331</v>
      </c>
      <c r="H343" s="7"/>
      <c r="I343" s="136">
        <v>7.9</v>
      </c>
      <c r="J343" s="134">
        <v>2801047.2023</v>
      </c>
      <c r="K343" s="120">
        <f t="shared" ref="K343:K390" si="83">(J343/C343)</f>
        <v>495.49747077657884</v>
      </c>
      <c r="L343" s="122">
        <f t="shared" si="74"/>
        <v>3545629.37</v>
      </c>
      <c r="M343" s="116">
        <f t="shared" si="75"/>
        <v>744582.16770000011</v>
      </c>
      <c r="N343" s="123">
        <f t="shared" si="76"/>
        <v>131.71451754820453</v>
      </c>
      <c r="O343" s="5"/>
      <c r="P343" s="5">
        <f t="shared" si="78"/>
        <v>1</v>
      </c>
      <c r="Q343" s="7">
        <f t="shared" si="79"/>
        <v>5653</v>
      </c>
      <c r="W343" s="124">
        <f t="shared" si="80"/>
        <v>2801047.2023000005</v>
      </c>
      <c r="X343">
        <f t="shared" si="77"/>
        <v>0</v>
      </c>
    </row>
    <row r="344" spans="1:24">
      <c r="A344" s="23" t="s">
        <v>369</v>
      </c>
      <c r="B344" s="35" t="s">
        <v>365</v>
      </c>
      <c r="C344" s="97">
        <v>3863</v>
      </c>
      <c r="D344" s="132">
        <v>405156850</v>
      </c>
      <c r="E344" s="116">
        <f t="shared" si="81"/>
        <v>104881.4004659591</v>
      </c>
      <c r="F344" s="134">
        <v>249824751</v>
      </c>
      <c r="G344" s="117">
        <f t="shared" si="82"/>
        <v>64671.175511260677</v>
      </c>
      <c r="H344" s="7"/>
      <c r="I344" s="136">
        <v>7.6516000000000002</v>
      </c>
      <c r="J344" s="134">
        <v>1911559.0647515999</v>
      </c>
      <c r="K344" s="120">
        <f t="shared" si="83"/>
        <v>494.8379665419622</v>
      </c>
      <c r="L344" s="122">
        <f t="shared" si="74"/>
        <v>2498247.5100000002</v>
      </c>
      <c r="M344" s="116">
        <f t="shared" si="75"/>
        <v>586688.44524840033</v>
      </c>
      <c r="N344" s="123">
        <f t="shared" si="76"/>
        <v>151.87378857064465</v>
      </c>
      <c r="O344" s="5"/>
      <c r="P344" s="5">
        <f t="shared" si="78"/>
        <v>1</v>
      </c>
      <c r="Q344" s="7">
        <f t="shared" si="79"/>
        <v>3863</v>
      </c>
      <c r="W344" s="124">
        <f t="shared" si="80"/>
        <v>1911559.0647516001</v>
      </c>
      <c r="X344">
        <f t="shared" si="77"/>
        <v>0</v>
      </c>
    </row>
    <row r="345" spans="1:24">
      <c r="A345" s="23" t="s">
        <v>370</v>
      </c>
      <c r="B345" s="35" t="s">
        <v>365</v>
      </c>
      <c r="C345" s="97">
        <v>5006</v>
      </c>
      <c r="D345" s="132">
        <v>398844997</v>
      </c>
      <c r="E345" s="116">
        <f t="shared" si="81"/>
        <v>79673.391330403509</v>
      </c>
      <c r="F345" s="134">
        <v>182500873</v>
      </c>
      <c r="G345" s="117">
        <f t="shared" si="82"/>
        <v>36456.42688773472</v>
      </c>
      <c r="H345" s="7"/>
      <c r="I345" s="150">
        <v>8</v>
      </c>
      <c r="J345" s="134">
        <v>1460006.9839999999</v>
      </c>
      <c r="K345" s="120">
        <f t="shared" si="83"/>
        <v>291.65141510187772</v>
      </c>
      <c r="L345" s="122">
        <f t="shared" si="74"/>
        <v>1825008.73</v>
      </c>
      <c r="M345" s="116">
        <f t="shared" si="75"/>
        <v>365001.74600000004</v>
      </c>
      <c r="N345" s="123">
        <f t="shared" si="76"/>
        <v>72.912853775469443</v>
      </c>
      <c r="O345" s="5"/>
      <c r="P345" s="5">
        <f t="shared" si="78"/>
        <v>1</v>
      </c>
      <c r="Q345" s="7">
        <f t="shared" si="79"/>
        <v>5006</v>
      </c>
      <c r="W345" s="124">
        <f t="shared" si="80"/>
        <v>1460006.9839999999</v>
      </c>
      <c r="X345">
        <f t="shared" si="77"/>
        <v>0</v>
      </c>
    </row>
    <row r="346" spans="1:24">
      <c r="A346" s="23" t="s">
        <v>371</v>
      </c>
      <c r="B346" s="35" t="s">
        <v>365</v>
      </c>
      <c r="C346" s="97">
        <v>3029</v>
      </c>
      <c r="D346" s="132">
        <v>412645529</v>
      </c>
      <c r="E346" s="116">
        <f t="shared" si="81"/>
        <v>136231.60415978872</v>
      </c>
      <c r="F346" s="134">
        <v>213521863</v>
      </c>
      <c r="G346" s="117">
        <f t="shared" si="82"/>
        <v>70492.526576427859</v>
      </c>
      <c r="H346" s="7"/>
      <c r="I346" s="136">
        <v>6.5529999999999999</v>
      </c>
      <c r="J346" s="134">
        <v>1399208.7682390001</v>
      </c>
      <c r="K346" s="120">
        <f t="shared" si="83"/>
        <v>461.93752665533185</v>
      </c>
      <c r="L346" s="122">
        <f t="shared" si="74"/>
        <v>2135218.63</v>
      </c>
      <c r="M346" s="116">
        <f t="shared" si="75"/>
        <v>736009.86176099977</v>
      </c>
      <c r="N346" s="123">
        <f t="shared" si="76"/>
        <v>242.98773910894678</v>
      </c>
      <c r="O346" s="5"/>
      <c r="P346" s="5">
        <f t="shared" si="78"/>
        <v>1</v>
      </c>
      <c r="Q346" s="7">
        <f t="shared" si="79"/>
        <v>3029</v>
      </c>
      <c r="W346" s="124">
        <f t="shared" si="80"/>
        <v>1399208.7682389999</v>
      </c>
      <c r="X346">
        <f t="shared" si="77"/>
        <v>0</v>
      </c>
    </row>
    <row r="347" spans="1:24">
      <c r="A347" s="23" t="s">
        <v>372</v>
      </c>
      <c r="B347" s="35" t="s">
        <v>365</v>
      </c>
      <c r="C347" s="97">
        <v>35285</v>
      </c>
      <c r="D347" s="132">
        <v>4212600574</v>
      </c>
      <c r="E347" s="116">
        <f t="shared" si="81"/>
        <v>119387.85812668272</v>
      </c>
      <c r="F347" s="134">
        <v>2814081725</v>
      </c>
      <c r="G347" s="117">
        <f t="shared" si="82"/>
        <v>79752.918378914546</v>
      </c>
      <c r="H347" s="7"/>
      <c r="I347" s="136">
        <v>7.5895000000000001</v>
      </c>
      <c r="J347" s="134">
        <v>21357473.2518875</v>
      </c>
      <c r="K347" s="120">
        <f t="shared" si="83"/>
        <v>605.28477403677198</v>
      </c>
      <c r="L347" s="122">
        <f t="shared" si="74"/>
        <v>28140817.25</v>
      </c>
      <c r="M347" s="116">
        <f t="shared" si="75"/>
        <v>6783343.9981124997</v>
      </c>
      <c r="N347" s="123">
        <f t="shared" si="76"/>
        <v>192.24440975237351</v>
      </c>
      <c r="O347" s="5"/>
      <c r="P347" s="5">
        <f t="shared" si="78"/>
        <v>1</v>
      </c>
      <c r="Q347" s="7">
        <f t="shared" si="79"/>
        <v>35285</v>
      </c>
      <c r="W347" s="124">
        <f t="shared" si="80"/>
        <v>21357473.2518875</v>
      </c>
      <c r="X347">
        <f t="shared" si="77"/>
        <v>0</v>
      </c>
    </row>
    <row r="348" spans="1:24">
      <c r="A348" s="23" t="s">
        <v>373</v>
      </c>
      <c r="B348" s="35" t="s">
        <v>365</v>
      </c>
      <c r="C348" s="97">
        <v>251</v>
      </c>
      <c r="D348" s="132">
        <v>31402319</v>
      </c>
      <c r="E348" s="116">
        <f t="shared" si="81"/>
        <v>125108.84063745019</v>
      </c>
      <c r="F348" s="134">
        <v>17838519</v>
      </c>
      <c r="G348" s="117">
        <f t="shared" si="82"/>
        <v>71069.796812749002</v>
      </c>
      <c r="H348" s="7"/>
      <c r="I348" s="136">
        <v>9.9758999999999993</v>
      </c>
      <c r="J348" s="134">
        <v>177955.28169209999</v>
      </c>
      <c r="K348" s="120">
        <f t="shared" si="83"/>
        <v>708.98518602430272</v>
      </c>
      <c r="L348" s="122">
        <f t="shared" si="74"/>
        <v>178385.19</v>
      </c>
      <c r="M348" s="116">
        <f t="shared" si="75"/>
        <v>429.90830790001201</v>
      </c>
      <c r="N348" s="123">
        <f t="shared" si="76"/>
        <v>1.7127821031872987</v>
      </c>
      <c r="O348" s="5"/>
      <c r="P348" s="5">
        <f t="shared" si="78"/>
        <v>1</v>
      </c>
      <c r="Q348" s="7">
        <f t="shared" si="79"/>
        <v>251</v>
      </c>
      <c r="W348" s="124">
        <f t="shared" si="80"/>
        <v>177955.28169209999</v>
      </c>
      <c r="X348">
        <f t="shared" si="77"/>
        <v>0</v>
      </c>
    </row>
    <row r="349" spans="1:24">
      <c r="A349" s="23" t="s">
        <v>374</v>
      </c>
      <c r="B349" s="35" t="s">
        <v>365</v>
      </c>
      <c r="C349" s="97">
        <v>240</v>
      </c>
      <c r="D349" s="132">
        <v>31901993</v>
      </c>
      <c r="E349" s="116">
        <f t="shared" si="81"/>
        <v>132924.97083333333</v>
      </c>
      <c r="F349" s="134">
        <v>19785967</v>
      </c>
      <c r="G349" s="117">
        <f t="shared" si="82"/>
        <v>82441.52916666666</v>
      </c>
      <c r="H349" s="7"/>
      <c r="I349" s="136">
        <v>0.75429999999999997</v>
      </c>
      <c r="J349" s="134">
        <v>14924.554908099999</v>
      </c>
      <c r="K349" s="120">
        <f t="shared" si="83"/>
        <v>62.185645450416665</v>
      </c>
      <c r="L349" s="122">
        <f t="shared" si="74"/>
        <v>197859.67</v>
      </c>
      <c r="M349" s="116">
        <f t="shared" si="75"/>
        <v>182935.11509190002</v>
      </c>
      <c r="N349" s="123">
        <f t="shared" si="76"/>
        <v>762.2296462162501</v>
      </c>
      <c r="O349" s="5"/>
      <c r="P349" s="5">
        <f t="shared" si="78"/>
        <v>1</v>
      </c>
      <c r="Q349" s="7">
        <f t="shared" si="79"/>
        <v>240</v>
      </c>
      <c r="W349" s="124">
        <f t="shared" si="80"/>
        <v>14924.554908099999</v>
      </c>
      <c r="X349">
        <f t="shared" si="77"/>
        <v>0</v>
      </c>
    </row>
    <row r="350" spans="1:24">
      <c r="A350" s="23" t="s">
        <v>375</v>
      </c>
      <c r="B350" s="35" t="s">
        <v>365</v>
      </c>
      <c r="C350" s="97">
        <v>7342</v>
      </c>
      <c r="D350" s="132">
        <v>745654889</v>
      </c>
      <c r="E350" s="116">
        <f t="shared" si="81"/>
        <v>101560.18646145465</v>
      </c>
      <c r="F350" s="134">
        <v>429725023</v>
      </c>
      <c r="G350" s="117">
        <f t="shared" si="82"/>
        <v>58529.695314628167</v>
      </c>
      <c r="H350" s="7"/>
      <c r="I350" s="136">
        <v>6.85</v>
      </c>
      <c r="J350" s="134">
        <v>2943616.4075499997</v>
      </c>
      <c r="K350" s="120">
        <f t="shared" si="83"/>
        <v>400.92841290520289</v>
      </c>
      <c r="L350" s="122">
        <f t="shared" si="74"/>
        <v>4297250.2300000004</v>
      </c>
      <c r="M350" s="116">
        <f t="shared" si="75"/>
        <v>1353633.8224500008</v>
      </c>
      <c r="N350" s="123">
        <f t="shared" si="76"/>
        <v>184.36854024107885</v>
      </c>
      <c r="O350" s="5"/>
      <c r="P350" s="5">
        <f t="shared" si="78"/>
        <v>1</v>
      </c>
      <c r="Q350" s="7">
        <f t="shared" si="79"/>
        <v>7342</v>
      </c>
      <c r="W350" s="124">
        <f t="shared" si="80"/>
        <v>2943616.4075499997</v>
      </c>
      <c r="X350">
        <f t="shared" si="77"/>
        <v>0</v>
      </c>
    </row>
    <row r="351" spans="1:24">
      <c r="A351" s="23" t="s">
        <v>376</v>
      </c>
      <c r="B351" s="35" t="s">
        <v>365</v>
      </c>
      <c r="C351" s="97">
        <v>1571</v>
      </c>
      <c r="D351" s="132">
        <v>237250849</v>
      </c>
      <c r="E351" s="116">
        <f t="shared" si="81"/>
        <v>151019</v>
      </c>
      <c r="F351" s="134">
        <v>138574501</v>
      </c>
      <c r="G351" s="117">
        <f t="shared" si="82"/>
        <v>88207.830044557602</v>
      </c>
      <c r="H351" s="9"/>
      <c r="I351" s="136">
        <v>8.4276</v>
      </c>
      <c r="J351" s="134">
        <v>1167850.4646276</v>
      </c>
      <c r="K351" s="120">
        <f t="shared" si="83"/>
        <v>743.38030848351366</v>
      </c>
      <c r="L351" s="122">
        <f t="shared" si="74"/>
        <v>1385745.01</v>
      </c>
      <c r="M351" s="116">
        <f t="shared" si="75"/>
        <v>217894.54537239997</v>
      </c>
      <c r="N351" s="123">
        <f t="shared" si="76"/>
        <v>138.69799196206236</v>
      </c>
      <c r="O351" s="5"/>
      <c r="P351" s="5">
        <f t="shared" si="78"/>
        <v>1</v>
      </c>
      <c r="Q351" s="7">
        <f t="shared" si="79"/>
        <v>1571</v>
      </c>
      <c r="W351" s="124">
        <f t="shared" si="80"/>
        <v>1167850.4646276</v>
      </c>
      <c r="X351">
        <f t="shared" si="77"/>
        <v>0</v>
      </c>
    </row>
    <row r="352" spans="1:24">
      <c r="A352" s="23" t="s">
        <v>377</v>
      </c>
      <c r="B352" s="35" t="s">
        <v>365</v>
      </c>
      <c r="C352" s="97">
        <v>17384</v>
      </c>
      <c r="D352" s="132">
        <v>2074404076</v>
      </c>
      <c r="E352" s="116">
        <f t="shared" si="81"/>
        <v>119328.35227795674</v>
      </c>
      <c r="F352" s="134">
        <v>1160749581</v>
      </c>
      <c r="G352" s="117">
        <f t="shared" si="82"/>
        <v>66771.144788311096</v>
      </c>
      <c r="H352" s="9"/>
      <c r="I352" s="136">
        <v>7.1214000000000004</v>
      </c>
      <c r="J352" s="134">
        <v>8266162.0661334014</v>
      </c>
      <c r="K352" s="120">
        <f t="shared" si="83"/>
        <v>475.50403049547867</v>
      </c>
      <c r="L352" s="122">
        <f t="shared" si="74"/>
        <v>11607495.810000001</v>
      </c>
      <c r="M352" s="116">
        <f t="shared" si="75"/>
        <v>3341333.7438665992</v>
      </c>
      <c r="N352" s="123">
        <f t="shared" si="76"/>
        <v>192.20741738763226</v>
      </c>
      <c r="O352" s="5"/>
      <c r="P352" s="5">
        <f t="shared" si="78"/>
        <v>1</v>
      </c>
      <c r="Q352" s="7">
        <f t="shared" si="79"/>
        <v>17384</v>
      </c>
      <c r="W352" s="124">
        <f t="shared" si="80"/>
        <v>8266162.0661334014</v>
      </c>
      <c r="X352">
        <f t="shared" si="77"/>
        <v>0</v>
      </c>
    </row>
    <row r="353" spans="1:24">
      <c r="A353" s="23" t="s">
        <v>378</v>
      </c>
      <c r="B353" s="35" t="s">
        <v>365</v>
      </c>
      <c r="C353" s="97">
        <v>121968</v>
      </c>
      <c r="D353" s="132">
        <v>17523952745</v>
      </c>
      <c r="E353" s="116">
        <f t="shared" si="81"/>
        <v>143676.64260297784</v>
      </c>
      <c r="F353" s="134">
        <v>10670240047</v>
      </c>
      <c r="G353" s="117">
        <f t="shared" si="82"/>
        <v>87483.930596549908</v>
      </c>
      <c r="H353" s="9"/>
      <c r="I353" s="136">
        <v>5.4322999999999997</v>
      </c>
      <c r="J353" s="134">
        <v>57963945.007318102</v>
      </c>
      <c r="K353" s="120">
        <f t="shared" si="83"/>
        <v>475.23895617963814</v>
      </c>
      <c r="L353" s="122">
        <f t="shared" si="74"/>
        <v>106702400.47</v>
      </c>
      <c r="M353" s="116">
        <f t="shared" si="75"/>
        <v>48738455.462681897</v>
      </c>
      <c r="N353" s="123">
        <f t="shared" si="76"/>
        <v>399.600349785861</v>
      </c>
      <c r="O353" s="5"/>
      <c r="P353" s="5">
        <f t="shared" si="78"/>
        <v>1</v>
      </c>
      <c r="Q353" s="7">
        <f t="shared" si="79"/>
        <v>121968</v>
      </c>
      <c r="W353" s="124">
        <f t="shared" si="80"/>
        <v>57963945.007318094</v>
      </c>
      <c r="X353">
        <f t="shared" si="77"/>
        <v>0</v>
      </c>
    </row>
    <row r="354" spans="1:24">
      <c r="A354" s="23" t="s">
        <v>379</v>
      </c>
      <c r="B354" s="35" t="s">
        <v>365</v>
      </c>
      <c r="C354" s="97">
        <v>4345</v>
      </c>
      <c r="D354" s="132">
        <v>521251687</v>
      </c>
      <c r="E354" s="116">
        <f t="shared" si="81"/>
        <v>119965.86582278481</v>
      </c>
      <c r="F354" s="134">
        <v>351067298</v>
      </c>
      <c r="G354" s="117">
        <f t="shared" si="82"/>
        <v>80797.997238204829</v>
      </c>
      <c r="H354" s="7"/>
      <c r="I354" s="136">
        <v>6.44</v>
      </c>
      <c r="J354" s="134">
        <v>2260873.3991200002</v>
      </c>
      <c r="K354" s="120">
        <f t="shared" si="83"/>
        <v>520.33910221403914</v>
      </c>
      <c r="L354" s="122">
        <f t="shared" si="74"/>
        <v>3510672.98</v>
      </c>
      <c r="M354" s="116">
        <f t="shared" si="75"/>
        <v>1249799.5808799998</v>
      </c>
      <c r="N354" s="123">
        <f t="shared" si="76"/>
        <v>287.64087016800914</v>
      </c>
      <c r="O354" s="5"/>
      <c r="P354" s="5">
        <f t="shared" si="78"/>
        <v>1</v>
      </c>
      <c r="Q354" s="7">
        <f t="shared" si="79"/>
        <v>4345</v>
      </c>
      <c r="W354" s="124">
        <f t="shared" si="80"/>
        <v>2260873.3991200002</v>
      </c>
      <c r="X354">
        <f t="shared" si="77"/>
        <v>0</v>
      </c>
    </row>
    <row r="355" spans="1:24">
      <c r="A355" s="23" t="s">
        <v>380</v>
      </c>
      <c r="B355" s="35" t="s">
        <v>365</v>
      </c>
      <c r="C355" s="97">
        <v>2973</v>
      </c>
      <c r="D355" s="132">
        <v>403559543</v>
      </c>
      <c r="E355" s="116">
        <f t="shared" si="81"/>
        <v>135741.52135889675</v>
      </c>
      <c r="F355" s="134">
        <v>252754392</v>
      </c>
      <c r="G355" s="117">
        <f t="shared" si="82"/>
        <v>85016.613521695253</v>
      </c>
      <c r="H355" s="7"/>
      <c r="I355" s="136">
        <v>5.5</v>
      </c>
      <c r="J355" s="134">
        <v>1390149.156</v>
      </c>
      <c r="K355" s="120">
        <f t="shared" si="83"/>
        <v>467.59137436932389</v>
      </c>
      <c r="L355" s="122">
        <f t="shared" si="74"/>
        <v>2527543.92</v>
      </c>
      <c r="M355" s="116">
        <f t="shared" si="75"/>
        <v>1137394.764</v>
      </c>
      <c r="N355" s="123">
        <f t="shared" si="76"/>
        <v>382.57476084762862</v>
      </c>
      <c r="O355" s="5"/>
      <c r="P355" s="5">
        <f t="shared" si="78"/>
        <v>1</v>
      </c>
      <c r="Q355" s="7">
        <f t="shared" si="79"/>
        <v>2973</v>
      </c>
      <c r="S355" s="124"/>
      <c r="T355" s="124"/>
      <c r="U355" s="124"/>
      <c r="W355" s="124">
        <f t="shared" si="80"/>
        <v>1390149.156</v>
      </c>
      <c r="X355">
        <f t="shared" si="77"/>
        <v>0</v>
      </c>
    </row>
    <row r="356" spans="1:24">
      <c r="A356" s="23" t="s">
        <v>381</v>
      </c>
      <c r="B356" s="35" t="s">
        <v>365</v>
      </c>
      <c r="C356" s="97">
        <v>55764</v>
      </c>
      <c r="D356" s="132">
        <v>7078397436</v>
      </c>
      <c r="E356" s="116">
        <f t="shared" si="81"/>
        <v>126934.89412524209</v>
      </c>
      <c r="F356" s="134">
        <v>4264280340</v>
      </c>
      <c r="G356" s="117">
        <f t="shared" si="82"/>
        <v>76470.130191521414</v>
      </c>
      <c r="H356" s="7"/>
      <c r="I356" s="136">
        <v>6.59</v>
      </c>
      <c r="J356" s="134">
        <v>28101607.4406</v>
      </c>
      <c r="K356" s="120">
        <f t="shared" si="83"/>
        <v>503.93815796212613</v>
      </c>
      <c r="L356" s="122">
        <f t="shared" si="74"/>
        <v>42642803.399999999</v>
      </c>
      <c r="M356" s="116">
        <f t="shared" si="75"/>
        <v>14541195.959399998</v>
      </c>
      <c r="N356" s="123">
        <f t="shared" si="76"/>
        <v>260.76314395308799</v>
      </c>
      <c r="O356" s="5"/>
      <c r="P356" s="5">
        <f t="shared" si="78"/>
        <v>1</v>
      </c>
      <c r="Q356" s="7">
        <f t="shared" si="79"/>
        <v>55764</v>
      </c>
      <c r="S356" s="124">
        <f>SUM(D340:D356)</f>
        <v>41936675437</v>
      </c>
      <c r="T356" s="124">
        <f>SUM(F340:F356)</f>
        <v>25591031433</v>
      </c>
      <c r="U356" s="124">
        <f>SUM(J340:J356)</f>
        <v>155584663.6094709</v>
      </c>
      <c r="W356" s="124">
        <f t="shared" si="80"/>
        <v>28101607.440599997</v>
      </c>
      <c r="X356">
        <f t="shared" si="77"/>
        <v>0</v>
      </c>
    </row>
    <row r="357" spans="1:24">
      <c r="A357" s="23" t="s">
        <v>382</v>
      </c>
      <c r="B357" s="35" t="s">
        <v>383</v>
      </c>
      <c r="C357" s="97">
        <v>1690</v>
      </c>
      <c r="D357" s="132">
        <v>216037964</v>
      </c>
      <c r="E357" s="116">
        <f t="shared" si="81"/>
        <v>127833.1147928994</v>
      </c>
      <c r="F357" s="134">
        <v>119766219</v>
      </c>
      <c r="G357" s="117">
        <f t="shared" si="82"/>
        <v>70867.585207100594</v>
      </c>
      <c r="H357" s="7"/>
      <c r="I357" s="136">
        <v>8.5914000000000001</v>
      </c>
      <c r="J357" s="134">
        <v>1028959.4939166</v>
      </c>
      <c r="K357" s="120">
        <f t="shared" si="83"/>
        <v>608.85177154828398</v>
      </c>
      <c r="L357" s="122">
        <f t="shared" si="74"/>
        <v>1197662.19</v>
      </c>
      <c r="M357" s="116">
        <f t="shared" si="75"/>
        <v>168702.69608339993</v>
      </c>
      <c r="N357" s="123">
        <f t="shared" si="76"/>
        <v>99.824080522721857</v>
      </c>
      <c r="O357" s="5"/>
      <c r="P357" s="5">
        <f t="shared" si="78"/>
        <v>1</v>
      </c>
      <c r="Q357" s="7">
        <f t="shared" si="79"/>
        <v>1690</v>
      </c>
      <c r="W357" s="124">
        <f t="shared" si="80"/>
        <v>1028959.4939166001</v>
      </c>
      <c r="X357">
        <f t="shared" si="77"/>
        <v>0</v>
      </c>
    </row>
    <row r="358" spans="1:24">
      <c r="A358" s="23" t="s">
        <v>384</v>
      </c>
      <c r="B358" s="35" t="s">
        <v>383</v>
      </c>
      <c r="C358" s="97">
        <v>1446</v>
      </c>
      <c r="D358" s="132">
        <v>178472544</v>
      </c>
      <c r="E358" s="116">
        <f t="shared" si="81"/>
        <v>123424.99585062241</v>
      </c>
      <c r="F358" s="134">
        <v>82381644</v>
      </c>
      <c r="G358" s="117">
        <f t="shared" si="82"/>
        <v>56972.091286307055</v>
      </c>
      <c r="H358" s="7"/>
      <c r="I358" s="136">
        <v>7.2553000000000001</v>
      </c>
      <c r="J358" s="134">
        <v>597703.54171319993</v>
      </c>
      <c r="K358" s="120">
        <f t="shared" si="83"/>
        <v>413.34961390954351</v>
      </c>
      <c r="L358" s="122">
        <f t="shared" si="74"/>
        <v>823816.44000000006</v>
      </c>
      <c r="M358" s="116">
        <f t="shared" si="75"/>
        <v>226112.89828680013</v>
      </c>
      <c r="N358" s="123">
        <f t="shared" si="76"/>
        <v>156.37129895352706</v>
      </c>
      <c r="O358" s="5"/>
      <c r="P358" s="5">
        <f t="shared" si="78"/>
        <v>1</v>
      </c>
      <c r="Q358" s="7">
        <f t="shared" si="79"/>
        <v>1446</v>
      </c>
      <c r="W358" s="124">
        <f t="shared" si="80"/>
        <v>597703.54171320004</v>
      </c>
      <c r="X358">
        <f t="shared" si="77"/>
        <v>0</v>
      </c>
    </row>
    <row r="359" spans="1:24">
      <c r="A359" s="23" t="s">
        <v>385</v>
      </c>
      <c r="B359" s="35" t="s">
        <v>383</v>
      </c>
      <c r="C359" s="97">
        <v>10506</v>
      </c>
      <c r="D359" s="132">
        <v>1352333125</v>
      </c>
      <c r="E359" s="116">
        <f t="shared" si="81"/>
        <v>128720.07662288216</v>
      </c>
      <c r="F359" s="134">
        <v>671826580</v>
      </c>
      <c r="G359" s="117">
        <f t="shared" si="82"/>
        <v>63946.942699409861</v>
      </c>
      <c r="H359" s="7"/>
      <c r="I359" s="136">
        <v>6.4</v>
      </c>
      <c r="J359" s="134">
        <v>4299690.1119999997</v>
      </c>
      <c r="K359" s="120">
        <f t="shared" si="83"/>
        <v>409.26043327622307</v>
      </c>
      <c r="L359" s="122">
        <f t="shared" si="74"/>
        <v>6718265.7999999998</v>
      </c>
      <c r="M359" s="116">
        <f t="shared" si="75"/>
        <v>2418575.6880000001</v>
      </c>
      <c r="N359" s="123">
        <f t="shared" si="76"/>
        <v>230.2089937178755</v>
      </c>
      <c r="O359" s="5"/>
      <c r="P359" s="5">
        <f t="shared" si="78"/>
        <v>1</v>
      </c>
      <c r="Q359" s="7">
        <f t="shared" si="79"/>
        <v>10506</v>
      </c>
      <c r="W359" s="124">
        <f t="shared" si="80"/>
        <v>4299690.1120000007</v>
      </c>
      <c r="X359">
        <f t="shared" si="77"/>
        <v>0</v>
      </c>
    </row>
    <row r="360" spans="1:24">
      <c r="A360" s="23" t="s">
        <v>386</v>
      </c>
      <c r="B360" s="35" t="s">
        <v>383</v>
      </c>
      <c r="C360" s="97">
        <v>794</v>
      </c>
      <c r="D360" s="132">
        <v>92928158</v>
      </c>
      <c r="E360" s="116">
        <f t="shared" si="81"/>
        <v>117037.98236775819</v>
      </c>
      <c r="F360" s="134">
        <v>50920841</v>
      </c>
      <c r="G360" s="117">
        <f t="shared" si="82"/>
        <v>64132.041561712846</v>
      </c>
      <c r="H360" s="7"/>
      <c r="I360" s="136">
        <v>5.0492999999999997</v>
      </c>
      <c r="J360" s="134">
        <v>257114.60246129998</v>
      </c>
      <c r="K360" s="120">
        <f t="shared" si="83"/>
        <v>323.82191745755665</v>
      </c>
      <c r="L360" s="122">
        <f t="shared" si="74"/>
        <v>509208.41000000003</v>
      </c>
      <c r="M360" s="116">
        <f t="shared" si="75"/>
        <v>252093.80753870006</v>
      </c>
      <c r="N360" s="123">
        <f t="shared" si="76"/>
        <v>317.49849815957185</v>
      </c>
      <c r="O360" s="5"/>
      <c r="P360" s="5">
        <f t="shared" si="78"/>
        <v>1</v>
      </c>
      <c r="Q360" s="7">
        <f t="shared" si="79"/>
        <v>794</v>
      </c>
      <c r="S360" s="124"/>
      <c r="T360" s="124"/>
      <c r="U360" s="124"/>
      <c r="W360" s="124">
        <f t="shared" si="80"/>
        <v>257114.60246129998</v>
      </c>
      <c r="X360">
        <f t="shared" si="77"/>
        <v>0</v>
      </c>
    </row>
    <row r="361" spans="1:24">
      <c r="A361" s="23" t="s">
        <v>387</v>
      </c>
      <c r="B361" s="35" t="s">
        <v>383</v>
      </c>
      <c r="C361" s="97">
        <v>785</v>
      </c>
      <c r="D361" s="132">
        <v>153579617</v>
      </c>
      <c r="E361" s="116">
        <f t="shared" si="81"/>
        <v>195642.82420382166</v>
      </c>
      <c r="F361" s="134">
        <v>95851892</v>
      </c>
      <c r="G361" s="117">
        <f t="shared" si="82"/>
        <v>122104.32101910828</v>
      </c>
      <c r="H361" s="9"/>
      <c r="I361" s="136">
        <v>5.5049999999999999</v>
      </c>
      <c r="J361" s="134">
        <v>527664.66545999993</v>
      </c>
      <c r="K361" s="120">
        <f t="shared" si="83"/>
        <v>672.18428721019097</v>
      </c>
      <c r="L361" s="122">
        <f t="shared" si="74"/>
        <v>958518.92</v>
      </c>
      <c r="M361" s="116">
        <f t="shared" si="75"/>
        <v>430854.25454000011</v>
      </c>
      <c r="N361" s="123">
        <f t="shared" si="76"/>
        <v>548.85892298089186</v>
      </c>
      <c r="O361" s="5"/>
      <c r="P361" s="5">
        <f t="shared" si="78"/>
        <v>1</v>
      </c>
      <c r="Q361" s="7">
        <f t="shared" si="79"/>
        <v>785</v>
      </c>
      <c r="S361" s="124">
        <f>SUM(D357:D361)</f>
        <v>1993351408</v>
      </c>
      <c r="T361" s="124">
        <f>SUM(F357:F361)</f>
        <v>1020747176</v>
      </c>
      <c r="U361" s="124">
        <f>SUM(J357:J361)</f>
        <v>6711132.415551099</v>
      </c>
      <c r="W361" s="124">
        <f t="shared" si="80"/>
        <v>527664.66545999993</v>
      </c>
      <c r="X361">
        <f t="shared" si="77"/>
        <v>0</v>
      </c>
    </row>
    <row r="362" spans="1:24">
      <c r="A362" s="23" t="s">
        <v>390</v>
      </c>
      <c r="B362" s="35" t="s">
        <v>391</v>
      </c>
      <c r="C362" s="97">
        <v>6383</v>
      </c>
      <c r="D362" s="132">
        <v>2018856545</v>
      </c>
      <c r="E362" s="116">
        <f t="shared" si="81"/>
        <v>316286.47109509638</v>
      </c>
      <c r="F362" s="134">
        <v>1182536761</v>
      </c>
      <c r="G362" s="117">
        <f t="shared" si="82"/>
        <v>185263.47501174995</v>
      </c>
      <c r="H362" s="9"/>
      <c r="I362" s="136">
        <v>1.9722999999999999</v>
      </c>
      <c r="J362" s="134">
        <v>2332317.2537202998</v>
      </c>
      <c r="K362" s="120">
        <f t="shared" si="83"/>
        <v>365.39515176567443</v>
      </c>
      <c r="L362" s="122">
        <f t="shared" si="74"/>
        <v>11825367.609999999</v>
      </c>
      <c r="M362" s="116">
        <f t="shared" si="75"/>
        <v>9493050.3562796991</v>
      </c>
      <c r="N362" s="123">
        <f t="shared" si="76"/>
        <v>1487.239598351825</v>
      </c>
      <c r="O362" s="5"/>
      <c r="P362" s="5">
        <f t="shared" si="78"/>
        <v>1</v>
      </c>
      <c r="Q362" s="7">
        <f t="shared" si="79"/>
        <v>6383</v>
      </c>
      <c r="W362" s="124">
        <f t="shared" si="80"/>
        <v>2332317.2537202998</v>
      </c>
      <c r="X362">
        <f t="shared" si="77"/>
        <v>0</v>
      </c>
    </row>
    <row r="363" spans="1:24">
      <c r="A363" s="23" t="s">
        <v>392</v>
      </c>
      <c r="B363" s="35" t="s">
        <v>391</v>
      </c>
      <c r="C363" s="97">
        <v>550</v>
      </c>
      <c r="D363" s="132">
        <v>89136847</v>
      </c>
      <c r="E363" s="116">
        <f t="shared" si="81"/>
        <v>162066.99454545454</v>
      </c>
      <c r="F363" s="134">
        <v>54112237</v>
      </c>
      <c r="G363" s="117">
        <f t="shared" si="82"/>
        <v>98385.885454545452</v>
      </c>
      <c r="H363" s="9"/>
      <c r="I363" s="136">
        <v>3.8</v>
      </c>
      <c r="J363" s="134">
        <v>205626.5006</v>
      </c>
      <c r="K363" s="120">
        <f t="shared" si="83"/>
        <v>373.86636472727275</v>
      </c>
      <c r="L363" s="122">
        <f t="shared" si="74"/>
        <v>541122.37</v>
      </c>
      <c r="M363" s="116">
        <f t="shared" si="75"/>
        <v>335495.86939999997</v>
      </c>
      <c r="N363" s="123">
        <f t="shared" si="76"/>
        <v>609.99248981818175</v>
      </c>
      <c r="O363" s="5"/>
      <c r="P363" s="5">
        <f t="shared" si="78"/>
        <v>1</v>
      </c>
      <c r="Q363" s="7">
        <f t="shared" si="79"/>
        <v>550</v>
      </c>
      <c r="S363" s="124"/>
      <c r="T363" s="124"/>
      <c r="U363" s="124"/>
      <c r="W363" s="124">
        <f t="shared" si="80"/>
        <v>205626.5006</v>
      </c>
      <c r="X363">
        <f t="shared" si="77"/>
        <v>0</v>
      </c>
    </row>
    <row r="364" spans="1:24">
      <c r="A364" s="23" t="s">
        <v>393</v>
      </c>
      <c r="B364" s="35" t="s">
        <v>391</v>
      </c>
      <c r="C364" s="97">
        <v>10120</v>
      </c>
      <c r="D364" s="132">
        <v>1003893927</v>
      </c>
      <c r="E364" s="116">
        <f t="shared" si="81"/>
        <v>99199.004644268774</v>
      </c>
      <c r="F364" s="134">
        <v>544890207</v>
      </c>
      <c r="G364" s="117">
        <f t="shared" si="82"/>
        <v>53842.905830039526</v>
      </c>
      <c r="H364" s="7"/>
      <c r="I364" s="136">
        <v>2.99</v>
      </c>
      <c r="J364" s="134">
        <v>1629221.71893</v>
      </c>
      <c r="K364" s="120">
        <f t="shared" si="83"/>
        <v>160.99028843181819</v>
      </c>
      <c r="L364" s="122">
        <f t="shared" si="74"/>
        <v>5448902.0700000003</v>
      </c>
      <c r="M364" s="116">
        <f t="shared" si="75"/>
        <v>3819680.3510700003</v>
      </c>
      <c r="N364" s="123">
        <f t="shared" si="76"/>
        <v>377.43876986857708</v>
      </c>
      <c r="O364" s="5"/>
      <c r="P364" s="5">
        <f t="shared" si="78"/>
        <v>1</v>
      </c>
      <c r="Q364" s="7">
        <f t="shared" si="79"/>
        <v>10120</v>
      </c>
      <c r="S364" s="124">
        <f>SUM(D362:D364)</f>
        <v>3111887319</v>
      </c>
      <c r="T364" s="184">
        <f>SUM(F362:F364)</f>
        <v>1781539205</v>
      </c>
      <c r="U364" s="124">
        <f>SUM(J362:J364)</f>
        <v>4167165.4732502997</v>
      </c>
      <c r="W364" s="124">
        <f t="shared" si="80"/>
        <v>1629221.71893</v>
      </c>
      <c r="X364">
        <f t="shared" si="77"/>
        <v>0</v>
      </c>
    </row>
    <row r="365" spans="1:24">
      <c r="A365" s="23" t="s">
        <v>394</v>
      </c>
      <c r="B365" s="35" t="s">
        <v>395</v>
      </c>
      <c r="C365" s="97">
        <v>86552</v>
      </c>
      <c r="D365" s="132">
        <v>15072537945</v>
      </c>
      <c r="E365" s="116">
        <f t="shared" si="81"/>
        <v>174144.30567751179</v>
      </c>
      <c r="F365" s="134">
        <v>8485547614</v>
      </c>
      <c r="G365" s="117">
        <f t="shared" si="82"/>
        <v>98039.879078473052</v>
      </c>
      <c r="H365" s="7"/>
      <c r="I365" s="136">
        <v>3.7667000000000002</v>
      </c>
      <c r="J365" s="134">
        <v>31962512.1976538</v>
      </c>
      <c r="K365" s="120">
        <f t="shared" si="83"/>
        <v>369.28681252488445</v>
      </c>
      <c r="L365" s="122">
        <f t="shared" si="74"/>
        <v>84855476.140000001</v>
      </c>
      <c r="M365" s="116">
        <f t="shared" si="75"/>
        <v>52892963.9423462</v>
      </c>
      <c r="N365" s="123">
        <f t="shared" si="76"/>
        <v>611.11197825984607</v>
      </c>
      <c r="O365" s="5"/>
      <c r="P365" s="5">
        <f t="shared" si="78"/>
        <v>1</v>
      </c>
      <c r="Q365" s="7">
        <f t="shared" si="79"/>
        <v>86552</v>
      </c>
      <c r="W365" s="124">
        <f t="shared" si="80"/>
        <v>31962512.1976538</v>
      </c>
      <c r="X365">
        <f t="shared" si="77"/>
        <v>0</v>
      </c>
    </row>
    <row r="366" spans="1:24">
      <c r="A366" s="23" t="s">
        <v>395</v>
      </c>
      <c r="B366" s="35" t="s">
        <v>395</v>
      </c>
      <c r="C366" s="97">
        <v>57005</v>
      </c>
      <c r="D366" s="132">
        <v>27397537157</v>
      </c>
      <c r="E366" s="116">
        <f t="shared" si="81"/>
        <v>480616.38728181738</v>
      </c>
      <c r="F366" s="134">
        <v>16666743925</v>
      </c>
      <c r="G366" s="117">
        <f t="shared" si="82"/>
        <v>292373.36944127706</v>
      </c>
      <c r="H366" s="7"/>
      <c r="I366" s="136">
        <v>3</v>
      </c>
      <c r="J366" s="134">
        <v>50000231.774999999</v>
      </c>
      <c r="K366" s="120">
        <f t="shared" si="83"/>
        <v>877.12010832383123</v>
      </c>
      <c r="L366" s="122">
        <f t="shared" si="74"/>
        <v>166667439.25</v>
      </c>
      <c r="M366" s="116">
        <f t="shared" si="75"/>
        <v>116667207.47499999</v>
      </c>
      <c r="N366" s="123">
        <f t="shared" si="76"/>
        <v>2046.6135860889394</v>
      </c>
      <c r="O366" s="5"/>
      <c r="P366" s="5">
        <f t="shared" si="78"/>
        <v>1</v>
      </c>
      <c r="Q366" s="7">
        <f t="shared" si="79"/>
        <v>57005</v>
      </c>
      <c r="S366" s="124"/>
      <c r="T366" s="124"/>
      <c r="U366" s="124"/>
      <c r="W366" s="124">
        <f t="shared" si="80"/>
        <v>50000231.774999999</v>
      </c>
      <c r="X366">
        <f t="shared" si="77"/>
        <v>0</v>
      </c>
    </row>
    <row r="367" spans="1:24">
      <c r="A367" s="23" t="s">
        <v>396</v>
      </c>
      <c r="B367" s="35" t="s">
        <v>395</v>
      </c>
      <c r="C367" s="97">
        <v>27793</v>
      </c>
      <c r="D367" s="132">
        <v>10224508553</v>
      </c>
      <c r="E367" s="116">
        <f t="shared" si="81"/>
        <v>367880.70927931496</v>
      </c>
      <c r="F367" s="134">
        <v>6602275046</v>
      </c>
      <c r="G367" s="117">
        <f t="shared" si="82"/>
        <v>237551.72331162522</v>
      </c>
      <c r="H367" s="7"/>
      <c r="I367" s="136">
        <v>3.9041000000000001</v>
      </c>
      <c r="J367" s="134">
        <v>25775942.007088602</v>
      </c>
      <c r="K367" s="120">
        <f t="shared" si="83"/>
        <v>927.42568298091612</v>
      </c>
      <c r="L367" s="122">
        <f t="shared" si="74"/>
        <v>66022750.460000001</v>
      </c>
      <c r="M367" s="116">
        <f t="shared" si="75"/>
        <v>40246808.452911399</v>
      </c>
      <c r="N367" s="123">
        <f t="shared" si="76"/>
        <v>1448.0915501353363</v>
      </c>
      <c r="O367" s="5"/>
      <c r="P367" s="5">
        <f t="shared" si="78"/>
        <v>1</v>
      </c>
      <c r="Q367" s="7">
        <f t="shared" si="79"/>
        <v>27793</v>
      </c>
      <c r="S367" s="124">
        <f>SUM(D365:D367)</f>
        <v>52694583655</v>
      </c>
      <c r="T367" s="124">
        <f>SUM(F365:F367)</f>
        <v>31754566585</v>
      </c>
      <c r="U367" s="124">
        <f>SUM(J365:J367)</f>
        <v>107738685.97974241</v>
      </c>
      <c r="W367" s="124">
        <f t="shared" si="80"/>
        <v>25775942.007088602</v>
      </c>
      <c r="X367">
        <f t="shared" si="77"/>
        <v>0</v>
      </c>
    </row>
    <row r="368" spans="1:24">
      <c r="A368" s="23" t="s">
        <v>397</v>
      </c>
      <c r="B368" s="35" t="s">
        <v>360</v>
      </c>
      <c r="C368" s="97">
        <v>47420</v>
      </c>
      <c r="D368" s="132">
        <v>6899398308</v>
      </c>
      <c r="E368" s="116">
        <f t="shared" si="81"/>
        <v>145495.53580767609</v>
      </c>
      <c r="F368" s="134">
        <v>4692278329</v>
      </c>
      <c r="G368" s="117">
        <f t="shared" si="82"/>
        <v>98951.462020244624</v>
      </c>
      <c r="H368" s="7"/>
      <c r="I368" s="136">
        <v>3.1</v>
      </c>
      <c r="J368" s="134">
        <v>14546062.8199</v>
      </c>
      <c r="K368" s="120">
        <f t="shared" si="83"/>
        <v>306.74953226275835</v>
      </c>
      <c r="L368" s="122">
        <f t="shared" si="74"/>
        <v>46922783.289999999</v>
      </c>
      <c r="M368" s="116">
        <f t="shared" si="75"/>
        <v>32376720.470100001</v>
      </c>
      <c r="N368" s="123">
        <f t="shared" si="76"/>
        <v>682.76508793968787</v>
      </c>
      <c r="O368" s="5"/>
      <c r="P368" s="5">
        <f t="shared" si="78"/>
        <v>1</v>
      </c>
      <c r="Q368" s="7">
        <f t="shared" si="79"/>
        <v>47420</v>
      </c>
      <c r="W368" s="124">
        <f t="shared" si="80"/>
        <v>14546062.819899999</v>
      </c>
      <c r="X368">
        <f t="shared" si="77"/>
        <v>0</v>
      </c>
    </row>
    <row r="369" spans="1:24">
      <c r="A369" s="23" t="s">
        <v>398</v>
      </c>
      <c r="B369" s="35" t="s">
        <v>360</v>
      </c>
      <c r="C369" s="97">
        <v>30061</v>
      </c>
      <c r="D369" s="132">
        <v>3619133244</v>
      </c>
      <c r="E369" s="116">
        <f t="shared" si="81"/>
        <v>120392.97574930974</v>
      </c>
      <c r="F369" s="134">
        <v>2315440674</v>
      </c>
      <c r="G369" s="117">
        <f t="shared" si="82"/>
        <v>77024.738831043549</v>
      </c>
      <c r="H369" s="7"/>
      <c r="I369" s="136">
        <v>2.9</v>
      </c>
      <c r="J369" s="134">
        <v>6714777.9545999998</v>
      </c>
      <c r="K369" s="120">
        <f t="shared" si="83"/>
        <v>223.37174261002627</v>
      </c>
      <c r="L369" s="122">
        <f t="shared" si="74"/>
        <v>23154406.740000002</v>
      </c>
      <c r="M369" s="116">
        <f t="shared" si="75"/>
        <v>16439628.785400003</v>
      </c>
      <c r="N369" s="123">
        <f t="shared" si="76"/>
        <v>546.87564570040922</v>
      </c>
      <c r="O369" s="5"/>
      <c r="P369" s="5">
        <f t="shared" si="78"/>
        <v>1</v>
      </c>
      <c r="Q369" s="7">
        <f t="shared" si="79"/>
        <v>30061</v>
      </c>
      <c r="W369" s="124">
        <f t="shared" si="80"/>
        <v>6714777.9545999998</v>
      </c>
      <c r="X369">
        <f t="shared" si="77"/>
        <v>0</v>
      </c>
    </row>
    <row r="370" spans="1:24">
      <c r="A370" s="23" t="s">
        <v>399</v>
      </c>
      <c r="B370" s="35" t="s">
        <v>360</v>
      </c>
      <c r="C370" s="97">
        <v>17366</v>
      </c>
      <c r="D370" s="132">
        <v>4662824921</v>
      </c>
      <c r="E370" s="116">
        <f t="shared" si="81"/>
        <v>268503.10497523897</v>
      </c>
      <c r="F370" s="134">
        <v>3459594968</v>
      </c>
      <c r="G370" s="117">
        <f t="shared" si="82"/>
        <v>199216.57077047104</v>
      </c>
      <c r="H370" s="7"/>
      <c r="I370" s="136">
        <v>3.5895000000000001</v>
      </c>
      <c r="J370" s="134">
        <v>12418216.137636</v>
      </c>
      <c r="K370" s="120">
        <f t="shared" si="83"/>
        <v>715.08788078060581</v>
      </c>
      <c r="L370" s="122">
        <f t="shared" si="74"/>
        <v>34595949.68</v>
      </c>
      <c r="M370" s="116">
        <f t="shared" si="75"/>
        <v>22177733.542364001</v>
      </c>
      <c r="N370" s="123">
        <f t="shared" si="76"/>
        <v>1277.0778269241046</v>
      </c>
      <c r="O370" s="5"/>
      <c r="P370" s="5">
        <f t="shared" si="78"/>
        <v>1</v>
      </c>
      <c r="Q370" s="7">
        <f t="shared" si="79"/>
        <v>17366</v>
      </c>
      <c r="W370" s="124">
        <f t="shared" si="80"/>
        <v>12418216.137636</v>
      </c>
      <c r="X370">
        <f t="shared" si="77"/>
        <v>0</v>
      </c>
    </row>
    <row r="371" spans="1:24">
      <c r="A371" s="23" t="s">
        <v>400</v>
      </c>
      <c r="B371" s="35" t="s">
        <v>360</v>
      </c>
      <c r="C371" s="97">
        <v>16408</v>
      </c>
      <c r="D371" s="147">
        <v>2806301027</v>
      </c>
      <c r="E371" s="116">
        <f t="shared" si="81"/>
        <v>171032.48579960995</v>
      </c>
      <c r="F371" s="134">
        <v>1853000734</v>
      </c>
      <c r="G371" s="117">
        <f t="shared" si="82"/>
        <v>112932.76048269137</v>
      </c>
      <c r="H371" s="7"/>
      <c r="I371" s="136">
        <v>5.5</v>
      </c>
      <c r="J371" s="134">
        <v>10191504.037</v>
      </c>
      <c r="K371" s="120">
        <f t="shared" si="83"/>
        <v>621.13018265480252</v>
      </c>
      <c r="L371" s="122">
        <f t="shared" si="74"/>
        <v>18530007.34</v>
      </c>
      <c r="M371" s="116">
        <f t="shared" si="75"/>
        <v>8338503.3029999994</v>
      </c>
      <c r="N371" s="123">
        <f t="shared" si="76"/>
        <v>508.19742217211115</v>
      </c>
      <c r="O371" s="5"/>
      <c r="P371" s="5">
        <f t="shared" si="78"/>
        <v>1</v>
      </c>
      <c r="Q371" s="7">
        <f t="shared" si="79"/>
        <v>16408</v>
      </c>
      <c r="W371" s="124">
        <f t="shared" si="80"/>
        <v>10191504.036999999</v>
      </c>
      <c r="X371">
        <f t="shared" si="77"/>
        <v>0</v>
      </c>
    </row>
    <row r="372" spans="1:24">
      <c r="A372" s="23" t="s">
        <v>401</v>
      </c>
      <c r="B372" s="35" t="s">
        <v>360</v>
      </c>
      <c r="C372" s="97">
        <v>40261</v>
      </c>
      <c r="D372" s="132">
        <v>6538872316</v>
      </c>
      <c r="E372" s="116">
        <f t="shared" si="81"/>
        <v>162412.06914880406</v>
      </c>
      <c r="F372" s="134">
        <v>3917904697</v>
      </c>
      <c r="G372" s="117">
        <f t="shared" si="82"/>
        <v>97312.652368296869</v>
      </c>
      <c r="H372" s="7"/>
      <c r="I372" s="136">
        <v>5.3440000000000003</v>
      </c>
      <c r="J372" s="134">
        <v>20937282.700768001</v>
      </c>
      <c r="K372" s="120">
        <f t="shared" si="83"/>
        <v>520.03881425617851</v>
      </c>
      <c r="L372" s="122">
        <f t="shared" si="74"/>
        <v>39179046.969999999</v>
      </c>
      <c r="M372" s="116">
        <f t="shared" si="75"/>
        <v>18241764.269231997</v>
      </c>
      <c r="N372" s="123">
        <f t="shared" si="76"/>
        <v>453.08770942679013</v>
      </c>
      <c r="O372" s="5"/>
      <c r="P372" s="5">
        <f t="shared" si="78"/>
        <v>1</v>
      </c>
      <c r="Q372" s="7">
        <f t="shared" si="79"/>
        <v>40261</v>
      </c>
      <c r="W372" s="124">
        <f t="shared" si="80"/>
        <v>20937282.700768001</v>
      </c>
      <c r="X372">
        <f t="shared" si="77"/>
        <v>0</v>
      </c>
    </row>
    <row r="373" spans="1:24">
      <c r="A373" s="23" t="s">
        <v>402</v>
      </c>
      <c r="B373" s="35" t="s">
        <v>360</v>
      </c>
      <c r="C373" s="97">
        <v>64508</v>
      </c>
      <c r="D373" s="132">
        <v>8422594635</v>
      </c>
      <c r="E373" s="116">
        <f t="shared" si="81"/>
        <v>130566.66824269858</v>
      </c>
      <c r="F373" s="134">
        <v>5389783172</v>
      </c>
      <c r="G373" s="117">
        <f t="shared" si="82"/>
        <v>83552.166739009117</v>
      </c>
      <c r="H373" s="7"/>
      <c r="I373" s="136">
        <v>7.3250000000000002</v>
      </c>
      <c r="J373" s="134">
        <v>39480161.734900005</v>
      </c>
      <c r="K373" s="120">
        <f t="shared" si="83"/>
        <v>612.01962136324187</v>
      </c>
      <c r="L373" s="122">
        <f t="shared" si="74"/>
        <v>53897831.719999999</v>
      </c>
      <c r="M373" s="116">
        <f t="shared" si="75"/>
        <v>14417669.985099994</v>
      </c>
      <c r="N373" s="123">
        <f t="shared" si="76"/>
        <v>223.50204602684929</v>
      </c>
      <c r="O373" s="5"/>
      <c r="P373" s="5">
        <f t="shared" si="78"/>
        <v>1</v>
      </c>
      <c r="Q373" s="7">
        <f t="shared" si="79"/>
        <v>64508</v>
      </c>
      <c r="S373" s="124"/>
      <c r="T373" s="124"/>
      <c r="U373" s="124"/>
      <c r="W373" s="124">
        <f t="shared" si="80"/>
        <v>39480161.734899998</v>
      </c>
      <c r="X373">
        <f t="shared" si="77"/>
        <v>0</v>
      </c>
    </row>
    <row r="374" spans="1:24">
      <c r="A374" s="23" t="s">
        <v>403</v>
      </c>
      <c r="B374" s="37" t="s">
        <v>360</v>
      </c>
      <c r="C374" s="97">
        <v>39097</v>
      </c>
      <c r="D374" s="132">
        <v>5850772686</v>
      </c>
      <c r="E374" s="116">
        <f t="shared" si="81"/>
        <v>149647.61199068982</v>
      </c>
      <c r="F374" s="134">
        <v>3461281632</v>
      </c>
      <c r="G374" s="117">
        <f t="shared" si="82"/>
        <v>88530.619536025784</v>
      </c>
      <c r="H374" s="7"/>
      <c r="I374" s="136">
        <v>2.41</v>
      </c>
      <c r="J374" s="134">
        <v>8341688.7331200009</v>
      </c>
      <c r="K374" s="120">
        <f t="shared" si="83"/>
        <v>213.35879308182217</v>
      </c>
      <c r="L374" s="122">
        <f t="shared" si="74"/>
        <v>34612816.32</v>
      </c>
      <c r="M374" s="116">
        <f t="shared" si="75"/>
        <v>26271127.586879998</v>
      </c>
      <c r="N374" s="123">
        <f t="shared" si="76"/>
        <v>671.94740227843567</v>
      </c>
      <c r="O374" s="5"/>
      <c r="P374" s="5">
        <f t="shared" si="78"/>
        <v>1</v>
      </c>
      <c r="Q374" s="7">
        <f t="shared" si="79"/>
        <v>39097</v>
      </c>
      <c r="S374" s="124">
        <f>SUM(D368:D374)</f>
        <v>38799897137</v>
      </c>
      <c r="T374" s="124">
        <f>SUM(F368:F374)</f>
        <v>25089284206</v>
      </c>
      <c r="U374" s="124">
        <f>SUM(J368:J374)</f>
        <v>112629694.117924</v>
      </c>
      <c r="W374" s="124">
        <f t="shared" si="80"/>
        <v>8341688.7331200009</v>
      </c>
      <c r="X374">
        <f t="shared" si="77"/>
        <v>0</v>
      </c>
    </row>
    <row r="375" spans="1:24">
      <c r="A375" s="24" t="s">
        <v>549</v>
      </c>
      <c r="B375" s="37" t="s">
        <v>551</v>
      </c>
      <c r="C375" s="97">
        <v>15307</v>
      </c>
      <c r="D375" s="132">
        <v>5304697547</v>
      </c>
      <c r="E375" s="116">
        <f t="shared" si="81"/>
        <v>346553.7039916378</v>
      </c>
      <c r="F375" s="134">
        <v>2932042445</v>
      </c>
      <c r="G375" s="117">
        <f t="shared" si="82"/>
        <v>191549.12425687595</v>
      </c>
      <c r="H375" s="7"/>
      <c r="I375" s="136">
        <v>7.5</v>
      </c>
      <c r="J375" s="134">
        <v>21990318.337499999</v>
      </c>
      <c r="K375" s="120">
        <f t="shared" si="83"/>
        <v>1436.6184319265694</v>
      </c>
      <c r="L375" s="122">
        <f t="shared" si="74"/>
        <v>29320424.449999999</v>
      </c>
      <c r="M375" s="116">
        <f t="shared" si="75"/>
        <v>7330106.1125000007</v>
      </c>
      <c r="N375" s="123">
        <f t="shared" si="76"/>
        <v>478.8728106421899</v>
      </c>
      <c r="O375" s="5"/>
      <c r="P375" s="5">
        <f t="shared" si="78"/>
        <v>1</v>
      </c>
      <c r="Q375" s="7">
        <f t="shared" si="79"/>
        <v>15307</v>
      </c>
      <c r="W375" s="124">
        <f t="shared" si="80"/>
        <v>21990318.337499999</v>
      </c>
      <c r="X375">
        <f t="shared" si="77"/>
        <v>0</v>
      </c>
    </row>
    <row r="376" spans="1:24">
      <c r="A376" s="24" t="s">
        <v>550</v>
      </c>
      <c r="B376" s="37" t="s">
        <v>551</v>
      </c>
      <c r="C376" s="97">
        <v>6953</v>
      </c>
      <c r="D376" s="132">
        <v>2999948913</v>
      </c>
      <c r="E376" s="116">
        <f t="shared" si="81"/>
        <v>431461.08341722999</v>
      </c>
      <c r="F376" s="134">
        <v>1942270325</v>
      </c>
      <c r="G376" s="117">
        <f t="shared" si="82"/>
        <v>279342.77649935283</v>
      </c>
      <c r="H376" s="7"/>
      <c r="I376" s="136">
        <v>2.5</v>
      </c>
      <c r="J376" s="134">
        <v>4855675.8125</v>
      </c>
      <c r="K376" s="120">
        <f t="shared" si="83"/>
        <v>698.35694124838199</v>
      </c>
      <c r="L376" s="122">
        <f t="shared" si="74"/>
        <v>19422703.25</v>
      </c>
      <c r="M376" s="116">
        <f t="shared" si="75"/>
        <v>14567027.4375</v>
      </c>
      <c r="N376" s="123">
        <f t="shared" si="76"/>
        <v>2095.0708237451458</v>
      </c>
      <c r="O376" s="5"/>
      <c r="P376" s="5">
        <f t="shared" si="78"/>
        <v>1</v>
      </c>
      <c r="Q376" s="7">
        <f t="shared" si="79"/>
        <v>6953</v>
      </c>
      <c r="S376" s="124">
        <f>SUM(D375:D376)</f>
        <v>8304646460</v>
      </c>
      <c r="T376" s="124">
        <f>SUM(F375:F376)</f>
        <v>4874312770</v>
      </c>
      <c r="U376" s="124">
        <f>SUM(J375:J376)</f>
        <v>26845994.149999999</v>
      </c>
      <c r="W376" s="124">
        <f t="shared" si="80"/>
        <v>4855675.8125</v>
      </c>
      <c r="X376">
        <f t="shared" si="77"/>
        <v>0</v>
      </c>
    </row>
    <row r="377" spans="1:24">
      <c r="A377" s="23" t="s">
        <v>389</v>
      </c>
      <c r="B377" s="37" t="s">
        <v>552</v>
      </c>
      <c r="C377" s="97">
        <v>49508</v>
      </c>
      <c r="D377" s="132">
        <v>7285257866</v>
      </c>
      <c r="E377" s="116">
        <f t="shared" si="81"/>
        <v>147153.14425951362</v>
      </c>
      <c r="F377" s="134">
        <v>3900245086</v>
      </c>
      <c r="G377" s="117">
        <f t="shared" si="82"/>
        <v>78780.097883170398</v>
      </c>
      <c r="H377" s="7"/>
      <c r="I377" s="136">
        <v>6.9</v>
      </c>
      <c r="J377" s="134">
        <v>26911691.093400002</v>
      </c>
      <c r="K377" s="120">
        <f t="shared" si="83"/>
        <v>543.58267539387577</v>
      </c>
      <c r="L377" s="122">
        <f t="shared" si="74"/>
        <v>39002450.859999999</v>
      </c>
      <c r="M377" s="116">
        <f t="shared" si="75"/>
        <v>12090759.766599998</v>
      </c>
      <c r="N377" s="123">
        <f t="shared" si="76"/>
        <v>244.21830343782818</v>
      </c>
      <c r="O377" s="5"/>
      <c r="P377" s="5">
        <f t="shared" si="78"/>
        <v>1</v>
      </c>
      <c r="Q377" s="7">
        <f t="shared" si="79"/>
        <v>49508</v>
      </c>
      <c r="W377" s="124">
        <f t="shared" si="80"/>
        <v>26911691.093400002</v>
      </c>
      <c r="X377">
        <f t="shared" si="77"/>
        <v>0</v>
      </c>
    </row>
    <row r="378" spans="1:24">
      <c r="A378" s="24" t="s">
        <v>553</v>
      </c>
      <c r="B378" s="37" t="s">
        <v>552</v>
      </c>
      <c r="C378" s="97">
        <v>239653</v>
      </c>
      <c r="D378" s="132">
        <v>37657709101</v>
      </c>
      <c r="E378" s="116">
        <f>(D378/C378)</f>
        <v>157134.31127922455</v>
      </c>
      <c r="F378" s="134">
        <v>19779356863</v>
      </c>
      <c r="G378" s="117">
        <f t="shared" si="82"/>
        <v>82533.316349054672</v>
      </c>
      <c r="H378" s="7"/>
      <c r="I378" s="136">
        <v>4.7057000000000002</v>
      </c>
      <c r="J378" s="134">
        <v>93075719.590219095</v>
      </c>
      <c r="K378" s="120">
        <f t="shared" si="83"/>
        <v>388.37702674374657</v>
      </c>
      <c r="L378" s="122">
        <f t="shared" si="74"/>
        <v>197793568.63</v>
      </c>
      <c r="M378" s="116">
        <f t="shared" si="75"/>
        <v>104717849.0397809</v>
      </c>
      <c r="N378" s="123">
        <f t="shared" si="76"/>
        <v>436.95613674680015</v>
      </c>
      <c r="O378" s="5"/>
      <c r="P378" s="5">
        <f t="shared" si="78"/>
        <v>1</v>
      </c>
      <c r="Q378" s="7">
        <f t="shared" si="79"/>
        <v>239653</v>
      </c>
      <c r="W378" s="124">
        <f t="shared" si="80"/>
        <v>93075719.59021911</v>
      </c>
      <c r="X378">
        <f t="shared" si="77"/>
        <v>0</v>
      </c>
    </row>
    <row r="379" spans="1:24">
      <c r="A379" s="24" t="s">
        <v>554</v>
      </c>
      <c r="B379" s="37" t="s">
        <v>552</v>
      </c>
      <c r="C379" s="97">
        <v>621</v>
      </c>
      <c r="D379" s="132">
        <v>178066745</v>
      </c>
      <c r="E379" s="116">
        <f t="shared" si="81"/>
        <v>286741.94041867956</v>
      </c>
      <c r="F379" s="134">
        <v>99208190</v>
      </c>
      <c r="G379" s="117">
        <f t="shared" si="82"/>
        <v>159755.53945249598</v>
      </c>
      <c r="H379" s="7"/>
      <c r="I379" s="136">
        <v>1.7450000000000001</v>
      </c>
      <c r="J379" s="134">
        <v>173118.29155000002</v>
      </c>
      <c r="K379" s="120">
        <f t="shared" si="83"/>
        <v>278.77341634460549</v>
      </c>
      <c r="L379" s="122">
        <f t="shared" si="74"/>
        <v>992081.9</v>
      </c>
      <c r="M379" s="116">
        <f t="shared" si="75"/>
        <v>818963.60844999994</v>
      </c>
      <c r="N379" s="123">
        <f t="shared" si="76"/>
        <v>1318.7819781803541</v>
      </c>
      <c r="O379" s="5"/>
      <c r="P379" s="5">
        <f t="shared" si="78"/>
        <v>1</v>
      </c>
      <c r="Q379" s="7">
        <f t="shared" si="79"/>
        <v>621</v>
      </c>
      <c r="S379" s="124">
        <f>SUM(D377:D379)</f>
        <v>45121033712</v>
      </c>
      <c r="T379" s="124">
        <f>SUM(F377:F379)</f>
        <v>23778810139</v>
      </c>
      <c r="U379" s="124">
        <f>SUM(J377:J379)</f>
        <v>120160528.97516909</v>
      </c>
      <c r="W379" s="124">
        <f t="shared" si="80"/>
        <v>173118.29154999999</v>
      </c>
      <c r="X379">
        <f t="shared" si="77"/>
        <v>0</v>
      </c>
    </row>
    <row r="380" spans="1:24">
      <c r="A380" s="23" t="s">
        <v>404</v>
      </c>
      <c r="B380" s="35" t="s">
        <v>405</v>
      </c>
      <c r="C380" s="97">
        <v>3523</v>
      </c>
      <c r="D380" s="132">
        <v>329374020</v>
      </c>
      <c r="E380" s="116">
        <f t="shared" si="81"/>
        <v>93492.48367868294</v>
      </c>
      <c r="F380" s="134">
        <v>214307040</v>
      </c>
      <c r="G380" s="117">
        <f t="shared" si="82"/>
        <v>60830.837354527393</v>
      </c>
      <c r="H380" s="9"/>
      <c r="I380" s="136">
        <v>3.5691999999999999</v>
      </c>
      <c r="J380" s="134">
        <v>764904.68716800003</v>
      </c>
      <c r="K380" s="120">
        <f t="shared" si="83"/>
        <v>217.11742468577918</v>
      </c>
      <c r="L380" s="122">
        <f t="shared" si="74"/>
        <v>2143070.4</v>
      </c>
      <c r="M380" s="116">
        <f t="shared" si="75"/>
        <v>1378165.7128319999</v>
      </c>
      <c r="N380" s="123">
        <f t="shared" si="76"/>
        <v>391.19094885949471</v>
      </c>
      <c r="O380" s="5"/>
      <c r="P380" s="5">
        <f t="shared" si="78"/>
        <v>1</v>
      </c>
      <c r="Q380" s="7">
        <f t="shared" si="79"/>
        <v>3523</v>
      </c>
      <c r="W380" s="124">
        <f t="shared" si="80"/>
        <v>764904.68716799992</v>
      </c>
      <c r="X380">
        <f t="shared" si="77"/>
        <v>0</v>
      </c>
    </row>
    <row r="381" spans="1:24">
      <c r="A381" s="23" t="s">
        <v>406</v>
      </c>
      <c r="B381" s="35" t="s">
        <v>405</v>
      </c>
      <c r="C381" s="97">
        <v>868</v>
      </c>
      <c r="D381" s="132">
        <v>75387456</v>
      </c>
      <c r="E381" s="116">
        <f t="shared" si="81"/>
        <v>86851.907834101381</v>
      </c>
      <c r="F381" s="134">
        <v>46523006</v>
      </c>
      <c r="G381" s="117">
        <f t="shared" si="82"/>
        <v>53597.933179723499</v>
      </c>
      <c r="H381" s="9"/>
      <c r="I381" s="136">
        <v>4.0999999999999996</v>
      </c>
      <c r="J381" s="134">
        <v>190744.32459999999</v>
      </c>
      <c r="K381" s="120">
        <f t="shared" si="83"/>
        <v>219.75152603686635</v>
      </c>
      <c r="L381" s="122">
        <f t="shared" si="74"/>
        <v>465230.06</v>
      </c>
      <c r="M381" s="116">
        <f t="shared" si="75"/>
        <v>274485.73540000001</v>
      </c>
      <c r="N381" s="123">
        <f t="shared" si="76"/>
        <v>316.22780576036865</v>
      </c>
      <c r="O381" s="5"/>
      <c r="P381" s="5">
        <f t="shared" si="78"/>
        <v>1</v>
      </c>
      <c r="Q381" s="7">
        <f t="shared" si="79"/>
        <v>868</v>
      </c>
      <c r="W381" s="124">
        <f t="shared" si="80"/>
        <v>190744.32459999996</v>
      </c>
      <c r="X381">
        <f t="shared" si="77"/>
        <v>0</v>
      </c>
    </row>
    <row r="382" spans="1:24">
      <c r="A382" s="23" t="s">
        <v>407</v>
      </c>
      <c r="B382" s="35" t="s">
        <v>405</v>
      </c>
      <c r="C382" s="97">
        <v>641</v>
      </c>
      <c r="D382" s="147">
        <v>52743348</v>
      </c>
      <c r="E382" s="116">
        <f t="shared" si="81"/>
        <v>82282.914196567857</v>
      </c>
      <c r="F382" s="134">
        <v>29816100</v>
      </c>
      <c r="G382" s="117">
        <f t="shared" si="82"/>
        <v>46514.976599063964</v>
      </c>
      <c r="H382" s="98"/>
      <c r="I382" s="136">
        <v>3.4037000000000002</v>
      </c>
      <c r="J382" s="134">
        <v>101485.05957000001</v>
      </c>
      <c r="K382" s="120">
        <f t="shared" si="83"/>
        <v>158.32302585023402</v>
      </c>
      <c r="L382" s="122">
        <f t="shared" si="74"/>
        <v>298161</v>
      </c>
      <c r="M382" s="116">
        <f t="shared" si="75"/>
        <v>196675.94042999999</v>
      </c>
      <c r="N382" s="123">
        <f t="shared" si="76"/>
        <v>306.8267401404056</v>
      </c>
      <c r="O382" s="5"/>
      <c r="P382" s="5">
        <f t="shared" si="78"/>
        <v>1</v>
      </c>
      <c r="Q382" s="7">
        <f t="shared" si="79"/>
        <v>641</v>
      </c>
      <c r="W382" s="124">
        <f t="shared" si="80"/>
        <v>101485.05957</v>
      </c>
      <c r="X382">
        <f t="shared" si="77"/>
        <v>0</v>
      </c>
    </row>
    <row r="383" spans="1:24">
      <c r="A383" s="23" t="s">
        <v>408</v>
      </c>
      <c r="B383" s="35" t="s">
        <v>405</v>
      </c>
      <c r="C383" s="97">
        <v>948</v>
      </c>
      <c r="D383" s="132">
        <v>58214464</v>
      </c>
      <c r="E383" s="116">
        <f t="shared" si="81"/>
        <v>61407.662447257382</v>
      </c>
      <c r="F383" s="134">
        <v>40270809</v>
      </c>
      <c r="G383" s="117">
        <f t="shared" si="82"/>
        <v>42479.756329113923</v>
      </c>
      <c r="H383" s="7"/>
      <c r="I383" s="150">
        <v>8</v>
      </c>
      <c r="J383" s="134">
        <v>322166.47200000001</v>
      </c>
      <c r="K383" s="120">
        <f t="shared" si="83"/>
        <v>339.8380506329114</v>
      </c>
      <c r="L383" s="122">
        <f t="shared" si="74"/>
        <v>402708.09</v>
      </c>
      <c r="M383" s="116">
        <f t="shared" si="75"/>
        <v>80541.618000000017</v>
      </c>
      <c r="N383" s="123">
        <f t="shared" si="76"/>
        <v>84.959512658227865</v>
      </c>
      <c r="O383" s="5"/>
      <c r="P383" s="5">
        <f t="shared" si="78"/>
        <v>1</v>
      </c>
      <c r="Q383" s="7">
        <f t="shared" si="79"/>
        <v>948</v>
      </c>
      <c r="W383" s="124">
        <f t="shared" si="80"/>
        <v>322166.47200000001</v>
      </c>
      <c r="X383">
        <f t="shared" si="77"/>
        <v>0</v>
      </c>
    </row>
    <row r="384" spans="1:24">
      <c r="A384" s="23" t="s">
        <v>409</v>
      </c>
      <c r="B384" s="35" t="s">
        <v>405</v>
      </c>
      <c r="C384" s="97">
        <v>30327</v>
      </c>
      <c r="D384" s="132">
        <v>7937363307</v>
      </c>
      <c r="E384" s="116">
        <f t="shared" si="81"/>
        <v>261725.9638935602</v>
      </c>
      <c r="F384" s="134">
        <v>6038604836</v>
      </c>
      <c r="G384" s="117">
        <f t="shared" si="82"/>
        <v>199116.45846935073</v>
      </c>
      <c r="H384" s="7"/>
      <c r="I384" s="136">
        <v>2.8287</v>
      </c>
      <c r="J384" s="154">
        <v>17081401.499593202</v>
      </c>
      <c r="K384" s="120">
        <f t="shared" si="83"/>
        <v>563.24072607225253</v>
      </c>
      <c r="L384" s="122">
        <f t="shared" si="74"/>
        <v>60386048.359999999</v>
      </c>
      <c r="M384" s="116">
        <f t="shared" si="75"/>
        <v>43304646.860406801</v>
      </c>
      <c r="N384" s="123">
        <f t="shared" si="76"/>
        <v>1427.923858621255</v>
      </c>
      <c r="O384" s="5"/>
      <c r="P384" s="5">
        <f t="shared" si="78"/>
        <v>1</v>
      </c>
      <c r="Q384" s="7">
        <f t="shared" si="79"/>
        <v>30327</v>
      </c>
      <c r="S384" s="124">
        <f>SUM(D380:D384)</f>
        <v>8453082595</v>
      </c>
      <c r="T384" s="124">
        <f>SUM(F380:F384)</f>
        <v>6369521791</v>
      </c>
      <c r="U384" s="124">
        <f>SUM(J380:J384)</f>
        <v>18460702.042931203</v>
      </c>
      <c r="W384" s="124">
        <f t="shared" si="80"/>
        <v>17081401.499593198</v>
      </c>
      <c r="X384">
        <f t="shared" si="77"/>
        <v>0</v>
      </c>
    </row>
    <row r="385" spans="1:24">
      <c r="A385" s="23" t="s">
        <v>410</v>
      </c>
      <c r="B385" s="35" t="s">
        <v>411</v>
      </c>
      <c r="C385" s="97">
        <v>756</v>
      </c>
      <c r="D385" s="132">
        <v>59426681</v>
      </c>
      <c r="E385" s="116">
        <f t="shared" si="81"/>
        <v>78606.720899470893</v>
      </c>
      <c r="F385" s="134">
        <v>35474695</v>
      </c>
      <c r="G385" s="117">
        <f t="shared" si="82"/>
        <v>46924.199735449736</v>
      </c>
      <c r="H385" s="7"/>
      <c r="I385" s="136">
        <v>7.5</v>
      </c>
      <c r="J385" s="134">
        <v>266060.21250000002</v>
      </c>
      <c r="K385" s="120">
        <f t="shared" si="83"/>
        <v>351.93149801587305</v>
      </c>
      <c r="L385" s="122">
        <f t="shared" si="74"/>
        <v>354746.95</v>
      </c>
      <c r="M385" s="116">
        <f t="shared" si="75"/>
        <v>88686.737499999988</v>
      </c>
      <c r="N385" s="123">
        <f t="shared" si="76"/>
        <v>117.31049933862433</v>
      </c>
      <c r="O385" s="5"/>
      <c r="P385" s="5">
        <f t="shared" si="78"/>
        <v>1</v>
      </c>
      <c r="Q385" s="7">
        <f t="shared" si="79"/>
        <v>756</v>
      </c>
      <c r="W385" s="124">
        <f t="shared" si="80"/>
        <v>266060.21249999997</v>
      </c>
      <c r="X385">
        <f t="shared" si="77"/>
        <v>0</v>
      </c>
    </row>
    <row r="386" spans="1:24">
      <c r="A386" s="23" t="s">
        <v>412</v>
      </c>
      <c r="B386" s="35" t="s">
        <v>411</v>
      </c>
      <c r="C386" s="97">
        <v>6889</v>
      </c>
      <c r="D386" s="132">
        <v>510188935</v>
      </c>
      <c r="E386" s="116">
        <f t="shared" si="81"/>
        <v>74058.489621135144</v>
      </c>
      <c r="F386" s="134">
        <v>326006339</v>
      </c>
      <c r="G386" s="117">
        <f t="shared" si="82"/>
        <v>47322.737552620121</v>
      </c>
      <c r="H386" s="7"/>
      <c r="I386" s="136">
        <v>9.5</v>
      </c>
      <c r="J386" s="134">
        <v>3097060.2204999998</v>
      </c>
      <c r="K386" s="120">
        <f t="shared" si="83"/>
        <v>449.56600674989113</v>
      </c>
      <c r="L386" s="122">
        <f t="shared" si="74"/>
        <v>3260063.39</v>
      </c>
      <c r="M386" s="116">
        <f t="shared" si="75"/>
        <v>163003.16950000031</v>
      </c>
      <c r="N386" s="123">
        <f t="shared" si="76"/>
        <v>23.661368776310105</v>
      </c>
      <c r="O386" s="5"/>
      <c r="P386" s="5">
        <f t="shared" si="78"/>
        <v>1</v>
      </c>
      <c r="Q386" s="7">
        <f t="shared" si="79"/>
        <v>6889</v>
      </c>
      <c r="S386" s="124">
        <f>SUM(D385:D386)</f>
        <v>569615616</v>
      </c>
      <c r="T386" s="124">
        <f>SUM(F385:F386)</f>
        <v>361481034</v>
      </c>
      <c r="U386" s="124">
        <f>SUM(J385:J386)</f>
        <v>3363120.4329999997</v>
      </c>
      <c r="W386" s="124">
        <f t="shared" si="80"/>
        <v>3097060.2204999998</v>
      </c>
      <c r="X386">
        <f t="shared" si="77"/>
        <v>0</v>
      </c>
    </row>
    <row r="387" spans="1:24">
      <c r="A387" s="23" t="s">
        <v>413</v>
      </c>
      <c r="B387" s="35" t="s">
        <v>414</v>
      </c>
      <c r="C387" s="97">
        <v>7006</v>
      </c>
      <c r="D387" s="132">
        <v>647896435</v>
      </c>
      <c r="E387" s="116">
        <f t="shared" si="81"/>
        <v>92477.367256637168</v>
      </c>
      <c r="F387" s="134">
        <v>346680905</v>
      </c>
      <c r="G387" s="117">
        <f t="shared" si="82"/>
        <v>49483.429203539825</v>
      </c>
      <c r="H387" s="9"/>
      <c r="I387" s="136">
        <v>5.9431000000000003</v>
      </c>
      <c r="J387" s="134">
        <v>2060359.2865055001</v>
      </c>
      <c r="K387" s="120">
        <f t="shared" si="83"/>
        <v>294.08496809955756</v>
      </c>
      <c r="L387" s="122">
        <f t="shared" si="74"/>
        <v>3466809.0500000003</v>
      </c>
      <c r="M387" s="116">
        <f t="shared" si="75"/>
        <v>1406449.7634945002</v>
      </c>
      <c r="N387" s="123">
        <f t="shared" si="76"/>
        <v>200.74932393584075</v>
      </c>
      <c r="O387" s="5"/>
      <c r="P387" s="5">
        <f t="shared" si="78"/>
        <v>1</v>
      </c>
      <c r="Q387" s="7">
        <f t="shared" si="79"/>
        <v>7006</v>
      </c>
      <c r="S387" s="124">
        <f>SUM(D387)</f>
        <v>647896435</v>
      </c>
      <c r="T387" s="124">
        <f>SUM(F387)</f>
        <v>346680905</v>
      </c>
      <c r="U387" s="124">
        <f>SUM(J387)</f>
        <v>2060359.2865055001</v>
      </c>
      <c r="W387" s="124">
        <f t="shared" si="80"/>
        <v>2060359.2865055003</v>
      </c>
      <c r="X387">
        <f t="shared" si="77"/>
        <v>0</v>
      </c>
    </row>
    <row r="388" spans="1:24">
      <c r="A388" s="23" t="s">
        <v>415</v>
      </c>
      <c r="B388" s="35" t="s">
        <v>416</v>
      </c>
      <c r="C388" s="97">
        <v>2001</v>
      </c>
      <c r="D388" s="132">
        <v>100075703</v>
      </c>
      <c r="E388" s="116">
        <f t="shared" si="81"/>
        <v>50012.845077461272</v>
      </c>
      <c r="F388" s="134">
        <v>47568246</v>
      </c>
      <c r="G388" s="117">
        <f t="shared" si="82"/>
        <v>23772.23688155922</v>
      </c>
      <c r="H388" s="9"/>
      <c r="I388" s="136">
        <v>3.25</v>
      </c>
      <c r="J388" s="134">
        <v>154596.79949999999</v>
      </c>
      <c r="K388" s="120">
        <f t="shared" si="83"/>
        <v>77.259769865067469</v>
      </c>
      <c r="L388" s="122">
        <f t="shared" si="74"/>
        <v>475682.46</v>
      </c>
      <c r="M388" s="116">
        <f t="shared" si="75"/>
        <v>321085.6605</v>
      </c>
      <c r="N388" s="123">
        <f t="shared" si="76"/>
        <v>160.46259895052475</v>
      </c>
      <c r="O388" s="5"/>
      <c r="P388" s="5">
        <f t="shared" si="78"/>
        <v>1</v>
      </c>
      <c r="Q388" s="7">
        <f t="shared" si="79"/>
        <v>2001</v>
      </c>
      <c r="W388" s="124">
        <f t="shared" si="80"/>
        <v>154596.79949999999</v>
      </c>
      <c r="X388">
        <f t="shared" si="77"/>
        <v>0</v>
      </c>
    </row>
    <row r="389" spans="1:24">
      <c r="A389" s="23" t="s">
        <v>417</v>
      </c>
      <c r="B389" s="35" t="s">
        <v>416</v>
      </c>
      <c r="C389" s="97">
        <v>240</v>
      </c>
      <c r="D389" s="147" t="s">
        <v>564</v>
      </c>
      <c r="E389" s="116"/>
      <c r="F389" s="134"/>
      <c r="G389" s="117"/>
      <c r="H389" s="98" t="s">
        <v>588</v>
      </c>
      <c r="I389" s="136"/>
      <c r="J389" s="134"/>
      <c r="K389" s="120"/>
      <c r="L389" s="122">
        <f t="shared" si="74"/>
        <v>0</v>
      </c>
      <c r="M389" s="116">
        <f t="shared" si="75"/>
        <v>0</v>
      </c>
      <c r="N389" s="123">
        <f t="shared" si="76"/>
        <v>0</v>
      </c>
      <c r="O389" s="5"/>
      <c r="P389" s="5">
        <f t="shared" si="78"/>
        <v>0</v>
      </c>
      <c r="Q389" s="7">
        <f t="shared" si="79"/>
        <v>0</v>
      </c>
      <c r="W389" s="124">
        <f t="shared" si="80"/>
        <v>0</v>
      </c>
      <c r="X389">
        <f t="shared" si="77"/>
        <v>0</v>
      </c>
    </row>
    <row r="390" spans="1:24">
      <c r="A390" s="23" t="s">
        <v>418</v>
      </c>
      <c r="B390" s="35" t="s">
        <v>416</v>
      </c>
      <c r="C390" s="97">
        <v>458</v>
      </c>
      <c r="D390" s="132">
        <v>18561597</v>
      </c>
      <c r="E390" s="116">
        <f t="shared" ref="E390:E406" si="84">(D390/C390)</f>
        <v>40527.504366812223</v>
      </c>
      <c r="F390" s="134">
        <v>10638104</v>
      </c>
      <c r="G390" s="117">
        <f t="shared" ref="G390:G406" si="85">(F390/C390)</f>
        <v>23227.301310043669</v>
      </c>
      <c r="H390" s="98"/>
      <c r="I390" s="150">
        <v>2</v>
      </c>
      <c r="J390" s="134">
        <v>21276.207999999999</v>
      </c>
      <c r="K390" s="120">
        <f t="shared" si="83"/>
        <v>46.454602620087336</v>
      </c>
      <c r="L390" s="122">
        <f t="shared" ref="L390:L416" si="86">(F390*0.01)</f>
        <v>106381.04000000001</v>
      </c>
      <c r="M390" s="116">
        <f t="shared" ref="M390:M416" si="87">(L390-J390)</f>
        <v>85104.832000000009</v>
      </c>
      <c r="N390" s="123">
        <f t="shared" ref="N390:N416" si="88">(M390/C390)</f>
        <v>185.81841048034937</v>
      </c>
      <c r="O390" s="5"/>
      <c r="P390" s="5">
        <f t="shared" si="78"/>
        <v>1</v>
      </c>
      <c r="Q390" s="7">
        <f t="shared" si="79"/>
        <v>458</v>
      </c>
      <c r="S390" s="124">
        <f>SUM(D388:D390)</f>
        <v>118637300</v>
      </c>
      <c r="T390" s="124">
        <f>SUM(F388:F390)</f>
        <v>58206350</v>
      </c>
      <c r="U390" s="124">
        <f>SUM(J388:J390)</f>
        <v>175873.00750000001</v>
      </c>
      <c r="W390" s="124">
        <f t="shared" si="80"/>
        <v>21276.207999999999</v>
      </c>
      <c r="X390">
        <f t="shared" si="77"/>
        <v>0</v>
      </c>
    </row>
    <row r="391" spans="1:24">
      <c r="A391" s="23" t="s">
        <v>419</v>
      </c>
      <c r="B391" s="35" t="s">
        <v>420</v>
      </c>
      <c r="C391" s="97">
        <v>80940</v>
      </c>
      <c r="D391" s="132">
        <v>14289726129</v>
      </c>
      <c r="E391" s="116">
        <f t="shared" si="84"/>
        <v>176547.1476278725</v>
      </c>
      <c r="F391" s="134">
        <v>8491498617</v>
      </c>
      <c r="G391" s="117">
        <f t="shared" si="85"/>
        <v>104911.0281319496</v>
      </c>
      <c r="H391" s="7"/>
      <c r="I391" s="136">
        <v>5.43</v>
      </c>
      <c r="J391" s="134">
        <v>46108837.490309998</v>
      </c>
      <c r="K391" s="120">
        <f t="shared" ref="K391:K406" si="89">(J391/C391)</f>
        <v>569.6668827564863</v>
      </c>
      <c r="L391" s="122">
        <f t="shared" si="86"/>
        <v>84914986.170000002</v>
      </c>
      <c r="M391" s="116">
        <f t="shared" si="87"/>
        <v>38806148.679690003</v>
      </c>
      <c r="N391" s="123">
        <f t="shared" si="88"/>
        <v>479.44339856300968</v>
      </c>
      <c r="O391" s="5"/>
      <c r="P391" s="5">
        <f t="shared" si="78"/>
        <v>1</v>
      </c>
      <c r="Q391" s="7">
        <f t="shared" si="79"/>
        <v>80940</v>
      </c>
      <c r="W391" s="124">
        <f t="shared" si="80"/>
        <v>46108837.490309998</v>
      </c>
      <c r="X391">
        <f t="shared" ref="X391:X416" si="90">IF(W391=J391,0,1)</f>
        <v>0</v>
      </c>
    </row>
    <row r="392" spans="1:24">
      <c r="A392" s="23" t="s">
        <v>421</v>
      </c>
      <c r="B392" s="35" t="s">
        <v>420</v>
      </c>
      <c r="C392" s="97">
        <v>5262</v>
      </c>
      <c r="D392" s="132">
        <v>2574670794</v>
      </c>
      <c r="E392" s="116">
        <f t="shared" si="84"/>
        <v>489295.09578107181</v>
      </c>
      <c r="F392" s="134">
        <v>2042301110</v>
      </c>
      <c r="G392" s="117">
        <f t="shared" si="85"/>
        <v>388122.59787153173</v>
      </c>
      <c r="H392" s="7"/>
      <c r="I392" s="136">
        <v>4.5880000000000001</v>
      </c>
      <c r="J392" s="134">
        <v>9370077.4926800001</v>
      </c>
      <c r="K392" s="120">
        <f t="shared" si="89"/>
        <v>1780.7064790345876</v>
      </c>
      <c r="L392" s="122">
        <f t="shared" si="86"/>
        <v>20423011.100000001</v>
      </c>
      <c r="M392" s="116">
        <f t="shared" si="87"/>
        <v>11052933.607320001</v>
      </c>
      <c r="N392" s="123">
        <f t="shared" si="88"/>
        <v>2100.51949968073</v>
      </c>
      <c r="O392" s="5"/>
      <c r="P392" s="5">
        <f t="shared" ref="P392:P416" si="91">IF(I392&gt;0,1,0)</f>
        <v>1</v>
      </c>
      <c r="Q392" s="7">
        <f t="shared" ref="Q392:Q416" si="92">IF(I392&gt;0,C392,0)</f>
        <v>5262</v>
      </c>
      <c r="W392" s="124">
        <f t="shared" ref="W392:W416" si="93">F392*(I392/1000)</f>
        <v>9370077.4926800001</v>
      </c>
      <c r="X392">
        <f t="shared" si="90"/>
        <v>0</v>
      </c>
    </row>
    <row r="393" spans="1:24">
      <c r="A393" s="23" t="s">
        <v>462</v>
      </c>
      <c r="B393" s="35" t="s">
        <v>420</v>
      </c>
      <c r="C393" s="97">
        <v>23750</v>
      </c>
      <c r="D393" s="132">
        <v>4732813685</v>
      </c>
      <c r="E393" s="116">
        <f t="shared" si="84"/>
        <v>199276.36568421053</v>
      </c>
      <c r="F393" s="134">
        <v>2941965746</v>
      </c>
      <c r="G393" s="117">
        <f t="shared" si="85"/>
        <v>123872.24193684211</v>
      </c>
      <c r="H393" s="7"/>
      <c r="I393" s="136">
        <v>2.9247000000000001</v>
      </c>
      <c r="J393" s="134">
        <v>8604367.2173261996</v>
      </c>
      <c r="K393" s="120">
        <f t="shared" si="89"/>
        <v>362.28914599268211</v>
      </c>
      <c r="L393" s="122">
        <f t="shared" si="86"/>
        <v>29419657.460000001</v>
      </c>
      <c r="M393" s="116">
        <f t="shared" si="87"/>
        <v>20815290.242673799</v>
      </c>
      <c r="N393" s="123">
        <f t="shared" si="88"/>
        <v>876.43327337573896</v>
      </c>
      <c r="O393" s="5"/>
      <c r="P393" s="5">
        <f t="shared" si="91"/>
        <v>1</v>
      </c>
      <c r="Q393" s="7">
        <f t="shared" si="92"/>
        <v>23750</v>
      </c>
      <c r="W393" s="124">
        <f t="shared" si="93"/>
        <v>8604367.2173261996</v>
      </c>
      <c r="X393">
        <f t="shared" si="90"/>
        <v>0</v>
      </c>
    </row>
    <row r="394" spans="1:24">
      <c r="A394" s="23" t="s">
        <v>463</v>
      </c>
      <c r="B394" s="35" t="s">
        <v>420</v>
      </c>
      <c r="C394" s="97">
        <v>41264</v>
      </c>
      <c r="D394" s="132">
        <v>5560895016</v>
      </c>
      <c r="E394" s="116">
        <f t="shared" si="84"/>
        <v>134763.83811554866</v>
      </c>
      <c r="F394" s="134">
        <v>3052503838</v>
      </c>
      <c r="G394" s="117">
        <f t="shared" si="85"/>
        <v>73974.986380379996</v>
      </c>
      <c r="H394" s="7"/>
      <c r="I394" s="136">
        <v>6.4840999999999998</v>
      </c>
      <c r="J394" s="134">
        <v>19792740.1359758</v>
      </c>
      <c r="K394" s="120">
        <f t="shared" si="89"/>
        <v>479.66120918902192</v>
      </c>
      <c r="L394" s="122">
        <f t="shared" si="86"/>
        <v>30525038.379999999</v>
      </c>
      <c r="M394" s="116">
        <f t="shared" si="87"/>
        <v>10732298.244024199</v>
      </c>
      <c r="N394" s="123">
        <f t="shared" si="88"/>
        <v>260.08865461477797</v>
      </c>
      <c r="O394" s="5"/>
      <c r="P394" s="5">
        <f t="shared" si="91"/>
        <v>1</v>
      </c>
      <c r="Q394" s="7">
        <f t="shared" si="92"/>
        <v>41264</v>
      </c>
      <c r="W394" s="124">
        <f t="shared" si="93"/>
        <v>19792740.1359758</v>
      </c>
      <c r="X394">
        <f t="shared" si="90"/>
        <v>0</v>
      </c>
    </row>
    <row r="395" spans="1:24">
      <c r="A395" s="23" t="s">
        <v>422</v>
      </c>
      <c r="B395" s="35" t="s">
        <v>420</v>
      </c>
      <c r="C395" s="97">
        <v>97337</v>
      </c>
      <c r="D395" s="132">
        <v>10389062725</v>
      </c>
      <c r="E395" s="116">
        <f t="shared" si="84"/>
        <v>106732.92504391957</v>
      </c>
      <c r="F395" s="134">
        <v>4594653433</v>
      </c>
      <c r="G395" s="117">
        <f t="shared" si="85"/>
        <v>47203.565273226006</v>
      </c>
      <c r="H395" s="7"/>
      <c r="I395" s="136">
        <v>7.35</v>
      </c>
      <c r="J395" s="134">
        <v>33770702.732550003</v>
      </c>
      <c r="K395" s="120">
        <f t="shared" si="89"/>
        <v>346.94620475821119</v>
      </c>
      <c r="L395" s="122">
        <f t="shared" si="86"/>
        <v>45946534.329999998</v>
      </c>
      <c r="M395" s="116">
        <f t="shared" si="87"/>
        <v>12175831.597449996</v>
      </c>
      <c r="N395" s="123">
        <f t="shared" si="88"/>
        <v>125.08944797404888</v>
      </c>
      <c r="O395" s="5"/>
      <c r="P395" s="5">
        <f t="shared" si="91"/>
        <v>1</v>
      </c>
      <c r="Q395" s="7">
        <f t="shared" si="92"/>
        <v>97337</v>
      </c>
      <c r="W395" s="124">
        <f t="shared" si="93"/>
        <v>33770702.732549995</v>
      </c>
      <c r="X395">
        <f t="shared" si="90"/>
        <v>0</v>
      </c>
    </row>
    <row r="396" spans="1:24">
      <c r="A396" s="23" t="s">
        <v>423</v>
      </c>
      <c r="B396" s="35" t="s">
        <v>420</v>
      </c>
      <c r="C396" s="97">
        <v>24334</v>
      </c>
      <c r="D396" s="132">
        <v>3286576919</v>
      </c>
      <c r="E396" s="116">
        <f t="shared" si="84"/>
        <v>135061.10458617573</v>
      </c>
      <c r="F396" s="134">
        <v>1719653310</v>
      </c>
      <c r="G396" s="117">
        <f t="shared" si="85"/>
        <v>70668.747842524856</v>
      </c>
      <c r="H396" s="7"/>
      <c r="I396" s="136">
        <v>6.33</v>
      </c>
      <c r="J396" s="134">
        <v>10885405.452299999</v>
      </c>
      <c r="K396" s="120">
        <f t="shared" si="89"/>
        <v>447.33317384318235</v>
      </c>
      <c r="L396" s="122">
        <f t="shared" si="86"/>
        <v>17196533.100000001</v>
      </c>
      <c r="M396" s="116">
        <f t="shared" si="87"/>
        <v>6311127.6477000024</v>
      </c>
      <c r="N396" s="123">
        <f t="shared" si="88"/>
        <v>259.35430458206633</v>
      </c>
      <c r="O396" s="5"/>
      <c r="P396" s="5">
        <f t="shared" si="91"/>
        <v>1</v>
      </c>
      <c r="Q396" s="7">
        <f t="shared" si="92"/>
        <v>24334</v>
      </c>
      <c r="W396" s="124">
        <f t="shared" si="93"/>
        <v>10885405.452299999</v>
      </c>
      <c r="X396">
        <f t="shared" si="90"/>
        <v>0</v>
      </c>
    </row>
    <row r="397" spans="1:24">
      <c r="A397" s="23" t="s">
        <v>424</v>
      </c>
      <c r="B397" s="35" t="s">
        <v>420</v>
      </c>
      <c r="C397" s="97">
        <v>13008</v>
      </c>
      <c r="D397" s="132">
        <v>1411092998</v>
      </c>
      <c r="E397" s="116">
        <f t="shared" si="84"/>
        <v>108478.8590098401</v>
      </c>
      <c r="F397" s="134">
        <v>921446258</v>
      </c>
      <c r="G397" s="117">
        <f t="shared" si="85"/>
        <v>70836.889452644522</v>
      </c>
      <c r="H397" s="7"/>
      <c r="I397" s="136">
        <v>5.9</v>
      </c>
      <c r="J397" s="134">
        <v>5436532.9222000008</v>
      </c>
      <c r="K397" s="120">
        <f t="shared" si="89"/>
        <v>417.93764777060278</v>
      </c>
      <c r="L397" s="122">
        <f t="shared" si="86"/>
        <v>9214462.5800000001</v>
      </c>
      <c r="M397" s="116">
        <f t="shared" si="87"/>
        <v>3777929.6577999992</v>
      </c>
      <c r="N397" s="123">
        <f t="shared" si="88"/>
        <v>290.43124675584249</v>
      </c>
      <c r="O397" s="5"/>
      <c r="P397" s="5">
        <f t="shared" si="91"/>
        <v>1</v>
      </c>
      <c r="Q397" s="7">
        <f t="shared" si="92"/>
        <v>13008</v>
      </c>
      <c r="W397" s="124">
        <f t="shared" si="93"/>
        <v>5436532.9222000008</v>
      </c>
      <c r="X397">
        <f t="shared" si="90"/>
        <v>0</v>
      </c>
    </row>
    <row r="398" spans="1:24">
      <c r="A398" s="23" t="s">
        <v>425</v>
      </c>
      <c r="B398" s="35" t="s">
        <v>420</v>
      </c>
      <c r="C398" s="97">
        <v>3015</v>
      </c>
      <c r="D398" s="132">
        <v>366849121</v>
      </c>
      <c r="E398" s="116">
        <f t="shared" si="84"/>
        <v>121674.66699834162</v>
      </c>
      <c r="F398" s="134">
        <v>173235892</v>
      </c>
      <c r="G398" s="117">
        <f t="shared" si="85"/>
        <v>57458.007296849086</v>
      </c>
      <c r="H398" s="7"/>
      <c r="I398" s="136">
        <v>6.5</v>
      </c>
      <c r="J398" s="134">
        <v>1126033.298</v>
      </c>
      <c r="K398" s="120">
        <f t="shared" si="89"/>
        <v>373.47704742951908</v>
      </c>
      <c r="L398" s="122">
        <f t="shared" si="86"/>
        <v>1732358.92</v>
      </c>
      <c r="M398" s="116">
        <f t="shared" si="87"/>
        <v>606325.62199999997</v>
      </c>
      <c r="N398" s="123">
        <f t="shared" si="88"/>
        <v>201.10302553897179</v>
      </c>
      <c r="O398" s="5"/>
      <c r="P398" s="5">
        <f t="shared" si="91"/>
        <v>1</v>
      </c>
      <c r="Q398" s="7">
        <f t="shared" si="92"/>
        <v>3015</v>
      </c>
      <c r="W398" s="124">
        <f t="shared" si="93"/>
        <v>1126033.298</v>
      </c>
      <c r="X398">
        <f t="shared" si="90"/>
        <v>0</v>
      </c>
    </row>
    <row r="399" spans="1:24">
      <c r="A399" s="23" t="s">
        <v>426</v>
      </c>
      <c r="B399" s="35" t="s">
        <v>420</v>
      </c>
      <c r="C399" s="97">
        <v>32131</v>
      </c>
      <c r="D399" s="132">
        <v>10549894644</v>
      </c>
      <c r="E399" s="116">
        <f t="shared" si="84"/>
        <v>328340.06548193336</v>
      </c>
      <c r="F399" s="134">
        <v>6358312061</v>
      </c>
      <c r="G399" s="117">
        <f t="shared" si="85"/>
        <v>197887.15138028696</v>
      </c>
      <c r="H399" s="7"/>
      <c r="I399" s="136">
        <v>4.415</v>
      </c>
      <c r="J399" s="134">
        <v>28071947.749314997</v>
      </c>
      <c r="K399" s="120">
        <f t="shared" si="89"/>
        <v>873.67177334396683</v>
      </c>
      <c r="L399" s="122">
        <f t="shared" si="86"/>
        <v>63583120.609999999</v>
      </c>
      <c r="M399" s="116">
        <f t="shared" si="87"/>
        <v>35511172.860685006</v>
      </c>
      <c r="N399" s="123">
        <f t="shared" si="88"/>
        <v>1105.1997404589029</v>
      </c>
      <c r="O399" s="5"/>
      <c r="P399" s="5">
        <f t="shared" si="91"/>
        <v>1</v>
      </c>
      <c r="Q399" s="7">
        <f t="shared" si="92"/>
        <v>32131</v>
      </c>
      <c r="W399" s="124">
        <f t="shared" si="93"/>
        <v>28071947.749314997</v>
      </c>
      <c r="X399">
        <f t="shared" si="90"/>
        <v>0</v>
      </c>
    </row>
    <row r="400" spans="1:24">
      <c r="A400" s="23" t="s">
        <v>427</v>
      </c>
      <c r="B400" s="35" t="s">
        <v>420</v>
      </c>
      <c r="C400" s="97">
        <v>2065</v>
      </c>
      <c r="D400" s="132">
        <v>404659439</v>
      </c>
      <c r="E400" s="116">
        <f t="shared" si="84"/>
        <v>195960.98740920096</v>
      </c>
      <c r="F400" s="134">
        <v>192442572</v>
      </c>
      <c r="G400" s="117">
        <f t="shared" si="85"/>
        <v>93192.528813559329</v>
      </c>
      <c r="H400" s="7"/>
      <c r="I400" s="136">
        <v>5.6820000000000004</v>
      </c>
      <c r="J400" s="134">
        <v>1093458.694104</v>
      </c>
      <c r="K400" s="120">
        <f t="shared" si="89"/>
        <v>529.51994871864406</v>
      </c>
      <c r="L400" s="122">
        <f t="shared" si="86"/>
        <v>1924425.72</v>
      </c>
      <c r="M400" s="116">
        <f t="shared" si="87"/>
        <v>830967.02589599998</v>
      </c>
      <c r="N400" s="123">
        <f t="shared" si="88"/>
        <v>402.40533941694912</v>
      </c>
      <c r="O400" s="5"/>
      <c r="P400" s="5">
        <f t="shared" si="91"/>
        <v>1</v>
      </c>
      <c r="Q400" s="7">
        <f t="shared" si="92"/>
        <v>2065</v>
      </c>
      <c r="W400" s="124">
        <f t="shared" si="93"/>
        <v>1093458.694104</v>
      </c>
      <c r="X400">
        <f t="shared" si="90"/>
        <v>0</v>
      </c>
    </row>
    <row r="401" spans="1:24">
      <c r="A401" s="23" t="s">
        <v>428</v>
      </c>
      <c r="B401" s="35" t="s">
        <v>420</v>
      </c>
      <c r="C401" s="97">
        <v>14313</v>
      </c>
      <c r="D401" s="132">
        <v>1950289152</v>
      </c>
      <c r="E401" s="116">
        <f t="shared" si="84"/>
        <v>136259.98407042547</v>
      </c>
      <c r="F401" s="134">
        <v>1152262488</v>
      </c>
      <c r="G401" s="117">
        <f t="shared" si="85"/>
        <v>80504.610354223434</v>
      </c>
      <c r="H401" s="7"/>
      <c r="I401" s="136">
        <v>7.1208999999999998</v>
      </c>
      <c r="J401" s="134">
        <v>8205145.9507991998</v>
      </c>
      <c r="K401" s="120">
        <f t="shared" si="89"/>
        <v>573.26527987138968</v>
      </c>
      <c r="L401" s="122">
        <f t="shared" si="86"/>
        <v>11522624.880000001</v>
      </c>
      <c r="M401" s="116">
        <f t="shared" si="87"/>
        <v>3317478.9292008011</v>
      </c>
      <c r="N401" s="123">
        <f t="shared" si="88"/>
        <v>231.78082367084477</v>
      </c>
      <c r="O401" s="5"/>
      <c r="P401" s="5">
        <f t="shared" si="91"/>
        <v>1</v>
      </c>
      <c r="Q401" s="7">
        <f t="shared" si="92"/>
        <v>14313</v>
      </c>
      <c r="W401" s="124">
        <f t="shared" si="93"/>
        <v>8205145.9507991998</v>
      </c>
      <c r="X401">
        <f t="shared" si="90"/>
        <v>0</v>
      </c>
    </row>
    <row r="402" spans="1:24">
      <c r="A402" s="23" t="s">
        <v>429</v>
      </c>
      <c r="B402" s="35" t="s">
        <v>420</v>
      </c>
      <c r="C402" s="97">
        <v>44935</v>
      </c>
      <c r="D402" s="132">
        <v>8359878943</v>
      </c>
      <c r="E402" s="116">
        <f t="shared" si="84"/>
        <v>186043.81758095027</v>
      </c>
      <c r="F402" s="134">
        <v>5049504930</v>
      </c>
      <c r="G402" s="117">
        <f t="shared" si="85"/>
        <v>112373.53799933237</v>
      </c>
      <c r="H402" s="7"/>
      <c r="I402" s="136">
        <v>3.9260000000000002</v>
      </c>
      <c r="J402" s="134">
        <v>19824356.355179999</v>
      </c>
      <c r="K402" s="120">
        <f t="shared" si="89"/>
        <v>441.17851018537885</v>
      </c>
      <c r="L402" s="122">
        <f t="shared" si="86"/>
        <v>50495049.300000004</v>
      </c>
      <c r="M402" s="116">
        <f t="shared" si="87"/>
        <v>30670692.944820005</v>
      </c>
      <c r="N402" s="123">
        <f t="shared" si="88"/>
        <v>682.55686980794496</v>
      </c>
      <c r="O402" s="5"/>
      <c r="P402" s="5">
        <f t="shared" si="91"/>
        <v>1</v>
      </c>
      <c r="Q402" s="7">
        <f t="shared" si="92"/>
        <v>44935</v>
      </c>
      <c r="W402" s="124">
        <f t="shared" si="93"/>
        <v>19824356.355179999</v>
      </c>
      <c r="X402">
        <f t="shared" si="90"/>
        <v>0</v>
      </c>
    </row>
    <row r="403" spans="1:24">
      <c r="A403" s="23" t="s">
        <v>430</v>
      </c>
      <c r="B403" s="35" t="s">
        <v>420</v>
      </c>
      <c r="C403" s="97">
        <v>1560</v>
      </c>
      <c r="D403" s="132">
        <v>215805411</v>
      </c>
      <c r="E403" s="116">
        <f t="shared" si="84"/>
        <v>138336.80192307691</v>
      </c>
      <c r="F403" s="134">
        <v>82714688</v>
      </c>
      <c r="G403" s="117">
        <f t="shared" si="85"/>
        <v>53022.235897435894</v>
      </c>
      <c r="H403" s="7"/>
      <c r="I403" s="136">
        <v>5.2439</v>
      </c>
      <c r="J403" s="134">
        <v>433747.55240319995</v>
      </c>
      <c r="K403" s="120">
        <f t="shared" si="89"/>
        <v>278.04330282256404</v>
      </c>
      <c r="L403" s="122">
        <f t="shared" si="86"/>
        <v>827146.88</v>
      </c>
      <c r="M403" s="116">
        <f t="shared" si="87"/>
        <v>393399.32759680005</v>
      </c>
      <c r="N403" s="123">
        <f t="shared" si="88"/>
        <v>252.1790561517949</v>
      </c>
      <c r="O403" s="5"/>
      <c r="P403" s="5">
        <f t="shared" si="91"/>
        <v>1</v>
      </c>
      <c r="Q403" s="7">
        <f t="shared" si="92"/>
        <v>1560</v>
      </c>
      <c r="W403" s="124">
        <f t="shared" si="93"/>
        <v>433747.55240320001</v>
      </c>
      <c r="X403">
        <f t="shared" si="90"/>
        <v>0</v>
      </c>
    </row>
    <row r="404" spans="1:24">
      <c r="A404" s="23" t="s">
        <v>431</v>
      </c>
      <c r="B404" s="35" t="s">
        <v>420</v>
      </c>
      <c r="C404" s="97">
        <v>3405</v>
      </c>
      <c r="D404" s="132">
        <v>1833614430</v>
      </c>
      <c r="E404" s="116">
        <f t="shared" si="84"/>
        <v>538506.44052863435</v>
      </c>
      <c r="F404" s="134">
        <v>1224076757</v>
      </c>
      <c r="G404" s="117">
        <f t="shared" si="85"/>
        <v>359493.90807635832</v>
      </c>
      <c r="H404" s="7"/>
      <c r="I404" s="136">
        <v>6.2778999999999998</v>
      </c>
      <c r="J404" s="134">
        <v>7684631.4727702998</v>
      </c>
      <c r="K404" s="120">
        <f t="shared" si="89"/>
        <v>2256.8668055125695</v>
      </c>
      <c r="L404" s="122">
        <f t="shared" si="86"/>
        <v>12240767.57</v>
      </c>
      <c r="M404" s="116">
        <f t="shared" si="87"/>
        <v>4556136.0972297005</v>
      </c>
      <c r="N404" s="123">
        <f t="shared" si="88"/>
        <v>1338.0722752510135</v>
      </c>
      <c r="O404" s="5"/>
      <c r="P404" s="5">
        <f t="shared" si="91"/>
        <v>1</v>
      </c>
      <c r="Q404" s="7">
        <f t="shared" si="92"/>
        <v>3405</v>
      </c>
      <c r="W404" s="124">
        <f t="shared" si="93"/>
        <v>7684631.4727702998</v>
      </c>
      <c r="X404">
        <f t="shared" si="90"/>
        <v>0</v>
      </c>
    </row>
    <row r="405" spans="1:24">
      <c r="A405" s="23" t="s">
        <v>432</v>
      </c>
      <c r="B405" s="35" t="s">
        <v>420</v>
      </c>
      <c r="C405" s="97">
        <v>65008</v>
      </c>
      <c r="D405" s="132">
        <v>8815089272</v>
      </c>
      <c r="E405" s="116">
        <f t="shared" si="84"/>
        <v>135600.06879153335</v>
      </c>
      <c r="F405" s="134">
        <v>5053066353</v>
      </c>
      <c r="G405" s="117">
        <f t="shared" si="85"/>
        <v>77729.915595003695</v>
      </c>
      <c r="H405" s="7"/>
      <c r="I405" s="136">
        <v>4.9999000000000002</v>
      </c>
      <c r="J405" s="134">
        <v>25264826.458364699</v>
      </c>
      <c r="K405" s="120">
        <f t="shared" si="89"/>
        <v>388.64180498345894</v>
      </c>
      <c r="L405" s="122">
        <f t="shared" si="86"/>
        <v>50530663.530000001</v>
      </c>
      <c r="M405" s="116">
        <f t="shared" si="87"/>
        <v>25265837.071635302</v>
      </c>
      <c r="N405" s="123">
        <f t="shared" si="88"/>
        <v>388.65735096657801</v>
      </c>
      <c r="O405" s="5"/>
      <c r="P405" s="5">
        <f t="shared" si="91"/>
        <v>1</v>
      </c>
      <c r="Q405" s="7">
        <f t="shared" si="92"/>
        <v>65008</v>
      </c>
      <c r="W405" s="124">
        <f t="shared" si="93"/>
        <v>25264826.458364699</v>
      </c>
      <c r="X405">
        <f t="shared" si="90"/>
        <v>0</v>
      </c>
    </row>
    <row r="406" spans="1:24">
      <c r="A406" s="23" t="s">
        <v>433</v>
      </c>
      <c r="B406" s="35" t="s">
        <v>420</v>
      </c>
      <c r="C406" s="97">
        <v>13449</v>
      </c>
      <c r="D406" s="132">
        <v>1526246865</v>
      </c>
      <c r="E406" s="116">
        <f t="shared" si="84"/>
        <v>113484.04082087887</v>
      </c>
      <c r="F406" s="134">
        <v>918534815</v>
      </c>
      <c r="G406" s="117">
        <f t="shared" si="85"/>
        <v>68297.629191761473</v>
      </c>
      <c r="H406" s="9"/>
      <c r="I406" s="136">
        <v>7.75</v>
      </c>
      <c r="J406" s="134">
        <v>7118644.8162500001</v>
      </c>
      <c r="K406" s="120">
        <f t="shared" si="89"/>
        <v>529.30662623615137</v>
      </c>
      <c r="L406" s="122">
        <f t="shared" si="86"/>
        <v>9185348.1500000004</v>
      </c>
      <c r="M406" s="116">
        <f t="shared" si="87"/>
        <v>2066703.3337500002</v>
      </c>
      <c r="N406" s="123">
        <f t="shared" si="88"/>
        <v>153.66966568146333</v>
      </c>
      <c r="O406" s="5"/>
      <c r="P406" s="5">
        <f t="shared" si="91"/>
        <v>1</v>
      </c>
      <c r="Q406" s="7">
        <f t="shared" si="92"/>
        <v>13449</v>
      </c>
      <c r="S406" s="124">
        <f>SUM(D391:D406)</f>
        <v>76267165543</v>
      </c>
      <c r="T406" s="124">
        <f>SUM(F391:F406)</f>
        <v>43968172868</v>
      </c>
      <c r="U406" s="124">
        <f>SUM(J391:J406)</f>
        <v>232791455.79052836</v>
      </c>
      <c r="W406" s="124">
        <f t="shared" si="93"/>
        <v>7118644.8162500001</v>
      </c>
      <c r="X406">
        <f t="shared" si="90"/>
        <v>0</v>
      </c>
    </row>
    <row r="407" spans="1:24">
      <c r="A407" s="23" t="s">
        <v>435</v>
      </c>
      <c r="B407" s="35" t="s">
        <v>434</v>
      </c>
      <c r="C407" s="97">
        <v>460</v>
      </c>
      <c r="D407" s="147" t="s">
        <v>564</v>
      </c>
      <c r="E407" s="116"/>
      <c r="F407" s="134"/>
      <c r="G407" s="117"/>
      <c r="H407" s="98" t="s">
        <v>588</v>
      </c>
      <c r="I407" s="136"/>
      <c r="J407" s="134"/>
      <c r="K407" s="120"/>
      <c r="L407" s="122">
        <f t="shared" si="86"/>
        <v>0</v>
      </c>
      <c r="M407" s="116">
        <f t="shared" si="87"/>
        <v>0</v>
      </c>
      <c r="N407" s="123">
        <f t="shared" si="88"/>
        <v>0</v>
      </c>
      <c r="O407" s="5"/>
      <c r="P407" s="5">
        <f t="shared" si="91"/>
        <v>0</v>
      </c>
      <c r="Q407" s="7">
        <f t="shared" si="92"/>
        <v>0</v>
      </c>
      <c r="W407" s="124">
        <f t="shared" si="93"/>
        <v>0</v>
      </c>
      <c r="X407">
        <f t="shared" si="90"/>
        <v>0</v>
      </c>
    </row>
    <row r="408" spans="1:24">
      <c r="A408" s="24" t="s">
        <v>555</v>
      </c>
      <c r="B408" s="35" t="s">
        <v>434</v>
      </c>
      <c r="C408" s="97">
        <v>325</v>
      </c>
      <c r="D408" s="132">
        <v>69765519</v>
      </c>
      <c r="E408" s="116">
        <f>(D408/C408)</f>
        <v>214663.13538461539</v>
      </c>
      <c r="F408" s="134">
        <v>38121246</v>
      </c>
      <c r="G408" s="117">
        <f>(F408/C408)</f>
        <v>117296.14153846154</v>
      </c>
      <c r="H408" s="9"/>
      <c r="I408" s="136">
        <v>6</v>
      </c>
      <c r="J408" s="134">
        <v>228727.476</v>
      </c>
      <c r="K408" s="120">
        <f>(J408/C408)</f>
        <v>703.77684923076924</v>
      </c>
      <c r="L408" s="122">
        <f t="shared" si="86"/>
        <v>381212.46</v>
      </c>
      <c r="M408" s="116">
        <f t="shared" si="87"/>
        <v>152484.98400000003</v>
      </c>
      <c r="N408" s="123">
        <f t="shared" si="88"/>
        <v>469.18456615384622</v>
      </c>
      <c r="O408" s="5"/>
      <c r="P408" s="5">
        <f t="shared" si="91"/>
        <v>1</v>
      </c>
      <c r="Q408" s="7">
        <f t="shared" si="92"/>
        <v>325</v>
      </c>
      <c r="S408" s="124">
        <f>SUM(D407:D408)</f>
        <v>69765519</v>
      </c>
      <c r="T408" s="124">
        <f>SUM(F407:F408)</f>
        <v>38121246</v>
      </c>
      <c r="U408" s="124">
        <f>SUM(J407:J408)</f>
        <v>228727.476</v>
      </c>
      <c r="W408" s="124">
        <f t="shared" si="93"/>
        <v>228727.476</v>
      </c>
      <c r="X408">
        <f t="shared" si="90"/>
        <v>0</v>
      </c>
    </row>
    <row r="409" spans="1:24">
      <c r="A409" s="23" t="s">
        <v>436</v>
      </c>
      <c r="B409" s="35" t="s">
        <v>437</v>
      </c>
      <c r="C409" s="97">
        <v>6158</v>
      </c>
      <c r="D409" s="132">
        <v>661274369</v>
      </c>
      <c r="E409" s="116">
        <f>(D409/C409)</f>
        <v>107384.60035725885</v>
      </c>
      <c r="F409" s="134">
        <v>375697589</v>
      </c>
      <c r="G409" s="117">
        <f>(F409/C409)</f>
        <v>61009.6766807405</v>
      </c>
      <c r="H409" s="9"/>
      <c r="I409" s="150">
        <v>5.5</v>
      </c>
      <c r="J409" s="134">
        <v>2066336.7394999999</v>
      </c>
      <c r="K409" s="120">
        <f>(J409/C409)</f>
        <v>335.55322174407274</v>
      </c>
      <c r="L409" s="122">
        <f t="shared" si="86"/>
        <v>3756975.89</v>
      </c>
      <c r="M409" s="116">
        <f t="shared" si="87"/>
        <v>1690639.1505000002</v>
      </c>
      <c r="N409" s="123">
        <f t="shared" si="88"/>
        <v>274.54354506333226</v>
      </c>
      <c r="O409" s="5"/>
      <c r="P409" s="5">
        <f t="shared" si="91"/>
        <v>1</v>
      </c>
      <c r="Q409" s="7">
        <f t="shared" si="92"/>
        <v>6158</v>
      </c>
      <c r="W409" s="124">
        <f t="shared" si="93"/>
        <v>2066336.7394999999</v>
      </c>
      <c r="X409">
        <f t="shared" si="90"/>
        <v>0</v>
      </c>
    </row>
    <row r="410" spans="1:24">
      <c r="A410" s="23" t="s">
        <v>438</v>
      </c>
      <c r="B410" s="35" t="s">
        <v>437</v>
      </c>
      <c r="C410" s="97">
        <v>8901</v>
      </c>
      <c r="D410" s="132">
        <v>1542802926</v>
      </c>
      <c r="E410" s="116">
        <f>(D410/C410)</f>
        <v>173329.16818335018</v>
      </c>
      <c r="F410" s="134">
        <v>1070133272</v>
      </c>
      <c r="G410" s="117">
        <f>(F410/C410)</f>
        <v>120226.18492304235</v>
      </c>
      <c r="H410" s="9"/>
      <c r="I410" s="150">
        <v>4.7302</v>
      </c>
      <c r="J410" s="134">
        <v>5061944.4032144006</v>
      </c>
      <c r="K410" s="120">
        <f>(J410/C410)</f>
        <v>568.69389992297499</v>
      </c>
      <c r="L410" s="122">
        <f t="shared" si="86"/>
        <v>10701332.720000001</v>
      </c>
      <c r="M410" s="116">
        <f t="shared" si="87"/>
        <v>5639388.3167856</v>
      </c>
      <c r="N410" s="123">
        <f t="shared" si="88"/>
        <v>633.56794930744866</v>
      </c>
      <c r="O410" s="5"/>
      <c r="P410" s="5">
        <f t="shared" si="91"/>
        <v>1</v>
      </c>
      <c r="Q410" s="7">
        <f t="shared" si="92"/>
        <v>8901</v>
      </c>
      <c r="W410" s="124">
        <f t="shared" si="93"/>
        <v>5061944.4032144006</v>
      </c>
      <c r="X410">
        <f t="shared" si="90"/>
        <v>0</v>
      </c>
    </row>
    <row r="411" spans="1:24">
      <c r="A411" s="23" t="s">
        <v>439</v>
      </c>
      <c r="B411" s="35" t="s">
        <v>437</v>
      </c>
      <c r="C411" s="97">
        <v>579</v>
      </c>
      <c r="D411" s="147" t="s">
        <v>564</v>
      </c>
      <c r="E411" s="116"/>
      <c r="F411" s="134"/>
      <c r="G411" s="117"/>
      <c r="H411" s="98" t="s">
        <v>588</v>
      </c>
      <c r="I411" s="136"/>
      <c r="J411" s="134"/>
      <c r="K411" s="120"/>
      <c r="L411" s="122">
        <f t="shared" si="86"/>
        <v>0</v>
      </c>
      <c r="M411" s="116">
        <f t="shared" si="87"/>
        <v>0</v>
      </c>
      <c r="N411" s="123">
        <f t="shared" si="88"/>
        <v>0</v>
      </c>
      <c r="O411" s="5"/>
      <c r="P411" s="5">
        <f t="shared" si="91"/>
        <v>0</v>
      </c>
      <c r="Q411" s="7">
        <f t="shared" si="92"/>
        <v>0</v>
      </c>
      <c r="S411" s="124">
        <f>SUM(D409:D411)</f>
        <v>2204077295</v>
      </c>
      <c r="T411" s="124">
        <f>SUM(F409:F411)</f>
        <v>1445830861</v>
      </c>
      <c r="U411" s="124">
        <f>SUM(J409:J411)</f>
        <v>7128281.1427144008</v>
      </c>
      <c r="W411" s="124">
        <f t="shared" si="93"/>
        <v>0</v>
      </c>
      <c r="X411">
        <f t="shared" si="90"/>
        <v>0</v>
      </c>
    </row>
    <row r="412" spans="1:24">
      <c r="A412" s="23" t="s">
        <v>440</v>
      </c>
      <c r="B412" s="35" t="s">
        <v>441</v>
      </c>
      <c r="C412" s="97">
        <v>293</v>
      </c>
      <c r="D412" s="147" t="s">
        <v>564</v>
      </c>
      <c r="E412" s="116"/>
      <c r="F412" s="134"/>
      <c r="G412" s="117"/>
      <c r="H412" s="98" t="s">
        <v>588</v>
      </c>
      <c r="I412" s="136"/>
      <c r="J412" s="134"/>
      <c r="K412" s="120"/>
      <c r="L412" s="122">
        <f t="shared" si="86"/>
        <v>0</v>
      </c>
      <c r="M412" s="116">
        <f t="shared" si="87"/>
        <v>0</v>
      </c>
      <c r="N412" s="123">
        <f t="shared" si="88"/>
        <v>0</v>
      </c>
      <c r="O412" s="5"/>
      <c r="P412" s="5">
        <f t="shared" si="91"/>
        <v>0</v>
      </c>
      <c r="Q412" s="7">
        <f t="shared" si="92"/>
        <v>0</v>
      </c>
      <c r="W412" s="124">
        <f t="shared" si="93"/>
        <v>0</v>
      </c>
      <c r="X412">
        <f t="shared" si="90"/>
        <v>0</v>
      </c>
    </row>
    <row r="413" spans="1:24">
      <c r="A413" s="23" t="s">
        <v>442</v>
      </c>
      <c r="B413" s="35" t="s">
        <v>441</v>
      </c>
      <c r="C413" s="97">
        <v>3599</v>
      </c>
      <c r="D413" s="132">
        <v>308318410</v>
      </c>
      <c r="E413" s="116">
        <f>(D413/C413)</f>
        <v>85667.799388719082</v>
      </c>
      <c r="F413" s="134">
        <v>183425626</v>
      </c>
      <c r="G413" s="117">
        <f>(F413/C413)</f>
        <v>50965.719922200609</v>
      </c>
      <c r="H413" s="9"/>
      <c r="I413" s="150">
        <v>7</v>
      </c>
      <c r="J413" s="134">
        <v>1283979.382</v>
      </c>
      <c r="K413" s="120">
        <f>(J413/C413)</f>
        <v>356.7600394554043</v>
      </c>
      <c r="L413" s="122">
        <f t="shared" si="86"/>
        <v>1834256.26</v>
      </c>
      <c r="M413" s="116">
        <f t="shared" si="87"/>
        <v>550276.87800000003</v>
      </c>
      <c r="N413" s="123">
        <f t="shared" si="88"/>
        <v>152.89715976660185</v>
      </c>
      <c r="O413" s="5"/>
      <c r="P413" s="5">
        <f t="shared" si="91"/>
        <v>1</v>
      </c>
      <c r="Q413" s="7">
        <f t="shared" si="92"/>
        <v>3599</v>
      </c>
      <c r="W413" s="124">
        <f t="shared" si="93"/>
        <v>1283979.382</v>
      </c>
      <c r="X413">
        <f t="shared" si="90"/>
        <v>0</v>
      </c>
    </row>
    <row r="414" spans="1:24">
      <c r="A414" s="23" t="s">
        <v>443</v>
      </c>
      <c r="B414" s="35" t="s">
        <v>441</v>
      </c>
      <c r="C414" s="97">
        <v>247</v>
      </c>
      <c r="D414" s="147" t="s">
        <v>564</v>
      </c>
      <c r="E414" s="116"/>
      <c r="F414" s="134"/>
      <c r="G414" s="117"/>
      <c r="H414" s="98" t="s">
        <v>588</v>
      </c>
      <c r="I414" s="136"/>
      <c r="J414" s="134"/>
      <c r="K414" s="120"/>
      <c r="L414" s="122">
        <f t="shared" si="86"/>
        <v>0</v>
      </c>
      <c r="M414" s="116">
        <f t="shared" si="87"/>
        <v>0</v>
      </c>
      <c r="N414" s="123">
        <f t="shared" si="88"/>
        <v>0</v>
      </c>
      <c r="O414" s="5"/>
      <c r="P414" s="5">
        <f t="shared" si="91"/>
        <v>0</v>
      </c>
      <c r="Q414" s="7">
        <f t="shared" si="92"/>
        <v>0</v>
      </c>
      <c r="W414" s="124">
        <f t="shared" si="93"/>
        <v>0</v>
      </c>
      <c r="X414">
        <f t="shared" si="90"/>
        <v>0</v>
      </c>
    </row>
    <row r="415" spans="1:24">
      <c r="A415" s="23" t="s">
        <v>444</v>
      </c>
      <c r="B415" s="35" t="s">
        <v>441</v>
      </c>
      <c r="C415" s="97">
        <v>758</v>
      </c>
      <c r="D415" s="132">
        <v>64868616</v>
      </c>
      <c r="E415" s="116">
        <f>(D415/C415)</f>
        <v>85578.649076517147</v>
      </c>
      <c r="F415" s="134">
        <v>27572554</v>
      </c>
      <c r="G415" s="117">
        <f>(F415/C415)</f>
        <v>36375.401055408969</v>
      </c>
      <c r="H415" s="9"/>
      <c r="I415" s="150">
        <v>4.7823000000000002</v>
      </c>
      <c r="J415" s="134">
        <v>131860.22499420002</v>
      </c>
      <c r="K415" s="120">
        <f>(J415/C415)</f>
        <v>173.95808046728234</v>
      </c>
      <c r="L415" s="122">
        <f t="shared" si="86"/>
        <v>275725.53999999998</v>
      </c>
      <c r="M415" s="116">
        <f t="shared" si="87"/>
        <v>143865.31500579996</v>
      </c>
      <c r="N415" s="123">
        <f t="shared" si="88"/>
        <v>189.79593008680735</v>
      </c>
      <c r="O415" s="5"/>
      <c r="P415" s="5">
        <f t="shared" si="91"/>
        <v>1</v>
      </c>
      <c r="Q415" s="7">
        <f t="shared" si="92"/>
        <v>758</v>
      </c>
      <c r="W415" s="124">
        <f t="shared" si="93"/>
        <v>131860.22499420002</v>
      </c>
      <c r="X415">
        <f t="shared" si="90"/>
        <v>0</v>
      </c>
    </row>
    <row r="416" spans="1:24">
      <c r="A416" s="23" t="s">
        <v>445</v>
      </c>
      <c r="B416" s="35" t="s">
        <v>441</v>
      </c>
      <c r="C416" s="97">
        <v>375</v>
      </c>
      <c r="D416" s="147" t="s">
        <v>564</v>
      </c>
      <c r="E416" s="116"/>
      <c r="F416" s="134"/>
      <c r="G416" s="117"/>
      <c r="H416" s="98" t="s">
        <v>588</v>
      </c>
      <c r="I416" s="136"/>
      <c r="J416" s="134"/>
      <c r="K416" s="120"/>
      <c r="L416" s="122">
        <f t="shared" si="86"/>
        <v>0</v>
      </c>
      <c r="M416" s="116">
        <f t="shared" si="87"/>
        <v>0</v>
      </c>
      <c r="N416" s="123">
        <f t="shared" si="88"/>
        <v>0</v>
      </c>
      <c r="O416" s="5"/>
      <c r="P416" s="5">
        <f t="shared" si="91"/>
        <v>0</v>
      </c>
      <c r="Q416" s="7">
        <f t="shared" si="92"/>
        <v>0</v>
      </c>
      <c r="S416" s="124">
        <f>SUM(D412:D416)</f>
        <v>373187026</v>
      </c>
      <c r="T416" s="124">
        <f>SUM(F412:F416)</f>
        <v>210998180</v>
      </c>
      <c r="U416" s="124">
        <f>SUM(J412:J416)</f>
        <v>1415839.6069942</v>
      </c>
      <c r="W416" s="124">
        <f t="shared" si="93"/>
        <v>0</v>
      </c>
      <c r="X416">
        <f t="shared" si="90"/>
        <v>0</v>
      </c>
    </row>
    <row r="417" spans="1:24">
      <c r="A417" s="70" t="s">
        <v>583</v>
      </c>
      <c r="B417" s="71"/>
      <c r="C417" s="72">
        <f>SUM(C6:C416)</f>
        <v>11355391</v>
      </c>
      <c r="D417" s="158">
        <f>SUM(D6:D416)</f>
        <v>2522393057373</v>
      </c>
      <c r="E417" s="74">
        <f>(D417/Q417)</f>
        <v>244501.06701716699</v>
      </c>
      <c r="F417" s="167">
        <f>SUM(F6:F416)</f>
        <v>1562252307116</v>
      </c>
      <c r="G417" s="76">
        <f>(F417/Q417)</f>
        <v>151432.52750533103</v>
      </c>
      <c r="H417" s="71"/>
      <c r="I417" s="168"/>
      <c r="J417" s="169">
        <f>SUM(J6:J416)</f>
        <v>7667990475.0282001</v>
      </c>
      <c r="K417" s="79">
        <f>(J417/Q417)</f>
        <v>743.27506077678936</v>
      </c>
      <c r="L417" s="79">
        <f>SUM(L6:L416)</f>
        <v>15622523071.15999</v>
      </c>
      <c r="M417" s="78">
        <f>SUM(M6:M416)</f>
        <v>7954532596.1318083</v>
      </c>
      <c r="N417" s="80">
        <f>(M417/Q417)</f>
        <v>771.05021427652173</v>
      </c>
      <c r="O417" s="20"/>
      <c r="P417" s="20">
        <f>SUM(P6:P416)</f>
        <v>391</v>
      </c>
      <c r="Q417" s="21">
        <f>SUM(Q6:Q416)</f>
        <v>10316491</v>
      </c>
      <c r="S417" s="124"/>
      <c r="T417" s="124"/>
      <c r="U417" s="124"/>
      <c r="W417" s="124">
        <f>SUM(W6:W416)</f>
        <v>7671863078.8749304</v>
      </c>
      <c r="X417">
        <f>SUM(X6:X416)</f>
        <v>9</v>
      </c>
    </row>
    <row r="418" spans="1:24">
      <c r="A418" s="27" t="s">
        <v>453</v>
      </c>
      <c r="B418" s="13"/>
      <c r="C418" s="60">
        <f>(P417)</f>
        <v>391</v>
      </c>
      <c r="D418" s="159"/>
      <c r="E418" s="16"/>
      <c r="F418" s="141"/>
      <c r="G418" s="16"/>
      <c r="H418" s="16"/>
      <c r="I418" s="170"/>
      <c r="J418" s="159"/>
      <c r="K418" s="17"/>
      <c r="L418" s="2"/>
      <c r="M418" s="2"/>
      <c r="N418" s="63"/>
      <c r="O418" s="2"/>
      <c r="P418" s="2"/>
      <c r="Q418" s="2"/>
      <c r="S418" s="124"/>
      <c r="T418" s="124"/>
      <c r="U418" s="124"/>
    </row>
    <row r="419" spans="1:24">
      <c r="A419" s="22"/>
      <c r="B419" s="16"/>
      <c r="C419" s="16"/>
      <c r="D419" s="160"/>
      <c r="E419" s="16"/>
      <c r="F419" s="160"/>
      <c r="G419" s="16"/>
      <c r="H419" s="107"/>
      <c r="I419" s="171"/>
      <c r="J419" s="160"/>
      <c r="K419" s="17"/>
      <c r="L419" s="2"/>
      <c r="M419" s="2"/>
      <c r="N419" s="63"/>
      <c r="O419" s="2"/>
      <c r="P419" s="2"/>
      <c r="Q419" s="2"/>
      <c r="S419" s="124"/>
      <c r="T419" s="124"/>
      <c r="U419" s="124"/>
    </row>
    <row r="420" spans="1:24">
      <c r="A420" s="204" t="s">
        <v>498</v>
      </c>
      <c r="B420" s="192"/>
      <c r="C420" s="192"/>
      <c r="D420" s="192"/>
      <c r="E420" s="192"/>
      <c r="F420" s="192"/>
      <c r="G420" s="192"/>
      <c r="H420" s="192"/>
      <c r="I420" s="192"/>
      <c r="J420" s="192"/>
      <c r="K420" s="192"/>
      <c r="L420" s="192"/>
      <c r="M420" s="192"/>
      <c r="N420" s="193"/>
      <c r="O420" s="1"/>
      <c r="P420" s="1"/>
      <c r="Q420" s="1"/>
    </row>
    <row r="421" spans="1:24">
      <c r="A421" s="191" t="s">
        <v>565</v>
      </c>
      <c r="B421" s="192"/>
      <c r="C421" s="192"/>
      <c r="D421" s="192"/>
      <c r="E421" s="192"/>
      <c r="F421" s="192"/>
      <c r="G421" s="192"/>
      <c r="H421" s="192"/>
      <c r="I421" s="192"/>
      <c r="J421" s="192"/>
      <c r="K421" s="192"/>
      <c r="L421" s="192"/>
      <c r="M421" s="192"/>
      <c r="N421" s="193"/>
      <c r="O421" s="1"/>
      <c r="P421" s="1"/>
      <c r="Q421" s="1"/>
    </row>
    <row r="422" spans="1:24" ht="25.5" customHeight="1">
      <c r="A422" s="191" t="s">
        <v>642</v>
      </c>
      <c r="B422" s="192"/>
      <c r="C422" s="192"/>
      <c r="D422" s="192"/>
      <c r="E422" s="192"/>
      <c r="F422" s="192"/>
      <c r="G422" s="192"/>
      <c r="H422" s="192"/>
      <c r="I422" s="192"/>
      <c r="J422" s="192"/>
      <c r="K422" s="192"/>
      <c r="L422" s="192"/>
      <c r="M422" s="192"/>
      <c r="N422" s="193"/>
      <c r="O422" s="1"/>
      <c r="P422" s="1"/>
      <c r="Q422" s="1"/>
    </row>
    <row r="423" spans="1:24" ht="12.75" customHeight="1">
      <c r="A423" s="191" t="s">
        <v>643</v>
      </c>
      <c r="B423" s="192"/>
      <c r="C423" s="192"/>
      <c r="D423" s="192"/>
      <c r="E423" s="192"/>
      <c r="F423" s="192"/>
      <c r="G423" s="192"/>
      <c r="H423" s="192"/>
      <c r="I423" s="192"/>
      <c r="J423" s="192"/>
      <c r="K423" s="192"/>
      <c r="L423" s="192"/>
      <c r="M423" s="192"/>
      <c r="N423" s="193"/>
      <c r="O423" s="1"/>
      <c r="P423" s="1"/>
      <c r="Q423" s="1"/>
    </row>
    <row r="424" spans="1:24" ht="25.5" customHeight="1">
      <c r="A424" s="191" t="s">
        <v>644</v>
      </c>
      <c r="B424" s="192"/>
      <c r="C424" s="192"/>
      <c r="D424" s="192"/>
      <c r="E424" s="192"/>
      <c r="F424" s="192"/>
      <c r="G424" s="192"/>
      <c r="H424" s="192"/>
      <c r="I424" s="192"/>
      <c r="J424" s="192"/>
      <c r="K424" s="192"/>
      <c r="L424" s="192"/>
      <c r="M424" s="192"/>
      <c r="N424" s="193"/>
      <c r="O424" s="1"/>
      <c r="P424" s="1"/>
      <c r="Q424" s="1"/>
    </row>
    <row r="425" spans="1:24">
      <c r="A425" s="194"/>
      <c r="B425" s="192"/>
      <c r="C425" s="192"/>
      <c r="D425" s="192"/>
      <c r="E425" s="192"/>
      <c r="F425" s="192"/>
      <c r="G425" s="192"/>
      <c r="H425" s="192"/>
      <c r="I425" s="192"/>
      <c r="J425" s="192"/>
      <c r="K425" s="192"/>
      <c r="L425" s="192"/>
      <c r="M425" s="192"/>
      <c r="N425" s="193"/>
      <c r="O425" s="1"/>
      <c r="P425" s="1"/>
      <c r="Q425" s="1"/>
    </row>
    <row r="426" spans="1:24">
      <c r="A426" s="191" t="s">
        <v>579</v>
      </c>
      <c r="B426" s="192"/>
      <c r="C426" s="192"/>
      <c r="D426" s="192"/>
      <c r="E426" s="192"/>
      <c r="F426" s="192"/>
      <c r="G426" s="192"/>
      <c r="H426" s="192"/>
      <c r="I426" s="192"/>
      <c r="J426" s="192"/>
      <c r="K426" s="192"/>
      <c r="L426" s="192"/>
      <c r="M426" s="192"/>
      <c r="N426" s="193"/>
      <c r="O426" s="1"/>
      <c r="P426" s="1"/>
      <c r="Q426" s="1"/>
    </row>
    <row r="427" spans="1:24" ht="25.5" customHeight="1">
      <c r="A427" s="191" t="s">
        <v>649</v>
      </c>
      <c r="B427" s="195"/>
      <c r="C427" s="195"/>
      <c r="D427" s="195"/>
      <c r="E427" s="195"/>
      <c r="F427" s="195"/>
      <c r="G427" s="195"/>
      <c r="H427" s="195"/>
      <c r="I427" s="195"/>
      <c r="J427" s="195"/>
      <c r="K427" s="195"/>
      <c r="L427" s="195"/>
      <c r="M427" s="195"/>
      <c r="N427" s="196"/>
      <c r="O427" s="1"/>
      <c r="P427" s="1"/>
      <c r="Q427" s="1"/>
    </row>
    <row r="428" spans="1:24" ht="15" customHeight="1" thickBot="1">
      <c r="A428" s="188" t="s">
        <v>639</v>
      </c>
      <c r="B428" s="189"/>
      <c r="C428" s="189"/>
      <c r="D428" s="189"/>
      <c r="E428" s="189"/>
      <c r="F428" s="189"/>
      <c r="G428" s="189"/>
      <c r="H428" s="189"/>
      <c r="I428" s="189"/>
      <c r="J428" s="189"/>
      <c r="K428" s="189"/>
      <c r="L428" s="189"/>
      <c r="M428" s="189"/>
      <c r="N428" s="190"/>
      <c r="O428" s="1"/>
      <c r="P428" s="1"/>
      <c r="Q428" s="1"/>
    </row>
    <row r="429" spans="1:24">
      <c r="A429" s="4"/>
      <c r="B429" s="1"/>
      <c r="C429" s="1"/>
      <c r="D429" s="161"/>
      <c r="E429" s="1"/>
      <c r="F429" s="161"/>
      <c r="G429" s="1"/>
      <c r="H429" s="1"/>
      <c r="I429" s="172"/>
      <c r="J429" s="172"/>
      <c r="K429" s="3"/>
      <c r="L429" s="1"/>
      <c r="M429" s="1"/>
      <c r="N429" s="1"/>
      <c r="O429" s="1"/>
      <c r="P429" s="1"/>
      <c r="Q429" s="1"/>
    </row>
    <row r="430" spans="1:24">
      <c r="A430" s="4"/>
      <c r="B430" s="1"/>
      <c r="C430" s="1"/>
      <c r="D430" s="161"/>
      <c r="E430" s="1"/>
      <c r="F430" s="161"/>
      <c r="G430" s="1"/>
      <c r="H430" s="1"/>
      <c r="I430" s="172"/>
      <c r="J430" s="172"/>
      <c r="K430" s="3"/>
      <c r="L430" s="1"/>
      <c r="M430" s="1"/>
      <c r="N430" s="1"/>
      <c r="O430" s="1"/>
      <c r="P430" s="1"/>
      <c r="Q430" s="1"/>
    </row>
    <row r="431" spans="1:24">
      <c r="A431" s="2"/>
      <c r="B431" s="2"/>
      <c r="C431" s="2"/>
      <c r="D431" s="162"/>
      <c r="E431" s="2"/>
      <c r="F431" s="162"/>
      <c r="G431" s="2"/>
      <c r="H431" s="2"/>
      <c r="I431" s="162"/>
      <c r="J431" s="162"/>
      <c r="K431" s="2"/>
      <c r="L431" s="2"/>
      <c r="M431" s="2"/>
      <c r="N431" s="2"/>
      <c r="O431" s="2"/>
      <c r="P431" s="2"/>
      <c r="Q431" s="2"/>
    </row>
  </sheetData>
  <mergeCells count="13">
    <mergeCell ref="A428:N428"/>
    <mergeCell ref="A1:N1"/>
    <mergeCell ref="D2:G2"/>
    <mergeCell ref="L2:N2"/>
    <mergeCell ref="S2:U2"/>
    <mergeCell ref="A420:N420"/>
    <mergeCell ref="A421:N421"/>
    <mergeCell ref="A423:N423"/>
    <mergeCell ref="A424:N424"/>
    <mergeCell ref="A425:N425"/>
    <mergeCell ref="A426:N426"/>
    <mergeCell ref="A427:N427"/>
    <mergeCell ref="A422:N422"/>
  </mergeCells>
  <printOptions horizontalCentered="1"/>
  <pageMargins left="0.5" right="0.5" top="0.5" bottom="0.5" header="0.3" footer="0.3"/>
  <pageSetup paperSize="5" scale="80" fitToHeight="0" orientation="landscape" verticalDpi="0" r:id="rId1"/>
  <headerFooter>
    <oddFooter>&amp;LOffice of Economic and Demographic Research&amp;CPage &amp;P of &amp;N&amp;RDecember 18, 2024</oddFooter>
  </headerFooter>
  <ignoredErrors>
    <ignoredError sqref="E417 K417"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T430"/>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7" t="s">
        <v>506</v>
      </c>
      <c r="B1" s="198"/>
      <c r="C1" s="198"/>
      <c r="D1" s="198"/>
      <c r="E1" s="198"/>
      <c r="F1" s="198"/>
      <c r="G1" s="198"/>
      <c r="H1" s="198"/>
      <c r="I1" s="198"/>
      <c r="J1" s="198"/>
      <c r="K1" s="198"/>
      <c r="L1" s="198"/>
      <c r="M1" s="198"/>
      <c r="N1" s="198"/>
      <c r="O1" s="199"/>
    </row>
    <row r="2" spans="1:20" ht="18">
      <c r="A2" s="41"/>
      <c r="B2" s="42"/>
      <c r="C2" s="43"/>
      <c r="D2" s="200" t="s">
        <v>483</v>
      </c>
      <c r="E2" s="201"/>
      <c r="F2" s="201"/>
      <c r="G2" s="201"/>
      <c r="H2" s="202"/>
      <c r="I2" s="44"/>
      <c r="J2" s="61" t="s">
        <v>456</v>
      </c>
      <c r="K2" s="45"/>
      <c r="L2" s="68"/>
      <c r="M2" s="201" t="s">
        <v>503</v>
      </c>
      <c r="N2" s="201"/>
      <c r="O2" s="203"/>
    </row>
    <row r="3" spans="1:20" ht="12.75" customHeight="1">
      <c r="A3" s="46"/>
      <c r="B3" s="47"/>
      <c r="C3" s="48">
        <v>2005</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7402</v>
      </c>
      <c r="D6" s="18"/>
      <c r="E6" s="18">
        <v>736855860</v>
      </c>
      <c r="F6" s="38">
        <f t="shared" ref="F6:F14" si="0">(E6/C6)</f>
        <v>99548.2112942448</v>
      </c>
      <c r="G6" s="18">
        <v>495033490</v>
      </c>
      <c r="H6" s="39">
        <f t="shared" ref="H6:H14" si="1">(G6/C6)</f>
        <v>66878.342339908137</v>
      </c>
      <c r="I6" s="15"/>
      <c r="J6" s="17">
        <v>5.7</v>
      </c>
      <c r="K6" s="40">
        <v>2821691</v>
      </c>
      <c r="L6" s="84">
        <f t="shared" ref="L6:L14" si="2">(K6/C6)</f>
        <v>381.20656579302891</v>
      </c>
      <c r="M6" s="65">
        <f t="shared" ref="M6:M69" si="3">(G6*0.01)</f>
        <v>4950334.9000000004</v>
      </c>
      <c r="N6" s="83">
        <f t="shared" ref="N6:N69" si="4">(M6-K6)</f>
        <v>2128643.9000000004</v>
      </c>
      <c r="O6" s="62">
        <f t="shared" ref="O6:O69" si="5">(N6/C6)</f>
        <v>287.57685760605244</v>
      </c>
      <c r="P6" s="5"/>
      <c r="Q6" s="5">
        <f>IF(E6&gt;0,1,0)</f>
        <v>1</v>
      </c>
      <c r="R6" s="7">
        <f>IF(E6&gt;0,C6,0)</f>
        <v>7402</v>
      </c>
      <c r="S6" s="5">
        <f t="shared" ref="S6:S69" si="6">IF(J6&gt;0,1,0)</f>
        <v>1</v>
      </c>
      <c r="T6" s="7">
        <f t="shared" ref="T6:T69" si="7">IF(J6&gt;0,C6,0)</f>
        <v>7402</v>
      </c>
    </row>
    <row r="7" spans="1:20">
      <c r="A7" s="23" t="s">
        <v>9</v>
      </c>
      <c r="B7" s="35" t="s">
        <v>8</v>
      </c>
      <c r="C7" s="36">
        <v>1230</v>
      </c>
      <c r="D7" s="6"/>
      <c r="E7" s="113">
        <v>47181592</v>
      </c>
      <c r="F7" s="116">
        <f t="shared" si="0"/>
        <v>38359.017886178859</v>
      </c>
      <c r="G7" s="113">
        <v>26230742</v>
      </c>
      <c r="H7" s="117">
        <f t="shared" si="1"/>
        <v>21325.80650406504</v>
      </c>
      <c r="I7" s="7"/>
      <c r="J7" s="10">
        <v>4.75</v>
      </c>
      <c r="K7" s="117">
        <v>124596</v>
      </c>
      <c r="L7" s="120">
        <f t="shared" si="2"/>
        <v>101.29756097560976</v>
      </c>
      <c r="M7" s="122">
        <f t="shared" si="3"/>
        <v>262307.42</v>
      </c>
      <c r="N7" s="116">
        <f t="shared" si="4"/>
        <v>137711.41999999998</v>
      </c>
      <c r="O7" s="123">
        <f t="shared" si="5"/>
        <v>111.96050406504064</v>
      </c>
      <c r="P7" s="5"/>
      <c r="Q7" s="5">
        <f t="shared" ref="Q7:Q70" si="8">IF(E7&gt;0,1,0)</f>
        <v>1</v>
      </c>
      <c r="R7" s="7">
        <f t="shared" ref="R7:R70" si="9">IF(E7&gt;0,C7,0)</f>
        <v>1230</v>
      </c>
      <c r="S7" s="5">
        <f t="shared" si="6"/>
        <v>1</v>
      </c>
      <c r="T7" s="7">
        <f t="shared" si="7"/>
        <v>1230</v>
      </c>
    </row>
    <row r="8" spans="1:20">
      <c r="A8" s="23" t="s">
        <v>10</v>
      </c>
      <c r="B8" s="35" t="s">
        <v>8</v>
      </c>
      <c r="C8" s="36">
        <v>119889</v>
      </c>
      <c r="D8" s="6"/>
      <c r="E8" s="113">
        <v>9515810419</v>
      </c>
      <c r="F8" s="116">
        <f t="shared" si="0"/>
        <v>79371.83910950963</v>
      </c>
      <c r="G8" s="113">
        <v>4337086461</v>
      </c>
      <c r="H8" s="117">
        <f t="shared" si="1"/>
        <v>36175.849836098394</v>
      </c>
      <c r="I8" s="7"/>
      <c r="J8" s="10">
        <v>4.9355000000000002</v>
      </c>
      <c r="K8" s="117">
        <v>21405690</v>
      </c>
      <c r="L8" s="120">
        <f t="shared" si="2"/>
        <v>178.54590496208993</v>
      </c>
      <c r="M8" s="122">
        <f t="shared" si="3"/>
        <v>43370864.609999999</v>
      </c>
      <c r="N8" s="116">
        <f t="shared" si="4"/>
        <v>21965174.609999999</v>
      </c>
      <c r="O8" s="123">
        <f t="shared" si="5"/>
        <v>183.21259339889397</v>
      </c>
      <c r="P8" s="5"/>
      <c r="Q8" s="5">
        <f t="shared" si="8"/>
        <v>1</v>
      </c>
      <c r="R8" s="7">
        <f t="shared" si="9"/>
        <v>119889</v>
      </c>
      <c r="S8" s="5">
        <f t="shared" si="6"/>
        <v>1</v>
      </c>
      <c r="T8" s="7">
        <f t="shared" si="7"/>
        <v>119889</v>
      </c>
    </row>
    <row r="9" spans="1:20">
      <c r="A9" s="23" t="s">
        <v>11</v>
      </c>
      <c r="B9" s="35" t="s">
        <v>8</v>
      </c>
      <c r="C9" s="36">
        <v>1396</v>
      </c>
      <c r="D9" s="6"/>
      <c r="E9" s="113">
        <v>74350362</v>
      </c>
      <c r="F9" s="116">
        <f t="shared" si="0"/>
        <v>53259.571633237822</v>
      </c>
      <c r="G9" s="117">
        <v>37354722</v>
      </c>
      <c r="H9" s="117">
        <f t="shared" si="1"/>
        <v>26758.396848137534</v>
      </c>
      <c r="I9" s="7"/>
      <c r="J9" s="10">
        <v>4.5</v>
      </c>
      <c r="K9" s="117">
        <v>168096</v>
      </c>
      <c r="L9" s="120">
        <f t="shared" si="2"/>
        <v>120.41260744985674</v>
      </c>
      <c r="M9" s="122">
        <f t="shared" si="3"/>
        <v>373547.22000000003</v>
      </c>
      <c r="N9" s="116">
        <f t="shared" si="4"/>
        <v>205451.22000000003</v>
      </c>
      <c r="O9" s="123">
        <f t="shared" si="5"/>
        <v>147.17136103151864</v>
      </c>
      <c r="P9" s="5"/>
      <c r="Q9" s="5">
        <f t="shared" si="8"/>
        <v>1</v>
      </c>
      <c r="R9" s="7">
        <f t="shared" si="9"/>
        <v>1396</v>
      </c>
      <c r="S9" s="5">
        <f t="shared" si="6"/>
        <v>1</v>
      </c>
      <c r="T9" s="7">
        <f t="shared" si="7"/>
        <v>1396</v>
      </c>
    </row>
    <row r="10" spans="1:20">
      <c r="A10" s="23" t="s">
        <v>12</v>
      </c>
      <c r="B10" s="35" t="s">
        <v>8</v>
      </c>
      <c r="C10" s="36">
        <v>4432</v>
      </c>
      <c r="D10" s="6"/>
      <c r="E10" s="113">
        <v>277636563</v>
      </c>
      <c r="F10" s="116">
        <f t="shared" si="0"/>
        <v>62643.62883574007</v>
      </c>
      <c r="G10" s="117">
        <v>176204084</v>
      </c>
      <c r="H10" s="117">
        <f t="shared" si="1"/>
        <v>39757.239169675093</v>
      </c>
      <c r="I10" s="7"/>
      <c r="J10" s="10">
        <v>6.25</v>
      </c>
      <c r="K10" s="117">
        <v>1101276</v>
      </c>
      <c r="L10" s="120">
        <f t="shared" si="2"/>
        <v>248.48285198555956</v>
      </c>
      <c r="M10" s="122">
        <f t="shared" si="3"/>
        <v>1762040.84</v>
      </c>
      <c r="N10" s="116">
        <f t="shared" si="4"/>
        <v>660764.84000000008</v>
      </c>
      <c r="O10" s="123">
        <f t="shared" si="5"/>
        <v>149.08953971119135</v>
      </c>
      <c r="P10" s="5"/>
      <c r="Q10" s="5">
        <f t="shared" si="8"/>
        <v>1</v>
      </c>
      <c r="R10" s="7">
        <f t="shared" si="9"/>
        <v>4432</v>
      </c>
      <c r="S10" s="5">
        <f t="shared" si="6"/>
        <v>1</v>
      </c>
      <c r="T10" s="7">
        <f t="shared" si="7"/>
        <v>4432</v>
      </c>
    </row>
    <row r="11" spans="1:20">
      <c r="A11" s="23" t="s">
        <v>559</v>
      </c>
      <c r="B11" s="35" t="s">
        <v>8</v>
      </c>
      <c r="C11" s="36">
        <v>186</v>
      </c>
      <c r="D11" s="6"/>
      <c r="E11" s="113">
        <v>13389432</v>
      </c>
      <c r="F11" s="116">
        <f t="shared" si="0"/>
        <v>71986.193548387091</v>
      </c>
      <c r="G11" s="117">
        <v>7020152</v>
      </c>
      <c r="H11" s="117">
        <f t="shared" si="1"/>
        <v>37742.752688172041</v>
      </c>
      <c r="I11" s="7"/>
      <c r="J11" s="10">
        <v>2.9060000000000001</v>
      </c>
      <c r="K11" s="117">
        <v>20401</v>
      </c>
      <c r="L11" s="120">
        <f t="shared" si="2"/>
        <v>109.68279569892474</v>
      </c>
      <c r="M11" s="122">
        <f t="shared" si="3"/>
        <v>70201.52</v>
      </c>
      <c r="N11" s="116">
        <f t="shared" si="4"/>
        <v>49800.520000000004</v>
      </c>
      <c r="O11" s="123">
        <f t="shared" si="5"/>
        <v>267.7447311827957</v>
      </c>
      <c r="P11" s="5"/>
      <c r="Q11" s="5">
        <f t="shared" si="8"/>
        <v>1</v>
      </c>
      <c r="R11" s="7">
        <f t="shared" si="9"/>
        <v>186</v>
      </c>
      <c r="S11" s="5">
        <f t="shared" si="6"/>
        <v>1</v>
      </c>
      <c r="T11" s="7">
        <f t="shared" si="7"/>
        <v>186</v>
      </c>
    </row>
    <row r="12" spans="1:20">
      <c r="A12" s="23" t="s">
        <v>13</v>
      </c>
      <c r="B12" s="35" t="s">
        <v>8</v>
      </c>
      <c r="C12" s="36">
        <v>629</v>
      </c>
      <c r="D12" s="6"/>
      <c r="E12" s="113">
        <v>34245025</v>
      </c>
      <c r="F12" s="116">
        <f t="shared" si="0"/>
        <v>54443.600953895075</v>
      </c>
      <c r="G12" s="117">
        <v>19635395</v>
      </c>
      <c r="H12" s="117">
        <f t="shared" si="1"/>
        <v>31216.844197138314</v>
      </c>
      <c r="I12" s="7"/>
      <c r="J12" s="10">
        <v>8</v>
      </c>
      <c r="K12" s="117">
        <v>157083</v>
      </c>
      <c r="L12" s="120">
        <f t="shared" si="2"/>
        <v>249.73449920508745</v>
      </c>
      <c r="M12" s="122">
        <f t="shared" si="3"/>
        <v>196353.95</v>
      </c>
      <c r="N12" s="116">
        <f t="shared" si="4"/>
        <v>39270.950000000012</v>
      </c>
      <c r="O12" s="123">
        <f t="shared" si="5"/>
        <v>62.433942766295729</v>
      </c>
      <c r="P12" s="5"/>
      <c r="Q12" s="5">
        <f t="shared" si="8"/>
        <v>1</v>
      </c>
      <c r="R12" s="7">
        <f t="shared" si="9"/>
        <v>629</v>
      </c>
      <c r="S12" s="5">
        <f t="shared" si="6"/>
        <v>1</v>
      </c>
      <c r="T12" s="7">
        <f t="shared" si="7"/>
        <v>629</v>
      </c>
    </row>
    <row r="13" spans="1:20">
      <c r="A13" s="23" t="s">
        <v>14</v>
      </c>
      <c r="B13" s="35" t="s">
        <v>8</v>
      </c>
      <c r="C13" s="36">
        <v>4261</v>
      </c>
      <c r="D13" s="6"/>
      <c r="E13" s="113">
        <v>338222878</v>
      </c>
      <c r="F13" s="116">
        <f t="shared" si="0"/>
        <v>79376.408824219674</v>
      </c>
      <c r="G13" s="117">
        <v>198798938</v>
      </c>
      <c r="H13" s="117">
        <f t="shared" si="1"/>
        <v>46655.465383712741</v>
      </c>
      <c r="I13" s="7"/>
      <c r="J13" s="10">
        <v>4.5999999999999996</v>
      </c>
      <c r="K13" s="117">
        <v>914475</v>
      </c>
      <c r="L13" s="120">
        <f t="shared" si="2"/>
        <v>214.61511382304624</v>
      </c>
      <c r="M13" s="122">
        <f t="shared" si="3"/>
        <v>1987989.3800000001</v>
      </c>
      <c r="N13" s="116">
        <f t="shared" si="4"/>
        <v>1073514.3800000001</v>
      </c>
      <c r="O13" s="123">
        <f t="shared" si="5"/>
        <v>251.93954001408122</v>
      </c>
      <c r="P13" s="5"/>
      <c r="Q13" s="5">
        <f t="shared" si="8"/>
        <v>1</v>
      </c>
      <c r="R13" s="7">
        <f t="shared" si="9"/>
        <v>4261</v>
      </c>
      <c r="S13" s="5">
        <f t="shared" si="6"/>
        <v>1</v>
      </c>
      <c r="T13" s="7">
        <f t="shared" si="7"/>
        <v>4261</v>
      </c>
    </row>
    <row r="14" spans="1:20">
      <c r="A14" s="23" t="s">
        <v>15</v>
      </c>
      <c r="B14" s="35" t="s">
        <v>8</v>
      </c>
      <c r="C14" s="36">
        <v>832</v>
      </c>
      <c r="D14" s="6"/>
      <c r="E14" s="113">
        <v>37963184</v>
      </c>
      <c r="F14" s="116">
        <f t="shared" si="0"/>
        <v>45628.826923076922</v>
      </c>
      <c r="G14" s="117">
        <v>20969729</v>
      </c>
      <c r="H14" s="117">
        <f t="shared" si="1"/>
        <v>25204.001201923078</v>
      </c>
      <c r="I14" s="7"/>
      <c r="J14" s="10">
        <v>5.0313999999999997</v>
      </c>
      <c r="K14" s="117">
        <v>105507</v>
      </c>
      <c r="L14" s="120">
        <f t="shared" si="2"/>
        <v>126.81129807692308</v>
      </c>
      <c r="M14" s="122">
        <f t="shared" si="3"/>
        <v>209697.29</v>
      </c>
      <c r="N14" s="116">
        <f t="shared" si="4"/>
        <v>104190.29000000001</v>
      </c>
      <c r="O14" s="123">
        <f t="shared" si="5"/>
        <v>125.22871394230771</v>
      </c>
      <c r="P14" s="5"/>
      <c r="Q14" s="5">
        <f t="shared" si="8"/>
        <v>1</v>
      </c>
      <c r="R14" s="7">
        <f t="shared" si="9"/>
        <v>832</v>
      </c>
      <c r="S14" s="5">
        <f t="shared" si="6"/>
        <v>1</v>
      </c>
      <c r="T14" s="7">
        <f t="shared" si="7"/>
        <v>832</v>
      </c>
    </row>
    <row r="15" spans="1:20">
      <c r="A15" s="23" t="s">
        <v>544</v>
      </c>
      <c r="B15" s="35" t="s">
        <v>16</v>
      </c>
      <c r="C15" s="36">
        <v>473</v>
      </c>
      <c r="D15" s="6" t="s">
        <v>527</v>
      </c>
      <c r="E15" s="113"/>
      <c r="F15" s="116"/>
      <c r="G15" s="117"/>
      <c r="H15" s="117"/>
      <c r="I15" s="9" t="s">
        <v>528</v>
      </c>
      <c r="J15" s="10"/>
      <c r="K15" s="117"/>
      <c r="L15" s="120"/>
      <c r="M15" s="122">
        <f t="shared" si="3"/>
        <v>0</v>
      </c>
      <c r="N15" s="116">
        <f t="shared" si="4"/>
        <v>0</v>
      </c>
      <c r="O15" s="123">
        <f t="shared" si="5"/>
        <v>0</v>
      </c>
      <c r="P15" s="5"/>
      <c r="Q15" s="5">
        <f t="shared" si="8"/>
        <v>0</v>
      </c>
      <c r="R15" s="7">
        <f t="shared" si="9"/>
        <v>0</v>
      </c>
      <c r="S15" s="5">
        <f t="shared" si="6"/>
        <v>0</v>
      </c>
      <c r="T15" s="7">
        <f t="shared" si="7"/>
        <v>0</v>
      </c>
    </row>
    <row r="16" spans="1:20">
      <c r="A16" s="23" t="s">
        <v>17</v>
      </c>
      <c r="B16" s="35" t="s">
        <v>16</v>
      </c>
      <c r="C16" s="36">
        <v>5210</v>
      </c>
      <c r="D16" s="6"/>
      <c r="E16" s="113">
        <v>254696810</v>
      </c>
      <c r="F16" s="116">
        <f t="shared" ref="F16:F47" si="10">(E16/C16)</f>
        <v>48886.143953934741</v>
      </c>
      <c r="G16" s="117">
        <v>154450359</v>
      </c>
      <c r="H16" s="117">
        <f t="shared" ref="H16:H47" si="11">(G16/C16)</f>
        <v>29644.982533589253</v>
      </c>
      <c r="I16" s="7"/>
      <c r="J16" s="10">
        <v>3.65</v>
      </c>
      <c r="K16" s="117">
        <v>563744</v>
      </c>
      <c r="L16" s="120">
        <f t="shared" ref="L16:L21" si="12">(K16/C16)</f>
        <v>108.20422264875241</v>
      </c>
      <c r="M16" s="122">
        <f t="shared" si="3"/>
        <v>1544503.59</v>
      </c>
      <c r="N16" s="116">
        <f t="shared" si="4"/>
        <v>980759.59000000008</v>
      </c>
      <c r="O16" s="123">
        <f t="shared" si="5"/>
        <v>188.24560268714012</v>
      </c>
      <c r="P16" s="5"/>
      <c r="Q16" s="5">
        <f t="shared" si="8"/>
        <v>1</v>
      </c>
      <c r="R16" s="7">
        <f t="shared" si="9"/>
        <v>5210</v>
      </c>
      <c r="S16" s="5">
        <f t="shared" si="6"/>
        <v>1</v>
      </c>
      <c r="T16" s="7">
        <f t="shared" si="7"/>
        <v>5210</v>
      </c>
    </row>
    <row r="17" spans="1:20">
      <c r="A17" s="23" t="s">
        <v>18</v>
      </c>
      <c r="B17" s="35" t="s">
        <v>19</v>
      </c>
      <c r="C17" s="36">
        <v>14901</v>
      </c>
      <c r="D17" s="6"/>
      <c r="E17" s="113">
        <v>594731605</v>
      </c>
      <c r="F17" s="116">
        <f t="shared" si="10"/>
        <v>39912.194148043753</v>
      </c>
      <c r="G17" s="117">
        <v>410858717</v>
      </c>
      <c r="H17" s="117">
        <f t="shared" si="11"/>
        <v>27572.56002952822</v>
      </c>
      <c r="I17" s="8"/>
      <c r="J17" s="10">
        <v>2</v>
      </c>
      <c r="K17" s="117">
        <v>821717</v>
      </c>
      <c r="L17" s="120">
        <f t="shared" si="12"/>
        <v>55.145090933494394</v>
      </c>
      <c r="M17" s="122">
        <f t="shared" si="3"/>
        <v>4108587.17</v>
      </c>
      <c r="N17" s="116">
        <f t="shared" si="4"/>
        <v>3286870.17</v>
      </c>
      <c r="O17" s="123">
        <f t="shared" si="5"/>
        <v>220.58050936178779</v>
      </c>
      <c r="P17" s="5"/>
      <c r="Q17" s="5">
        <f t="shared" si="8"/>
        <v>1</v>
      </c>
      <c r="R17" s="7">
        <f t="shared" si="9"/>
        <v>14901</v>
      </c>
      <c r="S17" s="5">
        <f t="shared" si="6"/>
        <v>1</v>
      </c>
      <c r="T17" s="7">
        <f t="shared" si="7"/>
        <v>14901</v>
      </c>
    </row>
    <row r="18" spans="1:20">
      <c r="A18" s="23" t="s">
        <v>20</v>
      </c>
      <c r="B18" s="35" t="s">
        <v>19</v>
      </c>
      <c r="C18" s="36">
        <v>6156</v>
      </c>
      <c r="D18" s="6"/>
      <c r="E18" s="113">
        <v>238949385</v>
      </c>
      <c r="F18" s="116">
        <f t="shared" si="10"/>
        <v>38815.689571150098</v>
      </c>
      <c r="G18" s="117">
        <v>153107151</v>
      </c>
      <c r="H18" s="117">
        <f t="shared" si="11"/>
        <v>24871.207115009747</v>
      </c>
      <c r="I18" s="9"/>
      <c r="J18" s="10">
        <v>1.5</v>
      </c>
      <c r="K18" s="117">
        <v>229661</v>
      </c>
      <c r="L18" s="120">
        <f t="shared" si="12"/>
        <v>37.306855100714749</v>
      </c>
      <c r="M18" s="122">
        <f t="shared" si="3"/>
        <v>1531071.51</v>
      </c>
      <c r="N18" s="116">
        <f t="shared" si="4"/>
        <v>1301410.51</v>
      </c>
      <c r="O18" s="123">
        <f t="shared" si="5"/>
        <v>211.40521604938272</v>
      </c>
      <c r="P18" s="5"/>
      <c r="Q18" s="5">
        <f t="shared" si="8"/>
        <v>1</v>
      </c>
      <c r="R18" s="7">
        <f t="shared" si="9"/>
        <v>6156</v>
      </c>
      <c r="S18" s="5">
        <f t="shared" si="6"/>
        <v>1</v>
      </c>
      <c r="T18" s="7">
        <f t="shared" si="7"/>
        <v>6156</v>
      </c>
    </row>
    <row r="19" spans="1:20">
      <c r="A19" s="23" t="s">
        <v>21</v>
      </c>
      <c r="B19" s="35" t="s">
        <v>19</v>
      </c>
      <c r="C19" s="36">
        <v>15398</v>
      </c>
      <c r="D19" s="6"/>
      <c r="E19" s="113">
        <v>1092783521</v>
      </c>
      <c r="F19" s="116">
        <f t="shared" si="10"/>
        <v>70969.18567346409</v>
      </c>
      <c r="G19" s="117">
        <v>743054958</v>
      </c>
      <c r="H19" s="117">
        <f t="shared" si="11"/>
        <v>48256.589037537342</v>
      </c>
      <c r="I19" s="7"/>
      <c r="J19" s="10">
        <v>4</v>
      </c>
      <c r="K19" s="117">
        <v>2972220</v>
      </c>
      <c r="L19" s="120">
        <f t="shared" si="12"/>
        <v>193.02636706065724</v>
      </c>
      <c r="M19" s="122">
        <f t="shared" si="3"/>
        <v>7430549.5800000001</v>
      </c>
      <c r="N19" s="116">
        <f t="shared" si="4"/>
        <v>4458329.58</v>
      </c>
      <c r="O19" s="123">
        <f t="shared" si="5"/>
        <v>289.53952331471618</v>
      </c>
      <c r="P19" s="5"/>
      <c r="Q19" s="5">
        <f t="shared" si="8"/>
        <v>1</v>
      </c>
      <c r="R19" s="7">
        <f t="shared" si="9"/>
        <v>15398</v>
      </c>
      <c r="S19" s="5">
        <f t="shared" si="6"/>
        <v>1</v>
      </c>
      <c r="T19" s="7">
        <f t="shared" si="7"/>
        <v>15398</v>
      </c>
    </row>
    <row r="20" spans="1:20">
      <c r="A20" s="23" t="s">
        <v>22</v>
      </c>
      <c r="B20" s="35" t="s">
        <v>19</v>
      </c>
      <c r="C20" s="36">
        <v>1122</v>
      </c>
      <c r="D20" s="6"/>
      <c r="E20" s="113">
        <v>368305338</v>
      </c>
      <c r="F20" s="116">
        <f t="shared" si="10"/>
        <v>328257.87700534757</v>
      </c>
      <c r="G20" s="117">
        <v>298180959</v>
      </c>
      <c r="H20" s="117">
        <f t="shared" si="11"/>
        <v>265758.4304812834</v>
      </c>
      <c r="I20" s="7"/>
      <c r="J20" s="11">
        <v>4.3499999999999996</v>
      </c>
      <c r="K20" s="117">
        <v>1297087</v>
      </c>
      <c r="L20" s="120">
        <f t="shared" si="12"/>
        <v>1156.0490196078431</v>
      </c>
      <c r="M20" s="122">
        <f t="shared" si="3"/>
        <v>2981809.59</v>
      </c>
      <c r="N20" s="116">
        <f t="shared" si="4"/>
        <v>1684722.5899999999</v>
      </c>
      <c r="O20" s="123">
        <f t="shared" si="5"/>
        <v>1501.5352852049909</v>
      </c>
      <c r="P20" s="5"/>
      <c r="Q20" s="5">
        <f t="shared" si="8"/>
        <v>1</v>
      </c>
      <c r="R20" s="7">
        <f t="shared" si="9"/>
        <v>1122</v>
      </c>
      <c r="S20" s="5">
        <f t="shared" si="6"/>
        <v>1</v>
      </c>
      <c r="T20" s="7">
        <f t="shared" si="7"/>
        <v>1122</v>
      </c>
    </row>
    <row r="21" spans="1:20">
      <c r="A21" s="23" t="s">
        <v>23</v>
      </c>
      <c r="B21" s="35" t="s">
        <v>19</v>
      </c>
      <c r="C21" s="36">
        <v>37238</v>
      </c>
      <c r="D21" s="6"/>
      <c r="E21" s="113">
        <v>2882172645</v>
      </c>
      <c r="F21" s="116">
        <f t="shared" si="10"/>
        <v>77398.696090015583</v>
      </c>
      <c r="G21" s="117">
        <v>1785781528</v>
      </c>
      <c r="H21" s="117">
        <f t="shared" si="11"/>
        <v>47955.892582845481</v>
      </c>
      <c r="I21" s="7"/>
      <c r="J21" s="10">
        <v>5</v>
      </c>
      <c r="K21" s="117">
        <v>8928908</v>
      </c>
      <c r="L21" s="120">
        <f t="shared" si="12"/>
        <v>239.7794725817713</v>
      </c>
      <c r="M21" s="122">
        <f t="shared" si="3"/>
        <v>17857815.280000001</v>
      </c>
      <c r="N21" s="116">
        <f t="shared" si="4"/>
        <v>8928907.2800000012</v>
      </c>
      <c r="O21" s="123">
        <f t="shared" si="5"/>
        <v>239.77945324668352</v>
      </c>
      <c r="P21" s="5"/>
      <c r="Q21" s="5">
        <f t="shared" si="8"/>
        <v>1</v>
      </c>
      <c r="R21" s="7">
        <f t="shared" si="9"/>
        <v>37238</v>
      </c>
      <c r="S21" s="5">
        <f t="shared" si="6"/>
        <v>1</v>
      </c>
      <c r="T21" s="7">
        <f t="shared" si="7"/>
        <v>37238</v>
      </c>
    </row>
    <row r="22" spans="1:20">
      <c r="A22" s="23" t="s">
        <v>24</v>
      </c>
      <c r="B22" s="35" t="s">
        <v>19</v>
      </c>
      <c r="C22" s="36">
        <v>8972</v>
      </c>
      <c r="D22" s="6"/>
      <c r="E22" s="113">
        <v>3245431261</v>
      </c>
      <c r="F22" s="116">
        <f t="shared" si="10"/>
        <v>361728.85209540796</v>
      </c>
      <c r="G22" s="117">
        <v>2879216439</v>
      </c>
      <c r="H22" s="117">
        <f t="shared" si="11"/>
        <v>320911.32846633974</v>
      </c>
      <c r="I22" s="9" t="s">
        <v>528</v>
      </c>
      <c r="J22" s="12"/>
      <c r="K22" s="117"/>
      <c r="L22" s="120"/>
      <c r="M22" s="122">
        <f t="shared" si="3"/>
        <v>28792164.390000001</v>
      </c>
      <c r="N22" s="116">
        <f t="shared" si="4"/>
        <v>28792164.390000001</v>
      </c>
      <c r="O22" s="123">
        <f t="shared" si="5"/>
        <v>3209.1132846633973</v>
      </c>
      <c r="P22" s="5"/>
      <c r="Q22" s="5">
        <f t="shared" si="8"/>
        <v>1</v>
      </c>
      <c r="R22" s="7">
        <f t="shared" si="9"/>
        <v>8972</v>
      </c>
      <c r="S22" s="5">
        <f t="shared" si="6"/>
        <v>0</v>
      </c>
      <c r="T22" s="7">
        <f t="shared" si="7"/>
        <v>0</v>
      </c>
    </row>
    <row r="23" spans="1:20">
      <c r="A23" s="23" t="s">
        <v>25</v>
      </c>
      <c r="B23" s="35" t="s">
        <v>19</v>
      </c>
      <c r="C23" s="36">
        <v>4709</v>
      </c>
      <c r="D23" s="6"/>
      <c r="E23" s="113">
        <v>233367097</v>
      </c>
      <c r="F23" s="116">
        <f t="shared" si="10"/>
        <v>49557.676152049266</v>
      </c>
      <c r="G23" s="117">
        <v>167721716</v>
      </c>
      <c r="H23" s="117">
        <f t="shared" si="11"/>
        <v>35617.268209811002</v>
      </c>
      <c r="I23" s="9" t="s">
        <v>528</v>
      </c>
      <c r="J23" s="12"/>
      <c r="K23" s="117"/>
      <c r="L23" s="120"/>
      <c r="M23" s="122">
        <f t="shared" si="3"/>
        <v>1677217.1600000001</v>
      </c>
      <c r="N23" s="116">
        <f t="shared" si="4"/>
        <v>1677217.1600000001</v>
      </c>
      <c r="O23" s="123">
        <f t="shared" si="5"/>
        <v>356.17268209811004</v>
      </c>
      <c r="P23" s="5"/>
      <c r="Q23" s="5">
        <f t="shared" si="8"/>
        <v>1</v>
      </c>
      <c r="R23" s="7">
        <f t="shared" si="9"/>
        <v>4709</v>
      </c>
      <c r="S23" s="5">
        <f t="shared" si="6"/>
        <v>0</v>
      </c>
      <c r="T23" s="7">
        <f t="shared" si="7"/>
        <v>0</v>
      </c>
    </row>
    <row r="24" spans="1:20">
      <c r="A24" s="23" t="s">
        <v>26</v>
      </c>
      <c r="B24" s="35" t="s">
        <v>19</v>
      </c>
      <c r="C24" s="36">
        <v>9039</v>
      </c>
      <c r="D24" s="6"/>
      <c r="E24" s="113">
        <v>284333202</v>
      </c>
      <c r="F24" s="116">
        <f t="shared" si="10"/>
        <v>31456.267507467641</v>
      </c>
      <c r="G24" s="117">
        <v>155439595</v>
      </c>
      <c r="H24" s="117">
        <f t="shared" si="11"/>
        <v>17196.54773758159</v>
      </c>
      <c r="I24" s="9" t="s">
        <v>528</v>
      </c>
      <c r="J24" s="10"/>
      <c r="K24" s="117"/>
      <c r="L24" s="120"/>
      <c r="M24" s="122">
        <f t="shared" si="3"/>
        <v>1554395.95</v>
      </c>
      <c r="N24" s="116">
        <f t="shared" si="4"/>
        <v>1554395.95</v>
      </c>
      <c r="O24" s="123">
        <f t="shared" si="5"/>
        <v>171.96547737581591</v>
      </c>
      <c r="P24" s="5"/>
      <c r="Q24" s="5">
        <f t="shared" si="8"/>
        <v>1</v>
      </c>
      <c r="R24" s="7">
        <f t="shared" si="9"/>
        <v>9039</v>
      </c>
      <c r="S24" s="5">
        <f t="shared" si="6"/>
        <v>0</v>
      </c>
      <c r="T24" s="7">
        <f t="shared" si="7"/>
        <v>0</v>
      </c>
    </row>
    <row r="25" spans="1:20">
      <c r="A25" s="23" t="s">
        <v>27</v>
      </c>
      <c r="B25" s="35" t="s">
        <v>28</v>
      </c>
      <c r="C25" s="36">
        <v>321</v>
      </c>
      <c r="D25" s="6"/>
      <c r="E25" s="113">
        <v>9435971</v>
      </c>
      <c r="F25" s="116">
        <f t="shared" si="10"/>
        <v>29395.54828660436</v>
      </c>
      <c r="G25" s="117">
        <v>4523387</v>
      </c>
      <c r="H25" s="117">
        <f t="shared" si="11"/>
        <v>14091.548286604362</v>
      </c>
      <c r="I25" s="7"/>
      <c r="J25" s="10">
        <v>0.40799999999999997</v>
      </c>
      <c r="K25" s="117">
        <v>1846</v>
      </c>
      <c r="L25" s="120">
        <f t="shared" ref="L25:L38" si="13">(K25/C25)</f>
        <v>5.7507788161993769</v>
      </c>
      <c r="M25" s="122">
        <f t="shared" si="3"/>
        <v>45233.87</v>
      </c>
      <c r="N25" s="116">
        <f t="shared" si="4"/>
        <v>43387.87</v>
      </c>
      <c r="O25" s="123">
        <f t="shared" si="5"/>
        <v>135.16470404984423</v>
      </c>
      <c r="P25" s="5"/>
      <c r="Q25" s="5">
        <f t="shared" si="8"/>
        <v>1</v>
      </c>
      <c r="R25" s="7">
        <f t="shared" si="9"/>
        <v>321</v>
      </c>
      <c r="S25" s="5">
        <f t="shared" si="6"/>
        <v>1</v>
      </c>
      <c r="T25" s="7">
        <f t="shared" si="7"/>
        <v>321</v>
      </c>
    </row>
    <row r="26" spans="1:20">
      <c r="A26" s="23" t="s">
        <v>29</v>
      </c>
      <c r="B26" s="35" t="s">
        <v>28</v>
      </c>
      <c r="C26" s="36">
        <v>440</v>
      </c>
      <c r="D26" s="6"/>
      <c r="E26" s="113">
        <v>8809462</v>
      </c>
      <c r="F26" s="116">
        <f t="shared" si="10"/>
        <v>20021.504545454547</v>
      </c>
      <c r="G26" s="117">
        <v>4730216</v>
      </c>
      <c r="H26" s="117">
        <f t="shared" si="11"/>
        <v>10750.49090909091</v>
      </c>
      <c r="I26" s="7"/>
      <c r="J26" s="10">
        <v>0.39190000000000003</v>
      </c>
      <c r="K26" s="117">
        <v>1854</v>
      </c>
      <c r="L26" s="120">
        <f t="shared" si="13"/>
        <v>4.2136363636363638</v>
      </c>
      <c r="M26" s="122">
        <f t="shared" si="3"/>
        <v>47302.16</v>
      </c>
      <c r="N26" s="116">
        <f t="shared" si="4"/>
        <v>45448.160000000003</v>
      </c>
      <c r="O26" s="123">
        <f t="shared" si="5"/>
        <v>103.29127272727274</v>
      </c>
      <c r="P26" s="5"/>
      <c r="Q26" s="5">
        <f t="shared" si="8"/>
        <v>1</v>
      </c>
      <c r="R26" s="7">
        <f t="shared" si="9"/>
        <v>440</v>
      </c>
      <c r="S26" s="5">
        <f t="shared" si="6"/>
        <v>1</v>
      </c>
      <c r="T26" s="7">
        <f t="shared" si="7"/>
        <v>440</v>
      </c>
    </row>
    <row r="27" spans="1:20">
      <c r="A27" s="23" t="s">
        <v>30</v>
      </c>
      <c r="B27" s="35" t="s">
        <v>28</v>
      </c>
      <c r="C27" s="36">
        <v>690</v>
      </c>
      <c r="D27" s="6"/>
      <c r="E27" s="113">
        <v>19684366</v>
      </c>
      <c r="F27" s="116">
        <f t="shared" si="10"/>
        <v>28528.066666666666</v>
      </c>
      <c r="G27" s="117">
        <v>12034550</v>
      </c>
      <c r="H27" s="117">
        <f t="shared" si="11"/>
        <v>17441.376811594204</v>
      </c>
      <c r="I27" s="7"/>
      <c r="J27" s="11">
        <v>1.5348999999999999</v>
      </c>
      <c r="K27" s="117">
        <v>18472</v>
      </c>
      <c r="L27" s="120">
        <f t="shared" si="13"/>
        <v>26.771014492753622</v>
      </c>
      <c r="M27" s="122">
        <f t="shared" si="3"/>
        <v>120345.5</v>
      </c>
      <c r="N27" s="116">
        <f t="shared" si="4"/>
        <v>101873.5</v>
      </c>
      <c r="O27" s="123">
        <f t="shared" si="5"/>
        <v>147.64275362318841</v>
      </c>
      <c r="P27" s="5"/>
      <c r="Q27" s="5">
        <f t="shared" si="8"/>
        <v>1</v>
      </c>
      <c r="R27" s="7">
        <f t="shared" si="9"/>
        <v>690</v>
      </c>
      <c r="S27" s="5">
        <f t="shared" si="6"/>
        <v>1</v>
      </c>
      <c r="T27" s="7">
        <f t="shared" si="7"/>
        <v>690</v>
      </c>
    </row>
    <row r="28" spans="1:20">
      <c r="A28" s="23" t="s">
        <v>31</v>
      </c>
      <c r="B28" s="35" t="s">
        <v>28</v>
      </c>
      <c r="C28" s="36">
        <v>5820</v>
      </c>
      <c r="D28" s="6"/>
      <c r="E28" s="113">
        <v>270973602</v>
      </c>
      <c r="F28" s="116">
        <f t="shared" si="10"/>
        <v>46559.038144329897</v>
      </c>
      <c r="G28" s="117">
        <v>153730256</v>
      </c>
      <c r="H28" s="117">
        <f t="shared" si="11"/>
        <v>26414.133333333335</v>
      </c>
      <c r="I28" s="7"/>
      <c r="J28" s="11">
        <v>4</v>
      </c>
      <c r="K28" s="117">
        <v>614921</v>
      </c>
      <c r="L28" s="120">
        <f t="shared" si="13"/>
        <v>105.65652920962199</v>
      </c>
      <c r="M28" s="122">
        <f t="shared" si="3"/>
        <v>1537302.56</v>
      </c>
      <c r="N28" s="116">
        <f t="shared" si="4"/>
        <v>922381.56</v>
      </c>
      <c r="O28" s="123">
        <f t="shared" si="5"/>
        <v>158.48480412371134</v>
      </c>
      <c r="P28" s="5"/>
      <c r="Q28" s="5">
        <f t="shared" si="8"/>
        <v>1</v>
      </c>
      <c r="R28" s="7">
        <f t="shared" si="9"/>
        <v>5820</v>
      </c>
      <c r="S28" s="5">
        <f t="shared" si="6"/>
        <v>1</v>
      </c>
      <c r="T28" s="7">
        <f t="shared" si="7"/>
        <v>5820</v>
      </c>
    </row>
    <row r="29" spans="1:20">
      <c r="A29" s="23" t="s">
        <v>32</v>
      </c>
      <c r="B29" s="35" t="s">
        <v>33</v>
      </c>
      <c r="C29" s="36">
        <v>10034</v>
      </c>
      <c r="D29" s="6"/>
      <c r="E29" s="113">
        <v>1318607777</v>
      </c>
      <c r="F29" s="116">
        <f t="shared" si="10"/>
        <v>131413.97020131553</v>
      </c>
      <c r="G29" s="117">
        <v>1033238067</v>
      </c>
      <c r="H29" s="117">
        <f t="shared" si="11"/>
        <v>102973.6961331473</v>
      </c>
      <c r="I29" s="7"/>
      <c r="J29" s="11">
        <v>3</v>
      </c>
      <c r="K29" s="117">
        <v>3099714</v>
      </c>
      <c r="L29" s="120">
        <f t="shared" si="13"/>
        <v>308.92106836755033</v>
      </c>
      <c r="M29" s="122">
        <f t="shared" si="3"/>
        <v>10332380.67</v>
      </c>
      <c r="N29" s="116">
        <f t="shared" si="4"/>
        <v>7232666.6699999999</v>
      </c>
      <c r="O29" s="123">
        <f t="shared" si="5"/>
        <v>720.81589296392269</v>
      </c>
      <c r="P29" s="5"/>
      <c r="Q29" s="5">
        <f t="shared" si="8"/>
        <v>1</v>
      </c>
      <c r="R29" s="7">
        <f t="shared" si="9"/>
        <v>10034</v>
      </c>
      <c r="S29" s="5">
        <f t="shared" si="6"/>
        <v>1</v>
      </c>
      <c r="T29" s="7">
        <f t="shared" si="7"/>
        <v>10034</v>
      </c>
    </row>
    <row r="30" spans="1:20">
      <c r="A30" s="23" t="s">
        <v>34</v>
      </c>
      <c r="B30" s="35" t="s">
        <v>33</v>
      </c>
      <c r="C30" s="36">
        <v>17606</v>
      </c>
      <c r="D30" s="6"/>
      <c r="E30" s="113">
        <v>1459254103</v>
      </c>
      <c r="F30" s="116">
        <f t="shared" si="10"/>
        <v>82883.909065091444</v>
      </c>
      <c r="G30" s="117">
        <v>944312157</v>
      </c>
      <c r="H30" s="117">
        <f t="shared" si="11"/>
        <v>53635.814892650233</v>
      </c>
      <c r="I30" s="7"/>
      <c r="J30" s="10">
        <v>4.8026</v>
      </c>
      <c r="K30" s="117">
        <v>4535154</v>
      </c>
      <c r="L30" s="120">
        <f t="shared" si="13"/>
        <v>257.59138929910256</v>
      </c>
      <c r="M30" s="122">
        <f t="shared" si="3"/>
        <v>9443121.5700000003</v>
      </c>
      <c r="N30" s="116">
        <f t="shared" si="4"/>
        <v>4907967.57</v>
      </c>
      <c r="O30" s="123">
        <f t="shared" si="5"/>
        <v>278.76675962739978</v>
      </c>
      <c r="P30" s="5"/>
      <c r="Q30" s="5">
        <f t="shared" si="8"/>
        <v>1</v>
      </c>
      <c r="R30" s="7">
        <f t="shared" si="9"/>
        <v>17606</v>
      </c>
      <c r="S30" s="5">
        <f t="shared" si="6"/>
        <v>1</v>
      </c>
      <c r="T30" s="7">
        <f t="shared" si="7"/>
        <v>17606</v>
      </c>
    </row>
    <row r="31" spans="1:20">
      <c r="A31" s="23" t="s">
        <v>35</v>
      </c>
      <c r="B31" s="35" t="s">
        <v>33</v>
      </c>
      <c r="C31" s="36">
        <v>12880</v>
      </c>
      <c r="D31" s="6"/>
      <c r="E31" s="113">
        <v>2564090721</v>
      </c>
      <c r="F31" s="116">
        <f t="shared" si="10"/>
        <v>199075.36653726708</v>
      </c>
      <c r="G31" s="117">
        <v>1674992031</v>
      </c>
      <c r="H31" s="117">
        <f t="shared" si="11"/>
        <v>130045.96513975156</v>
      </c>
      <c r="I31" s="7"/>
      <c r="J31" s="10">
        <v>4.0999999999999996</v>
      </c>
      <c r="K31" s="117">
        <v>6867467</v>
      </c>
      <c r="L31" s="120">
        <f t="shared" si="13"/>
        <v>533.18843167701868</v>
      </c>
      <c r="M31" s="122">
        <f t="shared" si="3"/>
        <v>16749920.310000001</v>
      </c>
      <c r="N31" s="116">
        <f t="shared" si="4"/>
        <v>9882453.3100000005</v>
      </c>
      <c r="O31" s="123">
        <f t="shared" si="5"/>
        <v>767.2712197204969</v>
      </c>
      <c r="P31" s="5"/>
      <c r="Q31" s="5">
        <f t="shared" si="8"/>
        <v>1</v>
      </c>
      <c r="R31" s="7">
        <f t="shared" si="9"/>
        <v>12880</v>
      </c>
      <c r="S31" s="5">
        <f t="shared" si="6"/>
        <v>1</v>
      </c>
      <c r="T31" s="7">
        <f t="shared" si="7"/>
        <v>12880</v>
      </c>
    </row>
    <row r="32" spans="1:20">
      <c r="A32" s="23" t="s">
        <v>36</v>
      </c>
      <c r="B32" s="35" t="s">
        <v>33</v>
      </c>
      <c r="C32" s="36">
        <v>3059</v>
      </c>
      <c r="D32" s="6"/>
      <c r="E32" s="113">
        <v>500090237</v>
      </c>
      <c r="F32" s="116">
        <f t="shared" si="10"/>
        <v>163481.60738803531</v>
      </c>
      <c r="G32" s="117">
        <v>301267557</v>
      </c>
      <c r="H32" s="117">
        <f t="shared" si="11"/>
        <v>98485.634847989539</v>
      </c>
      <c r="I32" s="7"/>
      <c r="J32" s="10">
        <v>4.6203000000000003</v>
      </c>
      <c r="K32" s="117">
        <v>1391946</v>
      </c>
      <c r="L32" s="120">
        <f t="shared" si="13"/>
        <v>455.03301732592348</v>
      </c>
      <c r="M32" s="122">
        <f t="shared" si="3"/>
        <v>3012675.57</v>
      </c>
      <c r="N32" s="116">
        <f t="shared" si="4"/>
        <v>1620729.5699999998</v>
      </c>
      <c r="O32" s="123">
        <f t="shared" si="5"/>
        <v>529.82333115397182</v>
      </c>
      <c r="P32" s="5"/>
      <c r="Q32" s="5">
        <f t="shared" si="8"/>
        <v>1</v>
      </c>
      <c r="R32" s="7">
        <f t="shared" si="9"/>
        <v>3059</v>
      </c>
      <c r="S32" s="5">
        <f t="shared" si="6"/>
        <v>1</v>
      </c>
      <c r="T32" s="7">
        <f t="shared" si="7"/>
        <v>3059</v>
      </c>
    </row>
    <row r="33" spans="1:20">
      <c r="A33" s="23" t="s">
        <v>37</v>
      </c>
      <c r="B33" s="35" t="s">
        <v>33</v>
      </c>
      <c r="C33" s="36">
        <v>8672</v>
      </c>
      <c r="D33" s="6"/>
      <c r="E33" s="113">
        <v>1216899846</v>
      </c>
      <c r="F33" s="116">
        <f t="shared" si="10"/>
        <v>140325.16674354245</v>
      </c>
      <c r="G33" s="117">
        <v>762327986</v>
      </c>
      <c r="H33" s="117">
        <f t="shared" si="11"/>
        <v>87906.824953874544</v>
      </c>
      <c r="I33" s="7"/>
      <c r="J33" s="10">
        <v>4.7050000000000001</v>
      </c>
      <c r="K33" s="117">
        <v>3586753</v>
      </c>
      <c r="L33" s="120">
        <f t="shared" si="13"/>
        <v>413.60159132841329</v>
      </c>
      <c r="M33" s="122">
        <f t="shared" si="3"/>
        <v>7623279.8600000003</v>
      </c>
      <c r="N33" s="116">
        <f t="shared" si="4"/>
        <v>4036526.8600000003</v>
      </c>
      <c r="O33" s="123">
        <f t="shared" si="5"/>
        <v>465.46665821033213</v>
      </c>
      <c r="P33" s="5"/>
      <c r="Q33" s="5">
        <f t="shared" si="8"/>
        <v>1</v>
      </c>
      <c r="R33" s="7">
        <f t="shared" si="9"/>
        <v>8672</v>
      </c>
      <c r="S33" s="5">
        <f t="shared" si="6"/>
        <v>1</v>
      </c>
      <c r="T33" s="7">
        <f t="shared" si="7"/>
        <v>8672</v>
      </c>
    </row>
    <row r="34" spans="1:20">
      <c r="A34" s="23" t="s">
        <v>38</v>
      </c>
      <c r="B34" s="35" t="s">
        <v>33</v>
      </c>
      <c r="C34" s="36">
        <v>2843</v>
      </c>
      <c r="D34" s="6"/>
      <c r="E34" s="113">
        <v>316793437</v>
      </c>
      <c r="F34" s="116">
        <f t="shared" si="10"/>
        <v>111429.27787548365</v>
      </c>
      <c r="G34" s="117">
        <v>202294857</v>
      </c>
      <c r="H34" s="117">
        <f t="shared" si="11"/>
        <v>71155.419275413296</v>
      </c>
      <c r="I34" s="7"/>
      <c r="J34" s="10">
        <v>1.5993999999999999</v>
      </c>
      <c r="K34" s="117">
        <v>323550</v>
      </c>
      <c r="L34" s="120">
        <f t="shared" si="13"/>
        <v>113.80583890256771</v>
      </c>
      <c r="M34" s="122">
        <f t="shared" si="3"/>
        <v>2022948.57</v>
      </c>
      <c r="N34" s="116">
        <f t="shared" si="4"/>
        <v>1699398.57</v>
      </c>
      <c r="O34" s="123">
        <f t="shared" si="5"/>
        <v>597.7483538515653</v>
      </c>
      <c r="P34" s="5"/>
      <c r="Q34" s="5">
        <f t="shared" si="8"/>
        <v>1</v>
      </c>
      <c r="R34" s="7">
        <f t="shared" si="9"/>
        <v>2843</v>
      </c>
      <c r="S34" s="5">
        <f t="shared" si="6"/>
        <v>1</v>
      </c>
      <c r="T34" s="7">
        <f t="shared" si="7"/>
        <v>2843</v>
      </c>
    </row>
    <row r="35" spans="1:20">
      <c r="A35" s="23" t="s">
        <v>39</v>
      </c>
      <c r="B35" s="35" t="s">
        <v>33</v>
      </c>
      <c r="C35" s="36">
        <v>75060</v>
      </c>
      <c r="D35" s="6"/>
      <c r="E35" s="113">
        <v>6355419923</v>
      </c>
      <c r="F35" s="116">
        <f t="shared" si="10"/>
        <v>84671.195350386362</v>
      </c>
      <c r="G35" s="117">
        <v>3791545608</v>
      </c>
      <c r="H35" s="117">
        <f t="shared" si="11"/>
        <v>50513.530615507596</v>
      </c>
      <c r="I35" s="7"/>
      <c r="J35" s="10">
        <v>4.7415000000000003</v>
      </c>
      <c r="K35" s="117">
        <v>17977614</v>
      </c>
      <c r="L35" s="120">
        <f t="shared" si="13"/>
        <v>239.50991207034372</v>
      </c>
      <c r="M35" s="122">
        <f t="shared" si="3"/>
        <v>37915456.079999998</v>
      </c>
      <c r="N35" s="116">
        <f t="shared" si="4"/>
        <v>19937842.079999998</v>
      </c>
      <c r="O35" s="123">
        <f t="shared" si="5"/>
        <v>265.62539408473219</v>
      </c>
      <c r="P35" s="5"/>
      <c r="Q35" s="5">
        <f t="shared" si="8"/>
        <v>1</v>
      </c>
      <c r="R35" s="7">
        <f t="shared" si="9"/>
        <v>75060</v>
      </c>
      <c r="S35" s="5">
        <f t="shared" si="6"/>
        <v>1</v>
      </c>
      <c r="T35" s="7">
        <f t="shared" si="7"/>
        <v>75060</v>
      </c>
    </row>
    <row r="36" spans="1:20">
      <c r="A36" s="23" t="s">
        <v>40</v>
      </c>
      <c r="B36" s="35" t="s">
        <v>33</v>
      </c>
      <c r="C36" s="36">
        <v>3405</v>
      </c>
      <c r="D36" s="6"/>
      <c r="E36" s="113">
        <v>561102622</v>
      </c>
      <c r="F36" s="116">
        <f t="shared" si="10"/>
        <v>164787.84787077826</v>
      </c>
      <c r="G36" s="117">
        <v>310599303</v>
      </c>
      <c r="H36" s="117">
        <f t="shared" si="11"/>
        <v>91218.591189427316</v>
      </c>
      <c r="I36" s="7"/>
      <c r="J36" s="10">
        <v>2.8664999999999998</v>
      </c>
      <c r="K36" s="117">
        <v>890333</v>
      </c>
      <c r="L36" s="120">
        <f t="shared" si="13"/>
        <v>261.47812041116003</v>
      </c>
      <c r="M36" s="122">
        <f t="shared" si="3"/>
        <v>3105993.0300000003</v>
      </c>
      <c r="N36" s="116">
        <f t="shared" si="4"/>
        <v>2215660.0300000003</v>
      </c>
      <c r="O36" s="123">
        <f t="shared" si="5"/>
        <v>650.70779148311317</v>
      </c>
      <c r="P36" s="5"/>
      <c r="Q36" s="5">
        <f t="shared" si="8"/>
        <v>1</v>
      </c>
      <c r="R36" s="7">
        <f t="shared" si="9"/>
        <v>3405</v>
      </c>
      <c r="S36" s="5">
        <f t="shared" si="6"/>
        <v>1</v>
      </c>
      <c r="T36" s="7">
        <f t="shared" si="7"/>
        <v>3405</v>
      </c>
    </row>
    <row r="37" spans="1:20">
      <c r="A37" s="23" t="s">
        <v>41</v>
      </c>
      <c r="B37" s="35" t="s">
        <v>33</v>
      </c>
      <c r="C37" s="36">
        <v>719</v>
      </c>
      <c r="D37" s="6"/>
      <c r="E37" s="113">
        <v>84367085</v>
      </c>
      <c r="F37" s="116">
        <f t="shared" si="10"/>
        <v>117339.47844228095</v>
      </c>
      <c r="G37" s="117">
        <v>47359415</v>
      </c>
      <c r="H37" s="117">
        <f t="shared" si="11"/>
        <v>65868.449235048683</v>
      </c>
      <c r="I37" s="7"/>
      <c r="J37" s="10">
        <v>4.5890000000000004</v>
      </c>
      <c r="K37" s="117">
        <v>217332</v>
      </c>
      <c r="L37" s="120">
        <f t="shared" si="13"/>
        <v>302.26981919332405</v>
      </c>
      <c r="M37" s="122">
        <f t="shared" si="3"/>
        <v>473594.15</v>
      </c>
      <c r="N37" s="116">
        <f t="shared" si="4"/>
        <v>256262.15000000002</v>
      </c>
      <c r="O37" s="123">
        <f t="shared" si="5"/>
        <v>356.41467315716278</v>
      </c>
      <c r="P37" s="5"/>
      <c r="Q37" s="5">
        <f t="shared" si="8"/>
        <v>1</v>
      </c>
      <c r="R37" s="7">
        <f t="shared" si="9"/>
        <v>719</v>
      </c>
      <c r="S37" s="5">
        <f t="shared" si="6"/>
        <v>1</v>
      </c>
      <c r="T37" s="7">
        <f t="shared" si="7"/>
        <v>719</v>
      </c>
    </row>
    <row r="38" spans="1:20">
      <c r="A38" s="23" t="s">
        <v>42</v>
      </c>
      <c r="B38" s="35" t="s">
        <v>33</v>
      </c>
      <c r="C38" s="36">
        <v>91888</v>
      </c>
      <c r="D38" s="6"/>
      <c r="E38" s="113">
        <v>6340366524</v>
      </c>
      <c r="F38" s="116">
        <f t="shared" si="10"/>
        <v>69001.028687097336</v>
      </c>
      <c r="G38" s="117">
        <v>3995099400</v>
      </c>
      <c r="H38" s="117">
        <f t="shared" si="11"/>
        <v>43477.923123802888</v>
      </c>
      <c r="I38" s="7"/>
      <c r="J38" s="10">
        <v>5.5739999999999998</v>
      </c>
      <c r="K38" s="117">
        <v>22268684</v>
      </c>
      <c r="L38" s="120">
        <f t="shared" si="13"/>
        <v>242.34594288699287</v>
      </c>
      <c r="M38" s="122">
        <f t="shared" si="3"/>
        <v>39950994</v>
      </c>
      <c r="N38" s="116">
        <f t="shared" si="4"/>
        <v>17682310</v>
      </c>
      <c r="O38" s="123">
        <f t="shared" si="5"/>
        <v>192.43328835103605</v>
      </c>
      <c r="P38" s="5"/>
      <c r="Q38" s="5">
        <f t="shared" si="8"/>
        <v>1</v>
      </c>
      <c r="R38" s="7">
        <f t="shared" si="9"/>
        <v>91888</v>
      </c>
      <c r="S38" s="5">
        <f t="shared" si="6"/>
        <v>1</v>
      </c>
      <c r="T38" s="7">
        <f t="shared" si="7"/>
        <v>91888</v>
      </c>
    </row>
    <row r="39" spans="1:20">
      <c r="A39" s="23" t="s">
        <v>43</v>
      </c>
      <c r="B39" s="35" t="s">
        <v>33</v>
      </c>
      <c r="C39" s="36">
        <v>942</v>
      </c>
      <c r="D39" s="6"/>
      <c r="E39" s="113">
        <v>74339426</v>
      </c>
      <c r="F39" s="116">
        <f t="shared" si="10"/>
        <v>78916.588110403391</v>
      </c>
      <c r="G39" s="117">
        <v>47937716</v>
      </c>
      <c r="H39" s="117">
        <f t="shared" si="11"/>
        <v>50889.295116772824</v>
      </c>
      <c r="I39" s="9" t="s">
        <v>528</v>
      </c>
      <c r="J39" s="10"/>
      <c r="K39" s="117"/>
      <c r="L39" s="120"/>
      <c r="M39" s="122">
        <f t="shared" si="3"/>
        <v>479377.16000000003</v>
      </c>
      <c r="N39" s="116">
        <f t="shared" si="4"/>
        <v>479377.16000000003</v>
      </c>
      <c r="O39" s="123">
        <f t="shared" si="5"/>
        <v>508.89295116772826</v>
      </c>
      <c r="P39" s="5"/>
      <c r="Q39" s="5">
        <f t="shared" si="8"/>
        <v>1</v>
      </c>
      <c r="R39" s="7">
        <f t="shared" si="9"/>
        <v>942</v>
      </c>
      <c r="S39" s="5">
        <f t="shared" si="6"/>
        <v>0</v>
      </c>
      <c r="T39" s="7">
        <f t="shared" si="7"/>
        <v>0</v>
      </c>
    </row>
    <row r="40" spans="1:20">
      <c r="A40" s="23" t="s">
        <v>44</v>
      </c>
      <c r="B40" s="35" t="s">
        <v>33</v>
      </c>
      <c r="C40" s="36">
        <v>24587</v>
      </c>
      <c r="D40" s="6"/>
      <c r="E40" s="113">
        <v>2057226612</v>
      </c>
      <c r="F40" s="116">
        <f t="shared" si="10"/>
        <v>83671.314597144839</v>
      </c>
      <c r="G40" s="117">
        <v>1194916750</v>
      </c>
      <c r="H40" s="117">
        <f t="shared" si="11"/>
        <v>48599.534306747468</v>
      </c>
      <c r="I40" s="7"/>
      <c r="J40" s="10">
        <v>5.29</v>
      </c>
      <c r="K40" s="117">
        <v>6321110</v>
      </c>
      <c r="L40" s="120">
        <f>(K40/C40)</f>
        <v>257.09155244641477</v>
      </c>
      <c r="M40" s="122">
        <f t="shared" si="3"/>
        <v>11949167.5</v>
      </c>
      <c r="N40" s="116">
        <f t="shared" si="4"/>
        <v>5628057.5</v>
      </c>
      <c r="O40" s="123">
        <f t="shared" si="5"/>
        <v>228.9037906210599</v>
      </c>
      <c r="P40" s="5"/>
      <c r="Q40" s="5">
        <f t="shared" si="8"/>
        <v>1</v>
      </c>
      <c r="R40" s="7">
        <f t="shared" si="9"/>
        <v>24587</v>
      </c>
      <c r="S40" s="5">
        <f t="shared" si="6"/>
        <v>1</v>
      </c>
      <c r="T40" s="7">
        <f t="shared" si="7"/>
        <v>24587</v>
      </c>
    </row>
    <row r="41" spans="1:20">
      <c r="A41" s="23" t="s">
        <v>45</v>
      </c>
      <c r="B41" s="35" t="s">
        <v>33</v>
      </c>
      <c r="C41" s="36">
        <v>11205</v>
      </c>
      <c r="D41" s="6"/>
      <c r="E41" s="113">
        <v>1349219920</v>
      </c>
      <c r="F41" s="116">
        <f t="shared" si="10"/>
        <v>120412.30879071842</v>
      </c>
      <c r="G41" s="117">
        <v>723977620</v>
      </c>
      <c r="H41" s="117">
        <f t="shared" si="11"/>
        <v>64612.014279339579</v>
      </c>
      <c r="I41" s="7"/>
      <c r="J41" s="10">
        <v>6.3596000000000004</v>
      </c>
      <c r="K41" s="121">
        <v>4604208</v>
      </c>
      <c r="L41" s="120">
        <f>(K41/C41)</f>
        <v>410.90655957161982</v>
      </c>
      <c r="M41" s="122">
        <f t="shared" si="3"/>
        <v>7239776.2000000002</v>
      </c>
      <c r="N41" s="116">
        <f t="shared" si="4"/>
        <v>2635568.2000000002</v>
      </c>
      <c r="O41" s="123">
        <f t="shared" si="5"/>
        <v>235.21358322177602</v>
      </c>
      <c r="P41" s="5"/>
      <c r="Q41" s="5">
        <f t="shared" si="8"/>
        <v>1</v>
      </c>
      <c r="R41" s="7">
        <f t="shared" si="9"/>
        <v>11205</v>
      </c>
      <c r="S41" s="5">
        <f t="shared" si="6"/>
        <v>1</v>
      </c>
      <c r="T41" s="7">
        <f t="shared" si="7"/>
        <v>11205</v>
      </c>
    </row>
    <row r="42" spans="1:20">
      <c r="A42" s="23" t="s">
        <v>46</v>
      </c>
      <c r="B42" s="35" t="s">
        <v>33</v>
      </c>
      <c r="C42" s="36">
        <v>43751</v>
      </c>
      <c r="D42" s="6"/>
      <c r="E42" s="113">
        <v>2819969580</v>
      </c>
      <c r="F42" s="116">
        <f t="shared" si="10"/>
        <v>64454.974286302029</v>
      </c>
      <c r="G42" s="117">
        <v>1651415892</v>
      </c>
      <c r="H42" s="117">
        <f t="shared" si="11"/>
        <v>37745.786199172588</v>
      </c>
      <c r="I42" s="7"/>
      <c r="J42" s="10">
        <v>5.6672000000000002</v>
      </c>
      <c r="K42" s="117">
        <v>9358904</v>
      </c>
      <c r="L42" s="120">
        <f>(K42/C42)</f>
        <v>213.91291627619941</v>
      </c>
      <c r="M42" s="122">
        <f t="shared" si="3"/>
        <v>16514158.92</v>
      </c>
      <c r="N42" s="116">
        <f t="shared" si="4"/>
        <v>7155254.9199999999</v>
      </c>
      <c r="O42" s="123">
        <f t="shared" si="5"/>
        <v>163.5449457155265</v>
      </c>
      <c r="P42" s="5"/>
      <c r="Q42" s="5">
        <f t="shared" si="8"/>
        <v>1</v>
      </c>
      <c r="R42" s="7">
        <f t="shared" si="9"/>
        <v>43751</v>
      </c>
      <c r="S42" s="5">
        <f t="shared" si="6"/>
        <v>1</v>
      </c>
      <c r="T42" s="7">
        <f t="shared" si="7"/>
        <v>43751</v>
      </c>
    </row>
    <row r="43" spans="1:20">
      <c r="A43" s="23" t="s">
        <v>47</v>
      </c>
      <c r="B43" s="35" t="s">
        <v>33</v>
      </c>
      <c r="C43" s="36">
        <v>15059</v>
      </c>
      <c r="D43" s="6"/>
      <c r="E43" s="113">
        <v>1362392837</v>
      </c>
      <c r="F43" s="116">
        <f t="shared" si="10"/>
        <v>90470.339132744542</v>
      </c>
      <c r="G43" s="117">
        <v>963110747</v>
      </c>
      <c r="H43" s="117">
        <f t="shared" si="11"/>
        <v>63955.823560661396</v>
      </c>
      <c r="I43" s="9" t="s">
        <v>528</v>
      </c>
      <c r="J43" s="10"/>
      <c r="K43" s="117"/>
      <c r="L43" s="120"/>
      <c r="M43" s="122">
        <f t="shared" si="3"/>
        <v>9631107.4700000007</v>
      </c>
      <c r="N43" s="116">
        <f t="shared" si="4"/>
        <v>9631107.4700000007</v>
      </c>
      <c r="O43" s="123">
        <f t="shared" si="5"/>
        <v>639.55823560661406</v>
      </c>
      <c r="P43" s="5"/>
      <c r="Q43" s="5">
        <f t="shared" si="8"/>
        <v>1</v>
      </c>
      <c r="R43" s="7">
        <f t="shared" si="9"/>
        <v>15059</v>
      </c>
      <c r="S43" s="5">
        <f t="shared" si="6"/>
        <v>0</v>
      </c>
      <c r="T43" s="7">
        <f t="shared" si="7"/>
        <v>0</v>
      </c>
    </row>
    <row r="44" spans="1:20">
      <c r="A44" s="23" t="s">
        <v>48</v>
      </c>
      <c r="B44" s="35" t="s">
        <v>49</v>
      </c>
      <c r="C44" s="36">
        <v>48340</v>
      </c>
      <c r="D44" s="6"/>
      <c r="E44" s="113">
        <v>4309649421</v>
      </c>
      <c r="F44" s="116">
        <f t="shared" si="10"/>
        <v>89152.863487794792</v>
      </c>
      <c r="G44" s="117">
        <v>2855509788</v>
      </c>
      <c r="H44" s="117">
        <f t="shared" si="11"/>
        <v>59071.36508067853</v>
      </c>
      <c r="I44" s="7"/>
      <c r="J44" s="11">
        <v>5.3407999999999998</v>
      </c>
      <c r="K44" s="117">
        <v>15250707</v>
      </c>
      <c r="L44" s="120">
        <f t="shared" ref="L44:L71" si="14">(K44/C44)</f>
        <v>315.48835333057508</v>
      </c>
      <c r="M44" s="122">
        <f t="shared" si="3"/>
        <v>28555097.879999999</v>
      </c>
      <c r="N44" s="116">
        <f t="shared" si="4"/>
        <v>13304390.879999999</v>
      </c>
      <c r="O44" s="123">
        <f t="shared" si="5"/>
        <v>275.22529747621013</v>
      </c>
      <c r="P44" s="5"/>
      <c r="Q44" s="5">
        <f t="shared" si="8"/>
        <v>1</v>
      </c>
      <c r="R44" s="7">
        <f t="shared" si="9"/>
        <v>48340</v>
      </c>
      <c r="S44" s="5">
        <f t="shared" si="6"/>
        <v>1</v>
      </c>
      <c r="T44" s="7">
        <f t="shared" si="7"/>
        <v>48340</v>
      </c>
    </row>
    <row r="45" spans="1:20">
      <c r="A45" s="23" t="s">
        <v>50</v>
      </c>
      <c r="B45" s="35" t="s">
        <v>49</v>
      </c>
      <c r="C45" s="36">
        <v>29369</v>
      </c>
      <c r="D45" s="6"/>
      <c r="E45" s="113">
        <v>3009248340</v>
      </c>
      <c r="F45" s="116">
        <f t="shared" si="10"/>
        <v>102463.42538050325</v>
      </c>
      <c r="G45" s="117">
        <v>1833005673</v>
      </c>
      <c r="H45" s="117">
        <f t="shared" si="11"/>
        <v>62412.941298648235</v>
      </c>
      <c r="I45" s="7"/>
      <c r="J45" s="10">
        <v>5.6870000000000003</v>
      </c>
      <c r="K45" s="117">
        <v>10424303</v>
      </c>
      <c r="L45" s="120">
        <f t="shared" si="14"/>
        <v>354.94238823249003</v>
      </c>
      <c r="M45" s="122">
        <f t="shared" si="3"/>
        <v>18330056.73</v>
      </c>
      <c r="N45" s="116">
        <f t="shared" si="4"/>
        <v>7905753.7300000004</v>
      </c>
      <c r="O45" s="123">
        <f t="shared" si="5"/>
        <v>269.18702475399232</v>
      </c>
      <c r="P45" s="5"/>
      <c r="Q45" s="5">
        <f t="shared" si="8"/>
        <v>1</v>
      </c>
      <c r="R45" s="7">
        <f t="shared" si="9"/>
        <v>29369</v>
      </c>
      <c r="S45" s="5">
        <f t="shared" si="6"/>
        <v>1</v>
      </c>
      <c r="T45" s="7">
        <f t="shared" si="7"/>
        <v>29369</v>
      </c>
    </row>
    <row r="46" spans="1:20">
      <c r="A46" s="23" t="s">
        <v>51</v>
      </c>
      <c r="B46" s="35" t="s">
        <v>49</v>
      </c>
      <c r="C46" s="36">
        <v>126852</v>
      </c>
      <c r="D46" s="6"/>
      <c r="E46" s="113">
        <v>11684429833</v>
      </c>
      <c r="F46" s="116">
        <f t="shared" si="10"/>
        <v>92110.726145429318</v>
      </c>
      <c r="G46" s="117">
        <v>8243839592</v>
      </c>
      <c r="H46" s="117">
        <f t="shared" si="11"/>
        <v>64987.856651846247</v>
      </c>
      <c r="I46" s="7"/>
      <c r="J46" s="10">
        <v>3.8715000000000002</v>
      </c>
      <c r="K46" s="117">
        <v>31906025</v>
      </c>
      <c r="L46" s="120">
        <f t="shared" si="14"/>
        <v>251.52165515719105</v>
      </c>
      <c r="M46" s="122">
        <f t="shared" si="3"/>
        <v>82438395.920000002</v>
      </c>
      <c r="N46" s="116">
        <f t="shared" si="4"/>
        <v>50532370.920000002</v>
      </c>
      <c r="O46" s="123">
        <f t="shared" si="5"/>
        <v>398.35691136127144</v>
      </c>
      <c r="P46" s="5"/>
      <c r="Q46" s="5">
        <f t="shared" si="8"/>
        <v>1</v>
      </c>
      <c r="R46" s="7">
        <f t="shared" si="9"/>
        <v>126852</v>
      </c>
      <c r="S46" s="5">
        <f t="shared" si="6"/>
        <v>1</v>
      </c>
      <c r="T46" s="7">
        <f t="shared" si="7"/>
        <v>126852</v>
      </c>
    </row>
    <row r="47" spans="1:20">
      <c r="A47" s="23" t="s">
        <v>464</v>
      </c>
      <c r="B47" s="35" t="s">
        <v>49</v>
      </c>
      <c r="C47" s="36">
        <v>28647</v>
      </c>
      <c r="D47" s="6"/>
      <c r="E47" s="113">
        <v>3379087674</v>
      </c>
      <c r="F47" s="116">
        <f t="shared" si="10"/>
        <v>117956.07477222745</v>
      </c>
      <c r="G47" s="117">
        <v>2484825696</v>
      </c>
      <c r="H47" s="117">
        <f t="shared" si="11"/>
        <v>86739.473452717561</v>
      </c>
      <c r="I47" s="7"/>
      <c r="J47" s="10">
        <v>6.39</v>
      </c>
      <c r="K47" s="117">
        <v>15878036</v>
      </c>
      <c r="L47" s="120">
        <f t="shared" si="14"/>
        <v>554.26522847069498</v>
      </c>
      <c r="M47" s="122">
        <f t="shared" si="3"/>
        <v>24848256.960000001</v>
      </c>
      <c r="N47" s="116">
        <f t="shared" si="4"/>
        <v>8970220.9600000009</v>
      </c>
      <c r="O47" s="123">
        <f t="shared" si="5"/>
        <v>313.12950605648064</v>
      </c>
      <c r="P47" s="5"/>
      <c r="Q47" s="5">
        <f t="shared" si="8"/>
        <v>1</v>
      </c>
      <c r="R47" s="7">
        <f t="shared" si="9"/>
        <v>28647</v>
      </c>
      <c r="S47" s="5">
        <f t="shared" si="6"/>
        <v>1</v>
      </c>
      <c r="T47" s="7">
        <f t="shared" si="7"/>
        <v>28647</v>
      </c>
    </row>
    <row r="48" spans="1:20">
      <c r="A48" s="23" t="s">
        <v>52</v>
      </c>
      <c r="B48" s="35" t="s">
        <v>49</v>
      </c>
      <c r="C48" s="36">
        <v>83726</v>
      </c>
      <c r="D48" s="6"/>
      <c r="E48" s="113">
        <v>9024395171</v>
      </c>
      <c r="F48" s="116">
        <f t="shared" ref="F48:F79" si="15">(E48/C48)</f>
        <v>107784.85979265701</v>
      </c>
      <c r="G48" s="117">
        <v>6063118224</v>
      </c>
      <c r="H48" s="117">
        <f t="shared" ref="H48:H79" si="16">(G48/C48)</f>
        <v>72416.193583832981</v>
      </c>
      <c r="I48" s="7"/>
      <c r="J48" s="11">
        <v>5.0999999999999996</v>
      </c>
      <c r="K48" s="117">
        <v>30921903</v>
      </c>
      <c r="L48" s="120">
        <f t="shared" si="14"/>
        <v>369.32258796550656</v>
      </c>
      <c r="M48" s="122">
        <f t="shared" si="3"/>
        <v>60631182.240000002</v>
      </c>
      <c r="N48" s="116">
        <f t="shared" si="4"/>
        <v>29709279.240000002</v>
      </c>
      <c r="O48" s="123">
        <f t="shared" si="5"/>
        <v>354.83934787282328</v>
      </c>
      <c r="P48" s="5"/>
      <c r="Q48" s="5">
        <f t="shared" si="8"/>
        <v>1</v>
      </c>
      <c r="R48" s="7">
        <f t="shared" si="9"/>
        <v>83726</v>
      </c>
      <c r="S48" s="5">
        <f t="shared" si="6"/>
        <v>1</v>
      </c>
      <c r="T48" s="7">
        <f t="shared" si="7"/>
        <v>83726</v>
      </c>
    </row>
    <row r="49" spans="1:20">
      <c r="A49" s="23" t="s">
        <v>53</v>
      </c>
      <c r="B49" s="35" t="s">
        <v>49</v>
      </c>
      <c r="C49" s="36">
        <v>75160</v>
      </c>
      <c r="D49" s="6"/>
      <c r="E49" s="113">
        <v>7624395662</v>
      </c>
      <c r="F49" s="116">
        <f t="shared" si="15"/>
        <v>101442.19880255454</v>
      </c>
      <c r="G49" s="117">
        <v>5584932684</v>
      </c>
      <c r="H49" s="117">
        <f t="shared" si="16"/>
        <v>74307.246993081426</v>
      </c>
      <c r="I49" s="7"/>
      <c r="J49" s="10">
        <v>5.9949000000000003</v>
      </c>
      <c r="K49" s="117">
        <v>33481113</v>
      </c>
      <c r="L49" s="120">
        <f t="shared" si="14"/>
        <v>445.46451569984032</v>
      </c>
      <c r="M49" s="122">
        <f t="shared" si="3"/>
        <v>55849326.840000004</v>
      </c>
      <c r="N49" s="116">
        <f t="shared" si="4"/>
        <v>22368213.840000004</v>
      </c>
      <c r="O49" s="123">
        <f t="shared" si="5"/>
        <v>297.60795423097397</v>
      </c>
      <c r="P49" s="5"/>
      <c r="Q49" s="5">
        <f t="shared" si="8"/>
        <v>1</v>
      </c>
      <c r="R49" s="7">
        <f t="shared" si="9"/>
        <v>75160</v>
      </c>
      <c r="S49" s="5">
        <f t="shared" si="6"/>
        <v>1</v>
      </c>
      <c r="T49" s="7">
        <f t="shared" si="7"/>
        <v>75160</v>
      </c>
    </row>
    <row r="50" spans="1:20">
      <c r="A50" s="23" t="s">
        <v>54</v>
      </c>
      <c r="B50" s="35" t="s">
        <v>49</v>
      </c>
      <c r="C50" s="36">
        <v>171344</v>
      </c>
      <c r="D50" s="6"/>
      <c r="E50" s="113">
        <v>32838111550</v>
      </c>
      <c r="F50" s="116">
        <f t="shared" si="15"/>
        <v>191650.19813941544</v>
      </c>
      <c r="G50" s="117">
        <v>23751646849</v>
      </c>
      <c r="H50" s="117">
        <f t="shared" si="16"/>
        <v>138619.65898426558</v>
      </c>
      <c r="I50" s="7"/>
      <c r="J50" s="10">
        <v>5.0923999999999996</v>
      </c>
      <c r="K50" s="117">
        <v>120952886</v>
      </c>
      <c r="L50" s="120">
        <f t="shared" si="14"/>
        <v>705.90674899617147</v>
      </c>
      <c r="M50" s="122">
        <f t="shared" si="3"/>
        <v>237516468.49000001</v>
      </c>
      <c r="N50" s="116">
        <f t="shared" si="4"/>
        <v>116563582.49000001</v>
      </c>
      <c r="O50" s="123">
        <f t="shared" si="5"/>
        <v>680.28984084648437</v>
      </c>
      <c r="P50" s="5"/>
      <c r="Q50" s="5">
        <f t="shared" si="8"/>
        <v>1</v>
      </c>
      <c r="R50" s="7">
        <f t="shared" si="9"/>
        <v>171344</v>
      </c>
      <c r="S50" s="5">
        <f t="shared" si="6"/>
        <v>1</v>
      </c>
      <c r="T50" s="7">
        <f t="shared" si="7"/>
        <v>171344</v>
      </c>
    </row>
    <row r="51" spans="1:20">
      <c r="A51" s="23" t="s">
        <v>465</v>
      </c>
      <c r="B51" s="35" t="s">
        <v>49</v>
      </c>
      <c r="C51" s="36">
        <v>35716</v>
      </c>
      <c r="D51" s="6"/>
      <c r="E51" s="113">
        <v>4239349302</v>
      </c>
      <c r="F51" s="116">
        <f t="shared" si="15"/>
        <v>118696.08304401388</v>
      </c>
      <c r="G51" s="117">
        <v>3177961857</v>
      </c>
      <c r="H51" s="117">
        <f t="shared" si="16"/>
        <v>88978.661020271029</v>
      </c>
      <c r="I51" s="7"/>
      <c r="J51" s="10">
        <v>6.2838000000000003</v>
      </c>
      <c r="K51" s="117">
        <v>19969677</v>
      </c>
      <c r="L51" s="120">
        <f t="shared" si="14"/>
        <v>559.12411804233398</v>
      </c>
      <c r="M51" s="122">
        <f t="shared" si="3"/>
        <v>31779618.57</v>
      </c>
      <c r="N51" s="116">
        <f t="shared" si="4"/>
        <v>11809941.57</v>
      </c>
      <c r="O51" s="123">
        <f t="shared" si="5"/>
        <v>330.6624921603763</v>
      </c>
      <c r="P51" s="5"/>
      <c r="Q51" s="5">
        <f t="shared" si="8"/>
        <v>1</v>
      </c>
      <c r="R51" s="7">
        <f t="shared" si="9"/>
        <v>35716</v>
      </c>
      <c r="S51" s="5">
        <f t="shared" si="6"/>
        <v>1</v>
      </c>
      <c r="T51" s="7">
        <f t="shared" si="7"/>
        <v>35716</v>
      </c>
    </row>
    <row r="52" spans="1:20">
      <c r="A52" s="23" t="s">
        <v>55</v>
      </c>
      <c r="B52" s="35" t="s">
        <v>49</v>
      </c>
      <c r="C52" s="36">
        <v>2302</v>
      </c>
      <c r="D52" s="6"/>
      <c r="E52" s="113">
        <v>1212229900</v>
      </c>
      <c r="F52" s="116">
        <f t="shared" si="15"/>
        <v>526598.56646394439</v>
      </c>
      <c r="G52" s="117">
        <v>985109600</v>
      </c>
      <c r="H52" s="117">
        <f t="shared" si="16"/>
        <v>427936.40312771505</v>
      </c>
      <c r="I52" s="7"/>
      <c r="J52" s="10">
        <v>2.8159000000000001</v>
      </c>
      <c r="K52" s="117">
        <v>2773970</v>
      </c>
      <c r="L52" s="120">
        <f t="shared" si="14"/>
        <v>1205.02606429192</v>
      </c>
      <c r="M52" s="122">
        <f t="shared" si="3"/>
        <v>9851096</v>
      </c>
      <c r="N52" s="116">
        <f t="shared" si="4"/>
        <v>7077126</v>
      </c>
      <c r="O52" s="123">
        <f t="shared" si="5"/>
        <v>3074.3379669852302</v>
      </c>
      <c r="P52" s="5"/>
      <c r="Q52" s="5">
        <f t="shared" si="8"/>
        <v>1</v>
      </c>
      <c r="R52" s="7">
        <f t="shared" si="9"/>
        <v>2302</v>
      </c>
      <c r="S52" s="5">
        <f t="shared" si="6"/>
        <v>1</v>
      </c>
      <c r="T52" s="7">
        <f t="shared" si="7"/>
        <v>2302</v>
      </c>
    </row>
    <row r="53" spans="1:20">
      <c r="A53" s="23" t="s">
        <v>56</v>
      </c>
      <c r="B53" s="35" t="s">
        <v>49</v>
      </c>
      <c r="C53" s="36">
        <v>143025</v>
      </c>
      <c r="D53" s="6"/>
      <c r="E53" s="113">
        <v>15431092752</v>
      </c>
      <c r="F53" s="116">
        <f t="shared" si="15"/>
        <v>107890.87748295753</v>
      </c>
      <c r="G53" s="117">
        <v>10549476423</v>
      </c>
      <c r="H53" s="117">
        <f t="shared" si="16"/>
        <v>73759.667351861557</v>
      </c>
      <c r="I53" s="7"/>
      <c r="J53" s="10">
        <v>6.9162999999999997</v>
      </c>
      <c r="K53" s="117">
        <v>72963344</v>
      </c>
      <c r="L53" s="120">
        <f t="shared" si="14"/>
        <v>510.14398881314457</v>
      </c>
      <c r="M53" s="122">
        <f t="shared" si="3"/>
        <v>105494764.23</v>
      </c>
      <c r="N53" s="116">
        <f t="shared" si="4"/>
        <v>32531420.230000004</v>
      </c>
      <c r="O53" s="123">
        <f t="shared" si="5"/>
        <v>227.45268470547111</v>
      </c>
      <c r="P53" s="5"/>
      <c r="Q53" s="5">
        <f t="shared" si="8"/>
        <v>1</v>
      </c>
      <c r="R53" s="7">
        <f t="shared" si="9"/>
        <v>143025</v>
      </c>
      <c r="S53" s="5">
        <f t="shared" si="6"/>
        <v>1</v>
      </c>
      <c r="T53" s="7">
        <f t="shared" si="7"/>
        <v>143025</v>
      </c>
    </row>
    <row r="54" spans="1:20">
      <c r="A54" s="23" t="s">
        <v>57</v>
      </c>
      <c r="B54" s="35" t="s">
        <v>49</v>
      </c>
      <c r="C54" s="36">
        <v>32166</v>
      </c>
      <c r="D54" s="6"/>
      <c r="E54" s="113">
        <v>1506915046</v>
      </c>
      <c r="F54" s="116">
        <f t="shared" si="15"/>
        <v>46848.070820120622</v>
      </c>
      <c r="G54" s="117">
        <v>969175679</v>
      </c>
      <c r="H54" s="117">
        <f t="shared" si="16"/>
        <v>30130.438319965182</v>
      </c>
      <c r="I54" s="7"/>
      <c r="J54" s="10">
        <v>6.4006999999999996</v>
      </c>
      <c r="K54" s="117">
        <v>6203403</v>
      </c>
      <c r="L54" s="120">
        <f t="shared" si="14"/>
        <v>192.8559037493005</v>
      </c>
      <c r="M54" s="122">
        <f t="shared" si="3"/>
        <v>9691756.790000001</v>
      </c>
      <c r="N54" s="116">
        <f t="shared" si="4"/>
        <v>3488353.790000001</v>
      </c>
      <c r="O54" s="123">
        <f t="shared" si="5"/>
        <v>108.44847945035133</v>
      </c>
      <c r="P54" s="5"/>
      <c r="Q54" s="5">
        <f t="shared" si="8"/>
        <v>1</v>
      </c>
      <c r="R54" s="7">
        <f t="shared" si="9"/>
        <v>32166</v>
      </c>
      <c r="S54" s="5">
        <f t="shared" si="6"/>
        <v>1</v>
      </c>
      <c r="T54" s="7">
        <f t="shared" si="7"/>
        <v>32166</v>
      </c>
    </row>
    <row r="55" spans="1:20">
      <c r="A55" s="24" t="s">
        <v>560</v>
      </c>
      <c r="B55" s="35" t="s">
        <v>49</v>
      </c>
      <c r="C55" s="36">
        <v>6278</v>
      </c>
      <c r="D55" s="6"/>
      <c r="E55" s="113">
        <v>2127148799</v>
      </c>
      <c r="F55" s="116">
        <f t="shared" si="15"/>
        <v>338825.86795157695</v>
      </c>
      <c r="G55" s="117">
        <v>1733192059</v>
      </c>
      <c r="H55" s="117">
        <f t="shared" si="16"/>
        <v>276073.91828607838</v>
      </c>
      <c r="I55" s="7"/>
      <c r="J55" s="10">
        <v>4.7</v>
      </c>
      <c r="K55" s="117">
        <v>8146003</v>
      </c>
      <c r="L55" s="120">
        <f t="shared" si="14"/>
        <v>1297.5474673462886</v>
      </c>
      <c r="M55" s="122">
        <f t="shared" si="3"/>
        <v>17331920.59</v>
      </c>
      <c r="N55" s="116">
        <f t="shared" si="4"/>
        <v>9185917.5899999999</v>
      </c>
      <c r="O55" s="123">
        <f t="shared" si="5"/>
        <v>1463.1917155144949</v>
      </c>
      <c r="P55" s="5"/>
      <c r="Q55" s="5">
        <f t="shared" si="8"/>
        <v>1</v>
      </c>
      <c r="R55" s="7">
        <f t="shared" si="9"/>
        <v>6278</v>
      </c>
      <c r="S55" s="5">
        <f t="shared" si="6"/>
        <v>1</v>
      </c>
      <c r="T55" s="7">
        <f t="shared" si="7"/>
        <v>6278</v>
      </c>
    </row>
    <row r="56" spans="1:20">
      <c r="A56" s="23" t="s">
        <v>58</v>
      </c>
      <c r="B56" s="35" t="s">
        <v>49</v>
      </c>
      <c r="C56" s="36">
        <v>58637</v>
      </c>
      <c r="D56" s="6"/>
      <c r="E56" s="113">
        <v>3204827366</v>
      </c>
      <c r="F56" s="116">
        <f t="shared" si="15"/>
        <v>54655.377423810904</v>
      </c>
      <c r="G56" s="117">
        <v>2138901131</v>
      </c>
      <c r="H56" s="117">
        <f t="shared" si="16"/>
        <v>36476.987755171649</v>
      </c>
      <c r="I56" s="7"/>
      <c r="J56" s="10">
        <v>6.02</v>
      </c>
      <c r="K56" s="117">
        <v>12876185</v>
      </c>
      <c r="L56" s="120">
        <f t="shared" si="14"/>
        <v>219.59146954994287</v>
      </c>
      <c r="M56" s="122">
        <f t="shared" si="3"/>
        <v>21389011.309999999</v>
      </c>
      <c r="N56" s="116">
        <f t="shared" si="4"/>
        <v>8512826.3099999987</v>
      </c>
      <c r="O56" s="123">
        <f t="shared" si="5"/>
        <v>145.17840800177359</v>
      </c>
      <c r="P56" s="5"/>
      <c r="Q56" s="5">
        <f t="shared" si="8"/>
        <v>1</v>
      </c>
      <c r="R56" s="7">
        <f t="shared" si="9"/>
        <v>58637</v>
      </c>
      <c r="S56" s="5">
        <f t="shared" si="6"/>
        <v>1</v>
      </c>
      <c r="T56" s="7">
        <f t="shared" si="7"/>
        <v>58637</v>
      </c>
    </row>
    <row r="57" spans="1:20">
      <c r="A57" s="23" t="s">
        <v>59</v>
      </c>
      <c r="B57" s="35" t="s">
        <v>49</v>
      </c>
      <c r="C57" s="36">
        <v>34</v>
      </c>
      <c r="D57" s="6"/>
      <c r="E57" s="113">
        <v>8971992</v>
      </c>
      <c r="F57" s="116">
        <f t="shared" si="15"/>
        <v>263882.1176470588</v>
      </c>
      <c r="G57" s="117">
        <v>5807752</v>
      </c>
      <c r="H57" s="117">
        <f t="shared" si="16"/>
        <v>170816.23529411765</v>
      </c>
      <c r="I57" s="7"/>
      <c r="J57" s="10">
        <v>4.4736000000000002</v>
      </c>
      <c r="K57" s="117">
        <v>25982</v>
      </c>
      <c r="L57" s="120">
        <f t="shared" si="14"/>
        <v>764.17647058823525</v>
      </c>
      <c r="M57" s="122">
        <f t="shared" si="3"/>
        <v>58077.520000000004</v>
      </c>
      <c r="N57" s="116">
        <f t="shared" si="4"/>
        <v>32095.520000000004</v>
      </c>
      <c r="O57" s="123">
        <f t="shared" si="5"/>
        <v>943.9858823529413</v>
      </c>
      <c r="P57" s="5"/>
      <c r="Q57" s="5">
        <f t="shared" si="8"/>
        <v>1</v>
      </c>
      <c r="R57" s="7">
        <f t="shared" si="9"/>
        <v>34</v>
      </c>
      <c r="S57" s="5">
        <f t="shared" si="6"/>
        <v>1</v>
      </c>
      <c r="T57" s="7">
        <f t="shared" si="7"/>
        <v>34</v>
      </c>
    </row>
    <row r="58" spans="1:20">
      <c r="A58" s="23" t="s">
        <v>60</v>
      </c>
      <c r="B58" s="35" t="s">
        <v>49</v>
      </c>
      <c r="C58" s="36">
        <v>10833</v>
      </c>
      <c r="D58" s="6"/>
      <c r="E58" s="113">
        <v>2576677407</v>
      </c>
      <c r="F58" s="116">
        <f t="shared" si="15"/>
        <v>237854.46386042648</v>
      </c>
      <c r="G58" s="117">
        <v>1774989328</v>
      </c>
      <c r="H58" s="117">
        <f t="shared" si="16"/>
        <v>163850.21028339333</v>
      </c>
      <c r="I58" s="7"/>
      <c r="J58" s="10">
        <v>3.5630000000000002</v>
      </c>
      <c r="K58" s="117">
        <v>6324287</v>
      </c>
      <c r="L58" s="120">
        <f t="shared" si="14"/>
        <v>583.79830148619953</v>
      </c>
      <c r="M58" s="122">
        <f t="shared" si="3"/>
        <v>17749893.280000001</v>
      </c>
      <c r="N58" s="116">
        <f t="shared" si="4"/>
        <v>11425606.280000001</v>
      </c>
      <c r="O58" s="123">
        <f t="shared" si="5"/>
        <v>1054.7038013477338</v>
      </c>
      <c r="P58" s="5"/>
      <c r="Q58" s="5">
        <f t="shared" si="8"/>
        <v>1</v>
      </c>
      <c r="R58" s="7">
        <f t="shared" si="9"/>
        <v>10833</v>
      </c>
      <c r="S58" s="5">
        <f t="shared" si="6"/>
        <v>1</v>
      </c>
      <c r="T58" s="7">
        <f t="shared" si="7"/>
        <v>10833</v>
      </c>
    </row>
    <row r="59" spans="1:20">
      <c r="A59" s="23" t="s">
        <v>61</v>
      </c>
      <c r="B59" s="35" t="s">
        <v>49</v>
      </c>
      <c r="C59" s="36">
        <v>54982</v>
      </c>
      <c r="D59" s="6"/>
      <c r="E59" s="113">
        <v>3773346495</v>
      </c>
      <c r="F59" s="116">
        <f t="shared" si="15"/>
        <v>68628.76023062093</v>
      </c>
      <c r="G59" s="117">
        <v>2484075950</v>
      </c>
      <c r="H59" s="117">
        <f t="shared" si="16"/>
        <v>45179.803390200432</v>
      </c>
      <c r="I59" s="7"/>
      <c r="J59" s="10">
        <v>6.7610999999999999</v>
      </c>
      <c r="K59" s="117">
        <v>16795086</v>
      </c>
      <c r="L59" s="120">
        <f t="shared" si="14"/>
        <v>305.46517041941001</v>
      </c>
      <c r="M59" s="122">
        <f t="shared" si="3"/>
        <v>24840759.5</v>
      </c>
      <c r="N59" s="116">
        <f t="shared" si="4"/>
        <v>8045673.5</v>
      </c>
      <c r="O59" s="123">
        <f t="shared" si="5"/>
        <v>146.33286348259429</v>
      </c>
      <c r="P59" s="5"/>
      <c r="Q59" s="5">
        <f t="shared" si="8"/>
        <v>1</v>
      </c>
      <c r="R59" s="7">
        <f t="shared" si="9"/>
        <v>54982</v>
      </c>
      <c r="S59" s="5">
        <f t="shared" si="6"/>
        <v>1</v>
      </c>
      <c r="T59" s="7">
        <f t="shared" si="7"/>
        <v>54982</v>
      </c>
    </row>
    <row r="60" spans="1:20">
      <c r="A60" s="23" t="s">
        <v>62</v>
      </c>
      <c r="B60" s="35" t="s">
        <v>49</v>
      </c>
      <c r="C60" s="36">
        <v>108387</v>
      </c>
      <c r="D60" s="6"/>
      <c r="E60" s="113">
        <v>9193189929</v>
      </c>
      <c r="F60" s="116">
        <f t="shared" si="15"/>
        <v>84818.197099283119</v>
      </c>
      <c r="G60" s="117">
        <v>6744491382</v>
      </c>
      <c r="H60" s="117">
        <f t="shared" si="16"/>
        <v>62226.017714301532</v>
      </c>
      <c r="I60" s="7"/>
      <c r="J60" s="10">
        <v>6.65</v>
      </c>
      <c r="K60" s="117">
        <v>44850868</v>
      </c>
      <c r="L60" s="120">
        <f t="shared" si="14"/>
        <v>413.80302065745894</v>
      </c>
      <c r="M60" s="122">
        <f t="shared" si="3"/>
        <v>67444913.820000008</v>
      </c>
      <c r="N60" s="116">
        <f t="shared" si="4"/>
        <v>22594045.820000008</v>
      </c>
      <c r="O60" s="123">
        <f t="shared" si="5"/>
        <v>208.45715648555645</v>
      </c>
      <c r="P60" s="5"/>
      <c r="Q60" s="5">
        <f t="shared" si="8"/>
        <v>1</v>
      </c>
      <c r="R60" s="7">
        <f t="shared" si="9"/>
        <v>108387</v>
      </c>
      <c r="S60" s="5">
        <f t="shared" si="6"/>
        <v>1</v>
      </c>
      <c r="T60" s="7">
        <f t="shared" si="7"/>
        <v>108387</v>
      </c>
    </row>
    <row r="61" spans="1:20">
      <c r="A61" s="23" t="s">
        <v>63</v>
      </c>
      <c r="B61" s="35" t="s">
        <v>49</v>
      </c>
      <c r="C61" s="36">
        <v>40925</v>
      </c>
      <c r="D61" s="6"/>
      <c r="E61" s="113">
        <v>1916411859</v>
      </c>
      <c r="F61" s="116">
        <f t="shared" si="15"/>
        <v>46827.412559560173</v>
      </c>
      <c r="G61" s="117">
        <v>1283429239</v>
      </c>
      <c r="H61" s="117">
        <f t="shared" si="16"/>
        <v>31360.518973732436</v>
      </c>
      <c r="I61" s="7"/>
      <c r="J61" s="10">
        <v>5.6791999999999998</v>
      </c>
      <c r="K61" s="117">
        <v>7288851</v>
      </c>
      <c r="L61" s="120">
        <f t="shared" si="14"/>
        <v>178.10265119120342</v>
      </c>
      <c r="M61" s="122">
        <f t="shared" si="3"/>
        <v>12834292.390000001</v>
      </c>
      <c r="N61" s="116">
        <f t="shared" si="4"/>
        <v>5545441.3900000006</v>
      </c>
      <c r="O61" s="123">
        <f t="shared" si="5"/>
        <v>135.50253854612097</v>
      </c>
      <c r="P61" s="5"/>
      <c r="Q61" s="5">
        <f t="shared" si="8"/>
        <v>1</v>
      </c>
      <c r="R61" s="7">
        <f t="shared" si="9"/>
        <v>40925</v>
      </c>
      <c r="S61" s="5">
        <f t="shared" si="6"/>
        <v>1</v>
      </c>
      <c r="T61" s="7">
        <f t="shared" si="7"/>
        <v>40925</v>
      </c>
    </row>
    <row r="62" spans="1:20">
      <c r="A62" s="23" t="s">
        <v>64</v>
      </c>
      <c r="B62" s="35" t="s">
        <v>49</v>
      </c>
      <c r="C62" s="36">
        <v>31803</v>
      </c>
      <c r="D62" s="6"/>
      <c r="E62" s="113">
        <v>3849117274</v>
      </c>
      <c r="F62" s="116">
        <f t="shared" si="15"/>
        <v>121030.00578561772</v>
      </c>
      <c r="G62" s="117">
        <v>2609677661</v>
      </c>
      <c r="H62" s="117">
        <f t="shared" si="16"/>
        <v>82057.593969122405</v>
      </c>
      <c r="I62" s="7"/>
      <c r="J62" s="10">
        <v>5.8868</v>
      </c>
      <c r="K62" s="117">
        <v>15362650</v>
      </c>
      <c r="L62" s="120">
        <f t="shared" si="14"/>
        <v>483.05662987768449</v>
      </c>
      <c r="M62" s="122">
        <f t="shared" si="3"/>
        <v>26096776.609999999</v>
      </c>
      <c r="N62" s="116">
        <f t="shared" si="4"/>
        <v>10734126.609999999</v>
      </c>
      <c r="O62" s="123">
        <f t="shared" si="5"/>
        <v>337.51930981353956</v>
      </c>
      <c r="P62" s="5"/>
      <c r="Q62" s="5">
        <f t="shared" si="8"/>
        <v>1</v>
      </c>
      <c r="R62" s="7">
        <f t="shared" si="9"/>
        <v>31803</v>
      </c>
      <c r="S62" s="5">
        <f t="shared" si="6"/>
        <v>1</v>
      </c>
      <c r="T62" s="7">
        <f t="shared" si="7"/>
        <v>31803</v>
      </c>
    </row>
    <row r="63" spans="1:20">
      <c r="A63" s="23" t="s">
        <v>65</v>
      </c>
      <c r="B63" s="35" t="s">
        <v>49</v>
      </c>
      <c r="C63" s="36">
        <v>20073</v>
      </c>
      <c r="D63" s="6"/>
      <c r="E63" s="113">
        <v>3536939116</v>
      </c>
      <c r="F63" s="116">
        <f t="shared" si="15"/>
        <v>176203.81188661387</v>
      </c>
      <c r="G63" s="117">
        <v>2598134816</v>
      </c>
      <c r="H63" s="117">
        <f t="shared" si="16"/>
        <v>129434.30558461614</v>
      </c>
      <c r="I63" s="7"/>
      <c r="J63" s="10">
        <v>4.0999999999999996</v>
      </c>
      <c r="K63" s="117">
        <v>10652353</v>
      </c>
      <c r="L63" s="120">
        <f t="shared" si="14"/>
        <v>530.68066557066709</v>
      </c>
      <c r="M63" s="122">
        <f t="shared" si="3"/>
        <v>25981348.16</v>
      </c>
      <c r="N63" s="116">
        <f t="shared" si="4"/>
        <v>15328995.16</v>
      </c>
      <c r="O63" s="123">
        <f t="shared" si="5"/>
        <v>763.66239027549443</v>
      </c>
      <c r="P63" s="5"/>
      <c r="Q63" s="5">
        <f t="shared" si="8"/>
        <v>1</v>
      </c>
      <c r="R63" s="7">
        <f t="shared" si="9"/>
        <v>20073</v>
      </c>
      <c r="S63" s="5">
        <f t="shared" si="6"/>
        <v>1</v>
      </c>
      <c r="T63" s="7">
        <f t="shared" si="7"/>
        <v>20073</v>
      </c>
    </row>
    <row r="64" spans="1:20">
      <c r="A64" s="23" t="s">
        <v>66</v>
      </c>
      <c r="B64" s="35" t="s">
        <v>49</v>
      </c>
      <c r="C64" s="36">
        <v>5778</v>
      </c>
      <c r="D64" s="6"/>
      <c r="E64" s="113">
        <v>476423719</v>
      </c>
      <c r="F64" s="116">
        <f t="shared" si="15"/>
        <v>82454.780027691246</v>
      </c>
      <c r="G64" s="117">
        <v>434072335</v>
      </c>
      <c r="H64" s="117">
        <f t="shared" si="16"/>
        <v>75125.014710972653</v>
      </c>
      <c r="I64" s="7"/>
      <c r="J64" s="10">
        <v>8.5</v>
      </c>
      <c r="K64" s="117">
        <v>3689615</v>
      </c>
      <c r="L64" s="120">
        <f t="shared" si="14"/>
        <v>638.56265143648318</v>
      </c>
      <c r="M64" s="122">
        <f t="shared" si="3"/>
        <v>4340723.3499999996</v>
      </c>
      <c r="N64" s="116">
        <f t="shared" si="4"/>
        <v>651108.34999999963</v>
      </c>
      <c r="O64" s="123">
        <f t="shared" si="5"/>
        <v>112.68749567324328</v>
      </c>
      <c r="P64" s="5"/>
      <c r="Q64" s="5">
        <f t="shared" si="8"/>
        <v>1</v>
      </c>
      <c r="R64" s="7">
        <f t="shared" si="9"/>
        <v>5778</v>
      </c>
      <c r="S64" s="5">
        <f t="shared" si="6"/>
        <v>1</v>
      </c>
      <c r="T64" s="7">
        <f t="shared" si="7"/>
        <v>5778</v>
      </c>
    </row>
    <row r="65" spans="1:20">
      <c r="A65" s="23" t="s">
        <v>67</v>
      </c>
      <c r="B65" s="35" t="s">
        <v>49</v>
      </c>
      <c r="C65" s="36">
        <v>151045</v>
      </c>
      <c r="D65" s="6"/>
      <c r="E65" s="113">
        <v>13606059092</v>
      </c>
      <c r="F65" s="116">
        <f t="shared" si="15"/>
        <v>90079.506716541422</v>
      </c>
      <c r="G65" s="117">
        <v>9029149386</v>
      </c>
      <c r="H65" s="117">
        <f t="shared" si="16"/>
        <v>59777.876698996988</v>
      </c>
      <c r="I65" s="7"/>
      <c r="J65" s="10">
        <v>4.5990000000000002</v>
      </c>
      <c r="K65" s="117">
        <v>41525058</v>
      </c>
      <c r="L65" s="120">
        <f t="shared" si="14"/>
        <v>274.91845476513623</v>
      </c>
      <c r="M65" s="122">
        <f t="shared" si="3"/>
        <v>90291493.859999999</v>
      </c>
      <c r="N65" s="116">
        <f t="shared" si="4"/>
        <v>48766435.859999999</v>
      </c>
      <c r="O65" s="123">
        <f t="shared" si="5"/>
        <v>322.86031222483365</v>
      </c>
      <c r="P65" s="5"/>
      <c r="Q65" s="5">
        <f t="shared" si="8"/>
        <v>1</v>
      </c>
      <c r="R65" s="7">
        <f t="shared" si="9"/>
        <v>151045</v>
      </c>
      <c r="S65" s="5">
        <f t="shared" si="6"/>
        <v>1</v>
      </c>
      <c r="T65" s="7">
        <f t="shared" si="7"/>
        <v>151045</v>
      </c>
    </row>
    <row r="66" spans="1:20">
      <c r="A66" s="23" t="s">
        <v>68</v>
      </c>
      <c r="B66" s="35" t="s">
        <v>49</v>
      </c>
      <c r="C66" s="36">
        <v>85157</v>
      </c>
      <c r="D66" s="6"/>
      <c r="E66" s="113">
        <v>9971510215</v>
      </c>
      <c r="F66" s="116">
        <f t="shared" si="15"/>
        <v>117095.60241671266</v>
      </c>
      <c r="G66" s="117">
        <v>6889568988</v>
      </c>
      <c r="H66" s="117">
        <f t="shared" si="16"/>
        <v>80904.317766008666</v>
      </c>
      <c r="I66" s="7"/>
      <c r="J66" s="10">
        <v>4.5888999999999998</v>
      </c>
      <c r="K66" s="117">
        <v>31615543</v>
      </c>
      <c r="L66" s="120">
        <f t="shared" si="14"/>
        <v>371.26182228119825</v>
      </c>
      <c r="M66" s="122">
        <f t="shared" si="3"/>
        <v>68895689.879999995</v>
      </c>
      <c r="N66" s="116">
        <f t="shared" si="4"/>
        <v>37280146.879999995</v>
      </c>
      <c r="O66" s="123">
        <f t="shared" si="5"/>
        <v>437.78135537888835</v>
      </c>
      <c r="P66" s="5"/>
      <c r="Q66" s="5">
        <f t="shared" si="8"/>
        <v>1</v>
      </c>
      <c r="R66" s="7">
        <f t="shared" si="9"/>
        <v>85157</v>
      </c>
      <c r="S66" s="5">
        <f t="shared" si="6"/>
        <v>1</v>
      </c>
      <c r="T66" s="7">
        <f t="shared" si="7"/>
        <v>85157</v>
      </c>
    </row>
    <row r="67" spans="1:20">
      <c r="A67" s="23" t="s">
        <v>69</v>
      </c>
      <c r="B67" s="35" t="s">
        <v>49</v>
      </c>
      <c r="C67" s="36">
        <v>101712</v>
      </c>
      <c r="D67" s="6"/>
      <c r="E67" s="113">
        <v>13328798498</v>
      </c>
      <c r="F67" s="116">
        <f t="shared" si="15"/>
        <v>131044.50308714803</v>
      </c>
      <c r="G67" s="117">
        <v>9811052407</v>
      </c>
      <c r="H67" s="117">
        <f t="shared" si="16"/>
        <v>96459.143532719841</v>
      </c>
      <c r="I67" s="7"/>
      <c r="J67" s="10">
        <v>4.0380000000000003</v>
      </c>
      <c r="K67" s="117">
        <v>39617030</v>
      </c>
      <c r="L67" s="120">
        <f t="shared" si="14"/>
        <v>389.50202532641185</v>
      </c>
      <c r="M67" s="122">
        <f t="shared" si="3"/>
        <v>98110524.070000008</v>
      </c>
      <c r="N67" s="116">
        <f t="shared" si="4"/>
        <v>58493494.070000008</v>
      </c>
      <c r="O67" s="123">
        <f t="shared" si="5"/>
        <v>575.08941000078664</v>
      </c>
      <c r="P67" s="5"/>
      <c r="Q67" s="5">
        <f t="shared" si="8"/>
        <v>1</v>
      </c>
      <c r="R67" s="7">
        <f t="shared" si="9"/>
        <v>101712</v>
      </c>
      <c r="S67" s="5">
        <f t="shared" si="6"/>
        <v>1</v>
      </c>
      <c r="T67" s="7">
        <f t="shared" si="7"/>
        <v>101712</v>
      </c>
    </row>
    <row r="68" spans="1:20">
      <c r="A68" s="23" t="s">
        <v>70</v>
      </c>
      <c r="B68" s="35" t="s">
        <v>49</v>
      </c>
      <c r="C68" s="36">
        <v>730</v>
      </c>
      <c r="D68" s="6"/>
      <c r="E68" s="113">
        <v>193686688</v>
      </c>
      <c r="F68" s="116">
        <f t="shared" si="15"/>
        <v>265324.2301369863</v>
      </c>
      <c r="G68" s="117">
        <v>145509258</v>
      </c>
      <c r="H68" s="117">
        <f t="shared" si="16"/>
        <v>199327.7506849315</v>
      </c>
      <c r="I68" s="7"/>
      <c r="J68" s="10">
        <v>6.95</v>
      </c>
      <c r="K68" s="117">
        <v>1011289</v>
      </c>
      <c r="L68" s="120">
        <f t="shared" si="14"/>
        <v>1385.327397260274</v>
      </c>
      <c r="M68" s="122">
        <f t="shared" si="3"/>
        <v>1455092.58</v>
      </c>
      <c r="N68" s="116">
        <f t="shared" si="4"/>
        <v>443803.58000000007</v>
      </c>
      <c r="O68" s="123">
        <f t="shared" si="5"/>
        <v>607.95010958904118</v>
      </c>
      <c r="P68" s="5"/>
      <c r="Q68" s="5">
        <f t="shared" si="8"/>
        <v>1</v>
      </c>
      <c r="R68" s="7">
        <f t="shared" si="9"/>
        <v>730</v>
      </c>
      <c r="S68" s="5">
        <f t="shared" si="6"/>
        <v>1</v>
      </c>
      <c r="T68" s="7">
        <f t="shared" si="7"/>
        <v>730</v>
      </c>
    </row>
    <row r="69" spans="1:20">
      <c r="A69" s="23" t="s">
        <v>450</v>
      </c>
      <c r="B69" s="35" t="s">
        <v>49</v>
      </c>
      <c r="C69" s="36">
        <v>7447</v>
      </c>
      <c r="D69" s="6"/>
      <c r="E69" s="113">
        <v>1786416815</v>
      </c>
      <c r="F69" s="116">
        <f t="shared" si="15"/>
        <v>239884.08956626829</v>
      </c>
      <c r="G69" s="117">
        <v>1021878355</v>
      </c>
      <c r="H69" s="117">
        <f t="shared" si="16"/>
        <v>137220.13629649524</v>
      </c>
      <c r="I69" s="7"/>
      <c r="J69" s="10">
        <v>3</v>
      </c>
      <c r="K69" s="117">
        <v>3065635</v>
      </c>
      <c r="L69" s="120">
        <f t="shared" si="14"/>
        <v>411.66040016113874</v>
      </c>
      <c r="M69" s="122">
        <f t="shared" si="3"/>
        <v>10218783.550000001</v>
      </c>
      <c r="N69" s="116">
        <f t="shared" si="4"/>
        <v>7153148.5500000007</v>
      </c>
      <c r="O69" s="123">
        <f t="shared" si="5"/>
        <v>960.54096280381373</v>
      </c>
      <c r="P69" s="5"/>
      <c r="Q69" s="5">
        <f t="shared" si="8"/>
        <v>1</v>
      </c>
      <c r="R69" s="7">
        <f t="shared" si="9"/>
        <v>7447</v>
      </c>
      <c r="S69" s="5">
        <f t="shared" si="6"/>
        <v>1</v>
      </c>
      <c r="T69" s="7">
        <f t="shared" si="7"/>
        <v>7447</v>
      </c>
    </row>
    <row r="70" spans="1:20">
      <c r="A70" s="23" t="s">
        <v>71</v>
      </c>
      <c r="B70" s="35" t="s">
        <v>49</v>
      </c>
      <c r="C70" s="36">
        <v>89736</v>
      </c>
      <c r="D70" s="6"/>
      <c r="E70" s="113">
        <v>7760756896</v>
      </c>
      <c r="F70" s="116">
        <f t="shared" si="15"/>
        <v>86484.319515021838</v>
      </c>
      <c r="G70" s="117">
        <v>5202312327</v>
      </c>
      <c r="H70" s="117">
        <f t="shared" si="16"/>
        <v>57973.525976196841</v>
      </c>
      <c r="I70" s="7"/>
      <c r="J70" s="10">
        <v>6.21</v>
      </c>
      <c r="K70" s="117">
        <v>32306360</v>
      </c>
      <c r="L70" s="120">
        <f t="shared" si="14"/>
        <v>360.01560131942585</v>
      </c>
      <c r="M70" s="122">
        <f t="shared" ref="M70:M133" si="17">(G70*0.01)</f>
        <v>52023123.270000003</v>
      </c>
      <c r="N70" s="116">
        <f t="shared" ref="N70:N133" si="18">(M70-K70)</f>
        <v>19716763.270000003</v>
      </c>
      <c r="O70" s="123">
        <f t="shared" ref="O70:O133" si="19">(N70/C70)</f>
        <v>219.7196584425426</v>
      </c>
      <c r="P70" s="5"/>
      <c r="Q70" s="5">
        <f t="shared" si="8"/>
        <v>1</v>
      </c>
      <c r="R70" s="7">
        <f t="shared" si="9"/>
        <v>89736</v>
      </c>
      <c r="S70" s="5">
        <f t="shared" ref="S70:S133" si="20">IF(J70&gt;0,1,0)</f>
        <v>1</v>
      </c>
      <c r="T70" s="7">
        <f t="shared" ref="T70:T133" si="21">IF(J70&gt;0,C70,0)</f>
        <v>89736</v>
      </c>
    </row>
    <row r="71" spans="1:20">
      <c r="A71" s="23" t="s">
        <v>72</v>
      </c>
      <c r="B71" s="35" t="s">
        <v>49</v>
      </c>
      <c r="C71" s="36">
        <v>58711</v>
      </c>
      <c r="D71" s="6"/>
      <c r="E71" s="113">
        <v>4910368647</v>
      </c>
      <c r="F71" s="116">
        <f t="shared" si="15"/>
        <v>83636.263170445061</v>
      </c>
      <c r="G71" s="117">
        <v>3155228840</v>
      </c>
      <c r="H71" s="117">
        <f t="shared" si="16"/>
        <v>53741.698148558193</v>
      </c>
      <c r="I71" s="7"/>
      <c r="J71" s="10">
        <v>6.2499000000000002</v>
      </c>
      <c r="K71" s="117">
        <v>19719865</v>
      </c>
      <c r="L71" s="120">
        <f t="shared" si="14"/>
        <v>335.88024390659331</v>
      </c>
      <c r="M71" s="122">
        <f t="shared" si="17"/>
        <v>31552288.400000002</v>
      </c>
      <c r="N71" s="116">
        <f t="shared" si="18"/>
        <v>11832423.400000002</v>
      </c>
      <c r="O71" s="123">
        <f t="shared" si="19"/>
        <v>201.53673757898864</v>
      </c>
      <c r="P71" s="5"/>
      <c r="Q71" s="5">
        <f t="shared" ref="Q71:Q134" si="22">IF(E71&gt;0,1,0)</f>
        <v>1</v>
      </c>
      <c r="R71" s="7">
        <f t="shared" ref="R71:R134" si="23">IF(E71&gt;0,C71,0)</f>
        <v>58711</v>
      </c>
      <c r="S71" s="5">
        <f t="shared" si="20"/>
        <v>1</v>
      </c>
      <c r="T71" s="7">
        <f t="shared" si="21"/>
        <v>58711</v>
      </c>
    </row>
    <row r="72" spans="1:20">
      <c r="A72" s="23" t="s">
        <v>507</v>
      </c>
      <c r="B72" s="35" t="s">
        <v>49</v>
      </c>
      <c r="C72" s="36">
        <v>13721</v>
      </c>
      <c r="D72" s="6"/>
      <c r="E72" s="113">
        <v>688747526</v>
      </c>
      <c r="F72" s="116">
        <f t="shared" si="15"/>
        <v>50196.598352889734</v>
      </c>
      <c r="G72" s="117">
        <v>444587478</v>
      </c>
      <c r="H72" s="117">
        <f t="shared" si="16"/>
        <v>32401.973471321333</v>
      </c>
      <c r="I72" s="9" t="s">
        <v>528</v>
      </c>
      <c r="J72" s="10"/>
      <c r="K72" s="117"/>
      <c r="L72" s="120"/>
      <c r="M72" s="122">
        <f t="shared" si="17"/>
        <v>4445874.78</v>
      </c>
      <c r="N72" s="116">
        <f t="shared" si="18"/>
        <v>4445874.78</v>
      </c>
      <c r="O72" s="123">
        <f t="shared" si="19"/>
        <v>324.01973471321332</v>
      </c>
      <c r="P72" s="5"/>
      <c r="Q72" s="5">
        <f t="shared" si="22"/>
        <v>1</v>
      </c>
      <c r="R72" s="7">
        <f t="shared" si="23"/>
        <v>13721</v>
      </c>
      <c r="S72" s="5">
        <f t="shared" si="20"/>
        <v>0</v>
      </c>
      <c r="T72" s="7">
        <f t="shared" si="21"/>
        <v>0</v>
      </c>
    </row>
    <row r="73" spans="1:20">
      <c r="A73" s="23" t="s">
        <v>73</v>
      </c>
      <c r="B73" s="35" t="s">
        <v>49</v>
      </c>
      <c r="C73" s="36">
        <v>61042</v>
      </c>
      <c r="D73" s="6"/>
      <c r="E73" s="113">
        <v>8587769451</v>
      </c>
      <c r="F73" s="116">
        <f t="shared" si="15"/>
        <v>140686.23981848563</v>
      </c>
      <c r="G73" s="117">
        <v>6613946912</v>
      </c>
      <c r="H73" s="117">
        <f t="shared" si="16"/>
        <v>108350.75705252122</v>
      </c>
      <c r="I73" s="7"/>
      <c r="J73" s="10">
        <v>1.5235000000000001</v>
      </c>
      <c r="K73" s="117">
        <v>10076348</v>
      </c>
      <c r="L73" s="120">
        <f>(K73/C73)</f>
        <v>165.07237639657941</v>
      </c>
      <c r="M73" s="122">
        <f t="shared" si="17"/>
        <v>66139469.120000005</v>
      </c>
      <c r="N73" s="116">
        <f t="shared" si="18"/>
        <v>56063121.120000005</v>
      </c>
      <c r="O73" s="123">
        <f t="shared" si="19"/>
        <v>918.43519412863282</v>
      </c>
      <c r="P73" s="5"/>
      <c r="Q73" s="5">
        <f t="shared" si="22"/>
        <v>1</v>
      </c>
      <c r="R73" s="7">
        <f t="shared" si="23"/>
        <v>61042</v>
      </c>
      <c r="S73" s="5">
        <f t="shared" si="20"/>
        <v>1</v>
      </c>
      <c r="T73" s="7">
        <f t="shared" si="21"/>
        <v>61042</v>
      </c>
    </row>
    <row r="74" spans="1:20">
      <c r="A74" s="23" t="s">
        <v>74</v>
      </c>
      <c r="B74" s="35" t="s">
        <v>49</v>
      </c>
      <c r="C74" s="36">
        <v>12439</v>
      </c>
      <c r="D74" s="6"/>
      <c r="E74" s="113">
        <v>1395003637</v>
      </c>
      <c r="F74" s="116">
        <f t="shared" si="15"/>
        <v>112147.57110700216</v>
      </c>
      <c r="G74" s="117">
        <v>872812310</v>
      </c>
      <c r="H74" s="117">
        <f t="shared" si="16"/>
        <v>70167.40172039553</v>
      </c>
      <c r="I74" s="9"/>
      <c r="J74" s="10">
        <v>6.38</v>
      </c>
      <c r="K74" s="117">
        <v>5568543</v>
      </c>
      <c r="L74" s="120">
        <f>(K74/C74)</f>
        <v>447.66806013345126</v>
      </c>
      <c r="M74" s="122">
        <f t="shared" si="17"/>
        <v>8728123.0999999996</v>
      </c>
      <c r="N74" s="116">
        <f t="shared" si="18"/>
        <v>3159580.0999999996</v>
      </c>
      <c r="O74" s="123">
        <f t="shared" si="19"/>
        <v>254.00595707050402</v>
      </c>
      <c r="P74" s="5"/>
      <c r="Q74" s="5">
        <f t="shared" si="22"/>
        <v>1</v>
      </c>
      <c r="R74" s="7">
        <f t="shared" si="23"/>
        <v>12439</v>
      </c>
      <c r="S74" s="5">
        <f t="shared" si="20"/>
        <v>1</v>
      </c>
      <c r="T74" s="7">
        <f t="shared" si="21"/>
        <v>12439</v>
      </c>
    </row>
    <row r="75" spans="1:20">
      <c r="A75" s="23" t="s">
        <v>75</v>
      </c>
      <c r="B75" s="35" t="s">
        <v>76</v>
      </c>
      <c r="C75" s="36">
        <v>558</v>
      </c>
      <c r="D75" s="6"/>
      <c r="E75" s="113">
        <v>11536724</v>
      </c>
      <c r="F75" s="116">
        <f t="shared" si="15"/>
        <v>20675.132616487455</v>
      </c>
      <c r="G75" s="117">
        <v>5544479</v>
      </c>
      <c r="H75" s="117">
        <f t="shared" si="16"/>
        <v>9936.3422939068096</v>
      </c>
      <c r="I75" s="9" t="s">
        <v>528</v>
      </c>
      <c r="J75" s="10"/>
      <c r="K75" s="117"/>
      <c r="L75" s="120"/>
      <c r="M75" s="122">
        <f t="shared" si="17"/>
        <v>55444.79</v>
      </c>
      <c r="N75" s="116">
        <f t="shared" si="18"/>
        <v>55444.79</v>
      </c>
      <c r="O75" s="123">
        <f t="shared" si="19"/>
        <v>99.363422939068101</v>
      </c>
      <c r="P75" s="5"/>
      <c r="Q75" s="5">
        <f t="shared" si="22"/>
        <v>1</v>
      </c>
      <c r="R75" s="7">
        <f t="shared" si="23"/>
        <v>558</v>
      </c>
      <c r="S75" s="5">
        <f t="shared" si="20"/>
        <v>0</v>
      </c>
      <c r="T75" s="7">
        <f t="shared" si="21"/>
        <v>0</v>
      </c>
    </row>
    <row r="76" spans="1:20">
      <c r="A76" s="23" t="s">
        <v>77</v>
      </c>
      <c r="B76" s="35" t="s">
        <v>76</v>
      </c>
      <c r="C76" s="36">
        <v>2454</v>
      </c>
      <c r="D76" s="6"/>
      <c r="E76" s="113">
        <v>82413163</v>
      </c>
      <c r="F76" s="116">
        <f t="shared" si="15"/>
        <v>33583.196006519967</v>
      </c>
      <c r="G76" s="117">
        <v>50896751</v>
      </c>
      <c r="H76" s="117">
        <f t="shared" si="16"/>
        <v>20740.322330888346</v>
      </c>
      <c r="I76" s="7"/>
      <c r="J76" s="10">
        <v>1.5</v>
      </c>
      <c r="K76" s="117">
        <v>76345</v>
      </c>
      <c r="L76" s="120">
        <f t="shared" ref="L76:L82" si="24">(K76/C76)</f>
        <v>31.110431947840262</v>
      </c>
      <c r="M76" s="122">
        <f t="shared" si="17"/>
        <v>508967.51</v>
      </c>
      <c r="N76" s="116">
        <f t="shared" si="18"/>
        <v>432622.51</v>
      </c>
      <c r="O76" s="123">
        <f t="shared" si="19"/>
        <v>176.29279136104319</v>
      </c>
      <c r="P76" s="5"/>
      <c r="Q76" s="5">
        <f t="shared" si="22"/>
        <v>1</v>
      </c>
      <c r="R76" s="7">
        <f t="shared" si="23"/>
        <v>2454</v>
      </c>
      <c r="S76" s="5">
        <f t="shared" si="20"/>
        <v>1</v>
      </c>
      <c r="T76" s="7">
        <f t="shared" si="21"/>
        <v>2454</v>
      </c>
    </row>
    <row r="77" spans="1:20">
      <c r="A77" s="23" t="s">
        <v>78</v>
      </c>
      <c r="B77" s="35" t="s">
        <v>79</v>
      </c>
      <c r="C77" s="36">
        <v>16255</v>
      </c>
      <c r="D77" s="6"/>
      <c r="E77" s="113">
        <v>3533214614</v>
      </c>
      <c r="F77" s="116">
        <f t="shared" si="15"/>
        <v>217361.7111042756</v>
      </c>
      <c r="G77" s="117">
        <v>2582220625</v>
      </c>
      <c r="H77" s="117">
        <f t="shared" si="16"/>
        <v>158857.00553675793</v>
      </c>
      <c r="I77" s="7"/>
      <c r="J77" s="10">
        <v>2.4771999999999998</v>
      </c>
      <c r="K77" s="117">
        <v>6396677</v>
      </c>
      <c r="L77" s="120">
        <f t="shared" si="24"/>
        <v>393.52057828360506</v>
      </c>
      <c r="M77" s="122">
        <f t="shared" si="17"/>
        <v>25822206.25</v>
      </c>
      <c r="N77" s="116">
        <f t="shared" si="18"/>
        <v>19425529.25</v>
      </c>
      <c r="O77" s="123">
        <f t="shared" si="19"/>
        <v>1195.0494770839741</v>
      </c>
      <c r="P77" s="5"/>
      <c r="Q77" s="5">
        <f t="shared" si="22"/>
        <v>1</v>
      </c>
      <c r="R77" s="7">
        <f t="shared" si="23"/>
        <v>16255</v>
      </c>
      <c r="S77" s="5">
        <f t="shared" si="20"/>
        <v>1</v>
      </c>
      <c r="T77" s="7">
        <f t="shared" si="21"/>
        <v>16255</v>
      </c>
    </row>
    <row r="78" spans="1:20">
      <c r="A78" s="23" t="s">
        <v>80</v>
      </c>
      <c r="B78" s="35" t="s">
        <v>81</v>
      </c>
      <c r="C78" s="36">
        <v>3710</v>
      </c>
      <c r="D78" s="6"/>
      <c r="E78" s="113">
        <v>536301697</v>
      </c>
      <c r="F78" s="116">
        <f t="shared" si="15"/>
        <v>144555.71347708895</v>
      </c>
      <c r="G78" s="117">
        <v>409918487</v>
      </c>
      <c r="H78" s="117">
        <f t="shared" si="16"/>
        <v>110490.15822102426</v>
      </c>
      <c r="I78" s="7"/>
      <c r="J78" s="11">
        <v>5.6</v>
      </c>
      <c r="K78" s="117">
        <v>2295544</v>
      </c>
      <c r="L78" s="120">
        <f t="shared" si="24"/>
        <v>618.74501347708895</v>
      </c>
      <c r="M78" s="122">
        <f t="shared" si="17"/>
        <v>4099184.87</v>
      </c>
      <c r="N78" s="116">
        <f t="shared" si="18"/>
        <v>1803640.87</v>
      </c>
      <c r="O78" s="123">
        <f t="shared" si="19"/>
        <v>486.15656873315368</v>
      </c>
      <c r="P78" s="5"/>
      <c r="Q78" s="5">
        <f t="shared" si="22"/>
        <v>1</v>
      </c>
      <c r="R78" s="7">
        <f t="shared" si="23"/>
        <v>3710</v>
      </c>
      <c r="S78" s="5">
        <f t="shared" si="20"/>
        <v>1</v>
      </c>
      <c r="T78" s="7">
        <f t="shared" si="21"/>
        <v>3710</v>
      </c>
    </row>
    <row r="79" spans="1:20">
      <c r="A79" s="23" t="s">
        <v>82</v>
      </c>
      <c r="B79" s="35" t="s">
        <v>81</v>
      </c>
      <c r="C79" s="36">
        <v>7208</v>
      </c>
      <c r="D79" s="6"/>
      <c r="E79" s="113">
        <v>634730689</v>
      </c>
      <c r="F79" s="116">
        <f t="shared" si="15"/>
        <v>88059.196587125422</v>
      </c>
      <c r="G79" s="117">
        <v>362636774</v>
      </c>
      <c r="H79" s="117">
        <f t="shared" si="16"/>
        <v>50310.318257491679</v>
      </c>
      <c r="I79" s="7"/>
      <c r="J79" s="10">
        <v>5.37</v>
      </c>
      <c r="K79" s="117">
        <v>1947359</v>
      </c>
      <c r="L79" s="120">
        <f t="shared" si="24"/>
        <v>270.16634295227527</v>
      </c>
      <c r="M79" s="122">
        <f t="shared" si="17"/>
        <v>3626367.74</v>
      </c>
      <c r="N79" s="116">
        <f t="shared" si="18"/>
        <v>1679008.7400000002</v>
      </c>
      <c r="O79" s="123">
        <f t="shared" si="19"/>
        <v>232.93683962264154</v>
      </c>
      <c r="P79" s="5"/>
      <c r="Q79" s="5">
        <f t="shared" si="22"/>
        <v>1</v>
      </c>
      <c r="R79" s="7">
        <f t="shared" si="23"/>
        <v>7208</v>
      </c>
      <c r="S79" s="5">
        <f t="shared" si="20"/>
        <v>1</v>
      </c>
      <c r="T79" s="7">
        <f t="shared" si="21"/>
        <v>7208</v>
      </c>
    </row>
    <row r="80" spans="1:20">
      <c r="A80" s="23" t="s">
        <v>83</v>
      </c>
      <c r="B80" s="35" t="s">
        <v>84</v>
      </c>
      <c r="C80" s="36">
        <v>6148</v>
      </c>
      <c r="D80" s="6"/>
      <c r="E80" s="113">
        <v>408374380</v>
      </c>
      <c r="F80" s="116">
        <f t="shared" ref="F80:F93" si="25">(E80/C80)</f>
        <v>66423.939492517893</v>
      </c>
      <c r="G80" s="117">
        <v>290838218</v>
      </c>
      <c r="H80" s="117">
        <f t="shared" ref="H80:H93" si="26">(G80/C80)</f>
        <v>47306.151268705267</v>
      </c>
      <c r="I80" s="7"/>
      <c r="J80" s="10">
        <v>2.6110000000000002</v>
      </c>
      <c r="K80" s="117">
        <v>759379</v>
      </c>
      <c r="L80" s="120">
        <f t="shared" si="24"/>
        <v>123.51642810670137</v>
      </c>
      <c r="M80" s="122">
        <f t="shared" si="17"/>
        <v>2908382.18</v>
      </c>
      <c r="N80" s="116">
        <f t="shared" si="18"/>
        <v>2149003.1800000002</v>
      </c>
      <c r="O80" s="123">
        <f t="shared" si="19"/>
        <v>349.54508458035139</v>
      </c>
      <c r="P80" s="5"/>
      <c r="Q80" s="5">
        <f t="shared" si="22"/>
        <v>1</v>
      </c>
      <c r="R80" s="7">
        <f t="shared" si="23"/>
        <v>6148</v>
      </c>
      <c r="S80" s="5">
        <f t="shared" si="20"/>
        <v>1</v>
      </c>
      <c r="T80" s="7">
        <f t="shared" si="21"/>
        <v>6148</v>
      </c>
    </row>
    <row r="81" spans="1:20">
      <c r="A81" s="23" t="s">
        <v>85</v>
      </c>
      <c r="B81" s="35" t="s">
        <v>84</v>
      </c>
      <c r="C81" s="36">
        <v>1385</v>
      </c>
      <c r="D81" s="6"/>
      <c r="E81" s="113">
        <v>77405148</v>
      </c>
      <c r="F81" s="116">
        <f t="shared" si="25"/>
        <v>55888.193501805057</v>
      </c>
      <c r="G81" s="117">
        <v>48475852</v>
      </c>
      <c r="H81" s="117">
        <f t="shared" si="26"/>
        <v>35000.615162454873</v>
      </c>
      <c r="I81" s="7"/>
      <c r="J81" s="10">
        <v>2</v>
      </c>
      <c r="K81" s="117">
        <v>96952</v>
      </c>
      <c r="L81" s="120">
        <f t="shared" si="24"/>
        <v>70.0014440433213</v>
      </c>
      <c r="M81" s="122">
        <f t="shared" si="17"/>
        <v>484758.52</v>
      </c>
      <c r="N81" s="116">
        <f t="shared" si="18"/>
        <v>387806.52</v>
      </c>
      <c r="O81" s="123">
        <f t="shared" si="19"/>
        <v>280.00470758122748</v>
      </c>
      <c r="P81" s="5"/>
      <c r="Q81" s="5">
        <f t="shared" si="22"/>
        <v>1</v>
      </c>
      <c r="R81" s="7">
        <f t="shared" si="23"/>
        <v>1385</v>
      </c>
      <c r="S81" s="5">
        <f t="shared" si="20"/>
        <v>1</v>
      </c>
      <c r="T81" s="7">
        <f t="shared" si="21"/>
        <v>1385</v>
      </c>
    </row>
    <row r="82" spans="1:20">
      <c r="A82" s="23" t="s">
        <v>86</v>
      </c>
      <c r="B82" s="35" t="s">
        <v>84</v>
      </c>
      <c r="C82" s="36">
        <v>9130</v>
      </c>
      <c r="D82" s="6"/>
      <c r="E82" s="113">
        <v>722467491</v>
      </c>
      <c r="F82" s="116">
        <f t="shared" si="25"/>
        <v>79131.160021905802</v>
      </c>
      <c r="G82" s="117">
        <v>465179322</v>
      </c>
      <c r="H82" s="117">
        <f t="shared" si="26"/>
        <v>50950.637677984669</v>
      </c>
      <c r="I82" s="9"/>
      <c r="J82" s="10">
        <v>5</v>
      </c>
      <c r="K82" s="117">
        <v>2325897</v>
      </c>
      <c r="L82" s="120">
        <f t="shared" si="24"/>
        <v>254.75323110624316</v>
      </c>
      <c r="M82" s="122">
        <f t="shared" si="17"/>
        <v>4651793.22</v>
      </c>
      <c r="N82" s="116">
        <f t="shared" si="18"/>
        <v>2325896.2199999997</v>
      </c>
      <c r="O82" s="123">
        <f t="shared" si="19"/>
        <v>254.75314567360348</v>
      </c>
      <c r="P82" s="5"/>
      <c r="Q82" s="5">
        <f t="shared" si="22"/>
        <v>1</v>
      </c>
      <c r="R82" s="7">
        <f t="shared" si="23"/>
        <v>9130</v>
      </c>
      <c r="S82" s="5">
        <f t="shared" si="20"/>
        <v>1</v>
      </c>
      <c r="T82" s="7">
        <f t="shared" si="21"/>
        <v>9130</v>
      </c>
    </row>
    <row r="83" spans="1:20">
      <c r="A83" s="23" t="s">
        <v>87</v>
      </c>
      <c r="B83" s="35" t="s">
        <v>84</v>
      </c>
      <c r="C83" s="36">
        <v>617</v>
      </c>
      <c r="D83" s="6"/>
      <c r="E83" s="113">
        <v>26635213</v>
      </c>
      <c r="F83" s="116">
        <f t="shared" si="25"/>
        <v>43168.902755267423</v>
      </c>
      <c r="G83" s="117">
        <v>8308440</v>
      </c>
      <c r="H83" s="117">
        <f t="shared" si="26"/>
        <v>13465.867098865478</v>
      </c>
      <c r="I83" s="9" t="s">
        <v>528</v>
      </c>
      <c r="J83" s="10"/>
      <c r="K83" s="117"/>
      <c r="L83" s="120"/>
      <c r="M83" s="122">
        <f t="shared" si="17"/>
        <v>83084.400000000009</v>
      </c>
      <c r="N83" s="116">
        <f t="shared" si="18"/>
        <v>83084.400000000009</v>
      </c>
      <c r="O83" s="123">
        <f t="shared" si="19"/>
        <v>134.65867098865479</v>
      </c>
      <c r="P83" s="5"/>
      <c r="Q83" s="5">
        <f t="shared" si="22"/>
        <v>1</v>
      </c>
      <c r="R83" s="7">
        <f t="shared" si="23"/>
        <v>617</v>
      </c>
      <c r="S83" s="5">
        <f t="shared" si="20"/>
        <v>0</v>
      </c>
      <c r="T83" s="7">
        <f t="shared" si="21"/>
        <v>0</v>
      </c>
    </row>
    <row r="84" spans="1:20">
      <c r="A84" s="23" t="s">
        <v>88</v>
      </c>
      <c r="B84" s="35" t="s">
        <v>89</v>
      </c>
      <c r="C84" s="36">
        <v>527</v>
      </c>
      <c r="D84" s="6"/>
      <c r="E84" s="113">
        <v>128534062</v>
      </c>
      <c r="F84" s="116">
        <f t="shared" si="25"/>
        <v>243897.65085388994</v>
      </c>
      <c r="G84" s="117">
        <v>93152002</v>
      </c>
      <c r="H84" s="117">
        <f t="shared" si="26"/>
        <v>176759.01707779887</v>
      </c>
      <c r="I84" s="7"/>
      <c r="J84" s="10">
        <v>2.0813999999999999</v>
      </c>
      <c r="K84" s="117">
        <v>193887</v>
      </c>
      <c r="L84" s="120">
        <f>(K84/C84)</f>
        <v>367.9070208728653</v>
      </c>
      <c r="M84" s="122">
        <f t="shared" si="17"/>
        <v>931520.02</v>
      </c>
      <c r="N84" s="116">
        <f t="shared" si="18"/>
        <v>737633.02</v>
      </c>
      <c r="O84" s="123">
        <f t="shared" si="19"/>
        <v>1399.6831499051234</v>
      </c>
      <c r="P84" s="5"/>
      <c r="Q84" s="5">
        <f t="shared" si="22"/>
        <v>1</v>
      </c>
      <c r="R84" s="7">
        <f t="shared" si="23"/>
        <v>527</v>
      </c>
      <c r="S84" s="5">
        <f t="shared" si="20"/>
        <v>1</v>
      </c>
      <c r="T84" s="7">
        <f t="shared" si="21"/>
        <v>527</v>
      </c>
    </row>
    <row r="85" spans="1:20">
      <c r="A85" s="23" t="s">
        <v>90</v>
      </c>
      <c r="B85" s="35" t="s">
        <v>89</v>
      </c>
      <c r="C85" s="36">
        <v>15647</v>
      </c>
      <c r="D85" s="6"/>
      <c r="E85" s="113">
        <v>11375605978</v>
      </c>
      <c r="F85" s="116">
        <f t="shared" si="25"/>
        <v>727015.14526746341</v>
      </c>
      <c r="G85" s="117">
        <v>9487437304</v>
      </c>
      <c r="H85" s="117">
        <f t="shared" si="26"/>
        <v>606342.25755735929</v>
      </c>
      <c r="I85" s="7"/>
      <c r="J85" s="10">
        <v>1.2925</v>
      </c>
      <c r="K85" s="117">
        <v>12262513</v>
      </c>
      <c r="L85" s="120">
        <f>(K85/C85)</f>
        <v>783.69738608039881</v>
      </c>
      <c r="M85" s="122">
        <f t="shared" si="17"/>
        <v>94874373.040000007</v>
      </c>
      <c r="N85" s="116">
        <f t="shared" si="18"/>
        <v>82611860.040000007</v>
      </c>
      <c r="O85" s="123">
        <f t="shared" si="19"/>
        <v>5279.7251894931942</v>
      </c>
      <c r="P85" s="5"/>
      <c r="Q85" s="5">
        <f t="shared" si="22"/>
        <v>1</v>
      </c>
      <c r="R85" s="7">
        <f t="shared" si="23"/>
        <v>15647</v>
      </c>
      <c r="S85" s="5">
        <f t="shared" si="20"/>
        <v>1</v>
      </c>
      <c r="T85" s="7">
        <f t="shared" si="21"/>
        <v>15647</v>
      </c>
    </row>
    <row r="86" spans="1:20">
      <c r="A86" s="23" t="s">
        <v>91</v>
      </c>
      <c r="B86" s="35" t="s">
        <v>89</v>
      </c>
      <c r="C86" s="36">
        <v>22490</v>
      </c>
      <c r="D86" s="6"/>
      <c r="E86" s="113">
        <v>17371033725</v>
      </c>
      <c r="F86" s="116">
        <f t="shared" si="25"/>
        <v>772389.22743441525</v>
      </c>
      <c r="G86" s="117">
        <v>13746713411</v>
      </c>
      <c r="H86" s="117">
        <f t="shared" si="26"/>
        <v>611236.70124499779</v>
      </c>
      <c r="I86" s="9"/>
      <c r="J86" s="11">
        <v>1.1399999999999999</v>
      </c>
      <c r="K86" s="117">
        <v>15671253</v>
      </c>
      <c r="L86" s="120">
        <f>(K86/C86)</f>
        <v>696.80982658959533</v>
      </c>
      <c r="M86" s="122">
        <f t="shared" si="17"/>
        <v>137467134.11000001</v>
      </c>
      <c r="N86" s="116">
        <f t="shared" si="18"/>
        <v>121795881.11000001</v>
      </c>
      <c r="O86" s="123">
        <f t="shared" si="19"/>
        <v>5415.5571858603835</v>
      </c>
      <c r="P86" s="5"/>
      <c r="Q86" s="5">
        <f t="shared" si="22"/>
        <v>1</v>
      </c>
      <c r="R86" s="7">
        <f t="shared" si="23"/>
        <v>22490</v>
      </c>
      <c r="S86" s="5">
        <f t="shared" si="20"/>
        <v>1</v>
      </c>
      <c r="T86" s="7">
        <f t="shared" si="21"/>
        <v>22490</v>
      </c>
    </row>
    <row r="87" spans="1:20">
      <c r="A87" s="23" t="s">
        <v>92</v>
      </c>
      <c r="B87" s="35" t="s">
        <v>93</v>
      </c>
      <c r="C87" s="36">
        <v>444</v>
      </c>
      <c r="D87" s="6"/>
      <c r="E87" s="113">
        <v>24906925</v>
      </c>
      <c r="F87" s="116">
        <f t="shared" si="25"/>
        <v>56096.677927927929</v>
      </c>
      <c r="G87" s="117">
        <v>13592063</v>
      </c>
      <c r="H87" s="117">
        <f t="shared" si="26"/>
        <v>30612.754504504504</v>
      </c>
      <c r="I87" s="9" t="s">
        <v>528</v>
      </c>
      <c r="J87" s="10"/>
      <c r="K87" s="117"/>
      <c r="L87" s="120"/>
      <c r="M87" s="122">
        <f t="shared" si="17"/>
        <v>135920.63</v>
      </c>
      <c r="N87" s="116">
        <f t="shared" si="18"/>
        <v>135920.63</v>
      </c>
      <c r="O87" s="123">
        <f t="shared" si="19"/>
        <v>306.12754504504505</v>
      </c>
      <c r="P87" s="5"/>
      <c r="Q87" s="5">
        <f t="shared" si="22"/>
        <v>1</v>
      </c>
      <c r="R87" s="7">
        <f t="shared" si="23"/>
        <v>444</v>
      </c>
      <c r="S87" s="5">
        <f t="shared" si="20"/>
        <v>0</v>
      </c>
      <c r="T87" s="7">
        <f t="shared" si="21"/>
        <v>0</v>
      </c>
    </row>
    <row r="88" spans="1:20">
      <c r="A88" s="23" t="s">
        <v>94</v>
      </c>
      <c r="B88" s="35" t="s">
        <v>93</v>
      </c>
      <c r="C88" s="36">
        <v>10681</v>
      </c>
      <c r="D88" s="6"/>
      <c r="E88" s="113">
        <v>839150510</v>
      </c>
      <c r="F88" s="116">
        <f t="shared" si="25"/>
        <v>78564.788877445928</v>
      </c>
      <c r="G88" s="117">
        <v>530854237</v>
      </c>
      <c r="H88" s="117">
        <f t="shared" si="26"/>
        <v>49700.799269731302</v>
      </c>
      <c r="I88" s="7"/>
      <c r="J88" s="10">
        <v>3.5550000000000002</v>
      </c>
      <c r="K88" s="117">
        <v>1887187</v>
      </c>
      <c r="L88" s="120">
        <f t="shared" ref="L88:L93" si="27">(K88/C88)</f>
        <v>176.68635895515402</v>
      </c>
      <c r="M88" s="122">
        <f t="shared" si="17"/>
        <v>5308542.37</v>
      </c>
      <c r="N88" s="116">
        <f t="shared" si="18"/>
        <v>3421355.37</v>
      </c>
      <c r="O88" s="123">
        <f t="shared" si="19"/>
        <v>320.32163374215901</v>
      </c>
      <c r="P88" s="5"/>
      <c r="Q88" s="5">
        <f t="shared" si="22"/>
        <v>1</v>
      </c>
      <c r="R88" s="7">
        <f t="shared" si="23"/>
        <v>10681</v>
      </c>
      <c r="S88" s="5">
        <f t="shared" si="20"/>
        <v>1</v>
      </c>
      <c r="T88" s="7">
        <f t="shared" si="21"/>
        <v>10681</v>
      </c>
    </row>
    <row r="89" spans="1:20">
      <c r="A89" s="23" t="s">
        <v>95</v>
      </c>
      <c r="B89" s="35" t="s">
        <v>468</v>
      </c>
      <c r="C89" s="36">
        <v>6668</v>
      </c>
      <c r="D89" s="6"/>
      <c r="E89" s="113">
        <v>283853183</v>
      </c>
      <c r="F89" s="116">
        <f t="shared" si="25"/>
        <v>42569.463557288545</v>
      </c>
      <c r="G89" s="117">
        <v>158079420</v>
      </c>
      <c r="H89" s="117">
        <f t="shared" si="26"/>
        <v>23707.171565686862</v>
      </c>
      <c r="I89" s="8"/>
      <c r="J89" s="10">
        <v>8.9962999999999997</v>
      </c>
      <c r="K89" s="117">
        <v>1422130</v>
      </c>
      <c r="L89" s="120">
        <f t="shared" si="27"/>
        <v>213.27684463107377</v>
      </c>
      <c r="M89" s="122">
        <f t="shared" si="17"/>
        <v>1580794.2</v>
      </c>
      <c r="N89" s="116">
        <f t="shared" si="18"/>
        <v>158664.19999999995</v>
      </c>
      <c r="O89" s="123">
        <f t="shared" si="19"/>
        <v>23.794871025794833</v>
      </c>
      <c r="P89" s="5"/>
      <c r="Q89" s="5">
        <f t="shared" si="22"/>
        <v>1</v>
      </c>
      <c r="R89" s="7">
        <f t="shared" si="23"/>
        <v>6668</v>
      </c>
      <c r="S89" s="5">
        <f t="shared" si="20"/>
        <v>1</v>
      </c>
      <c r="T89" s="7">
        <f t="shared" si="21"/>
        <v>6668</v>
      </c>
    </row>
    <row r="90" spans="1:20">
      <c r="A90" s="23" t="s">
        <v>96</v>
      </c>
      <c r="B90" s="35" t="s">
        <v>97</v>
      </c>
      <c r="C90" s="36">
        <v>1773</v>
      </c>
      <c r="D90" s="6"/>
      <c r="E90" s="113">
        <v>63923332</v>
      </c>
      <c r="F90" s="116">
        <f t="shared" si="25"/>
        <v>36053.768753525095</v>
      </c>
      <c r="G90" s="117">
        <v>25607111</v>
      </c>
      <c r="H90" s="117">
        <f t="shared" si="26"/>
        <v>14442.81500282008</v>
      </c>
      <c r="I90" s="8"/>
      <c r="J90" s="10">
        <v>5</v>
      </c>
      <c r="K90" s="117">
        <v>128036</v>
      </c>
      <c r="L90" s="120">
        <f t="shared" si="27"/>
        <v>72.214326001128029</v>
      </c>
      <c r="M90" s="122">
        <f t="shared" si="17"/>
        <v>256071.11000000002</v>
      </c>
      <c r="N90" s="116">
        <f t="shared" si="18"/>
        <v>128035.11000000002</v>
      </c>
      <c r="O90" s="123">
        <f t="shared" si="19"/>
        <v>72.213824027072761</v>
      </c>
      <c r="P90" s="5"/>
      <c r="Q90" s="5">
        <f t="shared" si="22"/>
        <v>1</v>
      </c>
      <c r="R90" s="7">
        <f t="shared" si="23"/>
        <v>1773</v>
      </c>
      <c r="S90" s="5">
        <f t="shared" si="20"/>
        <v>1</v>
      </c>
      <c r="T90" s="7">
        <f t="shared" si="21"/>
        <v>1773</v>
      </c>
    </row>
    <row r="91" spans="1:20">
      <c r="A91" s="23" t="s">
        <v>98</v>
      </c>
      <c r="B91" s="35" t="s">
        <v>97</v>
      </c>
      <c r="C91" s="36">
        <v>262</v>
      </c>
      <c r="D91" s="6"/>
      <c r="E91" s="113">
        <v>55057577</v>
      </c>
      <c r="F91" s="116">
        <f t="shared" si="25"/>
        <v>210143.42366412215</v>
      </c>
      <c r="G91" s="117">
        <v>44588395</v>
      </c>
      <c r="H91" s="117">
        <f t="shared" si="26"/>
        <v>170184.71374045801</v>
      </c>
      <c r="I91" s="9"/>
      <c r="J91" s="11">
        <v>3</v>
      </c>
      <c r="K91" s="117">
        <v>133765</v>
      </c>
      <c r="L91" s="120">
        <f t="shared" si="27"/>
        <v>510.55343511450383</v>
      </c>
      <c r="M91" s="122">
        <f t="shared" si="17"/>
        <v>445883.95</v>
      </c>
      <c r="N91" s="116">
        <f t="shared" si="18"/>
        <v>312118.95</v>
      </c>
      <c r="O91" s="123">
        <f t="shared" si="19"/>
        <v>1191.2937022900765</v>
      </c>
      <c r="P91" s="5"/>
      <c r="Q91" s="5">
        <f t="shared" si="22"/>
        <v>1</v>
      </c>
      <c r="R91" s="7">
        <f t="shared" si="23"/>
        <v>262</v>
      </c>
      <c r="S91" s="5">
        <f t="shared" si="20"/>
        <v>1</v>
      </c>
      <c r="T91" s="7">
        <f t="shared" si="21"/>
        <v>262</v>
      </c>
    </row>
    <row r="92" spans="1:20">
      <c r="A92" s="23" t="s">
        <v>99</v>
      </c>
      <c r="B92" s="35" t="s">
        <v>100</v>
      </c>
      <c r="C92" s="36">
        <v>14079</v>
      </c>
      <c r="D92" s="6"/>
      <c r="E92" s="113">
        <v>1878067215</v>
      </c>
      <c r="F92" s="116">
        <f t="shared" si="25"/>
        <v>133394.92968250587</v>
      </c>
      <c r="G92" s="117">
        <v>1215336902</v>
      </c>
      <c r="H92" s="117">
        <f t="shared" si="26"/>
        <v>86322.672206832867</v>
      </c>
      <c r="I92" s="9"/>
      <c r="J92" s="10">
        <v>2.9973999999999998</v>
      </c>
      <c r="K92" s="117">
        <v>3642851</v>
      </c>
      <c r="L92" s="120">
        <f t="shared" si="27"/>
        <v>258.74358974358972</v>
      </c>
      <c r="M92" s="122">
        <f t="shared" si="17"/>
        <v>12153369.02</v>
      </c>
      <c r="N92" s="116">
        <f t="shared" si="18"/>
        <v>8510518.0199999996</v>
      </c>
      <c r="O92" s="123">
        <f t="shared" si="19"/>
        <v>604.4831323247389</v>
      </c>
      <c r="P92" s="5"/>
      <c r="Q92" s="5">
        <f t="shared" si="22"/>
        <v>1</v>
      </c>
      <c r="R92" s="7">
        <f t="shared" si="23"/>
        <v>14079</v>
      </c>
      <c r="S92" s="5">
        <f t="shared" si="20"/>
        <v>1</v>
      </c>
      <c r="T92" s="7">
        <f t="shared" si="21"/>
        <v>14079</v>
      </c>
    </row>
    <row r="93" spans="1:20">
      <c r="A93" s="23" t="s">
        <v>101</v>
      </c>
      <c r="B93" s="35" t="s">
        <v>100</v>
      </c>
      <c r="C93" s="36">
        <v>1636</v>
      </c>
      <c r="D93" s="6"/>
      <c r="E93" s="113">
        <v>61654632</v>
      </c>
      <c r="F93" s="116">
        <f t="shared" si="25"/>
        <v>37686.205378973107</v>
      </c>
      <c r="G93" s="117">
        <v>36523899</v>
      </c>
      <c r="H93" s="117">
        <f t="shared" si="26"/>
        <v>22325.121638141809</v>
      </c>
      <c r="I93" s="9"/>
      <c r="J93" s="10">
        <v>3.0973999999999999</v>
      </c>
      <c r="K93" s="117">
        <v>113129</v>
      </c>
      <c r="L93" s="120">
        <f t="shared" si="27"/>
        <v>69.149755501222501</v>
      </c>
      <c r="M93" s="122">
        <f t="shared" si="17"/>
        <v>365238.99</v>
      </c>
      <c r="N93" s="116">
        <f t="shared" si="18"/>
        <v>252109.99</v>
      </c>
      <c r="O93" s="123">
        <f t="shared" si="19"/>
        <v>154.10146088019559</v>
      </c>
      <c r="P93" s="5"/>
      <c r="Q93" s="5">
        <f t="shared" si="22"/>
        <v>1</v>
      </c>
      <c r="R93" s="7">
        <f t="shared" si="23"/>
        <v>1636</v>
      </c>
      <c r="S93" s="5">
        <f t="shared" si="20"/>
        <v>1</v>
      </c>
      <c r="T93" s="7">
        <f t="shared" si="21"/>
        <v>1636</v>
      </c>
    </row>
    <row r="94" spans="1:20">
      <c r="A94" s="23" t="s">
        <v>102</v>
      </c>
      <c r="B94" s="35" t="s">
        <v>100</v>
      </c>
      <c r="C94" s="36">
        <v>816648</v>
      </c>
      <c r="D94" s="36" t="s">
        <v>512</v>
      </c>
      <c r="E94" s="113"/>
      <c r="F94" s="116"/>
      <c r="G94" s="117"/>
      <c r="H94" s="117"/>
      <c r="I94" s="9"/>
      <c r="J94" s="10"/>
      <c r="K94" s="117"/>
      <c r="L94" s="120"/>
      <c r="M94" s="122">
        <f t="shared" si="17"/>
        <v>0</v>
      </c>
      <c r="N94" s="116">
        <f t="shared" si="18"/>
        <v>0</v>
      </c>
      <c r="O94" s="123">
        <f t="shared" si="19"/>
        <v>0</v>
      </c>
      <c r="P94" s="5"/>
      <c r="Q94" s="5">
        <f t="shared" si="22"/>
        <v>0</v>
      </c>
      <c r="R94" s="7">
        <f t="shared" si="23"/>
        <v>0</v>
      </c>
      <c r="S94" s="5">
        <f t="shared" si="20"/>
        <v>0</v>
      </c>
      <c r="T94" s="7">
        <f t="shared" si="21"/>
        <v>0</v>
      </c>
    </row>
    <row r="95" spans="1:20">
      <c r="A95" s="23" t="s">
        <v>103</v>
      </c>
      <c r="B95" s="35" t="s">
        <v>100</v>
      </c>
      <c r="C95" s="36">
        <v>21531</v>
      </c>
      <c r="D95" s="6"/>
      <c r="E95" s="113">
        <v>3381011969</v>
      </c>
      <c r="F95" s="116">
        <f t="shared" ref="F95:F158" si="28">(E95/C95)</f>
        <v>157029.9553666806</v>
      </c>
      <c r="G95" s="117">
        <v>2365032017</v>
      </c>
      <c r="H95" s="117">
        <f t="shared" ref="H95:H158" si="29">(G95/C95)</f>
        <v>109843.11072407226</v>
      </c>
      <c r="I95" s="9"/>
      <c r="J95" s="10">
        <v>3.9070999999999998</v>
      </c>
      <c r="K95" s="117">
        <v>9240417</v>
      </c>
      <c r="L95" s="120">
        <f t="shared" ref="L95:L111" si="30">(K95/C95)</f>
        <v>429.16803678417165</v>
      </c>
      <c r="M95" s="122">
        <f t="shared" si="17"/>
        <v>23650320.170000002</v>
      </c>
      <c r="N95" s="116">
        <f t="shared" si="18"/>
        <v>14409903.170000002</v>
      </c>
      <c r="O95" s="123">
        <f t="shared" si="19"/>
        <v>669.26307045655108</v>
      </c>
      <c r="P95" s="5"/>
      <c r="Q95" s="5">
        <f t="shared" si="22"/>
        <v>1</v>
      </c>
      <c r="R95" s="7">
        <f t="shared" si="23"/>
        <v>21531</v>
      </c>
      <c r="S95" s="5">
        <f t="shared" si="20"/>
        <v>1</v>
      </c>
      <c r="T95" s="7">
        <f t="shared" si="21"/>
        <v>21531</v>
      </c>
    </row>
    <row r="96" spans="1:20">
      <c r="A96" s="23" t="s">
        <v>104</v>
      </c>
      <c r="B96" s="35" t="s">
        <v>100</v>
      </c>
      <c r="C96" s="36">
        <v>7256</v>
      </c>
      <c r="D96" s="6"/>
      <c r="E96" s="113">
        <v>909540349</v>
      </c>
      <c r="F96" s="116">
        <f t="shared" si="28"/>
        <v>125350.10322491731</v>
      </c>
      <c r="G96" s="117">
        <v>623282904</v>
      </c>
      <c r="H96" s="117">
        <f t="shared" si="29"/>
        <v>85898.966923925022</v>
      </c>
      <c r="I96" s="7"/>
      <c r="J96" s="10">
        <v>2.9</v>
      </c>
      <c r="K96" s="117">
        <v>1807520</v>
      </c>
      <c r="L96" s="120">
        <f t="shared" si="30"/>
        <v>249.10694597574422</v>
      </c>
      <c r="M96" s="122">
        <f t="shared" si="17"/>
        <v>6232829.04</v>
      </c>
      <c r="N96" s="116">
        <f t="shared" si="18"/>
        <v>4425309.04</v>
      </c>
      <c r="O96" s="123">
        <f t="shared" si="19"/>
        <v>609.88272326350602</v>
      </c>
      <c r="P96" s="5"/>
      <c r="Q96" s="5">
        <f t="shared" si="22"/>
        <v>1</v>
      </c>
      <c r="R96" s="7">
        <f t="shared" si="23"/>
        <v>7256</v>
      </c>
      <c r="S96" s="5">
        <f t="shared" si="20"/>
        <v>1</v>
      </c>
      <c r="T96" s="7">
        <f t="shared" si="21"/>
        <v>7256</v>
      </c>
    </row>
    <row r="97" spans="1:20">
      <c r="A97" s="23" t="s">
        <v>105</v>
      </c>
      <c r="B97" s="35" t="s">
        <v>106</v>
      </c>
      <c r="C97" s="36">
        <v>1784</v>
      </c>
      <c r="D97" s="6"/>
      <c r="E97" s="113">
        <v>53202030</v>
      </c>
      <c r="F97" s="116">
        <f t="shared" si="28"/>
        <v>29821.765695067264</v>
      </c>
      <c r="G97" s="117">
        <v>30642664</v>
      </c>
      <c r="H97" s="117">
        <f t="shared" si="29"/>
        <v>17176.381165919283</v>
      </c>
      <c r="I97" s="7"/>
      <c r="J97" s="10">
        <v>0.86099999999999999</v>
      </c>
      <c r="K97" s="117">
        <v>26383</v>
      </c>
      <c r="L97" s="120">
        <f t="shared" si="30"/>
        <v>14.788677130044842</v>
      </c>
      <c r="M97" s="122">
        <f t="shared" si="17"/>
        <v>306426.64</v>
      </c>
      <c r="N97" s="116">
        <f t="shared" si="18"/>
        <v>280043.64</v>
      </c>
      <c r="O97" s="123">
        <f t="shared" si="19"/>
        <v>156.97513452914799</v>
      </c>
      <c r="P97" s="5"/>
      <c r="Q97" s="5">
        <f t="shared" si="22"/>
        <v>1</v>
      </c>
      <c r="R97" s="7">
        <f t="shared" si="23"/>
        <v>1784</v>
      </c>
      <c r="S97" s="5">
        <f t="shared" si="20"/>
        <v>1</v>
      </c>
      <c r="T97" s="7">
        <f t="shared" si="21"/>
        <v>1784</v>
      </c>
    </row>
    <row r="98" spans="1:20">
      <c r="A98" s="23" t="s">
        <v>107</v>
      </c>
      <c r="B98" s="35" t="s">
        <v>106</v>
      </c>
      <c r="C98" s="36">
        <v>54827</v>
      </c>
      <c r="D98" s="6"/>
      <c r="E98" s="113">
        <v>4090696272</v>
      </c>
      <c r="F98" s="116">
        <f t="shared" si="28"/>
        <v>74610.981304831555</v>
      </c>
      <c r="G98" s="117">
        <v>2620138089</v>
      </c>
      <c r="H98" s="117">
        <f t="shared" si="29"/>
        <v>47789.193080051802</v>
      </c>
      <c r="I98" s="7"/>
      <c r="J98" s="10">
        <v>5.0570000000000004</v>
      </c>
      <c r="K98" s="117">
        <v>13250038</v>
      </c>
      <c r="L98" s="120">
        <f t="shared" si="30"/>
        <v>241.66994364090687</v>
      </c>
      <c r="M98" s="122">
        <f t="shared" si="17"/>
        <v>26201380.890000001</v>
      </c>
      <c r="N98" s="116">
        <f t="shared" si="18"/>
        <v>12951342.890000001</v>
      </c>
      <c r="O98" s="123">
        <f t="shared" si="19"/>
        <v>236.22198715961116</v>
      </c>
      <c r="P98" s="5"/>
      <c r="Q98" s="5">
        <f t="shared" si="22"/>
        <v>1</v>
      </c>
      <c r="R98" s="7">
        <f t="shared" si="23"/>
        <v>54827</v>
      </c>
      <c r="S98" s="5">
        <f t="shared" si="20"/>
        <v>1</v>
      </c>
      <c r="T98" s="7">
        <f t="shared" si="21"/>
        <v>54827</v>
      </c>
    </row>
    <row r="99" spans="1:20">
      <c r="A99" s="23" t="s">
        <v>108</v>
      </c>
      <c r="B99" s="35" t="s">
        <v>109</v>
      </c>
      <c r="C99" s="36">
        <v>529</v>
      </c>
      <c r="D99" s="6"/>
      <c r="E99" s="113">
        <v>74029996</v>
      </c>
      <c r="F99" s="116">
        <f t="shared" si="28"/>
        <v>139943.28166351607</v>
      </c>
      <c r="G99" s="117">
        <v>62976329</v>
      </c>
      <c r="H99" s="117">
        <f t="shared" si="29"/>
        <v>119047.8809073724</v>
      </c>
      <c r="I99" s="7"/>
      <c r="J99" s="10">
        <v>2.3197999999999999</v>
      </c>
      <c r="K99" s="117">
        <v>146092</v>
      </c>
      <c r="L99" s="120">
        <f t="shared" si="30"/>
        <v>276.16635160680528</v>
      </c>
      <c r="M99" s="122">
        <f t="shared" si="17"/>
        <v>629763.29</v>
      </c>
      <c r="N99" s="116">
        <f t="shared" si="18"/>
        <v>483671.29000000004</v>
      </c>
      <c r="O99" s="123">
        <f t="shared" si="19"/>
        <v>914.31245746691877</v>
      </c>
      <c r="P99" s="5"/>
      <c r="Q99" s="5">
        <f t="shared" si="22"/>
        <v>1</v>
      </c>
      <c r="R99" s="7">
        <f t="shared" si="23"/>
        <v>529</v>
      </c>
      <c r="S99" s="5">
        <f t="shared" si="20"/>
        <v>1</v>
      </c>
      <c r="T99" s="7">
        <f t="shared" si="21"/>
        <v>529</v>
      </c>
    </row>
    <row r="100" spans="1:20">
      <c r="A100" s="23" t="s">
        <v>110</v>
      </c>
      <c r="B100" s="35" t="s">
        <v>109</v>
      </c>
      <c r="C100" s="36">
        <v>2361</v>
      </c>
      <c r="D100" s="6"/>
      <c r="E100" s="113">
        <v>195515900</v>
      </c>
      <c r="F100" s="116">
        <f t="shared" si="28"/>
        <v>82810.631088521812</v>
      </c>
      <c r="G100" s="117">
        <v>129460673</v>
      </c>
      <c r="H100" s="117">
        <f t="shared" si="29"/>
        <v>54832.983058026257</v>
      </c>
      <c r="I100" s="7"/>
      <c r="J100" s="10">
        <v>5.9</v>
      </c>
      <c r="K100" s="117">
        <v>763818</v>
      </c>
      <c r="L100" s="120">
        <f t="shared" si="30"/>
        <v>323.51461245235072</v>
      </c>
      <c r="M100" s="122">
        <f t="shared" si="17"/>
        <v>1294606.73</v>
      </c>
      <c r="N100" s="116">
        <f t="shared" si="18"/>
        <v>530788.73</v>
      </c>
      <c r="O100" s="123">
        <f t="shared" si="19"/>
        <v>224.81521812791189</v>
      </c>
      <c r="P100" s="5"/>
      <c r="Q100" s="5">
        <f t="shared" si="22"/>
        <v>1</v>
      </c>
      <c r="R100" s="7">
        <f t="shared" si="23"/>
        <v>2361</v>
      </c>
      <c r="S100" s="5">
        <f t="shared" si="20"/>
        <v>1</v>
      </c>
      <c r="T100" s="7">
        <f t="shared" si="21"/>
        <v>2361</v>
      </c>
    </row>
    <row r="101" spans="1:20">
      <c r="A101" s="23" t="s">
        <v>447</v>
      </c>
      <c r="B101" s="35" t="s">
        <v>109</v>
      </c>
      <c r="C101" s="36">
        <v>58216</v>
      </c>
      <c r="D101" s="6"/>
      <c r="E101" s="113">
        <v>5986580891</v>
      </c>
      <c r="F101" s="116">
        <f t="shared" si="28"/>
        <v>102833.94412189089</v>
      </c>
      <c r="G101" s="117">
        <v>4444854928</v>
      </c>
      <c r="H101" s="117">
        <f t="shared" si="29"/>
        <v>76351.087810911093</v>
      </c>
      <c r="I101" s="9"/>
      <c r="J101" s="10">
        <v>3.4</v>
      </c>
      <c r="K101" s="117">
        <v>15112507</v>
      </c>
      <c r="L101" s="120">
        <f t="shared" si="30"/>
        <v>259.59370276212724</v>
      </c>
      <c r="M101" s="122">
        <f t="shared" si="17"/>
        <v>44448549.280000001</v>
      </c>
      <c r="N101" s="116">
        <f t="shared" si="18"/>
        <v>29336042.280000001</v>
      </c>
      <c r="O101" s="123">
        <f t="shared" si="19"/>
        <v>503.91717534698364</v>
      </c>
      <c r="P101" s="5"/>
      <c r="Q101" s="5">
        <f t="shared" si="22"/>
        <v>1</v>
      </c>
      <c r="R101" s="7">
        <f t="shared" si="23"/>
        <v>58216</v>
      </c>
      <c r="S101" s="5">
        <f t="shared" si="20"/>
        <v>1</v>
      </c>
      <c r="T101" s="7">
        <f t="shared" si="21"/>
        <v>58216</v>
      </c>
    </row>
    <row r="102" spans="1:20">
      <c r="A102" s="23" t="s">
        <v>111</v>
      </c>
      <c r="B102" s="35" t="s">
        <v>557</v>
      </c>
      <c r="C102" s="36">
        <v>10</v>
      </c>
      <c r="D102" s="6"/>
      <c r="E102" s="113">
        <v>39089642</v>
      </c>
      <c r="F102" s="116">
        <f t="shared" si="28"/>
        <v>3908964.2</v>
      </c>
      <c r="G102" s="117">
        <v>13727557</v>
      </c>
      <c r="H102" s="117">
        <f t="shared" si="29"/>
        <v>1372755.7</v>
      </c>
      <c r="I102" s="7"/>
      <c r="J102" s="10">
        <v>4.3551000000000002</v>
      </c>
      <c r="K102" s="117">
        <v>59785</v>
      </c>
      <c r="L102" s="120">
        <f t="shared" si="30"/>
        <v>5978.5</v>
      </c>
      <c r="M102" s="122">
        <f t="shared" si="17"/>
        <v>137275.57</v>
      </c>
      <c r="N102" s="116">
        <f t="shared" si="18"/>
        <v>77490.570000000007</v>
      </c>
      <c r="O102" s="123">
        <f t="shared" si="19"/>
        <v>7749.0570000000007</v>
      </c>
      <c r="P102" s="5"/>
      <c r="Q102" s="5">
        <f t="shared" si="22"/>
        <v>1</v>
      </c>
      <c r="R102" s="7">
        <f t="shared" si="23"/>
        <v>10</v>
      </c>
      <c r="S102" s="5">
        <f t="shared" si="20"/>
        <v>1</v>
      </c>
      <c r="T102" s="7">
        <f t="shared" si="21"/>
        <v>10</v>
      </c>
    </row>
    <row r="103" spans="1:20">
      <c r="A103" s="23" t="s">
        <v>112</v>
      </c>
      <c r="B103" s="35" t="s">
        <v>113</v>
      </c>
      <c r="C103" s="36">
        <v>5510</v>
      </c>
      <c r="D103" s="6"/>
      <c r="E103" s="113">
        <v>1021976066</v>
      </c>
      <c r="F103" s="116">
        <f t="shared" si="28"/>
        <v>185476.6</v>
      </c>
      <c r="G103" s="117">
        <v>738266671</v>
      </c>
      <c r="H103" s="117">
        <f t="shared" si="29"/>
        <v>133986.69165154264</v>
      </c>
      <c r="I103" s="7"/>
      <c r="J103" s="10">
        <v>3</v>
      </c>
      <c r="K103" s="117">
        <v>2214800</v>
      </c>
      <c r="L103" s="120">
        <f t="shared" si="30"/>
        <v>401.9600725952813</v>
      </c>
      <c r="M103" s="122">
        <f t="shared" si="17"/>
        <v>7382666.71</v>
      </c>
      <c r="N103" s="116">
        <f t="shared" si="18"/>
        <v>5167866.71</v>
      </c>
      <c r="O103" s="123">
        <f t="shared" si="19"/>
        <v>937.90684392014521</v>
      </c>
      <c r="P103" s="5"/>
      <c r="Q103" s="5">
        <f t="shared" si="22"/>
        <v>1</v>
      </c>
      <c r="R103" s="7">
        <f t="shared" si="23"/>
        <v>5510</v>
      </c>
      <c r="S103" s="5">
        <f t="shared" si="20"/>
        <v>1</v>
      </c>
      <c r="T103" s="7">
        <f t="shared" si="21"/>
        <v>5510</v>
      </c>
    </row>
    <row r="104" spans="1:20">
      <c r="A104" s="23" t="s">
        <v>114</v>
      </c>
      <c r="B104" s="35" t="s">
        <v>115</v>
      </c>
      <c r="C104" s="36">
        <v>2484</v>
      </c>
      <c r="D104" s="6"/>
      <c r="E104" s="113">
        <v>262096788</v>
      </c>
      <c r="F104" s="116">
        <f t="shared" si="28"/>
        <v>105514.00483091787</v>
      </c>
      <c r="G104" s="117">
        <v>166411244</v>
      </c>
      <c r="H104" s="117">
        <f t="shared" si="29"/>
        <v>66993.254428341388</v>
      </c>
      <c r="I104" s="7"/>
      <c r="J104" s="11">
        <v>7.75</v>
      </c>
      <c r="K104" s="117">
        <v>1289687</v>
      </c>
      <c r="L104" s="120">
        <f t="shared" si="30"/>
        <v>519.19766505636073</v>
      </c>
      <c r="M104" s="122">
        <f t="shared" si="17"/>
        <v>1664112.44</v>
      </c>
      <c r="N104" s="116">
        <f t="shared" si="18"/>
        <v>374425.43999999994</v>
      </c>
      <c r="O104" s="123">
        <f t="shared" si="19"/>
        <v>150.73487922705311</v>
      </c>
      <c r="P104" s="5"/>
      <c r="Q104" s="5">
        <f t="shared" si="22"/>
        <v>1</v>
      </c>
      <c r="R104" s="7">
        <f t="shared" si="23"/>
        <v>2484</v>
      </c>
      <c r="S104" s="5">
        <f t="shared" si="20"/>
        <v>1</v>
      </c>
      <c r="T104" s="7">
        <f t="shared" si="21"/>
        <v>2484</v>
      </c>
    </row>
    <row r="105" spans="1:20">
      <c r="A105" s="23" t="s">
        <v>116</v>
      </c>
      <c r="B105" s="35" t="s">
        <v>115</v>
      </c>
      <c r="C105" s="36">
        <v>1300</v>
      </c>
      <c r="D105" s="6"/>
      <c r="E105" s="113">
        <v>234820794</v>
      </c>
      <c r="F105" s="116">
        <f t="shared" si="28"/>
        <v>180631.38</v>
      </c>
      <c r="G105" s="117">
        <v>161574223</v>
      </c>
      <c r="H105" s="117">
        <f t="shared" si="29"/>
        <v>124287.86384615385</v>
      </c>
      <c r="I105" s="7"/>
      <c r="J105" s="10">
        <v>5</v>
      </c>
      <c r="K105" s="117">
        <v>807871</v>
      </c>
      <c r="L105" s="120">
        <f t="shared" si="30"/>
        <v>621.43923076923079</v>
      </c>
      <c r="M105" s="122">
        <f t="shared" si="17"/>
        <v>1615742.23</v>
      </c>
      <c r="N105" s="116">
        <f t="shared" si="18"/>
        <v>807871.23</v>
      </c>
      <c r="O105" s="123">
        <f t="shared" si="19"/>
        <v>621.43940769230767</v>
      </c>
      <c r="P105" s="5"/>
      <c r="Q105" s="5">
        <f t="shared" si="22"/>
        <v>1</v>
      </c>
      <c r="R105" s="7">
        <f t="shared" si="23"/>
        <v>1300</v>
      </c>
      <c r="S105" s="5">
        <f t="shared" si="20"/>
        <v>1</v>
      </c>
      <c r="T105" s="7">
        <f t="shared" si="21"/>
        <v>1300</v>
      </c>
    </row>
    <row r="106" spans="1:20">
      <c r="A106" s="23" t="s">
        <v>117</v>
      </c>
      <c r="B106" s="35" t="s">
        <v>118</v>
      </c>
      <c r="C106" s="36">
        <v>3901</v>
      </c>
      <c r="D106" s="6"/>
      <c r="E106" s="113">
        <v>227633492</v>
      </c>
      <c r="F106" s="116">
        <f t="shared" si="28"/>
        <v>58352.599846193283</v>
      </c>
      <c r="G106" s="117">
        <v>34861241</v>
      </c>
      <c r="H106" s="117">
        <f t="shared" si="29"/>
        <v>8936.4883363240187</v>
      </c>
      <c r="I106" s="7"/>
      <c r="J106" s="10">
        <v>0.80230000000000001</v>
      </c>
      <c r="K106" s="117">
        <v>27969</v>
      </c>
      <c r="L106" s="120">
        <f t="shared" si="30"/>
        <v>7.1697000769033581</v>
      </c>
      <c r="M106" s="122">
        <f t="shared" si="17"/>
        <v>348612.41000000003</v>
      </c>
      <c r="N106" s="116">
        <f t="shared" si="18"/>
        <v>320643.41000000003</v>
      </c>
      <c r="O106" s="123">
        <f t="shared" si="19"/>
        <v>82.195183286336842</v>
      </c>
      <c r="P106" s="5"/>
      <c r="Q106" s="5">
        <f t="shared" si="22"/>
        <v>1</v>
      </c>
      <c r="R106" s="7">
        <f t="shared" si="23"/>
        <v>3901</v>
      </c>
      <c r="S106" s="5">
        <f t="shared" si="20"/>
        <v>1</v>
      </c>
      <c r="T106" s="7">
        <f t="shared" si="21"/>
        <v>3901</v>
      </c>
    </row>
    <row r="107" spans="1:20">
      <c r="A107" s="23" t="s">
        <v>119</v>
      </c>
      <c r="B107" s="35" t="s">
        <v>118</v>
      </c>
      <c r="C107" s="36">
        <v>656</v>
      </c>
      <c r="D107" s="6"/>
      <c r="E107" s="113">
        <v>16364457</v>
      </c>
      <c r="F107" s="116">
        <f t="shared" si="28"/>
        <v>24945.818597560974</v>
      </c>
      <c r="G107" s="117">
        <v>8709764</v>
      </c>
      <c r="H107" s="117">
        <f t="shared" si="29"/>
        <v>13277.079268292682</v>
      </c>
      <c r="I107" s="7"/>
      <c r="J107" s="10">
        <v>3</v>
      </c>
      <c r="K107" s="117">
        <v>26129</v>
      </c>
      <c r="L107" s="120">
        <f t="shared" si="30"/>
        <v>39.830792682926827</v>
      </c>
      <c r="M107" s="122">
        <f t="shared" si="17"/>
        <v>87097.64</v>
      </c>
      <c r="N107" s="116">
        <f t="shared" si="18"/>
        <v>60968.639999999999</v>
      </c>
      <c r="O107" s="123">
        <f t="shared" si="19"/>
        <v>92.94</v>
      </c>
      <c r="P107" s="5"/>
      <c r="Q107" s="5">
        <f t="shared" si="22"/>
        <v>1</v>
      </c>
      <c r="R107" s="7">
        <f t="shared" si="23"/>
        <v>656</v>
      </c>
      <c r="S107" s="5">
        <f t="shared" si="20"/>
        <v>1</v>
      </c>
      <c r="T107" s="7">
        <f t="shared" si="21"/>
        <v>656</v>
      </c>
    </row>
    <row r="108" spans="1:20">
      <c r="A108" s="23" t="s">
        <v>120</v>
      </c>
      <c r="B108" s="35" t="s">
        <v>118</v>
      </c>
      <c r="C108" s="36">
        <v>1735</v>
      </c>
      <c r="D108" s="6"/>
      <c r="E108" s="113">
        <v>27211998</v>
      </c>
      <c r="F108" s="116">
        <f t="shared" si="28"/>
        <v>15684.148703170029</v>
      </c>
      <c r="G108" s="117">
        <v>11465769</v>
      </c>
      <c r="H108" s="117">
        <f t="shared" si="29"/>
        <v>6608.5123919308353</v>
      </c>
      <c r="I108" s="7"/>
      <c r="J108" s="10">
        <v>4.2359</v>
      </c>
      <c r="K108" s="117">
        <v>48568</v>
      </c>
      <c r="L108" s="120">
        <f t="shared" si="30"/>
        <v>27.993083573487031</v>
      </c>
      <c r="M108" s="122">
        <f t="shared" si="17"/>
        <v>114657.69</v>
      </c>
      <c r="N108" s="116">
        <f t="shared" si="18"/>
        <v>66089.69</v>
      </c>
      <c r="O108" s="123">
        <f t="shared" si="19"/>
        <v>38.092040345821324</v>
      </c>
      <c r="P108" s="5"/>
      <c r="Q108" s="5">
        <f t="shared" si="22"/>
        <v>1</v>
      </c>
      <c r="R108" s="7">
        <f t="shared" si="23"/>
        <v>1735</v>
      </c>
      <c r="S108" s="5">
        <f t="shared" si="20"/>
        <v>1</v>
      </c>
      <c r="T108" s="7">
        <f t="shared" si="21"/>
        <v>1735</v>
      </c>
    </row>
    <row r="109" spans="1:20">
      <c r="A109" s="23" t="s">
        <v>121</v>
      </c>
      <c r="B109" s="35" t="s">
        <v>118</v>
      </c>
      <c r="C109" s="36">
        <v>1789</v>
      </c>
      <c r="D109" s="6"/>
      <c r="E109" s="113">
        <v>73266835</v>
      </c>
      <c r="F109" s="116">
        <f t="shared" si="28"/>
        <v>40954.072107322529</v>
      </c>
      <c r="G109" s="117">
        <v>48952957</v>
      </c>
      <c r="H109" s="117">
        <f t="shared" si="29"/>
        <v>27363.30743432085</v>
      </c>
      <c r="I109" s="7"/>
      <c r="J109" s="10">
        <v>2</v>
      </c>
      <c r="K109" s="117">
        <v>97906</v>
      </c>
      <c r="L109" s="120">
        <f t="shared" si="30"/>
        <v>54.726662940190053</v>
      </c>
      <c r="M109" s="122">
        <f t="shared" si="17"/>
        <v>489529.57</v>
      </c>
      <c r="N109" s="116">
        <f t="shared" si="18"/>
        <v>391623.57</v>
      </c>
      <c r="O109" s="123">
        <f t="shared" si="19"/>
        <v>218.90641140301844</v>
      </c>
      <c r="P109" s="5"/>
      <c r="Q109" s="5">
        <f t="shared" si="22"/>
        <v>1</v>
      </c>
      <c r="R109" s="7">
        <f t="shared" si="23"/>
        <v>1789</v>
      </c>
      <c r="S109" s="5">
        <f t="shared" si="20"/>
        <v>1</v>
      </c>
      <c r="T109" s="7">
        <f t="shared" si="21"/>
        <v>1789</v>
      </c>
    </row>
    <row r="110" spans="1:20">
      <c r="A110" s="23" t="s">
        <v>122</v>
      </c>
      <c r="B110" s="35" t="s">
        <v>118</v>
      </c>
      <c r="C110" s="36">
        <v>1568</v>
      </c>
      <c r="D110" s="6"/>
      <c r="E110" s="113">
        <v>56121349</v>
      </c>
      <c r="F110" s="116">
        <f t="shared" si="28"/>
        <v>35791.676658163262</v>
      </c>
      <c r="G110" s="117">
        <v>38466587</v>
      </c>
      <c r="H110" s="117">
        <f t="shared" si="29"/>
        <v>24532.262117346938</v>
      </c>
      <c r="I110" s="7"/>
      <c r="J110" s="10">
        <v>4.3068999999999997</v>
      </c>
      <c r="K110" s="117">
        <v>165672</v>
      </c>
      <c r="L110" s="120">
        <f t="shared" si="30"/>
        <v>105.65816326530613</v>
      </c>
      <c r="M110" s="122">
        <f t="shared" si="17"/>
        <v>384665.87</v>
      </c>
      <c r="N110" s="116">
        <f t="shared" si="18"/>
        <v>218993.87</v>
      </c>
      <c r="O110" s="123">
        <f t="shared" si="19"/>
        <v>139.66445790816326</v>
      </c>
      <c r="P110" s="5"/>
      <c r="Q110" s="5">
        <f t="shared" si="22"/>
        <v>1</v>
      </c>
      <c r="R110" s="7">
        <f t="shared" si="23"/>
        <v>1568</v>
      </c>
      <c r="S110" s="5">
        <f t="shared" si="20"/>
        <v>1</v>
      </c>
      <c r="T110" s="7">
        <f t="shared" si="21"/>
        <v>1568</v>
      </c>
    </row>
    <row r="111" spans="1:20">
      <c r="A111" s="23" t="s">
        <v>123</v>
      </c>
      <c r="B111" s="35" t="s">
        <v>118</v>
      </c>
      <c r="C111" s="36">
        <v>7339</v>
      </c>
      <c r="D111" s="6"/>
      <c r="E111" s="113">
        <v>386641625</v>
      </c>
      <c r="F111" s="116">
        <f t="shared" si="28"/>
        <v>52683.148249080259</v>
      </c>
      <c r="G111" s="117">
        <v>214756226</v>
      </c>
      <c r="H111" s="117">
        <f t="shared" si="29"/>
        <v>29262.328110096743</v>
      </c>
      <c r="I111" s="9"/>
      <c r="J111" s="10">
        <v>2.75</v>
      </c>
      <c r="K111" s="117">
        <v>590580</v>
      </c>
      <c r="L111" s="120">
        <f t="shared" si="30"/>
        <v>80.471453876549944</v>
      </c>
      <c r="M111" s="122">
        <f t="shared" si="17"/>
        <v>2147562.2600000002</v>
      </c>
      <c r="N111" s="116">
        <f t="shared" si="18"/>
        <v>1556982.2600000002</v>
      </c>
      <c r="O111" s="123">
        <f t="shared" si="19"/>
        <v>212.15182722441753</v>
      </c>
      <c r="P111" s="5"/>
      <c r="Q111" s="5">
        <f t="shared" si="22"/>
        <v>1</v>
      </c>
      <c r="R111" s="7">
        <f t="shared" si="23"/>
        <v>7339</v>
      </c>
      <c r="S111" s="5">
        <f t="shared" si="20"/>
        <v>1</v>
      </c>
      <c r="T111" s="7">
        <f t="shared" si="21"/>
        <v>7339</v>
      </c>
    </row>
    <row r="112" spans="1:20">
      <c r="A112" s="23" t="s">
        <v>124</v>
      </c>
      <c r="B112" s="35" t="s">
        <v>125</v>
      </c>
      <c r="C112" s="36">
        <v>452</v>
      </c>
      <c r="D112" s="6"/>
      <c r="E112" s="113">
        <v>26977667</v>
      </c>
      <c r="F112" s="116">
        <f t="shared" si="28"/>
        <v>59685.103982300883</v>
      </c>
      <c r="G112" s="117">
        <v>10011489</v>
      </c>
      <c r="H112" s="117">
        <f t="shared" si="29"/>
        <v>22149.311946902653</v>
      </c>
      <c r="I112" s="9" t="s">
        <v>528</v>
      </c>
      <c r="J112" s="10"/>
      <c r="K112" s="117"/>
      <c r="L112" s="120"/>
      <c r="M112" s="122">
        <f t="shared" si="17"/>
        <v>100114.89</v>
      </c>
      <c r="N112" s="116">
        <f t="shared" si="18"/>
        <v>100114.89</v>
      </c>
      <c r="O112" s="123">
        <f t="shared" si="19"/>
        <v>221.49311946902654</v>
      </c>
      <c r="P112" s="5"/>
      <c r="Q112" s="5">
        <f t="shared" si="22"/>
        <v>1</v>
      </c>
      <c r="R112" s="7">
        <f t="shared" si="23"/>
        <v>452</v>
      </c>
      <c r="S112" s="5">
        <f t="shared" si="20"/>
        <v>0</v>
      </c>
      <c r="T112" s="7">
        <f t="shared" si="21"/>
        <v>0</v>
      </c>
    </row>
    <row r="113" spans="1:20">
      <c r="A113" s="23" t="s">
        <v>126</v>
      </c>
      <c r="B113" s="35" t="s">
        <v>125</v>
      </c>
      <c r="C113" s="36">
        <v>1642</v>
      </c>
      <c r="D113" s="6"/>
      <c r="E113" s="113">
        <v>80634274</v>
      </c>
      <c r="F113" s="116">
        <f t="shared" si="28"/>
        <v>49107.353227771011</v>
      </c>
      <c r="G113" s="117">
        <v>38893685</v>
      </c>
      <c r="H113" s="117">
        <f t="shared" si="29"/>
        <v>23686.775274056028</v>
      </c>
      <c r="I113" s="9" t="s">
        <v>528</v>
      </c>
      <c r="J113" s="11"/>
      <c r="K113" s="117"/>
      <c r="L113" s="120"/>
      <c r="M113" s="122">
        <f t="shared" si="17"/>
        <v>388936.85000000003</v>
      </c>
      <c r="N113" s="116">
        <f t="shared" si="18"/>
        <v>388936.85000000003</v>
      </c>
      <c r="O113" s="123">
        <f t="shared" si="19"/>
        <v>236.86775274056032</v>
      </c>
      <c r="P113" s="5"/>
      <c r="Q113" s="5">
        <f t="shared" si="22"/>
        <v>1</v>
      </c>
      <c r="R113" s="7">
        <f t="shared" si="23"/>
        <v>1642</v>
      </c>
      <c r="S113" s="5">
        <f t="shared" si="20"/>
        <v>0</v>
      </c>
      <c r="T113" s="7">
        <f t="shared" si="21"/>
        <v>0</v>
      </c>
    </row>
    <row r="114" spans="1:20">
      <c r="A114" s="23" t="s">
        <v>127</v>
      </c>
      <c r="B114" s="35" t="s">
        <v>128</v>
      </c>
      <c r="C114" s="36">
        <v>921</v>
      </c>
      <c r="D114" s="6"/>
      <c r="E114" s="113">
        <v>41826832</v>
      </c>
      <c r="F114" s="116">
        <f t="shared" si="28"/>
        <v>45414.584147665584</v>
      </c>
      <c r="G114" s="117">
        <v>29366661</v>
      </c>
      <c r="H114" s="117">
        <f t="shared" si="29"/>
        <v>31885.625407166124</v>
      </c>
      <c r="I114" s="7"/>
      <c r="J114" s="11">
        <v>2</v>
      </c>
      <c r="K114" s="117">
        <v>58733</v>
      </c>
      <c r="L114" s="120">
        <f t="shared" ref="L114:L133" si="31">(K114/C114)</f>
        <v>63.770901194353961</v>
      </c>
      <c r="M114" s="122">
        <f t="shared" si="17"/>
        <v>293666.61</v>
      </c>
      <c r="N114" s="116">
        <f t="shared" si="18"/>
        <v>234933.61</v>
      </c>
      <c r="O114" s="123">
        <f t="shared" si="19"/>
        <v>255.08535287730726</v>
      </c>
      <c r="P114" s="5"/>
      <c r="Q114" s="5">
        <f t="shared" si="22"/>
        <v>1</v>
      </c>
      <c r="R114" s="7">
        <f t="shared" si="23"/>
        <v>921</v>
      </c>
      <c r="S114" s="5">
        <f t="shared" si="20"/>
        <v>1</v>
      </c>
      <c r="T114" s="7">
        <f t="shared" si="21"/>
        <v>921</v>
      </c>
    </row>
    <row r="115" spans="1:20">
      <c r="A115" s="23" t="s">
        <v>129</v>
      </c>
      <c r="B115" s="35" t="s">
        <v>130</v>
      </c>
      <c r="C115" s="36">
        <v>1655</v>
      </c>
      <c r="D115" s="6"/>
      <c r="E115" s="113">
        <v>72072123</v>
      </c>
      <c r="F115" s="116">
        <f t="shared" si="28"/>
        <v>43548.11057401813</v>
      </c>
      <c r="G115" s="117">
        <v>35148537</v>
      </c>
      <c r="H115" s="117">
        <f t="shared" si="29"/>
        <v>21237.786706948642</v>
      </c>
      <c r="I115" s="7"/>
      <c r="J115" s="10">
        <v>3.3967999999999998</v>
      </c>
      <c r="K115" s="117">
        <v>119393</v>
      </c>
      <c r="L115" s="120">
        <f t="shared" si="31"/>
        <v>72.140785498489421</v>
      </c>
      <c r="M115" s="122">
        <f t="shared" si="17"/>
        <v>351485.37</v>
      </c>
      <c r="N115" s="116">
        <f t="shared" si="18"/>
        <v>232092.37</v>
      </c>
      <c r="O115" s="123">
        <f t="shared" si="19"/>
        <v>140.23708157099696</v>
      </c>
      <c r="P115" s="5"/>
      <c r="Q115" s="5">
        <f t="shared" si="22"/>
        <v>1</v>
      </c>
      <c r="R115" s="7">
        <f t="shared" si="23"/>
        <v>1655</v>
      </c>
      <c r="S115" s="5">
        <f t="shared" si="20"/>
        <v>1</v>
      </c>
      <c r="T115" s="7">
        <f t="shared" si="21"/>
        <v>1655</v>
      </c>
    </row>
    <row r="116" spans="1:20">
      <c r="A116" s="23" t="s">
        <v>545</v>
      </c>
      <c r="B116" s="35" t="s">
        <v>131</v>
      </c>
      <c r="C116" s="36">
        <v>3707</v>
      </c>
      <c r="D116" s="6"/>
      <c r="E116" s="113">
        <v>483641503</v>
      </c>
      <c r="F116" s="116">
        <f t="shared" si="28"/>
        <v>130467.09009981116</v>
      </c>
      <c r="G116" s="117">
        <v>301102452</v>
      </c>
      <c r="H116" s="117">
        <f t="shared" si="29"/>
        <v>81225.37145940114</v>
      </c>
      <c r="I116" s="7"/>
      <c r="J116" s="10">
        <v>5.17</v>
      </c>
      <c r="K116" s="117">
        <v>1556700</v>
      </c>
      <c r="L116" s="120">
        <f t="shared" si="31"/>
        <v>419.93525762071755</v>
      </c>
      <c r="M116" s="122">
        <f t="shared" si="17"/>
        <v>3011024.52</v>
      </c>
      <c r="N116" s="116">
        <f t="shared" si="18"/>
        <v>1454324.52</v>
      </c>
      <c r="O116" s="123">
        <f t="shared" si="19"/>
        <v>392.31845697329379</v>
      </c>
      <c r="P116" s="5"/>
      <c r="Q116" s="5">
        <f t="shared" si="22"/>
        <v>1</v>
      </c>
      <c r="R116" s="7">
        <f t="shared" si="23"/>
        <v>3707</v>
      </c>
      <c r="S116" s="5">
        <f t="shared" si="20"/>
        <v>1</v>
      </c>
      <c r="T116" s="7">
        <f t="shared" si="21"/>
        <v>3707</v>
      </c>
    </row>
    <row r="117" spans="1:20">
      <c r="A117" s="23" t="s">
        <v>132</v>
      </c>
      <c r="B117" s="35" t="s">
        <v>131</v>
      </c>
      <c r="C117" s="36">
        <v>1728</v>
      </c>
      <c r="D117" s="6"/>
      <c r="E117" s="113">
        <v>95626593</v>
      </c>
      <c r="F117" s="116">
        <f t="shared" si="28"/>
        <v>55339.463541666664</v>
      </c>
      <c r="G117" s="117">
        <v>56480444</v>
      </c>
      <c r="H117" s="117">
        <f t="shared" si="29"/>
        <v>32685.442129629631</v>
      </c>
      <c r="I117" s="7"/>
      <c r="J117" s="10">
        <v>6</v>
      </c>
      <c r="K117" s="117">
        <v>338883</v>
      </c>
      <c r="L117" s="120">
        <f t="shared" si="31"/>
        <v>196.11284722222223</v>
      </c>
      <c r="M117" s="122">
        <f t="shared" si="17"/>
        <v>564804.44000000006</v>
      </c>
      <c r="N117" s="116">
        <f t="shared" si="18"/>
        <v>225921.44000000006</v>
      </c>
      <c r="O117" s="123">
        <f t="shared" si="19"/>
        <v>130.74157407407412</v>
      </c>
      <c r="P117" s="5"/>
      <c r="Q117" s="5">
        <f t="shared" si="22"/>
        <v>1</v>
      </c>
      <c r="R117" s="7">
        <f t="shared" si="23"/>
        <v>1728</v>
      </c>
      <c r="S117" s="5">
        <f t="shared" si="20"/>
        <v>1</v>
      </c>
      <c r="T117" s="7">
        <f t="shared" si="21"/>
        <v>1728</v>
      </c>
    </row>
    <row r="118" spans="1:20">
      <c r="A118" s="23" t="s">
        <v>133</v>
      </c>
      <c r="B118" s="35" t="s">
        <v>134</v>
      </c>
      <c r="C118" s="36">
        <v>1728</v>
      </c>
      <c r="D118" s="6"/>
      <c r="E118" s="113">
        <v>89431056</v>
      </c>
      <c r="F118" s="116">
        <f t="shared" si="28"/>
        <v>51754.083333333336</v>
      </c>
      <c r="G118" s="117">
        <v>41364735</v>
      </c>
      <c r="H118" s="117">
        <f t="shared" si="29"/>
        <v>23937.925347222223</v>
      </c>
      <c r="I118" s="7"/>
      <c r="J118" s="10">
        <v>4.7469999999999999</v>
      </c>
      <c r="K118" s="117">
        <v>196358</v>
      </c>
      <c r="L118" s="120">
        <f t="shared" si="31"/>
        <v>113.63310185185185</v>
      </c>
      <c r="M118" s="122">
        <f t="shared" si="17"/>
        <v>413647.35000000003</v>
      </c>
      <c r="N118" s="116">
        <f t="shared" si="18"/>
        <v>217289.35000000003</v>
      </c>
      <c r="O118" s="123">
        <f t="shared" si="19"/>
        <v>125.74615162037038</v>
      </c>
      <c r="P118" s="5"/>
      <c r="Q118" s="5">
        <f t="shared" si="22"/>
        <v>1</v>
      </c>
      <c r="R118" s="7">
        <f t="shared" si="23"/>
        <v>1728</v>
      </c>
      <c r="S118" s="5">
        <f t="shared" si="20"/>
        <v>1</v>
      </c>
      <c r="T118" s="7">
        <f t="shared" si="21"/>
        <v>1728</v>
      </c>
    </row>
    <row r="119" spans="1:20">
      <c r="A119" s="23" t="s">
        <v>135</v>
      </c>
      <c r="B119" s="35" t="s">
        <v>134</v>
      </c>
      <c r="C119" s="36">
        <v>840</v>
      </c>
      <c r="D119" s="6"/>
      <c r="E119" s="113">
        <v>15850480</v>
      </c>
      <c r="F119" s="116">
        <f t="shared" si="28"/>
        <v>18869.619047619046</v>
      </c>
      <c r="G119" s="117">
        <v>9568504</v>
      </c>
      <c r="H119" s="117">
        <f t="shared" si="29"/>
        <v>11391.076190476191</v>
      </c>
      <c r="I119" s="7"/>
      <c r="J119" s="10">
        <v>1.4568000000000001</v>
      </c>
      <c r="K119" s="117">
        <v>13939</v>
      </c>
      <c r="L119" s="120">
        <f t="shared" si="31"/>
        <v>16.594047619047618</v>
      </c>
      <c r="M119" s="122">
        <f t="shared" si="17"/>
        <v>95685.040000000008</v>
      </c>
      <c r="N119" s="116">
        <f t="shared" si="18"/>
        <v>81746.040000000008</v>
      </c>
      <c r="O119" s="123">
        <f t="shared" si="19"/>
        <v>97.316714285714298</v>
      </c>
      <c r="P119" s="5"/>
      <c r="Q119" s="5">
        <f t="shared" si="22"/>
        <v>1</v>
      </c>
      <c r="R119" s="7">
        <f t="shared" si="23"/>
        <v>840</v>
      </c>
      <c r="S119" s="5">
        <f t="shared" si="20"/>
        <v>1</v>
      </c>
      <c r="T119" s="7">
        <f t="shared" si="21"/>
        <v>840</v>
      </c>
    </row>
    <row r="120" spans="1:20">
      <c r="A120" s="23" t="s">
        <v>136</v>
      </c>
      <c r="B120" s="35" t="s">
        <v>134</v>
      </c>
      <c r="C120" s="36">
        <v>772</v>
      </c>
      <c r="D120" s="6"/>
      <c r="E120" s="113">
        <v>23186385</v>
      </c>
      <c r="F120" s="116">
        <f t="shared" si="28"/>
        <v>30034.177461139898</v>
      </c>
      <c r="G120" s="117">
        <v>12542900</v>
      </c>
      <c r="H120" s="117">
        <f t="shared" si="29"/>
        <v>16247.279792746114</v>
      </c>
      <c r="I120" s="7"/>
      <c r="J120" s="10">
        <v>3.8584999999999998</v>
      </c>
      <c r="K120" s="117">
        <v>48397</v>
      </c>
      <c r="L120" s="120">
        <f t="shared" si="31"/>
        <v>62.690414507772019</v>
      </c>
      <c r="M120" s="122">
        <f t="shared" si="17"/>
        <v>125429</v>
      </c>
      <c r="N120" s="116">
        <f t="shared" si="18"/>
        <v>77032</v>
      </c>
      <c r="O120" s="123">
        <f t="shared" si="19"/>
        <v>99.782383419689126</v>
      </c>
      <c r="P120" s="5"/>
      <c r="Q120" s="5">
        <f t="shared" si="22"/>
        <v>1</v>
      </c>
      <c r="R120" s="7">
        <f t="shared" si="23"/>
        <v>772</v>
      </c>
      <c r="S120" s="5">
        <f t="shared" si="20"/>
        <v>1</v>
      </c>
      <c r="T120" s="7">
        <f t="shared" si="21"/>
        <v>772</v>
      </c>
    </row>
    <row r="121" spans="1:20">
      <c r="A121" s="23" t="s">
        <v>137</v>
      </c>
      <c r="B121" s="35" t="s">
        <v>138</v>
      </c>
      <c r="C121" s="36">
        <v>3047</v>
      </c>
      <c r="D121" s="6"/>
      <c r="E121" s="113">
        <v>50236624</v>
      </c>
      <c r="F121" s="116">
        <f t="shared" si="28"/>
        <v>16487.241220872991</v>
      </c>
      <c r="G121" s="117">
        <v>24221391</v>
      </c>
      <c r="H121" s="117">
        <f t="shared" si="29"/>
        <v>7949.2586150311781</v>
      </c>
      <c r="I121" s="7"/>
      <c r="J121" s="10">
        <v>6</v>
      </c>
      <c r="K121" s="117">
        <v>145328</v>
      </c>
      <c r="L121" s="120">
        <f t="shared" si="31"/>
        <v>47.695438135871349</v>
      </c>
      <c r="M121" s="122">
        <f t="shared" si="17"/>
        <v>242213.91</v>
      </c>
      <c r="N121" s="116">
        <f t="shared" si="18"/>
        <v>96885.91</v>
      </c>
      <c r="O121" s="123">
        <f t="shared" si="19"/>
        <v>31.797148014440435</v>
      </c>
      <c r="P121" s="5"/>
      <c r="Q121" s="5">
        <f t="shared" si="22"/>
        <v>1</v>
      </c>
      <c r="R121" s="7">
        <f t="shared" si="23"/>
        <v>3047</v>
      </c>
      <c r="S121" s="5">
        <f t="shared" si="20"/>
        <v>1</v>
      </c>
      <c r="T121" s="7">
        <f t="shared" si="21"/>
        <v>3047</v>
      </c>
    </row>
    <row r="122" spans="1:20">
      <c r="A122" s="23" t="s">
        <v>139</v>
      </c>
      <c r="B122" s="35" t="s">
        <v>138</v>
      </c>
      <c r="C122" s="36">
        <v>4112</v>
      </c>
      <c r="D122" s="6"/>
      <c r="E122" s="113">
        <v>157251418</v>
      </c>
      <c r="F122" s="116">
        <f t="shared" si="28"/>
        <v>38242.076361867701</v>
      </c>
      <c r="G122" s="117">
        <v>80153944</v>
      </c>
      <c r="H122" s="117">
        <f t="shared" si="29"/>
        <v>19492.690661478598</v>
      </c>
      <c r="I122" s="7"/>
      <c r="J122" s="10">
        <v>5.0199999999999996</v>
      </c>
      <c r="K122" s="117">
        <v>402373</v>
      </c>
      <c r="L122" s="120">
        <f t="shared" si="31"/>
        <v>97.853356031128399</v>
      </c>
      <c r="M122" s="122">
        <f t="shared" si="17"/>
        <v>801539.44000000006</v>
      </c>
      <c r="N122" s="116">
        <f t="shared" si="18"/>
        <v>399166.44000000006</v>
      </c>
      <c r="O122" s="123">
        <f t="shared" si="19"/>
        <v>97.073550583657607</v>
      </c>
      <c r="P122" s="5"/>
      <c r="Q122" s="5">
        <f t="shared" si="22"/>
        <v>1</v>
      </c>
      <c r="R122" s="7">
        <f t="shared" si="23"/>
        <v>4112</v>
      </c>
      <c r="S122" s="5">
        <f t="shared" si="20"/>
        <v>1</v>
      </c>
      <c r="T122" s="7">
        <f t="shared" si="21"/>
        <v>4112</v>
      </c>
    </row>
    <row r="123" spans="1:20">
      <c r="A123" s="23" t="s">
        <v>140</v>
      </c>
      <c r="B123" s="35" t="s">
        <v>138</v>
      </c>
      <c r="C123" s="36">
        <v>1548</v>
      </c>
      <c r="D123" s="6"/>
      <c r="E123" s="113">
        <v>39505134</v>
      </c>
      <c r="F123" s="116">
        <f t="shared" si="28"/>
        <v>25520.112403100775</v>
      </c>
      <c r="G123" s="117">
        <v>19981279</v>
      </c>
      <c r="H123" s="117">
        <f t="shared" si="29"/>
        <v>12907.802971576228</v>
      </c>
      <c r="I123" s="7"/>
      <c r="J123" s="10">
        <v>9</v>
      </c>
      <c r="K123" s="117">
        <v>179832</v>
      </c>
      <c r="L123" s="120">
        <f t="shared" si="31"/>
        <v>116.17054263565892</v>
      </c>
      <c r="M123" s="122">
        <f t="shared" si="17"/>
        <v>199812.79</v>
      </c>
      <c r="N123" s="116">
        <f t="shared" si="18"/>
        <v>19980.790000000008</v>
      </c>
      <c r="O123" s="123">
        <f t="shared" si="19"/>
        <v>12.907487080103364</v>
      </c>
      <c r="P123" s="5"/>
      <c r="Q123" s="5">
        <f t="shared" si="22"/>
        <v>1</v>
      </c>
      <c r="R123" s="7">
        <f t="shared" si="23"/>
        <v>1548</v>
      </c>
      <c r="S123" s="5">
        <f t="shared" si="20"/>
        <v>1</v>
      </c>
      <c r="T123" s="7">
        <f t="shared" si="21"/>
        <v>1548</v>
      </c>
    </row>
    <row r="124" spans="1:20">
      <c r="A124" s="23" t="s">
        <v>141</v>
      </c>
      <c r="B124" s="35" t="s">
        <v>142</v>
      </c>
      <c r="C124" s="36">
        <v>6639</v>
      </c>
      <c r="D124" s="6"/>
      <c r="E124" s="113">
        <v>371681914</v>
      </c>
      <c r="F124" s="116">
        <f t="shared" si="28"/>
        <v>55984.623286639551</v>
      </c>
      <c r="G124" s="117">
        <v>202888034</v>
      </c>
      <c r="H124" s="117">
        <f t="shared" si="29"/>
        <v>30560.029221268262</v>
      </c>
      <c r="I124" s="7"/>
      <c r="J124" s="10">
        <v>5.6341000000000001</v>
      </c>
      <c r="K124" s="117">
        <v>1143091</v>
      </c>
      <c r="L124" s="120">
        <f t="shared" si="31"/>
        <v>172.17818948636844</v>
      </c>
      <c r="M124" s="122">
        <f t="shared" si="17"/>
        <v>2028880.34</v>
      </c>
      <c r="N124" s="116">
        <f t="shared" si="18"/>
        <v>885789.34000000008</v>
      </c>
      <c r="O124" s="123">
        <f t="shared" si="19"/>
        <v>133.42210272631422</v>
      </c>
      <c r="P124" s="5"/>
      <c r="Q124" s="5">
        <f t="shared" si="22"/>
        <v>1</v>
      </c>
      <c r="R124" s="7">
        <f t="shared" si="23"/>
        <v>6639</v>
      </c>
      <c r="S124" s="5">
        <f t="shared" si="20"/>
        <v>1</v>
      </c>
      <c r="T124" s="7">
        <f t="shared" si="21"/>
        <v>6639</v>
      </c>
    </row>
    <row r="125" spans="1:20">
      <c r="A125" s="23" t="s">
        <v>558</v>
      </c>
      <c r="B125" s="35" t="s">
        <v>142</v>
      </c>
      <c r="C125" s="36">
        <v>4529</v>
      </c>
      <c r="D125" s="6"/>
      <c r="E125" s="113">
        <v>320767800</v>
      </c>
      <c r="F125" s="116">
        <f t="shared" si="28"/>
        <v>70825.303599028484</v>
      </c>
      <c r="G125" s="117">
        <v>177088990</v>
      </c>
      <c r="H125" s="117">
        <f t="shared" si="29"/>
        <v>39101.123868403622</v>
      </c>
      <c r="I125" s="7"/>
      <c r="J125" s="10">
        <v>3</v>
      </c>
      <c r="K125" s="117">
        <v>531267</v>
      </c>
      <c r="L125" s="120">
        <f t="shared" si="31"/>
        <v>117.30337822918966</v>
      </c>
      <c r="M125" s="122">
        <f t="shared" si="17"/>
        <v>1770889.9000000001</v>
      </c>
      <c r="N125" s="116">
        <f t="shared" si="18"/>
        <v>1239622.9000000001</v>
      </c>
      <c r="O125" s="123">
        <f t="shared" si="19"/>
        <v>273.70786045484658</v>
      </c>
      <c r="P125" s="5"/>
      <c r="Q125" s="5">
        <f t="shared" si="22"/>
        <v>1</v>
      </c>
      <c r="R125" s="7">
        <f t="shared" si="23"/>
        <v>4529</v>
      </c>
      <c r="S125" s="5">
        <f t="shared" si="20"/>
        <v>1</v>
      </c>
      <c r="T125" s="7">
        <f t="shared" si="21"/>
        <v>4529</v>
      </c>
    </row>
    <row r="126" spans="1:20">
      <c r="A126" s="23" t="s">
        <v>143</v>
      </c>
      <c r="B126" s="35" t="s">
        <v>144</v>
      </c>
      <c r="C126" s="36">
        <v>7279</v>
      </c>
      <c r="D126" s="6"/>
      <c r="E126" s="113">
        <v>649077838</v>
      </c>
      <c r="F126" s="116">
        <f t="shared" si="28"/>
        <v>89171.29248523149</v>
      </c>
      <c r="G126" s="117">
        <v>351147823</v>
      </c>
      <c r="H126" s="117">
        <f t="shared" si="29"/>
        <v>48241.217612309381</v>
      </c>
      <c r="I126" s="7"/>
      <c r="J126" s="10">
        <v>7.5</v>
      </c>
      <c r="K126" s="117">
        <v>2633684</v>
      </c>
      <c r="L126" s="120">
        <f t="shared" si="31"/>
        <v>361.81948069789809</v>
      </c>
      <c r="M126" s="122">
        <f t="shared" si="17"/>
        <v>3511478.23</v>
      </c>
      <c r="N126" s="116">
        <f t="shared" si="18"/>
        <v>877794.23</v>
      </c>
      <c r="O126" s="123">
        <f t="shared" si="19"/>
        <v>120.59269542519577</v>
      </c>
      <c r="P126" s="5"/>
      <c r="Q126" s="5">
        <f t="shared" si="22"/>
        <v>1</v>
      </c>
      <c r="R126" s="7">
        <f t="shared" si="23"/>
        <v>7279</v>
      </c>
      <c r="S126" s="5">
        <f t="shared" si="20"/>
        <v>1</v>
      </c>
      <c r="T126" s="7">
        <f t="shared" si="21"/>
        <v>7279</v>
      </c>
    </row>
    <row r="127" spans="1:20">
      <c r="A127" s="23" t="s">
        <v>145</v>
      </c>
      <c r="B127" s="35" t="s">
        <v>144</v>
      </c>
      <c r="C127" s="36">
        <v>8</v>
      </c>
      <c r="D127" s="6"/>
      <c r="E127" s="113">
        <v>27667981</v>
      </c>
      <c r="F127" s="116">
        <f t="shared" si="28"/>
        <v>3458497.625</v>
      </c>
      <c r="G127" s="117">
        <v>19675870</v>
      </c>
      <c r="H127" s="117">
        <f t="shared" si="29"/>
        <v>2459483.75</v>
      </c>
      <c r="I127" s="7"/>
      <c r="J127" s="10">
        <v>2.4855999999999998</v>
      </c>
      <c r="K127" s="117">
        <v>48906</v>
      </c>
      <c r="L127" s="120">
        <f t="shared" si="31"/>
        <v>6113.25</v>
      </c>
      <c r="M127" s="122">
        <f t="shared" si="17"/>
        <v>196758.7</v>
      </c>
      <c r="N127" s="116">
        <f t="shared" si="18"/>
        <v>147852.70000000001</v>
      </c>
      <c r="O127" s="123">
        <f t="shared" si="19"/>
        <v>18481.587500000001</v>
      </c>
      <c r="P127" s="5"/>
      <c r="Q127" s="5">
        <f t="shared" si="22"/>
        <v>1</v>
      </c>
      <c r="R127" s="7">
        <f t="shared" si="23"/>
        <v>8</v>
      </c>
      <c r="S127" s="5">
        <f t="shared" si="20"/>
        <v>1</v>
      </c>
      <c r="T127" s="7">
        <f t="shared" si="21"/>
        <v>8</v>
      </c>
    </row>
    <row r="128" spans="1:20">
      <c r="A128" s="23" t="s">
        <v>146</v>
      </c>
      <c r="B128" s="35" t="s">
        <v>147</v>
      </c>
      <c r="C128" s="36">
        <v>8779</v>
      </c>
      <c r="D128" s="6"/>
      <c r="E128" s="113">
        <v>314757939</v>
      </c>
      <c r="F128" s="116">
        <f t="shared" si="28"/>
        <v>35853.507119261878</v>
      </c>
      <c r="G128" s="117">
        <v>183677699</v>
      </c>
      <c r="H128" s="117">
        <f t="shared" si="29"/>
        <v>20922.394236245585</v>
      </c>
      <c r="I128" s="7"/>
      <c r="J128" s="10">
        <v>7.75</v>
      </c>
      <c r="K128" s="117">
        <v>1423502</v>
      </c>
      <c r="L128" s="120">
        <f t="shared" si="31"/>
        <v>162.1485362797585</v>
      </c>
      <c r="M128" s="122">
        <f t="shared" si="17"/>
        <v>1836776.99</v>
      </c>
      <c r="N128" s="116">
        <f t="shared" si="18"/>
        <v>413274.99</v>
      </c>
      <c r="O128" s="123">
        <f t="shared" si="19"/>
        <v>47.075406082697342</v>
      </c>
      <c r="P128" s="5"/>
      <c r="Q128" s="5">
        <f t="shared" si="22"/>
        <v>1</v>
      </c>
      <c r="R128" s="7">
        <f t="shared" si="23"/>
        <v>8779</v>
      </c>
      <c r="S128" s="5">
        <f t="shared" si="20"/>
        <v>1</v>
      </c>
      <c r="T128" s="7">
        <f t="shared" si="21"/>
        <v>8779</v>
      </c>
    </row>
    <row r="129" spans="1:20">
      <c r="A129" s="23" t="s">
        <v>148</v>
      </c>
      <c r="B129" s="35" t="s">
        <v>147</v>
      </c>
      <c r="C129" s="36">
        <v>1749</v>
      </c>
      <c r="D129" s="6"/>
      <c r="E129" s="113">
        <v>210694363</v>
      </c>
      <c r="F129" s="116">
        <f t="shared" si="28"/>
        <v>120465.61635220126</v>
      </c>
      <c r="G129" s="117">
        <v>147812371</v>
      </c>
      <c r="H129" s="117">
        <f t="shared" si="29"/>
        <v>84512.504859919951</v>
      </c>
      <c r="I129" s="7"/>
      <c r="J129" s="10">
        <v>5</v>
      </c>
      <c r="K129" s="117">
        <v>739062</v>
      </c>
      <c r="L129" s="120">
        <f t="shared" si="31"/>
        <v>422.56260720411666</v>
      </c>
      <c r="M129" s="122">
        <f t="shared" si="17"/>
        <v>1478123.71</v>
      </c>
      <c r="N129" s="116">
        <f t="shared" si="18"/>
        <v>739061.71</v>
      </c>
      <c r="O129" s="123">
        <f t="shared" si="19"/>
        <v>422.56244139508289</v>
      </c>
      <c r="P129" s="5"/>
      <c r="Q129" s="5">
        <f t="shared" si="22"/>
        <v>1</v>
      </c>
      <c r="R129" s="7">
        <f t="shared" si="23"/>
        <v>1749</v>
      </c>
      <c r="S129" s="5">
        <f t="shared" si="20"/>
        <v>1</v>
      </c>
      <c r="T129" s="7">
        <f t="shared" si="21"/>
        <v>1749</v>
      </c>
    </row>
    <row r="130" spans="1:20">
      <c r="A130" s="23" t="s">
        <v>149</v>
      </c>
      <c r="B130" s="35" t="s">
        <v>147</v>
      </c>
      <c r="C130" s="36">
        <v>10135</v>
      </c>
      <c r="D130" s="6"/>
      <c r="E130" s="113">
        <v>682975127</v>
      </c>
      <c r="F130" s="116">
        <f t="shared" si="28"/>
        <v>67387.777701036015</v>
      </c>
      <c r="G130" s="117">
        <v>476021729</v>
      </c>
      <c r="H130" s="117">
        <f t="shared" si="29"/>
        <v>46968.103502713369</v>
      </c>
      <c r="I130" s="7"/>
      <c r="J130" s="10">
        <v>6.5</v>
      </c>
      <c r="K130" s="117">
        <v>3094141</v>
      </c>
      <c r="L130" s="120">
        <f t="shared" si="31"/>
        <v>305.29264923532315</v>
      </c>
      <c r="M130" s="122">
        <f t="shared" si="17"/>
        <v>4760217.29</v>
      </c>
      <c r="N130" s="116">
        <f t="shared" si="18"/>
        <v>1666076.29</v>
      </c>
      <c r="O130" s="123">
        <f t="shared" si="19"/>
        <v>164.38838579181055</v>
      </c>
      <c r="P130" s="5"/>
      <c r="Q130" s="5">
        <f t="shared" si="22"/>
        <v>1</v>
      </c>
      <c r="R130" s="7">
        <f t="shared" si="23"/>
        <v>10135</v>
      </c>
      <c r="S130" s="5">
        <f t="shared" si="20"/>
        <v>1</v>
      </c>
      <c r="T130" s="7">
        <f t="shared" si="21"/>
        <v>10135</v>
      </c>
    </row>
    <row r="131" spans="1:20">
      <c r="A131" s="23" t="s">
        <v>150</v>
      </c>
      <c r="B131" s="35" t="s">
        <v>151</v>
      </c>
      <c r="C131" s="36">
        <v>32408</v>
      </c>
      <c r="D131" s="6"/>
      <c r="E131" s="113">
        <v>2394598281</v>
      </c>
      <c r="F131" s="116">
        <f t="shared" si="28"/>
        <v>73889.110127129097</v>
      </c>
      <c r="G131" s="117">
        <v>1671475959</v>
      </c>
      <c r="H131" s="117">
        <f t="shared" si="29"/>
        <v>51576.029344606271</v>
      </c>
      <c r="I131" s="7"/>
      <c r="J131" s="10">
        <v>4.7</v>
      </c>
      <c r="K131" s="117">
        <v>7855937</v>
      </c>
      <c r="L131" s="120">
        <f t="shared" si="31"/>
        <v>242.40733769439643</v>
      </c>
      <c r="M131" s="122">
        <f t="shared" si="17"/>
        <v>16714759.59</v>
      </c>
      <c r="N131" s="116">
        <f t="shared" si="18"/>
        <v>8858822.5899999999</v>
      </c>
      <c r="O131" s="123">
        <f t="shared" si="19"/>
        <v>273.35295575166623</v>
      </c>
      <c r="P131" s="5"/>
      <c r="Q131" s="5">
        <f t="shared" si="22"/>
        <v>1</v>
      </c>
      <c r="R131" s="7">
        <f t="shared" si="23"/>
        <v>32408</v>
      </c>
      <c r="S131" s="5">
        <f t="shared" si="20"/>
        <v>1</v>
      </c>
      <c r="T131" s="7">
        <f t="shared" si="21"/>
        <v>32408</v>
      </c>
    </row>
    <row r="132" spans="1:20">
      <c r="A132" s="23" t="s">
        <v>152</v>
      </c>
      <c r="B132" s="35" t="s">
        <v>151</v>
      </c>
      <c r="C132" s="36">
        <v>326519</v>
      </c>
      <c r="D132" s="6"/>
      <c r="E132" s="113">
        <v>35616548369</v>
      </c>
      <c r="F132" s="116">
        <f t="shared" si="28"/>
        <v>109079.55852186243</v>
      </c>
      <c r="G132" s="117">
        <v>22302374591</v>
      </c>
      <c r="H132" s="117">
        <f t="shared" si="29"/>
        <v>68303.451226421734</v>
      </c>
      <c r="I132" s="7"/>
      <c r="J132" s="10">
        <v>6.5389999999999997</v>
      </c>
      <c r="K132" s="117">
        <v>145835227</v>
      </c>
      <c r="L132" s="120">
        <f t="shared" si="31"/>
        <v>446.63626618971637</v>
      </c>
      <c r="M132" s="122">
        <f t="shared" si="17"/>
        <v>223023745.91</v>
      </c>
      <c r="N132" s="116">
        <f t="shared" si="18"/>
        <v>77188518.909999996</v>
      </c>
      <c r="O132" s="123">
        <f t="shared" si="19"/>
        <v>236.398246074501</v>
      </c>
      <c r="P132" s="5"/>
      <c r="Q132" s="5">
        <f t="shared" si="22"/>
        <v>1</v>
      </c>
      <c r="R132" s="7">
        <f t="shared" si="23"/>
        <v>326519</v>
      </c>
      <c r="S132" s="5">
        <f t="shared" si="20"/>
        <v>1</v>
      </c>
      <c r="T132" s="7">
        <f t="shared" si="21"/>
        <v>326519</v>
      </c>
    </row>
    <row r="133" spans="1:20">
      <c r="A133" s="23" t="s">
        <v>153</v>
      </c>
      <c r="B133" s="35" t="s">
        <v>151</v>
      </c>
      <c r="C133" s="36">
        <v>22020</v>
      </c>
      <c r="D133" s="6"/>
      <c r="E133" s="113">
        <v>1789000208</v>
      </c>
      <c r="F133" s="116">
        <f t="shared" si="28"/>
        <v>81244.332788374202</v>
      </c>
      <c r="G133" s="117">
        <v>1287628263</v>
      </c>
      <c r="H133" s="117">
        <f t="shared" si="29"/>
        <v>58475.397956403271</v>
      </c>
      <c r="I133" s="9"/>
      <c r="J133" s="10">
        <v>4.91</v>
      </c>
      <c r="K133" s="117">
        <v>6322255</v>
      </c>
      <c r="L133" s="120">
        <f t="shared" si="31"/>
        <v>287.11421435059037</v>
      </c>
      <c r="M133" s="122">
        <f t="shared" si="17"/>
        <v>12876282.630000001</v>
      </c>
      <c r="N133" s="116">
        <f t="shared" si="18"/>
        <v>6554027.6300000008</v>
      </c>
      <c r="O133" s="123">
        <f t="shared" si="19"/>
        <v>297.63976521344239</v>
      </c>
      <c r="P133" s="5"/>
      <c r="Q133" s="5">
        <f t="shared" si="22"/>
        <v>1</v>
      </c>
      <c r="R133" s="7">
        <f t="shared" si="23"/>
        <v>22020</v>
      </c>
      <c r="S133" s="5">
        <f t="shared" si="20"/>
        <v>1</v>
      </c>
      <c r="T133" s="7">
        <f t="shared" si="21"/>
        <v>22020</v>
      </c>
    </row>
    <row r="134" spans="1:20">
      <c r="A134" s="23" t="s">
        <v>154</v>
      </c>
      <c r="B134" s="35" t="s">
        <v>155</v>
      </c>
      <c r="C134" s="36">
        <v>2725</v>
      </c>
      <c r="D134" s="6"/>
      <c r="E134" s="113">
        <v>113746624</v>
      </c>
      <c r="F134" s="116">
        <f t="shared" si="28"/>
        <v>41741.88036697248</v>
      </c>
      <c r="G134" s="117">
        <v>69864395</v>
      </c>
      <c r="H134" s="117">
        <f t="shared" si="29"/>
        <v>25638.310091743118</v>
      </c>
      <c r="I134" s="9" t="s">
        <v>528</v>
      </c>
      <c r="J134" s="10"/>
      <c r="K134" s="117"/>
      <c r="L134" s="120"/>
      <c r="M134" s="122">
        <f t="shared" ref="M134:M197" si="32">(G134*0.01)</f>
        <v>698643.95000000007</v>
      </c>
      <c r="N134" s="116">
        <f t="shared" ref="N134:N197" si="33">(M134-K134)</f>
        <v>698643.95000000007</v>
      </c>
      <c r="O134" s="123">
        <f t="shared" ref="O134:O197" si="34">(N134/C134)</f>
        <v>256.38310091743119</v>
      </c>
      <c r="P134" s="5"/>
      <c r="Q134" s="5">
        <f t="shared" si="22"/>
        <v>1</v>
      </c>
      <c r="R134" s="7">
        <f t="shared" si="23"/>
        <v>2725</v>
      </c>
      <c r="S134" s="5">
        <f t="shared" ref="S134:S197" si="35">IF(J134&gt;0,1,0)</f>
        <v>0</v>
      </c>
      <c r="T134" s="7">
        <f t="shared" ref="T134:T197" si="36">IF(J134&gt;0,C134,0)</f>
        <v>0</v>
      </c>
    </row>
    <row r="135" spans="1:20">
      <c r="A135" s="23" t="s">
        <v>156</v>
      </c>
      <c r="B135" s="35" t="s">
        <v>155</v>
      </c>
      <c r="C135" s="36">
        <v>379</v>
      </c>
      <c r="D135" s="6"/>
      <c r="E135" s="113">
        <v>7996526</v>
      </c>
      <c r="F135" s="116">
        <f t="shared" si="28"/>
        <v>21099.013192612136</v>
      </c>
      <c r="G135" s="117">
        <v>3972518</v>
      </c>
      <c r="H135" s="117">
        <f t="shared" si="29"/>
        <v>10481.57783641161</v>
      </c>
      <c r="I135" s="7"/>
      <c r="J135" s="12">
        <v>0.62370000000000003</v>
      </c>
      <c r="K135" s="117">
        <v>2478</v>
      </c>
      <c r="L135" s="120">
        <f>(K135/C135)</f>
        <v>6.5382585751978892</v>
      </c>
      <c r="M135" s="122">
        <f t="shared" si="32"/>
        <v>39725.18</v>
      </c>
      <c r="N135" s="116">
        <f t="shared" si="33"/>
        <v>37247.18</v>
      </c>
      <c r="O135" s="123">
        <f t="shared" si="34"/>
        <v>98.277519788918212</v>
      </c>
      <c r="P135" s="5"/>
      <c r="Q135" s="5">
        <f t="shared" ref="Q135:Q198" si="37">IF(E135&gt;0,1,0)</f>
        <v>1</v>
      </c>
      <c r="R135" s="7">
        <f t="shared" ref="R135:R198" si="38">IF(E135&gt;0,C135,0)</f>
        <v>379</v>
      </c>
      <c r="S135" s="5">
        <f t="shared" si="35"/>
        <v>1</v>
      </c>
      <c r="T135" s="7">
        <f t="shared" si="36"/>
        <v>379</v>
      </c>
    </row>
    <row r="136" spans="1:20">
      <c r="A136" s="23" t="s">
        <v>157</v>
      </c>
      <c r="B136" s="35" t="s">
        <v>155</v>
      </c>
      <c r="C136" s="36">
        <v>228</v>
      </c>
      <c r="D136" s="6"/>
      <c r="E136" s="113">
        <v>3567376</v>
      </c>
      <c r="F136" s="116">
        <f t="shared" si="28"/>
        <v>15646.385964912281</v>
      </c>
      <c r="G136" s="117">
        <v>1298044</v>
      </c>
      <c r="H136" s="117">
        <f t="shared" si="29"/>
        <v>5693.1754385964914</v>
      </c>
      <c r="I136" s="9"/>
      <c r="J136" s="10">
        <v>1.43</v>
      </c>
      <c r="K136" s="117">
        <v>1856</v>
      </c>
      <c r="L136" s="120">
        <f>(K136/C136)</f>
        <v>8.1403508771929829</v>
      </c>
      <c r="M136" s="122">
        <f t="shared" si="32"/>
        <v>12980.44</v>
      </c>
      <c r="N136" s="116">
        <f t="shared" si="33"/>
        <v>11124.44</v>
      </c>
      <c r="O136" s="123">
        <f t="shared" si="34"/>
        <v>48.791403508771936</v>
      </c>
      <c r="P136" s="5"/>
      <c r="Q136" s="5">
        <f t="shared" si="37"/>
        <v>1</v>
      </c>
      <c r="R136" s="7">
        <f t="shared" si="38"/>
        <v>228</v>
      </c>
      <c r="S136" s="5">
        <f t="shared" si="35"/>
        <v>1</v>
      </c>
      <c r="T136" s="7">
        <f t="shared" si="36"/>
        <v>228</v>
      </c>
    </row>
    <row r="137" spans="1:20">
      <c r="A137" s="23" t="s">
        <v>158</v>
      </c>
      <c r="B137" s="35" t="s">
        <v>155</v>
      </c>
      <c r="C137" s="36">
        <v>477</v>
      </c>
      <c r="D137" s="6"/>
      <c r="E137" s="113">
        <v>17373247</v>
      </c>
      <c r="F137" s="116">
        <f t="shared" si="28"/>
        <v>36421.901467505239</v>
      </c>
      <c r="G137" s="117">
        <v>10079039</v>
      </c>
      <c r="H137" s="117">
        <f t="shared" si="29"/>
        <v>21130.060796645703</v>
      </c>
      <c r="I137" s="9" t="s">
        <v>528</v>
      </c>
      <c r="J137" s="10"/>
      <c r="K137" s="117"/>
      <c r="L137" s="120"/>
      <c r="M137" s="122">
        <f t="shared" si="32"/>
        <v>100790.39</v>
      </c>
      <c r="N137" s="116">
        <f t="shared" si="33"/>
        <v>100790.39</v>
      </c>
      <c r="O137" s="123">
        <f t="shared" si="34"/>
        <v>211.30060796645702</v>
      </c>
      <c r="P137" s="5"/>
      <c r="Q137" s="5">
        <f t="shared" si="37"/>
        <v>1</v>
      </c>
      <c r="R137" s="7">
        <f t="shared" si="38"/>
        <v>477</v>
      </c>
      <c r="S137" s="5">
        <f t="shared" si="35"/>
        <v>0</v>
      </c>
      <c r="T137" s="7">
        <f t="shared" si="36"/>
        <v>0</v>
      </c>
    </row>
    <row r="138" spans="1:20">
      <c r="A138" s="23" t="s">
        <v>159</v>
      </c>
      <c r="B138" s="35" t="s">
        <v>155</v>
      </c>
      <c r="C138" s="36">
        <v>234</v>
      </c>
      <c r="D138" s="6"/>
      <c r="E138" s="113">
        <v>9534397</v>
      </c>
      <c r="F138" s="116">
        <f t="shared" si="28"/>
        <v>40745.286324786328</v>
      </c>
      <c r="G138" s="117">
        <v>2691345</v>
      </c>
      <c r="H138" s="117">
        <f t="shared" si="29"/>
        <v>11501.474358974359</v>
      </c>
      <c r="I138" s="9" t="s">
        <v>528</v>
      </c>
      <c r="J138" s="11"/>
      <c r="K138" s="117"/>
      <c r="L138" s="120"/>
      <c r="M138" s="122">
        <f t="shared" si="32"/>
        <v>26913.45</v>
      </c>
      <c r="N138" s="116">
        <f t="shared" si="33"/>
        <v>26913.45</v>
      </c>
      <c r="O138" s="123">
        <f t="shared" si="34"/>
        <v>115.01474358974359</v>
      </c>
      <c r="P138" s="5"/>
      <c r="Q138" s="5">
        <f t="shared" si="37"/>
        <v>1</v>
      </c>
      <c r="R138" s="7">
        <f t="shared" si="38"/>
        <v>234</v>
      </c>
      <c r="S138" s="5">
        <f t="shared" si="35"/>
        <v>0</v>
      </c>
      <c r="T138" s="7">
        <f t="shared" si="36"/>
        <v>0</v>
      </c>
    </row>
    <row r="139" spans="1:20">
      <c r="A139" s="23" t="s">
        <v>160</v>
      </c>
      <c r="B139" s="35" t="s">
        <v>161</v>
      </c>
      <c r="C139" s="36">
        <v>4322</v>
      </c>
      <c r="D139" s="6"/>
      <c r="E139" s="113">
        <v>126727813</v>
      </c>
      <c r="F139" s="116">
        <f t="shared" si="28"/>
        <v>29321.56709856548</v>
      </c>
      <c r="G139" s="117">
        <v>67852293</v>
      </c>
      <c r="H139" s="117">
        <f t="shared" si="29"/>
        <v>15699.281119851921</v>
      </c>
      <c r="I139" s="7"/>
      <c r="J139" s="11">
        <v>5.75</v>
      </c>
      <c r="K139" s="117">
        <v>390151</v>
      </c>
      <c r="L139" s="120">
        <f t="shared" ref="L139:L144" si="39">(K139/C139)</f>
        <v>90.270939379916712</v>
      </c>
      <c r="M139" s="122">
        <f t="shared" si="32"/>
        <v>678522.93</v>
      </c>
      <c r="N139" s="116">
        <f t="shared" si="33"/>
        <v>288371.93000000005</v>
      </c>
      <c r="O139" s="123">
        <f t="shared" si="34"/>
        <v>66.721871818602509</v>
      </c>
      <c r="P139" s="5"/>
      <c r="Q139" s="5">
        <f t="shared" si="37"/>
        <v>1</v>
      </c>
      <c r="R139" s="7">
        <f t="shared" si="38"/>
        <v>4322</v>
      </c>
      <c r="S139" s="5">
        <f t="shared" si="35"/>
        <v>1</v>
      </c>
      <c r="T139" s="7">
        <f t="shared" si="36"/>
        <v>4322</v>
      </c>
    </row>
    <row r="140" spans="1:20">
      <c r="A140" s="23" t="s">
        <v>162</v>
      </c>
      <c r="B140" s="35" t="s">
        <v>161</v>
      </c>
      <c r="C140" s="36">
        <v>3654</v>
      </c>
      <c r="D140" s="6"/>
      <c r="E140" s="113">
        <v>2780787297</v>
      </c>
      <c r="F140" s="116">
        <f t="shared" si="28"/>
        <v>761025.53284072247</v>
      </c>
      <c r="G140" s="117">
        <v>2282998014</v>
      </c>
      <c r="H140" s="117">
        <f t="shared" si="29"/>
        <v>624794.20197044336</v>
      </c>
      <c r="I140" s="7"/>
      <c r="J140" s="10">
        <v>1.4730000000000001</v>
      </c>
      <c r="K140" s="117">
        <v>3362856</v>
      </c>
      <c r="L140" s="120">
        <f t="shared" si="39"/>
        <v>920.32183908045977</v>
      </c>
      <c r="M140" s="122">
        <f t="shared" si="32"/>
        <v>22829980.140000001</v>
      </c>
      <c r="N140" s="116">
        <f t="shared" si="33"/>
        <v>19467124.140000001</v>
      </c>
      <c r="O140" s="123">
        <f t="shared" si="34"/>
        <v>5327.6201806239742</v>
      </c>
      <c r="P140" s="5"/>
      <c r="Q140" s="5">
        <f t="shared" si="37"/>
        <v>1</v>
      </c>
      <c r="R140" s="7">
        <f t="shared" si="38"/>
        <v>3654</v>
      </c>
      <c r="S140" s="5">
        <f t="shared" si="35"/>
        <v>1</v>
      </c>
      <c r="T140" s="7">
        <f t="shared" si="36"/>
        <v>3654</v>
      </c>
    </row>
    <row r="141" spans="1:20">
      <c r="A141" s="23" t="s">
        <v>163</v>
      </c>
      <c r="B141" s="35" t="s">
        <v>161</v>
      </c>
      <c r="C141" s="36">
        <v>302</v>
      </c>
      <c r="D141" s="6"/>
      <c r="E141" s="113">
        <v>497218513</v>
      </c>
      <c r="F141" s="116">
        <f t="shared" si="28"/>
        <v>1646418.9172185431</v>
      </c>
      <c r="G141" s="117">
        <v>460750783</v>
      </c>
      <c r="H141" s="117">
        <f t="shared" si="29"/>
        <v>1525664.8443708608</v>
      </c>
      <c r="I141" s="7"/>
      <c r="J141" s="10">
        <v>0.69</v>
      </c>
      <c r="K141" s="117">
        <v>317918</v>
      </c>
      <c r="L141" s="120">
        <f t="shared" si="39"/>
        <v>1052.7086092715231</v>
      </c>
      <c r="M141" s="122">
        <f t="shared" si="32"/>
        <v>4607507.83</v>
      </c>
      <c r="N141" s="116">
        <f t="shared" si="33"/>
        <v>4289589.83</v>
      </c>
      <c r="O141" s="123">
        <f t="shared" si="34"/>
        <v>14203.939834437086</v>
      </c>
      <c r="P141" s="5"/>
      <c r="Q141" s="5">
        <f t="shared" si="37"/>
        <v>1</v>
      </c>
      <c r="R141" s="7">
        <f t="shared" si="38"/>
        <v>302</v>
      </c>
      <c r="S141" s="5">
        <f t="shared" si="35"/>
        <v>1</v>
      </c>
      <c r="T141" s="7">
        <f t="shared" si="36"/>
        <v>302</v>
      </c>
    </row>
    <row r="142" spans="1:20">
      <c r="A142" s="23" t="s">
        <v>164</v>
      </c>
      <c r="B142" s="35" t="s">
        <v>161</v>
      </c>
      <c r="C142" s="36">
        <v>20048</v>
      </c>
      <c r="D142" s="6"/>
      <c r="E142" s="113">
        <v>1672773792</v>
      </c>
      <c r="F142" s="116">
        <f t="shared" si="28"/>
        <v>83438.437350359134</v>
      </c>
      <c r="G142" s="117">
        <v>1133374977</v>
      </c>
      <c r="H142" s="117">
        <f t="shared" si="29"/>
        <v>56533.069483240222</v>
      </c>
      <c r="I142" s="7"/>
      <c r="J142" s="10">
        <v>3.9325000000000001</v>
      </c>
      <c r="K142" s="117">
        <v>4456997</v>
      </c>
      <c r="L142" s="120">
        <f t="shared" si="39"/>
        <v>222.3162909018356</v>
      </c>
      <c r="M142" s="122">
        <f t="shared" si="32"/>
        <v>11333749.77</v>
      </c>
      <c r="N142" s="116">
        <f t="shared" si="33"/>
        <v>6876752.7699999996</v>
      </c>
      <c r="O142" s="123">
        <f t="shared" si="34"/>
        <v>343.01440393056663</v>
      </c>
      <c r="P142" s="5"/>
      <c r="Q142" s="5">
        <f t="shared" si="37"/>
        <v>1</v>
      </c>
      <c r="R142" s="7">
        <f t="shared" si="38"/>
        <v>20048</v>
      </c>
      <c r="S142" s="5">
        <f t="shared" si="35"/>
        <v>1</v>
      </c>
      <c r="T142" s="7">
        <f t="shared" si="36"/>
        <v>20048</v>
      </c>
    </row>
    <row r="143" spans="1:20">
      <c r="A143" s="23" t="s">
        <v>165</v>
      </c>
      <c r="B143" s="35" t="s">
        <v>161</v>
      </c>
      <c r="C143" s="36">
        <v>17895</v>
      </c>
      <c r="D143" s="6"/>
      <c r="E143" s="113">
        <v>3245428721</v>
      </c>
      <c r="F143" s="116">
        <f t="shared" si="28"/>
        <v>181359.52618049734</v>
      </c>
      <c r="G143" s="117">
        <v>2241898916</v>
      </c>
      <c r="H143" s="117">
        <f t="shared" si="29"/>
        <v>125280.74411846885</v>
      </c>
      <c r="I143" s="7"/>
      <c r="J143" s="10">
        <v>2.2925</v>
      </c>
      <c r="K143" s="117">
        <v>5139553</v>
      </c>
      <c r="L143" s="120">
        <f t="shared" si="39"/>
        <v>287.20609108689575</v>
      </c>
      <c r="M143" s="122">
        <f t="shared" si="32"/>
        <v>22418989.16</v>
      </c>
      <c r="N143" s="116">
        <f t="shared" si="33"/>
        <v>17279436.16</v>
      </c>
      <c r="O143" s="123">
        <f t="shared" si="34"/>
        <v>965.60135009779265</v>
      </c>
      <c r="P143" s="5"/>
      <c r="Q143" s="5">
        <f t="shared" si="37"/>
        <v>1</v>
      </c>
      <c r="R143" s="7">
        <f t="shared" si="38"/>
        <v>17895</v>
      </c>
      <c r="S143" s="5">
        <f t="shared" si="35"/>
        <v>1</v>
      </c>
      <c r="T143" s="7">
        <f t="shared" si="36"/>
        <v>17895</v>
      </c>
    </row>
    <row r="144" spans="1:20">
      <c r="A144" s="23" t="s">
        <v>166</v>
      </c>
      <c r="B144" s="35" t="s">
        <v>167</v>
      </c>
      <c r="C144" s="36">
        <v>488</v>
      </c>
      <c r="D144" s="6"/>
      <c r="E144" s="113">
        <v>11303611</v>
      </c>
      <c r="F144" s="116">
        <f t="shared" si="28"/>
        <v>23163.137295081968</v>
      </c>
      <c r="G144" s="117">
        <v>5815888</v>
      </c>
      <c r="H144" s="117">
        <f t="shared" si="29"/>
        <v>11917.803278688525</v>
      </c>
      <c r="I144" s="9"/>
      <c r="J144" s="10">
        <v>1.5</v>
      </c>
      <c r="K144" s="117">
        <v>8724</v>
      </c>
      <c r="L144" s="120">
        <f t="shared" si="39"/>
        <v>17.877049180327869</v>
      </c>
      <c r="M144" s="122">
        <f t="shared" si="32"/>
        <v>58158.880000000005</v>
      </c>
      <c r="N144" s="116">
        <f t="shared" si="33"/>
        <v>49434.880000000005</v>
      </c>
      <c r="O144" s="123">
        <f t="shared" si="34"/>
        <v>101.30098360655738</v>
      </c>
      <c r="P144" s="5"/>
      <c r="Q144" s="5">
        <f t="shared" si="37"/>
        <v>1</v>
      </c>
      <c r="R144" s="7">
        <f t="shared" si="38"/>
        <v>488</v>
      </c>
      <c r="S144" s="5">
        <f t="shared" si="35"/>
        <v>1</v>
      </c>
      <c r="T144" s="7">
        <f t="shared" si="36"/>
        <v>488</v>
      </c>
    </row>
    <row r="145" spans="1:20">
      <c r="A145" s="23" t="s">
        <v>168</v>
      </c>
      <c r="B145" s="35" t="s">
        <v>167</v>
      </c>
      <c r="C145" s="36">
        <v>110</v>
      </c>
      <c r="D145" s="6"/>
      <c r="E145" s="113">
        <v>2121832</v>
      </c>
      <c r="F145" s="116">
        <f t="shared" si="28"/>
        <v>19289.381818181817</v>
      </c>
      <c r="G145" s="117">
        <v>1171560</v>
      </c>
      <c r="H145" s="117">
        <f t="shared" si="29"/>
        <v>10650.545454545454</v>
      </c>
      <c r="I145" s="9" t="s">
        <v>528</v>
      </c>
      <c r="J145" s="10"/>
      <c r="K145" s="117"/>
      <c r="L145" s="120"/>
      <c r="M145" s="122">
        <f t="shared" si="32"/>
        <v>11715.6</v>
      </c>
      <c r="N145" s="116">
        <f t="shared" si="33"/>
        <v>11715.6</v>
      </c>
      <c r="O145" s="123">
        <f t="shared" si="34"/>
        <v>106.50545454545455</v>
      </c>
      <c r="P145" s="5"/>
      <c r="Q145" s="5">
        <f t="shared" si="37"/>
        <v>1</v>
      </c>
      <c r="R145" s="7">
        <f t="shared" si="38"/>
        <v>110</v>
      </c>
      <c r="S145" s="5">
        <f t="shared" si="35"/>
        <v>0</v>
      </c>
      <c r="T145" s="7">
        <f t="shared" si="36"/>
        <v>0</v>
      </c>
    </row>
    <row r="146" spans="1:20">
      <c r="A146" s="23" t="s">
        <v>169</v>
      </c>
      <c r="B146" s="35" t="s">
        <v>167</v>
      </c>
      <c r="C146" s="36">
        <v>212</v>
      </c>
      <c r="D146" s="6"/>
      <c r="E146" s="113">
        <v>7224641</v>
      </c>
      <c r="F146" s="116">
        <f t="shared" si="28"/>
        <v>34078.49528301887</v>
      </c>
      <c r="G146" s="117">
        <v>4276678</v>
      </c>
      <c r="H146" s="117">
        <f t="shared" si="29"/>
        <v>20173.009433962263</v>
      </c>
      <c r="I146" s="7"/>
      <c r="J146" s="12">
        <v>2</v>
      </c>
      <c r="K146" s="117">
        <v>8553</v>
      </c>
      <c r="L146" s="120">
        <f>(K146/C146)</f>
        <v>40.344339622641506</v>
      </c>
      <c r="M146" s="122">
        <f t="shared" si="32"/>
        <v>42766.78</v>
      </c>
      <c r="N146" s="116">
        <f t="shared" si="33"/>
        <v>34213.78</v>
      </c>
      <c r="O146" s="123">
        <f t="shared" si="34"/>
        <v>161.38575471698113</v>
      </c>
      <c r="P146" s="5"/>
      <c r="Q146" s="5">
        <f t="shared" si="37"/>
        <v>1</v>
      </c>
      <c r="R146" s="7">
        <f t="shared" si="38"/>
        <v>212</v>
      </c>
      <c r="S146" s="5">
        <f t="shared" si="35"/>
        <v>1</v>
      </c>
      <c r="T146" s="7">
        <f t="shared" si="36"/>
        <v>212</v>
      </c>
    </row>
    <row r="147" spans="1:20">
      <c r="A147" s="23" t="s">
        <v>170</v>
      </c>
      <c r="B147" s="35" t="s">
        <v>167</v>
      </c>
      <c r="C147" s="36">
        <v>911</v>
      </c>
      <c r="D147" s="6"/>
      <c r="E147" s="113">
        <v>25909411</v>
      </c>
      <c r="F147" s="116">
        <f t="shared" si="28"/>
        <v>28440.626783754116</v>
      </c>
      <c r="G147" s="117">
        <v>14693632</v>
      </c>
      <c r="H147" s="117">
        <f t="shared" si="29"/>
        <v>16129.124039517013</v>
      </c>
      <c r="I147" s="7"/>
      <c r="J147" s="10">
        <v>3.5</v>
      </c>
      <c r="K147" s="117">
        <v>51428</v>
      </c>
      <c r="L147" s="120">
        <f>(K147/C147)</f>
        <v>56.452250274423712</v>
      </c>
      <c r="M147" s="122">
        <f t="shared" si="32"/>
        <v>146936.32000000001</v>
      </c>
      <c r="N147" s="116">
        <f t="shared" si="33"/>
        <v>95508.32</v>
      </c>
      <c r="O147" s="123">
        <f t="shared" si="34"/>
        <v>104.83899012074644</v>
      </c>
      <c r="P147" s="5"/>
      <c r="Q147" s="5">
        <f t="shared" si="37"/>
        <v>1</v>
      </c>
      <c r="R147" s="7">
        <f t="shared" si="38"/>
        <v>911</v>
      </c>
      <c r="S147" s="5">
        <f t="shared" si="35"/>
        <v>1</v>
      </c>
      <c r="T147" s="7">
        <f t="shared" si="36"/>
        <v>911</v>
      </c>
    </row>
    <row r="148" spans="1:20">
      <c r="A148" s="23" t="s">
        <v>171</v>
      </c>
      <c r="B148" s="35" t="s">
        <v>167</v>
      </c>
      <c r="C148" s="36">
        <v>2474</v>
      </c>
      <c r="D148" s="6"/>
      <c r="E148" s="113">
        <v>100233632</v>
      </c>
      <c r="F148" s="116">
        <f t="shared" si="28"/>
        <v>40514.806790622475</v>
      </c>
      <c r="G148" s="117">
        <v>60562101</v>
      </c>
      <c r="H148" s="117">
        <f t="shared" si="29"/>
        <v>24479.4264349232</v>
      </c>
      <c r="I148" s="9"/>
      <c r="J148" s="10">
        <v>4</v>
      </c>
      <c r="K148" s="117">
        <v>242248</v>
      </c>
      <c r="L148" s="120">
        <f>(K148/C148)</f>
        <v>97.917542441390466</v>
      </c>
      <c r="M148" s="122">
        <f t="shared" si="32"/>
        <v>605621.01</v>
      </c>
      <c r="N148" s="116">
        <f t="shared" si="33"/>
        <v>363373.01</v>
      </c>
      <c r="O148" s="123">
        <f t="shared" si="34"/>
        <v>146.87672190784156</v>
      </c>
      <c r="P148" s="5"/>
      <c r="Q148" s="5">
        <f t="shared" si="37"/>
        <v>1</v>
      </c>
      <c r="R148" s="7">
        <f t="shared" si="38"/>
        <v>2474</v>
      </c>
      <c r="S148" s="5">
        <f t="shared" si="35"/>
        <v>1</v>
      </c>
      <c r="T148" s="7">
        <f t="shared" si="36"/>
        <v>2474</v>
      </c>
    </row>
    <row r="149" spans="1:20">
      <c r="A149" s="23" t="s">
        <v>172</v>
      </c>
      <c r="B149" s="35" t="s">
        <v>167</v>
      </c>
      <c r="C149" s="36">
        <v>910</v>
      </c>
      <c r="D149" s="6"/>
      <c r="E149" s="113">
        <v>16541398</v>
      </c>
      <c r="F149" s="116">
        <f t="shared" si="28"/>
        <v>18177.360439560438</v>
      </c>
      <c r="G149" s="117">
        <v>7309654</v>
      </c>
      <c r="H149" s="117">
        <f t="shared" si="29"/>
        <v>8032.5868131868128</v>
      </c>
      <c r="I149" s="9" t="s">
        <v>528</v>
      </c>
      <c r="J149" s="10"/>
      <c r="K149" s="117"/>
      <c r="L149" s="120"/>
      <c r="M149" s="122">
        <f t="shared" si="32"/>
        <v>73096.540000000008</v>
      </c>
      <c r="N149" s="116">
        <f t="shared" si="33"/>
        <v>73096.540000000008</v>
      </c>
      <c r="O149" s="123">
        <f t="shared" si="34"/>
        <v>80.325868131868134</v>
      </c>
      <c r="P149" s="5"/>
      <c r="Q149" s="5">
        <f t="shared" si="37"/>
        <v>1</v>
      </c>
      <c r="R149" s="7">
        <f t="shared" si="38"/>
        <v>910</v>
      </c>
      <c r="S149" s="5">
        <f t="shared" si="35"/>
        <v>0</v>
      </c>
      <c r="T149" s="7">
        <f t="shared" si="36"/>
        <v>0</v>
      </c>
    </row>
    <row r="150" spans="1:20">
      <c r="A150" s="23" t="s">
        <v>173</v>
      </c>
      <c r="B150" s="35" t="s">
        <v>167</v>
      </c>
      <c r="C150" s="36">
        <v>770</v>
      </c>
      <c r="D150" s="6"/>
      <c r="E150" s="113">
        <v>21159584</v>
      </c>
      <c r="F150" s="116">
        <f t="shared" si="28"/>
        <v>27479.97922077922</v>
      </c>
      <c r="G150" s="117">
        <v>10987546</v>
      </c>
      <c r="H150" s="117">
        <f t="shared" si="29"/>
        <v>14269.540259740259</v>
      </c>
      <c r="I150" s="7"/>
      <c r="J150" s="11">
        <v>1</v>
      </c>
      <c r="K150" s="117">
        <v>10988</v>
      </c>
      <c r="L150" s="120">
        <f>(K150/C150)</f>
        <v>14.270129870129869</v>
      </c>
      <c r="M150" s="122">
        <f t="shared" si="32"/>
        <v>109875.46</v>
      </c>
      <c r="N150" s="116">
        <f t="shared" si="33"/>
        <v>98887.46</v>
      </c>
      <c r="O150" s="123">
        <f t="shared" si="34"/>
        <v>128.42527272727273</v>
      </c>
      <c r="P150" s="5"/>
      <c r="Q150" s="5">
        <f t="shared" si="37"/>
        <v>1</v>
      </c>
      <c r="R150" s="7">
        <f t="shared" si="38"/>
        <v>770</v>
      </c>
      <c r="S150" s="5">
        <f t="shared" si="35"/>
        <v>1</v>
      </c>
      <c r="T150" s="7">
        <f t="shared" si="36"/>
        <v>770</v>
      </c>
    </row>
    <row r="151" spans="1:20">
      <c r="A151" s="23" t="s">
        <v>508</v>
      </c>
      <c r="B151" s="35" t="s">
        <v>167</v>
      </c>
      <c r="C151" s="36">
        <v>284</v>
      </c>
      <c r="D151" s="6"/>
      <c r="E151" s="113">
        <v>5770731</v>
      </c>
      <c r="F151" s="116">
        <f t="shared" si="28"/>
        <v>20319.475352112677</v>
      </c>
      <c r="G151" s="117">
        <v>2540072</v>
      </c>
      <c r="H151" s="117">
        <f t="shared" si="29"/>
        <v>8943.9154929577471</v>
      </c>
      <c r="I151" s="9"/>
      <c r="J151" s="10">
        <v>3</v>
      </c>
      <c r="K151" s="117">
        <v>7620</v>
      </c>
      <c r="L151" s="120">
        <f>(K151/C151)</f>
        <v>26.830985915492956</v>
      </c>
      <c r="M151" s="122">
        <f t="shared" si="32"/>
        <v>25400.720000000001</v>
      </c>
      <c r="N151" s="116">
        <f t="shared" si="33"/>
        <v>17780.72</v>
      </c>
      <c r="O151" s="123">
        <f t="shared" si="34"/>
        <v>62.60816901408451</v>
      </c>
      <c r="P151" s="5"/>
      <c r="Q151" s="5">
        <f t="shared" si="37"/>
        <v>1</v>
      </c>
      <c r="R151" s="7">
        <f t="shared" si="38"/>
        <v>284</v>
      </c>
      <c r="S151" s="5">
        <f t="shared" si="35"/>
        <v>1</v>
      </c>
      <c r="T151" s="7">
        <f t="shared" si="36"/>
        <v>284</v>
      </c>
    </row>
    <row r="152" spans="1:20">
      <c r="A152" s="23" t="s">
        <v>175</v>
      </c>
      <c r="B152" s="35" t="s">
        <v>167</v>
      </c>
      <c r="C152" s="36">
        <v>2304</v>
      </c>
      <c r="D152" s="6"/>
      <c r="E152" s="113">
        <v>42880913</v>
      </c>
      <c r="F152" s="116">
        <f t="shared" si="28"/>
        <v>18611.507378472223</v>
      </c>
      <c r="G152" s="117">
        <v>10631827</v>
      </c>
      <c r="H152" s="117">
        <f t="shared" si="29"/>
        <v>4614.5082465277774</v>
      </c>
      <c r="I152" s="9" t="s">
        <v>528</v>
      </c>
      <c r="J152" s="10"/>
      <c r="K152" s="117"/>
      <c r="L152" s="120"/>
      <c r="M152" s="122">
        <f t="shared" si="32"/>
        <v>106318.27</v>
      </c>
      <c r="N152" s="116">
        <f t="shared" si="33"/>
        <v>106318.27</v>
      </c>
      <c r="O152" s="123">
        <f t="shared" si="34"/>
        <v>46.145082465277781</v>
      </c>
      <c r="P152" s="5"/>
      <c r="Q152" s="5">
        <f t="shared" si="37"/>
        <v>1</v>
      </c>
      <c r="R152" s="7">
        <f t="shared" si="38"/>
        <v>2304</v>
      </c>
      <c r="S152" s="5">
        <f t="shared" si="35"/>
        <v>0</v>
      </c>
      <c r="T152" s="7">
        <f t="shared" si="36"/>
        <v>0</v>
      </c>
    </row>
    <row r="153" spans="1:20">
      <c r="A153" s="23" t="s">
        <v>176</v>
      </c>
      <c r="B153" s="35" t="s">
        <v>167</v>
      </c>
      <c r="C153" s="36">
        <v>6489</v>
      </c>
      <c r="D153" s="6"/>
      <c r="E153" s="113">
        <v>290184535</v>
      </c>
      <c r="F153" s="116">
        <f t="shared" si="28"/>
        <v>44719.453690861461</v>
      </c>
      <c r="G153" s="117">
        <v>156495920</v>
      </c>
      <c r="H153" s="117">
        <f t="shared" si="29"/>
        <v>24117.10895361381</v>
      </c>
      <c r="I153" s="7"/>
      <c r="J153" s="11">
        <v>2.11</v>
      </c>
      <c r="K153" s="117">
        <v>330206</v>
      </c>
      <c r="L153" s="120">
        <f t="shared" ref="L153:L197" si="40">(K153/C153)</f>
        <v>50.887039605486208</v>
      </c>
      <c r="M153" s="122">
        <f t="shared" si="32"/>
        <v>1564959.2</v>
      </c>
      <c r="N153" s="116">
        <f t="shared" si="33"/>
        <v>1234753.2</v>
      </c>
      <c r="O153" s="123">
        <f t="shared" si="34"/>
        <v>190.28404993065186</v>
      </c>
      <c r="P153" s="5"/>
      <c r="Q153" s="5">
        <f t="shared" si="37"/>
        <v>1</v>
      </c>
      <c r="R153" s="7">
        <f t="shared" si="38"/>
        <v>6489</v>
      </c>
      <c r="S153" s="5">
        <f t="shared" si="35"/>
        <v>1</v>
      </c>
      <c r="T153" s="7">
        <f t="shared" si="36"/>
        <v>6489</v>
      </c>
    </row>
    <row r="154" spans="1:20">
      <c r="A154" s="23" t="s">
        <v>177</v>
      </c>
      <c r="B154" s="35" t="s">
        <v>167</v>
      </c>
      <c r="C154" s="36">
        <v>1982</v>
      </c>
      <c r="D154" s="6"/>
      <c r="E154" s="113">
        <v>53723462</v>
      </c>
      <c r="F154" s="116">
        <f t="shared" si="28"/>
        <v>27105.68213925328</v>
      </c>
      <c r="G154" s="117">
        <v>27823501</v>
      </c>
      <c r="H154" s="117">
        <f t="shared" si="29"/>
        <v>14038.093340060545</v>
      </c>
      <c r="I154" s="7"/>
      <c r="J154" s="10">
        <v>0.55979999999999996</v>
      </c>
      <c r="K154" s="117">
        <v>15576</v>
      </c>
      <c r="L154" s="120">
        <f t="shared" si="40"/>
        <v>7.8587285570131185</v>
      </c>
      <c r="M154" s="122">
        <f t="shared" si="32"/>
        <v>278235.01</v>
      </c>
      <c r="N154" s="116">
        <f t="shared" si="33"/>
        <v>262659.01</v>
      </c>
      <c r="O154" s="123">
        <f t="shared" si="34"/>
        <v>132.52220484359233</v>
      </c>
      <c r="P154" s="5"/>
      <c r="Q154" s="5">
        <f t="shared" si="37"/>
        <v>1</v>
      </c>
      <c r="R154" s="7">
        <f t="shared" si="38"/>
        <v>1982</v>
      </c>
      <c r="S154" s="5">
        <f t="shared" si="35"/>
        <v>1</v>
      </c>
      <c r="T154" s="7">
        <f t="shared" si="36"/>
        <v>1982</v>
      </c>
    </row>
    <row r="155" spans="1:20">
      <c r="A155" s="23" t="s">
        <v>178</v>
      </c>
      <c r="B155" s="35" t="s">
        <v>179</v>
      </c>
      <c r="C155" s="36">
        <v>2554</v>
      </c>
      <c r="D155" s="6"/>
      <c r="E155" s="113">
        <v>119381647</v>
      </c>
      <c r="F155" s="116">
        <f t="shared" si="28"/>
        <v>46743.009788566953</v>
      </c>
      <c r="G155" s="117">
        <v>73751614</v>
      </c>
      <c r="H155" s="117">
        <f t="shared" si="29"/>
        <v>28876.904463586532</v>
      </c>
      <c r="I155" s="7"/>
      <c r="J155" s="10">
        <v>7</v>
      </c>
      <c r="K155" s="117">
        <v>516261</v>
      </c>
      <c r="L155" s="120">
        <f t="shared" si="40"/>
        <v>202.13821456538761</v>
      </c>
      <c r="M155" s="122">
        <f t="shared" si="32"/>
        <v>737516.14</v>
      </c>
      <c r="N155" s="116">
        <f t="shared" si="33"/>
        <v>221255.14</v>
      </c>
      <c r="O155" s="123">
        <f t="shared" si="34"/>
        <v>86.630830070477685</v>
      </c>
      <c r="P155" s="5"/>
      <c r="Q155" s="5">
        <f t="shared" si="37"/>
        <v>1</v>
      </c>
      <c r="R155" s="7">
        <f t="shared" si="38"/>
        <v>2554</v>
      </c>
      <c r="S155" s="5">
        <f t="shared" si="35"/>
        <v>1</v>
      </c>
      <c r="T155" s="7">
        <f t="shared" si="36"/>
        <v>2554</v>
      </c>
    </row>
    <row r="156" spans="1:20">
      <c r="A156" s="23" t="s">
        <v>180</v>
      </c>
      <c r="B156" s="35" t="s">
        <v>181</v>
      </c>
      <c r="C156" s="36">
        <v>1016</v>
      </c>
      <c r="D156" s="6"/>
      <c r="E156" s="113">
        <v>33135315</v>
      </c>
      <c r="F156" s="116">
        <f t="shared" si="28"/>
        <v>32613.499015748032</v>
      </c>
      <c r="G156" s="117">
        <v>17382114</v>
      </c>
      <c r="H156" s="117">
        <f t="shared" si="29"/>
        <v>17108.379921259842</v>
      </c>
      <c r="I156" s="7"/>
      <c r="J156" s="10">
        <v>2.5</v>
      </c>
      <c r="K156" s="117">
        <v>43455</v>
      </c>
      <c r="L156" s="120">
        <f t="shared" si="40"/>
        <v>42.770669291338585</v>
      </c>
      <c r="M156" s="122">
        <f t="shared" si="32"/>
        <v>173821.14</v>
      </c>
      <c r="N156" s="116">
        <f t="shared" si="33"/>
        <v>130366.14000000001</v>
      </c>
      <c r="O156" s="123">
        <f t="shared" si="34"/>
        <v>128.31312992125984</v>
      </c>
      <c r="P156" s="5"/>
      <c r="Q156" s="5">
        <f t="shared" si="37"/>
        <v>1</v>
      </c>
      <c r="R156" s="7">
        <f t="shared" si="38"/>
        <v>1016</v>
      </c>
      <c r="S156" s="5">
        <f t="shared" si="35"/>
        <v>1</v>
      </c>
      <c r="T156" s="7">
        <f t="shared" si="36"/>
        <v>1016</v>
      </c>
    </row>
    <row r="157" spans="1:20">
      <c r="A157" s="23" t="s">
        <v>182</v>
      </c>
      <c r="B157" s="35" t="s">
        <v>183</v>
      </c>
      <c r="C157" s="36">
        <v>1461</v>
      </c>
      <c r="D157" s="6"/>
      <c r="E157" s="113">
        <v>59483348</v>
      </c>
      <c r="F157" s="116">
        <f t="shared" si="28"/>
        <v>40714.132785763177</v>
      </c>
      <c r="G157" s="117">
        <v>43295098</v>
      </c>
      <c r="H157" s="117">
        <f t="shared" si="29"/>
        <v>29633.879534565367</v>
      </c>
      <c r="I157" s="7"/>
      <c r="J157" s="10">
        <v>3.9</v>
      </c>
      <c r="K157" s="117">
        <v>168851</v>
      </c>
      <c r="L157" s="120">
        <f t="shared" si="40"/>
        <v>115.57221081451061</v>
      </c>
      <c r="M157" s="122">
        <f t="shared" si="32"/>
        <v>432950.98</v>
      </c>
      <c r="N157" s="116">
        <f t="shared" si="33"/>
        <v>264099.98</v>
      </c>
      <c r="O157" s="123">
        <f t="shared" si="34"/>
        <v>180.76658453114305</v>
      </c>
      <c r="P157" s="5"/>
      <c r="Q157" s="5">
        <f t="shared" si="37"/>
        <v>1</v>
      </c>
      <c r="R157" s="7">
        <f t="shared" si="38"/>
        <v>1461</v>
      </c>
      <c r="S157" s="5">
        <f t="shared" si="35"/>
        <v>1</v>
      </c>
      <c r="T157" s="7">
        <f t="shared" si="36"/>
        <v>1461</v>
      </c>
    </row>
    <row r="158" spans="1:20">
      <c r="A158" s="23" t="s">
        <v>184</v>
      </c>
      <c r="B158" s="35" t="s">
        <v>183</v>
      </c>
      <c r="C158" s="36">
        <v>20017</v>
      </c>
      <c r="D158" s="6"/>
      <c r="E158" s="113">
        <v>1924588607</v>
      </c>
      <c r="F158" s="116">
        <f t="shared" si="28"/>
        <v>96147.704800919222</v>
      </c>
      <c r="G158" s="117">
        <v>1541703974</v>
      </c>
      <c r="H158" s="117">
        <f t="shared" si="29"/>
        <v>77019.731927861314</v>
      </c>
      <c r="I158" s="7"/>
      <c r="J158" s="10">
        <v>3.7290000000000001</v>
      </c>
      <c r="K158" s="117">
        <v>5749014</v>
      </c>
      <c r="L158" s="120">
        <f t="shared" si="40"/>
        <v>287.20657441175001</v>
      </c>
      <c r="M158" s="122">
        <f t="shared" si="32"/>
        <v>15417039.74</v>
      </c>
      <c r="N158" s="116">
        <f t="shared" si="33"/>
        <v>9668025.7400000002</v>
      </c>
      <c r="O158" s="123">
        <f t="shared" si="34"/>
        <v>482.99074486686317</v>
      </c>
      <c r="P158" s="5"/>
      <c r="Q158" s="5">
        <f t="shared" si="37"/>
        <v>1</v>
      </c>
      <c r="R158" s="7">
        <f t="shared" si="38"/>
        <v>20017</v>
      </c>
      <c r="S158" s="5">
        <f t="shared" si="35"/>
        <v>1</v>
      </c>
      <c r="T158" s="7">
        <f t="shared" si="36"/>
        <v>20017</v>
      </c>
    </row>
    <row r="159" spans="1:20">
      <c r="A159" s="23" t="s">
        <v>185</v>
      </c>
      <c r="B159" s="35" t="s">
        <v>183</v>
      </c>
      <c r="C159" s="36">
        <v>17249</v>
      </c>
      <c r="D159" s="6"/>
      <c r="E159" s="113">
        <v>1018915780</v>
      </c>
      <c r="F159" s="116">
        <f t="shared" ref="F159:F222" si="41">(E159/C159)</f>
        <v>59071.00585541191</v>
      </c>
      <c r="G159" s="117">
        <v>740897780</v>
      </c>
      <c r="H159" s="117">
        <f t="shared" ref="H159:H222" si="42">(G159/C159)</f>
        <v>42953.085975998605</v>
      </c>
      <c r="I159" s="7"/>
      <c r="J159" s="10">
        <v>5.84</v>
      </c>
      <c r="K159" s="117">
        <v>4326843</v>
      </c>
      <c r="L159" s="120">
        <f t="shared" si="40"/>
        <v>250.84602005913385</v>
      </c>
      <c r="M159" s="122">
        <f t="shared" si="32"/>
        <v>7408977.7999999998</v>
      </c>
      <c r="N159" s="116">
        <f t="shared" si="33"/>
        <v>3082134.8</v>
      </c>
      <c r="O159" s="123">
        <f t="shared" si="34"/>
        <v>178.68483970085222</v>
      </c>
      <c r="P159" s="5"/>
      <c r="Q159" s="5">
        <f t="shared" si="37"/>
        <v>1</v>
      </c>
      <c r="R159" s="7">
        <f t="shared" si="38"/>
        <v>17249</v>
      </c>
      <c r="S159" s="5">
        <f t="shared" si="35"/>
        <v>1</v>
      </c>
      <c r="T159" s="7">
        <f t="shared" si="36"/>
        <v>17249</v>
      </c>
    </row>
    <row r="160" spans="1:20">
      <c r="A160" s="23" t="s">
        <v>186</v>
      </c>
      <c r="B160" s="35" t="s">
        <v>183</v>
      </c>
      <c r="C160" s="36">
        <v>3463</v>
      </c>
      <c r="D160" s="6"/>
      <c r="E160" s="113">
        <v>163811192</v>
      </c>
      <c r="F160" s="116">
        <f t="shared" si="41"/>
        <v>47303.260756569449</v>
      </c>
      <c r="G160" s="117">
        <v>116892024</v>
      </c>
      <c r="H160" s="117">
        <f t="shared" si="42"/>
        <v>33754.555010106844</v>
      </c>
      <c r="I160" s="7"/>
      <c r="J160" s="10">
        <v>4.3899999999999997</v>
      </c>
      <c r="K160" s="117">
        <v>513156</v>
      </c>
      <c r="L160" s="120">
        <f t="shared" si="40"/>
        <v>148.18250072191742</v>
      </c>
      <c r="M160" s="122">
        <f t="shared" si="32"/>
        <v>1168920.24</v>
      </c>
      <c r="N160" s="116">
        <f t="shared" si="33"/>
        <v>655764.24</v>
      </c>
      <c r="O160" s="123">
        <f t="shared" si="34"/>
        <v>189.36304937915102</v>
      </c>
      <c r="P160" s="5"/>
      <c r="Q160" s="5">
        <f t="shared" si="37"/>
        <v>1</v>
      </c>
      <c r="R160" s="7">
        <f t="shared" si="38"/>
        <v>3463</v>
      </c>
      <c r="S160" s="5">
        <f t="shared" si="35"/>
        <v>1</v>
      </c>
      <c r="T160" s="7">
        <f t="shared" si="36"/>
        <v>3463</v>
      </c>
    </row>
    <row r="161" spans="1:20">
      <c r="A161" s="23" t="s">
        <v>187</v>
      </c>
      <c r="B161" s="35" t="s">
        <v>183</v>
      </c>
      <c r="C161" s="36">
        <v>4550</v>
      </c>
      <c r="D161" s="6"/>
      <c r="E161" s="113">
        <v>281551560</v>
      </c>
      <c r="F161" s="116">
        <f t="shared" si="41"/>
        <v>61879.463736263737</v>
      </c>
      <c r="G161" s="117">
        <v>232528723</v>
      </c>
      <c r="H161" s="117">
        <f t="shared" si="42"/>
        <v>51105.213846153849</v>
      </c>
      <c r="I161" s="7"/>
      <c r="J161" s="10">
        <v>5.75</v>
      </c>
      <c r="K161" s="117">
        <v>1337040</v>
      </c>
      <c r="L161" s="120">
        <f t="shared" si="40"/>
        <v>293.85494505494506</v>
      </c>
      <c r="M161" s="122">
        <f t="shared" si="32"/>
        <v>2325287.23</v>
      </c>
      <c r="N161" s="116">
        <f t="shared" si="33"/>
        <v>988247.23</v>
      </c>
      <c r="O161" s="123">
        <f t="shared" si="34"/>
        <v>217.19719340659341</v>
      </c>
      <c r="P161" s="5"/>
      <c r="Q161" s="5">
        <f t="shared" si="37"/>
        <v>1</v>
      </c>
      <c r="R161" s="7">
        <f t="shared" si="38"/>
        <v>4550</v>
      </c>
      <c r="S161" s="5">
        <f t="shared" si="35"/>
        <v>1</v>
      </c>
      <c r="T161" s="7">
        <f t="shared" si="36"/>
        <v>4550</v>
      </c>
    </row>
    <row r="162" spans="1:20">
      <c r="A162" s="23" t="s">
        <v>188</v>
      </c>
      <c r="B162" s="35" t="s">
        <v>183</v>
      </c>
      <c r="C162" s="36">
        <v>1107</v>
      </c>
      <c r="D162" s="6"/>
      <c r="E162" s="113">
        <v>93332312</v>
      </c>
      <c r="F162" s="116">
        <f t="shared" si="41"/>
        <v>84311.031616982829</v>
      </c>
      <c r="G162" s="117">
        <v>72968956</v>
      </c>
      <c r="H162" s="117">
        <f t="shared" si="42"/>
        <v>65915.949412827467</v>
      </c>
      <c r="I162" s="7"/>
      <c r="J162" s="10">
        <v>5.4450000000000003</v>
      </c>
      <c r="K162" s="117">
        <v>397316</v>
      </c>
      <c r="L162" s="120">
        <f t="shared" si="40"/>
        <v>358.91237579042456</v>
      </c>
      <c r="M162" s="122">
        <f t="shared" si="32"/>
        <v>729689.56</v>
      </c>
      <c r="N162" s="116">
        <f t="shared" si="33"/>
        <v>332373.56000000006</v>
      </c>
      <c r="O162" s="123">
        <f t="shared" si="34"/>
        <v>300.24711833785011</v>
      </c>
      <c r="P162" s="5"/>
      <c r="Q162" s="5">
        <f t="shared" si="37"/>
        <v>1</v>
      </c>
      <c r="R162" s="7">
        <f t="shared" si="38"/>
        <v>1107</v>
      </c>
      <c r="S162" s="5">
        <f t="shared" si="35"/>
        <v>1</v>
      </c>
      <c r="T162" s="7">
        <f t="shared" si="36"/>
        <v>1107</v>
      </c>
    </row>
    <row r="163" spans="1:20">
      <c r="A163" s="23" t="s">
        <v>189</v>
      </c>
      <c r="B163" s="35" t="s">
        <v>183</v>
      </c>
      <c r="C163" s="36">
        <v>12709</v>
      </c>
      <c r="D163" s="6"/>
      <c r="E163" s="113">
        <v>1058320817</v>
      </c>
      <c r="F163" s="116">
        <f t="shared" si="41"/>
        <v>83273.33519553073</v>
      </c>
      <c r="G163" s="117">
        <v>687944960</v>
      </c>
      <c r="H163" s="117">
        <f t="shared" si="42"/>
        <v>54130.534267054842</v>
      </c>
      <c r="I163" s="7"/>
      <c r="J163" s="10">
        <v>2.2000000000000002</v>
      </c>
      <c r="K163" s="117">
        <v>1513479</v>
      </c>
      <c r="L163" s="120">
        <f t="shared" si="40"/>
        <v>119.08718231174758</v>
      </c>
      <c r="M163" s="122">
        <f t="shared" si="32"/>
        <v>6879449.6000000006</v>
      </c>
      <c r="N163" s="116">
        <f t="shared" si="33"/>
        <v>5365970.6000000006</v>
      </c>
      <c r="O163" s="123">
        <f t="shared" si="34"/>
        <v>422.2181603588009</v>
      </c>
      <c r="P163" s="5"/>
      <c r="Q163" s="5">
        <f t="shared" si="37"/>
        <v>1</v>
      </c>
      <c r="R163" s="7">
        <f t="shared" si="38"/>
        <v>12709</v>
      </c>
      <c r="S163" s="5">
        <f t="shared" si="35"/>
        <v>1</v>
      </c>
      <c r="T163" s="7">
        <f t="shared" si="36"/>
        <v>12709</v>
      </c>
    </row>
    <row r="164" spans="1:20">
      <c r="A164" s="23" t="s">
        <v>190</v>
      </c>
      <c r="B164" s="35" t="s">
        <v>183</v>
      </c>
      <c r="C164" s="36">
        <v>17467</v>
      </c>
      <c r="D164" s="6"/>
      <c r="E164" s="113">
        <v>1409119187</v>
      </c>
      <c r="F164" s="116">
        <f t="shared" si="41"/>
        <v>80673.223049178458</v>
      </c>
      <c r="G164" s="117">
        <v>1015691868</v>
      </c>
      <c r="H164" s="117">
        <f t="shared" si="42"/>
        <v>58149.18806892998</v>
      </c>
      <c r="I164" s="7"/>
      <c r="J164" s="10">
        <v>4.5</v>
      </c>
      <c r="K164" s="117">
        <v>4570613</v>
      </c>
      <c r="L164" s="120">
        <f t="shared" si="40"/>
        <v>261.67132306635369</v>
      </c>
      <c r="M164" s="122">
        <f t="shared" si="32"/>
        <v>10156918.68</v>
      </c>
      <c r="N164" s="116">
        <f t="shared" si="33"/>
        <v>5586305.6799999997</v>
      </c>
      <c r="O164" s="123">
        <f t="shared" si="34"/>
        <v>319.82055762294613</v>
      </c>
      <c r="P164" s="5"/>
      <c r="Q164" s="5">
        <f t="shared" si="37"/>
        <v>1</v>
      </c>
      <c r="R164" s="7">
        <f t="shared" si="38"/>
        <v>17467</v>
      </c>
      <c r="S164" s="5">
        <f t="shared" si="35"/>
        <v>1</v>
      </c>
      <c r="T164" s="7">
        <f t="shared" si="36"/>
        <v>17467</v>
      </c>
    </row>
    <row r="165" spans="1:20">
      <c r="A165" s="23" t="s">
        <v>191</v>
      </c>
      <c r="B165" s="35" t="s">
        <v>183</v>
      </c>
      <c r="C165" s="36">
        <v>4001</v>
      </c>
      <c r="D165" s="6"/>
      <c r="E165" s="113">
        <v>138855320</v>
      </c>
      <c r="F165" s="116">
        <f t="shared" si="41"/>
        <v>34705.153711572108</v>
      </c>
      <c r="G165" s="117">
        <v>105436083</v>
      </c>
      <c r="H165" s="117">
        <f t="shared" si="42"/>
        <v>26352.432641839539</v>
      </c>
      <c r="I165" s="7"/>
      <c r="J165" s="10">
        <v>5.9989999999999997</v>
      </c>
      <c r="K165" s="117">
        <v>632511</v>
      </c>
      <c r="L165" s="120">
        <f t="shared" si="40"/>
        <v>158.08822794301426</v>
      </c>
      <c r="M165" s="122">
        <f t="shared" si="32"/>
        <v>1054360.83</v>
      </c>
      <c r="N165" s="116">
        <f t="shared" si="33"/>
        <v>421849.83000000007</v>
      </c>
      <c r="O165" s="123">
        <f t="shared" si="34"/>
        <v>105.43609847538117</v>
      </c>
      <c r="P165" s="5"/>
      <c r="Q165" s="5">
        <f t="shared" si="37"/>
        <v>1</v>
      </c>
      <c r="R165" s="7">
        <f t="shared" si="38"/>
        <v>4001</v>
      </c>
      <c r="S165" s="5">
        <f t="shared" si="35"/>
        <v>1</v>
      </c>
      <c r="T165" s="7">
        <f t="shared" si="36"/>
        <v>4001</v>
      </c>
    </row>
    <row r="166" spans="1:20">
      <c r="A166" s="23" t="s">
        <v>192</v>
      </c>
      <c r="B166" s="35" t="s">
        <v>183</v>
      </c>
      <c r="C166" s="36">
        <v>8867</v>
      </c>
      <c r="D166" s="6"/>
      <c r="E166" s="113">
        <v>443499809</v>
      </c>
      <c r="F166" s="116">
        <f t="shared" si="41"/>
        <v>50016.895116724932</v>
      </c>
      <c r="G166" s="117">
        <v>349874477</v>
      </c>
      <c r="H166" s="117">
        <f t="shared" si="42"/>
        <v>39458.044096086611</v>
      </c>
      <c r="I166" s="7"/>
      <c r="J166" s="10">
        <v>4.5</v>
      </c>
      <c r="K166" s="117">
        <v>1574435</v>
      </c>
      <c r="L166" s="120">
        <f t="shared" si="40"/>
        <v>177.56118191045451</v>
      </c>
      <c r="M166" s="122">
        <f t="shared" si="32"/>
        <v>3498744.77</v>
      </c>
      <c r="N166" s="116">
        <f t="shared" si="33"/>
        <v>1924309.77</v>
      </c>
      <c r="O166" s="123">
        <f t="shared" si="34"/>
        <v>217.01925905041165</v>
      </c>
      <c r="P166" s="5"/>
      <c r="Q166" s="5">
        <f t="shared" si="37"/>
        <v>1</v>
      </c>
      <c r="R166" s="7">
        <f t="shared" si="38"/>
        <v>8867</v>
      </c>
      <c r="S166" s="5">
        <f t="shared" si="35"/>
        <v>1</v>
      </c>
      <c r="T166" s="7">
        <f t="shared" si="36"/>
        <v>8867</v>
      </c>
    </row>
    <row r="167" spans="1:20">
      <c r="A167" s="23" t="s">
        <v>193</v>
      </c>
      <c r="B167" s="35" t="s">
        <v>183</v>
      </c>
      <c r="C167" s="36">
        <v>1157</v>
      </c>
      <c r="D167" s="6"/>
      <c r="E167" s="113">
        <v>101804460</v>
      </c>
      <c r="F167" s="116">
        <f t="shared" si="41"/>
        <v>87990.025929127049</v>
      </c>
      <c r="G167" s="117">
        <v>77392656</v>
      </c>
      <c r="H167" s="117">
        <f t="shared" si="42"/>
        <v>66890.800345721698</v>
      </c>
      <c r="I167" s="7"/>
      <c r="J167" s="10">
        <v>2.99</v>
      </c>
      <c r="K167" s="117">
        <v>231404</v>
      </c>
      <c r="L167" s="120">
        <f t="shared" si="40"/>
        <v>200.00345721694038</v>
      </c>
      <c r="M167" s="122">
        <f t="shared" si="32"/>
        <v>773926.56</v>
      </c>
      <c r="N167" s="116">
        <f t="shared" si="33"/>
        <v>542522.56000000006</v>
      </c>
      <c r="O167" s="123">
        <f t="shared" si="34"/>
        <v>468.9045462402766</v>
      </c>
      <c r="P167" s="5"/>
      <c r="Q167" s="5">
        <f t="shared" si="37"/>
        <v>1</v>
      </c>
      <c r="R167" s="7">
        <f t="shared" si="38"/>
        <v>1157</v>
      </c>
      <c r="S167" s="5">
        <f t="shared" si="35"/>
        <v>1</v>
      </c>
      <c r="T167" s="7">
        <f t="shared" si="36"/>
        <v>1157</v>
      </c>
    </row>
    <row r="168" spans="1:20">
      <c r="A168" s="23" t="s">
        <v>194</v>
      </c>
      <c r="B168" s="35" t="s">
        <v>183</v>
      </c>
      <c r="C168" s="36">
        <v>10899</v>
      </c>
      <c r="D168" s="6"/>
      <c r="E168" s="113">
        <v>924267341</v>
      </c>
      <c r="F168" s="116">
        <f t="shared" si="41"/>
        <v>84802.948986145522</v>
      </c>
      <c r="G168" s="117">
        <v>718644059</v>
      </c>
      <c r="H168" s="117">
        <f t="shared" si="42"/>
        <v>65936.69685292228</v>
      </c>
      <c r="I168" s="7"/>
      <c r="J168" s="10">
        <v>6.1050000000000004</v>
      </c>
      <c r="K168" s="117">
        <v>4387322</v>
      </c>
      <c r="L168" s="120">
        <f t="shared" si="40"/>
        <v>402.54353610422976</v>
      </c>
      <c r="M168" s="122">
        <f t="shared" si="32"/>
        <v>7186440.5899999999</v>
      </c>
      <c r="N168" s="116">
        <f t="shared" si="33"/>
        <v>2799118.59</v>
      </c>
      <c r="O168" s="123">
        <f t="shared" si="34"/>
        <v>256.82343242499309</v>
      </c>
      <c r="P168" s="5"/>
      <c r="Q168" s="5">
        <f t="shared" si="37"/>
        <v>1</v>
      </c>
      <c r="R168" s="7">
        <f t="shared" si="38"/>
        <v>10899</v>
      </c>
      <c r="S168" s="5">
        <f t="shared" si="35"/>
        <v>1</v>
      </c>
      <c r="T168" s="7">
        <f t="shared" si="36"/>
        <v>10899</v>
      </c>
    </row>
    <row r="169" spans="1:20">
      <c r="A169" s="23" t="s">
        <v>195</v>
      </c>
      <c r="B169" s="35" t="s">
        <v>183</v>
      </c>
      <c r="C169" s="36">
        <v>11340</v>
      </c>
      <c r="D169" s="6"/>
      <c r="E169" s="113">
        <v>867064544</v>
      </c>
      <c r="F169" s="116">
        <f t="shared" si="41"/>
        <v>76460.718165784827</v>
      </c>
      <c r="G169" s="117">
        <v>523173575</v>
      </c>
      <c r="H169" s="117">
        <f t="shared" si="42"/>
        <v>46135.235890652555</v>
      </c>
      <c r="I169" s="7"/>
      <c r="J169" s="10">
        <v>5.42</v>
      </c>
      <c r="K169" s="117">
        <v>2835601</v>
      </c>
      <c r="L169" s="120">
        <f t="shared" si="40"/>
        <v>250.05299823633158</v>
      </c>
      <c r="M169" s="122">
        <f t="shared" si="32"/>
        <v>5231735.75</v>
      </c>
      <c r="N169" s="116">
        <f t="shared" si="33"/>
        <v>2396134.75</v>
      </c>
      <c r="O169" s="123">
        <f t="shared" si="34"/>
        <v>211.29936067019401</v>
      </c>
      <c r="P169" s="5"/>
      <c r="Q169" s="5">
        <f t="shared" si="37"/>
        <v>1</v>
      </c>
      <c r="R169" s="7">
        <f t="shared" si="38"/>
        <v>11340</v>
      </c>
      <c r="S169" s="5">
        <f t="shared" si="35"/>
        <v>1</v>
      </c>
      <c r="T169" s="7">
        <f t="shared" si="36"/>
        <v>11340</v>
      </c>
    </row>
    <row r="170" spans="1:20">
      <c r="A170" s="23" t="s">
        <v>196</v>
      </c>
      <c r="B170" s="35" t="s">
        <v>183</v>
      </c>
      <c r="C170" s="36">
        <v>2509</v>
      </c>
      <c r="D170" s="6"/>
      <c r="E170" s="113">
        <v>140155021</v>
      </c>
      <c r="F170" s="116">
        <f t="shared" si="41"/>
        <v>55860.909127142288</v>
      </c>
      <c r="G170" s="117">
        <v>97058711</v>
      </c>
      <c r="H170" s="117">
        <f t="shared" si="42"/>
        <v>38684.221203666799</v>
      </c>
      <c r="I170" s="7"/>
      <c r="J170" s="10">
        <v>6.24</v>
      </c>
      <c r="K170" s="117">
        <v>605646</v>
      </c>
      <c r="L170" s="120">
        <f t="shared" si="40"/>
        <v>241.38939816660024</v>
      </c>
      <c r="M170" s="122">
        <f t="shared" si="32"/>
        <v>970587.11</v>
      </c>
      <c r="N170" s="116">
        <f t="shared" si="33"/>
        <v>364941.11</v>
      </c>
      <c r="O170" s="123">
        <f t="shared" si="34"/>
        <v>145.45281387006776</v>
      </c>
      <c r="P170" s="5"/>
      <c r="Q170" s="5">
        <f t="shared" si="37"/>
        <v>1</v>
      </c>
      <c r="R170" s="7">
        <f t="shared" si="38"/>
        <v>2509</v>
      </c>
      <c r="S170" s="5">
        <f t="shared" si="35"/>
        <v>1</v>
      </c>
      <c r="T170" s="7">
        <f t="shared" si="36"/>
        <v>2509</v>
      </c>
    </row>
    <row r="171" spans="1:20">
      <c r="A171" s="23" t="s">
        <v>448</v>
      </c>
      <c r="B171" s="35" t="s">
        <v>198</v>
      </c>
      <c r="C171" s="36">
        <v>42300</v>
      </c>
      <c r="D171" s="6"/>
      <c r="E171" s="113">
        <v>8759151751</v>
      </c>
      <c r="F171" s="116">
        <f t="shared" si="41"/>
        <v>207072.14541371158</v>
      </c>
      <c r="G171" s="117">
        <v>7489532591</v>
      </c>
      <c r="H171" s="117">
        <f t="shared" si="42"/>
        <v>177057.50806146572</v>
      </c>
      <c r="I171" s="7"/>
      <c r="J171" s="10">
        <v>0.99760000000000004</v>
      </c>
      <c r="K171" s="117">
        <v>7471558</v>
      </c>
      <c r="L171" s="120">
        <f t="shared" si="40"/>
        <v>176.6325768321513</v>
      </c>
      <c r="M171" s="122">
        <f t="shared" si="32"/>
        <v>74895325.909999996</v>
      </c>
      <c r="N171" s="116">
        <f t="shared" si="33"/>
        <v>67423767.909999996</v>
      </c>
      <c r="O171" s="123">
        <f t="shared" si="34"/>
        <v>1593.9425037825058</v>
      </c>
      <c r="P171" s="5"/>
      <c r="Q171" s="5">
        <f t="shared" si="37"/>
        <v>1</v>
      </c>
      <c r="R171" s="7">
        <f t="shared" si="38"/>
        <v>42300</v>
      </c>
      <c r="S171" s="5">
        <f t="shared" si="35"/>
        <v>1</v>
      </c>
      <c r="T171" s="7">
        <f t="shared" si="36"/>
        <v>42300</v>
      </c>
    </row>
    <row r="172" spans="1:20">
      <c r="A172" s="23" t="s">
        <v>197</v>
      </c>
      <c r="B172" s="35" t="s">
        <v>198</v>
      </c>
      <c r="C172" s="36">
        <v>140195</v>
      </c>
      <c r="D172" s="6"/>
      <c r="E172" s="113">
        <v>18587538410</v>
      </c>
      <c r="F172" s="116">
        <f t="shared" si="41"/>
        <v>132583.46167837654</v>
      </c>
      <c r="G172" s="117">
        <v>14165306480</v>
      </c>
      <c r="H172" s="117">
        <f t="shared" si="42"/>
        <v>101040.02624915297</v>
      </c>
      <c r="I172" s="7"/>
      <c r="J172" s="10">
        <v>5.2786999999999997</v>
      </c>
      <c r="K172" s="117">
        <v>74774403</v>
      </c>
      <c r="L172" s="120">
        <f t="shared" si="40"/>
        <v>533.35998430757161</v>
      </c>
      <c r="M172" s="122">
        <f t="shared" si="32"/>
        <v>141653064.80000001</v>
      </c>
      <c r="N172" s="116">
        <f t="shared" si="33"/>
        <v>66878661.800000012</v>
      </c>
      <c r="O172" s="123">
        <f t="shared" si="34"/>
        <v>477.04027818395815</v>
      </c>
      <c r="P172" s="5"/>
      <c r="Q172" s="5">
        <f t="shared" si="37"/>
        <v>1</v>
      </c>
      <c r="R172" s="7">
        <f t="shared" si="38"/>
        <v>140195</v>
      </c>
      <c r="S172" s="5">
        <f t="shared" si="35"/>
        <v>1</v>
      </c>
      <c r="T172" s="7">
        <f t="shared" si="36"/>
        <v>140195</v>
      </c>
    </row>
    <row r="173" spans="1:20">
      <c r="A173" s="23" t="s">
        <v>199</v>
      </c>
      <c r="B173" s="35" t="s">
        <v>198</v>
      </c>
      <c r="C173" s="36">
        <v>61412</v>
      </c>
      <c r="D173" s="6"/>
      <c r="E173" s="113">
        <v>5978610950</v>
      </c>
      <c r="F173" s="116">
        <f t="shared" si="41"/>
        <v>97352.487298899243</v>
      </c>
      <c r="G173" s="117">
        <v>4100843110</v>
      </c>
      <c r="H173" s="117">
        <f t="shared" si="42"/>
        <v>66775.925063505507</v>
      </c>
      <c r="I173" s="7"/>
      <c r="J173" s="10">
        <v>7.21</v>
      </c>
      <c r="K173" s="117">
        <v>29567079</v>
      </c>
      <c r="L173" s="120">
        <f t="shared" si="40"/>
        <v>481.45442258841922</v>
      </c>
      <c r="M173" s="122">
        <f t="shared" si="32"/>
        <v>41008431.100000001</v>
      </c>
      <c r="N173" s="116">
        <f t="shared" si="33"/>
        <v>11441352.100000001</v>
      </c>
      <c r="O173" s="123">
        <f t="shared" si="34"/>
        <v>186.30482804663586</v>
      </c>
      <c r="P173" s="5"/>
      <c r="Q173" s="5">
        <f t="shared" si="37"/>
        <v>1</v>
      </c>
      <c r="R173" s="7">
        <f t="shared" si="38"/>
        <v>61412</v>
      </c>
      <c r="S173" s="5">
        <f t="shared" si="35"/>
        <v>1</v>
      </c>
      <c r="T173" s="7">
        <f t="shared" si="36"/>
        <v>61412</v>
      </c>
    </row>
    <row r="174" spans="1:20">
      <c r="A174" s="23" t="s">
        <v>200</v>
      </c>
      <c r="B174" s="35" t="s">
        <v>198</v>
      </c>
      <c r="C174" s="36">
        <v>6849</v>
      </c>
      <c r="D174" s="6"/>
      <c r="E174" s="113">
        <v>3562021190</v>
      </c>
      <c r="F174" s="116">
        <f t="shared" si="41"/>
        <v>520079.01737479924</v>
      </c>
      <c r="G174" s="117">
        <v>3063418220</v>
      </c>
      <c r="H174" s="117">
        <f t="shared" si="42"/>
        <v>447279.63498320925</v>
      </c>
      <c r="I174" s="7"/>
      <c r="J174" s="10">
        <v>0.74980000000000002</v>
      </c>
      <c r="K174" s="117">
        <v>2296951</v>
      </c>
      <c r="L174" s="120">
        <f t="shared" si="40"/>
        <v>335.37027303255951</v>
      </c>
      <c r="M174" s="122">
        <f t="shared" si="32"/>
        <v>30634182.199999999</v>
      </c>
      <c r="N174" s="116">
        <f t="shared" si="33"/>
        <v>28337231.199999999</v>
      </c>
      <c r="O174" s="123">
        <f t="shared" si="34"/>
        <v>4137.4260767995329</v>
      </c>
      <c r="P174" s="5"/>
      <c r="Q174" s="5">
        <f t="shared" si="37"/>
        <v>1</v>
      </c>
      <c r="R174" s="7">
        <f t="shared" si="38"/>
        <v>6849</v>
      </c>
      <c r="S174" s="5">
        <f t="shared" si="35"/>
        <v>1</v>
      </c>
      <c r="T174" s="7">
        <f t="shared" si="36"/>
        <v>6849</v>
      </c>
    </row>
    <row r="175" spans="1:20">
      <c r="A175" s="23" t="s">
        <v>201</v>
      </c>
      <c r="B175" s="35" t="s">
        <v>198</v>
      </c>
      <c r="C175" s="36">
        <v>6272</v>
      </c>
      <c r="D175" s="6"/>
      <c r="E175" s="113">
        <v>4646483050</v>
      </c>
      <c r="F175" s="116">
        <f t="shared" si="41"/>
        <v>740829.56792091834</v>
      </c>
      <c r="G175" s="117">
        <v>4092905540</v>
      </c>
      <c r="H175" s="117">
        <f t="shared" si="42"/>
        <v>652567.84757653065</v>
      </c>
      <c r="I175" s="7"/>
      <c r="J175" s="10">
        <v>2.4801000000000002</v>
      </c>
      <c r="K175" s="117">
        <v>10150815</v>
      </c>
      <c r="L175" s="120">
        <f t="shared" si="40"/>
        <v>1618.4335140306123</v>
      </c>
      <c r="M175" s="122">
        <f t="shared" si="32"/>
        <v>40929055.399999999</v>
      </c>
      <c r="N175" s="116">
        <f t="shared" si="33"/>
        <v>30778240.399999999</v>
      </c>
      <c r="O175" s="123">
        <f t="shared" si="34"/>
        <v>4907.2449617346938</v>
      </c>
      <c r="P175" s="5"/>
      <c r="Q175" s="5">
        <f t="shared" si="37"/>
        <v>1</v>
      </c>
      <c r="R175" s="7">
        <f t="shared" si="38"/>
        <v>6272</v>
      </c>
      <c r="S175" s="5">
        <f t="shared" si="35"/>
        <v>1</v>
      </c>
      <c r="T175" s="7">
        <f t="shared" si="36"/>
        <v>6272</v>
      </c>
    </row>
    <row r="176" spans="1:20">
      <c r="A176" s="23" t="s">
        <v>202</v>
      </c>
      <c r="B176" s="35" t="s">
        <v>203</v>
      </c>
      <c r="C176" s="36">
        <v>174781</v>
      </c>
      <c r="D176" s="6"/>
      <c r="E176" s="113">
        <v>14983275524</v>
      </c>
      <c r="F176" s="116">
        <f t="shared" si="41"/>
        <v>85725.997242263169</v>
      </c>
      <c r="G176" s="117">
        <v>8600518180</v>
      </c>
      <c r="H176" s="117">
        <f t="shared" si="42"/>
        <v>49207.397714854589</v>
      </c>
      <c r="I176" s="7"/>
      <c r="J176" s="10">
        <v>3.7</v>
      </c>
      <c r="K176" s="117">
        <v>31821917</v>
      </c>
      <c r="L176" s="120">
        <f t="shared" si="40"/>
        <v>182.06737002305744</v>
      </c>
      <c r="M176" s="122">
        <f t="shared" si="32"/>
        <v>86005181.799999997</v>
      </c>
      <c r="N176" s="116">
        <f t="shared" si="33"/>
        <v>54183264.799999997</v>
      </c>
      <c r="O176" s="123">
        <f t="shared" si="34"/>
        <v>310.00660712548847</v>
      </c>
      <c r="P176" s="5"/>
      <c r="Q176" s="5">
        <f t="shared" si="37"/>
        <v>1</v>
      </c>
      <c r="R176" s="7">
        <f t="shared" si="38"/>
        <v>174781</v>
      </c>
      <c r="S176" s="5">
        <f t="shared" si="35"/>
        <v>1</v>
      </c>
      <c r="T176" s="7">
        <f t="shared" si="36"/>
        <v>174781</v>
      </c>
    </row>
    <row r="177" spans="1:20">
      <c r="A177" s="23" t="s">
        <v>204</v>
      </c>
      <c r="B177" s="35" t="s">
        <v>205</v>
      </c>
      <c r="C177" s="36">
        <v>1100</v>
      </c>
      <c r="D177" s="6"/>
      <c r="E177" s="113">
        <v>39905592</v>
      </c>
      <c r="F177" s="116">
        <f t="shared" si="41"/>
        <v>36277.810909090906</v>
      </c>
      <c r="G177" s="117">
        <v>23875123</v>
      </c>
      <c r="H177" s="117">
        <f t="shared" si="42"/>
        <v>21704.657272727272</v>
      </c>
      <c r="I177" s="7"/>
      <c r="J177" s="10">
        <v>3.2</v>
      </c>
      <c r="K177" s="117">
        <v>76400</v>
      </c>
      <c r="L177" s="120">
        <f t="shared" si="40"/>
        <v>69.454545454545453</v>
      </c>
      <c r="M177" s="122">
        <f t="shared" si="32"/>
        <v>238751.23</v>
      </c>
      <c r="N177" s="116">
        <f t="shared" si="33"/>
        <v>162351.23000000001</v>
      </c>
      <c r="O177" s="123">
        <f t="shared" si="34"/>
        <v>147.59202727272728</v>
      </c>
      <c r="P177" s="5"/>
      <c r="Q177" s="5">
        <f t="shared" si="37"/>
        <v>1</v>
      </c>
      <c r="R177" s="7">
        <f t="shared" si="38"/>
        <v>1100</v>
      </c>
      <c r="S177" s="5">
        <f t="shared" si="35"/>
        <v>1</v>
      </c>
      <c r="T177" s="7">
        <f t="shared" si="36"/>
        <v>1100</v>
      </c>
    </row>
    <row r="178" spans="1:20">
      <c r="A178" s="23" t="s">
        <v>206</v>
      </c>
      <c r="B178" s="35" t="s">
        <v>205</v>
      </c>
      <c r="C178" s="36">
        <v>918</v>
      </c>
      <c r="D178" s="6"/>
      <c r="E178" s="113">
        <v>243147646</v>
      </c>
      <c r="F178" s="116">
        <f t="shared" si="41"/>
        <v>264866.71677559911</v>
      </c>
      <c r="G178" s="117">
        <v>181773237</v>
      </c>
      <c r="H178" s="117">
        <f t="shared" si="42"/>
        <v>198010.06209150326</v>
      </c>
      <c r="I178" s="7"/>
      <c r="J178" s="10">
        <v>3.25</v>
      </c>
      <c r="K178" s="117">
        <v>590763</v>
      </c>
      <c r="L178" s="120">
        <f t="shared" si="40"/>
        <v>643.53267973856214</v>
      </c>
      <c r="M178" s="122">
        <f t="shared" si="32"/>
        <v>1817732.37</v>
      </c>
      <c r="N178" s="116">
        <f t="shared" si="33"/>
        <v>1226969.3700000001</v>
      </c>
      <c r="O178" s="123">
        <f t="shared" si="34"/>
        <v>1336.5679411764706</v>
      </c>
      <c r="P178" s="5"/>
      <c r="Q178" s="5">
        <f t="shared" si="37"/>
        <v>1</v>
      </c>
      <c r="R178" s="7">
        <f t="shared" si="38"/>
        <v>918</v>
      </c>
      <c r="S178" s="5">
        <f t="shared" si="35"/>
        <v>1</v>
      </c>
      <c r="T178" s="7">
        <f t="shared" si="36"/>
        <v>918</v>
      </c>
    </row>
    <row r="179" spans="1:20">
      <c r="A179" s="23" t="s">
        <v>207</v>
      </c>
      <c r="B179" s="35" t="s">
        <v>205</v>
      </c>
      <c r="C179" s="36">
        <v>2107</v>
      </c>
      <c r="D179" s="6"/>
      <c r="E179" s="113">
        <v>125616316</v>
      </c>
      <c r="F179" s="116">
        <f t="shared" si="41"/>
        <v>59618.564784053153</v>
      </c>
      <c r="G179" s="117">
        <v>95274191</v>
      </c>
      <c r="H179" s="117">
        <f t="shared" si="42"/>
        <v>45217.935927859515</v>
      </c>
      <c r="I179" s="7"/>
      <c r="J179" s="10">
        <v>4.9390000000000001</v>
      </c>
      <c r="K179" s="117">
        <v>470559</v>
      </c>
      <c r="L179" s="120">
        <f t="shared" si="40"/>
        <v>223.33127669672521</v>
      </c>
      <c r="M179" s="122">
        <f t="shared" si="32"/>
        <v>952741.91</v>
      </c>
      <c r="N179" s="116">
        <f t="shared" si="33"/>
        <v>482182.91000000003</v>
      </c>
      <c r="O179" s="123">
        <f t="shared" si="34"/>
        <v>228.84808258186996</v>
      </c>
      <c r="P179" s="5"/>
      <c r="Q179" s="5">
        <f t="shared" si="37"/>
        <v>1</v>
      </c>
      <c r="R179" s="7">
        <f t="shared" si="38"/>
        <v>2107</v>
      </c>
      <c r="S179" s="5">
        <f t="shared" si="35"/>
        <v>1</v>
      </c>
      <c r="T179" s="7">
        <f t="shared" si="36"/>
        <v>2107</v>
      </c>
    </row>
    <row r="180" spans="1:20">
      <c r="A180" s="23" t="s">
        <v>208</v>
      </c>
      <c r="B180" s="35" t="s">
        <v>205</v>
      </c>
      <c r="C180" s="36">
        <v>1676</v>
      </c>
      <c r="D180" s="6"/>
      <c r="E180" s="113">
        <v>88195607</v>
      </c>
      <c r="F180" s="116">
        <f t="shared" si="41"/>
        <v>52622.677207637229</v>
      </c>
      <c r="G180" s="117">
        <v>61178663</v>
      </c>
      <c r="H180" s="117">
        <f t="shared" si="42"/>
        <v>36502.782219570407</v>
      </c>
      <c r="I180" s="7"/>
      <c r="J180" s="10">
        <v>5.5</v>
      </c>
      <c r="K180" s="117">
        <v>336483</v>
      </c>
      <c r="L180" s="120">
        <f t="shared" si="40"/>
        <v>200.76551312649164</v>
      </c>
      <c r="M180" s="122">
        <f t="shared" si="32"/>
        <v>611786.63</v>
      </c>
      <c r="N180" s="116">
        <f t="shared" si="33"/>
        <v>275303.63</v>
      </c>
      <c r="O180" s="123">
        <f t="shared" si="34"/>
        <v>164.26230906921242</v>
      </c>
      <c r="P180" s="5"/>
      <c r="Q180" s="5">
        <f t="shared" si="37"/>
        <v>1</v>
      </c>
      <c r="R180" s="7">
        <f t="shared" si="38"/>
        <v>1676</v>
      </c>
      <c r="S180" s="5">
        <f t="shared" si="35"/>
        <v>1</v>
      </c>
      <c r="T180" s="7">
        <f t="shared" si="36"/>
        <v>1676</v>
      </c>
    </row>
    <row r="181" spans="1:20">
      <c r="A181" s="23" t="s">
        <v>209</v>
      </c>
      <c r="B181" s="35" t="s">
        <v>205</v>
      </c>
      <c r="C181" s="36">
        <v>137</v>
      </c>
      <c r="D181" s="6"/>
      <c r="E181" s="113">
        <v>6353987</v>
      </c>
      <c r="F181" s="116">
        <f t="shared" si="41"/>
        <v>46379.46715328467</v>
      </c>
      <c r="G181" s="117">
        <v>3728813</v>
      </c>
      <c r="H181" s="117">
        <f t="shared" si="42"/>
        <v>27217.613138686131</v>
      </c>
      <c r="I181" s="7"/>
      <c r="J181" s="10">
        <v>3</v>
      </c>
      <c r="K181" s="117">
        <v>11186</v>
      </c>
      <c r="L181" s="120">
        <f t="shared" si="40"/>
        <v>81.649635036496349</v>
      </c>
      <c r="M181" s="122">
        <f t="shared" si="32"/>
        <v>37288.129999999997</v>
      </c>
      <c r="N181" s="116">
        <f t="shared" si="33"/>
        <v>26102.129999999997</v>
      </c>
      <c r="O181" s="123">
        <f t="shared" si="34"/>
        <v>190.52649635036494</v>
      </c>
      <c r="P181" s="5"/>
      <c r="Q181" s="5">
        <f t="shared" si="37"/>
        <v>1</v>
      </c>
      <c r="R181" s="7">
        <f t="shared" si="38"/>
        <v>137</v>
      </c>
      <c r="S181" s="5">
        <f t="shared" si="35"/>
        <v>1</v>
      </c>
      <c r="T181" s="7">
        <f t="shared" si="36"/>
        <v>137</v>
      </c>
    </row>
    <row r="182" spans="1:20">
      <c r="A182" s="23" t="s">
        <v>210</v>
      </c>
      <c r="B182" s="35" t="s">
        <v>205</v>
      </c>
      <c r="C182" s="36">
        <v>2429</v>
      </c>
      <c r="D182" s="6"/>
      <c r="E182" s="113">
        <v>145146463</v>
      </c>
      <c r="F182" s="116">
        <f t="shared" si="41"/>
        <v>59755.645533141207</v>
      </c>
      <c r="G182" s="117">
        <v>85455977</v>
      </c>
      <c r="H182" s="117">
        <f t="shared" si="42"/>
        <v>35181.546727048168</v>
      </c>
      <c r="I182" s="7"/>
      <c r="J182" s="10">
        <v>5.5</v>
      </c>
      <c r="K182" s="117">
        <v>470008</v>
      </c>
      <c r="L182" s="120">
        <f t="shared" si="40"/>
        <v>193.4985590778098</v>
      </c>
      <c r="M182" s="122">
        <f t="shared" si="32"/>
        <v>854559.77</v>
      </c>
      <c r="N182" s="116">
        <f t="shared" si="33"/>
        <v>384551.77</v>
      </c>
      <c r="O182" s="123">
        <f t="shared" si="34"/>
        <v>158.31690819267189</v>
      </c>
      <c r="P182" s="5"/>
      <c r="Q182" s="5">
        <f t="shared" si="37"/>
        <v>1</v>
      </c>
      <c r="R182" s="7">
        <f t="shared" si="38"/>
        <v>2429</v>
      </c>
      <c r="S182" s="5">
        <f t="shared" si="35"/>
        <v>1</v>
      </c>
      <c r="T182" s="7">
        <f t="shared" si="36"/>
        <v>2429</v>
      </c>
    </row>
    <row r="183" spans="1:20">
      <c r="A183" s="23" t="s">
        <v>211</v>
      </c>
      <c r="B183" s="35" t="s">
        <v>205</v>
      </c>
      <c r="C183" s="36">
        <v>743</v>
      </c>
      <c r="D183" s="6"/>
      <c r="E183" s="113">
        <v>86663395</v>
      </c>
      <c r="F183" s="116">
        <f t="shared" si="41"/>
        <v>116639.83176312248</v>
      </c>
      <c r="G183" s="117">
        <v>61648508</v>
      </c>
      <c r="H183" s="117">
        <f t="shared" si="42"/>
        <v>82972.419919246298</v>
      </c>
      <c r="I183" s="7"/>
      <c r="J183" s="10">
        <v>1.9510000000000001</v>
      </c>
      <c r="K183" s="117">
        <v>120276</v>
      </c>
      <c r="L183" s="120">
        <f t="shared" si="40"/>
        <v>161.87886944818305</v>
      </c>
      <c r="M183" s="122">
        <f t="shared" si="32"/>
        <v>616485.07999999996</v>
      </c>
      <c r="N183" s="116">
        <f t="shared" si="33"/>
        <v>496209.07999999996</v>
      </c>
      <c r="O183" s="123">
        <f t="shared" si="34"/>
        <v>667.84532974427987</v>
      </c>
      <c r="P183" s="5"/>
      <c r="Q183" s="5">
        <f t="shared" si="37"/>
        <v>1</v>
      </c>
      <c r="R183" s="7">
        <f t="shared" si="38"/>
        <v>743</v>
      </c>
      <c r="S183" s="5">
        <f t="shared" si="35"/>
        <v>1</v>
      </c>
      <c r="T183" s="7">
        <f t="shared" si="36"/>
        <v>743</v>
      </c>
    </row>
    <row r="184" spans="1:20">
      <c r="A184" s="23" t="s">
        <v>212</v>
      </c>
      <c r="B184" s="35" t="s">
        <v>213</v>
      </c>
      <c r="C184" s="36">
        <v>942</v>
      </c>
      <c r="D184" s="6"/>
      <c r="E184" s="113">
        <v>33952270</v>
      </c>
      <c r="F184" s="116">
        <f t="shared" si="41"/>
        <v>36042.749469214439</v>
      </c>
      <c r="G184" s="117">
        <v>17635331</v>
      </c>
      <c r="H184" s="117">
        <f t="shared" si="42"/>
        <v>18721.158174097665</v>
      </c>
      <c r="I184" s="7"/>
      <c r="J184" s="10">
        <v>3</v>
      </c>
      <c r="K184" s="117">
        <v>52906</v>
      </c>
      <c r="L184" s="120">
        <f t="shared" si="40"/>
        <v>56.163481953290869</v>
      </c>
      <c r="M184" s="122">
        <f t="shared" si="32"/>
        <v>176353.31</v>
      </c>
      <c r="N184" s="116">
        <f t="shared" si="33"/>
        <v>123447.31</v>
      </c>
      <c r="O184" s="123">
        <f t="shared" si="34"/>
        <v>131.04809978768577</v>
      </c>
      <c r="P184" s="5"/>
      <c r="Q184" s="5">
        <f t="shared" si="37"/>
        <v>1</v>
      </c>
      <c r="R184" s="7">
        <f t="shared" si="38"/>
        <v>942</v>
      </c>
      <c r="S184" s="5">
        <f t="shared" si="35"/>
        <v>1</v>
      </c>
      <c r="T184" s="7">
        <f t="shared" si="36"/>
        <v>942</v>
      </c>
    </row>
    <row r="185" spans="1:20">
      <c r="A185" s="23" t="s">
        <v>214</v>
      </c>
      <c r="B185" s="35" t="s">
        <v>215</v>
      </c>
      <c r="C185" s="36">
        <v>870</v>
      </c>
      <c r="D185" s="6"/>
      <c r="E185" s="113">
        <v>18365767</v>
      </c>
      <c r="F185" s="116">
        <f t="shared" si="41"/>
        <v>21110.077011494253</v>
      </c>
      <c r="G185" s="117">
        <v>9848439</v>
      </c>
      <c r="H185" s="117">
        <f t="shared" si="42"/>
        <v>11320.044827586207</v>
      </c>
      <c r="I185" s="7"/>
      <c r="J185" s="10">
        <v>9.2100000000000009</v>
      </c>
      <c r="K185" s="117">
        <v>90704</v>
      </c>
      <c r="L185" s="120">
        <f t="shared" si="40"/>
        <v>104.25747126436782</v>
      </c>
      <c r="M185" s="122">
        <f t="shared" si="32"/>
        <v>98484.39</v>
      </c>
      <c r="N185" s="116">
        <f t="shared" si="33"/>
        <v>7780.3899999999994</v>
      </c>
      <c r="O185" s="123">
        <f t="shared" si="34"/>
        <v>8.9429770114942517</v>
      </c>
      <c r="P185" s="5"/>
      <c r="Q185" s="5">
        <f t="shared" si="37"/>
        <v>1</v>
      </c>
      <c r="R185" s="7">
        <f t="shared" si="38"/>
        <v>870</v>
      </c>
      <c r="S185" s="5">
        <f t="shared" si="35"/>
        <v>1</v>
      </c>
      <c r="T185" s="7">
        <f t="shared" si="36"/>
        <v>870</v>
      </c>
    </row>
    <row r="186" spans="1:20">
      <c r="A186" s="23" t="s">
        <v>198</v>
      </c>
      <c r="B186" s="35" t="s">
        <v>215</v>
      </c>
      <c r="C186" s="36">
        <v>387</v>
      </c>
      <c r="D186" s="6"/>
      <c r="E186" s="113">
        <v>8677404</v>
      </c>
      <c r="F186" s="116">
        <f t="shared" si="41"/>
        <v>22422.232558139534</v>
      </c>
      <c r="G186" s="117">
        <v>4831544</v>
      </c>
      <c r="H186" s="117">
        <f t="shared" si="42"/>
        <v>12484.609819121448</v>
      </c>
      <c r="I186" s="7"/>
      <c r="J186" s="10">
        <v>6.67</v>
      </c>
      <c r="K186" s="117">
        <v>32226</v>
      </c>
      <c r="L186" s="120">
        <f t="shared" si="40"/>
        <v>83.271317829457359</v>
      </c>
      <c r="M186" s="122">
        <f t="shared" si="32"/>
        <v>48315.44</v>
      </c>
      <c r="N186" s="116">
        <f t="shared" si="33"/>
        <v>16089.440000000002</v>
      </c>
      <c r="O186" s="123">
        <f t="shared" si="34"/>
        <v>41.574780361757114</v>
      </c>
      <c r="P186" s="5"/>
      <c r="Q186" s="5">
        <f t="shared" si="37"/>
        <v>1</v>
      </c>
      <c r="R186" s="7">
        <f t="shared" si="38"/>
        <v>387</v>
      </c>
      <c r="S186" s="5">
        <f t="shared" si="35"/>
        <v>1</v>
      </c>
      <c r="T186" s="7">
        <f t="shared" si="36"/>
        <v>387</v>
      </c>
    </row>
    <row r="187" spans="1:20">
      <c r="A187" s="23" t="s">
        <v>215</v>
      </c>
      <c r="B187" s="35" t="s">
        <v>215</v>
      </c>
      <c r="C187" s="36">
        <v>3089</v>
      </c>
      <c r="D187" s="6"/>
      <c r="E187" s="113">
        <v>115005477</v>
      </c>
      <c r="F187" s="116">
        <f t="shared" si="41"/>
        <v>37230.649724830044</v>
      </c>
      <c r="G187" s="117">
        <v>73762726</v>
      </c>
      <c r="H187" s="117">
        <f t="shared" si="42"/>
        <v>23879.160246034317</v>
      </c>
      <c r="I187" s="7"/>
      <c r="J187" s="10">
        <v>7</v>
      </c>
      <c r="K187" s="117">
        <v>516339</v>
      </c>
      <c r="L187" s="120">
        <f t="shared" si="40"/>
        <v>167.15409517643249</v>
      </c>
      <c r="M187" s="122">
        <f t="shared" si="32"/>
        <v>737627.26</v>
      </c>
      <c r="N187" s="116">
        <f t="shared" si="33"/>
        <v>221288.26</v>
      </c>
      <c r="O187" s="123">
        <f t="shared" si="34"/>
        <v>71.637507283910651</v>
      </c>
      <c r="P187" s="5"/>
      <c r="Q187" s="5">
        <f t="shared" si="37"/>
        <v>1</v>
      </c>
      <c r="R187" s="7">
        <f t="shared" si="38"/>
        <v>3089</v>
      </c>
      <c r="S187" s="5">
        <f t="shared" si="35"/>
        <v>1</v>
      </c>
      <c r="T187" s="7">
        <f t="shared" si="36"/>
        <v>3089</v>
      </c>
    </row>
    <row r="188" spans="1:20">
      <c r="A188" s="23" t="s">
        <v>216</v>
      </c>
      <c r="B188" s="35" t="s">
        <v>217</v>
      </c>
      <c r="C188" s="36">
        <v>1849</v>
      </c>
      <c r="D188" s="6"/>
      <c r="E188" s="113">
        <v>910413475</v>
      </c>
      <c r="F188" s="116">
        <f t="shared" si="41"/>
        <v>492381.54407787992</v>
      </c>
      <c r="G188" s="117">
        <v>674898302</v>
      </c>
      <c r="H188" s="117">
        <f t="shared" si="42"/>
        <v>365007.1941590049</v>
      </c>
      <c r="I188" s="7"/>
      <c r="J188" s="10">
        <v>2</v>
      </c>
      <c r="K188" s="117">
        <v>1349797</v>
      </c>
      <c r="L188" s="120">
        <f t="shared" si="40"/>
        <v>730.01460248783121</v>
      </c>
      <c r="M188" s="122">
        <f t="shared" si="32"/>
        <v>6748983.0200000005</v>
      </c>
      <c r="N188" s="116">
        <f t="shared" si="33"/>
        <v>5399186.0200000005</v>
      </c>
      <c r="O188" s="123">
        <f t="shared" si="34"/>
        <v>2920.0573391022176</v>
      </c>
      <c r="P188" s="5"/>
      <c r="Q188" s="5">
        <f t="shared" si="37"/>
        <v>1</v>
      </c>
      <c r="R188" s="7">
        <f t="shared" si="38"/>
        <v>1849</v>
      </c>
      <c r="S188" s="5">
        <f t="shared" si="35"/>
        <v>1</v>
      </c>
      <c r="T188" s="7">
        <f t="shared" si="36"/>
        <v>1849</v>
      </c>
    </row>
    <row r="189" spans="1:20">
      <c r="A189" s="23" t="s">
        <v>218</v>
      </c>
      <c r="B189" s="35" t="s">
        <v>217</v>
      </c>
      <c r="C189" s="36">
        <v>54303</v>
      </c>
      <c r="D189" s="6"/>
      <c r="E189" s="113">
        <v>3852307267</v>
      </c>
      <c r="F189" s="116">
        <f t="shared" si="41"/>
        <v>70940.965821409496</v>
      </c>
      <c r="G189" s="117">
        <v>2754431276</v>
      </c>
      <c r="H189" s="117">
        <f t="shared" si="42"/>
        <v>50723.372115721046</v>
      </c>
      <c r="I189" s="7"/>
      <c r="J189" s="10">
        <v>4.75</v>
      </c>
      <c r="K189" s="117">
        <v>13083549</v>
      </c>
      <c r="L189" s="120">
        <f t="shared" si="40"/>
        <v>240.93602563394288</v>
      </c>
      <c r="M189" s="122">
        <f t="shared" si="32"/>
        <v>27544312.760000002</v>
      </c>
      <c r="N189" s="116">
        <f t="shared" si="33"/>
        <v>14460763.760000002</v>
      </c>
      <c r="O189" s="123">
        <f t="shared" si="34"/>
        <v>266.29769552326763</v>
      </c>
      <c r="P189" s="5"/>
      <c r="Q189" s="5">
        <f t="shared" si="37"/>
        <v>1</v>
      </c>
      <c r="R189" s="7">
        <f t="shared" si="38"/>
        <v>54303</v>
      </c>
      <c r="S189" s="5">
        <f t="shared" si="35"/>
        <v>1</v>
      </c>
      <c r="T189" s="7">
        <f t="shared" si="36"/>
        <v>54303</v>
      </c>
    </row>
    <row r="190" spans="1:20">
      <c r="A190" s="23" t="s">
        <v>219</v>
      </c>
      <c r="B190" s="35" t="s">
        <v>217</v>
      </c>
      <c r="C190" s="36">
        <v>1588</v>
      </c>
      <c r="D190" s="6"/>
      <c r="E190" s="113">
        <v>659292879</v>
      </c>
      <c r="F190" s="116">
        <f t="shared" si="41"/>
        <v>415171.83816120907</v>
      </c>
      <c r="G190" s="117">
        <v>553450386</v>
      </c>
      <c r="H190" s="117">
        <f t="shared" si="42"/>
        <v>348520.3942065491</v>
      </c>
      <c r="I190" s="7"/>
      <c r="J190" s="10">
        <v>2.4902000000000002</v>
      </c>
      <c r="K190" s="117">
        <v>1378202</v>
      </c>
      <c r="L190" s="120">
        <f t="shared" si="40"/>
        <v>867.88539042821162</v>
      </c>
      <c r="M190" s="122">
        <f t="shared" si="32"/>
        <v>5534503.8600000003</v>
      </c>
      <c r="N190" s="116">
        <f t="shared" si="33"/>
        <v>4156301.8600000003</v>
      </c>
      <c r="O190" s="123">
        <f t="shared" si="34"/>
        <v>2617.3185516372796</v>
      </c>
      <c r="P190" s="5"/>
      <c r="Q190" s="5">
        <f t="shared" si="37"/>
        <v>1</v>
      </c>
      <c r="R190" s="7">
        <f t="shared" si="38"/>
        <v>1588</v>
      </c>
      <c r="S190" s="5">
        <f t="shared" si="35"/>
        <v>1</v>
      </c>
      <c r="T190" s="7">
        <f t="shared" si="36"/>
        <v>1588</v>
      </c>
    </row>
    <row r="191" spans="1:20">
      <c r="A191" s="23" t="s">
        <v>220</v>
      </c>
      <c r="B191" s="35" t="s">
        <v>217</v>
      </c>
      <c r="C191" s="36">
        <v>5040</v>
      </c>
      <c r="D191" s="6"/>
      <c r="E191" s="113">
        <v>1789690309</v>
      </c>
      <c r="F191" s="116">
        <f t="shared" si="41"/>
        <v>355097.28353174601</v>
      </c>
      <c r="G191" s="117">
        <v>1384251761</v>
      </c>
      <c r="H191" s="117">
        <f t="shared" si="42"/>
        <v>274653.12718253967</v>
      </c>
      <c r="I191" s="7"/>
      <c r="J191" s="10">
        <v>1.9</v>
      </c>
      <c r="K191" s="117">
        <v>2630078</v>
      </c>
      <c r="L191" s="120">
        <f t="shared" si="40"/>
        <v>521.84087301587306</v>
      </c>
      <c r="M191" s="122">
        <f t="shared" si="32"/>
        <v>13842517.609999999</v>
      </c>
      <c r="N191" s="116">
        <f t="shared" si="33"/>
        <v>11212439.609999999</v>
      </c>
      <c r="O191" s="123">
        <f t="shared" si="34"/>
        <v>2224.6903988095237</v>
      </c>
      <c r="P191" s="5"/>
      <c r="Q191" s="5">
        <f t="shared" si="37"/>
        <v>1</v>
      </c>
      <c r="R191" s="7">
        <f t="shared" si="38"/>
        <v>5040</v>
      </c>
      <c r="S191" s="5">
        <f t="shared" si="35"/>
        <v>1</v>
      </c>
      <c r="T191" s="7">
        <f t="shared" si="36"/>
        <v>5040</v>
      </c>
    </row>
    <row r="192" spans="1:20">
      <c r="A192" s="23" t="s">
        <v>221</v>
      </c>
      <c r="B192" s="35" t="s">
        <v>217</v>
      </c>
      <c r="C192" s="36">
        <v>13272</v>
      </c>
      <c r="D192" s="6"/>
      <c r="E192" s="113">
        <v>956493932</v>
      </c>
      <c r="F192" s="116">
        <f t="shared" si="41"/>
        <v>72068.560277275465</v>
      </c>
      <c r="G192" s="117">
        <v>661503856</v>
      </c>
      <c r="H192" s="117">
        <f t="shared" si="42"/>
        <v>49842.062688366488</v>
      </c>
      <c r="I192" s="7"/>
      <c r="J192" s="10">
        <v>5.1645000000000003</v>
      </c>
      <c r="K192" s="117">
        <v>3416337</v>
      </c>
      <c r="L192" s="120">
        <f t="shared" si="40"/>
        <v>257.40935804701627</v>
      </c>
      <c r="M192" s="122">
        <f t="shared" si="32"/>
        <v>6615038.5600000005</v>
      </c>
      <c r="N192" s="116">
        <f t="shared" si="33"/>
        <v>3198701.5600000005</v>
      </c>
      <c r="O192" s="123">
        <f t="shared" si="34"/>
        <v>241.01126883664861</v>
      </c>
      <c r="P192" s="5"/>
      <c r="Q192" s="5">
        <f t="shared" si="37"/>
        <v>1</v>
      </c>
      <c r="R192" s="7">
        <f t="shared" si="38"/>
        <v>13272</v>
      </c>
      <c r="S192" s="5">
        <f t="shared" si="35"/>
        <v>1</v>
      </c>
      <c r="T192" s="7">
        <f t="shared" si="36"/>
        <v>13272</v>
      </c>
    </row>
    <row r="193" spans="1:20">
      <c r="A193" s="23" t="s">
        <v>478</v>
      </c>
      <c r="B193" s="35" t="s">
        <v>222</v>
      </c>
      <c r="C193" s="36">
        <v>7662</v>
      </c>
      <c r="D193" s="6"/>
      <c r="E193" s="113">
        <v>6769395023</v>
      </c>
      <c r="F193" s="116">
        <f t="shared" si="41"/>
        <v>883502.3522578961</v>
      </c>
      <c r="G193" s="117">
        <v>5690354884</v>
      </c>
      <c r="H193" s="117">
        <f t="shared" si="42"/>
        <v>742672.26363873668</v>
      </c>
      <c r="I193" s="7"/>
      <c r="J193" s="10">
        <v>1.4650000000000001</v>
      </c>
      <c r="K193" s="117">
        <v>8336370</v>
      </c>
      <c r="L193" s="120">
        <f t="shared" si="40"/>
        <v>1088.0148786217699</v>
      </c>
      <c r="M193" s="122">
        <f t="shared" si="32"/>
        <v>56903548.840000004</v>
      </c>
      <c r="N193" s="116">
        <f t="shared" si="33"/>
        <v>48567178.840000004</v>
      </c>
      <c r="O193" s="123">
        <f t="shared" si="34"/>
        <v>6338.7077577655973</v>
      </c>
      <c r="P193" s="5"/>
      <c r="Q193" s="5">
        <f t="shared" si="37"/>
        <v>1</v>
      </c>
      <c r="R193" s="7">
        <f t="shared" si="38"/>
        <v>7662</v>
      </c>
      <c r="S193" s="5">
        <f t="shared" si="35"/>
        <v>1</v>
      </c>
      <c r="T193" s="7">
        <f t="shared" si="36"/>
        <v>7662</v>
      </c>
    </row>
    <row r="194" spans="1:20">
      <c r="A194" s="23" t="s">
        <v>223</v>
      </c>
      <c r="B194" s="35" t="s">
        <v>224</v>
      </c>
      <c r="C194" s="36">
        <v>3783</v>
      </c>
      <c r="D194" s="6"/>
      <c r="E194" s="113">
        <v>203355383</v>
      </c>
      <c r="F194" s="116">
        <f t="shared" si="41"/>
        <v>53755.057626222573</v>
      </c>
      <c r="G194" s="117">
        <v>154436190</v>
      </c>
      <c r="H194" s="117">
        <f t="shared" si="42"/>
        <v>40823.73513084853</v>
      </c>
      <c r="I194" s="7"/>
      <c r="J194" s="10">
        <v>4.4138999999999999</v>
      </c>
      <c r="K194" s="117">
        <v>681666</v>
      </c>
      <c r="L194" s="120">
        <f t="shared" si="40"/>
        <v>180.19191118160191</v>
      </c>
      <c r="M194" s="122">
        <f t="shared" si="32"/>
        <v>1544361.9000000001</v>
      </c>
      <c r="N194" s="116">
        <f t="shared" si="33"/>
        <v>862695.90000000014</v>
      </c>
      <c r="O194" s="123">
        <f t="shared" si="34"/>
        <v>228.04544012688345</v>
      </c>
      <c r="P194" s="5"/>
      <c r="Q194" s="5">
        <f t="shared" si="37"/>
        <v>1</v>
      </c>
      <c r="R194" s="7">
        <f t="shared" si="38"/>
        <v>3783</v>
      </c>
      <c r="S194" s="5">
        <f t="shared" si="35"/>
        <v>1</v>
      </c>
      <c r="T194" s="7">
        <f t="shared" si="36"/>
        <v>3783</v>
      </c>
    </row>
    <row r="195" spans="1:20">
      <c r="A195" s="23" t="s">
        <v>225</v>
      </c>
      <c r="B195" s="35" t="s">
        <v>224</v>
      </c>
      <c r="C195" s="36">
        <v>1970</v>
      </c>
      <c r="D195" s="6"/>
      <c r="E195" s="113">
        <v>167024655</v>
      </c>
      <c r="F195" s="116">
        <f t="shared" si="41"/>
        <v>84784.088832487309</v>
      </c>
      <c r="G195" s="117">
        <v>119199004</v>
      </c>
      <c r="H195" s="117">
        <f t="shared" si="42"/>
        <v>60507.108629441624</v>
      </c>
      <c r="I195" s="7"/>
      <c r="J195" s="10">
        <v>6.5</v>
      </c>
      <c r="K195" s="117">
        <v>774794</v>
      </c>
      <c r="L195" s="120">
        <f t="shared" si="40"/>
        <v>393.2964467005076</v>
      </c>
      <c r="M195" s="122">
        <f t="shared" si="32"/>
        <v>1191990.04</v>
      </c>
      <c r="N195" s="116">
        <f t="shared" si="33"/>
        <v>417196.04000000004</v>
      </c>
      <c r="O195" s="123">
        <f t="shared" si="34"/>
        <v>211.77463959390866</v>
      </c>
      <c r="P195" s="5"/>
      <c r="Q195" s="5">
        <f t="shared" si="37"/>
        <v>1</v>
      </c>
      <c r="R195" s="7">
        <f t="shared" si="38"/>
        <v>1970</v>
      </c>
      <c r="S195" s="5">
        <f t="shared" si="35"/>
        <v>1</v>
      </c>
      <c r="T195" s="7">
        <f t="shared" si="36"/>
        <v>1970</v>
      </c>
    </row>
    <row r="196" spans="1:20">
      <c r="A196" s="23" t="s">
        <v>226</v>
      </c>
      <c r="B196" s="35" t="s">
        <v>224</v>
      </c>
      <c r="C196" s="36">
        <v>446</v>
      </c>
      <c r="D196" s="6"/>
      <c r="E196" s="113">
        <v>27402444</v>
      </c>
      <c r="F196" s="116">
        <f t="shared" si="41"/>
        <v>61440.457399103136</v>
      </c>
      <c r="G196" s="117">
        <v>16743589</v>
      </c>
      <c r="H196" s="117">
        <f t="shared" si="42"/>
        <v>37541.679372197308</v>
      </c>
      <c r="I196" s="7"/>
      <c r="J196" s="10">
        <v>1.2611000000000001</v>
      </c>
      <c r="K196" s="117">
        <v>21115</v>
      </c>
      <c r="L196" s="120">
        <f t="shared" si="40"/>
        <v>47.343049327354258</v>
      </c>
      <c r="M196" s="122">
        <f t="shared" si="32"/>
        <v>167435.89000000001</v>
      </c>
      <c r="N196" s="116">
        <f t="shared" si="33"/>
        <v>146320.89000000001</v>
      </c>
      <c r="O196" s="123">
        <f t="shared" si="34"/>
        <v>328.07374439461887</v>
      </c>
      <c r="P196" s="5"/>
      <c r="Q196" s="5">
        <f t="shared" si="37"/>
        <v>1</v>
      </c>
      <c r="R196" s="7">
        <f t="shared" si="38"/>
        <v>446</v>
      </c>
      <c r="S196" s="5">
        <f t="shared" si="35"/>
        <v>1</v>
      </c>
      <c r="T196" s="7">
        <f t="shared" si="36"/>
        <v>446</v>
      </c>
    </row>
    <row r="197" spans="1:20">
      <c r="A197" s="23" t="s">
        <v>227</v>
      </c>
      <c r="B197" s="35" t="s">
        <v>224</v>
      </c>
      <c r="C197" s="36">
        <v>49439</v>
      </c>
      <c r="D197" s="6"/>
      <c r="E197" s="113">
        <v>4130351710</v>
      </c>
      <c r="F197" s="116">
        <f t="shared" si="41"/>
        <v>83544.402394870442</v>
      </c>
      <c r="G197" s="117">
        <v>3066321932</v>
      </c>
      <c r="H197" s="117">
        <f t="shared" si="42"/>
        <v>62022.329173324702</v>
      </c>
      <c r="I197" s="9"/>
      <c r="J197" s="10">
        <v>5.9260000000000002</v>
      </c>
      <c r="K197" s="117">
        <v>18171024</v>
      </c>
      <c r="L197" s="120">
        <f t="shared" si="40"/>
        <v>367.54432735289953</v>
      </c>
      <c r="M197" s="122">
        <f t="shared" si="32"/>
        <v>30663219.32</v>
      </c>
      <c r="N197" s="116">
        <f t="shared" si="33"/>
        <v>12492195.32</v>
      </c>
      <c r="O197" s="123">
        <f t="shared" si="34"/>
        <v>252.67896438034751</v>
      </c>
      <c r="P197" s="5"/>
      <c r="Q197" s="5">
        <f t="shared" si="37"/>
        <v>1</v>
      </c>
      <c r="R197" s="7">
        <f t="shared" si="38"/>
        <v>49439</v>
      </c>
      <c r="S197" s="5">
        <f t="shared" si="35"/>
        <v>1</v>
      </c>
      <c r="T197" s="7">
        <f t="shared" si="36"/>
        <v>49439</v>
      </c>
    </row>
    <row r="198" spans="1:20">
      <c r="A198" s="23" t="s">
        <v>228</v>
      </c>
      <c r="B198" s="35" t="s">
        <v>224</v>
      </c>
      <c r="C198" s="36">
        <v>520</v>
      </c>
      <c r="D198" s="6"/>
      <c r="E198" s="113">
        <v>15970056</v>
      </c>
      <c r="F198" s="116">
        <f t="shared" si="41"/>
        <v>30711.646153846155</v>
      </c>
      <c r="G198" s="117">
        <v>9031775</v>
      </c>
      <c r="H198" s="117">
        <f t="shared" si="42"/>
        <v>17368.798076923078</v>
      </c>
      <c r="I198" s="9" t="s">
        <v>528</v>
      </c>
      <c r="J198" s="10"/>
      <c r="K198" s="117"/>
      <c r="L198" s="120"/>
      <c r="M198" s="122">
        <f t="shared" ref="M198:M261" si="43">(G198*0.01)</f>
        <v>90317.75</v>
      </c>
      <c r="N198" s="116">
        <f t="shared" ref="N198:N261" si="44">(M198-K198)</f>
        <v>90317.75</v>
      </c>
      <c r="O198" s="123">
        <f t="shared" ref="O198:O261" si="45">(N198/C198)</f>
        <v>173.68798076923076</v>
      </c>
      <c r="P198" s="5"/>
      <c r="Q198" s="5">
        <f t="shared" si="37"/>
        <v>1</v>
      </c>
      <c r="R198" s="7">
        <f t="shared" si="38"/>
        <v>520</v>
      </c>
      <c r="S198" s="5">
        <f t="shared" ref="S198:S264" si="46">IF(J198&gt;0,1,0)</f>
        <v>0</v>
      </c>
      <c r="T198" s="7">
        <f t="shared" ref="T198:T261" si="47">IF(J198&gt;0,C198,0)</f>
        <v>0</v>
      </c>
    </row>
    <row r="199" spans="1:20">
      <c r="A199" s="23" t="s">
        <v>229</v>
      </c>
      <c r="B199" s="35" t="s">
        <v>230</v>
      </c>
      <c r="C199" s="36">
        <v>622</v>
      </c>
      <c r="D199" s="6"/>
      <c r="E199" s="113">
        <v>2255647811</v>
      </c>
      <c r="F199" s="116">
        <f t="shared" si="41"/>
        <v>3626443.4260450159</v>
      </c>
      <c r="G199" s="117">
        <v>1740951703</v>
      </c>
      <c r="H199" s="117">
        <f t="shared" si="42"/>
        <v>2798957.7218649518</v>
      </c>
      <c r="I199" s="9"/>
      <c r="J199" s="10">
        <v>2.2494000000000001</v>
      </c>
      <c r="K199" s="117">
        <v>3916097</v>
      </c>
      <c r="L199" s="120">
        <f t="shared" ref="L199:L230" si="48">(K199/C199)</f>
        <v>6295.9758842443725</v>
      </c>
      <c r="M199" s="122">
        <f t="shared" si="43"/>
        <v>17409517.030000001</v>
      </c>
      <c r="N199" s="116">
        <f t="shared" si="44"/>
        <v>13493420.030000001</v>
      </c>
      <c r="O199" s="123">
        <f t="shared" si="45"/>
        <v>21693.601334405146</v>
      </c>
      <c r="P199" s="5"/>
      <c r="Q199" s="5">
        <f t="shared" ref="Q199:Q262" si="49">IF(E199&gt;0,1,0)</f>
        <v>1</v>
      </c>
      <c r="R199" s="7">
        <f t="shared" ref="R199:R262" si="50">IF(E199&gt;0,C199,0)</f>
        <v>622</v>
      </c>
      <c r="S199" s="5">
        <f t="shared" si="46"/>
        <v>1</v>
      </c>
      <c r="T199" s="7">
        <f t="shared" si="47"/>
        <v>622</v>
      </c>
    </row>
    <row r="200" spans="1:20">
      <c r="A200" s="24" t="s">
        <v>582</v>
      </c>
      <c r="B200" s="35" t="s">
        <v>230</v>
      </c>
      <c r="C200" s="36">
        <v>429</v>
      </c>
      <c r="D200" s="6"/>
      <c r="E200" s="113">
        <v>19400524</v>
      </c>
      <c r="F200" s="116">
        <f t="shared" si="41"/>
        <v>45222.666666666664</v>
      </c>
      <c r="G200" s="117">
        <v>19396873</v>
      </c>
      <c r="H200" s="117">
        <f t="shared" si="42"/>
        <v>45214.156177156176</v>
      </c>
      <c r="I200" s="7"/>
      <c r="J200" s="11">
        <v>5.1948999999999996</v>
      </c>
      <c r="K200" s="117">
        <v>100765</v>
      </c>
      <c r="L200" s="120">
        <f t="shared" si="48"/>
        <v>234.88344988344988</v>
      </c>
      <c r="M200" s="122">
        <f t="shared" si="43"/>
        <v>193968.73</v>
      </c>
      <c r="N200" s="116">
        <f t="shared" si="44"/>
        <v>93203.73000000001</v>
      </c>
      <c r="O200" s="123">
        <f t="shared" si="45"/>
        <v>217.25811188811193</v>
      </c>
      <c r="P200" s="5"/>
      <c r="Q200" s="5">
        <f t="shared" si="49"/>
        <v>1</v>
      </c>
      <c r="R200" s="7">
        <f t="shared" si="50"/>
        <v>429</v>
      </c>
      <c r="S200" s="5">
        <f t="shared" si="46"/>
        <v>1</v>
      </c>
      <c r="T200" s="7">
        <f t="shared" si="47"/>
        <v>429</v>
      </c>
    </row>
    <row r="201" spans="1:20">
      <c r="A201" s="23" t="s">
        <v>446</v>
      </c>
      <c r="B201" s="35" t="s">
        <v>230</v>
      </c>
      <c r="C201" s="36">
        <v>1988</v>
      </c>
      <c r="D201" s="6"/>
      <c r="E201" s="113">
        <v>2507909089</v>
      </c>
      <c r="F201" s="116">
        <f t="shared" si="41"/>
        <v>1261523.6866197183</v>
      </c>
      <c r="G201" s="117">
        <v>1703543487</v>
      </c>
      <c r="H201" s="117">
        <f t="shared" si="42"/>
        <v>856913.22283702216</v>
      </c>
      <c r="I201" s="7"/>
      <c r="J201" s="10">
        <v>1.9410000000000001</v>
      </c>
      <c r="K201" s="117">
        <v>3306578</v>
      </c>
      <c r="L201" s="120">
        <f t="shared" si="48"/>
        <v>1663.2686116700202</v>
      </c>
      <c r="M201" s="122">
        <f t="shared" si="43"/>
        <v>17035434.870000001</v>
      </c>
      <c r="N201" s="116">
        <f t="shared" si="44"/>
        <v>13728856.870000001</v>
      </c>
      <c r="O201" s="123">
        <f t="shared" si="45"/>
        <v>6905.8636167002014</v>
      </c>
      <c r="P201" s="5"/>
      <c r="Q201" s="5">
        <f t="shared" si="49"/>
        <v>1</v>
      </c>
      <c r="R201" s="7">
        <f t="shared" si="50"/>
        <v>1988</v>
      </c>
      <c r="S201" s="5">
        <f t="shared" si="46"/>
        <v>1</v>
      </c>
      <c r="T201" s="7">
        <f t="shared" si="47"/>
        <v>1988</v>
      </c>
    </row>
    <row r="202" spans="1:20">
      <c r="A202" s="24" t="s">
        <v>231</v>
      </c>
      <c r="B202" s="37" t="s">
        <v>230</v>
      </c>
      <c r="C202" s="36">
        <v>16504</v>
      </c>
      <c r="D202" s="6"/>
      <c r="E202" s="113">
        <v>2507909089</v>
      </c>
      <c r="F202" s="116">
        <f t="shared" si="41"/>
        <v>151957.65202375181</v>
      </c>
      <c r="G202" s="117">
        <v>1703543487</v>
      </c>
      <c r="H202" s="117">
        <f t="shared" si="42"/>
        <v>103220.03677896268</v>
      </c>
      <c r="I202" s="7"/>
      <c r="J202" s="10">
        <v>5.1539000000000001</v>
      </c>
      <c r="K202" s="117">
        <v>8779893</v>
      </c>
      <c r="L202" s="120">
        <f t="shared" si="48"/>
        <v>531.98576102762968</v>
      </c>
      <c r="M202" s="122">
        <f t="shared" si="43"/>
        <v>17035434.870000001</v>
      </c>
      <c r="N202" s="116">
        <f t="shared" si="44"/>
        <v>8255541.870000001</v>
      </c>
      <c r="O202" s="123">
        <f t="shared" si="45"/>
        <v>500.21460676199717</v>
      </c>
      <c r="P202" s="5"/>
      <c r="Q202" s="5">
        <f t="shared" si="49"/>
        <v>1</v>
      </c>
      <c r="R202" s="7">
        <f t="shared" si="50"/>
        <v>16504</v>
      </c>
      <c r="S202" s="5">
        <f t="shared" si="46"/>
        <v>1</v>
      </c>
      <c r="T202" s="7">
        <f t="shared" si="47"/>
        <v>16504</v>
      </c>
    </row>
    <row r="203" spans="1:20">
      <c r="A203" s="23" t="s">
        <v>232</v>
      </c>
      <c r="B203" s="37" t="s">
        <v>233</v>
      </c>
      <c r="C203" s="36">
        <v>28500</v>
      </c>
      <c r="D203" s="6"/>
      <c r="E203" s="113">
        <v>7629716328</v>
      </c>
      <c r="F203" s="116">
        <f t="shared" si="41"/>
        <v>267709.34484210529</v>
      </c>
      <c r="G203" s="117">
        <v>6668315628</v>
      </c>
      <c r="H203" s="117">
        <f t="shared" si="42"/>
        <v>233975.98694736842</v>
      </c>
      <c r="I203" s="7"/>
      <c r="J203" s="11">
        <v>2.2269999999999999</v>
      </c>
      <c r="K203" s="117">
        <v>14850339</v>
      </c>
      <c r="L203" s="120">
        <f t="shared" si="48"/>
        <v>521.06452631578952</v>
      </c>
      <c r="M203" s="122">
        <f t="shared" si="43"/>
        <v>66683156.280000001</v>
      </c>
      <c r="N203" s="116">
        <f t="shared" si="44"/>
        <v>51832817.280000001</v>
      </c>
      <c r="O203" s="123">
        <f t="shared" si="45"/>
        <v>1818.6953431578947</v>
      </c>
      <c r="P203" s="5"/>
      <c r="Q203" s="5">
        <f t="shared" si="49"/>
        <v>1</v>
      </c>
      <c r="R203" s="7">
        <f t="shared" si="50"/>
        <v>28500</v>
      </c>
      <c r="S203" s="5">
        <f t="shared" si="46"/>
        <v>1</v>
      </c>
      <c r="T203" s="7">
        <f t="shared" si="47"/>
        <v>28500</v>
      </c>
    </row>
    <row r="204" spans="1:20">
      <c r="A204" s="23" t="s">
        <v>234</v>
      </c>
      <c r="B204" s="37" t="s">
        <v>233</v>
      </c>
      <c r="C204" s="36">
        <v>3185</v>
      </c>
      <c r="D204" s="6"/>
      <c r="E204" s="113">
        <v>2098778582</v>
      </c>
      <c r="F204" s="116">
        <f t="shared" si="41"/>
        <v>658957.16860282572</v>
      </c>
      <c r="G204" s="117">
        <v>1857936548</v>
      </c>
      <c r="H204" s="117">
        <f t="shared" si="42"/>
        <v>583339.57551020407</v>
      </c>
      <c r="I204" s="7"/>
      <c r="J204" s="10">
        <v>2.9020000000000001</v>
      </c>
      <c r="K204" s="117">
        <v>5391732</v>
      </c>
      <c r="L204" s="120">
        <f t="shared" si="48"/>
        <v>1692.8514913657771</v>
      </c>
      <c r="M204" s="122">
        <f t="shared" si="43"/>
        <v>18579365.48</v>
      </c>
      <c r="N204" s="116">
        <f t="shared" si="44"/>
        <v>13187633.48</v>
      </c>
      <c r="O204" s="123">
        <f t="shared" si="45"/>
        <v>4140.5442637362639</v>
      </c>
      <c r="P204" s="5"/>
      <c r="Q204" s="5">
        <f t="shared" si="49"/>
        <v>1</v>
      </c>
      <c r="R204" s="7">
        <f t="shared" si="50"/>
        <v>3185</v>
      </c>
      <c r="S204" s="5">
        <f t="shared" si="46"/>
        <v>1</v>
      </c>
      <c r="T204" s="7">
        <f t="shared" si="47"/>
        <v>3185</v>
      </c>
    </row>
    <row r="205" spans="1:20">
      <c r="A205" s="23" t="s">
        <v>235</v>
      </c>
      <c r="B205" s="37" t="s">
        <v>233</v>
      </c>
      <c r="C205" s="36">
        <v>5212</v>
      </c>
      <c r="D205" s="6"/>
      <c r="E205" s="113">
        <v>844797217</v>
      </c>
      <c r="F205" s="116">
        <f t="shared" si="41"/>
        <v>162086.95644666156</v>
      </c>
      <c r="G205" s="117">
        <v>614872271</v>
      </c>
      <c r="H205" s="117">
        <f t="shared" si="42"/>
        <v>117972.42344589409</v>
      </c>
      <c r="I205" s="7"/>
      <c r="J205" s="10">
        <v>4.9000000000000004</v>
      </c>
      <c r="K205" s="117">
        <v>3012874</v>
      </c>
      <c r="L205" s="120">
        <f t="shared" si="48"/>
        <v>578.06485034535683</v>
      </c>
      <c r="M205" s="122">
        <f t="shared" si="43"/>
        <v>6148722.71</v>
      </c>
      <c r="N205" s="116">
        <f t="shared" si="44"/>
        <v>3135848.71</v>
      </c>
      <c r="O205" s="123">
        <f t="shared" si="45"/>
        <v>601.659384113584</v>
      </c>
      <c r="P205" s="5"/>
      <c r="Q205" s="5">
        <f t="shared" si="49"/>
        <v>1</v>
      </c>
      <c r="R205" s="7">
        <f t="shared" si="50"/>
        <v>5212</v>
      </c>
      <c r="S205" s="5">
        <f t="shared" si="46"/>
        <v>1</v>
      </c>
      <c r="T205" s="7">
        <f t="shared" si="47"/>
        <v>5212</v>
      </c>
    </row>
    <row r="206" spans="1:20">
      <c r="A206" s="23" t="s">
        <v>236</v>
      </c>
      <c r="B206" s="37" t="s">
        <v>233</v>
      </c>
      <c r="C206" s="36">
        <v>3328</v>
      </c>
      <c r="D206" s="6"/>
      <c r="E206" s="113">
        <v>275591971</v>
      </c>
      <c r="F206" s="116">
        <f t="shared" si="41"/>
        <v>82810.087439903844</v>
      </c>
      <c r="G206" s="117">
        <v>156807110</v>
      </c>
      <c r="H206" s="117">
        <f t="shared" si="42"/>
        <v>47117.521033653844</v>
      </c>
      <c r="I206" s="7"/>
      <c r="J206" s="10">
        <v>8.1999999999999993</v>
      </c>
      <c r="K206" s="117">
        <v>1285818</v>
      </c>
      <c r="L206" s="120">
        <f t="shared" si="48"/>
        <v>386.36358173076923</v>
      </c>
      <c r="M206" s="122">
        <f t="shared" si="43"/>
        <v>1568071.1</v>
      </c>
      <c r="N206" s="116">
        <f t="shared" si="44"/>
        <v>282253.10000000009</v>
      </c>
      <c r="O206" s="123">
        <f t="shared" si="45"/>
        <v>84.811628605769258</v>
      </c>
      <c r="P206" s="5"/>
      <c r="Q206" s="5">
        <f t="shared" si="49"/>
        <v>1</v>
      </c>
      <c r="R206" s="7">
        <f t="shared" si="50"/>
        <v>3328</v>
      </c>
      <c r="S206" s="5">
        <f t="shared" si="46"/>
        <v>1</v>
      </c>
      <c r="T206" s="7">
        <f t="shared" si="47"/>
        <v>3328</v>
      </c>
    </row>
    <row r="207" spans="1:20">
      <c r="A207" s="23" t="s">
        <v>237</v>
      </c>
      <c r="B207" s="37" t="s">
        <v>233</v>
      </c>
      <c r="C207" s="36">
        <v>44561</v>
      </c>
      <c r="D207" s="6"/>
      <c r="E207" s="113">
        <v>14668993739</v>
      </c>
      <c r="F207" s="116">
        <f t="shared" si="41"/>
        <v>329189.06081551133</v>
      </c>
      <c r="G207" s="117">
        <v>10595275182</v>
      </c>
      <c r="H207" s="117">
        <f t="shared" si="42"/>
        <v>237770.13940441192</v>
      </c>
      <c r="I207" s="7"/>
      <c r="J207" s="10">
        <v>6.15</v>
      </c>
      <c r="K207" s="117">
        <v>65160942</v>
      </c>
      <c r="L207" s="120">
        <f t="shared" si="48"/>
        <v>1462.2863490496175</v>
      </c>
      <c r="M207" s="122">
        <f t="shared" si="43"/>
        <v>105952751.82000001</v>
      </c>
      <c r="N207" s="116">
        <f t="shared" si="44"/>
        <v>40791809.820000008</v>
      </c>
      <c r="O207" s="123">
        <f t="shared" si="45"/>
        <v>915.41504499450207</v>
      </c>
      <c r="P207" s="5"/>
      <c r="Q207" s="5">
        <f t="shared" si="49"/>
        <v>1</v>
      </c>
      <c r="R207" s="7">
        <f t="shared" si="50"/>
        <v>44561</v>
      </c>
      <c r="S207" s="5">
        <f>IF(J207&gt;0,1,0)</f>
        <v>1</v>
      </c>
      <c r="T207" s="7">
        <f t="shared" si="47"/>
        <v>44561</v>
      </c>
    </row>
    <row r="208" spans="1:20">
      <c r="A208" s="23" t="s">
        <v>501</v>
      </c>
      <c r="B208" s="37" t="s">
        <v>233</v>
      </c>
      <c r="C208" s="36">
        <v>30331</v>
      </c>
      <c r="D208" s="6"/>
      <c r="E208" s="113">
        <v>8459565010</v>
      </c>
      <c r="F208" s="116">
        <f t="shared" si="41"/>
        <v>278908.21304935543</v>
      </c>
      <c r="G208" s="117">
        <v>7468795614</v>
      </c>
      <c r="H208" s="117">
        <f t="shared" si="42"/>
        <v>246242.97299792292</v>
      </c>
      <c r="I208" s="7"/>
      <c r="J208" s="10">
        <v>2.4470000000000001</v>
      </c>
      <c r="K208" s="117">
        <v>18276143</v>
      </c>
      <c r="L208" s="120">
        <f t="shared" si="48"/>
        <v>602.55655929577006</v>
      </c>
      <c r="M208" s="122">
        <f t="shared" si="43"/>
        <v>74687956.140000001</v>
      </c>
      <c r="N208" s="116">
        <f t="shared" si="44"/>
        <v>56411813.140000001</v>
      </c>
      <c r="O208" s="123">
        <f t="shared" si="45"/>
        <v>1859.8731706834592</v>
      </c>
      <c r="P208" s="5"/>
      <c r="Q208" s="5">
        <f t="shared" si="49"/>
        <v>1</v>
      </c>
      <c r="R208" s="7">
        <f t="shared" si="50"/>
        <v>30331</v>
      </c>
      <c r="S208" s="5">
        <f t="shared" si="46"/>
        <v>1</v>
      </c>
      <c r="T208" s="7">
        <f t="shared" si="47"/>
        <v>30331</v>
      </c>
    </row>
    <row r="209" spans="1:20">
      <c r="A209" s="23" t="s">
        <v>238</v>
      </c>
      <c r="B209" s="37" t="s">
        <v>233</v>
      </c>
      <c r="C209" s="36">
        <v>2539</v>
      </c>
      <c r="D209" s="6"/>
      <c r="E209" s="113">
        <v>208527481</v>
      </c>
      <c r="F209" s="116">
        <f t="shared" si="41"/>
        <v>82129.768018905088</v>
      </c>
      <c r="G209" s="117">
        <v>96695521</v>
      </c>
      <c r="H209" s="117">
        <f t="shared" si="42"/>
        <v>38084.096494682948</v>
      </c>
      <c r="I209" s="7"/>
      <c r="J209" s="10">
        <v>8.6999999999999993</v>
      </c>
      <c r="K209" s="117">
        <v>841251</v>
      </c>
      <c r="L209" s="120">
        <f t="shared" si="48"/>
        <v>331.33162662465537</v>
      </c>
      <c r="M209" s="122">
        <f t="shared" si="43"/>
        <v>966955.21</v>
      </c>
      <c r="N209" s="116">
        <f t="shared" si="44"/>
        <v>125704.20999999996</v>
      </c>
      <c r="O209" s="123">
        <f t="shared" si="45"/>
        <v>49.509338322174067</v>
      </c>
      <c r="P209" s="5"/>
      <c r="Q209" s="5">
        <f t="shared" si="49"/>
        <v>1</v>
      </c>
      <c r="R209" s="7">
        <f t="shared" si="50"/>
        <v>2539</v>
      </c>
      <c r="S209" s="5">
        <f t="shared" si="46"/>
        <v>1</v>
      </c>
      <c r="T209" s="7">
        <f t="shared" si="47"/>
        <v>2539</v>
      </c>
    </row>
    <row r="210" spans="1:20">
      <c r="A210" s="23" t="s">
        <v>239</v>
      </c>
      <c r="B210" s="37" t="s">
        <v>233</v>
      </c>
      <c r="C210" s="36">
        <v>8787</v>
      </c>
      <c r="D210" s="6"/>
      <c r="E210" s="113">
        <v>543609817</v>
      </c>
      <c r="F210" s="116">
        <f t="shared" si="41"/>
        <v>61865.234664845797</v>
      </c>
      <c r="G210" s="117">
        <v>396504950</v>
      </c>
      <c r="H210" s="117">
        <f t="shared" si="42"/>
        <v>45124.041197223174</v>
      </c>
      <c r="I210" s="7"/>
      <c r="J210" s="10">
        <v>8.9</v>
      </c>
      <c r="K210" s="117">
        <v>3528894</v>
      </c>
      <c r="L210" s="120">
        <f t="shared" si="48"/>
        <v>401.60396039603961</v>
      </c>
      <c r="M210" s="122">
        <f t="shared" si="43"/>
        <v>3965049.5</v>
      </c>
      <c r="N210" s="116">
        <f t="shared" si="44"/>
        <v>436155.5</v>
      </c>
      <c r="O210" s="123">
        <f t="shared" si="45"/>
        <v>49.636451576192101</v>
      </c>
      <c r="P210" s="5"/>
      <c r="Q210" s="5">
        <f t="shared" si="49"/>
        <v>1</v>
      </c>
      <c r="R210" s="7">
        <f t="shared" si="50"/>
        <v>8787</v>
      </c>
      <c r="S210" s="5">
        <f t="shared" si="46"/>
        <v>1</v>
      </c>
      <c r="T210" s="7">
        <f t="shared" si="47"/>
        <v>8787</v>
      </c>
    </row>
    <row r="211" spans="1:20">
      <c r="A211" s="23" t="s">
        <v>240</v>
      </c>
      <c r="B211" s="37" t="s">
        <v>233</v>
      </c>
      <c r="C211" s="36">
        <v>963</v>
      </c>
      <c r="D211" s="6"/>
      <c r="E211" s="113">
        <v>747851685</v>
      </c>
      <c r="F211" s="116">
        <f t="shared" si="41"/>
        <v>776585.3426791277</v>
      </c>
      <c r="G211" s="117">
        <v>536534831</v>
      </c>
      <c r="H211" s="117">
        <f t="shared" si="42"/>
        <v>557149.35721703013</v>
      </c>
      <c r="I211" s="7"/>
      <c r="J211" s="10">
        <v>8.59</v>
      </c>
      <c r="K211" s="117">
        <v>4608834</v>
      </c>
      <c r="L211" s="120">
        <f t="shared" si="48"/>
        <v>4785.9127725856697</v>
      </c>
      <c r="M211" s="122">
        <f t="shared" si="43"/>
        <v>5365348.3100000005</v>
      </c>
      <c r="N211" s="116">
        <f t="shared" si="44"/>
        <v>756514.31000000052</v>
      </c>
      <c r="O211" s="123">
        <f t="shared" si="45"/>
        <v>785.5807995846319</v>
      </c>
      <c r="P211" s="5"/>
      <c r="Q211" s="5">
        <f t="shared" si="49"/>
        <v>1</v>
      </c>
      <c r="R211" s="7">
        <f t="shared" si="50"/>
        <v>963</v>
      </c>
      <c r="S211" s="5">
        <f t="shared" si="46"/>
        <v>1</v>
      </c>
      <c r="T211" s="7">
        <f t="shared" si="47"/>
        <v>963</v>
      </c>
    </row>
    <row r="212" spans="1:20">
      <c r="A212" s="23" t="s">
        <v>241</v>
      </c>
      <c r="B212" s="37" t="s">
        <v>233</v>
      </c>
      <c r="C212" s="36">
        <v>230407</v>
      </c>
      <c r="D212" s="6"/>
      <c r="E212" s="113">
        <v>12615906231</v>
      </c>
      <c r="F212" s="116">
        <f t="shared" si="41"/>
        <v>54754.873901400562</v>
      </c>
      <c r="G212" s="117">
        <v>8513742818</v>
      </c>
      <c r="H212" s="117">
        <f t="shared" si="42"/>
        <v>36950.886118911316</v>
      </c>
      <c r="I212" s="7"/>
      <c r="J212" s="10">
        <v>6.8</v>
      </c>
      <c r="K212" s="117">
        <v>57893451</v>
      </c>
      <c r="L212" s="120">
        <f t="shared" si="48"/>
        <v>251.26602490375726</v>
      </c>
      <c r="M212" s="122">
        <f t="shared" si="43"/>
        <v>85137428.180000007</v>
      </c>
      <c r="N212" s="116">
        <f t="shared" si="44"/>
        <v>27243977.180000007</v>
      </c>
      <c r="O212" s="123">
        <f t="shared" si="45"/>
        <v>118.24283628535595</v>
      </c>
      <c r="P212" s="5"/>
      <c r="Q212" s="5">
        <f t="shared" si="49"/>
        <v>1</v>
      </c>
      <c r="R212" s="7">
        <f t="shared" si="50"/>
        <v>230407</v>
      </c>
      <c r="S212" s="5">
        <f t="shared" si="46"/>
        <v>1</v>
      </c>
      <c r="T212" s="7">
        <f t="shared" si="47"/>
        <v>230407</v>
      </c>
    </row>
    <row r="213" spans="1:20">
      <c r="A213" s="23" t="s">
        <v>242</v>
      </c>
      <c r="B213" s="37" t="s">
        <v>233</v>
      </c>
      <c r="C213" s="36">
        <v>20523</v>
      </c>
      <c r="D213" s="6"/>
      <c r="E213" s="113">
        <v>1332255232</v>
      </c>
      <c r="F213" s="116">
        <f t="shared" si="41"/>
        <v>64915.228377917461</v>
      </c>
      <c r="G213" s="117">
        <v>942573637</v>
      </c>
      <c r="H213" s="117">
        <f t="shared" si="42"/>
        <v>45927.673195926523</v>
      </c>
      <c r="I213" s="7"/>
      <c r="J213" s="10">
        <v>6.12</v>
      </c>
      <c r="K213" s="117">
        <v>5768551</v>
      </c>
      <c r="L213" s="120">
        <f t="shared" si="48"/>
        <v>281.07737660186132</v>
      </c>
      <c r="M213" s="122">
        <f t="shared" si="43"/>
        <v>9425736.370000001</v>
      </c>
      <c r="N213" s="116">
        <f t="shared" si="44"/>
        <v>3657185.370000001</v>
      </c>
      <c r="O213" s="123">
        <f t="shared" si="45"/>
        <v>178.19935535740393</v>
      </c>
      <c r="P213" s="5"/>
      <c r="Q213" s="5">
        <f t="shared" si="49"/>
        <v>1</v>
      </c>
      <c r="R213" s="7">
        <f t="shared" si="50"/>
        <v>20523</v>
      </c>
      <c r="S213" s="5">
        <f t="shared" si="46"/>
        <v>1</v>
      </c>
      <c r="T213" s="7">
        <f t="shared" si="47"/>
        <v>20523</v>
      </c>
    </row>
    <row r="214" spans="1:20">
      <c r="A214" s="23" t="s">
        <v>243</v>
      </c>
      <c r="B214" s="37" t="s">
        <v>233</v>
      </c>
      <c r="C214" s="36">
        <v>38396</v>
      </c>
      <c r="D214" s="6"/>
      <c r="E214" s="113">
        <v>2659565284</v>
      </c>
      <c r="F214" s="116">
        <f t="shared" si="41"/>
        <v>69266.727888321693</v>
      </c>
      <c r="G214" s="117">
        <v>1929929649</v>
      </c>
      <c r="H214" s="117">
        <f t="shared" si="42"/>
        <v>50263.820424002501</v>
      </c>
      <c r="I214" s="7"/>
      <c r="J214" s="10">
        <v>6.75</v>
      </c>
      <c r="K214" s="117">
        <v>13027025</v>
      </c>
      <c r="L214" s="120">
        <f t="shared" si="48"/>
        <v>339.28078445671423</v>
      </c>
      <c r="M214" s="122">
        <f t="shared" si="43"/>
        <v>19299296.490000002</v>
      </c>
      <c r="N214" s="116">
        <f t="shared" si="44"/>
        <v>6272271.4900000021</v>
      </c>
      <c r="O214" s="123">
        <f t="shared" si="45"/>
        <v>163.3574197833108</v>
      </c>
      <c r="P214" s="5"/>
      <c r="Q214" s="5">
        <f t="shared" si="49"/>
        <v>1</v>
      </c>
      <c r="R214" s="7">
        <f t="shared" si="50"/>
        <v>38396</v>
      </c>
      <c r="S214" s="5">
        <f t="shared" si="46"/>
        <v>1</v>
      </c>
      <c r="T214" s="7">
        <f t="shared" si="47"/>
        <v>38396</v>
      </c>
    </row>
    <row r="215" spans="1:20">
      <c r="A215" s="23" t="s">
        <v>244</v>
      </c>
      <c r="B215" s="37" t="s">
        <v>233</v>
      </c>
      <c r="C215" s="36">
        <v>56</v>
      </c>
      <c r="D215" s="6"/>
      <c r="E215" s="113">
        <v>316378981</v>
      </c>
      <c r="F215" s="116">
        <f t="shared" si="41"/>
        <v>5649624.6607142854</v>
      </c>
      <c r="G215" s="117">
        <v>281102370</v>
      </c>
      <c r="H215" s="117">
        <f t="shared" si="42"/>
        <v>5019685.1785714282</v>
      </c>
      <c r="I215" s="7"/>
      <c r="J215" s="10">
        <v>9.75</v>
      </c>
      <c r="K215" s="117">
        <v>2740748</v>
      </c>
      <c r="L215" s="120">
        <f t="shared" si="48"/>
        <v>48941.928571428572</v>
      </c>
      <c r="M215" s="122">
        <f t="shared" si="43"/>
        <v>2811023.7</v>
      </c>
      <c r="N215" s="116">
        <f t="shared" si="44"/>
        <v>70275.700000000186</v>
      </c>
      <c r="O215" s="123">
        <f t="shared" si="45"/>
        <v>1254.9232142857177</v>
      </c>
      <c r="P215" s="5"/>
      <c r="Q215" s="5">
        <f t="shared" si="49"/>
        <v>1</v>
      </c>
      <c r="R215" s="7">
        <f t="shared" si="50"/>
        <v>56</v>
      </c>
      <c r="S215" s="5">
        <f t="shared" si="46"/>
        <v>1</v>
      </c>
      <c r="T215" s="7">
        <f t="shared" si="47"/>
        <v>56</v>
      </c>
    </row>
    <row r="216" spans="1:20">
      <c r="A216" s="23" t="s">
        <v>245</v>
      </c>
      <c r="B216" s="37" t="s">
        <v>233</v>
      </c>
      <c r="C216" s="36">
        <v>6</v>
      </c>
      <c r="D216" s="6"/>
      <c r="E216" s="113">
        <v>9508654</v>
      </c>
      <c r="F216" s="116">
        <f t="shared" si="41"/>
        <v>1584775.6666666667</v>
      </c>
      <c r="G216" s="117">
        <v>279504</v>
      </c>
      <c r="H216" s="117">
        <f t="shared" si="42"/>
        <v>46584</v>
      </c>
      <c r="I216" s="7"/>
      <c r="J216" s="10">
        <v>9.1233000000000004</v>
      </c>
      <c r="K216" s="117">
        <v>2550</v>
      </c>
      <c r="L216" s="120">
        <f t="shared" si="48"/>
        <v>425</v>
      </c>
      <c r="M216" s="122">
        <f t="shared" si="43"/>
        <v>2795.04</v>
      </c>
      <c r="N216" s="116">
        <f t="shared" si="44"/>
        <v>245.03999999999996</v>
      </c>
      <c r="O216" s="123">
        <f t="shared" si="45"/>
        <v>40.839999999999996</v>
      </c>
      <c r="P216" s="5"/>
      <c r="Q216" s="5">
        <f t="shared" si="49"/>
        <v>1</v>
      </c>
      <c r="R216" s="7">
        <f t="shared" si="50"/>
        <v>6</v>
      </c>
      <c r="S216" s="5">
        <f t="shared" si="46"/>
        <v>1</v>
      </c>
      <c r="T216" s="7">
        <f t="shared" si="47"/>
        <v>6</v>
      </c>
    </row>
    <row r="217" spans="1:20">
      <c r="A217" s="23" t="s">
        <v>246</v>
      </c>
      <c r="B217" s="37" t="s">
        <v>233</v>
      </c>
      <c r="C217" s="36">
        <v>11425</v>
      </c>
      <c r="D217" s="6"/>
      <c r="E217" s="113">
        <v>4940934990</v>
      </c>
      <c r="F217" s="116">
        <f t="shared" si="41"/>
        <v>432466.95754923415</v>
      </c>
      <c r="G217" s="117">
        <v>4285419473</v>
      </c>
      <c r="H217" s="117">
        <f t="shared" si="42"/>
        <v>375091.41995623632</v>
      </c>
      <c r="I217" s="7"/>
      <c r="J217" s="10">
        <v>3.6059999999999999</v>
      </c>
      <c r="K217" s="117">
        <v>15453223</v>
      </c>
      <c r="L217" s="120">
        <f t="shared" si="48"/>
        <v>1352.579693654267</v>
      </c>
      <c r="M217" s="122">
        <f t="shared" si="43"/>
        <v>42854194.730000004</v>
      </c>
      <c r="N217" s="116">
        <f t="shared" si="44"/>
        <v>27400971.730000004</v>
      </c>
      <c r="O217" s="123">
        <f t="shared" si="45"/>
        <v>2398.3345059080966</v>
      </c>
      <c r="P217" s="5"/>
      <c r="Q217" s="5">
        <f t="shared" si="49"/>
        <v>1</v>
      </c>
      <c r="R217" s="7">
        <f t="shared" si="50"/>
        <v>11425</v>
      </c>
      <c r="S217" s="5">
        <f t="shared" si="46"/>
        <v>1</v>
      </c>
      <c r="T217" s="7">
        <f t="shared" si="47"/>
        <v>11425</v>
      </c>
    </row>
    <row r="218" spans="1:20">
      <c r="A218" s="23" t="s">
        <v>247</v>
      </c>
      <c r="B218" s="37" t="s">
        <v>233</v>
      </c>
      <c r="C218" s="36">
        <v>1132</v>
      </c>
      <c r="D218" s="6"/>
      <c r="E218" s="113">
        <v>1471579209</v>
      </c>
      <c r="F218" s="116">
        <f t="shared" si="41"/>
        <v>1299981.6333922262</v>
      </c>
      <c r="G218" s="117">
        <v>1433917185</v>
      </c>
      <c r="H218" s="117">
        <f t="shared" si="42"/>
        <v>1266711.2941696113</v>
      </c>
      <c r="I218" s="7"/>
      <c r="J218" s="10">
        <v>7.15</v>
      </c>
      <c r="K218" s="117">
        <v>10252508</v>
      </c>
      <c r="L218" s="120">
        <f t="shared" si="48"/>
        <v>9056.9858657243822</v>
      </c>
      <c r="M218" s="122">
        <f t="shared" si="43"/>
        <v>14339171.85</v>
      </c>
      <c r="N218" s="116">
        <f t="shared" si="44"/>
        <v>4086663.8499999996</v>
      </c>
      <c r="O218" s="123">
        <f t="shared" si="45"/>
        <v>3610.1270759717313</v>
      </c>
      <c r="P218" s="5"/>
      <c r="Q218" s="5">
        <f t="shared" si="49"/>
        <v>1</v>
      </c>
      <c r="R218" s="7">
        <f t="shared" si="50"/>
        <v>1132</v>
      </c>
      <c r="S218" s="5">
        <f t="shared" si="46"/>
        <v>1</v>
      </c>
      <c r="T218" s="7">
        <f t="shared" si="47"/>
        <v>1132</v>
      </c>
    </row>
    <row r="219" spans="1:20">
      <c r="A219" s="23" t="s">
        <v>248</v>
      </c>
      <c r="B219" s="37" t="s">
        <v>233</v>
      </c>
      <c r="C219" s="36">
        <v>386882</v>
      </c>
      <c r="D219" s="6"/>
      <c r="E219" s="113">
        <v>39824959281</v>
      </c>
      <c r="F219" s="116">
        <f t="shared" si="41"/>
        <v>102938.25838627799</v>
      </c>
      <c r="G219" s="117">
        <v>27716120663</v>
      </c>
      <c r="H219" s="117">
        <f t="shared" si="42"/>
        <v>71639.726487662905</v>
      </c>
      <c r="I219" s="7"/>
      <c r="J219" s="10">
        <v>8.4994999999999994</v>
      </c>
      <c r="K219" s="117">
        <v>235573168</v>
      </c>
      <c r="L219" s="120">
        <f t="shared" si="48"/>
        <v>608.9018563799815</v>
      </c>
      <c r="M219" s="122">
        <f t="shared" si="43"/>
        <v>277161206.63</v>
      </c>
      <c r="N219" s="116">
        <f t="shared" si="44"/>
        <v>41588038.629999995</v>
      </c>
      <c r="O219" s="123">
        <f t="shared" si="45"/>
        <v>107.49540849664754</v>
      </c>
      <c r="P219" s="5"/>
      <c r="Q219" s="5">
        <f t="shared" si="49"/>
        <v>1</v>
      </c>
      <c r="R219" s="7">
        <f t="shared" si="50"/>
        <v>386882</v>
      </c>
      <c r="S219" s="5">
        <f t="shared" si="46"/>
        <v>1</v>
      </c>
      <c r="T219" s="7">
        <f t="shared" si="47"/>
        <v>386882</v>
      </c>
    </row>
    <row r="220" spans="1:20">
      <c r="A220" s="23" t="s">
        <v>249</v>
      </c>
      <c r="B220" s="37" t="s">
        <v>233</v>
      </c>
      <c r="C220" s="36">
        <v>93535</v>
      </c>
      <c r="D220" s="6"/>
      <c r="E220" s="113">
        <v>21995656192</v>
      </c>
      <c r="F220" s="116">
        <f t="shared" si="41"/>
        <v>235159.63213770246</v>
      </c>
      <c r="G220" s="117">
        <v>17472608209</v>
      </c>
      <c r="H220" s="117">
        <f t="shared" si="42"/>
        <v>186802.88885443952</v>
      </c>
      <c r="I220" s="7"/>
      <c r="J220" s="10">
        <v>7.4809999999999999</v>
      </c>
      <c r="K220" s="117">
        <v>130712582</v>
      </c>
      <c r="L220" s="120">
        <f t="shared" si="48"/>
        <v>1397.4724113968034</v>
      </c>
      <c r="M220" s="122">
        <f t="shared" si="43"/>
        <v>174726082.09</v>
      </c>
      <c r="N220" s="116">
        <f t="shared" si="44"/>
        <v>44013500.090000004</v>
      </c>
      <c r="O220" s="123">
        <f t="shared" si="45"/>
        <v>470.55647714759186</v>
      </c>
      <c r="P220" s="5"/>
      <c r="Q220" s="5">
        <f t="shared" si="49"/>
        <v>1</v>
      </c>
      <c r="R220" s="7">
        <f t="shared" si="50"/>
        <v>93535</v>
      </c>
      <c r="S220" s="5">
        <f>IF(J220&gt;0,1,0)</f>
        <v>1</v>
      </c>
      <c r="T220" s="7">
        <f t="shared" si="47"/>
        <v>93535</v>
      </c>
    </row>
    <row r="221" spans="1:20">
      <c r="A221" s="23" t="s">
        <v>500</v>
      </c>
      <c r="B221" s="37" t="s">
        <v>233</v>
      </c>
      <c r="C221" s="36">
        <v>105457</v>
      </c>
      <c r="D221" s="6"/>
      <c r="E221" s="113">
        <v>5286618074</v>
      </c>
      <c r="F221" s="116">
        <f t="shared" si="41"/>
        <v>50130.556283603742</v>
      </c>
      <c r="G221" s="117">
        <v>3320694000</v>
      </c>
      <c r="H221" s="117">
        <f t="shared" si="42"/>
        <v>31488.606730705407</v>
      </c>
      <c r="I221" s="7"/>
      <c r="J221" s="10">
        <v>3.6383999999999999</v>
      </c>
      <c r="K221" s="117">
        <v>12082013</v>
      </c>
      <c r="L221" s="120">
        <f t="shared" si="48"/>
        <v>114.56814625866467</v>
      </c>
      <c r="M221" s="122">
        <f t="shared" si="43"/>
        <v>33206940</v>
      </c>
      <c r="N221" s="116">
        <f t="shared" si="44"/>
        <v>21124927</v>
      </c>
      <c r="O221" s="123">
        <f t="shared" si="45"/>
        <v>200.31792104838939</v>
      </c>
      <c r="P221" s="5"/>
      <c r="Q221" s="5">
        <f t="shared" si="49"/>
        <v>1</v>
      </c>
      <c r="R221" s="7">
        <f t="shared" si="50"/>
        <v>105457</v>
      </c>
      <c r="S221" s="5">
        <f t="shared" si="46"/>
        <v>1</v>
      </c>
      <c r="T221" s="7">
        <f t="shared" si="47"/>
        <v>105457</v>
      </c>
    </row>
    <row r="222" spans="1:20">
      <c r="A222" s="23" t="s">
        <v>459</v>
      </c>
      <c r="B222" s="37" t="s">
        <v>233</v>
      </c>
      <c r="C222" s="36">
        <v>24741</v>
      </c>
      <c r="D222" s="6"/>
      <c r="E222" s="113">
        <v>3722846474</v>
      </c>
      <c r="F222" s="116">
        <f t="shared" si="41"/>
        <v>150472.75671961522</v>
      </c>
      <c r="G222" s="117">
        <v>2617488199</v>
      </c>
      <c r="H222" s="117">
        <f t="shared" si="42"/>
        <v>105795.57006588254</v>
      </c>
      <c r="I222" s="7"/>
      <c r="J222" s="10">
        <v>2.8250000000000002</v>
      </c>
      <c r="K222" s="117">
        <v>7394404</v>
      </c>
      <c r="L222" s="120">
        <f t="shared" si="48"/>
        <v>298.8724788812093</v>
      </c>
      <c r="M222" s="122">
        <f t="shared" si="43"/>
        <v>26174881.990000002</v>
      </c>
      <c r="N222" s="116">
        <f t="shared" si="44"/>
        <v>18780477.990000002</v>
      </c>
      <c r="O222" s="123">
        <f t="shared" si="45"/>
        <v>759.08322177761613</v>
      </c>
      <c r="P222" s="5"/>
      <c r="Q222" s="5">
        <f t="shared" si="49"/>
        <v>1</v>
      </c>
      <c r="R222" s="7">
        <f t="shared" si="50"/>
        <v>24741</v>
      </c>
      <c r="S222" s="5">
        <f t="shared" si="46"/>
        <v>1</v>
      </c>
      <c r="T222" s="7">
        <f t="shared" si="47"/>
        <v>24741</v>
      </c>
    </row>
    <row r="223" spans="1:20">
      <c r="A223" s="23" t="s">
        <v>250</v>
      </c>
      <c r="B223" s="37" t="s">
        <v>233</v>
      </c>
      <c r="C223" s="36">
        <v>10486</v>
      </c>
      <c r="D223" s="6"/>
      <c r="E223" s="113">
        <v>1446004199</v>
      </c>
      <c r="F223" s="116">
        <f t="shared" ref="F223:F286" si="51">(E223/C223)</f>
        <v>137898.55035285142</v>
      </c>
      <c r="G223" s="117">
        <v>708684766</v>
      </c>
      <c r="H223" s="117">
        <f t="shared" ref="H223:H286" si="52">(G223/C223)</f>
        <v>67583.899103566655</v>
      </c>
      <c r="I223" s="7"/>
      <c r="J223" s="10">
        <v>8.25</v>
      </c>
      <c r="K223" s="117">
        <v>5846649</v>
      </c>
      <c r="L223" s="120">
        <f t="shared" si="48"/>
        <v>557.56713713522788</v>
      </c>
      <c r="M223" s="122">
        <f t="shared" si="43"/>
        <v>7086847.6600000001</v>
      </c>
      <c r="N223" s="116">
        <f t="shared" si="44"/>
        <v>1240198.6600000001</v>
      </c>
      <c r="O223" s="123">
        <f t="shared" si="45"/>
        <v>118.2718539004387</v>
      </c>
      <c r="P223" s="5"/>
      <c r="Q223" s="5">
        <f t="shared" si="49"/>
        <v>1</v>
      </c>
      <c r="R223" s="7">
        <f t="shared" si="50"/>
        <v>10486</v>
      </c>
      <c r="S223" s="5">
        <f t="shared" si="46"/>
        <v>1</v>
      </c>
      <c r="T223" s="7">
        <f t="shared" si="47"/>
        <v>10486</v>
      </c>
    </row>
    <row r="224" spans="1:20">
      <c r="A224" s="23" t="s">
        <v>251</v>
      </c>
      <c r="B224" s="37" t="s">
        <v>233</v>
      </c>
      <c r="C224" s="36">
        <v>13824</v>
      </c>
      <c r="D224" s="6"/>
      <c r="E224" s="113">
        <v>1435971733</v>
      </c>
      <c r="F224" s="116">
        <f t="shared" si="51"/>
        <v>103875.27003761574</v>
      </c>
      <c r="G224" s="117">
        <v>913784175</v>
      </c>
      <c r="H224" s="117">
        <f t="shared" si="52"/>
        <v>66101.285807291672</v>
      </c>
      <c r="I224" s="7"/>
      <c r="J224" s="10">
        <v>7.9</v>
      </c>
      <c r="K224" s="117">
        <v>7218895</v>
      </c>
      <c r="L224" s="120">
        <f t="shared" si="48"/>
        <v>522.20015914351848</v>
      </c>
      <c r="M224" s="122">
        <f t="shared" si="43"/>
        <v>9137841.75</v>
      </c>
      <c r="N224" s="116">
        <f t="shared" si="44"/>
        <v>1918946.75</v>
      </c>
      <c r="O224" s="123">
        <f t="shared" si="45"/>
        <v>138.81269892939815</v>
      </c>
      <c r="P224" s="5"/>
      <c r="Q224" s="5">
        <f t="shared" si="49"/>
        <v>1</v>
      </c>
      <c r="R224" s="7">
        <f t="shared" si="50"/>
        <v>13824</v>
      </c>
      <c r="S224" s="5">
        <f t="shared" si="46"/>
        <v>1</v>
      </c>
      <c r="T224" s="7">
        <f t="shared" si="47"/>
        <v>13824</v>
      </c>
    </row>
    <row r="225" spans="1:20">
      <c r="A225" s="23" t="s">
        <v>252</v>
      </c>
      <c r="B225" s="37" t="s">
        <v>233</v>
      </c>
      <c r="C225" s="36">
        <v>6498</v>
      </c>
      <c r="D225" s="6"/>
      <c r="E225" s="113">
        <v>725463254</v>
      </c>
      <c r="F225" s="116">
        <f t="shared" si="51"/>
        <v>111644.08341028009</v>
      </c>
      <c r="G225" s="117">
        <v>587705244</v>
      </c>
      <c r="H225" s="117">
        <f t="shared" si="52"/>
        <v>90444.020313942747</v>
      </c>
      <c r="I225" s="7"/>
      <c r="J225" s="10">
        <v>5.9782999999999999</v>
      </c>
      <c r="K225" s="117">
        <v>3513478</v>
      </c>
      <c r="L225" s="120">
        <f t="shared" si="48"/>
        <v>540.70144659895357</v>
      </c>
      <c r="M225" s="122">
        <f t="shared" si="43"/>
        <v>5877052.4400000004</v>
      </c>
      <c r="N225" s="116">
        <f t="shared" si="44"/>
        <v>2363574.4400000004</v>
      </c>
      <c r="O225" s="123">
        <f t="shared" si="45"/>
        <v>363.73875654047407</v>
      </c>
      <c r="P225" s="5"/>
      <c r="Q225" s="5">
        <f t="shared" si="49"/>
        <v>1</v>
      </c>
      <c r="R225" s="7">
        <f t="shared" si="50"/>
        <v>6498</v>
      </c>
      <c r="S225" s="5">
        <f t="shared" si="46"/>
        <v>1</v>
      </c>
      <c r="T225" s="7">
        <f t="shared" si="47"/>
        <v>6498</v>
      </c>
    </row>
    <row r="226" spans="1:20">
      <c r="A226" s="23" t="s">
        <v>253</v>
      </c>
      <c r="B226" s="37" t="s">
        <v>233</v>
      </c>
      <c r="C226" s="36">
        <v>60312</v>
      </c>
      <c r="D226" s="6"/>
      <c r="E226" s="113">
        <v>3586855601</v>
      </c>
      <c r="F226" s="116">
        <f t="shared" si="51"/>
        <v>59471.67397864438</v>
      </c>
      <c r="G226" s="117">
        <v>2275443143</v>
      </c>
      <c r="H226" s="117">
        <f t="shared" si="52"/>
        <v>37727.867472476457</v>
      </c>
      <c r="I226" s="7"/>
      <c r="J226" s="10">
        <v>8.5</v>
      </c>
      <c r="K226" s="117">
        <v>19341267</v>
      </c>
      <c r="L226" s="120">
        <f t="shared" si="48"/>
        <v>320.68687823318743</v>
      </c>
      <c r="M226" s="122">
        <f t="shared" si="43"/>
        <v>22754431.43</v>
      </c>
      <c r="N226" s="116">
        <f t="shared" si="44"/>
        <v>3413164.4299999997</v>
      </c>
      <c r="O226" s="123">
        <f t="shared" si="45"/>
        <v>56.591796491577128</v>
      </c>
      <c r="P226" s="5"/>
      <c r="Q226" s="5">
        <f t="shared" si="49"/>
        <v>1</v>
      </c>
      <c r="R226" s="7">
        <f t="shared" si="50"/>
        <v>60312</v>
      </c>
      <c r="S226" s="5">
        <f t="shared" si="46"/>
        <v>1</v>
      </c>
      <c r="T226" s="7">
        <f t="shared" si="47"/>
        <v>60312</v>
      </c>
    </row>
    <row r="227" spans="1:20">
      <c r="A227" s="23" t="s">
        <v>254</v>
      </c>
      <c r="B227" s="37" t="s">
        <v>233</v>
      </c>
      <c r="C227" s="36">
        <v>41131</v>
      </c>
      <c r="D227" s="6"/>
      <c r="E227" s="113">
        <v>2940705239</v>
      </c>
      <c r="F227" s="116">
        <f t="shared" si="51"/>
        <v>71496.079331890782</v>
      </c>
      <c r="G227" s="117">
        <v>1925405104</v>
      </c>
      <c r="H227" s="117">
        <f t="shared" si="52"/>
        <v>46811.531545549587</v>
      </c>
      <c r="I227" s="7"/>
      <c r="J227" s="10">
        <v>7.5</v>
      </c>
      <c r="K227" s="117">
        <v>14440538</v>
      </c>
      <c r="L227" s="120">
        <f t="shared" si="48"/>
        <v>351.08647978410443</v>
      </c>
      <c r="M227" s="122">
        <f t="shared" si="43"/>
        <v>19254051.039999999</v>
      </c>
      <c r="N227" s="116">
        <f t="shared" si="44"/>
        <v>4813513.0399999991</v>
      </c>
      <c r="O227" s="123">
        <f t="shared" si="45"/>
        <v>117.02883567139139</v>
      </c>
      <c r="P227" s="5"/>
      <c r="Q227" s="5">
        <f t="shared" si="49"/>
        <v>1</v>
      </c>
      <c r="R227" s="7">
        <f t="shared" si="50"/>
        <v>41131</v>
      </c>
      <c r="S227" s="5">
        <f t="shared" si="46"/>
        <v>1</v>
      </c>
      <c r="T227" s="7">
        <f t="shared" si="47"/>
        <v>41131</v>
      </c>
    </row>
    <row r="228" spans="1:20">
      <c r="A228" s="23" t="s">
        <v>255</v>
      </c>
      <c r="B228" s="37" t="s">
        <v>233</v>
      </c>
      <c r="C228" s="36">
        <v>15439</v>
      </c>
      <c r="D228" s="6"/>
      <c r="E228" s="113">
        <v>816050403</v>
      </c>
      <c r="F228" s="116">
        <f t="shared" si="51"/>
        <v>52856.428719476651</v>
      </c>
      <c r="G228" s="117">
        <v>609737371</v>
      </c>
      <c r="H228" s="117">
        <f t="shared" si="52"/>
        <v>39493.320227994038</v>
      </c>
      <c r="I228" s="7"/>
      <c r="J228" s="10">
        <v>9.8000000000000007</v>
      </c>
      <c r="K228" s="117">
        <v>5975426</v>
      </c>
      <c r="L228" s="120">
        <f t="shared" si="48"/>
        <v>387.03452296133167</v>
      </c>
      <c r="M228" s="122">
        <f t="shared" si="43"/>
        <v>6097373.71</v>
      </c>
      <c r="N228" s="116">
        <f t="shared" si="44"/>
        <v>121947.70999999996</v>
      </c>
      <c r="O228" s="123">
        <f t="shared" si="45"/>
        <v>7.8986793186087159</v>
      </c>
      <c r="P228" s="5"/>
      <c r="Q228" s="5">
        <f t="shared" si="49"/>
        <v>1</v>
      </c>
      <c r="R228" s="7">
        <f t="shared" si="50"/>
        <v>15439</v>
      </c>
      <c r="S228" s="5">
        <f>IF(J228&gt;0,1,0)</f>
        <v>1</v>
      </c>
      <c r="T228" s="7">
        <f t="shared" si="47"/>
        <v>15439</v>
      </c>
    </row>
    <row r="229" spans="1:20">
      <c r="A229" s="23" t="s">
        <v>493</v>
      </c>
      <c r="B229" s="37" t="s">
        <v>233</v>
      </c>
      <c r="C229" s="36">
        <v>24795</v>
      </c>
      <c r="D229" s="6"/>
      <c r="E229" s="113">
        <v>3727558995</v>
      </c>
      <c r="F229" s="116">
        <f t="shared" si="51"/>
        <v>150335.10768300059</v>
      </c>
      <c r="G229" s="117">
        <v>2343876871</v>
      </c>
      <c r="H229" s="117">
        <f t="shared" si="52"/>
        <v>94530.222665860056</v>
      </c>
      <c r="I229" s="7"/>
      <c r="J229" s="10">
        <v>2.4470000000000001</v>
      </c>
      <c r="K229" s="117">
        <v>5735467</v>
      </c>
      <c r="L229" s="120">
        <f t="shared" si="48"/>
        <v>231.31546682798952</v>
      </c>
      <c r="M229" s="122">
        <f t="shared" si="43"/>
        <v>23438768.710000001</v>
      </c>
      <c r="N229" s="116">
        <f t="shared" si="44"/>
        <v>17703301.710000001</v>
      </c>
      <c r="O229" s="123">
        <f t="shared" si="45"/>
        <v>713.98675983061105</v>
      </c>
      <c r="P229" s="5"/>
      <c r="Q229" s="5">
        <f t="shared" si="49"/>
        <v>1</v>
      </c>
      <c r="R229" s="7">
        <f t="shared" si="50"/>
        <v>24795</v>
      </c>
      <c r="S229" s="5">
        <f t="shared" si="46"/>
        <v>1</v>
      </c>
      <c r="T229" s="7">
        <f t="shared" si="47"/>
        <v>24795</v>
      </c>
    </row>
    <row r="230" spans="1:20">
      <c r="A230" s="23" t="s">
        <v>256</v>
      </c>
      <c r="B230" s="37" t="s">
        <v>233</v>
      </c>
      <c r="C230" s="36">
        <v>19460</v>
      </c>
      <c r="D230" s="6"/>
      <c r="E230" s="113">
        <v>4681220669</v>
      </c>
      <c r="F230" s="116">
        <f t="shared" si="51"/>
        <v>240556.04671120248</v>
      </c>
      <c r="G230" s="117">
        <v>3102288340</v>
      </c>
      <c r="H230" s="117">
        <f t="shared" si="52"/>
        <v>159418.72250770812</v>
      </c>
      <c r="I230" s="7"/>
      <c r="J230" s="10">
        <v>2.4</v>
      </c>
      <c r="K230" s="117">
        <v>7445492</v>
      </c>
      <c r="L230" s="120">
        <f t="shared" si="48"/>
        <v>382.60493319630012</v>
      </c>
      <c r="M230" s="122">
        <f t="shared" si="43"/>
        <v>31022883.400000002</v>
      </c>
      <c r="N230" s="116">
        <f t="shared" si="44"/>
        <v>23577391.400000002</v>
      </c>
      <c r="O230" s="123">
        <f t="shared" si="45"/>
        <v>1211.5822918807812</v>
      </c>
      <c r="P230" s="5"/>
      <c r="Q230" s="5">
        <f t="shared" si="49"/>
        <v>1</v>
      </c>
      <c r="R230" s="7">
        <f t="shared" si="50"/>
        <v>19460</v>
      </c>
      <c r="S230" s="5">
        <f t="shared" si="46"/>
        <v>1</v>
      </c>
      <c r="T230" s="7">
        <f t="shared" si="47"/>
        <v>19460</v>
      </c>
    </row>
    <row r="231" spans="1:20">
      <c r="A231" s="23" t="s">
        <v>257</v>
      </c>
      <c r="B231" s="37" t="s">
        <v>233</v>
      </c>
      <c r="C231" s="36">
        <v>10578</v>
      </c>
      <c r="D231" s="6"/>
      <c r="E231" s="113">
        <v>1926887950</v>
      </c>
      <c r="F231" s="116">
        <f t="shared" si="51"/>
        <v>182159.9498960106</v>
      </c>
      <c r="G231" s="117">
        <v>1208254061</v>
      </c>
      <c r="H231" s="117">
        <f t="shared" si="52"/>
        <v>114223.29939497069</v>
      </c>
      <c r="I231" s="7"/>
      <c r="J231" s="10">
        <v>6.681</v>
      </c>
      <c r="K231" s="117">
        <v>8072345</v>
      </c>
      <c r="L231" s="120">
        <f t="shared" ref="L231:L248" si="53">(K231/C231)</f>
        <v>763.12582718850445</v>
      </c>
      <c r="M231" s="122">
        <f t="shared" si="43"/>
        <v>12082540.609999999</v>
      </c>
      <c r="N231" s="116">
        <f t="shared" si="44"/>
        <v>4010195.6099999994</v>
      </c>
      <c r="O231" s="123">
        <f t="shared" si="45"/>
        <v>379.10716676120245</v>
      </c>
      <c r="P231" s="5"/>
      <c r="Q231" s="5">
        <f t="shared" si="49"/>
        <v>1</v>
      </c>
      <c r="R231" s="7">
        <f t="shared" si="50"/>
        <v>10578</v>
      </c>
      <c r="S231" s="5">
        <f t="shared" si="46"/>
        <v>1</v>
      </c>
      <c r="T231" s="7">
        <f t="shared" si="47"/>
        <v>10578</v>
      </c>
    </row>
    <row r="232" spans="1:20">
      <c r="A232" s="23" t="s">
        <v>258</v>
      </c>
      <c r="B232" s="37" t="s">
        <v>233</v>
      </c>
      <c r="C232" s="36">
        <v>16703</v>
      </c>
      <c r="D232" s="6"/>
      <c r="E232" s="113">
        <v>4468396645</v>
      </c>
      <c r="F232" s="116">
        <f t="shared" si="51"/>
        <v>267520.60378375143</v>
      </c>
      <c r="G232" s="117">
        <v>3912925162</v>
      </c>
      <c r="H232" s="117">
        <f t="shared" si="52"/>
        <v>234264.81242890499</v>
      </c>
      <c r="I232" s="7"/>
      <c r="J232" s="11">
        <v>2.95</v>
      </c>
      <c r="K232" s="117">
        <v>11543129</v>
      </c>
      <c r="L232" s="120">
        <f t="shared" si="53"/>
        <v>691.08118302101423</v>
      </c>
      <c r="M232" s="122">
        <f t="shared" si="43"/>
        <v>39129251.619999997</v>
      </c>
      <c r="N232" s="116">
        <f t="shared" si="44"/>
        <v>27586122.619999997</v>
      </c>
      <c r="O232" s="123">
        <f t="shared" si="45"/>
        <v>1651.5669412680356</v>
      </c>
      <c r="P232" s="5"/>
      <c r="Q232" s="5">
        <f t="shared" si="49"/>
        <v>1</v>
      </c>
      <c r="R232" s="7">
        <f t="shared" si="50"/>
        <v>16703</v>
      </c>
      <c r="S232" s="5">
        <f t="shared" si="46"/>
        <v>1</v>
      </c>
      <c r="T232" s="7">
        <f t="shared" si="47"/>
        <v>16703</v>
      </c>
    </row>
    <row r="233" spans="1:20">
      <c r="A233" s="23" t="s">
        <v>259</v>
      </c>
      <c r="B233" s="37" t="s">
        <v>233</v>
      </c>
      <c r="C233" s="36">
        <v>5614</v>
      </c>
      <c r="D233" s="6"/>
      <c r="E233" s="113">
        <v>1394074776</v>
      </c>
      <c r="F233" s="116">
        <f t="shared" si="51"/>
        <v>248321.12148200927</v>
      </c>
      <c r="G233" s="117">
        <v>1074285498</v>
      </c>
      <c r="H233" s="117">
        <f t="shared" si="52"/>
        <v>191358.30032062699</v>
      </c>
      <c r="I233" s="7"/>
      <c r="J233" s="10">
        <v>5.6029999999999998</v>
      </c>
      <c r="K233" s="117">
        <v>6019222</v>
      </c>
      <c r="L233" s="120">
        <f t="shared" si="53"/>
        <v>1072.1806198788743</v>
      </c>
      <c r="M233" s="122">
        <f t="shared" si="43"/>
        <v>10742854.98</v>
      </c>
      <c r="N233" s="116">
        <f t="shared" si="44"/>
        <v>4723632.9800000004</v>
      </c>
      <c r="O233" s="123">
        <f t="shared" si="45"/>
        <v>841.40238332739591</v>
      </c>
      <c r="P233" s="5"/>
      <c r="Q233" s="5">
        <f t="shared" si="49"/>
        <v>1</v>
      </c>
      <c r="R233" s="7">
        <f t="shared" si="50"/>
        <v>5614</v>
      </c>
      <c r="S233" s="5">
        <f t="shared" si="46"/>
        <v>1</v>
      </c>
      <c r="T233" s="7">
        <f t="shared" si="47"/>
        <v>5614</v>
      </c>
    </row>
    <row r="234" spans="1:20">
      <c r="A234" s="23" t="s">
        <v>260</v>
      </c>
      <c r="B234" s="37" t="s">
        <v>233</v>
      </c>
      <c r="C234" s="36">
        <v>14373</v>
      </c>
      <c r="D234" s="6"/>
      <c r="E234" s="113">
        <v>526802897</v>
      </c>
      <c r="F234" s="116">
        <f t="shared" si="51"/>
        <v>36652.257496695194</v>
      </c>
      <c r="G234" s="117">
        <v>364138947</v>
      </c>
      <c r="H234" s="117">
        <f t="shared" si="52"/>
        <v>25334.929868503445</v>
      </c>
      <c r="I234" s="7"/>
      <c r="J234" s="10">
        <v>3.9487000000000001</v>
      </c>
      <c r="K234" s="117">
        <v>1437875</v>
      </c>
      <c r="L234" s="120">
        <f t="shared" si="53"/>
        <v>100.04000556599179</v>
      </c>
      <c r="M234" s="122">
        <f t="shared" si="43"/>
        <v>3641389.47</v>
      </c>
      <c r="N234" s="116">
        <f t="shared" si="44"/>
        <v>2203514.4700000002</v>
      </c>
      <c r="O234" s="123">
        <f t="shared" si="45"/>
        <v>153.30929311904265</v>
      </c>
      <c r="P234" s="5"/>
      <c r="Q234" s="5">
        <f t="shared" si="49"/>
        <v>1</v>
      </c>
      <c r="R234" s="7">
        <f t="shared" si="50"/>
        <v>14373</v>
      </c>
      <c r="S234" s="5">
        <f t="shared" si="46"/>
        <v>1</v>
      </c>
      <c r="T234" s="7">
        <f t="shared" si="47"/>
        <v>14373</v>
      </c>
    </row>
    <row r="235" spans="1:20">
      <c r="A235" s="23" t="s">
        <v>261</v>
      </c>
      <c r="B235" s="37" t="s">
        <v>233</v>
      </c>
      <c r="C235" s="36">
        <v>2366</v>
      </c>
      <c r="D235" s="6"/>
      <c r="E235" s="113">
        <v>260177926</v>
      </c>
      <c r="F235" s="116">
        <f t="shared" si="51"/>
        <v>109965.31107354184</v>
      </c>
      <c r="G235" s="117">
        <v>197872896</v>
      </c>
      <c r="H235" s="117">
        <f t="shared" si="52"/>
        <v>83631.824175824178</v>
      </c>
      <c r="I235" s="7"/>
      <c r="J235" s="10">
        <v>4.75</v>
      </c>
      <c r="K235" s="117">
        <v>939896</v>
      </c>
      <c r="L235" s="120">
        <f t="shared" si="53"/>
        <v>397.251056635672</v>
      </c>
      <c r="M235" s="122">
        <f t="shared" si="43"/>
        <v>1978728.96</v>
      </c>
      <c r="N235" s="116">
        <f t="shared" si="44"/>
        <v>1038832.96</v>
      </c>
      <c r="O235" s="123">
        <f t="shared" si="45"/>
        <v>439.0671851225697</v>
      </c>
      <c r="P235" s="5"/>
      <c r="Q235" s="5">
        <f t="shared" si="49"/>
        <v>1</v>
      </c>
      <c r="R235" s="7">
        <f t="shared" si="50"/>
        <v>2366</v>
      </c>
      <c r="S235" s="5">
        <f t="shared" si="46"/>
        <v>1</v>
      </c>
      <c r="T235" s="7">
        <f t="shared" si="47"/>
        <v>2366</v>
      </c>
    </row>
    <row r="236" spans="1:20">
      <c r="A236" s="23" t="s">
        <v>262</v>
      </c>
      <c r="B236" s="35" t="s">
        <v>233</v>
      </c>
      <c r="C236" s="36">
        <v>5844</v>
      </c>
      <c r="D236" s="6"/>
      <c r="E236" s="113">
        <v>480866482</v>
      </c>
      <c r="F236" s="116">
        <f t="shared" si="51"/>
        <v>82283.792265571523</v>
      </c>
      <c r="G236" s="117">
        <v>306389806</v>
      </c>
      <c r="H236" s="117">
        <f t="shared" si="52"/>
        <v>52428.098220396991</v>
      </c>
      <c r="I236" s="7"/>
      <c r="J236" s="11">
        <v>8.4957999999999991</v>
      </c>
      <c r="K236" s="117">
        <v>2603027</v>
      </c>
      <c r="L236" s="120">
        <f t="shared" si="53"/>
        <v>445.41872005475699</v>
      </c>
      <c r="M236" s="122">
        <f t="shared" si="43"/>
        <v>3063898.06</v>
      </c>
      <c r="N236" s="116">
        <f t="shared" si="44"/>
        <v>460871.06000000006</v>
      </c>
      <c r="O236" s="123">
        <f t="shared" si="45"/>
        <v>78.862262149212881</v>
      </c>
      <c r="P236" s="5"/>
      <c r="Q236" s="5">
        <f t="shared" si="49"/>
        <v>1</v>
      </c>
      <c r="R236" s="7">
        <f t="shared" si="50"/>
        <v>5844</v>
      </c>
      <c r="S236" s="5">
        <f t="shared" si="46"/>
        <v>1</v>
      </c>
      <c r="T236" s="7">
        <f t="shared" si="47"/>
        <v>5844</v>
      </c>
    </row>
    <row r="237" spans="1:20">
      <c r="A237" s="23" t="s">
        <v>263</v>
      </c>
      <c r="B237" s="35" t="s">
        <v>264</v>
      </c>
      <c r="C237" s="36">
        <v>7033</v>
      </c>
      <c r="D237" s="6"/>
      <c r="E237" s="113">
        <v>3624299861</v>
      </c>
      <c r="F237" s="116">
        <f t="shared" si="51"/>
        <v>515327.72088724584</v>
      </c>
      <c r="G237" s="117">
        <v>2833596598</v>
      </c>
      <c r="H237" s="117">
        <f t="shared" si="52"/>
        <v>402900.12768377649</v>
      </c>
      <c r="I237" s="7"/>
      <c r="J237" s="10">
        <v>2.2637</v>
      </c>
      <c r="K237" s="117">
        <v>6414413</v>
      </c>
      <c r="L237" s="120">
        <f t="shared" si="53"/>
        <v>912.0450732262193</v>
      </c>
      <c r="M237" s="122">
        <f t="shared" si="43"/>
        <v>28335965.98</v>
      </c>
      <c r="N237" s="116">
        <f t="shared" si="44"/>
        <v>21921552.98</v>
      </c>
      <c r="O237" s="123">
        <f t="shared" si="45"/>
        <v>3116.9562036115458</v>
      </c>
      <c r="P237" s="5"/>
      <c r="Q237" s="5">
        <f t="shared" si="49"/>
        <v>1</v>
      </c>
      <c r="R237" s="7">
        <f t="shared" si="50"/>
        <v>7033</v>
      </c>
      <c r="S237" s="5">
        <f t="shared" si="46"/>
        <v>1</v>
      </c>
      <c r="T237" s="7">
        <f t="shared" si="47"/>
        <v>7033</v>
      </c>
    </row>
    <row r="238" spans="1:20">
      <c r="A238" s="23" t="s">
        <v>265</v>
      </c>
      <c r="B238" s="35" t="s">
        <v>264</v>
      </c>
      <c r="C238" s="36">
        <v>852</v>
      </c>
      <c r="D238" s="6"/>
      <c r="E238" s="113">
        <v>824522517</v>
      </c>
      <c r="F238" s="116">
        <f t="shared" si="51"/>
        <v>967749.43309859151</v>
      </c>
      <c r="G238" s="117">
        <v>731556548</v>
      </c>
      <c r="H238" s="117">
        <f t="shared" si="52"/>
        <v>858634.44600938971</v>
      </c>
      <c r="I238" s="7"/>
      <c r="J238" s="10">
        <v>1.5405</v>
      </c>
      <c r="K238" s="117">
        <v>1126963</v>
      </c>
      <c r="L238" s="120">
        <f t="shared" si="53"/>
        <v>1322.7265258215962</v>
      </c>
      <c r="M238" s="122">
        <f t="shared" si="43"/>
        <v>7315565.4800000004</v>
      </c>
      <c r="N238" s="116">
        <f t="shared" si="44"/>
        <v>6188602.4800000004</v>
      </c>
      <c r="O238" s="123">
        <f t="shared" si="45"/>
        <v>7263.6179342723008</v>
      </c>
      <c r="P238" s="5"/>
      <c r="Q238" s="5">
        <f t="shared" si="49"/>
        <v>1</v>
      </c>
      <c r="R238" s="7">
        <f t="shared" si="50"/>
        <v>852</v>
      </c>
      <c r="S238" s="5">
        <f t="shared" si="46"/>
        <v>1</v>
      </c>
      <c r="T238" s="7">
        <f t="shared" si="47"/>
        <v>852</v>
      </c>
    </row>
    <row r="239" spans="1:20">
      <c r="A239" s="23" t="s">
        <v>266</v>
      </c>
      <c r="B239" s="35" t="s">
        <v>264</v>
      </c>
      <c r="C239" s="36">
        <v>26534</v>
      </c>
      <c r="D239" s="6"/>
      <c r="E239" s="113">
        <v>11078890780</v>
      </c>
      <c r="F239" s="116">
        <f t="shared" si="51"/>
        <v>417535.64407929446</v>
      </c>
      <c r="G239" s="117">
        <v>5821831562</v>
      </c>
      <c r="H239" s="117">
        <f t="shared" si="52"/>
        <v>219410.24956659382</v>
      </c>
      <c r="I239" s="7"/>
      <c r="J239" s="10">
        <v>2.0863</v>
      </c>
      <c r="K239" s="117">
        <v>12146087</v>
      </c>
      <c r="L239" s="120">
        <f t="shared" si="53"/>
        <v>457.75559659305043</v>
      </c>
      <c r="M239" s="122">
        <f t="shared" si="43"/>
        <v>58218315.620000005</v>
      </c>
      <c r="N239" s="116">
        <f t="shared" si="44"/>
        <v>46072228.620000005</v>
      </c>
      <c r="O239" s="123">
        <f t="shared" si="45"/>
        <v>1736.3468990728877</v>
      </c>
      <c r="P239" s="5"/>
      <c r="Q239" s="5">
        <f t="shared" si="49"/>
        <v>1</v>
      </c>
      <c r="R239" s="7">
        <f t="shared" si="50"/>
        <v>26534</v>
      </c>
      <c r="S239" s="5">
        <f t="shared" si="46"/>
        <v>1</v>
      </c>
      <c r="T239" s="7">
        <f t="shared" si="47"/>
        <v>26534</v>
      </c>
    </row>
    <row r="240" spans="1:20">
      <c r="A240" s="23" t="s">
        <v>267</v>
      </c>
      <c r="B240" s="35" t="s">
        <v>264</v>
      </c>
      <c r="C240" s="36">
        <v>204</v>
      </c>
      <c r="D240" s="6"/>
      <c r="E240" s="113">
        <v>75057650</v>
      </c>
      <c r="F240" s="116">
        <f t="shared" si="51"/>
        <v>367929.65686274512</v>
      </c>
      <c r="G240" s="117">
        <v>57632276</v>
      </c>
      <c r="H240" s="117">
        <f t="shared" si="52"/>
        <v>282511.15686274512</v>
      </c>
      <c r="I240" s="7"/>
      <c r="J240" s="10">
        <v>1.6328</v>
      </c>
      <c r="K240" s="117">
        <v>94102</v>
      </c>
      <c r="L240" s="120">
        <f t="shared" si="53"/>
        <v>461.28431372549022</v>
      </c>
      <c r="M240" s="122">
        <f t="shared" si="43"/>
        <v>576322.76</v>
      </c>
      <c r="N240" s="116">
        <f t="shared" si="44"/>
        <v>482220.76</v>
      </c>
      <c r="O240" s="123">
        <f t="shared" si="45"/>
        <v>2363.8272549019607</v>
      </c>
      <c r="P240" s="5"/>
      <c r="Q240" s="5">
        <f t="shared" si="49"/>
        <v>1</v>
      </c>
      <c r="R240" s="7">
        <f t="shared" si="50"/>
        <v>204</v>
      </c>
      <c r="S240" s="5">
        <f t="shared" si="46"/>
        <v>1</v>
      </c>
      <c r="T240" s="7">
        <f t="shared" si="47"/>
        <v>204</v>
      </c>
    </row>
    <row r="241" spans="1:20">
      <c r="A241" s="23" t="s">
        <v>449</v>
      </c>
      <c r="B241" s="35" t="s">
        <v>264</v>
      </c>
      <c r="C241" s="36">
        <v>10626</v>
      </c>
      <c r="D241" s="6"/>
      <c r="E241" s="113">
        <v>2839264227</v>
      </c>
      <c r="F241" s="116">
        <f t="shared" si="51"/>
        <v>267199.72021456802</v>
      </c>
      <c r="G241" s="117">
        <v>2209684194</v>
      </c>
      <c r="H241" s="117">
        <f t="shared" si="52"/>
        <v>207950.70525127047</v>
      </c>
      <c r="I241" s="7"/>
      <c r="J241" s="10">
        <v>2.0499999999999998</v>
      </c>
      <c r="K241" s="117">
        <v>4529853</v>
      </c>
      <c r="L241" s="120">
        <f t="shared" si="53"/>
        <v>426.2989836250706</v>
      </c>
      <c r="M241" s="122">
        <f t="shared" si="43"/>
        <v>22096841.940000001</v>
      </c>
      <c r="N241" s="116">
        <f t="shared" si="44"/>
        <v>17566988.940000001</v>
      </c>
      <c r="O241" s="123">
        <f t="shared" si="45"/>
        <v>1653.2080688876342</v>
      </c>
      <c r="P241" s="5"/>
      <c r="Q241" s="5">
        <f t="shared" si="49"/>
        <v>1</v>
      </c>
      <c r="R241" s="7">
        <f t="shared" si="50"/>
        <v>10626</v>
      </c>
      <c r="S241" s="5">
        <f t="shared" si="46"/>
        <v>1</v>
      </c>
      <c r="T241" s="7">
        <f t="shared" si="47"/>
        <v>10626</v>
      </c>
    </row>
    <row r="242" spans="1:20">
      <c r="A242" s="23" t="s">
        <v>268</v>
      </c>
      <c r="B242" s="35" t="s">
        <v>269</v>
      </c>
      <c r="C242" s="36">
        <v>1274</v>
      </c>
      <c r="D242" s="6"/>
      <c r="E242" s="113">
        <v>96428939</v>
      </c>
      <c r="F242" s="116">
        <f t="shared" si="51"/>
        <v>75689.905023547879</v>
      </c>
      <c r="G242" s="117">
        <v>57459175</v>
      </c>
      <c r="H242" s="117">
        <f t="shared" si="52"/>
        <v>45101.393249607536</v>
      </c>
      <c r="I242" s="7"/>
      <c r="J242" s="10">
        <v>2.75</v>
      </c>
      <c r="K242" s="117">
        <v>158013</v>
      </c>
      <c r="L242" s="120">
        <f t="shared" si="53"/>
        <v>124.02904238618524</v>
      </c>
      <c r="M242" s="122">
        <f t="shared" si="43"/>
        <v>574591.75</v>
      </c>
      <c r="N242" s="116">
        <f t="shared" si="44"/>
        <v>416578.75</v>
      </c>
      <c r="O242" s="123">
        <f t="shared" si="45"/>
        <v>326.9848901098901</v>
      </c>
      <c r="P242" s="5"/>
      <c r="Q242" s="5">
        <f t="shared" si="49"/>
        <v>1</v>
      </c>
      <c r="R242" s="7">
        <f t="shared" si="50"/>
        <v>1274</v>
      </c>
      <c r="S242" s="5">
        <f t="shared" si="46"/>
        <v>1</v>
      </c>
      <c r="T242" s="7">
        <f t="shared" si="47"/>
        <v>1274</v>
      </c>
    </row>
    <row r="243" spans="1:20">
      <c r="A243" s="23" t="s">
        <v>270</v>
      </c>
      <c r="B243" s="35" t="s">
        <v>269</v>
      </c>
      <c r="C243" s="36">
        <v>11621</v>
      </c>
      <c r="D243" s="6"/>
      <c r="E243" s="113">
        <v>2074574936</v>
      </c>
      <c r="F243" s="116">
        <f t="shared" si="51"/>
        <v>178519.48507013166</v>
      </c>
      <c r="G243" s="117">
        <v>1515157753</v>
      </c>
      <c r="H243" s="117">
        <f t="shared" si="52"/>
        <v>130381.01307976939</v>
      </c>
      <c r="I243" s="7"/>
      <c r="J243" s="10">
        <v>4.8672000000000004</v>
      </c>
      <c r="K243" s="117">
        <v>7374576</v>
      </c>
      <c r="L243" s="120">
        <f t="shared" si="53"/>
        <v>634.5904827467516</v>
      </c>
      <c r="M243" s="122">
        <f t="shared" si="43"/>
        <v>15151577.530000001</v>
      </c>
      <c r="N243" s="116">
        <f t="shared" si="44"/>
        <v>7777001.5300000012</v>
      </c>
      <c r="O243" s="123">
        <f t="shared" si="45"/>
        <v>669.2196480509424</v>
      </c>
      <c r="P243" s="5"/>
      <c r="Q243" s="5">
        <f t="shared" si="49"/>
        <v>1</v>
      </c>
      <c r="R243" s="7">
        <f t="shared" si="50"/>
        <v>11621</v>
      </c>
      <c r="S243" s="5">
        <f t="shared" si="46"/>
        <v>1</v>
      </c>
      <c r="T243" s="7">
        <f t="shared" si="47"/>
        <v>11621</v>
      </c>
    </row>
    <row r="244" spans="1:20">
      <c r="A244" s="23" t="s">
        <v>271</v>
      </c>
      <c r="B244" s="35" t="s">
        <v>269</v>
      </c>
      <c r="C244" s="36">
        <v>2920</v>
      </c>
      <c r="D244" s="6"/>
      <c r="E244" s="113">
        <v>242744240</v>
      </c>
      <c r="F244" s="116">
        <f t="shared" si="51"/>
        <v>83131.589041095896</v>
      </c>
      <c r="G244" s="117">
        <v>68989363</v>
      </c>
      <c r="H244" s="117">
        <f t="shared" si="52"/>
        <v>23626.49417808219</v>
      </c>
      <c r="I244" s="7"/>
      <c r="J244" s="10">
        <v>0.5081</v>
      </c>
      <c r="K244" s="117">
        <v>35053</v>
      </c>
      <c r="L244" s="120">
        <f t="shared" si="53"/>
        <v>12.00445205479452</v>
      </c>
      <c r="M244" s="122">
        <f t="shared" si="43"/>
        <v>689893.63</v>
      </c>
      <c r="N244" s="116">
        <f t="shared" si="44"/>
        <v>654840.63</v>
      </c>
      <c r="O244" s="123">
        <f t="shared" si="45"/>
        <v>224.2604897260274</v>
      </c>
      <c r="P244" s="5"/>
      <c r="Q244" s="5">
        <f t="shared" si="49"/>
        <v>1</v>
      </c>
      <c r="R244" s="7">
        <f t="shared" si="50"/>
        <v>2920</v>
      </c>
      <c r="S244" s="5">
        <f t="shared" si="46"/>
        <v>1</v>
      </c>
      <c r="T244" s="7">
        <f t="shared" si="47"/>
        <v>2920</v>
      </c>
    </row>
    <row r="245" spans="1:20">
      <c r="A245" s="23" t="s">
        <v>272</v>
      </c>
      <c r="B245" s="35" t="s">
        <v>273</v>
      </c>
      <c r="C245" s="36">
        <v>361</v>
      </c>
      <c r="D245" s="6"/>
      <c r="E245" s="113">
        <v>54169551</v>
      </c>
      <c r="F245" s="116">
        <f t="shared" si="51"/>
        <v>150054.15789473685</v>
      </c>
      <c r="G245" s="117">
        <v>45843655</v>
      </c>
      <c r="H245" s="117">
        <f t="shared" si="52"/>
        <v>126990.73407202215</v>
      </c>
      <c r="I245" s="7"/>
      <c r="J245" s="10">
        <v>2.2999999999999998</v>
      </c>
      <c r="K245" s="117">
        <v>105440</v>
      </c>
      <c r="L245" s="120">
        <f t="shared" si="53"/>
        <v>292.07756232686978</v>
      </c>
      <c r="M245" s="122">
        <f t="shared" si="43"/>
        <v>458436.55</v>
      </c>
      <c r="N245" s="116">
        <f t="shared" si="44"/>
        <v>352996.55</v>
      </c>
      <c r="O245" s="123">
        <f t="shared" si="45"/>
        <v>977.82977839335172</v>
      </c>
      <c r="P245" s="5"/>
      <c r="Q245" s="5">
        <f t="shared" si="49"/>
        <v>1</v>
      </c>
      <c r="R245" s="7">
        <f t="shared" si="50"/>
        <v>361</v>
      </c>
      <c r="S245" s="5">
        <f t="shared" si="46"/>
        <v>1</v>
      </c>
      <c r="T245" s="7">
        <f t="shared" si="47"/>
        <v>361</v>
      </c>
    </row>
    <row r="246" spans="1:20">
      <c r="A246" s="23" t="s">
        <v>274</v>
      </c>
      <c r="B246" s="35" t="s">
        <v>273</v>
      </c>
      <c r="C246" s="36">
        <v>18389</v>
      </c>
      <c r="D246" s="6"/>
      <c r="E246" s="113">
        <v>977970843</v>
      </c>
      <c r="F246" s="116">
        <f t="shared" si="51"/>
        <v>53182.383109467613</v>
      </c>
      <c r="G246" s="117">
        <v>677654540</v>
      </c>
      <c r="H246" s="117">
        <f t="shared" si="52"/>
        <v>36851.081624884442</v>
      </c>
      <c r="I246" s="7"/>
      <c r="J246" s="10">
        <v>6.9989999999999997</v>
      </c>
      <c r="K246" s="117">
        <v>4742904</v>
      </c>
      <c r="L246" s="120">
        <f t="shared" si="53"/>
        <v>257.92071347000922</v>
      </c>
      <c r="M246" s="122">
        <f t="shared" si="43"/>
        <v>6776545.4000000004</v>
      </c>
      <c r="N246" s="116">
        <f t="shared" si="44"/>
        <v>2033641.4000000004</v>
      </c>
      <c r="O246" s="123">
        <f t="shared" si="45"/>
        <v>110.59010277883519</v>
      </c>
      <c r="P246" s="5"/>
      <c r="Q246" s="5">
        <f t="shared" si="49"/>
        <v>1</v>
      </c>
      <c r="R246" s="7">
        <f t="shared" si="50"/>
        <v>18389</v>
      </c>
      <c r="S246" s="5">
        <f t="shared" si="46"/>
        <v>1</v>
      </c>
      <c r="T246" s="7">
        <f t="shared" si="47"/>
        <v>18389</v>
      </c>
    </row>
    <row r="247" spans="1:20">
      <c r="A247" s="23" t="s">
        <v>275</v>
      </c>
      <c r="B247" s="35" t="s">
        <v>273</v>
      </c>
      <c r="C247" s="36">
        <v>12071</v>
      </c>
      <c r="D247" s="6"/>
      <c r="E247" s="113">
        <v>5183766574</v>
      </c>
      <c r="F247" s="116">
        <f t="shared" si="51"/>
        <v>429439.69629690994</v>
      </c>
      <c r="G247" s="117">
        <v>4588911611</v>
      </c>
      <c r="H247" s="117">
        <f t="shared" si="52"/>
        <v>380160.02079363767</v>
      </c>
      <c r="I247" s="7"/>
      <c r="J247" s="10">
        <v>1.8</v>
      </c>
      <c r="K247" s="117">
        <v>8260041</v>
      </c>
      <c r="L247" s="120">
        <f t="shared" si="53"/>
        <v>684.2880457294342</v>
      </c>
      <c r="M247" s="122">
        <f t="shared" si="43"/>
        <v>45889116.109999999</v>
      </c>
      <c r="N247" s="116">
        <f t="shared" si="44"/>
        <v>37629075.109999999</v>
      </c>
      <c r="O247" s="123">
        <f t="shared" si="45"/>
        <v>3117.312162206942</v>
      </c>
      <c r="P247" s="5"/>
      <c r="Q247" s="5">
        <f t="shared" si="49"/>
        <v>1</v>
      </c>
      <c r="R247" s="7">
        <f t="shared" si="50"/>
        <v>12071</v>
      </c>
      <c r="S247" s="5">
        <f t="shared" si="46"/>
        <v>1</v>
      </c>
      <c r="T247" s="7">
        <f t="shared" si="47"/>
        <v>12071</v>
      </c>
    </row>
    <row r="248" spans="1:20">
      <c r="A248" s="23" t="s">
        <v>276</v>
      </c>
      <c r="B248" s="35" t="s">
        <v>273</v>
      </c>
      <c r="C248" s="36">
        <v>20735</v>
      </c>
      <c r="D248" s="6"/>
      <c r="E248" s="113">
        <v>1647900902</v>
      </c>
      <c r="F248" s="116">
        <f t="shared" si="51"/>
        <v>79474.362285989875</v>
      </c>
      <c r="G248" s="117">
        <v>1099663741</v>
      </c>
      <c r="H248" s="117">
        <f t="shared" si="52"/>
        <v>53034.180901856766</v>
      </c>
      <c r="I248" s="9"/>
      <c r="J248" s="10">
        <v>4.97</v>
      </c>
      <c r="K248" s="117">
        <v>5465329</v>
      </c>
      <c r="L248" s="120">
        <f t="shared" si="53"/>
        <v>263.57988907644079</v>
      </c>
      <c r="M248" s="122">
        <f t="shared" si="43"/>
        <v>10996637.41</v>
      </c>
      <c r="N248" s="116">
        <f t="shared" si="44"/>
        <v>5531308.4100000001</v>
      </c>
      <c r="O248" s="123">
        <f t="shared" si="45"/>
        <v>266.76191994212684</v>
      </c>
      <c r="P248" s="5"/>
      <c r="Q248" s="5">
        <f t="shared" si="49"/>
        <v>1</v>
      </c>
      <c r="R248" s="7">
        <f t="shared" si="50"/>
        <v>20735</v>
      </c>
      <c r="S248" s="5">
        <f t="shared" si="46"/>
        <v>1</v>
      </c>
      <c r="T248" s="7">
        <f t="shared" si="47"/>
        <v>20735</v>
      </c>
    </row>
    <row r="249" spans="1:20">
      <c r="A249" s="23" t="s">
        <v>277</v>
      </c>
      <c r="B249" s="35" t="s">
        <v>273</v>
      </c>
      <c r="C249" s="36">
        <v>590</v>
      </c>
      <c r="D249" s="6"/>
      <c r="E249" s="113">
        <v>20582468</v>
      </c>
      <c r="F249" s="116">
        <f t="shared" si="51"/>
        <v>34885.53898305085</v>
      </c>
      <c r="G249" s="117">
        <v>8791916</v>
      </c>
      <c r="H249" s="117">
        <f t="shared" si="52"/>
        <v>14901.552542372881</v>
      </c>
      <c r="I249" s="9" t="s">
        <v>528</v>
      </c>
      <c r="J249" s="10"/>
      <c r="K249" s="117"/>
      <c r="L249" s="120"/>
      <c r="M249" s="122">
        <f t="shared" si="43"/>
        <v>87919.16</v>
      </c>
      <c r="N249" s="116">
        <f t="shared" si="44"/>
        <v>87919.16</v>
      </c>
      <c r="O249" s="123">
        <f t="shared" si="45"/>
        <v>149.01552542372883</v>
      </c>
      <c r="P249" s="5"/>
      <c r="Q249" s="5">
        <f t="shared" si="49"/>
        <v>1</v>
      </c>
      <c r="R249" s="7">
        <f t="shared" si="50"/>
        <v>590</v>
      </c>
      <c r="S249" s="5">
        <f t="shared" si="46"/>
        <v>0</v>
      </c>
      <c r="T249" s="7">
        <f t="shared" si="47"/>
        <v>0</v>
      </c>
    </row>
    <row r="250" spans="1:20">
      <c r="A250" s="23" t="s">
        <v>278</v>
      </c>
      <c r="B250" s="35" t="s">
        <v>273</v>
      </c>
      <c r="C250" s="36">
        <v>4207</v>
      </c>
      <c r="D250" s="6"/>
      <c r="E250" s="113">
        <v>402369321</v>
      </c>
      <c r="F250" s="116">
        <f t="shared" si="51"/>
        <v>95642.814594723081</v>
      </c>
      <c r="G250" s="117">
        <v>284031669</v>
      </c>
      <c r="H250" s="117">
        <f t="shared" si="52"/>
        <v>67514.064416448775</v>
      </c>
      <c r="I250" s="7"/>
      <c r="J250" s="11">
        <v>3.5</v>
      </c>
      <c r="K250" s="117">
        <v>994111</v>
      </c>
      <c r="L250" s="120">
        <f t="shared" ref="L250:L274" si="54">(K250/C250)</f>
        <v>236.29926313287379</v>
      </c>
      <c r="M250" s="122">
        <f t="shared" si="43"/>
        <v>2840316.69</v>
      </c>
      <c r="N250" s="116">
        <f t="shared" si="44"/>
        <v>1846205.69</v>
      </c>
      <c r="O250" s="123">
        <f t="shared" si="45"/>
        <v>438.84138103161399</v>
      </c>
      <c r="P250" s="5"/>
      <c r="Q250" s="5">
        <f t="shared" si="49"/>
        <v>1</v>
      </c>
      <c r="R250" s="7">
        <f t="shared" si="50"/>
        <v>4207</v>
      </c>
      <c r="S250" s="5">
        <f t="shared" si="46"/>
        <v>1</v>
      </c>
      <c r="T250" s="7">
        <f t="shared" si="47"/>
        <v>4207</v>
      </c>
    </row>
    <row r="251" spans="1:20">
      <c r="A251" s="23" t="s">
        <v>279</v>
      </c>
      <c r="B251" s="35" t="s">
        <v>273</v>
      </c>
      <c r="C251" s="36">
        <v>13019</v>
      </c>
      <c r="D251" s="6"/>
      <c r="E251" s="113">
        <v>993206730</v>
      </c>
      <c r="F251" s="116">
        <f t="shared" si="51"/>
        <v>76289.018357784778</v>
      </c>
      <c r="G251" s="117">
        <v>654189636</v>
      </c>
      <c r="H251" s="117">
        <f t="shared" si="52"/>
        <v>50248.839081342652</v>
      </c>
      <c r="I251" s="7"/>
      <c r="J251" s="10">
        <v>3.5</v>
      </c>
      <c r="K251" s="117">
        <v>2289664</v>
      </c>
      <c r="L251" s="120">
        <f t="shared" si="54"/>
        <v>175.87095783086258</v>
      </c>
      <c r="M251" s="122">
        <f t="shared" si="43"/>
        <v>6541896.3600000003</v>
      </c>
      <c r="N251" s="116">
        <f t="shared" si="44"/>
        <v>4252232.3600000003</v>
      </c>
      <c r="O251" s="123">
        <f t="shared" si="45"/>
        <v>326.61743298256397</v>
      </c>
      <c r="P251" s="5"/>
      <c r="Q251" s="5">
        <f t="shared" si="49"/>
        <v>1</v>
      </c>
      <c r="R251" s="7">
        <f t="shared" si="50"/>
        <v>13019</v>
      </c>
      <c r="S251" s="5">
        <f t="shared" si="46"/>
        <v>1</v>
      </c>
      <c r="T251" s="7">
        <f t="shared" si="47"/>
        <v>13019</v>
      </c>
    </row>
    <row r="252" spans="1:20">
      <c r="A252" s="23" t="s">
        <v>280</v>
      </c>
      <c r="B252" s="35" t="s">
        <v>273</v>
      </c>
      <c r="C252" s="36">
        <v>727</v>
      </c>
      <c r="D252" s="6"/>
      <c r="E252" s="113">
        <v>118500785</v>
      </c>
      <c r="F252" s="116">
        <f t="shared" si="51"/>
        <v>162999.70426409904</v>
      </c>
      <c r="G252" s="117">
        <v>84275295</v>
      </c>
      <c r="H252" s="117">
        <f t="shared" si="52"/>
        <v>115922.00137551581</v>
      </c>
      <c r="I252" s="7"/>
      <c r="J252" s="10">
        <v>2.4</v>
      </c>
      <c r="K252" s="117">
        <v>202261</v>
      </c>
      <c r="L252" s="120">
        <f t="shared" si="54"/>
        <v>278.21320495185694</v>
      </c>
      <c r="M252" s="122">
        <f t="shared" si="43"/>
        <v>842752.95000000007</v>
      </c>
      <c r="N252" s="116">
        <f t="shared" si="44"/>
        <v>640491.95000000007</v>
      </c>
      <c r="O252" s="123">
        <f t="shared" si="45"/>
        <v>881.00680880330128</v>
      </c>
      <c r="P252" s="5"/>
      <c r="Q252" s="5">
        <f t="shared" si="49"/>
        <v>1</v>
      </c>
      <c r="R252" s="7">
        <f t="shared" si="50"/>
        <v>727</v>
      </c>
      <c r="S252" s="5">
        <f t="shared" si="46"/>
        <v>1</v>
      </c>
      <c r="T252" s="7">
        <f t="shared" si="47"/>
        <v>727</v>
      </c>
    </row>
    <row r="253" spans="1:20">
      <c r="A253" s="23" t="s">
        <v>281</v>
      </c>
      <c r="B253" s="35" t="s">
        <v>273</v>
      </c>
      <c r="C253" s="36">
        <v>6486</v>
      </c>
      <c r="D253" s="6"/>
      <c r="E253" s="113">
        <v>304893582</v>
      </c>
      <c r="F253" s="116">
        <f t="shared" si="51"/>
        <v>47007.952821461608</v>
      </c>
      <c r="G253" s="117">
        <v>172806286</v>
      </c>
      <c r="H253" s="117">
        <f t="shared" si="52"/>
        <v>26642.967314215231</v>
      </c>
      <c r="I253" s="7"/>
      <c r="J253" s="10">
        <v>3.99</v>
      </c>
      <c r="K253" s="117">
        <v>689497</v>
      </c>
      <c r="L253" s="120">
        <f t="shared" si="54"/>
        <v>106.30542707369719</v>
      </c>
      <c r="M253" s="122">
        <f t="shared" si="43"/>
        <v>1728062.86</v>
      </c>
      <c r="N253" s="116">
        <f t="shared" si="44"/>
        <v>1038565.8600000001</v>
      </c>
      <c r="O253" s="123">
        <f t="shared" si="45"/>
        <v>160.12424606845514</v>
      </c>
      <c r="P253" s="5"/>
      <c r="Q253" s="5">
        <f t="shared" si="49"/>
        <v>1</v>
      </c>
      <c r="R253" s="7">
        <f t="shared" si="50"/>
        <v>6486</v>
      </c>
      <c r="S253" s="5">
        <f t="shared" si="46"/>
        <v>1</v>
      </c>
      <c r="T253" s="7">
        <f t="shared" si="47"/>
        <v>6486</v>
      </c>
    </row>
    <row r="254" spans="1:20">
      <c r="A254" s="23" t="s">
        <v>282</v>
      </c>
      <c r="B254" s="35" t="s">
        <v>282</v>
      </c>
      <c r="C254" s="36">
        <v>5443</v>
      </c>
      <c r="D254" s="6"/>
      <c r="E254" s="113">
        <v>411563071</v>
      </c>
      <c r="F254" s="116">
        <f t="shared" si="51"/>
        <v>75613.277787984567</v>
      </c>
      <c r="G254" s="117">
        <v>293842487</v>
      </c>
      <c r="H254" s="117">
        <f t="shared" si="52"/>
        <v>53985.391695756014</v>
      </c>
      <c r="I254" s="7"/>
      <c r="J254" s="10">
        <v>7.1898999999999997</v>
      </c>
      <c r="K254" s="117">
        <v>2112698</v>
      </c>
      <c r="L254" s="120">
        <f t="shared" si="54"/>
        <v>388.14954988058054</v>
      </c>
      <c r="M254" s="122">
        <f t="shared" si="43"/>
        <v>2938424.87</v>
      </c>
      <c r="N254" s="116">
        <f t="shared" si="44"/>
        <v>825726.87000000011</v>
      </c>
      <c r="O254" s="123">
        <f t="shared" si="45"/>
        <v>151.70436707697962</v>
      </c>
      <c r="P254" s="5"/>
      <c r="Q254" s="5">
        <f t="shared" si="49"/>
        <v>1</v>
      </c>
      <c r="R254" s="7">
        <f t="shared" si="50"/>
        <v>5443</v>
      </c>
      <c r="S254" s="5">
        <f t="shared" si="46"/>
        <v>1</v>
      </c>
      <c r="T254" s="7">
        <f t="shared" si="47"/>
        <v>5443</v>
      </c>
    </row>
    <row r="255" spans="1:20">
      <c r="A255" s="23" t="s">
        <v>283</v>
      </c>
      <c r="B255" s="35" t="s">
        <v>284</v>
      </c>
      <c r="C255" s="36">
        <v>34801</v>
      </c>
      <c r="D255" s="6"/>
      <c r="E255" s="113">
        <v>2482713965</v>
      </c>
      <c r="F255" s="116">
        <f t="shared" si="51"/>
        <v>71340.305307318762</v>
      </c>
      <c r="G255" s="117">
        <v>1829600625</v>
      </c>
      <c r="H255" s="117">
        <f t="shared" si="52"/>
        <v>52573.219878739117</v>
      </c>
      <c r="I255" s="7"/>
      <c r="J255" s="10">
        <v>3.7618999999999998</v>
      </c>
      <c r="K255" s="117">
        <v>6882775</v>
      </c>
      <c r="L255" s="120">
        <f t="shared" si="54"/>
        <v>197.77520760897676</v>
      </c>
      <c r="M255" s="122">
        <f t="shared" si="43"/>
        <v>18296006.25</v>
      </c>
      <c r="N255" s="116">
        <f t="shared" si="44"/>
        <v>11413231.25</v>
      </c>
      <c r="O255" s="123">
        <f t="shared" si="45"/>
        <v>327.9569911784144</v>
      </c>
      <c r="P255" s="5"/>
      <c r="Q255" s="5">
        <f t="shared" si="49"/>
        <v>1</v>
      </c>
      <c r="R255" s="7">
        <f t="shared" si="50"/>
        <v>34801</v>
      </c>
      <c r="S255" s="5">
        <f t="shared" si="46"/>
        <v>1</v>
      </c>
      <c r="T255" s="7">
        <f t="shared" si="47"/>
        <v>34801</v>
      </c>
    </row>
    <row r="256" spans="1:20">
      <c r="A256" s="23" t="s">
        <v>285</v>
      </c>
      <c r="B256" s="35" t="s">
        <v>284</v>
      </c>
      <c r="C256" s="36">
        <v>28</v>
      </c>
      <c r="D256" s="6"/>
      <c r="E256" s="113">
        <v>4280293491</v>
      </c>
      <c r="F256" s="116">
        <f t="shared" si="51"/>
        <v>152867624.67857143</v>
      </c>
      <c r="G256" s="117">
        <v>4101884983</v>
      </c>
      <c r="H256" s="117">
        <f t="shared" si="52"/>
        <v>146495892.25</v>
      </c>
      <c r="I256" s="7"/>
      <c r="J256" s="10">
        <v>1.2</v>
      </c>
      <c r="K256" s="117">
        <v>4922262</v>
      </c>
      <c r="L256" s="120">
        <f t="shared" si="54"/>
        <v>175795.07142857142</v>
      </c>
      <c r="M256" s="122">
        <f t="shared" si="43"/>
        <v>41018849.829999998</v>
      </c>
      <c r="N256" s="116">
        <f t="shared" si="44"/>
        <v>36096587.829999998</v>
      </c>
      <c r="O256" s="123">
        <f t="shared" si="45"/>
        <v>1289163.8510714285</v>
      </c>
      <c r="P256" s="5"/>
      <c r="Q256" s="5">
        <f t="shared" si="49"/>
        <v>1</v>
      </c>
      <c r="R256" s="7">
        <f t="shared" si="50"/>
        <v>28</v>
      </c>
      <c r="S256" s="5">
        <f t="shared" si="46"/>
        <v>1</v>
      </c>
      <c r="T256" s="7">
        <f t="shared" si="47"/>
        <v>28</v>
      </c>
    </row>
    <row r="257" spans="1:20">
      <c r="A257" s="23" t="s">
        <v>286</v>
      </c>
      <c r="B257" s="35" t="s">
        <v>284</v>
      </c>
      <c r="C257" s="36">
        <v>5974</v>
      </c>
      <c r="D257" s="6"/>
      <c r="E257" s="113">
        <v>699333981</v>
      </c>
      <c r="F257" s="116">
        <f t="shared" si="51"/>
        <v>117062.93622363576</v>
      </c>
      <c r="G257" s="117">
        <v>496161895</v>
      </c>
      <c r="H257" s="117">
        <f t="shared" si="52"/>
        <v>83053.547874121185</v>
      </c>
      <c r="I257" s="7"/>
      <c r="J257" s="10">
        <v>3.6655000000000002</v>
      </c>
      <c r="K257" s="117">
        <v>1818681</v>
      </c>
      <c r="L257" s="120">
        <f t="shared" si="54"/>
        <v>304.43270840308003</v>
      </c>
      <c r="M257" s="122">
        <f t="shared" si="43"/>
        <v>4961618.95</v>
      </c>
      <c r="N257" s="116">
        <f t="shared" si="44"/>
        <v>3142937.95</v>
      </c>
      <c r="O257" s="123">
        <f t="shared" si="45"/>
        <v>526.1027703381319</v>
      </c>
      <c r="P257" s="5"/>
      <c r="Q257" s="5">
        <f t="shared" si="49"/>
        <v>1</v>
      </c>
      <c r="R257" s="7">
        <f t="shared" si="50"/>
        <v>5974</v>
      </c>
      <c r="S257" s="5">
        <f t="shared" si="46"/>
        <v>1</v>
      </c>
      <c r="T257" s="7">
        <f t="shared" si="47"/>
        <v>5974</v>
      </c>
    </row>
    <row r="258" spans="1:20">
      <c r="A258" s="23" t="s">
        <v>287</v>
      </c>
      <c r="B258" s="35" t="s">
        <v>284</v>
      </c>
      <c r="C258" s="36">
        <v>2474</v>
      </c>
      <c r="D258" s="6"/>
      <c r="E258" s="113">
        <v>243518202</v>
      </c>
      <c r="F258" s="116">
        <f t="shared" si="51"/>
        <v>98430.96281325788</v>
      </c>
      <c r="G258" s="117">
        <v>194604054</v>
      </c>
      <c r="H258" s="117">
        <f t="shared" si="52"/>
        <v>78659.682295877123</v>
      </c>
      <c r="I258" s="7"/>
      <c r="J258" s="10">
        <v>6.9039999999999999</v>
      </c>
      <c r="K258" s="117">
        <v>1343546</v>
      </c>
      <c r="L258" s="120">
        <f t="shared" si="54"/>
        <v>543.06628940986252</v>
      </c>
      <c r="M258" s="122">
        <f t="shared" si="43"/>
        <v>1946040.54</v>
      </c>
      <c r="N258" s="116">
        <f t="shared" si="44"/>
        <v>602494.54</v>
      </c>
      <c r="O258" s="123">
        <f t="shared" si="45"/>
        <v>243.53053354890866</v>
      </c>
      <c r="P258" s="5"/>
      <c r="Q258" s="5">
        <f t="shared" si="49"/>
        <v>1</v>
      </c>
      <c r="R258" s="7">
        <f t="shared" si="50"/>
        <v>2474</v>
      </c>
      <c r="S258" s="5">
        <f t="shared" si="46"/>
        <v>1</v>
      </c>
      <c r="T258" s="7">
        <f t="shared" si="47"/>
        <v>2474</v>
      </c>
    </row>
    <row r="259" spans="1:20">
      <c r="A259" s="23" t="s">
        <v>288</v>
      </c>
      <c r="B259" s="35" t="s">
        <v>284</v>
      </c>
      <c r="C259" s="36">
        <v>2160</v>
      </c>
      <c r="D259" s="6"/>
      <c r="E259" s="113">
        <v>295240982</v>
      </c>
      <c r="F259" s="116">
        <f t="shared" si="51"/>
        <v>136685.63981481481</v>
      </c>
      <c r="G259" s="117">
        <v>232767600</v>
      </c>
      <c r="H259" s="117">
        <f t="shared" si="52"/>
        <v>107762.77777777778</v>
      </c>
      <c r="I259" s="7"/>
      <c r="J259" s="10">
        <v>4.7</v>
      </c>
      <c r="K259" s="117">
        <v>1094008</v>
      </c>
      <c r="L259" s="120">
        <f t="shared" si="54"/>
        <v>506.48518518518517</v>
      </c>
      <c r="M259" s="122">
        <f t="shared" si="43"/>
        <v>2327676</v>
      </c>
      <c r="N259" s="116">
        <f t="shared" si="44"/>
        <v>1233668</v>
      </c>
      <c r="O259" s="123">
        <f t="shared" si="45"/>
        <v>571.14259259259256</v>
      </c>
      <c r="P259" s="5"/>
      <c r="Q259" s="5">
        <f t="shared" si="49"/>
        <v>1</v>
      </c>
      <c r="R259" s="7">
        <f t="shared" si="50"/>
        <v>2160</v>
      </c>
      <c r="S259" s="5">
        <f t="shared" si="46"/>
        <v>1</v>
      </c>
      <c r="T259" s="7">
        <f t="shared" si="47"/>
        <v>2160</v>
      </c>
    </row>
    <row r="260" spans="1:20">
      <c r="A260" s="23" t="s">
        <v>289</v>
      </c>
      <c r="B260" s="35" t="s">
        <v>284</v>
      </c>
      <c r="C260" s="36">
        <v>19</v>
      </c>
      <c r="D260" s="6"/>
      <c r="E260" s="113">
        <v>1527573247</v>
      </c>
      <c r="F260" s="116">
        <f t="shared" si="51"/>
        <v>80398591.947368428</v>
      </c>
      <c r="G260" s="117">
        <v>1475004026</v>
      </c>
      <c r="H260" s="117">
        <f t="shared" si="52"/>
        <v>77631790.842105269</v>
      </c>
      <c r="I260" s="7"/>
      <c r="J260" s="10">
        <v>1.3</v>
      </c>
      <c r="K260" s="117">
        <v>1917505</v>
      </c>
      <c r="L260" s="120">
        <f t="shared" si="54"/>
        <v>100921.31578947368</v>
      </c>
      <c r="M260" s="122">
        <f t="shared" si="43"/>
        <v>14750040.26</v>
      </c>
      <c r="N260" s="116">
        <f t="shared" si="44"/>
        <v>12832535.26</v>
      </c>
      <c r="O260" s="123">
        <f t="shared" si="45"/>
        <v>675396.59263157891</v>
      </c>
      <c r="P260" s="5"/>
      <c r="Q260" s="5">
        <f t="shared" si="49"/>
        <v>1</v>
      </c>
      <c r="R260" s="7">
        <f t="shared" si="50"/>
        <v>19</v>
      </c>
      <c r="S260" s="5">
        <f t="shared" si="46"/>
        <v>1</v>
      </c>
      <c r="T260" s="7">
        <f t="shared" si="47"/>
        <v>19</v>
      </c>
    </row>
    <row r="261" spans="1:20">
      <c r="A261" s="23" t="s">
        <v>290</v>
      </c>
      <c r="B261" s="35" t="s">
        <v>284</v>
      </c>
      <c r="C261" s="36">
        <v>15850</v>
      </c>
      <c r="D261" s="6"/>
      <c r="E261" s="113">
        <v>2472055483</v>
      </c>
      <c r="F261" s="116">
        <f t="shared" si="51"/>
        <v>155965.64561514196</v>
      </c>
      <c r="G261" s="117">
        <v>1954322556</v>
      </c>
      <c r="H261" s="117">
        <f t="shared" si="52"/>
        <v>123301.1076340694</v>
      </c>
      <c r="I261" s="7"/>
      <c r="J261" s="10">
        <v>3.8</v>
      </c>
      <c r="K261" s="117">
        <v>7426426</v>
      </c>
      <c r="L261" s="120">
        <f t="shared" si="54"/>
        <v>468.54422712933751</v>
      </c>
      <c r="M261" s="122">
        <f t="shared" si="43"/>
        <v>19543225.559999999</v>
      </c>
      <c r="N261" s="116">
        <f t="shared" si="44"/>
        <v>12116799.559999999</v>
      </c>
      <c r="O261" s="123">
        <f t="shared" si="45"/>
        <v>764.46684921135636</v>
      </c>
      <c r="P261" s="5"/>
      <c r="Q261" s="5">
        <f t="shared" si="49"/>
        <v>1</v>
      </c>
      <c r="R261" s="7">
        <f t="shared" si="50"/>
        <v>15850</v>
      </c>
      <c r="S261" s="5">
        <f t="shared" si="46"/>
        <v>1</v>
      </c>
      <c r="T261" s="7">
        <f t="shared" si="47"/>
        <v>15850</v>
      </c>
    </row>
    <row r="262" spans="1:20">
      <c r="A262" s="23" t="s">
        <v>291</v>
      </c>
      <c r="B262" s="35" t="s">
        <v>284</v>
      </c>
      <c r="C262" s="36">
        <v>1861</v>
      </c>
      <c r="D262" s="6"/>
      <c r="E262" s="113">
        <v>216556850</v>
      </c>
      <c r="F262" s="116">
        <f t="shared" si="51"/>
        <v>116365.85169263836</v>
      </c>
      <c r="G262" s="117">
        <v>168649184</v>
      </c>
      <c r="H262" s="117">
        <f t="shared" si="52"/>
        <v>90622.88232133261</v>
      </c>
      <c r="I262" s="7"/>
      <c r="J262" s="10">
        <v>4.9245000000000001</v>
      </c>
      <c r="K262" s="117">
        <v>830513</v>
      </c>
      <c r="L262" s="120">
        <f t="shared" si="54"/>
        <v>446.27243417517462</v>
      </c>
      <c r="M262" s="122">
        <f t="shared" ref="M262:M325" si="55">(G262*0.01)</f>
        <v>1686491.84</v>
      </c>
      <c r="N262" s="116">
        <f t="shared" ref="N262:N325" si="56">(M262-K262)</f>
        <v>855978.84000000008</v>
      </c>
      <c r="O262" s="123">
        <f t="shared" ref="O262:O325" si="57">(N262/C262)</f>
        <v>459.9563890381516</v>
      </c>
      <c r="P262" s="5"/>
      <c r="Q262" s="5">
        <f t="shared" si="49"/>
        <v>1</v>
      </c>
      <c r="R262" s="7">
        <f t="shared" si="50"/>
        <v>1861</v>
      </c>
      <c r="S262" s="5">
        <f t="shared" si="46"/>
        <v>1</v>
      </c>
      <c r="T262" s="7">
        <f t="shared" ref="T262:T325" si="58">IF(J262&gt;0,C262,0)</f>
        <v>1861</v>
      </c>
    </row>
    <row r="263" spans="1:20">
      <c r="A263" s="23" t="s">
        <v>292</v>
      </c>
      <c r="B263" s="35" t="s">
        <v>284</v>
      </c>
      <c r="C263" s="36">
        <v>30597</v>
      </c>
      <c r="D263" s="6"/>
      <c r="E263" s="113">
        <v>2252559778</v>
      </c>
      <c r="F263" s="116">
        <f t="shared" si="51"/>
        <v>73620.282315259668</v>
      </c>
      <c r="G263" s="117">
        <v>1637945011</v>
      </c>
      <c r="H263" s="117">
        <f t="shared" si="52"/>
        <v>53532.863058469782</v>
      </c>
      <c r="I263" s="7"/>
      <c r="J263" s="10">
        <v>4.8018000000000001</v>
      </c>
      <c r="K263" s="117">
        <v>7865084</v>
      </c>
      <c r="L263" s="120">
        <f t="shared" si="54"/>
        <v>257.05409027028793</v>
      </c>
      <c r="M263" s="122">
        <f t="shared" si="55"/>
        <v>16379450.110000001</v>
      </c>
      <c r="N263" s="116">
        <f t="shared" si="56"/>
        <v>8514366.1100000013</v>
      </c>
      <c r="O263" s="123">
        <f t="shared" si="57"/>
        <v>278.27454031440993</v>
      </c>
      <c r="P263" s="5"/>
      <c r="Q263" s="5">
        <f t="shared" ref="Q263:Q326" si="59">IF(E263&gt;0,1,0)</f>
        <v>1</v>
      </c>
      <c r="R263" s="7">
        <f t="shared" ref="R263:R326" si="60">IF(E263&gt;0,C263,0)</f>
        <v>30597</v>
      </c>
      <c r="S263" s="5">
        <f t="shared" si="46"/>
        <v>1</v>
      </c>
      <c r="T263" s="7">
        <f t="shared" si="58"/>
        <v>30597</v>
      </c>
    </row>
    <row r="264" spans="1:20">
      <c r="A264" s="23" t="s">
        <v>293</v>
      </c>
      <c r="B264" s="35" t="s">
        <v>284</v>
      </c>
      <c r="C264" s="36">
        <v>217567</v>
      </c>
      <c r="D264" s="6"/>
      <c r="E264" s="113">
        <v>25653233105</v>
      </c>
      <c r="F264" s="116">
        <f t="shared" si="51"/>
        <v>117909.57776225255</v>
      </c>
      <c r="G264" s="117">
        <v>16910109290</v>
      </c>
      <c r="H264" s="117">
        <f t="shared" si="52"/>
        <v>77723.686450610621</v>
      </c>
      <c r="I264" s="7"/>
      <c r="J264" s="10">
        <v>5.6916000000000002</v>
      </c>
      <c r="K264" s="117">
        <v>96245578</v>
      </c>
      <c r="L264" s="120">
        <f t="shared" si="54"/>
        <v>442.37213364159089</v>
      </c>
      <c r="M264" s="122">
        <f t="shared" si="55"/>
        <v>169101092.90000001</v>
      </c>
      <c r="N264" s="116">
        <f t="shared" si="56"/>
        <v>72855514.900000006</v>
      </c>
      <c r="O264" s="123">
        <f t="shared" si="57"/>
        <v>334.86473086451531</v>
      </c>
      <c r="P264" s="5"/>
      <c r="Q264" s="5">
        <f t="shared" si="59"/>
        <v>1</v>
      </c>
      <c r="R264" s="7">
        <f t="shared" si="60"/>
        <v>217567</v>
      </c>
      <c r="S264" s="5">
        <f t="shared" si="46"/>
        <v>1</v>
      </c>
      <c r="T264" s="7">
        <f t="shared" si="58"/>
        <v>217567</v>
      </c>
    </row>
    <row r="265" spans="1:20">
      <c r="A265" s="23" t="s">
        <v>294</v>
      </c>
      <c r="B265" s="35" t="s">
        <v>284</v>
      </c>
      <c r="C265" s="36">
        <v>2443</v>
      </c>
      <c r="D265" s="6"/>
      <c r="E265" s="113">
        <v>526139357</v>
      </c>
      <c r="F265" s="116">
        <f t="shared" si="51"/>
        <v>215366.08964388046</v>
      </c>
      <c r="G265" s="117">
        <v>393673520</v>
      </c>
      <c r="H265" s="117">
        <f t="shared" si="52"/>
        <v>161143.47932869423</v>
      </c>
      <c r="I265" s="7"/>
      <c r="J265" s="10">
        <v>3.95</v>
      </c>
      <c r="K265" s="117">
        <v>1555010</v>
      </c>
      <c r="L265" s="120">
        <f t="shared" si="54"/>
        <v>636.51657797789608</v>
      </c>
      <c r="M265" s="122">
        <f t="shared" si="55"/>
        <v>3936735.2</v>
      </c>
      <c r="N265" s="116">
        <f t="shared" si="56"/>
        <v>2381725.2000000002</v>
      </c>
      <c r="O265" s="123">
        <f t="shared" si="57"/>
        <v>974.91821530904633</v>
      </c>
      <c r="P265" s="5"/>
      <c r="Q265" s="5">
        <f t="shared" si="59"/>
        <v>1</v>
      </c>
      <c r="R265" s="7">
        <f t="shared" si="60"/>
        <v>2443</v>
      </c>
      <c r="S265" s="5">
        <f t="shared" ref="S265:S328" si="61">IF(J265&gt;0,1,0)</f>
        <v>1</v>
      </c>
      <c r="T265" s="7">
        <f t="shared" si="58"/>
        <v>2443</v>
      </c>
    </row>
    <row r="266" spans="1:20">
      <c r="A266" s="23" t="s">
        <v>295</v>
      </c>
      <c r="B266" s="35" t="s">
        <v>284</v>
      </c>
      <c r="C266" s="36">
        <v>24610</v>
      </c>
      <c r="D266" s="6"/>
      <c r="E266" s="113">
        <v>1816650467</v>
      </c>
      <c r="F266" s="116">
        <f t="shared" si="51"/>
        <v>73817.572815928477</v>
      </c>
      <c r="G266" s="117">
        <v>1390178568</v>
      </c>
      <c r="H266" s="117">
        <f t="shared" si="52"/>
        <v>56488.361154002436</v>
      </c>
      <c r="I266" s="7"/>
      <c r="J266" s="10">
        <v>4.3040000000000003</v>
      </c>
      <c r="K266" s="117">
        <v>5983329</v>
      </c>
      <c r="L266" s="120">
        <f t="shared" si="54"/>
        <v>243.1259244209671</v>
      </c>
      <c r="M266" s="122">
        <f t="shared" si="55"/>
        <v>13901785.68</v>
      </c>
      <c r="N266" s="116">
        <f t="shared" si="56"/>
        <v>7918456.6799999997</v>
      </c>
      <c r="O266" s="123">
        <f t="shared" si="57"/>
        <v>321.75768711905727</v>
      </c>
      <c r="P266" s="5"/>
      <c r="Q266" s="5">
        <f t="shared" si="59"/>
        <v>1</v>
      </c>
      <c r="R266" s="7">
        <f t="shared" si="60"/>
        <v>24610</v>
      </c>
      <c r="S266" s="5">
        <f t="shared" si="61"/>
        <v>1</v>
      </c>
      <c r="T266" s="7">
        <f t="shared" si="58"/>
        <v>24610</v>
      </c>
    </row>
    <row r="267" spans="1:20">
      <c r="A267" s="23" t="s">
        <v>296</v>
      </c>
      <c r="B267" s="35" t="s">
        <v>284</v>
      </c>
      <c r="C267" s="36">
        <v>27868</v>
      </c>
      <c r="D267" s="6"/>
      <c r="E267" s="113">
        <v>4695098135</v>
      </c>
      <c r="F267" s="116">
        <f t="shared" si="51"/>
        <v>168476.32176690109</v>
      </c>
      <c r="G267" s="117">
        <v>3401497446</v>
      </c>
      <c r="H267" s="117">
        <f t="shared" si="52"/>
        <v>122057.46540835367</v>
      </c>
      <c r="I267" s="7"/>
      <c r="J267" s="10">
        <v>4.6980000000000004</v>
      </c>
      <c r="K267" s="117">
        <v>15980235</v>
      </c>
      <c r="L267" s="120">
        <f t="shared" si="54"/>
        <v>573.42597244151</v>
      </c>
      <c r="M267" s="122">
        <f t="shared" si="55"/>
        <v>34014974.460000001</v>
      </c>
      <c r="N267" s="116">
        <f t="shared" si="56"/>
        <v>18034739.460000001</v>
      </c>
      <c r="O267" s="123">
        <f t="shared" si="57"/>
        <v>647.14868164202676</v>
      </c>
      <c r="P267" s="5"/>
      <c r="Q267" s="5">
        <f t="shared" si="59"/>
        <v>1</v>
      </c>
      <c r="R267" s="7">
        <f t="shared" si="60"/>
        <v>27868</v>
      </c>
      <c r="S267" s="5">
        <f t="shared" si="61"/>
        <v>1</v>
      </c>
      <c r="T267" s="7">
        <f t="shared" si="58"/>
        <v>27868</v>
      </c>
    </row>
    <row r="268" spans="1:20">
      <c r="A268" s="23" t="s">
        <v>297</v>
      </c>
      <c r="B268" s="35" t="s">
        <v>298</v>
      </c>
      <c r="C268" s="36">
        <v>58223</v>
      </c>
      <c r="D268" s="6"/>
      <c r="E268" s="113">
        <v>3414247729</v>
      </c>
      <c r="F268" s="116">
        <f t="shared" si="51"/>
        <v>58640.876097075037</v>
      </c>
      <c r="G268" s="117">
        <v>2489644647</v>
      </c>
      <c r="H268" s="117">
        <f t="shared" si="52"/>
        <v>42760.500953231538</v>
      </c>
      <c r="I268" s="7"/>
      <c r="J268" s="10">
        <v>5.5453000000000001</v>
      </c>
      <c r="K268" s="117">
        <v>13805826</v>
      </c>
      <c r="L268" s="120">
        <f t="shared" si="54"/>
        <v>237.11979801796542</v>
      </c>
      <c r="M268" s="122">
        <f t="shared" si="55"/>
        <v>24896446.469999999</v>
      </c>
      <c r="N268" s="116">
        <f t="shared" si="56"/>
        <v>11090620.469999999</v>
      </c>
      <c r="O268" s="123">
        <f t="shared" si="57"/>
        <v>190.48521151434997</v>
      </c>
      <c r="P268" s="5"/>
      <c r="Q268" s="5">
        <f t="shared" si="59"/>
        <v>1</v>
      </c>
      <c r="R268" s="7">
        <f t="shared" si="60"/>
        <v>58223</v>
      </c>
      <c r="S268" s="5">
        <f t="shared" si="61"/>
        <v>1</v>
      </c>
      <c r="T268" s="7">
        <f t="shared" si="58"/>
        <v>58223</v>
      </c>
    </row>
    <row r="269" spans="1:20">
      <c r="A269" s="23" t="s">
        <v>546</v>
      </c>
      <c r="B269" s="35" t="s">
        <v>298</v>
      </c>
      <c r="C269" s="36">
        <v>24700</v>
      </c>
      <c r="D269" s="6"/>
      <c r="E269" s="113">
        <v>1558542632</v>
      </c>
      <c r="F269" s="116">
        <f t="shared" si="51"/>
        <v>63098.891983805668</v>
      </c>
      <c r="G269" s="117">
        <v>1065526266</v>
      </c>
      <c r="H269" s="117">
        <f t="shared" si="52"/>
        <v>43138.715222672065</v>
      </c>
      <c r="I269" s="7"/>
      <c r="J269" s="10">
        <v>4.1790000000000003</v>
      </c>
      <c r="K269" s="117">
        <v>4452834</v>
      </c>
      <c r="L269" s="120">
        <f t="shared" si="54"/>
        <v>180.27668016194332</v>
      </c>
      <c r="M269" s="122">
        <f t="shared" si="55"/>
        <v>10655262.66</v>
      </c>
      <c r="N269" s="116">
        <f t="shared" si="56"/>
        <v>6202428.6600000001</v>
      </c>
      <c r="O269" s="123">
        <f t="shared" si="57"/>
        <v>251.11047206477733</v>
      </c>
      <c r="P269" s="5"/>
      <c r="Q269" s="5">
        <f t="shared" si="59"/>
        <v>1</v>
      </c>
      <c r="R269" s="7">
        <f t="shared" si="60"/>
        <v>24700</v>
      </c>
      <c r="S269" s="5">
        <f t="shared" si="61"/>
        <v>1</v>
      </c>
      <c r="T269" s="7">
        <f t="shared" si="58"/>
        <v>24700</v>
      </c>
    </row>
    <row r="270" spans="1:20">
      <c r="A270" s="23" t="s">
        <v>299</v>
      </c>
      <c r="B270" s="35" t="s">
        <v>300</v>
      </c>
      <c r="C270" s="36">
        <v>2151</v>
      </c>
      <c r="D270" s="6"/>
      <c r="E270" s="113">
        <v>529049359</v>
      </c>
      <c r="F270" s="116">
        <f t="shared" si="51"/>
        <v>245955.07159460717</v>
      </c>
      <c r="G270" s="117">
        <v>431802173</v>
      </c>
      <c r="H270" s="117">
        <f t="shared" si="52"/>
        <v>200744.85030218502</v>
      </c>
      <c r="I270" s="7"/>
      <c r="J270" s="10">
        <v>6.4082999999999997</v>
      </c>
      <c r="K270" s="117">
        <v>2767118</v>
      </c>
      <c r="L270" s="120">
        <f t="shared" si="54"/>
        <v>1286.4332868433287</v>
      </c>
      <c r="M270" s="122">
        <f t="shared" si="55"/>
        <v>4318021.7300000004</v>
      </c>
      <c r="N270" s="116">
        <f t="shared" si="56"/>
        <v>1550903.7300000004</v>
      </c>
      <c r="O270" s="123">
        <f t="shared" si="57"/>
        <v>721.01521617852188</v>
      </c>
      <c r="P270" s="5"/>
      <c r="Q270" s="5">
        <f t="shared" si="59"/>
        <v>1</v>
      </c>
      <c r="R270" s="7">
        <f t="shared" si="60"/>
        <v>2151</v>
      </c>
      <c r="S270" s="5">
        <f t="shared" si="61"/>
        <v>1</v>
      </c>
      <c r="T270" s="7">
        <f t="shared" si="58"/>
        <v>2151</v>
      </c>
    </row>
    <row r="271" spans="1:20">
      <c r="A271" s="23" t="s">
        <v>301</v>
      </c>
      <c r="B271" s="35" t="s">
        <v>300</v>
      </c>
      <c r="C271" s="36">
        <v>14994</v>
      </c>
      <c r="D271" s="6"/>
      <c r="E271" s="113">
        <v>469768062</v>
      </c>
      <c r="F271" s="116">
        <f t="shared" si="51"/>
        <v>31330.402961184474</v>
      </c>
      <c r="G271" s="117">
        <v>262727994</v>
      </c>
      <c r="H271" s="117">
        <f t="shared" si="52"/>
        <v>17522.208483393359</v>
      </c>
      <c r="I271" s="7"/>
      <c r="J271" s="10">
        <v>9.41</v>
      </c>
      <c r="K271" s="117">
        <v>2472270</v>
      </c>
      <c r="L271" s="120">
        <f t="shared" si="54"/>
        <v>164.88395358143256</v>
      </c>
      <c r="M271" s="122">
        <f t="shared" si="55"/>
        <v>2627279.94</v>
      </c>
      <c r="N271" s="116">
        <f t="shared" si="56"/>
        <v>155009.93999999994</v>
      </c>
      <c r="O271" s="123">
        <f t="shared" si="57"/>
        <v>10.338131252500997</v>
      </c>
      <c r="P271" s="5"/>
      <c r="Q271" s="5">
        <f t="shared" si="59"/>
        <v>1</v>
      </c>
      <c r="R271" s="7">
        <f t="shared" si="60"/>
        <v>14994</v>
      </c>
      <c r="S271" s="5">
        <f t="shared" si="61"/>
        <v>1</v>
      </c>
      <c r="T271" s="7">
        <f t="shared" si="58"/>
        <v>14994</v>
      </c>
    </row>
    <row r="272" spans="1:20">
      <c r="A272" s="23" t="s">
        <v>302</v>
      </c>
      <c r="B272" s="35" t="s">
        <v>300</v>
      </c>
      <c r="C272" s="36">
        <v>85311</v>
      </c>
      <c r="D272" s="6"/>
      <c r="E272" s="113">
        <v>21961292300</v>
      </c>
      <c r="F272" s="116">
        <f t="shared" si="51"/>
        <v>257426.26742155175</v>
      </c>
      <c r="G272" s="117">
        <v>16624249945</v>
      </c>
      <c r="H272" s="117">
        <f t="shared" si="52"/>
        <v>194866.42924124672</v>
      </c>
      <c r="I272" s="7"/>
      <c r="J272" s="10">
        <v>3.36</v>
      </c>
      <c r="K272" s="117">
        <v>55857480</v>
      </c>
      <c r="L272" s="120">
        <f t="shared" si="54"/>
        <v>654.75120441678098</v>
      </c>
      <c r="M272" s="122">
        <f t="shared" si="55"/>
        <v>166242499.45000002</v>
      </c>
      <c r="N272" s="116">
        <f t="shared" si="56"/>
        <v>110385019.45000002</v>
      </c>
      <c r="O272" s="123">
        <f t="shared" si="57"/>
        <v>1293.9130879956865</v>
      </c>
      <c r="P272" s="5"/>
      <c r="Q272" s="5">
        <f t="shared" si="59"/>
        <v>1</v>
      </c>
      <c r="R272" s="7">
        <f t="shared" si="60"/>
        <v>85311</v>
      </c>
      <c r="S272" s="5">
        <f t="shared" si="61"/>
        <v>1</v>
      </c>
      <c r="T272" s="7">
        <f t="shared" si="58"/>
        <v>85311</v>
      </c>
    </row>
    <row r="273" spans="1:20">
      <c r="A273" s="23" t="s">
        <v>303</v>
      </c>
      <c r="B273" s="35" t="s">
        <v>300</v>
      </c>
      <c r="C273" s="36">
        <v>65601</v>
      </c>
      <c r="D273" s="6"/>
      <c r="E273" s="113">
        <v>6147670940</v>
      </c>
      <c r="F273" s="116">
        <f t="shared" si="51"/>
        <v>93713.067483727384</v>
      </c>
      <c r="G273" s="117">
        <v>4224788931</v>
      </c>
      <c r="H273" s="117">
        <f t="shared" si="52"/>
        <v>64401.288562674352</v>
      </c>
      <c r="I273" s="9"/>
      <c r="J273" s="10">
        <v>7.5</v>
      </c>
      <c r="K273" s="117">
        <v>31685917</v>
      </c>
      <c r="L273" s="120">
        <f t="shared" si="54"/>
        <v>483.00966448682186</v>
      </c>
      <c r="M273" s="122">
        <f t="shared" si="55"/>
        <v>42247889.310000002</v>
      </c>
      <c r="N273" s="116">
        <f t="shared" si="56"/>
        <v>10561972.310000002</v>
      </c>
      <c r="O273" s="123">
        <f t="shared" si="57"/>
        <v>161.00322113992169</v>
      </c>
      <c r="P273" s="5"/>
      <c r="Q273" s="5">
        <f t="shared" si="59"/>
        <v>1</v>
      </c>
      <c r="R273" s="7">
        <f t="shared" si="60"/>
        <v>65601</v>
      </c>
      <c r="S273" s="5">
        <f t="shared" si="61"/>
        <v>1</v>
      </c>
      <c r="T273" s="7">
        <f t="shared" si="58"/>
        <v>65601</v>
      </c>
    </row>
    <row r="274" spans="1:20">
      <c r="A274" s="23" t="s">
        <v>304</v>
      </c>
      <c r="B274" s="35" t="s">
        <v>300</v>
      </c>
      <c r="C274" s="36">
        <v>417</v>
      </c>
      <c r="D274" s="6"/>
      <c r="E274" s="113">
        <v>42942925</v>
      </c>
      <c r="F274" s="116">
        <f t="shared" si="51"/>
        <v>102980.63549160672</v>
      </c>
      <c r="G274" s="117">
        <v>34551988</v>
      </c>
      <c r="H274" s="117">
        <f t="shared" si="52"/>
        <v>82858.484412470018</v>
      </c>
      <c r="I274" s="9"/>
      <c r="J274" s="10">
        <v>3.2991999999999999</v>
      </c>
      <c r="K274" s="117">
        <v>113994</v>
      </c>
      <c r="L274" s="120">
        <f t="shared" si="54"/>
        <v>273.36690647482015</v>
      </c>
      <c r="M274" s="122">
        <f t="shared" si="55"/>
        <v>345519.88</v>
      </c>
      <c r="N274" s="116">
        <f t="shared" si="56"/>
        <v>231525.88</v>
      </c>
      <c r="O274" s="123">
        <f t="shared" si="57"/>
        <v>555.21793764988013</v>
      </c>
      <c r="P274" s="5"/>
      <c r="Q274" s="5">
        <f t="shared" si="59"/>
        <v>1</v>
      </c>
      <c r="R274" s="7">
        <f t="shared" si="60"/>
        <v>417</v>
      </c>
      <c r="S274" s="5">
        <f t="shared" si="61"/>
        <v>1</v>
      </c>
      <c r="T274" s="7">
        <f t="shared" si="58"/>
        <v>417</v>
      </c>
    </row>
    <row r="275" spans="1:20">
      <c r="A275" s="23" t="s">
        <v>305</v>
      </c>
      <c r="B275" s="35" t="s">
        <v>300</v>
      </c>
      <c r="C275" s="36">
        <v>167</v>
      </c>
      <c r="D275" s="6"/>
      <c r="E275" s="113">
        <v>8766468</v>
      </c>
      <c r="F275" s="116">
        <f t="shared" si="51"/>
        <v>52493.820359281439</v>
      </c>
      <c r="G275" s="117">
        <v>6014988</v>
      </c>
      <c r="H275" s="117">
        <f t="shared" si="52"/>
        <v>36017.892215568863</v>
      </c>
      <c r="I275" s="9" t="s">
        <v>528</v>
      </c>
      <c r="J275" s="10"/>
      <c r="K275" s="117"/>
      <c r="L275" s="120"/>
      <c r="M275" s="122">
        <f t="shared" si="55"/>
        <v>60149.880000000005</v>
      </c>
      <c r="N275" s="116">
        <f t="shared" si="56"/>
        <v>60149.880000000005</v>
      </c>
      <c r="O275" s="123">
        <f t="shared" si="57"/>
        <v>360.17892215568867</v>
      </c>
      <c r="P275" s="5"/>
      <c r="Q275" s="5">
        <f t="shared" si="59"/>
        <v>1</v>
      </c>
      <c r="R275" s="7">
        <f t="shared" si="60"/>
        <v>167</v>
      </c>
      <c r="S275" s="5">
        <f t="shared" si="61"/>
        <v>0</v>
      </c>
      <c r="T275" s="7">
        <f t="shared" si="58"/>
        <v>0</v>
      </c>
    </row>
    <row r="276" spans="1:20">
      <c r="A276" s="23" t="s">
        <v>306</v>
      </c>
      <c r="B276" s="35" t="s">
        <v>300</v>
      </c>
      <c r="C276" s="36">
        <v>63888</v>
      </c>
      <c r="D276" s="6"/>
      <c r="E276" s="113">
        <v>8824861268</v>
      </c>
      <c r="F276" s="116">
        <f t="shared" si="51"/>
        <v>138130.18513648884</v>
      </c>
      <c r="G276" s="117">
        <v>6451499363</v>
      </c>
      <c r="H276" s="117">
        <f t="shared" si="52"/>
        <v>100981.39498810418</v>
      </c>
      <c r="I276" s="9"/>
      <c r="J276" s="11">
        <v>7.45</v>
      </c>
      <c r="K276" s="117">
        <v>48063670</v>
      </c>
      <c r="L276" s="120">
        <f>(K276/C276)</f>
        <v>752.31138868019036</v>
      </c>
      <c r="M276" s="122">
        <f t="shared" si="55"/>
        <v>64514993.630000003</v>
      </c>
      <c r="N276" s="116">
        <f t="shared" si="56"/>
        <v>16451323.630000003</v>
      </c>
      <c r="O276" s="123">
        <f t="shared" si="57"/>
        <v>257.50256120085152</v>
      </c>
      <c r="P276" s="5"/>
      <c r="Q276" s="5">
        <f t="shared" si="59"/>
        <v>1</v>
      </c>
      <c r="R276" s="7">
        <f t="shared" si="60"/>
        <v>63888</v>
      </c>
      <c r="S276" s="5">
        <f t="shared" si="61"/>
        <v>1</v>
      </c>
      <c r="T276" s="7">
        <f t="shared" si="58"/>
        <v>63888</v>
      </c>
    </row>
    <row r="277" spans="1:20">
      <c r="A277" s="23" t="s">
        <v>307</v>
      </c>
      <c r="B277" s="35" t="s">
        <v>300</v>
      </c>
      <c r="C277" s="36">
        <v>273</v>
      </c>
      <c r="D277" s="6"/>
      <c r="E277" s="113">
        <v>24493827</v>
      </c>
      <c r="F277" s="116">
        <f t="shared" si="51"/>
        <v>89720.978021978022</v>
      </c>
      <c r="G277" s="117">
        <v>15424663</v>
      </c>
      <c r="H277" s="117">
        <f t="shared" si="52"/>
        <v>56500.597069597068</v>
      </c>
      <c r="I277" s="9" t="s">
        <v>528</v>
      </c>
      <c r="J277" s="10"/>
      <c r="K277" s="117"/>
      <c r="L277" s="120"/>
      <c r="M277" s="122">
        <f t="shared" si="55"/>
        <v>154246.63</v>
      </c>
      <c r="N277" s="116">
        <f t="shared" si="56"/>
        <v>154246.63</v>
      </c>
      <c r="O277" s="123">
        <f t="shared" si="57"/>
        <v>565.00597069597075</v>
      </c>
      <c r="P277" s="5"/>
      <c r="Q277" s="5">
        <f t="shared" si="59"/>
        <v>1</v>
      </c>
      <c r="R277" s="7">
        <f t="shared" si="60"/>
        <v>273</v>
      </c>
      <c r="S277" s="5">
        <f t="shared" si="61"/>
        <v>0</v>
      </c>
      <c r="T277" s="7">
        <f t="shared" si="58"/>
        <v>0</v>
      </c>
    </row>
    <row r="278" spans="1:20">
      <c r="A278" s="23" t="s">
        <v>308</v>
      </c>
      <c r="B278" s="35" t="s">
        <v>300</v>
      </c>
      <c r="C278" s="36">
        <v>231</v>
      </c>
      <c r="D278" s="6"/>
      <c r="E278" s="113">
        <v>184545971</v>
      </c>
      <c r="F278" s="116">
        <f t="shared" si="51"/>
        <v>798900.30735930731</v>
      </c>
      <c r="G278" s="117">
        <v>137252799</v>
      </c>
      <c r="H278" s="117">
        <f t="shared" si="52"/>
        <v>594167.96103896108</v>
      </c>
      <c r="I278" s="7"/>
      <c r="J278" s="12">
        <v>6.5818000000000003</v>
      </c>
      <c r="K278" s="117">
        <v>903370</v>
      </c>
      <c r="L278" s="120">
        <f t="shared" ref="L278:L309" si="62">(K278/C278)</f>
        <v>3910.6926406926409</v>
      </c>
      <c r="M278" s="122">
        <f t="shared" si="55"/>
        <v>1372527.99</v>
      </c>
      <c r="N278" s="116">
        <f t="shared" si="56"/>
        <v>469157.99</v>
      </c>
      <c r="O278" s="123">
        <f t="shared" si="57"/>
        <v>2030.9869696969697</v>
      </c>
      <c r="P278" s="5"/>
      <c r="Q278" s="5">
        <f t="shared" si="59"/>
        <v>1</v>
      </c>
      <c r="R278" s="7">
        <f t="shared" si="60"/>
        <v>231</v>
      </c>
      <c r="S278" s="5">
        <f t="shared" si="61"/>
        <v>1</v>
      </c>
      <c r="T278" s="7">
        <f t="shared" si="58"/>
        <v>231</v>
      </c>
    </row>
    <row r="279" spans="1:20">
      <c r="A279" s="23" t="s">
        <v>309</v>
      </c>
      <c r="B279" s="35" t="s">
        <v>300</v>
      </c>
      <c r="C279" s="36">
        <v>31270</v>
      </c>
      <c r="D279" s="6"/>
      <c r="E279" s="113">
        <v>2245694407</v>
      </c>
      <c r="F279" s="116">
        <f t="shared" si="51"/>
        <v>71816.258618484164</v>
      </c>
      <c r="G279" s="117">
        <v>1549989162</v>
      </c>
      <c r="H279" s="117">
        <f t="shared" si="52"/>
        <v>49567.929708986252</v>
      </c>
      <c r="I279" s="7"/>
      <c r="J279" s="10">
        <v>5.5735000000000001</v>
      </c>
      <c r="K279" s="117">
        <v>8638865</v>
      </c>
      <c r="L279" s="120">
        <f t="shared" si="62"/>
        <v>276.26686920370963</v>
      </c>
      <c r="M279" s="122">
        <f t="shared" si="55"/>
        <v>15499891.620000001</v>
      </c>
      <c r="N279" s="116">
        <f t="shared" si="56"/>
        <v>6861026.620000001</v>
      </c>
      <c r="O279" s="123">
        <f t="shared" si="57"/>
        <v>219.4124278861529</v>
      </c>
      <c r="P279" s="5"/>
      <c r="Q279" s="5">
        <f t="shared" si="59"/>
        <v>1</v>
      </c>
      <c r="R279" s="7">
        <f t="shared" si="60"/>
        <v>31270</v>
      </c>
      <c r="S279" s="5">
        <f t="shared" si="61"/>
        <v>1</v>
      </c>
      <c r="T279" s="7">
        <f t="shared" si="58"/>
        <v>31270</v>
      </c>
    </row>
    <row r="280" spans="1:20">
      <c r="A280" s="23" t="s">
        <v>310</v>
      </c>
      <c r="B280" s="35" t="s">
        <v>300</v>
      </c>
      <c r="C280" s="36">
        <v>736</v>
      </c>
      <c r="D280" s="6"/>
      <c r="E280" s="113">
        <v>719183345</v>
      </c>
      <c r="F280" s="116">
        <f t="shared" si="51"/>
        <v>977151.28396739135</v>
      </c>
      <c r="G280" s="117">
        <v>588223094</v>
      </c>
      <c r="H280" s="117">
        <f t="shared" si="52"/>
        <v>799216.16032608692</v>
      </c>
      <c r="I280" s="7"/>
      <c r="J280" s="10">
        <v>3.1726000000000001</v>
      </c>
      <c r="K280" s="117">
        <v>1866197</v>
      </c>
      <c r="L280" s="120">
        <f t="shared" si="62"/>
        <v>2535.59375</v>
      </c>
      <c r="M280" s="122">
        <f t="shared" si="55"/>
        <v>5882230.9400000004</v>
      </c>
      <c r="N280" s="116">
        <f t="shared" si="56"/>
        <v>4016033.9400000004</v>
      </c>
      <c r="O280" s="123">
        <f t="shared" si="57"/>
        <v>5456.5678532608699</v>
      </c>
      <c r="P280" s="5"/>
      <c r="Q280" s="5">
        <f t="shared" si="59"/>
        <v>1</v>
      </c>
      <c r="R280" s="7">
        <f t="shared" si="60"/>
        <v>736</v>
      </c>
      <c r="S280" s="5">
        <f t="shared" si="61"/>
        <v>1</v>
      </c>
      <c r="T280" s="7">
        <f t="shared" si="58"/>
        <v>736</v>
      </c>
    </row>
    <row r="281" spans="1:20">
      <c r="A281" s="23" t="s">
        <v>311</v>
      </c>
      <c r="B281" s="35" t="s">
        <v>300</v>
      </c>
      <c r="C281" s="36">
        <v>1501</v>
      </c>
      <c r="D281" s="6"/>
      <c r="E281" s="113">
        <v>115068808</v>
      </c>
      <c r="F281" s="116">
        <f t="shared" si="51"/>
        <v>76661.431045969352</v>
      </c>
      <c r="G281" s="117">
        <v>71608646</v>
      </c>
      <c r="H281" s="117">
        <f t="shared" si="52"/>
        <v>47707.292471685541</v>
      </c>
      <c r="I281" s="7"/>
      <c r="J281" s="10">
        <v>4.7854000000000001</v>
      </c>
      <c r="K281" s="117">
        <v>342676</v>
      </c>
      <c r="L281" s="120">
        <f t="shared" si="62"/>
        <v>228.29846768820786</v>
      </c>
      <c r="M281" s="122">
        <f t="shared" si="55"/>
        <v>716086.46</v>
      </c>
      <c r="N281" s="116">
        <f t="shared" si="56"/>
        <v>373410.45999999996</v>
      </c>
      <c r="O281" s="123">
        <f t="shared" si="57"/>
        <v>248.77445702864753</v>
      </c>
      <c r="P281" s="5"/>
      <c r="Q281" s="5">
        <f t="shared" si="59"/>
        <v>1</v>
      </c>
      <c r="R281" s="7">
        <f t="shared" si="60"/>
        <v>1501</v>
      </c>
      <c r="S281" s="5">
        <f t="shared" si="61"/>
        <v>1</v>
      </c>
      <c r="T281" s="7">
        <f t="shared" si="58"/>
        <v>1501</v>
      </c>
    </row>
    <row r="282" spans="1:20">
      <c r="A282" s="23" t="s">
        <v>312</v>
      </c>
      <c r="B282" s="35" t="s">
        <v>300</v>
      </c>
      <c r="C282" s="36">
        <v>4157</v>
      </c>
      <c r="D282" s="6"/>
      <c r="E282" s="113">
        <v>2213968392</v>
      </c>
      <c r="F282" s="116">
        <f t="shared" si="51"/>
        <v>532588.01828241523</v>
      </c>
      <c r="G282" s="117">
        <v>1875187592</v>
      </c>
      <c r="H282" s="117">
        <f t="shared" si="52"/>
        <v>451091.55448640848</v>
      </c>
      <c r="I282" s="7"/>
      <c r="J282" s="10">
        <v>3.5920999999999998</v>
      </c>
      <c r="K282" s="117">
        <v>6735861</v>
      </c>
      <c r="L282" s="120">
        <f t="shared" si="62"/>
        <v>1620.3658888621603</v>
      </c>
      <c r="M282" s="122">
        <f t="shared" si="55"/>
        <v>18751875.920000002</v>
      </c>
      <c r="N282" s="116">
        <f t="shared" si="56"/>
        <v>12016014.920000002</v>
      </c>
      <c r="O282" s="123">
        <f t="shared" si="57"/>
        <v>2890.5496560019251</v>
      </c>
      <c r="P282" s="5"/>
      <c r="Q282" s="5">
        <f t="shared" si="59"/>
        <v>1</v>
      </c>
      <c r="R282" s="7">
        <f t="shared" si="60"/>
        <v>4157</v>
      </c>
      <c r="S282" s="5">
        <f t="shared" si="61"/>
        <v>1</v>
      </c>
      <c r="T282" s="7">
        <f t="shared" si="58"/>
        <v>4157</v>
      </c>
    </row>
    <row r="283" spans="1:20">
      <c r="A283" s="23" t="s">
        <v>313</v>
      </c>
      <c r="B283" s="35" t="s">
        <v>300</v>
      </c>
      <c r="C283" s="36">
        <v>2459</v>
      </c>
      <c r="D283" s="6"/>
      <c r="E283" s="113">
        <v>440759933</v>
      </c>
      <c r="F283" s="116">
        <f t="shared" si="51"/>
        <v>179243.5677104514</v>
      </c>
      <c r="G283" s="117">
        <v>344526256</v>
      </c>
      <c r="H283" s="117">
        <f t="shared" si="52"/>
        <v>140108.27816185442</v>
      </c>
      <c r="I283" s="7"/>
      <c r="J283" s="10">
        <v>2.65</v>
      </c>
      <c r="K283" s="117">
        <v>912995</v>
      </c>
      <c r="L283" s="120">
        <f t="shared" si="62"/>
        <v>371.2871085807239</v>
      </c>
      <c r="M283" s="122">
        <f t="shared" si="55"/>
        <v>3445262.56</v>
      </c>
      <c r="N283" s="116">
        <f t="shared" si="56"/>
        <v>2532267.56</v>
      </c>
      <c r="O283" s="123">
        <f t="shared" si="57"/>
        <v>1029.7956730378203</v>
      </c>
      <c r="P283" s="5"/>
      <c r="Q283" s="5">
        <f t="shared" si="59"/>
        <v>1</v>
      </c>
      <c r="R283" s="7">
        <f t="shared" si="60"/>
        <v>2459</v>
      </c>
      <c r="S283" s="5">
        <f t="shared" si="61"/>
        <v>1</v>
      </c>
      <c r="T283" s="7">
        <f t="shared" si="58"/>
        <v>2459</v>
      </c>
    </row>
    <row r="284" spans="1:20">
      <c r="A284" s="23" t="s">
        <v>314</v>
      </c>
      <c r="B284" s="35" t="s">
        <v>300</v>
      </c>
      <c r="C284" s="36">
        <v>3596</v>
      </c>
      <c r="D284" s="6"/>
      <c r="E284" s="113">
        <v>1252066692</v>
      </c>
      <c r="F284" s="116">
        <f t="shared" si="51"/>
        <v>348183.17352614016</v>
      </c>
      <c r="G284" s="117">
        <v>992737398</v>
      </c>
      <c r="H284" s="117">
        <f t="shared" si="52"/>
        <v>276067.12958843156</v>
      </c>
      <c r="I284" s="7"/>
      <c r="J284" s="10">
        <v>3.4</v>
      </c>
      <c r="K284" s="117">
        <v>3375307</v>
      </c>
      <c r="L284" s="120">
        <f t="shared" si="62"/>
        <v>938.62819799777526</v>
      </c>
      <c r="M284" s="122">
        <f t="shared" si="55"/>
        <v>9927373.9800000004</v>
      </c>
      <c r="N284" s="116">
        <f t="shared" si="56"/>
        <v>6552066.9800000004</v>
      </c>
      <c r="O284" s="123">
        <f t="shared" si="57"/>
        <v>1822.0430978865406</v>
      </c>
      <c r="P284" s="5"/>
      <c r="Q284" s="5">
        <f t="shared" si="59"/>
        <v>1</v>
      </c>
      <c r="R284" s="7">
        <f t="shared" si="60"/>
        <v>3596</v>
      </c>
      <c r="S284" s="5">
        <f t="shared" si="61"/>
        <v>1</v>
      </c>
      <c r="T284" s="7">
        <f t="shared" si="58"/>
        <v>3596</v>
      </c>
    </row>
    <row r="285" spans="1:20">
      <c r="A285" s="23" t="s">
        <v>315</v>
      </c>
      <c r="B285" s="35" t="s">
        <v>300</v>
      </c>
      <c r="C285" s="36">
        <v>48269</v>
      </c>
      <c r="D285" s="6"/>
      <c r="E285" s="113">
        <v>9217452965</v>
      </c>
      <c r="F285" s="116">
        <f t="shared" si="51"/>
        <v>190960.0978889142</v>
      </c>
      <c r="G285" s="117">
        <v>6951429336</v>
      </c>
      <c r="H285" s="117">
        <f t="shared" si="52"/>
        <v>144014.36400174024</v>
      </c>
      <c r="I285" s="7"/>
      <c r="J285" s="10">
        <v>2.6194999999999999</v>
      </c>
      <c r="K285" s="117">
        <v>18209269</v>
      </c>
      <c r="L285" s="120">
        <f t="shared" si="62"/>
        <v>377.24562348505253</v>
      </c>
      <c r="M285" s="122">
        <f t="shared" si="55"/>
        <v>69514293.359999999</v>
      </c>
      <c r="N285" s="116">
        <f t="shared" si="56"/>
        <v>51305024.359999999</v>
      </c>
      <c r="O285" s="123">
        <f t="shared" si="57"/>
        <v>1062.8980165323499</v>
      </c>
      <c r="P285" s="5"/>
      <c r="Q285" s="5">
        <f t="shared" si="59"/>
        <v>1</v>
      </c>
      <c r="R285" s="7">
        <f t="shared" si="60"/>
        <v>48269</v>
      </c>
      <c r="S285" s="5">
        <f t="shared" si="61"/>
        <v>1</v>
      </c>
      <c r="T285" s="7">
        <f t="shared" si="58"/>
        <v>48269</v>
      </c>
    </row>
    <row r="286" spans="1:20">
      <c r="A286" s="23" t="s">
        <v>316</v>
      </c>
      <c r="B286" s="35" t="s">
        <v>300</v>
      </c>
      <c r="C286" s="36">
        <v>373</v>
      </c>
      <c r="D286" s="6"/>
      <c r="E286" s="113">
        <v>298505430</v>
      </c>
      <c r="F286" s="116">
        <f t="shared" si="51"/>
        <v>800282.65415549593</v>
      </c>
      <c r="G286" s="117">
        <v>212516798</v>
      </c>
      <c r="H286" s="117">
        <f t="shared" si="52"/>
        <v>569750.12868632702</v>
      </c>
      <c r="I286" s="7"/>
      <c r="J286" s="10">
        <v>4.2</v>
      </c>
      <c r="K286" s="117">
        <v>892571</v>
      </c>
      <c r="L286" s="120">
        <f t="shared" si="62"/>
        <v>2392.951742627346</v>
      </c>
      <c r="M286" s="122">
        <f t="shared" si="55"/>
        <v>2125167.98</v>
      </c>
      <c r="N286" s="116">
        <f t="shared" si="56"/>
        <v>1232596.98</v>
      </c>
      <c r="O286" s="123">
        <f t="shared" si="57"/>
        <v>3304.5495442359247</v>
      </c>
      <c r="P286" s="5"/>
      <c r="Q286" s="5">
        <f t="shared" si="59"/>
        <v>1</v>
      </c>
      <c r="R286" s="7">
        <f t="shared" si="60"/>
        <v>373</v>
      </c>
      <c r="S286" s="5">
        <f t="shared" si="61"/>
        <v>1</v>
      </c>
      <c r="T286" s="7">
        <f t="shared" si="58"/>
        <v>373</v>
      </c>
    </row>
    <row r="287" spans="1:20">
      <c r="A287" s="23" t="s">
        <v>317</v>
      </c>
      <c r="B287" s="35" t="s">
        <v>300</v>
      </c>
      <c r="C287" s="36">
        <v>3466</v>
      </c>
      <c r="D287" s="6"/>
      <c r="E287" s="113">
        <v>382572183</v>
      </c>
      <c r="F287" s="116">
        <f t="shared" ref="F287:F350" si="63">(E287/C287)</f>
        <v>110378.58713214079</v>
      </c>
      <c r="G287" s="117">
        <v>215447165</v>
      </c>
      <c r="H287" s="117">
        <f t="shared" ref="H287:H350" si="64">(G287/C287)</f>
        <v>62160.174552798613</v>
      </c>
      <c r="I287" s="7"/>
      <c r="J287" s="10">
        <v>5.3163999999999998</v>
      </c>
      <c r="K287" s="117">
        <v>1145403</v>
      </c>
      <c r="L287" s="120">
        <f t="shared" si="62"/>
        <v>330.46826312752455</v>
      </c>
      <c r="M287" s="122">
        <f t="shared" si="55"/>
        <v>2154471.65</v>
      </c>
      <c r="N287" s="116">
        <f t="shared" si="56"/>
        <v>1009068.6499999999</v>
      </c>
      <c r="O287" s="123">
        <f t="shared" si="57"/>
        <v>291.13348240046162</v>
      </c>
      <c r="P287" s="5"/>
      <c r="Q287" s="5">
        <f t="shared" si="59"/>
        <v>1</v>
      </c>
      <c r="R287" s="7">
        <f t="shared" si="60"/>
        <v>3466</v>
      </c>
      <c r="S287" s="5">
        <f t="shared" si="61"/>
        <v>1</v>
      </c>
      <c r="T287" s="7">
        <f t="shared" si="58"/>
        <v>3466</v>
      </c>
    </row>
    <row r="288" spans="1:20">
      <c r="A288" s="23" t="s">
        <v>318</v>
      </c>
      <c r="B288" s="35" t="s">
        <v>300</v>
      </c>
      <c r="C288" s="36">
        <v>9113</v>
      </c>
      <c r="D288" s="6"/>
      <c r="E288" s="113">
        <v>674541510</v>
      </c>
      <c r="F288" s="116">
        <f t="shared" si="63"/>
        <v>74019.698233293093</v>
      </c>
      <c r="G288" s="117">
        <v>516917894</v>
      </c>
      <c r="H288" s="117">
        <f t="shared" si="64"/>
        <v>56723.131131350819</v>
      </c>
      <c r="I288" s="7"/>
      <c r="J288" s="10">
        <v>8.1999999999999993</v>
      </c>
      <c r="K288" s="117">
        <v>4238727</v>
      </c>
      <c r="L288" s="120">
        <f t="shared" si="62"/>
        <v>465.129704817294</v>
      </c>
      <c r="M288" s="122">
        <f t="shared" si="55"/>
        <v>5169178.9400000004</v>
      </c>
      <c r="N288" s="116">
        <f t="shared" si="56"/>
        <v>930451.94000000041</v>
      </c>
      <c r="O288" s="123">
        <f t="shared" si="57"/>
        <v>102.10160649621425</v>
      </c>
      <c r="P288" s="5"/>
      <c r="Q288" s="5">
        <f t="shared" si="59"/>
        <v>1</v>
      </c>
      <c r="R288" s="7">
        <f t="shared" si="60"/>
        <v>9113</v>
      </c>
      <c r="S288" s="5">
        <f t="shared" si="61"/>
        <v>1</v>
      </c>
      <c r="T288" s="7">
        <f t="shared" si="58"/>
        <v>9113</v>
      </c>
    </row>
    <row r="289" spans="1:20">
      <c r="A289" s="24" t="s">
        <v>628</v>
      </c>
      <c r="B289" s="35" t="s">
        <v>300</v>
      </c>
      <c r="C289" s="36">
        <v>36040</v>
      </c>
      <c r="D289" s="6"/>
      <c r="E289" s="113">
        <v>2371545226</v>
      </c>
      <c r="F289" s="116">
        <f t="shared" si="63"/>
        <v>65803.141675915656</v>
      </c>
      <c r="G289" s="117">
        <v>1528643814</v>
      </c>
      <c r="H289" s="117">
        <f t="shared" si="64"/>
        <v>42415.200166481685</v>
      </c>
      <c r="I289" s="7"/>
      <c r="J289" s="10">
        <v>8.4</v>
      </c>
      <c r="K289" s="117">
        <v>12840608</v>
      </c>
      <c r="L289" s="120">
        <f t="shared" si="62"/>
        <v>356.28768035516094</v>
      </c>
      <c r="M289" s="122">
        <f t="shared" si="55"/>
        <v>15286438.140000001</v>
      </c>
      <c r="N289" s="116">
        <f t="shared" si="56"/>
        <v>2445830.1400000006</v>
      </c>
      <c r="O289" s="123">
        <f t="shared" si="57"/>
        <v>67.864321309655949</v>
      </c>
      <c r="P289" s="5"/>
      <c r="Q289" s="5">
        <f t="shared" si="59"/>
        <v>1</v>
      </c>
      <c r="R289" s="7">
        <f t="shared" si="60"/>
        <v>36040</v>
      </c>
      <c r="S289" s="5">
        <f t="shared" si="61"/>
        <v>1</v>
      </c>
      <c r="T289" s="7">
        <f t="shared" si="58"/>
        <v>36040</v>
      </c>
    </row>
    <row r="290" spans="1:20">
      <c r="A290" s="23" t="s">
        <v>319</v>
      </c>
      <c r="B290" s="35" t="s">
        <v>300</v>
      </c>
      <c r="C290" s="36">
        <v>9574</v>
      </c>
      <c r="D290" s="6"/>
      <c r="E290" s="113">
        <v>1113932752</v>
      </c>
      <c r="F290" s="116">
        <f t="shared" si="63"/>
        <v>116349.77564236474</v>
      </c>
      <c r="G290" s="117">
        <v>744718243</v>
      </c>
      <c r="H290" s="117">
        <f t="shared" si="64"/>
        <v>77785.48600376019</v>
      </c>
      <c r="I290" s="7"/>
      <c r="J290" s="10">
        <v>7.3318000000000003</v>
      </c>
      <c r="K290" s="117">
        <v>5460125</v>
      </c>
      <c r="L290" s="120">
        <f t="shared" si="62"/>
        <v>570.30760392730315</v>
      </c>
      <c r="M290" s="122">
        <f t="shared" si="55"/>
        <v>7447182.4299999997</v>
      </c>
      <c r="N290" s="116">
        <f t="shared" si="56"/>
        <v>1987057.4299999997</v>
      </c>
      <c r="O290" s="123">
        <f t="shared" si="57"/>
        <v>207.54725611029869</v>
      </c>
      <c r="P290" s="5"/>
      <c r="Q290" s="5">
        <f t="shared" si="59"/>
        <v>1</v>
      </c>
      <c r="R290" s="7">
        <f t="shared" si="60"/>
        <v>9574</v>
      </c>
      <c r="S290" s="5">
        <f t="shared" si="61"/>
        <v>1</v>
      </c>
      <c r="T290" s="7">
        <f t="shared" si="58"/>
        <v>9574</v>
      </c>
    </row>
    <row r="291" spans="1:20">
      <c r="A291" s="23" t="s">
        <v>320</v>
      </c>
      <c r="B291" s="35" t="s">
        <v>300</v>
      </c>
      <c r="C291" s="36">
        <v>355</v>
      </c>
      <c r="D291" s="6"/>
      <c r="E291" s="113">
        <v>814840279</v>
      </c>
      <c r="F291" s="116">
        <f t="shared" si="63"/>
        <v>2295324.729577465</v>
      </c>
      <c r="G291" s="117">
        <v>749357272</v>
      </c>
      <c r="H291" s="117">
        <f t="shared" si="64"/>
        <v>2110865.5549295773</v>
      </c>
      <c r="I291" s="7"/>
      <c r="J291" s="10">
        <v>3.5322</v>
      </c>
      <c r="K291" s="117">
        <v>2646880</v>
      </c>
      <c r="L291" s="120">
        <f t="shared" si="62"/>
        <v>7456</v>
      </c>
      <c r="M291" s="122">
        <f t="shared" si="55"/>
        <v>7493572.7199999997</v>
      </c>
      <c r="N291" s="116">
        <f t="shared" si="56"/>
        <v>4846692.72</v>
      </c>
      <c r="O291" s="123">
        <f t="shared" si="57"/>
        <v>13652.655549295774</v>
      </c>
      <c r="P291" s="5"/>
      <c r="Q291" s="5">
        <f t="shared" si="59"/>
        <v>1</v>
      </c>
      <c r="R291" s="7">
        <f t="shared" si="60"/>
        <v>355</v>
      </c>
      <c r="S291" s="5">
        <f t="shared" si="61"/>
        <v>1</v>
      </c>
      <c r="T291" s="7">
        <f t="shared" si="58"/>
        <v>355</v>
      </c>
    </row>
    <row r="292" spans="1:20">
      <c r="A292" s="23" t="s">
        <v>321</v>
      </c>
      <c r="B292" s="35" t="s">
        <v>300</v>
      </c>
      <c r="C292" s="36">
        <v>2527</v>
      </c>
      <c r="D292" s="6"/>
      <c r="E292" s="113">
        <v>182170691</v>
      </c>
      <c r="F292" s="116">
        <f t="shared" si="63"/>
        <v>72089.707558369613</v>
      </c>
      <c r="G292" s="117">
        <v>155095596</v>
      </c>
      <c r="H292" s="117">
        <f t="shared" si="64"/>
        <v>61375.384250098934</v>
      </c>
      <c r="I292" s="7"/>
      <c r="J292" s="10">
        <v>9.4</v>
      </c>
      <c r="K292" s="117">
        <v>1457899</v>
      </c>
      <c r="L292" s="120">
        <f t="shared" si="62"/>
        <v>576.92876929165016</v>
      </c>
      <c r="M292" s="122">
        <f t="shared" si="55"/>
        <v>1550955.96</v>
      </c>
      <c r="N292" s="116">
        <f t="shared" si="56"/>
        <v>93056.959999999963</v>
      </c>
      <c r="O292" s="123">
        <f t="shared" si="57"/>
        <v>36.825073209339124</v>
      </c>
      <c r="P292" s="5"/>
      <c r="Q292" s="5">
        <f t="shared" si="59"/>
        <v>1</v>
      </c>
      <c r="R292" s="7">
        <f t="shared" si="60"/>
        <v>2527</v>
      </c>
      <c r="S292" s="5">
        <f t="shared" si="61"/>
        <v>1</v>
      </c>
      <c r="T292" s="7">
        <f t="shared" si="58"/>
        <v>2527</v>
      </c>
    </row>
    <row r="293" spans="1:20">
      <c r="A293" s="23" t="s">
        <v>322</v>
      </c>
      <c r="B293" s="35" t="s">
        <v>300</v>
      </c>
      <c r="C293" s="36">
        <v>12553</v>
      </c>
      <c r="D293" s="6"/>
      <c r="E293" s="113">
        <v>2436931593</v>
      </c>
      <c r="F293" s="116">
        <f t="shared" si="63"/>
        <v>194131.4102604955</v>
      </c>
      <c r="G293" s="117">
        <v>1661199249</v>
      </c>
      <c r="H293" s="117">
        <f t="shared" si="64"/>
        <v>132334.84019756233</v>
      </c>
      <c r="I293" s="7"/>
      <c r="J293" s="10">
        <v>6.8</v>
      </c>
      <c r="K293" s="117">
        <v>11296155</v>
      </c>
      <c r="L293" s="120">
        <f t="shared" si="62"/>
        <v>899.87692185135029</v>
      </c>
      <c r="M293" s="122">
        <f t="shared" si="55"/>
        <v>16611992.49</v>
      </c>
      <c r="N293" s="116">
        <f t="shared" si="56"/>
        <v>5315837.49</v>
      </c>
      <c r="O293" s="123">
        <f t="shared" si="57"/>
        <v>423.47148012427311</v>
      </c>
      <c r="P293" s="5"/>
      <c r="Q293" s="5">
        <f t="shared" si="59"/>
        <v>1</v>
      </c>
      <c r="R293" s="7">
        <f t="shared" si="60"/>
        <v>12553</v>
      </c>
      <c r="S293" s="5">
        <f t="shared" si="61"/>
        <v>1</v>
      </c>
      <c r="T293" s="7">
        <f t="shared" si="58"/>
        <v>12553</v>
      </c>
    </row>
    <row r="294" spans="1:20">
      <c r="A294" s="23" t="s">
        <v>323</v>
      </c>
      <c r="B294" s="35" t="s">
        <v>300</v>
      </c>
      <c r="C294" s="36">
        <v>1654</v>
      </c>
      <c r="D294" s="6"/>
      <c r="E294" s="113">
        <v>862894966</v>
      </c>
      <c r="F294" s="116">
        <f t="shared" si="63"/>
        <v>521701.91414752114</v>
      </c>
      <c r="G294" s="117">
        <v>677309632</v>
      </c>
      <c r="H294" s="117">
        <f t="shared" si="64"/>
        <v>409497.96372430469</v>
      </c>
      <c r="I294" s="7"/>
      <c r="J294" s="10">
        <v>4.75</v>
      </c>
      <c r="K294" s="117">
        <v>3217221</v>
      </c>
      <c r="L294" s="120">
        <f t="shared" si="62"/>
        <v>1945.1154776299879</v>
      </c>
      <c r="M294" s="122">
        <f t="shared" si="55"/>
        <v>6773096.3200000003</v>
      </c>
      <c r="N294" s="116">
        <f t="shared" si="56"/>
        <v>3555875.3200000003</v>
      </c>
      <c r="O294" s="123">
        <f t="shared" si="57"/>
        <v>2149.8641596130597</v>
      </c>
      <c r="P294" s="5"/>
      <c r="Q294" s="5">
        <f t="shared" si="59"/>
        <v>1</v>
      </c>
      <c r="R294" s="7">
        <f t="shared" si="60"/>
        <v>1654</v>
      </c>
      <c r="S294" s="5">
        <f t="shared" si="61"/>
        <v>1</v>
      </c>
      <c r="T294" s="7">
        <f t="shared" si="58"/>
        <v>1654</v>
      </c>
    </row>
    <row r="295" spans="1:20">
      <c r="A295" s="23" t="s">
        <v>324</v>
      </c>
      <c r="B295" s="35" t="s">
        <v>300</v>
      </c>
      <c r="C295" s="36">
        <v>6277</v>
      </c>
      <c r="D295" s="6"/>
      <c r="E295" s="113">
        <v>185492173</v>
      </c>
      <c r="F295" s="116">
        <f t="shared" si="63"/>
        <v>29551.086984228135</v>
      </c>
      <c r="G295" s="117">
        <v>80784692</v>
      </c>
      <c r="H295" s="117">
        <f t="shared" si="64"/>
        <v>12869.952525091605</v>
      </c>
      <c r="I295" s="7"/>
      <c r="J295" s="10">
        <v>3.9079999999999999</v>
      </c>
      <c r="K295" s="117">
        <v>315707</v>
      </c>
      <c r="L295" s="120">
        <f t="shared" si="62"/>
        <v>50.295841962721042</v>
      </c>
      <c r="M295" s="122">
        <f t="shared" si="55"/>
        <v>807846.92</v>
      </c>
      <c r="N295" s="116">
        <f t="shared" si="56"/>
        <v>492139.92000000004</v>
      </c>
      <c r="O295" s="123">
        <f t="shared" si="57"/>
        <v>78.403683288194998</v>
      </c>
      <c r="P295" s="5"/>
      <c r="Q295" s="5">
        <f t="shared" si="59"/>
        <v>1</v>
      </c>
      <c r="R295" s="7">
        <f t="shared" si="60"/>
        <v>6277</v>
      </c>
      <c r="S295" s="5">
        <f t="shared" si="61"/>
        <v>1</v>
      </c>
      <c r="T295" s="7">
        <f t="shared" si="58"/>
        <v>6277</v>
      </c>
    </row>
    <row r="296" spans="1:20">
      <c r="A296" s="23" t="s">
        <v>300</v>
      </c>
      <c r="B296" s="35" t="s">
        <v>300</v>
      </c>
      <c r="C296" s="36">
        <v>9735</v>
      </c>
      <c r="D296" s="6"/>
      <c r="E296" s="113">
        <v>13014644398</v>
      </c>
      <c r="F296" s="116">
        <f t="shared" si="63"/>
        <v>1336892.0799178223</v>
      </c>
      <c r="G296" s="117">
        <v>10375313831</v>
      </c>
      <c r="H296" s="117">
        <f t="shared" si="64"/>
        <v>1065774.4048279405</v>
      </c>
      <c r="I296" s="9"/>
      <c r="J296" s="10">
        <v>3.9079999999999999</v>
      </c>
      <c r="K296" s="117">
        <v>40546726</v>
      </c>
      <c r="L296" s="120">
        <f t="shared" si="62"/>
        <v>4165.0463276836163</v>
      </c>
      <c r="M296" s="122">
        <f t="shared" si="55"/>
        <v>103753138.31</v>
      </c>
      <c r="N296" s="116">
        <f t="shared" si="56"/>
        <v>63206412.310000002</v>
      </c>
      <c r="O296" s="123">
        <f t="shared" si="57"/>
        <v>6492.6977205957883</v>
      </c>
      <c r="P296" s="5"/>
      <c r="Q296" s="5">
        <f t="shared" si="59"/>
        <v>1</v>
      </c>
      <c r="R296" s="7">
        <f t="shared" si="60"/>
        <v>9735</v>
      </c>
      <c r="S296" s="5">
        <f t="shared" si="61"/>
        <v>1</v>
      </c>
      <c r="T296" s="7">
        <f t="shared" si="58"/>
        <v>9735</v>
      </c>
    </row>
    <row r="297" spans="1:20">
      <c r="A297" s="23" t="s">
        <v>325</v>
      </c>
      <c r="B297" s="35" t="s">
        <v>300</v>
      </c>
      <c r="C297" s="36">
        <v>45584</v>
      </c>
      <c r="D297" s="6"/>
      <c r="E297" s="113">
        <v>8944653001</v>
      </c>
      <c r="F297" s="116">
        <f t="shared" si="63"/>
        <v>196223.52143295892</v>
      </c>
      <c r="G297" s="117">
        <v>7170109664</v>
      </c>
      <c r="H297" s="117">
        <f t="shared" si="64"/>
        <v>157294.43804843805</v>
      </c>
      <c r="I297" s="7"/>
      <c r="J297" s="10">
        <v>5.7080000000000002</v>
      </c>
      <c r="K297" s="117">
        <v>40926986</v>
      </c>
      <c r="L297" s="120">
        <f t="shared" si="62"/>
        <v>897.83665321165324</v>
      </c>
      <c r="M297" s="122">
        <f t="shared" si="55"/>
        <v>71701096.640000001</v>
      </c>
      <c r="N297" s="116">
        <f t="shared" si="56"/>
        <v>30774110.640000001</v>
      </c>
      <c r="O297" s="123">
        <f t="shared" si="57"/>
        <v>675.10772727272729</v>
      </c>
      <c r="P297" s="5"/>
      <c r="Q297" s="5">
        <f t="shared" si="59"/>
        <v>1</v>
      </c>
      <c r="R297" s="7">
        <f t="shared" si="60"/>
        <v>45584</v>
      </c>
      <c r="S297" s="5">
        <f t="shared" si="61"/>
        <v>1</v>
      </c>
      <c r="T297" s="7">
        <f t="shared" si="58"/>
        <v>45584</v>
      </c>
    </row>
    <row r="298" spans="1:20">
      <c r="A298" s="23" t="s">
        <v>326</v>
      </c>
      <c r="B298" s="35" t="s">
        <v>300</v>
      </c>
      <c r="C298" s="36">
        <v>1383</v>
      </c>
      <c r="D298" s="6"/>
      <c r="E298" s="113">
        <v>565836424</v>
      </c>
      <c r="F298" s="116">
        <f t="shared" si="63"/>
        <v>409136.96601590747</v>
      </c>
      <c r="G298" s="117">
        <v>499406661</v>
      </c>
      <c r="H298" s="117">
        <f t="shared" si="64"/>
        <v>361103.87635574839</v>
      </c>
      <c r="I298" s="7"/>
      <c r="J298" s="10">
        <v>6.35</v>
      </c>
      <c r="K298" s="117">
        <v>3171232</v>
      </c>
      <c r="L298" s="120">
        <f t="shared" si="62"/>
        <v>2293.0093998553866</v>
      </c>
      <c r="M298" s="122">
        <f t="shared" si="55"/>
        <v>4994066.6100000003</v>
      </c>
      <c r="N298" s="116">
        <f t="shared" si="56"/>
        <v>1822834.6100000003</v>
      </c>
      <c r="O298" s="123">
        <f t="shared" si="57"/>
        <v>1318.029363702097</v>
      </c>
      <c r="P298" s="5"/>
      <c r="Q298" s="5">
        <f t="shared" si="59"/>
        <v>1</v>
      </c>
      <c r="R298" s="7">
        <f t="shared" si="60"/>
        <v>1383</v>
      </c>
      <c r="S298" s="5">
        <f t="shared" si="61"/>
        <v>1</v>
      </c>
      <c r="T298" s="7">
        <f t="shared" si="58"/>
        <v>1383</v>
      </c>
    </row>
    <row r="299" spans="1:20">
      <c r="A299" s="23" t="s">
        <v>327</v>
      </c>
      <c r="B299" s="35" t="s">
        <v>300</v>
      </c>
      <c r="C299" s="36">
        <v>13850</v>
      </c>
      <c r="D299" s="6"/>
      <c r="E299" s="113">
        <v>871400049</v>
      </c>
      <c r="F299" s="116">
        <f t="shared" si="63"/>
        <v>62916.971046931409</v>
      </c>
      <c r="G299" s="117">
        <v>562968596</v>
      </c>
      <c r="H299" s="117">
        <f t="shared" si="64"/>
        <v>40647.552057761735</v>
      </c>
      <c r="I299" s="7"/>
      <c r="J299" s="10">
        <v>4.7713999999999999</v>
      </c>
      <c r="K299" s="117">
        <v>2686148</v>
      </c>
      <c r="L299" s="120">
        <f t="shared" si="62"/>
        <v>193.94570397111914</v>
      </c>
      <c r="M299" s="122">
        <f t="shared" si="55"/>
        <v>5629685.96</v>
      </c>
      <c r="N299" s="116">
        <f t="shared" si="56"/>
        <v>2943537.96</v>
      </c>
      <c r="O299" s="123">
        <f t="shared" si="57"/>
        <v>212.5298166064982</v>
      </c>
      <c r="P299" s="5"/>
      <c r="Q299" s="5">
        <f t="shared" si="59"/>
        <v>1</v>
      </c>
      <c r="R299" s="7">
        <f t="shared" si="60"/>
        <v>13850</v>
      </c>
      <c r="S299" s="5">
        <f t="shared" si="61"/>
        <v>1</v>
      </c>
      <c r="T299" s="7">
        <f t="shared" si="58"/>
        <v>13850</v>
      </c>
    </row>
    <row r="300" spans="1:20">
      <c r="A300" s="23" t="s">
        <v>328</v>
      </c>
      <c r="B300" s="35" t="s">
        <v>300</v>
      </c>
      <c r="C300" s="36">
        <v>33265</v>
      </c>
      <c r="D300" s="6"/>
      <c r="E300" s="113">
        <v>4017944559</v>
      </c>
      <c r="F300" s="116">
        <f t="shared" si="63"/>
        <v>120785.94796332481</v>
      </c>
      <c r="G300" s="117">
        <v>2936045626</v>
      </c>
      <c r="H300" s="117">
        <f t="shared" si="64"/>
        <v>88262.306508342095</v>
      </c>
      <c r="I300" s="7"/>
      <c r="J300" s="10">
        <v>9</v>
      </c>
      <c r="K300" s="117">
        <v>26424411</v>
      </c>
      <c r="L300" s="120">
        <f t="shared" si="62"/>
        <v>794.36076957763419</v>
      </c>
      <c r="M300" s="122">
        <f t="shared" si="55"/>
        <v>29360456.260000002</v>
      </c>
      <c r="N300" s="116">
        <f t="shared" si="56"/>
        <v>2936045.2600000016</v>
      </c>
      <c r="O300" s="123">
        <f t="shared" si="57"/>
        <v>88.262295505786909</v>
      </c>
      <c r="P300" s="5"/>
      <c r="Q300" s="5">
        <f t="shared" si="59"/>
        <v>1</v>
      </c>
      <c r="R300" s="7">
        <f t="shared" si="60"/>
        <v>33265</v>
      </c>
      <c r="S300" s="5">
        <f t="shared" si="61"/>
        <v>1</v>
      </c>
      <c r="T300" s="7">
        <f t="shared" si="58"/>
        <v>33265</v>
      </c>
    </row>
    <row r="301" spans="1:20">
      <c r="A301" s="23" t="s">
        <v>329</v>
      </c>
      <c r="B301" s="35" t="s">
        <v>300</v>
      </c>
      <c r="C301" s="36">
        <v>29845</v>
      </c>
      <c r="D301" s="6"/>
      <c r="E301" s="113">
        <v>2975878769</v>
      </c>
      <c r="F301" s="116">
        <f t="shared" si="63"/>
        <v>99711.133154632262</v>
      </c>
      <c r="G301" s="117">
        <v>2099401996</v>
      </c>
      <c r="H301" s="117">
        <f t="shared" si="64"/>
        <v>70343.507991288323</v>
      </c>
      <c r="I301" s="7"/>
      <c r="J301" s="10">
        <v>2.59</v>
      </c>
      <c r="K301" s="117">
        <v>5437451</v>
      </c>
      <c r="L301" s="120">
        <f t="shared" si="62"/>
        <v>182.18968001340258</v>
      </c>
      <c r="M301" s="122">
        <f t="shared" si="55"/>
        <v>20994019.960000001</v>
      </c>
      <c r="N301" s="116">
        <f t="shared" si="56"/>
        <v>15556568.960000001</v>
      </c>
      <c r="O301" s="123">
        <f t="shared" si="57"/>
        <v>521.24539989948073</v>
      </c>
      <c r="P301" s="5"/>
      <c r="Q301" s="5">
        <f t="shared" si="59"/>
        <v>1</v>
      </c>
      <c r="R301" s="7">
        <f t="shared" si="60"/>
        <v>29845</v>
      </c>
      <c r="S301" s="5">
        <f t="shared" si="61"/>
        <v>1</v>
      </c>
      <c r="T301" s="7">
        <f t="shared" si="58"/>
        <v>29845</v>
      </c>
    </row>
    <row r="302" spans="1:20">
      <c r="A302" s="23" t="s">
        <v>330</v>
      </c>
      <c r="B302" s="35" t="s">
        <v>300</v>
      </c>
      <c r="C302" s="36">
        <v>4092</v>
      </c>
      <c r="D302" s="6"/>
      <c r="E302" s="113">
        <v>116126956</v>
      </c>
      <c r="F302" s="116">
        <f t="shared" si="63"/>
        <v>28379.021505376346</v>
      </c>
      <c r="G302" s="117">
        <v>48658531</v>
      </c>
      <c r="H302" s="117">
        <f t="shared" si="64"/>
        <v>11891.13660801564</v>
      </c>
      <c r="I302" s="7"/>
      <c r="J302" s="10">
        <v>9.2888999999999999</v>
      </c>
      <c r="K302" s="117">
        <v>451984</v>
      </c>
      <c r="L302" s="120">
        <f t="shared" si="62"/>
        <v>110.455522971652</v>
      </c>
      <c r="M302" s="122">
        <f t="shared" si="55"/>
        <v>486585.31</v>
      </c>
      <c r="N302" s="116">
        <f t="shared" si="56"/>
        <v>34601.31</v>
      </c>
      <c r="O302" s="123">
        <f t="shared" si="57"/>
        <v>8.4558431085043981</v>
      </c>
      <c r="P302" s="5"/>
      <c r="Q302" s="5">
        <f t="shared" si="59"/>
        <v>1</v>
      </c>
      <c r="R302" s="7">
        <f t="shared" si="60"/>
        <v>4092</v>
      </c>
      <c r="S302" s="5">
        <f t="shared" si="61"/>
        <v>1</v>
      </c>
      <c r="T302" s="7">
        <f t="shared" si="58"/>
        <v>4092</v>
      </c>
    </row>
    <row r="303" spans="1:20">
      <c r="A303" s="23" t="s">
        <v>331</v>
      </c>
      <c r="B303" s="35" t="s">
        <v>300</v>
      </c>
      <c r="C303" s="36">
        <v>1529</v>
      </c>
      <c r="D303" s="6"/>
      <c r="E303" s="113">
        <v>426514914</v>
      </c>
      <c r="F303" s="116">
        <f t="shared" si="63"/>
        <v>278950.23806409416</v>
      </c>
      <c r="G303" s="117">
        <v>333947001</v>
      </c>
      <c r="H303" s="117">
        <f t="shared" si="64"/>
        <v>218408.76455199477</v>
      </c>
      <c r="I303" s="7"/>
      <c r="J303" s="10">
        <v>6.5</v>
      </c>
      <c r="K303" s="117">
        <v>2170656</v>
      </c>
      <c r="L303" s="120">
        <f t="shared" si="62"/>
        <v>1419.6572923479398</v>
      </c>
      <c r="M303" s="122">
        <f t="shared" si="55"/>
        <v>3339470.0100000002</v>
      </c>
      <c r="N303" s="116">
        <f t="shared" si="56"/>
        <v>1168814.0100000002</v>
      </c>
      <c r="O303" s="123">
        <f t="shared" si="57"/>
        <v>764.43035317200804</v>
      </c>
      <c r="P303" s="5"/>
      <c r="Q303" s="5">
        <f t="shared" si="59"/>
        <v>1</v>
      </c>
      <c r="R303" s="7">
        <f t="shared" si="60"/>
        <v>1529</v>
      </c>
      <c r="S303" s="5">
        <f t="shared" si="61"/>
        <v>1</v>
      </c>
      <c r="T303" s="7">
        <f t="shared" si="58"/>
        <v>1529</v>
      </c>
    </row>
    <row r="304" spans="1:20">
      <c r="A304" s="23" t="s">
        <v>332</v>
      </c>
      <c r="B304" s="35" t="s">
        <v>300</v>
      </c>
      <c r="C304" s="36">
        <v>5686</v>
      </c>
      <c r="D304" s="6"/>
      <c r="E304" s="113">
        <v>1183313524</v>
      </c>
      <c r="F304" s="116">
        <f t="shared" si="63"/>
        <v>208110.0112557158</v>
      </c>
      <c r="G304" s="117">
        <v>825406187</v>
      </c>
      <c r="H304" s="117">
        <f t="shared" si="64"/>
        <v>145164.6477312698</v>
      </c>
      <c r="I304" s="7"/>
      <c r="J304" s="10">
        <v>6.4980000000000002</v>
      </c>
      <c r="K304" s="117">
        <v>5363489</v>
      </c>
      <c r="L304" s="120">
        <f t="shared" si="62"/>
        <v>943.27981005979598</v>
      </c>
      <c r="M304" s="122">
        <f t="shared" si="55"/>
        <v>8254061.8700000001</v>
      </c>
      <c r="N304" s="116">
        <f t="shared" si="56"/>
        <v>2890572.87</v>
      </c>
      <c r="O304" s="123">
        <f t="shared" si="57"/>
        <v>508.36666725290189</v>
      </c>
      <c r="P304" s="5"/>
      <c r="Q304" s="5">
        <f t="shared" si="59"/>
        <v>1</v>
      </c>
      <c r="R304" s="7">
        <f t="shared" si="60"/>
        <v>5686</v>
      </c>
      <c r="S304" s="5">
        <f t="shared" si="61"/>
        <v>1</v>
      </c>
      <c r="T304" s="7">
        <f t="shared" si="58"/>
        <v>5686</v>
      </c>
    </row>
    <row r="305" spans="1:20">
      <c r="A305" s="23" t="s">
        <v>333</v>
      </c>
      <c r="B305" s="35" t="s">
        <v>300</v>
      </c>
      <c r="C305" s="36">
        <v>53429</v>
      </c>
      <c r="D305" s="6"/>
      <c r="E305" s="113">
        <v>7586862574</v>
      </c>
      <c r="F305" s="116">
        <f t="shared" si="63"/>
        <v>141998.96262329447</v>
      </c>
      <c r="G305" s="117">
        <v>5621675282</v>
      </c>
      <c r="H305" s="117">
        <f t="shared" si="64"/>
        <v>105217.67732879148</v>
      </c>
      <c r="I305" s="7"/>
      <c r="J305" s="10">
        <v>2.7</v>
      </c>
      <c r="K305" s="117">
        <v>15178523</v>
      </c>
      <c r="L305" s="120">
        <f t="shared" si="62"/>
        <v>284.08772389526285</v>
      </c>
      <c r="M305" s="122">
        <f t="shared" si="55"/>
        <v>56216752.82</v>
      </c>
      <c r="N305" s="116">
        <f t="shared" si="56"/>
        <v>41038229.82</v>
      </c>
      <c r="O305" s="123">
        <f t="shared" si="57"/>
        <v>768.08904939265199</v>
      </c>
      <c r="P305" s="5"/>
      <c r="Q305" s="5">
        <f t="shared" si="59"/>
        <v>1</v>
      </c>
      <c r="R305" s="7">
        <f t="shared" si="60"/>
        <v>53429</v>
      </c>
      <c r="S305" s="5">
        <f t="shared" si="61"/>
        <v>1</v>
      </c>
      <c r="T305" s="7">
        <f t="shared" si="58"/>
        <v>53429</v>
      </c>
    </row>
    <row r="306" spans="1:20">
      <c r="A306" s="23" t="s">
        <v>334</v>
      </c>
      <c r="B306" s="35" t="s">
        <v>300</v>
      </c>
      <c r="C306" s="36">
        <v>101111</v>
      </c>
      <c r="D306" s="6"/>
      <c r="E306" s="113">
        <v>12823547761</v>
      </c>
      <c r="F306" s="116">
        <f t="shared" si="63"/>
        <v>126826.43590707243</v>
      </c>
      <c r="G306" s="117">
        <v>9304210060</v>
      </c>
      <c r="H306" s="117">
        <f t="shared" si="64"/>
        <v>92019.761054682473</v>
      </c>
      <c r="I306" s="7"/>
      <c r="J306" s="10">
        <v>7.9</v>
      </c>
      <c r="K306" s="117">
        <v>73503259</v>
      </c>
      <c r="L306" s="120">
        <f t="shared" si="62"/>
        <v>726.95610764407434</v>
      </c>
      <c r="M306" s="122">
        <f t="shared" si="55"/>
        <v>93042100.600000009</v>
      </c>
      <c r="N306" s="116">
        <f t="shared" si="56"/>
        <v>19538841.600000009</v>
      </c>
      <c r="O306" s="123">
        <f t="shared" si="57"/>
        <v>193.24150290275054</v>
      </c>
      <c r="P306" s="5"/>
      <c r="Q306" s="5">
        <f t="shared" si="59"/>
        <v>1</v>
      </c>
      <c r="R306" s="7">
        <f t="shared" si="60"/>
        <v>101111</v>
      </c>
      <c r="S306" s="5">
        <f t="shared" si="61"/>
        <v>1</v>
      </c>
      <c r="T306" s="7">
        <f t="shared" si="58"/>
        <v>101111</v>
      </c>
    </row>
    <row r="307" spans="1:20">
      <c r="A307" s="23" t="s">
        <v>335</v>
      </c>
      <c r="B307" s="35" t="s">
        <v>336</v>
      </c>
      <c r="C307" s="36">
        <v>6743</v>
      </c>
      <c r="D307" s="6"/>
      <c r="E307" s="113">
        <v>423651137</v>
      </c>
      <c r="F307" s="116">
        <f t="shared" si="63"/>
        <v>62828.286667655346</v>
      </c>
      <c r="G307" s="117">
        <v>226499675</v>
      </c>
      <c r="H307" s="117">
        <f t="shared" si="64"/>
        <v>33590.341835978048</v>
      </c>
      <c r="I307" s="7"/>
      <c r="J307" s="10">
        <v>7.84</v>
      </c>
      <c r="K307" s="117">
        <v>1775757</v>
      </c>
      <c r="L307" s="120">
        <f t="shared" si="62"/>
        <v>263.34821296158981</v>
      </c>
      <c r="M307" s="122">
        <f t="shared" si="55"/>
        <v>2264996.75</v>
      </c>
      <c r="N307" s="116">
        <f t="shared" si="56"/>
        <v>489239.75</v>
      </c>
      <c r="O307" s="123">
        <f t="shared" si="57"/>
        <v>72.555205398190722</v>
      </c>
      <c r="P307" s="5"/>
      <c r="Q307" s="5">
        <f t="shared" si="59"/>
        <v>1</v>
      </c>
      <c r="R307" s="7">
        <f t="shared" si="60"/>
        <v>6743</v>
      </c>
      <c r="S307" s="5">
        <f t="shared" si="61"/>
        <v>1</v>
      </c>
      <c r="T307" s="7">
        <f t="shared" si="58"/>
        <v>6743</v>
      </c>
    </row>
    <row r="308" spans="1:20">
      <c r="A308" s="23" t="s">
        <v>337</v>
      </c>
      <c r="B308" s="35" t="s">
        <v>336</v>
      </c>
      <c r="C308" s="36">
        <v>16397</v>
      </c>
      <c r="D308" s="6"/>
      <c r="E308" s="113">
        <v>1049734014</v>
      </c>
      <c r="F308" s="116">
        <f t="shared" si="63"/>
        <v>64019.882539488928</v>
      </c>
      <c r="G308" s="117">
        <v>702754887</v>
      </c>
      <c r="H308" s="117">
        <f t="shared" si="64"/>
        <v>42858.747758736354</v>
      </c>
      <c r="I308" s="7"/>
      <c r="J308" s="10">
        <v>7</v>
      </c>
      <c r="K308" s="117">
        <v>4919284</v>
      </c>
      <c r="L308" s="120">
        <f t="shared" si="62"/>
        <v>300.01122156492039</v>
      </c>
      <c r="M308" s="122">
        <f t="shared" si="55"/>
        <v>7027548.8700000001</v>
      </c>
      <c r="N308" s="116">
        <f t="shared" si="56"/>
        <v>2108264.87</v>
      </c>
      <c r="O308" s="123">
        <f t="shared" si="57"/>
        <v>128.57625602244315</v>
      </c>
      <c r="P308" s="5"/>
      <c r="Q308" s="5">
        <f t="shared" si="59"/>
        <v>1</v>
      </c>
      <c r="R308" s="7">
        <f t="shared" si="60"/>
        <v>16397</v>
      </c>
      <c r="S308" s="5">
        <f t="shared" si="61"/>
        <v>1</v>
      </c>
      <c r="T308" s="7">
        <f t="shared" si="58"/>
        <v>16397</v>
      </c>
    </row>
    <row r="309" spans="1:20">
      <c r="A309" s="23" t="s">
        <v>338</v>
      </c>
      <c r="B309" s="35" t="s">
        <v>336</v>
      </c>
      <c r="C309" s="36">
        <v>3187</v>
      </c>
      <c r="D309" s="6"/>
      <c r="E309" s="113">
        <v>394435494</v>
      </c>
      <c r="F309" s="116">
        <f t="shared" si="63"/>
        <v>123763.88264825856</v>
      </c>
      <c r="G309" s="117">
        <v>300721716</v>
      </c>
      <c r="H309" s="117">
        <f t="shared" si="64"/>
        <v>94358.869155946028</v>
      </c>
      <c r="I309" s="7"/>
      <c r="J309" s="10">
        <v>5.82</v>
      </c>
      <c r="K309" s="117">
        <v>1750200</v>
      </c>
      <c r="L309" s="120">
        <f t="shared" si="62"/>
        <v>549.1684970191402</v>
      </c>
      <c r="M309" s="122">
        <f t="shared" si="55"/>
        <v>3007217.16</v>
      </c>
      <c r="N309" s="116">
        <f t="shared" si="56"/>
        <v>1257017.1600000001</v>
      </c>
      <c r="O309" s="123">
        <f t="shared" si="57"/>
        <v>394.4201945403201</v>
      </c>
      <c r="P309" s="5"/>
      <c r="Q309" s="5">
        <f t="shared" si="59"/>
        <v>1</v>
      </c>
      <c r="R309" s="7">
        <f t="shared" si="60"/>
        <v>3187</v>
      </c>
      <c r="S309" s="5">
        <f t="shared" si="61"/>
        <v>1</v>
      </c>
      <c r="T309" s="7">
        <f t="shared" si="58"/>
        <v>3187</v>
      </c>
    </row>
    <row r="310" spans="1:20">
      <c r="A310" s="23" t="s">
        <v>339</v>
      </c>
      <c r="B310" s="35" t="s">
        <v>336</v>
      </c>
      <c r="C310" s="36">
        <v>908</v>
      </c>
      <c r="D310" s="6"/>
      <c r="E310" s="113">
        <v>76294100</v>
      </c>
      <c r="F310" s="116">
        <f t="shared" si="63"/>
        <v>84024.339207048455</v>
      </c>
      <c r="G310" s="117">
        <v>43373501</v>
      </c>
      <c r="H310" s="117">
        <f t="shared" si="64"/>
        <v>47768.172907488988</v>
      </c>
      <c r="I310" s="7"/>
      <c r="J310" s="10">
        <v>2.4155000000000002</v>
      </c>
      <c r="K310" s="117">
        <v>104769</v>
      </c>
      <c r="L310" s="120">
        <f t="shared" ref="L310:L341" si="65">(K310/C310)</f>
        <v>115.38436123348018</v>
      </c>
      <c r="M310" s="122">
        <f t="shared" si="55"/>
        <v>433735.01</v>
      </c>
      <c r="N310" s="116">
        <f t="shared" si="56"/>
        <v>328966.01</v>
      </c>
      <c r="O310" s="123">
        <f t="shared" si="57"/>
        <v>362.29736784140971</v>
      </c>
      <c r="P310" s="5"/>
      <c r="Q310" s="5">
        <f t="shared" si="59"/>
        <v>1</v>
      </c>
      <c r="R310" s="7">
        <f t="shared" si="60"/>
        <v>908</v>
      </c>
      <c r="S310" s="5">
        <f t="shared" si="61"/>
        <v>1</v>
      </c>
      <c r="T310" s="7">
        <f t="shared" si="58"/>
        <v>908</v>
      </c>
    </row>
    <row r="311" spans="1:20">
      <c r="A311" s="23" t="s">
        <v>547</v>
      </c>
      <c r="B311" s="35" t="s">
        <v>336</v>
      </c>
      <c r="C311" s="36">
        <v>1060</v>
      </c>
      <c r="D311" s="6"/>
      <c r="E311" s="113">
        <v>69652411</v>
      </c>
      <c r="F311" s="116">
        <f t="shared" si="63"/>
        <v>65709.821698113214</v>
      </c>
      <c r="G311" s="117">
        <v>35759820</v>
      </c>
      <c r="H311" s="117">
        <f t="shared" si="64"/>
        <v>33735.67924528302</v>
      </c>
      <c r="I311" s="7"/>
      <c r="J311" s="10">
        <v>2</v>
      </c>
      <c r="K311" s="117">
        <v>71520</v>
      </c>
      <c r="L311" s="120">
        <f t="shared" si="65"/>
        <v>67.471698113207552</v>
      </c>
      <c r="M311" s="122">
        <f t="shared" si="55"/>
        <v>357598.2</v>
      </c>
      <c r="N311" s="116">
        <f t="shared" si="56"/>
        <v>286078.2</v>
      </c>
      <c r="O311" s="123">
        <f t="shared" si="57"/>
        <v>269.88509433962264</v>
      </c>
      <c r="P311" s="5"/>
      <c r="Q311" s="5">
        <f t="shared" si="59"/>
        <v>1</v>
      </c>
      <c r="R311" s="7">
        <f t="shared" si="60"/>
        <v>1060</v>
      </c>
      <c r="S311" s="5">
        <f t="shared" si="61"/>
        <v>1</v>
      </c>
      <c r="T311" s="7">
        <f t="shared" si="58"/>
        <v>1060</v>
      </c>
    </row>
    <row r="312" spans="1:20">
      <c r="A312" s="23" t="s">
        <v>340</v>
      </c>
      <c r="B312" s="35" t="s">
        <v>336</v>
      </c>
      <c r="C312" s="36">
        <v>12033</v>
      </c>
      <c r="D312" s="6"/>
      <c r="E312" s="113">
        <v>883661009</v>
      </c>
      <c r="F312" s="116">
        <f t="shared" si="63"/>
        <v>73436.467132053513</v>
      </c>
      <c r="G312" s="117">
        <v>577446393</v>
      </c>
      <c r="H312" s="117">
        <f t="shared" si="64"/>
        <v>47988.564198454253</v>
      </c>
      <c r="I312" s="7"/>
      <c r="J312" s="10">
        <v>6.42</v>
      </c>
      <c r="K312" s="117">
        <v>3707206</v>
      </c>
      <c r="L312" s="120">
        <f t="shared" si="65"/>
        <v>308.08659519654282</v>
      </c>
      <c r="M312" s="122">
        <f t="shared" si="55"/>
        <v>5774463.9299999997</v>
      </c>
      <c r="N312" s="116">
        <f t="shared" si="56"/>
        <v>2067257.9299999997</v>
      </c>
      <c r="O312" s="123">
        <f t="shared" si="57"/>
        <v>171.79904678799963</v>
      </c>
      <c r="P312" s="5"/>
      <c r="Q312" s="5">
        <f t="shared" si="59"/>
        <v>1</v>
      </c>
      <c r="R312" s="7">
        <f t="shared" si="60"/>
        <v>12033</v>
      </c>
      <c r="S312" s="5">
        <f t="shared" si="61"/>
        <v>1</v>
      </c>
      <c r="T312" s="7">
        <f t="shared" si="58"/>
        <v>12033</v>
      </c>
    </row>
    <row r="313" spans="1:20">
      <c r="A313" s="23" t="s">
        <v>341</v>
      </c>
      <c r="B313" s="35" t="s">
        <v>342</v>
      </c>
      <c r="C313" s="36">
        <v>4138</v>
      </c>
      <c r="D313" s="6"/>
      <c r="E313" s="113">
        <v>990314810</v>
      </c>
      <c r="F313" s="116">
        <f t="shared" si="63"/>
        <v>239322.09038182697</v>
      </c>
      <c r="G313" s="117">
        <v>689353860</v>
      </c>
      <c r="H313" s="117">
        <f t="shared" si="64"/>
        <v>166591.07298211695</v>
      </c>
      <c r="I313" s="7"/>
      <c r="J313" s="10">
        <v>4.6388999999999996</v>
      </c>
      <c r="K313" s="117">
        <v>3197844</v>
      </c>
      <c r="L313" s="120">
        <f t="shared" si="65"/>
        <v>772.79942000966651</v>
      </c>
      <c r="M313" s="122">
        <f t="shared" si="55"/>
        <v>6893538.6000000006</v>
      </c>
      <c r="N313" s="116">
        <f t="shared" si="56"/>
        <v>3695694.6000000006</v>
      </c>
      <c r="O313" s="123">
        <f t="shared" si="57"/>
        <v>893.11130981150325</v>
      </c>
      <c r="P313" s="5"/>
      <c r="Q313" s="5">
        <f t="shared" si="59"/>
        <v>1</v>
      </c>
      <c r="R313" s="7">
        <f t="shared" si="60"/>
        <v>4138</v>
      </c>
      <c r="S313" s="5">
        <f t="shared" si="61"/>
        <v>1</v>
      </c>
      <c r="T313" s="7">
        <f t="shared" si="58"/>
        <v>4138</v>
      </c>
    </row>
    <row r="314" spans="1:20">
      <c r="A314" s="23" t="s">
        <v>343</v>
      </c>
      <c r="B314" s="35" t="s">
        <v>342</v>
      </c>
      <c r="C314" s="36">
        <v>1619</v>
      </c>
      <c r="D314" s="6"/>
      <c r="E314" s="113">
        <v>593862990</v>
      </c>
      <c r="F314" s="116">
        <f t="shared" si="63"/>
        <v>366808.51760345895</v>
      </c>
      <c r="G314" s="117">
        <v>418473060</v>
      </c>
      <c r="H314" s="117">
        <f t="shared" si="64"/>
        <v>258476.25694873379</v>
      </c>
      <c r="I314" s="7"/>
      <c r="J314" s="10">
        <v>2.41</v>
      </c>
      <c r="K314" s="117">
        <v>1008520</v>
      </c>
      <c r="L314" s="120">
        <f t="shared" si="65"/>
        <v>622.92773316862258</v>
      </c>
      <c r="M314" s="122">
        <f t="shared" si="55"/>
        <v>4184730.6</v>
      </c>
      <c r="N314" s="116">
        <f t="shared" si="56"/>
        <v>3176210.6</v>
      </c>
      <c r="O314" s="123">
        <f t="shared" si="57"/>
        <v>1961.8348363187154</v>
      </c>
      <c r="P314" s="5"/>
      <c r="Q314" s="5">
        <f t="shared" si="59"/>
        <v>1</v>
      </c>
      <c r="R314" s="7">
        <f t="shared" si="60"/>
        <v>1619</v>
      </c>
      <c r="S314" s="5">
        <f t="shared" si="61"/>
        <v>1</v>
      </c>
      <c r="T314" s="7">
        <f t="shared" si="58"/>
        <v>1619</v>
      </c>
    </row>
    <row r="315" spans="1:20">
      <c r="A315" s="23" t="s">
        <v>344</v>
      </c>
      <c r="B315" s="35" t="s">
        <v>342</v>
      </c>
      <c r="C315" s="36">
        <v>2257</v>
      </c>
      <c r="D315" s="6"/>
      <c r="E315" s="113">
        <v>280882640</v>
      </c>
      <c r="F315" s="116">
        <f t="shared" si="63"/>
        <v>124449.55250332299</v>
      </c>
      <c r="G315" s="117">
        <v>196849350</v>
      </c>
      <c r="H315" s="117">
        <f t="shared" si="64"/>
        <v>87217.257421355782</v>
      </c>
      <c r="I315" s="7"/>
      <c r="J315" s="10">
        <v>4.3499999999999996</v>
      </c>
      <c r="K315" s="117">
        <v>856295</v>
      </c>
      <c r="L315" s="120">
        <f t="shared" si="65"/>
        <v>379.39521488701814</v>
      </c>
      <c r="M315" s="122">
        <f t="shared" si="55"/>
        <v>1968493.5</v>
      </c>
      <c r="N315" s="116">
        <f t="shared" si="56"/>
        <v>1112198.5</v>
      </c>
      <c r="O315" s="123">
        <f t="shared" si="57"/>
        <v>492.77735932653968</v>
      </c>
      <c r="P315" s="5"/>
      <c r="Q315" s="5">
        <f t="shared" si="59"/>
        <v>1</v>
      </c>
      <c r="R315" s="7">
        <f t="shared" si="60"/>
        <v>2257</v>
      </c>
      <c r="S315" s="5">
        <f t="shared" si="61"/>
        <v>1</v>
      </c>
      <c r="T315" s="7">
        <f t="shared" si="58"/>
        <v>2257</v>
      </c>
    </row>
    <row r="316" spans="1:20">
      <c r="A316" s="23" t="s">
        <v>345</v>
      </c>
      <c r="B316" s="35" t="s">
        <v>342</v>
      </c>
      <c r="C316" s="36">
        <v>72</v>
      </c>
      <c r="D316" s="6"/>
      <c r="E316" s="113">
        <v>131755840</v>
      </c>
      <c r="F316" s="116">
        <f t="shared" si="63"/>
        <v>1829942.2222222222</v>
      </c>
      <c r="G316" s="117">
        <v>93312740</v>
      </c>
      <c r="H316" s="117">
        <f t="shared" si="64"/>
        <v>1296010.2777777778</v>
      </c>
      <c r="I316" s="7"/>
      <c r="J316" s="10">
        <v>0.72040000000000004</v>
      </c>
      <c r="K316" s="117">
        <v>67222</v>
      </c>
      <c r="L316" s="120">
        <f t="shared" si="65"/>
        <v>933.63888888888891</v>
      </c>
      <c r="M316" s="122">
        <f t="shared" si="55"/>
        <v>933127.4</v>
      </c>
      <c r="N316" s="116">
        <f t="shared" si="56"/>
        <v>865905.4</v>
      </c>
      <c r="O316" s="123">
        <f t="shared" si="57"/>
        <v>12026.463888888889</v>
      </c>
      <c r="P316" s="5"/>
      <c r="Q316" s="5">
        <f t="shared" si="59"/>
        <v>1</v>
      </c>
      <c r="R316" s="7">
        <f t="shared" si="60"/>
        <v>72</v>
      </c>
      <c r="S316" s="5">
        <f t="shared" si="61"/>
        <v>1</v>
      </c>
      <c r="T316" s="7">
        <f t="shared" si="58"/>
        <v>72</v>
      </c>
    </row>
    <row r="317" spans="1:20">
      <c r="A317" s="23" t="s">
        <v>346</v>
      </c>
      <c r="B317" s="35" t="s">
        <v>342</v>
      </c>
      <c r="C317" s="36">
        <v>110831</v>
      </c>
      <c r="D317" s="6"/>
      <c r="E317" s="113">
        <v>12385782424</v>
      </c>
      <c r="F317" s="116">
        <f t="shared" si="63"/>
        <v>111753.77307792947</v>
      </c>
      <c r="G317" s="117">
        <v>8650231068</v>
      </c>
      <c r="H317" s="117">
        <f t="shared" si="64"/>
        <v>78048.840739504289</v>
      </c>
      <c r="I317" s="7"/>
      <c r="J317" s="10">
        <v>5.7530000000000001</v>
      </c>
      <c r="K317" s="117">
        <v>49764779</v>
      </c>
      <c r="L317" s="120">
        <f t="shared" si="65"/>
        <v>449.01497775893029</v>
      </c>
      <c r="M317" s="122">
        <f t="shared" si="55"/>
        <v>86502310.680000007</v>
      </c>
      <c r="N317" s="116">
        <f t="shared" si="56"/>
        <v>36737531.680000007</v>
      </c>
      <c r="O317" s="123">
        <f t="shared" si="57"/>
        <v>331.47342963611271</v>
      </c>
      <c r="P317" s="5"/>
      <c r="Q317" s="5">
        <f t="shared" si="59"/>
        <v>1</v>
      </c>
      <c r="R317" s="7">
        <f t="shared" si="60"/>
        <v>110831</v>
      </c>
      <c r="S317" s="5">
        <f t="shared" si="61"/>
        <v>1</v>
      </c>
      <c r="T317" s="7">
        <f t="shared" si="58"/>
        <v>110831</v>
      </c>
    </row>
    <row r="318" spans="1:20">
      <c r="A318" s="23" t="s">
        <v>347</v>
      </c>
      <c r="B318" s="35" t="s">
        <v>342</v>
      </c>
      <c r="C318" s="36">
        <v>37426</v>
      </c>
      <c r="D318" s="6"/>
      <c r="E318" s="113">
        <v>3233337399</v>
      </c>
      <c r="F318" s="116">
        <f t="shared" si="63"/>
        <v>86392.812456580985</v>
      </c>
      <c r="G318" s="117">
        <v>1997468859</v>
      </c>
      <c r="H318" s="117">
        <f t="shared" si="64"/>
        <v>53371.15531983113</v>
      </c>
      <c r="I318" s="7"/>
      <c r="J318" s="10">
        <v>4.4253</v>
      </c>
      <c r="K318" s="117">
        <v>8839399</v>
      </c>
      <c r="L318" s="120">
        <f t="shared" si="65"/>
        <v>236.18337519371559</v>
      </c>
      <c r="M318" s="122">
        <f t="shared" si="55"/>
        <v>19974688.59</v>
      </c>
      <c r="N318" s="116">
        <f t="shared" si="56"/>
        <v>11135289.59</v>
      </c>
      <c r="O318" s="123">
        <f t="shared" si="57"/>
        <v>297.52817800459576</v>
      </c>
      <c r="P318" s="5"/>
      <c r="Q318" s="5">
        <f t="shared" si="59"/>
        <v>1</v>
      </c>
      <c r="R318" s="7">
        <f t="shared" si="60"/>
        <v>37426</v>
      </c>
      <c r="S318" s="5">
        <f t="shared" si="61"/>
        <v>1</v>
      </c>
      <c r="T318" s="7">
        <f t="shared" si="58"/>
        <v>37426</v>
      </c>
    </row>
    <row r="319" spans="1:20">
      <c r="A319" s="23" t="s">
        <v>348</v>
      </c>
      <c r="B319" s="35" t="s">
        <v>342</v>
      </c>
      <c r="C319" s="36">
        <v>12899</v>
      </c>
      <c r="D319" s="6"/>
      <c r="E319" s="113">
        <v>1247761451</v>
      </c>
      <c r="F319" s="116">
        <f t="shared" si="63"/>
        <v>96733.192573067674</v>
      </c>
      <c r="G319" s="117">
        <v>785531011</v>
      </c>
      <c r="H319" s="117">
        <f t="shared" si="64"/>
        <v>60898.59764322816</v>
      </c>
      <c r="I319" s="7"/>
      <c r="J319" s="10">
        <v>4.3</v>
      </c>
      <c r="K319" s="117">
        <v>3377783</v>
      </c>
      <c r="L319" s="120">
        <f t="shared" si="65"/>
        <v>261.86394294131327</v>
      </c>
      <c r="M319" s="122">
        <f t="shared" si="55"/>
        <v>7855310.1100000003</v>
      </c>
      <c r="N319" s="116">
        <f t="shared" si="56"/>
        <v>4477527.1100000003</v>
      </c>
      <c r="O319" s="123">
        <f t="shared" si="57"/>
        <v>347.12203349096831</v>
      </c>
      <c r="P319" s="5"/>
      <c r="Q319" s="5">
        <f t="shared" si="59"/>
        <v>1</v>
      </c>
      <c r="R319" s="7">
        <f t="shared" si="60"/>
        <v>12899</v>
      </c>
      <c r="S319" s="5">
        <f t="shared" si="61"/>
        <v>1</v>
      </c>
      <c r="T319" s="7">
        <f t="shared" si="58"/>
        <v>12899</v>
      </c>
    </row>
    <row r="320" spans="1:20">
      <c r="A320" s="23" t="s">
        <v>349</v>
      </c>
      <c r="B320" s="35" t="s">
        <v>342</v>
      </c>
      <c r="C320" s="36">
        <v>5311</v>
      </c>
      <c r="D320" s="6"/>
      <c r="E320" s="113">
        <v>1210575251</v>
      </c>
      <c r="F320" s="116">
        <f t="shared" si="63"/>
        <v>227937.3472039164</v>
      </c>
      <c r="G320" s="117">
        <v>918266961</v>
      </c>
      <c r="H320" s="117">
        <f t="shared" si="64"/>
        <v>172899.07004330633</v>
      </c>
      <c r="I320" s="7"/>
      <c r="J320" s="10">
        <v>1.7810999999999999</v>
      </c>
      <c r="K320" s="117">
        <v>1635525</v>
      </c>
      <c r="L320" s="120">
        <f t="shared" si="65"/>
        <v>307.95048013556772</v>
      </c>
      <c r="M320" s="122">
        <f t="shared" si="55"/>
        <v>9182669.6099999994</v>
      </c>
      <c r="N320" s="116">
        <f t="shared" si="56"/>
        <v>7547144.6099999994</v>
      </c>
      <c r="O320" s="123">
        <f t="shared" si="57"/>
        <v>1421.0402202974956</v>
      </c>
      <c r="P320" s="5"/>
      <c r="Q320" s="5">
        <f t="shared" si="59"/>
        <v>1</v>
      </c>
      <c r="R320" s="7">
        <f t="shared" si="60"/>
        <v>5311</v>
      </c>
      <c r="S320" s="5">
        <f t="shared" si="61"/>
        <v>1</v>
      </c>
      <c r="T320" s="7">
        <f t="shared" si="58"/>
        <v>5311</v>
      </c>
    </row>
    <row r="321" spans="1:20">
      <c r="A321" s="23" t="s">
        <v>350</v>
      </c>
      <c r="B321" s="35" t="s">
        <v>342</v>
      </c>
      <c r="C321" s="36">
        <v>1799</v>
      </c>
      <c r="D321" s="6"/>
      <c r="E321" s="113">
        <v>903343390</v>
      </c>
      <c r="F321" s="116">
        <f t="shared" si="63"/>
        <v>502136.40355753194</v>
      </c>
      <c r="G321" s="117">
        <v>791629010</v>
      </c>
      <c r="H321" s="117">
        <f t="shared" si="64"/>
        <v>440038.36020011117</v>
      </c>
      <c r="I321" s="7"/>
      <c r="J321" s="10">
        <v>1.7129000000000001</v>
      </c>
      <c r="K321" s="117">
        <v>1355981</v>
      </c>
      <c r="L321" s="120">
        <f t="shared" si="65"/>
        <v>753.74152306837129</v>
      </c>
      <c r="M321" s="122">
        <f t="shared" si="55"/>
        <v>7916290.1000000006</v>
      </c>
      <c r="N321" s="116">
        <f t="shared" si="56"/>
        <v>6560309.1000000006</v>
      </c>
      <c r="O321" s="123">
        <f t="shared" si="57"/>
        <v>3646.6420789327408</v>
      </c>
      <c r="P321" s="5"/>
      <c r="Q321" s="5">
        <f t="shared" si="59"/>
        <v>1</v>
      </c>
      <c r="R321" s="7">
        <f t="shared" si="60"/>
        <v>1799</v>
      </c>
      <c r="S321" s="5">
        <f t="shared" si="61"/>
        <v>1</v>
      </c>
      <c r="T321" s="7">
        <f t="shared" si="58"/>
        <v>1799</v>
      </c>
    </row>
    <row r="322" spans="1:20">
      <c r="A322" s="23" t="s">
        <v>351</v>
      </c>
      <c r="B322" s="35" t="s">
        <v>342</v>
      </c>
      <c r="C322" s="36">
        <v>4544</v>
      </c>
      <c r="D322" s="6"/>
      <c r="E322" s="113">
        <v>238938760</v>
      </c>
      <c r="F322" s="116">
        <f t="shared" si="63"/>
        <v>52583.353873239437</v>
      </c>
      <c r="G322" s="117">
        <v>145635080</v>
      </c>
      <c r="H322" s="117">
        <f t="shared" si="64"/>
        <v>32049.973591549297</v>
      </c>
      <c r="I322" s="7"/>
      <c r="J322" s="10">
        <v>3.754</v>
      </c>
      <c r="K322" s="117">
        <v>546714</v>
      </c>
      <c r="L322" s="120">
        <f t="shared" si="65"/>
        <v>120.31558098591549</v>
      </c>
      <c r="M322" s="122">
        <f t="shared" si="55"/>
        <v>1456350.8</v>
      </c>
      <c r="N322" s="116">
        <f t="shared" si="56"/>
        <v>909636.8</v>
      </c>
      <c r="O322" s="123">
        <f t="shared" si="57"/>
        <v>200.18415492957749</v>
      </c>
      <c r="P322" s="5"/>
      <c r="Q322" s="5">
        <f t="shared" si="59"/>
        <v>1</v>
      </c>
      <c r="R322" s="7">
        <f t="shared" si="60"/>
        <v>4544</v>
      </c>
      <c r="S322" s="5">
        <f t="shared" si="61"/>
        <v>1</v>
      </c>
      <c r="T322" s="7">
        <f t="shared" si="58"/>
        <v>4544</v>
      </c>
    </row>
    <row r="323" spans="1:20">
      <c r="A323" s="23" t="s">
        <v>352</v>
      </c>
      <c r="B323" s="35" t="s">
        <v>342</v>
      </c>
      <c r="C323" s="36">
        <v>74859</v>
      </c>
      <c r="D323" s="6"/>
      <c r="E323" s="113">
        <v>5118062220</v>
      </c>
      <c r="F323" s="116">
        <f t="shared" si="63"/>
        <v>68369.364004328134</v>
      </c>
      <c r="G323" s="117">
        <v>3624470190</v>
      </c>
      <c r="H323" s="117">
        <f t="shared" si="64"/>
        <v>48417.293712178893</v>
      </c>
      <c r="I323" s="7"/>
      <c r="J323" s="10">
        <v>4.2758000000000003</v>
      </c>
      <c r="K323" s="117">
        <v>15497510</v>
      </c>
      <c r="L323" s="120">
        <f t="shared" si="65"/>
        <v>207.02266928492233</v>
      </c>
      <c r="M323" s="122">
        <f t="shared" si="55"/>
        <v>36244701.899999999</v>
      </c>
      <c r="N323" s="116">
        <f t="shared" si="56"/>
        <v>20747191.899999999</v>
      </c>
      <c r="O323" s="123">
        <f t="shared" si="57"/>
        <v>277.15026783686665</v>
      </c>
      <c r="P323" s="5"/>
      <c r="Q323" s="5">
        <f t="shared" si="59"/>
        <v>1</v>
      </c>
      <c r="R323" s="7">
        <f t="shared" si="60"/>
        <v>74859</v>
      </c>
      <c r="S323" s="5">
        <f t="shared" si="61"/>
        <v>1</v>
      </c>
      <c r="T323" s="7">
        <f t="shared" si="58"/>
        <v>74859</v>
      </c>
    </row>
    <row r="324" spans="1:20">
      <c r="A324" s="23" t="s">
        <v>353</v>
      </c>
      <c r="B324" s="35" t="s">
        <v>342</v>
      </c>
      <c r="C324" s="36">
        <v>4510</v>
      </c>
      <c r="D324" s="6"/>
      <c r="E324" s="113">
        <v>1278073512</v>
      </c>
      <c r="F324" s="116">
        <f t="shared" si="63"/>
        <v>283386.58802660753</v>
      </c>
      <c r="G324" s="117">
        <v>1005179022</v>
      </c>
      <c r="H324" s="117">
        <f t="shared" si="64"/>
        <v>222877.83192904657</v>
      </c>
      <c r="I324" s="7"/>
      <c r="J324" s="10">
        <v>2.12</v>
      </c>
      <c r="K324" s="117">
        <v>2130980</v>
      </c>
      <c r="L324" s="120">
        <f t="shared" si="65"/>
        <v>472.50110864745011</v>
      </c>
      <c r="M324" s="122">
        <f t="shared" si="55"/>
        <v>10051790.220000001</v>
      </c>
      <c r="N324" s="116">
        <f t="shared" si="56"/>
        <v>7920810.2200000007</v>
      </c>
      <c r="O324" s="123">
        <f t="shared" si="57"/>
        <v>1756.2772106430157</v>
      </c>
      <c r="P324" s="5"/>
      <c r="Q324" s="5">
        <f t="shared" si="59"/>
        <v>1</v>
      </c>
      <c r="R324" s="7">
        <f t="shared" si="60"/>
        <v>4510</v>
      </c>
      <c r="S324" s="5">
        <f t="shared" si="61"/>
        <v>1</v>
      </c>
      <c r="T324" s="7">
        <f t="shared" si="58"/>
        <v>4510</v>
      </c>
    </row>
    <row r="325" spans="1:20">
      <c r="A325" s="23" t="s">
        <v>354</v>
      </c>
      <c r="B325" s="35" t="s">
        <v>342</v>
      </c>
      <c r="C325" s="36">
        <v>1487</v>
      </c>
      <c r="D325" s="6"/>
      <c r="E325" s="113">
        <v>526802210</v>
      </c>
      <c r="F325" s="116">
        <f t="shared" si="63"/>
        <v>354271.82918628113</v>
      </c>
      <c r="G325" s="117">
        <v>429762390</v>
      </c>
      <c r="H325" s="117">
        <f t="shared" si="64"/>
        <v>289013.03967720241</v>
      </c>
      <c r="I325" s="7"/>
      <c r="J325" s="10">
        <v>1</v>
      </c>
      <c r="K325" s="117">
        <v>429762</v>
      </c>
      <c r="L325" s="120">
        <f t="shared" si="65"/>
        <v>289.01277740416947</v>
      </c>
      <c r="M325" s="122">
        <f t="shared" si="55"/>
        <v>4297623.9000000004</v>
      </c>
      <c r="N325" s="116">
        <f t="shared" si="56"/>
        <v>3867861.9000000004</v>
      </c>
      <c r="O325" s="123">
        <f t="shared" si="57"/>
        <v>2601.1176193678548</v>
      </c>
      <c r="P325" s="5"/>
      <c r="Q325" s="5">
        <f t="shared" si="59"/>
        <v>1</v>
      </c>
      <c r="R325" s="7">
        <f t="shared" si="60"/>
        <v>1487</v>
      </c>
      <c r="S325" s="5">
        <f t="shared" si="61"/>
        <v>1</v>
      </c>
      <c r="T325" s="7">
        <f t="shared" si="58"/>
        <v>1487</v>
      </c>
    </row>
    <row r="326" spans="1:20">
      <c r="A326" s="23" t="s">
        <v>355</v>
      </c>
      <c r="B326" s="35" t="s">
        <v>342</v>
      </c>
      <c r="C326" s="36">
        <v>13848</v>
      </c>
      <c r="D326" s="6"/>
      <c r="E326" s="113">
        <v>1381705928</v>
      </c>
      <c r="F326" s="116">
        <f t="shared" si="63"/>
        <v>99776.569035239751</v>
      </c>
      <c r="G326" s="117">
        <v>1037392812</v>
      </c>
      <c r="H326" s="117">
        <f t="shared" si="64"/>
        <v>74912.825823223568</v>
      </c>
      <c r="I326" s="7"/>
      <c r="J326" s="10">
        <v>4.6500000000000004</v>
      </c>
      <c r="K326" s="117">
        <v>4823877</v>
      </c>
      <c r="L326" s="120">
        <f t="shared" si="65"/>
        <v>348.3446707105719</v>
      </c>
      <c r="M326" s="122">
        <f t="shared" ref="M326:M389" si="66">(G326*0.01)</f>
        <v>10373928.120000001</v>
      </c>
      <c r="N326" s="116">
        <f t="shared" ref="N326:N389" si="67">(M326-K326)</f>
        <v>5550051.120000001</v>
      </c>
      <c r="O326" s="123">
        <f t="shared" ref="O326:O389" si="68">(N326/C326)</f>
        <v>400.78358752166383</v>
      </c>
      <c r="P326" s="5"/>
      <c r="Q326" s="5">
        <f t="shared" si="59"/>
        <v>1</v>
      </c>
      <c r="R326" s="7">
        <f t="shared" si="60"/>
        <v>13848</v>
      </c>
      <c r="S326" s="5">
        <f t="shared" si="61"/>
        <v>1</v>
      </c>
      <c r="T326" s="7">
        <f t="shared" ref="T326:T389" si="69">IF(J326&gt;0,C326,0)</f>
        <v>13848</v>
      </c>
    </row>
    <row r="327" spans="1:20">
      <c r="A327" s="23" t="s">
        <v>356</v>
      </c>
      <c r="B327" s="35" t="s">
        <v>342</v>
      </c>
      <c r="C327" s="36">
        <v>48403</v>
      </c>
      <c r="D327" s="6"/>
      <c r="E327" s="113">
        <v>4008621158</v>
      </c>
      <c r="F327" s="116">
        <f t="shared" si="63"/>
        <v>82817.617874925112</v>
      </c>
      <c r="G327" s="117">
        <v>2882985631</v>
      </c>
      <c r="H327" s="117">
        <f t="shared" si="64"/>
        <v>59562.12695494081</v>
      </c>
      <c r="I327" s="7"/>
      <c r="J327" s="10">
        <v>5.0788000000000002</v>
      </c>
      <c r="K327" s="117">
        <v>14642107</v>
      </c>
      <c r="L327" s="120">
        <f t="shared" si="65"/>
        <v>302.50412164535254</v>
      </c>
      <c r="M327" s="122">
        <f t="shared" si="66"/>
        <v>28829856.310000002</v>
      </c>
      <c r="N327" s="116">
        <f t="shared" si="67"/>
        <v>14187749.310000002</v>
      </c>
      <c r="O327" s="123">
        <f t="shared" si="68"/>
        <v>293.11714790405557</v>
      </c>
      <c r="P327" s="5"/>
      <c r="Q327" s="5">
        <f t="shared" ref="Q327:Q390" si="70">IF(E327&gt;0,1,0)</f>
        <v>1</v>
      </c>
      <c r="R327" s="7">
        <f t="shared" ref="R327:R390" si="71">IF(E327&gt;0,C327,0)</f>
        <v>48403</v>
      </c>
      <c r="S327" s="5">
        <f t="shared" si="61"/>
        <v>1</v>
      </c>
      <c r="T327" s="7">
        <f t="shared" si="69"/>
        <v>48403</v>
      </c>
    </row>
    <row r="328" spans="1:20">
      <c r="A328" s="23" t="s">
        <v>357</v>
      </c>
      <c r="B328" s="35" t="s">
        <v>342</v>
      </c>
      <c r="C328" s="36">
        <v>1545</v>
      </c>
      <c r="D328" s="6"/>
      <c r="E328" s="113">
        <v>463620431</v>
      </c>
      <c r="F328" s="116">
        <f t="shared" si="63"/>
        <v>300077.94886731391</v>
      </c>
      <c r="G328" s="117">
        <v>327560031</v>
      </c>
      <c r="H328" s="117">
        <f t="shared" si="64"/>
        <v>212012.9650485437</v>
      </c>
      <c r="I328" s="7"/>
      <c r="J328" s="10">
        <v>2.2559999999999998</v>
      </c>
      <c r="K328" s="117">
        <v>738975</v>
      </c>
      <c r="L328" s="120">
        <f t="shared" si="65"/>
        <v>478.30097087378641</v>
      </c>
      <c r="M328" s="122">
        <f t="shared" si="66"/>
        <v>3275600.31</v>
      </c>
      <c r="N328" s="116">
        <f t="shared" si="67"/>
        <v>2536625.31</v>
      </c>
      <c r="O328" s="123">
        <f t="shared" si="68"/>
        <v>1641.8286796116506</v>
      </c>
      <c r="P328" s="5"/>
      <c r="Q328" s="5">
        <f t="shared" si="70"/>
        <v>1</v>
      </c>
      <c r="R328" s="7">
        <f t="shared" si="71"/>
        <v>1545</v>
      </c>
      <c r="S328" s="5">
        <f t="shared" si="61"/>
        <v>1</v>
      </c>
      <c r="T328" s="7">
        <f t="shared" si="69"/>
        <v>1545</v>
      </c>
    </row>
    <row r="329" spans="1:20">
      <c r="A329" s="23" t="s">
        <v>358</v>
      </c>
      <c r="B329" s="35" t="s">
        <v>342</v>
      </c>
      <c r="C329" s="36">
        <v>2357</v>
      </c>
      <c r="D329" s="6"/>
      <c r="E329" s="113">
        <v>633740740</v>
      </c>
      <c r="F329" s="116">
        <f t="shared" si="63"/>
        <v>268876.00339414511</v>
      </c>
      <c r="G329" s="117">
        <v>489130340</v>
      </c>
      <c r="H329" s="117">
        <f t="shared" si="64"/>
        <v>207522.41832838353</v>
      </c>
      <c r="I329" s="7"/>
      <c r="J329" s="10">
        <v>1.68</v>
      </c>
      <c r="K329" s="117">
        <v>821739</v>
      </c>
      <c r="L329" s="120">
        <f t="shared" si="65"/>
        <v>348.6376750106067</v>
      </c>
      <c r="M329" s="122">
        <f t="shared" si="66"/>
        <v>4891303.4000000004</v>
      </c>
      <c r="N329" s="116">
        <f t="shared" si="67"/>
        <v>4069564.4000000004</v>
      </c>
      <c r="O329" s="123">
        <f t="shared" si="68"/>
        <v>1726.5865082732289</v>
      </c>
      <c r="P329" s="5"/>
      <c r="Q329" s="5">
        <f t="shared" si="70"/>
        <v>1</v>
      </c>
      <c r="R329" s="7">
        <f t="shared" si="71"/>
        <v>2357</v>
      </c>
      <c r="S329" s="5">
        <f t="shared" ref="S329:S392" si="72">IF(J329&gt;0,1,0)</f>
        <v>1</v>
      </c>
      <c r="T329" s="7">
        <f t="shared" si="69"/>
        <v>2357</v>
      </c>
    </row>
    <row r="330" spans="1:20">
      <c r="A330" s="23" t="s">
        <v>359</v>
      </c>
      <c r="B330" s="35" t="s">
        <v>342</v>
      </c>
      <c r="C330" s="36">
        <v>17892</v>
      </c>
      <c r="D330" s="6"/>
      <c r="E330" s="113">
        <v>1731684082</v>
      </c>
      <c r="F330" s="116">
        <f t="shared" si="63"/>
        <v>96785.383523362398</v>
      </c>
      <c r="G330" s="117">
        <v>1101543672</v>
      </c>
      <c r="H330" s="117">
        <f t="shared" si="64"/>
        <v>61566.268276324612</v>
      </c>
      <c r="I330" s="7"/>
      <c r="J330" s="10">
        <v>2.7391000000000001</v>
      </c>
      <c r="K330" s="117">
        <v>3017238</v>
      </c>
      <c r="L330" s="120">
        <f t="shared" si="65"/>
        <v>168.63615023474179</v>
      </c>
      <c r="M330" s="122">
        <f t="shared" si="66"/>
        <v>11015436.720000001</v>
      </c>
      <c r="N330" s="116">
        <f t="shared" si="67"/>
        <v>7998198.7200000007</v>
      </c>
      <c r="O330" s="123">
        <f t="shared" si="68"/>
        <v>447.02653252850439</v>
      </c>
      <c r="P330" s="5"/>
      <c r="Q330" s="5">
        <f t="shared" si="70"/>
        <v>1</v>
      </c>
      <c r="R330" s="7">
        <f t="shared" si="71"/>
        <v>17892</v>
      </c>
      <c r="S330" s="5">
        <f t="shared" si="72"/>
        <v>1</v>
      </c>
      <c r="T330" s="7">
        <f t="shared" si="69"/>
        <v>17892</v>
      </c>
    </row>
    <row r="331" spans="1:20">
      <c r="A331" s="23" t="s">
        <v>360</v>
      </c>
      <c r="B331" s="35" t="s">
        <v>342</v>
      </c>
      <c r="C331" s="36">
        <v>17944</v>
      </c>
      <c r="D331" s="6"/>
      <c r="E331" s="113">
        <v>1626147651</v>
      </c>
      <c r="F331" s="116">
        <f t="shared" si="63"/>
        <v>90623.475869371381</v>
      </c>
      <c r="G331" s="117">
        <v>1099202601</v>
      </c>
      <c r="H331" s="117">
        <f t="shared" si="64"/>
        <v>61257.3897124387</v>
      </c>
      <c r="I331" s="7"/>
      <c r="J331" s="10">
        <v>2.9396</v>
      </c>
      <c r="K331" s="117">
        <v>3231216</v>
      </c>
      <c r="L331" s="120">
        <f t="shared" si="65"/>
        <v>180.07222469906375</v>
      </c>
      <c r="M331" s="122">
        <f t="shared" si="66"/>
        <v>10992026.01</v>
      </c>
      <c r="N331" s="116">
        <f t="shared" si="67"/>
        <v>7760810.0099999998</v>
      </c>
      <c r="O331" s="123">
        <f t="shared" si="68"/>
        <v>432.50167242532319</v>
      </c>
      <c r="P331" s="5"/>
      <c r="Q331" s="5">
        <f t="shared" si="70"/>
        <v>1</v>
      </c>
      <c r="R331" s="7">
        <f t="shared" si="71"/>
        <v>17944</v>
      </c>
      <c r="S331" s="5">
        <f t="shared" si="72"/>
        <v>1</v>
      </c>
      <c r="T331" s="7">
        <f t="shared" si="69"/>
        <v>17944</v>
      </c>
    </row>
    <row r="332" spans="1:20">
      <c r="A332" s="23" t="s">
        <v>361</v>
      </c>
      <c r="B332" s="35" t="s">
        <v>342</v>
      </c>
      <c r="C332" s="36">
        <v>5836</v>
      </c>
      <c r="D332" s="6"/>
      <c r="E332" s="113">
        <v>696353780</v>
      </c>
      <c r="F332" s="116">
        <f t="shared" si="63"/>
        <v>119320.38725154215</v>
      </c>
      <c r="G332" s="117">
        <v>497318470</v>
      </c>
      <c r="H332" s="117">
        <f t="shared" si="64"/>
        <v>85215.639136394791</v>
      </c>
      <c r="I332" s="7"/>
      <c r="J332" s="10">
        <v>1.7655000000000001</v>
      </c>
      <c r="K332" s="117">
        <v>878016</v>
      </c>
      <c r="L332" s="120">
        <f t="shared" si="65"/>
        <v>150.44825222755313</v>
      </c>
      <c r="M332" s="122">
        <f t="shared" si="66"/>
        <v>4973184.7</v>
      </c>
      <c r="N332" s="116">
        <f t="shared" si="67"/>
        <v>4095168.7</v>
      </c>
      <c r="O332" s="123">
        <f t="shared" si="68"/>
        <v>701.70813913639483</v>
      </c>
      <c r="P332" s="5"/>
      <c r="Q332" s="5">
        <f t="shared" si="70"/>
        <v>1</v>
      </c>
      <c r="R332" s="7">
        <f t="shared" si="71"/>
        <v>5836</v>
      </c>
      <c r="S332" s="5">
        <f t="shared" si="72"/>
        <v>1</v>
      </c>
      <c r="T332" s="7">
        <f t="shared" si="69"/>
        <v>5836</v>
      </c>
    </row>
    <row r="333" spans="1:20">
      <c r="A333" s="24" t="s">
        <v>561</v>
      </c>
      <c r="B333" s="35" t="s">
        <v>342</v>
      </c>
      <c r="C333" s="36">
        <v>10032</v>
      </c>
      <c r="D333" s="6"/>
      <c r="E333" s="113">
        <v>3042801648</v>
      </c>
      <c r="F333" s="116">
        <f t="shared" si="63"/>
        <v>303309.57416267943</v>
      </c>
      <c r="G333" s="117">
        <v>2279917618</v>
      </c>
      <c r="H333" s="117">
        <f t="shared" si="64"/>
        <v>227264.51535087719</v>
      </c>
      <c r="I333" s="7"/>
      <c r="J333" s="10">
        <v>2.8</v>
      </c>
      <c r="K333" s="117">
        <v>6383769</v>
      </c>
      <c r="L333" s="120">
        <f t="shared" si="65"/>
        <v>636.34061004784689</v>
      </c>
      <c r="M333" s="122">
        <f t="shared" si="66"/>
        <v>22799176.18</v>
      </c>
      <c r="N333" s="116">
        <f t="shared" si="67"/>
        <v>16415407.18</v>
      </c>
      <c r="O333" s="123">
        <f t="shared" si="68"/>
        <v>1636.3045434609251</v>
      </c>
      <c r="P333" s="5"/>
      <c r="Q333" s="5">
        <f t="shared" si="70"/>
        <v>1</v>
      </c>
      <c r="R333" s="7">
        <f t="shared" si="71"/>
        <v>10032</v>
      </c>
      <c r="S333" s="5">
        <f t="shared" si="72"/>
        <v>1</v>
      </c>
      <c r="T333" s="7">
        <f t="shared" si="69"/>
        <v>10032</v>
      </c>
    </row>
    <row r="334" spans="1:20">
      <c r="A334" s="24" t="s">
        <v>548</v>
      </c>
      <c r="B334" s="35" t="s">
        <v>342</v>
      </c>
      <c r="C334" s="36">
        <v>253902</v>
      </c>
      <c r="D334" s="6"/>
      <c r="E334" s="113">
        <v>21787793742</v>
      </c>
      <c r="F334" s="116">
        <f t="shared" si="63"/>
        <v>85811.824018715881</v>
      </c>
      <c r="G334" s="117">
        <v>13690063184</v>
      </c>
      <c r="H334" s="117">
        <f t="shared" si="64"/>
        <v>53918.689825208152</v>
      </c>
      <c r="I334" s="7"/>
      <c r="J334" s="10">
        <v>6.95</v>
      </c>
      <c r="K334" s="117">
        <v>95145939</v>
      </c>
      <c r="L334" s="120">
        <f t="shared" si="65"/>
        <v>374.73489377791429</v>
      </c>
      <c r="M334" s="122">
        <f t="shared" si="66"/>
        <v>136900631.84</v>
      </c>
      <c r="N334" s="116">
        <f t="shared" si="67"/>
        <v>41754692.840000004</v>
      </c>
      <c r="O334" s="123">
        <f t="shared" si="68"/>
        <v>164.45200447416721</v>
      </c>
      <c r="P334" s="5"/>
      <c r="Q334" s="5">
        <f t="shared" si="70"/>
        <v>1</v>
      </c>
      <c r="R334" s="7">
        <f t="shared" si="71"/>
        <v>253902</v>
      </c>
      <c r="S334" s="5">
        <f t="shared" si="72"/>
        <v>1</v>
      </c>
      <c r="T334" s="7">
        <f t="shared" si="69"/>
        <v>253902</v>
      </c>
    </row>
    <row r="335" spans="1:20">
      <c r="A335" s="23" t="s">
        <v>362</v>
      </c>
      <c r="B335" s="35" t="s">
        <v>342</v>
      </c>
      <c r="C335" s="36">
        <v>23660</v>
      </c>
      <c r="D335" s="6"/>
      <c r="E335" s="113">
        <v>2161439341</v>
      </c>
      <c r="F335" s="116">
        <f t="shared" si="63"/>
        <v>91354.156424344881</v>
      </c>
      <c r="G335" s="117">
        <v>1479586489</v>
      </c>
      <c r="H335" s="117">
        <f t="shared" si="64"/>
        <v>62535.3545646661</v>
      </c>
      <c r="I335" s="7"/>
      <c r="J335" s="10">
        <v>4.9420000000000002</v>
      </c>
      <c r="K335" s="117">
        <v>7312116</v>
      </c>
      <c r="L335" s="120">
        <f t="shared" si="65"/>
        <v>309.04970414201182</v>
      </c>
      <c r="M335" s="122">
        <f t="shared" si="66"/>
        <v>14795864.890000001</v>
      </c>
      <c r="N335" s="116">
        <f t="shared" si="67"/>
        <v>7483748.8900000006</v>
      </c>
      <c r="O335" s="123">
        <f t="shared" si="68"/>
        <v>316.3038415046492</v>
      </c>
      <c r="P335" s="5"/>
      <c r="Q335" s="5">
        <f t="shared" si="70"/>
        <v>1</v>
      </c>
      <c r="R335" s="7">
        <f t="shared" si="71"/>
        <v>23660</v>
      </c>
      <c r="S335" s="5">
        <f t="shared" si="72"/>
        <v>1</v>
      </c>
      <c r="T335" s="7">
        <f t="shared" si="69"/>
        <v>23660</v>
      </c>
    </row>
    <row r="336" spans="1:20">
      <c r="A336" s="23" t="s">
        <v>363</v>
      </c>
      <c r="B336" s="35" t="s">
        <v>342</v>
      </c>
      <c r="C336" s="36">
        <v>7514</v>
      </c>
      <c r="D336" s="6"/>
      <c r="E336" s="113">
        <v>1996653511</v>
      </c>
      <c r="F336" s="116">
        <f t="shared" si="63"/>
        <v>265724.44916156511</v>
      </c>
      <c r="G336" s="117">
        <v>1436187331</v>
      </c>
      <c r="H336" s="117">
        <f t="shared" si="64"/>
        <v>191134.85906308226</v>
      </c>
      <c r="I336" s="7"/>
      <c r="J336" s="10">
        <v>2.6272000000000002</v>
      </c>
      <c r="K336" s="117">
        <v>3773151</v>
      </c>
      <c r="L336" s="120">
        <f t="shared" si="65"/>
        <v>502.1494543518765</v>
      </c>
      <c r="M336" s="122">
        <f t="shared" si="66"/>
        <v>14361873.310000001</v>
      </c>
      <c r="N336" s="116">
        <f t="shared" si="67"/>
        <v>10588722.310000001</v>
      </c>
      <c r="O336" s="123">
        <f t="shared" si="68"/>
        <v>1409.1991362789461</v>
      </c>
      <c r="P336" s="5"/>
      <c r="Q336" s="5">
        <f t="shared" si="70"/>
        <v>1</v>
      </c>
      <c r="R336" s="7">
        <f t="shared" si="71"/>
        <v>7514</v>
      </c>
      <c r="S336" s="5">
        <f t="shared" si="72"/>
        <v>1</v>
      </c>
      <c r="T336" s="7">
        <f t="shared" si="69"/>
        <v>7514</v>
      </c>
    </row>
    <row r="337" spans="1:20">
      <c r="A337" s="23" t="s">
        <v>364</v>
      </c>
      <c r="B337" s="35" t="s">
        <v>365</v>
      </c>
      <c r="C337" s="36">
        <v>11975</v>
      </c>
      <c r="D337" s="6"/>
      <c r="E337" s="113">
        <v>1071559057</v>
      </c>
      <c r="F337" s="116">
        <f t="shared" si="63"/>
        <v>89483.011022964507</v>
      </c>
      <c r="G337" s="117">
        <v>806679027</v>
      </c>
      <c r="H337" s="117">
        <f t="shared" si="64"/>
        <v>67363.593068893533</v>
      </c>
      <c r="I337" s="7"/>
      <c r="J337" s="10">
        <v>4.516</v>
      </c>
      <c r="K337" s="117">
        <v>3642962</v>
      </c>
      <c r="L337" s="120">
        <f t="shared" si="65"/>
        <v>304.21394572025054</v>
      </c>
      <c r="M337" s="122">
        <f t="shared" si="66"/>
        <v>8066790.2700000005</v>
      </c>
      <c r="N337" s="116">
        <f t="shared" si="67"/>
        <v>4423828.2700000005</v>
      </c>
      <c r="O337" s="123">
        <f t="shared" si="68"/>
        <v>369.4219849686848</v>
      </c>
      <c r="P337" s="5"/>
      <c r="Q337" s="5">
        <f t="shared" si="70"/>
        <v>1</v>
      </c>
      <c r="R337" s="7">
        <f t="shared" si="71"/>
        <v>11975</v>
      </c>
      <c r="S337" s="5">
        <f t="shared" si="72"/>
        <v>1</v>
      </c>
      <c r="T337" s="7">
        <f t="shared" si="69"/>
        <v>11975</v>
      </c>
    </row>
    <row r="338" spans="1:20">
      <c r="A338" s="23" t="s">
        <v>366</v>
      </c>
      <c r="B338" s="35" t="s">
        <v>365</v>
      </c>
      <c r="C338" s="36">
        <v>16043</v>
      </c>
      <c r="D338" s="6"/>
      <c r="E338" s="113">
        <v>955993162</v>
      </c>
      <c r="F338" s="116">
        <f t="shared" si="63"/>
        <v>59589.42604251075</v>
      </c>
      <c r="G338" s="117">
        <v>540966438</v>
      </c>
      <c r="H338" s="117">
        <f t="shared" si="64"/>
        <v>33719.780465000309</v>
      </c>
      <c r="I338" s="7"/>
      <c r="J338" s="10">
        <v>4.5</v>
      </c>
      <c r="K338" s="117">
        <v>2434349</v>
      </c>
      <c r="L338" s="120">
        <f t="shared" si="65"/>
        <v>151.73901390014336</v>
      </c>
      <c r="M338" s="122">
        <f t="shared" si="66"/>
        <v>5409664.3799999999</v>
      </c>
      <c r="N338" s="116">
        <f t="shared" si="67"/>
        <v>2975315.38</v>
      </c>
      <c r="O338" s="123">
        <f t="shared" si="68"/>
        <v>185.45879074985976</v>
      </c>
      <c r="P338" s="5"/>
      <c r="Q338" s="5">
        <f t="shared" si="70"/>
        <v>1</v>
      </c>
      <c r="R338" s="7">
        <f t="shared" si="71"/>
        <v>16043</v>
      </c>
      <c r="S338" s="5">
        <f t="shared" si="72"/>
        <v>1</v>
      </c>
      <c r="T338" s="7">
        <f t="shared" si="69"/>
        <v>16043</v>
      </c>
    </row>
    <row r="339" spans="1:20">
      <c r="A339" s="23" t="s">
        <v>367</v>
      </c>
      <c r="B339" s="35" t="s">
        <v>365</v>
      </c>
      <c r="C339" s="36">
        <v>2307</v>
      </c>
      <c r="D339" s="6"/>
      <c r="E339" s="113">
        <v>110656383</v>
      </c>
      <c r="F339" s="116">
        <f t="shared" si="63"/>
        <v>47965.488946684003</v>
      </c>
      <c r="G339" s="117">
        <v>65791783</v>
      </c>
      <c r="H339" s="117">
        <f t="shared" si="64"/>
        <v>28518.328131772865</v>
      </c>
      <c r="I339" s="7"/>
      <c r="J339" s="10">
        <v>6.5</v>
      </c>
      <c r="K339" s="117">
        <v>427647</v>
      </c>
      <c r="L339" s="120">
        <f t="shared" si="65"/>
        <v>185.36931079323796</v>
      </c>
      <c r="M339" s="122">
        <f t="shared" si="66"/>
        <v>657917.82999999996</v>
      </c>
      <c r="N339" s="116">
        <f t="shared" si="67"/>
        <v>230270.82999999996</v>
      </c>
      <c r="O339" s="123">
        <f t="shared" si="68"/>
        <v>99.813970524490657</v>
      </c>
      <c r="P339" s="5"/>
      <c r="Q339" s="5">
        <f t="shared" si="70"/>
        <v>1</v>
      </c>
      <c r="R339" s="7">
        <f t="shared" si="71"/>
        <v>2307</v>
      </c>
      <c r="S339" s="5">
        <f t="shared" si="72"/>
        <v>1</v>
      </c>
      <c r="T339" s="7">
        <f t="shared" si="69"/>
        <v>2307</v>
      </c>
    </row>
    <row r="340" spans="1:20">
      <c r="A340" s="23" t="s">
        <v>368</v>
      </c>
      <c r="B340" s="35" t="s">
        <v>365</v>
      </c>
      <c r="C340" s="36">
        <v>2957</v>
      </c>
      <c r="D340" s="6"/>
      <c r="E340" s="113">
        <v>167033162</v>
      </c>
      <c r="F340" s="116">
        <f t="shared" si="63"/>
        <v>56487.373013189041</v>
      </c>
      <c r="G340" s="117">
        <v>104474524</v>
      </c>
      <c r="H340" s="117">
        <f t="shared" si="64"/>
        <v>35331.256002705442</v>
      </c>
      <c r="I340" s="7"/>
      <c r="J340" s="10">
        <v>7</v>
      </c>
      <c r="K340" s="117">
        <v>731322</v>
      </c>
      <c r="L340" s="120">
        <f t="shared" si="65"/>
        <v>247.31890429489349</v>
      </c>
      <c r="M340" s="122">
        <f t="shared" si="66"/>
        <v>1044745.24</v>
      </c>
      <c r="N340" s="116">
        <f t="shared" si="67"/>
        <v>313423.24</v>
      </c>
      <c r="O340" s="123">
        <f t="shared" si="68"/>
        <v>105.99365573216097</v>
      </c>
      <c r="P340" s="5"/>
      <c r="Q340" s="5">
        <f t="shared" si="70"/>
        <v>1</v>
      </c>
      <c r="R340" s="7">
        <f t="shared" si="71"/>
        <v>2957</v>
      </c>
      <c r="S340" s="5">
        <f t="shared" si="72"/>
        <v>1</v>
      </c>
      <c r="T340" s="7">
        <f t="shared" si="69"/>
        <v>2957</v>
      </c>
    </row>
    <row r="341" spans="1:20">
      <c r="A341" s="23" t="s">
        <v>369</v>
      </c>
      <c r="B341" s="35" t="s">
        <v>365</v>
      </c>
      <c r="C341" s="36">
        <v>2521</v>
      </c>
      <c r="D341" s="6"/>
      <c r="E341" s="113">
        <v>104754890</v>
      </c>
      <c r="F341" s="116">
        <f t="shared" si="63"/>
        <v>41552.911543038477</v>
      </c>
      <c r="G341" s="117">
        <v>42753697</v>
      </c>
      <c r="H341" s="117">
        <f t="shared" si="64"/>
        <v>16959.023006743355</v>
      </c>
      <c r="I341" s="9"/>
      <c r="J341" s="10">
        <v>8.5</v>
      </c>
      <c r="K341" s="117">
        <v>363406</v>
      </c>
      <c r="L341" s="120">
        <f t="shared" si="65"/>
        <v>144.15152717175724</v>
      </c>
      <c r="M341" s="122">
        <f t="shared" si="66"/>
        <v>427536.97000000003</v>
      </c>
      <c r="N341" s="116">
        <f t="shared" si="67"/>
        <v>64130.97000000003</v>
      </c>
      <c r="O341" s="123">
        <f t="shared" si="68"/>
        <v>25.438702895676332</v>
      </c>
      <c r="P341" s="5"/>
      <c r="Q341" s="5">
        <f t="shared" si="70"/>
        <v>1</v>
      </c>
      <c r="R341" s="7">
        <f t="shared" si="71"/>
        <v>2521</v>
      </c>
      <c r="S341" s="5">
        <f t="shared" si="72"/>
        <v>1</v>
      </c>
      <c r="T341" s="7">
        <f t="shared" si="69"/>
        <v>2521</v>
      </c>
    </row>
    <row r="342" spans="1:20">
      <c r="A342" s="23" t="s">
        <v>370</v>
      </c>
      <c r="B342" s="35" t="s">
        <v>365</v>
      </c>
      <c r="C342" s="36">
        <v>5833</v>
      </c>
      <c r="D342" s="6"/>
      <c r="E342" s="113">
        <v>175889174</v>
      </c>
      <c r="F342" s="116">
        <f t="shared" si="63"/>
        <v>30154.152923024172</v>
      </c>
      <c r="G342" s="117">
        <v>98313019</v>
      </c>
      <c r="H342" s="117">
        <f t="shared" si="64"/>
        <v>16854.623521344078</v>
      </c>
      <c r="I342" s="7"/>
      <c r="J342" s="10">
        <v>3.5</v>
      </c>
      <c r="K342" s="117">
        <v>344096</v>
      </c>
      <c r="L342" s="120">
        <f t="shared" ref="L342:L373" si="73">(K342/C342)</f>
        <v>58.99125664323676</v>
      </c>
      <c r="M342" s="122">
        <f t="shared" si="66"/>
        <v>983130.19000000006</v>
      </c>
      <c r="N342" s="116">
        <f t="shared" si="67"/>
        <v>639034.19000000006</v>
      </c>
      <c r="O342" s="123">
        <f t="shared" si="68"/>
        <v>109.55497857020403</v>
      </c>
      <c r="P342" s="5"/>
      <c r="Q342" s="5">
        <f t="shared" si="70"/>
        <v>1</v>
      </c>
      <c r="R342" s="7">
        <f t="shared" si="71"/>
        <v>5833</v>
      </c>
      <c r="S342" s="5">
        <f t="shared" si="72"/>
        <v>1</v>
      </c>
      <c r="T342" s="7">
        <f t="shared" si="69"/>
        <v>5833</v>
      </c>
    </row>
    <row r="343" spans="1:20">
      <c r="A343" s="23" t="s">
        <v>371</v>
      </c>
      <c r="B343" s="35" t="s">
        <v>365</v>
      </c>
      <c r="C343" s="36">
        <v>2959</v>
      </c>
      <c r="D343" s="6"/>
      <c r="E343" s="113">
        <v>174642502</v>
      </c>
      <c r="F343" s="116">
        <f t="shared" si="63"/>
        <v>59020.784724569108</v>
      </c>
      <c r="G343" s="117">
        <v>101962481</v>
      </c>
      <c r="H343" s="117">
        <f t="shared" si="64"/>
        <v>34458.425481581617</v>
      </c>
      <c r="I343" s="7"/>
      <c r="J343" s="10">
        <v>7</v>
      </c>
      <c r="K343" s="117">
        <v>713737</v>
      </c>
      <c r="L343" s="120">
        <f t="shared" si="73"/>
        <v>241.20885434268334</v>
      </c>
      <c r="M343" s="122">
        <f t="shared" si="66"/>
        <v>1019624.81</v>
      </c>
      <c r="N343" s="116">
        <f t="shared" si="67"/>
        <v>305887.81000000006</v>
      </c>
      <c r="O343" s="123">
        <f t="shared" si="68"/>
        <v>103.37540047313283</v>
      </c>
      <c r="P343" s="5"/>
      <c r="Q343" s="5">
        <f t="shared" si="70"/>
        <v>1</v>
      </c>
      <c r="R343" s="7">
        <f t="shared" si="71"/>
        <v>2959</v>
      </c>
      <c r="S343" s="5">
        <f t="shared" si="72"/>
        <v>1</v>
      </c>
      <c r="T343" s="7">
        <f t="shared" si="69"/>
        <v>2959</v>
      </c>
    </row>
    <row r="344" spans="1:20">
      <c r="A344" s="23" t="s">
        <v>372</v>
      </c>
      <c r="B344" s="35" t="s">
        <v>365</v>
      </c>
      <c r="C344" s="36">
        <v>15905</v>
      </c>
      <c r="D344" s="6"/>
      <c r="E344" s="113">
        <v>880879479</v>
      </c>
      <c r="F344" s="116">
        <f t="shared" si="63"/>
        <v>55383.80880226344</v>
      </c>
      <c r="G344" s="117">
        <v>654766704</v>
      </c>
      <c r="H344" s="117">
        <f t="shared" si="64"/>
        <v>41167.350141464951</v>
      </c>
      <c r="I344" s="7"/>
      <c r="J344" s="11">
        <v>6.99</v>
      </c>
      <c r="K344" s="117">
        <v>4576819</v>
      </c>
      <c r="L344" s="120">
        <f t="shared" si="73"/>
        <v>287.75976108142095</v>
      </c>
      <c r="M344" s="122">
        <f t="shared" si="66"/>
        <v>6547667.04</v>
      </c>
      <c r="N344" s="116">
        <f t="shared" si="67"/>
        <v>1970848.04</v>
      </c>
      <c r="O344" s="123">
        <f t="shared" si="68"/>
        <v>123.91374033322855</v>
      </c>
      <c r="P344" s="5"/>
      <c r="Q344" s="5">
        <f t="shared" si="70"/>
        <v>1</v>
      </c>
      <c r="R344" s="7">
        <f t="shared" si="71"/>
        <v>15905</v>
      </c>
      <c r="S344" s="5">
        <f t="shared" si="72"/>
        <v>1</v>
      </c>
      <c r="T344" s="7">
        <f t="shared" si="69"/>
        <v>15905</v>
      </c>
    </row>
    <row r="345" spans="1:20">
      <c r="A345" s="23" t="s">
        <v>373</v>
      </c>
      <c r="B345" s="35" t="s">
        <v>365</v>
      </c>
      <c r="C345" s="36">
        <v>246</v>
      </c>
      <c r="D345" s="6"/>
      <c r="E345" s="113">
        <v>14224256</v>
      </c>
      <c r="F345" s="116">
        <f t="shared" si="63"/>
        <v>57822.17886178862</v>
      </c>
      <c r="G345" s="117">
        <v>11348182</v>
      </c>
      <c r="H345" s="117">
        <f t="shared" si="64"/>
        <v>46130.82113821138</v>
      </c>
      <c r="I345" s="7"/>
      <c r="J345" s="10">
        <v>7.4294000000000002</v>
      </c>
      <c r="K345" s="117">
        <v>84310</v>
      </c>
      <c r="L345" s="120">
        <f t="shared" si="73"/>
        <v>342.72357723577238</v>
      </c>
      <c r="M345" s="122">
        <f t="shared" si="66"/>
        <v>113481.82</v>
      </c>
      <c r="N345" s="116">
        <f t="shared" si="67"/>
        <v>29171.820000000007</v>
      </c>
      <c r="O345" s="123">
        <f t="shared" si="68"/>
        <v>118.58463414634149</v>
      </c>
      <c r="P345" s="5"/>
      <c r="Q345" s="5">
        <f t="shared" si="70"/>
        <v>1</v>
      </c>
      <c r="R345" s="7">
        <f t="shared" si="71"/>
        <v>246</v>
      </c>
      <c r="S345" s="5">
        <f t="shared" si="72"/>
        <v>1</v>
      </c>
      <c r="T345" s="7">
        <f t="shared" si="69"/>
        <v>246</v>
      </c>
    </row>
    <row r="346" spans="1:20">
      <c r="A346" s="23" t="s">
        <v>374</v>
      </c>
      <c r="B346" s="35" t="s">
        <v>365</v>
      </c>
      <c r="C346" s="36">
        <v>260</v>
      </c>
      <c r="D346" s="6"/>
      <c r="E346" s="113">
        <v>13436565</v>
      </c>
      <c r="F346" s="116">
        <f t="shared" si="63"/>
        <v>51679.096153846156</v>
      </c>
      <c r="G346" s="117">
        <v>9198800</v>
      </c>
      <c r="H346" s="117">
        <f t="shared" si="64"/>
        <v>35380</v>
      </c>
      <c r="I346" s="7"/>
      <c r="J346" s="10">
        <v>0.43609999999999999</v>
      </c>
      <c r="K346" s="117">
        <v>4012</v>
      </c>
      <c r="L346" s="120">
        <f t="shared" si="73"/>
        <v>15.430769230769231</v>
      </c>
      <c r="M346" s="122">
        <f t="shared" si="66"/>
        <v>91988</v>
      </c>
      <c r="N346" s="116">
        <f t="shared" si="67"/>
        <v>87976</v>
      </c>
      <c r="O346" s="123">
        <f t="shared" si="68"/>
        <v>338.3692307692308</v>
      </c>
      <c r="P346" s="5"/>
      <c r="Q346" s="5">
        <f t="shared" si="70"/>
        <v>1</v>
      </c>
      <c r="R346" s="7">
        <f t="shared" si="71"/>
        <v>260</v>
      </c>
      <c r="S346" s="5">
        <f t="shared" si="72"/>
        <v>1</v>
      </c>
      <c r="T346" s="7">
        <f t="shared" si="69"/>
        <v>260</v>
      </c>
    </row>
    <row r="347" spans="1:20">
      <c r="A347" s="23" t="s">
        <v>375</v>
      </c>
      <c r="B347" s="35" t="s">
        <v>365</v>
      </c>
      <c r="C347" s="36">
        <v>4043</v>
      </c>
      <c r="D347" s="6"/>
      <c r="E347" s="113">
        <v>200176719</v>
      </c>
      <c r="F347" s="116">
        <f t="shared" si="63"/>
        <v>49511.926539698245</v>
      </c>
      <c r="G347" s="117">
        <v>117475684</v>
      </c>
      <c r="H347" s="117">
        <f t="shared" si="64"/>
        <v>29056.562948305713</v>
      </c>
      <c r="I347" s="7"/>
      <c r="J347" s="10">
        <v>7.0579999999999998</v>
      </c>
      <c r="K347" s="117">
        <v>829143</v>
      </c>
      <c r="L347" s="120">
        <f t="shared" si="73"/>
        <v>205.08112787534009</v>
      </c>
      <c r="M347" s="122">
        <f t="shared" si="66"/>
        <v>1174756.8400000001</v>
      </c>
      <c r="N347" s="116">
        <f t="shared" si="67"/>
        <v>345613.84000000008</v>
      </c>
      <c r="O347" s="123">
        <f t="shared" si="68"/>
        <v>85.484501607717064</v>
      </c>
      <c r="P347" s="5"/>
      <c r="Q347" s="5">
        <f t="shared" si="70"/>
        <v>1</v>
      </c>
      <c r="R347" s="7">
        <f t="shared" si="71"/>
        <v>4043</v>
      </c>
      <c r="S347" s="5">
        <f t="shared" si="72"/>
        <v>1</v>
      </c>
      <c r="T347" s="7">
        <f t="shared" si="69"/>
        <v>4043</v>
      </c>
    </row>
    <row r="348" spans="1:20">
      <c r="A348" s="23" t="s">
        <v>376</v>
      </c>
      <c r="B348" s="35" t="s">
        <v>365</v>
      </c>
      <c r="C348" s="36">
        <v>1405</v>
      </c>
      <c r="D348" s="6"/>
      <c r="E348" s="113">
        <v>80445234</v>
      </c>
      <c r="F348" s="116">
        <f t="shared" si="63"/>
        <v>57256.39430604982</v>
      </c>
      <c r="G348" s="117">
        <v>59775410</v>
      </c>
      <c r="H348" s="117">
        <f t="shared" si="64"/>
        <v>42544.775800711745</v>
      </c>
      <c r="I348" s="7"/>
      <c r="J348" s="10">
        <v>7.1479999999999997</v>
      </c>
      <c r="K348" s="117">
        <v>427275</v>
      </c>
      <c r="L348" s="120">
        <f t="shared" si="73"/>
        <v>304.11032028469754</v>
      </c>
      <c r="M348" s="122">
        <f t="shared" si="66"/>
        <v>597754.1</v>
      </c>
      <c r="N348" s="116">
        <f t="shared" si="67"/>
        <v>170479.09999999998</v>
      </c>
      <c r="O348" s="123">
        <f t="shared" si="68"/>
        <v>121.33743772241991</v>
      </c>
      <c r="P348" s="5"/>
      <c r="Q348" s="5">
        <f t="shared" si="70"/>
        <v>1</v>
      </c>
      <c r="R348" s="7">
        <f t="shared" si="71"/>
        <v>1405</v>
      </c>
      <c r="S348" s="5">
        <f t="shared" si="72"/>
        <v>1</v>
      </c>
      <c r="T348" s="7">
        <f t="shared" si="69"/>
        <v>1405</v>
      </c>
    </row>
    <row r="349" spans="1:20">
      <c r="A349" s="23" t="s">
        <v>377</v>
      </c>
      <c r="B349" s="35" t="s">
        <v>365</v>
      </c>
      <c r="C349" s="36">
        <v>12390</v>
      </c>
      <c r="D349" s="6"/>
      <c r="E349" s="113">
        <v>763920844</v>
      </c>
      <c r="F349" s="116">
        <f t="shared" si="63"/>
        <v>61656.242453591607</v>
      </c>
      <c r="G349" s="117">
        <v>543322728</v>
      </c>
      <c r="H349" s="117">
        <f t="shared" si="64"/>
        <v>43851.713317191286</v>
      </c>
      <c r="I349" s="7"/>
      <c r="J349" s="10">
        <v>8.94</v>
      </c>
      <c r="K349" s="117">
        <v>4857305</v>
      </c>
      <c r="L349" s="120">
        <f t="shared" si="73"/>
        <v>392.03430185633573</v>
      </c>
      <c r="M349" s="122">
        <f t="shared" si="66"/>
        <v>5433227.2800000003</v>
      </c>
      <c r="N349" s="116">
        <f t="shared" si="67"/>
        <v>575922.28000000026</v>
      </c>
      <c r="O349" s="123">
        <f t="shared" si="68"/>
        <v>46.482831315577101</v>
      </c>
      <c r="P349" s="5"/>
      <c r="Q349" s="5">
        <f t="shared" si="70"/>
        <v>1</v>
      </c>
      <c r="R349" s="7">
        <f t="shared" si="71"/>
        <v>12390</v>
      </c>
      <c r="S349" s="5">
        <f t="shared" si="72"/>
        <v>1</v>
      </c>
      <c r="T349" s="7">
        <f t="shared" si="69"/>
        <v>12390</v>
      </c>
    </row>
    <row r="350" spans="1:20">
      <c r="A350" s="23" t="s">
        <v>378</v>
      </c>
      <c r="B350" s="35" t="s">
        <v>365</v>
      </c>
      <c r="C350" s="36">
        <v>90851</v>
      </c>
      <c r="D350" s="6"/>
      <c r="E350" s="113">
        <v>6428149958</v>
      </c>
      <c r="F350" s="116">
        <f t="shared" si="63"/>
        <v>70754.861894750749</v>
      </c>
      <c r="G350" s="117">
        <v>4309816685</v>
      </c>
      <c r="H350" s="117">
        <f t="shared" si="64"/>
        <v>47438.29660653157</v>
      </c>
      <c r="I350" s="9"/>
      <c r="J350" s="10">
        <v>3.5449999999999999</v>
      </c>
      <c r="K350" s="117">
        <v>15278300</v>
      </c>
      <c r="L350" s="120">
        <f t="shared" si="73"/>
        <v>168.16875983753619</v>
      </c>
      <c r="M350" s="122">
        <f t="shared" si="66"/>
        <v>43098166.850000001</v>
      </c>
      <c r="N350" s="116">
        <f t="shared" si="67"/>
        <v>27819866.850000001</v>
      </c>
      <c r="O350" s="123">
        <f t="shared" si="68"/>
        <v>306.21420622777958</v>
      </c>
      <c r="P350" s="5"/>
      <c r="Q350" s="5">
        <f t="shared" si="70"/>
        <v>1</v>
      </c>
      <c r="R350" s="7">
        <f t="shared" si="71"/>
        <v>90851</v>
      </c>
      <c r="S350" s="5">
        <f t="shared" si="72"/>
        <v>1</v>
      </c>
      <c r="T350" s="7">
        <f t="shared" si="69"/>
        <v>90851</v>
      </c>
    </row>
    <row r="351" spans="1:20">
      <c r="A351" s="23" t="s">
        <v>379</v>
      </c>
      <c r="B351" s="35" t="s">
        <v>365</v>
      </c>
      <c r="C351" s="36">
        <v>3433</v>
      </c>
      <c r="D351" s="6"/>
      <c r="E351" s="113">
        <v>209100316</v>
      </c>
      <c r="F351" s="116">
        <f t="shared" ref="F351:F414" si="74">(E351/C351)</f>
        <v>60908.918147392949</v>
      </c>
      <c r="G351" s="117">
        <v>151848100</v>
      </c>
      <c r="H351" s="117">
        <f t="shared" ref="H351:H414" si="75">(G351/C351)</f>
        <v>44231.896300611712</v>
      </c>
      <c r="I351" s="9"/>
      <c r="J351" s="10">
        <v>8.5</v>
      </c>
      <c r="K351" s="117">
        <v>1290709</v>
      </c>
      <c r="L351" s="120">
        <f t="shared" si="73"/>
        <v>375.97116224876203</v>
      </c>
      <c r="M351" s="122">
        <f t="shared" si="66"/>
        <v>1518481</v>
      </c>
      <c r="N351" s="116">
        <f t="shared" si="67"/>
        <v>227772</v>
      </c>
      <c r="O351" s="123">
        <f t="shared" si="68"/>
        <v>66.347800757355088</v>
      </c>
      <c r="P351" s="5"/>
      <c r="Q351" s="5">
        <f t="shared" si="70"/>
        <v>1</v>
      </c>
      <c r="R351" s="7">
        <f t="shared" si="71"/>
        <v>3433</v>
      </c>
      <c r="S351" s="5">
        <f t="shared" si="72"/>
        <v>1</v>
      </c>
      <c r="T351" s="7">
        <f t="shared" si="69"/>
        <v>3433</v>
      </c>
    </row>
    <row r="352" spans="1:20">
      <c r="A352" s="23" t="s">
        <v>380</v>
      </c>
      <c r="B352" s="35" t="s">
        <v>365</v>
      </c>
      <c r="C352" s="36">
        <v>1738</v>
      </c>
      <c r="D352" s="6"/>
      <c r="E352" s="113">
        <v>65037519</v>
      </c>
      <c r="F352" s="116">
        <f t="shared" si="74"/>
        <v>37420.897008055239</v>
      </c>
      <c r="G352" s="117">
        <v>39068542</v>
      </c>
      <c r="H352" s="117">
        <f t="shared" si="75"/>
        <v>22479.023014959723</v>
      </c>
      <c r="I352" s="9"/>
      <c r="J352" s="10">
        <v>6.7424999999999997</v>
      </c>
      <c r="K352" s="117">
        <v>263420</v>
      </c>
      <c r="L352" s="120">
        <f t="shared" si="73"/>
        <v>151.56501726121979</v>
      </c>
      <c r="M352" s="122">
        <f t="shared" si="66"/>
        <v>390685.42</v>
      </c>
      <c r="N352" s="116">
        <f t="shared" si="67"/>
        <v>127265.41999999998</v>
      </c>
      <c r="O352" s="123">
        <f t="shared" si="68"/>
        <v>73.225212888377442</v>
      </c>
      <c r="P352" s="5"/>
      <c r="Q352" s="5">
        <f t="shared" si="70"/>
        <v>1</v>
      </c>
      <c r="R352" s="7">
        <f t="shared" si="71"/>
        <v>1738</v>
      </c>
      <c r="S352" s="5">
        <f t="shared" si="72"/>
        <v>1</v>
      </c>
      <c r="T352" s="7">
        <f t="shared" si="69"/>
        <v>1738</v>
      </c>
    </row>
    <row r="353" spans="1:20">
      <c r="A353" s="23" t="s">
        <v>381</v>
      </c>
      <c r="B353" s="35" t="s">
        <v>365</v>
      </c>
      <c r="C353" s="36">
        <v>28724</v>
      </c>
      <c r="D353" s="6"/>
      <c r="E353" s="113">
        <v>1941353107</v>
      </c>
      <c r="F353" s="116">
        <f t="shared" si="74"/>
        <v>67586.447117393123</v>
      </c>
      <c r="G353" s="117">
        <v>1346546754</v>
      </c>
      <c r="H353" s="117">
        <f t="shared" si="75"/>
        <v>46878.803578888736</v>
      </c>
      <c r="I353" s="7"/>
      <c r="J353" s="10">
        <v>6.95</v>
      </c>
      <c r="K353" s="117">
        <v>9358500</v>
      </c>
      <c r="L353" s="120">
        <f t="shared" si="73"/>
        <v>325.80768695167802</v>
      </c>
      <c r="M353" s="122">
        <f t="shared" si="66"/>
        <v>13465467.540000001</v>
      </c>
      <c r="N353" s="116">
        <f t="shared" si="67"/>
        <v>4106967.540000001</v>
      </c>
      <c r="O353" s="123">
        <f t="shared" si="68"/>
        <v>142.98034883720933</v>
      </c>
      <c r="P353" s="5"/>
      <c r="Q353" s="5">
        <f t="shared" si="70"/>
        <v>1</v>
      </c>
      <c r="R353" s="7">
        <f t="shared" si="71"/>
        <v>28724</v>
      </c>
      <c r="S353" s="5">
        <f t="shared" si="72"/>
        <v>1</v>
      </c>
      <c r="T353" s="7">
        <f t="shared" si="69"/>
        <v>28724</v>
      </c>
    </row>
    <row r="354" spans="1:20">
      <c r="A354" s="23" t="s">
        <v>382</v>
      </c>
      <c r="B354" s="35" t="s">
        <v>383</v>
      </c>
      <c r="C354" s="36">
        <v>1784</v>
      </c>
      <c r="D354" s="6"/>
      <c r="E354" s="113">
        <v>109720703</v>
      </c>
      <c r="F354" s="116">
        <f t="shared" si="74"/>
        <v>61502.636210762335</v>
      </c>
      <c r="G354" s="117">
        <v>59983014</v>
      </c>
      <c r="H354" s="117">
        <f t="shared" si="75"/>
        <v>33622.765695067268</v>
      </c>
      <c r="I354" s="7"/>
      <c r="J354" s="10">
        <v>8.9</v>
      </c>
      <c r="K354" s="117">
        <v>533849</v>
      </c>
      <c r="L354" s="120">
        <f t="shared" si="73"/>
        <v>299.2427130044843</v>
      </c>
      <c r="M354" s="122">
        <f t="shared" si="66"/>
        <v>599830.14</v>
      </c>
      <c r="N354" s="116">
        <f t="shared" si="67"/>
        <v>65981.140000000014</v>
      </c>
      <c r="O354" s="123">
        <f t="shared" si="68"/>
        <v>36.984943946188352</v>
      </c>
      <c r="P354" s="5"/>
      <c r="Q354" s="5">
        <f t="shared" si="70"/>
        <v>1</v>
      </c>
      <c r="R354" s="7">
        <f t="shared" si="71"/>
        <v>1784</v>
      </c>
      <c r="S354" s="5">
        <f t="shared" si="72"/>
        <v>1</v>
      </c>
      <c r="T354" s="7">
        <f t="shared" si="69"/>
        <v>1784</v>
      </c>
    </row>
    <row r="355" spans="1:20">
      <c r="A355" s="23" t="s">
        <v>384</v>
      </c>
      <c r="B355" s="35" t="s">
        <v>383</v>
      </c>
      <c r="C355" s="36">
        <v>1470</v>
      </c>
      <c r="D355" s="6"/>
      <c r="E355" s="113">
        <v>92642659</v>
      </c>
      <c r="F355" s="116">
        <f t="shared" si="74"/>
        <v>63022.217006802719</v>
      </c>
      <c r="G355" s="117">
        <v>40999408</v>
      </c>
      <c r="H355" s="117">
        <f t="shared" si="75"/>
        <v>27890.753741496599</v>
      </c>
      <c r="I355" s="7"/>
      <c r="J355" s="10">
        <v>8.5</v>
      </c>
      <c r="K355" s="117">
        <v>348495</v>
      </c>
      <c r="L355" s="120">
        <f t="shared" si="73"/>
        <v>237.07142857142858</v>
      </c>
      <c r="M355" s="122">
        <f t="shared" si="66"/>
        <v>409994.08</v>
      </c>
      <c r="N355" s="116">
        <f t="shared" si="67"/>
        <v>61499.080000000016</v>
      </c>
      <c r="O355" s="123">
        <f t="shared" si="68"/>
        <v>41.836108843537424</v>
      </c>
      <c r="P355" s="5"/>
      <c r="Q355" s="5">
        <f t="shared" si="70"/>
        <v>1</v>
      </c>
      <c r="R355" s="7">
        <f t="shared" si="71"/>
        <v>1470</v>
      </c>
      <c r="S355" s="5">
        <f t="shared" si="72"/>
        <v>1</v>
      </c>
      <c r="T355" s="7">
        <f t="shared" si="69"/>
        <v>1470</v>
      </c>
    </row>
    <row r="356" spans="1:20">
      <c r="A356" s="23" t="s">
        <v>385</v>
      </c>
      <c r="B356" s="35" t="s">
        <v>383</v>
      </c>
      <c r="C356" s="36">
        <v>11154</v>
      </c>
      <c r="D356" s="6"/>
      <c r="E356" s="113">
        <v>715285982</v>
      </c>
      <c r="F356" s="116">
        <f t="shared" si="74"/>
        <v>64128.203514434281</v>
      </c>
      <c r="G356" s="117">
        <v>390417732</v>
      </c>
      <c r="H356" s="117">
        <f t="shared" si="75"/>
        <v>35002.486282947822</v>
      </c>
      <c r="I356" s="7"/>
      <c r="J356" s="10">
        <v>8.65</v>
      </c>
      <c r="K356" s="117">
        <v>3377113</v>
      </c>
      <c r="L356" s="120">
        <f t="shared" si="73"/>
        <v>302.77147211762599</v>
      </c>
      <c r="M356" s="122">
        <f t="shared" si="66"/>
        <v>3904177.3200000003</v>
      </c>
      <c r="N356" s="116">
        <f t="shared" si="67"/>
        <v>527064.3200000003</v>
      </c>
      <c r="O356" s="123">
        <f t="shared" si="68"/>
        <v>47.253390711852276</v>
      </c>
      <c r="P356" s="5"/>
      <c r="Q356" s="5">
        <f t="shared" si="70"/>
        <v>1</v>
      </c>
      <c r="R356" s="7">
        <f t="shared" si="71"/>
        <v>11154</v>
      </c>
      <c r="S356" s="5">
        <f t="shared" si="72"/>
        <v>1</v>
      </c>
      <c r="T356" s="7">
        <f t="shared" si="69"/>
        <v>11154</v>
      </c>
    </row>
    <row r="357" spans="1:20">
      <c r="A357" s="23" t="s">
        <v>386</v>
      </c>
      <c r="B357" s="35" t="s">
        <v>383</v>
      </c>
      <c r="C357" s="36">
        <v>796</v>
      </c>
      <c r="D357" s="6"/>
      <c r="E357" s="113">
        <v>38051858</v>
      </c>
      <c r="F357" s="116">
        <f t="shared" si="74"/>
        <v>47803.841708542714</v>
      </c>
      <c r="G357" s="117">
        <v>23539835</v>
      </c>
      <c r="H357" s="117">
        <f t="shared" si="75"/>
        <v>29572.657035175878</v>
      </c>
      <c r="I357" s="7"/>
      <c r="J357" s="10">
        <v>6.4039999999999999</v>
      </c>
      <c r="K357" s="117">
        <v>150749</v>
      </c>
      <c r="L357" s="120">
        <f t="shared" si="73"/>
        <v>189.38316582914572</v>
      </c>
      <c r="M357" s="122">
        <f t="shared" si="66"/>
        <v>235398.35</v>
      </c>
      <c r="N357" s="116">
        <f t="shared" si="67"/>
        <v>84649.35</v>
      </c>
      <c r="O357" s="123">
        <f t="shared" si="68"/>
        <v>106.34340452261307</v>
      </c>
      <c r="P357" s="5"/>
      <c r="Q357" s="5">
        <f t="shared" si="70"/>
        <v>1</v>
      </c>
      <c r="R357" s="7">
        <f t="shared" si="71"/>
        <v>796</v>
      </c>
      <c r="S357" s="5">
        <f t="shared" si="72"/>
        <v>1</v>
      </c>
      <c r="T357" s="7">
        <f t="shared" si="69"/>
        <v>796</v>
      </c>
    </row>
    <row r="358" spans="1:20">
      <c r="A358" s="23" t="s">
        <v>387</v>
      </c>
      <c r="B358" s="35" t="s">
        <v>383</v>
      </c>
      <c r="C358" s="36">
        <v>613</v>
      </c>
      <c r="D358" s="6"/>
      <c r="E358" s="113">
        <v>66118705</v>
      </c>
      <c r="F358" s="116">
        <f t="shared" si="74"/>
        <v>107860.85644371941</v>
      </c>
      <c r="G358" s="117">
        <v>46094336</v>
      </c>
      <c r="H358" s="117">
        <f t="shared" si="75"/>
        <v>75194.675367047312</v>
      </c>
      <c r="I358" s="7"/>
      <c r="J358" s="10">
        <v>6.7</v>
      </c>
      <c r="K358" s="117">
        <v>308832</v>
      </c>
      <c r="L358" s="120">
        <f t="shared" si="73"/>
        <v>503.8042414355628</v>
      </c>
      <c r="M358" s="122">
        <f t="shared" si="66"/>
        <v>460943.35999999999</v>
      </c>
      <c r="N358" s="116">
        <f t="shared" si="67"/>
        <v>152111.35999999999</v>
      </c>
      <c r="O358" s="123">
        <f t="shared" si="68"/>
        <v>248.14251223491024</v>
      </c>
      <c r="P358" s="5"/>
      <c r="Q358" s="5">
        <f t="shared" si="70"/>
        <v>1</v>
      </c>
      <c r="R358" s="7">
        <f t="shared" si="71"/>
        <v>613</v>
      </c>
      <c r="S358" s="5">
        <f t="shared" si="72"/>
        <v>1</v>
      </c>
      <c r="T358" s="7">
        <f t="shared" si="69"/>
        <v>613</v>
      </c>
    </row>
    <row r="359" spans="1:20">
      <c r="A359" s="23" t="s">
        <v>390</v>
      </c>
      <c r="B359" s="35" t="s">
        <v>391</v>
      </c>
      <c r="C359" s="36">
        <v>5765</v>
      </c>
      <c r="D359" s="6"/>
      <c r="E359" s="113">
        <v>988890182</v>
      </c>
      <c r="F359" s="116">
        <f t="shared" si="74"/>
        <v>171533.42272333044</v>
      </c>
      <c r="G359" s="117">
        <v>565805304</v>
      </c>
      <c r="H359" s="117">
        <f t="shared" si="75"/>
        <v>98144.892281006076</v>
      </c>
      <c r="I359" s="7"/>
      <c r="J359" s="10">
        <v>1.9</v>
      </c>
      <c r="K359" s="117">
        <v>1075030</v>
      </c>
      <c r="L359" s="120">
        <f t="shared" si="73"/>
        <v>186.4752818733738</v>
      </c>
      <c r="M359" s="122">
        <f t="shared" si="66"/>
        <v>5658053.04</v>
      </c>
      <c r="N359" s="116">
        <f t="shared" si="67"/>
        <v>4583023.04</v>
      </c>
      <c r="O359" s="123">
        <f t="shared" si="68"/>
        <v>794.97364093668693</v>
      </c>
      <c r="P359" s="5"/>
      <c r="Q359" s="5">
        <f t="shared" si="70"/>
        <v>1</v>
      </c>
      <c r="R359" s="7">
        <f t="shared" si="71"/>
        <v>5765</v>
      </c>
      <c r="S359" s="5">
        <f t="shared" si="72"/>
        <v>1</v>
      </c>
      <c r="T359" s="7">
        <f t="shared" si="69"/>
        <v>5765</v>
      </c>
    </row>
    <row r="360" spans="1:20">
      <c r="A360" s="23" t="s">
        <v>392</v>
      </c>
      <c r="B360" s="35" t="s">
        <v>391</v>
      </c>
      <c r="C360" s="36">
        <v>505</v>
      </c>
      <c r="D360" s="6"/>
      <c r="E360" s="113">
        <v>52805186</v>
      </c>
      <c r="F360" s="116">
        <f t="shared" si="74"/>
        <v>104564.72475247525</v>
      </c>
      <c r="G360" s="117">
        <v>34305379</v>
      </c>
      <c r="H360" s="117">
        <f t="shared" si="75"/>
        <v>67931.443564356436</v>
      </c>
      <c r="I360" s="7"/>
      <c r="J360" s="10">
        <v>2</v>
      </c>
      <c r="K360" s="117">
        <v>68611</v>
      </c>
      <c r="L360" s="120">
        <f t="shared" si="73"/>
        <v>135.86336633663367</v>
      </c>
      <c r="M360" s="122">
        <f t="shared" si="66"/>
        <v>343053.79</v>
      </c>
      <c r="N360" s="116">
        <f t="shared" si="67"/>
        <v>274442.78999999998</v>
      </c>
      <c r="O360" s="123">
        <f t="shared" si="68"/>
        <v>543.45106930693066</v>
      </c>
      <c r="P360" s="5"/>
      <c r="Q360" s="5">
        <f t="shared" si="70"/>
        <v>1</v>
      </c>
      <c r="R360" s="7">
        <f t="shared" si="71"/>
        <v>505</v>
      </c>
      <c r="S360" s="5">
        <f t="shared" si="72"/>
        <v>1</v>
      </c>
      <c r="T360" s="7">
        <f t="shared" si="69"/>
        <v>505</v>
      </c>
    </row>
    <row r="361" spans="1:20">
      <c r="A361" s="23" t="s">
        <v>393</v>
      </c>
      <c r="B361" s="35" t="s">
        <v>391</v>
      </c>
      <c r="C361" s="36">
        <v>7519</v>
      </c>
      <c r="D361" s="6"/>
      <c r="E361" s="113">
        <v>444512618</v>
      </c>
      <c r="F361" s="116">
        <f t="shared" si="74"/>
        <v>59118.581992286207</v>
      </c>
      <c r="G361" s="117">
        <v>283648535</v>
      </c>
      <c r="H361" s="117">
        <f t="shared" si="75"/>
        <v>37724.236600611781</v>
      </c>
      <c r="I361" s="7"/>
      <c r="J361" s="10">
        <v>2.75</v>
      </c>
      <c r="K361" s="117">
        <v>780033</v>
      </c>
      <c r="L361" s="120">
        <f t="shared" si="73"/>
        <v>103.74158797712462</v>
      </c>
      <c r="M361" s="122">
        <f t="shared" si="66"/>
        <v>2836485.35</v>
      </c>
      <c r="N361" s="116">
        <f t="shared" si="67"/>
        <v>2056452.35</v>
      </c>
      <c r="O361" s="123">
        <f t="shared" si="68"/>
        <v>273.50077802899324</v>
      </c>
      <c r="P361" s="5"/>
      <c r="Q361" s="5">
        <f t="shared" si="70"/>
        <v>1</v>
      </c>
      <c r="R361" s="7">
        <f t="shared" si="71"/>
        <v>7519</v>
      </c>
      <c r="S361" s="5">
        <f t="shared" si="72"/>
        <v>1</v>
      </c>
      <c r="T361" s="7">
        <f t="shared" si="69"/>
        <v>7519</v>
      </c>
    </row>
    <row r="362" spans="1:20">
      <c r="A362" s="23" t="s">
        <v>394</v>
      </c>
      <c r="B362" s="35" t="s">
        <v>395</v>
      </c>
      <c r="C362" s="36">
        <v>41000</v>
      </c>
      <c r="D362" s="6"/>
      <c r="E362" s="113">
        <v>3979077039</v>
      </c>
      <c r="F362" s="116">
        <f t="shared" si="74"/>
        <v>97050.659487804878</v>
      </c>
      <c r="G362" s="117">
        <v>2956957289</v>
      </c>
      <c r="H362" s="117">
        <f t="shared" si="75"/>
        <v>72120.909487804878</v>
      </c>
      <c r="I362" s="7"/>
      <c r="J362" s="10">
        <v>4.9000000000000004</v>
      </c>
      <c r="K362" s="117">
        <v>14489091</v>
      </c>
      <c r="L362" s="120">
        <f t="shared" si="73"/>
        <v>353.39246341463416</v>
      </c>
      <c r="M362" s="122">
        <f t="shared" si="66"/>
        <v>29569572.890000001</v>
      </c>
      <c r="N362" s="116">
        <f t="shared" si="67"/>
        <v>15080481.890000001</v>
      </c>
      <c r="O362" s="123">
        <f t="shared" si="68"/>
        <v>367.81663146341464</v>
      </c>
      <c r="P362" s="5"/>
      <c r="Q362" s="5">
        <f t="shared" si="70"/>
        <v>1</v>
      </c>
      <c r="R362" s="7">
        <f t="shared" si="71"/>
        <v>41000</v>
      </c>
      <c r="S362" s="5">
        <f t="shared" si="72"/>
        <v>1</v>
      </c>
      <c r="T362" s="7">
        <f t="shared" si="69"/>
        <v>41000</v>
      </c>
    </row>
    <row r="363" spans="1:20">
      <c r="A363" s="23" t="s">
        <v>395</v>
      </c>
      <c r="B363" s="35" t="s">
        <v>395</v>
      </c>
      <c r="C363" s="36">
        <v>54848</v>
      </c>
      <c r="D363" s="6"/>
      <c r="E363" s="113">
        <v>11551701297</v>
      </c>
      <c r="F363" s="116">
        <f t="shared" si="74"/>
        <v>210612.99039162777</v>
      </c>
      <c r="G363" s="117">
        <v>7595323664</v>
      </c>
      <c r="H363" s="117">
        <f t="shared" si="75"/>
        <v>138479.50087514587</v>
      </c>
      <c r="I363" s="7"/>
      <c r="J363" s="10">
        <v>2.8393000000000002</v>
      </c>
      <c r="K363" s="117">
        <v>21565402</v>
      </c>
      <c r="L363" s="120">
        <f t="shared" si="73"/>
        <v>393.18483809801631</v>
      </c>
      <c r="M363" s="122">
        <f t="shared" si="66"/>
        <v>75953236.640000001</v>
      </c>
      <c r="N363" s="116">
        <f t="shared" si="67"/>
        <v>54387834.640000001</v>
      </c>
      <c r="O363" s="123">
        <f t="shared" si="68"/>
        <v>991.6101706534422</v>
      </c>
      <c r="P363" s="5"/>
      <c r="Q363" s="5">
        <f t="shared" si="70"/>
        <v>1</v>
      </c>
      <c r="R363" s="7">
        <f t="shared" si="71"/>
        <v>54848</v>
      </c>
      <c r="S363" s="5">
        <f t="shared" si="72"/>
        <v>1</v>
      </c>
      <c r="T363" s="7">
        <f t="shared" si="69"/>
        <v>54848</v>
      </c>
    </row>
    <row r="364" spans="1:20">
      <c r="A364" s="23" t="s">
        <v>396</v>
      </c>
      <c r="B364" s="35" t="s">
        <v>395</v>
      </c>
      <c r="C364" s="36">
        <v>20800</v>
      </c>
      <c r="D364" s="6"/>
      <c r="E364" s="113">
        <v>4144083744</v>
      </c>
      <c r="F364" s="116">
        <f t="shared" si="74"/>
        <v>199234.7953846154</v>
      </c>
      <c r="G364" s="117">
        <v>3058042643</v>
      </c>
      <c r="H364" s="117">
        <f t="shared" si="75"/>
        <v>147021.28091346155</v>
      </c>
      <c r="I364" s="7"/>
      <c r="J364" s="10">
        <v>3.177</v>
      </c>
      <c r="K364" s="117">
        <v>9715401</v>
      </c>
      <c r="L364" s="120">
        <f t="shared" si="73"/>
        <v>467.08658653846152</v>
      </c>
      <c r="M364" s="122">
        <f t="shared" si="66"/>
        <v>30580426.43</v>
      </c>
      <c r="N364" s="116">
        <f t="shared" si="67"/>
        <v>20865025.43</v>
      </c>
      <c r="O364" s="123">
        <f t="shared" si="68"/>
        <v>1003.1262225961539</v>
      </c>
      <c r="P364" s="5"/>
      <c r="Q364" s="5">
        <f t="shared" si="70"/>
        <v>1</v>
      </c>
      <c r="R364" s="7">
        <f t="shared" si="71"/>
        <v>20800</v>
      </c>
      <c r="S364" s="5">
        <f t="shared" si="72"/>
        <v>1</v>
      </c>
      <c r="T364" s="7">
        <f t="shared" si="69"/>
        <v>20800</v>
      </c>
    </row>
    <row r="365" spans="1:20">
      <c r="A365" s="23" t="s">
        <v>397</v>
      </c>
      <c r="B365" s="35" t="s">
        <v>360</v>
      </c>
      <c r="C365" s="36">
        <v>42616</v>
      </c>
      <c r="D365" s="6"/>
      <c r="E365" s="113">
        <v>3160273295</v>
      </c>
      <c r="F365" s="116">
        <f t="shared" si="74"/>
        <v>74156.966749577623</v>
      </c>
      <c r="G365" s="117">
        <v>2565018244</v>
      </c>
      <c r="H365" s="117">
        <f t="shared" si="75"/>
        <v>60189.089637694764</v>
      </c>
      <c r="I365" s="7"/>
      <c r="J365" s="10">
        <v>2.9</v>
      </c>
      <c r="K365" s="117">
        <v>7438553</v>
      </c>
      <c r="L365" s="120">
        <f t="shared" si="73"/>
        <v>174.54836211751456</v>
      </c>
      <c r="M365" s="122">
        <f t="shared" si="66"/>
        <v>25650182.440000001</v>
      </c>
      <c r="N365" s="116">
        <f t="shared" si="67"/>
        <v>18211629.440000001</v>
      </c>
      <c r="O365" s="123">
        <f t="shared" si="68"/>
        <v>427.34253425943308</v>
      </c>
      <c r="P365" s="5"/>
      <c r="Q365" s="5">
        <f t="shared" si="70"/>
        <v>1</v>
      </c>
      <c r="R365" s="7">
        <f t="shared" si="71"/>
        <v>42616</v>
      </c>
      <c r="S365" s="5">
        <f t="shared" si="72"/>
        <v>1</v>
      </c>
      <c r="T365" s="7">
        <f t="shared" si="69"/>
        <v>42616</v>
      </c>
    </row>
    <row r="366" spans="1:20">
      <c r="A366" s="23" t="s">
        <v>398</v>
      </c>
      <c r="B366" s="35" t="s">
        <v>360</v>
      </c>
      <c r="C366" s="36">
        <v>24899</v>
      </c>
      <c r="D366" s="6"/>
      <c r="E366" s="113">
        <v>1505875475</v>
      </c>
      <c r="F366" s="116">
        <f t="shared" si="74"/>
        <v>60479.355596610309</v>
      </c>
      <c r="G366" s="117">
        <v>1123574988</v>
      </c>
      <c r="H366" s="117">
        <f t="shared" si="75"/>
        <v>45125.305755251218</v>
      </c>
      <c r="I366" s="7"/>
      <c r="J366" s="10">
        <v>5</v>
      </c>
      <c r="K366" s="117">
        <v>5617875</v>
      </c>
      <c r="L366" s="120">
        <f t="shared" si="73"/>
        <v>225.62653118599141</v>
      </c>
      <c r="M366" s="122">
        <f t="shared" si="66"/>
        <v>11235749.880000001</v>
      </c>
      <c r="N366" s="116">
        <f t="shared" si="67"/>
        <v>5617874.8800000008</v>
      </c>
      <c r="O366" s="123">
        <f t="shared" si="68"/>
        <v>225.62652636652078</v>
      </c>
      <c r="P366" s="5"/>
      <c r="Q366" s="5">
        <f t="shared" si="70"/>
        <v>1</v>
      </c>
      <c r="R366" s="7">
        <f t="shared" si="71"/>
        <v>24899</v>
      </c>
      <c r="S366" s="5">
        <f t="shared" si="72"/>
        <v>1</v>
      </c>
      <c r="T366" s="7">
        <f t="shared" si="69"/>
        <v>24899</v>
      </c>
    </row>
    <row r="367" spans="1:20">
      <c r="A367" s="23" t="s">
        <v>399</v>
      </c>
      <c r="B367" s="35" t="s">
        <v>360</v>
      </c>
      <c r="C367" s="36">
        <v>13922</v>
      </c>
      <c r="D367" s="6"/>
      <c r="E367" s="113">
        <v>2045187439</v>
      </c>
      <c r="F367" s="116">
        <f t="shared" si="74"/>
        <v>146903.27819278839</v>
      </c>
      <c r="G367" s="117">
        <v>1704665870</v>
      </c>
      <c r="H367" s="117">
        <f t="shared" si="75"/>
        <v>122444.03605803764</v>
      </c>
      <c r="I367" s="7"/>
      <c r="J367" s="10">
        <v>3.9998</v>
      </c>
      <c r="K367" s="117">
        <v>6818323</v>
      </c>
      <c r="L367" s="120">
        <f t="shared" si="73"/>
        <v>489.75168797586554</v>
      </c>
      <c r="M367" s="122">
        <f t="shared" si="66"/>
        <v>17046658.699999999</v>
      </c>
      <c r="N367" s="116">
        <f t="shared" si="67"/>
        <v>10228335.699999999</v>
      </c>
      <c r="O367" s="123">
        <f t="shared" si="68"/>
        <v>734.68867260451077</v>
      </c>
      <c r="P367" s="5"/>
      <c r="Q367" s="5">
        <f t="shared" si="70"/>
        <v>1</v>
      </c>
      <c r="R367" s="7">
        <f t="shared" si="71"/>
        <v>13922</v>
      </c>
      <c r="S367" s="5">
        <f t="shared" si="72"/>
        <v>1</v>
      </c>
      <c r="T367" s="7">
        <f t="shared" si="69"/>
        <v>13922</v>
      </c>
    </row>
    <row r="368" spans="1:20">
      <c r="A368" s="23" t="s">
        <v>400</v>
      </c>
      <c r="B368" s="35" t="s">
        <v>360</v>
      </c>
      <c r="C368" s="36">
        <v>13913</v>
      </c>
      <c r="D368" s="6"/>
      <c r="E368" s="113">
        <v>1185843692</v>
      </c>
      <c r="F368" s="116">
        <f t="shared" si="74"/>
        <v>85232.781714942859</v>
      </c>
      <c r="G368" s="117">
        <v>898406627</v>
      </c>
      <c r="H368" s="117">
        <f t="shared" si="75"/>
        <v>64573.178106806583</v>
      </c>
      <c r="I368" s="7"/>
      <c r="J368" s="10">
        <v>4.99</v>
      </c>
      <c r="K368" s="117">
        <v>4483049</v>
      </c>
      <c r="L368" s="120">
        <f t="shared" si="73"/>
        <v>322.22015381298064</v>
      </c>
      <c r="M368" s="122">
        <f t="shared" si="66"/>
        <v>8984066.2699999996</v>
      </c>
      <c r="N368" s="116">
        <f t="shared" si="67"/>
        <v>4501017.2699999996</v>
      </c>
      <c r="O368" s="123">
        <f t="shared" si="68"/>
        <v>323.51162725508516</v>
      </c>
      <c r="P368" s="5"/>
      <c r="Q368" s="5">
        <f t="shared" si="70"/>
        <v>1</v>
      </c>
      <c r="R368" s="7">
        <f t="shared" si="71"/>
        <v>13913</v>
      </c>
      <c r="S368" s="5">
        <f t="shared" si="72"/>
        <v>1</v>
      </c>
      <c r="T368" s="7">
        <f t="shared" si="69"/>
        <v>13913</v>
      </c>
    </row>
    <row r="369" spans="1:20">
      <c r="A369" s="23" t="s">
        <v>401</v>
      </c>
      <c r="B369" s="35" t="s">
        <v>360</v>
      </c>
      <c r="C369" s="36">
        <v>30800</v>
      </c>
      <c r="D369" s="6"/>
      <c r="E369" s="113">
        <v>2306885580</v>
      </c>
      <c r="F369" s="116">
        <f t="shared" si="74"/>
        <v>74898.882467532472</v>
      </c>
      <c r="G369" s="117">
        <v>1705335450</v>
      </c>
      <c r="H369" s="117">
        <f t="shared" si="75"/>
        <v>55368.034090909088</v>
      </c>
      <c r="I369" s="7"/>
      <c r="J369" s="10">
        <v>5.335</v>
      </c>
      <c r="K369" s="117">
        <v>9097965</v>
      </c>
      <c r="L369" s="120">
        <f t="shared" si="73"/>
        <v>295.38847402597401</v>
      </c>
      <c r="M369" s="122">
        <f t="shared" si="66"/>
        <v>17053354.5</v>
      </c>
      <c r="N369" s="116">
        <f t="shared" si="67"/>
        <v>7955389.5</v>
      </c>
      <c r="O369" s="123">
        <f t="shared" si="68"/>
        <v>258.29186688311688</v>
      </c>
      <c r="P369" s="5"/>
      <c r="Q369" s="5">
        <f t="shared" si="70"/>
        <v>1</v>
      </c>
      <c r="R369" s="7">
        <f t="shared" si="71"/>
        <v>30800</v>
      </c>
      <c r="S369" s="5">
        <f t="shared" si="72"/>
        <v>1</v>
      </c>
      <c r="T369" s="7">
        <f t="shared" si="69"/>
        <v>30800</v>
      </c>
    </row>
    <row r="370" spans="1:20">
      <c r="A370" s="23" t="s">
        <v>402</v>
      </c>
      <c r="B370" s="35" t="s">
        <v>360</v>
      </c>
      <c r="C370" s="36">
        <v>49252</v>
      </c>
      <c r="D370" s="6"/>
      <c r="E370" s="113">
        <v>2937391124</v>
      </c>
      <c r="F370" s="116">
        <f t="shared" si="74"/>
        <v>59640.037440103952</v>
      </c>
      <c r="G370" s="117">
        <v>2115889862</v>
      </c>
      <c r="H370" s="117">
        <f t="shared" si="75"/>
        <v>42960.486112239094</v>
      </c>
      <c r="I370" s="7"/>
      <c r="J370" s="10">
        <v>6.3250000000000002</v>
      </c>
      <c r="K370" s="117">
        <v>13383003</v>
      </c>
      <c r="L370" s="120">
        <f t="shared" si="73"/>
        <v>271.72506700235522</v>
      </c>
      <c r="M370" s="122">
        <f t="shared" si="66"/>
        <v>21158898.620000001</v>
      </c>
      <c r="N370" s="116">
        <f t="shared" si="67"/>
        <v>7775895.620000001</v>
      </c>
      <c r="O370" s="123">
        <f t="shared" si="68"/>
        <v>157.87979412003577</v>
      </c>
      <c r="P370" s="5"/>
      <c r="Q370" s="5">
        <f t="shared" si="70"/>
        <v>1</v>
      </c>
      <c r="R370" s="7">
        <f t="shared" si="71"/>
        <v>49252</v>
      </c>
      <c r="S370" s="5">
        <f t="shared" si="72"/>
        <v>1</v>
      </c>
      <c r="T370" s="7">
        <f t="shared" si="69"/>
        <v>49252</v>
      </c>
    </row>
    <row r="371" spans="1:20">
      <c r="A371" s="23" t="s">
        <v>403</v>
      </c>
      <c r="B371" s="35" t="s">
        <v>360</v>
      </c>
      <c r="C371" s="36">
        <v>33321</v>
      </c>
      <c r="D371" s="6"/>
      <c r="E371" s="113">
        <v>2389643894</v>
      </c>
      <c r="F371" s="116">
        <f t="shared" si="74"/>
        <v>71715.851685123489</v>
      </c>
      <c r="G371" s="117">
        <v>1661073712</v>
      </c>
      <c r="H371" s="117">
        <f t="shared" si="75"/>
        <v>49850.656102758017</v>
      </c>
      <c r="I371" s="7"/>
      <c r="J371" s="10">
        <v>4.6125999999999996</v>
      </c>
      <c r="K371" s="117">
        <v>7661869</v>
      </c>
      <c r="L371" s="120">
        <f t="shared" si="73"/>
        <v>229.9411482248432</v>
      </c>
      <c r="M371" s="122">
        <f t="shared" si="66"/>
        <v>16610737.120000001</v>
      </c>
      <c r="N371" s="116">
        <f t="shared" si="67"/>
        <v>8948868.120000001</v>
      </c>
      <c r="O371" s="123">
        <f t="shared" si="68"/>
        <v>268.56541280273706</v>
      </c>
      <c r="P371" s="5"/>
      <c r="Q371" s="5">
        <f t="shared" si="70"/>
        <v>1</v>
      </c>
      <c r="R371" s="7">
        <f t="shared" si="71"/>
        <v>33321</v>
      </c>
      <c r="S371" s="5">
        <f t="shared" si="72"/>
        <v>1</v>
      </c>
      <c r="T371" s="7">
        <f t="shared" si="69"/>
        <v>33321</v>
      </c>
    </row>
    <row r="372" spans="1:20">
      <c r="A372" s="23" t="s">
        <v>388</v>
      </c>
      <c r="B372" s="35" t="s">
        <v>551</v>
      </c>
      <c r="C372" s="36">
        <v>639</v>
      </c>
      <c r="D372" s="6"/>
      <c r="E372" s="113">
        <v>34712943</v>
      </c>
      <c r="F372" s="116">
        <f t="shared" si="74"/>
        <v>54323.854460093899</v>
      </c>
      <c r="G372" s="117">
        <v>22907791</v>
      </c>
      <c r="H372" s="117">
        <f t="shared" si="75"/>
        <v>35849.438184663537</v>
      </c>
      <c r="I372" s="7"/>
      <c r="J372" s="10">
        <v>8</v>
      </c>
      <c r="K372" s="117">
        <v>183262</v>
      </c>
      <c r="L372" s="120">
        <f t="shared" si="73"/>
        <v>286.79499217527388</v>
      </c>
      <c r="M372" s="122">
        <f t="shared" si="66"/>
        <v>229077.91</v>
      </c>
      <c r="N372" s="116">
        <f t="shared" si="67"/>
        <v>45815.91</v>
      </c>
      <c r="O372" s="123">
        <f t="shared" si="68"/>
        <v>71.699389671361502</v>
      </c>
      <c r="P372" s="5"/>
      <c r="Q372" s="5">
        <f t="shared" si="70"/>
        <v>1</v>
      </c>
      <c r="R372" s="7">
        <f t="shared" si="71"/>
        <v>639</v>
      </c>
      <c r="S372" s="5">
        <f t="shared" si="72"/>
        <v>1</v>
      </c>
      <c r="T372" s="7">
        <f t="shared" si="69"/>
        <v>639</v>
      </c>
    </row>
    <row r="373" spans="1:20">
      <c r="A373" s="23" t="s">
        <v>549</v>
      </c>
      <c r="B373" s="35" t="s">
        <v>551</v>
      </c>
      <c r="C373" s="36">
        <v>13505</v>
      </c>
      <c r="D373" s="6"/>
      <c r="E373" s="113">
        <v>2084544216</v>
      </c>
      <c r="F373" s="116">
        <f t="shared" si="74"/>
        <v>154353.51469825991</v>
      </c>
      <c r="G373" s="117">
        <v>1329400730</v>
      </c>
      <c r="H373" s="117">
        <f t="shared" si="75"/>
        <v>98437.669751943729</v>
      </c>
      <c r="I373" s="7"/>
      <c r="J373" s="10">
        <v>6.6</v>
      </c>
      <c r="K373" s="117">
        <v>8774045</v>
      </c>
      <c r="L373" s="120">
        <f t="shared" si="73"/>
        <v>649.68863383931875</v>
      </c>
      <c r="M373" s="122">
        <f t="shared" si="66"/>
        <v>13294007.300000001</v>
      </c>
      <c r="N373" s="116">
        <f t="shared" si="67"/>
        <v>4519962.3000000007</v>
      </c>
      <c r="O373" s="123">
        <f t="shared" si="68"/>
        <v>334.68806368011855</v>
      </c>
      <c r="P373" s="5"/>
      <c r="Q373" s="5">
        <f t="shared" si="70"/>
        <v>1</v>
      </c>
      <c r="R373" s="7">
        <f t="shared" si="71"/>
        <v>13505</v>
      </c>
      <c r="S373" s="5">
        <f t="shared" si="72"/>
        <v>1</v>
      </c>
      <c r="T373" s="7">
        <f t="shared" si="69"/>
        <v>13505</v>
      </c>
    </row>
    <row r="374" spans="1:20">
      <c r="A374" s="23" t="s">
        <v>550</v>
      </c>
      <c r="B374" s="35" t="s">
        <v>551</v>
      </c>
      <c r="C374" s="36">
        <v>5718</v>
      </c>
      <c r="D374" s="6"/>
      <c r="E374" s="113">
        <v>1130751215</v>
      </c>
      <c r="F374" s="116">
        <f t="shared" si="74"/>
        <v>197752.92322490382</v>
      </c>
      <c r="G374" s="117">
        <v>925662868</v>
      </c>
      <c r="H374" s="117">
        <f t="shared" si="75"/>
        <v>161885.77614550543</v>
      </c>
      <c r="I374" s="7"/>
      <c r="J374" s="10">
        <v>2</v>
      </c>
      <c r="K374" s="117">
        <v>1851326</v>
      </c>
      <c r="L374" s="120">
        <f t="shared" ref="L374:L379" si="76">(K374/C374)</f>
        <v>323.77159846100034</v>
      </c>
      <c r="M374" s="122">
        <f t="shared" si="66"/>
        <v>9256628.6799999997</v>
      </c>
      <c r="N374" s="116">
        <f t="shared" si="67"/>
        <v>7405302.6799999997</v>
      </c>
      <c r="O374" s="123">
        <f t="shared" si="68"/>
        <v>1295.0861629940539</v>
      </c>
      <c r="P374" s="5"/>
      <c r="Q374" s="5">
        <f t="shared" si="70"/>
        <v>1</v>
      </c>
      <c r="R374" s="7">
        <f t="shared" si="71"/>
        <v>5718</v>
      </c>
      <c r="S374" s="5">
        <f t="shared" si="72"/>
        <v>1</v>
      </c>
      <c r="T374" s="7">
        <f t="shared" si="69"/>
        <v>5718</v>
      </c>
    </row>
    <row r="375" spans="1:20">
      <c r="A375" s="23" t="s">
        <v>389</v>
      </c>
      <c r="B375" s="35" t="s">
        <v>552</v>
      </c>
      <c r="C375" s="36">
        <v>38569</v>
      </c>
      <c r="D375" s="6"/>
      <c r="E375" s="113">
        <v>2853477685</v>
      </c>
      <c r="F375" s="116">
        <f t="shared" si="74"/>
        <v>73983.709326142751</v>
      </c>
      <c r="G375" s="117">
        <v>1827074820</v>
      </c>
      <c r="H375" s="117">
        <f t="shared" si="75"/>
        <v>47371.589100054451</v>
      </c>
      <c r="I375" s="7"/>
      <c r="J375" s="10">
        <v>6.9823000000000004</v>
      </c>
      <c r="K375" s="117">
        <v>12757185</v>
      </c>
      <c r="L375" s="120">
        <f t="shared" si="76"/>
        <v>330.76265913038969</v>
      </c>
      <c r="M375" s="122">
        <f t="shared" si="66"/>
        <v>18270748.199999999</v>
      </c>
      <c r="N375" s="116">
        <f t="shared" si="67"/>
        <v>5513563.1999999993</v>
      </c>
      <c r="O375" s="123">
        <f t="shared" si="68"/>
        <v>142.95323187015478</v>
      </c>
      <c r="P375" s="5"/>
      <c r="Q375" s="5">
        <f t="shared" si="70"/>
        <v>1</v>
      </c>
      <c r="R375" s="7">
        <f t="shared" si="71"/>
        <v>38569</v>
      </c>
      <c r="S375" s="5">
        <f t="shared" si="72"/>
        <v>1</v>
      </c>
      <c r="T375" s="7">
        <f t="shared" si="69"/>
        <v>38569</v>
      </c>
    </row>
    <row r="376" spans="1:20">
      <c r="A376" s="23" t="s">
        <v>553</v>
      </c>
      <c r="B376" s="35" t="s">
        <v>552</v>
      </c>
      <c r="C376" s="36">
        <v>129135</v>
      </c>
      <c r="D376" s="6"/>
      <c r="E376" s="113">
        <v>11979364644</v>
      </c>
      <c r="F376" s="116">
        <f t="shared" si="74"/>
        <v>92766.210895574404</v>
      </c>
      <c r="G376" s="117">
        <v>8400235466</v>
      </c>
      <c r="H376" s="117">
        <f t="shared" si="75"/>
        <v>65050.028776087041</v>
      </c>
      <c r="I376" s="7"/>
      <c r="J376" s="10">
        <v>3.6899000000000002</v>
      </c>
      <c r="K376" s="117">
        <v>30996029</v>
      </c>
      <c r="L376" s="120">
        <f t="shared" si="76"/>
        <v>240.02810237348513</v>
      </c>
      <c r="M376" s="122">
        <f t="shared" si="66"/>
        <v>84002354.659999996</v>
      </c>
      <c r="N376" s="116">
        <f t="shared" si="67"/>
        <v>53006325.659999996</v>
      </c>
      <c r="O376" s="123">
        <f t="shared" si="68"/>
        <v>410.47218538738525</v>
      </c>
      <c r="P376" s="5"/>
      <c r="Q376" s="5">
        <f t="shared" si="70"/>
        <v>1</v>
      </c>
      <c r="R376" s="7">
        <f t="shared" si="71"/>
        <v>129135</v>
      </c>
      <c r="S376" s="5">
        <f t="shared" si="72"/>
        <v>1</v>
      </c>
      <c r="T376" s="7">
        <f t="shared" si="69"/>
        <v>129135</v>
      </c>
    </row>
    <row r="377" spans="1:20">
      <c r="A377" s="23" t="s">
        <v>554</v>
      </c>
      <c r="B377" s="35" t="s">
        <v>552</v>
      </c>
      <c r="C377" s="36">
        <v>624</v>
      </c>
      <c r="D377" s="6"/>
      <c r="E377" s="113">
        <v>75851699</v>
      </c>
      <c r="F377" s="116">
        <f t="shared" si="74"/>
        <v>121557.20993589744</v>
      </c>
      <c r="G377" s="117">
        <v>48674240</v>
      </c>
      <c r="H377" s="117">
        <f t="shared" si="75"/>
        <v>78003.58974358975</v>
      </c>
      <c r="I377" s="7"/>
      <c r="J377" s="10">
        <v>1</v>
      </c>
      <c r="K377" s="117">
        <v>48674</v>
      </c>
      <c r="L377" s="120">
        <f t="shared" si="76"/>
        <v>78.003205128205124</v>
      </c>
      <c r="M377" s="122">
        <f t="shared" si="66"/>
        <v>486742.4</v>
      </c>
      <c r="N377" s="116">
        <f t="shared" si="67"/>
        <v>438068.4</v>
      </c>
      <c r="O377" s="123">
        <f t="shared" si="68"/>
        <v>702.0326923076924</v>
      </c>
      <c r="P377" s="5"/>
      <c r="Q377" s="5">
        <f t="shared" si="70"/>
        <v>1</v>
      </c>
      <c r="R377" s="7">
        <f t="shared" si="71"/>
        <v>624</v>
      </c>
      <c r="S377" s="5">
        <f t="shared" si="72"/>
        <v>1</v>
      </c>
      <c r="T377" s="7">
        <f t="shared" si="69"/>
        <v>624</v>
      </c>
    </row>
    <row r="378" spans="1:20">
      <c r="A378" s="23" t="s">
        <v>404</v>
      </c>
      <c r="B378" s="35" t="s">
        <v>405</v>
      </c>
      <c r="C378" s="36">
        <v>2299</v>
      </c>
      <c r="D378" s="6"/>
      <c r="E378" s="113">
        <v>145718516</v>
      </c>
      <c r="F378" s="116">
        <f t="shared" si="74"/>
        <v>63383.434536755114</v>
      </c>
      <c r="G378" s="117">
        <v>110256236</v>
      </c>
      <c r="H378" s="117">
        <f t="shared" si="75"/>
        <v>47958.345367551112</v>
      </c>
      <c r="I378" s="7"/>
      <c r="J378" s="10">
        <v>5</v>
      </c>
      <c r="K378" s="117">
        <v>551281</v>
      </c>
      <c r="L378" s="120">
        <f t="shared" si="76"/>
        <v>239.79164854284471</v>
      </c>
      <c r="M378" s="122">
        <f t="shared" si="66"/>
        <v>1102562.3600000001</v>
      </c>
      <c r="N378" s="116">
        <f t="shared" si="67"/>
        <v>551281.3600000001</v>
      </c>
      <c r="O378" s="123">
        <f t="shared" si="68"/>
        <v>239.79180513266641</v>
      </c>
      <c r="P378" s="5"/>
      <c r="Q378" s="5">
        <f t="shared" si="70"/>
        <v>1</v>
      </c>
      <c r="R378" s="7">
        <f t="shared" si="71"/>
        <v>2299</v>
      </c>
      <c r="S378" s="5">
        <f t="shared" si="72"/>
        <v>1</v>
      </c>
      <c r="T378" s="7">
        <f t="shared" si="69"/>
        <v>2299</v>
      </c>
    </row>
    <row r="379" spans="1:20">
      <c r="A379" s="23" t="s">
        <v>406</v>
      </c>
      <c r="B379" s="35" t="s">
        <v>405</v>
      </c>
      <c r="C379" s="36">
        <v>907</v>
      </c>
      <c r="D379" s="6"/>
      <c r="E379" s="113">
        <v>23579838</v>
      </c>
      <c r="F379" s="116">
        <f t="shared" si="74"/>
        <v>25997.616317530319</v>
      </c>
      <c r="G379" s="117">
        <v>11643728</v>
      </c>
      <c r="H379" s="117">
        <f t="shared" si="75"/>
        <v>12837.627342888643</v>
      </c>
      <c r="I379" s="9"/>
      <c r="J379" s="10">
        <v>4</v>
      </c>
      <c r="K379" s="117">
        <v>46575</v>
      </c>
      <c r="L379" s="120">
        <f t="shared" si="76"/>
        <v>51.350606394707825</v>
      </c>
      <c r="M379" s="122">
        <f t="shared" si="66"/>
        <v>116437.28</v>
      </c>
      <c r="N379" s="116">
        <f t="shared" si="67"/>
        <v>69862.28</v>
      </c>
      <c r="O379" s="123">
        <f t="shared" si="68"/>
        <v>77.02566703417861</v>
      </c>
      <c r="P379" s="5"/>
      <c r="Q379" s="5">
        <f t="shared" si="70"/>
        <v>1</v>
      </c>
      <c r="R379" s="7">
        <f t="shared" si="71"/>
        <v>907</v>
      </c>
      <c r="S379" s="5">
        <f t="shared" si="72"/>
        <v>1</v>
      </c>
      <c r="T379" s="7">
        <f t="shared" si="69"/>
        <v>907</v>
      </c>
    </row>
    <row r="380" spans="1:20">
      <c r="A380" s="23" t="s">
        <v>407</v>
      </c>
      <c r="B380" s="35" t="s">
        <v>405</v>
      </c>
      <c r="C380" s="36">
        <v>653</v>
      </c>
      <c r="D380" s="6"/>
      <c r="E380" s="113">
        <v>21584972</v>
      </c>
      <c r="F380" s="116">
        <f t="shared" si="74"/>
        <v>33055.087289433388</v>
      </c>
      <c r="G380" s="117">
        <v>10932473</v>
      </c>
      <c r="H380" s="117">
        <f t="shared" si="75"/>
        <v>16741.918836140889</v>
      </c>
      <c r="I380" s="9" t="s">
        <v>528</v>
      </c>
      <c r="J380" s="10"/>
      <c r="K380" s="117"/>
      <c r="L380" s="120"/>
      <c r="M380" s="122">
        <f t="shared" si="66"/>
        <v>109324.73</v>
      </c>
      <c r="N380" s="116">
        <f t="shared" si="67"/>
        <v>109324.73</v>
      </c>
      <c r="O380" s="123">
        <f t="shared" si="68"/>
        <v>167.41918836140889</v>
      </c>
      <c r="P380" s="5"/>
      <c r="Q380" s="5">
        <f t="shared" si="70"/>
        <v>1</v>
      </c>
      <c r="R380" s="7">
        <f t="shared" si="71"/>
        <v>653</v>
      </c>
      <c r="S380" s="5">
        <f t="shared" si="72"/>
        <v>0</v>
      </c>
      <c r="T380" s="7">
        <f t="shared" si="69"/>
        <v>0</v>
      </c>
    </row>
    <row r="381" spans="1:20">
      <c r="A381" s="23" t="s">
        <v>408</v>
      </c>
      <c r="B381" s="35" t="s">
        <v>405</v>
      </c>
      <c r="C381" s="36">
        <v>772</v>
      </c>
      <c r="D381" s="6"/>
      <c r="E381" s="113">
        <v>21448593</v>
      </c>
      <c r="F381" s="116">
        <f t="shared" si="74"/>
        <v>27783.151554404147</v>
      </c>
      <c r="G381" s="117">
        <v>13445830</v>
      </c>
      <c r="H381" s="117">
        <f t="shared" si="75"/>
        <v>17416.878238341968</v>
      </c>
      <c r="I381" s="7"/>
      <c r="J381" s="10">
        <v>7</v>
      </c>
      <c r="K381" s="117">
        <v>94121</v>
      </c>
      <c r="L381" s="120">
        <f t="shared" ref="L381:L386" si="77">(K381/C381)</f>
        <v>121.91839378238342</v>
      </c>
      <c r="M381" s="122">
        <f t="shared" si="66"/>
        <v>134458.29999999999</v>
      </c>
      <c r="N381" s="116">
        <f t="shared" si="67"/>
        <v>40337.299999999988</v>
      </c>
      <c r="O381" s="123">
        <f t="shared" si="68"/>
        <v>52.250388601036256</v>
      </c>
      <c r="P381" s="5"/>
      <c r="Q381" s="5">
        <f t="shared" si="70"/>
        <v>1</v>
      </c>
      <c r="R381" s="7">
        <f t="shared" si="71"/>
        <v>772</v>
      </c>
      <c r="S381" s="5">
        <f t="shared" si="72"/>
        <v>1</v>
      </c>
      <c r="T381" s="7">
        <f t="shared" si="69"/>
        <v>772</v>
      </c>
    </row>
    <row r="382" spans="1:20">
      <c r="A382" s="23" t="s">
        <v>409</v>
      </c>
      <c r="B382" s="35" t="s">
        <v>405</v>
      </c>
      <c r="C382" s="36">
        <v>4115</v>
      </c>
      <c r="D382" s="6"/>
      <c r="E382" s="113">
        <v>153483959</v>
      </c>
      <c r="F382" s="116">
        <f t="shared" si="74"/>
        <v>37298.653462940463</v>
      </c>
      <c r="G382" s="117">
        <v>117790110</v>
      </c>
      <c r="H382" s="117">
        <f t="shared" si="75"/>
        <v>28624.571081409478</v>
      </c>
      <c r="I382" s="7"/>
      <c r="J382" s="11">
        <v>4.79</v>
      </c>
      <c r="K382" s="117">
        <v>564215</v>
      </c>
      <c r="L382" s="120">
        <f t="shared" si="77"/>
        <v>137.11178614823817</v>
      </c>
      <c r="M382" s="122">
        <f t="shared" si="66"/>
        <v>1177901.1000000001</v>
      </c>
      <c r="N382" s="116">
        <f t="shared" si="67"/>
        <v>613686.10000000009</v>
      </c>
      <c r="O382" s="123">
        <f t="shared" si="68"/>
        <v>149.13392466585665</v>
      </c>
      <c r="P382" s="5"/>
      <c r="Q382" s="5">
        <f t="shared" si="70"/>
        <v>1</v>
      </c>
      <c r="R382" s="7">
        <f t="shared" si="71"/>
        <v>4115</v>
      </c>
      <c r="S382" s="5">
        <f t="shared" si="72"/>
        <v>1</v>
      </c>
      <c r="T382" s="7">
        <f t="shared" si="69"/>
        <v>4115</v>
      </c>
    </row>
    <row r="383" spans="1:20">
      <c r="A383" s="23" t="s">
        <v>410</v>
      </c>
      <c r="B383" s="35" t="s">
        <v>411</v>
      </c>
      <c r="C383" s="36">
        <v>690</v>
      </c>
      <c r="D383" s="6"/>
      <c r="E383" s="113">
        <v>30923660</v>
      </c>
      <c r="F383" s="116">
        <f t="shared" si="74"/>
        <v>44816.89855072464</v>
      </c>
      <c r="G383" s="117">
        <v>18036380</v>
      </c>
      <c r="H383" s="117">
        <f t="shared" si="75"/>
        <v>26139.681159420288</v>
      </c>
      <c r="I383" s="7"/>
      <c r="J383" s="10">
        <v>4.25</v>
      </c>
      <c r="K383" s="117">
        <v>76655</v>
      </c>
      <c r="L383" s="120">
        <f t="shared" si="77"/>
        <v>111.09420289855072</v>
      </c>
      <c r="M383" s="122">
        <f t="shared" si="66"/>
        <v>180363.80000000002</v>
      </c>
      <c r="N383" s="116">
        <f t="shared" si="67"/>
        <v>103708.80000000002</v>
      </c>
      <c r="O383" s="123">
        <f t="shared" si="68"/>
        <v>150.3026086956522</v>
      </c>
      <c r="P383" s="5"/>
      <c r="Q383" s="5">
        <f t="shared" si="70"/>
        <v>1</v>
      </c>
      <c r="R383" s="7">
        <f t="shared" si="71"/>
        <v>690</v>
      </c>
      <c r="S383" s="5">
        <f t="shared" si="72"/>
        <v>1</v>
      </c>
      <c r="T383" s="7">
        <f t="shared" si="69"/>
        <v>690</v>
      </c>
    </row>
    <row r="384" spans="1:20">
      <c r="A384" s="23" t="s">
        <v>412</v>
      </c>
      <c r="B384" s="35" t="s">
        <v>411</v>
      </c>
      <c r="C384" s="36">
        <v>6576</v>
      </c>
      <c r="D384" s="6"/>
      <c r="E384" s="113">
        <v>193426019</v>
      </c>
      <c r="F384" s="116">
        <f t="shared" si="74"/>
        <v>29413.932329683699</v>
      </c>
      <c r="G384" s="117">
        <v>115580128</v>
      </c>
      <c r="H384" s="117">
        <f t="shared" si="75"/>
        <v>17576.053527980534</v>
      </c>
      <c r="I384" s="7"/>
      <c r="J384" s="10">
        <v>6.75</v>
      </c>
      <c r="K384" s="117">
        <v>780166</v>
      </c>
      <c r="L384" s="120">
        <f t="shared" si="77"/>
        <v>118.63838199513383</v>
      </c>
      <c r="M384" s="122">
        <f t="shared" si="66"/>
        <v>1155801.28</v>
      </c>
      <c r="N384" s="116">
        <f t="shared" si="67"/>
        <v>375635.28</v>
      </c>
      <c r="O384" s="123">
        <f t="shared" si="68"/>
        <v>57.122153284671541</v>
      </c>
      <c r="P384" s="5"/>
      <c r="Q384" s="5">
        <f t="shared" si="70"/>
        <v>1</v>
      </c>
      <c r="R384" s="7">
        <f t="shared" si="71"/>
        <v>6576</v>
      </c>
      <c r="S384" s="5">
        <f t="shared" si="72"/>
        <v>1</v>
      </c>
      <c r="T384" s="7">
        <f t="shared" si="69"/>
        <v>6576</v>
      </c>
    </row>
    <row r="385" spans="1:20">
      <c r="A385" s="23" t="s">
        <v>413</v>
      </c>
      <c r="B385" s="35" t="s">
        <v>414</v>
      </c>
      <c r="C385" s="36">
        <v>6832</v>
      </c>
      <c r="D385" s="6"/>
      <c r="E385" s="113">
        <v>361074021</v>
      </c>
      <c r="F385" s="116">
        <f t="shared" si="74"/>
        <v>52850.412909836065</v>
      </c>
      <c r="G385" s="117">
        <v>203445084</v>
      </c>
      <c r="H385" s="117">
        <f t="shared" si="75"/>
        <v>29778.261709601873</v>
      </c>
      <c r="I385" s="7"/>
      <c r="J385" s="10">
        <v>4.6675000000000004</v>
      </c>
      <c r="K385" s="117">
        <v>949580</v>
      </c>
      <c r="L385" s="120">
        <f t="shared" si="77"/>
        <v>138.99004683840749</v>
      </c>
      <c r="M385" s="122">
        <f t="shared" si="66"/>
        <v>2034450.84</v>
      </c>
      <c r="N385" s="116">
        <f t="shared" si="67"/>
        <v>1084870.8400000001</v>
      </c>
      <c r="O385" s="123">
        <f t="shared" si="68"/>
        <v>158.79257025761126</v>
      </c>
      <c r="P385" s="5"/>
      <c r="Q385" s="5">
        <f t="shared" si="70"/>
        <v>1</v>
      </c>
      <c r="R385" s="7">
        <f t="shared" si="71"/>
        <v>6832</v>
      </c>
      <c r="S385" s="5">
        <f t="shared" si="72"/>
        <v>1</v>
      </c>
      <c r="T385" s="7">
        <f t="shared" si="69"/>
        <v>6832</v>
      </c>
    </row>
    <row r="386" spans="1:20">
      <c r="A386" s="23" t="s">
        <v>415</v>
      </c>
      <c r="B386" s="35" t="s">
        <v>416</v>
      </c>
      <c r="C386" s="36">
        <v>1924</v>
      </c>
      <c r="D386" s="6"/>
      <c r="E386" s="113">
        <v>59797671</v>
      </c>
      <c r="F386" s="116">
        <f t="shared" si="74"/>
        <v>31079.87058212058</v>
      </c>
      <c r="G386" s="117">
        <v>29476357</v>
      </c>
      <c r="H386" s="117">
        <f t="shared" si="75"/>
        <v>15320.351871101871</v>
      </c>
      <c r="I386" s="9"/>
      <c r="J386" s="10">
        <v>2.4249999999999998</v>
      </c>
      <c r="K386" s="117">
        <v>71480</v>
      </c>
      <c r="L386" s="120">
        <f t="shared" si="77"/>
        <v>37.151767151767153</v>
      </c>
      <c r="M386" s="122">
        <f t="shared" si="66"/>
        <v>294763.57</v>
      </c>
      <c r="N386" s="116">
        <f t="shared" si="67"/>
        <v>223283.57</v>
      </c>
      <c r="O386" s="123">
        <f t="shared" si="68"/>
        <v>116.05175155925156</v>
      </c>
      <c r="P386" s="5"/>
      <c r="Q386" s="5">
        <f t="shared" si="70"/>
        <v>1</v>
      </c>
      <c r="R386" s="7">
        <f t="shared" si="71"/>
        <v>1924</v>
      </c>
      <c r="S386" s="5">
        <f t="shared" si="72"/>
        <v>1</v>
      </c>
      <c r="T386" s="7">
        <f t="shared" si="69"/>
        <v>1924</v>
      </c>
    </row>
    <row r="387" spans="1:20">
      <c r="A387" s="23" t="s">
        <v>417</v>
      </c>
      <c r="B387" s="35" t="s">
        <v>416</v>
      </c>
      <c r="C387" s="36">
        <v>262</v>
      </c>
      <c r="D387" s="6"/>
      <c r="E387" s="113">
        <v>5274793</v>
      </c>
      <c r="F387" s="116">
        <f t="shared" si="74"/>
        <v>20132.797709923663</v>
      </c>
      <c r="G387" s="117">
        <v>2234960</v>
      </c>
      <c r="H387" s="117">
        <f t="shared" si="75"/>
        <v>8530.3816793893129</v>
      </c>
      <c r="I387" s="9" t="s">
        <v>528</v>
      </c>
      <c r="J387" s="10"/>
      <c r="K387" s="117"/>
      <c r="L387" s="120"/>
      <c r="M387" s="122">
        <f t="shared" si="66"/>
        <v>22349.600000000002</v>
      </c>
      <c r="N387" s="116">
        <f t="shared" si="67"/>
        <v>22349.600000000002</v>
      </c>
      <c r="O387" s="123">
        <f t="shared" si="68"/>
        <v>85.303816793893134</v>
      </c>
      <c r="P387" s="5"/>
      <c r="Q387" s="5">
        <f t="shared" si="70"/>
        <v>1</v>
      </c>
      <c r="R387" s="7">
        <f t="shared" si="71"/>
        <v>262</v>
      </c>
      <c r="S387" s="5">
        <f t="shared" si="72"/>
        <v>0</v>
      </c>
      <c r="T387" s="7">
        <f t="shared" si="69"/>
        <v>0</v>
      </c>
    </row>
    <row r="388" spans="1:20">
      <c r="A388" s="23" t="s">
        <v>418</v>
      </c>
      <c r="B388" s="35" t="s">
        <v>416</v>
      </c>
      <c r="C388" s="36">
        <v>476</v>
      </c>
      <c r="D388" s="6"/>
      <c r="E388" s="113">
        <v>7500383</v>
      </c>
      <c r="F388" s="116">
        <f t="shared" si="74"/>
        <v>15757.107142857143</v>
      </c>
      <c r="G388" s="117">
        <v>4624622</v>
      </c>
      <c r="H388" s="117">
        <f t="shared" si="75"/>
        <v>9715.59243697479</v>
      </c>
      <c r="I388" s="7"/>
      <c r="J388" s="10">
        <v>2</v>
      </c>
      <c r="K388" s="117">
        <v>9249</v>
      </c>
      <c r="L388" s="120">
        <f t="shared" ref="L388:L404" si="78">(K388/C388)</f>
        <v>19.430672268907564</v>
      </c>
      <c r="M388" s="122">
        <f t="shared" si="66"/>
        <v>46246.22</v>
      </c>
      <c r="N388" s="116">
        <f t="shared" si="67"/>
        <v>36997.22</v>
      </c>
      <c r="O388" s="123">
        <f t="shared" si="68"/>
        <v>77.725252100840336</v>
      </c>
      <c r="P388" s="5"/>
      <c r="Q388" s="5">
        <f t="shared" si="70"/>
        <v>1</v>
      </c>
      <c r="R388" s="7">
        <f t="shared" si="71"/>
        <v>476</v>
      </c>
      <c r="S388" s="5">
        <f t="shared" si="72"/>
        <v>1</v>
      </c>
      <c r="T388" s="7">
        <f t="shared" si="69"/>
        <v>476</v>
      </c>
    </row>
    <row r="389" spans="1:20">
      <c r="A389" s="23" t="s">
        <v>419</v>
      </c>
      <c r="B389" s="35" t="s">
        <v>420</v>
      </c>
      <c r="C389" s="36">
        <v>65129</v>
      </c>
      <c r="D389" s="6"/>
      <c r="E389" s="113">
        <v>6282013366</v>
      </c>
      <c r="F389" s="116">
        <f t="shared" si="74"/>
        <v>96454.933531913586</v>
      </c>
      <c r="G389" s="117">
        <v>4272302452</v>
      </c>
      <c r="H389" s="117">
        <f t="shared" si="75"/>
        <v>65597.544135484961</v>
      </c>
      <c r="I389" s="7"/>
      <c r="J389" s="11">
        <v>6.7027000000000001</v>
      </c>
      <c r="K389" s="117">
        <v>28636346</v>
      </c>
      <c r="L389" s="120">
        <f t="shared" si="78"/>
        <v>439.68656051835586</v>
      </c>
      <c r="M389" s="122">
        <f t="shared" si="66"/>
        <v>42723024.520000003</v>
      </c>
      <c r="N389" s="116">
        <f t="shared" si="67"/>
        <v>14086678.520000003</v>
      </c>
      <c r="O389" s="123">
        <f t="shared" si="68"/>
        <v>216.28888083649377</v>
      </c>
      <c r="P389" s="5"/>
      <c r="Q389" s="5">
        <f t="shared" si="70"/>
        <v>1</v>
      </c>
      <c r="R389" s="7">
        <f t="shared" si="71"/>
        <v>65129</v>
      </c>
      <c r="S389" s="5">
        <f t="shared" si="72"/>
        <v>1</v>
      </c>
      <c r="T389" s="7">
        <f t="shared" si="69"/>
        <v>65129</v>
      </c>
    </row>
    <row r="390" spans="1:20">
      <c r="A390" s="23" t="s">
        <v>421</v>
      </c>
      <c r="B390" s="35" t="s">
        <v>420</v>
      </c>
      <c r="C390" s="36">
        <v>4661</v>
      </c>
      <c r="D390" s="6"/>
      <c r="E390" s="113">
        <v>1673347099</v>
      </c>
      <c r="F390" s="116">
        <f t="shared" si="74"/>
        <v>359010.3194593435</v>
      </c>
      <c r="G390" s="117">
        <v>1417557302</v>
      </c>
      <c r="H390" s="117">
        <f t="shared" si="75"/>
        <v>304131.58163484233</v>
      </c>
      <c r="I390" s="7"/>
      <c r="J390" s="10">
        <v>3.8370000000000002</v>
      </c>
      <c r="K390" s="117">
        <v>5439167</v>
      </c>
      <c r="L390" s="120">
        <f t="shared" si="78"/>
        <v>1166.9527998283629</v>
      </c>
      <c r="M390" s="122">
        <f t="shared" ref="M390:M414" si="79">(G390*0.01)</f>
        <v>14175573.02</v>
      </c>
      <c r="N390" s="116">
        <f t="shared" ref="N390:N414" si="80">(M390-K390)</f>
        <v>8736406.0199999996</v>
      </c>
      <c r="O390" s="123">
        <f t="shared" ref="O390:O414" si="81">(N390/C390)</f>
        <v>1874.36301652006</v>
      </c>
      <c r="P390" s="5"/>
      <c r="Q390" s="5">
        <f t="shared" si="70"/>
        <v>1</v>
      </c>
      <c r="R390" s="7">
        <f t="shared" si="71"/>
        <v>4661</v>
      </c>
      <c r="S390" s="5">
        <f t="shared" si="72"/>
        <v>1</v>
      </c>
      <c r="T390" s="7">
        <f t="shared" ref="T390:T414" si="82">IF(J390&gt;0,C390,0)</f>
        <v>4661</v>
      </c>
    </row>
    <row r="391" spans="1:20">
      <c r="A391" s="23" t="s">
        <v>462</v>
      </c>
      <c r="B391" s="35" t="s">
        <v>420</v>
      </c>
      <c r="C391" s="36">
        <v>18222</v>
      </c>
      <c r="D391" s="6"/>
      <c r="E391" s="113">
        <v>2069953824</v>
      </c>
      <c r="F391" s="116">
        <f t="shared" si="74"/>
        <v>113596.41224892986</v>
      </c>
      <c r="G391" s="117">
        <v>1665682819</v>
      </c>
      <c r="H391" s="117">
        <f t="shared" si="75"/>
        <v>91410.537756558013</v>
      </c>
      <c r="I391" s="7"/>
      <c r="J391" s="10">
        <v>2.5074000000000001</v>
      </c>
      <c r="K391" s="117">
        <v>4176633</v>
      </c>
      <c r="L391" s="120">
        <f t="shared" si="78"/>
        <v>229.2082647349358</v>
      </c>
      <c r="M391" s="122">
        <f t="shared" si="79"/>
        <v>16656828.189999999</v>
      </c>
      <c r="N391" s="116">
        <f t="shared" si="80"/>
        <v>12480195.189999999</v>
      </c>
      <c r="O391" s="123">
        <f t="shared" si="81"/>
        <v>684.89711283064423</v>
      </c>
      <c r="P391" s="5"/>
      <c r="Q391" s="5">
        <f t="shared" ref="Q391:Q414" si="83">IF(E391&gt;0,1,0)</f>
        <v>1</v>
      </c>
      <c r="R391" s="7">
        <f t="shared" ref="R391:R414" si="84">IF(E391&gt;0,C391,0)</f>
        <v>18222</v>
      </c>
      <c r="S391" s="5">
        <f t="shared" si="72"/>
        <v>1</v>
      </c>
      <c r="T391" s="7">
        <f t="shared" si="82"/>
        <v>18222</v>
      </c>
    </row>
    <row r="392" spans="1:20">
      <c r="A392" s="23" t="s">
        <v>463</v>
      </c>
      <c r="B392" s="35" t="s">
        <v>420</v>
      </c>
      <c r="C392" s="36">
        <v>25055</v>
      </c>
      <c r="D392" s="6"/>
      <c r="E392" s="113">
        <v>1905482424</v>
      </c>
      <c r="F392" s="116">
        <f t="shared" si="74"/>
        <v>76051.982598283779</v>
      </c>
      <c r="G392" s="117">
        <v>1265352699</v>
      </c>
      <c r="H392" s="117">
        <f t="shared" si="75"/>
        <v>50503.001357014567</v>
      </c>
      <c r="I392" s="7"/>
      <c r="J392" s="10">
        <v>5.8177000000000003</v>
      </c>
      <c r="K392" s="117">
        <v>7361442</v>
      </c>
      <c r="L392" s="120">
        <f t="shared" si="78"/>
        <v>293.81129515066851</v>
      </c>
      <c r="M392" s="122">
        <f t="shared" si="79"/>
        <v>12653526.99</v>
      </c>
      <c r="N392" s="116">
        <f t="shared" si="80"/>
        <v>5292084.99</v>
      </c>
      <c r="O392" s="123">
        <f t="shared" si="81"/>
        <v>211.21871841947717</v>
      </c>
      <c r="P392" s="5"/>
      <c r="Q392" s="5">
        <f t="shared" si="83"/>
        <v>1</v>
      </c>
      <c r="R392" s="7">
        <f t="shared" si="84"/>
        <v>25055</v>
      </c>
      <c r="S392" s="5">
        <f t="shared" si="72"/>
        <v>1</v>
      </c>
      <c r="T392" s="7">
        <f t="shared" si="82"/>
        <v>25055</v>
      </c>
    </row>
    <row r="393" spans="1:20">
      <c r="A393" s="23" t="s">
        <v>422</v>
      </c>
      <c r="B393" s="35" t="s">
        <v>420</v>
      </c>
      <c r="C393" s="36">
        <v>82973</v>
      </c>
      <c r="D393" s="6"/>
      <c r="E393" s="113">
        <v>3865229339</v>
      </c>
      <c r="F393" s="116">
        <f t="shared" si="74"/>
        <v>46584.182071276198</v>
      </c>
      <c r="G393" s="117">
        <v>2465161626</v>
      </c>
      <c r="H393" s="117">
        <f t="shared" si="75"/>
        <v>29710.407313222375</v>
      </c>
      <c r="I393" s="7"/>
      <c r="J393" s="10">
        <v>4.1500000000000004</v>
      </c>
      <c r="K393" s="117">
        <v>10230421</v>
      </c>
      <c r="L393" s="120">
        <f t="shared" si="78"/>
        <v>123.29819338821062</v>
      </c>
      <c r="M393" s="122">
        <f t="shared" si="79"/>
        <v>24651616.260000002</v>
      </c>
      <c r="N393" s="116">
        <f t="shared" si="80"/>
        <v>14421195.260000002</v>
      </c>
      <c r="O393" s="123">
        <f t="shared" si="81"/>
        <v>173.80587974401314</v>
      </c>
      <c r="P393" s="5"/>
      <c r="Q393" s="5">
        <f t="shared" si="83"/>
        <v>1</v>
      </c>
      <c r="R393" s="7">
        <f t="shared" si="84"/>
        <v>82973</v>
      </c>
      <c r="S393" s="5">
        <f t="shared" ref="S393:S414" si="85">IF(J393&gt;0,1,0)</f>
        <v>1</v>
      </c>
      <c r="T393" s="7">
        <f t="shared" si="82"/>
        <v>82973</v>
      </c>
    </row>
    <row r="394" spans="1:20">
      <c r="A394" s="23" t="s">
        <v>423</v>
      </c>
      <c r="B394" s="35" t="s">
        <v>420</v>
      </c>
      <c r="C394" s="36">
        <v>21156</v>
      </c>
      <c r="D394" s="6"/>
      <c r="E394" s="113">
        <v>1307513109</v>
      </c>
      <c r="F394" s="116">
        <f t="shared" si="74"/>
        <v>61803.417895632447</v>
      </c>
      <c r="G394" s="117">
        <v>812943450</v>
      </c>
      <c r="H394" s="117">
        <f t="shared" si="75"/>
        <v>38426.141520136131</v>
      </c>
      <c r="I394" s="7"/>
      <c r="J394" s="10">
        <v>6.45</v>
      </c>
      <c r="K394" s="117">
        <v>5243485</v>
      </c>
      <c r="L394" s="120">
        <f t="shared" si="78"/>
        <v>247.84860086972964</v>
      </c>
      <c r="M394" s="122">
        <f t="shared" si="79"/>
        <v>8129434.5</v>
      </c>
      <c r="N394" s="116">
        <f t="shared" si="80"/>
        <v>2885949.5</v>
      </c>
      <c r="O394" s="123">
        <f t="shared" si="81"/>
        <v>136.41281433163169</v>
      </c>
      <c r="P394" s="5"/>
      <c r="Q394" s="5">
        <f t="shared" si="83"/>
        <v>1</v>
      </c>
      <c r="R394" s="7">
        <f t="shared" si="84"/>
        <v>21156</v>
      </c>
      <c r="S394" s="5">
        <f t="shared" si="85"/>
        <v>1</v>
      </c>
      <c r="T394" s="7">
        <f t="shared" si="82"/>
        <v>21156</v>
      </c>
    </row>
    <row r="395" spans="1:20">
      <c r="A395" s="23" t="s">
        <v>424</v>
      </c>
      <c r="B395" s="35" t="s">
        <v>420</v>
      </c>
      <c r="C395" s="36">
        <v>12620</v>
      </c>
      <c r="D395" s="6"/>
      <c r="E395" s="113">
        <v>742637468</v>
      </c>
      <c r="F395" s="116">
        <f t="shared" si="74"/>
        <v>58846.075118858957</v>
      </c>
      <c r="G395" s="117">
        <v>517884805</v>
      </c>
      <c r="H395" s="117">
        <f t="shared" si="75"/>
        <v>41036.830824088749</v>
      </c>
      <c r="I395" s="7"/>
      <c r="J395" s="10">
        <v>4.08</v>
      </c>
      <c r="K395" s="117">
        <v>2112980</v>
      </c>
      <c r="L395" s="120">
        <f t="shared" si="78"/>
        <v>167.43106180665609</v>
      </c>
      <c r="M395" s="122">
        <f t="shared" si="79"/>
        <v>5178848.05</v>
      </c>
      <c r="N395" s="116">
        <f t="shared" si="80"/>
        <v>3065868.05</v>
      </c>
      <c r="O395" s="123">
        <f t="shared" si="81"/>
        <v>242.93724643423135</v>
      </c>
      <c r="P395" s="5"/>
      <c r="Q395" s="5">
        <f t="shared" si="83"/>
        <v>1</v>
      </c>
      <c r="R395" s="7">
        <f t="shared" si="84"/>
        <v>12620</v>
      </c>
      <c r="S395" s="5">
        <f t="shared" si="85"/>
        <v>1</v>
      </c>
      <c r="T395" s="7">
        <f t="shared" si="82"/>
        <v>12620</v>
      </c>
    </row>
    <row r="396" spans="1:20">
      <c r="A396" s="23" t="s">
        <v>425</v>
      </c>
      <c r="B396" s="35" t="s">
        <v>420</v>
      </c>
      <c r="C396" s="36">
        <v>2847</v>
      </c>
      <c r="D396" s="6"/>
      <c r="E396" s="113">
        <v>164515388</v>
      </c>
      <c r="F396" s="116">
        <f t="shared" si="74"/>
        <v>57785.524411661398</v>
      </c>
      <c r="G396" s="117">
        <v>98625180</v>
      </c>
      <c r="H396" s="117">
        <f t="shared" si="75"/>
        <v>34641.791359325609</v>
      </c>
      <c r="I396" s="7"/>
      <c r="J396" s="10">
        <v>5.2</v>
      </c>
      <c r="K396" s="117">
        <v>512851</v>
      </c>
      <c r="L396" s="120">
        <f t="shared" si="78"/>
        <v>180.13733754829644</v>
      </c>
      <c r="M396" s="122">
        <f t="shared" si="79"/>
        <v>986251.8</v>
      </c>
      <c r="N396" s="116">
        <f t="shared" si="80"/>
        <v>473400.80000000005</v>
      </c>
      <c r="O396" s="123">
        <f t="shared" si="81"/>
        <v>166.28057604495962</v>
      </c>
      <c r="P396" s="5"/>
      <c r="Q396" s="5">
        <f t="shared" si="83"/>
        <v>1</v>
      </c>
      <c r="R396" s="7">
        <f t="shared" si="84"/>
        <v>2847</v>
      </c>
      <c r="S396" s="5">
        <f t="shared" si="85"/>
        <v>1</v>
      </c>
      <c r="T396" s="7">
        <f t="shared" si="82"/>
        <v>2847</v>
      </c>
    </row>
    <row r="397" spans="1:20">
      <c r="A397" s="23" t="s">
        <v>426</v>
      </c>
      <c r="B397" s="35" t="s">
        <v>420</v>
      </c>
      <c r="C397" s="36">
        <v>22025</v>
      </c>
      <c r="D397" s="6"/>
      <c r="E397" s="113">
        <v>3897774288</v>
      </c>
      <c r="F397" s="116">
        <f t="shared" si="74"/>
        <v>176970.45575482407</v>
      </c>
      <c r="G397" s="117">
        <v>2845407991</v>
      </c>
      <c r="H397" s="117">
        <f t="shared" si="75"/>
        <v>129189.92013620885</v>
      </c>
      <c r="I397" s="7"/>
      <c r="J397" s="10">
        <v>4.3102999999999998</v>
      </c>
      <c r="K397" s="117">
        <v>12264562</v>
      </c>
      <c r="L397" s="120">
        <f t="shared" si="78"/>
        <v>556.84730987514183</v>
      </c>
      <c r="M397" s="122">
        <f t="shared" si="79"/>
        <v>28454079.91</v>
      </c>
      <c r="N397" s="116">
        <f t="shared" si="80"/>
        <v>16189517.91</v>
      </c>
      <c r="O397" s="123">
        <f t="shared" si="81"/>
        <v>735.0518914869466</v>
      </c>
      <c r="P397" s="5"/>
      <c r="Q397" s="5">
        <f t="shared" si="83"/>
        <v>1</v>
      </c>
      <c r="R397" s="7">
        <f t="shared" si="84"/>
        <v>22025</v>
      </c>
      <c r="S397" s="5">
        <f t="shared" si="85"/>
        <v>1</v>
      </c>
      <c r="T397" s="7">
        <f t="shared" si="82"/>
        <v>22025</v>
      </c>
    </row>
    <row r="398" spans="1:20">
      <c r="A398" s="23" t="s">
        <v>427</v>
      </c>
      <c r="B398" s="35" t="s">
        <v>420</v>
      </c>
      <c r="C398" s="36">
        <v>1922</v>
      </c>
      <c r="D398" s="6"/>
      <c r="E398" s="113">
        <v>154125021</v>
      </c>
      <c r="F398" s="116">
        <f t="shared" si="74"/>
        <v>80189.917273673258</v>
      </c>
      <c r="G398" s="117">
        <v>92154259</v>
      </c>
      <c r="H398" s="117">
        <f t="shared" si="75"/>
        <v>47947.065036420398</v>
      </c>
      <c r="I398" s="7"/>
      <c r="J398" s="10">
        <v>5.2679</v>
      </c>
      <c r="K398" s="117">
        <v>485459</v>
      </c>
      <c r="L398" s="120">
        <f t="shared" si="78"/>
        <v>252.58012486992715</v>
      </c>
      <c r="M398" s="122">
        <f t="shared" si="79"/>
        <v>921542.59</v>
      </c>
      <c r="N398" s="116">
        <f t="shared" si="80"/>
        <v>436083.58999999997</v>
      </c>
      <c r="O398" s="123">
        <f t="shared" si="81"/>
        <v>226.89052549427677</v>
      </c>
      <c r="P398" s="5"/>
      <c r="Q398" s="5">
        <f t="shared" si="83"/>
        <v>1</v>
      </c>
      <c r="R398" s="7">
        <f t="shared" si="84"/>
        <v>1922</v>
      </c>
      <c r="S398" s="5">
        <f t="shared" si="85"/>
        <v>1</v>
      </c>
      <c r="T398" s="7">
        <f t="shared" si="82"/>
        <v>1922</v>
      </c>
    </row>
    <row r="399" spans="1:20">
      <c r="A399" s="23" t="s">
        <v>428</v>
      </c>
      <c r="B399" s="35" t="s">
        <v>420</v>
      </c>
      <c r="C399" s="36">
        <v>8854</v>
      </c>
      <c r="D399" s="6"/>
      <c r="E399" s="113">
        <v>673780120</v>
      </c>
      <c r="F399" s="116">
        <f t="shared" si="74"/>
        <v>76098.951886153154</v>
      </c>
      <c r="G399" s="117">
        <v>499160812</v>
      </c>
      <c r="H399" s="117">
        <f t="shared" si="75"/>
        <v>56376.870566975376</v>
      </c>
      <c r="I399" s="7"/>
      <c r="J399" s="10">
        <v>4.875</v>
      </c>
      <c r="K399" s="117">
        <v>2433439</v>
      </c>
      <c r="L399" s="120">
        <f t="shared" si="78"/>
        <v>274.84063700022591</v>
      </c>
      <c r="M399" s="122">
        <f t="shared" si="79"/>
        <v>4991608.12</v>
      </c>
      <c r="N399" s="116">
        <f t="shared" si="80"/>
        <v>2558169.12</v>
      </c>
      <c r="O399" s="123">
        <f t="shared" si="81"/>
        <v>288.92806866952793</v>
      </c>
      <c r="P399" s="5"/>
      <c r="Q399" s="5">
        <f t="shared" si="83"/>
        <v>1</v>
      </c>
      <c r="R399" s="7">
        <f t="shared" si="84"/>
        <v>8854</v>
      </c>
      <c r="S399" s="5">
        <f t="shared" si="85"/>
        <v>1</v>
      </c>
      <c r="T399" s="7">
        <f t="shared" si="82"/>
        <v>8854</v>
      </c>
    </row>
    <row r="400" spans="1:20">
      <c r="A400" s="23" t="s">
        <v>429</v>
      </c>
      <c r="B400" s="35" t="s">
        <v>420</v>
      </c>
      <c r="C400" s="36">
        <v>39683</v>
      </c>
      <c r="D400" s="6"/>
      <c r="E400" s="113">
        <v>4402810314</v>
      </c>
      <c r="F400" s="116">
        <f t="shared" si="74"/>
        <v>110949.53289821839</v>
      </c>
      <c r="G400" s="117">
        <v>2949442825</v>
      </c>
      <c r="H400" s="117">
        <f t="shared" si="75"/>
        <v>74325.097018874585</v>
      </c>
      <c r="I400" s="7"/>
      <c r="J400" s="10">
        <v>3.6126</v>
      </c>
      <c r="K400" s="117">
        <v>10655364</v>
      </c>
      <c r="L400" s="120">
        <f t="shared" si="78"/>
        <v>268.51205806012649</v>
      </c>
      <c r="M400" s="122">
        <f t="shared" si="79"/>
        <v>29494428.25</v>
      </c>
      <c r="N400" s="116">
        <f t="shared" si="80"/>
        <v>18839064.25</v>
      </c>
      <c r="O400" s="123">
        <f t="shared" si="81"/>
        <v>474.73891212861929</v>
      </c>
      <c r="P400" s="5"/>
      <c r="Q400" s="5">
        <f t="shared" si="83"/>
        <v>1</v>
      </c>
      <c r="R400" s="7">
        <f t="shared" si="84"/>
        <v>39683</v>
      </c>
      <c r="S400" s="5">
        <f t="shared" si="85"/>
        <v>1</v>
      </c>
      <c r="T400" s="7">
        <f t="shared" si="82"/>
        <v>39683</v>
      </c>
    </row>
    <row r="401" spans="1:20">
      <c r="A401" s="23" t="s">
        <v>430</v>
      </c>
      <c r="B401" s="35" t="s">
        <v>420</v>
      </c>
      <c r="C401" s="36">
        <v>2633</v>
      </c>
      <c r="D401" s="6"/>
      <c r="E401" s="113">
        <v>85821749</v>
      </c>
      <c r="F401" s="116">
        <f t="shared" si="74"/>
        <v>32594.663501709078</v>
      </c>
      <c r="G401" s="117">
        <v>48898633</v>
      </c>
      <c r="H401" s="117">
        <f t="shared" si="75"/>
        <v>18571.45195594379</v>
      </c>
      <c r="I401" s="7"/>
      <c r="J401" s="10">
        <v>3.8090000000000002</v>
      </c>
      <c r="K401" s="117">
        <v>186257</v>
      </c>
      <c r="L401" s="120">
        <f t="shared" si="78"/>
        <v>70.739460691226739</v>
      </c>
      <c r="M401" s="122">
        <f t="shared" si="79"/>
        <v>488986.33</v>
      </c>
      <c r="N401" s="116">
        <f t="shared" si="80"/>
        <v>302729.33</v>
      </c>
      <c r="O401" s="123">
        <f t="shared" si="81"/>
        <v>114.97505886821118</v>
      </c>
      <c r="P401" s="5"/>
      <c r="Q401" s="5">
        <f t="shared" si="83"/>
        <v>1</v>
      </c>
      <c r="R401" s="7">
        <f t="shared" si="84"/>
        <v>2633</v>
      </c>
      <c r="S401" s="5">
        <f t="shared" si="85"/>
        <v>1</v>
      </c>
      <c r="T401" s="7">
        <f t="shared" si="82"/>
        <v>2633</v>
      </c>
    </row>
    <row r="402" spans="1:20">
      <c r="A402" s="23" t="s">
        <v>431</v>
      </c>
      <c r="B402" s="35" t="s">
        <v>420</v>
      </c>
      <c r="C402" s="36">
        <v>3247</v>
      </c>
      <c r="D402" s="6"/>
      <c r="E402" s="113">
        <v>1160258539</v>
      </c>
      <c r="F402" s="116">
        <f t="shared" si="74"/>
        <v>357332.47274407145</v>
      </c>
      <c r="G402" s="117">
        <v>940167576</v>
      </c>
      <c r="H402" s="117">
        <f t="shared" si="75"/>
        <v>289549.60763781954</v>
      </c>
      <c r="I402" s="7"/>
      <c r="J402" s="10">
        <v>4.3780000000000001</v>
      </c>
      <c r="K402" s="117">
        <v>4116054</v>
      </c>
      <c r="L402" s="120">
        <f t="shared" si="78"/>
        <v>1267.6482907299046</v>
      </c>
      <c r="M402" s="122">
        <f t="shared" si="79"/>
        <v>9401675.7599999998</v>
      </c>
      <c r="N402" s="116">
        <f t="shared" si="80"/>
        <v>5285621.7599999998</v>
      </c>
      <c r="O402" s="123">
        <f t="shared" si="81"/>
        <v>1627.8477856482907</v>
      </c>
      <c r="P402" s="5"/>
      <c r="Q402" s="5">
        <f t="shared" si="83"/>
        <v>1</v>
      </c>
      <c r="R402" s="7">
        <f t="shared" si="84"/>
        <v>3247</v>
      </c>
      <c r="S402" s="5">
        <f t="shared" si="85"/>
        <v>1</v>
      </c>
      <c r="T402" s="7">
        <f t="shared" si="82"/>
        <v>3247</v>
      </c>
    </row>
    <row r="403" spans="1:20">
      <c r="A403" s="23" t="s">
        <v>432</v>
      </c>
      <c r="B403" s="35" t="s">
        <v>420</v>
      </c>
      <c r="C403" s="36">
        <v>54630</v>
      </c>
      <c r="D403" s="6"/>
      <c r="E403" s="113">
        <v>3772435478</v>
      </c>
      <c r="F403" s="116">
        <f t="shared" si="74"/>
        <v>69054.282958081647</v>
      </c>
      <c r="G403" s="117">
        <v>2538579683</v>
      </c>
      <c r="H403" s="117">
        <f t="shared" si="75"/>
        <v>46468.601189822439</v>
      </c>
      <c r="I403" s="7"/>
      <c r="J403" s="10">
        <v>4.8</v>
      </c>
      <c r="K403" s="117">
        <v>12185182</v>
      </c>
      <c r="L403" s="120">
        <f t="shared" si="78"/>
        <v>223.04927695405456</v>
      </c>
      <c r="M403" s="122">
        <f t="shared" si="79"/>
        <v>25385796.830000002</v>
      </c>
      <c r="N403" s="116">
        <f t="shared" si="80"/>
        <v>13200614.830000002</v>
      </c>
      <c r="O403" s="123">
        <f t="shared" si="81"/>
        <v>241.63673494416992</v>
      </c>
      <c r="P403" s="5"/>
      <c r="Q403" s="5">
        <f t="shared" si="83"/>
        <v>1</v>
      </c>
      <c r="R403" s="7">
        <f t="shared" si="84"/>
        <v>54630</v>
      </c>
      <c r="S403" s="5">
        <f t="shared" si="85"/>
        <v>1</v>
      </c>
      <c r="T403" s="7">
        <f t="shared" si="82"/>
        <v>54630</v>
      </c>
    </row>
    <row r="404" spans="1:20">
      <c r="A404" s="23" t="s">
        <v>433</v>
      </c>
      <c r="B404" s="35" t="s">
        <v>420</v>
      </c>
      <c r="C404" s="36">
        <v>13955</v>
      </c>
      <c r="D404" s="6"/>
      <c r="E404" s="113">
        <v>831769410</v>
      </c>
      <c r="F404" s="116">
        <f t="shared" si="74"/>
        <v>59603.683984235038</v>
      </c>
      <c r="G404" s="117">
        <v>556516369</v>
      </c>
      <c r="H404" s="117">
        <f t="shared" si="75"/>
        <v>39879.35284844142</v>
      </c>
      <c r="I404" s="7"/>
      <c r="J404" s="10">
        <v>5.5465</v>
      </c>
      <c r="K404" s="117">
        <v>3086768</v>
      </c>
      <c r="L404" s="120">
        <f t="shared" si="78"/>
        <v>221.19441060551773</v>
      </c>
      <c r="M404" s="122">
        <f t="shared" si="79"/>
        <v>5565163.6900000004</v>
      </c>
      <c r="N404" s="116">
        <f t="shared" si="80"/>
        <v>2478395.6900000004</v>
      </c>
      <c r="O404" s="123">
        <f t="shared" si="81"/>
        <v>177.59911787889649</v>
      </c>
      <c r="P404" s="5"/>
      <c r="Q404" s="5">
        <f t="shared" si="83"/>
        <v>1</v>
      </c>
      <c r="R404" s="7">
        <f t="shared" si="84"/>
        <v>13955</v>
      </c>
      <c r="S404" s="5">
        <f t="shared" si="85"/>
        <v>1</v>
      </c>
      <c r="T404" s="7">
        <f t="shared" si="82"/>
        <v>13955</v>
      </c>
    </row>
    <row r="405" spans="1:20">
      <c r="A405" s="23" t="s">
        <v>435</v>
      </c>
      <c r="B405" s="35" t="s">
        <v>434</v>
      </c>
      <c r="C405" s="36">
        <v>413</v>
      </c>
      <c r="D405" s="6"/>
      <c r="E405" s="113">
        <v>123362300</v>
      </c>
      <c r="F405" s="116">
        <f t="shared" si="74"/>
        <v>298698.06295399513</v>
      </c>
      <c r="G405" s="117">
        <v>74662420</v>
      </c>
      <c r="H405" s="117">
        <f t="shared" si="75"/>
        <v>180780.67796610171</v>
      </c>
      <c r="I405" s="9" t="s">
        <v>528</v>
      </c>
      <c r="J405" s="10"/>
      <c r="K405" s="117"/>
      <c r="L405" s="120"/>
      <c r="M405" s="122">
        <f t="shared" si="79"/>
        <v>746624.20000000007</v>
      </c>
      <c r="N405" s="116">
        <f t="shared" si="80"/>
        <v>746624.20000000007</v>
      </c>
      <c r="O405" s="123">
        <f t="shared" si="81"/>
        <v>1807.8067796610171</v>
      </c>
      <c r="P405" s="5"/>
      <c r="Q405" s="5">
        <f t="shared" si="83"/>
        <v>1</v>
      </c>
      <c r="R405" s="7">
        <f t="shared" si="84"/>
        <v>413</v>
      </c>
      <c r="S405" s="5">
        <f t="shared" si="85"/>
        <v>0</v>
      </c>
      <c r="T405" s="7">
        <f t="shared" si="82"/>
        <v>0</v>
      </c>
    </row>
    <row r="406" spans="1:20">
      <c r="A406" s="23" t="s">
        <v>555</v>
      </c>
      <c r="B406" s="35" t="s">
        <v>434</v>
      </c>
      <c r="C406" s="36">
        <v>311</v>
      </c>
      <c r="D406" s="6"/>
      <c r="E406" s="113">
        <v>82258591</v>
      </c>
      <c r="F406" s="116">
        <f t="shared" si="74"/>
        <v>264497.07717041799</v>
      </c>
      <c r="G406" s="117">
        <v>34462863</v>
      </c>
      <c r="H406" s="117">
        <f t="shared" si="75"/>
        <v>110813.06430868167</v>
      </c>
      <c r="I406" s="9"/>
      <c r="J406" s="10">
        <v>3.75</v>
      </c>
      <c r="K406" s="117">
        <v>129236</v>
      </c>
      <c r="L406" s="120">
        <f>(K406/C406)</f>
        <v>415.54983922829581</v>
      </c>
      <c r="M406" s="122">
        <f t="shared" si="79"/>
        <v>344628.63</v>
      </c>
      <c r="N406" s="116">
        <f t="shared" si="80"/>
        <v>215392.63</v>
      </c>
      <c r="O406" s="123">
        <f t="shared" si="81"/>
        <v>692.58080385852088</v>
      </c>
      <c r="P406" s="5"/>
      <c r="Q406" s="5">
        <f t="shared" si="83"/>
        <v>1</v>
      </c>
      <c r="R406" s="7">
        <f t="shared" si="84"/>
        <v>311</v>
      </c>
      <c r="S406" s="5">
        <f t="shared" si="85"/>
        <v>1</v>
      </c>
      <c r="T406" s="7">
        <f t="shared" si="82"/>
        <v>311</v>
      </c>
    </row>
    <row r="407" spans="1:20">
      <c r="A407" s="23" t="s">
        <v>436</v>
      </c>
      <c r="B407" s="35" t="s">
        <v>437</v>
      </c>
      <c r="C407" s="36">
        <v>5392</v>
      </c>
      <c r="D407" s="6"/>
      <c r="E407" s="113">
        <v>245360558</v>
      </c>
      <c r="F407" s="116">
        <f t="shared" si="74"/>
        <v>45504.554525222549</v>
      </c>
      <c r="G407" s="117">
        <v>167356917</v>
      </c>
      <c r="H407" s="117">
        <f t="shared" si="75"/>
        <v>31038.003894658752</v>
      </c>
      <c r="I407" s="7"/>
      <c r="J407" s="11">
        <v>4.5</v>
      </c>
      <c r="K407" s="117">
        <v>753106</v>
      </c>
      <c r="L407" s="120">
        <f>(K407/C407)</f>
        <v>139.67099406528189</v>
      </c>
      <c r="M407" s="122">
        <f t="shared" si="79"/>
        <v>1673569.17</v>
      </c>
      <c r="N407" s="116">
        <f t="shared" si="80"/>
        <v>920463.16999999993</v>
      </c>
      <c r="O407" s="123">
        <f t="shared" si="81"/>
        <v>170.70904488130563</v>
      </c>
      <c r="P407" s="5"/>
      <c r="Q407" s="5">
        <f t="shared" si="83"/>
        <v>1</v>
      </c>
      <c r="R407" s="7">
        <f t="shared" si="84"/>
        <v>5392</v>
      </c>
      <c r="S407" s="5">
        <f t="shared" si="85"/>
        <v>1</v>
      </c>
      <c r="T407" s="7">
        <f t="shared" si="82"/>
        <v>5392</v>
      </c>
    </row>
    <row r="408" spans="1:20">
      <c r="A408" s="23" t="s">
        <v>438</v>
      </c>
      <c r="B408" s="35" t="s">
        <v>437</v>
      </c>
      <c r="C408" s="36">
        <v>1214</v>
      </c>
      <c r="D408" s="6"/>
      <c r="E408" s="113">
        <v>90938905</v>
      </c>
      <c r="F408" s="116">
        <f t="shared" si="74"/>
        <v>74908.488467874791</v>
      </c>
      <c r="G408" s="117">
        <v>63129418</v>
      </c>
      <c r="H408" s="117">
        <f t="shared" si="75"/>
        <v>52001.168039538716</v>
      </c>
      <c r="I408" s="9"/>
      <c r="J408" s="11">
        <v>3.93</v>
      </c>
      <c r="K408" s="117">
        <v>248094</v>
      </c>
      <c r="L408" s="120">
        <f>(K408/C408)</f>
        <v>204.36079077429983</v>
      </c>
      <c r="M408" s="122">
        <f t="shared" si="79"/>
        <v>631294.18000000005</v>
      </c>
      <c r="N408" s="116">
        <f t="shared" si="80"/>
        <v>383200.18000000005</v>
      </c>
      <c r="O408" s="123">
        <f t="shared" si="81"/>
        <v>315.65088962108734</v>
      </c>
      <c r="P408" s="5"/>
      <c r="Q408" s="5">
        <f t="shared" si="83"/>
        <v>1</v>
      </c>
      <c r="R408" s="7">
        <f t="shared" si="84"/>
        <v>1214</v>
      </c>
      <c r="S408" s="5">
        <f t="shared" si="85"/>
        <v>1</v>
      </c>
      <c r="T408" s="7">
        <f t="shared" si="82"/>
        <v>1214</v>
      </c>
    </row>
    <row r="409" spans="1:20">
      <c r="A409" s="23" t="s">
        <v>439</v>
      </c>
      <c r="B409" s="35" t="s">
        <v>437</v>
      </c>
      <c r="C409" s="36">
        <v>689</v>
      </c>
      <c r="D409" s="6"/>
      <c r="E409" s="113">
        <v>17173807</v>
      </c>
      <c r="F409" s="116">
        <f t="shared" si="74"/>
        <v>24925.699564586357</v>
      </c>
      <c r="G409" s="117">
        <v>9175972</v>
      </c>
      <c r="H409" s="117">
        <f t="shared" si="75"/>
        <v>13317.811320754718</v>
      </c>
      <c r="I409" s="9" t="s">
        <v>528</v>
      </c>
      <c r="J409" s="11"/>
      <c r="K409" s="117"/>
      <c r="L409" s="120"/>
      <c r="M409" s="122">
        <f t="shared" si="79"/>
        <v>91759.72</v>
      </c>
      <c r="N409" s="116">
        <f t="shared" si="80"/>
        <v>91759.72</v>
      </c>
      <c r="O409" s="123">
        <f t="shared" si="81"/>
        <v>133.17811320754717</v>
      </c>
      <c r="P409" s="5"/>
      <c r="Q409" s="5">
        <f t="shared" si="83"/>
        <v>1</v>
      </c>
      <c r="R409" s="7">
        <f t="shared" si="84"/>
        <v>689</v>
      </c>
      <c r="S409" s="5">
        <f t="shared" si="85"/>
        <v>0</v>
      </c>
      <c r="T409" s="7">
        <f t="shared" si="82"/>
        <v>0</v>
      </c>
    </row>
    <row r="410" spans="1:20">
      <c r="A410" s="23" t="s">
        <v>440</v>
      </c>
      <c r="B410" s="35" t="s">
        <v>441</v>
      </c>
      <c r="C410" s="36">
        <v>356</v>
      </c>
      <c r="D410" s="6"/>
      <c r="E410" s="113">
        <v>6720278</v>
      </c>
      <c r="F410" s="116">
        <f t="shared" si="74"/>
        <v>18877.185393258427</v>
      </c>
      <c r="G410" s="117">
        <v>2570760</v>
      </c>
      <c r="H410" s="117">
        <f t="shared" si="75"/>
        <v>7221.2359550561796</v>
      </c>
      <c r="I410" s="9" t="s">
        <v>528</v>
      </c>
      <c r="J410" s="11"/>
      <c r="K410" s="117"/>
      <c r="L410" s="120"/>
      <c r="M410" s="122">
        <f t="shared" si="79"/>
        <v>25707.600000000002</v>
      </c>
      <c r="N410" s="116">
        <f t="shared" si="80"/>
        <v>25707.600000000002</v>
      </c>
      <c r="O410" s="123">
        <f t="shared" si="81"/>
        <v>72.2123595505618</v>
      </c>
      <c r="P410" s="5"/>
      <c r="Q410" s="5">
        <f t="shared" si="83"/>
        <v>1</v>
      </c>
      <c r="R410" s="7">
        <f t="shared" si="84"/>
        <v>356</v>
      </c>
      <c r="S410" s="5">
        <f t="shared" si="85"/>
        <v>0</v>
      </c>
      <c r="T410" s="7">
        <f t="shared" si="82"/>
        <v>0</v>
      </c>
    </row>
    <row r="411" spans="1:20">
      <c r="A411" s="23" t="s">
        <v>442</v>
      </c>
      <c r="B411" s="35" t="s">
        <v>441</v>
      </c>
      <c r="C411" s="36">
        <v>3601</v>
      </c>
      <c r="D411" s="6"/>
      <c r="E411" s="113">
        <v>181340999</v>
      </c>
      <c r="F411" s="116">
        <f t="shared" si="74"/>
        <v>50358.511246875867</v>
      </c>
      <c r="G411" s="117">
        <v>130068476</v>
      </c>
      <c r="H411" s="117">
        <f t="shared" si="75"/>
        <v>36120.098861427381</v>
      </c>
      <c r="I411" s="9"/>
      <c r="J411" s="11">
        <v>6</v>
      </c>
      <c r="K411" s="117">
        <v>780411</v>
      </c>
      <c r="L411" s="120">
        <f>(K411/C411)</f>
        <v>216.72063315745626</v>
      </c>
      <c r="M411" s="122">
        <f t="shared" si="79"/>
        <v>1300684.76</v>
      </c>
      <c r="N411" s="116">
        <f t="shared" si="80"/>
        <v>520273.76</v>
      </c>
      <c r="O411" s="123">
        <f t="shared" si="81"/>
        <v>144.48035545681756</v>
      </c>
      <c r="P411" s="5"/>
      <c r="Q411" s="5">
        <f t="shared" si="83"/>
        <v>1</v>
      </c>
      <c r="R411" s="7">
        <f t="shared" si="84"/>
        <v>3601</v>
      </c>
      <c r="S411" s="5">
        <f t="shared" si="85"/>
        <v>1</v>
      </c>
      <c r="T411" s="7">
        <f t="shared" si="82"/>
        <v>3601</v>
      </c>
    </row>
    <row r="412" spans="1:20">
      <c r="A412" s="23" t="s">
        <v>443</v>
      </c>
      <c r="B412" s="35" t="s">
        <v>441</v>
      </c>
      <c r="C412" s="36">
        <v>259</v>
      </c>
      <c r="D412" s="6"/>
      <c r="E412" s="113">
        <v>7444795</v>
      </c>
      <c r="F412" s="116">
        <f t="shared" si="74"/>
        <v>28744.382239382241</v>
      </c>
      <c r="G412" s="117">
        <v>4815330</v>
      </c>
      <c r="H412" s="117">
        <f t="shared" si="75"/>
        <v>18592.007722007722</v>
      </c>
      <c r="I412" s="9" t="s">
        <v>528</v>
      </c>
      <c r="J412" s="11"/>
      <c r="K412" s="117"/>
      <c r="L412" s="120"/>
      <c r="M412" s="122">
        <f t="shared" si="79"/>
        <v>48153.3</v>
      </c>
      <c r="N412" s="116">
        <f t="shared" si="80"/>
        <v>48153.3</v>
      </c>
      <c r="O412" s="123">
        <f t="shared" si="81"/>
        <v>185.92007722007722</v>
      </c>
      <c r="P412" s="5"/>
      <c r="Q412" s="5">
        <f t="shared" si="83"/>
        <v>1</v>
      </c>
      <c r="R412" s="7">
        <f t="shared" si="84"/>
        <v>259</v>
      </c>
      <c r="S412" s="5">
        <f>IF(J412&gt;0,1,0)</f>
        <v>0</v>
      </c>
      <c r="T412" s="7">
        <f t="shared" si="82"/>
        <v>0</v>
      </c>
    </row>
    <row r="413" spans="1:20">
      <c r="A413" s="23" t="s">
        <v>444</v>
      </c>
      <c r="B413" s="35" t="s">
        <v>441</v>
      </c>
      <c r="C413" s="36">
        <v>784</v>
      </c>
      <c r="D413" s="6"/>
      <c r="E413" s="113">
        <v>23861672</v>
      </c>
      <c r="F413" s="116">
        <f t="shared" si="74"/>
        <v>30435.806122448979</v>
      </c>
      <c r="G413" s="117">
        <v>11400048</v>
      </c>
      <c r="H413" s="117">
        <f t="shared" si="75"/>
        <v>14540.877551020409</v>
      </c>
      <c r="I413" s="7"/>
      <c r="J413" s="11">
        <v>2.5143</v>
      </c>
      <c r="K413" s="117">
        <v>28663</v>
      </c>
      <c r="L413" s="120">
        <f>(K413/C413)</f>
        <v>36.559948979591837</v>
      </c>
      <c r="M413" s="122">
        <f t="shared" si="79"/>
        <v>114000.48</v>
      </c>
      <c r="N413" s="116">
        <f t="shared" si="80"/>
        <v>85337.48</v>
      </c>
      <c r="O413" s="123">
        <f t="shared" si="81"/>
        <v>108.84882653061224</v>
      </c>
      <c r="P413" s="5"/>
      <c r="Q413" s="5">
        <f t="shared" si="83"/>
        <v>1</v>
      </c>
      <c r="R413" s="7">
        <f t="shared" si="84"/>
        <v>784</v>
      </c>
      <c r="S413" s="5">
        <f t="shared" si="85"/>
        <v>1</v>
      </c>
      <c r="T413" s="7">
        <f t="shared" si="82"/>
        <v>784</v>
      </c>
    </row>
    <row r="414" spans="1:20">
      <c r="A414" s="23" t="s">
        <v>445</v>
      </c>
      <c r="B414" s="35" t="s">
        <v>441</v>
      </c>
      <c r="C414" s="36">
        <v>436</v>
      </c>
      <c r="D414" s="6"/>
      <c r="E414" s="113">
        <v>7667114</v>
      </c>
      <c r="F414" s="116">
        <f t="shared" si="74"/>
        <v>17585.123853211007</v>
      </c>
      <c r="G414" s="117">
        <v>3435223</v>
      </c>
      <c r="H414" s="117">
        <f t="shared" si="75"/>
        <v>7878.9518348623851</v>
      </c>
      <c r="I414" s="9" t="s">
        <v>528</v>
      </c>
      <c r="J414" s="11"/>
      <c r="K414" s="117"/>
      <c r="L414" s="120"/>
      <c r="M414" s="122">
        <f t="shared" si="79"/>
        <v>34352.230000000003</v>
      </c>
      <c r="N414" s="116">
        <f t="shared" si="80"/>
        <v>34352.230000000003</v>
      </c>
      <c r="O414" s="123">
        <f t="shared" si="81"/>
        <v>78.789518348623858</v>
      </c>
      <c r="P414" s="5"/>
      <c r="Q414" s="5">
        <f t="shared" si="83"/>
        <v>1</v>
      </c>
      <c r="R414" s="7">
        <f t="shared" si="84"/>
        <v>436</v>
      </c>
      <c r="S414" s="5">
        <f t="shared" si="85"/>
        <v>0</v>
      </c>
      <c r="T414" s="7">
        <f t="shared" si="82"/>
        <v>0</v>
      </c>
    </row>
    <row r="415" spans="1:20">
      <c r="A415" s="70" t="s">
        <v>451</v>
      </c>
      <c r="B415" s="71"/>
      <c r="C415" s="72">
        <f>SUM(C6:C414)</f>
        <v>9071553</v>
      </c>
      <c r="D415" s="73"/>
      <c r="E415" s="73">
        <f>SUM(E6:E414)</f>
        <v>968865105314</v>
      </c>
      <c r="F415" s="74">
        <f>(E415/R415)</f>
        <v>117375.13923598862</v>
      </c>
      <c r="G415" s="75">
        <f>SUM(G6:G414)</f>
        <v>688250585860</v>
      </c>
      <c r="H415" s="76">
        <f>(G415/R415)</f>
        <v>83379.520948261488</v>
      </c>
      <c r="I415" s="71"/>
      <c r="J415" s="77"/>
      <c r="K415" s="78">
        <f>SUM(K6:K414)</f>
        <v>3272554557</v>
      </c>
      <c r="L415" s="79">
        <f>(K415/T415)</f>
        <v>399.73066200034958</v>
      </c>
      <c r="M415" s="79">
        <f>SUM(M6:M414)</f>
        <v>6882505858.6000004</v>
      </c>
      <c r="N415" s="78">
        <f>SUM(N6:N414)</f>
        <v>3609951301.5999999</v>
      </c>
      <c r="O415" s="80">
        <f>(N415/R415)</f>
        <v>437.33491312303499</v>
      </c>
      <c r="P415" s="20"/>
      <c r="Q415" s="20">
        <f>SUM(Q6:Q414)</f>
        <v>407</v>
      </c>
      <c r="R415" s="21">
        <f>SUM(R6:R414)</f>
        <v>8254432</v>
      </c>
      <c r="S415" s="20">
        <f>SUM(S6:S414)</f>
        <v>379</v>
      </c>
      <c r="T415" s="21">
        <f>SUM(T6:T414)</f>
        <v>8186899</v>
      </c>
    </row>
    <row r="416" spans="1:20">
      <c r="A416" s="27" t="s">
        <v>453</v>
      </c>
      <c r="B416" s="13"/>
      <c r="C416" s="60">
        <f>(S415)</f>
        <v>379</v>
      </c>
      <c r="D416" s="14"/>
      <c r="E416" s="14"/>
      <c r="F416" s="16"/>
      <c r="G416" s="16"/>
      <c r="H416" s="16"/>
      <c r="I416" s="16"/>
      <c r="J416" s="14"/>
      <c r="K416" s="17"/>
      <c r="L416" s="17"/>
      <c r="M416" s="2"/>
      <c r="N416" s="2"/>
      <c r="O416" s="63"/>
      <c r="P416" s="2"/>
      <c r="Q416" s="2"/>
      <c r="R416" s="2"/>
      <c r="S416" s="2"/>
      <c r="T416" s="2"/>
    </row>
    <row r="417" spans="1:20">
      <c r="A417" s="22"/>
      <c r="B417" s="16"/>
      <c r="C417" s="16"/>
      <c r="D417" s="16"/>
      <c r="E417" s="16"/>
      <c r="F417" s="16"/>
      <c r="G417" s="16"/>
      <c r="H417" s="16"/>
      <c r="I417" s="16"/>
      <c r="J417" s="17"/>
      <c r="K417" s="17"/>
      <c r="L417" s="17"/>
      <c r="M417" s="2"/>
      <c r="N417" s="2"/>
      <c r="O417" s="63"/>
      <c r="P417" s="2"/>
      <c r="Q417" s="2"/>
      <c r="R417" s="2"/>
      <c r="S417" s="2"/>
      <c r="T417" s="2"/>
    </row>
    <row r="418" spans="1:20">
      <c r="A418" s="28" t="s">
        <v>498</v>
      </c>
      <c r="B418" s="25"/>
      <c r="C418" s="25"/>
      <c r="D418" s="25"/>
      <c r="E418" s="25"/>
      <c r="F418" s="25"/>
      <c r="G418" s="25"/>
      <c r="H418" s="25"/>
      <c r="I418" s="25"/>
      <c r="J418" s="26"/>
      <c r="K418" s="26"/>
      <c r="L418" s="26"/>
      <c r="M418" s="1"/>
      <c r="N418" s="1"/>
      <c r="O418" s="64"/>
      <c r="P418" s="1"/>
      <c r="Q418" s="1"/>
      <c r="R418" s="1"/>
      <c r="S418" s="1"/>
      <c r="T418" s="1"/>
    </row>
    <row r="419" spans="1:20">
      <c r="A419" s="96" t="s">
        <v>566</v>
      </c>
      <c r="B419" s="25"/>
      <c r="C419" s="25"/>
      <c r="D419" s="25"/>
      <c r="E419" s="25"/>
      <c r="F419" s="25"/>
      <c r="G419" s="25"/>
      <c r="H419" s="25"/>
      <c r="I419" s="25"/>
      <c r="J419" s="26"/>
      <c r="K419" s="26"/>
      <c r="L419" s="26"/>
      <c r="M419" s="1"/>
      <c r="N419" s="1"/>
      <c r="O419" s="64"/>
      <c r="P419" s="1"/>
      <c r="Q419" s="1"/>
      <c r="R419" s="1"/>
      <c r="S419" s="1"/>
      <c r="T419" s="1"/>
    </row>
    <row r="420" spans="1:20">
      <c r="A420" s="96" t="s">
        <v>570</v>
      </c>
      <c r="B420" s="25"/>
      <c r="C420" s="25"/>
      <c r="D420" s="25"/>
      <c r="E420" s="25"/>
      <c r="F420" s="25"/>
      <c r="G420" s="25"/>
      <c r="H420" s="25"/>
      <c r="I420" s="25"/>
      <c r="J420" s="26"/>
      <c r="K420" s="26"/>
      <c r="L420" s="26"/>
      <c r="M420" s="1"/>
      <c r="N420" s="1"/>
      <c r="O420" s="64"/>
      <c r="P420" s="1"/>
      <c r="Q420" s="1"/>
      <c r="R420" s="1"/>
      <c r="S420" s="1"/>
      <c r="T420" s="1"/>
    </row>
    <row r="421" spans="1:20">
      <c r="A421" s="96" t="s">
        <v>571</v>
      </c>
      <c r="B421" s="25"/>
      <c r="C421" s="25"/>
      <c r="D421" s="25"/>
      <c r="E421" s="25"/>
      <c r="F421" s="25"/>
      <c r="G421" s="25"/>
      <c r="H421" s="25"/>
      <c r="I421" s="25"/>
      <c r="J421" s="26"/>
      <c r="K421" s="26"/>
      <c r="L421" s="26"/>
      <c r="M421" s="1"/>
      <c r="N421" s="1"/>
      <c r="O421" s="64"/>
      <c r="P421" s="1"/>
      <c r="Q421" s="1"/>
      <c r="R421" s="1"/>
      <c r="S421" s="1"/>
      <c r="T421" s="1"/>
    </row>
    <row r="422" spans="1:20">
      <c r="A422" s="96" t="s">
        <v>572</v>
      </c>
      <c r="B422" s="25"/>
      <c r="C422" s="25"/>
      <c r="D422" s="25"/>
      <c r="E422" s="25"/>
      <c r="F422" s="25"/>
      <c r="G422" s="25"/>
      <c r="H422" s="25"/>
      <c r="I422" s="25"/>
      <c r="J422" s="26"/>
      <c r="K422" s="26"/>
      <c r="L422" s="26"/>
      <c r="M422" s="1"/>
      <c r="N422" s="1"/>
      <c r="O422" s="64"/>
      <c r="P422" s="1"/>
      <c r="Q422" s="1"/>
      <c r="R422" s="1"/>
      <c r="S422" s="1"/>
      <c r="T422" s="1"/>
    </row>
    <row r="423" spans="1:20">
      <c r="A423" s="29" t="s">
        <v>505</v>
      </c>
      <c r="B423" s="25"/>
      <c r="C423" s="25"/>
      <c r="D423" s="25"/>
      <c r="E423" s="25"/>
      <c r="F423" s="25"/>
      <c r="G423" s="25"/>
      <c r="H423" s="25"/>
      <c r="I423" s="25"/>
      <c r="J423" s="26"/>
      <c r="K423" s="26"/>
      <c r="L423" s="26"/>
      <c r="M423" s="1"/>
      <c r="N423" s="1"/>
      <c r="O423" s="64"/>
      <c r="P423" s="1"/>
      <c r="Q423" s="1"/>
      <c r="R423" s="1"/>
      <c r="S423" s="1"/>
      <c r="T423" s="1"/>
    </row>
    <row r="424" spans="1:20">
      <c r="A424" s="29"/>
      <c r="B424" s="25"/>
      <c r="C424" s="25"/>
      <c r="D424" s="25"/>
      <c r="E424" s="25"/>
      <c r="F424" s="25"/>
      <c r="G424" s="25"/>
      <c r="H424" s="25"/>
      <c r="I424" s="25"/>
      <c r="J424" s="26"/>
      <c r="K424" s="26"/>
      <c r="L424" s="26"/>
      <c r="M424" s="1"/>
      <c r="N424" s="1"/>
      <c r="O424" s="64"/>
      <c r="P424" s="1"/>
      <c r="Q424" s="1"/>
      <c r="R424" s="1"/>
      <c r="S424" s="1"/>
      <c r="T424" s="1"/>
    </row>
    <row r="425" spans="1:20">
      <c r="A425" s="96" t="s">
        <v>579</v>
      </c>
      <c r="B425" s="25"/>
      <c r="C425" s="25"/>
      <c r="D425" s="25"/>
      <c r="E425" s="25"/>
      <c r="F425" s="25"/>
      <c r="G425" s="25"/>
      <c r="H425" s="25"/>
      <c r="I425" s="25"/>
      <c r="J425" s="26"/>
      <c r="K425" s="26"/>
      <c r="L425" s="26"/>
      <c r="M425" s="1"/>
      <c r="N425" s="1"/>
      <c r="O425" s="64"/>
      <c r="P425" s="1"/>
      <c r="Q425" s="1"/>
      <c r="R425" s="1"/>
      <c r="S425" s="1"/>
      <c r="T425" s="1"/>
    </row>
    <row r="426" spans="1:20">
      <c r="A426" s="28" t="s">
        <v>509</v>
      </c>
      <c r="B426" s="25"/>
      <c r="C426" s="25"/>
      <c r="D426" s="25"/>
      <c r="E426" s="25"/>
      <c r="F426" s="25"/>
      <c r="G426" s="25"/>
      <c r="H426" s="25"/>
      <c r="I426" s="25"/>
      <c r="J426" s="26"/>
      <c r="K426" s="26"/>
      <c r="L426" s="26"/>
      <c r="M426" s="1"/>
      <c r="N426" s="1"/>
      <c r="O426" s="64"/>
      <c r="P426" s="1"/>
      <c r="Q426" s="1"/>
      <c r="R426" s="1"/>
      <c r="S426" s="1"/>
      <c r="T426" s="1"/>
    </row>
    <row r="427" spans="1:20" ht="13.5" thickBot="1">
      <c r="A427" s="30" t="s">
        <v>522</v>
      </c>
      <c r="B427" s="31"/>
      <c r="C427" s="31"/>
      <c r="D427" s="31"/>
      <c r="E427" s="31"/>
      <c r="F427" s="31"/>
      <c r="G427" s="31"/>
      <c r="H427" s="31"/>
      <c r="I427" s="31"/>
      <c r="J427" s="32"/>
      <c r="K427" s="32"/>
      <c r="L427" s="32"/>
      <c r="M427" s="31"/>
      <c r="N427" s="31"/>
      <c r="O427" s="81"/>
      <c r="P427" s="1"/>
      <c r="Q427" s="1"/>
      <c r="R427" s="1"/>
      <c r="S427" s="1"/>
      <c r="T427" s="1"/>
    </row>
    <row r="428" spans="1:20">
      <c r="A428" s="4"/>
      <c r="B428" s="1"/>
      <c r="C428" s="1"/>
      <c r="D428" s="1"/>
      <c r="E428" s="1"/>
      <c r="F428" s="1"/>
      <c r="G428" s="1"/>
      <c r="H428" s="1"/>
      <c r="I428" s="1"/>
      <c r="J428" s="3"/>
      <c r="K428" s="3"/>
      <c r="L428" s="3"/>
      <c r="M428" s="1"/>
      <c r="N428" s="1"/>
      <c r="O428" s="1"/>
      <c r="P428" s="1"/>
      <c r="Q428" s="1"/>
      <c r="R428" s="1"/>
      <c r="S428" s="1"/>
      <c r="T428" s="1"/>
    </row>
    <row r="429" spans="1:20">
      <c r="A429" s="4"/>
      <c r="B429" s="1"/>
      <c r="C429" s="1"/>
      <c r="D429" s="1"/>
      <c r="E429" s="1"/>
      <c r="F429" s="1"/>
      <c r="G429" s="1"/>
      <c r="H429" s="1"/>
      <c r="I429" s="1"/>
      <c r="J429" s="3"/>
      <c r="K429" s="3"/>
      <c r="L429" s="3"/>
      <c r="M429" s="1"/>
      <c r="N429" s="1"/>
      <c r="O429" s="1"/>
      <c r="P429" s="1"/>
      <c r="Q429" s="1"/>
      <c r="R429" s="1"/>
      <c r="S429" s="1"/>
      <c r="T429" s="1"/>
    </row>
    <row r="430" spans="1:20">
      <c r="A430" s="2"/>
      <c r="B430" s="2"/>
      <c r="C430" s="2"/>
      <c r="D430" s="2"/>
      <c r="E430" s="2"/>
      <c r="F430" s="2"/>
      <c r="G430" s="2"/>
      <c r="H430" s="2"/>
      <c r="I430" s="2"/>
      <c r="J430" s="2"/>
      <c r="K430" s="2"/>
      <c r="L430" s="2"/>
      <c r="M430" s="2"/>
      <c r="N430" s="2"/>
      <c r="O430" s="2"/>
      <c r="P430" s="2"/>
      <c r="Q430" s="2"/>
      <c r="R430" s="2"/>
      <c r="S430" s="2"/>
      <c r="T430"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rowBreaks count="1" manualBreakCount="1">
    <brk id="416" max="14" man="1"/>
  </rowBreaks>
  <ignoredErrors>
    <ignoredError sqref="L415 F41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T429"/>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7" t="s">
        <v>497</v>
      </c>
      <c r="B1" s="198"/>
      <c r="C1" s="198"/>
      <c r="D1" s="198"/>
      <c r="E1" s="198"/>
      <c r="F1" s="198"/>
      <c r="G1" s="198"/>
      <c r="H1" s="198"/>
      <c r="I1" s="198"/>
      <c r="J1" s="198"/>
      <c r="K1" s="198"/>
      <c r="L1" s="198"/>
      <c r="M1" s="198"/>
      <c r="N1" s="198"/>
      <c r="O1" s="199"/>
    </row>
    <row r="2" spans="1:20" ht="18">
      <c r="A2" s="41"/>
      <c r="B2" s="42"/>
      <c r="C2" s="43"/>
      <c r="D2" s="200" t="s">
        <v>483</v>
      </c>
      <c r="E2" s="201"/>
      <c r="F2" s="201"/>
      <c r="G2" s="201"/>
      <c r="H2" s="202"/>
      <c r="I2" s="44"/>
      <c r="J2" s="61" t="s">
        <v>456</v>
      </c>
      <c r="K2" s="45"/>
      <c r="L2" s="68"/>
      <c r="M2" s="201" t="s">
        <v>503</v>
      </c>
      <c r="N2" s="201"/>
      <c r="O2" s="203"/>
    </row>
    <row r="3" spans="1:20" ht="12.75" customHeight="1">
      <c r="A3" s="46"/>
      <c r="B3" s="47"/>
      <c r="C3" s="48">
        <v>2004</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7121</v>
      </c>
      <c r="D6" s="18"/>
      <c r="E6" s="18">
        <v>640889384</v>
      </c>
      <c r="F6" s="38">
        <f t="shared" ref="F6:F14" si="0">(E6/C6)</f>
        <v>89999.913495295608</v>
      </c>
      <c r="G6" s="18">
        <v>436140714</v>
      </c>
      <c r="H6" s="39">
        <f t="shared" ref="H6:H14" si="1">(G6/C6)</f>
        <v>61247.116135374243</v>
      </c>
      <c r="I6" s="15"/>
      <c r="J6" s="17">
        <v>5.7</v>
      </c>
      <c r="K6" s="40">
        <v>2486002</v>
      </c>
      <c r="L6" s="84">
        <f t="shared" ref="L6:L14" si="2">(K6/C6)</f>
        <v>349.1085521696391</v>
      </c>
      <c r="M6" s="65">
        <f>(G6*0.01)</f>
        <v>4361407.1399999997</v>
      </c>
      <c r="N6" s="83">
        <f>(M6-K6)</f>
        <v>1875405.1399999997</v>
      </c>
      <c r="O6" s="62">
        <f>(N6/C6)</f>
        <v>263.36260918410329</v>
      </c>
      <c r="P6" s="5"/>
      <c r="Q6" s="5">
        <f>IF(E6&gt;0,1,0)</f>
        <v>1</v>
      </c>
      <c r="R6" s="7">
        <f>IF(E6&gt;0,C6,0)</f>
        <v>7121</v>
      </c>
      <c r="S6" s="5">
        <f>IF(J6&gt;0,1,0)</f>
        <v>1</v>
      </c>
      <c r="T6" s="7">
        <f>IF(J6&gt;0,C6,0)</f>
        <v>7121</v>
      </c>
    </row>
    <row r="7" spans="1:20">
      <c r="A7" s="23" t="s">
        <v>9</v>
      </c>
      <c r="B7" s="35" t="s">
        <v>8</v>
      </c>
      <c r="C7" s="36">
        <v>1248</v>
      </c>
      <c r="D7" s="6"/>
      <c r="E7" s="113">
        <v>42623953</v>
      </c>
      <c r="F7" s="116">
        <f t="shared" si="0"/>
        <v>34153.808493589742</v>
      </c>
      <c r="G7" s="113">
        <v>23913543</v>
      </c>
      <c r="H7" s="117">
        <f t="shared" si="1"/>
        <v>19161.492788461539</v>
      </c>
      <c r="I7" s="7"/>
      <c r="J7" s="10">
        <v>4.5</v>
      </c>
      <c r="K7" s="117">
        <v>107610</v>
      </c>
      <c r="L7" s="120">
        <f t="shared" si="2"/>
        <v>86.225961538461533</v>
      </c>
      <c r="M7" s="122">
        <f>(G7*0.01)</f>
        <v>239135.43</v>
      </c>
      <c r="N7" s="116">
        <f>(M7-K7)</f>
        <v>131525.43</v>
      </c>
      <c r="O7" s="123">
        <f>(N7/C7)</f>
        <v>105.38896634615384</v>
      </c>
      <c r="P7" s="5"/>
      <c r="Q7" s="5">
        <f t="shared" ref="Q7:Q70" si="3">IF(E7&gt;0,1,0)</f>
        <v>1</v>
      </c>
      <c r="R7" s="7">
        <f t="shared" ref="R7:R70" si="4">IF(E7&gt;0,C7,0)</f>
        <v>1248</v>
      </c>
      <c r="S7" s="5">
        <f t="shared" ref="S7:S70" si="5">IF(J7&gt;0,1,0)</f>
        <v>1</v>
      </c>
      <c r="T7" s="7">
        <f t="shared" ref="T7:T70" si="6">IF(J7&gt;0,C7,0)</f>
        <v>1248</v>
      </c>
    </row>
    <row r="8" spans="1:20">
      <c r="A8" s="23" t="s">
        <v>10</v>
      </c>
      <c r="B8" s="35" t="s">
        <v>8</v>
      </c>
      <c r="C8" s="36">
        <v>117754</v>
      </c>
      <c r="D8" s="6"/>
      <c r="E8" s="113">
        <v>8739206865</v>
      </c>
      <c r="F8" s="116">
        <f t="shared" si="0"/>
        <v>74215.796193759874</v>
      </c>
      <c r="G8" s="113">
        <v>3805211168</v>
      </c>
      <c r="H8" s="117">
        <f t="shared" si="1"/>
        <v>32314.920665115409</v>
      </c>
      <c r="I8" s="7"/>
      <c r="J8" s="10">
        <v>4.9416000000000002</v>
      </c>
      <c r="K8" s="117">
        <v>18803831</v>
      </c>
      <c r="L8" s="120">
        <f t="shared" si="2"/>
        <v>159.68740764644937</v>
      </c>
      <c r="M8" s="122">
        <f t="shared" ref="M8:M71" si="7">(G8*0.01)</f>
        <v>38052111.68</v>
      </c>
      <c r="N8" s="116">
        <f t="shared" ref="N8:N71" si="8">(M8-K8)</f>
        <v>19248280.68</v>
      </c>
      <c r="O8" s="123">
        <f t="shared" ref="O8:O71" si="9">(N8/C8)</f>
        <v>163.46179900470472</v>
      </c>
      <c r="P8" s="5"/>
      <c r="Q8" s="5">
        <f t="shared" si="3"/>
        <v>1</v>
      </c>
      <c r="R8" s="7">
        <f t="shared" si="4"/>
        <v>117754</v>
      </c>
      <c r="S8" s="5">
        <f t="shared" si="5"/>
        <v>1</v>
      </c>
      <c r="T8" s="7">
        <f t="shared" si="6"/>
        <v>117754</v>
      </c>
    </row>
    <row r="9" spans="1:20">
      <c r="A9" s="23" t="s">
        <v>11</v>
      </c>
      <c r="B9" s="35" t="s">
        <v>8</v>
      </c>
      <c r="C9" s="36">
        <v>1367</v>
      </c>
      <c r="D9" s="6"/>
      <c r="E9" s="113">
        <v>67143551</v>
      </c>
      <c r="F9" s="116">
        <f t="shared" si="0"/>
        <v>49117.447695683979</v>
      </c>
      <c r="G9" s="117">
        <v>34827511</v>
      </c>
      <c r="H9" s="117">
        <f t="shared" si="1"/>
        <v>25477.330651060718</v>
      </c>
      <c r="I9" s="7"/>
      <c r="J9" s="10">
        <v>5.4184999999999999</v>
      </c>
      <c r="K9" s="117">
        <v>188712</v>
      </c>
      <c r="L9" s="120">
        <f t="shared" si="2"/>
        <v>138.04828090709583</v>
      </c>
      <c r="M9" s="122">
        <f t="shared" si="7"/>
        <v>348275.11</v>
      </c>
      <c r="N9" s="116">
        <f t="shared" si="8"/>
        <v>159563.10999999999</v>
      </c>
      <c r="O9" s="123">
        <f t="shared" si="9"/>
        <v>116.72502560351133</v>
      </c>
      <c r="P9" s="5"/>
      <c r="Q9" s="5">
        <f t="shared" si="3"/>
        <v>1</v>
      </c>
      <c r="R9" s="7">
        <f t="shared" si="4"/>
        <v>1367</v>
      </c>
      <c r="S9" s="5">
        <f t="shared" si="5"/>
        <v>1</v>
      </c>
      <c r="T9" s="7">
        <f t="shared" si="6"/>
        <v>1367</v>
      </c>
    </row>
    <row r="10" spans="1:20">
      <c r="A10" s="23" t="s">
        <v>12</v>
      </c>
      <c r="B10" s="35" t="s">
        <v>8</v>
      </c>
      <c r="C10" s="36">
        <v>4330</v>
      </c>
      <c r="D10" s="6"/>
      <c r="E10" s="113">
        <v>235197079</v>
      </c>
      <c r="F10" s="116">
        <f t="shared" si="0"/>
        <v>54318.032101616627</v>
      </c>
      <c r="G10" s="117">
        <v>146940707</v>
      </c>
      <c r="H10" s="117">
        <f t="shared" si="1"/>
        <v>33935.498152424945</v>
      </c>
      <c r="I10" s="7"/>
      <c r="J10" s="10">
        <v>6.25</v>
      </c>
      <c r="K10" s="117">
        <v>918379</v>
      </c>
      <c r="L10" s="120">
        <f t="shared" si="2"/>
        <v>212.09676674364897</v>
      </c>
      <c r="M10" s="122">
        <f t="shared" si="7"/>
        <v>1469407.07</v>
      </c>
      <c r="N10" s="116">
        <f t="shared" si="8"/>
        <v>551028.07000000007</v>
      </c>
      <c r="O10" s="123">
        <f t="shared" si="9"/>
        <v>127.25821478060048</v>
      </c>
      <c r="P10" s="5"/>
      <c r="Q10" s="5">
        <f t="shared" si="3"/>
        <v>1</v>
      </c>
      <c r="R10" s="7">
        <f t="shared" si="4"/>
        <v>4330</v>
      </c>
      <c r="S10" s="5">
        <f t="shared" si="5"/>
        <v>1</v>
      </c>
      <c r="T10" s="7">
        <f t="shared" si="6"/>
        <v>4330</v>
      </c>
    </row>
    <row r="11" spans="1:20">
      <c r="A11" s="23" t="s">
        <v>559</v>
      </c>
      <c r="B11" s="35" t="s">
        <v>8</v>
      </c>
      <c r="C11" s="36">
        <v>168</v>
      </c>
      <c r="D11" s="6"/>
      <c r="E11" s="113">
        <v>12131338</v>
      </c>
      <c r="F11" s="116">
        <f t="shared" si="0"/>
        <v>72210.345238095237</v>
      </c>
      <c r="G11" s="117">
        <v>5848458</v>
      </c>
      <c r="H11" s="117">
        <f t="shared" si="1"/>
        <v>34812.25</v>
      </c>
      <c r="I11" s="7"/>
      <c r="J11" s="10">
        <v>3.2759999999999998</v>
      </c>
      <c r="K11" s="117">
        <v>19159</v>
      </c>
      <c r="L11" s="120">
        <f t="shared" si="2"/>
        <v>114.04166666666667</v>
      </c>
      <c r="M11" s="122">
        <f t="shared" si="7"/>
        <v>58484.58</v>
      </c>
      <c r="N11" s="116">
        <f t="shared" si="8"/>
        <v>39325.58</v>
      </c>
      <c r="O11" s="123">
        <f t="shared" si="9"/>
        <v>234.08083333333335</v>
      </c>
      <c r="P11" s="5"/>
      <c r="Q11" s="5">
        <f t="shared" si="3"/>
        <v>1</v>
      </c>
      <c r="R11" s="7">
        <f t="shared" si="4"/>
        <v>168</v>
      </c>
      <c r="S11" s="5">
        <f t="shared" si="5"/>
        <v>1</v>
      </c>
      <c r="T11" s="7">
        <f t="shared" si="6"/>
        <v>168</v>
      </c>
    </row>
    <row r="12" spans="1:20">
      <c r="A12" s="23" t="s">
        <v>13</v>
      </c>
      <c r="B12" s="35" t="s">
        <v>8</v>
      </c>
      <c r="C12" s="36">
        <v>631</v>
      </c>
      <c r="D12" s="6"/>
      <c r="E12" s="113">
        <v>31844647</v>
      </c>
      <c r="F12" s="116">
        <f t="shared" si="0"/>
        <v>50466.952456418381</v>
      </c>
      <c r="G12" s="117">
        <v>17964547</v>
      </c>
      <c r="H12" s="117">
        <f t="shared" si="1"/>
        <v>28469.963549920762</v>
      </c>
      <c r="I12" s="7"/>
      <c r="J12" s="10">
        <v>8</v>
      </c>
      <c r="K12" s="117">
        <v>143716</v>
      </c>
      <c r="L12" s="120">
        <f t="shared" si="2"/>
        <v>227.75911251980983</v>
      </c>
      <c r="M12" s="122">
        <f t="shared" si="7"/>
        <v>179645.47</v>
      </c>
      <c r="N12" s="116">
        <f t="shared" si="8"/>
        <v>35929.47</v>
      </c>
      <c r="O12" s="123">
        <f t="shared" si="9"/>
        <v>56.940522979397784</v>
      </c>
      <c r="P12" s="5"/>
      <c r="Q12" s="5">
        <f t="shared" si="3"/>
        <v>1</v>
      </c>
      <c r="R12" s="7">
        <f t="shared" si="4"/>
        <v>631</v>
      </c>
      <c r="S12" s="5">
        <f t="shared" si="5"/>
        <v>1</v>
      </c>
      <c r="T12" s="7">
        <f t="shared" si="6"/>
        <v>631</v>
      </c>
    </row>
    <row r="13" spans="1:20">
      <c r="A13" s="23" t="s">
        <v>14</v>
      </c>
      <c r="B13" s="35" t="s">
        <v>8</v>
      </c>
      <c r="C13" s="36">
        <v>3960</v>
      </c>
      <c r="D13" s="6"/>
      <c r="E13" s="113">
        <v>295766446</v>
      </c>
      <c r="F13" s="116">
        <f t="shared" si="0"/>
        <v>74688.496464646465</v>
      </c>
      <c r="G13" s="117">
        <v>173195226</v>
      </c>
      <c r="H13" s="117">
        <f t="shared" si="1"/>
        <v>43736.168181818182</v>
      </c>
      <c r="I13" s="7"/>
      <c r="J13" s="10">
        <v>4.5</v>
      </c>
      <c r="K13" s="117">
        <v>779378</v>
      </c>
      <c r="L13" s="120">
        <f t="shared" si="2"/>
        <v>196.81262626262625</v>
      </c>
      <c r="M13" s="122">
        <f t="shared" si="7"/>
        <v>1731952.26</v>
      </c>
      <c r="N13" s="116">
        <f t="shared" si="8"/>
        <v>952574.26</v>
      </c>
      <c r="O13" s="123">
        <f t="shared" si="9"/>
        <v>240.54905555555555</v>
      </c>
      <c r="P13" s="5"/>
      <c r="Q13" s="5">
        <f t="shared" si="3"/>
        <v>1</v>
      </c>
      <c r="R13" s="7">
        <f t="shared" si="4"/>
        <v>3960</v>
      </c>
      <c r="S13" s="5">
        <f t="shared" si="5"/>
        <v>1</v>
      </c>
      <c r="T13" s="7">
        <f t="shared" si="6"/>
        <v>3960</v>
      </c>
    </row>
    <row r="14" spans="1:20">
      <c r="A14" s="23" t="s">
        <v>15</v>
      </c>
      <c r="B14" s="35" t="s">
        <v>8</v>
      </c>
      <c r="C14" s="36">
        <v>840</v>
      </c>
      <c r="D14" s="6"/>
      <c r="E14" s="113">
        <v>33435500</v>
      </c>
      <c r="F14" s="116">
        <f t="shared" si="0"/>
        <v>39804.166666666664</v>
      </c>
      <c r="G14" s="117">
        <v>18537355</v>
      </c>
      <c r="H14" s="117">
        <f t="shared" si="1"/>
        <v>22068.279761904763</v>
      </c>
      <c r="I14" s="7"/>
      <c r="J14" s="10">
        <v>5.0313999999999997</v>
      </c>
      <c r="K14" s="117">
        <v>93268</v>
      </c>
      <c r="L14" s="120">
        <f t="shared" si="2"/>
        <v>111.03333333333333</v>
      </c>
      <c r="M14" s="122">
        <f t="shared" si="7"/>
        <v>185373.55000000002</v>
      </c>
      <c r="N14" s="116">
        <f t="shared" si="8"/>
        <v>92105.550000000017</v>
      </c>
      <c r="O14" s="123">
        <f t="shared" si="9"/>
        <v>109.6494642857143</v>
      </c>
      <c r="P14" s="5"/>
      <c r="Q14" s="5">
        <f t="shared" si="3"/>
        <v>1</v>
      </c>
      <c r="R14" s="7">
        <f t="shared" si="4"/>
        <v>840</v>
      </c>
      <c r="S14" s="5">
        <f t="shared" si="5"/>
        <v>1</v>
      </c>
      <c r="T14" s="7">
        <f t="shared" si="6"/>
        <v>840</v>
      </c>
    </row>
    <row r="15" spans="1:20">
      <c r="A15" s="23" t="s">
        <v>544</v>
      </c>
      <c r="B15" s="35" t="s">
        <v>16</v>
      </c>
      <c r="C15" s="36">
        <v>488</v>
      </c>
      <c r="D15" s="6" t="s">
        <v>527</v>
      </c>
      <c r="E15" s="113"/>
      <c r="F15" s="116"/>
      <c r="G15" s="117"/>
      <c r="H15" s="117"/>
      <c r="I15" s="98" t="s">
        <v>528</v>
      </c>
      <c r="J15" s="10"/>
      <c r="K15" s="117"/>
      <c r="L15" s="120"/>
      <c r="M15" s="122">
        <f t="shared" si="7"/>
        <v>0</v>
      </c>
      <c r="N15" s="116">
        <f t="shared" si="8"/>
        <v>0</v>
      </c>
      <c r="O15" s="123">
        <f t="shared" si="9"/>
        <v>0</v>
      </c>
      <c r="P15" s="5"/>
      <c r="Q15" s="5">
        <f t="shared" si="3"/>
        <v>0</v>
      </c>
      <c r="R15" s="7">
        <f t="shared" si="4"/>
        <v>0</v>
      </c>
      <c r="S15" s="5">
        <f t="shared" si="5"/>
        <v>0</v>
      </c>
      <c r="T15" s="7">
        <f t="shared" si="6"/>
        <v>0</v>
      </c>
    </row>
    <row r="16" spans="1:20">
      <c r="A16" s="23" t="s">
        <v>17</v>
      </c>
      <c r="B16" s="35" t="s">
        <v>16</v>
      </c>
      <c r="C16" s="36">
        <v>5019</v>
      </c>
      <c r="D16" s="6"/>
      <c r="E16" s="113">
        <v>226616016</v>
      </c>
      <c r="F16" s="116">
        <f t="shared" ref="F16:F47" si="10">(E16/C16)</f>
        <v>45151.627017334133</v>
      </c>
      <c r="G16" s="117">
        <v>132588848</v>
      </c>
      <c r="H16" s="117">
        <f t="shared" ref="H16:H47" si="11">(G16/C16)</f>
        <v>26417.383542538355</v>
      </c>
      <c r="I16" s="7"/>
      <c r="J16" s="10">
        <v>3.65</v>
      </c>
      <c r="K16" s="117">
        <v>483949</v>
      </c>
      <c r="L16" s="120">
        <f>(K16/C16)</f>
        <v>96.423391113767678</v>
      </c>
      <c r="M16" s="122">
        <f t="shared" si="7"/>
        <v>1325888.48</v>
      </c>
      <c r="N16" s="116">
        <f t="shared" si="8"/>
        <v>841939.48</v>
      </c>
      <c r="O16" s="123">
        <f t="shared" si="9"/>
        <v>167.75044431161587</v>
      </c>
      <c r="P16" s="5"/>
      <c r="Q16" s="5">
        <f t="shared" si="3"/>
        <v>1</v>
      </c>
      <c r="R16" s="7">
        <f t="shared" si="4"/>
        <v>5019</v>
      </c>
      <c r="S16" s="5">
        <f t="shared" si="5"/>
        <v>1</v>
      </c>
      <c r="T16" s="7">
        <f t="shared" si="6"/>
        <v>5019</v>
      </c>
    </row>
    <row r="17" spans="1:20">
      <c r="A17" s="23" t="s">
        <v>18</v>
      </c>
      <c r="B17" s="35" t="s">
        <v>19</v>
      </c>
      <c r="C17" s="36">
        <v>14808</v>
      </c>
      <c r="D17" s="6"/>
      <c r="E17" s="113">
        <v>505341878</v>
      </c>
      <c r="F17" s="116">
        <f t="shared" si="10"/>
        <v>34126.274851431655</v>
      </c>
      <c r="G17" s="117">
        <v>354911287</v>
      </c>
      <c r="H17" s="117">
        <f t="shared" si="11"/>
        <v>23967.536939492165</v>
      </c>
      <c r="I17" s="8"/>
      <c r="J17" s="10">
        <v>2</v>
      </c>
      <c r="K17" s="117">
        <v>709822</v>
      </c>
      <c r="L17" s="120">
        <f>(K17/C17)</f>
        <v>47.935035116153429</v>
      </c>
      <c r="M17" s="122">
        <f t="shared" si="7"/>
        <v>3549112.87</v>
      </c>
      <c r="N17" s="116">
        <f t="shared" si="8"/>
        <v>2839290.87</v>
      </c>
      <c r="O17" s="123">
        <f t="shared" si="9"/>
        <v>191.74033427876824</v>
      </c>
      <c r="P17" s="5"/>
      <c r="Q17" s="5">
        <f t="shared" si="3"/>
        <v>1</v>
      </c>
      <c r="R17" s="7">
        <f t="shared" si="4"/>
        <v>14808</v>
      </c>
      <c r="S17" s="5">
        <f t="shared" si="5"/>
        <v>1</v>
      </c>
      <c r="T17" s="7">
        <f t="shared" si="6"/>
        <v>14808</v>
      </c>
    </row>
    <row r="18" spans="1:20">
      <c r="A18" s="23" t="s">
        <v>20</v>
      </c>
      <c r="B18" s="35" t="s">
        <v>19</v>
      </c>
      <c r="C18" s="36">
        <v>5882</v>
      </c>
      <c r="D18" s="6"/>
      <c r="E18" s="113">
        <v>168824378</v>
      </c>
      <c r="F18" s="116">
        <f t="shared" si="10"/>
        <v>28701.86637198232</v>
      </c>
      <c r="G18" s="117">
        <v>99837676</v>
      </c>
      <c r="H18" s="117">
        <f t="shared" si="11"/>
        <v>16973.423325399523</v>
      </c>
      <c r="I18" s="98" t="s">
        <v>528</v>
      </c>
      <c r="J18" s="10"/>
      <c r="K18" s="117"/>
      <c r="L18" s="120"/>
      <c r="M18" s="122">
        <f t="shared" si="7"/>
        <v>998376.76</v>
      </c>
      <c r="N18" s="116">
        <f t="shared" si="8"/>
        <v>998376.76</v>
      </c>
      <c r="O18" s="123">
        <f t="shared" si="9"/>
        <v>169.73423325399523</v>
      </c>
      <c r="P18" s="5"/>
      <c r="Q18" s="5">
        <f t="shared" si="3"/>
        <v>1</v>
      </c>
      <c r="R18" s="7">
        <f t="shared" si="4"/>
        <v>5882</v>
      </c>
      <c r="S18" s="5">
        <f t="shared" si="5"/>
        <v>0</v>
      </c>
      <c r="T18" s="7">
        <f t="shared" si="6"/>
        <v>0</v>
      </c>
    </row>
    <row r="19" spans="1:20">
      <c r="A19" s="23" t="s">
        <v>21</v>
      </c>
      <c r="B19" s="35" t="s">
        <v>19</v>
      </c>
      <c r="C19" s="36">
        <v>14776</v>
      </c>
      <c r="D19" s="6"/>
      <c r="E19" s="113">
        <v>895560464</v>
      </c>
      <c r="F19" s="116">
        <f t="shared" si="10"/>
        <v>60609.127233351377</v>
      </c>
      <c r="G19" s="117">
        <v>613940210</v>
      </c>
      <c r="H19" s="117">
        <f t="shared" si="11"/>
        <v>41549.824715755276</v>
      </c>
      <c r="I19" s="7"/>
      <c r="J19" s="10">
        <v>4</v>
      </c>
      <c r="K19" s="117">
        <v>2455760</v>
      </c>
      <c r="L19" s="120">
        <f>(K19/C19)</f>
        <v>166.19924201407687</v>
      </c>
      <c r="M19" s="122">
        <f t="shared" si="7"/>
        <v>6139402.1000000006</v>
      </c>
      <c r="N19" s="116">
        <f t="shared" si="8"/>
        <v>3683642.1000000006</v>
      </c>
      <c r="O19" s="123">
        <f t="shared" si="9"/>
        <v>249.29900514347594</v>
      </c>
      <c r="P19" s="5"/>
      <c r="Q19" s="5">
        <f t="shared" si="3"/>
        <v>1</v>
      </c>
      <c r="R19" s="7">
        <f t="shared" si="4"/>
        <v>14776</v>
      </c>
      <c r="S19" s="5">
        <f t="shared" si="5"/>
        <v>1</v>
      </c>
      <c r="T19" s="7">
        <f t="shared" si="6"/>
        <v>14776</v>
      </c>
    </row>
    <row r="20" spans="1:20">
      <c r="A20" s="23" t="s">
        <v>22</v>
      </c>
      <c r="B20" s="35" t="s">
        <v>19</v>
      </c>
      <c r="C20" s="36">
        <v>1107</v>
      </c>
      <c r="D20" s="6"/>
      <c r="E20" s="113">
        <v>250077171</v>
      </c>
      <c r="F20" s="116">
        <f t="shared" si="10"/>
        <v>225905.30352303523</v>
      </c>
      <c r="G20" s="117">
        <v>203552195</v>
      </c>
      <c r="H20" s="117">
        <f t="shared" si="11"/>
        <v>183877.32158988257</v>
      </c>
      <c r="I20" s="7"/>
      <c r="J20" s="11">
        <v>4.5</v>
      </c>
      <c r="K20" s="117">
        <v>915984</v>
      </c>
      <c r="L20" s="120">
        <f>(K20/C20)</f>
        <v>827.44715447154476</v>
      </c>
      <c r="M20" s="122">
        <f t="shared" si="7"/>
        <v>2035521.95</v>
      </c>
      <c r="N20" s="116">
        <f t="shared" si="8"/>
        <v>1119537.95</v>
      </c>
      <c r="O20" s="123">
        <f t="shared" si="9"/>
        <v>1011.3260614272809</v>
      </c>
      <c r="P20" s="5"/>
      <c r="Q20" s="5">
        <f t="shared" si="3"/>
        <v>1</v>
      </c>
      <c r="R20" s="7">
        <f t="shared" si="4"/>
        <v>1107</v>
      </c>
      <c r="S20" s="5">
        <f t="shared" si="5"/>
        <v>1</v>
      </c>
      <c r="T20" s="7">
        <f t="shared" si="6"/>
        <v>1107</v>
      </c>
    </row>
    <row r="21" spans="1:20">
      <c r="A21" s="23" t="s">
        <v>23</v>
      </c>
      <c r="B21" s="35" t="s">
        <v>19</v>
      </c>
      <c r="C21" s="36">
        <v>37207</v>
      </c>
      <c r="D21" s="6"/>
      <c r="E21" s="113">
        <v>2372274226</v>
      </c>
      <c r="F21" s="116">
        <f t="shared" si="10"/>
        <v>63758.814900421967</v>
      </c>
      <c r="G21" s="117">
        <v>1531316317</v>
      </c>
      <c r="H21" s="117">
        <f t="shared" si="11"/>
        <v>41156.672588491412</v>
      </c>
      <c r="I21" s="7"/>
      <c r="J21" s="10">
        <v>5</v>
      </c>
      <c r="K21" s="117">
        <v>7656581</v>
      </c>
      <c r="L21" s="120">
        <f>(K21/C21)</f>
        <v>205.78334721960923</v>
      </c>
      <c r="M21" s="122">
        <f t="shared" si="7"/>
        <v>15313163.17</v>
      </c>
      <c r="N21" s="116">
        <f t="shared" si="8"/>
        <v>7656582.1699999999</v>
      </c>
      <c r="O21" s="123">
        <f t="shared" si="9"/>
        <v>205.78337866530492</v>
      </c>
      <c r="P21" s="5"/>
      <c r="Q21" s="5">
        <f t="shared" si="3"/>
        <v>1</v>
      </c>
      <c r="R21" s="7">
        <f t="shared" si="4"/>
        <v>37207</v>
      </c>
      <c r="S21" s="5">
        <f t="shared" si="5"/>
        <v>1</v>
      </c>
      <c r="T21" s="7">
        <f t="shared" si="6"/>
        <v>37207</v>
      </c>
    </row>
    <row r="22" spans="1:20">
      <c r="A22" s="23" t="s">
        <v>24</v>
      </c>
      <c r="B22" s="35" t="s">
        <v>19</v>
      </c>
      <c r="C22" s="36">
        <v>8322</v>
      </c>
      <c r="D22" s="6"/>
      <c r="E22" s="113">
        <v>1945588461</v>
      </c>
      <c r="F22" s="116">
        <f t="shared" si="10"/>
        <v>233788.56777217015</v>
      </c>
      <c r="G22" s="117">
        <v>1697690980</v>
      </c>
      <c r="H22" s="117">
        <f t="shared" si="11"/>
        <v>204000.35808699831</v>
      </c>
      <c r="I22" s="98" t="s">
        <v>528</v>
      </c>
      <c r="J22" s="12"/>
      <c r="K22" s="117"/>
      <c r="L22" s="120"/>
      <c r="M22" s="122">
        <f t="shared" si="7"/>
        <v>16976909.800000001</v>
      </c>
      <c r="N22" s="116">
        <f t="shared" si="8"/>
        <v>16976909.800000001</v>
      </c>
      <c r="O22" s="123">
        <f t="shared" si="9"/>
        <v>2040.0035808699834</v>
      </c>
      <c r="P22" s="5"/>
      <c r="Q22" s="5">
        <f t="shared" si="3"/>
        <v>1</v>
      </c>
      <c r="R22" s="7">
        <f t="shared" si="4"/>
        <v>8322</v>
      </c>
      <c r="S22" s="5">
        <f t="shared" si="5"/>
        <v>0</v>
      </c>
      <c r="T22" s="7">
        <f t="shared" si="6"/>
        <v>0</v>
      </c>
    </row>
    <row r="23" spans="1:20">
      <c r="A23" s="23" t="s">
        <v>25</v>
      </c>
      <c r="B23" s="35" t="s">
        <v>19</v>
      </c>
      <c r="C23" s="36">
        <v>4648</v>
      </c>
      <c r="D23" s="6"/>
      <c r="E23" s="113">
        <v>201429229</v>
      </c>
      <c r="F23" s="116">
        <f t="shared" si="10"/>
        <v>43336.753227194495</v>
      </c>
      <c r="G23" s="117">
        <v>146682179</v>
      </c>
      <c r="H23" s="117">
        <f t="shared" si="11"/>
        <v>31558.128012048193</v>
      </c>
      <c r="I23" s="98" t="s">
        <v>528</v>
      </c>
      <c r="J23" s="12"/>
      <c r="K23" s="117"/>
      <c r="L23" s="120"/>
      <c r="M23" s="122">
        <f t="shared" si="7"/>
        <v>1466821.79</v>
      </c>
      <c r="N23" s="116">
        <f t="shared" si="8"/>
        <v>1466821.79</v>
      </c>
      <c r="O23" s="123">
        <f t="shared" si="9"/>
        <v>315.58128012048195</v>
      </c>
      <c r="P23" s="5"/>
      <c r="Q23" s="5">
        <f t="shared" si="3"/>
        <v>1</v>
      </c>
      <c r="R23" s="7">
        <f t="shared" si="4"/>
        <v>4648</v>
      </c>
      <c r="S23" s="5">
        <f t="shared" si="5"/>
        <v>0</v>
      </c>
      <c r="T23" s="7">
        <f t="shared" si="6"/>
        <v>0</v>
      </c>
    </row>
    <row r="24" spans="1:20">
      <c r="A24" s="23" t="s">
        <v>26</v>
      </c>
      <c r="B24" s="35" t="s">
        <v>19</v>
      </c>
      <c r="C24" s="36">
        <v>8925</v>
      </c>
      <c r="D24" s="6"/>
      <c r="E24" s="113">
        <v>223241716</v>
      </c>
      <c r="F24" s="116">
        <f t="shared" si="10"/>
        <v>25013.077422969189</v>
      </c>
      <c r="G24" s="117">
        <v>114900316</v>
      </c>
      <c r="H24" s="117">
        <f t="shared" si="11"/>
        <v>12873.984985994397</v>
      </c>
      <c r="I24" s="98" t="s">
        <v>528</v>
      </c>
      <c r="J24" s="10"/>
      <c r="K24" s="117"/>
      <c r="L24" s="120"/>
      <c r="M24" s="122">
        <f t="shared" si="7"/>
        <v>1149003.1599999999</v>
      </c>
      <c r="N24" s="116">
        <f t="shared" si="8"/>
        <v>1149003.1599999999</v>
      </c>
      <c r="O24" s="123">
        <f t="shared" si="9"/>
        <v>128.73984985994397</v>
      </c>
      <c r="P24" s="5"/>
      <c r="Q24" s="5">
        <f t="shared" si="3"/>
        <v>1</v>
      </c>
      <c r="R24" s="7">
        <f t="shared" si="4"/>
        <v>8925</v>
      </c>
      <c r="S24" s="5">
        <f t="shared" si="5"/>
        <v>0</v>
      </c>
      <c r="T24" s="7">
        <f t="shared" si="6"/>
        <v>0</v>
      </c>
    </row>
    <row r="25" spans="1:20">
      <c r="A25" s="23" t="s">
        <v>27</v>
      </c>
      <c r="B25" s="35" t="s">
        <v>28</v>
      </c>
      <c r="C25" s="36">
        <v>321</v>
      </c>
      <c r="D25" s="6"/>
      <c r="E25" s="113">
        <v>8521339</v>
      </c>
      <c r="F25" s="116">
        <f t="shared" si="10"/>
        <v>26546.227414330217</v>
      </c>
      <c r="G25" s="117">
        <v>4125472</v>
      </c>
      <c r="H25" s="117">
        <f t="shared" si="11"/>
        <v>12851.937694704049</v>
      </c>
      <c r="I25" s="7"/>
      <c r="J25" s="10">
        <v>0.435</v>
      </c>
      <c r="K25" s="117">
        <v>1794</v>
      </c>
      <c r="L25" s="120">
        <f t="shared" ref="L25:L38" si="12">(K25/C25)</f>
        <v>5.5887850467289724</v>
      </c>
      <c r="M25" s="122">
        <f t="shared" si="7"/>
        <v>41254.720000000001</v>
      </c>
      <c r="N25" s="116">
        <f t="shared" si="8"/>
        <v>39460.720000000001</v>
      </c>
      <c r="O25" s="123">
        <f t="shared" si="9"/>
        <v>122.93059190031153</v>
      </c>
      <c r="P25" s="5"/>
      <c r="Q25" s="5">
        <f t="shared" si="3"/>
        <v>1</v>
      </c>
      <c r="R25" s="7">
        <f t="shared" si="4"/>
        <v>321</v>
      </c>
      <c r="S25" s="5">
        <f t="shared" si="5"/>
        <v>1</v>
      </c>
      <c r="T25" s="7">
        <f t="shared" si="6"/>
        <v>321</v>
      </c>
    </row>
    <row r="26" spans="1:20">
      <c r="A26" s="23" t="s">
        <v>29</v>
      </c>
      <c r="B26" s="35" t="s">
        <v>28</v>
      </c>
      <c r="C26" s="36">
        <v>445</v>
      </c>
      <c r="D26" s="6"/>
      <c r="E26" s="113">
        <v>7682753</v>
      </c>
      <c r="F26" s="116">
        <f t="shared" si="10"/>
        <v>17264.613483146066</v>
      </c>
      <c r="G26" s="117">
        <v>4030072</v>
      </c>
      <c r="H26" s="117">
        <f t="shared" si="11"/>
        <v>9056.3415730337074</v>
      </c>
      <c r="I26" s="7"/>
      <c r="J26" s="10">
        <v>0.45900000000000002</v>
      </c>
      <c r="K26" s="117">
        <v>1849</v>
      </c>
      <c r="L26" s="120">
        <f t="shared" si="12"/>
        <v>4.155056179775281</v>
      </c>
      <c r="M26" s="122">
        <f t="shared" si="7"/>
        <v>40300.720000000001</v>
      </c>
      <c r="N26" s="116">
        <f t="shared" si="8"/>
        <v>38451.72</v>
      </c>
      <c r="O26" s="123">
        <f t="shared" si="9"/>
        <v>86.408359550561798</v>
      </c>
      <c r="P26" s="5"/>
      <c r="Q26" s="5">
        <f t="shared" si="3"/>
        <v>1</v>
      </c>
      <c r="R26" s="7">
        <f t="shared" si="4"/>
        <v>445</v>
      </c>
      <c r="S26" s="5">
        <f t="shared" si="5"/>
        <v>1</v>
      </c>
      <c r="T26" s="7">
        <f t="shared" si="6"/>
        <v>445</v>
      </c>
    </row>
    <row r="27" spans="1:20">
      <c r="A27" s="23" t="s">
        <v>30</v>
      </c>
      <c r="B27" s="35" t="s">
        <v>28</v>
      </c>
      <c r="C27" s="36">
        <v>686</v>
      </c>
      <c r="D27" s="6"/>
      <c r="E27" s="113">
        <v>17798332</v>
      </c>
      <c r="F27" s="116">
        <f t="shared" si="10"/>
        <v>25945.090379008747</v>
      </c>
      <c r="G27" s="117">
        <v>11435495</v>
      </c>
      <c r="H27" s="117">
        <f t="shared" si="11"/>
        <v>16669.81778425656</v>
      </c>
      <c r="I27" s="7"/>
      <c r="J27" s="11">
        <v>1.5348999999999999</v>
      </c>
      <c r="K27" s="117">
        <v>17552</v>
      </c>
      <c r="L27" s="120">
        <f t="shared" si="12"/>
        <v>25.58600583090379</v>
      </c>
      <c r="M27" s="122">
        <f t="shared" si="7"/>
        <v>114354.95</v>
      </c>
      <c r="N27" s="116">
        <f t="shared" si="8"/>
        <v>96802.95</v>
      </c>
      <c r="O27" s="123">
        <f t="shared" si="9"/>
        <v>141.11217201166181</v>
      </c>
      <c r="P27" s="5"/>
      <c r="Q27" s="5">
        <f t="shared" si="3"/>
        <v>1</v>
      </c>
      <c r="R27" s="7">
        <f t="shared" si="4"/>
        <v>686</v>
      </c>
      <c r="S27" s="5">
        <f t="shared" si="5"/>
        <v>1</v>
      </c>
      <c r="T27" s="7">
        <f t="shared" si="6"/>
        <v>686</v>
      </c>
    </row>
    <row r="28" spans="1:20">
      <c r="A28" s="23" t="s">
        <v>31</v>
      </c>
      <c r="B28" s="35" t="s">
        <v>28</v>
      </c>
      <c r="C28" s="36">
        <v>5582</v>
      </c>
      <c r="D28" s="6"/>
      <c r="E28" s="113">
        <v>254523663</v>
      </c>
      <c r="F28" s="116">
        <f t="shared" si="10"/>
        <v>45597.216589036187</v>
      </c>
      <c r="G28" s="117">
        <v>144749576</v>
      </c>
      <c r="H28" s="117">
        <f t="shared" si="11"/>
        <v>25931.489788606235</v>
      </c>
      <c r="I28" s="7"/>
      <c r="J28" s="11">
        <v>4</v>
      </c>
      <c r="K28" s="117">
        <v>578998</v>
      </c>
      <c r="L28" s="120">
        <f t="shared" si="12"/>
        <v>103.72590469365819</v>
      </c>
      <c r="M28" s="122">
        <f t="shared" si="7"/>
        <v>1447495.76</v>
      </c>
      <c r="N28" s="116">
        <f t="shared" si="8"/>
        <v>868497.76</v>
      </c>
      <c r="O28" s="123">
        <f t="shared" si="9"/>
        <v>155.58899319240416</v>
      </c>
      <c r="P28" s="5"/>
      <c r="Q28" s="5">
        <f t="shared" si="3"/>
        <v>1</v>
      </c>
      <c r="R28" s="7">
        <f t="shared" si="4"/>
        <v>5582</v>
      </c>
      <c r="S28" s="5">
        <f t="shared" si="5"/>
        <v>1</v>
      </c>
      <c r="T28" s="7">
        <f t="shared" si="6"/>
        <v>5582</v>
      </c>
    </row>
    <row r="29" spans="1:20">
      <c r="A29" s="23" t="s">
        <v>32</v>
      </c>
      <c r="B29" s="35" t="s">
        <v>33</v>
      </c>
      <c r="C29" s="36">
        <v>9807</v>
      </c>
      <c r="D29" s="6"/>
      <c r="E29" s="113">
        <v>968878980</v>
      </c>
      <c r="F29" s="116">
        <f t="shared" si="10"/>
        <v>98794.634444784344</v>
      </c>
      <c r="G29" s="117">
        <v>783302760</v>
      </c>
      <c r="H29" s="117">
        <f t="shared" si="11"/>
        <v>79871.801774242893</v>
      </c>
      <c r="I29" s="7"/>
      <c r="J29" s="11">
        <v>3.3740000000000001</v>
      </c>
      <c r="K29" s="117">
        <v>2642863</v>
      </c>
      <c r="L29" s="120">
        <f t="shared" si="12"/>
        <v>269.4874069542164</v>
      </c>
      <c r="M29" s="122">
        <f t="shared" si="7"/>
        <v>7833027.6000000006</v>
      </c>
      <c r="N29" s="116">
        <f t="shared" si="8"/>
        <v>5190164.6000000006</v>
      </c>
      <c r="O29" s="123">
        <f t="shared" si="9"/>
        <v>529.23061078821252</v>
      </c>
      <c r="P29" s="5"/>
      <c r="Q29" s="5">
        <f t="shared" si="3"/>
        <v>1</v>
      </c>
      <c r="R29" s="7">
        <f t="shared" si="4"/>
        <v>9807</v>
      </c>
      <c r="S29" s="5">
        <f t="shared" si="5"/>
        <v>1</v>
      </c>
      <c r="T29" s="7">
        <f t="shared" si="6"/>
        <v>9807</v>
      </c>
    </row>
    <row r="30" spans="1:20">
      <c r="A30" s="23" t="s">
        <v>34</v>
      </c>
      <c r="B30" s="35" t="s">
        <v>33</v>
      </c>
      <c r="C30" s="36">
        <v>16610</v>
      </c>
      <c r="D30" s="6"/>
      <c r="E30" s="113">
        <v>1163475646</v>
      </c>
      <c r="F30" s="116">
        <f t="shared" si="10"/>
        <v>70046.697531607468</v>
      </c>
      <c r="G30" s="117">
        <v>759736380</v>
      </c>
      <c r="H30" s="117">
        <f t="shared" si="11"/>
        <v>45739.697772426247</v>
      </c>
      <c r="I30" s="7"/>
      <c r="J30" s="10">
        <v>4.8074000000000003</v>
      </c>
      <c r="K30" s="117">
        <v>3652356</v>
      </c>
      <c r="L30" s="120">
        <f t="shared" si="12"/>
        <v>219.88898254063818</v>
      </c>
      <c r="M30" s="122">
        <f t="shared" si="7"/>
        <v>7597363.7999999998</v>
      </c>
      <c r="N30" s="116">
        <f t="shared" si="8"/>
        <v>3945007.8</v>
      </c>
      <c r="O30" s="123">
        <f t="shared" si="9"/>
        <v>237.5079951836243</v>
      </c>
      <c r="P30" s="5"/>
      <c r="Q30" s="5">
        <f t="shared" si="3"/>
        <v>1</v>
      </c>
      <c r="R30" s="7">
        <f t="shared" si="4"/>
        <v>16610</v>
      </c>
      <c r="S30" s="5">
        <f t="shared" si="5"/>
        <v>1</v>
      </c>
      <c r="T30" s="7">
        <f t="shared" si="6"/>
        <v>16610</v>
      </c>
    </row>
    <row r="31" spans="1:20">
      <c r="A31" s="23" t="s">
        <v>35</v>
      </c>
      <c r="B31" s="35" t="s">
        <v>33</v>
      </c>
      <c r="C31" s="36">
        <v>12850</v>
      </c>
      <c r="D31" s="6"/>
      <c r="E31" s="113">
        <v>2061192907</v>
      </c>
      <c r="F31" s="116">
        <f t="shared" si="10"/>
        <v>160404.11727626459</v>
      </c>
      <c r="G31" s="117">
        <v>1414371807</v>
      </c>
      <c r="H31" s="117">
        <f t="shared" si="11"/>
        <v>110067.84490272374</v>
      </c>
      <c r="I31" s="7"/>
      <c r="J31" s="10">
        <v>4.5</v>
      </c>
      <c r="K31" s="117">
        <v>6364673</v>
      </c>
      <c r="L31" s="120">
        <f t="shared" si="12"/>
        <v>495.30529182879377</v>
      </c>
      <c r="M31" s="122">
        <f t="shared" si="7"/>
        <v>14143718.07</v>
      </c>
      <c r="N31" s="116">
        <f t="shared" si="8"/>
        <v>7779045.0700000003</v>
      </c>
      <c r="O31" s="123">
        <f t="shared" si="9"/>
        <v>605.37315719844355</v>
      </c>
      <c r="P31" s="5"/>
      <c r="Q31" s="5">
        <f t="shared" si="3"/>
        <v>1</v>
      </c>
      <c r="R31" s="7">
        <f t="shared" si="4"/>
        <v>12850</v>
      </c>
      <c r="S31" s="5">
        <f t="shared" si="5"/>
        <v>1</v>
      </c>
      <c r="T31" s="7">
        <f t="shared" si="6"/>
        <v>12850</v>
      </c>
    </row>
    <row r="32" spans="1:20">
      <c r="A32" s="23" t="s">
        <v>36</v>
      </c>
      <c r="B32" s="35" t="s">
        <v>33</v>
      </c>
      <c r="C32" s="36">
        <v>3037</v>
      </c>
      <c r="D32" s="6"/>
      <c r="E32" s="113">
        <v>393720137</v>
      </c>
      <c r="F32" s="116">
        <f t="shared" si="10"/>
        <v>129641.13829436945</v>
      </c>
      <c r="G32" s="117">
        <v>258451627</v>
      </c>
      <c r="H32" s="117">
        <f t="shared" si="11"/>
        <v>85100.963780046091</v>
      </c>
      <c r="I32" s="7"/>
      <c r="J32" s="10">
        <v>4.8451000000000004</v>
      </c>
      <c r="K32" s="117">
        <v>1252223</v>
      </c>
      <c r="L32" s="120">
        <f t="shared" si="12"/>
        <v>412.32235758972672</v>
      </c>
      <c r="M32" s="122">
        <f t="shared" si="7"/>
        <v>2584516.27</v>
      </c>
      <c r="N32" s="116">
        <f t="shared" si="8"/>
        <v>1332293.27</v>
      </c>
      <c r="O32" s="123">
        <f t="shared" si="9"/>
        <v>438.68728021073429</v>
      </c>
      <c r="P32" s="5"/>
      <c r="Q32" s="5">
        <f t="shared" si="3"/>
        <v>1</v>
      </c>
      <c r="R32" s="7">
        <f t="shared" si="4"/>
        <v>3037</v>
      </c>
      <c r="S32" s="5">
        <f t="shared" si="5"/>
        <v>1</v>
      </c>
      <c r="T32" s="7">
        <f t="shared" si="6"/>
        <v>3037</v>
      </c>
    </row>
    <row r="33" spans="1:20">
      <c r="A33" s="23" t="s">
        <v>37</v>
      </c>
      <c r="B33" s="35" t="s">
        <v>33</v>
      </c>
      <c r="C33" s="36">
        <v>8661</v>
      </c>
      <c r="D33" s="6"/>
      <c r="E33" s="113">
        <v>912924851</v>
      </c>
      <c r="F33" s="116">
        <f t="shared" si="10"/>
        <v>105406.40237847823</v>
      </c>
      <c r="G33" s="117">
        <v>631124551</v>
      </c>
      <c r="H33" s="117">
        <f t="shared" si="11"/>
        <v>72869.709155986609</v>
      </c>
      <c r="I33" s="7"/>
      <c r="J33" s="10">
        <v>4.9733000000000001</v>
      </c>
      <c r="K33" s="117">
        <v>3138771</v>
      </c>
      <c r="L33" s="120">
        <f t="shared" si="12"/>
        <v>362.40284031866992</v>
      </c>
      <c r="M33" s="122">
        <f t="shared" si="7"/>
        <v>6311245.5099999998</v>
      </c>
      <c r="N33" s="116">
        <f t="shared" si="8"/>
        <v>3172474.51</v>
      </c>
      <c r="O33" s="123">
        <f t="shared" si="9"/>
        <v>366.29425124119615</v>
      </c>
      <c r="P33" s="5"/>
      <c r="Q33" s="5">
        <f t="shared" si="3"/>
        <v>1</v>
      </c>
      <c r="R33" s="7">
        <f t="shared" si="4"/>
        <v>8661</v>
      </c>
      <c r="S33" s="5">
        <f t="shared" si="5"/>
        <v>1</v>
      </c>
      <c r="T33" s="7">
        <f t="shared" si="6"/>
        <v>8661</v>
      </c>
    </row>
    <row r="34" spans="1:20">
      <c r="A34" s="23" t="s">
        <v>38</v>
      </c>
      <c r="B34" s="35" t="s">
        <v>33</v>
      </c>
      <c r="C34" s="36">
        <v>2782</v>
      </c>
      <c r="D34" s="6"/>
      <c r="E34" s="113">
        <v>236933238</v>
      </c>
      <c r="F34" s="116">
        <f t="shared" si="10"/>
        <v>85166.512580877068</v>
      </c>
      <c r="G34" s="117">
        <v>162545468</v>
      </c>
      <c r="H34" s="117">
        <f t="shared" si="11"/>
        <v>58427.558590941771</v>
      </c>
      <c r="I34" s="7"/>
      <c r="J34" s="10">
        <v>1.7642</v>
      </c>
      <c r="K34" s="117">
        <v>286762</v>
      </c>
      <c r="L34" s="120">
        <f t="shared" si="12"/>
        <v>103.07764198418404</v>
      </c>
      <c r="M34" s="122">
        <f t="shared" si="7"/>
        <v>1625454.68</v>
      </c>
      <c r="N34" s="116">
        <f t="shared" si="8"/>
        <v>1338692.68</v>
      </c>
      <c r="O34" s="123">
        <f t="shared" si="9"/>
        <v>481.19794392523363</v>
      </c>
      <c r="P34" s="5"/>
      <c r="Q34" s="5">
        <f t="shared" si="3"/>
        <v>1</v>
      </c>
      <c r="R34" s="7">
        <f t="shared" si="4"/>
        <v>2782</v>
      </c>
      <c r="S34" s="5">
        <f t="shared" si="5"/>
        <v>1</v>
      </c>
      <c r="T34" s="7">
        <f t="shared" si="6"/>
        <v>2782</v>
      </c>
    </row>
    <row r="35" spans="1:20">
      <c r="A35" s="23" t="s">
        <v>39</v>
      </c>
      <c r="B35" s="35" t="s">
        <v>33</v>
      </c>
      <c r="C35" s="36">
        <v>74644</v>
      </c>
      <c r="D35" s="6"/>
      <c r="E35" s="113">
        <v>5015689779</v>
      </c>
      <c r="F35" s="116">
        <f t="shared" si="10"/>
        <v>67194.815109050964</v>
      </c>
      <c r="G35" s="117">
        <v>3241466443</v>
      </c>
      <c r="H35" s="117">
        <f t="shared" si="11"/>
        <v>43425.67980011789</v>
      </c>
      <c r="I35" s="7"/>
      <c r="J35" s="10">
        <v>4.7855999999999996</v>
      </c>
      <c r="K35" s="117">
        <v>15512361</v>
      </c>
      <c r="L35" s="120">
        <f t="shared" si="12"/>
        <v>207.81792240501582</v>
      </c>
      <c r="M35" s="122">
        <f t="shared" si="7"/>
        <v>32414664.43</v>
      </c>
      <c r="N35" s="116">
        <f t="shared" si="8"/>
        <v>16902303.43</v>
      </c>
      <c r="O35" s="123">
        <f t="shared" si="9"/>
        <v>226.43887559616311</v>
      </c>
      <c r="P35" s="5"/>
      <c r="Q35" s="5">
        <f t="shared" si="3"/>
        <v>1</v>
      </c>
      <c r="R35" s="7">
        <f t="shared" si="4"/>
        <v>74644</v>
      </c>
      <c r="S35" s="5">
        <f t="shared" si="5"/>
        <v>1</v>
      </c>
      <c r="T35" s="7">
        <f t="shared" si="6"/>
        <v>74644</v>
      </c>
    </row>
    <row r="36" spans="1:20">
      <c r="A36" s="23" t="s">
        <v>40</v>
      </c>
      <c r="B36" s="35" t="s">
        <v>33</v>
      </c>
      <c r="C36" s="36">
        <v>3422</v>
      </c>
      <c r="D36" s="6"/>
      <c r="E36" s="113">
        <v>423904882</v>
      </c>
      <c r="F36" s="116">
        <f t="shared" si="10"/>
        <v>123876.35359438925</v>
      </c>
      <c r="G36" s="117">
        <v>260850852</v>
      </c>
      <c r="H36" s="117">
        <f t="shared" si="11"/>
        <v>76227.60140268848</v>
      </c>
      <c r="I36" s="7"/>
      <c r="J36" s="10">
        <v>3.0657999999999999</v>
      </c>
      <c r="K36" s="117">
        <v>799716</v>
      </c>
      <c r="L36" s="120">
        <f t="shared" si="12"/>
        <v>233.69842197545296</v>
      </c>
      <c r="M36" s="122">
        <f t="shared" si="7"/>
        <v>2608508.52</v>
      </c>
      <c r="N36" s="116">
        <f t="shared" si="8"/>
        <v>1808792.52</v>
      </c>
      <c r="O36" s="123">
        <f t="shared" si="9"/>
        <v>528.57759205143191</v>
      </c>
      <c r="P36" s="5"/>
      <c r="Q36" s="5">
        <f t="shared" si="3"/>
        <v>1</v>
      </c>
      <c r="R36" s="7">
        <f t="shared" si="4"/>
        <v>3422</v>
      </c>
      <c r="S36" s="5">
        <f t="shared" si="5"/>
        <v>1</v>
      </c>
      <c r="T36" s="7">
        <f t="shared" si="6"/>
        <v>3422</v>
      </c>
    </row>
    <row r="37" spans="1:20">
      <c r="A37" s="23" t="s">
        <v>41</v>
      </c>
      <c r="B37" s="35" t="s">
        <v>33</v>
      </c>
      <c r="C37" s="36">
        <v>719</v>
      </c>
      <c r="D37" s="6"/>
      <c r="E37" s="113">
        <v>63754671</v>
      </c>
      <c r="F37" s="116">
        <f t="shared" si="10"/>
        <v>88671.308762169676</v>
      </c>
      <c r="G37" s="117">
        <v>41615661</v>
      </c>
      <c r="H37" s="117">
        <f t="shared" si="11"/>
        <v>57879.917941585532</v>
      </c>
      <c r="I37" s="7"/>
      <c r="J37" s="10">
        <v>4.5221</v>
      </c>
      <c r="K37" s="117">
        <v>188190</v>
      </c>
      <c r="L37" s="120">
        <f t="shared" si="12"/>
        <v>261.73852573018081</v>
      </c>
      <c r="M37" s="122">
        <f t="shared" si="7"/>
        <v>416156.61</v>
      </c>
      <c r="N37" s="116">
        <f t="shared" si="8"/>
        <v>227966.61</v>
      </c>
      <c r="O37" s="123">
        <f t="shared" si="9"/>
        <v>317.06065368567454</v>
      </c>
      <c r="P37" s="5"/>
      <c r="Q37" s="5">
        <f t="shared" si="3"/>
        <v>1</v>
      </c>
      <c r="R37" s="7">
        <f t="shared" si="4"/>
        <v>719</v>
      </c>
      <c r="S37" s="5">
        <f t="shared" si="5"/>
        <v>1</v>
      </c>
      <c r="T37" s="7">
        <f t="shared" si="6"/>
        <v>719</v>
      </c>
    </row>
    <row r="38" spans="1:20">
      <c r="A38" s="23" t="s">
        <v>42</v>
      </c>
      <c r="B38" s="35" t="s">
        <v>33</v>
      </c>
      <c r="C38" s="36">
        <v>88572</v>
      </c>
      <c r="D38" s="6"/>
      <c r="E38" s="113">
        <v>4289874976</v>
      </c>
      <c r="F38" s="116">
        <f t="shared" si="10"/>
        <v>48433.759833807526</v>
      </c>
      <c r="G38" s="117">
        <v>2930384524</v>
      </c>
      <c r="H38" s="117">
        <f t="shared" si="11"/>
        <v>33084.773111141221</v>
      </c>
      <c r="I38" s="7"/>
      <c r="J38" s="10">
        <v>6.4307999999999996</v>
      </c>
      <c r="K38" s="117">
        <v>18844716</v>
      </c>
      <c r="L38" s="120">
        <f t="shared" si="12"/>
        <v>212.76154992548436</v>
      </c>
      <c r="M38" s="122">
        <f t="shared" si="7"/>
        <v>29303845.240000002</v>
      </c>
      <c r="N38" s="116">
        <f t="shared" si="8"/>
        <v>10459129.240000002</v>
      </c>
      <c r="O38" s="123">
        <f t="shared" si="9"/>
        <v>118.08618118592786</v>
      </c>
      <c r="P38" s="5"/>
      <c r="Q38" s="5">
        <f t="shared" si="3"/>
        <v>1</v>
      </c>
      <c r="R38" s="7">
        <f t="shared" si="4"/>
        <v>88572</v>
      </c>
      <c r="S38" s="5">
        <f t="shared" si="5"/>
        <v>1</v>
      </c>
      <c r="T38" s="7">
        <f t="shared" si="6"/>
        <v>88572</v>
      </c>
    </row>
    <row r="39" spans="1:20">
      <c r="A39" s="23" t="s">
        <v>43</v>
      </c>
      <c r="B39" s="35" t="s">
        <v>33</v>
      </c>
      <c r="C39" s="36">
        <v>938</v>
      </c>
      <c r="D39" s="6"/>
      <c r="E39" s="113">
        <v>55450445</v>
      </c>
      <c r="F39" s="116">
        <f t="shared" si="10"/>
        <v>59115.61300639659</v>
      </c>
      <c r="G39" s="117">
        <v>40680195</v>
      </c>
      <c r="H39" s="117">
        <f t="shared" si="11"/>
        <v>43369.077825159911</v>
      </c>
      <c r="I39" s="98" t="s">
        <v>528</v>
      </c>
      <c r="J39" s="10"/>
      <c r="K39" s="117"/>
      <c r="L39" s="120"/>
      <c r="M39" s="122">
        <f t="shared" si="7"/>
        <v>406801.95</v>
      </c>
      <c r="N39" s="116">
        <f t="shared" si="8"/>
        <v>406801.95</v>
      </c>
      <c r="O39" s="123">
        <f t="shared" si="9"/>
        <v>433.69077825159917</v>
      </c>
      <c r="P39" s="5"/>
      <c r="Q39" s="5">
        <f t="shared" si="3"/>
        <v>1</v>
      </c>
      <c r="R39" s="7">
        <f t="shared" si="4"/>
        <v>938</v>
      </c>
      <c r="S39" s="5">
        <f t="shared" si="5"/>
        <v>0</v>
      </c>
      <c r="T39" s="7">
        <f t="shared" si="6"/>
        <v>0</v>
      </c>
    </row>
    <row r="40" spans="1:20">
      <c r="A40" s="23" t="s">
        <v>44</v>
      </c>
      <c r="B40" s="35" t="s">
        <v>33</v>
      </c>
      <c r="C40" s="36">
        <v>23383</v>
      </c>
      <c r="D40" s="6"/>
      <c r="E40" s="113">
        <v>1517048576</v>
      </c>
      <c r="F40" s="116">
        <f t="shared" si="10"/>
        <v>64878.269512038663</v>
      </c>
      <c r="G40" s="117">
        <v>955877499</v>
      </c>
      <c r="H40" s="117">
        <f t="shared" si="11"/>
        <v>40879.164307402811</v>
      </c>
      <c r="I40" s="7"/>
      <c r="J40" s="10">
        <v>5.7</v>
      </c>
      <c r="K40" s="117">
        <v>5448501</v>
      </c>
      <c r="L40" s="120">
        <f>(K40/C40)</f>
        <v>233.01120472137879</v>
      </c>
      <c r="M40" s="122">
        <f t="shared" si="7"/>
        <v>9558774.9900000002</v>
      </c>
      <c r="N40" s="116">
        <f t="shared" si="8"/>
        <v>4110273.99</v>
      </c>
      <c r="O40" s="123">
        <f t="shared" si="9"/>
        <v>175.78043835264938</v>
      </c>
      <c r="P40" s="5"/>
      <c r="Q40" s="5">
        <f t="shared" si="3"/>
        <v>1</v>
      </c>
      <c r="R40" s="7">
        <f t="shared" si="4"/>
        <v>23383</v>
      </c>
      <c r="S40" s="5">
        <f t="shared" si="5"/>
        <v>1</v>
      </c>
      <c r="T40" s="7">
        <f t="shared" si="6"/>
        <v>23383</v>
      </c>
    </row>
    <row r="41" spans="1:20">
      <c r="A41" s="23" t="s">
        <v>45</v>
      </c>
      <c r="B41" s="35" t="s">
        <v>33</v>
      </c>
      <c r="C41" s="36">
        <v>10860</v>
      </c>
      <c r="D41" s="6"/>
      <c r="E41" s="113">
        <v>1012492880</v>
      </c>
      <c r="F41" s="116">
        <f t="shared" si="10"/>
        <v>93231.388581952124</v>
      </c>
      <c r="G41" s="117">
        <v>653847490</v>
      </c>
      <c r="H41" s="117">
        <f t="shared" si="11"/>
        <v>60206.951197053408</v>
      </c>
      <c r="I41" s="7"/>
      <c r="J41" s="10">
        <v>6.3811999999999998</v>
      </c>
      <c r="K41" s="121">
        <v>4172331</v>
      </c>
      <c r="L41" s="120">
        <f>(K41/C41)</f>
        <v>384.19254143646407</v>
      </c>
      <c r="M41" s="122">
        <f t="shared" si="7"/>
        <v>6538474.9000000004</v>
      </c>
      <c r="N41" s="116">
        <f t="shared" si="8"/>
        <v>2366143.9000000004</v>
      </c>
      <c r="O41" s="123">
        <f t="shared" si="9"/>
        <v>217.87697053407001</v>
      </c>
      <c r="P41" s="5"/>
      <c r="Q41" s="5">
        <f t="shared" si="3"/>
        <v>1</v>
      </c>
      <c r="R41" s="7">
        <f t="shared" si="4"/>
        <v>10860</v>
      </c>
      <c r="S41" s="5">
        <f t="shared" si="5"/>
        <v>1</v>
      </c>
      <c r="T41" s="7">
        <f t="shared" si="6"/>
        <v>10860</v>
      </c>
    </row>
    <row r="42" spans="1:20">
      <c r="A42" s="23" t="s">
        <v>46</v>
      </c>
      <c r="B42" s="35" t="s">
        <v>33</v>
      </c>
      <c r="C42" s="36">
        <v>43029</v>
      </c>
      <c r="D42" s="6"/>
      <c r="E42" s="113">
        <v>2270591824</v>
      </c>
      <c r="F42" s="116">
        <f t="shared" si="10"/>
        <v>52768.872713751189</v>
      </c>
      <c r="G42" s="117">
        <v>1396907338</v>
      </c>
      <c r="H42" s="117">
        <f t="shared" si="11"/>
        <v>32464.322619628623</v>
      </c>
      <c r="I42" s="7"/>
      <c r="J42" s="10">
        <v>5.8503999999999996</v>
      </c>
      <c r="K42" s="117">
        <v>8172466</v>
      </c>
      <c r="L42" s="120">
        <f>(K42/C42)</f>
        <v>189.92925701271236</v>
      </c>
      <c r="M42" s="122">
        <f t="shared" si="7"/>
        <v>13969073.380000001</v>
      </c>
      <c r="N42" s="116">
        <f t="shared" si="8"/>
        <v>5796607.3800000008</v>
      </c>
      <c r="O42" s="123">
        <f t="shared" si="9"/>
        <v>134.71396918357388</v>
      </c>
      <c r="P42" s="5"/>
      <c r="Q42" s="5">
        <f t="shared" si="3"/>
        <v>1</v>
      </c>
      <c r="R42" s="7">
        <f t="shared" si="4"/>
        <v>43029</v>
      </c>
      <c r="S42" s="5">
        <f t="shared" si="5"/>
        <v>1</v>
      </c>
      <c r="T42" s="7">
        <f t="shared" si="6"/>
        <v>43029</v>
      </c>
    </row>
    <row r="43" spans="1:20">
      <c r="A43" s="23" t="s">
        <v>47</v>
      </c>
      <c r="B43" s="35" t="s">
        <v>33</v>
      </c>
      <c r="C43" s="36">
        <v>13869</v>
      </c>
      <c r="D43" s="6"/>
      <c r="E43" s="113">
        <v>999596919</v>
      </c>
      <c r="F43" s="116">
        <f t="shared" si="10"/>
        <v>72074.188405797104</v>
      </c>
      <c r="G43" s="117">
        <v>746517099</v>
      </c>
      <c r="H43" s="117">
        <f t="shared" si="11"/>
        <v>53826.310404499243</v>
      </c>
      <c r="I43" s="98" t="s">
        <v>528</v>
      </c>
      <c r="J43" s="10"/>
      <c r="K43" s="117"/>
      <c r="L43" s="120"/>
      <c r="M43" s="122">
        <f t="shared" si="7"/>
        <v>7465170.9900000002</v>
      </c>
      <c r="N43" s="116">
        <f t="shared" si="8"/>
        <v>7465170.9900000002</v>
      </c>
      <c r="O43" s="123">
        <f t="shared" si="9"/>
        <v>538.26310404499247</v>
      </c>
      <c r="P43" s="5"/>
      <c r="Q43" s="5">
        <f t="shared" si="3"/>
        <v>1</v>
      </c>
      <c r="R43" s="7">
        <f t="shared" si="4"/>
        <v>13869</v>
      </c>
      <c r="S43" s="5">
        <f t="shared" si="5"/>
        <v>0</v>
      </c>
      <c r="T43" s="7">
        <f t="shared" si="6"/>
        <v>0</v>
      </c>
    </row>
    <row r="44" spans="1:20">
      <c r="A44" s="23" t="s">
        <v>48</v>
      </c>
      <c r="B44" s="35" t="s">
        <v>49</v>
      </c>
      <c r="C44" s="36">
        <v>47922</v>
      </c>
      <c r="D44" s="6"/>
      <c r="E44" s="113">
        <v>3619671241</v>
      </c>
      <c r="F44" s="116">
        <f t="shared" si="10"/>
        <v>75532.557927465459</v>
      </c>
      <c r="G44" s="117">
        <v>2488443948</v>
      </c>
      <c r="H44" s="117">
        <f t="shared" si="11"/>
        <v>51926.963565794416</v>
      </c>
      <c r="I44" s="7"/>
      <c r="J44" s="11">
        <v>5.3407999999999998</v>
      </c>
      <c r="K44" s="117">
        <v>13290281</v>
      </c>
      <c r="L44" s="120">
        <f t="shared" ref="L44:L73" si="13">(K44/C44)</f>
        <v>277.33151788322692</v>
      </c>
      <c r="M44" s="122">
        <f t="shared" si="7"/>
        <v>24884439.48</v>
      </c>
      <c r="N44" s="116">
        <f t="shared" si="8"/>
        <v>11594158.48</v>
      </c>
      <c r="O44" s="123">
        <f t="shared" si="9"/>
        <v>241.93811777471726</v>
      </c>
      <c r="P44" s="5"/>
      <c r="Q44" s="5">
        <f t="shared" si="3"/>
        <v>1</v>
      </c>
      <c r="R44" s="7">
        <f t="shared" si="4"/>
        <v>47922</v>
      </c>
      <c r="S44" s="5">
        <f t="shared" si="5"/>
        <v>1</v>
      </c>
      <c r="T44" s="7">
        <f t="shared" si="6"/>
        <v>47922</v>
      </c>
    </row>
    <row r="45" spans="1:20">
      <c r="A45" s="23" t="s">
        <v>50</v>
      </c>
      <c r="B45" s="35" t="s">
        <v>49</v>
      </c>
      <c r="C45" s="36">
        <v>29020</v>
      </c>
      <c r="D45" s="6"/>
      <c r="E45" s="113">
        <v>2487756416</v>
      </c>
      <c r="F45" s="116">
        <f t="shared" si="10"/>
        <v>85725.582908339071</v>
      </c>
      <c r="G45" s="117">
        <v>1554194911</v>
      </c>
      <c r="H45" s="117">
        <f t="shared" si="11"/>
        <v>53555.9927980703</v>
      </c>
      <c r="I45" s="7"/>
      <c r="J45" s="10">
        <v>5.6870000000000003</v>
      </c>
      <c r="K45" s="117">
        <v>8838706</v>
      </c>
      <c r="L45" s="120">
        <f t="shared" si="13"/>
        <v>304.57291523087525</v>
      </c>
      <c r="M45" s="122">
        <f t="shared" si="7"/>
        <v>15541949.109999999</v>
      </c>
      <c r="N45" s="116">
        <f t="shared" si="8"/>
        <v>6703243.1099999994</v>
      </c>
      <c r="O45" s="123">
        <f t="shared" si="9"/>
        <v>230.9870127498277</v>
      </c>
      <c r="P45" s="5"/>
      <c r="Q45" s="5">
        <f t="shared" si="3"/>
        <v>1</v>
      </c>
      <c r="R45" s="7">
        <f t="shared" si="4"/>
        <v>29020</v>
      </c>
      <c r="S45" s="5">
        <f t="shared" si="5"/>
        <v>1</v>
      </c>
      <c r="T45" s="7">
        <f t="shared" si="6"/>
        <v>29020</v>
      </c>
    </row>
    <row r="46" spans="1:20">
      <c r="A46" s="23" t="s">
        <v>51</v>
      </c>
      <c r="B46" s="35" t="s">
        <v>49</v>
      </c>
      <c r="C46" s="36">
        <v>126711</v>
      </c>
      <c r="D46" s="6"/>
      <c r="E46" s="113">
        <v>9916391300</v>
      </c>
      <c r="F46" s="116">
        <f t="shared" si="10"/>
        <v>78259.908768773035</v>
      </c>
      <c r="G46" s="117">
        <v>7286774076</v>
      </c>
      <c r="H46" s="117">
        <f t="shared" si="11"/>
        <v>57507.036295191421</v>
      </c>
      <c r="I46" s="7"/>
      <c r="J46" s="10">
        <v>3.8715000000000002</v>
      </c>
      <c r="K46" s="117">
        <v>28210745</v>
      </c>
      <c r="L46" s="120">
        <f t="shared" si="13"/>
        <v>222.63848442518804</v>
      </c>
      <c r="M46" s="122">
        <f t="shared" si="7"/>
        <v>72867740.760000005</v>
      </c>
      <c r="N46" s="116">
        <f t="shared" si="8"/>
        <v>44656995.760000005</v>
      </c>
      <c r="O46" s="123">
        <f t="shared" si="9"/>
        <v>352.43187852672622</v>
      </c>
      <c r="P46" s="5"/>
      <c r="Q46" s="5">
        <f t="shared" si="3"/>
        <v>1</v>
      </c>
      <c r="R46" s="7">
        <f t="shared" si="4"/>
        <v>126711</v>
      </c>
      <c r="S46" s="5">
        <f t="shared" si="5"/>
        <v>1</v>
      </c>
      <c r="T46" s="7">
        <f t="shared" si="6"/>
        <v>126711</v>
      </c>
    </row>
    <row r="47" spans="1:20">
      <c r="A47" s="23" t="s">
        <v>464</v>
      </c>
      <c r="B47" s="35" t="s">
        <v>49</v>
      </c>
      <c r="C47" s="36">
        <v>28080</v>
      </c>
      <c r="D47" s="6"/>
      <c r="E47" s="113">
        <v>2833008990</v>
      </c>
      <c r="F47" s="116">
        <f t="shared" si="10"/>
        <v>100890.63354700855</v>
      </c>
      <c r="G47" s="117">
        <v>2119813422</v>
      </c>
      <c r="H47" s="117">
        <f t="shared" si="11"/>
        <v>75491.930982905978</v>
      </c>
      <c r="I47" s="7"/>
      <c r="J47" s="10">
        <v>6.39</v>
      </c>
      <c r="K47" s="117">
        <v>13545607</v>
      </c>
      <c r="L47" s="120">
        <f t="shared" si="13"/>
        <v>482.3934116809117</v>
      </c>
      <c r="M47" s="122">
        <f t="shared" si="7"/>
        <v>21198134.219999999</v>
      </c>
      <c r="N47" s="116">
        <f t="shared" si="8"/>
        <v>7652527.2199999988</v>
      </c>
      <c r="O47" s="123">
        <f t="shared" si="9"/>
        <v>272.52589814814809</v>
      </c>
      <c r="P47" s="5"/>
      <c r="Q47" s="5">
        <f t="shared" si="3"/>
        <v>1</v>
      </c>
      <c r="R47" s="7">
        <f t="shared" si="4"/>
        <v>28080</v>
      </c>
      <c r="S47" s="5">
        <f t="shared" si="5"/>
        <v>1</v>
      </c>
      <c r="T47" s="7">
        <f t="shared" si="6"/>
        <v>28080</v>
      </c>
    </row>
    <row r="48" spans="1:20">
      <c r="A48" s="23" t="s">
        <v>52</v>
      </c>
      <c r="B48" s="35" t="s">
        <v>49</v>
      </c>
      <c r="C48" s="36">
        <v>81845</v>
      </c>
      <c r="D48" s="6"/>
      <c r="E48" s="113">
        <v>7602425448</v>
      </c>
      <c r="F48" s="116">
        <f t="shared" ref="F48:F79" si="14">(E48/C48)</f>
        <v>92888.086602724667</v>
      </c>
      <c r="G48" s="117">
        <v>5240035506</v>
      </c>
      <c r="H48" s="117">
        <f t="shared" ref="H48:H79" si="15">(G48/C48)</f>
        <v>64023.892797360866</v>
      </c>
      <c r="I48" s="7"/>
      <c r="J48" s="11">
        <v>5.1086</v>
      </c>
      <c r="K48" s="117">
        <v>26769245</v>
      </c>
      <c r="L48" s="120">
        <f t="shared" si="13"/>
        <v>327.07245402895717</v>
      </c>
      <c r="M48" s="122">
        <f t="shared" si="7"/>
        <v>52400355.060000002</v>
      </c>
      <c r="N48" s="116">
        <f t="shared" si="8"/>
        <v>25631110.060000002</v>
      </c>
      <c r="O48" s="123">
        <f t="shared" si="9"/>
        <v>313.1664739446515</v>
      </c>
      <c r="P48" s="5"/>
      <c r="Q48" s="5">
        <f t="shared" si="3"/>
        <v>1</v>
      </c>
      <c r="R48" s="7">
        <f t="shared" si="4"/>
        <v>81845</v>
      </c>
      <c r="S48" s="5">
        <f t="shared" si="5"/>
        <v>1</v>
      </c>
      <c r="T48" s="7">
        <f t="shared" si="6"/>
        <v>81845</v>
      </c>
    </row>
    <row r="49" spans="1:20">
      <c r="A49" s="23" t="s">
        <v>53</v>
      </c>
      <c r="B49" s="35" t="s">
        <v>49</v>
      </c>
      <c r="C49" s="36">
        <v>65113</v>
      </c>
      <c r="D49" s="6"/>
      <c r="E49" s="113">
        <v>6438458271</v>
      </c>
      <c r="F49" s="116">
        <f t="shared" si="14"/>
        <v>98881.302827392385</v>
      </c>
      <c r="G49" s="117">
        <v>4851052406</v>
      </c>
      <c r="H49" s="117">
        <f t="shared" si="15"/>
        <v>74502.056517131758</v>
      </c>
      <c r="I49" s="7"/>
      <c r="J49" s="10">
        <v>6.2622999999999998</v>
      </c>
      <c r="K49" s="117">
        <v>30378745</v>
      </c>
      <c r="L49" s="120">
        <f t="shared" si="13"/>
        <v>466.55422112327801</v>
      </c>
      <c r="M49" s="122">
        <f t="shared" si="7"/>
        <v>48510524.060000002</v>
      </c>
      <c r="N49" s="116">
        <f t="shared" si="8"/>
        <v>18131779.060000002</v>
      </c>
      <c r="O49" s="123">
        <f t="shared" si="9"/>
        <v>278.46634404803962</v>
      </c>
      <c r="P49" s="5"/>
      <c r="Q49" s="5">
        <f t="shared" si="3"/>
        <v>1</v>
      </c>
      <c r="R49" s="7">
        <f t="shared" si="4"/>
        <v>65113</v>
      </c>
      <c r="S49" s="5">
        <f t="shared" si="5"/>
        <v>1</v>
      </c>
      <c r="T49" s="7">
        <f t="shared" si="6"/>
        <v>65113</v>
      </c>
    </row>
    <row r="50" spans="1:20">
      <c r="A50" s="23" t="s">
        <v>54</v>
      </c>
      <c r="B50" s="35" t="s">
        <v>49</v>
      </c>
      <c r="C50" s="36">
        <v>170297</v>
      </c>
      <c r="D50" s="6"/>
      <c r="E50" s="113">
        <v>27640714113</v>
      </c>
      <c r="F50" s="116">
        <f t="shared" si="14"/>
        <v>162308.87281044293</v>
      </c>
      <c r="G50" s="117">
        <v>20335590297</v>
      </c>
      <c r="H50" s="117">
        <f t="shared" si="15"/>
        <v>119412.49873456373</v>
      </c>
      <c r="I50" s="7"/>
      <c r="J50" s="10">
        <v>5.4066000000000001</v>
      </c>
      <c r="K50" s="117">
        <v>109946402</v>
      </c>
      <c r="L50" s="120">
        <f t="shared" si="13"/>
        <v>645.61561272365338</v>
      </c>
      <c r="M50" s="122">
        <f t="shared" si="7"/>
        <v>203355902.97</v>
      </c>
      <c r="N50" s="116">
        <f t="shared" si="8"/>
        <v>93409500.969999999</v>
      </c>
      <c r="O50" s="123">
        <f t="shared" si="9"/>
        <v>548.50937462198397</v>
      </c>
      <c r="P50" s="5"/>
      <c r="Q50" s="5">
        <f t="shared" si="3"/>
        <v>1</v>
      </c>
      <c r="R50" s="7">
        <f t="shared" si="4"/>
        <v>170297</v>
      </c>
      <c r="S50" s="5">
        <f t="shared" si="5"/>
        <v>1</v>
      </c>
      <c r="T50" s="7">
        <f t="shared" si="6"/>
        <v>170297</v>
      </c>
    </row>
    <row r="51" spans="1:20">
      <c r="A51" s="23" t="s">
        <v>465</v>
      </c>
      <c r="B51" s="35" t="s">
        <v>49</v>
      </c>
      <c r="C51" s="36">
        <v>35230</v>
      </c>
      <c r="D51" s="6"/>
      <c r="E51" s="113">
        <v>3446498003</v>
      </c>
      <c r="F51" s="116">
        <f t="shared" si="14"/>
        <v>97828.498523985239</v>
      </c>
      <c r="G51" s="117">
        <v>2622279880</v>
      </c>
      <c r="H51" s="117">
        <f t="shared" si="15"/>
        <v>74433.150156116943</v>
      </c>
      <c r="I51" s="7"/>
      <c r="J51" s="10">
        <v>6.5456000000000003</v>
      </c>
      <c r="K51" s="117">
        <v>17164395</v>
      </c>
      <c r="L51" s="120">
        <f t="shared" si="13"/>
        <v>487.20962248084021</v>
      </c>
      <c r="M51" s="122">
        <f t="shared" si="7"/>
        <v>26222798.800000001</v>
      </c>
      <c r="N51" s="116">
        <f t="shared" si="8"/>
        <v>9058403.8000000007</v>
      </c>
      <c r="O51" s="123">
        <f t="shared" si="9"/>
        <v>257.12187908032928</v>
      </c>
      <c r="P51" s="5"/>
      <c r="Q51" s="5">
        <f t="shared" si="3"/>
        <v>1</v>
      </c>
      <c r="R51" s="7">
        <f t="shared" si="4"/>
        <v>35230</v>
      </c>
      <c r="S51" s="5">
        <f t="shared" si="5"/>
        <v>1</v>
      </c>
      <c r="T51" s="7">
        <f t="shared" si="6"/>
        <v>35230</v>
      </c>
    </row>
    <row r="52" spans="1:20">
      <c r="A52" s="23" t="s">
        <v>55</v>
      </c>
      <c r="B52" s="35" t="s">
        <v>49</v>
      </c>
      <c r="C52" s="36">
        <v>2245</v>
      </c>
      <c r="D52" s="6"/>
      <c r="E52" s="113">
        <v>999981634</v>
      </c>
      <c r="F52" s="116">
        <f t="shared" si="14"/>
        <v>445426.11759465479</v>
      </c>
      <c r="G52" s="117">
        <v>850071734</v>
      </c>
      <c r="H52" s="117">
        <f t="shared" si="15"/>
        <v>378651.10645879735</v>
      </c>
      <c r="I52" s="7"/>
      <c r="J52" s="10">
        <v>3.2357999999999998</v>
      </c>
      <c r="K52" s="117">
        <v>2750662</v>
      </c>
      <c r="L52" s="120">
        <f t="shared" si="13"/>
        <v>1225.2391982182628</v>
      </c>
      <c r="M52" s="122">
        <f t="shared" si="7"/>
        <v>8500717.3399999999</v>
      </c>
      <c r="N52" s="116">
        <f t="shared" si="8"/>
        <v>5750055.3399999999</v>
      </c>
      <c r="O52" s="123">
        <f t="shared" si="9"/>
        <v>2561.2718663697106</v>
      </c>
      <c r="P52" s="5"/>
      <c r="Q52" s="5">
        <f t="shared" si="3"/>
        <v>1</v>
      </c>
      <c r="R52" s="7">
        <f t="shared" si="4"/>
        <v>2245</v>
      </c>
      <c r="S52" s="5">
        <f t="shared" si="5"/>
        <v>1</v>
      </c>
      <c r="T52" s="7">
        <f t="shared" si="6"/>
        <v>2245</v>
      </c>
    </row>
    <row r="53" spans="1:20">
      <c r="A53" s="23" t="s">
        <v>56</v>
      </c>
      <c r="B53" s="35" t="s">
        <v>49</v>
      </c>
      <c r="C53" s="36">
        <v>142998</v>
      </c>
      <c r="D53" s="6"/>
      <c r="E53" s="113">
        <v>12820173399</v>
      </c>
      <c r="F53" s="116">
        <f t="shared" si="14"/>
        <v>89652.816116309317</v>
      </c>
      <c r="G53" s="117">
        <v>9059101708</v>
      </c>
      <c r="H53" s="117">
        <f t="shared" si="15"/>
        <v>63351.247625840922</v>
      </c>
      <c r="I53" s="7"/>
      <c r="J53" s="10">
        <v>6.9162999999999997</v>
      </c>
      <c r="K53" s="117">
        <v>62655465</v>
      </c>
      <c r="L53" s="120">
        <f t="shared" si="13"/>
        <v>438.15623295430703</v>
      </c>
      <c r="M53" s="122">
        <f t="shared" si="7"/>
        <v>90591017.079999998</v>
      </c>
      <c r="N53" s="116">
        <f t="shared" si="8"/>
        <v>27935552.079999998</v>
      </c>
      <c r="O53" s="123">
        <f t="shared" si="9"/>
        <v>195.35624330410215</v>
      </c>
      <c r="P53" s="5"/>
      <c r="Q53" s="5">
        <f t="shared" si="3"/>
        <v>1</v>
      </c>
      <c r="R53" s="7">
        <f t="shared" si="4"/>
        <v>142998</v>
      </c>
      <c r="S53" s="5">
        <f t="shared" si="5"/>
        <v>1</v>
      </c>
      <c r="T53" s="7">
        <f t="shared" si="6"/>
        <v>142998</v>
      </c>
    </row>
    <row r="54" spans="1:20">
      <c r="A54" s="23" t="s">
        <v>57</v>
      </c>
      <c r="B54" s="35" t="s">
        <v>49</v>
      </c>
      <c r="C54" s="36">
        <v>31752</v>
      </c>
      <c r="D54" s="6"/>
      <c r="E54" s="113">
        <v>1276507760</v>
      </c>
      <c r="F54" s="116">
        <f t="shared" si="14"/>
        <v>40202.436381960193</v>
      </c>
      <c r="G54" s="117">
        <v>846269213</v>
      </c>
      <c r="H54" s="117">
        <f t="shared" si="15"/>
        <v>26652.469545225496</v>
      </c>
      <c r="I54" s="7"/>
      <c r="J54" s="10">
        <v>6.0434999999999999</v>
      </c>
      <c r="K54" s="117">
        <v>5114427</v>
      </c>
      <c r="L54" s="120">
        <f t="shared" si="13"/>
        <v>161.07416855631141</v>
      </c>
      <c r="M54" s="122">
        <f t="shared" si="7"/>
        <v>8462692.1300000008</v>
      </c>
      <c r="N54" s="116">
        <f t="shared" si="8"/>
        <v>3348265.1300000008</v>
      </c>
      <c r="O54" s="123">
        <f t="shared" si="9"/>
        <v>105.45052689594358</v>
      </c>
      <c r="P54" s="5"/>
      <c r="Q54" s="5">
        <f t="shared" si="3"/>
        <v>1</v>
      </c>
      <c r="R54" s="7">
        <f t="shared" si="4"/>
        <v>31752</v>
      </c>
      <c r="S54" s="5">
        <f t="shared" si="5"/>
        <v>1</v>
      </c>
      <c r="T54" s="7">
        <f t="shared" si="6"/>
        <v>31752</v>
      </c>
    </row>
    <row r="55" spans="1:20">
      <c r="A55" s="24" t="s">
        <v>560</v>
      </c>
      <c r="B55" s="35" t="s">
        <v>49</v>
      </c>
      <c r="C55" s="36">
        <v>6278</v>
      </c>
      <c r="D55" s="6"/>
      <c r="E55" s="113">
        <v>1749087751</v>
      </c>
      <c r="F55" s="116">
        <f t="shared" si="14"/>
        <v>278605.88579165342</v>
      </c>
      <c r="G55" s="117">
        <v>1455286327</v>
      </c>
      <c r="H55" s="117">
        <f t="shared" si="15"/>
        <v>231807.31554635233</v>
      </c>
      <c r="I55" s="7"/>
      <c r="J55" s="10">
        <v>4.7</v>
      </c>
      <c r="K55" s="117">
        <v>6839845</v>
      </c>
      <c r="L55" s="120">
        <f t="shared" si="13"/>
        <v>1089.4942656897101</v>
      </c>
      <c r="M55" s="122">
        <f t="shared" si="7"/>
        <v>14552863.27</v>
      </c>
      <c r="N55" s="116">
        <f t="shared" si="8"/>
        <v>7713018.2699999996</v>
      </c>
      <c r="O55" s="123">
        <f t="shared" si="9"/>
        <v>1228.5788897738132</v>
      </c>
      <c r="P55" s="5"/>
      <c r="Q55" s="5">
        <f t="shared" si="3"/>
        <v>1</v>
      </c>
      <c r="R55" s="7">
        <f t="shared" si="4"/>
        <v>6278</v>
      </c>
      <c r="S55" s="5">
        <f t="shared" si="5"/>
        <v>1</v>
      </c>
      <c r="T55" s="7">
        <f t="shared" si="6"/>
        <v>6278</v>
      </c>
    </row>
    <row r="56" spans="1:20">
      <c r="A56" s="23" t="s">
        <v>58</v>
      </c>
      <c r="B56" s="35" t="s">
        <v>49</v>
      </c>
      <c r="C56" s="36">
        <v>57936</v>
      </c>
      <c r="D56" s="6"/>
      <c r="E56" s="113">
        <v>2581279445</v>
      </c>
      <c r="F56" s="116">
        <f t="shared" si="14"/>
        <v>44553.981030792602</v>
      </c>
      <c r="G56" s="117">
        <v>1811412383</v>
      </c>
      <c r="H56" s="117">
        <f t="shared" si="15"/>
        <v>31265.748118613643</v>
      </c>
      <c r="I56" s="7"/>
      <c r="J56" s="10">
        <v>6.02</v>
      </c>
      <c r="K56" s="117">
        <v>10904702</v>
      </c>
      <c r="L56" s="120">
        <f t="shared" si="13"/>
        <v>188.21979425573045</v>
      </c>
      <c r="M56" s="122">
        <f t="shared" si="7"/>
        <v>18114123.830000002</v>
      </c>
      <c r="N56" s="116">
        <f t="shared" si="8"/>
        <v>7209421.8300000019</v>
      </c>
      <c r="O56" s="123">
        <f t="shared" si="9"/>
        <v>124.437686930406</v>
      </c>
      <c r="P56" s="5"/>
      <c r="Q56" s="5">
        <f t="shared" si="3"/>
        <v>1</v>
      </c>
      <c r="R56" s="7">
        <f t="shared" si="4"/>
        <v>57936</v>
      </c>
      <c r="S56" s="5">
        <f t="shared" si="5"/>
        <v>1</v>
      </c>
      <c r="T56" s="7">
        <f t="shared" si="6"/>
        <v>57936</v>
      </c>
    </row>
    <row r="57" spans="1:20">
      <c r="A57" s="23" t="s">
        <v>59</v>
      </c>
      <c r="B57" s="35" t="s">
        <v>49</v>
      </c>
      <c r="C57" s="36">
        <v>34</v>
      </c>
      <c r="D57" s="6"/>
      <c r="E57" s="113">
        <v>6315414</v>
      </c>
      <c r="F57" s="116">
        <f t="shared" si="14"/>
        <v>185747.4705882353</v>
      </c>
      <c r="G57" s="117">
        <v>4692154</v>
      </c>
      <c r="H57" s="117">
        <f t="shared" si="15"/>
        <v>138004.5294117647</v>
      </c>
      <c r="I57" s="7"/>
      <c r="J57" s="10">
        <v>5.3994</v>
      </c>
      <c r="K57" s="117">
        <v>25334</v>
      </c>
      <c r="L57" s="120">
        <f t="shared" si="13"/>
        <v>745.11764705882354</v>
      </c>
      <c r="M57" s="122">
        <f t="shared" si="7"/>
        <v>46921.54</v>
      </c>
      <c r="N57" s="116">
        <f t="shared" si="8"/>
        <v>21587.54</v>
      </c>
      <c r="O57" s="123">
        <f t="shared" si="9"/>
        <v>634.9276470588236</v>
      </c>
      <c r="P57" s="5"/>
      <c r="Q57" s="5">
        <f t="shared" si="3"/>
        <v>1</v>
      </c>
      <c r="R57" s="7">
        <f t="shared" si="4"/>
        <v>34</v>
      </c>
      <c r="S57" s="5">
        <f t="shared" si="5"/>
        <v>1</v>
      </c>
      <c r="T57" s="7">
        <f t="shared" si="6"/>
        <v>34</v>
      </c>
    </row>
    <row r="58" spans="1:20">
      <c r="A58" s="23" t="s">
        <v>60</v>
      </c>
      <c r="B58" s="35" t="s">
        <v>49</v>
      </c>
      <c r="C58" s="36">
        <v>10857</v>
      </c>
      <c r="D58" s="6"/>
      <c r="E58" s="113">
        <v>2166574614</v>
      </c>
      <c r="F58" s="116">
        <f t="shared" si="14"/>
        <v>199555.55070461452</v>
      </c>
      <c r="G58" s="117">
        <v>1545704867</v>
      </c>
      <c r="H58" s="117">
        <f t="shared" si="15"/>
        <v>142369.42682140553</v>
      </c>
      <c r="I58" s="7"/>
      <c r="J58" s="10">
        <v>3.5746000000000002</v>
      </c>
      <c r="K58" s="117">
        <v>5525276</v>
      </c>
      <c r="L58" s="120">
        <f t="shared" si="13"/>
        <v>508.91369623284515</v>
      </c>
      <c r="M58" s="122">
        <f t="shared" si="7"/>
        <v>15457048.67</v>
      </c>
      <c r="N58" s="116">
        <f t="shared" si="8"/>
        <v>9931772.6699999999</v>
      </c>
      <c r="O58" s="123">
        <f t="shared" si="9"/>
        <v>914.7805719812103</v>
      </c>
      <c r="P58" s="5"/>
      <c r="Q58" s="5">
        <f t="shared" si="3"/>
        <v>1</v>
      </c>
      <c r="R58" s="7">
        <f t="shared" si="4"/>
        <v>10857</v>
      </c>
      <c r="S58" s="5">
        <f t="shared" si="5"/>
        <v>1</v>
      </c>
      <c r="T58" s="7">
        <f t="shared" si="6"/>
        <v>10857</v>
      </c>
    </row>
    <row r="59" spans="1:20">
      <c r="A59" s="23" t="s">
        <v>61</v>
      </c>
      <c r="B59" s="35" t="s">
        <v>49</v>
      </c>
      <c r="C59" s="36">
        <v>54455</v>
      </c>
      <c r="D59" s="6"/>
      <c r="E59" s="113">
        <v>3171805524</v>
      </c>
      <c r="F59" s="116">
        <f t="shared" si="14"/>
        <v>58246.359820034893</v>
      </c>
      <c r="G59" s="117">
        <v>2153346605</v>
      </c>
      <c r="H59" s="117">
        <f t="shared" si="15"/>
        <v>39543.597557616384</v>
      </c>
      <c r="I59" s="7"/>
      <c r="J59" s="10">
        <v>6.7610999999999999</v>
      </c>
      <c r="K59" s="117">
        <v>14558991</v>
      </c>
      <c r="L59" s="120">
        <f t="shared" si="13"/>
        <v>267.35820402166928</v>
      </c>
      <c r="M59" s="122">
        <f t="shared" si="7"/>
        <v>21533466.050000001</v>
      </c>
      <c r="N59" s="116">
        <f t="shared" si="8"/>
        <v>6974475.0500000007</v>
      </c>
      <c r="O59" s="123">
        <f t="shared" si="9"/>
        <v>128.07777155449455</v>
      </c>
      <c r="P59" s="5"/>
      <c r="Q59" s="5">
        <f t="shared" si="3"/>
        <v>1</v>
      </c>
      <c r="R59" s="7">
        <f t="shared" si="4"/>
        <v>54455</v>
      </c>
      <c r="S59" s="5">
        <f t="shared" si="5"/>
        <v>1</v>
      </c>
      <c r="T59" s="7">
        <f t="shared" si="6"/>
        <v>54455</v>
      </c>
    </row>
    <row r="60" spans="1:20">
      <c r="A60" s="23" t="s">
        <v>62</v>
      </c>
      <c r="B60" s="35" t="s">
        <v>49</v>
      </c>
      <c r="C60" s="36">
        <v>101813</v>
      </c>
      <c r="D60" s="6"/>
      <c r="E60" s="113">
        <v>7333666789</v>
      </c>
      <c r="F60" s="116">
        <f t="shared" si="14"/>
        <v>72030.750385510692</v>
      </c>
      <c r="G60" s="117">
        <v>5552703081</v>
      </c>
      <c r="H60" s="117">
        <f t="shared" si="15"/>
        <v>54538.252295875769</v>
      </c>
      <c r="I60" s="7"/>
      <c r="J60" s="10">
        <v>6.77</v>
      </c>
      <c r="K60" s="117">
        <v>37591799</v>
      </c>
      <c r="L60" s="120">
        <f t="shared" si="13"/>
        <v>369.22395961223026</v>
      </c>
      <c r="M60" s="122">
        <f t="shared" si="7"/>
        <v>55527030.810000002</v>
      </c>
      <c r="N60" s="116">
        <f t="shared" si="8"/>
        <v>17935231.810000002</v>
      </c>
      <c r="O60" s="123">
        <f t="shared" si="9"/>
        <v>176.15856334652747</v>
      </c>
      <c r="P60" s="5"/>
      <c r="Q60" s="5">
        <f t="shared" si="3"/>
        <v>1</v>
      </c>
      <c r="R60" s="7">
        <f t="shared" si="4"/>
        <v>101813</v>
      </c>
      <c r="S60" s="5">
        <f t="shared" si="5"/>
        <v>1</v>
      </c>
      <c r="T60" s="7">
        <f t="shared" si="6"/>
        <v>101813</v>
      </c>
    </row>
    <row r="61" spans="1:20">
      <c r="A61" s="23" t="s">
        <v>63</v>
      </c>
      <c r="B61" s="35" t="s">
        <v>49</v>
      </c>
      <c r="C61" s="36">
        <v>40281</v>
      </c>
      <c r="D61" s="6"/>
      <c r="E61" s="113">
        <v>1577960412</v>
      </c>
      <c r="F61" s="116">
        <f t="shared" si="14"/>
        <v>39173.814254859608</v>
      </c>
      <c r="G61" s="117">
        <v>1086437802</v>
      </c>
      <c r="H61" s="117">
        <f t="shared" si="15"/>
        <v>26971.47046994861</v>
      </c>
      <c r="I61" s="7"/>
      <c r="J61" s="10">
        <v>5.6791999999999998</v>
      </c>
      <c r="K61" s="117">
        <v>6170097</v>
      </c>
      <c r="L61" s="120">
        <f t="shared" si="13"/>
        <v>153.1763610635287</v>
      </c>
      <c r="M61" s="122">
        <f t="shared" si="7"/>
        <v>10864378.02</v>
      </c>
      <c r="N61" s="116">
        <f t="shared" si="8"/>
        <v>4694281.0199999996</v>
      </c>
      <c r="O61" s="123">
        <f t="shared" si="9"/>
        <v>116.53834363595739</v>
      </c>
      <c r="P61" s="5"/>
      <c r="Q61" s="5">
        <f t="shared" si="3"/>
        <v>1</v>
      </c>
      <c r="R61" s="7">
        <f t="shared" si="4"/>
        <v>40281</v>
      </c>
      <c r="S61" s="5">
        <f t="shared" si="5"/>
        <v>1</v>
      </c>
      <c r="T61" s="7">
        <f t="shared" si="6"/>
        <v>40281</v>
      </c>
    </row>
    <row r="62" spans="1:20">
      <c r="A62" s="23" t="s">
        <v>64</v>
      </c>
      <c r="B62" s="35" t="s">
        <v>49</v>
      </c>
      <c r="C62" s="36">
        <v>31810</v>
      </c>
      <c r="D62" s="6"/>
      <c r="E62" s="113">
        <v>2683091836</v>
      </c>
      <c r="F62" s="116">
        <f t="shared" si="14"/>
        <v>84347.432756994662</v>
      </c>
      <c r="G62" s="117">
        <v>1954817027</v>
      </c>
      <c r="H62" s="117">
        <f t="shared" si="15"/>
        <v>61452.908739390128</v>
      </c>
      <c r="I62" s="7"/>
      <c r="J62" s="10">
        <v>5.8868</v>
      </c>
      <c r="K62" s="117">
        <v>11507616</v>
      </c>
      <c r="L62" s="120">
        <f t="shared" si="13"/>
        <v>361.76095567431628</v>
      </c>
      <c r="M62" s="122">
        <f t="shared" si="7"/>
        <v>19548170.27</v>
      </c>
      <c r="N62" s="116">
        <f t="shared" si="8"/>
        <v>8040554.2699999996</v>
      </c>
      <c r="O62" s="123">
        <f t="shared" si="9"/>
        <v>252.76813171958503</v>
      </c>
      <c r="P62" s="5"/>
      <c r="Q62" s="5">
        <f t="shared" si="3"/>
        <v>1</v>
      </c>
      <c r="R62" s="7">
        <f t="shared" si="4"/>
        <v>31810</v>
      </c>
      <c r="S62" s="5">
        <f t="shared" si="5"/>
        <v>1</v>
      </c>
      <c r="T62" s="7">
        <f t="shared" si="6"/>
        <v>31810</v>
      </c>
    </row>
    <row r="63" spans="1:20">
      <c r="A63" s="23" t="s">
        <v>65</v>
      </c>
      <c r="B63" s="35" t="s">
        <v>49</v>
      </c>
      <c r="C63" s="36">
        <v>19374</v>
      </c>
      <c r="D63" s="6"/>
      <c r="E63" s="113">
        <v>2902179821</v>
      </c>
      <c r="F63" s="116">
        <f t="shared" si="14"/>
        <v>149797.65773717352</v>
      </c>
      <c r="G63" s="117">
        <v>2194988511</v>
      </c>
      <c r="H63" s="117">
        <f t="shared" si="15"/>
        <v>113295.57711365748</v>
      </c>
      <c r="I63" s="7"/>
      <c r="J63" s="10">
        <v>4.0999999999999996</v>
      </c>
      <c r="K63" s="117">
        <v>8999452</v>
      </c>
      <c r="L63" s="120">
        <f t="shared" si="13"/>
        <v>464.51181996490141</v>
      </c>
      <c r="M63" s="122">
        <f t="shared" si="7"/>
        <v>21949885.109999999</v>
      </c>
      <c r="N63" s="116">
        <f t="shared" si="8"/>
        <v>12950433.109999999</v>
      </c>
      <c r="O63" s="123">
        <f t="shared" si="9"/>
        <v>668.44395117167335</v>
      </c>
      <c r="P63" s="5"/>
      <c r="Q63" s="5">
        <f t="shared" si="3"/>
        <v>1</v>
      </c>
      <c r="R63" s="7">
        <f t="shared" si="4"/>
        <v>19374</v>
      </c>
      <c r="S63" s="5">
        <f t="shared" si="5"/>
        <v>1</v>
      </c>
      <c r="T63" s="7">
        <f t="shared" si="6"/>
        <v>19374</v>
      </c>
    </row>
    <row r="64" spans="1:20">
      <c r="A64" s="23" t="s">
        <v>66</v>
      </c>
      <c r="B64" s="35" t="s">
        <v>49</v>
      </c>
      <c r="C64" s="36">
        <v>5708</v>
      </c>
      <c r="D64" s="6"/>
      <c r="E64" s="113">
        <v>427335672</v>
      </c>
      <c r="F64" s="116">
        <f t="shared" si="14"/>
        <v>74866.095304835326</v>
      </c>
      <c r="G64" s="117">
        <v>391549987</v>
      </c>
      <c r="H64" s="117">
        <f t="shared" si="15"/>
        <v>68596.704099509458</v>
      </c>
      <c r="I64" s="7"/>
      <c r="J64" s="10">
        <v>8.5</v>
      </c>
      <c r="K64" s="117">
        <v>3328174</v>
      </c>
      <c r="L64" s="120">
        <f t="shared" si="13"/>
        <v>583.07182901191311</v>
      </c>
      <c r="M64" s="122">
        <f t="shared" si="7"/>
        <v>3915499.87</v>
      </c>
      <c r="N64" s="116">
        <f t="shared" si="8"/>
        <v>587325.87000000011</v>
      </c>
      <c r="O64" s="123">
        <f t="shared" si="9"/>
        <v>102.89521198318153</v>
      </c>
      <c r="P64" s="5"/>
      <c r="Q64" s="5">
        <f t="shared" si="3"/>
        <v>1</v>
      </c>
      <c r="R64" s="7">
        <f t="shared" si="4"/>
        <v>5708</v>
      </c>
      <c r="S64" s="5">
        <f t="shared" si="5"/>
        <v>1</v>
      </c>
      <c r="T64" s="7">
        <f t="shared" si="6"/>
        <v>5708</v>
      </c>
    </row>
    <row r="65" spans="1:20">
      <c r="A65" s="23" t="s">
        <v>67</v>
      </c>
      <c r="B65" s="35" t="s">
        <v>49</v>
      </c>
      <c r="C65" s="36">
        <v>150435</v>
      </c>
      <c r="D65" s="6"/>
      <c r="E65" s="113">
        <v>11606680186</v>
      </c>
      <c r="F65" s="116">
        <f t="shared" si="14"/>
        <v>77154.12095589457</v>
      </c>
      <c r="G65" s="117">
        <v>8065582997</v>
      </c>
      <c r="H65" s="117">
        <f t="shared" si="15"/>
        <v>53615.069611460101</v>
      </c>
      <c r="I65" s="7"/>
      <c r="J65" s="10">
        <v>4.5990000000000002</v>
      </c>
      <c r="K65" s="117">
        <v>37093616</v>
      </c>
      <c r="L65" s="120">
        <f t="shared" si="13"/>
        <v>246.57570379233556</v>
      </c>
      <c r="M65" s="122">
        <f t="shared" si="7"/>
        <v>80655829.969999999</v>
      </c>
      <c r="N65" s="116">
        <f t="shared" si="8"/>
        <v>43562213.969999999</v>
      </c>
      <c r="O65" s="123">
        <f t="shared" si="9"/>
        <v>289.57499232226542</v>
      </c>
      <c r="P65" s="5"/>
      <c r="Q65" s="5">
        <f t="shared" si="3"/>
        <v>1</v>
      </c>
      <c r="R65" s="7">
        <f t="shared" si="4"/>
        <v>150435</v>
      </c>
      <c r="S65" s="5">
        <f t="shared" si="5"/>
        <v>1</v>
      </c>
      <c r="T65" s="7">
        <f t="shared" si="6"/>
        <v>150435</v>
      </c>
    </row>
    <row r="66" spans="1:20">
      <c r="A66" s="23" t="s">
        <v>68</v>
      </c>
      <c r="B66" s="35" t="s">
        <v>49</v>
      </c>
      <c r="C66" s="36">
        <v>84604</v>
      </c>
      <c r="D66" s="6"/>
      <c r="E66" s="113">
        <v>8702943646</v>
      </c>
      <c r="F66" s="116">
        <f t="shared" si="14"/>
        <v>102866.81062361118</v>
      </c>
      <c r="G66" s="117">
        <v>6244889316</v>
      </c>
      <c r="H66" s="117">
        <f t="shared" si="15"/>
        <v>73813.168597229451</v>
      </c>
      <c r="I66" s="7"/>
      <c r="J66" s="10">
        <v>4.3499999999999996</v>
      </c>
      <c r="K66" s="117">
        <v>27165268</v>
      </c>
      <c r="L66" s="120">
        <f t="shared" si="13"/>
        <v>321.08727719729563</v>
      </c>
      <c r="M66" s="122">
        <f t="shared" si="7"/>
        <v>62448893.160000004</v>
      </c>
      <c r="N66" s="116">
        <f t="shared" si="8"/>
        <v>35283625.160000004</v>
      </c>
      <c r="O66" s="123">
        <f t="shared" si="9"/>
        <v>417.04440877499889</v>
      </c>
      <c r="P66" s="5"/>
      <c r="Q66" s="5">
        <f t="shared" si="3"/>
        <v>1</v>
      </c>
      <c r="R66" s="7">
        <f t="shared" si="4"/>
        <v>84604</v>
      </c>
      <c r="S66" s="5">
        <f t="shared" si="5"/>
        <v>1</v>
      </c>
      <c r="T66" s="7">
        <f t="shared" si="6"/>
        <v>84604</v>
      </c>
    </row>
    <row r="67" spans="1:20">
      <c r="A67" s="23" t="s">
        <v>69</v>
      </c>
      <c r="B67" s="35" t="s">
        <v>49</v>
      </c>
      <c r="C67" s="36">
        <v>87184</v>
      </c>
      <c r="D67" s="6"/>
      <c r="E67" s="113">
        <v>11185532794</v>
      </c>
      <c r="F67" s="116">
        <f t="shared" si="14"/>
        <v>128297.99956414021</v>
      </c>
      <c r="G67" s="117">
        <v>8437617665</v>
      </c>
      <c r="H67" s="117">
        <f t="shared" si="15"/>
        <v>96779.428163424484</v>
      </c>
      <c r="I67" s="7"/>
      <c r="J67" s="10">
        <v>4.1111000000000004</v>
      </c>
      <c r="K67" s="117">
        <v>34687889</v>
      </c>
      <c r="L67" s="120">
        <f t="shared" si="13"/>
        <v>397.86989585244999</v>
      </c>
      <c r="M67" s="122">
        <f t="shared" si="7"/>
        <v>84376176.650000006</v>
      </c>
      <c r="N67" s="116">
        <f t="shared" si="8"/>
        <v>49688287.650000006</v>
      </c>
      <c r="O67" s="123">
        <f t="shared" si="9"/>
        <v>569.92438578179485</v>
      </c>
      <c r="P67" s="5"/>
      <c r="Q67" s="5">
        <f t="shared" si="3"/>
        <v>1</v>
      </c>
      <c r="R67" s="7">
        <f t="shared" si="4"/>
        <v>87184</v>
      </c>
      <c r="S67" s="5">
        <f t="shared" si="5"/>
        <v>1</v>
      </c>
      <c r="T67" s="7">
        <f t="shared" si="6"/>
        <v>87184</v>
      </c>
    </row>
    <row r="68" spans="1:20">
      <c r="A68" s="23" t="s">
        <v>70</v>
      </c>
      <c r="B68" s="35" t="s">
        <v>49</v>
      </c>
      <c r="C68" s="36">
        <v>727</v>
      </c>
      <c r="D68" s="6"/>
      <c r="E68" s="113">
        <v>175688088</v>
      </c>
      <c r="F68" s="116">
        <f t="shared" si="14"/>
        <v>241661.74415405779</v>
      </c>
      <c r="G68" s="117">
        <v>133177958</v>
      </c>
      <c r="H68" s="117">
        <f t="shared" si="15"/>
        <v>183188.38789546079</v>
      </c>
      <c r="I68" s="7"/>
      <c r="J68" s="10">
        <v>6.95</v>
      </c>
      <c r="K68" s="117">
        <v>925586</v>
      </c>
      <c r="L68" s="120">
        <f t="shared" si="13"/>
        <v>1273.1581843191198</v>
      </c>
      <c r="M68" s="122">
        <f t="shared" si="7"/>
        <v>1331779.58</v>
      </c>
      <c r="N68" s="116">
        <f t="shared" si="8"/>
        <v>406193.58000000007</v>
      </c>
      <c r="O68" s="123">
        <f t="shared" si="9"/>
        <v>558.72569463548837</v>
      </c>
      <c r="P68" s="5"/>
      <c r="Q68" s="5">
        <f t="shared" si="3"/>
        <v>1</v>
      </c>
      <c r="R68" s="7">
        <f t="shared" si="4"/>
        <v>727</v>
      </c>
      <c r="S68" s="5">
        <f t="shared" si="5"/>
        <v>1</v>
      </c>
      <c r="T68" s="7">
        <f t="shared" si="6"/>
        <v>727</v>
      </c>
    </row>
    <row r="69" spans="1:20">
      <c r="A69" s="23" t="s">
        <v>450</v>
      </c>
      <c r="B69" s="35" t="s">
        <v>49</v>
      </c>
      <c r="C69" s="36">
        <v>7443</v>
      </c>
      <c r="D69" s="6"/>
      <c r="E69" s="113">
        <v>1490453757</v>
      </c>
      <c r="F69" s="116">
        <f t="shared" si="14"/>
        <v>200249.06045949215</v>
      </c>
      <c r="G69" s="117">
        <v>874363517</v>
      </c>
      <c r="H69" s="117">
        <f t="shared" si="15"/>
        <v>117474.60929732634</v>
      </c>
      <c r="I69" s="7"/>
      <c r="J69" s="10">
        <v>3</v>
      </c>
      <c r="K69" s="117">
        <v>2623090</v>
      </c>
      <c r="L69" s="120">
        <f t="shared" si="13"/>
        <v>352.42375386268975</v>
      </c>
      <c r="M69" s="122">
        <f t="shared" si="7"/>
        <v>8743635.1699999999</v>
      </c>
      <c r="N69" s="116">
        <f t="shared" si="8"/>
        <v>6120545.1699999999</v>
      </c>
      <c r="O69" s="123">
        <f t="shared" si="9"/>
        <v>822.32233911057369</v>
      </c>
      <c r="P69" s="5"/>
      <c r="Q69" s="5">
        <f t="shared" si="3"/>
        <v>1</v>
      </c>
      <c r="R69" s="7">
        <f t="shared" si="4"/>
        <v>7443</v>
      </c>
      <c r="S69" s="5">
        <f t="shared" si="5"/>
        <v>1</v>
      </c>
      <c r="T69" s="7">
        <f t="shared" si="6"/>
        <v>7443</v>
      </c>
    </row>
    <row r="70" spans="1:20">
      <c r="A70" s="23" t="s">
        <v>71</v>
      </c>
      <c r="B70" s="35" t="s">
        <v>49</v>
      </c>
      <c r="C70" s="36">
        <v>88976</v>
      </c>
      <c r="D70" s="6"/>
      <c r="E70" s="113">
        <v>6736491716</v>
      </c>
      <c r="F70" s="116">
        <f t="shared" si="14"/>
        <v>75711.334696996943</v>
      </c>
      <c r="G70" s="117">
        <v>4652439837</v>
      </c>
      <c r="H70" s="117">
        <f t="shared" si="15"/>
        <v>52288.705235119582</v>
      </c>
      <c r="I70" s="7"/>
      <c r="J70" s="10">
        <v>6.2240000000000002</v>
      </c>
      <c r="K70" s="117">
        <v>28956785</v>
      </c>
      <c r="L70" s="120">
        <f t="shared" si="13"/>
        <v>325.44489525265237</v>
      </c>
      <c r="M70" s="122">
        <f t="shared" si="7"/>
        <v>46524398.369999997</v>
      </c>
      <c r="N70" s="116">
        <f t="shared" si="8"/>
        <v>17567613.369999997</v>
      </c>
      <c r="O70" s="123">
        <f t="shared" si="9"/>
        <v>197.44215709854339</v>
      </c>
      <c r="P70" s="5"/>
      <c r="Q70" s="5">
        <f t="shared" si="3"/>
        <v>1</v>
      </c>
      <c r="R70" s="7">
        <f t="shared" si="4"/>
        <v>88976</v>
      </c>
      <c r="S70" s="5">
        <f t="shared" si="5"/>
        <v>1</v>
      </c>
      <c r="T70" s="7">
        <f t="shared" si="6"/>
        <v>88976</v>
      </c>
    </row>
    <row r="71" spans="1:20">
      <c r="A71" s="23" t="s">
        <v>72</v>
      </c>
      <c r="B71" s="35" t="s">
        <v>49</v>
      </c>
      <c r="C71" s="36">
        <v>57726</v>
      </c>
      <c r="D71" s="6"/>
      <c r="E71" s="113">
        <v>4149532968</v>
      </c>
      <c r="F71" s="116">
        <f t="shared" si="14"/>
        <v>71883.25828915913</v>
      </c>
      <c r="G71" s="117">
        <v>2754956941</v>
      </c>
      <c r="H71" s="117">
        <f t="shared" si="15"/>
        <v>47724.71574333922</v>
      </c>
      <c r="I71" s="7"/>
      <c r="J71" s="10">
        <v>5.9999000000000002</v>
      </c>
      <c r="K71" s="117">
        <v>16529466</v>
      </c>
      <c r="L71" s="120">
        <f t="shared" si="13"/>
        <v>286.34351938467933</v>
      </c>
      <c r="M71" s="122">
        <f t="shared" si="7"/>
        <v>27549569.41</v>
      </c>
      <c r="N71" s="116">
        <f t="shared" si="8"/>
        <v>11020103.41</v>
      </c>
      <c r="O71" s="123">
        <f t="shared" si="9"/>
        <v>190.90363804871288</v>
      </c>
      <c r="P71" s="5"/>
      <c r="Q71" s="5">
        <f t="shared" ref="Q71:Q134" si="16">IF(E71&gt;0,1,0)</f>
        <v>1</v>
      </c>
      <c r="R71" s="7">
        <f t="shared" ref="R71:R134" si="17">IF(E71&gt;0,C71,0)</f>
        <v>57726</v>
      </c>
      <c r="S71" s="5">
        <f t="shared" ref="S71:S134" si="18">IF(J71&gt;0,1,0)</f>
        <v>1</v>
      </c>
      <c r="T71" s="7">
        <f t="shared" ref="T71:T134" si="19">IF(J71&gt;0,C71,0)</f>
        <v>57726</v>
      </c>
    </row>
    <row r="72" spans="1:20">
      <c r="A72" s="23" t="s">
        <v>73</v>
      </c>
      <c r="B72" s="35" t="s">
        <v>49</v>
      </c>
      <c r="C72" s="36">
        <v>60636</v>
      </c>
      <c r="D72" s="6"/>
      <c r="E72" s="113">
        <v>7466769522</v>
      </c>
      <c r="F72" s="116">
        <f t="shared" si="14"/>
        <v>123140.86552543043</v>
      </c>
      <c r="G72" s="117">
        <v>5929561581</v>
      </c>
      <c r="H72" s="117">
        <f t="shared" si="15"/>
        <v>97789.458094201458</v>
      </c>
      <c r="I72" s="7"/>
      <c r="J72" s="10">
        <v>1.5235000000000001</v>
      </c>
      <c r="K72" s="117">
        <v>9033687</v>
      </c>
      <c r="L72" s="120">
        <f t="shared" si="13"/>
        <v>148.98223827429251</v>
      </c>
      <c r="M72" s="122">
        <f t="shared" ref="M72:M135" si="20">(G72*0.01)</f>
        <v>59295615.810000002</v>
      </c>
      <c r="N72" s="116">
        <f t="shared" ref="N72:N135" si="21">(M72-K72)</f>
        <v>50261928.810000002</v>
      </c>
      <c r="O72" s="123">
        <f t="shared" ref="O72:O135" si="22">(N72/C72)</f>
        <v>828.91234266772221</v>
      </c>
      <c r="P72" s="5"/>
      <c r="Q72" s="5">
        <f t="shared" si="16"/>
        <v>1</v>
      </c>
      <c r="R72" s="7">
        <f t="shared" si="17"/>
        <v>60636</v>
      </c>
      <c r="S72" s="5">
        <f t="shared" si="18"/>
        <v>1</v>
      </c>
      <c r="T72" s="7">
        <f t="shared" si="19"/>
        <v>60636</v>
      </c>
    </row>
    <row r="73" spans="1:20">
      <c r="A73" s="23" t="s">
        <v>74</v>
      </c>
      <c r="B73" s="35" t="s">
        <v>49</v>
      </c>
      <c r="C73" s="36">
        <v>12282</v>
      </c>
      <c r="D73" s="6"/>
      <c r="E73" s="113">
        <v>1143894619</v>
      </c>
      <c r="F73" s="116">
        <f t="shared" si="14"/>
        <v>93135.858899202081</v>
      </c>
      <c r="G73" s="117">
        <v>732786914</v>
      </c>
      <c r="H73" s="117">
        <f t="shared" si="15"/>
        <v>59663.484285946914</v>
      </c>
      <c r="I73" s="7"/>
      <c r="J73" s="10">
        <v>6.5525000000000002</v>
      </c>
      <c r="K73" s="117">
        <v>4801586</v>
      </c>
      <c r="L73" s="120">
        <f t="shared" si="13"/>
        <v>390.94496010421756</v>
      </c>
      <c r="M73" s="122">
        <f t="shared" si="20"/>
        <v>7327869.1400000006</v>
      </c>
      <c r="N73" s="116">
        <f t="shared" si="21"/>
        <v>2526283.1400000006</v>
      </c>
      <c r="O73" s="123">
        <f t="shared" si="22"/>
        <v>205.68988275525163</v>
      </c>
      <c r="P73" s="5"/>
      <c r="Q73" s="5">
        <f t="shared" si="16"/>
        <v>1</v>
      </c>
      <c r="R73" s="7">
        <f t="shared" si="17"/>
        <v>12282</v>
      </c>
      <c r="S73" s="5">
        <f t="shared" si="18"/>
        <v>1</v>
      </c>
      <c r="T73" s="7">
        <f t="shared" si="19"/>
        <v>12282</v>
      </c>
    </row>
    <row r="74" spans="1:20">
      <c r="A74" s="23" t="s">
        <v>75</v>
      </c>
      <c r="B74" s="35" t="s">
        <v>76</v>
      </c>
      <c r="C74" s="36">
        <v>548</v>
      </c>
      <c r="D74" s="6"/>
      <c r="E74" s="113">
        <v>11161135</v>
      </c>
      <c r="F74" s="116">
        <f t="shared" si="14"/>
        <v>20367.034671532845</v>
      </c>
      <c r="G74" s="117">
        <v>5309394</v>
      </c>
      <c r="H74" s="117">
        <f t="shared" si="15"/>
        <v>9688.6751824817511</v>
      </c>
      <c r="I74" s="98" t="s">
        <v>528</v>
      </c>
      <c r="J74" s="10"/>
      <c r="K74" s="117"/>
      <c r="L74" s="120"/>
      <c r="M74" s="122">
        <f t="shared" si="20"/>
        <v>53093.94</v>
      </c>
      <c r="N74" s="116">
        <f t="shared" si="21"/>
        <v>53093.94</v>
      </c>
      <c r="O74" s="123">
        <f t="shared" si="22"/>
        <v>96.886751824817523</v>
      </c>
      <c r="P74" s="5"/>
      <c r="Q74" s="5">
        <f t="shared" si="16"/>
        <v>1</v>
      </c>
      <c r="R74" s="7">
        <f t="shared" si="17"/>
        <v>548</v>
      </c>
      <c r="S74" s="5">
        <f t="shared" si="18"/>
        <v>0</v>
      </c>
      <c r="T74" s="7">
        <f t="shared" si="19"/>
        <v>0</v>
      </c>
    </row>
    <row r="75" spans="1:20">
      <c r="A75" s="23" t="s">
        <v>77</v>
      </c>
      <c r="B75" s="35" t="s">
        <v>76</v>
      </c>
      <c r="C75" s="36">
        <v>2452</v>
      </c>
      <c r="D75" s="6"/>
      <c r="E75" s="113">
        <v>79795142</v>
      </c>
      <c r="F75" s="116">
        <f t="shared" si="14"/>
        <v>32542.880097879282</v>
      </c>
      <c r="G75" s="117">
        <v>49136970</v>
      </c>
      <c r="H75" s="117">
        <f t="shared" si="15"/>
        <v>20039.547308319739</v>
      </c>
      <c r="I75" s="7"/>
      <c r="J75" s="10">
        <v>1.5</v>
      </c>
      <c r="K75" s="117">
        <v>73705</v>
      </c>
      <c r="L75" s="120">
        <f t="shared" ref="L75:L81" si="23">(K75/C75)</f>
        <v>30.059135399673735</v>
      </c>
      <c r="M75" s="122">
        <f t="shared" si="20"/>
        <v>491369.7</v>
      </c>
      <c r="N75" s="116">
        <f t="shared" si="21"/>
        <v>417664.7</v>
      </c>
      <c r="O75" s="123">
        <f t="shared" si="22"/>
        <v>170.33633768352365</v>
      </c>
      <c r="P75" s="5"/>
      <c r="Q75" s="5">
        <f t="shared" si="16"/>
        <v>1</v>
      </c>
      <c r="R75" s="7">
        <f t="shared" si="17"/>
        <v>2452</v>
      </c>
      <c r="S75" s="5">
        <f t="shared" si="18"/>
        <v>1</v>
      </c>
      <c r="T75" s="7">
        <f t="shared" si="19"/>
        <v>2452</v>
      </c>
    </row>
    <row r="76" spans="1:20">
      <c r="A76" s="23" t="s">
        <v>78</v>
      </c>
      <c r="B76" s="35" t="s">
        <v>79</v>
      </c>
      <c r="C76" s="36">
        <v>17168</v>
      </c>
      <c r="D76" s="6"/>
      <c r="E76" s="113">
        <v>3191408844</v>
      </c>
      <c r="F76" s="116">
        <f t="shared" si="14"/>
        <v>185892.8730195713</v>
      </c>
      <c r="G76" s="117">
        <v>2408481933</v>
      </c>
      <c r="H76" s="117">
        <f t="shared" si="15"/>
        <v>140289.02219245108</v>
      </c>
      <c r="I76" s="7"/>
      <c r="J76" s="10">
        <v>2.4771999999999998</v>
      </c>
      <c r="K76" s="117">
        <v>5966291</v>
      </c>
      <c r="L76" s="120">
        <f t="shared" si="23"/>
        <v>347.52393988816402</v>
      </c>
      <c r="M76" s="122">
        <f t="shared" si="20"/>
        <v>24084819.330000002</v>
      </c>
      <c r="N76" s="116">
        <f t="shared" si="21"/>
        <v>18118528.330000002</v>
      </c>
      <c r="O76" s="123">
        <f t="shared" si="22"/>
        <v>1055.3662820363468</v>
      </c>
      <c r="P76" s="5"/>
      <c r="Q76" s="5">
        <f t="shared" si="16"/>
        <v>1</v>
      </c>
      <c r="R76" s="7">
        <f t="shared" si="17"/>
        <v>17168</v>
      </c>
      <c r="S76" s="5">
        <f t="shared" si="18"/>
        <v>1</v>
      </c>
      <c r="T76" s="7">
        <f t="shared" si="19"/>
        <v>17168</v>
      </c>
    </row>
    <row r="77" spans="1:20">
      <c r="A77" s="23" t="s">
        <v>80</v>
      </c>
      <c r="B77" s="35" t="s">
        <v>81</v>
      </c>
      <c r="C77" s="36">
        <v>3685</v>
      </c>
      <c r="D77" s="6"/>
      <c r="E77" s="113">
        <v>482548405</v>
      </c>
      <c r="F77" s="116">
        <f t="shared" si="14"/>
        <v>130949.36363636363</v>
      </c>
      <c r="G77" s="117">
        <v>380647437</v>
      </c>
      <c r="H77" s="117">
        <f t="shared" si="15"/>
        <v>103296.45508819539</v>
      </c>
      <c r="I77" s="7"/>
      <c r="J77" s="10">
        <v>5.6</v>
      </c>
      <c r="K77" s="117">
        <v>2131625</v>
      </c>
      <c r="L77" s="120">
        <f t="shared" si="23"/>
        <v>578.4599728629579</v>
      </c>
      <c r="M77" s="122">
        <f t="shared" si="20"/>
        <v>3806474.37</v>
      </c>
      <c r="N77" s="116">
        <f t="shared" si="21"/>
        <v>1674849.37</v>
      </c>
      <c r="O77" s="123">
        <f t="shared" si="22"/>
        <v>454.50457801899597</v>
      </c>
      <c r="P77" s="5"/>
      <c r="Q77" s="5">
        <f t="shared" si="16"/>
        <v>1</v>
      </c>
      <c r="R77" s="7">
        <f t="shared" si="17"/>
        <v>3685</v>
      </c>
      <c r="S77" s="5">
        <f t="shared" si="18"/>
        <v>1</v>
      </c>
      <c r="T77" s="7">
        <f t="shared" si="19"/>
        <v>3685</v>
      </c>
    </row>
    <row r="78" spans="1:20">
      <c r="A78" s="23" t="s">
        <v>82</v>
      </c>
      <c r="B78" s="35" t="s">
        <v>81</v>
      </c>
      <c r="C78" s="36">
        <v>7105</v>
      </c>
      <c r="D78" s="6"/>
      <c r="E78" s="113">
        <v>552739598</v>
      </c>
      <c r="F78" s="116">
        <f t="shared" si="14"/>
        <v>77795.861787473608</v>
      </c>
      <c r="G78" s="117">
        <v>314134599</v>
      </c>
      <c r="H78" s="117">
        <f t="shared" si="15"/>
        <v>44213.173680506683</v>
      </c>
      <c r="I78" s="7"/>
      <c r="J78" s="11">
        <v>5.5080999999999998</v>
      </c>
      <c r="K78" s="117">
        <v>1730284</v>
      </c>
      <c r="L78" s="120">
        <f t="shared" si="23"/>
        <v>243.53047149894439</v>
      </c>
      <c r="M78" s="122">
        <f t="shared" si="20"/>
        <v>3141345.99</v>
      </c>
      <c r="N78" s="116">
        <f t="shared" si="21"/>
        <v>1411061.9900000002</v>
      </c>
      <c r="O78" s="123">
        <f t="shared" si="22"/>
        <v>198.60126530612249</v>
      </c>
      <c r="P78" s="5"/>
      <c r="Q78" s="5">
        <f t="shared" si="16"/>
        <v>1</v>
      </c>
      <c r="R78" s="7">
        <f t="shared" si="17"/>
        <v>7105</v>
      </c>
      <c r="S78" s="5">
        <f t="shared" si="18"/>
        <v>1</v>
      </c>
      <c r="T78" s="7">
        <f t="shared" si="19"/>
        <v>7105</v>
      </c>
    </row>
    <row r="79" spans="1:20">
      <c r="A79" s="23" t="s">
        <v>83</v>
      </c>
      <c r="B79" s="35" t="s">
        <v>84</v>
      </c>
      <c r="C79" s="36">
        <v>5957</v>
      </c>
      <c r="D79" s="6"/>
      <c r="E79" s="113">
        <v>356513408</v>
      </c>
      <c r="F79" s="116">
        <f t="shared" si="14"/>
        <v>59847.810642941076</v>
      </c>
      <c r="G79" s="117">
        <v>253939797</v>
      </c>
      <c r="H79" s="117">
        <f t="shared" si="15"/>
        <v>42628.805942588551</v>
      </c>
      <c r="I79" s="7"/>
      <c r="J79" s="10">
        <v>2.6110000000000002</v>
      </c>
      <c r="K79" s="117">
        <v>663036</v>
      </c>
      <c r="L79" s="120">
        <f t="shared" si="23"/>
        <v>111.30367634715461</v>
      </c>
      <c r="M79" s="122">
        <f t="shared" si="20"/>
        <v>2539397.9700000002</v>
      </c>
      <c r="N79" s="116">
        <f t="shared" si="21"/>
        <v>1876361.9700000002</v>
      </c>
      <c r="O79" s="123">
        <f t="shared" si="22"/>
        <v>314.98438307873096</v>
      </c>
      <c r="P79" s="5"/>
      <c r="Q79" s="5">
        <f t="shared" si="16"/>
        <v>1</v>
      </c>
      <c r="R79" s="7">
        <f t="shared" si="17"/>
        <v>5957</v>
      </c>
      <c r="S79" s="5">
        <f t="shared" si="18"/>
        <v>1</v>
      </c>
      <c r="T79" s="7">
        <f t="shared" si="19"/>
        <v>5957</v>
      </c>
    </row>
    <row r="80" spans="1:20">
      <c r="A80" s="23" t="s">
        <v>85</v>
      </c>
      <c r="B80" s="35" t="s">
        <v>84</v>
      </c>
      <c r="C80" s="36">
        <v>1383</v>
      </c>
      <c r="D80" s="6"/>
      <c r="E80" s="113">
        <v>70281695</v>
      </c>
      <c r="F80" s="116">
        <f t="shared" ref="F80:F92" si="24">(E80/C80)</f>
        <v>50818.289949385391</v>
      </c>
      <c r="G80" s="117">
        <v>43660834</v>
      </c>
      <c r="H80" s="117">
        <f t="shared" ref="H80:H92" si="25">(G80/C80)</f>
        <v>31569.655820679684</v>
      </c>
      <c r="I80" s="7"/>
      <c r="J80" s="10">
        <v>2</v>
      </c>
      <c r="K80" s="117">
        <v>87321</v>
      </c>
      <c r="L80" s="120">
        <f t="shared" si="23"/>
        <v>63.138828633405637</v>
      </c>
      <c r="M80" s="122">
        <f t="shared" si="20"/>
        <v>436608.34</v>
      </c>
      <c r="N80" s="116">
        <f t="shared" si="21"/>
        <v>349287.34</v>
      </c>
      <c r="O80" s="123">
        <f t="shared" si="22"/>
        <v>252.55772957339119</v>
      </c>
      <c r="P80" s="5"/>
      <c r="Q80" s="5">
        <f t="shared" si="16"/>
        <v>1</v>
      </c>
      <c r="R80" s="7">
        <f t="shared" si="17"/>
        <v>1383</v>
      </c>
      <c r="S80" s="5">
        <f t="shared" si="18"/>
        <v>1</v>
      </c>
      <c r="T80" s="7">
        <f t="shared" si="19"/>
        <v>1383</v>
      </c>
    </row>
    <row r="81" spans="1:20">
      <c r="A81" s="23" t="s">
        <v>86</v>
      </c>
      <c r="B81" s="35" t="s">
        <v>84</v>
      </c>
      <c r="C81" s="36">
        <v>9093</v>
      </c>
      <c r="D81" s="6"/>
      <c r="E81" s="113">
        <v>650945754</v>
      </c>
      <c r="F81" s="116">
        <f t="shared" si="24"/>
        <v>71587.567799406141</v>
      </c>
      <c r="G81" s="117">
        <v>421395270</v>
      </c>
      <c r="H81" s="117">
        <f t="shared" si="25"/>
        <v>46342.820851204226</v>
      </c>
      <c r="I81" s="7"/>
      <c r="J81" s="10">
        <v>5</v>
      </c>
      <c r="K81" s="117">
        <v>2106976</v>
      </c>
      <c r="L81" s="120">
        <f t="shared" si="23"/>
        <v>231.71406576487408</v>
      </c>
      <c r="M81" s="122">
        <f t="shared" si="20"/>
        <v>4213952.7</v>
      </c>
      <c r="N81" s="116">
        <f t="shared" si="21"/>
        <v>2106976.7000000002</v>
      </c>
      <c r="O81" s="123">
        <f t="shared" si="22"/>
        <v>231.71414274716818</v>
      </c>
      <c r="P81" s="5"/>
      <c r="Q81" s="5">
        <f t="shared" si="16"/>
        <v>1</v>
      </c>
      <c r="R81" s="7">
        <f t="shared" si="17"/>
        <v>9093</v>
      </c>
      <c r="S81" s="5">
        <f t="shared" si="18"/>
        <v>1</v>
      </c>
      <c r="T81" s="7">
        <f t="shared" si="19"/>
        <v>9093</v>
      </c>
    </row>
    <row r="82" spans="1:20">
      <c r="A82" s="23" t="s">
        <v>87</v>
      </c>
      <c r="B82" s="35" t="s">
        <v>84</v>
      </c>
      <c r="C82" s="36">
        <v>627</v>
      </c>
      <c r="D82" s="6"/>
      <c r="E82" s="113">
        <v>23673927</v>
      </c>
      <c r="F82" s="116">
        <f t="shared" si="24"/>
        <v>37757.459330143538</v>
      </c>
      <c r="G82" s="117">
        <v>7337434</v>
      </c>
      <c r="H82" s="117">
        <f t="shared" si="25"/>
        <v>11702.446570972887</v>
      </c>
      <c r="I82" s="98" t="s">
        <v>528</v>
      </c>
      <c r="J82" s="10"/>
      <c r="K82" s="117"/>
      <c r="L82" s="120"/>
      <c r="M82" s="122">
        <f t="shared" si="20"/>
        <v>73374.34</v>
      </c>
      <c r="N82" s="116">
        <f t="shared" si="21"/>
        <v>73374.34</v>
      </c>
      <c r="O82" s="123">
        <f t="shared" si="22"/>
        <v>117.02446570972886</v>
      </c>
      <c r="P82" s="5"/>
      <c r="Q82" s="5">
        <f t="shared" si="16"/>
        <v>1</v>
      </c>
      <c r="R82" s="7">
        <f t="shared" si="17"/>
        <v>627</v>
      </c>
      <c r="S82" s="5">
        <f t="shared" si="18"/>
        <v>0</v>
      </c>
      <c r="T82" s="7">
        <f t="shared" si="19"/>
        <v>0</v>
      </c>
    </row>
    <row r="83" spans="1:20">
      <c r="A83" s="23" t="s">
        <v>88</v>
      </c>
      <c r="B83" s="35" t="s">
        <v>89</v>
      </c>
      <c r="C83" s="36">
        <v>527</v>
      </c>
      <c r="D83" s="6"/>
      <c r="E83" s="113">
        <v>85261568</v>
      </c>
      <c r="F83" s="116">
        <f t="shared" si="24"/>
        <v>161786.65654648957</v>
      </c>
      <c r="G83" s="117">
        <v>63222007</v>
      </c>
      <c r="H83" s="117">
        <f t="shared" si="25"/>
        <v>119965.85768500948</v>
      </c>
      <c r="I83" s="7"/>
      <c r="J83" s="10">
        <v>3.0032999999999999</v>
      </c>
      <c r="K83" s="117">
        <v>189874</v>
      </c>
      <c r="L83" s="120">
        <f>(K83/C83)</f>
        <v>360.29222011385201</v>
      </c>
      <c r="M83" s="122">
        <f t="shared" si="20"/>
        <v>632220.07000000007</v>
      </c>
      <c r="N83" s="116">
        <f t="shared" si="21"/>
        <v>442346.07000000007</v>
      </c>
      <c r="O83" s="123">
        <f t="shared" si="22"/>
        <v>839.36635673624301</v>
      </c>
      <c r="P83" s="5"/>
      <c r="Q83" s="5">
        <f t="shared" si="16"/>
        <v>1</v>
      </c>
      <c r="R83" s="7">
        <f t="shared" si="17"/>
        <v>527</v>
      </c>
      <c r="S83" s="5">
        <f t="shared" si="18"/>
        <v>1</v>
      </c>
      <c r="T83" s="7">
        <f t="shared" si="19"/>
        <v>527</v>
      </c>
    </row>
    <row r="84" spans="1:20">
      <c r="A84" s="23" t="s">
        <v>90</v>
      </c>
      <c r="B84" s="35" t="s">
        <v>89</v>
      </c>
      <c r="C84" s="36">
        <v>15576</v>
      </c>
      <c r="D84" s="6"/>
      <c r="E84" s="113">
        <v>8206796362</v>
      </c>
      <c r="F84" s="116">
        <f t="shared" si="24"/>
        <v>526887.28569594247</v>
      </c>
      <c r="G84" s="117">
        <v>7106800384</v>
      </c>
      <c r="H84" s="117">
        <f t="shared" si="25"/>
        <v>456266.07498715975</v>
      </c>
      <c r="I84" s="7"/>
      <c r="J84" s="10">
        <v>1.54</v>
      </c>
      <c r="K84" s="117">
        <v>10944472</v>
      </c>
      <c r="L84" s="120">
        <f>(K84/C84)</f>
        <v>702.64971751412429</v>
      </c>
      <c r="M84" s="122">
        <f t="shared" si="20"/>
        <v>71068003.840000004</v>
      </c>
      <c r="N84" s="116">
        <f t="shared" si="21"/>
        <v>60123531.840000004</v>
      </c>
      <c r="O84" s="123">
        <f t="shared" si="22"/>
        <v>3860.0110323574731</v>
      </c>
      <c r="P84" s="5"/>
      <c r="Q84" s="5">
        <f t="shared" si="16"/>
        <v>1</v>
      </c>
      <c r="R84" s="7">
        <f t="shared" si="17"/>
        <v>15576</v>
      </c>
      <c r="S84" s="5">
        <f t="shared" si="18"/>
        <v>1</v>
      </c>
      <c r="T84" s="7">
        <f t="shared" si="19"/>
        <v>15576</v>
      </c>
    </row>
    <row r="85" spans="1:20">
      <c r="A85" s="23" t="s">
        <v>91</v>
      </c>
      <c r="B85" s="35" t="s">
        <v>89</v>
      </c>
      <c r="C85" s="36">
        <v>22443</v>
      </c>
      <c r="D85" s="6"/>
      <c r="E85" s="113">
        <v>15427299073</v>
      </c>
      <c r="F85" s="116">
        <f t="shared" si="24"/>
        <v>687399.14775208302</v>
      </c>
      <c r="G85" s="117">
        <v>12168219538</v>
      </c>
      <c r="H85" s="117">
        <f t="shared" si="25"/>
        <v>542183.2882413225</v>
      </c>
      <c r="I85" s="7"/>
      <c r="J85" s="10">
        <v>1.1599999999999999</v>
      </c>
      <c r="K85" s="117">
        <v>14115134</v>
      </c>
      <c r="L85" s="120">
        <f>(K85/C85)</f>
        <v>628.93258477030702</v>
      </c>
      <c r="M85" s="122">
        <f t="shared" si="20"/>
        <v>121682195.38</v>
      </c>
      <c r="N85" s="116">
        <f t="shared" si="21"/>
        <v>107567061.38</v>
      </c>
      <c r="O85" s="123">
        <f t="shared" si="22"/>
        <v>4792.9002976429174</v>
      </c>
      <c r="P85" s="5"/>
      <c r="Q85" s="5">
        <f t="shared" si="16"/>
        <v>1</v>
      </c>
      <c r="R85" s="7">
        <f t="shared" si="17"/>
        <v>22443</v>
      </c>
      <c r="S85" s="5">
        <f t="shared" si="18"/>
        <v>1</v>
      </c>
      <c r="T85" s="7">
        <f t="shared" si="19"/>
        <v>22443</v>
      </c>
    </row>
    <row r="86" spans="1:20">
      <c r="A86" s="23" t="s">
        <v>92</v>
      </c>
      <c r="B86" s="35" t="s">
        <v>93</v>
      </c>
      <c r="C86" s="36">
        <v>423</v>
      </c>
      <c r="D86" s="6"/>
      <c r="E86" s="113">
        <v>21265393</v>
      </c>
      <c r="F86" s="116">
        <f t="shared" si="24"/>
        <v>50272.796690307332</v>
      </c>
      <c r="G86" s="117">
        <v>10691027</v>
      </c>
      <c r="H86" s="117">
        <f t="shared" si="25"/>
        <v>25274.29550827423</v>
      </c>
      <c r="I86" s="98" t="s">
        <v>528</v>
      </c>
      <c r="J86" s="11"/>
      <c r="K86" s="117"/>
      <c r="L86" s="120"/>
      <c r="M86" s="122">
        <f t="shared" si="20"/>
        <v>106910.27</v>
      </c>
      <c r="N86" s="116">
        <f t="shared" si="21"/>
        <v>106910.27</v>
      </c>
      <c r="O86" s="123">
        <f t="shared" si="22"/>
        <v>252.74295508274233</v>
      </c>
      <c r="P86" s="5"/>
      <c r="Q86" s="5">
        <f t="shared" si="16"/>
        <v>1</v>
      </c>
      <c r="R86" s="7">
        <f t="shared" si="17"/>
        <v>423</v>
      </c>
      <c r="S86" s="5">
        <f t="shared" si="18"/>
        <v>0</v>
      </c>
      <c r="T86" s="7">
        <f t="shared" si="19"/>
        <v>0</v>
      </c>
    </row>
    <row r="87" spans="1:20">
      <c r="A87" s="23" t="s">
        <v>94</v>
      </c>
      <c r="B87" s="35" t="s">
        <v>93</v>
      </c>
      <c r="C87" s="36">
        <v>10657</v>
      </c>
      <c r="D87" s="6"/>
      <c r="E87" s="113">
        <v>759765702</v>
      </c>
      <c r="F87" s="116">
        <f t="shared" si="24"/>
        <v>71292.643520690632</v>
      </c>
      <c r="G87" s="117">
        <v>472518779</v>
      </c>
      <c r="H87" s="117">
        <f t="shared" si="25"/>
        <v>44338.81758468612</v>
      </c>
      <c r="I87" s="7"/>
      <c r="J87" s="10">
        <v>3.5550000000000002</v>
      </c>
      <c r="K87" s="117">
        <v>1679804</v>
      </c>
      <c r="L87" s="120">
        <f t="shared" ref="L87:L92" si="26">(K87/C87)</f>
        <v>157.62447217791123</v>
      </c>
      <c r="M87" s="122">
        <f t="shared" si="20"/>
        <v>4725187.79</v>
      </c>
      <c r="N87" s="116">
        <f t="shared" si="21"/>
        <v>3045383.79</v>
      </c>
      <c r="O87" s="123">
        <f t="shared" si="22"/>
        <v>285.76370366894997</v>
      </c>
      <c r="P87" s="5"/>
      <c r="Q87" s="5">
        <f t="shared" si="16"/>
        <v>1</v>
      </c>
      <c r="R87" s="7">
        <f t="shared" si="17"/>
        <v>10657</v>
      </c>
      <c r="S87" s="5">
        <f t="shared" si="18"/>
        <v>1</v>
      </c>
      <c r="T87" s="7">
        <f t="shared" si="19"/>
        <v>10657</v>
      </c>
    </row>
    <row r="88" spans="1:20">
      <c r="A88" s="23" t="s">
        <v>95</v>
      </c>
      <c r="B88" s="35" t="s">
        <v>468</v>
      </c>
      <c r="C88" s="36">
        <v>6854</v>
      </c>
      <c r="D88" s="6"/>
      <c r="E88" s="113">
        <v>270841500</v>
      </c>
      <c r="F88" s="116">
        <f t="shared" si="24"/>
        <v>39515.830172162241</v>
      </c>
      <c r="G88" s="117">
        <v>156221922</v>
      </c>
      <c r="H88" s="117">
        <f t="shared" si="25"/>
        <v>22792.810329734461</v>
      </c>
      <c r="I88" s="7"/>
      <c r="J88" s="10">
        <v>8.9962999999999997</v>
      </c>
      <c r="K88" s="117">
        <v>1405419</v>
      </c>
      <c r="L88" s="120">
        <f t="shared" si="26"/>
        <v>205.05091917128684</v>
      </c>
      <c r="M88" s="122">
        <f t="shared" si="20"/>
        <v>1562219.22</v>
      </c>
      <c r="N88" s="116">
        <f t="shared" si="21"/>
        <v>156800.21999999997</v>
      </c>
      <c r="O88" s="123">
        <f t="shared" si="22"/>
        <v>22.877184126057774</v>
      </c>
      <c r="P88" s="5"/>
      <c r="Q88" s="5">
        <f t="shared" si="16"/>
        <v>1</v>
      </c>
      <c r="R88" s="7">
        <f t="shared" si="17"/>
        <v>6854</v>
      </c>
      <c r="S88" s="5">
        <f t="shared" si="18"/>
        <v>1</v>
      </c>
      <c r="T88" s="7">
        <f t="shared" si="19"/>
        <v>6854</v>
      </c>
    </row>
    <row r="89" spans="1:20">
      <c r="A89" s="23" t="s">
        <v>96</v>
      </c>
      <c r="B89" s="35" t="s">
        <v>97</v>
      </c>
      <c r="C89" s="36">
        <v>1801</v>
      </c>
      <c r="D89" s="6"/>
      <c r="E89" s="113">
        <v>62243785</v>
      </c>
      <c r="F89" s="116">
        <f t="shared" si="24"/>
        <v>34560.680177679067</v>
      </c>
      <c r="G89" s="117">
        <v>23424331</v>
      </c>
      <c r="H89" s="117">
        <f t="shared" si="25"/>
        <v>13006.2915047196</v>
      </c>
      <c r="I89" s="8"/>
      <c r="J89" s="10">
        <v>5</v>
      </c>
      <c r="K89" s="117">
        <v>117121</v>
      </c>
      <c r="L89" s="120">
        <f t="shared" si="26"/>
        <v>65.031093836757364</v>
      </c>
      <c r="M89" s="122">
        <f t="shared" si="20"/>
        <v>234243.31</v>
      </c>
      <c r="N89" s="116">
        <f t="shared" si="21"/>
        <v>117122.31</v>
      </c>
      <c r="O89" s="123">
        <f t="shared" si="22"/>
        <v>65.03182121043865</v>
      </c>
      <c r="P89" s="5"/>
      <c r="Q89" s="5">
        <f t="shared" si="16"/>
        <v>1</v>
      </c>
      <c r="R89" s="7">
        <f t="shared" si="17"/>
        <v>1801</v>
      </c>
      <c r="S89" s="5">
        <f t="shared" si="18"/>
        <v>1</v>
      </c>
      <c r="T89" s="7">
        <f t="shared" si="19"/>
        <v>1801</v>
      </c>
    </row>
    <row r="90" spans="1:20">
      <c r="A90" s="23" t="s">
        <v>98</v>
      </c>
      <c r="B90" s="35" t="s">
        <v>97</v>
      </c>
      <c r="C90" s="36">
        <v>245</v>
      </c>
      <c r="D90" s="6"/>
      <c r="E90" s="113">
        <v>39803066</v>
      </c>
      <c r="F90" s="116">
        <f t="shared" si="24"/>
        <v>162461.49387755102</v>
      </c>
      <c r="G90" s="117">
        <v>32717058</v>
      </c>
      <c r="H90" s="117">
        <f t="shared" si="25"/>
        <v>133539.01224489795</v>
      </c>
      <c r="I90" s="8"/>
      <c r="J90" s="10">
        <v>3</v>
      </c>
      <c r="K90" s="117">
        <v>98151</v>
      </c>
      <c r="L90" s="120">
        <f t="shared" si="26"/>
        <v>400.61632653061224</v>
      </c>
      <c r="M90" s="122">
        <f t="shared" si="20"/>
        <v>327170.58</v>
      </c>
      <c r="N90" s="116">
        <f t="shared" si="21"/>
        <v>229019.58000000002</v>
      </c>
      <c r="O90" s="123">
        <f t="shared" si="22"/>
        <v>934.77379591836745</v>
      </c>
      <c r="P90" s="5"/>
      <c r="Q90" s="5">
        <f t="shared" si="16"/>
        <v>1</v>
      </c>
      <c r="R90" s="7">
        <f t="shared" si="17"/>
        <v>245</v>
      </c>
      <c r="S90" s="5">
        <f t="shared" si="18"/>
        <v>1</v>
      </c>
      <c r="T90" s="7">
        <f t="shared" si="19"/>
        <v>245</v>
      </c>
    </row>
    <row r="91" spans="1:20">
      <c r="A91" s="23" t="s">
        <v>99</v>
      </c>
      <c r="B91" s="35" t="s">
        <v>100</v>
      </c>
      <c r="C91" s="36">
        <v>14064</v>
      </c>
      <c r="D91" s="6"/>
      <c r="E91" s="113">
        <v>1547078829</v>
      </c>
      <c r="F91" s="116">
        <f t="shared" si="24"/>
        <v>110002.76087883959</v>
      </c>
      <c r="G91" s="117">
        <v>1022068128</v>
      </c>
      <c r="H91" s="117">
        <f t="shared" si="25"/>
        <v>72672.648464163824</v>
      </c>
      <c r="I91" s="9"/>
      <c r="J91" s="11">
        <v>3.0394000000000001</v>
      </c>
      <c r="K91" s="117">
        <v>3106473</v>
      </c>
      <c r="L91" s="120">
        <f t="shared" si="26"/>
        <v>220.88118600682594</v>
      </c>
      <c r="M91" s="122">
        <f t="shared" si="20"/>
        <v>10220681.279999999</v>
      </c>
      <c r="N91" s="116">
        <f t="shared" si="21"/>
        <v>7114208.2799999993</v>
      </c>
      <c r="O91" s="123">
        <f t="shared" si="22"/>
        <v>505.84529863481225</v>
      </c>
      <c r="P91" s="5"/>
      <c r="Q91" s="5">
        <f t="shared" si="16"/>
        <v>1</v>
      </c>
      <c r="R91" s="7">
        <f t="shared" si="17"/>
        <v>14064</v>
      </c>
      <c r="S91" s="5">
        <f t="shared" si="18"/>
        <v>1</v>
      </c>
      <c r="T91" s="7">
        <f t="shared" si="19"/>
        <v>14064</v>
      </c>
    </row>
    <row r="92" spans="1:20">
      <c r="A92" s="23" t="s">
        <v>101</v>
      </c>
      <c r="B92" s="35" t="s">
        <v>100</v>
      </c>
      <c r="C92" s="36">
        <v>1641</v>
      </c>
      <c r="D92" s="6"/>
      <c r="E92" s="113">
        <v>64877075</v>
      </c>
      <c r="F92" s="116">
        <f t="shared" si="24"/>
        <v>39535.085313833028</v>
      </c>
      <c r="G92" s="117">
        <v>40625549</v>
      </c>
      <c r="H92" s="117">
        <f t="shared" si="25"/>
        <v>24756.580743449118</v>
      </c>
      <c r="I92" s="9"/>
      <c r="J92" s="10">
        <v>2.2170000000000001</v>
      </c>
      <c r="K92" s="117">
        <v>90066</v>
      </c>
      <c r="L92" s="120">
        <f t="shared" si="26"/>
        <v>54.884826325411332</v>
      </c>
      <c r="M92" s="122">
        <f t="shared" si="20"/>
        <v>406255.49</v>
      </c>
      <c r="N92" s="116">
        <f t="shared" si="21"/>
        <v>316189.49</v>
      </c>
      <c r="O92" s="123">
        <f t="shared" si="22"/>
        <v>192.68098110907982</v>
      </c>
      <c r="P92" s="5"/>
      <c r="Q92" s="5">
        <f t="shared" si="16"/>
        <v>1</v>
      </c>
      <c r="R92" s="7">
        <f t="shared" si="17"/>
        <v>1641</v>
      </c>
      <c r="S92" s="5">
        <f t="shared" si="18"/>
        <v>1</v>
      </c>
      <c r="T92" s="7">
        <f t="shared" si="19"/>
        <v>1641</v>
      </c>
    </row>
    <row r="93" spans="1:20">
      <c r="A93" s="23" t="s">
        <v>102</v>
      </c>
      <c r="B93" s="35" t="s">
        <v>100</v>
      </c>
      <c r="C93" s="36">
        <v>795985</v>
      </c>
      <c r="D93" s="36" t="s">
        <v>504</v>
      </c>
      <c r="E93" s="113"/>
      <c r="F93" s="116"/>
      <c r="G93" s="117"/>
      <c r="H93" s="117"/>
      <c r="I93" s="9"/>
      <c r="J93" s="10"/>
      <c r="K93" s="117"/>
      <c r="L93" s="120"/>
      <c r="M93" s="122">
        <f t="shared" si="20"/>
        <v>0</v>
      </c>
      <c r="N93" s="116">
        <f t="shared" si="21"/>
        <v>0</v>
      </c>
      <c r="O93" s="123">
        <f t="shared" si="22"/>
        <v>0</v>
      </c>
      <c r="P93" s="5"/>
      <c r="Q93" s="5">
        <f t="shared" si="16"/>
        <v>0</v>
      </c>
      <c r="R93" s="7">
        <f t="shared" si="17"/>
        <v>0</v>
      </c>
      <c r="S93" s="5">
        <f t="shared" si="18"/>
        <v>0</v>
      </c>
      <c r="T93" s="7">
        <f t="shared" si="19"/>
        <v>0</v>
      </c>
    </row>
    <row r="94" spans="1:20">
      <c r="A94" s="23" t="s">
        <v>103</v>
      </c>
      <c r="B94" s="35" t="s">
        <v>100</v>
      </c>
      <c r="C94" s="36">
        <v>21544</v>
      </c>
      <c r="D94" s="6"/>
      <c r="E94" s="113">
        <v>2625362906</v>
      </c>
      <c r="F94" s="116">
        <f t="shared" ref="F94:F157" si="27">(E94/C94)</f>
        <v>121860.5136464909</v>
      </c>
      <c r="G94" s="117">
        <v>1901267051</v>
      </c>
      <c r="H94" s="117">
        <f t="shared" ref="H94:H157" si="28">(G94/C94)</f>
        <v>88250.420116969923</v>
      </c>
      <c r="I94" s="9"/>
      <c r="J94" s="10">
        <v>3.9070999999999998</v>
      </c>
      <c r="K94" s="117">
        <v>7428440</v>
      </c>
      <c r="L94" s="120">
        <f t="shared" ref="L94:L100" si="29">(K94/C94)</f>
        <v>344.80319346453769</v>
      </c>
      <c r="M94" s="122">
        <f t="shared" si="20"/>
        <v>19012670.510000002</v>
      </c>
      <c r="N94" s="116">
        <f t="shared" si="21"/>
        <v>11584230.510000002</v>
      </c>
      <c r="O94" s="123">
        <f t="shared" si="22"/>
        <v>537.7010077051616</v>
      </c>
      <c r="P94" s="5"/>
      <c r="Q94" s="5">
        <f t="shared" si="16"/>
        <v>1</v>
      </c>
      <c r="R94" s="7">
        <f t="shared" si="17"/>
        <v>21544</v>
      </c>
      <c r="S94" s="5">
        <f t="shared" si="18"/>
        <v>1</v>
      </c>
      <c r="T94" s="7">
        <f t="shared" si="19"/>
        <v>21544</v>
      </c>
    </row>
    <row r="95" spans="1:20">
      <c r="A95" s="23" t="s">
        <v>104</v>
      </c>
      <c r="B95" s="35" t="s">
        <v>100</v>
      </c>
      <c r="C95" s="36">
        <v>7240</v>
      </c>
      <c r="D95" s="6"/>
      <c r="E95" s="113">
        <v>793221467</v>
      </c>
      <c r="F95" s="116">
        <f t="shared" si="27"/>
        <v>109560.97610497237</v>
      </c>
      <c r="G95" s="117">
        <v>536983789</v>
      </c>
      <c r="H95" s="117">
        <f t="shared" si="28"/>
        <v>74169.031629834251</v>
      </c>
      <c r="I95" s="9"/>
      <c r="J95" s="10">
        <v>2.9</v>
      </c>
      <c r="K95" s="117">
        <v>1557252</v>
      </c>
      <c r="L95" s="120">
        <f t="shared" si="29"/>
        <v>215.0900552486188</v>
      </c>
      <c r="M95" s="122">
        <f t="shared" si="20"/>
        <v>5369837.8899999997</v>
      </c>
      <c r="N95" s="116">
        <f t="shared" si="21"/>
        <v>3812585.8899999997</v>
      </c>
      <c r="O95" s="123">
        <f t="shared" si="22"/>
        <v>526.60026104972371</v>
      </c>
      <c r="P95" s="5"/>
      <c r="Q95" s="5">
        <f t="shared" si="16"/>
        <v>1</v>
      </c>
      <c r="R95" s="7">
        <f t="shared" si="17"/>
        <v>7240</v>
      </c>
      <c r="S95" s="5">
        <f t="shared" si="18"/>
        <v>1</v>
      </c>
      <c r="T95" s="7">
        <f t="shared" si="19"/>
        <v>7240</v>
      </c>
    </row>
    <row r="96" spans="1:20">
      <c r="A96" s="23" t="s">
        <v>105</v>
      </c>
      <c r="B96" s="35" t="s">
        <v>106</v>
      </c>
      <c r="C96" s="36">
        <v>1728</v>
      </c>
      <c r="D96" s="6"/>
      <c r="E96" s="113">
        <v>54514103</v>
      </c>
      <c r="F96" s="116">
        <f t="shared" si="27"/>
        <v>31547.513310185186</v>
      </c>
      <c r="G96" s="117">
        <v>32106533</v>
      </c>
      <c r="H96" s="117">
        <f t="shared" si="28"/>
        <v>18580.169560185186</v>
      </c>
      <c r="I96" s="7"/>
      <c r="J96" s="10">
        <v>0.82799999999999996</v>
      </c>
      <c r="K96" s="117">
        <v>26584</v>
      </c>
      <c r="L96" s="120">
        <f t="shared" si="29"/>
        <v>15.38425925925926</v>
      </c>
      <c r="M96" s="122">
        <f t="shared" si="20"/>
        <v>321065.33</v>
      </c>
      <c r="N96" s="116">
        <f t="shared" si="21"/>
        <v>294481.33</v>
      </c>
      <c r="O96" s="123">
        <f t="shared" si="22"/>
        <v>170.41743634259259</v>
      </c>
      <c r="P96" s="5"/>
      <c r="Q96" s="5">
        <f t="shared" si="16"/>
        <v>1</v>
      </c>
      <c r="R96" s="7">
        <f t="shared" si="17"/>
        <v>1728</v>
      </c>
      <c r="S96" s="5">
        <f t="shared" si="18"/>
        <v>1</v>
      </c>
      <c r="T96" s="7">
        <f t="shared" si="19"/>
        <v>1728</v>
      </c>
    </row>
    <row r="97" spans="1:20">
      <c r="A97" s="23" t="s">
        <v>107</v>
      </c>
      <c r="B97" s="35" t="s">
        <v>106</v>
      </c>
      <c r="C97" s="36">
        <v>56366</v>
      </c>
      <c r="D97" s="6"/>
      <c r="E97" s="113">
        <v>4023087964</v>
      </c>
      <c r="F97" s="116">
        <f t="shared" si="27"/>
        <v>71374.373984316786</v>
      </c>
      <c r="G97" s="117">
        <v>2602652955</v>
      </c>
      <c r="H97" s="117">
        <f t="shared" si="28"/>
        <v>46174.164478586383</v>
      </c>
      <c r="I97" s="7"/>
      <c r="J97" s="10">
        <v>5.0570000000000004</v>
      </c>
      <c r="K97" s="117">
        <v>13161615</v>
      </c>
      <c r="L97" s="120">
        <f t="shared" si="29"/>
        <v>233.50273214349076</v>
      </c>
      <c r="M97" s="122">
        <f t="shared" si="20"/>
        <v>26026529.550000001</v>
      </c>
      <c r="N97" s="116">
        <f t="shared" si="21"/>
        <v>12864914.550000001</v>
      </c>
      <c r="O97" s="123">
        <f t="shared" si="22"/>
        <v>228.23891264237307</v>
      </c>
      <c r="P97" s="5"/>
      <c r="Q97" s="5">
        <f t="shared" si="16"/>
        <v>1</v>
      </c>
      <c r="R97" s="7">
        <f t="shared" si="17"/>
        <v>56366</v>
      </c>
      <c r="S97" s="5">
        <f t="shared" si="18"/>
        <v>1</v>
      </c>
      <c r="T97" s="7">
        <f t="shared" si="19"/>
        <v>56366</v>
      </c>
    </row>
    <row r="98" spans="1:20">
      <c r="A98" s="23" t="s">
        <v>108</v>
      </c>
      <c r="B98" s="35" t="s">
        <v>109</v>
      </c>
      <c r="C98" s="36">
        <v>557</v>
      </c>
      <c r="D98" s="6"/>
      <c r="E98" s="113">
        <v>46436977</v>
      </c>
      <c r="F98" s="116">
        <f t="shared" si="27"/>
        <v>83369.797127468584</v>
      </c>
      <c r="G98" s="117">
        <v>38076192</v>
      </c>
      <c r="H98" s="117">
        <f t="shared" si="28"/>
        <v>68359.411131059242</v>
      </c>
      <c r="I98" s="7"/>
      <c r="J98" s="10">
        <v>2.3197999999999999</v>
      </c>
      <c r="K98" s="117">
        <v>88329</v>
      </c>
      <c r="L98" s="120">
        <f t="shared" si="29"/>
        <v>158.57989228007182</v>
      </c>
      <c r="M98" s="122">
        <f t="shared" si="20"/>
        <v>380761.92</v>
      </c>
      <c r="N98" s="116">
        <f t="shared" si="21"/>
        <v>292432.92</v>
      </c>
      <c r="O98" s="123">
        <f t="shared" si="22"/>
        <v>525.01421903052062</v>
      </c>
      <c r="P98" s="5"/>
      <c r="Q98" s="5">
        <f t="shared" si="16"/>
        <v>1</v>
      </c>
      <c r="R98" s="7">
        <f t="shared" si="17"/>
        <v>557</v>
      </c>
      <c r="S98" s="5">
        <f t="shared" si="18"/>
        <v>1</v>
      </c>
      <c r="T98" s="7">
        <f t="shared" si="19"/>
        <v>557</v>
      </c>
    </row>
    <row r="99" spans="1:20">
      <c r="A99" s="23" t="s">
        <v>110</v>
      </c>
      <c r="B99" s="35" t="s">
        <v>109</v>
      </c>
      <c r="C99" s="36">
        <v>2239</v>
      </c>
      <c r="D99" s="6"/>
      <c r="E99" s="113">
        <v>155538058</v>
      </c>
      <c r="F99" s="116">
        <f t="shared" si="27"/>
        <v>69467.645377400622</v>
      </c>
      <c r="G99" s="117">
        <v>99516449</v>
      </c>
      <c r="H99" s="117">
        <f t="shared" si="28"/>
        <v>44446.828494863781</v>
      </c>
      <c r="I99" s="7"/>
      <c r="J99" s="10">
        <v>5.9</v>
      </c>
      <c r="K99" s="117">
        <v>587147</v>
      </c>
      <c r="L99" s="120">
        <f t="shared" si="29"/>
        <v>262.23626619026351</v>
      </c>
      <c r="M99" s="122">
        <f t="shared" si="20"/>
        <v>995164.49</v>
      </c>
      <c r="N99" s="116">
        <f t="shared" si="21"/>
        <v>408017.49</v>
      </c>
      <c r="O99" s="123">
        <f t="shared" si="22"/>
        <v>182.23201875837427</v>
      </c>
      <c r="P99" s="5"/>
      <c r="Q99" s="5">
        <f t="shared" si="16"/>
        <v>1</v>
      </c>
      <c r="R99" s="7">
        <f t="shared" si="17"/>
        <v>2239</v>
      </c>
      <c r="S99" s="5">
        <f t="shared" si="18"/>
        <v>1</v>
      </c>
      <c r="T99" s="7">
        <f t="shared" si="19"/>
        <v>2239</v>
      </c>
    </row>
    <row r="100" spans="1:20">
      <c r="A100" s="23" t="s">
        <v>447</v>
      </c>
      <c r="B100" s="35" t="s">
        <v>109</v>
      </c>
      <c r="C100" s="36">
        <v>50484</v>
      </c>
      <c r="D100" s="6"/>
      <c r="E100" s="113">
        <v>4229519827</v>
      </c>
      <c r="F100" s="116">
        <f t="shared" si="27"/>
        <v>83779.411833452177</v>
      </c>
      <c r="G100" s="117">
        <v>3107581090</v>
      </c>
      <c r="H100" s="117">
        <f t="shared" si="28"/>
        <v>61555.762023611438</v>
      </c>
      <c r="I100" s="7"/>
      <c r="J100" s="10">
        <v>3.4</v>
      </c>
      <c r="K100" s="117">
        <v>10565775</v>
      </c>
      <c r="L100" s="120">
        <f t="shared" si="29"/>
        <v>209.2895768956501</v>
      </c>
      <c r="M100" s="122">
        <f t="shared" si="20"/>
        <v>31075810.900000002</v>
      </c>
      <c r="N100" s="116">
        <f t="shared" si="21"/>
        <v>20510035.900000002</v>
      </c>
      <c r="O100" s="123">
        <f t="shared" si="22"/>
        <v>406.26804334046437</v>
      </c>
      <c r="P100" s="5"/>
      <c r="Q100" s="5">
        <f t="shared" si="16"/>
        <v>1</v>
      </c>
      <c r="R100" s="7">
        <f t="shared" si="17"/>
        <v>50484</v>
      </c>
      <c r="S100" s="5">
        <f t="shared" si="18"/>
        <v>1</v>
      </c>
      <c r="T100" s="7">
        <f t="shared" si="19"/>
        <v>50484</v>
      </c>
    </row>
    <row r="101" spans="1:20">
      <c r="A101" s="23" t="s">
        <v>111</v>
      </c>
      <c r="B101" s="35" t="s">
        <v>557</v>
      </c>
      <c r="C101" s="36">
        <v>10</v>
      </c>
      <c r="D101" s="6"/>
      <c r="E101" s="113">
        <v>25319568</v>
      </c>
      <c r="F101" s="116">
        <f t="shared" si="27"/>
        <v>2531956.7999999998</v>
      </c>
      <c r="G101" s="117">
        <v>8516794</v>
      </c>
      <c r="H101" s="117">
        <f t="shared" si="28"/>
        <v>851679.4</v>
      </c>
      <c r="I101" s="98" t="s">
        <v>528</v>
      </c>
      <c r="J101" s="10"/>
      <c r="K101" s="117"/>
      <c r="L101" s="120"/>
      <c r="M101" s="122">
        <f t="shared" si="20"/>
        <v>85167.94</v>
      </c>
      <c r="N101" s="116">
        <f t="shared" si="21"/>
        <v>85167.94</v>
      </c>
      <c r="O101" s="123">
        <f t="shared" si="22"/>
        <v>8516.7939999999999</v>
      </c>
      <c r="P101" s="5"/>
      <c r="Q101" s="5">
        <f t="shared" si="16"/>
        <v>1</v>
      </c>
      <c r="R101" s="7">
        <f t="shared" si="17"/>
        <v>10</v>
      </c>
      <c r="S101" s="5">
        <f t="shared" si="18"/>
        <v>0</v>
      </c>
      <c r="T101" s="7">
        <f t="shared" si="19"/>
        <v>0</v>
      </c>
    </row>
    <row r="102" spans="1:20">
      <c r="A102" s="23" t="s">
        <v>112</v>
      </c>
      <c r="B102" s="35" t="s">
        <v>113</v>
      </c>
      <c r="C102" s="36">
        <v>5487</v>
      </c>
      <c r="D102" s="6"/>
      <c r="E102" s="113">
        <f>(741343268+12621285)</f>
        <v>753964553</v>
      </c>
      <c r="F102" s="116">
        <f t="shared" si="27"/>
        <v>137409.24968106434</v>
      </c>
      <c r="G102" s="117">
        <f>(549030697+8457814)</f>
        <v>557488511</v>
      </c>
      <c r="H102" s="117">
        <f t="shared" si="28"/>
        <v>101601.69691999271</v>
      </c>
      <c r="I102" s="7"/>
      <c r="J102" s="10">
        <v>3</v>
      </c>
      <c r="K102" s="117">
        <f>(1647092+25373)</f>
        <v>1672465</v>
      </c>
      <c r="L102" s="120">
        <f t="shared" ref="L102:L110" si="30">(K102/C102)</f>
        <v>304.80499362128666</v>
      </c>
      <c r="M102" s="122">
        <f t="shared" si="20"/>
        <v>5574885.1100000003</v>
      </c>
      <c r="N102" s="116">
        <f t="shared" si="21"/>
        <v>3902420.1100000003</v>
      </c>
      <c r="O102" s="123">
        <f t="shared" si="22"/>
        <v>711.21197557864048</v>
      </c>
      <c r="P102" s="5"/>
      <c r="Q102" s="5">
        <f t="shared" si="16"/>
        <v>1</v>
      </c>
      <c r="R102" s="7">
        <f t="shared" si="17"/>
        <v>5487</v>
      </c>
      <c r="S102" s="5">
        <f t="shared" si="18"/>
        <v>1</v>
      </c>
      <c r="T102" s="7">
        <f t="shared" si="19"/>
        <v>5487</v>
      </c>
    </row>
    <row r="103" spans="1:20">
      <c r="A103" s="23" t="s">
        <v>114</v>
      </c>
      <c r="B103" s="35" t="s">
        <v>115</v>
      </c>
      <c r="C103" s="36">
        <v>2412</v>
      </c>
      <c r="D103" s="6"/>
      <c r="E103" s="113">
        <v>180386714</v>
      </c>
      <c r="F103" s="116">
        <f t="shared" si="27"/>
        <v>74787.194859038136</v>
      </c>
      <c r="G103" s="117">
        <v>117311994</v>
      </c>
      <c r="H103" s="117">
        <f t="shared" si="28"/>
        <v>48636.813432835821</v>
      </c>
      <c r="I103" s="7"/>
      <c r="J103" s="10">
        <v>7.75</v>
      </c>
      <c r="K103" s="117">
        <v>909167</v>
      </c>
      <c r="L103" s="120">
        <f t="shared" si="30"/>
        <v>376.93490878938638</v>
      </c>
      <c r="M103" s="122">
        <f t="shared" si="20"/>
        <v>1173119.94</v>
      </c>
      <c r="N103" s="116">
        <f t="shared" si="21"/>
        <v>263952.93999999994</v>
      </c>
      <c r="O103" s="123">
        <f t="shared" si="22"/>
        <v>109.43322553897178</v>
      </c>
      <c r="P103" s="5"/>
      <c r="Q103" s="5">
        <f t="shared" si="16"/>
        <v>1</v>
      </c>
      <c r="R103" s="7">
        <f t="shared" si="17"/>
        <v>2412</v>
      </c>
      <c r="S103" s="5">
        <f t="shared" si="18"/>
        <v>1</v>
      </c>
      <c r="T103" s="7">
        <f t="shared" si="19"/>
        <v>2412</v>
      </c>
    </row>
    <row r="104" spans="1:20">
      <c r="A104" s="23" t="s">
        <v>116</v>
      </c>
      <c r="B104" s="35" t="s">
        <v>115</v>
      </c>
      <c r="C104" s="36">
        <v>1306</v>
      </c>
      <c r="D104" s="6"/>
      <c r="E104" s="113">
        <v>103787164</v>
      </c>
      <c r="F104" s="116">
        <f t="shared" si="27"/>
        <v>79469.497702909648</v>
      </c>
      <c r="G104" s="117">
        <v>75333574</v>
      </c>
      <c r="H104" s="117">
        <f t="shared" si="28"/>
        <v>57682.675344563555</v>
      </c>
      <c r="I104" s="7"/>
      <c r="J104" s="11">
        <v>7.9</v>
      </c>
      <c r="K104" s="117">
        <v>595135</v>
      </c>
      <c r="L104" s="120">
        <f t="shared" si="30"/>
        <v>455.69295558958652</v>
      </c>
      <c r="M104" s="122">
        <f t="shared" si="20"/>
        <v>753335.74</v>
      </c>
      <c r="N104" s="116">
        <f t="shared" si="21"/>
        <v>158200.74</v>
      </c>
      <c r="O104" s="123">
        <f t="shared" si="22"/>
        <v>121.133797856049</v>
      </c>
      <c r="P104" s="5"/>
      <c r="Q104" s="5">
        <f t="shared" si="16"/>
        <v>1</v>
      </c>
      <c r="R104" s="7">
        <f t="shared" si="17"/>
        <v>1306</v>
      </c>
      <c r="S104" s="5">
        <f t="shared" si="18"/>
        <v>1</v>
      </c>
      <c r="T104" s="7">
        <f t="shared" si="19"/>
        <v>1306</v>
      </c>
    </row>
    <row r="105" spans="1:20">
      <c r="A105" s="23" t="s">
        <v>117</v>
      </c>
      <c r="B105" s="35" t="s">
        <v>118</v>
      </c>
      <c r="C105" s="36">
        <v>3710</v>
      </c>
      <c r="D105" s="6"/>
      <c r="E105" s="113">
        <v>223782560</v>
      </c>
      <c r="F105" s="116">
        <f t="shared" si="27"/>
        <v>60318.749326145553</v>
      </c>
      <c r="G105" s="117">
        <v>34231279</v>
      </c>
      <c r="H105" s="117">
        <f t="shared" si="28"/>
        <v>9226.7598382749329</v>
      </c>
      <c r="I105" s="7"/>
      <c r="J105" s="10">
        <v>0.81469999999999998</v>
      </c>
      <c r="K105" s="117">
        <v>27888</v>
      </c>
      <c r="L105" s="120">
        <f t="shared" si="30"/>
        <v>7.5169811320754718</v>
      </c>
      <c r="M105" s="122">
        <f t="shared" si="20"/>
        <v>342312.79</v>
      </c>
      <c r="N105" s="116">
        <f t="shared" si="21"/>
        <v>314424.78999999998</v>
      </c>
      <c r="O105" s="123">
        <f t="shared" si="22"/>
        <v>84.750617250673855</v>
      </c>
      <c r="P105" s="5"/>
      <c r="Q105" s="5">
        <f t="shared" si="16"/>
        <v>1</v>
      </c>
      <c r="R105" s="7">
        <f t="shared" si="17"/>
        <v>3710</v>
      </c>
      <c r="S105" s="5">
        <f t="shared" si="18"/>
        <v>1</v>
      </c>
      <c r="T105" s="7">
        <f t="shared" si="19"/>
        <v>3710</v>
      </c>
    </row>
    <row r="106" spans="1:20">
      <c r="A106" s="23" t="s">
        <v>119</v>
      </c>
      <c r="B106" s="35" t="s">
        <v>118</v>
      </c>
      <c r="C106" s="36">
        <v>642</v>
      </c>
      <c r="D106" s="6"/>
      <c r="E106" s="113">
        <v>14460819</v>
      </c>
      <c r="F106" s="116">
        <f t="shared" si="27"/>
        <v>22524.640186915887</v>
      </c>
      <c r="G106" s="117">
        <v>7058015</v>
      </c>
      <c r="H106" s="117">
        <f t="shared" si="28"/>
        <v>10993.792834890966</v>
      </c>
      <c r="I106" s="7"/>
      <c r="J106" s="10">
        <v>3</v>
      </c>
      <c r="K106" s="117">
        <v>21174</v>
      </c>
      <c r="L106" s="120">
        <f t="shared" si="30"/>
        <v>32.981308411214954</v>
      </c>
      <c r="M106" s="122">
        <f t="shared" si="20"/>
        <v>70580.150000000009</v>
      </c>
      <c r="N106" s="116">
        <f t="shared" si="21"/>
        <v>49406.150000000009</v>
      </c>
      <c r="O106" s="123">
        <f t="shared" si="22"/>
        <v>76.956619937694711</v>
      </c>
      <c r="P106" s="5"/>
      <c r="Q106" s="5">
        <f t="shared" si="16"/>
        <v>1</v>
      </c>
      <c r="R106" s="7">
        <f t="shared" si="17"/>
        <v>642</v>
      </c>
      <c r="S106" s="5">
        <f t="shared" si="18"/>
        <v>1</v>
      </c>
      <c r="T106" s="7">
        <f t="shared" si="19"/>
        <v>642</v>
      </c>
    </row>
    <row r="107" spans="1:20">
      <c r="A107" s="23" t="s">
        <v>120</v>
      </c>
      <c r="B107" s="35" t="s">
        <v>118</v>
      </c>
      <c r="C107" s="36">
        <v>1748</v>
      </c>
      <c r="D107" s="6"/>
      <c r="E107" s="113">
        <v>26533146</v>
      </c>
      <c r="F107" s="116">
        <f t="shared" si="27"/>
        <v>15179.145308924486</v>
      </c>
      <c r="G107" s="117">
        <v>12120099</v>
      </c>
      <c r="H107" s="117">
        <f t="shared" si="28"/>
        <v>6933.6950800915329</v>
      </c>
      <c r="I107" s="7"/>
      <c r="J107" s="10">
        <v>4.2359</v>
      </c>
      <c r="K107" s="117">
        <v>51339</v>
      </c>
      <c r="L107" s="120">
        <f t="shared" si="30"/>
        <v>29.370137299771166</v>
      </c>
      <c r="M107" s="122">
        <f t="shared" si="20"/>
        <v>121200.99</v>
      </c>
      <c r="N107" s="116">
        <f t="shared" si="21"/>
        <v>69861.990000000005</v>
      </c>
      <c r="O107" s="123">
        <f t="shared" si="22"/>
        <v>39.966813501144166</v>
      </c>
      <c r="P107" s="5"/>
      <c r="Q107" s="5">
        <f t="shared" si="16"/>
        <v>1</v>
      </c>
      <c r="R107" s="7">
        <f t="shared" si="17"/>
        <v>1748</v>
      </c>
      <c r="S107" s="5">
        <f t="shared" si="18"/>
        <v>1</v>
      </c>
      <c r="T107" s="7">
        <f t="shared" si="19"/>
        <v>1748</v>
      </c>
    </row>
    <row r="108" spans="1:20">
      <c r="A108" s="23" t="s">
        <v>121</v>
      </c>
      <c r="B108" s="35" t="s">
        <v>118</v>
      </c>
      <c r="C108" s="36">
        <v>1745</v>
      </c>
      <c r="D108" s="6"/>
      <c r="E108" s="113">
        <v>68018089</v>
      </c>
      <c r="F108" s="116">
        <f t="shared" si="27"/>
        <v>38978.847564469914</v>
      </c>
      <c r="G108" s="117">
        <v>47402251</v>
      </c>
      <c r="H108" s="117">
        <f t="shared" si="28"/>
        <v>27164.613753581663</v>
      </c>
      <c r="I108" s="7"/>
      <c r="J108" s="10">
        <v>2</v>
      </c>
      <c r="K108" s="117">
        <v>94804</v>
      </c>
      <c r="L108" s="120">
        <f t="shared" si="30"/>
        <v>54.32893982808023</v>
      </c>
      <c r="M108" s="122">
        <f t="shared" si="20"/>
        <v>474022.51</v>
      </c>
      <c r="N108" s="116">
        <f t="shared" si="21"/>
        <v>379218.51</v>
      </c>
      <c r="O108" s="123">
        <f t="shared" si="22"/>
        <v>217.3171977077364</v>
      </c>
      <c r="P108" s="5"/>
      <c r="Q108" s="5">
        <f t="shared" si="16"/>
        <v>1</v>
      </c>
      <c r="R108" s="7">
        <f t="shared" si="17"/>
        <v>1745</v>
      </c>
      <c r="S108" s="5">
        <f t="shared" si="18"/>
        <v>1</v>
      </c>
      <c r="T108" s="7">
        <f t="shared" si="19"/>
        <v>1745</v>
      </c>
    </row>
    <row r="109" spans="1:20">
      <c r="A109" s="23" t="s">
        <v>122</v>
      </c>
      <c r="B109" s="35" t="s">
        <v>118</v>
      </c>
      <c r="C109" s="36">
        <v>1487</v>
      </c>
      <c r="D109" s="6"/>
      <c r="E109" s="113">
        <v>42737404</v>
      </c>
      <c r="F109" s="116">
        <f t="shared" si="27"/>
        <v>28740.688634835238</v>
      </c>
      <c r="G109" s="117">
        <v>29673884</v>
      </c>
      <c r="H109" s="117">
        <f t="shared" si="28"/>
        <v>19955.537323470075</v>
      </c>
      <c r="I109" s="7"/>
      <c r="J109" s="10">
        <v>4.8899999999999997</v>
      </c>
      <c r="K109" s="117">
        <v>145105</v>
      </c>
      <c r="L109" s="120">
        <f t="shared" si="30"/>
        <v>97.582380632145259</v>
      </c>
      <c r="M109" s="122">
        <f t="shared" si="20"/>
        <v>296738.84000000003</v>
      </c>
      <c r="N109" s="116">
        <f t="shared" si="21"/>
        <v>151633.84000000003</v>
      </c>
      <c r="O109" s="123">
        <f t="shared" si="22"/>
        <v>101.97299260255549</v>
      </c>
      <c r="P109" s="5"/>
      <c r="Q109" s="5">
        <f t="shared" si="16"/>
        <v>1</v>
      </c>
      <c r="R109" s="7">
        <f t="shared" si="17"/>
        <v>1487</v>
      </c>
      <c r="S109" s="5">
        <f t="shared" si="18"/>
        <v>1</v>
      </c>
      <c r="T109" s="7">
        <f t="shared" si="19"/>
        <v>1487</v>
      </c>
    </row>
    <row r="110" spans="1:20">
      <c r="A110" s="23" t="s">
        <v>123</v>
      </c>
      <c r="B110" s="35" t="s">
        <v>118</v>
      </c>
      <c r="C110" s="36">
        <v>7340</v>
      </c>
      <c r="D110" s="6"/>
      <c r="E110" s="113">
        <v>344675199</v>
      </c>
      <c r="F110" s="116">
        <f t="shared" si="27"/>
        <v>46958.473978201633</v>
      </c>
      <c r="G110" s="117">
        <v>200600362</v>
      </c>
      <c r="H110" s="117">
        <f t="shared" si="28"/>
        <v>27329.749591280655</v>
      </c>
      <c r="I110" s="7"/>
      <c r="J110" s="10">
        <v>2.75</v>
      </c>
      <c r="K110" s="117">
        <v>551650</v>
      </c>
      <c r="L110" s="120">
        <f t="shared" si="30"/>
        <v>75.156675749318808</v>
      </c>
      <c r="M110" s="122">
        <f t="shared" si="20"/>
        <v>2006003.62</v>
      </c>
      <c r="N110" s="116">
        <f t="shared" si="21"/>
        <v>1454353.62</v>
      </c>
      <c r="O110" s="123">
        <f t="shared" si="22"/>
        <v>198.14082016348775</v>
      </c>
      <c r="P110" s="5"/>
      <c r="Q110" s="5">
        <f t="shared" si="16"/>
        <v>1</v>
      </c>
      <c r="R110" s="7">
        <f t="shared" si="17"/>
        <v>7340</v>
      </c>
      <c r="S110" s="5">
        <f t="shared" si="18"/>
        <v>1</v>
      </c>
      <c r="T110" s="7">
        <f t="shared" si="19"/>
        <v>7340</v>
      </c>
    </row>
    <row r="111" spans="1:20">
      <c r="A111" s="23" t="s">
        <v>124</v>
      </c>
      <c r="B111" s="35" t="s">
        <v>125</v>
      </c>
      <c r="C111" s="36">
        <v>433</v>
      </c>
      <c r="D111" s="6"/>
      <c r="E111" s="113">
        <v>24434421</v>
      </c>
      <c r="F111" s="116">
        <f t="shared" si="27"/>
        <v>56430.533487297922</v>
      </c>
      <c r="G111" s="117">
        <v>8639545</v>
      </c>
      <c r="H111" s="117">
        <f t="shared" si="28"/>
        <v>19952.759815242494</v>
      </c>
      <c r="I111" s="98" t="s">
        <v>528</v>
      </c>
      <c r="J111" s="10"/>
      <c r="K111" s="117"/>
      <c r="L111" s="120"/>
      <c r="M111" s="122">
        <f t="shared" si="20"/>
        <v>86395.45</v>
      </c>
      <c r="N111" s="116">
        <f t="shared" si="21"/>
        <v>86395.45</v>
      </c>
      <c r="O111" s="123">
        <f t="shared" si="22"/>
        <v>199.52759815242493</v>
      </c>
      <c r="P111" s="5"/>
      <c r="Q111" s="5">
        <f t="shared" si="16"/>
        <v>1</v>
      </c>
      <c r="R111" s="7">
        <f t="shared" si="17"/>
        <v>433</v>
      </c>
      <c r="S111" s="5">
        <f t="shared" si="18"/>
        <v>0</v>
      </c>
      <c r="T111" s="7">
        <f t="shared" si="19"/>
        <v>0</v>
      </c>
    </row>
    <row r="112" spans="1:20">
      <c r="A112" s="23" t="s">
        <v>126</v>
      </c>
      <c r="B112" s="35" t="s">
        <v>125</v>
      </c>
      <c r="C112" s="36">
        <v>1631</v>
      </c>
      <c r="D112" s="6"/>
      <c r="E112" s="113">
        <v>75482619</v>
      </c>
      <c r="F112" s="116">
        <f t="shared" si="27"/>
        <v>46279.962599632127</v>
      </c>
      <c r="G112" s="117">
        <v>39309782</v>
      </c>
      <c r="H112" s="117">
        <f t="shared" si="28"/>
        <v>24101.64438994482</v>
      </c>
      <c r="I112" s="98" t="s">
        <v>528</v>
      </c>
      <c r="J112" s="10"/>
      <c r="K112" s="117"/>
      <c r="L112" s="120"/>
      <c r="M112" s="122">
        <f t="shared" si="20"/>
        <v>393097.82</v>
      </c>
      <c r="N112" s="116">
        <f t="shared" si="21"/>
        <v>393097.82</v>
      </c>
      <c r="O112" s="123">
        <f t="shared" si="22"/>
        <v>241.01644389944821</v>
      </c>
      <c r="P112" s="5"/>
      <c r="Q112" s="5">
        <f t="shared" si="16"/>
        <v>1</v>
      </c>
      <c r="R112" s="7">
        <f t="shared" si="17"/>
        <v>1631</v>
      </c>
      <c r="S112" s="5">
        <f t="shared" si="18"/>
        <v>0</v>
      </c>
      <c r="T112" s="7">
        <f t="shared" si="19"/>
        <v>0</v>
      </c>
    </row>
    <row r="113" spans="1:20">
      <c r="A113" s="23" t="s">
        <v>127</v>
      </c>
      <c r="B113" s="35" t="s">
        <v>128</v>
      </c>
      <c r="C113" s="36">
        <v>878</v>
      </c>
      <c r="D113" s="6"/>
      <c r="E113" s="113">
        <f>(12159047+22816149)</f>
        <v>34975196</v>
      </c>
      <c r="F113" s="116">
        <f t="shared" si="27"/>
        <v>39835.075170842822</v>
      </c>
      <c r="G113" s="117">
        <f>(8615114+15434113)</f>
        <v>24049227</v>
      </c>
      <c r="H113" s="117">
        <f t="shared" si="28"/>
        <v>27390.919134396354</v>
      </c>
      <c r="I113" s="7"/>
      <c r="J113" s="11">
        <v>2</v>
      </c>
      <c r="K113" s="117">
        <f>(17230+30868)</f>
        <v>48098</v>
      </c>
      <c r="L113" s="120">
        <f t="shared" ref="L113:L132" si="31">(K113/C113)</f>
        <v>54.781321184510247</v>
      </c>
      <c r="M113" s="122">
        <f t="shared" si="20"/>
        <v>240492.27000000002</v>
      </c>
      <c r="N113" s="116">
        <f t="shared" si="21"/>
        <v>192394.27000000002</v>
      </c>
      <c r="O113" s="123">
        <f t="shared" si="22"/>
        <v>219.12787015945332</v>
      </c>
      <c r="P113" s="5"/>
      <c r="Q113" s="5">
        <f t="shared" si="16"/>
        <v>1</v>
      </c>
      <c r="R113" s="7">
        <f t="shared" si="17"/>
        <v>878</v>
      </c>
      <c r="S113" s="5">
        <f t="shared" si="18"/>
        <v>1</v>
      </c>
      <c r="T113" s="7">
        <f t="shared" si="19"/>
        <v>878</v>
      </c>
    </row>
    <row r="114" spans="1:20">
      <c r="A114" s="23" t="s">
        <v>129</v>
      </c>
      <c r="B114" s="35" t="s">
        <v>130</v>
      </c>
      <c r="C114" s="36">
        <v>1650</v>
      </c>
      <c r="D114" s="6"/>
      <c r="E114" s="113">
        <v>62466591</v>
      </c>
      <c r="F114" s="116">
        <f t="shared" si="27"/>
        <v>37858.54</v>
      </c>
      <c r="G114" s="117">
        <v>29839525</v>
      </c>
      <c r="H114" s="117">
        <f t="shared" si="28"/>
        <v>18084.560606060608</v>
      </c>
      <c r="I114" s="7"/>
      <c r="J114" s="11">
        <v>3.8961000000000001</v>
      </c>
      <c r="K114" s="117">
        <v>116257</v>
      </c>
      <c r="L114" s="120">
        <f t="shared" si="31"/>
        <v>70.458787878787874</v>
      </c>
      <c r="M114" s="122">
        <f t="shared" si="20"/>
        <v>298395.25</v>
      </c>
      <c r="N114" s="116">
        <f t="shared" si="21"/>
        <v>182138.25</v>
      </c>
      <c r="O114" s="123">
        <f t="shared" si="22"/>
        <v>110.38681818181819</v>
      </c>
      <c r="P114" s="5"/>
      <c r="Q114" s="5">
        <f t="shared" si="16"/>
        <v>1</v>
      </c>
      <c r="R114" s="7">
        <f t="shared" si="17"/>
        <v>1650</v>
      </c>
      <c r="S114" s="5">
        <f t="shared" si="18"/>
        <v>1</v>
      </c>
      <c r="T114" s="7">
        <f t="shared" si="19"/>
        <v>1650</v>
      </c>
    </row>
    <row r="115" spans="1:20">
      <c r="A115" s="23" t="s">
        <v>545</v>
      </c>
      <c r="B115" s="35" t="s">
        <v>131</v>
      </c>
      <c r="C115" s="36">
        <v>3661</v>
      </c>
      <c r="D115" s="6"/>
      <c r="E115" s="113">
        <v>335222322</v>
      </c>
      <c r="F115" s="116">
        <f t="shared" si="27"/>
        <v>91565.780387872161</v>
      </c>
      <c r="G115" s="117">
        <v>210738870</v>
      </c>
      <c r="H115" s="117">
        <f t="shared" si="28"/>
        <v>57563.198579623051</v>
      </c>
      <c r="I115" s="7"/>
      <c r="J115" s="10">
        <v>6.17</v>
      </c>
      <c r="K115" s="117">
        <v>1300258</v>
      </c>
      <c r="L115" s="120">
        <f t="shared" si="31"/>
        <v>355.16470909587542</v>
      </c>
      <c r="M115" s="122">
        <f t="shared" si="20"/>
        <v>2107388.7000000002</v>
      </c>
      <c r="N115" s="116">
        <f t="shared" si="21"/>
        <v>807130.70000000019</v>
      </c>
      <c r="O115" s="123">
        <f t="shared" si="22"/>
        <v>220.46727670035514</v>
      </c>
      <c r="P115" s="5"/>
      <c r="Q115" s="5">
        <f t="shared" si="16"/>
        <v>1</v>
      </c>
      <c r="R115" s="7">
        <f t="shared" si="17"/>
        <v>3661</v>
      </c>
      <c r="S115" s="5">
        <f t="shared" si="18"/>
        <v>1</v>
      </c>
      <c r="T115" s="7">
        <f t="shared" si="19"/>
        <v>3661</v>
      </c>
    </row>
    <row r="116" spans="1:20">
      <c r="A116" s="23" t="s">
        <v>132</v>
      </c>
      <c r="B116" s="35" t="s">
        <v>131</v>
      </c>
      <c r="C116" s="36">
        <v>1728</v>
      </c>
      <c r="D116" s="6"/>
      <c r="E116" s="113">
        <v>76461093</v>
      </c>
      <c r="F116" s="116">
        <f t="shared" si="27"/>
        <v>44248.317708333336</v>
      </c>
      <c r="G116" s="117">
        <v>42881705</v>
      </c>
      <c r="H116" s="117">
        <f t="shared" si="28"/>
        <v>24815.801504629631</v>
      </c>
      <c r="I116" s="7"/>
      <c r="J116" s="10">
        <v>6</v>
      </c>
      <c r="K116" s="117">
        <v>257290</v>
      </c>
      <c r="L116" s="120">
        <f t="shared" si="31"/>
        <v>148.89467592592592</v>
      </c>
      <c r="M116" s="122">
        <f t="shared" si="20"/>
        <v>428817.05</v>
      </c>
      <c r="N116" s="116">
        <f t="shared" si="21"/>
        <v>171527.05</v>
      </c>
      <c r="O116" s="123">
        <f t="shared" si="22"/>
        <v>99.263339120370361</v>
      </c>
      <c r="P116" s="5"/>
      <c r="Q116" s="5">
        <f t="shared" si="16"/>
        <v>1</v>
      </c>
      <c r="R116" s="7">
        <f t="shared" si="17"/>
        <v>1728</v>
      </c>
      <c r="S116" s="5">
        <f t="shared" si="18"/>
        <v>1</v>
      </c>
      <c r="T116" s="7">
        <f t="shared" si="19"/>
        <v>1728</v>
      </c>
    </row>
    <row r="117" spans="1:20">
      <c r="A117" s="23" t="s">
        <v>133</v>
      </c>
      <c r="B117" s="35" t="s">
        <v>134</v>
      </c>
      <c r="C117" s="36">
        <v>1719</v>
      </c>
      <c r="D117" s="6"/>
      <c r="E117" s="113">
        <v>81100251</v>
      </c>
      <c r="F117" s="116">
        <f t="shared" si="27"/>
        <v>47178.738219895291</v>
      </c>
      <c r="G117" s="117">
        <v>34555504</v>
      </c>
      <c r="H117" s="117">
        <f t="shared" si="28"/>
        <v>20102.096567771961</v>
      </c>
      <c r="I117" s="7"/>
      <c r="J117" s="10">
        <v>4.7469999999999999</v>
      </c>
      <c r="K117" s="117">
        <v>164034</v>
      </c>
      <c r="L117" s="120">
        <f t="shared" si="31"/>
        <v>95.424083769633512</v>
      </c>
      <c r="M117" s="122">
        <f t="shared" si="20"/>
        <v>345555.04</v>
      </c>
      <c r="N117" s="116">
        <f t="shared" si="21"/>
        <v>181521.03999999998</v>
      </c>
      <c r="O117" s="123">
        <f t="shared" si="22"/>
        <v>105.59688190808609</v>
      </c>
      <c r="P117" s="5"/>
      <c r="Q117" s="5">
        <f t="shared" si="16"/>
        <v>1</v>
      </c>
      <c r="R117" s="7">
        <f t="shared" si="17"/>
        <v>1719</v>
      </c>
      <c r="S117" s="5">
        <f t="shared" si="18"/>
        <v>1</v>
      </c>
      <c r="T117" s="7">
        <f t="shared" si="19"/>
        <v>1719</v>
      </c>
    </row>
    <row r="118" spans="1:20">
      <c r="A118" s="23" t="s">
        <v>135</v>
      </c>
      <c r="B118" s="35" t="s">
        <v>134</v>
      </c>
      <c r="C118" s="36">
        <v>836</v>
      </c>
      <c r="D118" s="6"/>
      <c r="E118" s="113">
        <v>15224754</v>
      </c>
      <c r="F118" s="116">
        <f t="shared" si="27"/>
        <v>18211.428229665071</v>
      </c>
      <c r="G118" s="117">
        <v>9033406</v>
      </c>
      <c r="H118" s="117">
        <f t="shared" si="28"/>
        <v>10805.509569377991</v>
      </c>
      <c r="I118" s="7"/>
      <c r="J118" s="10">
        <v>1.482</v>
      </c>
      <c r="K118" s="117">
        <v>13387</v>
      </c>
      <c r="L118" s="120">
        <f t="shared" si="31"/>
        <v>16.013157894736842</v>
      </c>
      <c r="M118" s="122">
        <f t="shared" si="20"/>
        <v>90334.06</v>
      </c>
      <c r="N118" s="116">
        <f t="shared" si="21"/>
        <v>76947.06</v>
      </c>
      <c r="O118" s="123">
        <f t="shared" si="22"/>
        <v>92.041937799043055</v>
      </c>
      <c r="P118" s="5"/>
      <c r="Q118" s="5">
        <f t="shared" si="16"/>
        <v>1</v>
      </c>
      <c r="R118" s="7">
        <f t="shared" si="17"/>
        <v>836</v>
      </c>
      <c r="S118" s="5">
        <f t="shared" si="18"/>
        <v>1</v>
      </c>
      <c r="T118" s="7">
        <f t="shared" si="19"/>
        <v>836</v>
      </c>
    </row>
    <row r="119" spans="1:20">
      <c r="A119" s="23" t="s">
        <v>136</v>
      </c>
      <c r="B119" s="35" t="s">
        <v>134</v>
      </c>
      <c r="C119" s="36">
        <v>760</v>
      </c>
      <c r="D119" s="6"/>
      <c r="E119" s="113">
        <v>21271861</v>
      </c>
      <c r="F119" s="116">
        <f t="shared" si="27"/>
        <v>27989.290789473685</v>
      </c>
      <c r="G119" s="117">
        <v>11278324</v>
      </c>
      <c r="H119" s="117">
        <f t="shared" si="28"/>
        <v>14839.9</v>
      </c>
      <c r="I119" s="7"/>
      <c r="J119" s="10">
        <v>3.8584999999999998</v>
      </c>
      <c r="K119" s="117">
        <v>43517</v>
      </c>
      <c r="L119" s="120">
        <f t="shared" si="31"/>
        <v>57.25921052631579</v>
      </c>
      <c r="M119" s="122">
        <f t="shared" si="20"/>
        <v>112783.24</v>
      </c>
      <c r="N119" s="116">
        <f t="shared" si="21"/>
        <v>69266.240000000005</v>
      </c>
      <c r="O119" s="123">
        <f t="shared" si="22"/>
        <v>91.139789473684218</v>
      </c>
      <c r="P119" s="5"/>
      <c r="Q119" s="5">
        <f t="shared" si="16"/>
        <v>1</v>
      </c>
      <c r="R119" s="7">
        <f t="shared" si="17"/>
        <v>760</v>
      </c>
      <c r="S119" s="5">
        <f t="shared" si="18"/>
        <v>1</v>
      </c>
      <c r="T119" s="7">
        <f t="shared" si="19"/>
        <v>760</v>
      </c>
    </row>
    <row r="120" spans="1:20">
      <c r="A120" s="23" t="s">
        <v>137</v>
      </c>
      <c r="B120" s="35" t="s">
        <v>138</v>
      </c>
      <c r="C120" s="36">
        <v>3072</v>
      </c>
      <c r="D120" s="6"/>
      <c r="E120" s="113">
        <v>48959328</v>
      </c>
      <c r="F120" s="116">
        <f t="shared" si="27"/>
        <v>15937.28125</v>
      </c>
      <c r="G120" s="117">
        <v>24223456</v>
      </c>
      <c r="H120" s="117">
        <f t="shared" si="28"/>
        <v>7885.239583333333</v>
      </c>
      <c r="I120" s="7"/>
      <c r="J120" s="10">
        <v>6</v>
      </c>
      <c r="K120" s="117">
        <v>145340</v>
      </c>
      <c r="L120" s="120">
        <f t="shared" si="31"/>
        <v>47.311197916666664</v>
      </c>
      <c r="M120" s="122">
        <f t="shared" si="20"/>
        <v>242234.56</v>
      </c>
      <c r="N120" s="116">
        <f t="shared" si="21"/>
        <v>96894.56</v>
      </c>
      <c r="O120" s="123">
        <f t="shared" si="22"/>
        <v>31.541197916666665</v>
      </c>
      <c r="P120" s="5"/>
      <c r="Q120" s="5">
        <f t="shared" si="16"/>
        <v>1</v>
      </c>
      <c r="R120" s="7">
        <f t="shared" si="17"/>
        <v>3072</v>
      </c>
      <c r="S120" s="5">
        <f t="shared" si="18"/>
        <v>1</v>
      </c>
      <c r="T120" s="7">
        <f t="shared" si="19"/>
        <v>3072</v>
      </c>
    </row>
    <row r="121" spans="1:20">
      <c r="A121" s="23" t="s">
        <v>139</v>
      </c>
      <c r="B121" s="35" t="s">
        <v>138</v>
      </c>
      <c r="C121" s="36">
        <v>4405</v>
      </c>
      <c r="D121" s="6"/>
      <c r="E121" s="113">
        <v>158605936</v>
      </c>
      <c r="F121" s="116">
        <f t="shared" si="27"/>
        <v>36005.887854710556</v>
      </c>
      <c r="G121" s="117">
        <v>82762396</v>
      </c>
      <c r="H121" s="117">
        <f t="shared" si="28"/>
        <v>18788.285130533484</v>
      </c>
      <c r="I121" s="7"/>
      <c r="J121" s="10">
        <v>5.0199999999999996</v>
      </c>
      <c r="K121" s="117">
        <v>415467</v>
      </c>
      <c r="L121" s="120">
        <f t="shared" si="31"/>
        <v>94.317139614074918</v>
      </c>
      <c r="M121" s="122">
        <f t="shared" si="20"/>
        <v>827623.96</v>
      </c>
      <c r="N121" s="116">
        <f t="shared" si="21"/>
        <v>412156.95999999996</v>
      </c>
      <c r="O121" s="123">
        <f t="shared" si="22"/>
        <v>93.565711691259921</v>
      </c>
      <c r="P121" s="5"/>
      <c r="Q121" s="5">
        <f t="shared" si="16"/>
        <v>1</v>
      </c>
      <c r="R121" s="7">
        <f t="shared" si="17"/>
        <v>4405</v>
      </c>
      <c r="S121" s="5">
        <f t="shared" si="18"/>
        <v>1</v>
      </c>
      <c r="T121" s="7">
        <f t="shared" si="19"/>
        <v>4405</v>
      </c>
    </row>
    <row r="122" spans="1:20">
      <c r="A122" s="23" t="s">
        <v>140</v>
      </c>
      <c r="B122" s="35" t="s">
        <v>138</v>
      </c>
      <c r="C122" s="36">
        <v>1662</v>
      </c>
      <c r="D122" s="6"/>
      <c r="E122" s="113">
        <v>39370063</v>
      </c>
      <c r="F122" s="116">
        <f t="shared" si="27"/>
        <v>23688.365222623346</v>
      </c>
      <c r="G122" s="117">
        <v>20189078</v>
      </c>
      <c r="H122" s="117">
        <f t="shared" si="28"/>
        <v>12147.459687123946</v>
      </c>
      <c r="I122" s="7"/>
      <c r="J122" s="10">
        <v>9</v>
      </c>
      <c r="K122" s="117">
        <v>181701</v>
      </c>
      <c r="L122" s="120">
        <f t="shared" si="31"/>
        <v>109.32671480144404</v>
      </c>
      <c r="M122" s="122">
        <f t="shared" si="20"/>
        <v>201890.78</v>
      </c>
      <c r="N122" s="116">
        <f t="shared" si="21"/>
        <v>20189.78</v>
      </c>
      <c r="O122" s="123">
        <f t="shared" si="22"/>
        <v>12.147882069795427</v>
      </c>
      <c r="P122" s="5"/>
      <c r="Q122" s="5">
        <f t="shared" si="16"/>
        <v>1</v>
      </c>
      <c r="R122" s="7">
        <f t="shared" si="17"/>
        <v>1662</v>
      </c>
      <c r="S122" s="5">
        <f t="shared" si="18"/>
        <v>1</v>
      </c>
      <c r="T122" s="7">
        <f t="shared" si="19"/>
        <v>1662</v>
      </c>
    </row>
    <row r="123" spans="1:20">
      <c r="A123" s="23" t="s">
        <v>141</v>
      </c>
      <c r="B123" s="35" t="s">
        <v>142</v>
      </c>
      <c r="C123" s="36">
        <v>6710</v>
      </c>
      <c r="D123" s="6"/>
      <c r="E123" s="113">
        <v>341463276</v>
      </c>
      <c r="F123" s="116">
        <f t="shared" si="27"/>
        <v>50888.714754098364</v>
      </c>
      <c r="G123" s="117">
        <v>185421006</v>
      </c>
      <c r="H123" s="117">
        <f t="shared" si="28"/>
        <v>27633.532935916541</v>
      </c>
      <c r="I123" s="7"/>
      <c r="J123" s="10">
        <v>5.6341000000000001</v>
      </c>
      <c r="K123" s="117">
        <v>1044680</v>
      </c>
      <c r="L123" s="120">
        <f t="shared" si="31"/>
        <v>155.69001490312965</v>
      </c>
      <c r="M123" s="122">
        <f t="shared" si="20"/>
        <v>1854210.06</v>
      </c>
      <c r="N123" s="116">
        <f t="shared" si="21"/>
        <v>809530.06</v>
      </c>
      <c r="O123" s="123">
        <f t="shared" si="22"/>
        <v>120.64531445603578</v>
      </c>
      <c r="P123" s="5"/>
      <c r="Q123" s="5">
        <f t="shared" si="16"/>
        <v>1</v>
      </c>
      <c r="R123" s="7">
        <f t="shared" si="17"/>
        <v>6710</v>
      </c>
      <c r="S123" s="5">
        <f t="shared" si="18"/>
        <v>1</v>
      </c>
      <c r="T123" s="7">
        <f t="shared" si="19"/>
        <v>6710</v>
      </c>
    </row>
    <row r="124" spans="1:20">
      <c r="A124" s="23" t="s">
        <v>558</v>
      </c>
      <c r="B124" s="35" t="s">
        <v>142</v>
      </c>
      <c r="C124" s="36">
        <v>4387</v>
      </c>
      <c r="D124" s="6"/>
      <c r="E124" s="113">
        <v>266256070</v>
      </c>
      <c r="F124" s="116">
        <f t="shared" si="27"/>
        <v>60692.060633690446</v>
      </c>
      <c r="G124" s="117">
        <v>162009010</v>
      </c>
      <c r="H124" s="117">
        <f t="shared" si="28"/>
        <v>36929.338956006381</v>
      </c>
      <c r="I124" s="7"/>
      <c r="J124" s="10">
        <v>3</v>
      </c>
      <c r="K124" s="117">
        <v>486027</v>
      </c>
      <c r="L124" s="120">
        <f t="shared" si="31"/>
        <v>110.788010029633</v>
      </c>
      <c r="M124" s="122">
        <f t="shared" si="20"/>
        <v>1620090.1</v>
      </c>
      <c r="N124" s="116">
        <f t="shared" si="21"/>
        <v>1134063.1000000001</v>
      </c>
      <c r="O124" s="123">
        <f t="shared" si="22"/>
        <v>258.50537953043084</v>
      </c>
      <c r="P124" s="5"/>
      <c r="Q124" s="5">
        <f t="shared" si="16"/>
        <v>1</v>
      </c>
      <c r="R124" s="7">
        <f t="shared" si="17"/>
        <v>4387</v>
      </c>
      <c r="S124" s="5">
        <f t="shared" si="18"/>
        <v>1</v>
      </c>
      <c r="T124" s="7">
        <f t="shared" si="19"/>
        <v>4387</v>
      </c>
    </row>
    <row r="125" spans="1:20">
      <c r="A125" s="23" t="s">
        <v>143</v>
      </c>
      <c r="B125" s="35" t="s">
        <v>144</v>
      </c>
      <c r="C125" s="36">
        <v>7279</v>
      </c>
      <c r="D125" s="6"/>
      <c r="E125" s="113">
        <v>562127338</v>
      </c>
      <c r="F125" s="116">
        <f t="shared" si="27"/>
        <v>77225.901634839945</v>
      </c>
      <c r="G125" s="117">
        <v>287393489</v>
      </c>
      <c r="H125" s="117">
        <f t="shared" si="28"/>
        <v>39482.551037230391</v>
      </c>
      <c r="I125" s="7"/>
      <c r="J125" s="10">
        <v>7.87</v>
      </c>
      <c r="K125" s="117">
        <v>2261786</v>
      </c>
      <c r="L125" s="120">
        <f t="shared" si="31"/>
        <v>310.72757246874573</v>
      </c>
      <c r="M125" s="122">
        <f t="shared" si="20"/>
        <v>2873934.89</v>
      </c>
      <c r="N125" s="116">
        <f t="shared" si="21"/>
        <v>612148.89000000013</v>
      </c>
      <c r="O125" s="123">
        <f t="shared" si="22"/>
        <v>84.097937903558204</v>
      </c>
      <c r="P125" s="5"/>
      <c r="Q125" s="5">
        <f t="shared" si="16"/>
        <v>1</v>
      </c>
      <c r="R125" s="7">
        <f t="shared" si="17"/>
        <v>7279</v>
      </c>
      <c r="S125" s="5">
        <f t="shared" si="18"/>
        <v>1</v>
      </c>
      <c r="T125" s="7">
        <f t="shared" si="19"/>
        <v>7279</v>
      </c>
    </row>
    <row r="126" spans="1:20">
      <c r="A126" s="23" t="s">
        <v>145</v>
      </c>
      <c r="B126" s="35" t="s">
        <v>144</v>
      </c>
      <c r="C126" s="36">
        <v>8</v>
      </c>
      <c r="D126" s="6"/>
      <c r="E126" s="113">
        <v>26519771</v>
      </c>
      <c r="F126" s="116">
        <f t="shared" si="27"/>
        <v>3314971.375</v>
      </c>
      <c r="G126" s="117">
        <v>19458509</v>
      </c>
      <c r="H126" s="117">
        <f t="shared" si="28"/>
        <v>2432313.625</v>
      </c>
      <c r="I126" s="7"/>
      <c r="J126" s="10">
        <v>2.5499999999999998</v>
      </c>
      <c r="K126" s="117">
        <v>49619</v>
      </c>
      <c r="L126" s="120">
        <f t="shared" si="31"/>
        <v>6202.375</v>
      </c>
      <c r="M126" s="122">
        <f t="shared" si="20"/>
        <v>194585.09</v>
      </c>
      <c r="N126" s="116">
        <f t="shared" si="21"/>
        <v>144966.09</v>
      </c>
      <c r="O126" s="123">
        <f t="shared" si="22"/>
        <v>18120.76125</v>
      </c>
      <c r="P126" s="5"/>
      <c r="Q126" s="5">
        <f t="shared" si="16"/>
        <v>1</v>
      </c>
      <c r="R126" s="7">
        <f t="shared" si="17"/>
        <v>8</v>
      </c>
      <c r="S126" s="5">
        <f t="shared" si="18"/>
        <v>1</v>
      </c>
      <c r="T126" s="7">
        <f t="shared" si="19"/>
        <v>8</v>
      </c>
    </row>
    <row r="127" spans="1:20">
      <c r="A127" s="23" t="s">
        <v>146</v>
      </c>
      <c r="B127" s="35" t="s">
        <v>147</v>
      </c>
      <c r="C127" s="36">
        <v>8772</v>
      </c>
      <c r="D127" s="6"/>
      <c r="E127" s="113">
        <v>284127224</v>
      </c>
      <c r="F127" s="116">
        <f t="shared" si="27"/>
        <v>32390.244414044686</v>
      </c>
      <c r="G127" s="117">
        <v>169426887</v>
      </c>
      <c r="H127" s="117">
        <f t="shared" si="28"/>
        <v>19314.510601915186</v>
      </c>
      <c r="I127" s="7"/>
      <c r="J127" s="10">
        <v>7.75</v>
      </c>
      <c r="K127" s="117">
        <v>1313058</v>
      </c>
      <c r="L127" s="120">
        <f t="shared" si="31"/>
        <v>149.68741450068399</v>
      </c>
      <c r="M127" s="122">
        <f t="shared" si="20"/>
        <v>1694268.87</v>
      </c>
      <c r="N127" s="116">
        <f t="shared" si="21"/>
        <v>381210.87000000011</v>
      </c>
      <c r="O127" s="123">
        <f t="shared" si="22"/>
        <v>43.457691518467868</v>
      </c>
      <c r="P127" s="5"/>
      <c r="Q127" s="5">
        <f t="shared" si="16"/>
        <v>1</v>
      </c>
      <c r="R127" s="7">
        <f t="shared" si="17"/>
        <v>8772</v>
      </c>
      <c r="S127" s="5">
        <f t="shared" si="18"/>
        <v>1</v>
      </c>
      <c r="T127" s="7">
        <f t="shared" si="19"/>
        <v>8772</v>
      </c>
    </row>
    <row r="128" spans="1:20">
      <c r="A128" s="23" t="s">
        <v>148</v>
      </c>
      <c r="B128" s="35" t="s">
        <v>147</v>
      </c>
      <c r="C128" s="36">
        <v>1715</v>
      </c>
      <c r="D128" s="6"/>
      <c r="E128" s="113">
        <v>158890490</v>
      </c>
      <c r="F128" s="116">
        <f t="shared" si="27"/>
        <v>92647.516034985427</v>
      </c>
      <c r="G128" s="117">
        <v>110572785</v>
      </c>
      <c r="H128" s="117">
        <f t="shared" si="28"/>
        <v>64473.927113702623</v>
      </c>
      <c r="I128" s="7"/>
      <c r="J128" s="10">
        <v>5</v>
      </c>
      <c r="K128" s="117">
        <v>552863</v>
      </c>
      <c r="L128" s="120">
        <f t="shared" si="31"/>
        <v>322.36909620991253</v>
      </c>
      <c r="M128" s="122">
        <f t="shared" si="20"/>
        <v>1105727.8500000001</v>
      </c>
      <c r="N128" s="116">
        <f t="shared" si="21"/>
        <v>552864.85000000009</v>
      </c>
      <c r="O128" s="123">
        <f t="shared" si="22"/>
        <v>322.37017492711374</v>
      </c>
      <c r="P128" s="5"/>
      <c r="Q128" s="5">
        <f t="shared" si="16"/>
        <v>1</v>
      </c>
      <c r="R128" s="7">
        <f t="shared" si="17"/>
        <v>1715</v>
      </c>
      <c r="S128" s="5">
        <f t="shared" si="18"/>
        <v>1</v>
      </c>
      <c r="T128" s="7">
        <f t="shared" si="19"/>
        <v>1715</v>
      </c>
    </row>
    <row r="129" spans="1:20">
      <c r="A129" s="23" t="s">
        <v>149</v>
      </c>
      <c r="B129" s="35" t="s">
        <v>147</v>
      </c>
      <c r="C129" s="36">
        <v>10039</v>
      </c>
      <c r="D129" s="6"/>
      <c r="E129" s="113">
        <v>575402006</v>
      </c>
      <c r="F129" s="116">
        <f t="shared" si="27"/>
        <v>57316.66560414384</v>
      </c>
      <c r="G129" s="117">
        <v>412859172</v>
      </c>
      <c r="H129" s="117">
        <f t="shared" si="28"/>
        <v>41125.52764219544</v>
      </c>
      <c r="I129" s="7"/>
      <c r="J129" s="10">
        <v>6.5</v>
      </c>
      <c r="K129" s="117">
        <v>2683584</v>
      </c>
      <c r="L129" s="120">
        <f t="shared" si="31"/>
        <v>267.31586811435403</v>
      </c>
      <c r="M129" s="122">
        <f t="shared" si="20"/>
        <v>4128591.72</v>
      </c>
      <c r="N129" s="116">
        <f t="shared" si="21"/>
        <v>1445007.7200000002</v>
      </c>
      <c r="O129" s="123">
        <f t="shared" si="22"/>
        <v>143.93940830760039</v>
      </c>
      <c r="P129" s="5"/>
      <c r="Q129" s="5">
        <f t="shared" si="16"/>
        <v>1</v>
      </c>
      <c r="R129" s="7">
        <f t="shared" si="17"/>
        <v>10039</v>
      </c>
      <c r="S129" s="5">
        <f t="shared" si="18"/>
        <v>1</v>
      </c>
      <c r="T129" s="7">
        <f t="shared" si="19"/>
        <v>10039</v>
      </c>
    </row>
    <row r="130" spans="1:20">
      <c r="A130" s="23" t="s">
        <v>150</v>
      </c>
      <c r="B130" s="35" t="s">
        <v>151</v>
      </c>
      <c r="C130" s="36">
        <v>32002</v>
      </c>
      <c r="D130" s="6"/>
      <c r="E130" s="113">
        <v>2056762765</v>
      </c>
      <c r="F130" s="116">
        <f t="shared" si="27"/>
        <v>64269.819542528588</v>
      </c>
      <c r="G130" s="117">
        <v>1482910913</v>
      </c>
      <c r="H130" s="117">
        <f t="shared" si="28"/>
        <v>46338.069901881136</v>
      </c>
      <c r="I130" s="7"/>
      <c r="J130" s="10">
        <v>4.7</v>
      </c>
      <c r="K130" s="117">
        <v>6969681</v>
      </c>
      <c r="L130" s="120">
        <f t="shared" si="31"/>
        <v>217.78891944253485</v>
      </c>
      <c r="M130" s="122">
        <f t="shared" si="20"/>
        <v>14829109.130000001</v>
      </c>
      <c r="N130" s="116">
        <f t="shared" si="21"/>
        <v>7859428.1300000008</v>
      </c>
      <c r="O130" s="123">
        <f t="shared" si="22"/>
        <v>245.59177957627651</v>
      </c>
      <c r="P130" s="5"/>
      <c r="Q130" s="5">
        <f t="shared" si="16"/>
        <v>1</v>
      </c>
      <c r="R130" s="7">
        <f t="shared" si="17"/>
        <v>32002</v>
      </c>
      <c r="S130" s="5">
        <f t="shared" si="18"/>
        <v>1</v>
      </c>
      <c r="T130" s="7">
        <f t="shared" si="19"/>
        <v>32002</v>
      </c>
    </row>
    <row r="131" spans="1:20">
      <c r="A131" s="23" t="s">
        <v>152</v>
      </c>
      <c r="B131" s="35" t="s">
        <v>151</v>
      </c>
      <c r="C131" s="36">
        <v>323663</v>
      </c>
      <c r="D131" s="6"/>
      <c r="E131" s="113">
        <v>30753399987</v>
      </c>
      <c r="F131" s="116">
        <f t="shared" si="27"/>
        <v>95016.730324442397</v>
      </c>
      <c r="G131" s="117">
        <v>19644909836</v>
      </c>
      <c r="H131" s="117">
        <f t="shared" si="28"/>
        <v>60695.568650108289</v>
      </c>
      <c r="I131" s="7"/>
      <c r="J131" s="10">
        <v>6.5389999999999997</v>
      </c>
      <c r="K131" s="117">
        <v>128458065</v>
      </c>
      <c r="L131" s="120">
        <f t="shared" si="31"/>
        <v>396.88832211281488</v>
      </c>
      <c r="M131" s="122">
        <f t="shared" si="20"/>
        <v>196449098.36000001</v>
      </c>
      <c r="N131" s="116">
        <f t="shared" si="21"/>
        <v>67991033.360000014</v>
      </c>
      <c r="O131" s="123">
        <f t="shared" si="22"/>
        <v>210.06736438826809</v>
      </c>
      <c r="P131" s="5"/>
      <c r="Q131" s="5">
        <f t="shared" si="16"/>
        <v>1</v>
      </c>
      <c r="R131" s="7">
        <f t="shared" si="17"/>
        <v>323663</v>
      </c>
      <c r="S131" s="5">
        <f t="shared" si="18"/>
        <v>1</v>
      </c>
      <c r="T131" s="7">
        <f t="shared" si="19"/>
        <v>323663</v>
      </c>
    </row>
    <row r="132" spans="1:20">
      <c r="A132" s="23" t="s">
        <v>153</v>
      </c>
      <c r="B132" s="35" t="s">
        <v>151</v>
      </c>
      <c r="C132" s="36">
        <v>21949</v>
      </c>
      <c r="D132" s="6"/>
      <c r="E132" s="113">
        <v>1591663635</v>
      </c>
      <c r="F132" s="116">
        <f t="shared" si="27"/>
        <v>72516.453369173993</v>
      </c>
      <c r="G132" s="117">
        <v>1190474812</v>
      </c>
      <c r="H132" s="117">
        <f t="shared" si="28"/>
        <v>54238.225522802859</v>
      </c>
      <c r="I132" s="7"/>
      <c r="J132" s="10">
        <v>4.91</v>
      </c>
      <c r="K132" s="117">
        <v>5845231</v>
      </c>
      <c r="L132" s="120">
        <f t="shared" si="31"/>
        <v>266.30967242243383</v>
      </c>
      <c r="M132" s="122">
        <f t="shared" si="20"/>
        <v>11904748.120000001</v>
      </c>
      <c r="N132" s="116">
        <f t="shared" si="21"/>
        <v>6059517.120000001</v>
      </c>
      <c r="O132" s="123">
        <f t="shared" si="22"/>
        <v>276.07258280559483</v>
      </c>
      <c r="P132" s="5"/>
      <c r="Q132" s="5">
        <f t="shared" si="16"/>
        <v>1</v>
      </c>
      <c r="R132" s="7">
        <f t="shared" si="17"/>
        <v>21949</v>
      </c>
      <c r="S132" s="5">
        <f t="shared" si="18"/>
        <v>1</v>
      </c>
      <c r="T132" s="7">
        <f t="shared" si="19"/>
        <v>21949</v>
      </c>
    </row>
    <row r="133" spans="1:20">
      <c r="A133" s="23" t="s">
        <v>154</v>
      </c>
      <c r="B133" s="35" t="s">
        <v>155</v>
      </c>
      <c r="C133" s="36">
        <v>2677</v>
      </c>
      <c r="D133" s="6"/>
      <c r="E133" s="113">
        <v>109254079</v>
      </c>
      <c r="F133" s="116">
        <f t="shared" si="27"/>
        <v>40812.132611131863</v>
      </c>
      <c r="G133" s="117">
        <v>66112224</v>
      </c>
      <c r="H133" s="117">
        <f t="shared" si="28"/>
        <v>24696.385506163617</v>
      </c>
      <c r="I133" s="98" t="s">
        <v>528</v>
      </c>
      <c r="J133" s="10"/>
      <c r="K133" s="117"/>
      <c r="L133" s="120"/>
      <c r="M133" s="122">
        <f t="shared" si="20"/>
        <v>661122.24</v>
      </c>
      <c r="N133" s="116">
        <f t="shared" si="21"/>
        <v>661122.24</v>
      </c>
      <c r="O133" s="123">
        <f t="shared" si="22"/>
        <v>246.96385506163617</v>
      </c>
      <c r="P133" s="5"/>
      <c r="Q133" s="5">
        <f t="shared" si="16"/>
        <v>1</v>
      </c>
      <c r="R133" s="7">
        <f t="shared" si="17"/>
        <v>2677</v>
      </c>
      <c r="S133" s="5">
        <f t="shared" si="18"/>
        <v>0</v>
      </c>
      <c r="T133" s="7">
        <f t="shared" si="19"/>
        <v>0</v>
      </c>
    </row>
    <row r="134" spans="1:20">
      <c r="A134" s="23" t="s">
        <v>156</v>
      </c>
      <c r="B134" s="35" t="s">
        <v>155</v>
      </c>
      <c r="C134" s="36">
        <v>379</v>
      </c>
      <c r="D134" s="6"/>
      <c r="E134" s="113">
        <v>7542367</v>
      </c>
      <c r="F134" s="116">
        <f t="shared" si="27"/>
        <v>19900.704485488128</v>
      </c>
      <c r="G134" s="117">
        <v>3671645</v>
      </c>
      <c r="H134" s="117">
        <f t="shared" si="28"/>
        <v>9687.7176781002636</v>
      </c>
      <c r="I134" s="7"/>
      <c r="J134" s="10">
        <v>0.67789999999999995</v>
      </c>
      <c r="K134" s="117">
        <v>2489</v>
      </c>
      <c r="L134" s="120">
        <f>(K134/C134)</f>
        <v>6.5672823218997358</v>
      </c>
      <c r="M134" s="122">
        <f t="shared" si="20"/>
        <v>36716.450000000004</v>
      </c>
      <c r="N134" s="116">
        <f t="shared" si="21"/>
        <v>34227.450000000004</v>
      </c>
      <c r="O134" s="123">
        <f t="shared" si="22"/>
        <v>90.309894459102921</v>
      </c>
      <c r="P134" s="5"/>
      <c r="Q134" s="5">
        <f t="shared" si="16"/>
        <v>1</v>
      </c>
      <c r="R134" s="7">
        <f t="shared" si="17"/>
        <v>379</v>
      </c>
      <c r="S134" s="5">
        <f t="shared" si="18"/>
        <v>1</v>
      </c>
      <c r="T134" s="7">
        <f t="shared" si="19"/>
        <v>379</v>
      </c>
    </row>
    <row r="135" spans="1:20">
      <c r="A135" s="23" t="s">
        <v>157</v>
      </c>
      <c r="B135" s="35" t="s">
        <v>155</v>
      </c>
      <c r="C135" s="36">
        <v>230</v>
      </c>
      <c r="D135" s="6"/>
      <c r="E135" s="113">
        <v>3462481</v>
      </c>
      <c r="F135" s="116">
        <f t="shared" si="27"/>
        <v>15054.265217391305</v>
      </c>
      <c r="G135" s="117">
        <v>1249628</v>
      </c>
      <c r="H135" s="117">
        <f t="shared" si="28"/>
        <v>5433.1652173913044</v>
      </c>
      <c r="I135" s="7"/>
      <c r="J135" s="12">
        <v>1.49</v>
      </c>
      <c r="K135" s="117">
        <v>1861</v>
      </c>
      <c r="L135" s="120">
        <f>(K135/C135)</f>
        <v>8.0913043478260871</v>
      </c>
      <c r="M135" s="122">
        <f t="shared" si="20"/>
        <v>12496.28</v>
      </c>
      <c r="N135" s="116">
        <f t="shared" si="21"/>
        <v>10635.28</v>
      </c>
      <c r="O135" s="123">
        <f t="shared" si="22"/>
        <v>46.24034782608696</v>
      </c>
      <c r="P135" s="5"/>
      <c r="Q135" s="5">
        <f t="shared" ref="Q135:Q198" si="32">IF(E135&gt;0,1,0)</f>
        <v>1</v>
      </c>
      <c r="R135" s="7">
        <f t="shared" ref="R135:R198" si="33">IF(E135&gt;0,C135,0)</f>
        <v>230</v>
      </c>
      <c r="S135" s="5">
        <f t="shared" ref="S135:S198" si="34">IF(J135&gt;0,1,0)</f>
        <v>1</v>
      </c>
      <c r="T135" s="7">
        <f t="shared" ref="T135:T198" si="35">IF(J135&gt;0,C135,0)</f>
        <v>230</v>
      </c>
    </row>
    <row r="136" spans="1:20">
      <c r="A136" s="23" t="s">
        <v>158</v>
      </c>
      <c r="B136" s="35" t="s">
        <v>155</v>
      </c>
      <c r="C136" s="36">
        <v>465</v>
      </c>
      <c r="D136" s="6"/>
      <c r="E136" s="113">
        <v>16445902</v>
      </c>
      <c r="F136" s="116">
        <f t="shared" si="27"/>
        <v>35367.531182795698</v>
      </c>
      <c r="G136" s="117">
        <v>9775374</v>
      </c>
      <c r="H136" s="117">
        <f t="shared" si="28"/>
        <v>21022.309677419355</v>
      </c>
      <c r="I136" s="98" t="s">
        <v>528</v>
      </c>
      <c r="J136" s="10"/>
      <c r="K136" s="117"/>
      <c r="L136" s="120"/>
      <c r="M136" s="122">
        <f t="shared" ref="M136:M199" si="36">(G136*0.01)</f>
        <v>97753.74</v>
      </c>
      <c r="N136" s="116">
        <f t="shared" ref="N136:N199" si="37">(M136-K136)</f>
        <v>97753.74</v>
      </c>
      <c r="O136" s="123">
        <f t="shared" ref="O136:O199" si="38">(N136/C136)</f>
        <v>210.22309677419355</v>
      </c>
      <c r="P136" s="5"/>
      <c r="Q136" s="5">
        <f t="shared" si="32"/>
        <v>1</v>
      </c>
      <c r="R136" s="7">
        <f t="shared" si="33"/>
        <v>465</v>
      </c>
      <c r="S136" s="5">
        <f t="shared" si="34"/>
        <v>0</v>
      </c>
      <c r="T136" s="7">
        <f t="shared" si="35"/>
        <v>0</v>
      </c>
    </row>
    <row r="137" spans="1:20">
      <c r="A137" s="23" t="s">
        <v>159</v>
      </c>
      <c r="B137" s="35" t="s">
        <v>155</v>
      </c>
      <c r="C137" s="36">
        <v>226</v>
      </c>
      <c r="D137" s="6"/>
      <c r="E137" s="113">
        <v>8857418</v>
      </c>
      <c r="F137" s="116">
        <f t="shared" si="27"/>
        <v>39192.115044247788</v>
      </c>
      <c r="G137" s="117">
        <v>2598533</v>
      </c>
      <c r="H137" s="117">
        <f t="shared" si="28"/>
        <v>11497.933628318584</v>
      </c>
      <c r="I137" s="98" t="s">
        <v>528</v>
      </c>
      <c r="J137" s="10"/>
      <c r="K137" s="117"/>
      <c r="L137" s="120"/>
      <c r="M137" s="122">
        <f t="shared" si="36"/>
        <v>25985.33</v>
      </c>
      <c r="N137" s="116">
        <f t="shared" si="37"/>
        <v>25985.33</v>
      </c>
      <c r="O137" s="123">
        <f t="shared" si="38"/>
        <v>114.97933628318584</v>
      </c>
      <c r="P137" s="5"/>
      <c r="Q137" s="5">
        <f t="shared" si="32"/>
        <v>1</v>
      </c>
      <c r="R137" s="7">
        <f t="shared" si="33"/>
        <v>226</v>
      </c>
      <c r="S137" s="5">
        <f t="shared" si="34"/>
        <v>0</v>
      </c>
      <c r="T137" s="7">
        <f t="shared" si="35"/>
        <v>0</v>
      </c>
    </row>
    <row r="138" spans="1:20">
      <c r="A138" s="23" t="s">
        <v>160</v>
      </c>
      <c r="B138" s="35" t="s">
        <v>161</v>
      </c>
      <c r="C138" s="36">
        <v>4284</v>
      </c>
      <c r="D138" s="6"/>
      <c r="E138" s="113">
        <v>90342143</v>
      </c>
      <c r="F138" s="116">
        <f t="shared" si="27"/>
        <v>21088.268674136321</v>
      </c>
      <c r="G138" s="117">
        <v>51383309</v>
      </c>
      <c r="H138" s="117">
        <f t="shared" si="28"/>
        <v>11994.236461251166</v>
      </c>
      <c r="I138" s="7"/>
      <c r="J138" s="11">
        <v>5.75</v>
      </c>
      <c r="K138" s="117">
        <v>295454</v>
      </c>
      <c r="L138" s="120">
        <f t="shared" ref="L138:L143" si="39">(K138/C138)</f>
        <v>68.966853408029877</v>
      </c>
      <c r="M138" s="122">
        <f t="shared" si="36"/>
        <v>513833.09</v>
      </c>
      <c r="N138" s="116">
        <f t="shared" si="37"/>
        <v>218379.09000000003</v>
      </c>
      <c r="O138" s="123">
        <f t="shared" si="38"/>
        <v>50.975511204481798</v>
      </c>
      <c r="P138" s="5"/>
      <c r="Q138" s="5">
        <f t="shared" si="32"/>
        <v>1</v>
      </c>
      <c r="R138" s="7">
        <f t="shared" si="33"/>
        <v>4284</v>
      </c>
      <c r="S138" s="5">
        <f t="shared" si="34"/>
        <v>1</v>
      </c>
      <c r="T138" s="7">
        <f t="shared" si="35"/>
        <v>4284</v>
      </c>
    </row>
    <row r="139" spans="1:20">
      <c r="A139" s="23" t="s">
        <v>162</v>
      </c>
      <c r="B139" s="35" t="s">
        <v>161</v>
      </c>
      <c r="C139" s="36">
        <v>3647</v>
      </c>
      <c r="D139" s="6"/>
      <c r="E139" s="113">
        <v>2577071569</v>
      </c>
      <c r="F139" s="116">
        <f t="shared" si="27"/>
        <v>706627.79517411569</v>
      </c>
      <c r="G139" s="117">
        <v>2141715583</v>
      </c>
      <c r="H139" s="117">
        <f t="shared" si="28"/>
        <v>587254.06717850291</v>
      </c>
      <c r="I139" s="7"/>
      <c r="J139" s="11">
        <v>1.4730000000000001</v>
      </c>
      <c r="K139" s="117">
        <v>3154747</v>
      </c>
      <c r="L139" s="120">
        <f t="shared" si="39"/>
        <v>865.02522621332605</v>
      </c>
      <c r="M139" s="122">
        <f t="shared" si="36"/>
        <v>21417155.830000002</v>
      </c>
      <c r="N139" s="116">
        <f t="shared" si="37"/>
        <v>18262408.830000002</v>
      </c>
      <c r="O139" s="123">
        <f t="shared" si="38"/>
        <v>5007.5154455717029</v>
      </c>
      <c r="P139" s="5"/>
      <c r="Q139" s="5">
        <f t="shared" si="32"/>
        <v>1</v>
      </c>
      <c r="R139" s="7">
        <f t="shared" si="33"/>
        <v>3647</v>
      </c>
      <c r="S139" s="5">
        <f t="shared" si="34"/>
        <v>1</v>
      </c>
      <c r="T139" s="7">
        <f t="shared" si="35"/>
        <v>3647</v>
      </c>
    </row>
    <row r="140" spans="1:20">
      <c r="A140" s="23" t="s">
        <v>163</v>
      </c>
      <c r="B140" s="35" t="s">
        <v>161</v>
      </c>
      <c r="C140" s="36">
        <v>304</v>
      </c>
      <c r="D140" s="6"/>
      <c r="E140" s="113">
        <v>446600393</v>
      </c>
      <c r="F140" s="116">
        <f t="shared" si="27"/>
        <v>1469080.2401315789</v>
      </c>
      <c r="G140" s="117">
        <v>417911403</v>
      </c>
      <c r="H140" s="117">
        <f t="shared" si="28"/>
        <v>1374708.5625</v>
      </c>
      <c r="I140" s="7"/>
      <c r="J140" s="10">
        <v>0.75080000000000002</v>
      </c>
      <c r="K140" s="117">
        <v>313767</v>
      </c>
      <c r="L140" s="120">
        <f t="shared" si="39"/>
        <v>1032.1282894736842</v>
      </c>
      <c r="M140" s="122">
        <f t="shared" si="36"/>
        <v>4179114.0300000003</v>
      </c>
      <c r="N140" s="116">
        <f t="shared" si="37"/>
        <v>3865347.0300000003</v>
      </c>
      <c r="O140" s="123">
        <f t="shared" si="38"/>
        <v>12714.957335526316</v>
      </c>
      <c r="P140" s="5"/>
      <c r="Q140" s="5">
        <f t="shared" si="32"/>
        <v>1</v>
      </c>
      <c r="R140" s="7">
        <f t="shared" si="33"/>
        <v>304</v>
      </c>
      <c r="S140" s="5">
        <f t="shared" si="34"/>
        <v>1</v>
      </c>
      <c r="T140" s="7">
        <f t="shared" si="35"/>
        <v>304</v>
      </c>
    </row>
    <row r="141" spans="1:20">
      <c r="A141" s="23" t="s">
        <v>164</v>
      </c>
      <c r="B141" s="35" t="s">
        <v>161</v>
      </c>
      <c r="C141" s="36">
        <v>19365</v>
      </c>
      <c r="D141" s="6"/>
      <c r="E141" s="113">
        <v>1209502136</v>
      </c>
      <c r="F141" s="116">
        <f t="shared" si="27"/>
        <v>62458.153162922797</v>
      </c>
      <c r="G141" s="117">
        <v>850999257</v>
      </c>
      <c r="H141" s="117">
        <f t="shared" si="28"/>
        <v>43945.223702556155</v>
      </c>
      <c r="I141" s="7"/>
      <c r="J141" s="10">
        <v>4.5903999999999998</v>
      </c>
      <c r="K141" s="117">
        <v>3906426</v>
      </c>
      <c r="L141" s="120">
        <f t="shared" si="39"/>
        <v>201.72610379550736</v>
      </c>
      <c r="M141" s="122">
        <f t="shared" si="36"/>
        <v>8509992.5700000003</v>
      </c>
      <c r="N141" s="116">
        <f t="shared" si="37"/>
        <v>4603566.57</v>
      </c>
      <c r="O141" s="123">
        <f t="shared" si="38"/>
        <v>237.72613323005424</v>
      </c>
      <c r="P141" s="5"/>
      <c r="Q141" s="5">
        <f t="shared" si="32"/>
        <v>1</v>
      </c>
      <c r="R141" s="7">
        <f t="shared" si="33"/>
        <v>19365</v>
      </c>
      <c r="S141" s="5">
        <f t="shared" si="34"/>
        <v>1</v>
      </c>
      <c r="T141" s="7">
        <f t="shared" si="35"/>
        <v>19365</v>
      </c>
    </row>
    <row r="142" spans="1:20">
      <c r="A142" s="23" t="s">
        <v>165</v>
      </c>
      <c r="B142" s="35" t="s">
        <v>161</v>
      </c>
      <c r="C142" s="36">
        <v>18012</v>
      </c>
      <c r="D142" s="6"/>
      <c r="E142" s="113">
        <v>2981519954</v>
      </c>
      <c r="F142" s="116">
        <f t="shared" si="27"/>
        <v>165529.64434821231</v>
      </c>
      <c r="G142" s="117">
        <v>2112889529</v>
      </c>
      <c r="H142" s="117">
        <f t="shared" si="28"/>
        <v>117304.5485787253</v>
      </c>
      <c r="I142" s="7"/>
      <c r="J142" s="10">
        <v>2.1425000000000001</v>
      </c>
      <c r="K142" s="117">
        <v>4548290</v>
      </c>
      <c r="L142" s="120">
        <f t="shared" si="39"/>
        <v>252.51443482123028</v>
      </c>
      <c r="M142" s="122">
        <f t="shared" si="36"/>
        <v>21128895.289999999</v>
      </c>
      <c r="N142" s="116">
        <f t="shared" si="37"/>
        <v>16580605.289999999</v>
      </c>
      <c r="O142" s="123">
        <f t="shared" si="38"/>
        <v>920.53105096602258</v>
      </c>
      <c r="P142" s="5"/>
      <c r="Q142" s="5">
        <f t="shared" si="32"/>
        <v>1</v>
      </c>
      <c r="R142" s="7">
        <f t="shared" si="33"/>
        <v>18012</v>
      </c>
      <c r="S142" s="5">
        <f t="shared" si="34"/>
        <v>1</v>
      </c>
      <c r="T142" s="7">
        <f t="shared" si="35"/>
        <v>18012</v>
      </c>
    </row>
    <row r="143" spans="1:20">
      <c r="A143" s="23" t="s">
        <v>166</v>
      </c>
      <c r="B143" s="35" t="s">
        <v>167</v>
      </c>
      <c r="C143" s="36">
        <v>484</v>
      </c>
      <c r="D143" s="6"/>
      <c r="E143" s="113">
        <v>10483902</v>
      </c>
      <c r="F143" s="116">
        <f t="shared" si="27"/>
        <v>21660.954545454544</v>
      </c>
      <c r="G143" s="117">
        <v>5316567</v>
      </c>
      <c r="H143" s="117">
        <f t="shared" si="28"/>
        <v>10984.642561983472</v>
      </c>
      <c r="I143" s="7"/>
      <c r="J143" s="10">
        <v>0.99299999999999999</v>
      </c>
      <c r="K143" s="117">
        <v>5279</v>
      </c>
      <c r="L143" s="120">
        <f t="shared" si="39"/>
        <v>10.90702479338843</v>
      </c>
      <c r="M143" s="122">
        <f t="shared" si="36"/>
        <v>53165.67</v>
      </c>
      <c r="N143" s="116">
        <f t="shared" si="37"/>
        <v>47886.67</v>
      </c>
      <c r="O143" s="123">
        <f t="shared" si="38"/>
        <v>98.939400826446274</v>
      </c>
      <c r="P143" s="5"/>
      <c r="Q143" s="5">
        <f t="shared" si="32"/>
        <v>1</v>
      </c>
      <c r="R143" s="7">
        <f t="shared" si="33"/>
        <v>484</v>
      </c>
      <c r="S143" s="5">
        <f t="shared" si="34"/>
        <v>1</v>
      </c>
      <c r="T143" s="7">
        <f t="shared" si="35"/>
        <v>484</v>
      </c>
    </row>
    <row r="144" spans="1:20">
      <c r="A144" s="23" t="s">
        <v>168</v>
      </c>
      <c r="B144" s="35" t="s">
        <v>167</v>
      </c>
      <c r="C144" s="36">
        <v>109</v>
      </c>
      <c r="D144" s="6"/>
      <c r="E144" s="113">
        <v>2283108</v>
      </c>
      <c r="F144" s="116">
        <f t="shared" si="27"/>
        <v>20945.944954128441</v>
      </c>
      <c r="G144" s="117">
        <v>1409705</v>
      </c>
      <c r="H144" s="117">
        <f t="shared" si="28"/>
        <v>12933.073394495414</v>
      </c>
      <c r="I144" s="98" t="s">
        <v>528</v>
      </c>
      <c r="J144" s="10"/>
      <c r="K144" s="117"/>
      <c r="L144" s="120"/>
      <c r="M144" s="122">
        <f t="shared" si="36"/>
        <v>14097.050000000001</v>
      </c>
      <c r="N144" s="116">
        <f t="shared" si="37"/>
        <v>14097.050000000001</v>
      </c>
      <c r="O144" s="123">
        <f t="shared" si="38"/>
        <v>129.33073394495415</v>
      </c>
      <c r="P144" s="5"/>
      <c r="Q144" s="5">
        <f t="shared" si="32"/>
        <v>1</v>
      </c>
      <c r="R144" s="7">
        <f t="shared" si="33"/>
        <v>109</v>
      </c>
      <c r="S144" s="5">
        <f t="shared" si="34"/>
        <v>0</v>
      </c>
      <c r="T144" s="7">
        <f t="shared" si="35"/>
        <v>0</v>
      </c>
    </row>
    <row r="145" spans="1:20">
      <c r="A145" s="23" t="s">
        <v>169</v>
      </c>
      <c r="B145" s="35" t="s">
        <v>167</v>
      </c>
      <c r="C145" s="36">
        <v>216</v>
      </c>
      <c r="D145" s="6"/>
      <c r="E145" s="113">
        <v>6966048</v>
      </c>
      <c r="F145" s="116">
        <f t="shared" si="27"/>
        <v>32250.222222222223</v>
      </c>
      <c r="G145" s="117">
        <v>4114090</v>
      </c>
      <c r="H145" s="117">
        <f t="shared" si="28"/>
        <v>19046.712962962964</v>
      </c>
      <c r="I145" s="7"/>
      <c r="J145" s="10">
        <v>2</v>
      </c>
      <c r="K145" s="117">
        <v>8228</v>
      </c>
      <c r="L145" s="120">
        <f>(K145/C145)</f>
        <v>38.092592592592595</v>
      </c>
      <c r="M145" s="122">
        <f t="shared" si="36"/>
        <v>41140.9</v>
      </c>
      <c r="N145" s="116">
        <f t="shared" si="37"/>
        <v>32912.9</v>
      </c>
      <c r="O145" s="123">
        <f t="shared" si="38"/>
        <v>152.37453703703704</v>
      </c>
      <c r="P145" s="5"/>
      <c r="Q145" s="5">
        <f t="shared" si="32"/>
        <v>1</v>
      </c>
      <c r="R145" s="7">
        <f t="shared" si="33"/>
        <v>216</v>
      </c>
      <c r="S145" s="5">
        <f t="shared" si="34"/>
        <v>1</v>
      </c>
      <c r="T145" s="7">
        <f t="shared" si="35"/>
        <v>216</v>
      </c>
    </row>
    <row r="146" spans="1:20">
      <c r="A146" s="23" t="s">
        <v>170</v>
      </c>
      <c r="B146" s="35" t="s">
        <v>167</v>
      </c>
      <c r="C146" s="36">
        <v>901</v>
      </c>
      <c r="D146" s="6"/>
      <c r="E146" s="113">
        <v>25390955</v>
      </c>
      <c r="F146" s="116">
        <f t="shared" si="27"/>
        <v>28180.860155382907</v>
      </c>
      <c r="G146" s="117">
        <v>14460634</v>
      </c>
      <c r="H146" s="117">
        <f t="shared" si="28"/>
        <v>16049.538290788014</v>
      </c>
      <c r="I146" s="7"/>
      <c r="J146" s="12">
        <v>3.5</v>
      </c>
      <c r="K146" s="117">
        <v>50612</v>
      </c>
      <c r="L146" s="120">
        <f>(K146/C146)</f>
        <v>56.173140954495004</v>
      </c>
      <c r="M146" s="122">
        <f t="shared" si="36"/>
        <v>144606.34</v>
      </c>
      <c r="N146" s="116">
        <f t="shared" si="37"/>
        <v>93994.34</v>
      </c>
      <c r="O146" s="123">
        <f t="shared" si="38"/>
        <v>104.32224195338513</v>
      </c>
      <c r="P146" s="5"/>
      <c r="Q146" s="5">
        <f t="shared" si="32"/>
        <v>1</v>
      </c>
      <c r="R146" s="7">
        <f t="shared" si="33"/>
        <v>901</v>
      </c>
      <c r="S146" s="5">
        <f t="shared" si="34"/>
        <v>1</v>
      </c>
      <c r="T146" s="7">
        <f t="shared" si="35"/>
        <v>901</v>
      </c>
    </row>
    <row r="147" spans="1:20">
      <c r="A147" s="23" t="s">
        <v>171</v>
      </c>
      <c r="B147" s="35" t="s">
        <v>167</v>
      </c>
      <c r="C147" s="36">
        <v>2484</v>
      </c>
      <c r="D147" s="6"/>
      <c r="E147" s="113">
        <v>95934479</v>
      </c>
      <c r="F147" s="116">
        <f t="shared" si="27"/>
        <v>38620.965780998391</v>
      </c>
      <c r="G147" s="117">
        <v>57375577</v>
      </c>
      <c r="H147" s="117">
        <f t="shared" si="28"/>
        <v>23098.058373590982</v>
      </c>
      <c r="I147" s="7"/>
      <c r="J147" s="10">
        <v>4</v>
      </c>
      <c r="K147" s="117">
        <v>229502</v>
      </c>
      <c r="L147" s="120">
        <f>(K147/C147)</f>
        <v>92.392109500805148</v>
      </c>
      <c r="M147" s="122">
        <f t="shared" si="36"/>
        <v>573755.77</v>
      </c>
      <c r="N147" s="116">
        <f t="shared" si="37"/>
        <v>344253.77</v>
      </c>
      <c r="O147" s="123">
        <f t="shared" si="38"/>
        <v>138.58847423510468</v>
      </c>
      <c r="P147" s="5"/>
      <c r="Q147" s="5">
        <f t="shared" si="32"/>
        <v>1</v>
      </c>
      <c r="R147" s="7">
        <f t="shared" si="33"/>
        <v>2484</v>
      </c>
      <c r="S147" s="5">
        <f t="shared" si="34"/>
        <v>1</v>
      </c>
      <c r="T147" s="7">
        <f t="shared" si="35"/>
        <v>2484</v>
      </c>
    </row>
    <row r="148" spans="1:20">
      <c r="A148" s="23" t="s">
        <v>172</v>
      </c>
      <c r="B148" s="35" t="s">
        <v>167</v>
      </c>
      <c r="C148" s="36">
        <v>902</v>
      </c>
      <c r="D148" s="6"/>
      <c r="E148" s="113">
        <v>16192649</v>
      </c>
      <c r="F148" s="116">
        <f t="shared" si="27"/>
        <v>17951.939024390245</v>
      </c>
      <c r="G148" s="117">
        <v>7316598</v>
      </c>
      <c r="H148" s="117">
        <f t="shared" si="28"/>
        <v>8111.5277161862532</v>
      </c>
      <c r="I148" s="98" t="s">
        <v>528</v>
      </c>
      <c r="J148" s="10"/>
      <c r="K148" s="117"/>
      <c r="L148" s="120"/>
      <c r="M148" s="122">
        <f t="shared" si="36"/>
        <v>73165.98</v>
      </c>
      <c r="N148" s="116">
        <f t="shared" si="37"/>
        <v>73165.98</v>
      </c>
      <c r="O148" s="123">
        <f t="shared" si="38"/>
        <v>81.115277161862522</v>
      </c>
      <c r="P148" s="5"/>
      <c r="Q148" s="5">
        <f t="shared" si="32"/>
        <v>1</v>
      </c>
      <c r="R148" s="7">
        <f t="shared" si="33"/>
        <v>902</v>
      </c>
      <c r="S148" s="5">
        <f t="shared" si="34"/>
        <v>0</v>
      </c>
      <c r="T148" s="7">
        <f t="shared" si="35"/>
        <v>0</v>
      </c>
    </row>
    <row r="149" spans="1:20">
      <c r="A149" s="23" t="s">
        <v>173</v>
      </c>
      <c r="B149" s="35" t="s">
        <v>167</v>
      </c>
      <c r="C149" s="36">
        <v>763</v>
      </c>
      <c r="D149" s="6"/>
      <c r="E149" s="113">
        <v>20192942</v>
      </c>
      <c r="F149" s="116">
        <f t="shared" si="27"/>
        <v>26465.19266055046</v>
      </c>
      <c r="G149" s="117">
        <v>10579618</v>
      </c>
      <c r="H149" s="117">
        <f t="shared" si="28"/>
        <v>13865.816513761469</v>
      </c>
      <c r="I149" s="7"/>
      <c r="J149" s="10">
        <v>1</v>
      </c>
      <c r="K149" s="117">
        <v>10579</v>
      </c>
      <c r="L149" s="120">
        <f>(K149/C149)</f>
        <v>13.865006553079947</v>
      </c>
      <c r="M149" s="122">
        <f t="shared" si="36"/>
        <v>105796.18000000001</v>
      </c>
      <c r="N149" s="116">
        <f t="shared" si="37"/>
        <v>95217.180000000008</v>
      </c>
      <c r="O149" s="123">
        <f t="shared" si="38"/>
        <v>124.79315858453474</v>
      </c>
      <c r="P149" s="5"/>
      <c r="Q149" s="5">
        <f t="shared" si="32"/>
        <v>1</v>
      </c>
      <c r="R149" s="7">
        <f t="shared" si="33"/>
        <v>763</v>
      </c>
      <c r="S149" s="5">
        <f t="shared" si="34"/>
        <v>1</v>
      </c>
      <c r="T149" s="7">
        <f t="shared" si="35"/>
        <v>763</v>
      </c>
    </row>
    <row r="150" spans="1:20">
      <c r="A150" s="23" t="s">
        <v>174</v>
      </c>
      <c r="B150" s="35" t="s">
        <v>167</v>
      </c>
      <c r="C150" s="36">
        <v>291</v>
      </c>
      <c r="D150" s="6"/>
      <c r="E150" s="113">
        <v>5619442</v>
      </c>
      <c r="F150" s="116">
        <f t="shared" si="27"/>
        <v>19310.797250859108</v>
      </c>
      <c r="G150" s="117">
        <v>2403827</v>
      </c>
      <c r="H150" s="117">
        <f t="shared" si="28"/>
        <v>8260.5738831615126</v>
      </c>
      <c r="I150" s="7"/>
      <c r="J150" s="11">
        <v>3</v>
      </c>
      <c r="K150" s="117">
        <v>7211</v>
      </c>
      <c r="L150" s="120">
        <f>(K150/C150)</f>
        <v>24.780068728522338</v>
      </c>
      <c r="M150" s="122">
        <f t="shared" si="36"/>
        <v>24038.27</v>
      </c>
      <c r="N150" s="116">
        <f t="shared" si="37"/>
        <v>16827.27</v>
      </c>
      <c r="O150" s="123">
        <f t="shared" si="38"/>
        <v>57.825670103092783</v>
      </c>
      <c r="P150" s="5"/>
      <c r="Q150" s="5">
        <f t="shared" si="32"/>
        <v>1</v>
      </c>
      <c r="R150" s="7">
        <f t="shared" si="33"/>
        <v>291</v>
      </c>
      <c r="S150" s="5">
        <f t="shared" si="34"/>
        <v>1</v>
      </c>
      <c r="T150" s="7">
        <f t="shared" si="35"/>
        <v>291</v>
      </c>
    </row>
    <row r="151" spans="1:20">
      <c r="A151" s="23" t="s">
        <v>175</v>
      </c>
      <c r="B151" s="35" t="s">
        <v>167</v>
      </c>
      <c r="C151" s="36">
        <v>2041</v>
      </c>
      <c r="D151" s="6"/>
      <c r="E151" s="113">
        <v>41467025</v>
      </c>
      <c r="F151" s="116">
        <f t="shared" si="27"/>
        <v>20317.013718765313</v>
      </c>
      <c r="G151" s="117">
        <v>9738925</v>
      </c>
      <c r="H151" s="117">
        <f t="shared" si="28"/>
        <v>4771.6438020578144</v>
      </c>
      <c r="I151" s="98" t="s">
        <v>528</v>
      </c>
      <c r="J151" s="10"/>
      <c r="K151" s="117"/>
      <c r="L151" s="120"/>
      <c r="M151" s="122">
        <f t="shared" si="36"/>
        <v>97389.25</v>
      </c>
      <c r="N151" s="116">
        <f t="shared" si="37"/>
        <v>97389.25</v>
      </c>
      <c r="O151" s="123">
        <f t="shared" si="38"/>
        <v>47.716438020578146</v>
      </c>
      <c r="P151" s="5"/>
      <c r="Q151" s="5">
        <f t="shared" si="32"/>
        <v>1</v>
      </c>
      <c r="R151" s="7">
        <f t="shared" si="33"/>
        <v>2041</v>
      </c>
      <c r="S151" s="5">
        <f t="shared" si="34"/>
        <v>0</v>
      </c>
      <c r="T151" s="7">
        <f t="shared" si="35"/>
        <v>0</v>
      </c>
    </row>
    <row r="152" spans="1:20">
      <c r="A152" s="23" t="s">
        <v>176</v>
      </c>
      <c r="B152" s="35" t="s">
        <v>167</v>
      </c>
      <c r="C152" s="36">
        <v>6444</v>
      </c>
      <c r="D152" s="6"/>
      <c r="E152" s="113">
        <v>283074371</v>
      </c>
      <c r="F152" s="116">
        <f t="shared" si="27"/>
        <v>43928.362973308504</v>
      </c>
      <c r="G152" s="117">
        <v>150791119</v>
      </c>
      <c r="H152" s="117">
        <f t="shared" si="28"/>
        <v>23400.235723153321</v>
      </c>
      <c r="I152" s="7"/>
      <c r="J152" s="10">
        <v>2.11</v>
      </c>
      <c r="K152" s="117">
        <v>318169</v>
      </c>
      <c r="L152" s="120">
        <f t="shared" ref="L152:L196" si="40">(K152/C152)</f>
        <v>49.374456859093733</v>
      </c>
      <c r="M152" s="122">
        <f t="shared" si="36"/>
        <v>1507911.19</v>
      </c>
      <c r="N152" s="116">
        <f t="shared" si="37"/>
        <v>1189742.19</v>
      </c>
      <c r="O152" s="123">
        <f t="shared" si="38"/>
        <v>184.62790037243948</v>
      </c>
      <c r="P152" s="5"/>
      <c r="Q152" s="5">
        <f t="shared" si="32"/>
        <v>1</v>
      </c>
      <c r="R152" s="7">
        <f t="shared" si="33"/>
        <v>6444</v>
      </c>
      <c r="S152" s="5">
        <f t="shared" si="34"/>
        <v>1</v>
      </c>
      <c r="T152" s="7">
        <f t="shared" si="35"/>
        <v>6444</v>
      </c>
    </row>
    <row r="153" spans="1:20">
      <c r="A153" s="23" t="s">
        <v>177</v>
      </c>
      <c r="B153" s="35" t="s">
        <v>167</v>
      </c>
      <c r="C153" s="36">
        <v>1960</v>
      </c>
      <c r="D153" s="6"/>
      <c r="E153" s="113">
        <v>51561986</v>
      </c>
      <c r="F153" s="116">
        <f t="shared" si="27"/>
        <v>26307.135714285716</v>
      </c>
      <c r="G153" s="117">
        <v>27137789</v>
      </c>
      <c r="H153" s="117">
        <f t="shared" si="28"/>
        <v>13845.810714285713</v>
      </c>
      <c r="I153" s="7"/>
      <c r="J153" s="11">
        <v>0.56610000000000005</v>
      </c>
      <c r="K153" s="117">
        <v>15362</v>
      </c>
      <c r="L153" s="120">
        <f t="shared" si="40"/>
        <v>7.8377551020408163</v>
      </c>
      <c r="M153" s="122">
        <f t="shared" si="36"/>
        <v>271377.89</v>
      </c>
      <c r="N153" s="116">
        <f t="shared" si="37"/>
        <v>256015.89</v>
      </c>
      <c r="O153" s="123">
        <f t="shared" si="38"/>
        <v>130.62035204081633</v>
      </c>
      <c r="P153" s="5"/>
      <c r="Q153" s="5">
        <f t="shared" si="32"/>
        <v>1</v>
      </c>
      <c r="R153" s="7">
        <f t="shared" si="33"/>
        <v>1960</v>
      </c>
      <c r="S153" s="5">
        <f t="shared" si="34"/>
        <v>1</v>
      </c>
      <c r="T153" s="7">
        <f t="shared" si="35"/>
        <v>1960</v>
      </c>
    </row>
    <row r="154" spans="1:20">
      <c r="A154" s="23" t="s">
        <v>178</v>
      </c>
      <c r="B154" s="35" t="s">
        <v>179</v>
      </c>
      <c r="C154" s="36">
        <v>2537</v>
      </c>
      <c r="D154" s="6"/>
      <c r="E154" s="113">
        <v>107688368</v>
      </c>
      <c r="F154" s="116">
        <f t="shared" si="27"/>
        <v>42447.129680725266</v>
      </c>
      <c r="G154" s="117">
        <v>64330299</v>
      </c>
      <c r="H154" s="117">
        <f t="shared" si="28"/>
        <v>25356.838391801339</v>
      </c>
      <c r="I154" s="7"/>
      <c r="J154" s="10">
        <v>7.5</v>
      </c>
      <c r="K154" s="117">
        <v>482477</v>
      </c>
      <c r="L154" s="120">
        <f t="shared" si="40"/>
        <v>190.17619235317304</v>
      </c>
      <c r="M154" s="122">
        <f t="shared" si="36"/>
        <v>643302.99</v>
      </c>
      <c r="N154" s="116">
        <f t="shared" si="37"/>
        <v>160825.99</v>
      </c>
      <c r="O154" s="123">
        <f t="shared" si="38"/>
        <v>63.39219156484036</v>
      </c>
      <c r="P154" s="5"/>
      <c r="Q154" s="5">
        <f t="shared" si="32"/>
        <v>1</v>
      </c>
      <c r="R154" s="7">
        <f t="shared" si="33"/>
        <v>2537</v>
      </c>
      <c r="S154" s="5">
        <f t="shared" si="34"/>
        <v>1</v>
      </c>
      <c r="T154" s="7">
        <f t="shared" si="35"/>
        <v>2537</v>
      </c>
    </row>
    <row r="155" spans="1:20">
      <c r="A155" s="23" t="s">
        <v>180</v>
      </c>
      <c r="B155" s="35" t="s">
        <v>181</v>
      </c>
      <c r="C155" s="36">
        <v>1022</v>
      </c>
      <c r="D155" s="6"/>
      <c r="E155" s="113">
        <v>32089608</v>
      </c>
      <c r="F155" s="116">
        <f t="shared" si="27"/>
        <v>31398.833659491193</v>
      </c>
      <c r="G155" s="117">
        <v>16342178</v>
      </c>
      <c r="H155" s="117">
        <f t="shared" si="28"/>
        <v>15990.389432485323</v>
      </c>
      <c r="I155" s="7"/>
      <c r="J155" s="10">
        <v>2.5</v>
      </c>
      <c r="K155" s="117">
        <v>40855</v>
      </c>
      <c r="L155" s="120">
        <f t="shared" si="40"/>
        <v>39.975538160469668</v>
      </c>
      <c r="M155" s="122">
        <f t="shared" si="36"/>
        <v>163421.78</v>
      </c>
      <c r="N155" s="116">
        <f t="shared" si="37"/>
        <v>122566.78</v>
      </c>
      <c r="O155" s="123">
        <f t="shared" si="38"/>
        <v>119.92835616438356</v>
      </c>
      <c r="P155" s="5"/>
      <c r="Q155" s="5">
        <f t="shared" si="32"/>
        <v>1</v>
      </c>
      <c r="R155" s="7">
        <f t="shared" si="33"/>
        <v>1022</v>
      </c>
      <c r="S155" s="5">
        <f t="shared" si="34"/>
        <v>1</v>
      </c>
      <c r="T155" s="7">
        <f t="shared" si="35"/>
        <v>1022</v>
      </c>
    </row>
    <row r="156" spans="1:20">
      <c r="A156" s="23" t="s">
        <v>182</v>
      </c>
      <c r="B156" s="35" t="s">
        <v>183</v>
      </c>
      <c r="C156" s="36">
        <v>1393</v>
      </c>
      <c r="D156" s="6"/>
      <c r="E156" s="113">
        <v>50959132</v>
      </c>
      <c r="F156" s="116">
        <f t="shared" si="27"/>
        <v>36582.291457286432</v>
      </c>
      <c r="G156" s="117">
        <v>35664746</v>
      </c>
      <c r="H156" s="117">
        <f t="shared" si="28"/>
        <v>25602.832735104093</v>
      </c>
      <c r="I156" s="7"/>
      <c r="J156" s="10">
        <v>3.4</v>
      </c>
      <c r="K156" s="117">
        <v>121260</v>
      </c>
      <c r="L156" s="120">
        <f t="shared" si="40"/>
        <v>87.049533381191679</v>
      </c>
      <c r="M156" s="122">
        <f t="shared" si="36"/>
        <v>356647.46</v>
      </c>
      <c r="N156" s="116">
        <f t="shared" si="37"/>
        <v>235387.46000000002</v>
      </c>
      <c r="O156" s="123">
        <f t="shared" si="38"/>
        <v>168.97879396984925</v>
      </c>
      <c r="P156" s="5"/>
      <c r="Q156" s="5">
        <f t="shared" si="32"/>
        <v>1</v>
      </c>
      <c r="R156" s="7">
        <f t="shared" si="33"/>
        <v>1393</v>
      </c>
      <c r="S156" s="5">
        <f t="shared" si="34"/>
        <v>1</v>
      </c>
      <c r="T156" s="7">
        <f t="shared" si="35"/>
        <v>1393</v>
      </c>
    </row>
    <row r="157" spans="1:20">
      <c r="A157" s="23" t="s">
        <v>184</v>
      </c>
      <c r="B157" s="35" t="s">
        <v>183</v>
      </c>
      <c r="C157" s="36">
        <v>17654</v>
      </c>
      <c r="D157" s="6"/>
      <c r="E157" s="113">
        <v>1497617788</v>
      </c>
      <c r="F157" s="116">
        <f t="shared" si="27"/>
        <v>84831.640874589328</v>
      </c>
      <c r="G157" s="117">
        <v>1198455849</v>
      </c>
      <c r="H157" s="117">
        <f t="shared" si="28"/>
        <v>67885.796363430389</v>
      </c>
      <c r="I157" s="7"/>
      <c r="J157" s="10">
        <v>3.7290000000000001</v>
      </c>
      <c r="K157" s="117">
        <v>4469041</v>
      </c>
      <c r="L157" s="120">
        <f t="shared" si="40"/>
        <v>253.14608587288998</v>
      </c>
      <c r="M157" s="122">
        <f t="shared" si="36"/>
        <v>11984558.49</v>
      </c>
      <c r="N157" s="116">
        <f t="shared" si="37"/>
        <v>7515517.4900000002</v>
      </c>
      <c r="O157" s="123">
        <f t="shared" si="38"/>
        <v>425.71187776141386</v>
      </c>
      <c r="P157" s="5"/>
      <c r="Q157" s="5">
        <f t="shared" si="32"/>
        <v>1</v>
      </c>
      <c r="R157" s="7">
        <f t="shared" si="33"/>
        <v>17654</v>
      </c>
      <c r="S157" s="5">
        <f t="shared" si="34"/>
        <v>1</v>
      </c>
      <c r="T157" s="7">
        <f t="shared" si="35"/>
        <v>17654</v>
      </c>
    </row>
    <row r="158" spans="1:20">
      <c r="A158" s="23" t="s">
        <v>185</v>
      </c>
      <c r="B158" s="35" t="s">
        <v>183</v>
      </c>
      <c r="C158" s="36">
        <v>16884</v>
      </c>
      <c r="D158" s="6"/>
      <c r="E158" s="113">
        <v>906302183</v>
      </c>
      <c r="F158" s="116">
        <f t="shared" ref="F158:F221" si="41">(E158/C158)</f>
        <v>53678.167673537078</v>
      </c>
      <c r="G158" s="117">
        <v>655159644</v>
      </c>
      <c r="H158" s="117">
        <f t="shared" ref="H158:H221" si="42">(G158/C158)</f>
        <v>38803.57995735608</v>
      </c>
      <c r="I158" s="7"/>
      <c r="J158" s="10">
        <v>5.84</v>
      </c>
      <c r="K158" s="117">
        <v>3826132</v>
      </c>
      <c r="L158" s="120">
        <f t="shared" si="40"/>
        <v>226.61288794124616</v>
      </c>
      <c r="M158" s="122">
        <f t="shared" si="36"/>
        <v>6551596.4400000004</v>
      </c>
      <c r="N158" s="116">
        <f t="shared" si="37"/>
        <v>2725464.4400000004</v>
      </c>
      <c r="O158" s="123">
        <f t="shared" si="38"/>
        <v>161.42291163231465</v>
      </c>
      <c r="P158" s="5"/>
      <c r="Q158" s="5">
        <f t="shared" si="32"/>
        <v>1</v>
      </c>
      <c r="R158" s="7">
        <f t="shared" si="33"/>
        <v>16884</v>
      </c>
      <c r="S158" s="5">
        <f t="shared" si="34"/>
        <v>1</v>
      </c>
      <c r="T158" s="7">
        <f t="shared" si="35"/>
        <v>16884</v>
      </c>
    </row>
    <row r="159" spans="1:20">
      <c r="A159" s="23" t="s">
        <v>186</v>
      </c>
      <c r="B159" s="35" t="s">
        <v>183</v>
      </c>
      <c r="C159" s="36">
        <v>3335</v>
      </c>
      <c r="D159" s="6"/>
      <c r="E159" s="113">
        <v>145592587</v>
      </c>
      <c r="F159" s="116">
        <f t="shared" si="41"/>
        <v>43655.94812593703</v>
      </c>
      <c r="G159" s="117">
        <v>100195470</v>
      </c>
      <c r="H159" s="117">
        <f t="shared" si="42"/>
        <v>30043.619190404799</v>
      </c>
      <c r="I159" s="7"/>
      <c r="J159" s="10">
        <v>3.89</v>
      </c>
      <c r="K159" s="117">
        <v>389760</v>
      </c>
      <c r="L159" s="120">
        <f t="shared" si="40"/>
        <v>116.8695652173913</v>
      </c>
      <c r="M159" s="122">
        <f t="shared" si="36"/>
        <v>1001954.7000000001</v>
      </c>
      <c r="N159" s="116">
        <f t="shared" si="37"/>
        <v>612194.70000000007</v>
      </c>
      <c r="O159" s="123">
        <f t="shared" si="38"/>
        <v>183.56662668665669</v>
      </c>
      <c r="P159" s="5"/>
      <c r="Q159" s="5">
        <f t="shared" si="32"/>
        <v>1</v>
      </c>
      <c r="R159" s="7">
        <f t="shared" si="33"/>
        <v>3335</v>
      </c>
      <c r="S159" s="5">
        <f t="shared" si="34"/>
        <v>1</v>
      </c>
      <c r="T159" s="7">
        <f t="shared" si="35"/>
        <v>3335</v>
      </c>
    </row>
    <row r="160" spans="1:20">
      <c r="A160" s="23" t="s">
        <v>187</v>
      </c>
      <c r="B160" s="35" t="s">
        <v>183</v>
      </c>
      <c r="C160" s="36">
        <v>4249</v>
      </c>
      <c r="D160" s="6"/>
      <c r="E160" s="113">
        <v>218519860</v>
      </c>
      <c r="F160" s="116">
        <f t="shared" si="41"/>
        <v>51428.538479642266</v>
      </c>
      <c r="G160" s="117">
        <v>175598379</v>
      </c>
      <c r="H160" s="117">
        <f t="shared" si="42"/>
        <v>41326.989644622263</v>
      </c>
      <c r="I160" s="7"/>
      <c r="J160" s="10">
        <v>5.85</v>
      </c>
      <c r="K160" s="117">
        <v>1027250</v>
      </c>
      <c r="L160" s="120">
        <f t="shared" si="40"/>
        <v>241.76276771004942</v>
      </c>
      <c r="M160" s="122">
        <f t="shared" si="36"/>
        <v>1755983.79</v>
      </c>
      <c r="N160" s="116">
        <f t="shared" si="37"/>
        <v>728733.79</v>
      </c>
      <c r="O160" s="123">
        <f t="shared" si="38"/>
        <v>171.50712873617323</v>
      </c>
      <c r="P160" s="5"/>
      <c r="Q160" s="5">
        <f t="shared" si="32"/>
        <v>1</v>
      </c>
      <c r="R160" s="7">
        <f t="shared" si="33"/>
        <v>4249</v>
      </c>
      <c r="S160" s="5">
        <f t="shared" si="34"/>
        <v>1</v>
      </c>
      <c r="T160" s="7">
        <f t="shared" si="35"/>
        <v>4249</v>
      </c>
    </row>
    <row r="161" spans="1:20">
      <c r="A161" s="23" t="s">
        <v>188</v>
      </c>
      <c r="B161" s="35" t="s">
        <v>183</v>
      </c>
      <c r="C161" s="36">
        <v>1057</v>
      </c>
      <c r="D161" s="6"/>
      <c r="E161" s="113">
        <v>81624131</v>
      </c>
      <c r="F161" s="116">
        <f t="shared" si="41"/>
        <v>77222.451277199623</v>
      </c>
      <c r="G161" s="117">
        <v>63063898</v>
      </c>
      <c r="H161" s="117">
        <f t="shared" si="42"/>
        <v>59663.101229895932</v>
      </c>
      <c r="I161" s="7"/>
      <c r="J161" s="10">
        <v>5.4450000000000003</v>
      </c>
      <c r="K161" s="117">
        <v>343382</v>
      </c>
      <c r="L161" s="120">
        <f t="shared" si="40"/>
        <v>324.86471144749288</v>
      </c>
      <c r="M161" s="122">
        <f t="shared" si="36"/>
        <v>630638.98</v>
      </c>
      <c r="N161" s="116">
        <f t="shared" si="37"/>
        <v>287256.98</v>
      </c>
      <c r="O161" s="123">
        <f t="shared" si="38"/>
        <v>271.76630085146638</v>
      </c>
      <c r="P161" s="5"/>
      <c r="Q161" s="5">
        <f t="shared" si="32"/>
        <v>1</v>
      </c>
      <c r="R161" s="7">
        <f t="shared" si="33"/>
        <v>1057</v>
      </c>
      <c r="S161" s="5">
        <f t="shared" si="34"/>
        <v>1</v>
      </c>
      <c r="T161" s="7">
        <f t="shared" si="35"/>
        <v>1057</v>
      </c>
    </row>
    <row r="162" spans="1:20">
      <c r="A162" s="23" t="s">
        <v>189</v>
      </c>
      <c r="B162" s="35" t="s">
        <v>183</v>
      </c>
      <c r="C162" s="36">
        <v>12666</v>
      </c>
      <c r="D162" s="6"/>
      <c r="E162" s="113">
        <v>940965417</v>
      </c>
      <c r="F162" s="116">
        <f t="shared" si="41"/>
        <v>74290.653481762201</v>
      </c>
      <c r="G162" s="117">
        <v>608412432</v>
      </c>
      <c r="H162" s="117">
        <f t="shared" si="42"/>
        <v>48035.088583609664</v>
      </c>
      <c r="I162" s="7"/>
      <c r="J162" s="10">
        <v>2.2000000000000002</v>
      </c>
      <c r="K162" s="117">
        <v>1338507</v>
      </c>
      <c r="L162" s="120">
        <f t="shared" si="40"/>
        <v>105.67716721932733</v>
      </c>
      <c r="M162" s="122">
        <f t="shared" si="36"/>
        <v>6084124.3200000003</v>
      </c>
      <c r="N162" s="116">
        <f t="shared" si="37"/>
        <v>4745617.32</v>
      </c>
      <c r="O162" s="123">
        <f t="shared" si="38"/>
        <v>374.67371861676935</v>
      </c>
      <c r="P162" s="5"/>
      <c r="Q162" s="5">
        <f t="shared" si="32"/>
        <v>1</v>
      </c>
      <c r="R162" s="7">
        <f t="shared" si="33"/>
        <v>12666</v>
      </c>
      <c r="S162" s="5">
        <f t="shared" si="34"/>
        <v>1</v>
      </c>
      <c r="T162" s="7">
        <f t="shared" si="35"/>
        <v>12666</v>
      </c>
    </row>
    <row r="163" spans="1:20">
      <c r="A163" s="23" t="s">
        <v>190</v>
      </c>
      <c r="B163" s="35" t="s">
        <v>183</v>
      </c>
      <c r="C163" s="36">
        <v>16679</v>
      </c>
      <c r="D163" s="6"/>
      <c r="E163" s="113">
        <v>1226135957</v>
      </c>
      <c r="F163" s="116">
        <f t="shared" si="41"/>
        <v>73513.757239642669</v>
      </c>
      <c r="G163" s="117">
        <v>891270259</v>
      </c>
      <c r="H163" s="117">
        <f t="shared" si="42"/>
        <v>53436.672402422206</v>
      </c>
      <c r="I163" s="7"/>
      <c r="J163" s="10">
        <v>4.5</v>
      </c>
      <c r="K163" s="117">
        <v>4010716</v>
      </c>
      <c r="L163" s="120">
        <f t="shared" si="40"/>
        <v>240.4650158882427</v>
      </c>
      <c r="M163" s="122">
        <f t="shared" si="36"/>
        <v>8912702.5899999999</v>
      </c>
      <c r="N163" s="116">
        <f t="shared" si="37"/>
        <v>4901986.59</v>
      </c>
      <c r="O163" s="123">
        <f t="shared" si="38"/>
        <v>293.90170813597939</v>
      </c>
      <c r="P163" s="5"/>
      <c r="Q163" s="5">
        <f t="shared" si="32"/>
        <v>1</v>
      </c>
      <c r="R163" s="7">
        <f t="shared" si="33"/>
        <v>16679</v>
      </c>
      <c r="S163" s="5">
        <f t="shared" si="34"/>
        <v>1</v>
      </c>
      <c r="T163" s="7">
        <f t="shared" si="35"/>
        <v>16679</v>
      </c>
    </row>
    <row r="164" spans="1:20">
      <c r="A164" s="23" t="s">
        <v>191</v>
      </c>
      <c r="B164" s="35" t="s">
        <v>183</v>
      </c>
      <c r="C164" s="36">
        <v>3739</v>
      </c>
      <c r="D164" s="6"/>
      <c r="E164" s="113">
        <v>119340265</v>
      </c>
      <c r="F164" s="116">
        <f t="shared" si="41"/>
        <v>31917.695907996789</v>
      </c>
      <c r="G164" s="117">
        <v>89538533</v>
      </c>
      <c r="H164" s="117">
        <f t="shared" si="42"/>
        <v>23947.18721583311</v>
      </c>
      <c r="I164" s="7"/>
      <c r="J164" s="10">
        <v>5.9989999999999997</v>
      </c>
      <c r="K164" s="117">
        <v>537141</v>
      </c>
      <c r="L164" s="120">
        <f t="shared" si="40"/>
        <v>143.65899973254881</v>
      </c>
      <c r="M164" s="122">
        <f t="shared" si="36"/>
        <v>895385.33000000007</v>
      </c>
      <c r="N164" s="116">
        <f t="shared" si="37"/>
        <v>358244.33000000007</v>
      </c>
      <c r="O164" s="123">
        <f t="shared" si="38"/>
        <v>95.812872425782317</v>
      </c>
      <c r="P164" s="5"/>
      <c r="Q164" s="5">
        <f t="shared" si="32"/>
        <v>1</v>
      </c>
      <c r="R164" s="7">
        <f t="shared" si="33"/>
        <v>3739</v>
      </c>
      <c r="S164" s="5">
        <f t="shared" si="34"/>
        <v>1</v>
      </c>
      <c r="T164" s="7">
        <f t="shared" si="35"/>
        <v>3739</v>
      </c>
    </row>
    <row r="165" spans="1:20">
      <c r="A165" s="23" t="s">
        <v>192</v>
      </c>
      <c r="B165" s="35" t="s">
        <v>183</v>
      </c>
      <c r="C165" s="36">
        <v>7838</v>
      </c>
      <c r="D165" s="6"/>
      <c r="E165" s="113">
        <v>347511474</v>
      </c>
      <c r="F165" s="116">
        <f t="shared" si="41"/>
        <v>44336.753508548099</v>
      </c>
      <c r="G165" s="117">
        <v>272989523</v>
      </c>
      <c r="H165" s="117">
        <f t="shared" si="42"/>
        <v>34828.977162541465</v>
      </c>
      <c r="I165" s="7"/>
      <c r="J165" s="10">
        <v>3.39</v>
      </c>
      <c r="K165" s="117">
        <v>925434</v>
      </c>
      <c r="L165" s="120">
        <f t="shared" si="40"/>
        <v>118.0701709619801</v>
      </c>
      <c r="M165" s="122">
        <f t="shared" si="36"/>
        <v>2729895.23</v>
      </c>
      <c r="N165" s="116">
        <f t="shared" si="37"/>
        <v>1804461.23</v>
      </c>
      <c r="O165" s="123">
        <f t="shared" si="38"/>
        <v>230.21960066343453</v>
      </c>
      <c r="P165" s="5"/>
      <c r="Q165" s="5">
        <f t="shared" si="32"/>
        <v>1</v>
      </c>
      <c r="R165" s="7">
        <f t="shared" si="33"/>
        <v>7838</v>
      </c>
      <c r="S165" s="5">
        <f t="shared" si="34"/>
        <v>1</v>
      </c>
      <c r="T165" s="7">
        <f t="shared" si="35"/>
        <v>7838</v>
      </c>
    </row>
    <row r="166" spans="1:20">
      <c r="A166" s="23" t="s">
        <v>193</v>
      </c>
      <c r="B166" s="35" t="s">
        <v>183</v>
      </c>
      <c r="C166" s="36">
        <v>1080</v>
      </c>
      <c r="D166" s="6"/>
      <c r="E166" s="113">
        <v>86216014</v>
      </c>
      <c r="F166" s="116">
        <f t="shared" si="41"/>
        <v>79829.642592592587</v>
      </c>
      <c r="G166" s="117">
        <v>63994481</v>
      </c>
      <c r="H166" s="117">
        <f t="shared" si="42"/>
        <v>59254.149074074077</v>
      </c>
      <c r="I166" s="7"/>
      <c r="J166" s="10">
        <v>2.99</v>
      </c>
      <c r="K166" s="117">
        <v>191343</v>
      </c>
      <c r="L166" s="120">
        <f t="shared" si="40"/>
        <v>177.16944444444445</v>
      </c>
      <c r="M166" s="122">
        <f t="shared" si="36"/>
        <v>639944.81000000006</v>
      </c>
      <c r="N166" s="116">
        <f t="shared" si="37"/>
        <v>448601.81000000006</v>
      </c>
      <c r="O166" s="123">
        <f t="shared" si="38"/>
        <v>415.37204629629633</v>
      </c>
      <c r="P166" s="5"/>
      <c r="Q166" s="5">
        <f t="shared" si="32"/>
        <v>1</v>
      </c>
      <c r="R166" s="7">
        <f t="shared" si="33"/>
        <v>1080</v>
      </c>
      <c r="S166" s="5">
        <f t="shared" si="34"/>
        <v>1</v>
      </c>
      <c r="T166" s="7">
        <f t="shared" si="35"/>
        <v>1080</v>
      </c>
    </row>
    <row r="167" spans="1:20">
      <c r="A167" s="23" t="s">
        <v>194</v>
      </c>
      <c r="B167" s="35" t="s">
        <v>183</v>
      </c>
      <c r="C167" s="36">
        <v>10758</v>
      </c>
      <c r="D167" s="6"/>
      <c r="E167" s="113">
        <v>804572657</v>
      </c>
      <c r="F167" s="116">
        <f t="shared" si="41"/>
        <v>74788.311675032528</v>
      </c>
      <c r="G167" s="117">
        <v>618600781</v>
      </c>
      <c r="H167" s="117">
        <f t="shared" si="42"/>
        <v>57501.466908347276</v>
      </c>
      <c r="I167" s="7"/>
      <c r="J167" s="10">
        <v>6.181</v>
      </c>
      <c r="K167" s="117">
        <v>3823571</v>
      </c>
      <c r="L167" s="120">
        <f t="shared" si="40"/>
        <v>355.41652723554563</v>
      </c>
      <c r="M167" s="122">
        <f t="shared" si="36"/>
        <v>6186007.8100000005</v>
      </c>
      <c r="N167" s="116">
        <f t="shared" si="37"/>
        <v>2362436.8100000005</v>
      </c>
      <c r="O167" s="123">
        <f t="shared" si="38"/>
        <v>219.59814184792717</v>
      </c>
      <c r="P167" s="5"/>
      <c r="Q167" s="5">
        <f t="shared" si="32"/>
        <v>1</v>
      </c>
      <c r="R167" s="7">
        <f t="shared" si="33"/>
        <v>10758</v>
      </c>
      <c r="S167" s="5">
        <f t="shared" si="34"/>
        <v>1</v>
      </c>
      <c r="T167" s="7">
        <f t="shared" si="35"/>
        <v>10758</v>
      </c>
    </row>
    <row r="168" spans="1:20">
      <c r="A168" s="23" t="s">
        <v>195</v>
      </c>
      <c r="B168" s="35" t="s">
        <v>183</v>
      </c>
      <c r="C168" s="36">
        <v>10938</v>
      </c>
      <c r="D168" s="6"/>
      <c r="E168" s="113">
        <v>774161165</v>
      </c>
      <c r="F168" s="116">
        <f t="shared" si="41"/>
        <v>70777.213841652949</v>
      </c>
      <c r="G168" s="117">
        <v>443134463</v>
      </c>
      <c r="H168" s="117">
        <f t="shared" si="42"/>
        <v>40513.298866337536</v>
      </c>
      <c r="I168" s="7"/>
      <c r="J168" s="10">
        <v>5.42</v>
      </c>
      <c r="K168" s="117">
        <v>2401788</v>
      </c>
      <c r="L168" s="120">
        <f t="shared" si="40"/>
        <v>219.58200767964894</v>
      </c>
      <c r="M168" s="122">
        <f t="shared" si="36"/>
        <v>4431344.63</v>
      </c>
      <c r="N168" s="116">
        <f t="shared" si="37"/>
        <v>2029556.63</v>
      </c>
      <c r="O168" s="123">
        <f t="shared" si="38"/>
        <v>185.55098098372645</v>
      </c>
      <c r="P168" s="5"/>
      <c r="Q168" s="5">
        <f t="shared" si="32"/>
        <v>1</v>
      </c>
      <c r="R168" s="7">
        <f t="shared" si="33"/>
        <v>10938</v>
      </c>
      <c r="S168" s="5">
        <f t="shared" si="34"/>
        <v>1</v>
      </c>
      <c r="T168" s="7">
        <f t="shared" si="35"/>
        <v>10938</v>
      </c>
    </row>
    <row r="169" spans="1:20">
      <c r="A169" s="23" t="s">
        <v>196</v>
      </c>
      <c r="B169" s="35" t="s">
        <v>183</v>
      </c>
      <c r="C169" s="36">
        <v>2405</v>
      </c>
      <c r="D169" s="6"/>
      <c r="E169" s="113">
        <v>127946706</v>
      </c>
      <c r="F169" s="116">
        <f t="shared" si="41"/>
        <v>53200.293555093558</v>
      </c>
      <c r="G169" s="117">
        <v>85254591</v>
      </c>
      <c r="H169" s="117">
        <f t="shared" si="42"/>
        <v>35448.894386694388</v>
      </c>
      <c r="I169" s="7"/>
      <c r="J169" s="10">
        <v>5.99</v>
      </c>
      <c r="K169" s="117">
        <v>510675</v>
      </c>
      <c r="L169" s="120">
        <f t="shared" si="40"/>
        <v>212.33887733887735</v>
      </c>
      <c r="M169" s="122">
        <f t="shared" si="36"/>
        <v>852545.91</v>
      </c>
      <c r="N169" s="116">
        <f t="shared" si="37"/>
        <v>341870.91000000003</v>
      </c>
      <c r="O169" s="123">
        <f t="shared" si="38"/>
        <v>142.15006652806653</v>
      </c>
      <c r="P169" s="5"/>
      <c r="Q169" s="5">
        <f t="shared" si="32"/>
        <v>1</v>
      </c>
      <c r="R169" s="7">
        <f t="shared" si="33"/>
        <v>2405</v>
      </c>
      <c r="S169" s="5">
        <f t="shared" si="34"/>
        <v>1</v>
      </c>
      <c r="T169" s="7">
        <f t="shared" si="35"/>
        <v>2405</v>
      </c>
    </row>
    <row r="170" spans="1:20">
      <c r="A170" s="23" t="s">
        <v>448</v>
      </c>
      <c r="B170" s="35" t="s">
        <v>198</v>
      </c>
      <c r="C170" s="36">
        <v>41070</v>
      </c>
      <c r="D170" s="6"/>
      <c r="E170" s="113">
        <v>7456730830</v>
      </c>
      <c r="F170" s="116">
        <f t="shared" si="41"/>
        <v>181561.50060871683</v>
      </c>
      <c r="G170" s="117">
        <v>6381223660</v>
      </c>
      <c r="H170" s="117">
        <f t="shared" si="42"/>
        <v>155374.32822011202</v>
      </c>
      <c r="I170" s="7"/>
      <c r="J170" s="10">
        <v>0.99760000000000004</v>
      </c>
      <c r="K170" s="117">
        <v>6365908</v>
      </c>
      <c r="L170" s="120">
        <f t="shared" si="40"/>
        <v>155.00141222303384</v>
      </c>
      <c r="M170" s="122">
        <f t="shared" si="36"/>
        <v>63812236.600000001</v>
      </c>
      <c r="N170" s="116">
        <f t="shared" si="37"/>
        <v>57446328.600000001</v>
      </c>
      <c r="O170" s="123">
        <f t="shared" si="38"/>
        <v>1398.7418699780862</v>
      </c>
      <c r="P170" s="5"/>
      <c r="Q170" s="5">
        <f t="shared" si="32"/>
        <v>1</v>
      </c>
      <c r="R170" s="7">
        <f t="shared" si="33"/>
        <v>41070</v>
      </c>
      <c r="S170" s="5">
        <f t="shared" si="34"/>
        <v>1</v>
      </c>
      <c r="T170" s="7">
        <f t="shared" si="35"/>
        <v>41070</v>
      </c>
    </row>
    <row r="171" spans="1:20">
      <c r="A171" s="23" t="s">
        <v>197</v>
      </c>
      <c r="B171" s="35" t="s">
        <v>198</v>
      </c>
      <c r="C171" s="36">
        <v>132379</v>
      </c>
      <c r="D171" s="6"/>
      <c r="E171" s="113">
        <v>12664872480</v>
      </c>
      <c r="F171" s="116">
        <f t="shared" si="41"/>
        <v>95671.311008543649</v>
      </c>
      <c r="G171" s="117">
        <v>9428023860</v>
      </c>
      <c r="H171" s="117">
        <f t="shared" si="42"/>
        <v>71219.935639338568</v>
      </c>
      <c r="I171" s="7"/>
      <c r="J171" s="10">
        <v>5.5286999999999997</v>
      </c>
      <c r="K171" s="117">
        <v>52124715</v>
      </c>
      <c r="L171" s="120">
        <f t="shared" si="40"/>
        <v>393.75365428051276</v>
      </c>
      <c r="M171" s="122">
        <f t="shared" si="36"/>
        <v>94280238.600000009</v>
      </c>
      <c r="N171" s="116">
        <f t="shared" si="37"/>
        <v>42155523.600000009</v>
      </c>
      <c r="O171" s="123">
        <f t="shared" si="38"/>
        <v>318.44570211287294</v>
      </c>
      <c r="P171" s="5"/>
      <c r="Q171" s="5">
        <f t="shared" si="32"/>
        <v>1</v>
      </c>
      <c r="R171" s="7">
        <f t="shared" si="33"/>
        <v>132379</v>
      </c>
      <c r="S171" s="5">
        <f t="shared" si="34"/>
        <v>1</v>
      </c>
      <c r="T171" s="7">
        <f t="shared" si="35"/>
        <v>132379</v>
      </c>
    </row>
    <row r="172" spans="1:20">
      <c r="A172" s="23" t="s">
        <v>199</v>
      </c>
      <c r="B172" s="35" t="s">
        <v>198</v>
      </c>
      <c r="C172" s="36">
        <v>57585</v>
      </c>
      <c r="D172" s="6"/>
      <c r="E172" s="113">
        <v>4445632557</v>
      </c>
      <c r="F172" s="116">
        <f t="shared" si="41"/>
        <v>77201.225266996611</v>
      </c>
      <c r="G172" s="117">
        <v>3119258977</v>
      </c>
      <c r="H172" s="117">
        <f t="shared" si="42"/>
        <v>54167.907910046022</v>
      </c>
      <c r="I172" s="7"/>
      <c r="J172" s="10">
        <v>7.21</v>
      </c>
      <c r="K172" s="117">
        <v>22489857</v>
      </c>
      <c r="L172" s="120">
        <f t="shared" si="40"/>
        <v>390.55061213857778</v>
      </c>
      <c r="M172" s="122">
        <f t="shared" si="36"/>
        <v>31192589.77</v>
      </c>
      <c r="N172" s="116">
        <f t="shared" si="37"/>
        <v>8702732.7699999996</v>
      </c>
      <c r="O172" s="123">
        <f t="shared" si="38"/>
        <v>151.12846696188242</v>
      </c>
      <c r="P172" s="5"/>
      <c r="Q172" s="5">
        <f t="shared" si="32"/>
        <v>1</v>
      </c>
      <c r="R172" s="7">
        <f t="shared" si="33"/>
        <v>57585</v>
      </c>
      <c r="S172" s="5">
        <f t="shared" si="34"/>
        <v>1</v>
      </c>
      <c r="T172" s="7">
        <f t="shared" si="35"/>
        <v>57585</v>
      </c>
    </row>
    <row r="173" spans="1:20">
      <c r="A173" s="23" t="s">
        <v>200</v>
      </c>
      <c r="B173" s="35" t="s">
        <v>198</v>
      </c>
      <c r="C173" s="36">
        <v>6945</v>
      </c>
      <c r="D173" s="6"/>
      <c r="E173" s="113">
        <v>3046917010</v>
      </c>
      <c r="F173" s="116">
        <f t="shared" si="41"/>
        <v>438720.9517638589</v>
      </c>
      <c r="G173" s="117">
        <v>2655675540</v>
      </c>
      <c r="H173" s="117">
        <f t="shared" si="42"/>
        <v>382386.686825054</v>
      </c>
      <c r="I173" s="7"/>
      <c r="J173" s="10">
        <v>0.85</v>
      </c>
      <c r="K173" s="117">
        <v>2257324</v>
      </c>
      <c r="L173" s="120">
        <f t="shared" si="40"/>
        <v>325.02865370770337</v>
      </c>
      <c r="M173" s="122">
        <f t="shared" si="36"/>
        <v>26556755.400000002</v>
      </c>
      <c r="N173" s="116">
        <f t="shared" si="37"/>
        <v>24299431.400000002</v>
      </c>
      <c r="O173" s="123">
        <f t="shared" si="38"/>
        <v>3498.8382145428368</v>
      </c>
      <c r="P173" s="5"/>
      <c r="Q173" s="5">
        <f t="shared" si="32"/>
        <v>1</v>
      </c>
      <c r="R173" s="7">
        <f t="shared" si="33"/>
        <v>6945</v>
      </c>
      <c r="S173" s="5">
        <f t="shared" si="34"/>
        <v>1</v>
      </c>
      <c r="T173" s="7">
        <f t="shared" si="35"/>
        <v>6945</v>
      </c>
    </row>
    <row r="174" spans="1:20">
      <c r="A174" s="23" t="s">
        <v>201</v>
      </c>
      <c r="B174" s="35" t="s">
        <v>198</v>
      </c>
      <c r="C174" s="36">
        <v>6335</v>
      </c>
      <c r="D174" s="6"/>
      <c r="E174" s="113">
        <v>4771088720</v>
      </c>
      <c r="F174" s="116">
        <f t="shared" si="41"/>
        <v>753131.60536700871</v>
      </c>
      <c r="G174" s="117">
        <v>4223982460</v>
      </c>
      <c r="H174" s="117">
        <f t="shared" si="42"/>
        <v>666769.13338595105</v>
      </c>
      <c r="I174" s="7"/>
      <c r="J174" s="10">
        <v>2.5</v>
      </c>
      <c r="K174" s="117">
        <v>10559956</v>
      </c>
      <c r="L174" s="120">
        <f t="shared" si="40"/>
        <v>1666.9228097868981</v>
      </c>
      <c r="M174" s="122">
        <f t="shared" si="36"/>
        <v>42239824.600000001</v>
      </c>
      <c r="N174" s="116">
        <f t="shared" si="37"/>
        <v>31679868.600000001</v>
      </c>
      <c r="O174" s="123">
        <f t="shared" si="38"/>
        <v>5000.7685240726123</v>
      </c>
      <c r="P174" s="5"/>
      <c r="Q174" s="5">
        <f t="shared" si="32"/>
        <v>1</v>
      </c>
      <c r="R174" s="7">
        <f t="shared" si="33"/>
        <v>6335</v>
      </c>
      <c r="S174" s="5">
        <f t="shared" si="34"/>
        <v>1</v>
      </c>
      <c r="T174" s="7">
        <f t="shared" si="35"/>
        <v>6335</v>
      </c>
    </row>
    <row r="175" spans="1:20">
      <c r="A175" s="23" t="s">
        <v>202</v>
      </c>
      <c r="B175" s="35" t="s">
        <v>203</v>
      </c>
      <c r="C175" s="36">
        <v>169136</v>
      </c>
      <c r="D175" s="6"/>
      <c r="E175" s="113">
        <v>13321050606</v>
      </c>
      <c r="F175" s="116">
        <f t="shared" si="41"/>
        <v>78759.404301863586</v>
      </c>
      <c r="G175" s="117">
        <v>7370188630</v>
      </c>
      <c r="H175" s="117">
        <f t="shared" si="42"/>
        <v>43575.516921294104</v>
      </c>
      <c r="I175" s="7"/>
      <c r="J175" s="10">
        <v>3.7</v>
      </c>
      <c r="K175" s="117">
        <v>27269697</v>
      </c>
      <c r="L175" s="120">
        <f t="shared" si="40"/>
        <v>161.22940710434207</v>
      </c>
      <c r="M175" s="122">
        <f t="shared" si="36"/>
        <v>73701886.299999997</v>
      </c>
      <c r="N175" s="116">
        <f t="shared" si="37"/>
        <v>46432189.299999997</v>
      </c>
      <c r="O175" s="123">
        <f t="shared" si="38"/>
        <v>274.525762108599</v>
      </c>
      <c r="P175" s="5"/>
      <c r="Q175" s="5">
        <f t="shared" si="32"/>
        <v>1</v>
      </c>
      <c r="R175" s="7">
        <f t="shared" si="33"/>
        <v>169136</v>
      </c>
      <c r="S175" s="5">
        <f t="shared" si="34"/>
        <v>1</v>
      </c>
      <c r="T175" s="7">
        <f t="shared" si="35"/>
        <v>169136</v>
      </c>
    </row>
    <row r="176" spans="1:20">
      <c r="A176" s="23" t="s">
        <v>204</v>
      </c>
      <c r="B176" s="35" t="s">
        <v>205</v>
      </c>
      <c r="C176" s="36">
        <v>987</v>
      </c>
      <c r="D176" s="6"/>
      <c r="E176" s="113">
        <v>36274950</v>
      </c>
      <c r="F176" s="116">
        <f t="shared" si="41"/>
        <v>36752.73556231003</v>
      </c>
      <c r="G176" s="117">
        <v>21347937</v>
      </c>
      <c r="H176" s="117">
        <f t="shared" si="42"/>
        <v>21629.115501519758</v>
      </c>
      <c r="I176" s="7"/>
      <c r="J176" s="10">
        <v>3.2</v>
      </c>
      <c r="K176" s="117">
        <v>68313</v>
      </c>
      <c r="L176" s="120">
        <f t="shared" si="40"/>
        <v>69.212765957446805</v>
      </c>
      <c r="M176" s="122">
        <f t="shared" si="36"/>
        <v>213479.37</v>
      </c>
      <c r="N176" s="116">
        <f t="shared" si="37"/>
        <v>145166.37</v>
      </c>
      <c r="O176" s="123">
        <f t="shared" si="38"/>
        <v>147.07838905775077</v>
      </c>
      <c r="P176" s="5"/>
      <c r="Q176" s="5">
        <f t="shared" si="32"/>
        <v>1</v>
      </c>
      <c r="R176" s="7">
        <f t="shared" si="33"/>
        <v>987</v>
      </c>
      <c r="S176" s="5">
        <f t="shared" si="34"/>
        <v>1</v>
      </c>
      <c r="T176" s="7">
        <f t="shared" si="35"/>
        <v>987</v>
      </c>
    </row>
    <row r="177" spans="1:20">
      <c r="A177" s="23" t="s">
        <v>206</v>
      </c>
      <c r="B177" s="35" t="s">
        <v>205</v>
      </c>
      <c r="C177" s="36">
        <v>849</v>
      </c>
      <c r="D177" s="6"/>
      <c r="E177" s="113">
        <v>180583601</v>
      </c>
      <c r="F177" s="116">
        <f t="shared" si="41"/>
        <v>212701.5323910483</v>
      </c>
      <c r="G177" s="117">
        <v>138503966</v>
      </c>
      <c r="H177" s="117">
        <f t="shared" si="42"/>
        <v>163137.76914016489</v>
      </c>
      <c r="I177" s="7"/>
      <c r="J177" s="10">
        <v>2.6</v>
      </c>
      <c r="K177" s="117">
        <v>360110</v>
      </c>
      <c r="L177" s="120">
        <f t="shared" si="40"/>
        <v>424.1578327444052</v>
      </c>
      <c r="M177" s="122">
        <f t="shared" si="36"/>
        <v>1385039.66</v>
      </c>
      <c r="N177" s="116">
        <f t="shared" si="37"/>
        <v>1024929.6599999999</v>
      </c>
      <c r="O177" s="123">
        <f t="shared" si="38"/>
        <v>1207.2198586572438</v>
      </c>
      <c r="P177" s="5"/>
      <c r="Q177" s="5">
        <f t="shared" si="32"/>
        <v>1</v>
      </c>
      <c r="R177" s="7">
        <f t="shared" si="33"/>
        <v>849</v>
      </c>
      <c r="S177" s="5">
        <f t="shared" si="34"/>
        <v>1</v>
      </c>
      <c r="T177" s="7">
        <f t="shared" si="35"/>
        <v>849</v>
      </c>
    </row>
    <row r="178" spans="1:20">
      <c r="A178" s="23" t="s">
        <v>207</v>
      </c>
      <c r="B178" s="35" t="s">
        <v>205</v>
      </c>
      <c r="C178" s="36">
        <v>2031</v>
      </c>
      <c r="D178" s="6"/>
      <c r="E178" s="113">
        <v>118766496</v>
      </c>
      <c r="F178" s="116">
        <f t="shared" si="41"/>
        <v>58476.856720827178</v>
      </c>
      <c r="G178" s="117">
        <v>90087688</v>
      </c>
      <c r="H178" s="117">
        <f t="shared" si="42"/>
        <v>44356.321024126046</v>
      </c>
      <c r="I178" s="7"/>
      <c r="J178" s="10">
        <v>4.9390000000000001</v>
      </c>
      <c r="K178" s="117">
        <v>444943</v>
      </c>
      <c r="L178" s="120">
        <f t="shared" si="40"/>
        <v>219.07582471688823</v>
      </c>
      <c r="M178" s="122">
        <f t="shared" si="36"/>
        <v>900876.88</v>
      </c>
      <c r="N178" s="116">
        <f t="shared" si="37"/>
        <v>455933.88</v>
      </c>
      <c r="O178" s="123">
        <f t="shared" si="38"/>
        <v>224.48738552437223</v>
      </c>
      <c r="P178" s="5"/>
      <c r="Q178" s="5">
        <f t="shared" si="32"/>
        <v>1</v>
      </c>
      <c r="R178" s="7">
        <f t="shared" si="33"/>
        <v>2031</v>
      </c>
      <c r="S178" s="5">
        <f t="shared" si="34"/>
        <v>1</v>
      </c>
      <c r="T178" s="7">
        <f t="shared" si="35"/>
        <v>2031</v>
      </c>
    </row>
    <row r="179" spans="1:20">
      <c r="A179" s="23" t="s">
        <v>208</v>
      </c>
      <c r="B179" s="35" t="s">
        <v>205</v>
      </c>
      <c r="C179" s="36">
        <v>1637</v>
      </c>
      <c r="D179" s="6"/>
      <c r="E179" s="113">
        <v>73025553</v>
      </c>
      <c r="F179" s="116">
        <f t="shared" si="41"/>
        <v>44609.378741600485</v>
      </c>
      <c r="G179" s="117">
        <v>51979318</v>
      </c>
      <c r="H179" s="117">
        <f t="shared" si="42"/>
        <v>31752.790470372634</v>
      </c>
      <c r="I179" s="7"/>
      <c r="J179" s="10">
        <v>5.5</v>
      </c>
      <c r="K179" s="117">
        <v>285886</v>
      </c>
      <c r="L179" s="120">
        <f t="shared" si="40"/>
        <v>174.64019547953575</v>
      </c>
      <c r="M179" s="122">
        <f t="shared" si="36"/>
        <v>519793.18</v>
      </c>
      <c r="N179" s="116">
        <f t="shared" si="37"/>
        <v>233907.18</v>
      </c>
      <c r="O179" s="123">
        <f t="shared" si="38"/>
        <v>142.88770922419059</v>
      </c>
      <c r="P179" s="5"/>
      <c r="Q179" s="5">
        <f t="shared" si="32"/>
        <v>1</v>
      </c>
      <c r="R179" s="7">
        <f t="shared" si="33"/>
        <v>1637</v>
      </c>
      <c r="S179" s="5">
        <f t="shared" si="34"/>
        <v>1</v>
      </c>
      <c r="T179" s="7">
        <f t="shared" si="35"/>
        <v>1637</v>
      </c>
    </row>
    <row r="180" spans="1:20">
      <c r="A180" s="23" t="s">
        <v>209</v>
      </c>
      <c r="B180" s="35" t="s">
        <v>205</v>
      </c>
      <c r="C180" s="36">
        <v>137</v>
      </c>
      <c r="D180" s="6"/>
      <c r="E180" s="113">
        <v>5768811</v>
      </c>
      <c r="F180" s="116">
        <f t="shared" si="41"/>
        <v>42108.109489051094</v>
      </c>
      <c r="G180" s="117">
        <v>3286894</v>
      </c>
      <c r="H180" s="117">
        <f t="shared" si="42"/>
        <v>23991.927007299269</v>
      </c>
      <c r="I180" s="7"/>
      <c r="J180" s="10">
        <v>3</v>
      </c>
      <c r="K180" s="117">
        <v>9860</v>
      </c>
      <c r="L180" s="120">
        <f t="shared" si="40"/>
        <v>71.970802919708035</v>
      </c>
      <c r="M180" s="122">
        <f t="shared" si="36"/>
        <v>32868.94</v>
      </c>
      <c r="N180" s="116">
        <f t="shared" si="37"/>
        <v>23008.940000000002</v>
      </c>
      <c r="O180" s="123">
        <f t="shared" si="38"/>
        <v>167.9484671532847</v>
      </c>
      <c r="P180" s="5"/>
      <c r="Q180" s="5">
        <f t="shared" si="32"/>
        <v>1</v>
      </c>
      <c r="R180" s="7">
        <f t="shared" si="33"/>
        <v>137</v>
      </c>
      <c r="S180" s="5">
        <f t="shared" si="34"/>
        <v>1</v>
      </c>
      <c r="T180" s="7">
        <f t="shared" si="35"/>
        <v>137</v>
      </c>
    </row>
    <row r="181" spans="1:20">
      <c r="A181" s="23" t="s">
        <v>210</v>
      </c>
      <c r="B181" s="35" t="s">
        <v>205</v>
      </c>
      <c r="C181" s="36">
        <v>2327</v>
      </c>
      <c r="D181" s="6"/>
      <c r="E181" s="113">
        <v>121441722</v>
      </c>
      <c r="F181" s="116">
        <f t="shared" si="41"/>
        <v>52188.105715513535</v>
      </c>
      <c r="G181" s="117">
        <v>75118509</v>
      </c>
      <c r="H181" s="117">
        <f t="shared" si="42"/>
        <v>32281.267296948859</v>
      </c>
      <c r="I181" s="7"/>
      <c r="J181" s="10">
        <v>5</v>
      </c>
      <c r="K181" s="117">
        <v>375592</v>
      </c>
      <c r="L181" s="120">
        <f t="shared" si="40"/>
        <v>161.40610227761067</v>
      </c>
      <c r="M181" s="122">
        <f t="shared" si="36"/>
        <v>751185.09</v>
      </c>
      <c r="N181" s="116">
        <f t="shared" si="37"/>
        <v>375593.08999999997</v>
      </c>
      <c r="O181" s="123">
        <f t="shared" si="38"/>
        <v>161.40657069187793</v>
      </c>
      <c r="P181" s="5"/>
      <c r="Q181" s="5">
        <f t="shared" si="32"/>
        <v>1</v>
      </c>
      <c r="R181" s="7">
        <f t="shared" si="33"/>
        <v>2327</v>
      </c>
      <c r="S181" s="5">
        <f t="shared" si="34"/>
        <v>1</v>
      </c>
      <c r="T181" s="7">
        <f t="shared" si="35"/>
        <v>2327</v>
      </c>
    </row>
    <row r="182" spans="1:20">
      <c r="A182" s="23" t="s">
        <v>211</v>
      </c>
      <c r="B182" s="35" t="s">
        <v>205</v>
      </c>
      <c r="C182" s="36">
        <v>702</v>
      </c>
      <c r="D182" s="6"/>
      <c r="E182" s="113">
        <v>62553650</v>
      </c>
      <c r="F182" s="116">
        <f t="shared" si="41"/>
        <v>89107.763532763536</v>
      </c>
      <c r="G182" s="117">
        <v>45309010</v>
      </c>
      <c r="H182" s="117">
        <f t="shared" si="42"/>
        <v>64542.749287749284</v>
      </c>
      <c r="I182" s="7"/>
      <c r="J182" s="10">
        <v>1.9510000000000001</v>
      </c>
      <c r="K182" s="117">
        <v>88397</v>
      </c>
      <c r="L182" s="120">
        <f t="shared" si="40"/>
        <v>125.92165242165242</v>
      </c>
      <c r="M182" s="122">
        <f t="shared" si="36"/>
        <v>453090.10000000003</v>
      </c>
      <c r="N182" s="116">
        <f t="shared" si="37"/>
        <v>364693.10000000003</v>
      </c>
      <c r="O182" s="123">
        <f t="shared" si="38"/>
        <v>519.50584045584048</v>
      </c>
      <c r="P182" s="5"/>
      <c r="Q182" s="5">
        <f t="shared" si="32"/>
        <v>1</v>
      </c>
      <c r="R182" s="7">
        <f t="shared" si="33"/>
        <v>702</v>
      </c>
      <c r="S182" s="5">
        <f t="shared" si="34"/>
        <v>1</v>
      </c>
      <c r="T182" s="7">
        <f t="shared" si="35"/>
        <v>702</v>
      </c>
    </row>
    <row r="183" spans="1:20">
      <c r="A183" s="23" t="s">
        <v>212</v>
      </c>
      <c r="B183" s="35" t="s">
        <v>213</v>
      </c>
      <c r="C183" s="36">
        <v>942</v>
      </c>
      <c r="D183" s="6"/>
      <c r="E183" s="113">
        <v>28174132</v>
      </c>
      <c r="F183" s="116">
        <f t="shared" si="41"/>
        <v>29908.845010615711</v>
      </c>
      <c r="G183" s="117">
        <v>13094845</v>
      </c>
      <c r="H183" s="117">
        <f t="shared" si="42"/>
        <v>13901.109341825902</v>
      </c>
      <c r="I183" s="7"/>
      <c r="J183" s="10">
        <v>3</v>
      </c>
      <c r="K183" s="117">
        <v>39284</v>
      </c>
      <c r="L183" s="120">
        <f t="shared" si="40"/>
        <v>41.702760084925693</v>
      </c>
      <c r="M183" s="122">
        <f t="shared" si="36"/>
        <v>130948.45</v>
      </c>
      <c r="N183" s="116">
        <f t="shared" si="37"/>
        <v>91664.45</v>
      </c>
      <c r="O183" s="123">
        <f t="shared" si="38"/>
        <v>97.308333333333337</v>
      </c>
      <c r="P183" s="5"/>
      <c r="Q183" s="5">
        <f t="shared" si="32"/>
        <v>1</v>
      </c>
      <c r="R183" s="7">
        <f t="shared" si="33"/>
        <v>942</v>
      </c>
      <c r="S183" s="5">
        <f t="shared" si="34"/>
        <v>1</v>
      </c>
      <c r="T183" s="7">
        <f t="shared" si="35"/>
        <v>942</v>
      </c>
    </row>
    <row r="184" spans="1:20">
      <c r="A184" s="23" t="s">
        <v>214</v>
      </c>
      <c r="B184" s="35" t="s">
        <v>215</v>
      </c>
      <c r="C184" s="36">
        <v>847</v>
      </c>
      <c r="D184" s="6"/>
      <c r="E184" s="113">
        <v>16927355</v>
      </c>
      <c r="F184" s="116">
        <f t="shared" si="41"/>
        <v>19985.070838252657</v>
      </c>
      <c r="G184" s="117">
        <v>9457419</v>
      </c>
      <c r="H184" s="117">
        <f t="shared" si="42"/>
        <v>11165.783943329398</v>
      </c>
      <c r="I184" s="7"/>
      <c r="J184" s="10">
        <v>9.4499999999999993</v>
      </c>
      <c r="K184" s="117">
        <v>89372</v>
      </c>
      <c r="L184" s="120">
        <f t="shared" si="40"/>
        <v>105.5159386068477</v>
      </c>
      <c r="M184" s="122">
        <f t="shared" si="36"/>
        <v>94574.19</v>
      </c>
      <c r="N184" s="116">
        <f t="shared" si="37"/>
        <v>5202.1900000000023</v>
      </c>
      <c r="O184" s="123">
        <f t="shared" si="38"/>
        <v>6.1419008264462835</v>
      </c>
      <c r="P184" s="5"/>
      <c r="Q184" s="5">
        <f t="shared" si="32"/>
        <v>1</v>
      </c>
      <c r="R184" s="7">
        <f t="shared" si="33"/>
        <v>847</v>
      </c>
      <c r="S184" s="5">
        <f t="shared" si="34"/>
        <v>1</v>
      </c>
      <c r="T184" s="7">
        <f t="shared" si="35"/>
        <v>847</v>
      </c>
    </row>
    <row r="185" spans="1:20">
      <c r="A185" s="23" t="s">
        <v>198</v>
      </c>
      <c r="B185" s="35" t="s">
        <v>215</v>
      </c>
      <c r="C185" s="36">
        <v>387</v>
      </c>
      <c r="D185" s="6"/>
      <c r="E185" s="113">
        <v>8248985</v>
      </c>
      <c r="F185" s="116">
        <f t="shared" si="41"/>
        <v>21315.206718346253</v>
      </c>
      <c r="G185" s="117">
        <v>4792133</v>
      </c>
      <c r="H185" s="117">
        <f t="shared" si="42"/>
        <v>12382.772609819121</v>
      </c>
      <c r="I185" s="7"/>
      <c r="J185" s="10">
        <v>6.67</v>
      </c>
      <c r="K185" s="117">
        <v>31963</v>
      </c>
      <c r="L185" s="120">
        <f t="shared" si="40"/>
        <v>82.591731266149864</v>
      </c>
      <c r="M185" s="122">
        <f t="shared" si="36"/>
        <v>47921.33</v>
      </c>
      <c r="N185" s="116">
        <f t="shared" si="37"/>
        <v>15958.330000000002</v>
      </c>
      <c r="O185" s="123">
        <f t="shared" si="38"/>
        <v>41.235994832041349</v>
      </c>
      <c r="P185" s="5"/>
      <c r="Q185" s="5">
        <f t="shared" si="32"/>
        <v>1</v>
      </c>
      <c r="R185" s="7">
        <f t="shared" si="33"/>
        <v>387</v>
      </c>
      <c r="S185" s="5">
        <f t="shared" si="34"/>
        <v>1</v>
      </c>
      <c r="T185" s="7">
        <f t="shared" si="35"/>
        <v>387</v>
      </c>
    </row>
    <row r="186" spans="1:20">
      <c r="A186" s="23" t="s">
        <v>215</v>
      </c>
      <c r="B186" s="35" t="s">
        <v>215</v>
      </c>
      <c r="C186" s="36">
        <v>3095</v>
      </c>
      <c r="D186" s="6"/>
      <c r="E186" s="113">
        <v>105904639</v>
      </c>
      <c r="F186" s="116">
        <f t="shared" si="41"/>
        <v>34217.977059773832</v>
      </c>
      <c r="G186" s="117">
        <v>68012436</v>
      </c>
      <c r="H186" s="117">
        <f t="shared" si="42"/>
        <v>21974.938933764137</v>
      </c>
      <c r="I186" s="7"/>
      <c r="J186" s="10">
        <v>7</v>
      </c>
      <c r="K186" s="117">
        <v>476087</v>
      </c>
      <c r="L186" s="120">
        <f t="shared" si="40"/>
        <v>153.82455573505655</v>
      </c>
      <c r="M186" s="122">
        <f t="shared" si="36"/>
        <v>680124.36</v>
      </c>
      <c r="N186" s="116">
        <f t="shared" si="37"/>
        <v>204037.36</v>
      </c>
      <c r="O186" s="123">
        <f t="shared" si="38"/>
        <v>65.924833602584812</v>
      </c>
      <c r="P186" s="5"/>
      <c r="Q186" s="5">
        <f t="shared" si="32"/>
        <v>1</v>
      </c>
      <c r="R186" s="7">
        <f t="shared" si="33"/>
        <v>3095</v>
      </c>
      <c r="S186" s="5">
        <f t="shared" si="34"/>
        <v>1</v>
      </c>
      <c r="T186" s="7">
        <f t="shared" si="35"/>
        <v>3095</v>
      </c>
    </row>
    <row r="187" spans="1:20">
      <c r="A187" s="23" t="s">
        <v>216</v>
      </c>
      <c r="B187" s="35" t="s">
        <v>217</v>
      </c>
      <c r="C187" s="36">
        <v>1848</v>
      </c>
      <c r="D187" s="6"/>
      <c r="E187" s="113">
        <v>764023577</v>
      </c>
      <c r="F187" s="116">
        <f t="shared" si="41"/>
        <v>413432.67153679655</v>
      </c>
      <c r="G187" s="117">
        <v>575066009</v>
      </c>
      <c r="H187" s="117">
        <f t="shared" si="42"/>
        <v>311182.90530303027</v>
      </c>
      <c r="I187" s="7"/>
      <c r="J187" s="10">
        <v>2</v>
      </c>
      <c r="K187" s="117">
        <v>1150132</v>
      </c>
      <c r="L187" s="120">
        <f t="shared" si="40"/>
        <v>622.36580086580091</v>
      </c>
      <c r="M187" s="122">
        <f t="shared" si="36"/>
        <v>5750660.0899999999</v>
      </c>
      <c r="N187" s="116">
        <f t="shared" si="37"/>
        <v>4600528.09</v>
      </c>
      <c r="O187" s="123">
        <f t="shared" si="38"/>
        <v>2489.4632521645021</v>
      </c>
      <c r="P187" s="5"/>
      <c r="Q187" s="5">
        <f t="shared" si="32"/>
        <v>1</v>
      </c>
      <c r="R187" s="7">
        <f t="shared" si="33"/>
        <v>1848</v>
      </c>
      <c r="S187" s="5">
        <f t="shared" si="34"/>
        <v>1</v>
      </c>
      <c r="T187" s="7">
        <f t="shared" si="35"/>
        <v>1848</v>
      </c>
    </row>
    <row r="188" spans="1:20">
      <c r="A188" s="23" t="s">
        <v>218</v>
      </c>
      <c r="B188" s="35" t="s">
        <v>217</v>
      </c>
      <c r="C188" s="36">
        <v>52599</v>
      </c>
      <c r="D188" s="6"/>
      <c r="E188" s="113">
        <v>3470381942</v>
      </c>
      <c r="F188" s="116">
        <f t="shared" si="41"/>
        <v>65978.097340253618</v>
      </c>
      <c r="G188" s="117">
        <v>2510499271</v>
      </c>
      <c r="H188" s="117">
        <f t="shared" si="42"/>
        <v>47729.030418829258</v>
      </c>
      <c r="I188" s="7"/>
      <c r="J188" s="10">
        <v>4.75</v>
      </c>
      <c r="K188" s="117">
        <v>11924871</v>
      </c>
      <c r="L188" s="120">
        <f t="shared" si="40"/>
        <v>226.71288427536646</v>
      </c>
      <c r="M188" s="122">
        <f t="shared" si="36"/>
        <v>25104992.710000001</v>
      </c>
      <c r="N188" s="116">
        <f t="shared" si="37"/>
        <v>13180121.710000001</v>
      </c>
      <c r="O188" s="123">
        <f t="shared" si="38"/>
        <v>250.57741991292613</v>
      </c>
      <c r="P188" s="5"/>
      <c r="Q188" s="5">
        <f t="shared" si="32"/>
        <v>1</v>
      </c>
      <c r="R188" s="7">
        <f t="shared" si="33"/>
        <v>52599</v>
      </c>
      <c r="S188" s="5">
        <f t="shared" si="34"/>
        <v>1</v>
      </c>
      <c r="T188" s="7">
        <f t="shared" si="35"/>
        <v>52599</v>
      </c>
    </row>
    <row r="189" spans="1:20">
      <c r="A189" s="23" t="s">
        <v>219</v>
      </c>
      <c r="B189" s="35" t="s">
        <v>217</v>
      </c>
      <c r="C189" s="36">
        <v>1513</v>
      </c>
      <c r="D189" s="6"/>
      <c r="E189" s="113">
        <v>518433718</v>
      </c>
      <c r="F189" s="116">
        <f t="shared" si="41"/>
        <v>342652.82088565762</v>
      </c>
      <c r="G189" s="117">
        <v>436449064</v>
      </c>
      <c r="H189" s="117">
        <f t="shared" si="42"/>
        <v>288466.00396563119</v>
      </c>
      <c r="I189" s="7"/>
      <c r="J189" s="10">
        <v>2.4931999999999999</v>
      </c>
      <c r="K189" s="117">
        <v>1088154</v>
      </c>
      <c r="L189" s="120">
        <f t="shared" si="40"/>
        <v>719.20290812954397</v>
      </c>
      <c r="M189" s="122">
        <f t="shared" si="36"/>
        <v>4364490.6399999997</v>
      </c>
      <c r="N189" s="116">
        <f t="shared" si="37"/>
        <v>3276336.6399999997</v>
      </c>
      <c r="O189" s="123">
        <f t="shared" si="38"/>
        <v>2165.4571315267676</v>
      </c>
      <c r="P189" s="5"/>
      <c r="Q189" s="5">
        <f t="shared" si="32"/>
        <v>1</v>
      </c>
      <c r="R189" s="7">
        <f t="shared" si="33"/>
        <v>1513</v>
      </c>
      <c r="S189" s="5">
        <f t="shared" si="34"/>
        <v>1</v>
      </c>
      <c r="T189" s="7">
        <f t="shared" si="35"/>
        <v>1513</v>
      </c>
    </row>
    <row r="190" spans="1:20">
      <c r="A190" s="23" t="s">
        <v>220</v>
      </c>
      <c r="B190" s="35" t="s">
        <v>217</v>
      </c>
      <c r="C190" s="36">
        <v>5026</v>
      </c>
      <c r="D190" s="6"/>
      <c r="E190" s="113">
        <v>1441530225</v>
      </c>
      <c r="F190" s="116">
        <f t="shared" si="41"/>
        <v>286814.60903302825</v>
      </c>
      <c r="G190" s="117">
        <v>1144215159</v>
      </c>
      <c r="H190" s="117">
        <f t="shared" si="42"/>
        <v>227659.20393951453</v>
      </c>
      <c r="I190" s="7"/>
      <c r="J190" s="10">
        <v>2</v>
      </c>
      <c r="K190" s="117">
        <v>2288430</v>
      </c>
      <c r="L190" s="120">
        <f t="shared" si="40"/>
        <v>455.31834460803822</v>
      </c>
      <c r="M190" s="122">
        <f t="shared" si="36"/>
        <v>11442151.59</v>
      </c>
      <c r="N190" s="116">
        <f t="shared" si="37"/>
        <v>9153721.5899999999</v>
      </c>
      <c r="O190" s="123">
        <f t="shared" si="38"/>
        <v>1821.2736947871069</v>
      </c>
      <c r="P190" s="5"/>
      <c r="Q190" s="5">
        <f t="shared" si="32"/>
        <v>1</v>
      </c>
      <c r="R190" s="7">
        <f t="shared" si="33"/>
        <v>5026</v>
      </c>
      <c r="S190" s="5">
        <f t="shared" si="34"/>
        <v>1</v>
      </c>
      <c r="T190" s="7">
        <f t="shared" si="35"/>
        <v>5026</v>
      </c>
    </row>
    <row r="191" spans="1:20">
      <c r="A191" s="23" t="s">
        <v>221</v>
      </c>
      <c r="B191" s="35" t="s">
        <v>217</v>
      </c>
      <c r="C191" s="36">
        <v>13035</v>
      </c>
      <c r="D191" s="6"/>
      <c r="E191" s="113">
        <v>801588714</v>
      </c>
      <c r="F191" s="116">
        <f t="shared" si="41"/>
        <v>61495.10655926352</v>
      </c>
      <c r="G191" s="117">
        <v>553643553</v>
      </c>
      <c r="H191" s="117">
        <f t="shared" si="42"/>
        <v>42473.61357882624</v>
      </c>
      <c r="I191" s="7"/>
      <c r="J191" s="10">
        <v>5.1645000000000003</v>
      </c>
      <c r="K191" s="117">
        <v>2859292</v>
      </c>
      <c r="L191" s="120">
        <f t="shared" si="40"/>
        <v>219.35496739547372</v>
      </c>
      <c r="M191" s="122">
        <f t="shared" si="36"/>
        <v>5536435.5300000003</v>
      </c>
      <c r="N191" s="116">
        <f t="shared" si="37"/>
        <v>2677143.5300000003</v>
      </c>
      <c r="O191" s="123">
        <f t="shared" si="38"/>
        <v>205.38116839278865</v>
      </c>
      <c r="P191" s="5"/>
      <c r="Q191" s="5">
        <f t="shared" si="32"/>
        <v>1</v>
      </c>
      <c r="R191" s="7">
        <f t="shared" si="33"/>
        <v>13035</v>
      </c>
      <c r="S191" s="5">
        <f t="shared" si="34"/>
        <v>1</v>
      </c>
      <c r="T191" s="7">
        <f t="shared" si="35"/>
        <v>13035</v>
      </c>
    </row>
    <row r="192" spans="1:20">
      <c r="A192" s="23" t="s">
        <v>478</v>
      </c>
      <c r="B192" s="35" t="s">
        <v>222</v>
      </c>
      <c r="C192" s="36">
        <v>7665</v>
      </c>
      <c r="D192" s="6"/>
      <c r="E192" s="113">
        <f>(1627899545+4282191150)</f>
        <v>5910090695</v>
      </c>
      <c r="F192" s="116">
        <f t="shared" si="41"/>
        <v>771049.01435094583</v>
      </c>
      <c r="G192" s="117">
        <f>(1347433280+3666389075)</f>
        <v>5013822355</v>
      </c>
      <c r="H192" s="117">
        <f t="shared" si="42"/>
        <v>654119.02870189177</v>
      </c>
      <c r="I192" s="7"/>
      <c r="J192" s="10">
        <v>1.55</v>
      </c>
      <c r="K192" s="117">
        <f>(2088521+5682903)</f>
        <v>7771424</v>
      </c>
      <c r="L192" s="120">
        <f t="shared" si="40"/>
        <v>1013.8844096542726</v>
      </c>
      <c r="M192" s="122">
        <f t="shared" si="36"/>
        <v>50138223.550000004</v>
      </c>
      <c r="N192" s="116">
        <f t="shared" si="37"/>
        <v>42366799.550000004</v>
      </c>
      <c r="O192" s="123">
        <f t="shared" si="38"/>
        <v>5527.3058773646453</v>
      </c>
      <c r="P192" s="5"/>
      <c r="Q192" s="5">
        <f t="shared" si="32"/>
        <v>1</v>
      </c>
      <c r="R192" s="7">
        <f t="shared" si="33"/>
        <v>7665</v>
      </c>
      <c r="S192" s="5">
        <f t="shared" si="34"/>
        <v>1</v>
      </c>
      <c r="T192" s="7">
        <f t="shared" si="35"/>
        <v>7665</v>
      </c>
    </row>
    <row r="193" spans="1:20">
      <c r="A193" s="23" t="s">
        <v>223</v>
      </c>
      <c r="B193" s="35" t="s">
        <v>224</v>
      </c>
      <c r="C193" s="36">
        <v>3692</v>
      </c>
      <c r="D193" s="6"/>
      <c r="E193" s="113">
        <v>174993919</v>
      </c>
      <c r="F193" s="116">
        <f t="shared" si="41"/>
        <v>47398.136240520042</v>
      </c>
      <c r="G193" s="117">
        <v>134769365</v>
      </c>
      <c r="H193" s="117">
        <f t="shared" si="42"/>
        <v>36503.07827735645</v>
      </c>
      <c r="I193" s="7"/>
      <c r="J193" s="10">
        <v>4.4138999999999999</v>
      </c>
      <c r="K193" s="117">
        <v>594858</v>
      </c>
      <c r="L193" s="120">
        <f t="shared" si="40"/>
        <v>161.12080173347778</v>
      </c>
      <c r="M193" s="122">
        <f t="shared" si="36"/>
        <v>1347693.6500000001</v>
      </c>
      <c r="N193" s="116">
        <f t="shared" si="37"/>
        <v>752835.65000000014</v>
      </c>
      <c r="O193" s="123">
        <f t="shared" si="38"/>
        <v>203.90998104008671</v>
      </c>
      <c r="P193" s="5"/>
      <c r="Q193" s="5">
        <f t="shared" si="32"/>
        <v>1</v>
      </c>
      <c r="R193" s="7">
        <f t="shared" si="33"/>
        <v>3692</v>
      </c>
      <c r="S193" s="5">
        <f t="shared" si="34"/>
        <v>1</v>
      </c>
      <c r="T193" s="7">
        <f t="shared" si="35"/>
        <v>3692</v>
      </c>
    </row>
    <row r="194" spans="1:20">
      <c r="A194" s="23" t="s">
        <v>225</v>
      </c>
      <c r="B194" s="35" t="s">
        <v>224</v>
      </c>
      <c r="C194" s="36">
        <v>1931</v>
      </c>
      <c r="D194" s="6"/>
      <c r="E194" s="113">
        <v>149400581</v>
      </c>
      <c r="F194" s="116">
        <f t="shared" si="41"/>
        <v>77369.539616778871</v>
      </c>
      <c r="G194" s="117">
        <v>109041377</v>
      </c>
      <c r="H194" s="117">
        <f t="shared" si="42"/>
        <v>56468.864319005697</v>
      </c>
      <c r="I194" s="7"/>
      <c r="J194" s="10">
        <v>6.5</v>
      </c>
      <c r="K194" s="117">
        <v>708768</v>
      </c>
      <c r="L194" s="120">
        <f t="shared" si="40"/>
        <v>367.04712584153287</v>
      </c>
      <c r="M194" s="122">
        <f t="shared" si="36"/>
        <v>1090413.77</v>
      </c>
      <c r="N194" s="116">
        <f t="shared" si="37"/>
        <v>381645.77</v>
      </c>
      <c r="O194" s="123">
        <f t="shared" si="38"/>
        <v>197.6415173485241</v>
      </c>
      <c r="P194" s="5"/>
      <c r="Q194" s="5">
        <f t="shared" si="32"/>
        <v>1</v>
      </c>
      <c r="R194" s="7">
        <f t="shared" si="33"/>
        <v>1931</v>
      </c>
      <c r="S194" s="5">
        <f t="shared" si="34"/>
        <v>1</v>
      </c>
      <c r="T194" s="7">
        <f t="shared" si="35"/>
        <v>1931</v>
      </c>
    </row>
    <row r="195" spans="1:20">
      <c r="A195" s="23" t="s">
        <v>226</v>
      </c>
      <c r="B195" s="35" t="s">
        <v>224</v>
      </c>
      <c r="C195" s="36">
        <v>448</v>
      </c>
      <c r="D195" s="6"/>
      <c r="E195" s="113">
        <v>24766467</v>
      </c>
      <c r="F195" s="116">
        <f t="shared" si="41"/>
        <v>55282.292410714283</v>
      </c>
      <c r="G195" s="117">
        <v>14752685</v>
      </c>
      <c r="H195" s="117">
        <f t="shared" si="42"/>
        <v>32930.100446428572</v>
      </c>
      <c r="I195" s="7"/>
      <c r="J195" s="10">
        <v>1.4266000000000001</v>
      </c>
      <c r="K195" s="117">
        <v>21046</v>
      </c>
      <c r="L195" s="120">
        <f t="shared" si="40"/>
        <v>46.977678571428569</v>
      </c>
      <c r="M195" s="122">
        <f t="shared" si="36"/>
        <v>147526.85</v>
      </c>
      <c r="N195" s="116">
        <f t="shared" si="37"/>
        <v>126480.85</v>
      </c>
      <c r="O195" s="123">
        <f t="shared" si="38"/>
        <v>282.32332589285716</v>
      </c>
      <c r="P195" s="5"/>
      <c r="Q195" s="5">
        <f t="shared" si="32"/>
        <v>1</v>
      </c>
      <c r="R195" s="7">
        <f t="shared" si="33"/>
        <v>448</v>
      </c>
      <c r="S195" s="5">
        <f t="shared" si="34"/>
        <v>1</v>
      </c>
      <c r="T195" s="7">
        <f t="shared" si="35"/>
        <v>448</v>
      </c>
    </row>
    <row r="196" spans="1:20">
      <c r="A196" s="23" t="s">
        <v>227</v>
      </c>
      <c r="B196" s="35" t="s">
        <v>224</v>
      </c>
      <c r="C196" s="36">
        <v>47371</v>
      </c>
      <c r="D196" s="6"/>
      <c r="E196" s="113">
        <v>3691717498</v>
      </c>
      <c r="F196" s="116">
        <f t="shared" si="41"/>
        <v>77932.015325832253</v>
      </c>
      <c r="G196" s="117">
        <v>2789198758</v>
      </c>
      <c r="H196" s="117">
        <f t="shared" si="42"/>
        <v>58879.879208798629</v>
      </c>
      <c r="I196" s="7"/>
      <c r="J196" s="10">
        <v>5.9260000000000002</v>
      </c>
      <c r="K196" s="117">
        <v>16528791</v>
      </c>
      <c r="L196" s="120">
        <f t="shared" si="40"/>
        <v>348.92214646091492</v>
      </c>
      <c r="M196" s="122">
        <f t="shared" si="36"/>
        <v>27891987.580000002</v>
      </c>
      <c r="N196" s="116">
        <f t="shared" si="37"/>
        <v>11363196.580000002</v>
      </c>
      <c r="O196" s="123">
        <f t="shared" si="38"/>
        <v>239.87664562707147</v>
      </c>
      <c r="P196" s="5"/>
      <c r="Q196" s="5">
        <f t="shared" si="32"/>
        <v>1</v>
      </c>
      <c r="R196" s="7">
        <f t="shared" si="33"/>
        <v>47371</v>
      </c>
      <c r="S196" s="5">
        <f t="shared" si="34"/>
        <v>1</v>
      </c>
      <c r="T196" s="7">
        <f t="shared" si="35"/>
        <v>47371</v>
      </c>
    </row>
    <row r="197" spans="1:20">
      <c r="A197" s="23" t="s">
        <v>228</v>
      </c>
      <c r="B197" s="35" t="s">
        <v>224</v>
      </c>
      <c r="C197" s="36">
        <v>523</v>
      </c>
      <c r="D197" s="6"/>
      <c r="E197" s="113">
        <v>14534501</v>
      </c>
      <c r="F197" s="116">
        <f t="shared" si="41"/>
        <v>27790.632887189291</v>
      </c>
      <c r="G197" s="117">
        <v>8130432</v>
      </c>
      <c r="H197" s="117">
        <f t="shared" si="42"/>
        <v>15545.759082217974</v>
      </c>
      <c r="I197" s="98" t="s">
        <v>528</v>
      </c>
      <c r="J197" s="10"/>
      <c r="K197" s="117"/>
      <c r="L197" s="120"/>
      <c r="M197" s="122">
        <f t="shared" si="36"/>
        <v>81304.320000000007</v>
      </c>
      <c r="N197" s="116">
        <f t="shared" si="37"/>
        <v>81304.320000000007</v>
      </c>
      <c r="O197" s="123">
        <f t="shared" si="38"/>
        <v>155.45759082217975</v>
      </c>
      <c r="P197" s="5"/>
      <c r="Q197" s="5">
        <f t="shared" si="32"/>
        <v>1</v>
      </c>
      <c r="R197" s="7">
        <f t="shared" si="33"/>
        <v>523</v>
      </c>
      <c r="S197" s="5">
        <f t="shared" si="34"/>
        <v>0</v>
      </c>
      <c r="T197" s="7">
        <f t="shared" si="35"/>
        <v>0</v>
      </c>
    </row>
    <row r="198" spans="1:20">
      <c r="A198" s="23" t="s">
        <v>229</v>
      </c>
      <c r="B198" s="35" t="s">
        <v>230</v>
      </c>
      <c r="C198" s="36">
        <v>619</v>
      </c>
      <c r="D198" s="6"/>
      <c r="E198" s="113">
        <v>2148768129</v>
      </c>
      <c r="F198" s="116">
        <f t="shared" si="41"/>
        <v>3471354.0048465268</v>
      </c>
      <c r="G198" s="117">
        <v>1651950134</v>
      </c>
      <c r="H198" s="117">
        <f t="shared" si="42"/>
        <v>2668740.1195476577</v>
      </c>
      <c r="I198" s="7"/>
      <c r="J198" s="10">
        <v>2.3809999999999998</v>
      </c>
      <c r="K198" s="117">
        <v>3933293</v>
      </c>
      <c r="L198" s="120">
        <f t="shared" ref="L198:L229" si="43">(K198/C198)</f>
        <v>6354.2697899838449</v>
      </c>
      <c r="M198" s="122">
        <f t="shared" si="36"/>
        <v>16519501.34</v>
      </c>
      <c r="N198" s="116">
        <f t="shared" si="37"/>
        <v>12586208.34</v>
      </c>
      <c r="O198" s="123">
        <f t="shared" si="38"/>
        <v>20333.131405492732</v>
      </c>
      <c r="P198" s="5"/>
      <c r="Q198" s="5">
        <f t="shared" si="32"/>
        <v>1</v>
      </c>
      <c r="R198" s="7">
        <f t="shared" si="33"/>
        <v>619</v>
      </c>
      <c r="S198" s="5">
        <f t="shared" si="34"/>
        <v>1</v>
      </c>
      <c r="T198" s="7">
        <f t="shared" si="35"/>
        <v>619</v>
      </c>
    </row>
    <row r="199" spans="1:20">
      <c r="A199" s="24" t="s">
        <v>582</v>
      </c>
      <c r="B199" s="35" t="s">
        <v>230</v>
      </c>
      <c r="C199" s="36">
        <v>455</v>
      </c>
      <c r="D199" s="6"/>
      <c r="E199" s="113">
        <v>17786142</v>
      </c>
      <c r="F199" s="116">
        <f t="shared" si="41"/>
        <v>39090.421978021979</v>
      </c>
      <c r="G199" s="117">
        <v>17781131</v>
      </c>
      <c r="H199" s="117">
        <f t="shared" si="42"/>
        <v>39079.408791208793</v>
      </c>
      <c r="I199" s="9"/>
      <c r="J199" s="10">
        <v>2.8820000000000001</v>
      </c>
      <c r="K199" s="117">
        <v>51245</v>
      </c>
      <c r="L199" s="120">
        <f t="shared" si="43"/>
        <v>112.62637362637362</v>
      </c>
      <c r="M199" s="122">
        <f t="shared" si="36"/>
        <v>177811.31</v>
      </c>
      <c r="N199" s="116">
        <f t="shared" si="37"/>
        <v>126566.31</v>
      </c>
      <c r="O199" s="123">
        <f t="shared" si="38"/>
        <v>278.16771428571428</v>
      </c>
      <c r="P199" s="5"/>
      <c r="Q199" s="5">
        <f t="shared" ref="Q199:Q262" si="44">IF(E199&gt;0,1,0)</f>
        <v>1</v>
      </c>
      <c r="R199" s="7">
        <f t="shared" ref="R199:R262" si="45">IF(E199&gt;0,C199,0)</f>
        <v>455</v>
      </c>
      <c r="S199" s="5">
        <f t="shared" ref="S199:S262" si="46">IF(J199&gt;0,1,0)</f>
        <v>1</v>
      </c>
      <c r="T199" s="7">
        <f t="shared" ref="T199:T262" si="47">IF(J199&gt;0,C199,0)</f>
        <v>455</v>
      </c>
    </row>
    <row r="200" spans="1:20">
      <c r="A200" s="23" t="s">
        <v>446</v>
      </c>
      <c r="B200" s="35" t="s">
        <v>230</v>
      </c>
      <c r="C200" s="36">
        <v>1991</v>
      </c>
      <c r="D200" s="6"/>
      <c r="E200" s="113">
        <v>766762977</v>
      </c>
      <c r="F200" s="116">
        <f t="shared" si="41"/>
        <v>385114.50376695127</v>
      </c>
      <c r="G200" s="117">
        <v>532775748</v>
      </c>
      <c r="H200" s="117">
        <f t="shared" si="42"/>
        <v>267592.03817177296</v>
      </c>
      <c r="I200" s="7"/>
      <c r="J200" s="11">
        <v>1.889</v>
      </c>
      <c r="K200" s="117">
        <v>1006413</v>
      </c>
      <c r="L200" s="120">
        <f t="shared" si="43"/>
        <v>505.48116524359619</v>
      </c>
      <c r="M200" s="122">
        <f t="shared" ref="M200:M263" si="48">(G200*0.01)</f>
        <v>5327757.4800000004</v>
      </c>
      <c r="N200" s="116">
        <f t="shared" ref="N200:N263" si="49">(M200-K200)</f>
        <v>4321344.4800000004</v>
      </c>
      <c r="O200" s="123">
        <f t="shared" ref="O200:O263" si="50">(N200/C200)</f>
        <v>2170.4392164741339</v>
      </c>
      <c r="P200" s="5"/>
      <c r="Q200" s="5">
        <f t="shared" si="44"/>
        <v>1</v>
      </c>
      <c r="R200" s="7">
        <f t="shared" si="45"/>
        <v>1991</v>
      </c>
      <c r="S200" s="5">
        <f t="shared" si="46"/>
        <v>1</v>
      </c>
      <c r="T200" s="7">
        <f t="shared" si="47"/>
        <v>1991</v>
      </c>
    </row>
    <row r="201" spans="1:20">
      <c r="A201" s="23" t="s">
        <v>231</v>
      </c>
      <c r="B201" s="35" t="s">
        <v>230</v>
      </c>
      <c r="C201" s="36">
        <v>15922</v>
      </c>
      <c r="D201" s="6"/>
      <c r="E201" s="113">
        <v>2027831678</v>
      </c>
      <c r="F201" s="116">
        <f t="shared" si="41"/>
        <v>127360.36163798517</v>
      </c>
      <c r="G201" s="117">
        <v>1411100830</v>
      </c>
      <c r="H201" s="117">
        <f t="shared" si="42"/>
        <v>88625.852907926135</v>
      </c>
      <c r="I201" s="7"/>
      <c r="J201" s="10">
        <v>4.1539000000000001</v>
      </c>
      <c r="K201" s="117">
        <v>5861571</v>
      </c>
      <c r="L201" s="120">
        <f t="shared" si="43"/>
        <v>368.14288405979147</v>
      </c>
      <c r="M201" s="122">
        <f t="shared" si="48"/>
        <v>14111008.300000001</v>
      </c>
      <c r="N201" s="116">
        <f t="shared" si="49"/>
        <v>8249437.3000000007</v>
      </c>
      <c r="O201" s="123">
        <f t="shared" si="50"/>
        <v>518.11564501946998</v>
      </c>
      <c r="P201" s="5"/>
      <c r="Q201" s="5">
        <f t="shared" si="44"/>
        <v>1</v>
      </c>
      <c r="R201" s="7">
        <f t="shared" si="45"/>
        <v>15922</v>
      </c>
      <c r="S201" s="5">
        <f t="shared" si="46"/>
        <v>1</v>
      </c>
      <c r="T201" s="7">
        <f t="shared" si="47"/>
        <v>15922</v>
      </c>
    </row>
    <row r="202" spans="1:20">
      <c r="A202" s="24" t="s">
        <v>232</v>
      </c>
      <c r="B202" s="37" t="s">
        <v>233</v>
      </c>
      <c r="C202" s="36">
        <v>28207</v>
      </c>
      <c r="D202" s="6"/>
      <c r="E202" s="113">
        <v>6331085985</v>
      </c>
      <c r="F202" s="116">
        <f t="shared" si="41"/>
        <v>224450.88045520615</v>
      </c>
      <c r="G202" s="117">
        <v>5566301715</v>
      </c>
      <c r="H202" s="117">
        <f t="shared" si="42"/>
        <v>197337.60112737972</v>
      </c>
      <c r="I202" s="7"/>
      <c r="J202" s="10">
        <v>2.2269999999999999</v>
      </c>
      <c r="K202" s="117">
        <v>12396153</v>
      </c>
      <c r="L202" s="120">
        <f t="shared" si="43"/>
        <v>439.47080511929664</v>
      </c>
      <c r="M202" s="122">
        <f t="shared" si="48"/>
        <v>55663017.149999999</v>
      </c>
      <c r="N202" s="116">
        <f t="shared" si="49"/>
        <v>43266864.149999999</v>
      </c>
      <c r="O202" s="123">
        <f t="shared" si="50"/>
        <v>1533.9052061545005</v>
      </c>
      <c r="P202" s="5"/>
      <c r="Q202" s="5">
        <f t="shared" si="44"/>
        <v>1</v>
      </c>
      <c r="R202" s="7">
        <f t="shared" si="45"/>
        <v>28207</v>
      </c>
      <c r="S202" s="5">
        <f t="shared" si="46"/>
        <v>1</v>
      </c>
      <c r="T202" s="7">
        <f t="shared" si="47"/>
        <v>28207</v>
      </c>
    </row>
    <row r="203" spans="1:20">
      <c r="A203" s="23" t="s">
        <v>234</v>
      </c>
      <c r="B203" s="37" t="s">
        <v>233</v>
      </c>
      <c r="C203" s="36">
        <v>3409</v>
      </c>
      <c r="D203" s="6"/>
      <c r="E203" s="113">
        <v>1724435418</v>
      </c>
      <c r="F203" s="116">
        <f t="shared" si="41"/>
        <v>505847.87855676154</v>
      </c>
      <c r="G203" s="117">
        <v>1536022253</v>
      </c>
      <c r="H203" s="117">
        <f t="shared" si="42"/>
        <v>450578.54297447932</v>
      </c>
      <c r="I203" s="7"/>
      <c r="J203" s="11">
        <v>2.9020000000000001</v>
      </c>
      <c r="K203" s="117">
        <v>4457536</v>
      </c>
      <c r="L203" s="120">
        <f t="shared" si="43"/>
        <v>1307.5787621003226</v>
      </c>
      <c r="M203" s="122">
        <f t="shared" si="48"/>
        <v>15360222.530000001</v>
      </c>
      <c r="N203" s="116">
        <f t="shared" si="49"/>
        <v>10902686.530000001</v>
      </c>
      <c r="O203" s="123">
        <f t="shared" si="50"/>
        <v>3198.2066676444711</v>
      </c>
      <c r="P203" s="5"/>
      <c r="Q203" s="5">
        <f t="shared" si="44"/>
        <v>1</v>
      </c>
      <c r="R203" s="7">
        <f t="shared" si="45"/>
        <v>3409</v>
      </c>
      <c r="S203" s="5">
        <f t="shared" si="46"/>
        <v>1</v>
      </c>
      <c r="T203" s="7">
        <f t="shared" si="47"/>
        <v>3409</v>
      </c>
    </row>
    <row r="204" spans="1:20">
      <c r="A204" s="23" t="s">
        <v>235</v>
      </c>
      <c r="B204" s="37" t="s">
        <v>233</v>
      </c>
      <c r="C204" s="36">
        <v>5201</v>
      </c>
      <c r="D204" s="6"/>
      <c r="E204" s="113">
        <v>704176396</v>
      </c>
      <c r="F204" s="116">
        <f t="shared" si="41"/>
        <v>135392.5006729475</v>
      </c>
      <c r="G204" s="117">
        <v>516480156</v>
      </c>
      <c r="H204" s="117">
        <f t="shared" si="42"/>
        <v>99304.009998077294</v>
      </c>
      <c r="I204" s="7"/>
      <c r="J204" s="10">
        <v>5</v>
      </c>
      <c r="K204" s="117">
        <v>2582400</v>
      </c>
      <c r="L204" s="120">
        <f t="shared" si="43"/>
        <v>496.51990001922707</v>
      </c>
      <c r="M204" s="122">
        <f t="shared" si="48"/>
        <v>5164801.5600000005</v>
      </c>
      <c r="N204" s="116">
        <f t="shared" si="49"/>
        <v>2582401.5600000005</v>
      </c>
      <c r="O204" s="123">
        <f t="shared" si="50"/>
        <v>496.52019996154598</v>
      </c>
      <c r="P204" s="5"/>
      <c r="Q204" s="5">
        <f t="shared" si="44"/>
        <v>1</v>
      </c>
      <c r="R204" s="7">
        <f t="shared" si="45"/>
        <v>5201</v>
      </c>
      <c r="S204" s="5">
        <f t="shared" si="46"/>
        <v>1</v>
      </c>
      <c r="T204" s="7">
        <f t="shared" si="47"/>
        <v>5201</v>
      </c>
    </row>
    <row r="205" spans="1:20">
      <c r="A205" s="23" t="s">
        <v>236</v>
      </c>
      <c r="B205" s="37" t="s">
        <v>233</v>
      </c>
      <c r="C205" s="36">
        <v>3555</v>
      </c>
      <c r="D205" s="6"/>
      <c r="E205" s="113">
        <v>229881475</v>
      </c>
      <c r="F205" s="116">
        <f t="shared" si="41"/>
        <v>64664.268635724329</v>
      </c>
      <c r="G205" s="117">
        <v>135457969</v>
      </c>
      <c r="H205" s="117">
        <f t="shared" si="42"/>
        <v>38103.507454289735</v>
      </c>
      <c r="I205" s="7"/>
      <c r="J205" s="10">
        <v>7.9</v>
      </c>
      <c r="K205" s="117">
        <v>1070117</v>
      </c>
      <c r="L205" s="120">
        <f t="shared" si="43"/>
        <v>301.01744022503516</v>
      </c>
      <c r="M205" s="122">
        <f t="shared" si="48"/>
        <v>1354579.69</v>
      </c>
      <c r="N205" s="116">
        <f t="shared" si="49"/>
        <v>284462.68999999994</v>
      </c>
      <c r="O205" s="123">
        <f t="shared" si="50"/>
        <v>80.017634317862147</v>
      </c>
      <c r="P205" s="5"/>
      <c r="Q205" s="5">
        <f t="shared" si="44"/>
        <v>1</v>
      </c>
      <c r="R205" s="7">
        <f t="shared" si="45"/>
        <v>3555</v>
      </c>
      <c r="S205" s="5">
        <f t="shared" si="46"/>
        <v>1</v>
      </c>
      <c r="T205" s="7">
        <f t="shared" si="47"/>
        <v>3555</v>
      </c>
    </row>
    <row r="206" spans="1:20">
      <c r="A206" s="23" t="s">
        <v>237</v>
      </c>
      <c r="B206" s="37" t="s">
        <v>233</v>
      </c>
      <c r="C206" s="36">
        <v>44345</v>
      </c>
      <c r="D206" s="6"/>
      <c r="E206" s="113">
        <v>12988400673</v>
      </c>
      <c r="F206" s="116">
        <f t="shared" si="41"/>
        <v>292894.3662870673</v>
      </c>
      <c r="G206" s="117">
        <v>9436328275</v>
      </c>
      <c r="H206" s="117">
        <f t="shared" si="42"/>
        <v>212793.51166986133</v>
      </c>
      <c r="I206" s="7"/>
      <c r="J206" s="10">
        <v>5.99</v>
      </c>
      <c r="K206" s="117">
        <v>56523606</v>
      </c>
      <c r="L206" s="120">
        <f t="shared" si="43"/>
        <v>1274.633126620814</v>
      </c>
      <c r="M206" s="122">
        <f t="shared" si="48"/>
        <v>94363282.75</v>
      </c>
      <c r="N206" s="116">
        <f t="shared" si="49"/>
        <v>37839676.75</v>
      </c>
      <c r="O206" s="123">
        <f t="shared" si="50"/>
        <v>853.30199007779902</v>
      </c>
      <c r="P206" s="5"/>
      <c r="Q206" s="5">
        <f t="shared" si="44"/>
        <v>1</v>
      </c>
      <c r="R206" s="7">
        <f t="shared" si="45"/>
        <v>44345</v>
      </c>
      <c r="S206" s="5">
        <f t="shared" si="46"/>
        <v>1</v>
      </c>
      <c r="T206" s="7">
        <f t="shared" si="47"/>
        <v>44345</v>
      </c>
    </row>
    <row r="207" spans="1:20">
      <c r="A207" s="23" t="s">
        <v>501</v>
      </c>
      <c r="B207" s="37" t="s">
        <v>233</v>
      </c>
      <c r="C207" s="36">
        <v>30285</v>
      </c>
      <c r="D207" s="6"/>
      <c r="E207" s="113">
        <v>7288597226</v>
      </c>
      <c r="F207" s="116">
        <f t="shared" si="41"/>
        <v>240666.90526663364</v>
      </c>
      <c r="G207" s="117">
        <v>6485904788</v>
      </c>
      <c r="H207" s="117">
        <f t="shared" si="42"/>
        <v>214162.28456331516</v>
      </c>
      <c r="I207" s="7"/>
      <c r="J207" s="10">
        <v>2.4470000000000001</v>
      </c>
      <c r="K207" s="117">
        <v>15871009</v>
      </c>
      <c r="L207" s="120">
        <f t="shared" si="43"/>
        <v>524.05510979032522</v>
      </c>
      <c r="M207" s="122">
        <f t="shared" si="48"/>
        <v>64859047.880000003</v>
      </c>
      <c r="N207" s="116">
        <f t="shared" si="49"/>
        <v>48988038.880000003</v>
      </c>
      <c r="O207" s="123">
        <f t="shared" si="50"/>
        <v>1617.5677358428266</v>
      </c>
      <c r="P207" s="5"/>
      <c r="Q207" s="5">
        <f t="shared" si="44"/>
        <v>1</v>
      </c>
      <c r="R207" s="7">
        <f t="shared" si="45"/>
        <v>30285</v>
      </c>
      <c r="S207" s="5">
        <f t="shared" si="46"/>
        <v>1</v>
      </c>
      <c r="T207" s="7">
        <f t="shared" si="47"/>
        <v>30285</v>
      </c>
    </row>
    <row r="208" spans="1:20">
      <c r="A208" s="23" t="s">
        <v>238</v>
      </c>
      <c r="B208" s="37" t="s">
        <v>233</v>
      </c>
      <c r="C208" s="36">
        <v>2550</v>
      </c>
      <c r="D208" s="6"/>
      <c r="E208" s="113">
        <v>152923626</v>
      </c>
      <c r="F208" s="116">
        <f t="shared" si="41"/>
        <v>59970.049411764703</v>
      </c>
      <c r="G208" s="117">
        <v>78008433</v>
      </c>
      <c r="H208" s="117">
        <f t="shared" si="42"/>
        <v>30591.542352941178</v>
      </c>
      <c r="I208" s="7"/>
      <c r="J208" s="10">
        <v>8.6999999999999993</v>
      </c>
      <c r="K208" s="117">
        <v>678673</v>
      </c>
      <c r="L208" s="120">
        <f t="shared" si="43"/>
        <v>266.1462745098039</v>
      </c>
      <c r="M208" s="122">
        <f t="shared" si="48"/>
        <v>780084.33</v>
      </c>
      <c r="N208" s="116">
        <f t="shared" si="49"/>
        <v>101411.32999999996</v>
      </c>
      <c r="O208" s="123">
        <f t="shared" si="50"/>
        <v>39.769149019607823</v>
      </c>
      <c r="P208" s="5"/>
      <c r="Q208" s="5">
        <f t="shared" si="44"/>
        <v>1</v>
      </c>
      <c r="R208" s="7">
        <f t="shared" si="45"/>
        <v>2550</v>
      </c>
      <c r="S208" s="5">
        <f t="shared" si="46"/>
        <v>1</v>
      </c>
      <c r="T208" s="7">
        <f t="shared" si="47"/>
        <v>2550</v>
      </c>
    </row>
    <row r="209" spans="1:20">
      <c r="A209" s="23" t="s">
        <v>239</v>
      </c>
      <c r="B209" s="37" t="s">
        <v>233</v>
      </c>
      <c r="C209" s="36">
        <v>8715</v>
      </c>
      <c r="D209" s="6"/>
      <c r="E209" s="113">
        <v>404048002</v>
      </c>
      <c r="F209" s="116">
        <f t="shared" si="41"/>
        <v>46362.363970166378</v>
      </c>
      <c r="G209" s="117">
        <v>287973847</v>
      </c>
      <c r="H209" s="117">
        <f t="shared" si="42"/>
        <v>33043.47068273092</v>
      </c>
      <c r="I209" s="7"/>
      <c r="J209" s="10">
        <v>8.9</v>
      </c>
      <c r="K209" s="117">
        <v>2562967</v>
      </c>
      <c r="L209" s="120">
        <f t="shared" si="43"/>
        <v>294.08686173264488</v>
      </c>
      <c r="M209" s="122">
        <f t="shared" si="48"/>
        <v>2879738.47</v>
      </c>
      <c r="N209" s="116">
        <f t="shared" si="49"/>
        <v>316771.4700000002</v>
      </c>
      <c r="O209" s="123">
        <f t="shared" si="50"/>
        <v>36.347845094664393</v>
      </c>
      <c r="P209" s="5"/>
      <c r="Q209" s="5">
        <f t="shared" si="44"/>
        <v>1</v>
      </c>
      <c r="R209" s="7">
        <f t="shared" si="45"/>
        <v>8715</v>
      </c>
      <c r="S209" s="5">
        <f t="shared" si="46"/>
        <v>1</v>
      </c>
      <c r="T209" s="7">
        <f t="shared" si="47"/>
        <v>8715</v>
      </c>
    </row>
    <row r="210" spans="1:20">
      <c r="A210" s="23" t="s">
        <v>240</v>
      </c>
      <c r="B210" s="37" t="s">
        <v>233</v>
      </c>
      <c r="C210" s="36">
        <v>997</v>
      </c>
      <c r="D210" s="6"/>
      <c r="E210" s="113">
        <v>657726591</v>
      </c>
      <c r="F210" s="116">
        <f t="shared" si="41"/>
        <v>659705.70812437311</v>
      </c>
      <c r="G210" s="117">
        <v>483328635</v>
      </c>
      <c r="H210" s="117">
        <f t="shared" si="42"/>
        <v>484782.98395185557</v>
      </c>
      <c r="I210" s="7"/>
      <c r="J210" s="10">
        <v>8.59</v>
      </c>
      <c r="K210" s="117">
        <v>4151792</v>
      </c>
      <c r="L210" s="120">
        <f t="shared" si="43"/>
        <v>4164.2848545636907</v>
      </c>
      <c r="M210" s="122">
        <f t="shared" si="48"/>
        <v>4833286.3500000006</v>
      </c>
      <c r="N210" s="116">
        <f t="shared" si="49"/>
        <v>681494.35000000056</v>
      </c>
      <c r="O210" s="123">
        <f t="shared" si="50"/>
        <v>683.54498495486519</v>
      </c>
      <c r="P210" s="5"/>
      <c r="Q210" s="5">
        <f t="shared" si="44"/>
        <v>1</v>
      </c>
      <c r="R210" s="7">
        <f t="shared" si="45"/>
        <v>997</v>
      </c>
      <c r="S210" s="5">
        <f t="shared" si="46"/>
        <v>1</v>
      </c>
      <c r="T210" s="7">
        <f t="shared" si="47"/>
        <v>997</v>
      </c>
    </row>
    <row r="211" spans="1:20">
      <c r="A211" s="23" t="s">
        <v>241</v>
      </c>
      <c r="B211" s="37" t="s">
        <v>233</v>
      </c>
      <c r="C211" s="36">
        <v>233566</v>
      </c>
      <c r="D211" s="6"/>
      <c r="E211" s="113">
        <v>10540316776</v>
      </c>
      <c r="F211" s="116">
        <f t="shared" si="41"/>
        <v>45127.787332060318</v>
      </c>
      <c r="G211" s="117">
        <v>7308789970</v>
      </c>
      <c r="H211" s="117">
        <f t="shared" si="42"/>
        <v>31292.182809141741</v>
      </c>
      <c r="I211" s="7"/>
      <c r="J211" s="10">
        <v>7.1</v>
      </c>
      <c r="K211" s="117">
        <v>51892408</v>
      </c>
      <c r="L211" s="120">
        <f t="shared" si="43"/>
        <v>222.17449457540908</v>
      </c>
      <c r="M211" s="122">
        <f t="shared" si="48"/>
        <v>73087899.700000003</v>
      </c>
      <c r="N211" s="116">
        <f t="shared" si="49"/>
        <v>21195491.700000003</v>
      </c>
      <c r="O211" s="123">
        <f t="shared" si="50"/>
        <v>90.747333516008339</v>
      </c>
      <c r="P211" s="5"/>
      <c r="Q211" s="5">
        <f t="shared" si="44"/>
        <v>1</v>
      </c>
      <c r="R211" s="7">
        <f t="shared" si="45"/>
        <v>233566</v>
      </c>
      <c r="S211" s="5">
        <f t="shared" si="46"/>
        <v>1</v>
      </c>
      <c r="T211" s="7">
        <f t="shared" si="47"/>
        <v>233566</v>
      </c>
    </row>
    <row r="212" spans="1:20">
      <c r="A212" s="23" t="s">
        <v>242</v>
      </c>
      <c r="B212" s="37" t="s">
        <v>233</v>
      </c>
      <c r="C212" s="36">
        <v>20441</v>
      </c>
      <c r="D212" s="6"/>
      <c r="E212" s="113">
        <v>1097034802</v>
      </c>
      <c r="F212" s="116">
        <f t="shared" si="41"/>
        <v>53668.352918154691</v>
      </c>
      <c r="G212" s="117">
        <v>778251347</v>
      </c>
      <c r="H212" s="117">
        <f t="shared" si="42"/>
        <v>38073.056455163642</v>
      </c>
      <c r="I212" s="7"/>
      <c r="J212" s="10">
        <v>6.12</v>
      </c>
      <c r="K212" s="117">
        <v>4762898</v>
      </c>
      <c r="L212" s="120">
        <f t="shared" si="43"/>
        <v>233.00709358641944</v>
      </c>
      <c r="M212" s="122">
        <f t="shared" si="48"/>
        <v>7782513.4699999997</v>
      </c>
      <c r="N212" s="116">
        <f t="shared" si="49"/>
        <v>3019615.4699999997</v>
      </c>
      <c r="O212" s="123">
        <f t="shared" si="50"/>
        <v>147.72347096521696</v>
      </c>
      <c r="P212" s="5"/>
      <c r="Q212" s="5">
        <f t="shared" si="44"/>
        <v>1</v>
      </c>
      <c r="R212" s="7">
        <f t="shared" si="45"/>
        <v>20441</v>
      </c>
      <c r="S212" s="5">
        <f t="shared" si="46"/>
        <v>1</v>
      </c>
      <c r="T212" s="7">
        <f t="shared" si="47"/>
        <v>20441</v>
      </c>
    </row>
    <row r="213" spans="1:20">
      <c r="A213" s="23" t="s">
        <v>243</v>
      </c>
      <c r="B213" s="37" t="s">
        <v>233</v>
      </c>
      <c r="C213" s="36">
        <v>36501</v>
      </c>
      <c r="D213" s="6"/>
      <c r="E213" s="113">
        <v>1830813393</v>
      </c>
      <c r="F213" s="116">
        <f t="shared" si="41"/>
        <v>50157.896852141035</v>
      </c>
      <c r="G213" s="117">
        <v>1208766583</v>
      </c>
      <c r="H213" s="117">
        <f t="shared" si="42"/>
        <v>33115.985397660341</v>
      </c>
      <c r="I213" s="7"/>
      <c r="J213" s="10">
        <v>7.75</v>
      </c>
      <c r="K213" s="117">
        <v>9367941</v>
      </c>
      <c r="L213" s="120">
        <f t="shared" si="43"/>
        <v>256.64888633188133</v>
      </c>
      <c r="M213" s="122">
        <f t="shared" si="48"/>
        <v>12087665.83</v>
      </c>
      <c r="N213" s="116">
        <f t="shared" si="49"/>
        <v>2719724.83</v>
      </c>
      <c r="O213" s="123">
        <f t="shared" si="50"/>
        <v>74.510967644722058</v>
      </c>
      <c r="P213" s="5"/>
      <c r="Q213" s="5">
        <f t="shared" si="44"/>
        <v>1</v>
      </c>
      <c r="R213" s="7">
        <f t="shared" si="45"/>
        <v>36501</v>
      </c>
      <c r="S213" s="5">
        <f t="shared" si="46"/>
        <v>1</v>
      </c>
      <c r="T213" s="7">
        <f t="shared" si="47"/>
        <v>36501</v>
      </c>
    </row>
    <row r="214" spans="1:20">
      <c r="A214" s="23" t="s">
        <v>244</v>
      </c>
      <c r="B214" s="37" t="s">
        <v>233</v>
      </c>
      <c r="C214" s="36">
        <v>33</v>
      </c>
      <c r="D214" s="6"/>
      <c r="E214" s="113">
        <v>302966752</v>
      </c>
      <c r="F214" s="116">
        <f t="shared" si="41"/>
        <v>9180810.666666666</v>
      </c>
      <c r="G214" s="117">
        <v>270283540</v>
      </c>
      <c r="H214" s="117">
        <f t="shared" si="42"/>
        <v>8190410.3030303027</v>
      </c>
      <c r="I214" s="7"/>
      <c r="J214" s="10">
        <v>10</v>
      </c>
      <c r="K214" s="117">
        <v>2702835</v>
      </c>
      <c r="L214" s="120">
        <f t="shared" si="43"/>
        <v>81904.090909090912</v>
      </c>
      <c r="M214" s="122">
        <f t="shared" si="48"/>
        <v>2702835.4</v>
      </c>
      <c r="N214" s="116">
        <f t="shared" si="49"/>
        <v>0.39999999990686774</v>
      </c>
      <c r="O214" s="123">
        <f t="shared" si="50"/>
        <v>1.2121212118389931E-2</v>
      </c>
      <c r="P214" s="5"/>
      <c r="Q214" s="5">
        <f t="shared" si="44"/>
        <v>1</v>
      </c>
      <c r="R214" s="7">
        <f t="shared" si="45"/>
        <v>33</v>
      </c>
      <c r="S214" s="5">
        <f t="shared" si="46"/>
        <v>1</v>
      </c>
      <c r="T214" s="7">
        <f t="shared" si="47"/>
        <v>33</v>
      </c>
    </row>
    <row r="215" spans="1:20">
      <c r="A215" s="23" t="s">
        <v>245</v>
      </c>
      <c r="B215" s="37" t="s">
        <v>233</v>
      </c>
      <c r="C215" s="36">
        <v>6</v>
      </c>
      <c r="D215" s="6"/>
      <c r="E215" s="113">
        <v>9468610</v>
      </c>
      <c r="F215" s="116">
        <f t="shared" si="41"/>
        <v>1578101.6666666667</v>
      </c>
      <c r="G215" s="117">
        <v>268658</v>
      </c>
      <c r="H215" s="117">
        <f t="shared" si="42"/>
        <v>44776.333333333336</v>
      </c>
      <c r="I215" s="7"/>
      <c r="J215" s="10">
        <v>9.4916</v>
      </c>
      <c r="K215" s="117">
        <v>2549</v>
      </c>
      <c r="L215" s="120">
        <f t="shared" si="43"/>
        <v>424.83333333333331</v>
      </c>
      <c r="M215" s="122">
        <f t="shared" si="48"/>
        <v>2686.58</v>
      </c>
      <c r="N215" s="116">
        <f t="shared" si="49"/>
        <v>137.57999999999993</v>
      </c>
      <c r="O215" s="123">
        <f t="shared" si="50"/>
        <v>22.929999999999989</v>
      </c>
      <c r="P215" s="5"/>
      <c r="Q215" s="5">
        <f t="shared" si="44"/>
        <v>1</v>
      </c>
      <c r="R215" s="7">
        <f t="shared" si="45"/>
        <v>6</v>
      </c>
      <c r="S215" s="5">
        <f t="shared" si="46"/>
        <v>1</v>
      </c>
      <c r="T215" s="7">
        <f t="shared" si="47"/>
        <v>6</v>
      </c>
    </row>
    <row r="216" spans="1:20">
      <c r="A216" s="23" t="s">
        <v>246</v>
      </c>
      <c r="B216" s="37" t="s">
        <v>233</v>
      </c>
      <c r="C216" s="36">
        <v>11160</v>
      </c>
      <c r="D216" s="6"/>
      <c r="E216" s="113">
        <v>4387079425</v>
      </c>
      <c r="F216" s="116">
        <f t="shared" si="41"/>
        <v>393107.47535842296</v>
      </c>
      <c r="G216" s="117">
        <v>3865902269</v>
      </c>
      <c r="H216" s="117">
        <f t="shared" si="42"/>
        <v>346407.01335125446</v>
      </c>
      <c r="I216" s="7"/>
      <c r="J216" s="10">
        <v>3.6059999999999999</v>
      </c>
      <c r="K216" s="117">
        <v>13940443</v>
      </c>
      <c r="L216" s="120">
        <f t="shared" si="43"/>
        <v>1249.1436379928316</v>
      </c>
      <c r="M216" s="122">
        <f t="shared" si="48"/>
        <v>38659022.689999998</v>
      </c>
      <c r="N216" s="116">
        <f t="shared" si="49"/>
        <v>24718579.689999998</v>
      </c>
      <c r="O216" s="123">
        <f t="shared" si="50"/>
        <v>2214.9264955197132</v>
      </c>
      <c r="P216" s="5"/>
      <c r="Q216" s="5">
        <f t="shared" si="44"/>
        <v>1</v>
      </c>
      <c r="R216" s="7">
        <f t="shared" si="45"/>
        <v>11160</v>
      </c>
      <c r="S216" s="5">
        <f t="shared" si="46"/>
        <v>1</v>
      </c>
      <c r="T216" s="7">
        <f t="shared" si="47"/>
        <v>11160</v>
      </c>
    </row>
    <row r="217" spans="1:20">
      <c r="A217" s="23" t="s">
        <v>247</v>
      </c>
      <c r="B217" s="37" t="s">
        <v>233</v>
      </c>
      <c r="C217" s="36">
        <v>1123</v>
      </c>
      <c r="D217" s="6"/>
      <c r="E217" s="113">
        <v>1179389666</v>
      </c>
      <c r="F217" s="116">
        <f t="shared" si="41"/>
        <v>1050213.4158504007</v>
      </c>
      <c r="G217" s="117">
        <v>1156605129</v>
      </c>
      <c r="H217" s="117">
        <f t="shared" si="42"/>
        <v>1029924.4247551202</v>
      </c>
      <c r="I217" s="7"/>
      <c r="J217" s="10">
        <v>7.25</v>
      </c>
      <c r="K217" s="117">
        <v>8385387</v>
      </c>
      <c r="L217" s="120">
        <f t="shared" si="43"/>
        <v>7466.9519145146924</v>
      </c>
      <c r="M217" s="122">
        <f t="shared" si="48"/>
        <v>11566051.290000001</v>
      </c>
      <c r="N217" s="116">
        <f t="shared" si="49"/>
        <v>3180664.290000001</v>
      </c>
      <c r="O217" s="123">
        <f t="shared" si="50"/>
        <v>2832.2923330365102</v>
      </c>
      <c r="P217" s="5"/>
      <c r="Q217" s="5">
        <f t="shared" si="44"/>
        <v>1</v>
      </c>
      <c r="R217" s="7">
        <f t="shared" si="45"/>
        <v>1123</v>
      </c>
      <c r="S217" s="5">
        <f t="shared" si="46"/>
        <v>1</v>
      </c>
      <c r="T217" s="7">
        <f t="shared" si="47"/>
        <v>1123</v>
      </c>
    </row>
    <row r="218" spans="1:20">
      <c r="A218" s="23" t="s">
        <v>248</v>
      </c>
      <c r="B218" s="37" t="s">
        <v>233</v>
      </c>
      <c r="C218" s="36">
        <v>379550</v>
      </c>
      <c r="D218" s="6"/>
      <c r="E218" s="113">
        <v>32668198137</v>
      </c>
      <c r="F218" s="116">
        <f t="shared" si="41"/>
        <v>86070.868494269525</v>
      </c>
      <c r="G218" s="117">
        <v>22493502217</v>
      </c>
      <c r="H218" s="117">
        <f t="shared" si="42"/>
        <v>59263.607474641023</v>
      </c>
      <c r="I218" s="7"/>
      <c r="J218" s="10">
        <v>8.7162000000000006</v>
      </c>
      <c r="K218" s="117">
        <v>196057864</v>
      </c>
      <c r="L218" s="120">
        <f t="shared" si="43"/>
        <v>516.55345540771964</v>
      </c>
      <c r="M218" s="122">
        <f t="shared" si="48"/>
        <v>224935022.17000002</v>
      </c>
      <c r="N218" s="116">
        <f t="shared" si="49"/>
        <v>28877158.170000017</v>
      </c>
      <c r="O218" s="123">
        <f t="shared" si="50"/>
        <v>76.082619338690606</v>
      </c>
      <c r="P218" s="5"/>
      <c r="Q218" s="5">
        <f t="shared" si="44"/>
        <v>1</v>
      </c>
      <c r="R218" s="7">
        <f t="shared" si="45"/>
        <v>379550</v>
      </c>
      <c r="S218" s="5">
        <f t="shared" si="46"/>
        <v>1</v>
      </c>
      <c r="T218" s="7">
        <f t="shared" si="47"/>
        <v>379550</v>
      </c>
    </row>
    <row r="219" spans="1:20">
      <c r="A219" s="23" t="s">
        <v>249</v>
      </c>
      <c r="B219" s="37" t="s">
        <v>233</v>
      </c>
      <c r="C219" s="36">
        <v>91540</v>
      </c>
      <c r="D219" s="6"/>
      <c r="E219" s="113">
        <v>17710463932</v>
      </c>
      <c r="F219" s="116">
        <f t="shared" si="41"/>
        <v>193472.40476294517</v>
      </c>
      <c r="G219" s="117">
        <v>14070323498</v>
      </c>
      <c r="H219" s="117">
        <f t="shared" si="42"/>
        <v>153706.83305658729</v>
      </c>
      <c r="I219" s="7"/>
      <c r="J219" s="10">
        <v>7.4249999999999998</v>
      </c>
      <c r="K219" s="117">
        <v>104472151</v>
      </c>
      <c r="L219" s="120">
        <f t="shared" si="43"/>
        <v>1141.273224819751</v>
      </c>
      <c r="M219" s="122">
        <f t="shared" si="48"/>
        <v>140703234.97999999</v>
      </c>
      <c r="N219" s="116">
        <f t="shared" si="49"/>
        <v>36231083.979999989</v>
      </c>
      <c r="O219" s="123">
        <f t="shared" si="50"/>
        <v>395.79510574612181</v>
      </c>
      <c r="P219" s="5"/>
      <c r="Q219" s="5">
        <f t="shared" si="44"/>
        <v>1</v>
      </c>
      <c r="R219" s="7">
        <f t="shared" si="45"/>
        <v>91540</v>
      </c>
      <c r="S219" s="5">
        <f t="shared" si="46"/>
        <v>1</v>
      </c>
      <c r="T219" s="7">
        <f t="shared" si="47"/>
        <v>91540</v>
      </c>
    </row>
    <row r="220" spans="1:20">
      <c r="A220" s="23" t="s">
        <v>500</v>
      </c>
      <c r="B220" s="37" t="s">
        <v>233</v>
      </c>
      <c r="C220" s="36">
        <v>105414</v>
      </c>
      <c r="D220" s="6"/>
      <c r="E220" s="113">
        <v>4438164847</v>
      </c>
      <c r="F220" s="116">
        <f t="shared" si="41"/>
        <v>42102.233545828829</v>
      </c>
      <c r="G220" s="117">
        <v>2885901700</v>
      </c>
      <c r="H220" s="117">
        <f t="shared" si="42"/>
        <v>27376.835145236877</v>
      </c>
      <c r="I220" s="7"/>
      <c r="J220" s="10">
        <v>3.6484000000000001</v>
      </c>
      <c r="K220" s="117">
        <v>10528923</v>
      </c>
      <c r="L220" s="120">
        <f t="shared" si="43"/>
        <v>99.881638112584668</v>
      </c>
      <c r="M220" s="122">
        <f t="shared" si="48"/>
        <v>28859017</v>
      </c>
      <c r="N220" s="116">
        <f t="shared" si="49"/>
        <v>18330094</v>
      </c>
      <c r="O220" s="123">
        <f t="shared" si="50"/>
        <v>173.88671333978408</v>
      </c>
      <c r="P220" s="5"/>
      <c r="Q220" s="5">
        <f t="shared" si="44"/>
        <v>1</v>
      </c>
      <c r="R220" s="7">
        <f t="shared" si="45"/>
        <v>105414</v>
      </c>
      <c r="S220" s="5">
        <f t="shared" si="46"/>
        <v>1</v>
      </c>
      <c r="T220" s="7">
        <f t="shared" si="47"/>
        <v>105414</v>
      </c>
    </row>
    <row r="221" spans="1:20">
      <c r="A221" s="23" t="s">
        <v>459</v>
      </c>
      <c r="B221" s="37" t="s">
        <v>233</v>
      </c>
      <c r="C221" s="36">
        <v>24835</v>
      </c>
      <c r="D221" s="6"/>
      <c r="E221" s="113">
        <v>2998452033</v>
      </c>
      <c r="F221" s="116">
        <f t="shared" si="41"/>
        <v>120734.93187034427</v>
      </c>
      <c r="G221" s="117">
        <v>2248519993</v>
      </c>
      <c r="H221" s="117">
        <f t="shared" si="42"/>
        <v>90538.352848802097</v>
      </c>
      <c r="I221" s="7"/>
      <c r="J221" s="10">
        <v>2.9119999999999999</v>
      </c>
      <c r="K221" s="117">
        <v>6547690</v>
      </c>
      <c r="L221" s="120">
        <f t="shared" si="43"/>
        <v>263.64767465270785</v>
      </c>
      <c r="M221" s="122">
        <f t="shared" si="48"/>
        <v>22485199.93</v>
      </c>
      <c r="N221" s="116">
        <f t="shared" si="49"/>
        <v>15937509.93</v>
      </c>
      <c r="O221" s="123">
        <f t="shared" si="50"/>
        <v>641.73585383531304</v>
      </c>
      <c r="P221" s="5"/>
      <c r="Q221" s="5">
        <f t="shared" si="44"/>
        <v>1</v>
      </c>
      <c r="R221" s="7">
        <f t="shared" si="45"/>
        <v>24835</v>
      </c>
      <c r="S221" s="5">
        <f t="shared" si="46"/>
        <v>1</v>
      </c>
      <c r="T221" s="7">
        <f t="shared" si="47"/>
        <v>24835</v>
      </c>
    </row>
    <row r="222" spans="1:20">
      <c r="A222" s="23" t="s">
        <v>250</v>
      </c>
      <c r="B222" s="37" t="s">
        <v>233</v>
      </c>
      <c r="C222" s="36">
        <v>10462</v>
      </c>
      <c r="D222" s="6"/>
      <c r="E222" s="113">
        <v>1134023638</v>
      </c>
      <c r="F222" s="116">
        <f t="shared" ref="F222:F285" si="51">(E222/C222)</f>
        <v>108394.53622634296</v>
      </c>
      <c r="G222" s="117">
        <v>596545861</v>
      </c>
      <c r="H222" s="117">
        <f t="shared" ref="H222:H285" si="52">(G222/C222)</f>
        <v>57020.250525712101</v>
      </c>
      <c r="I222" s="7"/>
      <c r="J222" s="10">
        <v>8.25</v>
      </c>
      <c r="K222" s="117">
        <v>4921503</v>
      </c>
      <c r="L222" s="120">
        <f t="shared" si="43"/>
        <v>470.41703307207035</v>
      </c>
      <c r="M222" s="122">
        <f t="shared" si="48"/>
        <v>5965458.6100000003</v>
      </c>
      <c r="N222" s="116">
        <f t="shared" si="49"/>
        <v>1043955.6100000003</v>
      </c>
      <c r="O222" s="123">
        <f t="shared" si="50"/>
        <v>99.785472185050693</v>
      </c>
      <c r="P222" s="5"/>
      <c r="Q222" s="5">
        <f t="shared" si="44"/>
        <v>1</v>
      </c>
      <c r="R222" s="7">
        <f t="shared" si="45"/>
        <v>10462</v>
      </c>
      <c r="S222" s="5">
        <f t="shared" si="46"/>
        <v>1</v>
      </c>
      <c r="T222" s="7">
        <f t="shared" si="47"/>
        <v>10462</v>
      </c>
    </row>
    <row r="223" spans="1:20">
      <c r="A223" s="23" t="s">
        <v>251</v>
      </c>
      <c r="B223" s="37" t="s">
        <v>233</v>
      </c>
      <c r="C223" s="36">
        <v>13783</v>
      </c>
      <c r="D223" s="6"/>
      <c r="E223" s="113">
        <v>1186779600</v>
      </c>
      <c r="F223" s="116">
        <f t="shared" si="51"/>
        <v>86104.592614089823</v>
      </c>
      <c r="G223" s="117">
        <v>787132714</v>
      </c>
      <c r="H223" s="117">
        <f t="shared" si="52"/>
        <v>57108.954073859102</v>
      </c>
      <c r="I223" s="7"/>
      <c r="J223" s="10">
        <v>8.1435999999999993</v>
      </c>
      <c r="K223" s="117">
        <v>6410093</v>
      </c>
      <c r="L223" s="120">
        <f t="shared" si="43"/>
        <v>465.07240803888851</v>
      </c>
      <c r="M223" s="122">
        <f t="shared" si="48"/>
        <v>7871327.1400000006</v>
      </c>
      <c r="N223" s="116">
        <f t="shared" si="49"/>
        <v>1461234.1400000006</v>
      </c>
      <c r="O223" s="123">
        <f t="shared" si="50"/>
        <v>106.01713269970257</v>
      </c>
      <c r="P223" s="5"/>
      <c r="Q223" s="5">
        <f t="shared" si="44"/>
        <v>1</v>
      </c>
      <c r="R223" s="7">
        <f t="shared" si="45"/>
        <v>13783</v>
      </c>
      <c r="S223" s="5">
        <f t="shared" si="46"/>
        <v>1</v>
      </c>
      <c r="T223" s="7">
        <f t="shared" si="47"/>
        <v>13783</v>
      </c>
    </row>
    <row r="224" spans="1:20">
      <c r="A224" s="23" t="s">
        <v>252</v>
      </c>
      <c r="B224" s="37" t="s">
        <v>233</v>
      </c>
      <c r="C224" s="36">
        <v>6614</v>
      </c>
      <c r="D224" s="6"/>
      <c r="E224" s="113">
        <v>597804066</v>
      </c>
      <c r="F224" s="116">
        <f t="shared" si="51"/>
        <v>90384.648624130627</v>
      </c>
      <c r="G224" s="117">
        <v>500956742</v>
      </c>
      <c r="H224" s="117">
        <f t="shared" si="52"/>
        <v>75741.872089507102</v>
      </c>
      <c r="I224" s="7"/>
      <c r="J224" s="10">
        <v>5.9249999999999998</v>
      </c>
      <c r="K224" s="117">
        <v>2968168</v>
      </c>
      <c r="L224" s="120">
        <f t="shared" si="43"/>
        <v>448.77048684608405</v>
      </c>
      <c r="M224" s="122">
        <f t="shared" si="48"/>
        <v>5009567.42</v>
      </c>
      <c r="N224" s="116">
        <f t="shared" si="49"/>
        <v>2041399.42</v>
      </c>
      <c r="O224" s="123">
        <f t="shared" si="50"/>
        <v>308.64823404898698</v>
      </c>
      <c r="P224" s="5"/>
      <c r="Q224" s="5">
        <f t="shared" si="44"/>
        <v>1</v>
      </c>
      <c r="R224" s="7">
        <f t="shared" si="45"/>
        <v>6614</v>
      </c>
      <c r="S224" s="5">
        <f t="shared" si="46"/>
        <v>1</v>
      </c>
      <c r="T224" s="7">
        <f t="shared" si="47"/>
        <v>6614</v>
      </c>
    </row>
    <row r="225" spans="1:20">
      <c r="A225" s="23" t="s">
        <v>253</v>
      </c>
      <c r="B225" s="37" t="s">
        <v>233</v>
      </c>
      <c r="C225" s="36">
        <v>60101</v>
      </c>
      <c r="D225" s="6"/>
      <c r="E225" s="113">
        <v>2993828931</v>
      </c>
      <c r="F225" s="116">
        <f t="shared" si="51"/>
        <v>49813.296467612854</v>
      </c>
      <c r="G225" s="117">
        <v>1921412284</v>
      </c>
      <c r="H225" s="117">
        <f t="shared" si="52"/>
        <v>31969.722367348299</v>
      </c>
      <c r="I225" s="7"/>
      <c r="J225" s="10">
        <v>8.5</v>
      </c>
      <c r="K225" s="117">
        <v>16332004</v>
      </c>
      <c r="L225" s="120">
        <f t="shared" si="43"/>
        <v>271.74263323405603</v>
      </c>
      <c r="M225" s="122">
        <f t="shared" si="48"/>
        <v>19214122.84</v>
      </c>
      <c r="N225" s="116">
        <f t="shared" si="49"/>
        <v>2882118.84</v>
      </c>
      <c r="O225" s="123">
        <f t="shared" si="50"/>
        <v>47.954590439426966</v>
      </c>
      <c r="P225" s="5"/>
      <c r="Q225" s="5">
        <f t="shared" si="44"/>
        <v>1</v>
      </c>
      <c r="R225" s="7">
        <f t="shared" si="45"/>
        <v>60101</v>
      </c>
      <c r="S225" s="5">
        <f t="shared" si="46"/>
        <v>1</v>
      </c>
      <c r="T225" s="7">
        <f t="shared" si="47"/>
        <v>60101</v>
      </c>
    </row>
    <row r="226" spans="1:20">
      <c r="A226" s="23" t="s">
        <v>254</v>
      </c>
      <c r="B226" s="37" t="s">
        <v>233</v>
      </c>
      <c r="C226" s="36">
        <v>42359</v>
      </c>
      <c r="D226" s="6"/>
      <c r="E226" s="113">
        <v>2468818412</v>
      </c>
      <c r="F226" s="116">
        <f t="shared" si="51"/>
        <v>58283.208102174271</v>
      </c>
      <c r="G226" s="117">
        <v>1654815693</v>
      </c>
      <c r="H226" s="117">
        <f t="shared" si="52"/>
        <v>39066.448523336243</v>
      </c>
      <c r="I226" s="7"/>
      <c r="J226" s="10">
        <v>7.5</v>
      </c>
      <c r="K226" s="117">
        <v>12411117</v>
      </c>
      <c r="L226" s="120">
        <f t="shared" si="43"/>
        <v>292.99834745862745</v>
      </c>
      <c r="M226" s="122">
        <f t="shared" si="48"/>
        <v>16548156.93</v>
      </c>
      <c r="N226" s="116">
        <f t="shared" si="49"/>
        <v>4137039.9299999997</v>
      </c>
      <c r="O226" s="123">
        <f t="shared" si="50"/>
        <v>97.666137774734992</v>
      </c>
      <c r="P226" s="5"/>
      <c r="Q226" s="5">
        <f t="shared" si="44"/>
        <v>1</v>
      </c>
      <c r="R226" s="7">
        <f t="shared" si="45"/>
        <v>42359</v>
      </c>
      <c r="S226" s="5">
        <f t="shared" si="46"/>
        <v>1</v>
      </c>
      <c r="T226" s="7">
        <f t="shared" si="47"/>
        <v>42359</v>
      </c>
    </row>
    <row r="227" spans="1:20">
      <c r="A227" s="23" t="s">
        <v>255</v>
      </c>
      <c r="B227" s="37" t="s">
        <v>233</v>
      </c>
      <c r="C227" s="36">
        <v>16116</v>
      </c>
      <c r="D227" s="6"/>
      <c r="E227" s="113">
        <v>705028438</v>
      </c>
      <c r="F227" s="116">
        <f t="shared" si="51"/>
        <v>43747.110821543807</v>
      </c>
      <c r="G227" s="117">
        <v>524103025</v>
      </c>
      <c r="H227" s="117">
        <f t="shared" si="52"/>
        <v>32520.664246711342</v>
      </c>
      <c r="I227" s="7"/>
      <c r="J227" s="10">
        <v>9.8000000000000007</v>
      </c>
      <c r="K227" s="117">
        <v>5136209</v>
      </c>
      <c r="L227" s="120">
        <f t="shared" si="43"/>
        <v>318.70246959543312</v>
      </c>
      <c r="M227" s="122">
        <f t="shared" si="48"/>
        <v>5241030.25</v>
      </c>
      <c r="N227" s="116">
        <f t="shared" si="49"/>
        <v>104821.25</v>
      </c>
      <c r="O227" s="123">
        <f t="shared" si="50"/>
        <v>6.5041728716803178</v>
      </c>
      <c r="P227" s="5"/>
      <c r="Q227" s="5">
        <f t="shared" si="44"/>
        <v>1</v>
      </c>
      <c r="R227" s="7">
        <f t="shared" si="45"/>
        <v>16116</v>
      </c>
      <c r="S227" s="5">
        <f t="shared" si="46"/>
        <v>1</v>
      </c>
      <c r="T227" s="7">
        <f t="shared" si="47"/>
        <v>16116</v>
      </c>
    </row>
    <row r="228" spans="1:20">
      <c r="A228" s="23" t="s">
        <v>493</v>
      </c>
      <c r="B228" s="37" t="s">
        <v>233</v>
      </c>
      <c r="C228" s="36">
        <v>24903</v>
      </c>
      <c r="D228" s="6"/>
      <c r="E228" s="113">
        <v>3168346551</v>
      </c>
      <c r="F228" s="116">
        <f t="shared" si="51"/>
        <v>127227.50475846283</v>
      </c>
      <c r="G228" s="117">
        <v>2084631231</v>
      </c>
      <c r="H228" s="117">
        <f t="shared" si="52"/>
        <v>83710.044211540779</v>
      </c>
      <c r="I228" s="7"/>
      <c r="J228" s="10">
        <v>2.4470000000000001</v>
      </c>
      <c r="K228" s="117">
        <v>5101092</v>
      </c>
      <c r="L228" s="120">
        <f t="shared" si="43"/>
        <v>204.83845319840984</v>
      </c>
      <c r="M228" s="122">
        <f t="shared" si="48"/>
        <v>20846312.309999999</v>
      </c>
      <c r="N228" s="116">
        <f t="shared" si="49"/>
        <v>15745220.309999999</v>
      </c>
      <c r="O228" s="123">
        <f t="shared" si="50"/>
        <v>632.26198891699789</v>
      </c>
      <c r="P228" s="5"/>
      <c r="Q228" s="5">
        <f t="shared" si="44"/>
        <v>1</v>
      </c>
      <c r="R228" s="7">
        <f t="shared" si="45"/>
        <v>24903</v>
      </c>
      <c r="S228" s="5">
        <f t="shared" si="46"/>
        <v>1</v>
      </c>
      <c r="T228" s="7">
        <f t="shared" si="47"/>
        <v>24903</v>
      </c>
    </row>
    <row r="229" spans="1:20">
      <c r="A229" s="23" t="s">
        <v>256</v>
      </c>
      <c r="B229" s="37" t="s">
        <v>233</v>
      </c>
      <c r="C229" s="36">
        <v>19317</v>
      </c>
      <c r="D229" s="6"/>
      <c r="E229" s="113">
        <v>4097190097</v>
      </c>
      <c r="F229" s="116">
        <f t="shared" si="51"/>
        <v>212102.81601697986</v>
      </c>
      <c r="G229" s="117">
        <v>2739856599</v>
      </c>
      <c r="H229" s="117">
        <f t="shared" si="52"/>
        <v>141836.54806646996</v>
      </c>
      <c r="I229" s="7"/>
      <c r="J229" s="10">
        <v>2.4</v>
      </c>
      <c r="K229" s="117">
        <v>6575655</v>
      </c>
      <c r="L229" s="120">
        <f t="shared" si="43"/>
        <v>340.40767199875756</v>
      </c>
      <c r="M229" s="122">
        <f t="shared" si="48"/>
        <v>27398565.990000002</v>
      </c>
      <c r="N229" s="116">
        <f t="shared" si="49"/>
        <v>20822910.990000002</v>
      </c>
      <c r="O229" s="123">
        <f t="shared" si="50"/>
        <v>1077.9578086659419</v>
      </c>
      <c r="P229" s="5"/>
      <c r="Q229" s="5">
        <f t="shared" si="44"/>
        <v>1</v>
      </c>
      <c r="R229" s="7">
        <f t="shared" si="45"/>
        <v>19317</v>
      </c>
      <c r="S229" s="5">
        <f t="shared" si="46"/>
        <v>1</v>
      </c>
      <c r="T229" s="7">
        <f t="shared" si="47"/>
        <v>19317</v>
      </c>
    </row>
    <row r="230" spans="1:20">
      <c r="A230" s="23" t="s">
        <v>257</v>
      </c>
      <c r="B230" s="37" t="s">
        <v>233</v>
      </c>
      <c r="C230" s="36">
        <v>10891</v>
      </c>
      <c r="D230" s="6"/>
      <c r="E230" s="113">
        <v>1615813615</v>
      </c>
      <c r="F230" s="116">
        <f t="shared" si="51"/>
        <v>148362.28215958131</v>
      </c>
      <c r="G230" s="117">
        <v>1005683230</v>
      </c>
      <c r="H230" s="117">
        <f t="shared" si="52"/>
        <v>92340.761178955101</v>
      </c>
      <c r="I230" s="7"/>
      <c r="J230" s="10">
        <v>7.2130000000000001</v>
      </c>
      <c r="K230" s="117">
        <v>7253993</v>
      </c>
      <c r="L230" s="120">
        <f t="shared" ref="L230:L247" si="53">(K230/C230)</f>
        <v>666.05389771370858</v>
      </c>
      <c r="M230" s="122">
        <f t="shared" si="48"/>
        <v>10056832.300000001</v>
      </c>
      <c r="N230" s="116">
        <f t="shared" si="49"/>
        <v>2802839.3000000007</v>
      </c>
      <c r="O230" s="123">
        <f t="shared" si="50"/>
        <v>257.3537140758425</v>
      </c>
      <c r="P230" s="5"/>
      <c r="Q230" s="5">
        <f t="shared" si="44"/>
        <v>1</v>
      </c>
      <c r="R230" s="7">
        <f t="shared" si="45"/>
        <v>10891</v>
      </c>
      <c r="S230" s="5">
        <f t="shared" si="46"/>
        <v>1</v>
      </c>
      <c r="T230" s="7">
        <f t="shared" si="47"/>
        <v>10891</v>
      </c>
    </row>
    <row r="231" spans="1:20">
      <c r="A231" s="23" t="s">
        <v>258</v>
      </c>
      <c r="B231" s="37" t="s">
        <v>233</v>
      </c>
      <c r="C231" s="36">
        <v>16580</v>
      </c>
      <c r="D231" s="6"/>
      <c r="E231" s="113">
        <v>3638006494</v>
      </c>
      <c r="F231" s="116">
        <f t="shared" si="51"/>
        <v>219421.38082026539</v>
      </c>
      <c r="G231" s="117">
        <v>3235525365</v>
      </c>
      <c r="H231" s="117">
        <f t="shared" si="52"/>
        <v>195146.28256936069</v>
      </c>
      <c r="I231" s="7"/>
      <c r="J231" s="10">
        <v>3.35</v>
      </c>
      <c r="K231" s="117">
        <v>10839009</v>
      </c>
      <c r="L231" s="120">
        <f t="shared" si="53"/>
        <v>653.73998793727378</v>
      </c>
      <c r="M231" s="122">
        <f t="shared" si="48"/>
        <v>32355253.650000002</v>
      </c>
      <c r="N231" s="116">
        <f t="shared" si="49"/>
        <v>21516244.650000002</v>
      </c>
      <c r="O231" s="123">
        <f t="shared" si="50"/>
        <v>1297.7228377563331</v>
      </c>
      <c r="P231" s="5"/>
      <c r="Q231" s="5">
        <f t="shared" si="44"/>
        <v>1</v>
      </c>
      <c r="R231" s="7">
        <f t="shared" si="45"/>
        <v>16580</v>
      </c>
      <c r="S231" s="5">
        <f t="shared" si="46"/>
        <v>1</v>
      </c>
      <c r="T231" s="7">
        <f t="shared" si="47"/>
        <v>16580</v>
      </c>
    </row>
    <row r="232" spans="1:20">
      <c r="A232" s="23" t="s">
        <v>259</v>
      </c>
      <c r="B232" s="37" t="s">
        <v>233</v>
      </c>
      <c r="C232" s="36">
        <v>5564</v>
      </c>
      <c r="D232" s="6"/>
      <c r="E232" s="113">
        <v>1107129223</v>
      </c>
      <c r="F232" s="116">
        <f t="shared" si="51"/>
        <v>198980.80930984902</v>
      </c>
      <c r="G232" s="117">
        <v>876382348</v>
      </c>
      <c r="H232" s="117">
        <f t="shared" si="52"/>
        <v>157509.40833932423</v>
      </c>
      <c r="I232" s="7"/>
      <c r="J232" s="11">
        <v>5.6029999999999998</v>
      </c>
      <c r="K232" s="117">
        <v>4910370</v>
      </c>
      <c r="L232" s="120">
        <f t="shared" si="53"/>
        <v>882.52516175413371</v>
      </c>
      <c r="M232" s="122">
        <f t="shared" si="48"/>
        <v>8763823.4800000004</v>
      </c>
      <c r="N232" s="116">
        <f t="shared" si="49"/>
        <v>3853453.4800000004</v>
      </c>
      <c r="O232" s="123">
        <f t="shared" si="50"/>
        <v>692.56892163910868</v>
      </c>
      <c r="P232" s="5"/>
      <c r="Q232" s="5">
        <f t="shared" si="44"/>
        <v>1</v>
      </c>
      <c r="R232" s="7">
        <f t="shared" si="45"/>
        <v>5564</v>
      </c>
      <c r="S232" s="5">
        <f t="shared" si="46"/>
        <v>1</v>
      </c>
      <c r="T232" s="7">
        <f t="shared" si="47"/>
        <v>5564</v>
      </c>
    </row>
    <row r="233" spans="1:20">
      <c r="A233" s="23" t="s">
        <v>260</v>
      </c>
      <c r="B233" s="37" t="s">
        <v>233</v>
      </c>
      <c r="C233" s="36">
        <v>14267</v>
      </c>
      <c r="D233" s="6"/>
      <c r="E233" s="113">
        <v>450247960</v>
      </c>
      <c r="F233" s="116">
        <f t="shared" si="51"/>
        <v>31558.699095815518</v>
      </c>
      <c r="G233" s="117">
        <v>319898886</v>
      </c>
      <c r="H233" s="117">
        <f t="shared" si="52"/>
        <v>22422.295226747039</v>
      </c>
      <c r="I233" s="7"/>
      <c r="J233" s="10">
        <v>3.9487000000000001</v>
      </c>
      <c r="K233" s="117">
        <v>1263184</v>
      </c>
      <c r="L233" s="120">
        <f t="shared" si="53"/>
        <v>88.538865914347795</v>
      </c>
      <c r="M233" s="122">
        <f t="shared" si="48"/>
        <v>3198988.86</v>
      </c>
      <c r="N233" s="116">
        <f t="shared" si="49"/>
        <v>1935804.8599999999</v>
      </c>
      <c r="O233" s="123">
        <f t="shared" si="50"/>
        <v>135.68408635312258</v>
      </c>
      <c r="P233" s="5"/>
      <c r="Q233" s="5">
        <f t="shared" si="44"/>
        <v>1</v>
      </c>
      <c r="R233" s="7">
        <f t="shared" si="45"/>
        <v>14267</v>
      </c>
      <c r="S233" s="5">
        <f t="shared" si="46"/>
        <v>1</v>
      </c>
      <c r="T233" s="7">
        <f t="shared" si="47"/>
        <v>14267</v>
      </c>
    </row>
    <row r="234" spans="1:20">
      <c r="A234" s="23" t="s">
        <v>261</v>
      </c>
      <c r="B234" s="37" t="s">
        <v>233</v>
      </c>
      <c r="C234" s="36">
        <v>2356</v>
      </c>
      <c r="D234" s="6"/>
      <c r="E234" s="113">
        <v>263926034</v>
      </c>
      <c r="F234" s="116">
        <f t="shared" si="51"/>
        <v>112022.93463497453</v>
      </c>
      <c r="G234" s="117">
        <v>220213724</v>
      </c>
      <c r="H234" s="117">
        <f t="shared" si="52"/>
        <v>93469.322580645166</v>
      </c>
      <c r="I234" s="7"/>
      <c r="J234" s="10">
        <v>4.843</v>
      </c>
      <c r="K234" s="117">
        <v>1066495</v>
      </c>
      <c r="L234" s="120">
        <f t="shared" si="53"/>
        <v>452.67190152801356</v>
      </c>
      <c r="M234" s="122">
        <f t="shared" si="48"/>
        <v>2202137.2400000002</v>
      </c>
      <c r="N234" s="116">
        <f t="shared" si="49"/>
        <v>1135642.2400000002</v>
      </c>
      <c r="O234" s="123">
        <f t="shared" si="50"/>
        <v>482.0213242784381</v>
      </c>
      <c r="P234" s="5"/>
      <c r="Q234" s="5">
        <f t="shared" si="44"/>
        <v>1</v>
      </c>
      <c r="R234" s="7">
        <f t="shared" si="45"/>
        <v>2356</v>
      </c>
      <c r="S234" s="5">
        <f t="shared" si="46"/>
        <v>1</v>
      </c>
      <c r="T234" s="7">
        <f t="shared" si="47"/>
        <v>2356</v>
      </c>
    </row>
    <row r="235" spans="1:20">
      <c r="A235" s="23" t="s">
        <v>262</v>
      </c>
      <c r="B235" s="37" t="s">
        <v>233</v>
      </c>
      <c r="C235" s="36">
        <v>6132</v>
      </c>
      <c r="D235" s="6"/>
      <c r="E235" s="113">
        <v>380160780</v>
      </c>
      <c r="F235" s="116">
        <f t="shared" si="51"/>
        <v>61996.213307240701</v>
      </c>
      <c r="G235" s="117">
        <v>247825947</v>
      </c>
      <c r="H235" s="117">
        <f t="shared" si="52"/>
        <v>40415.190313111547</v>
      </c>
      <c r="I235" s="7"/>
      <c r="J235" s="10">
        <v>8.4949999999999992</v>
      </c>
      <c r="K235" s="117">
        <v>2105281</v>
      </c>
      <c r="L235" s="120">
        <f t="shared" si="53"/>
        <v>343.32697325505546</v>
      </c>
      <c r="M235" s="122">
        <f t="shared" si="48"/>
        <v>2478259.4700000002</v>
      </c>
      <c r="N235" s="116">
        <f t="shared" si="49"/>
        <v>372978.4700000002</v>
      </c>
      <c r="O235" s="123">
        <f t="shared" si="50"/>
        <v>60.824929876060047</v>
      </c>
      <c r="P235" s="5"/>
      <c r="Q235" s="5">
        <f t="shared" si="44"/>
        <v>1</v>
      </c>
      <c r="R235" s="7">
        <f t="shared" si="45"/>
        <v>6132</v>
      </c>
      <c r="S235" s="5">
        <f t="shared" si="46"/>
        <v>1</v>
      </c>
      <c r="T235" s="7">
        <f t="shared" si="47"/>
        <v>6132</v>
      </c>
    </row>
    <row r="236" spans="1:20">
      <c r="A236" s="23" t="s">
        <v>263</v>
      </c>
      <c r="B236" s="35" t="s">
        <v>264</v>
      </c>
      <c r="C236" s="36">
        <v>6993</v>
      </c>
      <c r="D236" s="6"/>
      <c r="E236" s="113">
        <v>2822149192</v>
      </c>
      <c r="F236" s="116">
        <f t="shared" si="51"/>
        <v>403567.73802373803</v>
      </c>
      <c r="G236" s="117">
        <v>2268596506</v>
      </c>
      <c r="H236" s="117">
        <f t="shared" si="52"/>
        <v>324409.62476762477</v>
      </c>
      <c r="I236" s="7"/>
      <c r="J236" s="11">
        <v>2.4249999999999998</v>
      </c>
      <c r="K236" s="117">
        <v>5501346</v>
      </c>
      <c r="L236" s="120">
        <f t="shared" si="53"/>
        <v>786.69326469326472</v>
      </c>
      <c r="M236" s="122">
        <f t="shared" si="48"/>
        <v>22685965.059999999</v>
      </c>
      <c r="N236" s="116">
        <f t="shared" si="49"/>
        <v>17184619.059999999</v>
      </c>
      <c r="O236" s="123">
        <f t="shared" si="50"/>
        <v>2457.4029829829828</v>
      </c>
      <c r="P236" s="5"/>
      <c r="Q236" s="5">
        <f t="shared" si="44"/>
        <v>1</v>
      </c>
      <c r="R236" s="7">
        <f t="shared" si="45"/>
        <v>6993</v>
      </c>
      <c r="S236" s="5">
        <f t="shared" si="46"/>
        <v>1</v>
      </c>
      <c r="T236" s="7">
        <f t="shared" si="47"/>
        <v>6993</v>
      </c>
    </row>
    <row r="237" spans="1:20">
      <c r="A237" s="23" t="s">
        <v>265</v>
      </c>
      <c r="B237" s="35" t="s">
        <v>264</v>
      </c>
      <c r="C237" s="36">
        <v>836</v>
      </c>
      <c r="D237" s="6"/>
      <c r="E237" s="113">
        <v>618551485</v>
      </c>
      <c r="F237" s="116">
        <f t="shared" si="51"/>
        <v>739894.12081339711</v>
      </c>
      <c r="G237" s="117">
        <v>561207862</v>
      </c>
      <c r="H237" s="117">
        <f t="shared" si="52"/>
        <v>671301.27033492818</v>
      </c>
      <c r="I237" s="7"/>
      <c r="J237" s="10">
        <v>1.8384</v>
      </c>
      <c r="K237" s="117">
        <v>1031724</v>
      </c>
      <c r="L237" s="120">
        <f t="shared" si="53"/>
        <v>1234.1196172248804</v>
      </c>
      <c r="M237" s="122">
        <f t="shared" si="48"/>
        <v>5612078.6200000001</v>
      </c>
      <c r="N237" s="116">
        <f t="shared" si="49"/>
        <v>4580354.62</v>
      </c>
      <c r="O237" s="123">
        <f t="shared" si="50"/>
        <v>5478.8930861244016</v>
      </c>
      <c r="P237" s="5"/>
      <c r="Q237" s="5">
        <f t="shared" si="44"/>
        <v>1</v>
      </c>
      <c r="R237" s="7">
        <f t="shared" si="45"/>
        <v>836</v>
      </c>
      <c r="S237" s="5">
        <f t="shared" si="46"/>
        <v>1</v>
      </c>
      <c r="T237" s="7">
        <f t="shared" si="47"/>
        <v>836</v>
      </c>
    </row>
    <row r="238" spans="1:20">
      <c r="A238" s="23" t="s">
        <v>266</v>
      </c>
      <c r="B238" s="35" t="s">
        <v>264</v>
      </c>
      <c r="C238" s="36">
        <v>26215</v>
      </c>
      <c r="D238" s="6"/>
      <c r="E238" s="113">
        <v>9595415366</v>
      </c>
      <c r="F238" s="116">
        <f t="shared" si="51"/>
        <v>366027.66988365439</v>
      </c>
      <c r="G238" s="117">
        <v>4710328139</v>
      </c>
      <c r="H238" s="117">
        <f t="shared" si="52"/>
        <v>179680.64615678048</v>
      </c>
      <c r="I238" s="7"/>
      <c r="J238" s="10">
        <v>2.6002999999999998</v>
      </c>
      <c r="K238" s="117">
        <v>12248266</v>
      </c>
      <c r="L238" s="120">
        <f t="shared" si="53"/>
        <v>467.22357428952887</v>
      </c>
      <c r="M238" s="122">
        <f t="shared" si="48"/>
        <v>47103281.390000001</v>
      </c>
      <c r="N238" s="116">
        <f t="shared" si="49"/>
        <v>34855015.390000001</v>
      </c>
      <c r="O238" s="123">
        <f t="shared" si="50"/>
        <v>1329.5828872782758</v>
      </c>
      <c r="P238" s="5"/>
      <c r="Q238" s="5">
        <f t="shared" si="44"/>
        <v>1</v>
      </c>
      <c r="R238" s="7">
        <f t="shared" si="45"/>
        <v>26215</v>
      </c>
      <c r="S238" s="5">
        <f t="shared" si="46"/>
        <v>1</v>
      </c>
      <c r="T238" s="7">
        <f t="shared" si="47"/>
        <v>26215</v>
      </c>
    </row>
    <row r="239" spans="1:20">
      <c r="A239" s="23" t="s">
        <v>267</v>
      </c>
      <c r="B239" s="35" t="s">
        <v>264</v>
      </c>
      <c r="C239" s="36">
        <v>195</v>
      </c>
      <c r="D239" s="6"/>
      <c r="E239" s="113">
        <v>55271825</v>
      </c>
      <c r="F239" s="116">
        <f t="shared" si="51"/>
        <v>283445.25641025644</v>
      </c>
      <c r="G239" s="117">
        <v>42738799</v>
      </c>
      <c r="H239" s="117">
        <f t="shared" si="52"/>
        <v>219173.3282051282</v>
      </c>
      <c r="I239" s="7"/>
      <c r="J239" s="10">
        <v>2.2204999999999999</v>
      </c>
      <c r="K239" s="117">
        <v>94901</v>
      </c>
      <c r="L239" s="120">
        <f t="shared" si="53"/>
        <v>486.67179487179487</v>
      </c>
      <c r="M239" s="122">
        <f t="shared" si="48"/>
        <v>427387.99</v>
      </c>
      <c r="N239" s="116">
        <f t="shared" si="49"/>
        <v>332486.99</v>
      </c>
      <c r="O239" s="123">
        <f t="shared" si="50"/>
        <v>1705.0614871794871</v>
      </c>
      <c r="P239" s="5"/>
      <c r="Q239" s="5">
        <f t="shared" si="44"/>
        <v>1</v>
      </c>
      <c r="R239" s="7">
        <f t="shared" si="45"/>
        <v>195</v>
      </c>
      <c r="S239" s="5">
        <f t="shared" si="46"/>
        <v>1</v>
      </c>
      <c r="T239" s="7">
        <f t="shared" si="47"/>
        <v>195</v>
      </c>
    </row>
    <row r="240" spans="1:20">
      <c r="A240" s="23" t="s">
        <v>449</v>
      </c>
      <c r="B240" s="35" t="s">
        <v>264</v>
      </c>
      <c r="C240" s="36">
        <v>10391</v>
      </c>
      <c r="D240" s="6"/>
      <c r="E240" s="113">
        <v>2195060996</v>
      </c>
      <c r="F240" s="116">
        <f t="shared" si="51"/>
        <v>211246.36666345876</v>
      </c>
      <c r="G240" s="117">
        <v>1691212890</v>
      </c>
      <c r="H240" s="117">
        <f t="shared" si="52"/>
        <v>162757.47185063997</v>
      </c>
      <c r="I240" s="7"/>
      <c r="J240" s="10">
        <v>2.4931000000000001</v>
      </c>
      <c r="K240" s="117">
        <v>4216362</v>
      </c>
      <c r="L240" s="120">
        <f t="shared" si="53"/>
        <v>405.77057068617074</v>
      </c>
      <c r="M240" s="122">
        <f t="shared" si="48"/>
        <v>16912128.899999999</v>
      </c>
      <c r="N240" s="116">
        <f t="shared" si="49"/>
        <v>12695766.899999999</v>
      </c>
      <c r="O240" s="123">
        <f t="shared" si="50"/>
        <v>1221.804147820229</v>
      </c>
      <c r="P240" s="5"/>
      <c r="Q240" s="5">
        <f t="shared" si="44"/>
        <v>1</v>
      </c>
      <c r="R240" s="7">
        <f t="shared" si="45"/>
        <v>10391</v>
      </c>
      <c r="S240" s="5">
        <f t="shared" si="46"/>
        <v>1</v>
      </c>
      <c r="T240" s="7">
        <f t="shared" si="47"/>
        <v>10391</v>
      </c>
    </row>
    <row r="241" spans="1:20">
      <c r="A241" s="23" t="s">
        <v>268</v>
      </c>
      <c r="B241" s="35" t="s">
        <v>269</v>
      </c>
      <c r="C241" s="36">
        <v>1141</v>
      </c>
      <c r="D241" s="6"/>
      <c r="E241" s="113">
        <v>85436812</v>
      </c>
      <c r="F241" s="116">
        <f t="shared" si="51"/>
        <v>74878.888694127963</v>
      </c>
      <c r="G241" s="117">
        <v>48849950</v>
      </c>
      <c r="H241" s="117">
        <f t="shared" si="52"/>
        <v>42813.277826468009</v>
      </c>
      <c r="I241" s="7"/>
      <c r="J241" s="10">
        <v>3</v>
      </c>
      <c r="K241" s="117">
        <v>146549</v>
      </c>
      <c r="L241" s="120">
        <f t="shared" si="53"/>
        <v>128.43908851884311</v>
      </c>
      <c r="M241" s="122">
        <f t="shared" si="48"/>
        <v>488499.5</v>
      </c>
      <c r="N241" s="116">
        <f t="shared" si="49"/>
        <v>341950.5</v>
      </c>
      <c r="O241" s="123">
        <f t="shared" si="50"/>
        <v>299.69368974583699</v>
      </c>
      <c r="P241" s="5"/>
      <c r="Q241" s="5">
        <f t="shared" si="44"/>
        <v>1</v>
      </c>
      <c r="R241" s="7">
        <f t="shared" si="45"/>
        <v>1141</v>
      </c>
      <c r="S241" s="5">
        <f t="shared" si="46"/>
        <v>1</v>
      </c>
      <c r="T241" s="7">
        <f t="shared" si="47"/>
        <v>1141</v>
      </c>
    </row>
    <row r="242" spans="1:20">
      <c r="A242" s="23" t="s">
        <v>270</v>
      </c>
      <c r="B242" s="35" t="s">
        <v>269</v>
      </c>
      <c r="C242" s="36">
        <v>11541</v>
      </c>
      <c r="D242" s="6"/>
      <c r="E242" s="113">
        <v>1753721248</v>
      </c>
      <c r="F242" s="116">
        <f t="shared" si="51"/>
        <v>151955.74456286285</v>
      </c>
      <c r="G242" s="117">
        <v>1273888874</v>
      </c>
      <c r="H242" s="117">
        <f t="shared" si="52"/>
        <v>110379.41894116628</v>
      </c>
      <c r="I242" s="7"/>
      <c r="J242" s="10">
        <v>5.7035999999999998</v>
      </c>
      <c r="K242" s="117">
        <v>7265752</v>
      </c>
      <c r="L242" s="120">
        <f t="shared" si="53"/>
        <v>629.56000346590417</v>
      </c>
      <c r="M242" s="122">
        <f t="shared" si="48"/>
        <v>12738888.74</v>
      </c>
      <c r="N242" s="116">
        <f t="shared" si="49"/>
        <v>5473136.7400000002</v>
      </c>
      <c r="O242" s="123">
        <f t="shared" si="50"/>
        <v>474.23418594575861</v>
      </c>
      <c r="P242" s="5"/>
      <c r="Q242" s="5">
        <f t="shared" si="44"/>
        <v>1</v>
      </c>
      <c r="R242" s="7">
        <f t="shared" si="45"/>
        <v>11541</v>
      </c>
      <c r="S242" s="5">
        <f t="shared" si="46"/>
        <v>1</v>
      </c>
      <c r="T242" s="7">
        <f t="shared" si="47"/>
        <v>11541</v>
      </c>
    </row>
    <row r="243" spans="1:20">
      <c r="A243" s="23" t="s">
        <v>271</v>
      </c>
      <c r="B243" s="35" t="s">
        <v>269</v>
      </c>
      <c r="C243" s="36">
        <v>2853</v>
      </c>
      <c r="D243" s="6"/>
      <c r="E243" s="113">
        <v>229379999</v>
      </c>
      <c r="F243" s="116">
        <f t="shared" si="51"/>
        <v>80399.57903960743</v>
      </c>
      <c r="G243" s="117">
        <v>59862389</v>
      </c>
      <c r="H243" s="117">
        <f t="shared" si="52"/>
        <v>20982.260427620047</v>
      </c>
      <c r="I243" s="7"/>
      <c r="J243" s="10">
        <v>0.55600000000000005</v>
      </c>
      <c r="K243" s="117">
        <v>33283</v>
      </c>
      <c r="L243" s="120">
        <f t="shared" si="53"/>
        <v>11.66596565019278</v>
      </c>
      <c r="M243" s="122">
        <f t="shared" si="48"/>
        <v>598623.89</v>
      </c>
      <c r="N243" s="116">
        <f t="shared" si="49"/>
        <v>565340.89</v>
      </c>
      <c r="O243" s="123">
        <f t="shared" si="50"/>
        <v>198.15663862600772</v>
      </c>
      <c r="P243" s="5"/>
      <c r="Q243" s="5">
        <f t="shared" si="44"/>
        <v>1</v>
      </c>
      <c r="R243" s="7">
        <f t="shared" si="45"/>
        <v>2853</v>
      </c>
      <c r="S243" s="5">
        <f t="shared" si="46"/>
        <v>1</v>
      </c>
      <c r="T243" s="7">
        <f t="shared" si="47"/>
        <v>2853</v>
      </c>
    </row>
    <row r="244" spans="1:20">
      <c r="A244" s="23" t="s">
        <v>272</v>
      </c>
      <c r="B244" s="35" t="s">
        <v>273</v>
      </c>
      <c r="C244" s="36">
        <v>366</v>
      </c>
      <c r="D244" s="6"/>
      <c r="E244" s="113">
        <v>45006956</v>
      </c>
      <c r="F244" s="116">
        <f t="shared" si="51"/>
        <v>122969.82513661202</v>
      </c>
      <c r="G244" s="117">
        <v>38739020</v>
      </c>
      <c r="H244" s="117">
        <f t="shared" si="52"/>
        <v>105844.3169398907</v>
      </c>
      <c r="I244" s="7"/>
      <c r="J244" s="10">
        <v>2.2999999999999998</v>
      </c>
      <c r="K244" s="117">
        <v>89099</v>
      </c>
      <c r="L244" s="120">
        <f t="shared" si="53"/>
        <v>243.43989071038251</v>
      </c>
      <c r="M244" s="122">
        <f t="shared" si="48"/>
        <v>387390.2</v>
      </c>
      <c r="N244" s="116">
        <f t="shared" si="49"/>
        <v>298291.20000000001</v>
      </c>
      <c r="O244" s="123">
        <f t="shared" si="50"/>
        <v>815.00327868852457</v>
      </c>
      <c r="P244" s="5"/>
      <c r="Q244" s="5">
        <f t="shared" si="44"/>
        <v>1</v>
      </c>
      <c r="R244" s="7">
        <f t="shared" si="45"/>
        <v>366</v>
      </c>
      <c r="S244" s="5">
        <f t="shared" si="46"/>
        <v>1</v>
      </c>
      <c r="T244" s="7">
        <f t="shared" si="47"/>
        <v>366</v>
      </c>
    </row>
    <row r="245" spans="1:20">
      <c r="A245" s="23" t="s">
        <v>274</v>
      </c>
      <c r="B245" s="35" t="s">
        <v>273</v>
      </c>
      <c r="C245" s="36">
        <v>17026</v>
      </c>
      <c r="D245" s="6"/>
      <c r="E245" s="113">
        <v>780138768</v>
      </c>
      <c r="F245" s="116">
        <f t="shared" si="51"/>
        <v>45820.437448608012</v>
      </c>
      <c r="G245" s="117">
        <v>547798140</v>
      </c>
      <c r="H245" s="117">
        <f t="shared" si="52"/>
        <v>32174.212381064255</v>
      </c>
      <c r="I245" s="7"/>
      <c r="J245" s="10">
        <v>6.9989999999999997</v>
      </c>
      <c r="K245" s="117">
        <v>3834039</v>
      </c>
      <c r="L245" s="120">
        <f t="shared" si="53"/>
        <v>225.18730177375778</v>
      </c>
      <c r="M245" s="122">
        <f t="shared" si="48"/>
        <v>5477981.4000000004</v>
      </c>
      <c r="N245" s="116">
        <f t="shared" si="49"/>
        <v>1643942.4000000004</v>
      </c>
      <c r="O245" s="123">
        <f t="shared" si="50"/>
        <v>96.554822036884786</v>
      </c>
      <c r="P245" s="5"/>
      <c r="Q245" s="5">
        <f t="shared" si="44"/>
        <v>1</v>
      </c>
      <c r="R245" s="7">
        <f t="shared" si="45"/>
        <v>17026</v>
      </c>
      <c r="S245" s="5">
        <f t="shared" si="46"/>
        <v>1</v>
      </c>
      <c r="T245" s="7">
        <f t="shared" si="47"/>
        <v>17026</v>
      </c>
    </row>
    <row r="246" spans="1:20">
      <c r="A246" s="23" t="s">
        <v>275</v>
      </c>
      <c r="B246" s="35" t="s">
        <v>273</v>
      </c>
      <c r="C246" s="36">
        <v>12015</v>
      </c>
      <c r="D246" s="6"/>
      <c r="E246" s="113">
        <v>3680284981</v>
      </c>
      <c r="F246" s="116">
        <f t="shared" si="51"/>
        <v>306307.53066999582</v>
      </c>
      <c r="G246" s="117">
        <v>3313674381</v>
      </c>
      <c r="H246" s="117">
        <f t="shared" si="52"/>
        <v>275794.78826466919</v>
      </c>
      <c r="I246" s="7"/>
      <c r="J246" s="10">
        <v>1.8</v>
      </c>
      <c r="K246" s="117">
        <v>5964613</v>
      </c>
      <c r="L246" s="120">
        <f t="shared" si="53"/>
        <v>496.43054515189345</v>
      </c>
      <c r="M246" s="122">
        <f t="shared" si="48"/>
        <v>33136743.810000002</v>
      </c>
      <c r="N246" s="116">
        <f t="shared" si="49"/>
        <v>27172130.810000002</v>
      </c>
      <c r="O246" s="123">
        <f t="shared" si="50"/>
        <v>2261.5173374947985</v>
      </c>
      <c r="P246" s="5"/>
      <c r="Q246" s="5">
        <f t="shared" si="44"/>
        <v>1</v>
      </c>
      <c r="R246" s="7">
        <f t="shared" si="45"/>
        <v>12015</v>
      </c>
      <c r="S246" s="5">
        <f t="shared" si="46"/>
        <v>1</v>
      </c>
      <c r="T246" s="7">
        <f t="shared" si="47"/>
        <v>12015</v>
      </c>
    </row>
    <row r="247" spans="1:20">
      <c r="A247" s="23" t="s">
        <v>276</v>
      </c>
      <c r="B247" s="35" t="s">
        <v>273</v>
      </c>
      <c r="C247" s="36">
        <v>20619</v>
      </c>
      <c r="D247" s="6"/>
      <c r="E247" s="113">
        <v>1318193346</v>
      </c>
      <c r="F247" s="116">
        <f t="shared" si="51"/>
        <v>63931.002764440564</v>
      </c>
      <c r="G247" s="117">
        <v>917979449</v>
      </c>
      <c r="H247" s="117">
        <f t="shared" si="52"/>
        <v>44521.046074009406</v>
      </c>
      <c r="I247" s="7"/>
      <c r="J247" s="10">
        <v>4.97</v>
      </c>
      <c r="K247" s="117">
        <v>4562357</v>
      </c>
      <c r="L247" s="120">
        <f t="shared" si="53"/>
        <v>221.26955720452011</v>
      </c>
      <c r="M247" s="122">
        <f t="shared" si="48"/>
        <v>9179794.4900000002</v>
      </c>
      <c r="N247" s="116">
        <f t="shared" si="49"/>
        <v>4617437.49</v>
      </c>
      <c r="O247" s="123">
        <f t="shared" si="50"/>
        <v>223.94090353557399</v>
      </c>
      <c r="P247" s="5"/>
      <c r="Q247" s="5">
        <f t="shared" si="44"/>
        <v>1</v>
      </c>
      <c r="R247" s="7">
        <f t="shared" si="45"/>
        <v>20619</v>
      </c>
      <c r="S247" s="5">
        <f t="shared" si="46"/>
        <v>1</v>
      </c>
      <c r="T247" s="7">
        <f t="shared" si="47"/>
        <v>20619</v>
      </c>
    </row>
    <row r="248" spans="1:20">
      <c r="A248" s="23" t="s">
        <v>277</v>
      </c>
      <c r="B248" s="35" t="s">
        <v>273</v>
      </c>
      <c r="C248" s="36">
        <v>569</v>
      </c>
      <c r="D248" s="6"/>
      <c r="E248" s="113">
        <v>17346862</v>
      </c>
      <c r="F248" s="116">
        <f t="shared" si="51"/>
        <v>30486.576449912125</v>
      </c>
      <c r="G248" s="117">
        <v>6912544</v>
      </c>
      <c r="H248" s="117">
        <f t="shared" si="52"/>
        <v>12148.583479789104</v>
      </c>
      <c r="I248" s="98" t="s">
        <v>528</v>
      </c>
      <c r="J248" s="10"/>
      <c r="K248" s="117"/>
      <c r="L248" s="120"/>
      <c r="M248" s="122">
        <f t="shared" si="48"/>
        <v>69125.440000000002</v>
      </c>
      <c r="N248" s="116">
        <f t="shared" si="49"/>
        <v>69125.440000000002</v>
      </c>
      <c r="O248" s="123">
        <f t="shared" si="50"/>
        <v>121.48583479789104</v>
      </c>
      <c r="P248" s="5"/>
      <c r="Q248" s="5">
        <f t="shared" si="44"/>
        <v>1</v>
      </c>
      <c r="R248" s="7">
        <f t="shared" si="45"/>
        <v>569</v>
      </c>
      <c r="S248" s="5">
        <f t="shared" si="46"/>
        <v>0</v>
      </c>
      <c r="T248" s="7">
        <f t="shared" si="47"/>
        <v>0</v>
      </c>
    </row>
    <row r="249" spans="1:20">
      <c r="A249" s="23" t="s">
        <v>278</v>
      </c>
      <c r="B249" s="35" t="s">
        <v>273</v>
      </c>
      <c r="C249" s="36">
        <v>4211</v>
      </c>
      <c r="D249" s="6"/>
      <c r="E249" s="113">
        <v>328520579</v>
      </c>
      <c r="F249" s="116">
        <f t="shared" si="51"/>
        <v>78014.860840655427</v>
      </c>
      <c r="G249" s="117">
        <v>250125083</v>
      </c>
      <c r="H249" s="117">
        <f t="shared" si="52"/>
        <v>59398.024934694848</v>
      </c>
      <c r="I249" s="7"/>
      <c r="J249" s="10">
        <v>3.5</v>
      </c>
      <c r="K249" s="117">
        <v>875437</v>
      </c>
      <c r="L249" s="120">
        <f t="shared" ref="L249:L273" si="54">(K249/C249)</f>
        <v>207.89289954880076</v>
      </c>
      <c r="M249" s="122">
        <f t="shared" si="48"/>
        <v>2501250.83</v>
      </c>
      <c r="N249" s="116">
        <f t="shared" si="49"/>
        <v>1625813.83</v>
      </c>
      <c r="O249" s="123">
        <f t="shared" si="50"/>
        <v>386.08734979814773</v>
      </c>
      <c r="P249" s="5"/>
      <c r="Q249" s="5">
        <f t="shared" si="44"/>
        <v>1</v>
      </c>
      <c r="R249" s="7">
        <f t="shared" si="45"/>
        <v>4211</v>
      </c>
      <c r="S249" s="5">
        <f t="shared" si="46"/>
        <v>1</v>
      </c>
      <c r="T249" s="7">
        <f t="shared" si="47"/>
        <v>4211</v>
      </c>
    </row>
    <row r="250" spans="1:20">
      <c r="A250" s="23" t="s">
        <v>279</v>
      </c>
      <c r="B250" s="35" t="s">
        <v>273</v>
      </c>
      <c r="C250" s="36">
        <v>12791</v>
      </c>
      <c r="D250" s="6"/>
      <c r="E250" s="113">
        <v>774631253</v>
      </c>
      <c r="F250" s="116">
        <f t="shared" si="51"/>
        <v>60560.648346493632</v>
      </c>
      <c r="G250" s="117">
        <v>545837081</v>
      </c>
      <c r="H250" s="117">
        <f t="shared" si="52"/>
        <v>42673.526776639825</v>
      </c>
      <c r="I250" s="7"/>
      <c r="J250" s="11">
        <v>3.5</v>
      </c>
      <c r="K250" s="117">
        <v>1910429</v>
      </c>
      <c r="L250" s="120">
        <f t="shared" si="54"/>
        <v>149.35728246423267</v>
      </c>
      <c r="M250" s="122">
        <f t="shared" si="48"/>
        <v>5458370.8100000005</v>
      </c>
      <c r="N250" s="116">
        <f t="shared" si="49"/>
        <v>3547941.8100000005</v>
      </c>
      <c r="O250" s="123">
        <f t="shared" si="50"/>
        <v>277.3779853021656</v>
      </c>
      <c r="P250" s="5"/>
      <c r="Q250" s="5">
        <f t="shared" si="44"/>
        <v>1</v>
      </c>
      <c r="R250" s="7">
        <f t="shared" si="45"/>
        <v>12791</v>
      </c>
      <c r="S250" s="5">
        <f t="shared" si="46"/>
        <v>1</v>
      </c>
      <c r="T250" s="7">
        <f t="shared" si="47"/>
        <v>12791</v>
      </c>
    </row>
    <row r="251" spans="1:20">
      <c r="A251" s="23" t="s">
        <v>280</v>
      </c>
      <c r="B251" s="35" t="s">
        <v>273</v>
      </c>
      <c r="C251" s="36">
        <v>723</v>
      </c>
      <c r="D251" s="6"/>
      <c r="E251" s="113">
        <v>97940365</v>
      </c>
      <c r="F251" s="116">
        <f t="shared" si="51"/>
        <v>135463.85200553251</v>
      </c>
      <c r="G251" s="117">
        <v>75741161</v>
      </c>
      <c r="H251" s="117">
        <f t="shared" si="52"/>
        <v>104759.55878284924</v>
      </c>
      <c r="I251" s="7"/>
      <c r="J251" s="10">
        <v>2.7</v>
      </c>
      <c r="K251" s="117">
        <v>204501</v>
      </c>
      <c r="L251" s="120">
        <f t="shared" si="54"/>
        <v>282.85062240663899</v>
      </c>
      <c r="M251" s="122">
        <f t="shared" si="48"/>
        <v>757411.61</v>
      </c>
      <c r="N251" s="116">
        <f t="shared" si="49"/>
        <v>552910.61</v>
      </c>
      <c r="O251" s="123">
        <f t="shared" si="50"/>
        <v>764.74496542185341</v>
      </c>
      <c r="P251" s="5"/>
      <c r="Q251" s="5">
        <f t="shared" si="44"/>
        <v>1</v>
      </c>
      <c r="R251" s="7">
        <f t="shared" si="45"/>
        <v>723</v>
      </c>
      <c r="S251" s="5">
        <f t="shared" si="46"/>
        <v>1</v>
      </c>
      <c r="T251" s="7">
        <f t="shared" si="47"/>
        <v>723</v>
      </c>
    </row>
    <row r="252" spans="1:20">
      <c r="A252" s="23" t="s">
        <v>281</v>
      </c>
      <c r="B252" s="35" t="s">
        <v>273</v>
      </c>
      <c r="C252" s="36">
        <v>6492</v>
      </c>
      <c r="D252" s="6"/>
      <c r="E252" s="113">
        <v>243477066</v>
      </c>
      <c r="F252" s="116">
        <f t="shared" si="51"/>
        <v>37504.16913123845</v>
      </c>
      <c r="G252" s="117">
        <v>147884490</v>
      </c>
      <c r="H252" s="117">
        <f t="shared" si="52"/>
        <v>22779.496303142329</v>
      </c>
      <c r="I252" s="7"/>
      <c r="J252" s="10">
        <v>3.99</v>
      </c>
      <c r="K252" s="117">
        <v>590059</v>
      </c>
      <c r="L252" s="120">
        <f t="shared" si="54"/>
        <v>90.890172520024649</v>
      </c>
      <c r="M252" s="122">
        <f t="shared" si="48"/>
        <v>1478844.9000000001</v>
      </c>
      <c r="N252" s="116">
        <f t="shared" si="49"/>
        <v>888785.90000000014</v>
      </c>
      <c r="O252" s="123">
        <f t="shared" si="50"/>
        <v>136.90479051139866</v>
      </c>
      <c r="P252" s="5"/>
      <c r="Q252" s="5">
        <f t="shared" si="44"/>
        <v>1</v>
      </c>
      <c r="R252" s="7">
        <f t="shared" si="45"/>
        <v>6492</v>
      </c>
      <c r="S252" s="5">
        <f t="shared" si="46"/>
        <v>1</v>
      </c>
      <c r="T252" s="7">
        <f t="shared" si="47"/>
        <v>6492</v>
      </c>
    </row>
    <row r="253" spans="1:20">
      <c r="A253" s="23" t="s">
        <v>282</v>
      </c>
      <c r="B253" s="35" t="s">
        <v>282</v>
      </c>
      <c r="C253" s="36">
        <v>5458</v>
      </c>
      <c r="D253" s="6"/>
      <c r="E253" s="113">
        <v>354308615</v>
      </c>
      <c r="F253" s="116">
        <f t="shared" si="51"/>
        <v>64915.466288017589</v>
      </c>
      <c r="G253" s="117">
        <v>252491063</v>
      </c>
      <c r="H253" s="117">
        <f t="shared" si="52"/>
        <v>46260.729754488821</v>
      </c>
      <c r="I253" s="7"/>
      <c r="J253" s="10">
        <v>7.1898999999999997</v>
      </c>
      <c r="K253" s="117">
        <v>1815385</v>
      </c>
      <c r="L253" s="120">
        <f t="shared" si="54"/>
        <v>332.60993037742764</v>
      </c>
      <c r="M253" s="122">
        <f t="shared" si="48"/>
        <v>2524910.63</v>
      </c>
      <c r="N253" s="116">
        <f t="shared" si="49"/>
        <v>709525.62999999989</v>
      </c>
      <c r="O253" s="123">
        <f t="shared" si="50"/>
        <v>129.9973671674606</v>
      </c>
      <c r="P253" s="5"/>
      <c r="Q253" s="5">
        <f t="shared" si="44"/>
        <v>1</v>
      </c>
      <c r="R253" s="7">
        <f t="shared" si="45"/>
        <v>5458</v>
      </c>
      <c r="S253" s="5">
        <f t="shared" si="46"/>
        <v>1</v>
      </c>
      <c r="T253" s="7">
        <f t="shared" si="47"/>
        <v>5458</v>
      </c>
    </row>
    <row r="254" spans="1:20">
      <c r="A254" s="23" t="s">
        <v>283</v>
      </c>
      <c r="B254" s="35" t="s">
        <v>284</v>
      </c>
      <c r="C254" s="36">
        <v>32951</v>
      </c>
      <c r="D254" s="6"/>
      <c r="E254" s="113">
        <v>2020340290</v>
      </c>
      <c r="F254" s="116">
        <f t="shared" si="51"/>
        <v>61313.474249643412</v>
      </c>
      <c r="G254" s="117">
        <v>1521388587</v>
      </c>
      <c r="H254" s="117">
        <f t="shared" si="52"/>
        <v>46171.241752905829</v>
      </c>
      <c r="I254" s="7"/>
      <c r="J254" s="10">
        <v>3.7618999999999998</v>
      </c>
      <c r="K254" s="117">
        <v>5723311</v>
      </c>
      <c r="L254" s="120">
        <f t="shared" si="54"/>
        <v>173.69157233467877</v>
      </c>
      <c r="M254" s="122">
        <f t="shared" si="48"/>
        <v>15213885.870000001</v>
      </c>
      <c r="N254" s="116">
        <f t="shared" si="49"/>
        <v>9490574.870000001</v>
      </c>
      <c r="O254" s="123">
        <f t="shared" si="50"/>
        <v>288.02084519437955</v>
      </c>
      <c r="P254" s="5"/>
      <c r="Q254" s="5">
        <f t="shared" si="44"/>
        <v>1</v>
      </c>
      <c r="R254" s="7">
        <f t="shared" si="45"/>
        <v>32951</v>
      </c>
      <c r="S254" s="5">
        <f t="shared" si="46"/>
        <v>1</v>
      </c>
      <c r="T254" s="7">
        <f t="shared" si="47"/>
        <v>32951</v>
      </c>
    </row>
    <row r="255" spans="1:20">
      <c r="A255" s="23" t="s">
        <v>285</v>
      </c>
      <c r="B255" s="35" t="s">
        <v>284</v>
      </c>
      <c r="C255" s="36">
        <v>28</v>
      </c>
      <c r="D255" s="6"/>
      <c r="E255" s="113">
        <v>4227297604</v>
      </c>
      <c r="F255" s="116">
        <f t="shared" si="51"/>
        <v>150974914.42857143</v>
      </c>
      <c r="G255" s="117">
        <v>4063794101</v>
      </c>
      <c r="H255" s="117">
        <f t="shared" si="52"/>
        <v>145135503.60714287</v>
      </c>
      <c r="I255" s="7"/>
      <c r="J255" s="10">
        <v>1.1955</v>
      </c>
      <c r="K255" s="117">
        <v>4858265</v>
      </c>
      <c r="L255" s="120">
        <f t="shared" si="54"/>
        <v>173509.46428571429</v>
      </c>
      <c r="M255" s="122">
        <f t="shared" si="48"/>
        <v>40637941.009999998</v>
      </c>
      <c r="N255" s="116">
        <f t="shared" si="49"/>
        <v>35779676.009999998</v>
      </c>
      <c r="O255" s="123">
        <f t="shared" si="50"/>
        <v>1277845.5717857142</v>
      </c>
      <c r="P255" s="5"/>
      <c r="Q255" s="5">
        <f t="shared" si="44"/>
        <v>1</v>
      </c>
      <c r="R255" s="7">
        <f t="shared" si="45"/>
        <v>28</v>
      </c>
      <c r="S255" s="5">
        <f t="shared" si="46"/>
        <v>1</v>
      </c>
      <c r="T255" s="7">
        <f t="shared" si="47"/>
        <v>28</v>
      </c>
    </row>
    <row r="256" spans="1:20">
      <c r="A256" s="23" t="s">
        <v>286</v>
      </c>
      <c r="B256" s="35" t="s">
        <v>284</v>
      </c>
      <c r="C256" s="36">
        <v>6082</v>
      </c>
      <c r="D256" s="6"/>
      <c r="E256" s="113">
        <v>570614769</v>
      </c>
      <c r="F256" s="116">
        <f t="shared" si="51"/>
        <v>93820.251397566593</v>
      </c>
      <c r="G256" s="117">
        <v>432812982</v>
      </c>
      <c r="H256" s="117">
        <f t="shared" si="52"/>
        <v>71162.936862874049</v>
      </c>
      <c r="I256" s="7"/>
      <c r="J256" s="10">
        <v>3.6655000000000002</v>
      </c>
      <c r="K256" s="117">
        <v>1586475</v>
      </c>
      <c r="L256" s="120">
        <f t="shared" si="54"/>
        <v>260.84758303189739</v>
      </c>
      <c r="M256" s="122">
        <f t="shared" si="48"/>
        <v>4328129.82</v>
      </c>
      <c r="N256" s="116">
        <f t="shared" si="49"/>
        <v>2741654.8200000003</v>
      </c>
      <c r="O256" s="123">
        <f t="shared" si="50"/>
        <v>450.78178559684318</v>
      </c>
      <c r="P256" s="5"/>
      <c r="Q256" s="5">
        <f t="shared" si="44"/>
        <v>1</v>
      </c>
      <c r="R256" s="7">
        <f t="shared" si="45"/>
        <v>6082</v>
      </c>
      <c r="S256" s="5">
        <f t="shared" si="46"/>
        <v>1</v>
      </c>
      <c r="T256" s="7">
        <f t="shared" si="47"/>
        <v>6082</v>
      </c>
    </row>
    <row r="257" spans="1:20">
      <c r="A257" s="23" t="s">
        <v>287</v>
      </c>
      <c r="B257" s="35" t="s">
        <v>284</v>
      </c>
      <c r="C257" s="36">
        <v>2467</v>
      </c>
      <c r="D257" s="6"/>
      <c r="E257" s="113">
        <v>206798661</v>
      </c>
      <c r="F257" s="116">
        <f t="shared" si="51"/>
        <v>83825.967166599105</v>
      </c>
      <c r="G257" s="117">
        <v>157605029</v>
      </c>
      <c r="H257" s="117">
        <f t="shared" si="52"/>
        <v>63885.297527361166</v>
      </c>
      <c r="I257" s="7"/>
      <c r="J257" s="10">
        <v>6.9039999999999999</v>
      </c>
      <c r="K257" s="117">
        <v>1088105</v>
      </c>
      <c r="L257" s="120">
        <f t="shared" si="54"/>
        <v>441.06404539927036</v>
      </c>
      <c r="M257" s="122">
        <f t="shared" si="48"/>
        <v>1576050.29</v>
      </c>
      <c r="N257" s="116">
        <f t="shared" si="49"/>
        <v>487945.29000000004</v>
      </c>
      <c r="O257" s="123">
        <f t="shared" si="50"/>
        <v>197.78892987434131</v>
      </c>
      <c r="P257" s="5"/>
      <c r="Q257" s="5">
        <f t="shared" si="44"/>
        <v>1</v>
      </c>
      <c r="R257" s="7">
        <f t="shared" si="45"/>
        <v>2467</v>
      </c>
      <c r="S257" s="5">
        <f t="shared" si="46"/>
        <v>1</v>
      </c>
      <c r="T257" s="7">
        <f t="shared" si="47"/>
        <v>2467</v>
      </c>
    </row>
    <row r="258" spans="1:20">
      <c r="A258" s="23" t="s">
        <v>288</v>
      </c>
      <c r="B258" s="35" t="s">
        <v>284</v>
      </c>
      <c r="C258" s="36">
        <v>2160</v>
      </c>
      <c r="D258" s="6"/>
      <c r="E258" s="113">
        <v>255882791</v>
      </c>
      <c r="F258" s="116">
        <f t="shared" si="51"/>
        <v>118464.25509259259</v>
      </c>
      <c r="G258" s="117">
        <v>208918500</v>
      </c>
      <c r="H258" s="117">
        <f t="shared" si="52"/>
        <v>96721.527777777781</v>
      </c>
      <c r="I258" s="7"/>
      <c r="J258" s="10">
        <v>4.7</v>
      </c>
      <c r="K258" s="117">
        <v>981916</v>
      </c>
      <c r="L258" s="120">
        <f t="shared" si="54"/>
        <v>454.59074074074073</v>
      </c>
      <c r="M258" s="122">
        <f t="shared" si="48"/>
        <v>2089185</v>
      </c>
      <c r="N258" s="116">
        <f t="shared" si="49"/>
        <v>1107269</v>
      </c>
      <c r="O258" s="123">
        <f t="shared" si="50"/>
        <v>512.62453703703704</v>
      </c>
      <c r="P258" s="5"/>
      <c r="Q258" s="5">
        <f t="shared" si="44"/>
        <v>1</v>
      </c>
      <c r="R258" s="7">
        <f t="shared" si="45"/>
        <v>2160</v>
      </c>
      <c r="S258" s="5">
        <f t="shared" si="46"/>
        <v>1</v>
      </c>
      <c r="T258" s="7">
        <f t="shared" si="47"/>
        <v>2160</v>
      </c>
    </row>
    <row r="259" spans="1:20">
      <c r="A259" s="23" t="s">
        <v>289</v>
      </c>
      <c r="B259" s="35" t="s">
        <v>284</v>
      </c>
      <c r="C259" s="36">
        <v>19</v>
      </c>
      <c r="D259" s="6"/>
      <c r="E259" s="113">
        <v>1343342055</v>
      </c>
      <c r="F259" s="116">
        <f t="shared" si="51"/>
        <v>70702213.421052635</v>
      </c>
      <c r="G259" s="117">
        <v>1293642780</v>
      </c>
      <c r="H259" s="117">
        <f t="shared" si="52"/>
        <v>68086462.105263159</v>
      </c>
      <c r="I259" s="7"/>
      <c r="J259" s="10">
        <v>1.25</v>
      </c>
      <c r="K259" s="117">
        <v>1617053</v>
      </c>
      <c r="L259" s="120">
        <f t="shared" si="54"/>
        <v>85108.052631578947</v>
      </c>
      <c r="M259" s="122">
        <f t="shared" si="48"/>
        <v>12936427.800000001</v>
      </c>
      <c r="N259" s="116">
        <f t="shared" si="49"/>
        <v>11319374.800000001</v>
      </c>
      <c r="O259" s="123">
        <f t="shared" si="50"/>
        <v>595756.56842105265</v>
      </c>
      <c r="P259" s="5"/>
      <c r="Q259" s="5">
        <f t="shared" si="44"/>
        <v>1</v>
      </c>
      <c r="R259" s="7">
        <f t="shared" si="45"/>
        <v>19</v>
      </c>
      <c r="S259" s="5">
        <f t="shared" si="46"/>
        <v>1</v>
      </c>
      <c r="T259" s="7">
        <f t="shared" si="47"/>
        <v>19</v>
      </c>
    </row>
    <row r="260" spans="1:20">
      <c r="A260" s="23" t="s">
        <v>290</v>
      </c>
      <c r="B260" s="35" t="s">
        <v>284</v>
      </c>
      <c r="C260" s="36">
        <v>16476</v>
      </c>
      <c r="D260" s="6"/>
      <c r="E260" s="113">
        <v>2209530942</v>
      </c>
      <c r="F260" s="116">
        <f t="shared" si="51"/>
        <v>134106.02949745083</v>
      </c>
      <c r="G260" s="117">
        <v>1816162166</v>
      </c>
      <c r="H260" s="117">
        <f t="shared" si="52"/>
        <v>110230.76996843894</v>
      </c>
      <c r="I260" s="7"/>
      <c r="J260" s="10">
        <v>3.8</v>
      </c>
      <c r="K260" s="117">
        <v>6901416</v>
      </c>
      <c r="L260" s="120">
        <f t="shared" si="54"/>
        <v>418.87691187181355</v>
      </c>
      <c r="M260" s="122">
        <f t="shared" si="48"/>
        <v>18161621.66</v>
      </c>
      <c r="N260" s="116">
        <f t="shared" si="49"/>
        <v>11260205.66</v>
      </c>
      <c r="O260" s="123">
        <f t="shared" si="50"/>
        <v>683.43078781257589</v>
      </c>
      <c r="P260" s="5"/>
      <c r="Q260" s="5">
        <f t="shared" si="44"/>
        <v>1</v>
      </c>
      <c r="R260" s="7">
        <f t="shared" si="45"/>
        <v>16476</v>
      </c>
      <c r="S260" s="5">
        <f t="shared" si="46"/>
        <v>1</v>
      </c>
      <c r="T260" s="7">
        <f t="shared" si="47"/>
        <v>16476</v>
      </c>
    </row>
    <row r="261" spans="1:20">
      <c r="A261" s="23" t="s">
        <v>291</v>
      </c>
      <c r="B261" s="35" t="s">
        <v>284</v>
      </c>
      <c r="C261" s="36">
        <v>1678</v>
      </c>
      <c r="D261" s="6"/>
      <c r="E261" s="113">
        <v>162205627</v>
      </c>
      <c r="F261" s="116">
        <f t="shared" si="51"/>
        <v>96666.047079856973</v>
      </c>
      <c r="G261" s="117">
        <v>126790350</v>
      </c>
      <c r="H261" s="117">
        <f t="shared" si="52"/>
        <v>75560.399284862928</v>
      </c>
      <c r="I261" s="7"/>
      <c r="J261" s="10">
        <v>4.9245000000000001</v>
      </c>
      <c r="K261" s="117">
        <v>624379</v>
      </c>
      <c r="L261" s="120">
        <f t="shared" si="54"/>
        <v>372.09713945172825</v>
      </c>
      <c r="M261" s="122">
        <f t="shared" si="48"/>
        <v>1267903.5</v>
      </c>
      <c r="N261" s="116">
        <f t="shared" si="49"/>
        <v>643524.5</v>
      </c>
      <c r="O261" s="123">
        <f t="shared" si="50"/>
        <v>383.50685339690108</v>
      </c>
      <c r="P261" s="5"/>
      <c r="Q261" s="5">
        <f t="shared" si="44"/>
        <v>1</v>
      </c>
      <c r="R261" s="7">
        <f t="shared" si="45"/>
        <v>1678</v>
      </c>
      <c r="S261" s="5">
        <f t="shared" si="46"/>
        <v>1</v>
      </c>
      <c r="T261" s="7">
        <f t="shared" si="47"/>
        <v>1678</v>
      </c>
    </row>
    <row r="262" spans="1:20">
      <c r="A262" s="23" t="s">
        <v>292</v>
      </c>
      <c r="B262" s="35" t="s">
        <v>284</v>
      </c>
      <c r="C262" s="36">
        <v>29215</v>
      </c>
      <c r="D262" s="6"/>
      <c r="E262" s="113">
        <v>1879377774</v>
      </c>
      <c r="F262" s="116">
        <f t="shared" si="51"/>
        <v>64329.206708882426</v>
      </c>
      <c r="G262" s="117">
        <v>1387576057</v>
      </c>
      <c r="H262" s="117">
        <f t="shared" si="52"/>
        <v>47495.329693650521</v>
      </c>
      <c r="I262" s="7"/>
      <c r="J262" s="10">
        <v>4.5789</v>
      </c>
      <c r="K262" s="117">
        <v>6353572</v>
      </c>
      <c r="L262" s="120">
        <f t="shared" si="54"/>
        <v>217.47636488105425</v>
      </c>
      <c r="M262" s="122">
        <f t="shared" si="48"/>
        <v>13875760.57</v>
      </c>
      <c r="N262" s="116">
        <f t="shared" si="49"/>
        <v>7522188.5700000003</v>
      </c>
      <c r="O262" s="123">
        <f t="shared" si="50"/>
        <v>257.47693205545096</v>
      </c>
      <c r="P262" s="5"/>
      <c r="Q262" s="5">
        <f t="shared" si="44"/>
        <v>1</v>
      </c>
      <c r="R262" s="7">
        <f t="shared" si="45"/>
        <v>29215</v>
      </c>
      <c r="S262" s="5">
        <f t="shared" si="46"/>
        <v>1</v>
      </c>
      <c r="T262" s="7">
        <f t="shared" si="47"/>
        <v>29215</v>
      </c>
    </row>
    <row r="263" spans="1:20">
      <c r="A263" s="23" t="s">
        <v>293</v>
      </c>
      <c r="B263" s="35" t="s">
        <v>284</v>
      </c>
      <c r="C263" s="36">
        <v>208900</v>
      </c>
      <c r="D263" s="6"/>
      <c r="E263" s="113">
        <v>22744549744</v>
      </c>
      <c r="F263" s="116">
        <f t="shared" si="51"/>
        <v>108877.69145045476</v>
      </c>
      <c r="G263" s="117">
        <v>15045214648</v>
      </c>
      <c r="H263" s="117">
        <f t="shared" si="52"/>
        <v>72021.132829104841</v>
      </c>
      <c r="I263" s="7"/>
      <c r="J263" s="10">
        <v>5.6916000000000002</v>
      </c>
      <c r="K263" s="117">
        <v>85631343</v>
      </c>
      <c r="L263" s="120">
        <f t="shared" si="54"/>
        <v>409.91547630445189</v>
      </c>
      <c r="M263" s="122">
        <f t="shared" si="48"/>
        <v>150452146.47999999</v>
      </c>
      <c r="N263" s="116">
        <f t="shared" si="49"/>
        <v>64820803.479999989</v>
      </c>
      <c r="O263" s="123">
        <f t="shared" si="50"/>
        <v>310.2958519865964</v>
      </c>
      <c r="P263" s="5"/>
      <c r="Q263" s="5">
        <f t="shared" ref="Q263:Q326" si="55">IF(E263&gt;0,1,0)</f>
        <v>1</v>
      </c>
      <c r="R263" s="7">
        <f t="shared" ref="R263:R326" si="56">IF(E263&gt;0,C263,0)</f>
        <v>208900</v>
      </c>
      <c r="S263" s="5">
        <f t="shared" ref="S263:S326" si="57">IF(J263&gt;0,1,0)</f>
        <v>1</v>
      </c>
      <c r="T263" s="7">
        <f t="shared" ref="T263:T326" si="58">IF(J263&gt;0,C263,0)</f>
        <v>208900</v>
      </c>
    </row>
    <row r="264" spans="1:20">
      <c r="A264" s="23" t="s">
        <v>294</v>
      </c>
      <c r="B264" s="35" t="s">
        <v>284</v>
      </c>
      <c r="C264" s="36">
        <v>2329</v>
      </c>
      <c r="D264" s="6"/>
      <c r="E264" s="113">
        <v>489181010</v>
      </c>
      <c r="F264" s="116">
        <f t="shared" si="51"/>
        <v>210039.07685702018</v>
      </c>
      <c r="G264" s="117">
        <v>366796418</v>
      </c>
      <c r="H264" s="117">
        <f t="shared" si="52"/>
        <v>157490.94804637184</v>
      </c>
      <c r="I264" s="7"/>
      <c r="J264" s="10">
        <v>2.9</v>
      </c>
      <c r="K264" s="117">
        <v>1063709</v>
      </c>
      <c r="L264" s="120">
        <f t="shared" si="54"/>
        <v>456.72348647488195</v>
      </c>
      <c r="M264" s="122">
        <f t="shared" ref="M264:M327" si="59">(G264*0.01)</f>
        <v>3667964.18</v>
      </c>
      <c r="N264" s="116">
        <f t="shared" ref="N264:N327" si="60">(M264-K264)</f>
        <v>2604255.1800000002</v>
      </c>
      <c r="O264" s="123">
        <f t="shared" ref="O264:O327" si="61">(N264/C264)</f>
        <v>1118.1859939888366</v>
      </c>
      <c r="P264" s="5"/>
      <c r="Q264" s="5">
        <f t="shared" si="55"/>
        <v>1</v>
      </c>
      <c r="R264" s="7">
        <f t="shared" si="56"/>
        <v>2329</v>
      </c>
      <c r="S264" s="5">
        <f t="shared" si="57"/>
        <v>1</v>
      </c>
      <c r="T264" s="7">
        <f t="shared" si="58"/>
        <v>2329</v>
      </c>
    </row>
    <row r="265" spans="1:20">
      <c r="A265" s="23" t="s">
        <v>295</v>
      </c>
      <c r="B265" s="35" t="s">
        <v>284</v>
      </c>
      <c r="C265" s="36">
        <v>22242</v>
      </c>
      <c r="D265" s="6"/>
      <c r="E265" s="113">
        <v>1390039160</v>
      </c>
      <c r="F265" s="116">
        <f t="shared" si="51"/>
        <v>62496.140634834999</v>
      </c>
      <c r="G265" s="117">
        <v>1083029541</v>
      </c>
      <c r="H265" s="117">
        <f t="shared" si="52"/>
        <v>48692.992581602375</v>
      </c>
      <c r="I265" s="7"/>
      <c r="J265" s="10">
        <v>4.3040000000000003</v>
      </c>
      <c r="K265" s="117">
        <v>4661359</v>
      </c>
      <c r="L265" s="120">
        <f t="shared" si="54"/>
        <v>209.57463357611726</v>
      </c>
      <c r="M265" s="122">
        <f t="shared" si="59"/>
        <v>10830295.41</v>
      </c>
      <c r="N265" s="116">
        <f t="shared" si="60"/>
        <v>6168936.4100000001</v>
      </c>
      <c r="O265" s="123">
        <f t="shared" si="61"/>
        <v>277.35529223990648</v>
      </c>
      <c r="P265" s="5"/>
      <c r="Q265" s="5">
        <f t="shared" si="55"/>
        <v>1</v>
      </c>
      <c r="R265" s="7">
        <f t="shared" si="56"/>
        <v>22242</v>
      </c>
      <c r="S265" s="5">
        <f t="shared" si="57"/>
        <v>1</v>
      </c>
      <c r="T265" s="7">
        <f t="shared" si="58"/>
        <v>22242</v>
      </c>
    </row>
    <row r="266" spans="1:20">
      <c r="A266" s="23" t="s">
        <v>296</v>
      </c>
      <c r="B266" s="35" t="s">
        <v>284</v>
      </c>
      <c r="C266" s="36">
        <v>26860</v>
      </c>
      <c r="D266" s="6"/>
      <c r="E266" s="113">
        <v>4151691231</v>
      </c>
      <c r="F266" s="116">
        <f t="shared" si="51"/>
        <v>154567.80457930008</v>
      </c>
      <c r="G266" s="117">
        <v>3055017791</v>
      </c>
      <c r="H266" s="117">
        <f t="shared" si="52"/>
        <v>113738.56258376768</v>
      </c>
      <c r="I266" s="7"/>
      <c r="J266" s="10">
        <v>4.6539999999999999</v>
      </c>
      <c r="K266" s="117">
        <v>14218052</v>
      </c>
      <c r="L266" s="120">
        <f t="shared" si="54"/>
        <v>529.33924050632913</v>
      </c>
      <c r="M266" s="122">
        <f t="shared" si="59"/>
        <v>30550177.91</v>
      </c>
      <c r="N266" s="116">
        <f t="shared" si="60"/>
        <v>16332125.91</v>
      </c>
      <c r="O266" s="123">
        <f t="shared" si="61"/>
        <v>608.04638533134778</v>
      </c>
      <c r="P266" s="5"/>
      <c r="Q266" s="5">
        <f t="shared" si="55"/>
        <v>1</v>
      </c>
      <c r="R266" s="7">
        <f t="shared" si="56"/>
        <v>26860</v>
      </c>
      <c r="S266" s="5">
        <f t="shared" si="57"/>
        <v>1</v>
      </c>
      <c r="T266" s="7">
        <f t="shared" si="58"/>
        <v>26860</v>
      </c>
    </row>
    <row r="267" spans="1:20">
      <c r="A267" s="23" t="s">
        <v>297</v>
      </c>
      <c r="B267" s="35" t="s">
        <v>298</v>
      </c>
      <c r="C267" s="36">
        <v>55856</v>
      </c>
      <c r="D267" s="6"/>
      <c r="E267" s="113">
        <v>2840088635</v>
      </c>
      <c r="F267" s="116">
        <f t="shared" si="51"/>
        <v>50846.616925666</v>
      </c>
      <c r="G267" s="117">
        <v>2232187635</v>
      </c>
      <c r="H267" s="117">
        <f t="shared" si="52"/>
        <v>39963.256140790603</v>
      </c>
      <c r="I267" s="7"/>
      <c r="J267" s="10">
        <v>4.2953000000000001</v>
      </c>
      <c r="K267" s="117">
        <v>9587915</v>
      </c>
      <c r="L267" s="120">
        <f t="shared" si="54"/>
        <v>171.65416427957607</v>
      </c>
      <c r="M267" s="122">
        <f t="shared" si="59"/>
        <v>22321876.350000001</v>
      </c>
      <c r="N267" s="116">
        <f t="shared" si="60"/>
        <v>12733961.350000001</v>
      </c>
      <c r="O267" s="123">
        <f t="shared" si="61"/>
        <v>227.97839712833002</v>
      </c>
      <c r="P267" s="5"/>
      <c r="Q267" s="5">
        <f t="shared" si="55"/>
        <v>1</v>
      </c>
      <c r="R267" s="7">
        <f t="shared" si="56"/>
        <v>55856</v>
      </c>
      <c r="S267" s="5">
        <f t="shared" si="57"/>
        <v>1</v>
      </c>
      <c r="T267" s="7">
        <f t="shared" si="58"/>
        <v>55856</v>
      </c>
    </row>
    <row r="268" spans="1:20">
      <c r="A268" s="23" t="s">
        <v>546</v>
      </c>
      <c r="B268" s="35" t="s">
        <v>298</v>
      </c>
      <c r="C268" s="36">
        <v>24392</v>
      </c>
      <c r="D268" s="6"/>
      <c r="E268" s="113">
        <v>1218064354</v>
      </c>
      <c r="F268" s="116">
        <f t="shared" si="51"/>
        <v>49937.043046900624</v>
      </c>
      <c r="G268" s="117">
        <v>900463168</v>
      </c>
      <c r="H268" s="117">
        <f t="shared" si="52"/>
        <v>36916.331912102331</v>
      </c>
      <c r="I268" s="7"/>
      <c r="J268" s="10">
        <v>4.1790000000000003</v>
      </c>
      <c r="K268" s="117">
        <v>3763035</v>
      </c>
      <c r="L268" s="120">
        <f t="shared" si="54"/>
        <v>154.27332732043294</v>
      </c>
      <c r="M268" s="122">
        <f t="shared" si="59"/>
        <v>9004631.6799999997</v>
      </c>
      <c r="N268" s="116">
        <f t="shared" si="60"/>
        <v>5241596.68</v>
      </c>
      <c r="O268" s="123">
        <f t="shared" si="61"/>
        <v>214.88999180059034</v>
      </c>
      <c r="P268" s="5"/>
      <c r="Q268" s="5">
        <f t="shared" si="55"/>
        <v>1</v>
      </c>
      <c r="R268" s="7">
        <f t="shared" si="56"/>
        <v>24392</v>
      </c>
      <c r="S268" s="5">
        <f t="shared" si="57"/>
        <v>1</v>
      </c>
      <c r="T268" s="7">
        <f t="shared" si="58"/>
        <v>24392</v>
      </c>
    </row>
    <row r="269" spans="1:20">
      <c r="A269" s="23" t="s">
        <v>299</v>
      </c>
      <c r="B269" s="35" t="s">
        <v>300</v>
      </c>
      <c r="C269" s="36">
        <v>2151</v>
      </c>
      <c r="D269" s="6"/>
      <c r="E269" s="113">
        <v>465451444</v>
      </c>
      <c r="F269" s="116">
        <f t="shared" si="51"/>
        <v>216388.3979544398</v>
      </c>
      <c r="G269" s="117">
        <v>391462091</v>
      </c>
      <c r="H269" s="117">
        <f t="shared" si="52"/>
        <v>181990.74430497442</v>
      </c>
      <c r="I269" s="7"/>
      <c r="J269" s="10">
        <v>7</v>
      </c>
      <c r="K269" s="117">
        <v>2740234</v>
      </c>
      <c r="L269" s="120">
        <f t="shared" si="54"/>
        <v>1273.9349139934914</v>
      </c>
      <c r="M269" s="122">
        <f t="shared" si="59"/>
        <v>3914620.91</v>
      </c>
      <c r="N269" s="116">
        <f t="shared" si="60"/>
        <v>1174386.9100000001</v>
      </c>
      <c r="O269" s="123">
        <f t="shared" si="61"/>
        <v>545.97252905625294</v>
      </c>
      <c r="P269" s="5"/>
      <c r="Q269" s="5">
        <f t="shared" si="55"/>
        <v>1</v>
      </c>
      <c r="R269" s="7">
        <f t="shared" si="56"/>
        <v>2151</v>
      </c>
      <c r="S269" s="5">
        <f t="shared" si="57"/>
        <v>1</v>
      </c>
      <c r="T269" s="7">
        <f t="shared" si="58"/>
        <v>2151</v>
      </c>
    </row>
    <row r="270" spans="1:20">
      <c r="A270" s="23" t="s">
        <v>301</v>
      </c>
      <c r="B270" s="35" t="s">
        <v>300</v>
      </c>
      <c r="C270" s="36">
        <v>14956</v>
      </c>
      <c r="D270" s="6"/>
      <c r="E270" s="113">
        <v>439783808</v>
      </c>
      <c r="F270" s="116">
        <f t="shared" si="51"/>
        <v>29405.175715431935</v>
      </c>
      <c r="G270" s="117">
        <v>255160235</v>
      </c>
      <c r="H270" s="117">
        <f t="shared" si="52"/>
        <v>17060.727132923243</v>
      </c>
      <c r="I270" s="7"/>
      <c r="J270" s="10">
        <v>9.41</v>
      </c>
      <c r="K270" s="117">
        <v>2401057</v>
      </c>
      <c r="L270" s="120">
        <f t="shared" si="54"/>
        <v>160.54138807167692</v>
      </c>
      <c r="M270" s="122">
        <f t="shared" si="59"/>
        <v>2551602.35</v>
      </c>
      <c r="N270" s="116">
        <f t="shared" si="60"/>
        <v>150545.35000000009</v>
      </c>
      <c r="O270" s="123">
        <f t="shared" si="61"/>
        <v>10.065883257555502</v>
      </c>
      <c r="P270" s="5"/>
      <c r="Q270" s="5">
        <f t="shared" si="55"/>
        <v>1</v>
      </c>
      <c r="R270" s="7">
        <f t="shared" si="56"/>
        <v>14956</v>
      </c>
      <c r="S270" s="5">
        <f t="shared" si="57"/>
        <v>1</v>
      </c>
      <c r="T270" s="7">
        <f t="shared" si="58"/>
        <v>14956</v>
      </c>
    </row>
    <row r="271" spans="1:20">
      <c r="A271" s="23" t="s">
        <v>302</v>
      </c>
      <c r="B271" s="35" t="s">
        <v>300</v>
      </c>
      <c r="C271" s="36">
        <v>79838</v>
      </c>
      <c r="D271" s="6"/>
      <c r="E271" s="113">
        <v>18402712833</v>
      </c>
      <c r="F271" s="116">
        <f t="shared" si="51"/>
        <v>230500.67427791277</v>
      </c>
      <c r="G271" s="117">
        <v>14437905212</v>
      </c>
      <c r="H271" s="117">
        <f t="shared" si="52"/>
        <v>180840.01618277011</v>
      </c>
      <c r="I271" s="7"/>
      <c r="J271" s="10">
        <v>3.15</v>
      </c>
      <c r="K271" s="117">
        <v>45479401</v>
      </c>
      <c r="L271" s="120">
        <f t="shared" si="54"/>
        <v>569.64604574262887</v>
      </c>
      <c r="M271" s="122">
        <f t="shared" si="59"/>
        <v>144379052.12</v>
      </c>
      <c r="N271" s="116">
        <f t="shared" si="60"/>
        <v>98899651.120000005</v>
      </c>
      <c r="O271" s="123">
        <f t="shared" si="61"/>
        <v>1238.7541160850724</v>
      </c>
      <c r="P271" s="5"/>
      <c r="Q271" s="5">
        <f t="shared" si="55"/>
        <v>1</v>
      </c>
      <c r="R271" s="7">
        <f t="shared" si="56"/>
        <v>79838</v>
      </c>
      <c r="S271" s="5">
        <f t="shared" si="57"/>
        <v>1</v>
      </c>
      <c r="T271" s="7">
        <f t="shared" si="58"/>
        <v>79838</v>
      </c>
    </row>
    <row r="272" spans="1:20">
      <c r="A272" s="23" t="s">
        <v>303</v>
      </c>
      <c r="B272" s="35" t="s">
        <v>300</v>
      </c>
      <c r="C272" s="36">
        <v>65208</v>
      </c>
      <c r="D272" s="6"/>
      <c r="E272" s="113">
        <v>5046791600</v>
      </c>
      <c r="F272" s="116">
        <f t="shared" si="51"/>
        <v>77395.282787388045</v>
      </c>
      <c r="G272" s="117">
        <v>3617231257</v>
      </c>
      <c r="H272" s="117">
        <f t="shared" si="52"/>
        <v>55472.200604220343</v>
      </c>
      <c r="I272" s="7"/>
      <c r="J272" s="10">
        <v>7.5</v>
      </c>
      <c r="K272" s="117">
        <v>27129234</v>
      </c>
      <c r="L272" s="120">
        <f t="shared" si="54"/>
        <v>416.04149797570852</v>
      </c>
      <c r="M272" s="122">
        <f t="shared" si="59"/>
        <v>36172312.57</v>
      </c>
      <c r="N272" s="116">
        <f t="shared" si="60"/>
        <v>9043078.5700000003</v>
      </c>
      <c r="O272" s="123">
        <f t="shared" si="61"/>
        <v>138.68050806649492</v>
      </c>
      <c r="P272" s="5"/>
      <c r="Q272" s="5">
        <f t="shared" si="55"/>
        <v>1</v>
      </c>
      <c r="R272" s="7">
        <f t="shared" si="56"/>
        <v>65208</v>
      </c>
      <c r="S272" s="5">
        <f t="shared" si="57"/>
        <v>1</v>
      </c>
      <c r="T272" s="7">
        <f t="shared" si="58"/>
        <v>65208</v>
      </c>
    </row>
    <row r="273" spans="1:20">
      <c r="A273" s="23" t="s">
        <v>304</v>
      </c>
      <c r="B273" s="35" t="s">
        <v>300</v>
      </c>
      <c r="C273" s="36">
        <v>412</v>
      </c>
      <c r="D273" s="6"/>
      <c r="E273" s="113">
        <v>36633011</v>
      </c>
      <c r="F273" s="116">
        <f t="shared" si="51"/>
        <v>88915.075242718449</v>
      </c>
      <c r="G273" s="117">
        <v>29081397</v>
      </c>
      <c r="H273" s="117">
        <f t="shared" si="52"/>
        <v>70585.915048543684</v>
      </c>
      <c r="I273" s="9"/>
      <c r="J273" s="10">
        <v>4.9535</v>
      </c>
      <c r="K273" s="117">
        <v>144054</v>
      </c>
      <c r="L273" s="120">
        <f t="shared" si="54"/>
        <v>349.64563106796118</v>
      </c>
      <c r="M273" s="122">
        <f t="shared" si="59"/>
        <v>290813.97000000003</v>
      </c>
      <c r="N273" s="116">
        <f t="shared" si="60"/>
        <v>146759.97000000003</v>
      </c>
      <c r="O273" s="123">
        <f t="shared" si="61"/>
        <v>356.21351941747582</v>
      </c>
      <c r="P273" s="5"/>
      <c r="Q273" s="5">
        <f t="shared" si="55"/>
        <v>1</v>
      </c>
      <c r="R273" s="7">
        <f t="shared" si="56"/>
        <v>412</v>
      </c>
      <c r="S273" s="5">
        <f t="shared" si="57"/>
        <v>1</v>
      </c>
      <c r="T273" s="7">
        <f t="shared" si="58"/>
        <v>412</v>
      </c>
    </row>
    <row r="274" spans="1:20">
      <c r="A274" s="23" t="s">
        <v>305</v>
      </c>
      <c r="B274" s="35" t="s">
        <v>300</v>
      </c>
      <c r="C274" s="36">
        <v>170</v>
      </c>
      <c r="D274" s="6"/>
      <c r="E274" s="113">
        <v>6673491</v>
      </c>
      <c r="F274" s="116">
        <f t="shared" si="51"/>
        <v>39255.829411764709</v>
      </c>
      <c r="G274" s="117">
        <v>4597686</v>
      </c>
      <c r="H274" s="117">
        <f t="shared" si="52"/>
        <v>27045.211764705884</v>
      </c>
      <c r="I274" s="98" t="s">
        <v>528</v>
      </c>
      <c r="J274" s="10"/>
      <c r="K274" s="117"/>
      <c r="L274" s="120"/>
      <c r="M274" s="122">
        <f t="shared" si="59"/>
        <v>45976.86</v>
      </c>
      <c r="N274" s="116">
        <f t="shared" si="60"/>
        <v>45976.86</v>
      </c>
      <c r="O274" s="123">
        <f t="shared" si="61"/>
        <v>270.4521176470588</v>
      </c>
      <c r="P274" s="5"/>
      <c r="Q274" s="5">
        <f t="shared" si="55"/>
        <v>1</v>
      </c>
      <c r="R274" s="7">
        <f t="shared" si="56"/>
        <v>170</v>
      </c>
      <c r="S274" s="5">
        <f t="shared" si="57"/>
        <v>0</v>
      </c>
      <c r="T274" s="7">
        <f t="shared" si="58"/>
        <v>0</v>
      </c>
    </row>
    <row r="275" spans="1:20">
      <c r="A275" s="23" t="s">
        <v>306</v>
      </c>
      <c r="B275" s="35" t="s">
        <v>300</v>
      </c>
      <c r="C275" s="36">
        <v>63439</v>
      </c>
      <c r="D275" s="6"/>
      <c r="E275" s="113">
        <v>7248244982</v>
      </c>
      <c r="F275" s="116">
        <f t="shared" si="51"/>
        <v>114255.34737306704</v>
      </c>
      <c r="G275" s="117">
        <v>5377691728</v>
      </c>
      <c r="H275" s="117">
        <f t="shared" si="52"/>
        <v>84769.490817951097</v>
      </c>
      <c r="I275" s="7"/>
      <c r="J275" s="10">
        <v>7.45</v>
      </c>
      <c r="K275" s="117">
        <v>40063803</v>
      </c>
      <c r="L275" s="120">
        <f>(K275/C275)</f>
        <v>631.53270070461383</v>
      </c>
      <c r="M275" s="122">
        <f t="shared" si="59"/>
        <v>53776917.280000001</v>
      </c>
      <c r="N275" s="116">
        <f t="shared" si="60"/>
        <v>13713114.280000001</v>
      </c>
      <c r="O275" s="123">
        <f t="shared" si="61"/>
        <v>216.16220747489717</v>
      </c>
      <c r="P275" s="5"/>
      <c r="Q275" s="5">
        <f t="shared" si="55"/>
        <v>1</v>
      </c>
      <c r="R275" s="7">
        <f t="shared" si="56"/>
        <v>63439</v>
      </c>
      <c r="S275" s="5">
        <f t="shared" si="57"/>
        <v>1</v>
      </c>
      <c r="T275" s="7">
        <f t="shared" si="58"/>
        <v>63439</v>
      </c>
    </row>
    <row r="276" spans="1:20">
      <c r="A276" s="23" t="s">
        <v>307</v>
      </c>
      <c r="B276" s="35" t="s">
        <v>300</v>
      </c>
      <c r="C276" s="36">
        <v>276</v>
      </c>
      <c r="D276" s="6"/>
      <c r="E276" s="113">
        <v>19817857</v>
      </c>
      <c r="F276" s="116">
        <f t="shared" si="51"/>
        <v>71803.829710144928</v>
      </c>
      <c r="G276" s="117">
        <v>13303003</v>
      </c>
      <c r="H276" s="117">
        <f t="shared" si="52"/>
        <v>48199.286231884056</v>
      </c>
      <c r="I276" s="98" t="s">
        <v>528</v>
      </c>
      <c r="J276" s="11"/>
      <c r="K276" s="117"/>
      <c r="L276" s="120"/>
      <c r="M276" s="122">
        <f t="shared" si="59"/>
        <v>133030.03</v>
      </c>
      <c r="N276" s="116">
        <f t="shared" si="60"/>
        <v>133030.03</v>
      </c>
      <c r="O276" s="123">
        <f t="shared" si="61"/>
        <v>481.99286231884059</v>
      </c>
      <c r="P276" s="5"/>
      <c r="Q276" s="5">
        <f t="shared" si="55"/>
        <v>1</v>
      </c>
      <c r="R276" s="7">
        <f t="shared" si="56"/>
        <v>276</v>
      </c>
      <c r="S276" s="5">
        <f t="shared" si="57"/>
        <v>0</v>
      </c>
      <c r="T276" s="7">
        <f t="shared" si="58"/>
        <v>0</v>
      </c>
    </row>
    <row r="277" spans="1:20">
      <c r="A277" s="23" t="s">
        <v>308</v>
      </c>
      <c r="B277" s="35" t="s">
        <v>300</v>
      </c>
      <c r="C277" s="36">
        <v>228</v>
      </c>
      <c r="D277" s="6"/>
      <c r="E277" s="113">
        <v>137569391</v>
      </c>
      <c r="F277" s="116">
        <f t="shared" si="51"/>
        <v>603374.52192982461</v>
      </c>
      <c r="G277" s="117">
        <v>112353235</v>
      </c>
      <c r="H277" s="117">
        <f t="shared" si="52"/>
        <v>492777.34649122809</v>
      </c>
      <c r="I277" s="7"/>
      <c r="J277" s="10">
        <v>7.8310000000000004</v>
      </c>
      <c r="K277" s="117">
        <v>879838</v>
      </c>
      <c r="L277" s="120">
        <f t="shared" ref="L277:L308" si="62">(K277/C277)</f>
        <v>3858.9385964912281</v>
      </c>
      <c r="M277" s="122">
        <f t="shared" si="59"/>
        <v>1123532.3500000001</v>
      </c>
      <c r="N277" s="116">
        <f t="shared" si="60"/>
        <v>243694.35000000009</v>
      </c>
      <c r="O277" s="123">
        <f t="shared" si="61"/>
        <v>1068.834868421053</v>
      </c>
      <c r="P277" s="5"/>
      <c r="Q277" s="5">
        <f t="shared" si="55"/>
        <v>1</v>
      </c>
      <c r="R277" s="7">
        <f t="shared" si="56"/>
        <v>228</v>
      </c>
      <c r="S277" s="5">
        <f t="shared" si="57"/>
        <v>1</v>
      </c>
      <c r="T277" s="7">
        <f t="shared" si="58"/>
        <v>228</v>
      </c>
    </row>
    <row r="278" spans="1:20">
      <c r="A278" s="23" t="s">
        <v>309</v>
      </c>
      <c r="B278" s="35" t="s">
        <v>300</v>
      </c>
      <c r="C278" s="36">
        <v>30533</v>
      </c>
      <c r="D278" s="6"/>
      <c r="E278" s="113">
        <v>1795206579</v>
      </c>
      <c r="F278" s="116">
        <f t="shared" si="51"/>
        <v>58795.617168309698</v>
      </c>
      <c r="G278" s="117">
        <v>1264042542</v>
      </c>
      <c r="H278" s="117">
        <f t="shared" si="52"/>
        <v>41399.225166213604</v>
      </c>
      <c r="I278" s="7"/>
      <c r="J278" s="12">
        <v>5.5961999999999996</v>
      </c>
      <c r="K278" s="117">
        <v>7073834</v>
      </c>
      <c r="L278" s="120">
        <f t="shared" si="62"/>
        <v>231.67831526545049</v>
      </c>
      <c r="M278" s="122">
        <f t="shared" si="59"/>
        <v>12640425.42</v>
      </c>
      <c r="N278" s="116">
        <f t="shared" si="60"/>
        <v>5566591.4199999999</v>
      </c>
      <c r="O278" s="123">
        <f t="shared" si="61"/>
        <v>182.31393639668556</v>
      </c>
      <c r="P278" s="5"/>
      <c r="Q278" s="5">
        <f t="shared" si="55"/>
        <v>1</v>
      </c>
      <c r="R278" s="7">
        <f t="shared" si="56"/>
        <v>30533</v>
      </c>
      <c r="S278" s="5">
        <f t="shared" si="57"/>
        <v>1</v>
      </c>
      <c r="T278" s="7">
        <f t="shared" si="58"/>
        <v>30533</v>
      </c>
    </row>
    <row r="279" spans="1:20">
      <c r="A279" s="23" t="s">
        <v>310</v>
      </c>
      <c r="B279" s="35" t="s">
        <v>300</v>
      </c>
      <c r="C279" s="36">
        <v>717</v>
      </c>
      <c r="D279" s="6"/>
      <c r="E279" s="113">
        <v>668076311</v>
      </c>
      <c r="F279" s="116">
        <f t="shared" si="51"/>
        <v>931766.12412831245</v>
      </c>
      <c r="G279" s="117">
        <v>541773211</v>
      </c>
      <c r="H279" s="117">
        <f t="shared" si="52"/>
        <v>755611.17294281733</v>
      </c>
      <c r="I279" s="7"/>
      <c r="J279" s="10">
        <v>3.2650999999999999</v>
      </c>
      <c r="K279" s="117">
        <v>1768943</v>
      </c>
      <c r="L279" s="120">
        <f t="shared" si="62"/>
        <v>2467.1450488145047</v>
      </c>
      <c r="M279" s="122">
        <f t="shared" si="59"/>
        <v>5417732.1100000003</v>
      </c>
      <c r="N279" s="116">
        <f t="shared" si="60"/>
        <v>3648789.1100000003</v>
      </c>
      <c r="O279" s="123">
        <f t="shared" si="61"/>
        <v>5088.9666806136684</v>
      </c>
      <c r="P279" s="5"/>
      <c r="Q279" s="5">
        <f t="shared" si="55"/>
        <v>1</v>
      </c>
      <c r="R279" s="7">
        <f t="shared" si="56"/>
        <v>717</v>
      </c>
      <c r="S279" s="5">
        <f t="shared" si="57"/>
        <v>1</v>
      </c>
      <c r="T279" s="7">
        <f t="shared" si="58"/>
        <v>717</v>
      </c>
    </row>
    <row r="280" spans="1:20">
      <c r="A280" s="23" t="s">
        <v>311</v>
      </c>
      <c r="B280" s="35" t="s">
        <v>300</v>
      </c>
      <c r="C280" s="36">
        <v>1516</v>
      </c>
      <c r="D280" s="6"/>
      <c r="E280" s="113">
        <v>95487309</v>
      </c>
      <c r="F280" s="116">
        <f t="shared" si="51"/>
        <v>62986.351583113457</v>
      </c>
      <c r="G280" s="117">
        <v>59889796</v>
      </c>
      <c r="H280" s="117">
        <f t="shared" si="52"/>
        <v>39505.142480211085</v>
      </c>
      <c r="I280" s="7"/>
      <c r="J280" s="10">
        <v>4.7854000000000001</v>
      </c>
      <c r="K280" s="117">
        <v>286596</v>
      </c>
      <c r="L280" s="120">
        <f t="shared" si="62"/>
        <v>189.04749340369392</v>
      </c>
      <c r="M280" s="122">
        <f t="shared" si="59"/>
        <v>598897.96</v>
      </c>
      <c r="N280" s="116">
        <f t="shared" si="60"/>
        <v>312301.95999999996</v>
      </c>
      <c r="O280" s="123">
        <f t="shared" si="61"/>
        <v>206.00393139841685</v>
      </c>
      <c r="P280" s="5"/>
      <c r="Q280" s="5">
        <f t="shared" si="55"/>
        <v>1</v>
      </c>
      <c r="R280" s="7">
        <f t="shared" si="56"/>
        <v>1516</v>
      </c>
      <c r="S280" s="5">
        <f t="shared" si="57"/>
        <v>1</v>
      </c>
      <c r="T280" s="7">
        <f t="shared" si="58"/>
        <v>1516</v>
      </c>
    </row>
    <row r="281" spans="1:20">
      <c r="A281" s="23" t="s">
        <v>312</v>
      </c>
      <c r="B281" s="35" t="s">
        <v>300</v>
      </c>
      <c r="C281" s="36">
        <v>4019</v>
      </c>
      <c r="D281" s="6"/>
      <c r="E281" s="113">
        <v>1804845506</v>
      </c>
      <c r="F281" s="116">
        <f t="shared" si="51"/>
        <v>449078.25478974869</v>
      </c>
      <c r="G281" s="117">
        <v>1546615892</v>
      </c>
      <c r="H281" s="117">
        <f t="shared" si="52"/>
        <v>384826.04926598654</v>
      </c>
      <c r="I281" s="7"/>
      <c r="J281" s="10">
        <v>3.5512000000000001</v>
      </c>
      <c r="K281" s="117">
        <v>5492342</v>
      </c>
      <c r="L281" s="120">
        <f t="shared" si="62"/>
        <v>1366.5941776561333</v>
      </c>
      <c r="M281" s="122">
        <f t="shared" si="59"/>
        <v>15466158.92</v>
      </c>
      <c r="N281" s="116">
        <f t="shared" si="60"/>
        <v>9973816.9199999999</v>
      </c>
      <c r="O281" s="123">
        <f t="shared" si="61"/>
        <v>2481.6663150037321</v>
      </c>
      <c r="P281" s="5"/>
      <c r="Q281" s="5">
        <f t="shared" si="55"/>
        <v>1</v>
      </c>
      <c r="R281" s="7">
        <f t="shared" si="56"/>
        <v>4019</v>
      </c>
      <c r="S281" s="5">
        <f t="shared" si="57"/>
        <v>1</v>
      </c>
      <c r="T281" s="7">
        <f t="shared" si="58"/>
        <v>4019</v>
      </c>
    </row>
    <row r="282" spans="1:20">
      <c r="A282" s="23" t="s">
        <v>313</v>
      </c>
      <c r="B282" s="35" t="s">
        <v>300</v>
      </c>
      <c r="C282" s="36">
        <v>2472</v>
      </c>
      <c r="D282" s="6"/>
      <c r="E282" s="113">
        <v>342801873</v>
      </c>
      <c r="F282" s="116">
        <f t="shared" si="51"/>
        <v>138673.89684466019</v>
      </c>
      <c r="G282" s="117">
        <v>274171136</v>
      </c>
      <c r="H282" s="117">
        <f t="shared" si="52"/>
        <v>110910.65372168284</v>
      </c>
      <c r="I282" s="7"/>
      <c r="J282" s="10">
        <v>3.1</v>
      </c>
      <c r="K282" s="117">
        <v>849930</v>
      </c>
      <c r="L282" s="120">
        <f t="shared" si="62"/>
        <v>343.82281553398059</v>
      </c>
      <c r="M282" s="122">
        <f t="shared" si="59"/>
        <v>2741711.36</v>
      </c>
      <c r="N282" s="116">
        <f t="shared" si="60"/>
        <v>1891781.3599999999</v>
      </c>
      <c r="O282" s="123">
        <f t="shared" si="61"/>
        <v>765.28372168284784</v>
      </c>
      <c r="P282" s="5"/>
      <c r="Q282" s="5">
        <f t="shared" si="55"/>
        <v>1</v>
      </c>
      <c r="R282" s="7">
        <f t="shared" si="56"/>
        <v>2472</v>
      </c>
      <c r="S282" s="5">
        <f t="shared" si="57"/>
        <v>1</v>
      </c>
      <c r="T282" s="7">
        <f t="shared" si="58"/>
        <v>2472</v>
      </c>
    </row>
    <row r="283" spans="1:20">
      <c r="A283" s="23" t="s">
        <v>314</v>
      </c>
      <c r="B283" s="35" t="s">
        <v>300</v>
      </c>
      <c r="C283" s="36">
        <v>3591</v>
      </c>
      <c r="D283" s="6"/>
      <c r="E283" s="113">
        <v>1034306038</v>
      </c>
      <c r="F283" s="116">
        <f t="shared" si="51"/>
        <v>288027.30103035364</v>
      </c>
      <c r="G283" s="117">
        <v>835217435</v>
      </c>
      <c r="H283" s="117">
        <f t="shared" si="52"/>
        <v>232586.30882762463</v>
      </c>
      <c r="I283" s="7"/>
      <c r="J283" s="10">
        <v>3.5</v>
      </c>
      <c r="K283" s="117">
        <v>2923261</v>
      </c>
      <c r="L283" s="120">
        <f t="shared" si="62"/>
        <v>814.05207463102204</v>
      </c>
      <c r="M283" s="122">
        <f t="shared" si="59"/>
        <v>8352174.3500000006</v>
      </c>
      <c r="N283" s="116">
        <f t="shared" si="60"/>
        <v>5428913.3500000006</v>
      </c>
      <c r="O283" s="123">
        <f t="shared" si="61"/>
        <v>1511.8110136452244</v>
      </c>
      <c r="P283" s="5"/>
      <c r="Q283" s="5">
        <f t="shared" si="55"/>
        <v>1</v>
      </c>
      <c r="R283" s="7">
        <f t="shared" si="56"/>
        <v>3591</v>
      </c>
      <c r="S283" s="5">
        <f t="shared" si="57"/>
        <v>1</v>
      </c>
      <c r="T283" s="7">
        <f t="shared" si="58"/>
        <v>3591</v>
      </c>
    </row>
    <row r="284" spans="1:20">
      <c r="A284" s="23" t="s">
        <v>315</v>
      </c>
      <c r="B284" s="35" t="s">
        <v>300</v>
      </c>
      <c r="C284" s="36">
        <v>46072</v>
      </c>
      <c r="D284" s="6"/>
      <c r="E284" s="113">
        <v>7762233598</v>
      </c>
      <c r="F284" s="116">
        <f t="shared" si="51"/>
        <v>168480.50004341031</v>
      </c>
      <c r="G284" s="117">
        <v>5916939829</v>
      </c>
      <c r="H284" s="117">
        <f t="shared" si="52"/>
        <v>128428.10880795277</v>
      </c>
      <c r="I284" s="7"/>
      <c r="J284" s="10">
        <v>2.6194999999999999</v>
      </c>
      <c r="K284" s="117">
        <v>15499423</v>
      </c>
      <c r="L284" s="120">
        <f t="shared" si="62"/>
        <v>336.41741187706197</v>
      </c>
      <c r="M284" s="122">
        <f t="shared" si="59"/>
        <v>59169398.289999999</v>
      </c>
      <c r="N284" s="116">
        <f t="shared" si="60"/>
        <v>43669975.289999999</v>
      </c>
      <c r="O284" s="123">
        <f t="shared" si="61"/>
        <v>947.86367620246574</v>
      </c>
      <c r="P284" s="5"/>
      <c r="Q284" s="5">
        <f t="shared" si="55"/>
        <v>1</v>
      </c>
      <c r="R284" s="7">
        <f t="shared" si="56"/>
        <v>46072</v>
      </c>
      <c r="S284" s="5">
        <f t="shared" si="57"/>
        <v>1</v>
      </c>
      <c r="T284" s="7">
        <f t="shared" si="58"/>
        <v>46072</v>
      </c>
    </row>
    <row r="285" spans="1:20">
      <c r="A285" s="23" t="s">
        <v>316</v>
      </c>
      <c r="B285" s="35" t="s">
        <v>300</v>
      </c>
      <c r="C285" s="36">
        <v>378</v>
      </c>
      <c r="D285" s="6"/>
      <c r="E285" s="113">
        <v>236554639</v>
      </c>
      <c r="F285" s="116">
        <f t="shared" si="51"/>
        <v>625805.92328042327</v>
      </c>
      <c r="G285" s="117">
        <v>183343417</v>
      </c>
      <c r="H285" s="117">
        <f t="shared" si="52"/>
        <v>485035.49470899469</v>
      </c>
      <c r="I285" s="7"/>
      <c r="J285" s="10">
        <v>4.3368000000000002</v>
      </c>
      <c r="K285" s="117">
        <v>795123</v>
      </c>
      <c r="L285" s="120">
        <f t="shared" si="62"/>
        <v>2103.5</v>
      </c>
      <c r="M285" s="122">
        <f t="shared" si="59"/>
        <v>1833434.17</v>
      </c>
      <c r="N285" s="116">
        <f t="shared" si="60"/>
        <v>1038311.1699999999</v>
      </c>
      <c r="O285" s="123">
        <f t="shared" si="61"/>
        <v>2746.854947089947</v>
      </c>
      <c r="P285" s="5"/>
      <c r="Q285" s="5">
        <f t="shared" si="55"/>
        <v>1</v>
      </c>
      <c r="R285" s="7">
        <f t="shared" si="56"/>
        <v>378</v>
      </c>
      <c r="S285" s="5">
        <f t="shared" si="57"/>
        <v>1</v>
      </c>
      <c r="T285" s="7">
        <f t="shared" si="58"/>
        <v>378</v>
      </c>
    </row>
    <row r="286" spans="1:20">
      <c r="A286" s="23" t="s">
        <v>317</v>
      </c>
      <c r="B286" s="35" t="s">
        <v>300</v>
      </c>
      <c r="C286" s="36">
        <v>3473</v>
      </c>
      <c r="D286" s="6"/>
      <c r="E286" s="113">
        <v>296246731</v>
      </c>
      <c r="F286" s="116">
        <f t="shared" ref="F286:F349" si="63">(E286/C286)</f>
        <v>85299.951338900093</v>
      </c>
      <c r="G286" s="117">
        <v>189177863</v>
      </c>
      <c r="H286" s="117">
        <f t="shared" ref="H286:H349" si="64">(G286/C286)</f>
        <v>54471.023034840196</v>
      </c>
      <c r="I286" s="7"/>
      <c r="J286" s="10">
        <v>5.3163999999999998</v>
      </c>
      <c r="K286" s="117">
        <v>1005745</v>
      </c>
      <c r="L286" s="120">
        <f t="shared" si="62"/>
        <v>289.5896919090124</v>
      </c>
      <c r="M286" s="122">
        <f t="shared" si="59"/>
        <v>1891778.6300000001</v>
      </c>
      <c r="N286" s="116">
        <f t="shared" si="60"/>
        <v>886033.63000000012</v>
      </c>
      <c r="O286" s="123">
        <f t="shared" si="61"/>
        <v>255.12053843938961</v>
      </c>
      <c r="P286" s="5"/>
      <c r="Q286" s="5">
        <f t="shared" si="55"/>
        <v>1</v>
      </c>
      <c r="R286" s="7">
        <f t="shared" si="56"/>
        <v>3473</v>
      </c>
      <c r="S286" s="5">
        <f t="shared" si="57"/>
        <v>1</v>
      </c>
      <c r="T286" s="7">
        <f t="shared" si="58"/>
        <v>3473</v>
      </c>
    </row>
    <row r="287" spans="1:20">
      <c r="A287" s="23" t="s">
        <v>318</v>
      </c>
      <c r="B287" s="35" t="s">
        <v>300</v>
      </c>
      <c r="C287" s="36">
        <v>9105</v>
      </c>
      <c r="D287" s="6"/>
      <c r="E287" s="113">
        <v>551702810</v>
      </c>
      <c r="F287" s="116">
        <f t="shared" si="63"/>
        <v>60593.389346512908</v>
      </c>
      <c r="G287" s="117">
        <v>427935457</v>
      </c>
      <c r="H287" s="117">
        <f t="shared" si="64"/>
        <v>47000.050192202085</v>
      </c>
      <c r="I287" s="7"/>
      <c r="J287" s="10">
        <v>8.35</v>
      </c>
      <c r="K287" s="117">
        <v>3573261</v>
      </c>
      <c r="L287" s="120">
        <f t="shared" si="62"/>
        <v>392.4504118616145</v>
      </c>
      <c r="M287" s="122">
        <f t="shared" si="59"/>
        <v>4279354.57</v>
      </c>
      <c r="N287" s="116">
        <f t="shared" si="60"/>
        <v>706093.5700000003</v>
      </c>
      <c r="O287" s="123">
        <f t="shared" si="61"/>
        <v>77.550090060406404</v>
      </c>
      <c r="P287" s="5"/>
      <c r="Q287" s="5">
        <f t="shared" si="55"/>
        <v>1</v>
      </c>
      <c r="R287" s="7">
        <f t="shared" si="56"/>
        <v>9105</v>
      </c>
      <c r="S287" s="5">
        <f t="shared" si="57"/>
        <v>1</v>
      </c>
      <c r="T287" s="7">
        <f t="shared" si="58"/>
        <v>9105</v>
      </c>
    </row>
    <row r="288" spans="1:20">
      <c r="A288" s="24" t="s">
        <v>628</v>
      </c>
      <c r="B288" s="35" t="s">
        <v>300</v>
      </c>
      <c r="C288" s="36">
        <v>35574</v>
      </c>
      <c r="D288" s="6"/>
      <c r="E288" s="113">
        <v>1801184703</v>
      </c>
      <c r="F288" s="116">
        <f t="shared" si="63"/>
        <v>50632.054393658291</v>
      </c>
      <c r="G288" s="117">
        <v>1174102665</v>
      </c>
      <c r="H288" s="117">
        <f t="shared" si="64"/>
        <v>33004.516360263115</v>
      </c>
      <c r="I288" s="7"/>
      <c r="J288" s="10">
        <v>8.4</v>
      </c>
      <c r="K288" s="117">
        <v>9862462</v>
      </c>
      <c r="L288" s="120">
        <f t="shared" si="62"/>
        <v>277.23792657558892</v>
      </c>
      <c r="M288" s="122">
        <f t="shared" si="59"/>
        <v>11741026.65</v>
      </c>
      <c r="N288" s="116">
        <f t="shared" si="60"/>
        <v>1878564.6500000004</v>
      </c>
      <c r="O288" s="123">
        <f t="shared" si="61"/>
        <v>52.807237027042234</v>
      </c>
      <c r="P288" s="5"/>
      <c r="Q288" s="5">
        <f t="shared" si="55"/>
        <v>1</v>
      </c>
      <c r="R288" s="7">
        <f t="shared" si="56"/>
        <v>35574</v>
      </c>
      <c r="S288" s="5">
        <f t="shared" si="57"/>
        <v>1</v>
      </c>
      <c r="T288" s="7">
        <f t="shared" si="58"/>
        <v>35574</v>
      </c>
    </row>
    <row r="289" spans="1:20">
      <c r="A289" s="23" t="s">
        <v>319</v>
      </c>
      <c r="B289" s="35" t="s">
        <v>300</v>
      </c>
      <c r="C289" s="36">
        <v>9526</v>
      </c>
      <c r="D289" s="6"/>
      <c r="E289" s="113">
        <v>886144227</v>
      </c>
      <c r="F289" s="116">
        <f t="shared" si="63"/>
        <v>93023.748372874237</v>
      </c>
      <c r="G289" s="117">
        <v>619105777</v>
      </c>
      <c r="H289" s="117">
        <f t="shared" si="64"/>
        <v>64991.158618517744</v>
      </c>
      <c r="I289" s="7"/>
      <c r="J289" s="10">
        <v>7.3318000000000003</v>
      </c>
      <c r="K289" s="117">
        <v>4539159</v>
      </c>
      <c r="L289" s="120">
        <f t="shared" si="62"/>
        <v>476.50209951711105</v>
      </c>
      <c r="M289" s="122">
        <f t="shared" si="59"/>
        <v>6191057.7700000005</v>
      </c>
      <c r="N289" s="116">
        <f t="shared" si="60"/>
        <v>1651898.7700000005</v>
      </c>
      <c r="O289" s="123">
        <f t="shared" si="61"/>
        <v>173.40948666806639</v>
      </c>
      <c r="P289" s="5"/>
      <c r="Q289" s="5">
        <f t="shared" si="55"/>
        <v>1</v>
      </c>
      <c r="R289" s="7">
        <f t="shared" si="56"/>
        <v>9526</v>
      </c>
      <c r="S289" s="5">
        <f t="shared" si="57"/>
        <v>1</v>
      </c>
      <c r="T289" s="7">
        <f t="shared" si="58"/>
        <v>9526</v>
      </c>
    </row>
    <row r="290" spans="1:20">
      <c r="A290" s="23" t="s">
        <v>320</v>
      </c>
      <c r="B290" s="35" t="s">
        <v>300</v>
      </c>
      <c r="C290" s="36">
        <v>339</v>
      </c>
      <c r="D290" s="6"/>
      <c r="E290" s="113">
        <v>760572989</v>
      </c>
      <c r="F290" s="116">
        <f t="shared" si="63"/>
        <v>2243578.1386430678</v>
      </c>
      <c r="G290" s="117">
        <v>692740918</v>
      </c>
      <c r="H290" s="117">
        <f t="shared" si="64"/>
        <v>2043483.5339233039</v>
      </c>
      <c r="I290" s="7"/>
      <c r="J290" s="10">
        <v>3.0322</v>
      </c>
      <c r="K290" s="117">
        <v>2100529</v>
      </c>
      <c r="L290" s="120">
        <f t="shared" si="62"/>
        <v>6196.2507374631268</v>
      </c>
      <c r="M290" s="122">
        <f t="shared" si="59"/>
        <v>6927409.1799999997</v>
      </c>
      <c r="N290" s="116">
        <f t="shared" si="60"/>
        <v>4826880.18</v>
      </c>
      <c r="O290" s="123">
        <f t="shared" si="61"/>
        <v>14238.584601769911</v>
      </c>
      <c r="P290" s="5"/>
      <c r="Q290" s="5">
        <f t="shared" si="55"/>
        <v>1</v>
      </c>
      <c r="R290" s="7">
        <f t="shared" si="56"/>
        <v>339</v>
      </c>
      <c r="S290" s="5">
        <f t="shared" si="57"/>
        <v>1</v>
      </c>
      <c r="T290" s="7">
        <f t="shared" si="58"/>
        <v>339</v>
      </c>
    </row>
    <row r="291" spans="1:20">
      <c r="A291" s="23" t="s">
        <v>321</v>
      </c>
      <c r="B291" s="35" t="s">
        <v>300</v>
      </c>
      <c r="C291" s="36">
        <v>2519</v>
      </c>
      <c r="D291" s="6"/>
      <c r="E291" s="113">
        <v>165531149</v>
      </c>
      <c r="F291" s="116">
        <f t="shared" si="63"/>
        <v>65713.040492258835</v>
      </c>
      <c r="G291" s="117">
        <v>141313979</v>
      </c>
      <c r="H291" s="117">
        <f t="shared" si="64"/>
        <v>56099.237395791984</v>
      </c>
      <c r="I291" s="7"/>
      <c r="J291" s="10">
        <v>8.99</v>
      </c>
      <c r="K291" s="117">
        <v>1270412</v>
      </c>
      <c r="L291" s="120">
        <f t="shared" si="62"/>
        <v>504.33187772925766</v>
      </c>
      <c r="M291" s="122">
        <f t="shared" si="59"/>
        <v>1413139.79</v>
      </c>
      <c r="N291" s="116">
        <f t="shared" si="60"/>
        <v>142727.79000000004</v>
      </c>
      <c r="O291" s="123">
        <f t="shared" si="61"/>
        <v>56.660496228662183</v>
      </c>
      <c r="P291" s="5"/>
      <c r="Q291" s="5">
        <f t="shared" si="55"/>
        <v>1</v>
      </c>
      <c r="R291" s="7">
        <f t="shared" si="56"/>
        <v>2519</v>
      </c>
      <c r="S291" s="5">
        <f t="shared" si="57"/>
        <v>1</v>
      </c>
      <c r="T291" s="7">
        <f t="shared" si="58"/>
        <v>2519</v>
      </c>
    </row>
    <row r="292" spans="1:20">
      <c r="A292" s="23" t="s">
        <v>322</v>
      </c>
      <c r="B292" s="35" t="s">
        <v>300</v>
      </c>
      <c r="C292" s="36">
        <v>12535</v>
      </c>
      <c r="D292" s="6"/>
      <c r="E292" s="113">
        <v>2017516534</v>
      </c>
      <c r="F292" s="116">
        <f t="shared" si="63"/>
        <v>160950.66086956521</v>
      </c>
      <c r="G292" s="117">
        <v>1436012602</v>
      </c>
      <c r="H292" s="117">
        <f t="shared" si="64"/>
        <v>114560.2394894296</v>
      </c>
      <c r="I292" s="7"/>
      <c r="J292" s="10">
        <v>7.27</v>
      </c>
      <c r="K292" s="117">
        <v>10439811</v>
      </c>
      <c r="L292" s="120">
        <f t="shared" si="62"/>
        <v>832.85289190267247</v>
      </c>
      <c r="M292" s="122">
        <f t="shared" si="59"/>
        <v>14360126.02</v>
      </c>
      <c r="N292" s="116">
        <f t="shared" si="60"/>
        <v>3920315.0199999996</v>
      </c>
      <c r="O292" s="123">
        <f t="shared" si="61"/>
        <v>312.74950299162344</v>
      </c>
      <c r="P292" s="5"/>
      <c r="Q292" s="5">
        <f t="shared" si="55"/>
        <v>1</v>
      </c>
      <c r="R292" s="7">
        <f t="shared" si="56"/>
        <v>12535</v>
      </c>
      <c r="S292" s="5">
        <f t="shared" si="57"/>
        <v>1</v>
      </c>
      <c r="T292" s="7">
        <f t="shared" si="58"/>
        <v>12535</v>
      </c>
    </row>
    <row r="293" spans="1:20">
      <c r="A293" s="23" t="s">
        <v>323</v>
      </c>
      <c r="B293" s="35" t="s">
        <v>300</v>
      </c>
      <c r="C293" s="36">
        <v>1657</v>
      </c>
      <c r="D293" s="6"/>
      <c r="E293" s="113">
        <v>766479896</v>
      </c>
      <c r="F293" s="116">
        <f t="shared" si="63"/>
        <v>462570.84852142428</v>
      </c>
      <c r="G293" s="117">
        <v>602141940</v>
      </c>
      <c r="H293" s="117">
        <f t="shared" si="64"/>
        <v>363392.84248642123</v>
      </c>
      <c r="I293" s="7"/>
      <c r="J293" s="10">
        <v>4.25</v>
      </c>
      <c r="K293" s="117">
        <v>2559103</v>
      </c>
      <c r="L293" s="120">
        <f t="shared" si="62"/>
        <v>1544.4194327097164</v>
      </c>
      <c r="M293" s="122">
        <f t="shared" si="59"/>
        <v>6021419.4000000004</v>
      </c>
      <c r="N293" s="116">
        <f t="shared" si="60"/>
        <v>3462316.4000000004</v>
      </c>
      <c r="O293" s="123">
        <f t="shared" si="61"/>
        <v>2089.5089921544964</v>
      </c>
      <c r="P293" s="5"/>
      <c r="Q293" s="5">
        <f t="shared" si="55"/>
        <v>1</v>
      </c>
      <c r="R293" s="7">
        <f t="shared" si="56"/>
        <v>1657</v>
      </c>
      <c r="S293" s="5">
        <f t="shared" si="57"/>
        <v>1</v>
      </c>
      <c r="T293" s="7">
        <f t="shared" si="58"/>
        <v>1657</v>
      </c>
    </row>
    <row r="294" spans="1:20">
      <c r="A294" s="23" t="s">
        <v>324</v>
      </c>
      <c r="B294" s="35" t="s">
        <v>300</v>
      </c>
      <c r="C294" s="36">
        <v>6240</v>
      </c>
      <c r="D294" s="6"/>
      <c r="E294" s="113">
        <v>171305190</v>
      </c>
      <c r="F294" s="116">
        <f t="shared" si="63"/>
        <v>27452.754807692309</v>
      </c>
      <c r="G294" s="117">
        <v>74702316</v>
      </c>
      <c r="H294" s="117">
        <f t="shared" si="64"/>
        <v>11971.525</v>
      </c>
      <c r="I294" s="7"/>
      <c r="J294" s="10">
        <v>8.75</v>
      </c>
      <c r="K294" s="117">
        <v>653645</v>
      </c>
      <c r="L294" s="120">
        <f t="shared" si="62"/>
        <v>104.75080128205128</v>
      </c>
      <c r="M294" s="122">
        <f t="shared" si="59"/>
        <v>747023.16</v>
      </c>
      <c r="N294" s="116">
        <f t="shared" si="60"/>
        <v>93378.160000000033</v>
      </c>
      <c r="O294" s="123">
        <f t="shared" si="61"/>
        <v>14.964448717948724</v>
      </c>
      <c r="P294" s="5"/>
      <c r="Q294" s="5">
        <f t="shared" si="55"/>
        <v>1</v>
      </c>
      <c r="R294" s="7">
        <f t="shared" si="56"/>
        <v>6240</v>
      </c>
      <c r="S294" s="5">
        <f t="shared" si="57"/>
        <v>1</v>
      </c>
      <c r="T294" s="7">
        <f t="shared" si="58"/>
        <v>6240</v>
      </c>
    </row>
    <row r="295" spans="1:20">
      <c r="A295" s="23" t="s">
        <v>300</v>
      </c>
      <c r="B295" s="35" t="s">
        <v>300</v>
      </c>
      <c r="C295" s="36">
        <v>9662</v>
      </c>
      <c r="D295" s="6"/>
      <c r="E295" s="113">
        <v>11097072578</v>
      </c>
      <c r="F295" s="116">
        <f t="shared" si="63"/>
        <v>1148527.4868557234</v>
      </c>
      <c r="G295" s="117">
        <v>9132547880</v>
      </c>
      <c r="H295" s="117">
        <f t="shared" si="64"/>
        <v>945202.63713516865</v>
      </c>
      <c r="I295" s="7"/>
      <c r="J295" s="10">
        <v>3.9594</v>
      </c>
      <c r="K295" s="117">
        <v>36159410</v>
      </c>
      <c r="L295" s="120">
        <f t="shared" si="62"/>
        <v>3742.4353135996689</v>
      </c>
      <c r="M295" s="122">
        <f t="shared" si="59"/>
        <v>91325478.799999997</v>
      </c>
      <c r="N295" s="116">
        <f t="shared" si="60"/>
        <v>55166068.799999997</v>
      </c>
      <c r="O295" s="123">
        <f t="shared" si="61"/>
        <v>5709.5910577520181</v>
      </c>
      <c r="P295" s="5"/>
      <c r="Q295" s="5">
        <f t="shared" si="55"/>
        <v>1</v>
      </c>
      <c r="R295" s="7">
        <f t="shared" si="56"/>
        <v>9662</v>
      </c>
      <c r="S295" s="5">
        <f t="shared" si="57"/>
        <v>1</v>
      </c>
      <c r="T295" s="7">
        <f t="shared" si="58"/>
        <v>9662</v>
      </c>
    </row>
    <row r="296" spans="1:20">
      <c r="A296" s="23" t="s">
        <v>325</v>
      </c>
      <c r="B296" s="35" t="s">
        <v>300</v>
      </c>
      <c r="C296" s="36">
        <v>42384</v>
      </c>
      <c r="D296" s="6"/>
      <c r="E296" s="113">
        <v>7427686702</v>
      </c>
      <c r="F296" s="116">
        <f t="shared" si="63"/>
        <v>175247.4212438656</v>
      </c>
      <c r="G296" s="117">
        <v>6046748679</v>
      </c>
      <c r="H296" s="117">
        <f t="shared" si="64"/>
        <v>142665.83330973954</v>
      </c>
      <c r="I296" s="9"/>
      <c r="J296" s="10">
        <v>5.7679999999999998</v>
      </c>
      <c r="K296" s="117">
        <v>34877646</v>
      </c>
      <c r="L296" s="120">
        <f t="shared" si="62"/>
        <v>822.89651755379384</v>
      </c>
      <c r="M296" s="122">
        <f t="shared" si="59"/>
        <v>60467486.789999999</v>
      </c>
      <c r="N296" s="116">
        <f t="shared" si="60"/>
        <v>25589840.789999999</v>
      </c>
      <c r="O296" s="123">
        <f t="shared" si="61"/>
        <v>603.7618155436013</v>
      </c>
      <c r="P296" s="5"/>
      <c r="Q296" s="5">
        <f t="shared" si="55"/>
        <v>1</v>
      </c>
      <c r="R296" s="7">
        <f t="shared" si="56"/>
        <v>42384</v>
      </c>
      <c r="S296" s="5">
        <f t="shared" si="57"/>
        <v>1</v>
      </c>
      <c r="T296" s="7">
        <f t="shared" si="58"/>
        <v>42384</v>
      </c>
    </row>
    <row r="297" spans="1:20">
      <c r="A297" s="23" t="s">
        <v>326</v>
      </c>
      <c r="B297" s="35" t="s">
        <v>300</v>
      </c>
      <c r="C297" s="36">
        <v>1474</v>
      </c>
      <c r="D297" s="6"/>
      <c r="E297" s="113">
        <v>451073869</v>
      </c>
      <c r="F297" s="116">
        <f t="shared" si="63"/>
        <v>306020.26390773407</v>
      </c>
      <c r="G297" s="117">
        <v>402249044</v>
      </c>
      <c r="H297" s="117">
        <f t="shared" si="64"/>
        <v>272896.23066485755</v>
      </c>
      <c r="I297" s="7"/>
      <c r="J297" s="10">
        <v>6.35</v>
      </c>
      <c r="K297" s="117">
        <v>2554281</v>
      </c>
      <c r="L297" s="120">
        <f t="shared" si="62"/>
        <v>1732.8907734056988</v>
      </c>
      <c r="M297" s="122">
        <f t="shared" si="59"/>
        <v>4022490.44</v>
      </c>
      <c r="N297" s="116">
        <f t="shared" si="60"/>
        <v>1468209.44</v>
      </c>
      <c r="O297" s="123">
        <f t="shared" si="61"/>
        <v>996.07153324287651</v>
      </c>
      <c r="P297" s="5"/>
      <c r="Q297" s="5">
        <f t="shared" si="55"/>
        <v>1</v>
      </c>
      <c r="R297" s="7">
        <f t="shared" si="56"/>
        <v>1474</v>
      </c>
      <c r="S297" s="5">
        <f t="shared" si="57"/>
        <v>1</v>
      </c>
      <c r="T297" s="7">
        <f t="shared" si="58"/>
        <v>1474</v>
      </c>
    </row>
    <row r="298" spans="1:20">
      <c r="A298" s="23" t="s">
        <v>327</v>
      </c>
      <c r="B298" s="35" t="s">
        <v>300</v>
      </c>
      <c r="C298" s="36">
        <v>13853</v>
      </c>
      <c r="D298" s="6"/>
      <c r="E298" s="113">
        <v>673258836</v>
      </c>
      <c r="F298" s="116">
        <f t="shared" si="63"/>
        <v>48600.219158305059</v>
      </c>
      <c r="G298" s="117">
        <v>453232893</v>
      </c>
      <c r="H298" s="117">
        <f t="shared" si="64"/>
        <v>32717.309824586733</v>
      </c>
      <c r="I298" s="7"/>
      <c r="J298" s="10">
        <v>4.7713999999999999</v>
      </c>
      <c r="K298" s="117">
        <v>2162555</v>
      </c>
      <c r="L298" s="120">
        <f t="shared" si="62"/>
        <v>156.10734137010033</v>
      </c>
      <c r="M298" s="122">
        <f t="shared" si="59"/>
        <v>4532328.93</v>
      </c>
      <c r="N298" s="116">
        <f t="shared" si="60"/>
        <v>2369773.9299999997</v>
      </c>
      <c r="O298" s="123">
        <f t="shared" si="61"/>
        <v>171.06575687576697</v>
      </c>
      <c r="P298" s="5"/>
      <c r="Q298" s="5">
        <f t="shared" si="55"/>
        <v>1</v>
      </c>
      <c r="R298" s="7">
        <f t="shared" si="56"/>
        <v>13853</v>
      </c>
      <c r="S298" s="5">
        <f t="shared" si="57"/>
        <v>1</v>
      </c>
      <c r="T298" s="7">
        <f t="shared" si="58"/>
        <v>13853</v>
      </c>
    </row>
    <row r="299" spans="1:20">
      <c r="A299" s="23" t="s">
        <v>328</v>
      </c>
      <c r="B299" s="35" t="s">
        <v>300</v>
      </c>
      <c r="C299" s="36">
        <v>32916</v>
      </c>
      <c r="D299" s="6"/>
      <c r="E299" s="113">
        <v>3212745294</v>
      </c>
      <c r="F299" s="116">
        <f t="shared" si="63"/>
        <v>97604.365475756465</v>
      </c>
      <c r="G299" s="117">
        <v>2362091391</v>
      </c>
      <c r="H299" s="117">
        <f t="shared" si="64"/>
        <v>71761.191851986878</v>
      </c>
      <c r="I299" s="7"/>
      <c r="J299" s="10">
        <v>9.5</v>
      </c>
      <c r="K299" s="117">
        <v>22439868</v>
      </c>
      <c r="L299" s="120">
        <f t="shared" si="62"/>
        <v>681.7313160772876</v>
      </c>
      <c r="M299" s="122">
        <f t="shared" si="59"/>
        <v>23620913.91</v>
      </c>
      <c r="N299" s="116">
        <f t="shared" si="60"/>
        <v>1181045.9100000001</v>
      </c>
      <c r="O299" s="123">
        <f t="shared" si="61"/>
        <v>35.880602442581122</v>
      </c>
      <c r="P299" s="5"/>
      <c r="Q299" s="5">
        <f t="shared" si="55"/>
        <v>1</v>
      </c>
      <c r="R299" s="7">
        <f t="shared" si="56"/>
        <v>32916</v>
      </c>
      <c r="S299" s="5">
        <f t="shared" si="57"/>
        <v>1</v>
      </c>
      <c r="T299" s="7">
        <f t="shared" si="58"/>
        <v>32916</v>
      </c>
    </row>
    <row r="300" spans="1:20">
      <c r="A300" s="23" t="s">
        <v>329</v>
      </c>
      <c r="B300" s="35" t="s">
        <v>300</v>
      </c>
      <c r="C300" s="36">
        <v>29261</v>
      </c>
      <c r="D300" s="6"/>
      <c r="E300" s="113">
        <v>2362402114</v>
      </c>
      <c r="F300" s="116">
        <f t="shared" si="63"/>
        <v>80735.522162605514</v>
      </c>
      <c r="G300" s="117">
        <v>1717749092</v>
      </c>
      <c r="H300" s="117">
        <f t="shared" si="64"/>
        <v>58704.387819965144</v>
      </c>
      <c r="I300" s="7"/>
      <c r="J300" s="10">
        <v>5.89</v>
      </c>
      <c r="K300" s="117">
        <v>10117542</v>
      </c>
      <c r="L300" s="120">
        <f t="shared" si="62"/>
        <v>345.76883906906806</v>
      </c>
      <c r="M300" s="122">
        <f t="shared" si="59"/>
        <v>17177490.920000002</v>
      </c>
      <c r="N300" s="116">
        <f t="shared" si="60"/>
        <v>7059948.9200000018</v>
      </c>
      <c r="O300" s="123">
        <f t="shared" si="61"/>
        <v>241.27503913058342</v>
      </c>
      <c r="P300" s="5"/>
      <c r="Q300" s="5">
        <f t="shared" si="55"/>
        <v>1</v>
      </c>
      <c r="R300" s="7">
        <f t="shared" si="56"/>
        <v>29261</v>
      </c>
      <c r="S300" s="5">
        <f t="shared" si="57"/>
        <v>1</v>
      </c>
      <c r="T300" s="7">
        <f t="shared" si="58"/>
        <v>29261</v>
      </c>
    </row>
    <row r="301" spans="1:20">
      <c r="A301" s="23" t="s">
        <v>330</v>
      </c>
      <c r="B301" s="35" t="s">
        <v>300</v>
      </c>
      <c r="C301" s="36">
        <v>4079</v>
      </c>
      <c r="D301" s="6"/>
      <c r="E301" s="113">
        <v>110327347</v>
      </c>
      <c r="F301" s="116">
        <f t="shared" si="63"/>
        <v>27047.645746506496</v>
      </c>
      <c r="G301" s="117">
        <v>44383452</v>
      </c>
      <c r="H301" s="117">
        <f t="shared" si="64"/>
        <v>10880.963961755333</v>
      </c>
      <c r="I301" s="7"/>
      <c r="J301" s="10">
        <v>9.2888999999999999</v>
      </c>
      <c r="K301" s="117">
        <v>412273</v>
      </c>
      <c r="L301" s="120">
        <f t="shared" si="62"/>
        <v>101.07207648933561</v>
      </c>
      <c r="M301" s="122">
        <f t="shared" si="59"/>
        <v>443834.52</v>
      </c>
      <c r="N301" s="116">
        <f t="shared" si="60"/>
        <v>31561.520000000019</v>
      </c>
      <c r="O301" s="123">
        <f t="shared" si="61"/>
        <v>7.7375631282177046</v>
      </c>
      <c r="P301" s="5"/>
      <c r="Q301" s="5">
        <f t="shared" si="55"/>
        <v>1</v>
      </c>
      <c r="R301" s="7">
        <f t="shared" si="56"/>
        <v>4079</v>
      </c>
      <c r="S301" s="5">
        <f t="shared" si="57"/>
        <v>1</v>
      </c>
      <c r="T301" s="7">
        <f t="shared" si="58"/>
        <v>4079</v>
      </c>
    </row>
    <row r="302" spans="1:20">
      <c r="A302" s="23" t="s">
        <v>331</v>
      </c>
      <c r="B302" s="35" t="s">
        <v>300</v>
      </c>
      <c r="C302" s="36">
        <v>1531</v>
      </c>
      <c r="D302" s="6"/>
      <c r="E302" s="113">
        <v>319893039</v>
      </c>
      <c r="F302" s="116">
        <f t="shared" si="63"/>
        <v>208943.85303723055</v>
      </c>
      <c r="G302" s="117">
        <v>258843492</v>
      </c>
      <c r="H302" s="117">
        <f t="shared" si="64"/>
        <v>169068.25081645983</v>
      </c>
      <c r="I302" s="7"/>
      <c r="J302" s="10">
        <v>6.5</v>
      </c>
      <c r="K302" s="117">
        <v>1682482</v>
      </c>
      <c r="L302" s="120">
        <f t="shared" si="62"/>
        <v>1098.9431743958198</v>
      </c>
      <c r="M302" s="122">
        <f t="shared" si="59"/>
        <v>2588434.92</v>
      </c>
      <c r="N302" s="116">
        <f t="shared" si="60"/>
        <v>905952.91999999993</v>
      </c>
      <c r="O302" s="123">
        <f t="shared" si="61"/>
        <v>591.73933376877858</v>
      </c>
      <c r="P302" s="5"/>
      <c r="Q302" s="5">
        <f t="shared" si="55"/>
        <v>1</v>
      </c>
      <c r="R302" s="7">
        <f t="shared" si="56"/>
        <v>1531</v>
      </c>
      <c r="S302" s="5">
        <f t="shared" si="57"/>
        <v>1</v>
      </c>
      <c r="T302" s="7">
        <f t="shared" si="58"/>
        <v>1531</v>
      </c>
    </row>
    <row r="303" spans="1:20">
      <c r="A303" s="23" t="s">
        <v>332</v>
      </c>
      <c r="B303" s="35" t="s">
        <v>300</v>
      </c>
      <c r="C303" s="36">
        <v>5648</v>
      </c>
      <c r="D303" s="6"/>
      <c r="E303" s="113">
        <v>973979344</v>
      </c>
      <c r="F303" s="116">
        <f t="shared" si="63"/>
        <v>172446.76770538243</v>
      </c>
      <c r="G303" s="117">
        <v>715693712</v>
      </c>
      <c r="H303" s="117">
        <f t="shared" si="64"/>
        <v>126716.30878186969</v>
      </c>
      <c r="I303" s="7"/>
      <c r="J303" s="10">
        <v>6.4980000000000002</v>
      </c>
      <c r="K303" s="117">
        <v>4650577</v>
      </c>
      <c r="L303" s="120">
        <f t="shared" si="62"/>
        <v>823.40244334277622</v>
      </c>
      <c r="M303" s="122">
        <f t="shared" si="59"/>
        <v>7156937.1200000001</v>
      </c>
      <c r="N303" s="116">
        <f t="shared" si="60"/>
        <v>2506360.12</v>
      </c>
      <c r="O303" s="123">
        <f t="shared" si="61"/>
        <v>443.76064447592069</v>
      </c>
      <c r="P303" s="5"/>
      <c r="Q303" s="5">
        <f t="shared" si="55"/>
        <v>1</v>
      </c>
      <c r="R303" s="7">
        <f t="shared" si="56"/>
        <v>5648</v>
      </c>
      <c r="S303" s="5">
        <f t="shared" si="57"/>
        <v>1</v>
      </c>
      <c r="T303" s="7">
        <f t="shared" si="58"/>
        <v>5648</v>
      </c>
    </row>
    <row r="304" spans="1:20">
      <c r="A304" s="23" t="s">
        <v>333</v>
      </c>
      <c r="B304" s="35" t="s">
        <v>300</v>
      </c>
      <c r="C304" s="36">
        <v>49582</v>
      </c>
      <c r="D304" s="6"/>
      <c r="E304" s="113">
        <v>5656067195</v>
      </c>
      <c r="F304" s="116">
        <f t="shared" si="63"/>
        <v>114075.01099189222</v>
      </c>
      <c r="G304" s="117">
        <v>4347193369</v>
      </c>
      <c r="H304" s="117">
        <f t="shared" si="64"/>
        <v>87676.845810979794</v>
      </c>
      <c r="I304" s="7"/>
      <c r="J304" s="10">
        <v>2.7</v>
      </c>
      <c r="K304" s="117">
        <v>11737422</v>
      </c>
      <c r="L304" s="120">
        <f t="shared" si="62"/>
        <v>236.72748174740835</v>
      </c>
      <c r="M304" s="122">
        <f t="shared" si="59"/>
        <v>43471933.689999998</v>
      </c>
      <c r="N304" s="116">
        <f t="shared" si="60"/>
        <v>31734511.689999998</v>
      </c>
      <c r="O304" s="123">
        <f t="shared" si="61"/>
        <v>640.04097636238953</v>
      </c>
      <c r="P304" s="5"/>
      <c r="Q304" s="5">
        <f t="shared" si="55"/>
        <v>1</v>
      </c>
      <c r="R304" s="7">
        <f t="shared" si="56"/>
        <v>49582</v>
      </c>
      <c r="S304" s="5">
        <f t="shared" si="57"/>
        <v>1</v>
      </c>
      <c r="T304" s="7">
        <f t="shared" si="58"/>
        <v>49582</v>
      </c>
    </row>
    <row r="305" spans="1:20">
      <c r="A305" s="23" t="s">
        <v>334</v>
      </c>
      <c r="B305" s="35" t="s">
        <v>300</v>
      </c>
      <c r="C305" s="36">
        <v>97708</v>
      </c>
      <c r="D305" s="6"/>
      <c r="E305" s="113">
        <v>10593511414</v>
      </c>
      <c r="F305" s="116">
        <f t="shared" si="63"/>
        <v>108420.10289843206</v>
      </c>
      <c r="G305" s="117">
        <v>7815059199</v>
      </c>
      <c r="H305" s="117">
        <f t="shared" si="64"/>
        <v>79983.821171244941</v>
      </c>
      <c r="I305" s="7"/>
      <c r="J305" s="10">
        <v>7.9</v>
      </c>
      <c r="K305" s="117">
        <v>61738967</v>
      </c>
      <c r="L305" s="120">
        <f t="shared" si="62"/>
        <v>631.87218037417608</v>
      </c>
      <c r="M305" s="122">
        <f t="shared" si="59"/>
        <v>78150591.989999995</v>
      </c>
      <c r="N305" s="116">
        <f t="shared" si="60"/>
        <v>16411624.989999995</v>
      </c>
      <c r="O305" s="123">
        <f t="shared" si="61"/>
        <v>167.96603133827315</v>
      </c>
      <c r="P305" s="5"/>
      <c r="Q305" s="5">
        <f t="shared" si="55"/>
        <v>1</v>
      </c>
      <c r="R305" s="7">
        <f t="shared" si="56"/>
        <v>97708</v>
      </c>
      <c r="S305" s="5">
        <f t="shared" si="57"/>
        <v>1</v>
      </c>
      <c r="T305" s="7">
        <f t="shared" si="58"/>
        <v>97708</v>
      </c>
    </row>
    <row r="306" spans="1:20">
      <c r="A306" s="23" t="s">
        <v>335</v>
      </c>
      <c r="B306" s="35" t="s">
        <v>336</v>
      </c>
      <c r="C306" s="36">
        <v>6615</v>
      </c>
      <c r="D306" s="6"/>
      <c r="E306" s="113">
        <v>358198808</v>
      </c>
      <c r="F306" s="116">
        <f t="shared" si="63"/>
        <v>54149.479667422522</v>
      </c>
      <c r="G306" s="117">
        <v>196087672</v>
      </c>
      <c r="H306" s="117">
        <f t="shared" si="64"/>
        <v>29642.883144368858</v>
      </c>
      <c r="I306" s="7"/>
      <c r="J306" s="10">
        <v>7.3860000000000001</v>
      </c>
      <c r="K306" s="117">
        <v>1448303</v>
      </c>
      <c r="L306" s="120">
        <f t="shared" si="62"/>
        <v>218.94225245653817</v>
      </c>
      <c r="M306" s="122">
        <f t="shared" si="59"/>
        <v>1960876.72</v>
      </c>
      <c r="N306" s="116">
        <f t="shared" si="60"/>
        <v>512573.72</v>
      </c>
      <c r="O306" s="123">
        <f t="shared" si="61"/>
        <v>77.486578987150409</v>
      </c>
      <c r="P306" s="5"/>
      <c r="Q306" s="5">
        <f t="shared" si="55"/>
        <v>1</v>
      </c>
      <c r="R306" s="7">
        <f t="shared" si="56"/>
        <v>6615</v>
      </c>
      <c r="S306" s="5">
        <f t="shared" si="57"/>
        <v>1</v>
      </c>
      <c r="T306" s="7">
        <f t="shared" si="58"/>
        <v>6615</v>
      </c>
    </row>
    <row r="307" spans="1:20">
      <c r="A307" s="23" t="s">
        <v>337</v>
      </c>
      <c r="B307" s="35" t="s">
        <v>336</v>
      </c>
      <c r="C307" s="36">
        <v>16334</v>
      </c>
      <c r="D307" s="6"/>
      <c r="E307" s="113">
        <v>875841237</v>
      </c>
      <c r="F307" s="116">
        <f t="shared" si="63"/>
        <v>53620.744275743848</v>
      </c>
      <c r="G307" s="117">
        <v>592846200</v>
      </c>
      <c r="H307" s="117">
        <f t="shared" si="64"/>
        <v>36295.224684706744</v>
      </c>
      <c r="I307" s="7"/>
      <c r="J307" s="10">
        <v>7</v>
      </c>
      <c r="K307" s="117">
        <v>4149923</v>
      </c>
      <c r="L307" s="120">
        <f t="shared" si="62"/>
        <v>254.06654830415084</v>
      </c>
      <c r="M307" s="122">
        <f t="shared" si="59"/>
        <v>5928462</v>
      </c>
      <c r="N307" s="116">
        <f t="shared" si="60"/>
        <v>1778539</v>
      </c>
      <c r="O307" s="123">
        <f t="shared" si="61"/>
        <v>108.88569854291661</v>
      </c>
      <c r="P307" s="5"/>
      <c r="Q307" s="5">
        <f t="shared" si="55"/>
        <v>1</v>
      </c>
      <c r="R307" s="7">
        <f t="shared" si="56"/>
        <v>16334</v>
      </c>
      <c r="S307" s="5">
        <f t="shared" si="57"/>
        <v>1</v>
      </c>
      <c r="T307" s="7">
        <f t="shared" si="58"/>
        <v>16334</v>
      </c>
    </row>
    <row r="308" spans="1:20">
      <c r="A308" s="23" t="s">
        <v>338</v>
      </c>
      <c r="B308" s="35" t="s">
        <v>336</v>
      </c>
      <c r="C308" s="36">
        <v>3167</v>
      </c>
      <c r="D308" s="6"/>
      <c r="E308" s="113">
        <v>324505130</v>
      </c>
      <c r="F308" s="116">
        <f t="shared" si="63"/>
        <v>102464.51847173982</v>
      </c>
      <c r="G308" s="117">
        <v>255689592</v>
      </c>
      <c r="H308" s="117">
        <f t="shared" si="64"/>
        <v>80735.583201768241</v>
      </c>
      <c r="I308" s="7"/>
      <c r="J308" s="10">
        <v>5.82</v>
      </c>
      <c r="K308" s="117">
        <v>1488113</v>
      </c>
      <c r="L308" s="120">
        <f t="shared" si="62"/>
        <v>469.880959898958</v>
      </c>
      <c r="M308" s="122">
        <f t="shared" si="59"/>
        <v>2556895.92</v>
      </c>
      <c r="N308" s="116">
        <f t="shared" si="60"/>
        <v>1068782.92</v>
      </c>
      <c r="O308" s="123">
        <f t="shared" si="61"/>
        <v>337.47487211872431</v>
      </c>
      <c r="P308" s="5"/>
      <c r="Q308" s="5">
        <f t="shared" si="55"/>
        <v>1</v>
      </c>
      <c r="R308" s="7">
        <f t="shared" si="56"/>
        <v>3167</v>
      </c>
      <c r="S308" s="5">
        <f t="shared" si="57"/>
        <v>1</v>
      </c>
      <c r="T308" s="7">
        <f t="shared" si="58"/>
        <v>3167</v>
      </c>
    </row>
    <row r="309" spans="1:20">
      <c r="A309" s="23" t="s">
        <v>339</v>
      </c>
      <c r="B309" s="35" t="s">
        <v>336</v>
      </c>
      <c r="C309" s="36">
        <v>828</v>
      </c>
      <c r="D309" s="6"/>
      <c r="E309" s="113">
        <v>59531634</v>
      </c>
      <c r="F309" s="116">
        <f t="shared" si="63"/>
        <v>71898.108695652176</v>
      </c>
      <c r="G309" s="117">
        <v>34804642</v>
      </c>
      <c r="H309" s="117">
        <f t="shared" si="64"/>
        <v>42034.591787439611</v>
      </c>
      <c r="I309" s="7"/>
      <c r="J309" s="10">
        <v>2.4155000000000002</v>
      </c>
      <c r="K309" s="117">
        <v>84070</v>
      </c>
      <c r="L309" s="120">
        <f t="shared" ref="L309:L340" si="65">(K309/C309)</f>
        <v>101.53381642512078</v>
      </c>
      <c r="M309" s="122">
        <f t="shared" si="59"/>
        <v>348046.42</v>
      </c>
      <c r="N309" s="116">
        <f t="shared" si="60"/>
        <v>263976.42</v>
      </c>
      <c r="O309" s="123">
        <f t="shared" si="61"/>
        <v>318.81210144927536</v>
      </c>
      <c r="P309" s="5"/>
      <c r="Q309" s="5">
        <f t="shared" si="55"/>
        <v>1</v>
      </c>
      <c r="R309" s="7">
        <f t="shared" si="56"/>
        <v>828</v>
      </c>
      <c r="S309" s="5">
        <f t="shared" si="57"/>
        <v>1</v>
      </c>
      <c r="T309" s="7">
        <f t="shared" si="58"/>
        <v>828</v>
      </c>
    </row>
    <row r="310" spans="1:20">
      <c r="A310" s="23" t="s">
        <v>547</v>
      </c>
      <c r="B310" s="35" t="s">
        <v>336</v>
      </c>
      <c r="C310" s="36">
        <v>894</v>
      </c>
      <c r="D310" s="6"/>
      <c r="E310" s="113">
        <v>56913908</v>
      </c>
      <c r="F310" s="116">
        <f t="shared" si="63"/>
        <v>63662.089485458615</v>
      </c>
      <c r="G310" s="117">
        <v>29137165</v>
      </c>
      <c r="H310" s="117">
        <f t="shared" si="64"/>
        <v>32591.90715883669</v>
      </c>
      <c r="I310" s="7"/>
      <c r="J310" s="10">
        <v>2</v>
      </c>
      <c r="K310" s="117">
        <v>58274</v>
      </c>
      <c r="L310" s="120">
        <f t="shared" si="65"/>
        <v>65.183445190156604</v>
      </c>
      <c r="M310" s="122">
        <f t="shared" si="59"/>
        <v>291371.65000000002</v>
      </c>
      <c r="N310" s="116">
        <f t="shared" si="60"/>
        <v>233097.65000000002</v>
      </c>
      <c r="O310" s="123">
        <f t="shared" si="61"/>
        <v>260.73562639821034</v>
      </c>
      <c r="P310" s="5"/>
      <c r="Q310" s="5">
        <f t="shared" si="55"/>
        <v>1</v>
      </c>
      <c r="R310" s="7">
        <f t="shared" si="56"/>
        <v>894</v>
      </c>
      <c r="S310" s="5">
        <f t="shared" si="57"/>
        <v>1</v>
      </c>
      <c r="T310" s="7">
        <f t="shared" si="58"/>
        <v>894</v>
      </c>
    </row>
    <row r="311" spans="1:20">
      <c r="A311" s="23" t="s">
        <v>340</v>
      </c>
      <c r="B311" s="35" t="s">
        <v>336</v>
      </c>
      <c r="C311" s="36">
        <v>11828</v>
      </c>
      <c r="D311" s="6"/>
      <c r="E311" s="113">
        <v>765186302</v>
      </c>
      <c r="F311" s="116">
        <f t="shared" si="63"/>
        <v>64692.788468041937</v>
      </c>
      <c r="G311" s="117">
        <v>504523290</v>
      </c>
      <c r="H311" s="117">
        <f t="shared" si="64"/>
        <v>42654.995772742644</v>
      </c>
      <c r="I311" s="7"/>
      <c r="J311" s="10">
        <v>6.42</v>
      </c>
      <c r="K311" s="117">
        <v>3239039</v>
      </c>
      <c r="L311" s="120">
        <f t="shared" si="65"/>
        <v>273.84502874535002</v>
      </c>
      <c r="M311" s="122">
        <f t="shared" si="59"/>
        <v>5045232.9000000004</v>
      </c>
      <c r="N311" s="116">
        <f t="shared" si="60"/>
        <v>1806193.9000000004</v>
      </c>
      <c r="O311" s="123">
        <f t="shared" si="61"/>
        <v>152.70492898207647</v>
      </c>
      <c r="P311" s="5"/>
      <c r="Q311" s="5">
        <f t="shared" si="55"/>
        <v>1</v>
      </c>
      <c r="R311" s="7">
        <f t="shared" si="56"/>
        <v>11828</v>
      </c>
      <c r="S311" s="5">
        <f t="shared" si="57"/>
        <v>1</v>
      </c>
      <c r="T311" s="7">
        <f t="shared" si="58"/>
        <v>11828</v>
      </c>
    </row>
    <row r="312" spans="1:20">
      <c r="A312" s="23" t="s">
        <v>341</v>
      </c>
      <c r="B312" s="35" t="s">
        <v>342</v>
      </c>
      <c r="C312" s="36">
        <v>4107</v>
      </c>
      <c r="D312" s="6"/>
      <c r="E312" s="113">
        <v>846451300</v>
      </c>
      <c r="F312" s="116">
        <f t="shared" si="63"/>
        <v>206099.65911857804</v>
      </c>
      <c r="G312" s="117">
        <v>608350730</v>
      </c>
      <c r="H312" s="117">
        <f t="shared" si="64"/>
        <v>148125.32992451912</v>
      </c>
      <c r="I312" s="7"/>
      <c r="J312" s="10">
        <v>4.6388999999999996</v>
      </c>
      <c r="K312" s="117">
        <v>2822078</v>
      </c>
      <c r="L312" s="120">
        <f t="shared" si="65"/>
        <v>687.13854394935481</v>
      </c>
      <c r="M312" s="122">
        <f t="shared" si="59"/>
        <v>6083507.2999999998</v>
      </c>
      <c r="N312" s="116">
        <f t="shared" si="60"/>
        <v>3261429.3</v>
      </c>
      <c r="O312" s="123">
        <f t="shared" si="61"/>
        <v>794.11475529583629</v>
      </c>
      <c r="P312" s="5"/>
      <c r="Q312" s="5">
        <f t="shared" si="55"/>
        <v>1</v>
      </c>
      <c r="R312" s="7">
        <f t="shared" si="56"/>
        <v>4107</v>
      </c>
      <c r="S312" s="5">
        <f t="shared" si="57"/>
        <v>1</v>
      </c>
      <c r="T312" s="7">
        <f t="shared" si="58"/>
        <v>4107</v>
      </c>
    </row>
    <row r="313" spans="1:20">
      <c r="A313" s="23" t="s">
        <v>343</v>
      </c>
      <c r="B313" s="35" t="s">
        <v>342</v>
      </c>
      <c r="C313" s="36">
        <v>1632</v>
      </c>
      <c r="D313" s="6"/>
      <c r="E313" s="113">
        <v>490148900</v>
      </c>
      <c r="F313" s="116">
        <f t="shared" si="63"/>
        <v>300336.33578431373</v>
      </c>
      <c r="G313" s="117">
        <v>355032470</v>
      </c>
      <c r="H313" s="117">
        <f t="shared" si="64"/>
        <v>217544.40563725491</v>
      </c>
      <c r="I313" s="7"/>
      <c r="J313" s="10">
        <v>2.41</v>
      </c>
      <c r="K313" s="117">
        <v>855628</v>
      </c>
      <c r="L313" s="120">
        <f t="shared" si="65"/>
        <v>524.28186274509801</v>
      </c>
      <c r="M313" s="122">
        <f t="shared" si="59"/>
        <v>3550324.7</v>
      </c>
      <c r="N313" s="116">
        <f t="shared" si="60"/>
        <v>2694696.7</v>
      </c>
      <c r="O313" s="123">
        <f t="shared" si="61"/>
        <v>1651.1621936274512</v>
      </c>
      <c r="P313" s="5"/>
      <c r="Q313" s="5">
        <f t="shared" si="55"/>
        <v>1</v>
      </c>
      <c r="R313" s="7">
        <f t="shared" si="56"/>
        <v>1632</v>
      </c>
      <c r="S313" s="5">
        <f t="shared" si="57"/>
        <v>1</v>
      </c>
      <c r="T313" s="7">
        <f t="shared" si="58"/>
        <v>1632</v>
      </c>
    </row>
    <row r="314" spans="1:20">
      <c r="A314" s="23" t="s">
        <v>344</v>
      </c>
      <c r="B314" s="35" t="s">
        <v>342</v>
      </c>
      <c r="C314" s="36">
        <v>2240</v>
      </c>
      <c r="D314" s="6"/>
      <c r="E314" s="113">
        <v>234827690</v>
      </c>
      <c r="F314" s="116">
        <f t="shared" si="63"/>
        <v>104833.79017857143</v>
      </c>
      <c r="G314" s="117">
        <v>166477750</v>
      </c>
      <c r="H314" s="117">
        <f t="shared" si="64"/>
        <v>74320.424107142855</v>
      </c>
      <c r="I314" s="7"/>
      <c r="J314" s="10">
        <v>4.3499999999999996</v>
      </c>
      <c r="K314" s="117">
        <v>724178</v>
      </c>
      <c r="L314" s="120">
        <f t="shared" si="65"/>
        <v>323.29374999999999</v>
      </c>
      <c r="M314" s="122">
        <f t="shared" si="59"/>
        <v>1664777.5</v>
      </c>
      <c r="N314" s="116">
        <f t="shared" si="60"/>
        <v>940599.5</v>
      </c>
      <c r="O314" s="123">
        <f t="shared" si="61"/>
        <v>419.91049107142857</v>
      </c>
      <c r="P314" s="5"/>
      <c r="Q314" s="5">
        <f t="shared" si="55"/>
        <v>1</v>
      </c>
      <c r="R314" s="7">
        <f t="shared" si="56"/>
        <v>2240</v>
      </c>
      <c r="S314" s="5">
        <f t="shared" si="57"/>
        <v>1</v>
      </c>
      <c r="T314" s="7">
        <f t="shared" si="58"/>
        <v>2240</v>
      </c>
    </row>
    <row r="315" spans="1:20">
      <c r="A315" s="23" t="s">
        <v>345</v>
      </c>
      <c r="B315" s="35" t="s">
        <v>342</v>
      </c>
      <c r="C315" s="36">
        <v>72</v>
      </c>
      <c r="D315" s="6"/>
      <c r="E315" s="113">
        <v>104693130</v>
      </c>
      <c r="F315" s="116">
        <f t="shared" si="63"/>
        <v>1454071.25</v>
      </c>
      <c r="G315" s="117">
        <v>80033130</v>
      </c>
      <c r="H315" s="117">
        <f t="shared" si="64"/>
        <v>1111571.25</v>
      </c>
      <c r="I315" s="7"/>
      <c r="J315" s="10">
        <v>1.1047</v>
      </c>
      <c r="K315" s="117">
        <v>88412</v>
      </c>
      <c r="L315" s="120">
        <f t="shared" si="65"/>
        <v>1227.9444444444443</v>
      </c>
      <c r="M315" s="122">
        <f t="shared" si="59"/>
        <v>800331.3</v>
      </c>
      <c r="N315" s="116">
        <f t="shared" si="60"/>
        <v>711919.3</v>
      </c>
      <c r="O315" s="123">
        <f t="shared" si="61"/>
        <v>9887.7680555555562</v>
      </c>
      <c r="P315" s="5"/>
      <c r="Q315" s="5">
        <f t="shared" si="55"/>
        <v>1</v>
      </c>
      <c r="R315" s="7">
        <f t="shared" si="56"/>
        <v>72</v>
      </c>
      <c r="S315" s="5">
        <f t="shared" si="57"/>
        <v>1</v>
      </c>
      <c r="T315" s="7">
        <f t="shared" si="58"/>
        <v>72</v>
      </c>
    </row>
    <row r="316" spans="1:20">
      <c r="A316" s="23" t="s">
        <v>346</v>
      </c>
      <c r="B316" s="35" t="s">
        <v>342</v>
      </c>
      <c r="C316" s="36">
        <v>110325</v>
      </c>
      <c r="D316" s="6"/>
      <c r="E316" s="113">
        <v>10645846342</v>
      </c>
      <c r="F316" s="116">
        <f t="shared" si="63"/>
        <v>96495.321477452977</v>
      </c>
      <c r="G316" s="117">
        <v>7476009612</v>
      </c>
      <c r="H316" s="117">
        <f t="shared" si="64"/>
        <v>67763.513365057777</v>
      </c>
      <c r="I316" s="7"/>
      <c r="J316" s="10">
        <v>5.7530000000000001</v>
      </c>
      <c r="K316" s="117">
        <v>43009483</v>
      </c>
      <c r="L316" s="120">
        <f t="shared" si="65"/>
        <v>389.84348968955356</v>
      </c>
      <c r="M316" s="122">
        <f t="shared" si="59"/>
        <v>74760096.120000005</v>
      </c>
      <c r="N316" s="116">
        <f t="shared" si="60"/>
        <v>31750613.120000005</v>
      </c>
      <c r="O316" s="123">
        <f t="shared" si="61"/>
        <v>287.79164396102431</v>
      </c>
      <c r="P316" s="5"/>
      <c r="Q316" s="5">
        <f t="shared" si="55"/>
        <v>1</v>
      </c>
      <c r="R316" s="7">
        <f t="shared" si="56"/>
        <v>110325</v>
      </c>
      <c r="S316" s="5">
        <f t="shared" si="57"/>
        <v>1</v>
      </c>
      <c r="T316" s="7">
        <f t="shared" si="58"/>
        <v>110325</v>
      </c>
    </row>
    <row r="317" spans="1:20">
      <c r="A317" s="23" t="s">
        <v>347</v>
      </c>
      <c r="B317" s="35" t="s">
        <v>342</v>
      </c>
      <c r="C317" s="36">
        <v>37217</v>
      </c>
      <c r="D317" s="6"/>
      <c r="E317" s="113">
        <v>2808929475</v>
      </c>
      <c r="F317" s="116">
        <f t="shared" si="63"/>
        <v>75474.36588118333</v>
      </c>
      <c r="G317" s="117">
        <v>1760220940</v>
      </c>
      <c r="H317" s="117">
        <f t="shared" si="64"/>
        <v>47296.153370771419</v>
      </c>
      <c r="I317" s="7"/>
      <c r="J317" s="10">
        <v>4.4253</v>
      </c>
      <c r="K317" s="117">
        <v>7789505</v>
      </c>
      <c r="L317" s="120">
        <f t="shared" si="65"/>
        <v>209.29964801031787</v>
      </c>
      <c r="M317" s="122">
        <f t="shared" si="59"/>
        <v>17602209.399999999</v>
      </c>
      <c r="N317" s="116">
        <f t="shared" si="60"/>
        <v>9812704.3999999985</v>
      </c>
      <c r="O317" s="123">
        <f t="shared" si="61"/>
        <v>263.66188569739631</v>
      </c>
      <c r="P317" s="5"/>
      <c r="Q317" s="5">
        <f t="shared" si="55"/>
        <v>1</v>
      </c>
      <c r="R317" s="7">
        <f t="shared" si="56"/>
        <v>37217</v>
      </c>
      <c r="S317" s="5">
        <f t="shared" si="57"/>
        <v>1</v>
      </c>
      <c r="T317" s="7">
        <f t="shared" si="58"/>
        <v>37217</v>
      </c>
    </row>
    <row r="318" spans="1:20">
      <c r="A318" s="23" t="s">
        <v>348</v>
      </c>
      <c r="B318" s="35" t="s">
        <v>342</v>
      </c>
      <c r="C318" s="36">
        <v>12860</v>
      </c>
      <c r="D318" s="6"/>
      <c r="E318" s="113">
        <v>1028926710</v>
      </c>
      <c r="F318" s="116">
        <f t="shared" si="63"/>
        <v>80009.853032659405</v>
      </c>
      <c r="G318" s="117">
        <v>654536390</v>
      </c>
      <c r="H318" s="117">
        <f t="shared" si="64"/>
        <v>50897.075427682736</v>
      </c>
      <c r="I318" s="7"/>
      <c r="J318" s="10">
        <v>4.3</v>
      </c>
      <c r="K318" s="117">
        <v>2814506</v>
      </c>
      <c r="L318" s="120">
        <f t="shared" si="65"/>
        <v>218.85738724727838</v>
      </c>
      <c r="M318" s="122">
        <f t="shared" si="59"/>
        <v>6545363.9000000004</v>
      </c>
      <c r="N318" s="116">
        <f t="shared" si="60"/>
        <v>3730857.9000000004</v>
      </c>
      <c r="O318" s="123">
        <f t="shared" si="61"/>
        <v>290.11336702954901</v>
      </c>
      <c r="P318" s="5"/>
      <c r="Q318" s="5">
        <f t="shared" si="55"/>
        <v>1</v>
      </c>
      <c r="R318" s="7">
        <f t="shared" si="56"/>
        <v>12860</v>
      </c>
      <c r="S318" s="5">
        <f t="shared" si="57"/>
        <v>1</v>
      </c>
      <c r="T318" s="7">
        <f t="shared" si="58"/>
        <v>12860</v>
      </c>
    </row>
    <row r="319" spans="1:20">
      <c r="A319" s="23" t="s">
        <v>349</v>
      </c>
      <c r="B319" s="35" t="s">
        <v>342</v>
      </c>
      <c r="C319" s="36">
        <v>5288</v>
      </c>
      <c r="D319" s="6"/>
      <c r="E319" s="113">
        <v>964908530</v>
      </c>
      <c r="F319" s="116">
        <f t="shared" si="63"/>
        <v>182471.35590015128</v>
      </c>
      <c r="G319" s="117">
        <v>746564010</v>
      </c>
      <c r="H319" s="117">
        <f t="shared" si="64"/>
        <v>141180.78857791226</v>
      </c>
      <c r="I319" s="7"/>
      <c r="J319" s="10">
        <v>2.1533000000000002</v>
      </c>
      <c r="K319" s="117">
        <v>1607576</v>
      </c>
      <c r="L319" s="120">
        <f t="shared" si="65"/>
        <v>304.00453857791223</v>
      </c>
      <c r="M319" s="122">
        <f t="shared" si="59"/>
        <v>7465640.1000000006</v>
      </c>
      <c r="N319" s="116">
        <f t="shared" si="60"/>
        <v>5858064.1000000006</v>
      </c>
      <c r="O319" s="123">
        <f t="shared" si="61"/>
        <v>1107.8033472012105</v>
      </c>
      <c r="P319" s="5"/>
      <c r="Q319" s="5">
        <f t="shared" si="55"/>
        <v>1</v>
      </c>
      <c r="R319" s="7">
        <f t="shared" si="56"/>
        <v>5288</v>
      </c>
      <c r="S319" s="5">
        <f t="shared" si="57"/>
        <v>1</v>
      </c>
      <c r="T319" s="7">
        <f t="shared" si="58"/>
        <v>5288</v>
      </c>
    </row>
    <row r="320" spans="1:20">
      <c r="A320" s="23" t="s">
        <v>350</v>
      </c>
      <c r="B320" s="35" t="s">
        <v>342</v>
      </c>
      <c r="C320" s="36">
        <v>1796</v>
      </c>
      <c r="D320" s="6"/>
      <c r="E320" s="113">
        <v>707655700</v>
      </c>
      <c r="F320" s="116">
        <f t="shared" si="63"/>
        <v>394017.65033407573</v>
      </c>
      <c r="G320" s="117">
        <v>626390220</v>
      </c>
      <c r="H320" s="117">
        <f t="shared" si="64"/>
        <v>348769.61024498887</v>
      </c>
      <c r="I320" s="7"/>
      <c r="J320" s="10">
        <v>1.7129000000000001</v>
      </c>
      <c r="K320" s="117">
        <v>1072943</v>
      </c>
      <c r="L320" s="120">
        <f t="shared" si="65"/>
        <v>597.40701559020044</v>
      </c>
      <c r="M320" s="122">
        <f t="shared" si="59"/>
        <v>6263902.2000000002</v>
      </c>
      <c r="N320" s="116">
        <f t="shared" si="60"/>
        <v>5190959.2</v>
      </c>
      <c r="O320" s="123">
        <f t="shared" si="61"/>
        <v>2890.2890868596883</v>
      </c>
      <c r="P320" s="5"/>
      <c r="Q320" s="5">
        <f t="shared" si="55"/>
        <v>1</v>
      </c>
      <c r="R320" s="7">
        <f t="shared" si="56"/>
        <v>1796</v>
      </c>
      <c r="S320" s="5">
        <f t="shared" si="57"/>
        <v>1</v>
      </c>
      <c r="T320" s="7">
        <f t="shared" si="58"/>
        <v>1796</v>
      </c>
    </row>
    <row r="321" spans="1:20">
      <c r="A321" s="23" t="s">
        <v>351</v>
      </c>
      <c r="B321" s="35" t="s">
        <v>342</v>
      </c>
      <c r="C321" s="36">
        <v>4539</v>
      </c>
      <c r="D321" s="6"/>
      <c r="E321" s="113">
        <v>212078090</v>
      </c>
      <c r="F321" s="116">
        <f t="shared" si="63"/>
        <v>46723.52720863626</v>
      </c>
      <c r="G321" s="117">
        <v>130143310</v>
      </c>
      <c r="H321" s="117">
        <f t="shared" si="64"/>
        <v>28672.242784754351</v>
      </c>
      <c r="I321" s="7"/>
      <c r="J321" s="10">
        <v>3.754</v>
      </c>
      <c r="K321" s="117">
        <v>488557</v>
      </c>
      <c r="L321" s="120">
        <f t="shared" si="65"/>
        <v>107.63538224278476</v>
      </c>
      <c r="M321" s="122">
        <f t="shared" si="59"/>
        <v>1301433.1000000001</v>
      </c>
      <c r="N321" s="116">
        <f t="shared" si="60"/>
        <v>812876.10000000009</v>
      </c>
      <c r="O321" s="123">
        <f t="shared" si="61"/>
        <v>179.08704560475877</v>
      </c>
      <c r="P321" s="5"/>
      <c r="Q321" s="5">
        <f t="shared" si="55"/>
        <v>1</v>
      </c>
      <c r="R321" s="7">
        <f t="shared" si="56"/>
        <v>4539</v>
      </c>
      <c r="S321" s="5">
        <f t="shared" si="57"/>
        <v>1</v>
      </c>
      <c r="T321" s="7">
        <f t="shared" si="58"/>
        <v>4539</v>
      </c>
    </row>
    <row r="322" spans="1:20">
      <c r="A322" s="23" t="s">
        <v>352</v>
      </c>
      <c r="B322" s="35" t="s">
        <v>342</v>
      </c>
      <c r="C322" s="36">
        <v>72817</v>
      </c>
      <c r="D322" s="6"/>
      <c r="E322" s="113">
        <v>4400402997</v>
      </c>
      <c r="F322" s="116">
        <f t="shared" si="63"/>
        <v>60430.98448164577</v>
      </c>
      <c r="G322" s="117">
        <v>3153481547</v>
      </c>
      <c r="H322" s="117">
        <f t="shared" si="64"/>
        <v>43306.941332381175</v>
      </c>
      <c r="I322" s="7"/>
      <c r="J322" s="10">
        <v>4.75</v>
      </c>
      <c r="K322" s="117">
        <v>14979037</v>
      </c>
      <c r="L322" s="120">
        <f t="shared" si="65"/>
        <v>205.70796654627352</v>
      </c>
      <c r="M322" s="122">
        <f t="shared" si="59"/>
        <v>31534815.469999999</v>
      </c>
      <c r="N322" s="116">
        <f t="shared" si="60"/>
        <v>16555778.469999999</v>
      </c>
      <c r="O322" s="123">
        <f t="shared" si="61"/>
        <v>227.36144677753819</v>
      </c>
      <c r="P322" s="5"/>
      <c r="Q322" s="5">
        <f t="shared" si="55"/>
        <v>1</v>
      </c>
      <c r="R322" s="7">
        <f t="shared" si="56"/>
        <v>72817</v>
      </c>
      <c r="S322" s="5">
        <f t="shared" si="57"/>
        <v>1</v>
      </c>
      <c r="T322" s="7">
        <f t="shared" si="58"/>
        <v>72817</v>
      </c>
    </row>
    <row r="323" spans="1:20">
      <c r="A323" s="23" t="s">
        <v>353</v>
      </c>
      <c r="B323" s="35" t="s">
        <v>342</v>
      </c>
      <c r="C323" s="36">
        <v>4504</v>
      </c>
      <c r="D323" s="6"/>
      <c r="E323" s="113">
        <v>1033697560</v>
      </c>
      <c r="F323" s="116">
        <f t="shared" si="63"/>
        <v>229506.56305506217</v>
      </c>
      <c r="G323" s="117">
        <v>813108850</v>
      </c>
      <c r="H323" s="117">
        <f t="shared" si="64"/>
        <v>180530.38410301955</v>
      </c>
      <c r="I323" s="7"/>
      <c r="J323" s="10">
        <v>2.2000000000000002</v>
      </c>
      <c r="K323" s="117">
        <v>1788839</v>
      </c>
      <c r="L323" s="120">
        <f t="shared" si="65"/>
        <v>397.16674067495558</v>
      </c>
      <c r="M323" s="122">
        <f t="shared" si="59"/>
        <v>8131088.5</v>
      </c>
      <c r="N323" s="116">
        <f t="shared" si="60"/>
        <v>6342249.5</v>
      </c>
      <c r="O323" s="123">
        <f t="shared" si="61"/>
        <v>1408.1371003552397</v>
      </c>
      <c r="P323" s="5"/>
      <c r="Q323" s="5">
        <f t="shared" si="55"/>
        <v>1</v>
      </c>
      <c r="R323" s="7">
        <f t="shared" si="56"/>
        <v>4504</v>
      </c>
      <c r="S323" s="5">
        <f t="shared" si="57"/>
        <v>1</v>
      </c>
      <c r="T323" s="7">
        <f t="shared" si="58"/>
        <v>4504</v>
      </c>
    </row>
    <row r="324" spans="1:20">
      <c r="A324" s="23" t="s">
        <v>354</v>
      </c>
      <c r="B324" s="35" t="s">
        <v>342</v>
      </c>
      <c r="C324" s="36">
        <v>1543</v>
      </c>
      <c r="D324" s="6"/>
      <c r="E324" s="113">
        <v>414419570</v>
      </c>
      <c r="F324" s="116">
        <f t="shared" si="63"/>
        <v>268580.40829552821</v>
      </c>
      <c r="G324" s="117">
        <v>345128220</v>
      </c>
      <c r="H324" s="117">
        <f t="shared" si="64"/>
        <v>223673.50615683733</v>
      </c>
      <c r="I324" s="7"/>
      <c r="J324" s="10">
        <v>1</v>
      </c>
      <c r="K324" s="117">
        <v>345128</v>
      </c>
      <c r="L324" s="120">
        <f t="shared" si="65"/>
        <v>223.67336357744654</v>
      </c>
      <c r="M324" s="122">
        <f t="shared" si="59"/>
        <v>3451282.2</v>
      </c>
      <c r="N324" s="116">
        <f t="shared" si="60"/>
        <v>3106154.2</v>
      </c>
      <c r="O324" s="123">
        <f t="shared" si="61"/>
        <v>2013.0616979909269</v>
      </c>
      <c r="P324" s="5"/>
      <c r="Q324" s="5">
        <f t="shared" si="55"/>
        <v>1</v>
      </c>
      <c r="R324" s="7">
        <f t="shared" si="56"/>
        <v>1543</v>
      </c>
      <c r="S324" s="5">
        <f t="shared" si="57"/>
        <v>1</v>
      </c>
      <c r="T324" s="7">
        <f t="shared" si="58"/>
        <v>1543</v>
      </c>
    </row>
    <row r="325" spans="1:20">
      <c r="A325" s="23" t="s">
        <v>355</v>
      </c>
      <c r="B325" s="35" t="s">
        <v>342</v>
      </c>
      <c r="C325" s="36">
        <v>13737</v>
      </c>
      <c r="D325" s="6"/>
      <c r="E325" s="113">
        <v>1193365650</v>
      </c>
      <c r="F325" s="116">
        <f t="shared" si="63"/>
        <v>86872.362961345265</v>
      </c>
      <c r="G325" s="117">
        <v>904050354</v>
      </c>
      <c r="H325" s="117">
        <f t="shared" si="64"/>
        <v>65811.338283468009</v>
      </c>
      <c r="I325" s="7"/>
      <c r="J325" s="10">
        <v>4.6500000000000004</v>
      </c>
      <c r="K325" s="117">
        <v>4203834</v>
      </c>
      <c r="L325" s="120">
        <f t="shared" si="65"/>
        <v>306.02271238261631</v>
      </c>
      <c r="M325" s="122">
        <f t="shared" si="59"/>
        <v>9040503.540000001</v>
      </c>
      <c r="N325" s="116">
        <f t="shared" si="60"/>
        <v>4836669.540000001</v>
      </c>
      <c r="O325" s="123">
        <f t="shared" si="61"/>
        <v>352.09067045206382</v>
      </c>
      <c r="P325" s="5"/>
      <c r="Q325" s="5">
        <f t="shared" si="55"/>
        <v>1</v>
      </c>
      <c r="R325" s="7">
        <f t="shared" si="56"/>
        <v>13737</v>
      </c>
      <c r="S325" s="5">
        <f t="shared" si="57"/>
        <v>1</v>
      </c>
      <c r="T325" s="7">
        <f t="shared" si="58"/>
        <v>13737</v>
      </c>
    </row>
    <row r="326" spans="1:20">
      <c r="A326" s="23" t="s">
        <v>356</v>
      </c>
      <c r="B326" s="35" t="s">
        <v>342</v>
      </c>
      <c r="C326" s="36">
        <v>47572</v>
      </c>
      <c r="D326" s="6"/>
      <c r="E326" s="113">
        <v>3501988553</v>
      </c>
      <c r="F326" s="116">
        <f t="shared" si="63"/>
        <v>73614.490729841084</v>
      </c>
      <c r="G326" s="117">
        <v>2568776866</v>
      </c>
      <c r="H326" s="117">
        <f t="shared" si="64"/>
        <v>53997.663877911378</v>
      </c>
      <c r="I326" s="7"/>
      <c r="J326" s="10">
        <v>5.0788000000000002</v>
      </c>
      <c r="K326" s="117">
        <v>13046303</v>
      </c>
      <c r="L326" s="120">
        <f t="shared" si="65"/>
        <v>274.24331539561086</v>
      </c>
      <c r="M326" s="122">
        <f t="shared" si="59"/>
        <v>25687768.66</v>
      </c>
      <c r="N326" s="116">
        <f t="shared" si="60"/>
        <v>12641465.66</v>
      </c>
      <c r="O326" s="123">
        <f t="shared" si="61"/>
        <v>265.73332338350292</v>
      </c>
      <c r="P326" s="5"/>
      <c r="Q326" s="5">
        <f t="shared" si="55"/>
        <v>1</v>
      </c>
      <c r="R326" s="7">
        <f t="shared" si="56"/>
        <v>47572</v>
      </c>
      <c r="S326" s="5">
        <f t="shared" si="57"/>
        <v>1</v>
      </c>
      <c r="T326" s="7">
        <f t="shared" si="58"/>
        <v>47572</v>
      </c>
    </row>
    <row r="327" spans="1:20">
      <c r="A327" s="23" t="s">
        <v>357</v>
      </c>
      <c r="B327" s="35" t="s">
        <v>342</v>
      </c>
      <c r="C327" s="36">
        <v>1592</v>
      </c>
      <c r="D327" s="6"/>
      <c r="E327" s="113">
        <v>366163620</v>
      </c>
      <c r="F327" s="116">
        <f t="shared" si="63"/>
        <v>230002.27386934674</v>
      </c>
      <c r="G327" s="117">
        <v>266445320</v>
      </c>
      <c r="H327" s="117">
        <f t="shared" si="64"/>
        <v>167365.15075376883</v>
      </c>
      <c r="I327" s="7"/>
      <c r="J327" s="10">
        <v>2.2559999999999998</v>
      </c>
      <c r="K327" s="117">
        <v>601100</v>
      </c>
      <c r="L327" s="120">
        <f t="shared" si="65"/>
        <v>377.5753768844221</v>
      </c>
      <c r="M327" s="122">
        <f t="shared" si="59"/>
        <v>2664453.2000000002</v>
      </c>
      <c r="N327" s="116">
        <f t="shared" si="60"/>
        <v>2063353.2000000002</v>
      </c>
      <c r="O327" s="123">
        <f t="shared" si="61"/>
        <v>1296.0761306532665</v>
      </c>
      <c r="P327" s="5"/>
      <c r="Q327" s="5">
        <f t="shared" ref="Q327:Q390" si="66">IF(E327&gt;0,1,0)</f>
        <v>1</v>
      </c>
      <c r="R327" s="7">
        <f t="shared" ref="R327:R390" si="67">IF(E327&gt;0,C327,0)</f>
        <v>1592</v>
      </c>
      <c r="S327" s="5">
        <f t="shared" ref="S327:S390" si="68">IF(J327&gt;0,1,0)</f>
        <v>1</v>
      </c>
      <c r="T327" s="7">
        <f t="shared" ref="T327:T390" si="69">IF(J327&gt;0,C327,0)</f>
        <v>1592</v>
      </c>
    </row>
    <row r="328" spans="1:20">
      <c r="A328" s="23" t="s">
        <v>358</v>
      </c>
      <c r="B328" s="35" t="s">
        <v>342</v>
      </c>
      <c r="C328" s="36">
        <v>2341</v>
      </c>
      <c r="D328" s="6"/>
      <c r="E328" s="113">
        <v>501095710</v>
      </c>
      <c r="F328" s="116">
        <f t="shared" si="63"/>
        <v>214051.9906023067</v>
      </c>
      <c r="G328" s="117">
        <v>386488010</v>
      </c>
      <c r="H328" s="117">
        <f t="shared" si="64"/>
        <v>165095.26270824435</v>
      </c>
      <c r="I328" s="7"/>
      <c r="J328" s="10">
        <v>1.68</v>
      </c>
      <c r="K328" s="117">
        <v>649299</v>
      </c>
      <c r="L328" s="120">
        <f t="shared" si="65"/>
        <v>277.35967535241349</v>
      </c>
      <c r="M328" s="122">
        <f t="shared" ref="M328:M391" si="70">(G328*0.01)</f>
        <v>3864880.1</v>
      </c>
      <c r="N328" s="116">
        <f t="shared" ref="N328:N391" si="71">(M328-K328)</f>
        <v>3215581.1</v>
      </c>
      <c r="O328" s="123">
        <f t="shared" ref="O328:O391" si="72">(N328/C328)</f>
        <v>1373.5929517300299</v>
      </c>
      <c r="P328" s="5"/>
      <c r="Q328" s="5">
        <f t="shared" si="66"/>
        <v>1</v>
      </c>
      <c r="R328" s="7">
        <f t="shared" si="67"/>
        <v>2341</v>
      </c>
      <c r="S328" s="5">
        <f t="shared" si="68"/>
        <v>1</v>
      </c>
      <c r="T328" s="7">
        <f t="shared" si="69"/>
        <v>2341</v>
      </c>
    </row>
    <row r="329" spans="1:20">
      <c r="A329" s="23" t="s">
        <v>359</v>
      </c>
      <c r="B329" s="35" t="s">
        <v>342</v>
      </c>
      <c r="C329" s="36">
        <v>17800</v>
      </c>
      <c r="D329" s="6"/>
      <c r="E329" s="113">
        <v>1507245153</v>
      </c>
      <c r="F329" s="116">
        <f t="shared" si="63"/>
        <v>84676.693988764047</v>
      </c>
      <c r="G329" s="117">
        <v>990436983</v>
      </c>
      <c r="H329" s="117">
        <f t="shared" si="64"/>
        <v>55642.527134831464</v>
      </c>
      <c r="I329" s="7"/>
      <c r="J329" s="10">
        <v>2.7391000000000001</v>
      </c>
      <c r="K329" s="117">
        <v>2712905</v>
      </c>
      <c r="L329" s="120">
        <f t="shared" si="65"/>
        <v>152.41039325842698</v>
      </c>
      <c r="M329" s="122">
        <f t="shared" si="70"/>
        <v>9904369.8300000001</v>
      </c>
      <c r="N329" s="116">
        <f t="shared" si="71"/>
        <v>7191464.8300000001</v>
      </c>
      <c r="O329" s="123">
        <f t="shared" si="72"/>
        <v>404.01487808988765</v>
      </c>
      <c r="P329" s="5"/>
      <c r="Q329" s="5">
        <f t="shared" si="66"/>
        <v>1</v>
      </c>
      <c r="R329" s="7">
        <f t="shared" si="67"/>
        <v>17800</v>
      </c>
      <c r="S329" s="5">
        <f t="shared" si="68"/>
        <v>1</v>
      </c>
      <c r="T329" s="7">
        <f t="shared" si="69"/>
        <v>17800</v>
      </c>
    </row>
    <row r="330" spans="1:20">
      <c r="A330" s="23" t="s">
        <v>360</v>
      </c>
      <c r="B330" s="35" t="s">
        <v>342</v>
      </c>
      <c r="C330" s="36">
        <v>17799</v>
      </c>
      <c r="D330" s="6"/>
      <c r="E330" s="113">
        <v>1389125070</v>
      </c>
      <c r="F330" s="116">
        <f t="shared" si="63"/>
        <v>78045.118826900391</v>
      </c>
      <c r="G330" s="117">
        <v>948674040</v>
      </c>
      <c r="H330" s="117">
        <f t="shared" si="64"/>
        <v>53299.288724085622</v>
      </c>
      <c r="I330" s="7"/>
      <c r="J330" s="10">
        <v>2.9396</v>
      </c>
      <c r="K330" s="117">
        <v>2788722</v>
      </c>
      <c r="L330" s="120">
        <f t="shared" si="65"/>
        <v>156.67857744817124</v>
      </c>
      <c r="M330" s="122">
        <f t="shared" si="70"/>
        <v>9486740.4000000004</v>
      </c>
      <c r="N330" s="116">
        <f t="shared" si="71"/>
        <v>6698018.4000000004</v>
      </c>
      <c r="O330" s="123">
        <f t="shared" si="72"/>
        <v>376.31430979268498</v>
      </c>
      <c r="P330" s="5"/>
      <c r="Q330" s="5">
        <f t="shared" si="66"/>
        <v>1</v>
      </c>
      <c r="R330" s="7">
        <f t="shared" si="67"/>
        <v>17799</v>
      </c>
      <c r="S330" s="5">
        <f t="shared" si="68"/>
        <v>1</v>
      </c>
      <c r="T330" s="7">
        <f t="shared" si="69"/>
        <v>17799</v>
      </c>
    </row>
    <row r="331" spans="1:20">
      <c r="A331" s="23" t="s">
        <v>361</v>
      </c>
      <c r="B331" s="35" t="s">
        <v>342</v>
      </c>
      <c r="C331" s="36">
        <v>5837</v>
      </c>
      <c r="D331" s="6"/>
      <c r="E331" s="113">
        <v>583593940</v>
      </c>
      <c r="F331" s="116">
        <f t="shared" si="63"/>
        <v>99981.829707041295</v>
      </c>
      <c r="G331" s="117">
        <v>426970900</v>
      </c>
      <c r="H331" s="117">
        <f t="shared" si="64"/>
        <v>73149.032037005309</v>
      </c>
      <c r="I331" s="7"/>
      <c r="J331" s="10">
        <v>1.7655000000000001</v>
      </c>
      <c r="K331" s="117">
        <v>753817</v>
      </c>
      <c r="L331" s="120">
        <f t="shared" si="65"/>
        <v>129.14459482610931</v>
      </c>
      <c r="M331" s="122">
        <f t="shared" si="70"/>
        <v>4269709</v>
      </c>
      <c r="N331" s="116">
        <f t="shared" si="71"/>
        <v>3515892</v>
      </c>
      <c r="O331" s="123">
        <f t="shared" si="72"/>
        <v>602.34572554394379</v>
      </c>
      <c r="P331" s="5"/>
      <c r="Q331" s="5">
        <f t="shared" si="66"/>
        <v>1</v>
      </c>
      <c r="R331" s="7">
        <f t="shared" si="67"/>
        <v>5837</v>
      </c>
      <c r="S331" s="5">
        <f t="shared" si="68"/>
        <v>1</v>
      </c>
      <c r="T331" s="7">
        <f t="shared" si="69"/>
        <v>5837</v>
      </c>
    </row>
    <row r="332" spans="1:20">
      <c r="A332" s="24" t="s">
        <v>561</v>
      </c>
      <c r="B332" s="35" t="s">
        <v>342</v>
      </c>
      <c r="C332" s="36">
        <v>10004</v>
      </c>
      <c r="D332" s="6"/>
      <c r="E332" s="113">
        <v>2494691610</v>
      </c>
      <c r="F332" s="116">
        <f t="shared" si="63"/>
        <v>249369.41323470612</v>
      </c>
      <c r="G332" s="117">
        <v>1904163360</v>
      </c>
      <c r="H332" s="117">
        <f t="shared" si="64"/>
        <v>190340.199920032</v>
      </c>
      <c r="I332" s="7"/>
      <c r="J332" s="10">
        <v>2.9</v>
      </c>
      <c r="K332" s="117">
        <v>5522073</v>
      </c>
      <c r="L332" s="120">
        <f t="shared" si="65"/>
        <v>551.98650539784092</v>
      </c>
      <c r="M332" s="122">
        <f t="shared" si="70"/>
        <v>19041633.600000001</v>
      </c>
      <c r="N332" s="116">
        <f t="shared" si="71"/>
        <v>13519560.600000001</v>
      </c>
      <c r="O332" s="123">
        <f t="shared" si="72"/>
        <v>1351.4154938024792</v>
      </c>
      <c r="P332" s="5"/>
      <c r="Q332" s="5">
        <f t="shared" si="66"/>
        <v>1</v>
      </c>
      <c r="R332" s="7">
        <f t="shared" si="67"/>
        <v>10004</v>
      </c>
      <c r="S332" s="5">
        <f t="shared" si="68"/>
        <v>1</v>
      </c>
      <c r="T332" s="7">
        <f t="shared" si="69"/>
        <v>10004</v>
      </c>
    </row>
    <row r="333" spans="1:20">
      <c r="A333" s="23" t="s">
        <v>548</v>
      </c>
      <c r="B333" s="35" t="s">
        <v>342</v>
      </c>
      <c r="C333" s="36">
        <v>253010</v>
      </c>
      <c r="D333" s="6"/>
      <c r="E333" s="113">
        <v>18671254185</v>
      </c>
      <c r="F333" s="116">
        <f t="shared" si="63"/>
        <v>73796.506798150265</v>
      </c>
      <c r="G333" s="117">
        <v>11913409677</v>
      </c>
      <c r="H333" s="117">
        <f t="shared" si="64"/>
        <v>47086.71466345204</v>
      </c>
      <c r="I333" s="7"/>
      <c r="J333" s="10">
        <v>7.09</v>
      </c>
      <c r="K333" s="117">
        <v>84466074</v>
      </c>
      <c r="L333" s="120">
        <f t="shared" si="65"/>
        <v>333.8448045531797</v>
      </c>
      <c r="M333" s="122">
        <f t="shared" si="70"/>
        <v>119134096.77</v>
      </c>
      <c r="N333" s="116">
        <f t="shared" si="71"/>
        <v>34668022.769999996</v>
      </c>
      <c r="O333" s="123">
        <f t="shared" si="72"/>
        <v>137.02234208134064</v>
      </c>
      <c r="P333" s="5"/>
      <c r="Q333" s="5">
        <f t="shared" si="66"/>
        <v>1</v>
      </c>
      <c r="R333" s="7">
        <f t="shared" si="67"/>
        <v>253010</v>
      </c>
      <c r="S333" s="5">
        <f t="shared" si="68"/>
        <v>1</v>
      </c>
      <c r="T333" s="7">
        <f t="shared" si="69"/>
        <v>253010</v>
      </c>
    </row>
    <row r="334" spans="1:20">
      <c r="A334" s="23" t="s">
        <v>362</v>
      </c>
      <c r="B334" s="35" t="s">
        <v>342</v>
      </c>
      <c r="C334" s="36">
        <v>23170</v>
      </c>
      <c r="D334" s="6"/>
      <c r="E334" s="113">
        <v>1858266670</v>
      </c>
      <c r="F334" s="116">
        <f t="shared" si="63"/>
        <v>80201.410012947774</v>
      </c>
      <c r="G334" s="117">
        <v>1288345600</v>
      </c>
      <c r="H334" s="117">
        <f t="shared" si="64"/>
        <v>55604.039706517047</v>
      </c>
      <c r="I334" s="7"/>
      <c r="J334" s="10">
        <v>4.9454000000000002</v>
      </c>
      <c r="K334" s="117">
        <v>6371384</v>
      </c>
      <c r="L334" s="120">
        <f t="shared" si="65"/>
        <v>274.98420371169618</v>
      </c>
      <c r="M334" s="122">
        <f t="shared" si="70"/>
        <v>12883456</v>
      </c>
      <c r="N334" s="116">
        <f t="shared" si="71"/>
        <v>6512072</v>
      </c>
      <c r="O334" s="123">
        <f t="shared" si="72"/>
        <v>281.05619335347433</v>
      </c>
      <c r="P334" s="5"/>
      <c r="Q334" s="5">
        <f t="shared" si="66"/>
        <v>1</v>
      </c>
      <c r="R334" s="7">
        <f t="shared" si="67"/>
        <v>23170</v>
      </c>
      <c r="S334" s="5">
        <f t="shared" si="68"/>
        <v>1</v>
      </c>
      <c r="T334" s="7">
        <f t="shared" si="69"/>
        <v>23170</v>
      </c>
    </row>
    <row r="335" spans="1:20">
      <c r="A335" s="23" t="s">
        <v>363</v>
      </c>
      <c r="B335" s="35" t="s">
        <v>342</v>
      </c>
      <c r="C335" s="36">
        <v>7532</v>
      </c>
      <c r="D335" s="6"/>
      <c r="E335" s="113">
        <v>1587610570</v>
      </c>
      <c r="F335" s="116">
        <f t="shared" si="63"/>
        <v>210782.07249070631</v>
      </c>
      <c r="G335" s="117">
        <v>1172179980</v>
      </c>
      <c r="H335" s="117">
        <f t="shared" si="64"/>
        <v>155626.65693043015</v>
      </c>
      <c r="I335" s="7"/>
      <c r="J335" s="10">
        <v>2.6272000000000002</v>
      </c>
      <c r="K335" s="117">
        <v>3079551</v>
      </c>
      <c r="L335" s="120">
        <f t="shared" si="65"/>
        <v>408.86232076473715</v>
      </c>
      <c r="M335" s="122">
        <f t="shared" si="70"/>
        <v>11721799.800000001</v>
      </c>
      <c r="N335" s="116">
        <f t="shared" si="71"/>
        <v>8642248.8000000007</v>
      </c>
      <c r="O335" s="123">
        <f t="shared" si="72"/>
        <v>1147.4042485395646</v>
      </c>
      <c r="P335" s="5"/>
      <c r="Q335" s="5">
        <f t="shared" si="66"/>
        <v>1</v>
      </c>
      <c r="R335" s="7">
        <f t="shared" si="67"/>
        <v>7532</v>
      </c>
      <c r="S335" s="5">
        <f t="shared" si="68"/>
        <v>1</v>
      </c>
      <c r="T335" s="7">
        <f t="shared" si="69"/>
        <v>7532</v>
      </c>
    </row>
    <row r="336" spans="1:20">
      <c r="A336" s="23" t="s">
        <v>364</v>
      </c>
      <c r="B336" s="35" t="s">
        <v>365</v>
      </c>
      <c r="C336" s="36">
        <v>11928</v>
      </c>
      <c r="D336" s="6"/>
      <c r="E336" s="113">
        <v>622082193</v>
      </c>
      <c r="F336" s="116">
        <f t="shared" si="63"/>
        <v>52153.101358148895</v>
      </c>
      <c r="G336" s="117">
        <v>467112568</v>
      </c>
      <c r="H336" s="117">
        <f t="shared" si="64"/>
        <v>39161.013413816232</v>
      </c>
      <c r="I336" s="7"/>
      <c r="J336" s="10">
        <v>4.516</v>
      </c>
      <c r="K336" s="117">
        <v>2109480</v>
      </c>
      <c r="L336" s="120">
        <f t="shared" si="65"/>
        <v>176.85110663983903</v>
      </c>
      <c r="M336" s="122">
        <f t="shared" si="70"/>
        <v>4671125.68</v>
      </c>
      <c r="N336" s="116">
        <f t="shared" si="71"/>
        <v>2561645.6799999997</v>
      </c>
      <c r="O336" s="123">
        <f t="shared" si="72"/>
        <v>214.75902749832323</v>
      </c>
      <c r="P336" s="5"/>
      <c r="Q336" s="5">
        <f t="shared" si="66"/>
        <v>1</v>
      </c>
      <c r="R336" s="7">
        <f t="shared" si="67"/>
        <v>11928</v>
      </c>
      <c r="S336" s="5">
        <f t="shared" si="68"/>
        <v>1</v>
      </c>
      <c r="T336" s="7">
        <f t="shared" si="69"/>
        <v>11928</v>
      </c>
    </row>
    <row r="337" spans="1:20">
      <c r="A337" s="23" t="s">
        <v>366</v>
      </c>
      <c r="B337" s="35" t="s">
        <v>365</v>
      </c>
      <c r="C337" s="36">
        <v>15709</v>
      </c>
      <c r="D337" s="6"/>
      <c r="E337" s="113">
        <v>821587225</v>
      </c>
      <c r="F337" s="116">
        <f t="shared" si="63"/>
        <v>52300.415366987079</v>
      </c>
      <c r="G337" s="117">
        <v>504414976</v>
      </c>
      <c r="H337" s="117">
        <f t="shared" si="64"/>
        <v>32109.935451015343</v>
      </c>
      <c r="I337" s="7"/>
      <c r="J337" s="10">
        <v>4.5</v>
      </c>
      <c r="K337" s="117">
        <v>2269867</v>
      </c>
      <c r="L337" s="120">
        <f t="shared" si="65"/>
        <v>144.49468457572092</v>
      </c>
      <c r="M337" s="122">
        <f t="shared" si="70"/>
        <v>5044149.76</v>
      </c>
      <c r="N337" s="116">
        <f t="shared" si="71"/>
        <v>2774282.76</v>
      </c>
      <c r="O337" s="123">
        <f t="shared" si="72"/>
        <v>176.60466993443248</v>
      </c>
      <c r="P337" s="5"/>
      <c r="Q337" s="5">
        <f t="shared" si="66"/>
        <v>1</v>
      </c>
      <c r="R337" s="7">
        <f t="shared" si="67"/>
        <v>15709</v>
      </c>
      <c r="S337" s="5">
        <f t="shared" si="68"/>
        <v>1</v>
      </c>
      <c r="T337" s="7">
        <f t="shared" si="69"/>
        <v>15709</v>
      </c>
    </row>
    <row r="338" spans="1:20">
      <c r="A338" s="23" t="s">
        <v>367</v>
      </c>
      <c r="B338" s="35" t="s">
        <v>365</v>
      </c>
      <c r="C338" s="36">
        <v>2248</v>
      </c>
      <c r="D338" s="6"/>
      <c r="E338" s="113">
        <v>88496395</v>
      </c>
      <c r="F338" s="116">
        <f t="shared" si="63"/>
        <v>39366.723754448401</v>
      </c>
      <c r="G338" s="117">
        <v>55589149</v>
      </c>
      <c r="H338" s="117">
        <f t="shared" si="64"/>
        <v>24728.26912811388</v>
      </c>
      <c r="I338" s="7"/>
      <c r="J338" s="10">
        <v>6.5</v>
      </c>
      <c r="K338" s="117">
        <v>361329</v>
      </c>
      <c r="L338" s="120">
        <f t="shared" si="65"/>
        <v>160.73354092526691</v>
      </c>
      <c r="M338" s="122">
        <f t="shared" si="70"/>
        <v>555891.49</v>
      </c>
      <c r="N338" s="116">
        <f t="shared" si="71"/>
        <v>194562.49</v>
      </c>
      <c r="O338" s="123">
        <f t="shared" si="72"/>
        <v>86.549150355871888</v>
      </c>
      <c r="P338" s="5"/>
      <c r="Q338" s="5">
        <f t="shared" si="66"/>
        <v>1</v>
      </c>
      <c r="R338" s="7">
        <f t="shared" si="67"/>
        <v>2248</v>
      </c>
      <c r="S338" s="5">
        <f t="shared" si="68"/>
        <v>1</v>
      </c>
      <c r="T338" s="7">
        <f t="shared" si="69"/>
        <v>2248</v>
      </c>
    </row>
    <row r="339" spans="1:20">
      <c r="A339" s="23" t="s">
        <v>368</v>
      </c>
      <c r="B339" s="35" t="s">
        <v>365</v>
      </c>
      <c r="C339" s="36">
        <v>2986</v>
      </c>
      <c r="D339" s="6"/>
      <c r="E339" s="113">
        <v>125951362</v>
      </c>
      <c r="F339" s="116">
        <f t="shared" si="63"/>
        <v>42180.630274614872</v>
      </c>
      <c r="G339" s="117">
        <v>90574323</v>
      </c>
      <c r="H339" s="117">
        <f t="shared" si="64"/>
        <v>30332.994976557267</v>
      </c>
      <c r="I339" s="7"/>
      <c r="J339" s="10">
        <v>7</v>
      </c>
      <c r="K339" s="117">
        <v>634020</v>
      </c>
      <c r="L339" s="120">
        <f t="shared" si="65"/>
        <v>212.33087742799731</v>
      </c>
      <c r="M339" s="122">
        <f t="shared" si="70"/>
        <v>905743.23</v>
      </c>
      <c r="N339" s="116">
        <f t="shared" si="71"/>
        <v>271723.23</v>
      </c>
      <c r="O339" s="123">
        <f t="shared" si="72"/>
        <v>90.999072337575342</v>
      </c>
      <c r="P339" s="5"/>
      <c r="Q339" s="5">
        <f t="shared" si="66"/>
        <v>1</v>
      </c>
      <c r="R339" s="7">
        <f t="shared" si="67"/>
        <v>2986</v>
      </c>
      <c r="S339" s="5">
        <f t="shared" si="68"/>
        <v>1</v>
      </c>
      <c r="T339" s="7">
        <f t="shared" si="69"/>
        <v>2986</v>
      </c>
    </row>
    <row r="340" spans="1:20">
      <c r="A340" s="23" t="s">
        <v>369</v>
      </c>
      <c r="B340" s="35" t="s">
        <v>365</v>
      </c>
      <c r="C340" s="36">
        <v>2511</v>
      </c>
      <c r="D340" s="6"/>
      <c r="E340" s="113">
        <v>59852846</v>
      </c>
      <c r="F340" s="116">
        <f t="shared" si="63"/>
        <v>23836.258861011549</v>
      </c>
      <c r="G340" s="117">
        <v>36677313</v>
      </c>
      <c r="H340" s="117">
        <f t="shared" si="64"/>
        <v>14606.655913978495</v>
      </c>
      <c r="I340" s="7"/>
      <c r="J340" s="10">
        <v>8.5</v>
      </c>
      <c r="K340" s="117">
        <v>311757</v>
      </c>
      <c r="L340" s="120">
        <f t="shared" si="65"/>
        <v>124.15651135005973</v>
      </c>
      <c r="M340" s="122">
        <f t="shared" si="70"/>
        <v>366773.13</v>
      </c>
      <c r="N340" s="116">
        <f t="shared" si="71"/>
        <v>55016.130000000005</v>
      </c>
      <c r="O340" s="123">
        <f t="shared" si="72"/>
        <v>21.910047789725212</v>
      </c>
      <c r="P340" s="5"/>
      <c r="Q340" s="5">
        <f t="shared" si="66"/>
        <v>1</v>
      </c>
      <c r="R340" s="7">
        <f t="shared" si="67"/>
        <v>2511</v>
      </c>
      <c r="S340" s="5">
        <f t="shared" si="68"/>
        <v>1</v>
      </c>
      <c r="T340" s="7">
        <f t="shared" si="69"/>
        <v>2511</v>
      </c>
    </row>
    <row r="341" spans="1:20">
      <c r="A341" s="23" t="s">
        <v>370</v>
      </c>
      <c r="B341" s="35" t="s">
        <v>365</v>
      </c>
      <c r="C341" s="36">
        <v>5828</v>
      </c>
      <c r="D341" s="6"/>
      <c r="E341" s="113">
        <v>151121881</v>
      </c>
      <c r="F341" s="116">
        <f t="shared" si="63"/>
        <v>25930.315888812627</v>
      </c>
      <c r="G341" s="117">
        <v>91710813</v>
      </c>
      <c r="H341" s="117">
        <f t="shared" si="64"/>
        <v>15736.241077556624</v>
      </c>
      <c r="I341" s="9"/>
      <c r="J341" s="10">
        <v>1</v>
      </c>
      <c r="K341" s="117">
        <v>91710</v>
      </c>
      <c r="L341" s="120">
        <f t="shared" ref="L341:L372" si="73">(K341/C341)</f>
        <v>15.736101578586135</v>
      </c>
      <c r="M341" s="122">
        <f t="shared" si="70"/>
        <v>917108.13</v>
      </c>
      <c r="N341" s="116">
        <f t="shared" si="71"/>
        <v>825398.13</v>
      </c>
      <c r="O341" s="123">
        <f t="shared" si="72"/>
        <v>141.62630919698009</v>
      </c>
      <c r="P341" s="5"/>
      <c r="Q341" s="5">
        <f t="shared" si="66"/>
        <v>1</v>
      </c>
      <c r="R341" s="7">
        <f t="shared" si="67"/>
        <v>5828</v>
      </c>
      <c r="S341" s="5">
        <f t="shared" si="68"/>
        <v>1</v>
      </c>
      <c r="T341" s="7">
        <f t="shared" si="69"/>
        <v>5828</v>
      </c>
    </row>
    <row r="342" spans="1:20">
      <c r="A342" s="23" t="s">
        <v>371</v>
      </c>
      <c r="B342" s="35" t="s">
        <v>365</v>
      </c>
      <c r="C342" s="36">
        <v>2978</v>
      </c>
      <c r="D342" s="6"/>
      <c r="E342" s="113">
        <v>127537663</v>
      </c>
      <c r="F342" s="116">
        <f t="shared" si="63"/>
        <v>42826.6161853593</v>
      </c>
      <c r="G342" s="117">
        <v>90011489</v>
      </c>
      <c r="H342" s="117">
        <f t="shared" si="64"/>
        <v>30225.483210208193</v>
      </c>
      <c r="I342" s="7"/>
      <c r="J342" s="10">
        <v>7</v>
      </c>
      <c r="K342" s="117">
        <v>630080</v>
      </c>
      <c r="L342" s="120">
        <f t="shared" si="73"/>
        <v>211.57824042981866</v>
      </c>
      <c r="M342" s="122">
        <f t="shared" si="70"/>
        <v>900114.89</v>
      </c>
      <c r="N342" s="116">
        <f t="shared" si="71"/>
        <v>270034.89</v>
      </c>
      <c r="O342" s="123">
        <f t="shared" si="72"/>
        <v>90.676591672263271</v>
      </c>
      <c r="P342" s="5"/>
      <c r="Q342" s="5">
        <f t="shared" si="66"/>
        <v>1</v>
      </c>
      <c r="R342" s="7">
        <f t="shared" si="67"/>
        <v>2978</v>
      </c>
      <c r="S342" s="5">
        <f t="shared" si="68"/>
        <v>1</v>
      </c>
      <c r="T342" s="7">
        <f t="shared" si="69"/>
        <v>2978</v>
      </c>
    </row>
    <row r="343" spans="1:20">
      <c r="A343" s="23" t="s">
        <v>372</v>
      </c>
      <c r="B343" s="35" t="s">
        <v>365</v>
      </c>
      <c r="C343" s="36">
        <v>14771</v>
      </c>
      <c r="D343" s="6"/>
      <c r="E343" s="113">
        <v>648221287</v>
      </c>
      <c r="F343" s="116">
        <f t="shared" si="63"/>
        <v>43884.725949495631</v>
      </c>
      <c r="G343" s="117">
        <v>488479749</v>
      </c>
      <c r="H343" s="117">
        <f t="shared" si="64"/>
        <v>33070.188138920857</v>
      </c>
      <c r="I343" s="7"/>
      <c r="J343" s="10">
        <v>6.99</v>
      </c>
      <c r="K343" s="117">
        <v>3414473</v>
      </c>
      <c r="L343" s="120">
        <f t="shared" si="73"/>
        <v>231.16058492993028</v>
      </c>
      <c r="M343" s="122">
        <f t="shared" si="70"/>
        <v>4884797.49</v>
      </c>
      <c r="N343" s="116">
        <f t="shared" si="71"/>
        <v>1470324.4900000002</v>
      </c>
      <c r="O343" s="123">
        <f t="shared" si="72"/>
        <v>99.541296459278328</v>
      </c>
      <c r="P343" s="5"/>
      <c r="Q343" s="5">
        <f t="shared" si="66"/>
        <v>1</v>
      </c>
      <c r="R343" s="7">
        <f t="shared" si="67"/>
        <v>14771</v>
      </c>
      <c r="S343" s="5">
        <f t="shared" si="68"/>
        <v>1</v>
      </c>
      <c r="T343" s="7">
        <f t="shared" si="69"/>
        <v>14771</v>
      </c>
    </row>
    <row r="344" spans="1:20">
      <c r="A344" s="23" t="s">
        <v>373</v>
      </c>
      <c r="B344" s="35" t="s">
        <v>365</v>
      </c>
      <c r="C344" s="36">
        <v>251</v>
      </c>
      <c r="D344" s="6"/>
      <c r="E344" s="113">
        <v>12917683</v>
      </c>
      <c r="F344" s="116">
        <f t="shared" si="63"/>
        <v>51464.872509960158</v>
      </c>
      <c r="G344" s="117">
        <v>10475121</v>
      </c>
      <c r="H344" s="117">
        <f t="shared" si="64"/>
        <v>41733.549800796813</v>
      </c>
      <c r="I344" s="7"/>
      <c r="J344" s="11">
        <v>6.4294000000000002</v>
      </c>
      <c r="K344" s="117">
        <v>67348</v>
      </c>
      <c r="L344" s="120">
        <f t="shared" si="73"/>
        <v>268.31872509960158</v>
      </c>
      <c r="M344" s="122">
        <f t="shared" si="70"/>
        <v>104751.21</v>
      </c>
      <c r="N344" s="116">
        <f t="shared" si="71"/>
        <v>37403.210000000006</v>
      </c>
      <c r="O344" s="123">
        <f t="shared" si="72"/>
        <v>149.01677290836656</v>
      </c>
      <c r="P344" s="5"/>
      <c r="Q344" s="5">
        <f t="shared" si="66"/>
        <v>1</v>
      </c>
      <c r="R344" s="7">
        <f t="shared" si="67"/>
        <v>251</v>
      </c>
      <c r="S344" s="5">
        <f t="shared" si="68"/>
        <v>1</v>
      </c>
      <c r="T344" s="7">
        <f t="shared" si="69"/>
        <v>251</v>
      </c>
    </row>
    <row r="345" spans="1:20">
      <c r="A345" s="23" t="s">
        <v>374</v>
      </c>
      <c r="B345" s="35" t="s">
        <v>365</v>
      </c>
      <c r="C345" s="36">
        <v>266</v>
      </c>
      <c r="D345" s="6"/>
      <c r="E345" s="113">
        <v>11916824</v>
      </c>
      <c r="F345" s="116">
        <f t="shared" si="63"/>
        <v>44800.090225563908</v>
      </c>
      <c r="G345" s="117">
        <v>8441437</v>
      </c>
      <c r="H345" s="117">
        <f t="shared" si="64"/>
        <v>31734.725563909775</v>
      </c>
      <c r="I345" s="7"/>
      <c r="J345" s="10">
        <v>0.46629999999999999</v>
      </c>
      <c r="K345" s="117">
        <v>3936</v>
      </c>
      <c r="L345" s="120">
        <f t="shared" si="73"/>
        <v>14.796992481203008</v>
      </c>
      <c r="M345" s="122">
        <f t="shared" si="70"/>
        <v>84414.37</v>
      </c>
      <c r="N345" s="116">
        <f t="shared" si="71"/>
        <v>80478.37</v>
      </c>
      <c r="O345" s="123">
        <f t="shared" si="72"/>
        <v>302.55026315789473</v>
      </c>
      <c r="P345" s="5"/>
      <c r="Q345" s="5">
        <f t="shared" si="66"/>
        <v>1</v>
      </c>
      <c r="R345" s="7">
        <f t="shared" si="67"/>
        <v>266</v>
      </c>
      <c r="S345" s="5">
        <f t="shared" si="68"/>
        <v>1</v>
      </c>
      <c r="T345" s="7">
        <f t="shared" si="69"/>
        <v>266</v>
      </c>
    </row>
    <row r="346" spans="1:20">
      <c r="A346" s="23" t="s">
        <v>375</v>
      </c>
      <c r="B346" s="35" t="s">
        <v>365</v>
      </c>
      <c r="C346" s="36">
        <v>4004</v>
      </c>
      <c r="D346" s="6"/>
      <c r="E346" s="113">
        <v>159935995</v>
      </c>
      <c r="F346" s="116">
        <f t="shared" si="63"/>
        <v>39944.054695304694</v>
      </c>
      <c r="G346" s="117">
        <v>108625887</v>
      </c>
      <c r="H346" s="117">
        <f t="shared" si="64"/>
        <v>27129.342407592409</v>
      </c>
      <c r="I346" s="7"/>
      <c r="J346" s="10">
        <v>7.0579999999999998</v>
      </c>
      <c r="K346" s="117">
        <v>766681</v>
      </c>
      <c r="L346" s="120">
        <f t="shared" si="73"/>
        <v>191.47877122877122</v>
      </c>
      <c r="M346" s="122">
        <f t="shared" si="70"/>
        <v>1086258.8700000001</v>
      </c>
      <c r="N346" s="116">
        <f t="shared" si="71"/>
        <v>319577.87000000011</v>
      </c>
      <c r="O346" s="123">
        <f t="shared" si="72"/>
        <v>79.814652847152871</v>
      </c>
      <c r="P346" s="5"/>
      <c r="Q346" s="5">
        <f t="shared" si="66"/>
        <v>1</v>
      </c>
      <c r="R346" s="7">
        <f t="shared" si="67"/>
        <v>4004</v>
      </c>
      <c r="S346" s="5">
        <f t="shared" si="68"/>
        <v>1</v>
      </c>
      <c r="T346" s="7">
        <f t="shared" si="69"/>
        <v>4004</v>
      </c>
    </row>
    <row r="347" spans="1:20">
      <c r="A347" s="23" t="s">
        <v>376</v>
      </c>
      <c r="B347" s="35" t="s">
        <v>365</v>
      </c>
      <c r="C347" s="36">
        <v>1379</v>
      </c>
      <c r="D347" s="6"/>
      <c r="E347" s="113">
        <v>65518822</v>
      </c>
      <c r="F347" s="116">
        <f t="shared" si="63"/>
        <v>47511.83611312545</v>
      </c>
      <c r="G347" s="117">
        <v>49429444</v>
      </c>
      <c r="H347" s="117">
        <f t="shared" si="64"/>
        <v>35844.411892675853</v>
      </c>
      <c r="I347" s="7"/>
      <c r="J347" s="10">
        <v>7.1479999999999997</v>
      </c>
      <c r="K347" s="117">
        <v>353321</v>
      </c>
      <c r="L347" s="120">
        <f t="shared" si="73"/>
        <v>256.21537345902829</v>
      </c>
      <c r="M347" s="122">
        <f t="shared" si="70"/>
        <v>494294.44</v>
      </c>
      <c r="N347" s="116">
        <f t="shared" si="71"/>
        <v>140973.44</v>
      </c>
      <c r="O347" s="123">
        <f t="shared" si="72"/>
        <v>102.22874546773023</v>
      </c>
      <c r="P347" s="5"/>
      <c r="Q347" s="5">
        <f t="shared" si="66"/>
        <v>1</v>
      </c>
      <c r="R347" s="7">
        <f t="shared" si="67"/>
        <v>1379</v>
      </c>
      <c r="S347" s="5">
        <f t="shared" si="68"/>
        <v>1</v>
      </c>
      <c r="T347" s="7">
        <f t="shared" si="69"/>
        <v>1379</v>
      </c>
    </row>
    <row r="348" spans="1:20">
      <c r="A348" s="23" t="s">
        <v>377</v>
      </c>
      <c r="B348" s="35" t="s">
        <v>365</v>
      </c>
      <c r="C348" s="36">
        <v>12433</v>
      </c>
      <c r="D348" s="6"/>
      <c r="E348" s="113">
        <v>613405705</v>
      </c>
      <c r="F348" s="116">
        <f t="shared" si="63"/>
        <v>49336.902195769326</v>
      </c>
      <c r="G348" s="117">
        <v>462431912</v>
      </c>
      <c r="H348" s="117">
        <f t="shared" si="64"/>
        <v>37193.912330089275</v>
      </c>
      <c r="I348" s="7"/>
      <c r="J348" s="10">
        <v>9.44</v>
      </c>
      <c r="K348" s="117">
        <v>4365357</v>
      </c>
      <c r="L348" s="120">
        <f t="shared" si="73"/>
        <v>351.11051234617548</v>
      </c>
      <c r="M348" s="122">
        <f t="shared" si="70"/>
        <v>4624319.12</v>
      </c>
      <c r="N348" s="116">
        <f t="shared" si="71"/>
        <v>258962.12000000011</v>
      </c>
      <c r="O348" s="123">
        <f t="shared" si="72"/>
        <v>20.828610954717295</v>
      </c>
      <c r="P348" s="5"/>
      <c r="Q348" s="5">
        <f t="shared" si="66"/>
        <v>1</v>
      </c>
      <c r="R348" s="7">
        <f t="shared" si="67"/>
        <v>12433</v>
      </c>
      <c r="S348" s="5">
        <f t="shared" si="68"/>
        <v>1</v>
      </c>
      <c r="T348" s="7">
        <f t="shared" si="69"/>
        <v>12433</v>
      </c>
    </row>
    <row r="349" spans="1:20">
      <c r="A349" s="23" t="s">
        <v>378</v>
      </c>
      <c r="B349" s="35" t="s">
        <v>365</v>
      </c>
      <c r="C349" s="36">
        <v>89731</v>
      </c>
      <c r="D349" s="6"/>
      <c r="E349" s="113">
        <v>5660257299</v>
      </c>
      <c r="F349" s="116">
        <f t="shared" si="63"/>
        <v>63080.287737794075</v>
      </c>
      <c r="G349" s="117">
        <v>3858505984</v>
      </c>
      <c r="H349" s="117">
        <f t="shared" si="64"/>
        <v>43000.81336438912</v>
      </c>
      <c r="I349" s="7"/>
      <c r="J349" s="10">
        <v>3.5449999999999999</v>
      </c>
      <c r="K349" s="117">
        <v>13678403</v>
      </c>
      <c r="L349" s="120">
        <f t="shared" si="73"/>
        <v>152.43787542766714</v>
      </c>
      <c r="M349" s="122">
        <f t="shared" si="70"/>
        <v>38585059.840000004</v>
      </c>
      <c r="N349" s="116">
        <f t="shared" si="71"/>
        <v>24906656.840000004</v>
      </c>
      <c r="O349" s="123">
        <f t="shared" si="72"/>
        <v>277.57025821622409</v>
      </c>
      <c r="P349" s="5"/>
      <c r="Q349" s="5">
        <f t="shared" si="66"/>
        <v>1</v>
      </c>
      <c r="R349" s="7">
        <f t="shared" si="67"/>
        <v>89731</v>
      </c>
      <c r="S349" s="5">
        <f t="shared" si="68"/>
        <v>1</v>
      </c>
      <c r="T349" s="7">
        <f t="shared" si="69"/>
        <v>89731</v>
      </c>
    </row>
    <row r="350" spans="1:20">
      <c r="A350" s="23" t="s">
        <v>379</v>
      </c>
      <c r="B350" s="35" t="s">
        <v>365</v>
      </c>
      <c r="C350" s="36">
        <v>3402</v>
      </c>
      <c r="D350" s="6"/>
      <c r="E350" s="113">
        <v>174402298</v>
      </c>
      <c r="F350" s="116">
        <f t="shared" ref="F350:F413" si="74">(E350/C350)</f>
        <v>51264.637860082301</v>
      </c>
      <c r="G350" s="117">
        <v>139141862</v>
      </c>
      <c r="H350" s="117">
        <f t="shared" ref="H350:H413" si="75">(G350/C350)</f>
        <v>40900.018224573781</v>
      </c>
      <c r="I350" s="9"/>
      <c r="J350" s="10">
        <v>8.5</v>
      </c>
      <c r="K350" s="117">
        <v>1182705</v>
      </c>
      <c r="L350" s="120">
        <f t="shared" si="73"/>
        <v>347.64991181657848</v>
      </c>
      <c r="M350" s="122">
        <f t="shared" si="70"/>
        <v>1391418.62</v>
      </c>
      <c r="N350" s="116">
        <f t="shared" si="71"/>
        <v>208713.62000000011</v>
      </c>
      <c r="O350" s="123">
        <f t="shared" si="72"/>
        <v>61.350270429159352</v>
      </c>
      <c r="P350" s="5"/>
      <c r="Q350" s="5">
        <f t="shared" si="66"/>
        <v>1</v>
      </c>
      <c r="R350" s="7">
        <f t="shared" si="67"/>
        <v>3402</v>
      </c>
      <c r="S350" s="5">
        <f t="shared" si="68"/>
        <v>1</v>
      </c>
      <c r="T350" s="7">
        <f t="shared" si="69"/>
        <v>3402</v>
      </c>
    </row>
    <row r="351" spans="1:20">
      <c r="A351" s="23" t="s">
        <v>380</v>
      </c>
      <c r="B351" s="35" t="s">
        <v>365</v>
      </c>
      <c r="C351" s="36">
        <v>1720</v>
      </c>
      <c r="D351" s="6"/>
      <c r="E351" s="113">
        <v>52431395</v>
      </c>
      <c r="F351" s="116">
        <f t="shared" si="74"/>
        <v>30483.369186046511</v>
      </c>
      <c r="G351" s="117">
        <v>34734188</v>
      </c>
      <c r="H351" s="117">
        <f t="shared" si="75"/>
        <v>20194.295348837208</v>
      </c>
      <c r="I351" s="9"/>
      <c r="J351" s="10">
        <v>6.7424999999999997</v>
      </c>
      <c r="K351" s="117">
        <v>234195</v>
      </c>
      <c r="L351" s="120">
        <f t="shared" si="73"/>
        <v>136.15988372093022</v>
      </c>
      <c r="M351" s="122">
        <f t="shared" si="70"/>
        <v>347341.88</v>
      </c>
      <c r="N351" s="116">
        <f t="shared" si="71"/>
        <v>113146.88</v>
      </c>
      <c r="O351" s="123">
        <f t="shared" si="72"/>
        <v>65.783069767441859</v>
      </c>
      <c r="P351" s="5"/>
      <c r="Q351" s="5">
        <f t="shared" si="66"/>
        <v>1</v>
      </c>
      <c r="R351" s="7">
        <f t="shared" si="67"/>
        <v>1720</v>
      </c>
      <c r="S351" s="5">
        <f t="shared" si="68"/>
        <v>1</v>
      </c>
      <c r="T351" s="7">
        <f t="shared" si="69"/>
        <v>1720</v>
      </c>
    </row>
    <row r="352" spans="1:20">
      <c r="A352" s="23" t="s">
        <v>381</v>
      </c>
      <c r="B352" s="35" t="s">
        <v>365</v>
      </c>
      <c r="C352" s="36">
        <v>27885</v>
      </c>
      <c r="D352" s="6"/>
      <c r="E352" s="113">
        <v>1655332842</v>
      </c>
      <c r="F352" s="116">
        <f t="shared" si="74"/>
        <v>59362.841742872515</v>
      </c>
      <c r="G352" s="117">
        <v>1176075177</v>
      </c>
      <c r="H352" s="117">
        <f t="shared" si="75"/>
        <v>42175.907369553526</v>
      </c>
      <c r="I352" s="9"/>
      <c r="J352" s="10">
        <v>6.99</v>
      </c>
      <c r="K352" s="117">
        <v>8220765</v>
      </c>
      <c r="L352" s="120">
        <f t="shared" si="73"/>
        <v>294.80957504034427</v>
      </c>
      <c r="M352" s="122">
        <f t="shared" si="70"/>
        <v>11760751.77</v>
      </c>
      <c r="N352" s="116">
        <f t="shared" si="71"/>
        <v>3539986.7699999996</v>
      </c>
      <c r="O352" s="123">
        <f t="shared" si="72"/>
        <v>126.94949865519095</v>
      </c>
      <c r="P352" s="5"/>
      <c r="Q352" s="5">
        <f t="shared" si="66"/>
        <v>1</v>
      </c>
      <c r="R352" s="7">
        <f t="shared" si="67"/>
        <v>27885</v>
      </c>
      <c r="S352" s="5">
        <f t="shared" si="68"/>
        <v>1</v>
      </c>
      <c r="T352" s="7">
        <f t="shared" si="69"/>
        <v>27885</v>
      </c>
    </row>
    <row r="353" spans="1:20">
      <c r="A353" s="23" t="s">
        <v>382</v>
      </c>
      <c r="B353" s="35" t="s">
        <v>383</v>
      </c>
      <c r="C353" s="36">
        <v>1787</v>
      </c>
      <c r="D353" s="6"/>
      <c r="E353" s="113">
        <v>98364033</v>
      </c>
      <c r="F353" s="116">
        <f t="shared" si="74"/>
        <v>55044.226636821491</v>
      </c>
      <c r="G353" s="117">
        <v>54465672</v>
      </c>
      <c r="H353" s="117">
        <f t="shared" si="75"/>
        <v>30478.831561275882</v>
      </c>
      <c r="I353" s="7"/>
      <c r="J353" s="10">
        <v>9</v>
      </c>
      <c r="K353" s="117">
        <v>490191</v>
      </c>
      <c r="L353" s="120">
        <f t="shared" si="73"/>
        <v>274.30945719082263</v>
      </c>
      <c r="M353" s="122">
        <f t="shared" si="70"/>
        <v>544656.72</v>
      </c>
      <c r="N353" s="116">
        <f t="shared" si="71"/>
        <v>54465.719999999972</v>
      </c>
      <c r="O353" s="123">
        <f t="shared" si="72"/>
        <v>30.478858421936192</v>
      </c>
      <c r="P353" s="5"/>
      <c r="Q353" s="5">
        <f t="shared" si="66"/>
        <v>1</v>
      </c>
      <c r="R353" s="7">
        <f t="shared" si="67"/>
        <v>1787</v>
      </c>
      <c r="S353" s="5">
        <f t="shared" si="68"/>
        <v>1</v>
      </c>
      <c r="T353" s="7">
        <f t="shared" si="69"/>
        <v>1787</v>
      </c>
    </row>
    <row r="354" spans="1:20">
      <c r="A354" s="23" t="s">
        <v>384</v>
      </c>
      <c r="B354" s="35" t="s">
        <v>383</v>
      </c>
      <c r="C354" s="36">
        <v>1496</v>
      </c>
      <c r="D354" s="6"/>
      <c r="E354" s="113">
        <v>79498794</v>
      </c>
      <c r="F354" s="116">
        <f t="shared" si="74"/>
        <v>53140.905080213903</v>
      </c>
      <c r="G354" s="117">
        <v>34512040</v>
      </c>
      <c r="H354" s="117">
        <f t="shared" si="75"/>
        <v>23069.545454545456</v>
      </c>
      <c r="I354" s="7"/>
      <c r="J354" s="10">
        <v>7.95</v>
      </c>
      <c r="K354" s="117">
        <v>274370</v>
      </c>
      <c r="L354" s="120">
        <f t="shared" si="73"/>
        <v>183.4024064171123</v>
      </c>
      <c r="M354" s="122">
        <f t="shared" si="70"/>
        <v>345120.4</v>
      </c>
      <c r="N354" s="116">
        <f t="shared" si="71"/>
        <v>70750.400000000023</v>
      </c>
      <c r="O354" s="123">
        <f t="shared" si="72"/>
        <v>47.293048128342264</v>
      </c>
      <c r="P354" s="5"/>
      <c r="Q354" s="5">
        <f t="shared" si="66"/>
        <v>1</v>
      </c>
      <c r="R354" s="7">
        <f t="shared" si="67"/>
        <v>1496</v>
      </c>
      <c r="S354" s="5">
        <f t="shared" si="68"/>
        <v>1</v>
      </c>
      <c r="T354" s="7">
        <f t="shared" si="69"/>
        <v>1496</v>
      </c>
    </row>
    <row r="355" spans="1:20">
      <c r="A355" s="23" t="s">
        <v>385</v>
      </c>
      <c r="B355" s="35" t="s">
        <v>383</v>
      </c>
      <c r="C355" s="36">
        <v>10820</v>
      </c>
      <c r="D355" s="6"/>
      <c r="E355" s="113">
        <v>631630215</v>
      </c>
      <c r="F355" s="116">
        <f t="shared" si="74"/>
        <v>58376.175138632163</v>
      </c>
      <c r="G355" s="117">
        <v>330648848</v>
      </c>
      <c r="H355" s="117">
        <f t="shared" si="75"/>
        <v>30559.043253234751</v>
      </c>
      <c r="I355" s="7"/>
      <c r="J355" s="10">
        <v>8</v>
      </c>
      <c r="K355" s="117">
        <v>2645190</v>
      </c>
      <c r="L355" s="120">
        <f t="shared" si="73"/>
        <v>244.47227356746765</v>
      </c>
      <c r="M355" s="122">
        <f t="shared" si="70"/>
        <v>3306488.48</v>
      </c>
      <c r="N355" s="116">
        <f t="shared" si="71"/>
        <v>661298.48</v>
      </c>
      <c r="O355" s="123">
        <f t="shared" si="72"/>
        <v>61.118158964879854</v>
      </c>
      <c r="P355" s="5"/>
      <c r="Q355" s="5">
        <f t="shared" si="66"/>
        <v>1</v>
      </c>
      <c r="R355" s="7">
        <f t="shared" si="67"/>
        <v>10820</v>
      </c>
      <c r="S355" s="5">
        <f t="shared" si="68"/>
        <v>1</v>
      </c>
      <c r="T355" s="7">
        <f t="shared" si="69"/>
        <v>10820</v>
      </c>
    </row>
    <row r="356" spans="1:20">
      <c r="A356" s="23" t="s">
        <v>386</v>
      </c>
      <c r="B356" s="35" t="s">
        <v>383</v>
      </c>
      <c r="C356" s="36">
        <v>796</v>
      </c>
      <c r="D356" s="6"/>
      <c r="E356" s="113">
        <v>31260170</v>
      </c>
      <c r="F356" s="116">
        <f t="shared" si="74"/>
        <v>39271.570351758797</v>
      </c>
      <c r="G356" s="117">
        <v>20051577</v>
      </c>
      <c r="H356" s="117">
        <f t="shared" si="75"/>
        <v>25190.423366834169</v>
      </c>
      <c r="I356" s="7"/>
      <c r="J356" s="10">
        <v>7.4706000000000001</v>
      </c>
      <c r="K356" s="117">
        <v>149797</v>
      </c>
      <c r="L356" s="120">
        <f t="shared" si="73"/>
        <v>188.18718592964825</v>
      </c>
      <c r="M356" s="122">
        <f t="shared" si="70"/>
        <v>200515.77000000002</v>
      </c>
      <c r="N356" s="116">
        <f t="shared" si="71"/>
        <v>50718.770000000019</v>
      </c>
      <c r="O356" s="123">
        <f t="shared" si="72"/>
        <v>63.717047738693488</v>
      </c>
      <c r="P356" s="5"/>
      <c r="Q356" s="5">
        <f t="shared" si="66"/>
        <v>1</v>
      </c>
      <c r="R356" s="7">
        <f t="shared" si="67"/>
        <v>796</v>
      </c>
      <c r="S356" s="5">
        <f t="shared" si="68"/>
        <v>1</v>
      </c>
      <c r="T356" s="7">
        <f t="shared" si="69"/>
        <v>796</v>
      </c>
    </row>
    <row r="357" spans="1:20">
      <c r="A357" s="23" t="s">
        <v>387</v>
      </c>
      <c r="B357" s="35" t="s">
        <v>383</v>
      </c>
      <c r="C357" s="36">
        <v>600</v>
      </c>
      <c r="D357" s="6"/>
      <c r="E357" s="113">
        <v>45989885</v>
      </c>
      <c r="F357" s="116">
        <f t="shared" si="74"/>
        <v>76649.808333333334</v>
      </c>
      <c r="G357" s="117">
        <v>32618090</v>
      </c>
      <c r="H357" s="117">
        <f t="shared" si="75"/>
        <v>54363.48333333333</v>
      </c>
      <c r="I357" s="7"/>
      <c r="J357" s="10">
        <v>6.7</v>
      </c>
      <c r="K357" s="117">
        <v>218541</v>
      </c>
      <c r="L357" s="120">
        <f t="shared" si="73"/>
        <v>364.23500000000001</v>
      </c>
      <c r="M357" s="122">
        <f t="shared" si="70"/>
        <v>326180.90000000002</v>
      </c>
      <c r="N357" s="116">
        <f t="shared" si="71"/>
        <v>107639.90000000002</v>
      </c>
      <c r="O357" s="123">
        <f t="shared" si="72"/>
        <v>179.39983333333336</v>
      </c>
      <c r="P357" s="5"/>
      <c r="Q357" s="5">
        <f t="shared" si="66"/>
        <v>1</v>
      </c>
      <c r="R357" s="7">
        <f t="shared" si="67"/>
        <v>600</v>
      </c>
      <c r="S357" s="5">
        <f t="shared" si="68"/>
        <v>1</v>
      </c>
      <c r="T357" s="7">
        <f t="shared" si="69"/>
        <v>600</v>
      </c>
    </row>
    <row r="358" spans="1:20">
      <c r="A358" s="23" t="s">
        <v>390</v>
      </c>
      <c r="B358" s="35" t="s">
        <v>391</v>
      </c>
      <c r="C358" s="36">
        <v>5790</v>
      </c>
      <c r="D358" s="6"/>
      <c r="E358" s="113">
        <v>880335709</v>
      </c>
      <c r="F358" s="116">
        <f t="shared" si="74"/>
        <v>152044.16390328153</v>
      </c>
      <c r="G358" s="117">
        <v>525867527</v>
      </c>
      <c r="H358" s="117">
        <f t="shared" si="75"/>
        <v>90823.407081174446</v>
      </c>
      <c r="I358" s="7"/>
      <c r="J358" s="10">
        <v>1.9</v>
      </c>
      <c r="K358" s="117">
        <v>999148</v>
      </c>
      <c r="L358" s="120">
        <f t="shared" si="73"/>
        <v>172.56442141623489</v>
      </c>
      <c r="M358" s="122">
        <f t="shared" si="70"/>
        <v>5258675.2700000005</v>
      </c>
      <c r="N358" s="116">
        <f t="shared" si="71"/>
        <v>4259527.2700000005</v>
      </c>
      <c r="O358" s="123">
        <f t="shared" si="72"/>
        <v>735.66964939550962</v>
      </c>
      <c r="P358" s="5"/>
      <c r="Q358" s="5">
        <f t="shared" si="66"/>
        <v>1</v>
      </c>
      <c r="R358" s="7">
        <f t="shared" si="67"/>
        <v>5790</v>
      </c>
      <c r="S358" s="5">
        <f t="shared" si="68"/>
        <v>1</v>
      </c>
      <c r="T358" s="7">
        <f t="shared" si="69"/>
        <v>5790</v>
      </c>
    </row>
    <row r="359" spans="1:20">
      <c r="A359" s="23" t="s">
        <v>392</v>
      </c>
      <c r="B359" s="35" t="s">
        <v>391</v>
      </c>
      <c r="C359" s="36">
        <v>586</v>
      </c>
      <c r="D359" s="6"/>
      <c r="E359" s="113">
        <v>51505618</v>
      </c>
      <c r="F359" s="116">
        <f t="shared" si="74"/>
        <v>87893.546075085324</v>
      </c>
      <c r="G359" s="117">
        <v>34220034</v>
      </c>
      <c r="H359" s="117">
        <f t="shared" si="75"/>
        <v>58395.962457337882</v>
      </c>
      <c r="I359" s="7"/>
      <c r="J359" s="10">
        <v>2</v>
      </c>
      <c r="K359" s="117">
        <v>68440</v>
      </c>
      <c r="L359" s="120">
        <f t="shared" si="73"/>
        <v>116.79180887372014</v>
      </c>
      <c r="M359" s="122">
        <f t="shared" si="70"/>
        <v>342200.34</v>
      </c>
      <c r="N359" s="116">
        <f t="shared" si="71"/>
        <v>273760.34000000003</v>
      </c>
      <c r="O359" s="123">
        <f t="shared" si="72"/>
        <v>467.16781569965877</v>
      </c>
      <c r="P359" s="5"/>
      <c r="Q359" s="5">
        <f t="shared" si="66"/>
        <v>1</v>
      </c>
      <c r="R359" s="7">
        <f t="shared" si="67"/>
        <v>586</v>
      </c>
      <c r="S359" s="5">
        <f t="shared" si="68"/>
        <v>1</v>
      </c>
      <c r="T359" s="7">
        <f t="shared" si="69"/>
        <v>586</v>
      </c>
    </row>
    <row r="360" spans="1:20">
      <c r="A360" s="23" t="s">
        <v>393</v>
      </c>
      <c r="B360" s="35" t="s">
        <v>391</v>
      </c>
      <c r="C360" s="36">
        <v>7512</v>
      </c>
      <c r="D360" s="6"/>
      <c r="E360" s="113">
        <v>403806417</v>
      </c>
      <c r="F360" s="116">
        <f t="shared" si="74"/>
        <v>53754.84784345048</v>
      </c>
      <c r="G360" s="117">
        <v>253748195</v>
      </c>
      <c r="H360" s="117">
        <f t="shared" si="75"/>
        <v>33779.046192758251</v>
      </c>
      <c r="I360" s="7"/>
      <c r="J360" s="10">
        <v>2.75</v>
      </c>
      <c r="K360" s="117">
        <v>697807</v>
      </c>
      <c r="L360" s="120">
        <f t="shared" si="73"/>
        <v>92.892305644302454</v>
      </c>
      <c r="M360" s="122">
        <f t="shared" si="70"/>
        <v>2537481.9500000002</v>
      </c>
      <c r="N360" s="116">
        <f t="shared" si="71"/>
        <v>1839674.9500000002</v>
      </c>
      <c r="O360" s="123">
        <f t="shared" si="72"/>
        <v>244.89815628328012</v>
      </c>
      <c r="P360" s="5"/>
      <c r="Q360" s="5">
        <f t="shared" si="66"/>
        <v>1</v>
      </c>
      <c r="R360" s="7">
        <f t="shared" si="67"/>
        <v>7512</v>
      </c>
      <c r="S360" s="5">
        <f t="shared" si="68"/>
        <v>1</v>
      </c>
      <c r="T360" s="7">
        <f t="shared" si="69"/>
        <v>7512</v>
      </c>
    </row>
    <row r="361" spans="1:20">
      <c r="A361" s="23" t="s">
        <v>394</v>
      </c>
      <c r="B361" s="35" t="s">
        <v>395</v>
      </c>
      <c r="C361" s="36">
        <v>35721</v>
      </c>
      <c r="D361" s="6"/>
      <c r="E361" s="113">
        <v>2451916400</v>
      </c>
      <c r="F361" s="116">
        <f t="shared" si="74"/>
        <v>68640.75473810923</v>
      </c>
      <c r="G361" s="117">
        <v>1790109211</v>
      </c>
      <c r="H361" s="117">
        <f t="shared" si="75"/>
        <v>50113.636544329667</v>
      </c>
      <c r="I361" s="7"/>
      <c r="J361" s="10">
        <v>4.9000000000000004</v>
      </c>
      <c r="K361" s="117">
        <v>8771535</v>
      </c>
      <c r="L361" s="120">
        <f t="shared" si="73"/>
        <v>245.55681531872008</v>
      </c>
      <c r="M361" s="122">
        <f t="shared" si="70"/>
        <v>17901092.109999999</v>
      </c>
      <c r="N361" s="116">
        <f t="shared" si="71"/>
        <v>9129557.1099999994</v>
      </c>
      <c r="O361" s="123">
        <f t="shared" si="72"/>
        <v>255.57955012457657</v>
      </c>
      <c r="P361" s="5"/>
      <c r="Q361" s="5">
        <f t="shared" si="66"/>
        <v>1</v>
      </c>
      <c r="R361" s="7">
        <f t="shared" si="67"/>
        <v>35721</v>
      </c>
      <c r="S361" s="5">
        <f t="shared" si="68"/>
        <v>1</v>
      </c>
      <c r="T361" s="7">
        <f t="shared" si="69"/>
        <v>35721</v>
      </c>
    </row>
    <row r="362" spans="1:20">
      <c r="A362" s="23" t="s">
        <v>395</v>
      </c>
      <c r="B362" s="35" t="s">
        <v>395</v>
      </c>
      <c r="C362" s="36">
        <v>54639</v>
      </c>
      <c r="D362" s="6"/>
      <c r="E362" s="113">
        <v>9802555329</v>
      </c>
      <c r="F362" s="116">
        <f t="shared" si="74"/>
        <v>179405.83336078626</v>
      </c>
      <c r="G362" s="117">
        <v>6467330208</v>
      </c>
      <c r="H362" s="117">
        <f t="shared" si="75"/>
        <v>118364.72497666502</v>
      </c>
      <c r="I362" s="7"/>
      <c r="J362" s="10">
        <v>2.6917</v>
      </c>
      <c r="K362" s="117">
        <v>17408112</v>
      </c>
      <c r="L362" s="120">
        <f t="shared" si="73"/>
        <v>318.60231702629989</v>
      </c>
      <c r="M362" s="122">
        <f t="shared" si="70"/>
        <v>64673302.079999998</v>
      </c>
      <c r="N362" s="116">
        <f t="shared" si="71"/>
        <v>47265190.079999998</v>
      </c>
      <c r="O362" s="123">
        <f t="shared" si="72"/>
        <v>865.0449327403503</v>
      </c>
      <c r="P362" s="5"/>
      <c r="Q362" s="5">
        <f t="shared" si="66"/>
        <v>1</v>
      </c>
      <c r="R362" s="7">
        <f t="shared" si="67"/>
        <v>54639</v>
      </c>
      <c r="S362" s="5">
        <f t="shared" si="68"/>
        <v>1</v>
      </c>
      <c r="T362" s="7">
        <f t="shared" si="69"/>
        <v>54639</v>
      </c>
    </row>
    <row r="363" spans="1:20">
      <c r="A363" s="23" t="s">
        <v>396</v>
      </c>
      <c r="B363" s="35" t="s">
        <v>395</v>
      </c>
      <c r="C363" s="36">
        <v>20035</v>
      </c>
      <c r="D363" s="6"/>
      <c r="E363" s="113">
        <v>3329243366</v>
      </c>
      <c r="F363" s="116">
        <f t="shared" si="74"/>
        <v>166171.36840529073</v>
      </c>
      <c r="G363" s="117">
        <v>2468968778</v>
      </c>
      <c r="H363" s="117">
        <f t="shared" si="75"/>
        <v>123232.78153231845</v>
      </c>
      <c r="I363" s="7"/>
      <c r="J363" s="10">
        <v>3.2250000000000001</v>
      </c>
      <c r="K363" s="117">
        <v>7962424</v>
      </c>
      <c r="L363" s="120">
        <f t="shared" si="73"/>
        <v>397.42570501622163</v>
      </c>
      <c r="M363" s="122">
        <f t="shared" si="70"/>
        <v>24689687.780000001</v>
      </c>
      <c r="N363" s="116">
        <f t="shared" si="71"/>
        <v>16727263.780000001</v>
      </c>
      <c r="O363" s="123">
        <f t="shared" si="72"/>
        <v>834.90211030696287</v>
      </c>
      <c r="P363" s="5"/>
      <c r="Q363" s="5">
        <f t="shared" si="66"/>
        <v>1</v>
      </c>
      <c r="R363" s="7">
        <f t="shared" si="67"/>
        <v>20035</v>
      </c>
      <c r="S363" s="5">
        <f t="shared" si="68"/>
        <v>1</v>
      </c>
      <c r="T363" s="7">
        <f t="shared" si="69"/>
        <v>20035</v>
      </c>
    </row>
    <row r="364" spans="1:20">
      <c r="A364" s="23" t="s">
        <v>397</v>
      </c>
      <c r="B364" s="35" t="s">
        <v>360</v>
      </c>
      <c r="C364" s="36">
        <v>42499</v>
      </c>
      <c r="D364" s="6"/>
      <c r="E364" s="113">
        <v>2852484671</v>
      </c>
      <c r="F364" s="116">
        <f t="shared" si="74"/>
        <v>67118.865643897501</v>
      </c>
      <c r="G364" s="117">
        <v>2350035487</v>
      </c>
      <c r="H364" s="117">
        <f t="shared" si="75"/>
        <v>55296.253723617025</v>
      </c>
      <c r="I364" s="7"/>
      <c r="J364" s="10">
        <v>2.9</v>
      </c>
      <c r="K364" s="117">
        <v>6815102</v>
      </c>
      <c r="L364" s="120">
        <f t="shared" si="73"/>
        <v>160.35911433210194</v>
      </c>
      <c r="M364" s="122">
        <f t="shared" si="70"/>
        <v>23500354.870000001</v>
      </c>
      <c r="N364" s="116">
        <f t="shared" si="71"/>
        <v>16685252.870000001</v>
      </c>
      <c r="O364" s="123">
        <f t="shared" si="72"/>
        <v>392.60342290406834</v>
      </c>
      <c r="P364" s="5"/>
      <c r="Q364" s="5">
        <f t="shared" si="66"/>
        <v>1</v>
      </c>
      <c r="R364" s="7">
        <f t="shared" si="67"/>
        <v>42499</v>
      </c>
      <c r="S364" s="5">
        <f t="shared" si="68"/>
        <v>1</v>
      </c>
      <c r="T364" s="7">
        <f t="shared" si="69"/>
        <v>42499</v>
      </c>
    </row>
    <row r="365" spans="1:20">
      <c r="A365" s="23" t="s">
        <v>398</v>
      </c>
      <c r="B365" s="35" t="s">
        <v>360</v>
      </c>
      <c r="C365" s="36">
        <v>24741</v>
      </c>
      <c r="D365" s="6"/>
      <c r="E365" s="113">
        <v>1353150616</v>
      </c>
      <c r="F365" s="116">
        <f t="shared" si="74"/>
        <v>54692.640394486887</v>
      </c>
      <c r="G365" s="117">
        <v>1032950910</v>
      </c>
      <c r="H365" s="117">
        <f t="shared" si="75"/>
        <v>41750.572329331881</v>
      </c>
      <c r="I365" s="7"/>
      <c r="J365" s="10">
        <v>3.9</v>
      </c>
      <c r="K365" s="117">
        <v>4028508</v>
      </c>
      <c r="L365" s="120">
        <f t="shared" si="73"/>
        <v>162.82720989450709</v>
      </c>
      <c r="M365" s="122">
        <f t="shared" si="70"/>
        <v>10329509.1</v>
      </c>
      <c r="N365" s="116">
        <f t="shared" si="71"/>
        <v>6301001.0999999996</v>
      </c>
      <c r="O365" s="123">
        <f t="shared" si="72"/>
        <v>254.67851339881167</v>
      </c>
      <c r="P365" s="5"/>
      <c r="Q365" s="5">
        <f t="shared" si="66"/>
        <v>1</v>
      </c>
      <c r="R365" s="7">
        <f t="shared" si="67"/>
        <v>24741</v>
      </c>
      <c r="S365" s="5">
        <f t="shared" si="68"/>
        <v>1</v>
      </c>
      <c r="T365" s="7">
        <f t="shared" si="69"/>
        <v>24741</v>
      </c>
    </row>
    <row r="366" spans="1:20">
      <c r="A366" s="23" t="s">
        <v>399</v>
      </c>
      <c r="B366" s="35" t="s">
        <v>360</v>
      </c>
      <c r="C366" s="36">
        <v>13792</v>
      </c>
      <c r="D366" s="6"/>
      <c r="E366" s="113">
        <v>1845825024</v>
      </c>
      <c r="F366" s="116">
        <f t="shared" si="74"/>
        <v>133833.02088167053</v>
      </c>
      <c r="G366" s="117">
        <v>1574544264</v>
      </c>
      <c r="H366" s="117">
        <f t="shared" si="75"/>
        <v>114163.59222737819</v>
      </c>
      <c r="I366" s="7"/>
      <c r="J366" s="10">
        <v>3.9998</v>
      </c>
      <c r="K366" s="117">
        <v>6297862</v>
      </c>
      <c r="L366" s="120">
        <f t="shared" si="73"/>
        <v>456.63152552204178</v>
      </c>
      <c r="M366" s="122">
        <f t="shared" si="70"/>
        <v>15745442.640000001</v>
      </c>
      <c r="N366" s="116">
        <f t="shared" si="71"/>
        <v>9447580.6400000006</v>
      </c>
      <c r="O366" s="123">
        <f t="shared" si="72"/>
        <v>685.00439675174016</v>
      </c>
      <c r="P366" s="5"/>
      <c r="Q366" s="5">
        <f t="shared" si="66"/>
        <v>1</v>
      </c>
      <c r="R366" s="7">
        <f t="shared" si="67"/>
        <v>13792</v>
      </c>
      <c r="S366" s="5">
        <f t="shared" si="68"/>
        <v>1</v>
      </c>
      <c r="T366" s="7">
        <f t="shared" si="69"/>
        <v>13792</v>
      </c>
    </row>
    <row r="367" spans="1:20">
      <c r="A367" s="23" t="s">
        <v>400</v>
      </c>
      <c r="B367" s="35" t="s">
        <v>360</v>
      </c>
      <c r="C367" s="36">
        <v>13886</v>
      </c>
      <c r="D367" s="6"/>
      <c r="E367" s="113">
        <v>1063944182</v>
      </c>
      <c r="F367" s="116">
        <f t="shared" si="74"/>
        <v>76619.918046953768</v>
      </c>
      <c r="G367" s="117">
        <v>817376488</v>
      </c>
      <c r="H367" s="117">
        <f t="shared" si="75"/>
        <v>58863.350712948297</v>
      </c>
      <c r="I367" s="7"/>
      <c r="J367" s="10">
        <v>4.99</v>
      </c>
      <c r="K367" s="117">
        <v>4078708</v>
      </c>
      <c r="L367" s="120">
        <f t="shared" si="73"/>
        <v>293.72807143885927</v>
      </c>
      <c r="M367" s="122">
        <f t="shared" si="70"/>
        <v>8173764.8799999999</v>
      </c>
      <c r="N367" s="116">
        <f t="shared" si="71"/>
        <v>4095056.88</v>
      </c>
      <c r="O367" s="123">
        <f t="shared" si="72"/>
        <v>294.90543569062362</v>
      </c>
      <c r="P367" s="5"/>
      <c r="Q367" s="5">
        <f t="shared" si="66"/>
        <v>1</v>
      </c>
      <c r="R367" s="7">
        <f t="shared" si="67"/>
        <v>13886</v>
      </c>
      <c r="S367" s="5">
        <f t="shared" si="68"/>
        <v>1</v>
      </c>
      <c r="T367" s="7">
        <f t="shared" si="69"/>
        <v>13886</v>
      </c>
    </row>
    <row r="368" spans="1:20">
      <c r="A368" s="23" t="s">
        <v>401</v>
      </c>
      <c r="B368" s="35" t="s">
        <v>360</v>
      </c>
      <c r="C368" s="36">
        <v>29928</v>
      </c>
      <c r="D368" s="6"/>
      <c r="E368" s="113">
        <v>1962525618</v>
      </c>
      <c r="F368" s="116">
        <f t="shared" si="74"/>
        <v>65574.900360866071</v>
      </c>
      <c r="G368" s="117">
        <v>1483625883</v>
      </c>
      <c r="H368" s="117">
        <f t="shared" si="75"/>
        <v>49573.171712109062</v>
      </c>
      <c r="I368" s="7"/>
      <c r="J368" s="10">
        <v>5.335</v>
      </c>
      <c r="K368" s="117">
        <v>7915144</v>
      </c>
      <c r="L368" s="120">
        <f t="shared" si="73"/>
        <v>264.47286821705427</v>
      </c>
      <c r="M368" s="122">
        <f t="shared" si="70"/>
        <v>14836258.83</v>
      </c>
      <c r="N368" s="116">
        <f t="shared" si="71"/>
        <v>6921114.8300000001</v>
      </c>
      <c r="O368" s="123">
        <f t="shared" si="72"/>
        <v>231.25884890403637</v>
      </c>
      <c r="P368" s="5"/>
      <c r="Q368" s="5">
        <f t="shared" si="66"/>
        <v>1</v>
      </c>
      <c r="R368" s="7">
        <f t="shared" si="67"/>
        <v>29928</v>
      </c>
      <c r="S368" s="5">
        <f t="shared" si="68"/>
        <v>1</v>
      </c>
      <c r="T368" s="7">
        <f t="shared" si="69"/>
        <v>29928</v>
      </c>
    </row>
    <row r="369" spans="1:20">
      <c r="A369" s="23" t="s">
        <v>402</v>
      </c>
      <c r="B369" s="35" t="s">
        <v>360</v>
      </c>
      <c r="C369" s="36">
        <v>46078</v>
      </c>
      <c r="D369" s="6"/>
      <c r="E369" s="113">
        <v>2485535322</v>
      </c>
      <c r="F369" s="116">
        <f t="shared" si="74"/>
        <v>53941.909848517731</v>
      </c>
      <c r="G369" s="117">
        <v>1777280165</v>
      </c>
      <c r="H369" s="117">
        <f t="shared" si="75"/>
        <v>38571.122119015585</v>
      </c>
      <c r="I369" s="7"/>
      <c r="J369" s="10">
        <v>6.35</v>
      </c>
      <c r="K369" s="117">
        <v>11285729</v>
      </c>
      <c r="L369" s="120">
        <f t="shared" si="73"/>
        <v>244.92662441946266</v>
      </c>
      <c r="M369" s="122">
        <f t="shared" si="70"/>
        <v>17772801.649999999</v>
      </c>
      <c r="N369" s="116">
        <f t="shared" si="71"/>
        <v>6487072.6499999985</v>
      </c>
      <c r="O369" s="123">
        <f t="shared" si="72"/>
        <v>140.78459677069313</v>
      </c>
      <c r="P369" s="5"/>
      <c r="Q369" s="5">
        <f t="shared" si="66"/>
        <v>1</v>
      </c>
      <c r="R369" s="7">
        <f t="shared" si="67"/>
        <v>46078</v>
      </c>
      <c r="S369" s="5">
        <f t="shared" si="68"/>
        <v>1</v>
      </c>
      <c r="T369" s="7">
        <f t="shared" si="69"/>
        <v>46078</v>
      </c>
    </row>
    <row r="370" spans="1:20">
      <c r="A370" s="23" t="s">
        <v>403</v>
      </c>
      <c r="B370" s="35" t="s">
        <v>360</v>
      </c>
      <c r="C370" s="36">
        <v>32955</v>
      </c>
      <c r="D370" s="6"/>
      <c r="E370" s="113">
        <v>2057310362</v>
      </c>
      <c r="F370" s="116">
        <f t="shared" si="74"/>
        <v>62427.867152177212</v>
      </c>
      <c r="G370" s="117">
        <v>1483116250</v>
      </c>
      <c r="H370" s="117">
        <f t="shared" si="75"/>
        <v>45004.286147777275</v>
      </c>
      <c r="I370" s="7"/>
      <c r="J370" s="10">
        <v>4.3</v>
      </c>
      <c r="K370" s="117">
        <v>6377399</v>
      </c>
      <c r="L370" s="120">
        <f t="shared" si="73"/>
        <v>193.51840388408436</v>
      </c>
      <c r="M370" s="122">
        <f t="shared" si="70"/>
        <v>14831162.5</v>
      </c>
      <c r="N370" s="116">
        <f t="shared" si="71"/>
        <v>8453763.5</v>
      </c>
      <c r="O370" s="123">
        <f t="shared" si="72"/>
        <v>256.52445759368834</v>
      </c>
      <c r="P370" s="5"/>
      <c r="Q370" s="5">
        <f t="shared" si="66"/>
        <v>1</v>
      </c>
      <c r="R370" s="7">
        <f t="shared" si="67"/>
        <v>32955</v>
      </c>
      <c r="S370" s="5">
        <f t="shared" si="68"/>
        <v>1</v>
      </c>
      <c r="T370" s="7">
        <f t="shared" si="69"/>
        <v>32955</v>
      </c>
    </row>
    <row r="371" spans="1:20">
      <c r="A371" s="23" t="s">
        <v>388</v>
      </c>
      <c r="B371" s="35" t="s">
        <v>551</v>
      </c>
      <c r="C371" s="36">
        <v>635</v>
      </c>
      <c r="D371" s="6"/>
      <c r="E371" s="113">
        <v>28069195</v>
      </c>
      <c r="F371" s="116">
        <f t="shared" si="74"/>
        <v>44203.456692913387</v>
      </c>
      <c r="G371" s="117">
        <v>18296163</v>
      </c>
      <c r="H371" s="117">
        <f t="shared" si="75"/>
        <v>28812.855118110238</v>
      </c>
      <c r="I371" s="7"/>
      <c r="J371" s="10">
        <v>8</v>
      </c>
      <c r="K371" s="117">
        <v>146369</v>
      </c>
      <c r="L371" s="120">
        <f t="shared" si="73"/>
        <v>230.50236220472442</v>
      </c>
      <c r="M371" s="122">
        <f t="shared" si="70"/>
        <v>182961.63</v>
      </c>
      <c r="N371" s="116">
        <f t="shared" si="71"/>
        <v>36592.630000000005</v>
      </c>
      <c r="O371" s="123">
        <f t="shared" si="72"/>
        <v>57.626188976377961</v>
      </c>
      <c r="P371" s="5"/>
      <c r="Q371" s="5">
        <f t="shared" si="66"/>
        <v>1</v>
      </c>
      <c r="R371" s="7">
        <f t="shared" si="67"/>
        <v>635</v>
      </c>
      <c r="S371" s="5">
        <f t="shared" si="68"/>
        <v>1</v>
      </c>
      <c r="T371" s="7">
        <f t="shared" si="69"/>
        <v>635</v>
      </c>
    </row>
    <row r="372" spans="1:20">
      <c r="A372" s="23" t="s">
        <v>549</v>
      </c>
      <c r="B372" s="35" t="s">
        <v>551</v>
      </c>
      <c r="C372" s="36">
        <v>13363</v>
      </c>
      <c r="D372" s="6"/>
      <c r="E372" s="113">
        <v>1609674975</v>
      </c>
      <c r="F372" s="116">
        <f t="shared" si="74"/>
        <v>120457.6049539774</v>
      </c>
      <c r="G372" s="117">
        <v>1040454048</v>
      </c>
      <c r="H372" s="117">
        <f t="shared" si="75"/>
        <v>77860.813290428792</v>
      </c>
      <c r="I372" s="7"/>
      <c r="J372" s="10">
        <v>6.6</v>
      </c>
      <c r="K372" s="117">
        <v>6866996</v>
      </c>
      <c r="L372" s="120">
        <f t="shared" si="73"/>
        <v>513.8813140761805</v>
      </c>
      <c r="M372" s="122">
        <f t="shared" si="70"/>
        <v>10404540.48</v>
      </c>
      <c r="N372" s="116">
        <f t="shared" si="71"/>
        <v>3537544.4800000004</v>
      </c>
      <c r="O372" s="123">
        <f t="shared" si="72"/>
        <v>264.72681882810747</v>
      </c>
      <c r="P372" s="5"/>
      <c r="Q372" s="5">
        <f t="shared" si="66"/>
        <v>1</v>
      </c>
      <c r="R372" s="7">
        <f t="shared" si="67"/>
        <v>13363</v>
      </c>
      <c r="S372" s="5">
        <f t="shared" si="68"/>
        <v>1</v>
      </c>
      <c r="T372" s="7">
        <f t="shared" si="69"/>
        <v>13363</v>
      </c>
    </row>
    <row r="373" spans="1:20">
      <c r="A373" s="23" t="s">
        <v>550</v>
      </c>
      <c r="B373" s="35" t="s">
        <v>551</v>
      </c>
      <c r="C373" s="36">
        <v>5578</v>
      </c>
      <c r="D373" s="6"/>
      <c r="E373" s="113">
        <v>870070037</v>
      </c>
      <c r="F373" s="116">
        <f t="shared" si="74"/>
        <v>155982.43761204733</v>
      </c>
      <c r="G373" s="117">
        <v>727839162</v>
      </c>
      <c r="H373" s="117">
        <f t="shared" si="75"/>
        <v>130483.89422732162</v>
      </c>
      <c r="I373" s="7"/>
      <c r="J373" s="10">
        <v>2</v>
      </c>
      <c r="K373" s="117">
        <v>1455678</v>
      </c>
      <c r="L373" s="120">
        <f t="shared" ref="L373:L378" si="76">(K373/C373)</f>
        <v>260.96773036930801</v>
      </c>
      <c r="M373" s="122">
        <f t="shared" si="70"/>
        <v>7278391.6200000001</v>
      </c>
      <c r="N373" s="116">
        <f t="shared" si="71"/>
        <v>5822713.6200000001</v>
      </c>
      <c r="O373" s="123">
        <f t="shared" si="72"/>
        <v>1043.8712119039083</v>
      </c>
      <c r="P373" s="5"/>
      <c r="Q373" s="5">
        <f t="shared" si="66"/>
        <v>1</v>
      </c>
      <c r="R373" s="7">
        <f t="shared" si="67"/>
        <v>5578</v>
      </c>
      <c r="S373" s="5">
        <f t="shared" si="68"/>
        <v>1</v>
      </c>
      <c r="T373" s="7">
        <f t="shared" si="69"/>
        <v>5578</v>
      </c>
    </row>
    <row r="374" spans="1:20">
      <c r="A374" s="23" t="s">
        <v>389</v>
      </c>
      <c r="B374" s="35" t="s">
        <v>552</v>
      </c>
      <c r="C374" s="36">
        <v>39044</v>
      </c>
      <c r="D374" s="6"/>
      <c r="E374" s="113">
        <v>2422688696</v>
      </c>
      <c r="F374" s="116">
        <f t="shared" si="74"/>
        <v>62050.217600655669</v>
      </c>
      <c r="G374" s="117">
        <v>1522849627</v>
      </c>
      <c r="H374" s="117">
        <f t="shared" si="75"/>
        <v>39003.422472082777</v>
      </c>
      <c r="I374" s="7"/>
      <c r="J374" s="10">
        <v>7.8304999999999998</v>
      </c>
      <c r="K374" s="117">
        <v>11924674</v>
      </c>
      <c r="L374" s="120">
        <f t="shared" si="76"/>
        <v>305.41629955947138</v>
      </c>
      <c r="M374" s="122">
        <f t="shared" si="70"/>
        <v>15228496.27</v>
      </c>
      <c r="N374" s="116">
        <f t="shared" si="71"/>
        <v>3303822.2699999996</v>
      </c>
      <c r="O374" s="123">
        <f t="shared" si="72"/>
        <v>84.617925161356411</v>
      </c>
      <c r="P374" s="5"/>
      <c r="Q374" s="5">
        <f t="shared" si="66"/>
        <v>1</v>
      </c>
      <c r="R374" s="7">
        <f t="shared" si="67"/>
        <v>39044</v>
      </c>
      <c r="S374" s="5">
        <f t="shared" si="68"/>
        <v>1</v>
      </c>
      <c r="T374" s="7">
        <f t="shared" si="69"/>
        <v>39044</v>
      </c>
    </row>
    <row r="375" spans="1:20">
      <c r="A375" s="23" t="s">
        <v>553</v>
      </c>
      <c r="B375" s="35" t="s">
        <v>552</v>
      </c>
      <c r="C375" s="36">
        <v>115155</v>
      </c>
      <c r="D375" s="6"/>
      <c r="E375" s="113">
        <v>8235572338</v>
      </c>
      <c r="F375" s="116">
        <f t="shared" si="74"/>
        <v>71517.279649168515</v>
      </c>
      <c r="G375" s="117">
        <v>5902190438</v>
      </c>
      <c r="H375" s="117">
        <f t="shared" si="75"/>
        <v>51254.313212626461</v>
      </c>
      <c r="I375" s="7"/>
      <c r="J375" s="10">
        <v>4.6898999999999997</v>
      </c>
      <c r="K375" s="117">
        <v>27680682</v>
      </c>
      <c r="L375" s="120">
        <f t="shared" si="76"/>
        <v>240.3775954148756</v>
      </c>
      <c r="M375" s="122">
        <f t="shared" si="70"/>
        <v>59021904.380000003</v>
      </c>
      <c r="N375" s="116">
        <f t="shared" si="71"/>
        <v>31341222.380000003</v>
      </c>
      <c r="O375" s="123">
        <f t="shared" si="72"/>
        <v>272.165536711389</v>
      </c>
      <c r="P375" s="5"/>
      <c r="Q375" s="5">
        <f t="shared" si="66"/>
        <v>1</v>
      </c>
      <c r="R375" s="7">
        <f t="shared" si="67"/>
        <v>115155</v>
      </c>
      <c r="S375" s="5">
        <f t="shared" si="68"/>
        <v>1</v>
      </c>
      <c r="T375" s="7">
        <f t="shared" si="69"/>
        <v>115155</v>
      </c>
    </row>
    <row r="376" spans="1:20">
      <c r="A376" s="23" t="s">
        <v>554</v>
      </c>
      <c r="B376" s="35" t="s">
        <v>552</v>
      </c>
      <c r="C376" s="36">
        <v>628</v>
      </c>
      <c r="D376" s="6"/>
      <c r="E376" s="113">
        <v>66826858</v>
      </c>
      <c r="F376" s="116">
        <f t="shared" si="74"/>
        <v>106412.19426751592</v>
      </c>
      <c r="G376" s="117">
        <v>44035940</v>
      </c>
      <c r="H376" s="117">
        <f t="shared" si="75"/>
        <v>70120.923566878977</v>
      </c>
      <c r="I376" s="7"/>
      <c r="J376" s="10">
        <v>1</v>
      </c>
      <c r="K376" s="117">
        <v>44035</v>
      </c>
      <c r="L376" s="120">
        <f t="shared" si="76"/>
        <v>70.119426751592357</v>
      </c>
      <c r="M376" s="122">
        <f t="shared" si="70"/>
        <v>440359.4</v>
      </c>
      <c r="N376" s="116">
        <f t="shared" si="71"/>
        <v>396324.4</v>
      </c>
      <c r="O376" s="123">
        <f t="shared" si="72"/>
        <v>631.0898089171975</v>
      </c>
      <c r="P376" s="5"/>
      <c r="Q376" s="5">
        <f t="shared" si="66"/>
        <v>1</v>
      </c>
      <c r="R376" s="7">
        <f t="shared" si="67"/>
        <v>628</v>
      </c>
      <c r="S376" s="5">
        <f t="shared" si="68"/>
        <v>1</v>
      </c>
      <c r="T376" s="7">
        <f t="shared" si="69"/>
        <v>628</v>
      </c>
    </row>
    <row r="377" spans="1:20">
      <c r="A377" s="23" t="s">
        <v>404</v>
      </c>
      <c r="B377" s="35" t="s">
        <v>405</v>
      </c>
      <c r="C377" s="36">
        <v>2265</v>
      </c>
      <c r="D377" s="6"/>
      <c r="E377" s="113">
        <v>119722922</v>
      </c>
      <c r="F377" s="116">
        <f t="shared" si="74"/>
        <v>52857.80220750552</v>
      </c>
      <c r="G377" s="117">
        <v>91194860</v>
      </c>
      <c r="H377" s="117">
        <f t="shared" si="75"/>
        <v>40262.631346578368</v>
      </c>
      <c r="I377" s="7"/>
      <c r="J377" s="10">
        <v>4.5</v>
      </c>
      <c r="K377" s="117">
        <v>410376</v>
      </c>
      <c r="L377" s="120">
        <f t="shared" si="76"/>
        <v>181.1814569536424</v>
      </c>
      <c r="M377" s="122">
        <f t="shared" si="70"/>
        <v>911948.6</v>
      </c>
      <c r="N377" s="116">
        <f t="shared" si="71"/>
        <v>501572.6</v>
      </c>
      <c r="O377" s="123">
        <f t="shared" si="72"/>
        <v>221.44485651214126</v>
      </c>
      <c r="P377" s="5"/>
      <c r="Q377" s="5">
        <f t="shared" si="66"/>
        <v>1</v>
      </c>
      <c r="R377" s="7">
        <f t="shared" si="67"/>
        <v>2265</v>
      </c>
      <c r="S377" s="5">
        <f t="shared" si="68"/>
        <v>1</v>
      </c>
      <c r="T377" s="7">
        <f t="shared" si="69"/>
        <v>2265</v>
      </c>
    </row>
    <row r="378" spans="1:20">
      <c r="A378" s="23" t="s">
        <v>406</v>
      </c>
      <c r="B378" s="35" t="s">
        <v>405</v>
      </c>
      <c r="C378" s="36">
        <v>904</v>
      </c>
      <c r="D378" s="6"/>
      <c r="E378" s="113">
        <v>18229139</v>
      </c>
      <c r="F378" s="116">
        <f t="shared" si="74"/>
        <v>20164.976769911504</v>
      </c>
      <c r="G378" s="117">
        <v>9685557</v>
      </c>
      <c r="H378" s="117">
        <f t="shared" si="75"/>
        <v>10714.111725663717</v>
      </c>
      <c r="I378" s="7"/>
      <c r="J378" s="10">
        <v>2</v>
      </c>
      <c r="K378" s="117">
        <v>19371</v>
      </c>
      <c r="L378" s="120">
        <f t="shared" si="76"/>
        <v>21.428097345132745</v>
      </c>
      <c r="M378" s="122">
        <f t="shared" si="70"/>
        <v>96855.57</v>
      </c>
      <c r="N378" s="116">
        <f t="shared" si="71"/>
        <v>77484.570000000007</v>
      </c>
      <c r="O378" s="123">
        <f t="shared" si="72"/>
        <v>85.713019911504432</v>
      </c>
      <c r="P378" s="5"/>
      <c r="Q378" s="5">
        <f t="shared" si="66"/>
        <v>1</v>
      </c>
      <c r="R378" s="7">
        <f t="shared" si="67"/>
        <v>904</v>
      </c>
      <c r="S378" s="5">
        <f t="shared" si="68"/>
        <v>1</v>
      </c>
      <c r="T378" s="7">
        <f t="shared" si="69"/>
        <v>904</v>
      </c>
    </row>
    <row r="379" spans="1:20">
      <c r="A379" s="23" t="s">
        <v>407</v>
      </c>
      <c r="B379" s="35" t="s">
        <v>405</v>
      </c>
      <c r="C379" s="36">
        <v>649</v>
      </c>
      <c r="D379" s="6"/>
      <c r="E379" s="113">
        <v>17496554</v>
      </c>
      <c r="F379" s="116">
        <f t="shared" si="74"/>
        <v>26959.251155624035</v>
      </c>
      <c r="G379" s="117">
        <v>9637727</v>
      </c>
      <c r="H379" s="117">
        <f t="shared" si="75"/>
        <v>14850.118644067798</v>
      </c>
      <c r="I379" s="98" t="s">
        <v>528</v>
      </c>
      <c r="J379" s="10"/>
      <c r="K379" s="117"/>
      <c r="L379" s="120"/>
      <c r="M379" s="122">
        <f t="shared" si="70"/>
        <v>96377.27</v>
      </c>
      <c r="N379" s="116">
        <f t="shared" si="71"/>
        <v>96377.27</v>
      </c>
      <c r="O379" s="123">
        <f t="shared" si="72"/>
        <v>148.50118644067797</v>
      </c>
      <c r="P379" s="5"/>
      <c r="Q379" s="5">
        <f t="shared" si="66"/>
        <v>1</v>
      </c>
      <c r="R379" s="7">
        <f t="shared" si="67"/>
        <v>649</v>
      </c>
      <c r="S379" s="5">
        <f t="shared" si="68"/>
        <v>0</v>
      </c>
      <c r="T379" s="7">
        <f t="shared" si="69"/>
        <v>0</v>
      </c>
    </row>
    <row r="380" spans="1:20">
      <c r="A380" s="23" t="s">
        <v>408</v>
      </c>
      <c r="B380" s="35" t="s">
        <v>405</v>
      </c>
      <c r="C380" s="36">
        <v>800</v>
      </c>
      <c r="D380" s="6"/>
      <c r="E380" s="113">
        <v>17152119</v>
      </c>
      <c r="F380" s="116">
        <f t="shared" si="74"/>
        <v>21440.14875</v>
      </c>
      <c r="G380" s="117">
        <v>11208305</v>
      </c>
      <c r="H380" s="117">
        <f t="shared" si="75"/>
        <v>14010.38125</v>
      </c>
      <c r="I380" s="7"/>
      <c r="J380" s="10">
        <v>6</v>
      </c>
      <c r="K380" s="117">
        <v>67249</v>
      </c>
      <c r="L380" s="120">
        <f t="shared" ref="L380:L385" si="77">(K380/C380)</f>
        <v>84.061250000000001</v>
      </c>
      <c r="M380" s="122">
        <f t="shared" si="70"/>
        <v>112083.05</v>
      </c>
      <c r="N380" s="116">
        <f t="shared" si="71"/>
        <v>44834.05</v>
      </c>
      <c r="O380" s="123">
        <f t="shared" si="72"/>
        <v>56.042562500000003</v>
      </c>
      <c r="P380" s="5"/>
      <c r="Q380" s="5">
        <f t="shared" si="66"/>
        <v>1</v>
      </c>
      <c r="R380" s="7">
        <f t="shared" si="67"/>
        <v>800</v>
      </c>
      <c r="S380" s="5">
        <f t="shared" si="68"/>
        <v>1</v>
      </c>
      <c r="T380" s="7">
        <f t="shared" si="69"/>
        <v>800</v>
      </c>
    </row>
    <row r="381" spans="1:20">
      <c r="A381" s="23" t="s">
        <v>409</v>
      </c>
      <c r="B381" s="35" t="s">
        <v>405</v>
      </c>
      <c r="C381" s="36">
        <v>3987</v>
      </c>
      <c r="D381" s="6"/>
      <c r="E381" s="113">
        <v>130565047</v>
      </c>
      <c r="F381" s="116">
        <f t="shared" si="74"/>
        <v>32747.691748181591</v>
      </c>
      <c r="G381" s="117">
        <v>105162010</v>
      </c>
      <c r="H381" s="117">
        <f t="shared" si="75"/>
        <v>26376.225232004013</v>
      </c>
      <c r="I381" s="7"/>
      <c r="J381" s="10">
        <v>4.79</v>
      </c>
      <c r="K381" s="117">
        <v>503726</v>
      </c>
      <c r="L381" s="120">
        <f t="shared" si="77"/>
        <v>126.34211186355655</v>
      </c>
      <c r="M381" s="122">
        <f t="shared" si="70"/>
        <v>1051620.1000000001</v>
      </c>
      <c r="N381" s="116">
        <f t="shared" si="71"/>
        <v>547894.10000000009</v>
      </c>
      <c r="O381" s="123">
        <f t="shared" si="72"/>
        <v>137.42014045648361</v>
      </c>
      <c r="P381" s="5"/>
      <c r="Q381" s="5">
        <f t="shared" si="66"/>
        <v>1</v>
      </c>
      <c r="R381" s="7">
        <f t="shared" si="67"/>
        <v>3987</v>
      </c>
      <c r="S381" s="5">
        <f t="shared" si="68"/>
        <v>1</v>
      </c>
      <c r="T381" s="7">
        <f t="shared" si="69"/>
        <v>3987</v>
      </c>
    </row>
    <row r="382" spans="1:20">
      <c r="A382" s="23" t="s">
        <v>410</v>
      </c>
      <c r="B382" s="35" t="s">
        <v>411</v>
      </c>
      <c r="C382" s="36">
        <v>693</v>
      </c>
      <c r="D382" s="6"/>
      <c r="E382" s="113">
        <v>26062415</v>
      </c>
      <c r="F382" s="116">
        <f t="shared" si="74"/>
        <v>37608.102453102452</v>
      </c>
      <c r="G382" s="117">
        <v>14828770</v>
      </c>
      <c r="H382" s="117">
        <f t="shared" si="75"/>
        <v>21397.936507936509</v>
      </c>
      <c r="I382" s="7"/>
      <c r="J382" s="11">
        <v>4.25</v>
      </c>
      <c r="K382" s="117">
        <v>63022</v>
      </c>
      <c r="L382" s="120">
        <f t="shared" si="77"/>
        <v>90.940836940836945</v>
      </c>
      <c r="M382" s="122">
        <f t="shared" si="70"/>
        <v>148287.70000000001</v>
      </c>
      <c r="N382" s="116">
        <f t="shared" si="71"/>
        <v>85265.700000000012</v>
      </c>
      <c r="O382" s="123">
        <f t="shared" si="72"/>
        <v>123.03852813852815</v>
      </c>
      <c r="P382" s="5"/>
      <c r="Q382" s="5">
        <f t="shared" si="66"/>
        <v>1</v>
      </c>
      <c r="R382" s="7">
        <f t="shared" si="67"/>
        <v>693</v>
      </c>
      <c r="S382" s="5">
        <f t="shared" si="68"/>
        <v>1</v>
      </c>
      <c r="T382" s="7">
        <f t="shared" si="69"/>
        <v>693</v>
      </c>
    </row>
    <row r="383" spans="1:20">
      <c r="A383" s="23" t="s">
        <v>412</v>
      </c>
      <c r="B383" s="35" t="s">
        <v>411</v>
      </c>
      <c r="C383" s="36">
        <v>6545</v>
      </c>
      <c r="D383" s="6"/>
      <c r="E383" s="113">
        <v>173252703</v>
      </c>
      <c r="F383" s="116">
        <f t="shared" si="74"/>
        <v>26471.001222307106</v>
      </c>
      <c r="G383" s="117">
        <v>103960922</v>
      </c>
      <c r="H383" s="117">
        <f t="shared" si="75"/>
        <v>15884.021695951107</v>
      </c>
      <c r="I383" s="7"/>
      <c r="J383" s="10">
        <v>6.75</v>
      </c>
      <c r="K383" s="117">
        <v>701736</v>
      </c>
      <c r="L383" s="120">
        <f t="shared" si="77"/>
        <v>107.21711229946524</v>
      </c>
      <c r="M383" s="122">
        <f t="shared" si="70"/>
        <v>1039609.22</v>
      </c>
      <c r="N383" s="116">
        <f t="shared" si="71"/>
        <v>337873.22</v>
      </c>
      <c r="O383" s="123">
        <f t="shared" si="72"/>
        <v>51.623104660045833</v>
      </c>
      <c r="P383" s="5"/>
      <c r="Q383" s="5">
        <f t="shared" si="66"/>
        <v>1</v>
      </c>
      <c r="R383" s="7">
        <f t="shared" si="67"/>
        <v>6545</v>
      </c>
      <c r="S383" s="5">
        <f t="shared" si="68"/>
        <v>1</v>
      </c>
      <c r="T383" s="7">
        <f t="shared" si="69"/>
        <v>6545</v>
      </c>
    </row>
    <row r="384" spans="1:20">
      <c r="A384" s="23" t="s">
        <v>413</v>
      </c>
      <c r="B384" s="35" t="s">
        <v>414</v>
      </c>
      <c r="C384" s="36">
        <v>6823</v>
      </c>
      <c r="D384" s="6"/>
      <c r="E384" s="113">
        <v>335757272</v>
      </c>
      <c r="F384" s="116">
        <f t="shared" si="74"/>
        <v>49209.625091601934</v>
      </c>
      <c r="G384" s="117">
        <v>180163724</v>
      </c>
      <c r="H384" s="117">
        <f t="shared" si="75"/>
        <v>26405.353070496851</v>
      </c>
      <c r="I384" s="7"/>
      <c r="J384" s="10">
        <v>4.6675000000000004</v>
      </c>
      <c r="K384" s="117">
        <v>840914</v>
      </c>
      <c r="L384" s="120">
        <f t="shared" si="77"/>
        <v>123.24695881577018</v>
      </c>
      <c r="M384" s="122">
        <f t="shared" si="70"/>
        <v>1801637.24</v>
      </c>
      <c r="N384" s="116">
        <f t="shared" si="71"/>
        <v>960723.24</v>
      </c>
      <c r="O384" s="123">
        <f t="shared" si="72"/>
        <v>140.8065718891983</v>
      </c>
      <c r="P384" s="5"/>
      <c r="Q384" s="5">
        <f t="shared" si="66"/>
        <v>1</v>
      </c>
      <c r="R384" s="7">
        <f t="shared" si="67"/>
        <v>6823</v>
      </c>
      <c r="S384" s="5">
        <f t="shared" si="68"/>
        <v>1</v>
      </c>
      <c r="T384" s="7">
        <f t="shared" si="69"/>
        <v>6823</v>
      </c>
    </row>
    <row r="385" spans="1:20">
      <c r="A385" s="23" t="s">
        <v>415</v>
      </c>
      <c r="B385" s="35" t="s">
        <v>416</v>
      </c>
      <c r="C385" s="36">
        <v>1933</v>
      </c>
      <c r="D385" s="6"/>
      <c r="E385" s="113">
        <v>57389759</v>
      </c>
      <c r="F385" s="116">
        <f t="shared" si="74"/>
        <v>29689.476978789447</v>
      </c>
      <c r="G385" s="117">
        <v>27268368</v>
      </c>
      <c r="H385" s="117">
        <f t="shared" si="75"/>
        <v>14106.760475944127</v>
      </c>
      <c r="I385" s="7"/>
      <c r="J385" s="10">
        <v>2.4500000000000002</v>
      </c>
      <c r="K385" s="117">
        <v>66807</v>
      </c>
      <c r="L385" s="120">
        <f t="shared" si="77"/>
        <v>34.561303673047078</v>
      </c>
      <c r="M385" s="122">
        <f t="shared" si="70"/>
        <v>272683.68</v>
      </c>
      <c r="N385" s="116">
        <f t="shared" si="71"/>
        <v>205876.68</v>
      </c>
      <c r="O385" s="123">
        <f t="shared" si="72"/>
        <v>106.5063010863942</v>
      </c>
      <c r="P385" s="5"/>
      <c r="Q385" s="5">
        <f t="shared" si="66"/>
        <v>1</v>
      </c>
      <c r="R385" s="7">
        <f t="shared" si="67"/>
        <v>1933</v>
      </c>
      <c r="S385" s="5">
        <f t="shared" si="68"/>
        <v>1</v>
      </c>
      <c r="T385" s="7">
        <f t="shared" si="69"/>
        <v>1933</v>
      </c>
    </row>
    <row r="386" spans="1:20">
      <c r="A386" s="23" t="s">
        <v>417</v>
      </c>
      <c r="B386" s="35" t="s">
        <v>416</v>
      </c>
      <c r="C386" s="36">
        <v>271</v>
      </c>
      <c r="D386" s="6"/>
      <c r="E386" s="113">
        <v>5162030</v>
      </c>
      <c r="F386" s="116">
        <f t="shared" si="74"/>
        <v>19048.081180811809</v>
      </c>
      <c r="G386" s="117">
        <v>2181349</v>
      </c>
      <c r="H386" s="117">
        <f t="shared" si="75"/>
        <v>8049.2583025830254</v>
      </c>
      <c r="I386" s="98" t="s">
        <v>528</v>
      </c>
      <c r="J386" s="10"/>
      <c r="K386" s="117"/>
      <c r="L386" s="120"/>
      <c r="M386" s="122">
        <f t="shared" si="70"/>
        <v>21813.49</v>
      </c>
      <c r="N386" s="116">
        <f t="shared" si="71"/>
        <v>21813.49</v>
      </c>
      <c r="O386" s="123">
        <f t="shared" si="72"/>
        <v>80.492583025830271</v>
      </c>
      <c r="P386" s="5"/>
      <c r="Q386" s="5">
        <f t="shared" si="66"/>
        <v>1</v>
      </c>
      <c r="R386" s="7">
        <f t="shared" si="67"/>
        <v>271</v>
      </c>
      <c r="S386" s="5">
        <f t="shared" si="68"/>
        <v>0</v>
      </c>
      <c r="T386" s="7">
        <f t="shared" si="69"/>
        <v>0</v>
      </c>
    </row>
    <row r="387" spans="1:20">
      <c r="A387" s="23" t="s">
        <v>418</v>
      </c>
      <c r="B387" s="35" t="s">
        <v>416</v>
      </c>
      <c r="C387" s="36">
        <v>479</v>
      </c>
      <c r="D387" s="6"/>
      <c r="E387" s="113">
        <v>7304417</v>
      </c>
      <c r="F387" s="116">
        <f t="shared" si="74"/>
        <v>15249.304801670147</v>
      </c>
      <c r="G387" s="117">
        <v>4424762</v>
      </c>
      <c r="H387" s="117">
        <f t="shared" si="75"/>
        <v>9237.4989561586644</v>
      </c>
      <c r="I387" s="7"/>
      <c r="J387" s="10">
        <v>2</v>
      </c>
      <c r="K387" s="117">
        <v>8849</v>
      </c>
      <c r="L387" s="120">
        <f t="shared" ref="L387:L403" si="78">(K387/C387)</f>
        <v>18.473903966597078</v>
      </c>
      <c r="M387" s="122">
        <f t="shared" si="70"/>
        <v>44247.62</v>
      </c>
      <c r="N387" s="116">
        <f t="shared" si="71"/>
        <v>35398.620000000003</v>
      </c>
      <c r="O387" s="123">
        <f t="shared" si="72"/>
        <v>73.901085594989567</v>
      </c>
      <c r="P387" s="5"/>
      <c r="Q387" s="5">
        <f t="shared" si="66"/>
        <v>1</v>
      </c>
      <c r="R387" s="7">
        <f t="shared" si="67"/>
        <v>479</v>
      </c>
      <c r="S387" s="5">
        <f t="shared" si="68"/>
        <v>1</v>
      </c>
      <c r="T387" s="7">
        <f t="shared" si="69"/>
        <v>479</v>
      </c>
    </row>
    <row r="388" spans="1:20">
      <c r="A388" s="23" t="s">
        <v>419</v>
      </c>
      <c r="B388" s="35" t="s">
        <v>420</v>
      </c>
      <c r="C388" s="36">
        <v>65077</v>
      </c>
      <c r="D388" s="6"/>
      <c r="E388" s="113">
        <v>5157118347</v>
      </c>
      <c r="F388" s="116">
        <f t="shared" si="74"/>
        <v>79246.4057501114</v>
      </c>
      <c r="G388" s="117">
        <v>3517157996</v>
      </c>
      <c r="H388" s="117">
        <f t="shared" si="75"/>
        <v>54046.09917482367</v>
      </c>
      <c r="I388" s="7"/>
      <c r="J388" s="10">
        <v>6.7027000000000001</v>
      </c>
      <c r="K388" s="117">
        <v>23574454</v>
      </c>
      <c r="L388" s="120">
        <f t="shared" si="78"/>
        <v>362.25477511255895</v>
      </c>
      <c r="M388" s="122">
        <f t="shared" si="70"/>
        <v>35171579.960000001</v>
      </c>
      <c r="N388" s="116">
        <f t="shared" si="71"/>
        <v>11597125.960000001</v>
      </c>
      <c r="O388" s="123">
        <f t="shared" si="72"/>
        <v>178.20621663567775</v>
      </c>
      <c r="P388" s="5"/>
      <c r="Q388" s="5">
        <f t="shared" si="66"/>
        <v>1</v>
      </c>
      <c r="R388" s="7">
        <f t="shared" si="67"/>
        <v>65077</v>
      </c>
      <c r="S388" s="5">
        <f t="shared" si="68"/>
        <v>1</v>
      </c>
      <c r="T388" s="7">
        <f t="shared" si="69"/>
        <v>65077</v>
      </c>
    </row>
    <row r="389" spans="1:20">
      <c r="A389" s="23" t="s">
        <v>421</v>
      </c>
      <c r="B389" s="35" t="s">
        <v>420</v>
      </c>
      <c r="C389" s="36">
        <v>4568</v>
      </c>
      <c r="D389" s="6"/>
      <c r="E389" s="113">
        <v>1182109991</v>
      </c>
      <c r="F389" s="116">
        <f t="shared" si="74"/>
        <v>258780.64601576183</v>
      </c>
      <c r="G389" s="117">
        <v>1019086817</v>
      </c>
      <c r="H389" s="117">
        <f t="shared" si="75"/>
        <v>223092.56063922943</v>
      </c>
      <c r="I389" s="7"/>
      <c r="J389" s="11">
        <v>4.0823</v>
      </c>
      <c r="K389" s="117">
        <v>4160218</v>
      </c>
      <c r="L389" s="120">
        <f t="shared" si="78"/>
        <v>910.73073555166377</v>
      </c>
      <c r="M389" s="122">
        <f t="shared" si="70"/>
        <v>10190868.17</v>
      </c>
      <c r="N389" s="116">
        <f t="shared" si="71"/>
        <v>6030650.1699999999</v>
      </c>
      <c r="O389" s="123">
        <f t="shared" si="72"/>
        <v>1320.1948708406305</v>
      </c>
      <c r="P389" s="5"/>
      <c r="Q389" s="5">
        <f t="shared" si="66"/>
        <v>1</v>
      </c>
      <c r="R389" s="7">
        <f t="shared" si="67"/>
        <v>4568</v>
      </c>
      <c r="S389" s="5">
        <f t="shared" si="68"/>
        <v>1</v>
      </c>
      <c r="T389" s="7">
        <f t="shared" si="69"/>
        <v>4568</v>
      </c>
    </row>
    <row r="390" spans="1:20">
      <c r="A390" s="23" t="s">
        <v>462</v>
      </c>
      <c r="B390" s="35" t="s">
        <v>420</v>
      </c>
      <c r="C390" s="36">
        <v>17856</v>
      </c>
      <c r="D390" s="6"/>
      <c r="E390" s="113">
        <v>1853798753</v>
      </c>
      <c r="F390" s="116">
        <f t="shared" si="74"/>
        <v>103819.37460797491</v>
      </c>
      <c r="G390" s="117">
        <v>1531901274</v>
      </c>
      <c r="H390" s="117">
        <f t="shared" si="75"/>
        <v>85791.962029569899</v>
      </c>
      <c r="I390" s="7"/>
      <c r="J390" s="10">
        <v>2.5074000000000001</v>
      </c>
      <c r="K390" s="117">
        <v>3841089</v>
      </c>
      <c r="L390" s="120">
        <f t="shared" si="78"/>
        <v>215.11475134408602</v>
      </c>
      <c r="M390" s="122">
        <f t="shared" si="70"/>
        <v>15319012.74</v>
      </c>
      <c r="N390" s="116">
        <f t="shared" si="71"/>
        <v>11477923.74</v>
      </c>
      <c r="O390" s="123">
        <f t="shared" si="72"/>
        <v>642.80486895161289</v>
      </c>
      <c r="P390" s="5"/>
      <c r="Q390" s="5">
        <f t="shared" si="66"/>
        <v>1</v>
      </c>
      <c r="R390" s="7">
        <f t="shared" si="67"/>
        <v>17856</v>
      </c>
      <c r="S390" s="5">
        <f t="shared" si="68"/>
        <v>1</v>
      </c>
      <c r="T390" s="7">
        <f t="shared" si="69"/>
        <v>17856</v>
      </c>
    </row>
    <row r="391" spans="1:20">
      <c r="A391" s="23" t="s">
        <v>463</v>
      </c>
      <c r="B391" s="35" t="s">
        <v>420</v>
      </c>
      <c r="C391" s="36">
        <v>23829</v>
      </c>
      <c r="D391" s="6"/>
      <c r="E391" s="113">
        <v>1580601937</v>
      </c>
      <c r="F391" s="116">
        <f t="shared" si="74"/>
        <v>66331.022577531578</v>
      </c>
      <c r="G391" s="117">
        <v>1039665065</v>
      </c>
      <c r="H391" s="117">
        <f t="shared" si="75"/>
        <v>43630.243191069705</v>
      </c>
      <c r="I391" s="7"/>
      <c r="J391" s="10">
        <v>6.1689999999999996</v>
      </c>
      <c r="K391" s="117">
        <v>6413693</v>
      </c>
      <c r="L391" s="120">
        <f t="shared" si="78"/>
        <v>269.15493726132024</v>
      </c>
      <c r="M391" s="122">
        <f t="shared" si="70"/>
        <v>10396650.65</v>
      </c>
      <c r="N391" s="116">
        <f t="shared" si="71"/>
        <v>3982957.6500000004</v>
      </c>
      <c r="O391" s="123">
        <f t="shared" si="72"/>
        <v>167.14749464937682</v>
      </c>
      <c r="P391" s="5"/>
      <c r="Q391" s="5">
        <f t="shared" ref="Q391:Q413" si="79">IF(E391&gt;0,1,0)</f>
        <v>1</v>
      </c>
      <c r="R391" s="7">
        <f t="shared" ref="R391:R413" si="80">IF(E391&gt;0,C391,0)</f>
        <v>23829</v>
      </c>
      <c r="S391" s="5">
        <f t="shared" ref="S391:S413" si="81">IF(J391&gt;0,1,0)</f>
        <v>1</v>
      </c>
      <c r="T391" s="7">
        <f t="shared" ref="T391:T413" si="82">IF(J391&gt;0,C391,0)</f>
        <v>23829</v>
      </c>
    </row>
    <row r="392" spans="1:20">
      <c r="A392" s="23" t="s">
        <v>422</v>
      </c>
      <c r="B392" s="35" t="s">
        <v>420</v>
      </c>
      <c r="C392" s="36">
        <v>80052</v>
      </c>
      <c r="D392" s="6"/>
      <c r="E392" s="113">
        <v>3199018001</v>
      </c>
      <c r="F392" s="116">
        <f t="shared" si="74"/>
        <v>39961.749875081194</v>
      </c>
      <c r="G392" s="117">
        <v>2071153897</v>
      </c>
      <c r="H392" s="117">
        <f t="shared" si="75"/>
        <v>25872.606518263128</v>
      </c>
      <c r="I392" s="7"/>
      <c r="J392" s="10">
        <v>4.1980000000000004</v>
      </c>
      <c r="K392" s="117">
        <v>8694704</v>
      </c>
      <c r="L392" s="120">
        <f t="shared" si="78"/>
        <v>108.6132014190776</v>
      </c>
      <c r="M392" s="122">
        <f t="shared" ref="M392:M413" si="83">(G392*0.01)</f>
        <v>20711538.969999999</v>
      </c>
      <c r="N392" s="116">
        <f t="shared" ref="N392:N413" si="84">(M392-K392)</f>
        <v>12016834.969999999</v>
      </c>
      <c r="O392" s="123">
        <f t="shared" ref="O392:O413" si="85">(N392/C392)</f>
        <v>150.11286376355366</v>
      </c>
      <c r="P392" s="5"/>
      <c r="Q392" s="5">
        <f t="shared" si="79"/>
        <v>1</v>
      </c>
      <c r="R392" s="7">
        <f t="shared" si="80"/>
        <v>80052</v>
      </c>
      <c r="S392" s="5">
        <f t="shared" si="81"/>
        <v>1</v>
      </c>
      <c r="T392" s="7">
        <f t="shared" si="82"/>
        <v>80052</v>
      </c>
    </row>
    <row r="393" spans="1:20">
      <c r="A393" s="23" t="s">
        <v>423</v>
      </c>
      <c r="B393" s="35" t="s">
        <v>420</v>
      </c>
      <c r="C393" s="36">
        <v>20637</v>
      </c>
      <c r="D393" s="6"/>
      <c r="E393" s="113">
        <v>1049907767</v>
      </c>
      <c r="F393" s="116">
        <f t="shared" si="74"/>
        <v>50875.018995008963</v>
      </c>
      <c r="G393" s="117">
        <v>664137932</v>
      </c>
      <c r="H393" s="117">
        <f t="shared" si="75"/>
        <v>32181.902989775645</v>
      </c>
      <c r="I393" s="7"/>
      <c r="J393" s="10">
        <v>6.45</v>
      </c>
      <c r="K393" s="117">
        <v>4283689</v>
      </c>
      <c r="L393" s="120">
        <f t="shared" si="78"/>
        <v>207.57324223482095</v>
      </c>
      <c r="M393" s="122">
        <f t="shared" si="83"/>
        <v>6641379.3200000003</v>
      </c>
      <c r="N393" s="116">
        <f t="shared" si="84"/>
        <v>2357690.3200000003</v>
      </c>
      <c r="O393" s="123">
        <f t="shared" si="85"/>
        <v>114.24578766293551</v>
      </c>
      <c r="P393" s="5"/>
      <c r="Q393" s="5">
        <f t="shared" si="79"/>
        <v>1</v>
      </c>
      <c r="R393" s="7">
        <f t="shared" si="80"/>
        <v>20637</v>
      </c>
      <c r="S393" s="5">
        <f t="shared" si="81"/>
        <v>1</v>
      </c>
      <c r="T393" s="7">
        <f t="shared" si="82"/>
        <v>20637</v>
      </c>
    </row>
    <row r="394" spans="1:20">
      <c r="A394" s="23" t="s">
        <v>424</v>
      </c>
      <c r="B394" s="35" t="s">
        <v>420</v>
      </c>
      <c r="C394" s="36">
        <v>12612</v>
      </c>
      <c r="D394" s="6"/>
      <c r="E394" s="113">
        <v>642563082</v>
      </c>
      <c r="F394" s="116">
        <f t="shared" si="74"/>
        <v>50948.547573739299</v>
      </c>
      <c r="G394" s="117">
        <v>449906361</v>
      </c>
      <c r="H394" s="117">
        <f t="shared" si="75"/>
        <v>35672.879876308281</v>
      </c>
      <c r="I394" s="7"/>
      <c r="J394" s="10">
        <v>4.08</v>
      </c>
      <c r="K394" s="117">
        <v>1835617</v>
      </c>
      <c r="L394" s="120">
        <f t="shared" si="78"/>
        <v>145.5452743418966</v>
      </c>
      <c r="M394" s="122">
        <f t="shared" si="83"/>
        <v>4499063.6100000003</v>
      </c>
      <c r="N394" s="116">
        <f t="shared" si="84"/>
        <v>2663446.6100000003</v>
      </c>
      <c r="O394" s="123">
        <f t="shared" si="85"/>
        <v>211.18352442118621</v>
      </c>
      <c r="P394" s="5"/>
      <c r="Q394" s="5">
        <f t="shared" si="79"/>
        <v>1</v>
      </c>
      <c r="R394" s="7">
        <f t="shared" si="80"/>
        <v>12612</v>
      </c>
      <c r="S394" s="5">
        <f t="shared" si="81"/>
        <v>1</v>
      </c>
      <c r="T394" s="7">
        <f t="shared" si="82"/>
        <v>12612</v>
      </c>
    </row>
    <row r="395" spans="1:20">
      <c r="A395" s="23" t="s">
        <v>425</v>
      </c>
      <c r="B395" s="35" t="s">
        <v>420</v>
      </c>
      <c r="C395" s="36">
        <v>2834</v>
      </c>
      <c r="D395" s="6"/>
      <c r="E395" s="113">
        <v>129622456</v>
      </c>
      <c r="F395" s="116">
        <f t="shared" si="74"/>
        <v>45738.340155257589</v>
      </c>
      <c r="G395" s="117">
        <v>77096460</v>
      </c>
      <c r="H395" s="117">
        <f t="shared" si="75"/>
        <v>27204.11432604093</v>
      </c>
      <c r="I395" s="7"/>
      <c r="J395" s="10">
        <v>5.2</v>
      </c>
      <c r="K395" s="117">
        <v>400901</v>
      </c>
      <c r="L395" s="120">
        <f t="shared" si="78"/>
        <v>141.46118560338743</v>
      </c>
      <c r="M395" s="122">
        <f t="shared" si="83"/>
        <v>770964.6</v>
      </c>
      <c r="N395" s="116">
        <f t="shared" si="84"/>
        <v>370063.6</v>
      </c>
      <c r="O395" s="123">
        <f t="shared" si="85"/>
        <v>130.57995765702188</v>
      </c>
      <c r="P395" s="5"/>
      <c r="Q395" s="5">
        <f t="shared" si="79"/>
        <v>1</v>
      </c>
      <c r="R395" s="7">
        <f t="shared" si="80"/>
        <v>2834</v>
      </c>
      <c r="S395" s="5">
        <f t="shared" si="81"/>
        <v>1</v>
      </c>
      <c r="T395" s="7">
        <f t="shared" si="82"/>
        <v>2834</v>
      </c>
    </row>
    <row r="396" spans="1:20">
      <c r="A396" s="23" t="s">
        <v>426</v>
      </c>
      <c r="B396" s="35" t="s">
        <v>420</v>
      </c>
      <c r="C396" s="36">
        <v>21334</v>
      </c>
      <c r="D396" s="6"/>
      <c r="E396" s="113">
        <v>2971018599</v>
      </c>
      <c r="F396" s="116">
        <f t="shared" si="74"/>
        <v>139262.14488609732</v>
      </c>
      <c r="G396" s="117">
        <v>2209188423</v>
      </c>
      <c r="H396" s="117">
        <f t="shared" si="75"/>
        <v>103552.47131339645</v>
      </c>
      <c r="I396" s="7"/>
      <c r="J396" s="10">
        <v>5.0999999999999996</v>
      </c>
      <c r="K396" s="117">
        <v>11266860</v>
      </c>
      <c r="L396" s="120">
        <f t="shared" si="78"/>
        <v>528.11755882628665</v>
      </c>
      <c r="M396" s="122">
        <f t="shared" si="83"/>
        <v>22091884.23</v>
      </c>
      <c r="N396" s="116">
        <f t="shared" si="84"/>
        <v>10825024.23</v>
      </c>
      <c r="O396" s="123">
        <f t="shared" si="85"/>
        <v>507.4071543076779</v>
      </c>
      <c r="P396" s="5"/>
      <c r="Q396" s="5">
        <f t="shared" si="79"/>
        <v>1</v>
      </c>
      <c r="R396" s="7">
        <f t="shared" si="80"/>
        <v>21334</v>
      </c>
      <c r="S396" s="5">
        <f t="shared" si="81"/>
        <v>1</v>
      </c>
      <c r="T396" s="7">
        <f t="shared" si="82"/>
        <v>21334</v>
      </c>
    </row>
    <row r="397" spans="1:20">
      <c r="A397" s="23" t="s">
        <v>427</v>
      </c>
      <c r="B397" s="35" t="s">
        <v>420</v>
      </c>
      <c r="C397" s="36">
        <v>1841</v>
      </c>
      <c r="D397" s="6"/>
      <c r="E397" s="113">
        <v>122032314</v>
      </c>
      <c r="F397" s="116">
        <f t="shared" si="74"/>
        <v>66285.884845192835</v>
      </c>
      <c r="G397" s="117">
        <v>71172610</v>
      </c>
      <c r="H397" s="117">
        <f t="shared" si="75"/>
        <v>38659.755567626293</v>
      </c>
      <c r="I397" s="7"/>
      <c r="J397" s="10">
        <v>5.2679</v>
      </c>
      <c r="K397" s="117">
        <v>374930</v>
      </c>
      <c r="L397" s="120">
        <f t="shared" si="78"/>
        <v>203.65562194459534</v>
      </c>
      <c r="M397" s="122">
        <f t="shared" si="83"/>
        <v>711726.1</v>
      </c>
      <c r="N397" s="116">
        <f t="shared" si="84"/>
        <v>336796.1</v>
      </c>
      <c r="O397" s="123">
        <f t="shared" si="85"/>
        <v>182.94193373166755</v>
      </c>
      <c r="P397" s="5"/>
      <c r="Q397" s="5">
        <f t="shared" si="79"/>
        <v>1</v>
      </c>
      <c r="R397" s="7">
        <f t="shared" si="80"/>
        <v>1841</v>
      </c>
      <c r="S397" s="5">
        <f t="shared" si="81"/>
        <v>1</v>
      </c>
      <c r="T397" s="7">
        <f t="shared" si="82"/>
        <v>1841</v>
      </c>
    </row>
    <row r="398" spans="1:20">
      <c r="A398" s="23" t="s">
        <v>428</v>
      </c>
      <c r="B398" s="35" t="s">
        <v>420</v>
      </c>
      <c r="C398" s="36">
        <v>7900</v>
      </c>
      <c r="D398" s="6"/>
      <c r="E398" s="113">
        <v>564170119</v>
      </c>
      <c r="F398" s="116">
        <f t="shared" si="74"/>
        <v>71413.939113924047</v>
      </c>
      <c r="G398" s="117">
        <v>415405142</v>
      </c>
      <c r="H398" s="117">
        <f t="shared" si="75"/>
        <v>52582.929367088611</v>
      </c>
      <c r="I398" s="7"/>
      <c r="J398" s="10">
        <v>4.875</v>
      </c>
      <c r="K398" s="117">
        <v>2025100</v>
      </c>
      <c r="L398" s="120">
        <f t="shared" si="78"/>
        <v>256.34177215189874</v>
      </c>
      <c r="M398" s="122">
        <f t="shared" si="83"/>
        <v>4154051.42</v>
      </c>
      <c r="N398" s="116">
        <f t="shared" si="84"/>
        <v>2128951.42</v>
      </c>
      <c r="O398" s="123">
        <f t="shared" si="85"/>
        <v>269.48752151898731</v>
      </c>
      <c r="P398" s="5"/>
      <c r="Q398" s="5">
        <f t="shared" si="79"/>
        <v>1</v>
      </c>
      <c r="R398" s="7">
        <f t="shared" si="80"/>
        <v>7900</v>
      </c>
      <c r="S398" s="5">
        <f t="shared" si="81"/>
        <v>1</v>
      </c>
      <c r="T398" s="7">
        <f t="shared" si="82"/>
        <v>7900</v>
      </c>
    </row>
    <row r="399" spans="1:20">
      <c r="A399" s="23" t="s">
        <v>429</v>
      </c>
      <c r="B399" s="35" t="s">
        <v>420</v>
      </c>
      <c r="C399" s="36">
        <v>39009</v>
      </c>
      <c r="D399" s="6"/>
      <c r="E399" s="113">
        <v>3639395698</v>
      </c>
      <c r="F399" s="116">
        <f t="shared" si="74"/>
        <v>93296.308492911892</v>
      </c>
      <c r="G399" s="117">
        <v>2558865568</v>
      </c>
      <c r="H399" s="117">
        <f t="shared" si="75"/>
        <v>65596.799917967655</v>
      </c>
      <c r="I399" s="7"/>
      <c r="J399" s="10">
        <v>3.2852999999999999</v>
      </c>
      <c r="K399" s="117">
        <v>8406641</v>
      </c>
      <c r="L399" s="120">
        <f t="shared" si="78"/>
        <v>215.50516547463405</v>
      </c>
      <c r="M399" s="122">
        <f t="shared" si="83"/>
        <v>25588655.68</v>
      </c>
      <c r="N399" s="116">
        <f t="shared" si="84"/>
        <v>17182014.68</v>
      </c>
      <c r="O399" s="123">
        <f t="shared" si="85"/>
        <v>440.46283370504244</v>
      </c>
      <c r="P399" s="5"/>
      <c r="Q399" s="5">
        <f t="shared" si="79"/>
        <v>1</v>
      </c>
      <c r="R399" s="7">
        <f t="shared" si="80"/>
        <v>39009</v>
      </c>
      <c r="S399" s="5">
        <f t="shared" si="81"/>
        <v>1</v>
      </c>
      <c r="T399" s="7">
        <f t="shared" si="82"/>
        <v>39009</v>
      </c>
    </row>
    <row r="400" spans="1:20">
      <c r="A400" s="23" t="s">
        <v>430</v>
      </c>
      <c r="B400" s="35" t="s">
        <v>420</v>
      </c>
      <c r="C400" s="36">
        <v>2636</v>
      </c>
      <c r="D400" s="6"/>
      <c r="E400" s="113">
        <v>72170086</v>
      </c>
      <c r="F400" s="116">
        <f t="shared" si="74"/>
        <v>27378.636570561455</v>
      </c>
      <c r="G400" s="117">
        <v>41376557</v>
      </c>
      <c r="H400" s="117">
        <f t="shared" si="75"/>
        <v>15696.721168437025</v>
      </c>
      <c r="I400" s="7"/>
      <c r="J400" s="10">
        <v>4.3402000000000003</v>
      </c>
      <c r="K400" s="117">
        <v>179582</v>
      </c>
      <c r="L400" s="120">
        <f t="shared" si="78"/>
        <v>68.126707132018211</v>
      </c>
      <c r="M400" s="122">
        <f t="shared" si="83"/>
        <v>413765.57</v>
      </c>
      <c r="N400" s="116">
        <f t="shared" si="84"/>
        <v>234183.57</v>
      </c>
      <c r="O400" s="123">
        <f t="shared" si="85"/>
        <v>88.840504552352044</v>
      </c>
      <c r="P400" s="5"/>
      <c r="Q400" s="5">
        <f t="shared" si="79"/>
        <v>1</v>
      </c>
      <c r="R400" s="7">
        <f t="shared" si="80"/>
        <v>2636</v>
      </c>
      <c r="S400" s="5">
        <f t="shared" si="81"/>
        <v>1</v>
      </c>
      <c r="T400" s="7">
        <f t="shared" si="82"/>
        <v>2636</v>
      </c>
    </row>
    <row r="401" spans="1:20">
      <c r="A401" s="23" t="s">
        <v>431</v>
      </c>
      <c r="B401" s="35" t="s">
        <v>420</v>
      </c>
      <c r="C401" s="36">
        <v>3160</v>
      </c>
      <c r="D401" s="6"/>
      <c r="E401" s="113">
        <v>889567790</v>
      </c>
      <c r="F401" s="116">
        <f t="shared" si="74"/>
        <v>281508.79430379748</v>
      </c>
      <c r="G401" s="117">
        <v>729876535</v>
      </c>
      <c r="H401" s="117">
        <f t="shared" si="75"/>
        <v>230973.58702531646</v>
      </c>
      <c r="I401" s="7"/>
      <c r="J401" s="10">
        <v>4.5780000000000003</v>
      </c>
      <c r="K401" s="117">
        <v>3341374</v>
      </c>
      <c r="L401" s="120">
        <f t="shared" si="78"/>
        <v>1057.3968354430381</v>
      </c>
      <c r="M401" s="122">
        <f t="shared" si="83"/>
        <v>7298765.3500000006</v>
      </c>
      <c r="N401" s="116">
        <f t="shared" si="84"/>
        <v>3957391.3500000006</v>
      </c>
      <c r="O401" s="123">
        <f t="shared" si="85"/>
        <v>1252.3390348101268</v>
      </c>
      <c r="P401" s="5"/>
      <c r="Q401" s="5">
        <f t="shared" si="79"/>
        <v>1</v>
      </c>
      <c r="R401" s="7">
        <f t="shared" si="80"/>
        <v>3160</v>
      </c>
      <c r="S401" s="5">
        <f t="shared" si="81"/>
        <v>1</v>
      </c>
      <c r="T401" s="7">
        <f t="shared" si="82"/>
        <v>3160</v>
      </c>
    </row>
    <row r="402" spans="1:20">
      <c r="A402" s="23" t="s">
        <v>432</v>
      </c>
      <c r="B402" s="35" t="s">
        <v>420</v>
      </c>
      <c r="C402" s="36">
        <v>53217</v>
      </c>
      <c r="D402" s="6"/>
      <c r="E402" s="113">
        <v>3162155788</v>
      </c>
      <c r="F402" s="116">
        <f t="shared" si="74"/>
        <v>59420.030967547966</v>
      </c>
      <c r="G402" s="117">
        <v>2193452457</v>
      </c>
      <c r="H402" s="117">
        <f t="shared" si="75"/>
        <v>41217.13845199842</v>
      </c>
      <c r="I402" s="7"/>
      <c r="J402" s="10">
        <v>4.8</v>
      </c>
      <c r="K402" s="117">
        <v>10528571</v>
      </c>
      <c r="L402" s="120">
        <f t="shared" si="78"/>
        <v>197.84224965706449</v>
      </c>
      <c r="M402" s="122">
        <f t="shared" si="83"/>
        <v>21934524.57</v>
      </c>
      <c r="N402" s="116">
        <f t="shared" si="84"/>
        <v>11405953.57</v>
      </c>
      <c r="O402" s="123">
        <f t="shared" si="85"/>
        <v>214.32913486291974</v>
      </c>
      <c r="P402" s="5"/>
      <c r="Q402" s="5">
        <f t="shared" si="79"/>
        <v>1</v>
      </c>
      <c r="R402" s="7">
        <f t="shared" si="80"/>
        <v>53217</v>
      </c>
      <c r="S402" s="5">
        <f t="shared" si="81"/>
        <v>1</v>
      </c>
      <c r="T402" s="7">
        <f t="shared" si="82"/>
        <v>53217</v>
      </c>
    </row>
    <row r="403" spans="1:20">
      <c r="A403" s="23" t="s">
        <v>433</v>
      </c>
      <c r="B403" s="35" t="s">
        <v>420</v>
      </c>
      <c r="C403" s="36">
        <v>13945</v>
      </c>
      <c r="D403" s="6"/>
      <c r="E403" s="113">
        <v>676734156</v>
      </c>
      <c r="F403" s="116">
        <f t="shared" si="74"/>
        <v>48528.802868411614</v>
      </c>
      <c r="G403" s="117">
        <v>468859463</v>
      </c>
      <c r="H403" s="117">
        <f t="shared" si="75"/>
        <v>33622.048261025455</v>
      </c>
      <c r="I403" s="7"/>
      <c r="J403" s="10">
        <v>5.65</v>
      </c>
      <c r="K403" s="117">
        <v>2649055</v>
      </c>
      <c r="L403" s="120">
        <f t="shared" si="78"/>
        <v>189.9645034062388</v>
      </c>
      <c r="M403" s="122">
        <f t="shared" si="83"/>
        <v>4688594.63</v>
      </c>
      <c r="N403" s="116">
        <f t="shared" si="84"/>
        <v>2039539.63</v>
      </c>
      <c r="O403" s="123">
        <f t="shared" si="85"/>
        <v>146.25597920401577</v>
      </c>
      <c r="P403" s="5"/>
      <c r="Q403" s="5">
        <f t="shared" si="79"/>
        <v>1</v>
      </c>
      <c r="R403" s="7">
        <f t="shared" si="80"/>
        <v>13945</v>
      </c>
      <c r="S403" s="5">
        <f t="shared" si="81"/>
        <v>1</v>
      </c>
      <c r="T403" s="7">
        <f t="shared" si="82"/>
        <v>13945</v>
      </c>
    </row>
    <row r="404" spans="1:20">
      <c r="A404" s="23" t="s">
        <v>435</v>
      </c>
      <c r="B404" s="35" t="s">
        <v>434</v>
      </c>
      <c r="C404" s="36">
        <v>415</v>
      </c>
      <c r="D404" s="6"/>
      <c r="E404" s="113">
        <v>83699691</v>
      </c>
      <c r="F404" s="116">
        <f t="shared" si="74"/>
        <v>201686.00240963855</v>
      </c>
      <c r="G404" s="117">
        <v>52614460</v>
      </c>
      <c r="H404" s="117">
        <f t="shared" si="75"/>
        <v>126781.8313253012</v>
      </c>
      <c r="I404" s="98" t="s">
        <v>528</v>
      </c>
      <c r="J404" s="10"/>
      <c r="K404" s="117"/>
      <c r="L404" s="120"/>
      <c r="M404" s="122">
        <f t="shared" si="83"/>
        <v>526144.6</v>
      </c>
      <c r="N404" s="116">
        <f t="shared" si="84"/>
        <v>526144.6</v>
      </c>
      <c r="O404" s="123">
        <f t="shared" si="85"/>
        <v>1267.8183132530121</v>
      </c>
      <c r="P404" s="5"/>
      <c r="Q404" s="5">
        <f t="shared" si="79"/>
        <v>1</v>
      </c>
      <c r="R404" s="7">
        <f t="shared" si="80"/>
        <v>415</v>
      </c>
      <c r="S404" s="5">
        <f t="shared" si="81"/>
        <v>0</v>
      </c>
      <c r="T404" s="7">
        <f t="shared" si="82"/>
        <v>0</v>
      </c>
    </row>
    <row r="405" spans="1:20">
      <c r="A405" s="23" t="s">
        <v>555</v>
      </c>
      <c r="B405" s="35" t="s">
        <v>434</v>
      </c>
      <c r="C405" s="36">
        <v>306</v>
      </c>
      <c r="D405" s="6"/>
      <c r="E405" s="113">
        <v>63199304</v>
      </c>
      <c r="F405" s="116">
        <f t="shared" si="74"/>
        <v>206533.67320261439</v>
      </c>
      <c r="G405" s="117">
        <v>19447096</v>
      </c>
      <c r="H405" s="117">
        <f t="shared" si="75"/>
        <v>63552.601307189543</v>
      </c>
      <c r="I405" s="7"/>
      <c r="J405" s="10">
        <v>4.7074999999999996</v>
      </c>
      <c r="K405" s="117">
        <v>91547</v>
      </c>
      <c r="L405" s="120">
        <f>(K405/C405)</f>
        <v>299.17320261437908</v>
      </c>
      <c r="M405" s="122">
        <f t="shared" si="83"/>
        <v>194470.96</v>
      </c>
      <c r="N405" s="116">
        <f t="shared" si="84"/>
        <v>102923.95999999999</v>
      </c>
      <c r="O405" s="123">
        <f t="shared" si="85"/>
        <v>336.35281045751634</v>
      </c>
      <c r="P405" s="5"/>
      <c r="Q405" s="5">
        <f t="shared" si="79"/>
        <v>1</v>
      </c>
      <c r="R405" s="7">
        <f t="shared" si="80"/>
        <v>306</v>
      </c>
      <c r="S405" s="5">
        <f t="shared" si="81"/>
        <v>1</v>
      </c>
      <c r="T405" s="7">
        <f t="shared" si="82"/>
        <v>306</v>
      </c>
    </row>
    <row r="406" spans="1:20">
      <c r="A406" s="23" t="s">
        <v>436</v>
      </c>
      <c r="B406" s="35" t="s">
        <v>437</v>
      </c>
      <c r="C406" s="36">
        <v>5207</v>
      </c>
      <c r="D406" s="6"/>
      <c r="E406" s="113">
        <v>228581413</v>
      </c>
      <c r="F406" s="116">
        <f t="shared" si="74"/>
        <v>43898.869406568083</v>
      </c>
      <c r="G406" s="117">
        <v>153339553</v>
      </c>
      <c r="H406" s="117">
        <f t="shared" si="75"/>
        <v>29448.733051661224</v>
      </c>
      <c r="I406" s="7"/>
      <c r="J406" s="10">
        <v>4.5</v>
      </c>
      <c r="K406" s="117">
        <v>690027</v>
      </c>
      <c r="L406" s="120">
        <f>(K406/C406)</f>
        <v>132.51910889187633</v>
      </c>
      <c r="M406" s="122">
        <f t="shared" si="83"/>
        <v>1533395.53</v>
      </c>
      <c r="N406" s="116">
        <f t="shared" si="84"/>
        <v>843368.53</v>
      </c>
      <c r="O406" s="123">
        <f t="shared" si="85"/>
        <v>161.96822162473595</v>
      </c>
      <c r="P406" s="5"/>
      <c r="Q406" s="5">
        <f t="shared" si="79"/>
        <v>1</v>
      </c>
      <c r="R406" s="7">
        <f t="shared" si="80"/>
        <v>5207</v>
      </c>
      <c r="S406" s="5">
        <f t="shared" si="81"/>
        <v>1</v>
      </c>
      <c r="T406" s="7">
        <f t="shared" si="82"/>
        <v>5207</v>
      </c>
    </row>
    <row r="407" spans="1:20">
      <c r="A407" s="23" t="s">
        <v>438</v>
      </c>
      <c r="B407" s="35" t="s">
        <v>437</v>
      </c>
      <c r="C407" s="36">
        <v>1234</v>
      </c>
      <c r="D407" s="6"/>
      <c r="E407" s="113">
        <v>73460955</v>
      </c>
      <c r="F407" s="116">
        <f t="shared" si="74"/>
        <v>59530.757698541333</v>
      </c>
      <c r="G407" s="117">
        <v>47131019</v>
      </c>
      <c r="H407" s="117">
        <f t="shared" si="75"/>
        <v>38193.694489465153</v>
      </c>
      <c r="I407" s="7"/>
      <c r="J407" s="11">
        <v>3.93</v>
      </c>
      <c r="K407" s="117">
        <v>185224</v>
      </c>
      <c r="L407" s="120">
        <f>(K407/C407)</f>
        <v>150.1004862236629</v>
      </c>
      <c r="M407" s="122">
        <f t="shared" si="83"/>
        <v>471310.19</v>
      </c>
      <c r="N407" s="116">
        <f t="shared" si="84"/>
        <v>286086.19</v>
      </c>
      <c r="O407" s="123">
        <f t="shared" si="85"/>
        <v>231.83645867098866</v>
      </c>
      <c r="P407" s="5"/>
      <c r="Q407" s="5">
        <f t="shared" si="79"/>
        <v>1</v>
      </c>
      <c r="R407" s="7">
        <f t="shared" si="80"/>
        <v>1234</v>
      </c>
      <c r="S407" s="5">
        <f t="shared" si="81"/>
        <v>1</v>
      </c>
      <c r="T407" s="7">
        <f t="shared" si="82"/>
        <v>1234</v>
      </c>
    </row>
    <row r="408" spans="1:20">
      <c r="A408" s="23" t="s">
        <v>439</v>
      </c>
      <c r="B408" s="35" t="s">
        <v>437</v>
      </c>
      <c r="C408" s="36">
        <v>690</v>
      </c>
      <c r="D408" s="6"/>
      <c r="E408" s="113">
        <v>16517702</v>
      </c>
      <c r="F408" s="116">
        <f t="shared" si="74"/>
        <v>23938.698550724639</v>
      </c>
      <c r="G408" s="117">
        <v>8598606</v>
      </c>
      <c r="H408" s="117">
        <f t="shared" si="75"/>
        <v>12461.747826086956</v>
      </c>
      <c r="I408" s="98" t="s">
        <v>528</v>
      </c>
      <c r="J408" s="11"/>
      <c r="K408" s="117"/>
      <c r="L408" s="120"/>
      <c r="M408" s="122">
        <f t="shared" si="83"/>
        <v>85986.06</v>
      </c>
      <c r="N408" s="116">
        <f t="shared" si="84"/>
        <v>85986.06</v>
      </c>
      <c r="O408" s="123">
        <f t="shared" si="85"/>
        <v>124.61747826086956</v>
      </c>
      <c r="P408" s="5"/>
      <c r="Q408" s="5">
        <f t="shared" si="79"/>
        <v>1</v>
      </c>
      <c r="R408" s="7">
        <f t="shared" si="80"/>
        <v>690</v>
      </c>
      <c r="S408" s="5">
        <f t="shared" si="81"/>
        <v>0</v>
      </c>
      <c r="T408" s="7">
        <f t="shared" si="82"/>
        <v>0</v>
      </c>
    </row>
    <row r="409" spans="1:20">
      <c r="A409" s="23" t="s">
        <v>440</v>
      </c>
      <c r="B409" s="35" t="s">
        <v>441</v>
      </c>
      <c r="C409" s="36">
        <v>356</v>
      </c>
      <c r="D409" s="6"/>
      <c r="E409" s="113">
        <v>6906503</v>
      </c>
      <c r="F409" s="116">
        <f t="shared" si="74"/>
        <v>19400.289325842696</v>
      </c>
      <c r="G409" s="117">
        <v>2730848</v>
      </c>
      <c r="H409" s="117">
        <f t="shared" si="75"/>
        <v>7670.9213483146068</v>
      </c>
      <c r="I409" s="98" t="s">
        <v>528</v>
      </c>
      <c r="J409" s="11"/>
      <c r="K409" s="117"/>
      <c r="L409" s="120"/>
      <c r="M409" s="122">
        <f t="shared" si="83"/>
        <v>27308.48</v>
      </c>
      <c r="N409" s="116">
        <f t="shared" si="84"/>
        <v>27308.48</v>
      </c>
      <c r="O409" s="123">
        <f t="shared" si="85"/>
        <v>76.709213483146073</v>
      </c>
      <c r="P409" s="5"/>
      <c r="Q409" s="5">
        <f t="shared" si="79"/>
        <v>1</v>
      </c>
      <c r="R409" s="7">
        <f t="shared" si="80"/>
        <v>356</v>
      </c>
      <c r="S409" s="5">
        <f t="shared" si="81"/>
        <v>0</v>
      </c>
      <c r="T409" s="7">
        <f t="shared" si="82"/>
        <v>0</v>
      </c>
    </row>
    <row r="410" spans="1:20">
      <c r="A410" s="23" t="s">
        <v>442</v>
      </c>
      <c r="B410" s="35" t="s">
        <v>441</v>
      </c>
      <c r="C410" s="36">
        <v>3554</v>
      </c>
      <c r="D410" s="6"/>
      <c r="E410" s="113">
        <v>179491159</v>
      </c>
      <c r="F410" s="116">
        <f t="shared" si="74"/>
        <v>50503.983961733262</v>
      </c>
      <c r="G410" s="117">
        <v>120346569</v>
      </c>
      <c r="H410" s="117">
        <f t="shared" si="75"/>
        <v>33862.287281935845</v>
      </c>
      <c r="I410" s="7"/>
      <c r="J410" s="11">
        <v>6</v>
      </c>
      <c r="K410" s="117">
        <v>722079</v>
      </c>
      <c r="L410" s="120">
        <f>(K410/C410)</f>
        <v>203.17360720315139</v>
      </c>
      <c r="M410" s="122">
        <f t="shared" si="83"/>
        <v>1203465.69</v>
      </c>
      <c r="N410" s="116">
        <f t="shared" si="84"/>
        <v>481386.68999999994</v>
      </c>
      <c r="O410" s="123">
        <f t="shared" si="85"/>
        <v>135.44926561620707</v>
      </c>
      <c r="P410" s="5"/>
      <c r="Q410" s="5">
        <f t="shared" si="79"/>
        <v>1</v>
      </c>
      <c r="R410" s="7">
        <f t="shared" si="80"/>
        <v>3554</v>
      </c>
      <c r="S410" s="5">
        <f t="shared" si="81"/>
        <v>1</v>
      </c>
      <c r="T410" s="7">
        <f t="shared" si="82"/>
        <v>3554</v>
      </c>
    </row>
    <row r="411" spans="1:20">
      <c r="A411" s="23" t="s">
        <v>443</v>
      </c>
      <c r="B411" s="35" t="s">
        <v>441</v>
      </c>
      <c r="C411" s="36">
        <v>241</v>
      </c>
      <c r="D411" s="6"/>
      <c r="E411" s="113">
        <v>7071301</v>
      </c>
      <c r="F411" s="116">
        <f t="shared" si="74"/>
        <v>29341.497925311203</v>
      </c>
      <c r="G411" s="117">
        <v>4439937</v>
      </c>
      <c r="H411" s="117">
        <f t="shared" si="75"/>
        <v>18422.975103734439</v>
      </c>
      <c r="I411" s="98" t="s">
        <v>528</v>
      </c>
      <c r="J411" s="11"/>
      <c r="K411" s="117"/>
      <c r="L411" s="120"/>
      <c r="M411" s="122">
        <f t="shared" si="83"/>
        <v>44399.37</v>
      </c>
      <c r="N411" s="116">
        <f t="shared" si="84"/>
        <v>44399.37</v>
      </c>
      <c r="O411" s="123">
        <f t="shared" si="85"/>
        <v>184.22975103734441</v>
      </c>
      <c r="P411" s="5"/>
      <c r="Q411" s="5">
        <f t="shared" si="79"/>
        <v>1</v>
      </c>
      <c r="R411" s="7">
        <f t="shared" si="80"/>
        <v>241</v>
      </c>
      <c r="S411" s="5">
        <f t="shared" si="81"/>
        <v>0</v>
      </c>
      <c r="T411" s="7">
        <f t="shared" si="82"/>
        <v>0</v>
      </c>
    </row>
    <row r="412" spans="1:20">
      <c r="A412" s="23" t="s">
        <v>444</v>
      </c>
      <c r="B412" s="35" t="s">
        <v>441</v>
      </c>
      <c r="C412" s="36">
        <v>779</v>
      </c>
      <c r="D412" s="6"/>
      <c r="E412" s="113">
        <v>22657773</v>
      </c>
      <c r="F412" s="116">
        <f t="shared" si="74"/>
        <v>29085.716302952504</v>
      </c>
      <c r="G412" s="117">
        <v>10673244</v>
      </c>
      <c r="H412" s="117">
        <f t="shared" si="75"/>
        <v>13701.211810012837</v>
      </c>
      <c r="I412" s="7"/>
      <c r="J412" s="11">
        <v>2.5143</v>
      </c>
      <c r="K412" s="117">
        <v>26835</v>
      </c>
      <c r="L412" s="120">
        <f>(K412/C412)</f>
        <v>34.448010269576379</v>
      </c>
      <c r="M412" s="122">
        <f t="shared" si="83"/>
        <v>106732.44</v>
      </c>
      <c r="N412" s="116">
        <f t="shared" si="84"/>
        <v>79897.440000000002</v>
      </c>
      <c r="O412" s="123">
        <f t="shared" si="85"/>
        <v>102.56410783055199</v>
      </c>
      <c r="P412" s="5"/>
      <c r="Q412" s="5">
        <f t="shared" si="79"/>
        <v>1</v>
      </c>
      <c r="R412" s="7">
        <f t="shared" si="80"/>
        <v>779</v>
      </c>
      <c r="S412" s="5">
        <f t="shared" si="81"/>
        <v>1</v>
      </c>
      <c r="T412" s="7">
        <f t="shared" si="82"/>
        <v>779</v>
      </c>
    </row>
    <row r="413" spans="1:20">
      <c r="A413" s="23" t="s">
        <v>445</v>
      </c>
      <c r="B413" s="35" t="s">
        <v>441</v>
      </c>
      <c r="C413" s="36">
        <v>434</v>
      </c>
      <c r="D413" s="6"/>
      <c r="E413" s="113">
        <v>7296198</v>
      </c>
      <c r="F413" s="116">
        <f t="shared" si="74"/>
        <v>16811.516129032258</v>
      </c>
      <c r="G413" s="117">
        <v>3152104</v>
      </c>
      <c r="H413" s="117">
        <f t="shared" si="75"/>
        <v>7262.9124423963131</v>
      </c>
      <c r="I413" s="98" t="s">
        <v>528</v>
      </c>
      <c r="J413" s="11"/>
      <c r="K413" s="117"/>
      <c r="L413" s="120"/>
      <c r="M413" s="122">
        <f t="shared" si="83"/>
        <v>31521.040000000001</v>
      </c>
      <c r="N413" s="116">
        <f t="shared" si="84"/>
        <v>31521.040000000001</v>
      </c>
      <c r="O413" s="123">
        <f t="shared" si="85"/>
        <v>72.629124423963134</v>
      </c>
      <c r="P413" s="5"/>
      <c r="Q413" s="5">
        <f t="shared" si="79"/>
        <v>1</v>
      </c>
      <c r="R413" s="7">
        <f t="shared" si="80"/>
        <v>434</v>
      </c>
      <c r="S413" s="5">
        <f t="shared" si="81"/>
        <v>0</v>
      </c>
      <c r="T413" s="7">
        <f t="shared" si="82"/>
        <v>0</v>
      </c>
    </row>
    <row r="414" spans="1:20">
      <c r="A414" s="70" t="s">
        <v>451</v>
      </c>
      <c r="B414" s="71"/>
      <c r="C414" s="72">
        <f>SUM(C6:C413)</f>
        <v>8848451</v>
      </c>
      <c r="D414" s="73"/>
      <c r="E414" s="73">
        <f>SUM(E6:E413)</f>
        <v>804149274291</v>
      </c>
      <c r="F414" s="74">
        <f>(E414/R414)</f>
        <v>99869.780355957264</v>
      </c>
      <c r="G414" s="75">
        <f>SUM(G6:G413)</f>
        <v>580040410774</v>
      </c>
      <c r="H414" s="76">
        <f>(G414/R414)</f>
        <v>72037.00889073468</v>
      </c>
      <c r="I414" s="71"/>
      <c r="J414" s="77"/>
      <c r="K414" s="78">
        <f>SUM(K6:K413)</f>
        <v>2799622143</v>
      </c>
      <c r="L414" s="79">
        <f>(K414/T414)</f>
        <v>350.1844148654335</v>
      </c>
      <c r="M414" s="79">
        <f>SUM(M6:M413)</f>
        <v>5800404107.739996</v>
      </c>
      <c r="N414" s="78">
        <f>SUM(N6:N413)</f>
        <v>3000781964.7399993</v>
      </c>
      <c r="O414" s="80">
        <f>(N414/R414)</f>
        <v>372.67637402138945</v>
      </c>
      <c r="P414" s="20"/>
      <c r="Q414" s="20">
        <f>SUM(Q6:Q413)</f>
        <v>406</v>
      </c>
      <c r="R414" s="21">
        <f>SUM(R6:R413)</f>
        <v>8051978</v>
      </c>
      <c r="S414" s="20">
        <f>SUM(S6:S413)</f>
        <v>377</v>
      </c>
      <c r="T414" s="21">
        <f>SUM(T6:T413)</f>
        <v>7994708</v>
      </c>
    </row>
    <row r="415" spans="1:20">
      <c r="A415" s="27" t="s">
        <v>453</v>
      </c>
      <c r="B415" s="13"/>
      <c r="C415" s="60">
        <f>(S414)</f>
        <v>377</v>
      </c>
      <c r="D415" s="14"/>
      <c r="E415" s="14"/>
      <c r="F415" s="16"/>
      <c r="G415" s="16"/>
      <c r="H415" s="16"/>
      <c r="I415" s="16"/>
      <c r="J415" s="14"/>
      <c r="K415" s="17"/>
      <c r="L415" s="17"/>
      <c r="M415" s="2"/>
      <c r="N415" s="2"/>
      <c r="O415" s="63"/>
      <c r="P415" s="2"/>
      <c r="Q415" s="2"/>
      <c r="R415" s="2"/>
      <c r="S415" s="2"/>
      <c r="T415" s="2"/>
    </row>
    <row r="416" spans="1:20">
      <c r="A416" s="22"/>
      <c r="B416" s="16"/>
      <c r="C416" s="16"/>
      <c r="D416" s="16"/>
      <c r="E416" s="16"/>
      <c r="F416" s="16"/>
      <c r="G416" s="16"/>
      <c r="H416" s="16"/>
      <c r="I416" s="16"/>
      <c r="J416" s="17"/>
      <c r="K416" s="17"/>
      <c r="L416" s="17"/>
      <c r="M416" s="2"/>
      <c r="N416" s="2"/>
      <c r="O416" s="63"/>
      <c r="P416" s="2"/>
      <c r="Q416" s="2"/>
      <c r="R416" s="2"/>
      <c r="S416" s="2"/>
      <c r="T416" s="2"/>
    </row>
    <row r="417" spans="1:20">
      <c r="A417" s="28" t="s">
        <v>498</v>
      </c>
      <c r="B417" s="25"/>
      <c r="C417" s="25"/>
      <c r="D417" s="25"/>
      <c r="E417" s="25"/>
      <c r="F417" s="25"/>
      <c r="G417" s="25"/>
      <c r="H417" s="25"/>
      <c r="I417" s="25"/>
      <c r="J417" s="26"/>
      <c r="K417" s="26"/>
      <c r="L417" s="26"/>
      <c r="M417" s="1"/>
      <c r="N417" s="1"/>
      <c r="O417" s="64"/>
      <c r="P417" s="1"/>
      <c r="Q417" s="1"/>
      <c r="R417" s="1"/>
      <c r="S417" s="1"/>
      <c r="T417" s="1"/>
    </row>
    <row r="418" spans="1:20">
      <c r="A418" s="96" t="s">
        <v>566</v>
      </c>
      <c r="B418" s="25"/>
      <c r="C418" s="25"/>
      <c r="D418" s="25"/>
      <c r="E418" s="25"/>
      <c r="F418" s="25"/>
      <c r="G418" s="25"/>
      <c r="H418" s="25"/>
      <c r="I418" s="25"/>
      <c r="J418" s="26"/>
      <c r="K418" s="26"/>
      <c r="L418" s="26"/>
      <c r="M418" s="1"/>
      <c r="N418" s="1"/>
      <c r="O418" s="64"/>
      <c r="P418" s="1"/>
      <c r="Q418" s="1"/>
      <c r="R418" s="1"/>
      <c r="S418" s="1"/>
      <c r="T418" s="1"/>
    </row>
    <row r="419" spans="1:20">
      <c r="A419" s="96" t="s">
        <v>570</v>
      </c>
      <c r="B419" s="25"/>
      <c r="C419" s="25"/>
      <c r="D419" s="25"/>
      <c r="E419" s="25"/>
      <c r="F419" s="25"/>
      <c r="G419" s="25"/>
      <c r="H419" s="25"/>
      <c r="I419" s="25"/>
      <c r="J419" s="26"/>
      <c r="K419" s="26"/>
      <c r="L419" s="26"/>
      <c r="M419" s="1"/>
      <c r="N419" s="1"/>
      <c r="O419" s="64"/>
      <c r="P419" s="1"/>
      <c r="Q419" s="1"/>
      <c r="R419" s="1"/>
      <c r="S419" s="1"/>
      <c r="T419" s="1"/>
    </row>
    <row r="420" spans="1:20">
      <c r="A420" s="96" t="s">
        <v>571</v>
      </c>
      <c r="B420" s="25"/>
      <c r="C420" s="25"/>
      <c r="D420" s="25"/>
      <c r="E420" s="25"/>
      <c r="F420" s="25"/>
      <c r="G420" s="25"/>
      <c r="H420" s="25"/>
      <c r="I420" s="25"/>
      <c r="J420" s="26"/>
      <c r="K420" s="26"/>
      <c r="L420" s="26"/>
      <c r="M420" s="1"/>
      <c r="N420" s="1"/>
      <c r="O420" s="64"/>
      <c r="P420" s="1"/>
      <c r="Q420" s="1"/>
      <c r="R420" s="1"/>
      <c r="S420" s="1"/>
      <c r="T420" s="1"/>
    </row>
    <row r="421" spans="1:20">
      <c r="A421" s="96" t="s">
        <v>572</v>
      </c>
      <c r="B421" s="25"/>
      <c r="C421" s="25"/>
      <c r="D421" s="25"/>
      <c r="E421" s="25"/>
      <c r="F421" s="25"/>
      <c r="G421" s="25"/>
      <c r="H421" s="25"/>
      <c r="I421" s="25"/>
      <c r="J421" s="26"/>
      <c r="K421" s="26"/>
      <c r="L421" s="26"/>
      <c r="M421" s="1"/>
      <c r="N421" s="1"/>
      <c r="O421" s="64"/>
      <c r="P421" s="1"/>
      <c r="Q421" s="1"/>
      <c r="R421" s="1"/>
      <c r="S421" s="1"/>
      <c r="T421" s="1"/>
    </row>
    <row r="422" spans="1:20">
      <c r="A422" s="29" t="s">
        <v>505</v>
      </c>
      <c r="B422" s="25"/>
      <c r="C422" s="25"/>
      <c r="D422" s="25"/>
      <c r="E422" s="25"/>
      <c r="F422" s="25"/>
      <c r="G422" s="25"/>
      <c r="H422" s="25"/>
      <c r="I422" s="25"/>
      <c r="J422" s="26"/>
      <c r="K422" s="26"/>
      <c r="L422" s="26"/>
      <c r="M422" s="1"/>
      <c r="N422" s="1"/>
      <c r="O422" s="64"/>
      <c r="P422" s="1"/>
      <c r="Q422" s="1"/>
      <c r="R422" s="1"/>
      <c r="S422" s="1"/>
      <c r="T422" s="1"/>
    </row>
    <row r="423" spans="1:20">
      <c r="A423" s="29"/>
      <c r="B423" s="25"/>
      <c r="C423" s="25"/>
      <c r="D423" s="25"/>
      <c r="E423" s="25"/>
      <c r="F423" s="25"/>
      <c r="G423" s="25"/>
      <c r="H423" s="25"/>
      <c r="I423" s="25"/>
      <c r="J423" s="26"/>
      <c r="K423" s="26"/>
      <c r="L423" s="26"/>
      <c r="M423" s="1"/>
      <c r="N423" s="1"/>
      <c r="O423" s="64"/>
      <c r="P423" s="1"/>
      <c r="Q423" s="1"/>
      <c r="R423" s="1"/>
      <c r="S423" s="1"/>
      <c r="T423" s="1"/>
    </row>
    <row r="424" spans="1:20">
      <c r="A424" s="96" t="s">
        <v>579</v>
      </c>
      <c r="B424" s="25"/>
      <c r="C424" s="25"/>
      <c r="D424" s="25"/>
      <c r="E424" s="25"/>
      <c r="F424" s="25"/>
      <c r="G424" s="25"/>
      <c r="H424" s="25"/>
      <c r="I424" s="25"/>
      <c r="J424" s="26"/>
      <c r="K424" s="26"/>
      <c r="L424" s="26"/>
      <c r="M424" s="1"/>
      <c r="N424" s="1"/>
      <c r="O424" s="64"/>
      <c r="P424" s="1"/>
      <c r="Q424" s="1"/>
      <c r="R424" s="1"/>
      <c r="S424" s="1"/>
      <c r="T424" s="1"/>
    </row>
    <row r="425" spans="1:20">
      <c r="A425" s="28" t="s">
        <v>499</v>
      </c>
      <c r="B425" s="25"/>
      <c r="C425" s="25"/>
      <c r="D425" s="25"/>
      <c r="E425" s="25"/>
      <c r="F425" s="25"/>
      <c r="G425" s="25"/>
      <c r="H425" s="25"/>
      <c r="I425" s="25"/>
      <c r="J425" s="26"/>
      <c r="K425" s="26"/>
      <c r="L425" s="26"/>
      <c r="M425" s="1"/>
      <c r="N425" s="1"/>
      <c r="O425" s="64"/>
      <c r="P425" s="1"/>
      <c r="Q425" s="1"/>
      <c r="R425" s="1"/>
      <c r="S425" s="1"/>
      <c r="T425" s="1"/>
    </row>
    <row r="426" spans="1:20" ht="13.5" thickBot="1">
      <c r="A426" s="30" t="s">
        <v>514</v>
      </c>
      <c r="B426" s="31"/>
      <c r="C426" s="31"/>
      <c r="D426" s="31"/>
      <c r="E426" s="31"/>
      <c r="F426" s="31"/>
      <c r="G426" s="31"/>
      <c r="H426" s="31"/>
      <c r="I426" s="31"/>
      <c r="J426" s="32"/>
      <c r="K426" s="32"/>
      <c r="L426" s="32"/>
      <c r="M426" s="31"/>
      <c r="N426" s="31"/>
      <c r="O426" s="81"/>
      <c r="P426" s="1"/>
      <c r="Q426" s="1"/>
      <c r="R426" s="1"/>
      <c r="S426" s="1"/>
      <c r="T426" s="1"/>
    </row>
    <row r="427" spans="1:20">
      <c r="A427" s="4"/>
      <c r="B427" s="1"/>
      <c r="C427" s="1"/>
      <c r="D427" s="1"/>
      <c r="E427" s="1"/>
      <c r="F427" s="1"/>
      <c r="G427" s="1"/>
      <c r="H427" s="1"/>
      <c r="I427" s="1"/>
      <c r="J427" s="3"/>
      <c r="K427" s="3"/>
      <c r="L427" s="3"/>
      <c r="M427" s="1"/>
      <c r="N427" s="1"/>
      <c r="O427" s="1"/>
      <c r="P427" s="1"/>
      <c r="Q427" s="1"/>
      <c r="R427" s="1"/>
      <c r="S427" s="1"/>
      <c r="T427" s="1"/>
    </row>
    <row r="428" spans="1:20">
      <c r="A428" s="4"/>
      <c r="B428" s="1"/>
      <c r="C428" s="1"/>
      <c r="D428" s="1"/>
      <c r="E428" s="1"/>
      <c r="F428" s="1"/>
      <c r="G428" s="1"/>
      <c r="H428" s="1"/>
      <c r="I428" s="1"/>
      <c r="J428" s="3"/>
      <c r="K428" s="3"/>
      <c r="L428" s="3"/>
      <c r="M428" s="1"/>
      <c r="N428" s="1"/>
      <c r="O428" s="1"/>
      <c r="P428" s="1"/>
      <c r="Q428" s="1"/>
      <c r="R428" s="1"/>
      <c r="S428" s="1"/>
      <c r="T428" s="1"/>
    </row>
    <row r="429" spans="1:20">
      <c r="A429" s="2"/>
      <c r="B429" s="2"/>
      <c r="C429" s="2"/>
      <c r="D429" s="2"/>
      <c r="E429" s="2"/>
      <c r="F429" s="2"/>
      <c r="G429" s="2"/>
      <c r="H429" s="2"/>
      <c r="I429" s="2"/>
      <c r="J429" s="2"/>
      <c r="K429" s="2"/>
      <c r="L429" s="2"/>
      <c r="M429" s="2"/>
      <c r="N429" s="2"/>
      <c r="O429" s="2"/>
      <c r="P429" s="2"/>
      <c r="Q429" s="2"/>
      <c r="R429" s="2"/>
      <c r="S429" s="2"/>
      <c r="T429"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rowBreaks count="1" manualBreakCount="1">
    <brk id="415" max="14" man="1"/>
  </rowBreaks>
  <ignoredErrors>
    <ignoredError sqref="L414 F414"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T427"/>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5703125" customWidth="1"/>
    <col min="20" max="20" width="10.28515625" customWidth="1"/>
  </cols>
  <sheetData>
    <row r="1" spans="1:20" ht="26.25">
      <c r="A1" s="197" t="s">
        <v>491</v>
      </c>
      <c r="B1" s="198"/>
      <c r="C1" s="198"/>
      <c r="D1" s="198"/>
      <c r="E1" s="198"/>
      <c r="F1" s="198"/>
      <c r="G1" s="198"/>
      <c r="H1" s="198"/>
      <c r="I1" s="198"/>
      <c r="J1" s="198"/>
      <c r="K1" s="198"/>
      <c r="L1" s="198"/>
      <c r="M1" s="198"/>
      <c r="N1" s="198"/>
      <c r="O1" s="199"/>
    </row>
    <row r="2" spans="1:20" ht="18">
      <c r="A2" s="41"/>
      <c r="B2" s="42"/>
      <c r="C2" s="43"/>
      <c r="D2" s="200" t="s">
        <v>483</v>
      </c>
      <c r="E2" s="201"/>
      <c r="F2" s="201"/>
      <c r="G2" s="201"/>
      <c r="H2" s="202"/>
      <c r="I2" s="44"/>
      <c r="J2" s="61" t="s">
        <v>456</v>
      </c>
      <c r="K2" s="45"/>
      <c r="L2" s="68"/>
      <c r="M2" s="201" t="s">
        <v>503</v>
      </c>
      <c r="N2" s="201"/>
      <c r="O2" s="203"/>
    </row>
    <row r="3" spans="1:20" ht="12.75" customHeight="1">
      <c r="A3" s="46"/>
      <c r="B3" s="47"/>
      <c r="C3" s="48">
        <v>2003</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6721</v>
      </c>
      <c r="D6" s="18"/>
      <c r="E6" s="18">
        <v>578177517</v>
      </c>
      <c r="F6" s="38">
        <f t="shared" ref="F6:F37" si="0">(E6/C6)</f>
        <v>86025.519565540846</v>
      </c>
      <c r="G6" s="18">
        <v>396002432</v>
      </c>
      <c r="H6" s="39">
        <f t="shared" ref="H6:H37" si="1">(G6/C6)</f>
        <v>58920.165451569708</v>
      </c>
      <c r="I6" s="15"/>
      <c r="J6" s="17">
        <v>5.7</v>
      </c>
      <c r="K6" s="40">
        <v>2257213</v>
      </c>
      <c r="L6" s="84">
        <f t="shared" ref="L6:L14" si="2">(K6/C6)</f>
        <v>335.84481475970836</v>
      </c>
      <c r="M6" s="65">
        <f t="shared" ref="M6:M69" si="3">(G6*0.01)</f>
        <v>3960024.3200000003</v>
      </c>
      <c r="N6" s="83">
        <f t="shared" ref="N6:N69" si="4">(M6-K6)</f>
        <v>1702811.3200000003</v>
      </c>
      <c r="O6" s="62">
        <f t="shared" ref="O6:O69" si="5">(N6/C6)</f>
        <v>253.35683975598874</v>
      </c>
      <c r="P6" s="5"/>
      <c r="Q6" s="5">
        <f>IF(E6&gt;0,1,0)</f>
        <v>1</v>
      </c>
      <c r="R6" s="7">
        <f>IF(E6&gt;0,C6,0)</f>
        <v>6721</v>
      </c>
      <c r="S6" s="5">
        <f>IF(J6&gt;0,1,0)</f>
        <v>1</v>
      </c>
      <c r="T6" s="7">
        <f>IF(J6&gt;0,C6,0)</f>
        <v>6721</v>
      </c>
    </row>
    <row r="7" spans="1:20">
      <c r="A7" s="23" t="s">
        <v>9</v>
      </c>
      <c r="B7" s="35" t="s">
        <v>8</v>
      </c>
      <c r="C7" s="36">
        <v>1263</v>
      </c>
      <c r="D7" s="6"/>
      <c r="E7" s="113">
        <v>39922263</v>
      </c>
      <c r="F7" s="116">
        <f t="shared" si="0"/>
        <v>31609.076009501186</v>
      </c>
      <c r="G7" s="113">
        <v>22628843</v>
      </c>
      <c r="H7" s="117">
        <f t="shared" si="1"/>
        <v>17916.740300870941</v>
      </c>
      <c r="I7" s="7"/>
      <c r="J7" s="10">
        <v>4</v>
      </c>
      <c r="K7" s="117">
        <v>90515</v>
      </c>
      <c r="L7" s="120">
        <f t="shared" si="2"/>
        <v>71.666666666666671</v>
      </c>
      <c r="M7" s="122">
        <f t="shared" si="3"/>
        <v>226288.43</v>
      </c>
      <c r="N7" s="116">
        <f t="shared" si="4"/>
        <v>135773.43</v>
      </c>
      <c r="O7" s="123">
        <f t="shared" si="5"/>
        <v>107.50073634204276</v>
      </c>
      <c r="P7" s="5"/>
      <c r="Q7" s="5">
        <f t="shared" ref="Q7:Q70" si="6">IF(E7&gt;0,1,0)</f>
        <v>1</v>
      </c>
      <c r="R7" s="7">
        <f t="shared" ref="R7:R70" si="7">IF(E7&gt;0,C7,0)</f>
        <v>1263</v>
      </c>
      <c r="S7" s="5">
        <f t="shared" ref="S7:S70" si="8">IF(J7&gt;0,1,0)</f>
        <v>1</v>
      </c>
      <c r="T7" s="7">
        <f t="shared" ref="T7:T70" si="9">IF(J7&gt;0,C7,0)</f>
        <v>1263</v>
      </c>
    </row>
    <row r="8" spans="1:20">
      <c r="A8" s="23" t="s">
        <v>10</v>
      </c>
      <c r="B8" s="35" t="s">
        <v>8</v>
      </c>
      <c r="C8" s="36">
        <v>117182</v>
      </c>
      <c r="D8" s="6"/>
      <c r="E8" s="113">
        <v>7469339911</v>
      </c>
      <c r="F8" s="116">
        <f t="shared" si="0"/>
        <v>63741.358834974657</v>
      </c>
      <c r="G8" s="113">
        <v>3561664366</v>
      </c>
      <c r="H8" s="117">
        <f t="shared" si="1"/>
        <v>30394.295762147769</v>
      </c>
      <c r="I8" s="7"/>
      <c r="J8" s="10">
        <v>4.9416000000000002</v>
      </c>
      <c r="K8" s="117">
        <v>17600320</v>
      </c>
      <c r="L8" s="120">
        <f t="shared" si="2"/>
        <v>150.19644655322489</v>
      </c>
      <c r="M8" s="122">
        <f t="shared" si="3"/>
        <v>35616643.660000004</v>
      </c>
      <c r="N8" s="116">
        <f t="shared" si="4"/>
        <v>18016323.660000004</v>
      </c>
      <c r="O8" s="123">
        <f t="shared" si="5"/>
        <v>153.74651106825283</v>
      </c>
      <c r="P8" s="5"/>
      <c r="Q8" s="5">
        <f t="shared" si="6"/>
        <v>1</v>
      </c>
      <c r="R8" s="7">
        <f t="shared" si="7"/>
        <v>117182</v>
      </c>
      <c r="S8" s="5">
        <f t="shared" si="8"/>
        <v>1</v>
      </c>
      <c r="T8" s="7">
        <f t="shared" si="9"/>
        <v>117182</v>
      </c>
    </row>
    <row r="9" spans="1:20">
      <c r="A9" s="23" t="s">
        <v>11</v>
      </c>
      <c r="B9" s="35" t="s">
        <v>8</v>
      </c>
      <c r="C9" s="36">
        <v>1394</v>
      </c>
      <c r="D9" s="6"/>
      <c r="E9" s="113">
        <v>63088326</v>
      </c>
      <c r="F9" s="116">
        <f t="shared" si="0"/>
        <v>45257.048780487807</v>
      </c>
      <c r="G9" s="117">
        <v>31822246</v>
      </c>
      <c r="H9" s="117">
        <f t="shared" si="1"/>
        <v>22828.010043041606</v>
      </c>
      <c r="I9" s="7"/>
      <c r="J9" s="10">
        <v>5.4184999999999999</v>
      </c>
      <c r="K9" s="117">
        <v>172428</v>
      </c>
      <c r="L9" s="120">
        <f t="shared" si="2"/>
        <v>123.69296987087517</v>
      </c>
      <c r="M9" s="122">
        <f t="shared" si="3"/>
        <v>318222.46000000002</v>
      </c>
      <c r="N9" s="116">
        <f t="shared" si="4"/>
        <v>145794.46000000002</v>
      </c>
      <c r="O9" s="123">
        <f t="shared" si="5"/>
        <v>104.58713055954091</v>
      </c>
      <c r="P9" s="5"/>
      <c r="Q9" s="5">
        <f t="shared" si="6"/>
        <v>1</v>
      </c>
      <c r="R9" s="7">
        <f t="shared" si="7"/>
        <v>1394</v>
      </c>
      <c r="S9" s="5">
        <f t="shared" si="8"/>
        <v>1</v>
      </c>
      <c r="T9" s="7">
        <f t="shared" si="9"/>
        <v>1394</v>
      </c>
    </row>
    <row r="10" spans="1:20">
      <c r="A10" s="23" t="s">
        <v>12</v>
      </c>
      <c r="B10" s="35" t="s">
        <v>8</v>
      </c>
      <c r="C10" s="36">
        <v>4206</v>
      </c>
      <c r="D10" s="6"/>
      <c r="E10" s="113">
        <v>204680229</v>
      </c>
      <c r="F10" s="116">
        <f t="shared" si="0"/>
        <v>48663.868045649069</v>
      </c>
      <c r="G10" s="117">
        <v>125372907</v>
      </c>
      <c r="H10" s="117">
        <f t="shared" si="1"/>
        <v>29808.109129814551</v>
      </c>
      <c r="I10" s="7"/>
      <c r="J10" s="10">
        <v>6.25</v>
      </c>
      <c r="K10" s="117">
        <v>783580</v>
      </c>
      <c r="L10" s="120">
        <f t="shared" si="2"/>
        <v>186.30052306229197</v>
      </c>
      <c r="M10" s="122">
        <f t="shared" si="3"/>
        <v>1253729.07</v>
      </c>
      <c r="N10" s="116">
        <f t="shared" si="4"/>
        <v>470149.07000000007</v>
      </c>
      <c r="O10" s="123">
        <f t="shared" si="5"/>
        <v>111.78056823585356</v>
      </c>
      <c r="P10" s="5"/>
      <c r="Q10" s="5">
        <f t="shared" si="6"/>
        <v>1</v>
      </c>
      <c r="R10" s="7">
        <f t="shared" si="7"/>
        <v>4206</v>
      </c>
      <c r="S10" s="5">
        <f t="shared" si="8"/>
        <v>1</v>
      </c>
      <c r="T10" s="7">
        <f t="shared" si="9"/>
        <v>4206</v>
      </c>
    </row>
    <row r="11" spans="1:20">
      <c r="A11" s="23" t="s">
        <v>559</v>
      </c>
      <c r="B11" s="35" t="s">
        <v>8</v>
      </c>
      <c r="C11" s="36">
        <v>151</v>
      </c>
      <c r="D11" s="6"/>
      <c r="E11" s="113">
        <v>11115532</v>
      </c>
      <c r="F11" s="116">
        <f t="shared" si="0"/>
        <v>73612.794701986757</v>
      </c>
      <c r="G11" s="117">
        <v>5102862</v>
      </c>
      <c r="H11" s="117">
        <f t="shared" si="1"/>
        <v>33793.7880794702</v>
      </c>
      <c r="I11" s="7"/>
      <c r="J11" s="10">
        <v>3.597</v>
      </c>
      <c r="K11" s="117">
        <v>18354</v>
      </c>
      <c r="L11" s="120">
        <f t="shared" si="2"/>
        <v>121.54966887417218</v>
      </c>
      <c r="M11" s="122">
        <f t="shared" si="3"/>
        <v>51028.62</v>
      </c>
      <c r="N11" s="116">
        <f t="shared" si="4"/>
        <v>32674.620000000003</v>
      </c>
      <c r="O11" s="123">
        <f t="shared" si="5"/>
        <v>216.38821192052981</v>
      </c>
      <c r="P11" s="5"/>
      <c r="Q11" s="5">
        <f t="shared" si="6"/>
        <v>1</v>
      </c>
      <c r="R11" s="7">
        <f t="shared" si="7"/>
        <v>151</v>
      </c>
      <c r="S11" s="5">
        <f t="shared" si="8"/>
        <v>1</v>
      </c>
      <c r="T11" s="7">
        <f t="shared" si="9"/>
        <v>151</v>
      </c>
    </row>
    <row r="12" spans="1:20">
      <c r="A12" s="23" t="s">
        <v>13</v>
      </c>
      <c r="B12" s="35" t="s">
        <v>8</v>
      </c>
      <c r="C12" s="36">
        <v>638</v>
      </c>
      <c r="D12" s="6"/>
      <c r="E12" s="113">
        <v>29895117</v>
      </c>
      <c r="F12" s="116">
        <f t="shared" si="0"/>
        <v>46857.55015673981</v>
      </c>
      <c r="G12" s="117">
        <v>16946117</v>
      </c>
      <c r="H12" s="117">
        <f t="shared" si="1"/>
        <v>26561.311912225705</v>
      </c>
      <c r="I12" s="7"/>
      <c r="J12" s="10">
        <v>6</v>
      </c>
      <c r="K12" s="117">
        <v>101676</v>
      </c>
      <c r="L12" s="120">
        <f t="shared" si="2"/>
        <v>159.36677115987462</v>
      </c>
      <c r="M12" s="122">
        <f t="shared" si="3"/>
        <v>169461.17</v>
      </c>
      <c r="N12" s="116">
        <f t="shared" si="4"/>
        <v>67785.170000000013</v>
      </c>
      <c r="O12" s="123">
        <f t="shared" si="5"/>
        <v>106.24634796238246</v>
      </c>
      <c r="P12" s="5"/>
      <c r="Q12" s="5">
        <f t="shared" si="6"/>
        <v>1</v>
      </c>
      <c r="R12" s="7">
        <f t="shared" si="7"/>
        <v>638</v>
      </c>
      <c r="S12" s="5">
        <f t="shared" si="8"/>
        <v>1</v>
      </c>
      <c r="T12" s="7">
        <f t="shared" si="9"/>
        <v>638</v>
      </c>
    </row>
    <row r="13" spans="1:20">
      <c r="A13" s="23" t="s">
        <v>14</v>
      </c>
      <c r="B13" s="35" t="s">
        <v>8</v>
      </c>
      <c r="C13" s="36">
        <v>3757</v>
      </c>
      <c r="D13" s="6"/>
      <c r="E13" s="113">
        <v>256348795</v>
      </c>
      <c r="F13" s="116">
        <f t="shared" si="0"/>
        <v>68232.31168485494</v>
      </c>
      <c r="G13" s="117">
        <v>157583425</v>
      </c>
      <c r="H13" s="117">
        <f t="shared" si="1"/>
        <v>41943.951290923607</v>
      </c>
      <c r="I13" s="7"/>
      <c r="J13" s="10">
        <v>4.5</v>
      </c>
      <c r="K13" s="117">
        <v>709125</v>
      </c>
      <c r="L13" s="120">
        <f t="shared" si="2"/>
        <v>188.747671014107</v>
      </c>
      <c r="M13" s="122">
        <f t="shared" si="3"/>
        <v>1575834.25</v>
      </c>
      <c r="N13" s="116">
        <f t="shared" si="4"/>
        <v>866709.25</v>
      </c>
      <c r="O13" s="123">
        <f t="shared" si="5"/>
        <v>230.6918418951291</v>
      </c>
      <c r="P13" s="5"/>
      <c r="Q13" s="5">
        <f t="shared" si="6"/>
        <v>1</v>
      </c>
      <c r="R13" s="7">
        <f t="shared" si="7"/>
        <v>3757</v>
      </c>
      <c r="S13" s="5">
        <f t="shared" si="8"/>
        <v>1</v>
      </c>
      <c r="T13" s="7">
        <f t="shared" si="9"/>
        <v>3757</v>
      </c>
    </row>
    <row r="14" spans="1:20">
      <c r="A14" s="23" t="s">
        <v>15</v>
      </c>
      <c r="B14" s="35" t="s">
        <v>8</v>
      </c>
      <c r="C14" s="36">
        <v>823</v>
      </c>
      <c r="D14" s="6"/>
      <c r="E14" s="113">
        <v>31149461</v>
      </c>
      <c r="F14" s="116">
        <f t="shared" si="0"/>
        <v>37848.676792223574</v>
      </c>
      <c r="G14" s="117">
        <v>16822946</v>
      </c>
      <c r="H14" s="117">
        <f t="shared" si="1"/>
        <v>20441.003645200486</v>
      </c>
      <c r="I14" s="7"/>
      <c r="J14" s="10">
        <v>5.0313999999999997</v>
      </c>
      <c r="K14" s="117">
        <v>84642</v>
      </c>
      <c r="L14" s="120">
        <f t="shared" si="2"/>
        <v>102.84568651275821</v>
      </c>
      <c r="M14" s="122">
        <f t="shared" si="3"/>
        <v>168229.46</v>
      </c>
      <c r="N14" s="116">
        <f t="shared" si="4"/>
        <v>83587.459999999992</v>
      </c>
      <c r="O14" s="123">
        <f t="shared" si="5"/>
        <v>101.56434993924665</v>
      </c>
      <c r="P14" s="5"/>
      <c r="Q14" s="5">
        <f t="shared" si="6"/>
        <v>1</v>
      </c>
      <c r="R14" s="7">
        <f t="shared" si="7"/>
        <v>823</v>
      </c>
      <c r="S14" s="5">
        <f t="shared" si="8"/>
        <v>1</v>
      </c>
      <c r="T14" s="7">
        <f t="shared" si="9"/>
        <v>823</v>
      </c>
    </row>
    <row r="15" spans="1:20">
      <c r="A15" s="23" t="s">
        <v>544</v>
      </c>
      <c r="B15" s="35" t="s">
        <v>16</v>
      </c>
      <c r="C15" s="36">
        <v>493</v>
      </c>
      <c r="D15" s="6"/>
      <c r="E15" s="113">
        <v>14041722</v>
      </c>
      <c r="F15" s="116">
        <f t="shared" si="0"/>
        <v>28482.19472616633</v>
      </c>
      <c r="G15" s="117">
        <v>8398355</v>
      </c>
      <c r="H15" s="117">
        <f t="shared" si="1"/>
        <v>17035.202839756592</v>
      </c>
      <c r="I15" s="98" t="s">
        <v>528</v>
      </c>
      <c r="J15" s="10"/>
      <c r="K15" s="117"/>
      <c r="L15" s="120"/>
      <c r="M15" s="122">
        <f t="shared" si="3"/>
        <v>83983.55</v>
      </c>
      <c r="N15" s="116">
        <f t="shared" si="4"/>
        <v>83983.55</v>
      </c>
      <c r="O15" s="123">
        <f t="shared" si="5"/>
        <v>170.35202839756593</v>
      </c>
      <c r="P15" s="5"/>
      <c r="Q15" s="5">
        <f t="shared" si="6"/>
        <v>1</v>
      </c>
      <c r="R15" s="7">
        <f t="shared" si="7"/>
        <v>493</v>
      </c>
      <c r="S15" s="5">
        <f t="shared" si="8"/>
        <v>0</v>
      </c>
      <c r="T15" s="7">
        <f t="shared" si="9"/>
        <v>0</v>
      </c>
    </row>
    <row r="16" spans="1:20">
      <c r="A16" s="23" t="s">
        <v>17</v>
      </c>
      <c r="B16" s="35" t="s">
        <v>16</v>
      </c>
      <c r="C16" s="36">
        <v>4855</v>
      </c>
      <c r="D16" s="6"/>
      <c r="E16" s="113">
        <v>213004611</v>
      </c>
      <c r="F16" s="116">
        <f t="shared" si="0"/>
        <v>43873.246343975283</v>
      </c>
      <c r="G16" s="117">
        <v>121174441</v>
      </c>
      <c r="H16" s="117">
        <f t="shared" si="1"/>
        <v>24958.690216271883</v>
      </c>
      <c r="I16" s="7"/>
      <c r="J16" s="10">
        <v>3.65</v>
      </c>
      <c r="K16" s="117">
        <v>442286</v>
      </c>
      <c r="L16" s="120">
        <f>(K16/C16)</f>
        <v>91.099073120494339</v>
      </c>
      <c r="M16" s="122">
        <f t="shared" si="3"/>
        <v>1211744.4099999999</v>
      </c>
      <c r="N16" s="116">
        <f t="shared" si="4"/>
        <v>769458.40999999992</v>
      </c>
      <c r="O16" s="123">
        <f t="shared" si="5"/>
        <v>158.48782904222449</v>
      </c>
      <c r="P16" s="5"/>
      <c r="Q16" s="5">
        <f t="shared" si="6"/>
        <v>1</v>
      </c>
      <c r="R16" s="7">
        <f t="shared" si="7"/>
        <v>4855</v>
      </c>
      <c r="S16" s="5">
        <f t="shared" si="8"/>
        <v>1</v>
      </c>
      <c r="T16" s="7">
        <f t="shared" si="9"/>
        <v>4855</v>
      </c>
    </row>
    <row r="17" spans="1:20">
      <c r="A17" s="23" t="s">
        <v>18</v>
      </c>
      <c r="B17" s="35" t="s">
        <v>19</v>
      </c>
      <c r="C17" s="36">
        <v>14680</v>
      </c>
      <c r="D17" s="6"/>
      <c r="E17" s="113">
        <v>445203017</v>
      </c>
      <c r="F17" s="116">
        <f t="shared" si="0"/>
        <v>30327.18099455041</v>
      </c>
      <c r="G17" s="117">
        <v>323326711</v>
      </c>
      <c r="H17" s="117">
        <f t="shared" si="1"/>
        <v>22024.980313351498</v>
      </c>
      <c r="I17" s="98" t="s">
        <v>528</v>
      </c>
      <c r="J17" s="10"/>
      <c r="K17" s="117"/>
      <c r="L17" s="120"/>
      <c r="M17" s="122">
        <f t="shared" si="3"/>
        <v>3233267.11</v>
      </c>
      <c r="N17" s="116">
        <f t="shared" si="4"/>
        <v>3233267.11</v>
      </c>
      <c r="O17" s="123">
        <f t="shared" si="5"/>
        <v>220.24980313351497</v>
      </c>
      <c r="P17" s="5"/>
      <c r="Q17" s="5">
        <f t="shared" si="6"/>
        <v>1</v>
      </c>
      <c r="R17" s="7">
        <f t="shared" si="7"/>
        <v>14680</v>
      </c>
      <c r="S17" s="5">
        <f t="shared" si="8"/>
        <v>0</v>
      </c>
      <c r="T17" s="7">
        <f t="shared" si="9"/>
        <v>0</v>
      </c>
    </row>
    <row r="18" spans="1:20">
      <c r="A18" s="23" t="s">
        <v>20</v>
      </c>
      <c r="B18" s="35" t="s">
        <v>19</v>
      </c>
      <c r="C18" s="36">
        <v>5628</v>
      </c>
      <c r="D18" s="6"/>
      <c r="E18" s="113">
        <v>150170257</v>
      </c>
      <c r="F18" s="116">
        <f t="shared" si="0"/>
        <v>26682.70380241649</v>
      </c>
      <c r="G18" s="117">
        <v>88758109</v>
      </c>
      <c r="H18" s="117">
        <f t="shared" si="1"/>
        <v>15770.80828002843</v>
      </c>
      <c r="I18" s="98" t="s">
        <v>528</v>
      </c>
      <c r="J18" s="10"/>
      <c r="K18" s="117"/>
      <c r="L18" s="120"/>
      <c r="M18" s="122">
        <f t="shared" si="3"/>
        <v>887581.09</v>
      </c>
      <c r="N18" s="116">
        <f t="shared" si="4"/>
        <v>887581.09</v>
      </c>
      <c r="O18" s="123">
        <f t="shared" si="5"/>
        <v>157.70808280028427</v>
      </c>
      <c r="P18" s="5"/>
      <c r="Q18" s="5">
        <f t="shared" si="6"/>
        <v>1</v>
      </c>
      <c r="R18" s="7">
        <f t="shared" si="7"/>
        <v>5628</v>
      </c>
      <c r="S18" s="5">
        <f t="shared" si="8"/>
        <v>0</v>
      </c>
      <c r="T18" s="7">
        <f t="shared" si="9"/>
        <v>0</v>
      </c>
    </row>
    <row r="19" spans="1:20">
      <c r="A19" s="23" t="s">
        <v>21</v>
      </c>
      <c r="B19" s="35" t="s">
        <v>19</v>
      </c>
      <c r="C19" s="36">
        <v>14099</v>
      </c>
      <c r="D19" s="6"/>
      <c r="E19" s="113">
        <v>802354585</v>
      </c>
      <c r="F19" s="116">
        <f t="shared" si="0"/>
        <v>56908.616568550962</v>
      </c>
      <c r="G19" s="117">
        <v>541368490</v>
      </c>
      <c r="H19" s="117">
        <f t="shared" si="1"/>
        <v>38397.651606496918</v>
      </c>
      <c r="I19" s="7"/>
      <c r="J19" s="10">
        <v>4</v>
      </c>
      <c r="K19" s="117">
        <v>2165473</v>
      </c>
      <c r="L19" s="120">
        <f>(K19/C19)</f>
        <v>153.59053833605219</v>
      </c>
      <c r="M19" s="122">
        <f t="shared" si="3"/>
        <v>5413684.9000000004</v>
      </c>
      <c r="N19" s="116">
        <f t="shared" si="4"/>
        <v>3248211.9000000004</v>
      </c>
      <c r="O19" s="123">
        <f t="shared" si="5"/>
        <v>230.38597772891697</v>
      </c>
      <c r="P19" s="5"/>
      <c r="Q19" s="5">
        <f t="shared" si="6"/>
        <v>1</v>
      </c>
      <c r="R19" s="7">
        <f t="shared" si="7"/>
        <v>14099</v>
      </c>
      <c r="S19" s="5">
        <f t="shared" si="8"/>
        <v>1</v>
      </c>
      <c r="T19" s="7">
        <f t="shared" si="9"/>
        <v>14099</v>
      </c>
    </row>
    <row r="20" spans="1:20">
      <c r="A20" s="23" t="s">
        <v>22</v>
      </c>
      <c r="B20" s="35" t="s">
        <v>19</v>
      </c>
      <c r="C20" s="36">
        <v>1121</v>
      </c>
      <c r="D20" s="6"/>
      <c r="E20" s="113">
        <v>178628199</v>
      </c>
      <c r="F20" s="116">
        <f t="shared" si="0"/>
        <v>159347.18911685995</v>
      </c>
      <c r="G20" s="117">
        <v>147620435</v>
      </c>
      <c r="H20" s="117">
        <f t="shared" si="1"/>
        <v>131686.3826940232</v>
      </c>
      <c r="I20" s="7"/>
      <c r="J20" s="11">
        <v>4.55</v>
      </c>
      <c r="K20" s="117">
        <v>671672</v>
      </c>
      <c r="L20" s="120">
        <f>(K20/C20)</f>
        <v>599.17216770740413</v>
      </c>
      <c r="M20" s="122">
        <f t="shared" si="3"/>
        <v>1476204.35</v>
      </c>
      <c r="N20" s="116">
        <f t="shared" si="4"/>
        <v>804532.35000000009</v>
      </c>
      <c r="O20" s="123">
        <f t="shared" si="5"/>
        <v>717.69165923282787</v>
      </c>
      <c r="P20" s="5"/>
      <c r="Q20" s="5">
        <f t="shared" si="6"/>
        <v>1</v>
      </c>
      <c r="R20" s="7">
        <f t="shared" si="7"/>
        <v>1121</v>
      </c>
      <c r="S20" s="5">
        <f t="shared" si="8"/>
        <v>1</v>
      </c>
      <c r="T20" s="7">
        <f t="shared" si="9"/>
        <v>1121</v>
      </c>
    </row>
    <row r="21" spans="1:20">
      <c r="A21" s="23" t="s">
        <v>23</v>
      </c>
      <c r="B21" s="35" t="s">
        <v>19</v>
      </c>
      <c r="C21" s="36">
        <v>36541</v>
      </c>
      <c r="D21" s="6"/>
      <c r="E21" s="113">
        <v>2252001312</v>
      </c>
      <c r="F21" s="116">
        <f t="shared" si="0"/>
        <v>61629.438493746748</v>
      </c>
      <c r="G21" s="117">
        <v>1478726815</v>
      </c>
      <c r="H21" s="117">
        <f t="shared" si="1"/>
        <v>40467.606661010919</v>
      </c>
      <c r="I21" s="7"/>
      <c r="J21" s="10">
        <v>5</v>
      </c>
      <c r="K21" s="117">
        <v>7393634</v>
      </c>
      <c r="L21" s="120">
        <f>(K21/C21)</f>
        <v>202.3380312525656</v>
      </c>
      <c r="M21" s="122">
        <f t="shared" si="3"/>
        <v>14787268.15</v>
      </c>
      <c r="N21" s="116">
        <f t="shared" si="4"/>
        <v>7393634.1500000004</v>
      </c>
      <c r="O21" s="123">
        <f t="shared" si="5"/>
        <v>202.33803535754359</v>
      </c>
      <c r="P21" s="5"/>
      <c r="Q21" s="5">
        <f t="shared" si="6"/>
        <v>1</v>
      </c>
      <c r="R21" s="7">
        <f t="shared" si="7"/>
        <v>36541</v>
      </c>
      <c r="S21" s="5">
        <f t="shared" si="8"/>
        <v>1</v>
      </c>
      <c r="T21" s="7">
        <f t="shared" si="9"/>
        <v>36541</v>
      </c>
    </row>
    <row r="22" spans="1:20">
      <c r="A22" s="23" t="s">
        <v>24</v>
      </c>
      <c r="B22" s="35" t="s">
        <v>19</v>
      </c>
      <c r="C22" s="36">
        <v>7920</v>
      </c>
      <c r="D22" s="6"/>
      <c r="E22" s="113">
        <v>1714125436</v>
      </c>
      <c r="F22" s="116">
        <f t="shared" si="0"/>
        <v>216429.97929292929</v>
      </c>
      <c r="G22" s="117">
        <v>1496562310</v>
      </c>
      <c r="H22" s="117">
        <f t="shared" si="1"/>
        <v>188959.88762626261</v>
      </c>
      <c r="I22" s="98" t="s">
        <v>528</v>
      </c>
      <c r="J22" s="12"/>
      <c r="K22" s="117"/>
      <c r="L22" s="120"/>
      <c r="M22" s="122">
        <f t="shared" si="3"/>
        <v>14965623.1</v>
      </c>
      <c r="N22" s="116">
        <f t="shared" si="4"/>
        <v>14965623.1</v>
      </c>
      <c r="O22" s="123">
        <f t="shared" si="5"/>
        <v>1889.5988762626262</v>
      </c>
      <c r="P22" s="5"/>
      <c r="Q22" s="5">
        <f t="shared" si="6"/>
        <v>1</v>
      </c>
      <c r="R22" s="7">
        <f t="shared" si="7"/>
        <v>7920</v>
      </c>
      <c r="S22" s="5">
        <f t="shared" si="8"/>
        <v>0</v>
      </c>
      <c r="T22" s="7">
        <f t="shared" si="9"/>
        <v>0</v>
      </c>
    </row>
    <row r="23" spans="1:20">
      <c r="A23" s="23" t="s">
        <v>25</v>
      </c>
      <c r="B23" s="35" t="s">
        <v>19</v>
      </c>
      <c r="C23" s="36">
        <v>4701</v>
      </c>
      <c r="D23" s="6"/>
      <c r="E23" s="113">
        <v>178449608</v>
      </c>
      <c r="F23" s="116">
        <f t="shared" si="0"/>
        <v>37959.925122314402</v>
      </c>
      <c r="G23" s="117">
        <v>130521308</v>
      </c>
      <c r="H23" s="117">
        <f t="shared" si="1"/>
        <v>27764.583705594556</v>
      </c>
      <c r="I23" s="98" t="s">
        <v>528</v>
      </c>
      <c r="J23" s="12"/>
      <c r="K23" s="117"/>
      <c r="L23" s="120"/>
      <c r="M23" s="122">
        <f t="shared" si="3"/>
        <v>1305213.08</v>
      </c>
      <c r="N23" s="116">
        <f t="shared" si="4"/>
        <v>1305213.08</v>
      </c>
      <c r="O23" s="123">
        <f t="shared" si="5"/>
        <v>277.64583705594555</v>
      </c>
      <c r="P23" s="5"/>
      <c r="Q23" s="5">
        <f t="shared" si="6"/>
        <v>1</v>
      </c>
      <c r="R23" s="7">
        <f t="shared" si="7"/>
        <v>4701</v>
      </c>
      <c r="S23" s="5">
        <f t="shared" si="8"/>
        <v>0</v>
      </c>
      <c r="T23" s="7">
        <f t="shared" si="9"/>
        <v>0</v>
      </c>
    </row>
    <row r="24" spans="1:20">
      <c r="A24" s="23" t="s">
        <v>26</v>
      </c>
      <c r="B24" s="35" t="s">
        <v>19</v>
      </c>
      <c r="C24" s="36">
        <v>8879</v>
      </c>
      <c r="D24" s="6"/>
      <c r="E24" s="113">
        <v>197306699</v>
      </c>
      <c r="F24" s="116">
        <f t="shared" si="0"/>
        <v>22221.725306903929</v>
      </c>
      <c r="G24" s="117">
        <v>105838021</v>
      </c>
      <c r="H24" s="117">
        <f t="shared" si="1"/>
        <v>11920.038405225814</v>
      </c>
      <c r="I24" s="98" t="s">
        <v>528</v>
      </c>
      <c r="J24" s="10"/>
      <c r="K24" s="117"/>
      <c r="L24" s="120"/>
      <c r="M24" s="122">
        <f t="shared" si="3"/>
        <v>1058380.21</v>
      </c>
      <c r="N24" s="116">
        <f t="shared" si="4"/>
        <v>1058380.21</v>
      </c>
      <c r="O24" s="123">
        <f t="shared" si="5"/>
        <v>119.20038405225813</v>
      </c>
      <c r="P24" s="5"/>
      <c r="Q24" s="5">
        <f t="shared" si="6"/>
        <v>1</v>
      </c>
      <c r="R24" s="7">
        <f t="shared" si="7"/>
        <v>8879</v>
      </c>
      <c r="S24" s="5">
        <f t="shared" si="8"/>
        <v>0</v>
      </c>
      <c r="T24" s="7">
        <f t="shared" si="9"/>
        <v>0</v>
      </c>
    </row>
    <row r="25" spans="1:20">
      <c r="A25" s="23" t="s">
        <v>27</v>
      </c>
      <c r="B25" s="35" t="s">
        <v>28</v>
      </c>
      <c r="C25" s="36">
        <v>321</v>
      </c>
      <c r="D25" s="6"/>
      <c r="E25" s="113">
        <v>8378424</v>
      </c>
      <c r="F25" s="116">
        <f t="shared" si="0"/>
        <v>26101.009345794391</v>
      </c>
      <c r="G25" s="117">
        <v>4016150</v>
      </c>
      <c r="H25" s="117">
        <f t="shared" si="1"/>
        <v>12511.370716510903</v>
      </c>
      <c r="I25" s="7"/>
      <c r="J25" s="10">
        <v>0.44600000000000001</v>
      </c>
      <c r="K25" s="117">
        <v>1791</v>
      </c>
      <c r="L25" s="120">
        <f t="shared" ref="L25:L38" si="10">(K25/C25)</f>
        <v>5.5794392523364484</v>
      </c>
      <c r="M25" s="122">
        <f t="shared" si="3"/>
        <v>40161.5</v>
      </c>
      <c r="N25" s="116">
        <f t="shared" si="4"/>
        <v>38370.5</v>
      </c>
      <c r="O25" s="123">
        <f t="shared" si="5"/>
        <v>119.53426791277259</v>
      </c>
      <c r="P25" s="5"/>
      <c r="Q25" s="5">
        <f t="shared" si="6"/>
        <v>1</v>
      </c>
      <c r="R25" s="7">
        <f t="shared" si="7"/>
        <v>321</v>
      </c>
      <c r="S25" s="5">
        <f t="shared" si="8"/>
        <v>1</v>
      </c>
      <c r="T25" s="7">
        <f t="shared" si="9"/>
        <v>321</v>
      </c>
    </row>
    <row r="26" spans="1:20">
      <c r="A26" s="23" t="s">
        <v>29</v>
      </c>
      <c r="B26" s="35" t="s">
        <v>28</v>
      </c>
      <c r="C26" s="36">
        <v>423</v>
      </c>
      <c r="D26" s="6"/>
      <c r="E26" s="113">
        <v>7103330</v>
      </c>
      <c r="F26" s="116">
        <f t="shared" si="0"/>
        <v>16792.742316784868</v>
      </c>
      <c r="G26" s="117">
        <v>3547617</v>
      </c>
      <c r="H26" s="117">
        <f t="shared" si="1"/>
        <v>8386.8014184397161</v>
      </c>
      <c r="I26" s="7"/>
      <c r="J26" s="10">
        <v>0.48899999999999999</v>
      </c>
      <c r="K26" s="117">
        <v>1734</v>
      </c>
      <c r="L26" s="120">
        <f t="shared" si="10"/>
        <v>4.0992907801418443</v>
      </c>
      <c r="M26" s="122">
        <f t="shared" si="3"/>
        <v>35476.17</v>
      </c>
      <c r="N26" s="116">
        <f t="shared" si="4"/>
        <v>33742.17</v>
      </c>
      <c r="O26" s="123">
        <f t="shared" si="5"/>
        <v>79.768723404255311</v>
      </c>
      <c r="P26" s="5"/>
      <c r="Q26" s="5">
        <f t="shared" si="6"/>
        <v>1</v>
      </c>
      <c r="R26" s="7">
        <f t="shared" si="7"/>
        <v>423</v>
      </c>
      <c r="S26" s="5">
        <f t="shared" si="8"/>
        <v>1</v>
      </c>
      <c r="T26" s="7">
        <f t="shared" si="9"/>
        <v>423</v>
      </c>
    </row>
    <row r="27" spans="1:20">
      <c r="A27" s="23" t="s">
        <v>30</v>
      </c>
      <c r="B27" s="35" t="s">
        <v>28</v>
      </c>
      <c r="C27" s="36">
        <v>680</v>
      </c>
      <c r="D27" s="6"/>
      <c r="E27" s="113">
        <v>17637329</v>
      </c>
      <c r="F27" s="116">
        <f t="shared" si="0"/>
        <v>25937.248529411765</v>
      </c>
      <c r="G27" s="117">
        <v>11242533</v>
      </c>
      <c r="H27" s="117">
        <f t="shared" si="1"/>
        <v>16533.136764705883</v>
      </c>
      <c r="I27" s="7"/>
      <c r="J27" s="11">
        <v>1.5770999999999999</v>
      </c>
      <c r="K27" s="117">
        <v>17730</v>
      </c>
      <c r="L27" s="120">
        <f t="shared" si="10"/>
        <v>26.073529411764707</v>
      </c>
      <c r="M27" s="122">
        <f t="shared" si="3"/>
        <v>112425.33</v>
      </c>
      <c r="N27" s="116">
        <f t="shared" si="4"/>
        <v>94695.33</v>
      </c>
      <c r="O27" s="123">
        <f t="shared" si="5"/>
        <v>139.25783823529412</v>
      </c>
      <c r="P27" s="5"/>
      <c r="Q27" s="5">
        <f t="shared" si="6"/>
        <v>1</v>
      </c>
      <c r="R27" s="7">
        <f t="shared" si="7"/>
        <v>680</v>
      </c>
      <c r="S27" s="5">
        <f t="shared" si="8"/>
        <v>1</v>
      </c>
      <c r="T27" s="7">
        <f t="shared" si="9"/>
        <v>680</v>
      </c>
    </row>
    <row r="28" spans="1:20">
      <c r="A28" s="23" t="s">
        <v>31</v>
      </c>
      <c r="B28" s="35" t="s">
        <v>28</v>
      </c>
      <c r="C28" s="36">
        <v>5549</v>
      </c>
      <c r="D28" s="6"/>
      <c r="E28" s="113">
        <v>248767005</v>
      </c>
      <c r="F28" s="116">
        <f t="shared" si="0"/>
        <v>44830.961434492703</v>
      </c>
      <c r="G28" s="117">
        <v>139739432</v>
      </c>
      <c r="H28" s="117">
        <f t="shared" si="1"/>
        <v>25182.81347990629</v>
      </c>
      <c r="I28" s="7"/>
      <c r="J28" s="11">
        <v>4</v>
      </c>
      <c r="K28" s="117">
        <v>558957</v>
      </c>
      <c r="L28" s="120">
        <f t="shared" si="10"/>
        <v>100.73112272481528</v>
      </c>
      <c r="M28" s="122">
        <f t="shared" si="3"/>
        <v>1397394.32</v>
      </c>
      <c r="N28" s="116">
        <f t="shared" si="4"/>
        <v>838437.32000000007</v>
      </c>
      <c r="O28" s="123">
        <f t="shared" si="5"/>
        <v>151.09701207424763</v>
      </c>
      <c r="P28" s="5"/>
      <c r="Q28" s="5">
        <f t="shared" si="6"/>
        <v>1</v>
      </c>
      <c r="R28" s="7">
        <f t="shared" si="7"/>
        <v>5549</v>
      </c>
      <c r="S28" s="5">
        <f t="shared" si="8"/>
        <v>1</v>
      </c>
      <c r="T28" s="7">
        <f t="shared" si="9"/>
        <v>5549</v>
      </c>
    </row>
    <row r="29" spans="1:20">
      <c r="A29" s="23" t="s">
        <v>32</v>
      </c>
      <c r="B29" s="35" t="s">
        <v>33</v>
      </c>
      <c r="C29" s="36">
        <v>9496</v>
      </c>
      <c r="D29" s="6"/>
      <c r="E29" s="113">
        <v>777596293</v>
      </c>
      <c r="F29" s="116">
        <f t="shared" si="0"/>
        <v>81886.719987363103</v>
      </c>
      <c r="G29" s="117">
        <v>633518443</v>
      </c>
      <c r="H29" s="117">
        <f t="shared" si="1"/>
        <v>66714.242101937663</v>
      </c>
      <c r="I29" s="7"/>
      <c r="J29" s="11">
        <v>3.4563999999999999</v>
      </c>
      <c r="K29" s="117">
        <v>2189693</v>
      </c>
      <c r="L29" s="120">
        <f t="shared" si="10"/>
        <v>230.59109098567819</v>
      </c>
      <c r="M29" s="122">
        <f t="shared" si="3"/>
        <v>6335184.4299999997</v>
      </c>
      <c r="N29" s="116">
        <f t="shared" si="4"/>
        <v>4145491.4299999997</v>
      </c>
      <c r="O29" s="123">
        <f t="shared" si="5"/>
        <v>436.55133003369838</v>
      </c>
      <c r="P29" s="5"/>
      <c r="Q29" s="5">
        <f t="shared" si="6"/>
        <v>1</v>
      </c>
      <c r="R29" s="7">
        <f t="shared" si="7"/>
        <v>9496</v>
      </c>
      <c r="S29" s="5">
        <f t="shared" si="8"/>
        <v>1</v>
      </c>
      <c r="T29" s="7">
        <f t="shared" si="9"/>
        <v>9496</v>
      </c>
    </row>
    <row r="30" spans="1:20">
      <c r="A30" s="23" t="s">
        <v>34</v>
      </c>
      <c r="B30" s="35" t="s">
        <v>33</v>
      </c>
      <c r="C30" s="36">
        <v>16356</v>
      </c>
      <c r="D30" s="6"/>
      <c r="E30" s="113">
        <v>1048375280</v>
      </c>
      <c r="F30" s="116">
        <f t="shared" si="0"/>
        <v>64097.290291024699</v>
      </c>
      <c r="G30" s="117">
        <v>692870660</v>
      </c>
      <c r="H30" s="117">
        <f t="shared" si="1"/>
        <v>42361.864759109805</v>
      </c>
      <c r="I30" s="7"/>
      <c r="J30" s="10">
        <v>4.5228000000000002</v>
      </c>
      <c r="K30" s="117">
        <v>3133715</v>
      </c>
      <c r="L30" s="120">
        <f t="shared" si="10"/>
        <v>191.59421618977746</v>
      </c>
      <c r="M30" s="122">
        <f t="shared" si="3"/>
        <v>6928706.6000000006</v>
      </c>
      <c r="N30" s="116">
        <f t="shared" si="4"/>
        <v>3794991.6000000006</v>
      </c>
      <c r="O30" s="123">
        <f t="shared" si="5"/>
        <v>232.02443140132064</v>
      </c>
      <c r="P30" s="5"/>
      <c r="Q30" s="5">
        <f t="shared" si="6"/>
        <v>1</v>
      </c>
      <c r="R30" s="7">
        <f t="shared" si="7"/>
        <v>16356</v>
      </c>
      <c r="S30" s="5">
        <f t="shared" si="8"/>
        <v>1</v>
      </c>
      <c r="T30" s="7">
        <f t="shared" si="9"/>
        <v>16356</v>
      </c>
    </row>
    <row r="31" spans="1:20">
      <c r="A31" s="23" t="s">
        <v>35</v>
      </c>
      <c r="B31" s="35" t="s">
        <v>33</v>
      </c>
      <c r="C31" s="36">
        <v>12761</v>
      </c>
      <c r="D31" s="6"/>
      <c r="E31" s="113">
        <v>1767719332</v>
      </c>
      <c r="F31" s="116">
        <f t="shared" si="0"/>
        <v>138525.14160332261</v>
      </c>
      <c r="G31" s="117">
        <v>1247496167</v>
      </c>
      <c r="H31" s="117">
        <f t="shared" si="1"/>
        <v>97758.495964266127</v>
      </c>
      <c r="I31" s="7"/>
      <c r="J31" s="10">
        <v>4.78</v>
      </c>
      <c r="K31" s="117">
        <v>5963031</v>
      </c>
      <c r="L31" s="120">
        <f t="shared" si="10"/>
        <v>467.28555755818508</v>
      </c>
      <c r="M31" s="122">
        <f t="shared" si="3"/>
        <v>12474961.67</v>
      </c>
      <c r="N31" s="116">
        <f t="shared" si="4"/>
        <v>6511930.6699999999</v>
      </c>
      <c r="O31" s="123">
        <f t="shared" si="5"/>
        <v>510.29940208447613</v>
      </c>
      <c r="P31" s="5"/>
      <c r="Q31" s="5">
        <f t="shared" si="6"/>
        <v>1</v>
      </c>
      <c r="R31" s="7">
        <f t="shared" si="7"/>
        <v>12761</v>
      </c>
      <c r="S31" s="5">
        <f t="shared" si="8"/>
        <v>1</v>
      </c>
      <c r="T31" s="7">
        <f t="shared" si="9"/>
        <v>12761</v>
      </c>
    </row>
    <row r="32" spans="1:20">
      <c r="A32" s="23" t="s">
        <v>36</v>
      </c>
      <c r="B32" s="35" t="s">
        <v>33</v>
      </c>
      <c r="C32" s="36">
        <v>3030</v>
      </c>
      <c r="D32" s="6"/>
      <c r="E32" s="113">
        <v>321998852</v>
      </c>
      <c r="F32" s="116">
        <f t="shared" si="0"/>
        <v>106270.24818481848</v>
      </c>
      <c r="G32" s="117">
        <v>223823779</v>
      </c>
      <c r="H32" s="117">
        <f t="shared" si="1"/>
        <v>73869.233993399335</v>
      </c>
      <c r="I32" s="7"/>
      <c r="J32" s="10">
        <v>5.0088999999999997</v>
      </c>
      <c r="K32" s="117">
        <v>1121110</v>
      </c>
      <c r="L32" s="120">
        <f t="shared" si="10"/>
        <v>370.00330033003303</v>
      </c>
      <c r="M32" s="122">
        <f t="shared" si="3"/>
        <v>2238237.79</v>
      </c>
      <c r="N32" s="116">
        <f t="shared" si="4"/>
        <v>1117127.79</v>
      </c>
      <c r="O32" s="123">
        <f t="shared" si="5"/>
        <v>368.6890396039604</v>
      </c>
      <c r="P32" s="5"/>
      <c r="Q32" s="5">
        <f t="shared" si="6"/>
        <v>1</v>
      </c>
      <c r="R32" s="7">
        <f t="shared" si="7"/>
        <v>3030</v>
      </c>
      <c r="S32" s="5">
        <f t="shared" si="8"/>
        <v>1</v>
      </c>
      <c r="T32" s="7">
        <f t="shared" si="9"/>
        <v>3030</v>
      </c>
    </row>
    <row r="33" spans="1:20">
      <c r="A33" s="23" t="s">
        <v>37</v>
      </c>
      <c r="B33" s="35" t="s">
        <v>33</v>
      </c>
      <c r="C33" s="36">
        <v>8535</v>
      </c>
      <c r="D33" s="6"/>
      <c r="E33" s="113">
        <v>742721395</v>
      </c>
      <c r="F33" s="116">
        <f t="shared" si="0"/>
        <v>87020.667252489744</v>
      </c>
      <c r="G33" s="117">
        <v>542936435</v>
      </c>
      <c r="H33" s="117">
        <f t="shared" si="1"/>
        <v>63612.939074399532</v>
      </c>
      <c r="I33" s="7"/>
      <c r="J33" s="10">
        <v>4.9764999999999997</v>
      </c>
      <c r="K33" s="117">
        <v>2701923</v>
      </c>
      <c r="L33" s="120">
        <f t="shared" si="10"/>
        <v>316.56977152899822</v>
      </c>
      <c r="M33" s="122">
        <f t="shared" si="3"/>
        <v>5429364.3500000006</v>
      </c>
      <c r="N33" s="116">
        <f t="shared" si="4"/>
        <v>2727441.3500000006</v>
      </c>
      <c r="O33" s="123">
        <f t="shared" si="5"/>
        <v>319.55961921499716</v>
      </c>
      <c r="P33" s="5"/>
      <c r="Q33" s="5">
        <f t="shared" si="6"/>
        <v>1</v>
      </c>
      <c r="R33" s="7">
        <f t="shared" si="7"/>
        <v>8535</v>
      </c>
      <c r="S33" s="5">
        <f t="shared" si="8"/>
        <v>1</v>
      </c>
      <c r="T33" s="7">
        <f t="shared" si="9"/>
        <v>8535</v>
      </c>
    </row>
    <row r="34" spans="1:20">
      <c r="A34" s="23" t="s">
        <v>38</v>
      </c>
      <c r="B34" s="35" t="s">
        <v>33</v>
      </c>
      <c r="C34" s="36">
        <v>2713</v>
      </c>
      <c r="D34" s="6"/>
      <c r="E34" s="113">
        <v>203691575</v>
      </c>
      <c r="F34" s="116">
        <f t="shared" si="0"/>
        <v>75079.828603022484</v>
      </c>
      <c r="G34" s="117">
        <v>148689485</v>
      </c>
      <c r="H34" s="117">
        <f t="shared" si="1"/>
        <v>54806.297456690008</v>
      </c>
      <c r="I34" s="7"/>
      <c r="J34" s="10">
        <v>1.7642</v>
      </c>
      <c r="K34" s="117">
        <v>262317</v>
      </c>
      <c r="L34" s="120">
        <f t="shared" si="10"/>
        <v>96.6889052709178</v>
      </c>
      <c r="M34" s="122">
        <f t="shared" si="3"/>
        <v>1486894.85</v>
      </c>
      <c r="N34" s="116">
        <f t="shared" si="4"/>
        <v>1224577.8500000001</v>
      </c>
      <c r="O34" s="123">
        <f t="shared" si="5"/>
        <v>451.37406929598234</v>
      </c>
      <c r="P34" s="5"/>
      <c r="Q34" s="5">
        <f t="shared" si="6"/>
        <v>1</v>
      </c>
      <c r="R34" s="7">
        <f t="shared" si="7"/>
        <v>2713</v>
      </c>
      <c r="S34" s="5">
        <f t="shared" si="8"/>
        <v>1</v>
      </c>
      <c r="T34" s="7">
        <f t="shared" si="9"/>
        <v>2713</v>
      </c>
    </row>
    <row r="35" spans="1:20">
      <c r="A35" s="23" t="s">
        <v>39</v>
      </c>
      <c r="B35" s="35" t="s">
        <v>33</v>
      </c>
      <c r="C35" s="36">
        <v>73597</v>
      </c>
      <c r="D35" s="6"/>
      <c r="E35" s="113">
        <v>4451541213</v>
      </c>
      <c r="F35" s="116">
        <f t="shared" si="0"/>
        <v>60485.362351726297</v>
      </c>
      <c r="G35" s="117">
        <v>2954540358</v>
      </c>
      <c r="H35" s="117">
        <f t="shared" si="1"/>
        <v>40144.847724771389</v>
      </c>
      <c r="I35" s="7"/>
      <c r="J35" s="10">
        <v>4.7855999999999996</v>
      </c>
      <c r="K35" s="117">
        <v>14139248</v>
      </c>
      <c r="L35" s="120">
        <f t="shared" si="10"/>
        <v>192.11717868934875</v>
      </c>
      <c r="M35" s="122">
        <f t="shared" si="3"/>
        <v>29545403.580000002</v>
      </c>
      <c r="N35" s="116">
        <f t="shared" si="4"/>
        <v>15406155.580000002</v>
      </c>
      <c r="O35" s="123">
        <f t="shared" si="5"/>
        <v>209.33129855836518</v>
      </c>
      <c r="P35" s="5"/>
      <c r="Q35" s="5">
        <f t="shared" si="6"/>
        <v>1</v>
      </c>
      <c r="R35" s="7">
        <f t="shared" si="7"/>
        <v>73597</v>
      </c>
      <c r="S35" s="5">
        <f t="shared" si="8"/>
        <v>1</v>
      </c>
      <c r="T35" s="7">
        <f t="shared" si="9"/>
        <v>73597</v>
      </c>
    </row>
    <row r="36" spans="1:20">
      <c r="A36" s="23" t="s">
        <v>40</v>
      </c>
      <c r="B36" s="35" t="s">
        <v>33</v>
      </c>
      <c r="C36" s="36">
        <v>3424</v>
      </c>
      <c r="D36" s="6"/>
      <c r="E36" s="113">
        <v>343899757</v>
      </c>
      <c r="F36" s="116">
        <f t="shared" si="0"/>
        <v>100438.01314252337</v>
      </c>
      <c r="G36" s="117">
        <v>227670607</v>
      </c>
      <c r="H36" s="117">
        <f t="shared" si="1"/>
        <v>66492.583820093452</v>
      </c>
      <c r="I36" s="7"/>
      <c r="J36" s="10">
        <v>3.4939</v>
      </c>
      <c r="K36" s="117">
        <v>795458</v>
      </c>
      <c r="L36" s="120">
        <f t="shared" si="10"/>
        <v>232.31834112149534</v>
      </c>
      <c r="M36" s="122">
        <f t="shared" si="3"/>
        <v>2276706.0699999998</v>
      </c>
      <c r="N36" s="116">
        <f t="shared" si="4"/>
        <v>1481248.0699999998</v>
      </c>
      <c r="O36" s="123">
        <f t="shared" si="5"/>
        <v>432.60749707943921</v>
      </c>
      <c r="P36" s="5"/>
      <c r="Q36" s="5">
        <f t="shared" si="6"/>
        <v>1</v>
      </c>
      <c r="R36" s="7">
        <f t="shared" si="7"/>
        <v>3424</v>
      </c>
      <c r="S36" s="5">
        <f t="shared" si="8"/>
        <v>1</v>
      </c>
      <c r="T36" s="7">
        <f t="shared" si="9"/>
        <v>3424</v>
      </c>
    </row>
    <row r="37" spans="1:20">
      <c r="A37" s="23" t="s">
        <v>41</v>
      </c>
      <c r="B37" s="35" t="s">
        <v>33</v>
      </c>
      <c r="C37" s="36">
        <v>718</v>
      </c>
      <c r="D37" s="6"/>
      <c r="E37" s="113">
        <v>51770496</v>
      </c>
      <c r="F37" s="116">
        <f t="shared" si="0"/>
        <v>72103.754874651815</v>
      </c>
      <c r="G37" s="117">
        <v>37560796</v>
      </c>
      <c r="H37" s="117">
        <f t="shared" si="1"/>
        <v>52313.086350974932</v>
      </c>
      <c r="I37" s="7"/>
      <c r="J37" s="10">
        <v>4.5224000000000002</v>
      </c>
      <c r="K37" s="117">
        <v>169864</v>
      </c>
      <c r="L37" s="120">
        <f t="shared" si="10"/>
        <v>236.57938718662953</v>
      </c>
      <c r="M37" s="122">
        <f t="shared" si="3"/>
        <v>375607.96</v>
      </c>
      <c r="N37" s="116">
        <f t="shared" si="4"/>
        <v>205743.96000000002</v>
      </c>
      <c r="O37" s="123">
        <f t="shared" si="5"/>
        <v>286.5514763231198</v>
      </c>
      <c r="P37" s="5"/>
      <c r="Q37" s="5">
        <f t="shared" si="6"/>
        <v>1</v>
      </c>
      <c r="R37" s="7">
        <f t="shared" si="7"/>
        <v>718</v>
      </c>
      <c r="S37" s="5">
        <f t="shared" si="8"/>
        <v>1</v>
      </c>
      <c r="T37" s="7">
        <f t="shared" si="9"/>
        <v>718</v>
      </c>
    </row>
    <row r="38" spans="1:20">
      <c r="A38" s="23" t="s">
        <v>42</v>
      </c>
      <c r="B38" s="35" t="s">
        <v>33</v>
      </c>
      <c r="C38" s="36">
        <v>84994</v>
      </c>
      <c r="D38" s="6"/>
      <c r="E38" s="113">
        <v>3480521048</v>
      </c>
      <c r="F38" s="116">
        <f t="shared" ref="F38:F69" si="11">(E38/C38)</f>
        <v>40950.197049203474</v>
      </c>
      <c r="G38" s="117">
        <v>2378435305</v>
      </c>
      <c r="H38" s="117">
        <f t="shared" ref="H38:H69" si="12">(G38/C38)</f>
        <v>27983.567134150646</v>
      </c>
      <c r="I38" s="7"/>
      <c r="J38" s="10">
        <v>6.8356000000000003</v>
      </c>
      <c r="K38" s="117">
        <v>16258032</v>
      </c>
      <c r="L38" s="120">
        <f t="shared" si="10"/>
        <v>191.28446713885685</v>
      </c>
      <c r="M38" s="122">
        <f t="shared" si="3"/>
        <v>23784353.050000001</v>
      </c>
      <c r="N38" s="116">
        <f t="shared" si="4"/>
        <v>7526321.0500000007</v>
      </c>
      <c r="O38" s="123">
        <f t="shared" si="5"/>
        <v>88.5512042026496</v>
      </c>
      <c r="P38" s="5"/>
      <c r="Q38" s="5">
        <f t="shared" si="6"/>
        <v>1</v>
      </c>
      <c r="R38" s="7">
        <f t="shared" si="7"/>
        <v>84994</v>
      </c>
      <c r="S38" s="5">
        <f t="shared" si="8"/>
        <v>1</v>
      </c>
      <c r="T38" s="7">
        <f t="shared" si="9"/>
        <v>84994</v>
      </c>
    </row>
    <row r="39" spans="1:20">
      <c r="A39" s="23" t="s">
        <v>43</v>
      </c>
      <c r="B39" s="35" t="s">
        <v>33</v>
      </c>
      <c r="C39" s="36">
        <v>836</v>
      </c>
      <c r="D39" s="6"/>
      <c r="E39" s="113">
        <v>46577871</v>
      </c>
      <c r="F39" s="116">
        <f t="shared" si="11"/>
        <v>55715.156698564591</v>
      </c>
      <c r="G39" s="117">
        <v>34924771</v>
      </c>
      <c r="H39" s="117">
        <f t="shared" si="12"/>
        <v>41776.041866028711</v>
      </c>
      <c r="I39" s="98" t="s">
        <v>528</v>
      </c>
      <c r="J39" s="10"/>
      <c r="K39" s="117"/>
      <c r="L39" s="120"/>
      <c r="M39" s="122">
        <f t="shared" si="3"/>
        <v>349247.71</v>
      </c>
      <c r="N39" s="116">
        <f t="shared" si="4"/>
        <v>349247.71</v>
      </c>
      <c r="O39" s="123">
        <f t="shared" si="5"/>
        <v>417.76041866028709</v>
      </c>
      <c r="P39" s="5"/>
      <c r="Q39" s="5">
        <f t="shared" si="6"/>
        <v>1</v>
      </c>
      <c r="R39" s="7">
        <f t="shared" si="7"/>
        <v>836</v>
      </c>
      <c r="S39" s="5">
        <f t="shared" si="8"/>
        <v>0</v>
      </c>
      <c r="T39" s="7">
        <f t="shared" si="9"/>
        <v>0</v>
      </c>
    </row>
    <row r="40" spans="1:20">
      <c r="A40" s="23" t="s">
        <v>44</v>
      </c>
      <c r="B40" s="35" t="s">
        <v>33</v>
      </c>
      <c r="C40" s="36">
        <v>22660</v>
      </c>
      <c r="D40" s="6"/>
      <c r="E40" s="113">
        <v>1316398333</v>
      </c>
      <c r="F40" s="116">
        <f t="shared" si="11"/>
        <v>58093.483362753752</v>
      </c>
      <c r="G40" s="117">
        <v>855241086</v>
      </c>
      <c r="H40" s="117">
        <f t="shared" si="12"/>
        <v>37742.325066195939</v>
      </c>
      <c r="I40" s="7"/>
      <c r="J40" s="10">
        <v>5.7</v>
      </c>
      <c r="K40" s="117">
        <v>4874874</v>
      </c>
      <c r="L40" s="120">
        <f>(K40/C40)</f>
        <v>215.13124448367168</v>
      </c>
      <c r="M40" s="122">
        <f t="shared" si="3"/>
        <v>8552410.8599999994</v>
      </c>
      <c r="N40" s="116">
        <f t="shared" si="4"/>
        <v>3677536.8599999994</v>
      </c>
      <c r="O40" s="123">
        <f t="shared" si="5"/>
        <v>162.29200617828769</v>
      </c>
      <c r="P40" s="5"/>
      <c r="Q40" s="5">
        <f t="shared" si="6"/>
        <v>1</v>
      </c>
      <c r="R40" s="7">
        <f t="shared" si="7"/>
        <v>22660</v>
      </c>
      <c r="S40" s="5">
        <f t="shared" si="8"/>
        <v>1</v>
      </c>
      <c r="T40" s="7">
        <f t="shared" si="9"/>
        <v>22660</v>
      </c>
    </row>
    <row r="41" spans="1:20">
      <c r="A41" s="23" t="s">
        <v>45</v>
      </c>
      <c r="B41" s="35" t="s">
        <v>33</v>
      </c>
      <c r="C41" s="36">
        <v>9732</v>
      </c>
      <c r="D41" s="6"/>
      <c r="E41" s="113">
        <v>761172960</v>
      </c>
      <c r="F41" s="116">
        <f t="shared" si="11"/>
        <v>78213.415536374843</v>
      </c>
      <c r="G41" s="117">
        <v>500204770</v>
      </c>
      <c r="H41" s="117">
        <f t="shared" si="12"/>
        <v>51397.941841348133</v>
      </c>
      <c r="I41" s="7"/>
      <c r="J41" s="10">
        <v>6.5952999999999999</v>
      </c>
      <c r="K41" s="121">
        <v>3299000</v>
      </c>
      <c r="L41" s="120">
        <f>(K41/C41)</f>
        <v>338.98479243732021</v>
      </c>
      <c r="M41" s="122">
        <f t="shared" si="3"/>
        <v>5002047.7</v>
      </c>
      <c r="N41" s="116">
        <f t="shared" si="4"/>
        <v>1703047.7000000002</v>
      </c>
      <c r="O41" s="123">
        <f t="shared" si="5"/>
        <v>174.99462597616113</v>
      </c>
      <c r="P41" s="5"/>
      <c r="Q41" s="5">
        <f t="shared" si="6"/>
        <v>1</v>
      </c>
      <c r="R41" s="7">
        <f t="shared" si="7"/>
        <v>9732</v>
      </c>
      <c r="S41" s="5">
        <f t="shared" si="8"/>
        <v>1</v>
      </c>
      <c r="T41" s="7">
        <f t="shared" si="9"/>
        <v>9732</v>
      </c>
    </row>
    <row r="42" spans="1:20">
      <c r="A42" s="23" t="s">
        <v>46</v>
      </c>
      <c r="B42" s="35" t="s">
        <v>33</v>
      </c>
      <c r="C42" s="36">
        <v>42220</v>
      </c>
      <c r="D42" s="6"/>
      <c r="E42" s="113">
        <v>2057084931</v>
      </c>
      <c r="F42" s="116">
        <f t="shared" si="11"/>
        <v>48722.996944576029</v>
      </c>
      <c r="G42" s="117">
        <v>1289164142</v>
      </c>
      <c r="H42" s="117">
        <f t="shared" si="12"/>
        <v>30534.442018000947</v>
      </c>
      <c r="I42" s="7"/>
      <c r="J42" s="10">
        <v>5.8503999999999996</v>
      </c>
      <c r="K42" s="117">
        <v>7542125</v>
      </c>
      <c r="L42" s="120">
        <f>(K42/C42)</f>
        <v>178.63867835149219</v>
      </c>
      <c r="M42" s="122">
        <f t="shared" si="3"/>
        <v>12891641.42</v>
      </c>
      <c r="N42" s="116">
        <f t="shared" si="4"/>
        <v>5349516.42</v>
      </c>
      <c r="O42" s="123">
        <f t="shared" si="5"/>
        <v>126.70574182851729</v>
      </c>
      <c r="P42" s="5"/>
      <c r="Q42" s="5">
        <f t="shared" si="6"/>
        <v>1</v>
      </c>
      <c r="R42" s="7">
        <f t="shared" si="7"/>
        <v>42220</v>
      </c>
      <c r="S42" s="5">
        <f t="shared" si="8"/>
        <v>1</v>
      </c>
      <c r="T42" s="7">
        <f t="shared" si="9"/>
        <v>42220</v>
      </c>
    </row>
    <row r="43" spans="1:20">
      <c r="A43" s="23" t="s">
        <v>47</v>
      </c>
      <c r="B43" s="35" t="s">
        <v>33</v>
      </c>
      <c r="C43" s="36">
        <v>12049</v>
      </c>
      <c r="D43" s="6"/>
      <c r="E43" s="113">
        <v>794634990</v>
      </c>
      <c r="F43" s="116">
        <f t="shared" si="11"/>
        <v>65950.28550087144</v>
      </c>
      <c r="G43" s="117">
        <v>605252320</v>
      </c>
      <c r="H43" s="117">
        <f t="shared" si="12"/>
        <v>50232.57697734252</v>
      </c>
      <c r="I43" s="98" t="s">
        <v>528</v>
      </c>
      <c r="J43" s="10"/>
      <c r="K43" s="117"/>
      <c r="L43" s="120"/>
      <c r="M43" s="122">
        <f t="shared" si="3"/>
        <v>6052523.2000000002</v>
      </c>
      <c r="N43" s="116">
        <f t="shared" si="4"/>
        <v>6052523.2000000002</v>
      </c>
      <c r="O43" s="123">
        <f t="shared" si="5"/>
        <v>502.32576977342518</v>
      </c>
      <c r="P43" s="5"/>
      <c r="Q43" s="5">
        <f t="shared" si="6"/>
        <v>1</v>
      </c>
      <c r="R43" s="7">
        <f t="shared" si="7"/>
        <v>12049</v>
      </c>
      <c r="S43" s="5">
        <f t="shared" si="8"/>
        <v>0</v>
      </c>
      <c r="T43" s="7">
        <f t="shared" si="9"/>
        <v>0</v>
      </c>
    </row>
    <row r="44" spans="1:20">
      <c r="A44" s="23" t="s">
        <v>48</v>
      </c>
      <c r="B44" s="35" t="s">
        <v>49</v>
      </c>
      <c r="C44" s="36">
        <v>47471</v>
      </c>
      <c r="D44" s="6"/>
      <c r="E44" s="113">
        <v>3211475505</v>
      </c>
      <c r="F44" s="116">
        <f t="shared" si="11"/>
        <v>67651.313538792107</v>
      </c>
      <c r="G44" s="117">
        <v>2270224033</v>
      </c>
      <c r="H44" s="117">
        <f t="shared" si="12"/>
        <v>47823.387605064141</v>
      </c>
      <c r="I44" s="7"/>
      <c r="J44" s="11">
        <v>5.0959000000000003</v>
      </c>
      <c r="K44" s="117">
        <v>11568834</v>
      </c>
      <c r="L44" s="120">
        <f t="shared" ref="L44:L73" si="13">(K44/C44)</f>
        <v>243.70318720903288</v>
      </c>
      <c r="M44" s="122">
        <f t="shared" si="3"/>
        <v>22702240.330000002</v>
      </c>
      <c r="N44" s="116">
        <f t="shared" si="4"/>
        <v>11133406.330000002</v>
      </c>
      <c r="O44" s="123">
        <f t="shared" si="5"/>
        <v>234.53068884160859</v>
      </c>
      <c r="P44" s="5"/>
      <c r="Q44" s="5">
        <f t="shared" si="6"/>
        <v>1</v>
      </c>
      <c r="R44" s="7">
        <f t="shared" si="7"/>
        <v>47471</v>
      </c>
      <c r="S44" s="5">
        <f t="shared" si="8"/>
        <v>1</v>
      </c>
      <c r="T44" s="7">
        <f t="shared" si="9"/>
        <v>47471</v>
      </c>
    </row>
    <row r="45" spans="1:20">
      <c r="A45" s="23" t="s">
        <v>50</v>
      </c>
      <c r="B45" s="35" t="s">
        <v>49</v>
      </c>
      <c r="C45" s="36">
        <v>28629</v>
      </c>
      <c r="D45" s="6"/>
      <c r="E45" s="113">
        <v>2087813019</v>
      </c>
      <c r="F45" s="116">
        <f t="shared" si="11"/>
        <v>72926.508749869012</v>
      </c>
      <c r="G45" s="117">
        <v>1376873698</v>
      </c>
      <c r="H45" s="117">
        <f t="shared" si="12"/>
        <v>48093.6706835726</v>
      </c>
      <c r="I45" s="7"/>
      <c r="J45" s="10">
        <v>6.6870000000000003</v>
      </c>
      <c r="K45" s="117">
        <v>9207154</v>
      </c>
      <c r="L45" s="120">
        <f t="shared" si="13"/>
        <v>321.60236124209717</v>
      </c>
      <c r="M45" s="122">
        <f t="shared" si="3"/>
        <v>13768736.98</v>
      </c>
      <c r="N45" s="116">
        <f t="shared" si="4"/>
        <v>4561582.9800000004</v>
      </c>
      <c r="O45" s="123">
        <f t="shared" si="5"/>
        <v>159.33434559362885</v>
      </c>
      <c r="P45" s="5"/>
      <c r="Q45" s="5">
        <f t="shared" si="6"/>
        <v>1</v>
      </c>
      <c r="R45" s="7">
        <f t="shared" si="7"/>
        <v>28629</v>
      </c>
      <c r="S45" s="5">
        <f t="shared" si="8"/>
        <v>1</v>
      </c>
      <c r="T45" s="7">
        <f t="shared" si="9"/>
        <v>28629</v>
      </c>
    </row>
    <row r="46" spans="1:20">
      <c r="A46" s="23" t="s">
        <v>51</v>
      </c>
      <c r="B46" s="35" t="s">
        <v>49</v>
      </c>
      <c r="C46" s="36">
        <v>124162</v>
      </c>
      <c r="D46" s="6"/>
      <c r="E46" s="113">
        <v>8884505028</v>
      </c>
      <c r="F46" s="116">
        <f t="shared" si="11"/>
        <v>71555.749971811019</v>
      </c>
      <c r="G46" s="117">
        <v>6692755595</v>
      </c>
      <c r="H46" s="117">
        <f t="shared" si="12"/>
        <v>53903.413242376897</v>
      </c>
      <c r="I46" s="7"/>
      <c r="J46" s="10">
        <v>3.8715000000000002</v>
      </c>
      <c r="K46" s="117">
        <v>25911003</v>
      </c>
      <c r="L46" s="120">
        <f t="shared" si="13"/>
        <v>208.68706206407757</v>
      </c>
      <c r="M46" s="122">
        <f t="shared" si="3"/>
        <v>66927555.950000003</v>
      </c>
      <c r="N46" s="116">
        <f t="shared" si="4"/>
        <v>41016552.950000003</v>
      </c>
      <c r="O46" s="123">
        <f t="shared" si="5"/>
        <v>330.34707035969137</v>
      </c>
      <c r="P46" s="5"/>
      <c r="Q46" s="5">
        <f t="shared" si="6"/>
        <v>1</v>
      </c>
      <c r="R46" s="7">
        <f t="shared" si="7"/>
        <v>124162</v>
      </c>
      <c r="S46" s="5">
        <f t="shared" si="8"/>
        <v>1</v>
      </c>
      <c r="T46" s="7">
        <f t="shared" si="9"/>
        <v>124162</v>
      </c>
    </row>
    <row r="47" spans="1:20">
      <c r="A47" s="23" t="s">
        <v>464</v>
      </c>
      <c r="B47" s="35" t="s">
        <v>49</v>
      </c>
      <c r="C47" s="36">
        <v>27270</v>
      </c>
      <c r="D47" s="6"/>
      <c r="E47" s="113">
        <v>2554958317</v>
      </c>
      <c r="F47" s="116">
        <f t="shared" si="11"/>
        <v>93691.174074074079</v>
      </c>
      <c r="G47" s="117">
        <v>1936544659</v>
      </c>
      <c r="H47" s="117">
        <f t="shared" si="12"/>
        <v>71013.738870553716</v>
      </c>
      <c r="I47" s="7"/>
      <c r="J47" s="10">
        <v>6.39</v>
      </c>
      <c r="K47" s="117">
        <v>12374520</v>
      </c>
      <c r="L47" s="120">
        <f t="shared" si="13"/>
        <v>453.77777777777777</v>
      </c>
      <c r="M47" s="122">
        <f t="shared" si="3"/>
        <v>19365446.59</v>
      </c>
      <c r="N47" s="116">
        <f t="shared" si="4"/>
        <v>6990926.5899999999</v>
      </c>
      <c r="O47" s="123">
        <f t="shared" si="5"/>
        <v>256.35961092775943</v>
      </c>
      <c r="P47" s="5"/>
      <c r="Q47" s="5">
        <f t="shared" si="6"/>
        <v>1</v>
      </c>
      <c r="R47" s="7">
        <f t="shared" si="7"/>
        <v>27270</v>
      </c>
      <c r="S47" s="5">
        <f t="shared" si="8"/>
        <v>1</v>
      </c>
      <c r="T47" s="7">
        <f t="shared" si="9"/>
        <v>27270</v>
      </c>
    </row>
    <row r="48" spans="1:20">
      <c r="A48" s="23" t="s">
        <v>52</v>
      </c>
      <c r="B48" s="35" t="s">
        <v>49</v>
      </c>
      <c r="C48" s="36">
        <v>79763</v>
      </c>
      <c r="D48" s="6"/>
      <c r="E48" s="113">
        <v>6519393772</v>
      </c>
      <c r="F48" s="116">
        <f t="shared" si="11"/>
        <v>81734.560786329501</v>
      </c>
      <c r="G48" s="117">
        <v>4679948739</v>
      </c>
      <c r="H48" s="117">
        <f t="shared" si="12"/>
        <v>58673.17852889184</v>
      </c>
      <c r="I48" s="7"/>
      <c r="J48" s="11">
        <v>5.1086</v>
      </c>
      <c r="K48" s="117">
        <v>23907986</v>
      </c>
      <c r="L48" s="120">
        <f t="shared" si="13"/>
        <v>299.73779822724822</v>
      </c>
      <c r="M48" s="122">
        <f t="shared" si="3"/>
        <v>46799487.390000001</v>
      </c>
      <c r="N48" s="116">
        <f t="shared" si="4"/>
        <v>22891501.390000001</v>
      </c>
      <c r="O48" s="123">
        <f t="shared" si="5"/>
        <v>286.99398706167023</v>
      </c>
      <c r="P48" s="5"/>
      <c r="Q48" s="5">
        <f t="shared" si="6"/>
        <v>1</v>
      </c>
      <c r="R48" s="7">
        <f t="shared" si="7"/>
        <v>79763</v>
      </c>
      <c r="S48" s="5">
        <f t="shared" si="8"/>
        <v>1</v>
      </c>
      <c r="T48" s="7">
        <f t="shared" si="9"/>
        <v>79763</v>
      </c>
    </row>
    <row r="49" spans="1:20">
      <c r="A49" s="23" t="s">
        <v>53</v>
      </c>
      <c r="B49" s="35" t="s">
        <v>49</v>
      </c>
      <c r="C49" s="36">
        <v>64748</v>
      </c>
      <c r="D49" s="6"/>
      <c r="E49" s="113">
        <v>5361856950</v>
      </c>
      <c r="F49" s="116">
        <f t="shared" si="11"/>
        <v>82811.159418051524</v>
      </c>
      <c r="G49" s="117">
        <v>4126915921</v>
      </c>
      <c r="H49" s="117">
        <f t="shared" si="12"/>
        <v>63738.121965157225</v>
      </c>
      <c r="I49" s="7"/>
      <c r="J49" s="10">
        <v>6.5205000000000002</v>
      </c>
      <c r="K49" s="117">
        <v>26909555</v>
      </c>
      <c r="L49" s="120">
        <f t="shared" si="13"/>
        <v>415.60442021375178</v>
      </c>
      <c r="M49" s="122">
        <f t="shared" si="3"/>
        <v>41269159.210000001</v>
      </c>
      <c r="N49" s="116">
        <f t="shared" si="4"/>
        <v>14359604.210000001</v>
      </c>
      <c r="O49" s="123">
        <f t="shared" si="5"/>
        <v>221.7767994378205</v>
      </c>
      <c r="P49" s="5"/>
      <c r="Q49" s="5">
        <f t="shared" si="6"/>
        <v>1</v>
      </c>
      <c r="R49" s="7">
        <f t="shared" si="7"/>
        <v>64748</v>
      </c>
      <c r="S49" s="5">
        <f t="shared" si="8"/>
        <v>1</v>
      </c>
      <c r="T49" s="7">
        <f t="shared" si="9"/>
        <v>64748</v>
      </c>
    </row>
    <row r="50" spans="1:20">
      <c r="A50" s="23" t="s">
        <v>54</v>
      </c>
      <c r="B50" s="35" t="s">
        <v>49</v>
      </c>
      <c r="C50" s="36">
        <v>169168</v>
      </c>
      <c r="D50" s="6"/>
      <c r="E50" s="113">
        <v>24566994298</v>
      </c>
      <c r="F50" s="116">
        <f t="shared" si="11"/>
        <v>145222.46700321574</v>
      </c>
      <c r="G50" s="117">
        <v>18214344901</v>
      </c>
      <c r="H50" s="117">
        <f t="shared" si="12"/>
        <v>107670.15570911756</v>
      </c>
      <c r="I50" s="7"/>
      <c r="J50" s="10">
        <v>4.8288000000000002</v>
      </c>
      <c r="K50" s="117">
        <v>87953428</v>
      </c>
      <c r="L50" s="120">
        <f t="shared" si="13"/>
        <v>519.91764399886506</v>
      </c>
      <c r="M50" s="122">
        <f t="shared" si="3"/>
        <v>182143449.00999999</v>
      </c>
      <c r="N50" s="116">
        <f t="shared" si="4"/>
        <v>94190021.00999999</v>
      </c>
      <c r="O50" s="123">
        <f t="shared" si="5"/>
        <v>556.78391309231051</v>
      </c>
      <c r="P50" s="5"/>
      <c r="Q50" s="5">
        <f t="shared" si="6"/>
        <v>1</v>
      </c>
      <c r="R50" s="7">
        <f t="shared" si="7"/>
        <v>169168</v>
      </c>
      <c r="S50" s="5">
        <f t="shared" si="8"/>
        <v>1</v>
      </c>
      <c r="T50" s="7">
        <f t="shared" si="9"/>
        <v>169168</v>
      </c>
    </row>
    <row r="51" spans="1:20">
      <c r="A51" s="23" t="s">
        <v>465</v>
      </c>
      <c r="B51" s="35" t="s">
        <v>49</v>
      </c>
      <c r="C51" s="36">
        <v>34908</v>
      </c>
      <c r="D51" s="6"/>
      <c r="E51" s="113">
        <v>2993073879</v>
      </c>
      <c r="F51" s="116">
        <f t="shared" si="11"/>
        <v>85741.774922653829</v>
      </c>
      <c r="G51" s="117">
        <v>2298066786</v>
      </c>
      <c r="H51" s="117">
        <f t="shared" si="12"/>
        <v>65832.095393606054</v>
      </c>
      <c r="I51" s="7"/>
      <c r="J51" s="10">
        <v>6.7480000000000002</v>
      </c>
      <c r="K51" s="117">
        <v>15507354</v>
      </c>
      <c r="L51" s="120">
        <f t="shared" si="13"/>
        <v>444.23496046751461</v>
      </c>
      <c r="M51" s="122">
        <f t="shared" si="3"/>
        <v>22980667.859999999</v>
      </c>
      <c r="N51" s="116">
        <f t="shared" si="4"/>
        <v>7473313.8599999994</v>
      </c>
      <c r="O51" s="123">
        <f t="shared" si="5"/>
        <v>214.08599346854587</v>
      </c>
      <c r="P51" s="5"/>
      <c r="Q51" s="5">
        <f t="shared" si="6"/>
        <v>1</v>
      </c>
      <c r="R51" s="7">
        <f t="shared" si="7"/>
        <v>34908</v>
      </c>
      <c r="S51" s="5">
        <f t="shared" si="8"/>
        <v>1</v>
      </c>
      <c r="T51" s="7">
        <f t="shared" si="9"/>
        <v>34908</v>
      </c>
    </row>
    <row r="52" spans="1:20">
      <c r="A52" s="23" t="s">
        <v>55</v>
      </c>
      <c r="B52" s="35" t="s">
        <v>49</v>
      </c>
      <c r="C52" s="36">
        <v>2217</v>
      </c>
      <c r="D52" s="6"/>
      <c r="E52" s="113">
        <v>853736309</v>
      </c>
      <c r="F52" s="116">
        <f t="shared" si="11"/>
        <v>385086.29183581419</v>
      </c>
      <c r="G52" s="117">
        <v>740894829</v>
      </c>
      <c r="H52" s="117">
        <f t="shared" si="12"/>
        <v>334188.0148849797</v>
      </c>
      <c r="I52" s="7"/>
      <c r="J52" s="10">
        <v>3.5649999999999999</v>
      </c>
      <c r="K52" s="117">
        <v>2641290</v>
      </c>
      <c r="L52" s="120">
        <f t="shared" si="13"/>
        <v>1191.3802435723951</v>
      </c>
      <c r="M52" s="122">
        <f t="shared" si="3"/>
        <v>7408948.29</v>
      </c>
      <c r="N52" s="116">
        <f t="shared" si="4"/>
        <v>4767658.29</v>
      </c>
      <c r="O52" s="123">
        <f t="shared" si="5"/>
        <v>2150.4999052774019</v>
      </c>
      <c r="P52" s="5"/>
      <c r="Q52" s="5">
        <f t="shared" si="6"/>
        <v>1</v>
      </c>
      <c r="R52" s="7">
        <f t="shared" si="7"/>
        <v>2217</v>
      </c>
      <c r="S52" s="5">
        <f t="shared" si="8"/>
        <v>1</v>
      </c>
      <c r="T52" s="7">
        <f t="shared" si="9"/>
        <v>2217</v>
      </c>
    </row>
    <row r="53" spans="1:20">
      <c r="A53" s="23" t="s">
        <v>56</v>
      </c>
      <c r="B53" s="35" t="s">
        <v>49</v>
      </c>
      <c r="C53" s="36">
        <v>142591</v>
      </c>
      <c r="D53" s="6"/>
      <c r="E53" s="113">
        <v>11478061366</v>
      </c>
      <c r="F53" s="116">
        <f t="shared" si="11"/>
        <v>80496.394344664106</v>
      </c>
      <c r="G53" s="117">
        <v>8236634652</v>
      </c>
      <c r="H53" s="117">
        <f t="shared" si="12"/>
        <v>57764.057002195092</v>
      </c>
      <c r="I53" s="7"/>
      <c r="J53" s="10">
        <v>6.9160000000000004</v>
      </c>
      <c r="K53" s="117">
        <v>56964565</v>
      </c>
      <c r="L53" s="120">
        <f t="shared" si="13"/>
        <v>399.4962164512487</v>
      </c>
      <c r="M53" s="122">
        <f t="shared" si="3"/>
        <v>82366346.519999996</v>
      </c>
      <c r="N53" s="116">
        <f t="shared" si="4"/>
        <v>25401781.519999996</v>
      </c>
      <c r="O53" s="123">
        <f t="shared" si="5"/>
        <v>178.14435357070218</v>
      </c>
      <c r="P53" s="5"/>
      <c r="Q53" s="5">
        <f t="shared" si="6"/>
        <v>1</v>
      </c>
      <c r="R53" s="7">
        <f t="shared" si="7"/>
        <v>142591</v>
      </c>
      <c r="S53" s="5">
        <f t="shared" si="8"/>
        <v>1</v>
      </c>
      <c r="T53" s="7">
        <f t="shared" si="9"/>
        <v>142591</v>
      </c>
    </row>
    <row r="54" spans="1:20">
      <c r="A54" s="23" t="s">
        <v>57</v>
      </c>
      <c r="B54" s="35" t="s">
        <v>49</v>
      </c>
      <c r="C54" s="36">
        <v>31601</v>
      </c>
      <c r="D54" s="6"/>
      <c r="E54" s="113">
        <v>1174718590</v>
      </c>
      <c r="F54" s="116">
        <f t="shared" si="11"/>
        <v>37173.462548653522</v>
      </c>
      <c r="G54" s="117">
        <v>799885353</v>
      </c>
      <c r="H54" s="117">
        <f t="shared" si="12"/>
        <v>25312.026613081864</v>
      </c>
      <c r="I54" s="7"/>
      <c r="J54" s="10">
        <v>6.5236999999999998</v>
      </c>
      <c r="K54" s="117">
        <v>5218212</v>
      </c>
      <c r="L54" s="120">
        <f t="shared" si="13"/>
        <v>165.12806556754532</v>
      </c>
      <c r="M54" s="122">
        <f t="shared" si="3"/>
        <v>7998853.5300000003</v>
      </c>
      <c r="N54" s="116">
        <f t="shared" si="4"/>
        <v>2780641.5300000003</v>
      </c>
      <c r="O54" s="123">
        <f t="shared" si="5"/>
        <v>87.992200563273329</v>
      </c>
      <c r="P54" s="5"/>
      <c r="Q54" s="5">
        <f t="shared" si="6"/>
        <v>1</v>
      </c>
      <c r="R54" s="7">
        <f t="shared" si="7"/>
        <v>31601</v>
      </c>
      <c r="S54" s="5">
        <f t="shared" si="8"/>
        <v>1</v>
      </c>
      <c r="T54" s="7">
        <f t="shared" si="9"/>
        <v>31601</v>
      </c>
    </row>
    <row r="55" spans="1:20">
      <c r="A55" s="24" t="s">
        <v>560</v>
      </c>
      <c r="B55" s="35" t="s">
        <v>49</v>
      </c>
      <c r="C55" s="36">
        <v>6243</v>
      </c>
      <c r="D55" s="6"/>
      <c r="E55" s="113">
        <v>1521227257</v>
      </c>
      <c r="F55" s="116">
        <f t="shared" si="11"/>
        <v>243669.27070318756</v>
      </c>
      <c r="G55" s="117">
        <v>1269988653</v>
      </c>
      <c r="H55" s="117">
        <f t="shared" si="12"/>
        <v>203426.02162421914</v>
      </c>
      <c r="I55" s="7"/>
      <c r="J55" s="10">
        <v>4.7</v>
      </c>
      <c r="K55" s="117">
        <v>5968946</v>
      </c>
      <c r="L55" s="120">
        <f t="shared" si="13"/>
        <v>956.10219445779273</v>
      </c>
      <c r="M55" s="122">
        <f t="shared" si="3"/>
        <v>12699886.530000001</v>
      </c>
      <c r="N55" s="116">
        <f t="shared" si="4"/>
        <v>6730940.5300000012</v>
      </c>
      <c r="O55" s="123">
        <f t="shared" si="5"/>
        <v>1078.1580217843987</v>
      </c>
      <c r="P55" s="5"/>
      <c r="Q55" s="5">
        <f t="shared" si="6"/>
        <v>1</v>
      </c>
      <c r="R55" s="7">
        <f t="shared" si="7"/>
        <v>6243</v>
      </c>
      <c r="S55" s="5">
        <f t="shared" si="8"/>
        <v>1</v>
      </c>
      <c r="T55" s="7">
        <f t="shared" si="9"/>
        <v>6243</v>
      </c>
    </row>
    <row r="56" spans="1:20">
      <c r="A56" s="23" t="s">
        <v>58</v>
      </c>
      <c r="B56" s="35" t="s">
        <v>49</v>
      </c>
      <c r="C56" s="36">
        <v>57839</v>
      </c>
      <c r="D56" s="6"/>
      <c r="E56" s="113">
        <v>2306790350</v>
      </c>
      <c r="F56" s="116">
        <f t="shared" si="11"/>
        <v>39882.957001331284</v>
      </c>
      <c r="G56" s="117">
        <v>1649209813</v>
      </c>
      <c r="H56" s="117">
        <f t="shared" si="12"/>
        <v>28513.802330607377</v>
      </c>
      <c r="I56" s="7"/>
      <c r="J56" s="10">
        <v>5.82</v>
      </c>
      <c r="K56" s="117">
        <v>9598401</v>
      </c>
      <c r="L56" s="120">
        <f t="shared" si="13"/>
        <v>165.95032763360362</v>
      </c>
      <c r="M56" s="122">
        <f t="shared" si="3"/>
        <v>16492098.130000001</v>
      </c>
      <c r="N56" s="116">
        <f t="shared" si="4"/>
        <v>6893697.1300000008</v>
      </c>
      <c r="O56" s="123">
        <f t="shared" si="5"/>
        <v>119.18769567247014</v>
      </c>
      <c r="P56" s="5"/>
      <c r="Q56" s="5">
        <f t="shared" si="6"/>
        <v>1</v>
      </c>
      <c r="R56" s="7">
        <f t="shared" si="7"/>
        <v>57839</v>
      </c>
      <c r="S56" s="5">
        <f t="shared" si="8"/>
        <v>1</v>
      </c>
      <c r="T56" s="7">
        <f t="shared" si="9"/>
        <v>57839</v>
      </c>
    </row>
    <row r="57" spans="1:20">
      <c r="A57" s="23" t="s">
        <v>59</v>
      </c>
      <c r="B57" s="35" t="s">
        <v>49</v>
      </c>
      <c r="C57" s="36">
        <v>38</v>
      </c>
      <c r="D57" s="6"/>
      <c r="E57" s="113">
        <v>4573993</v>
      </c>
      <c r="F57" s="116">
        <f t="shared" si="11"/>
        <v>120368.23684210527</v>
      </c>
      <c r="G57" s="117">
        <v>3421113</v>
      </c>
      <c r="H57" s="117">
        <f t="shared" si="12"/>
        <v>90029.289473684214</v>
      </c>
      <c r="I57" s="7"/>
      <c r="J57" s="10">
        <v>5.44</v>
      </c>
      <c r="K57" s="117">
        <v>18610</v>
      </c>
      <c r="L57" s="120">
        <f t="shared" si="13"/>
        <v>489.73684210526318</v>
      </c>
      <c r="M57" s="122">
        <f t="shared" si="3"/>
        <v>34211.129999999997</v>
      </c>
      <c r="N57" s="116">
        <f t="shared" si="4"/>
        <v>15601.129999999997</v>
      </c>
      <c r="O57" s="123">
        <f t="shared" si="5"/>
        <v>410.55605263157889</v>
      </c>
      <c r="P57" s="5"/>
      <c r="Q57" s="5">
        <f t="shared" si="6"/>
        <v>1</v>
      </c>
      <c r="R57" s="7">
        <f t="shared" si="7"/>
        <v>38</v>
      </c>
      <c r="S57" s="5">
        <f t="shared" si="8"/>
        <v>1</v>
      </c>
      <c r="T57" s="7">
        <f t="shared" si="9"/>
        <v>38</v>
      </c>
    </row>
    <row r="58" spans="1:20">
      <c r="A58" s="23" t="s">
        <v>60</v>
      </c>
      <c r="B58" s="35" t="s">
        <v>49</v>
      </c>
      <c r="C58" s="36">
        <v>10836</v>
      </c>
      <c r="D58" s="6"/>
      <c r="E58" s="113">
        <v>1887802155</v>
      </c>
      <c r="F58" s="116">
        <f t="shared" si="11"/>
        <v>174215.7765780731</v>
      </c>
      <c r="G58" s="117">
        <v>1383145848</v>
      </c>
      <c r="H58" s="117">
        <f t="shared" si="12"/>
        <v>127643.58139534884</v>
      </c>
      <c r="I58" s="7"/>
      <c r="J58" s="10">
        <v>3.6107</v>
      </c>
      <c r="K58" s="117">
        <v>4994124</v>
      </c>
      <c r="L58" s="120">
        <f t="shared" si="13"/>
        <v>460.88261351052051</v>
      </c>
      <c r="M58" s="122">
        <f t="shared" si="3"/>
        <v>13831458.48</v>
      </c>
      <c r="N58" s="116">
        <f t="shared" si="4"/>
        <v>8837334.4800000004</v>
      </c>
      <c r="O58" s="123">
        <f t="shared" si="5"/>
        <v>815.55320044296798</v>
      </c>
      <c r="P58" s="5"/>
      <c r="Q58" s="5">
        <f t="shared" si="6"/>
        <v>1</v>
      </c>
      <c r="R58" s="7">
        <f t="shared" si="7"/>
        <v>10836</v>
      </c>
      <c r="S58" s="5">
        <f t="shared" si="8"/>
        <v>1</v>
      </c>
      <c r="T58" s="7">
        <f t="shared" si="9"/>
        <v>10836</v>
      </c>
    </row>
    <row r="59" spans="1:20">
      <c r="A59" s="23" t="s">
        <v>61</v>
      </c>
      <c r="B59" s="35" t="s">
        <v>49</v>
      </c>
      <c r="C59" s="36">
        <v>54070</v>
      </c>
      <c r="D59" s="6"/>
      <c r="E59" s="113">
        <v>2821159258</v>
      </c>
      <c r="F59" s="116">
        <f t="shared" si="11"/>
        <v>52176.054336970592</v>
      </c>
      <c r="G59" s="117">
        <v>1932452029</v>
      </c>
      <c r="H59" s="117">
        <f t="shared" si="12"/>
        <v>35739.819289809508</v>
      </c>
      <c r="I59" s="7"/>
      <c r="J59" s="10">
        <v>6.7850000000000001</v>
      </c>
      <c r="K59" s="117">
        <v>13111687</v>
      </c>
      <c r="L59" s="120">
        <f t="shared" si="13"/>
        <v>242.49467357129646</v>
      </c>
      <c r="M59" s="122">
        <f t="shared" si="3"/>
        <v>19324520.289999999</v>
      </c>
      <c r="N59" s="116">
        <f t="shared" si="4"/>
        <v>6212833.2899999991</v>
      </c>
      <c r="O59" s="123">
        <f t="shared" si="5"/>
        <v>114.90351932679857</v>
      </c>
      <c r="P59" s="5"/>
      <c r="Q59" s="5">
        <f t="shared" si="6"/>
        <v>1</v>
      </c>
      <c r="R59" s="7">
        <f t="shared" si="7"/>
        <v>54070</v>
      </c>
      <c r="S59" s="5">
        <f t="shared" si="8"/>
        <v>1</v>
      </c>
      <c r="T59" s="7">
        <f t="shared" si="9"/>
        <v>54070</v>
      </c>
    </row>
    <row r="60" spans="1:20">
      <c r="A60" s="23" t="s">
        <v>62</v>
      </c>
      <c r="B60" s="35" t="s">
        <v>49</v>
      </c>
      <c r="C60" s="36">
        <v>95921</v>
      </c>
      <c r="D60" s="6"/>
      <c r="E60" s="113">
        <v>6096349545</v>
      </c>
      <c r="F60" s="116">
        <f t="shared" si="11"/>
        <v>63555.942337965615</v>
      </c>
      <c r="G60" s="117">
        <v>4698958257</v>
      </c>
      <c r="H60" s="117">
        <f t="shared" si="12"/>
        <v>48987.794716485441</v>
      </c>
      <c r="I60" s="7"/>
      <c r="J60" s="10">
        <v>6.87</v>
      </c>
      <c r="K60" s="117">
        <v>32281843</v>
      </c>
      <c r="L60" s="120">
        <f t="shared" si="13"/>
        <v>336.54614735042378</v>
      </c>
      <c r="M60" s="122">
        <f t="shared" si="3"/>
        <v>46989582.57</v>
      </c>
      <c r="N60" s="116">
        <f t="shared" si="4"/>
        <v>14707739.57</v>
      </c>
      <c r="O60" s="123">
        <f t="shared" si="5"/>
        <v>153.33179981443064</v>
      </c>
      <c r="P60" s="5"/>
      <c r="Q60" s="5">
        <f t="shared" si="6"/>
        <v>1</v>
      </c>
      <c r="R60" s="7">
        <f t="shared" si="7"/>
        <v>95921</v>
      </c>
      <c r="S60" s="5">
        <f t="shared" si="8"/>
        <v>1</v>
      </c>
      <c r="T60" s="7">
        <f t="shared" si="9"/>
        <v>95921</v>
      </c>
    </row>
    <row r="61" spans="1:20">
      <c r="A61" s="23" t="s">
        <v>63</v>
      </c>
      <c r="B61" s="35" t="s">
        <v>49</v>
      </c>
      <c r="C61" s="36">
        <v>33449</v>
      </c>
      <c r="D61" s="6"/>
      <c r="E61" s="113">
        <v>1379845377</v>
      </c>
      <c r="F61" s="116">
        <f t="shared" si="11"/>
        <v>41252.216120063378</v>
      </c>
      <c r="G61" s="117">
        <v>937376167</v>
      </c>
      <c r="H61" s="117">
        <f t="shared" si="12"/>
        <v>28024.041585697629</v>
      </c>
      <c r="I61" s="7"/>
      <c r="J61" s="10">
        <v>5.6791999999999998</v>
      </c>
      <c r="K61" s="117">
        <v>5323546</v>
      </c>
      <c r="L61" s="120">
        <f t="shared" si="13"/>
        <v>159.15411522018596</v>
      </c>
      <c r="M61" s="122">
        <f t="shared" si="3"/>
        <v>9373761.6699999999</v>
      </c>
      <c r="N61" s="116">
        <f t="shared" si="4"/>
        <v>4050215.67</v>
      </c>
      <c r="O61" s="123">
        <f t="shared" si="5"/>
        <v>121.08630063679034</v>
      </c>
      <c r="P61" s="5"/>
      <c r="Q61" s="5">
        <f t="shared" si="6"/>
        <v>1</v>
      </c>
      <c r="R61" s="7">
        <f t="shared" si="7"/>
        <v>33449</v>
      </c>
      <c r="S61" s="5">
        <f t="shared" si="8"/>
        <v>1</v>
      </c>
      <c r="T61" s="7">
        <f t="shared" si="9"/>
        <v>33449</v>
      </c>
    </row>
    <row r="62" spans="1:20">
      <c r="A62" s="23" t="s">
        <v>64</v>
      </c>
      <c r="B62" s="35" t="s">
        <v>49</v>
      </c>
      <c r="C62" s="36">
        <v>31738</v>
      </c>
      <c r="D62" s="6"/>
      <c r="E62" s="113">
        <v>2378939170</v>
      </c>
      <c r="F62" s="116">
        <f t="shared" si="11"/>
        <v>74955.547608544963</v>
      </c>
      <c r="G62" s="117">
        <v>1754463995</v>
      </c>
      <c r="H62" s="117">
        <f t="shared" si="12"/>
        <v>55279.601581700168</v>
      </c>
      <c r="I62" s="7"/>
      <c r="J62" s="10">
        <v>5.9714999999999998</v>
      </c>
      <c r="K62" s="117">
        <v>10476781</v>
      </c>
      <c r="L62" s="120">
        <f t="shared" si="13"/>
        <v>330.10211733568593</v>
      </c>
      <c r="M62" s="122">
        <f t="shared" si="3"/>
        <v>17544639.949999999</v>
      </c>
      <c r="N62" s="116">
        <f t="shared" si="4"/>
        <v>7067858.9499999993</v>
      </c>
      <c r="O62" s="123">
        <f t="shared" si="5"/>
        <v>222.69389848131576</v>
      </c>
      <c r="P62" s="5"/>
      <c r="Q62" s="5">
        <f t="shared" si="6"/>
        <v>1</v>
      </c>
      <c r="R62" s="7">
        <f t="shared" si="7"/>
        <v>31738</v>
      </c>
      <c r="S62" s="5">
        <f t="shared" si="8"/>
        <v>1</v>
      </c>
      <c r="T62" s="7">
        <f t="shared" si="9"/>
        <v>31738</v>
      </c>
    </row>
    <row r="63" spans="1:20">
      <c r="A63" s="23" t="s">
        <v>65</v>
      </c>
      <c r="B63" s="35" t="s">
        <v>49</v>
      </c>
      <c r="C63" s="36">
        <v>18312</v>
      </c>
      <c r="D63" s="6"/>
      <c r="E63" s="113">
        <v>2431483280</v>
      </c>
      <c r="F63" s="116">
        <f t="shared" si="11"/>
        <v>132780.86937527303</v>
      </c>
      <c r="G63" s="117">
        <v>1878065990</v>
      </c>
      <c r="H63" s="117">
        <f t="shared" si="12"/>
        <v>102559.30482743557</v>
      </c>
      <c r="I63" s="7"/>
      <c r="J63" s="10">
        <v>4.0999999999999996</v>
      </c>
      <c r="K63" s="117">
        <v>7700070</v>
      </c>
      <c r="L63" s="120">
        <f t="shared" si="13"/>
        <v>420.49311926605503</v>
      </c>
      <c r="M63" s="122">
        <f t="shared" si="3"/>
        <v>18780659.900000002</v>
      </c>
      <c r="N63" s="116">
        <f t="shared" si="4"/>
        <v>11080589.900000002</v>
      </c>
      <c r="O63" s="123">
        <f t="shared" si="5"/>
        <v>605.09992900830071</v>
      </c>
      <c r="P63" s="5"/>
      <c r="Q63" s="5">
        <f t="shared" si="6"/>
        <v>1</v>
      </c>
      <c r="R63" s="7">
        <f t="shared" si="7"/>
        <v>18312</v>
      </c>
      <c r="S63" s="5">
        <f t="shared" si="8"/>
        <v>1</v>
      </c>
      <c r="T63" s="7">
        <f t="shared" si="9"/>
        <v>18312</v>
      </c>
    </row>
    <row r="64" spans="1:20">
      <c r="A64" s="23" t="s">
        <v>66</v>
      </c>
      <c r="B64" s="35" t="s">
        <v>49</v>
      </c>
      <c r="C64" s="36">
        <v>6566</v>
      </c>
      <c r="D64" s="6"/>
      <c r="E64" s="113">
        <v>392432869</v>
      </c>
      <c r="F64" s="116">
        <f t="shared" si="11"/>
        <v>59767.418367346938</v>
      </c>
      <c r="G64" s="117">
        <v>360581860</v>
      </c>
      <c r="H64" s="117">
        <f t="shared" si="12"/>
        <v>54916.518428266827</v>
      </c>
      <c r="I64" s="7"/>
      <c r="J64" s="10">
        <v>8.5</v>
      </c>
      <c r="K64" s="117">
        <v>3064945</v>
      </c>
      <c r="L64" s="120">
        <f t="shared" si="13"/>
        <v>466.79028327749012</v>
      </c>
      <c r="M64" s="122">
        <f t="shared" si="3"/>
        <v>3605818.6</v>
      </c>
      <c r="N64" s="116">
        <f t="shared" si="4"/>
        <v>540873.60000000009</v>
      </c>
      <c r="O64" s="123">
        <f t="shared" si="5"/>
        <v>82.374901005178202</v>
      </c>
      <c r="P64" s="5"/>
      <c r="Q64" s="5">
        <f t="shared" si="6"/>
        <v>1</v>
      </c>
      <c r="R64" s="7">
        <f t="shared" si="7"/>
        <v>6566</v>
      </c>
      <c r="S64" s="5">
        <f t="shared" si="8"/>
        <v>1</v>
      </c>
      <c r="T64" s="7">
        <f t="shared" si="9"/>
        <v>6566</v>
      </c>
    </row>
    <row r="65" spans="1:20">
      <c r="A65" s="23" t="s">
        <v>67</v>
      </c>
      <c r="B65" s="35" t="s">
        <v>49</v>
      </c>
      <c r="C65" s="36">
        <v>148280</v>
      </c>
      <c r="D65" s="6"/>
      <c r="E65" s="113">
        <v>10220280583</v>
      </c>
      <c r="F65" s="116">
        <f t="shared" si="11"/>
        <v>68925.550195575939</v>
      </c>
      <c r="G65" s="117">
        <v>7342455136</v>
      </c>
      <c r="H65" s="117">
        <f t="shared" si="12"/>
        <v>49517.501591583488</v>
      </c>
      <c r="I65" s="7"/>
      <c r="J65" s="10">
        <v>4.5990000000000002</v>
      </c>
      <c r="K65" s="117">
        <v>33767951</v>
      </c>
      <c r="L65" s="120">
        <f t="shared" si="13"/>
        <v>227.73098867008363</v>
      </c>
      <c r="M65" s="122">
        <f t="shared" si="3"/>
        <v>73424551.359999999</v>
      </c>
      <c r="N65" s="116">
        <f t="shared" si="4"/>
        <v>39656600.359999999</v>
      </c>
      <c r="O65" s="123">
        <f t="shared" si="5"/>
        <v>267.44402724575127</v>
      </c>
      <c r="P65" s="5"/>
      <c r="Q65" s="5">
        <f t="shared" si="6"/>
        <v>1</v>
      </c>
      <c r="R65" s="7">
        <f t="shared" si="7"/>
        <v>148280</v>
      </c>
      <c r="S65" s="5">
        <f t="shared" si="8"/>
        <v>1</v>
      </c>
      <c r="T65" s="7">
        <f t="shared" si="9"/>
        <v>148280</v>
      </c>
    </row>
    <row r="66" spans="1:20">
      <c r="A66" s="23" t="s">
        <v>68</v>
      </c>
      <c r="B66" s="35" t="s">
        <v>49</v>
      </c>
      <c r="C66" s="36">
        <v>83968</v>
      </c>
      <c r="D66" s="6"/>
      <c r="E66" s="113">
        <v>7730041059</v>
      </c>
      <c r="F66" s="116">
        <f t="shared" si="11"/>
        <v>92059.368557069363</v>
      </c>
      <c r="G66" s="117">
        <v>5756021474</v>
      </c>
      <c r="H66" s="117">
        <f t="shared" si="12"/>
        <v>68550.179520769816</v>
      </c>
      <c r="I66" s="7"/>
      <c r="J66" s="10">
        <v>4.25</v>
      </c>
      <c r="K66" s="117">
        <v>24463091</v>
      </c>
      <c r="L66" s="120">
        <f t="shared" si="13"/>
        <v>291.3382598132622</v>
      </c>
      <c r="M66" s="122">
        <f t="shared" si="3"/>
        <v>57560214.740000002</v>
      </c>
      <c r="N66" s="116">
        <f t="shared" si="4"/>
        <v>33097123.740000002</v>
      </c>
      <c r="O66" s="123">
        <f t="shared" si="5"/>
        <v>394.163535394436</v>
      </c>
      <c r="P66" s="5"/>
      <c r="Q66" s="5">
        <f t="shared" si="6"/>
        <v>1</v>
      </c>
      <c r="R66" s="7">
        <f t="shared" si="7"/>
        <v>83968</v>
      </c>
      <c r="S66" s="5">
        <f t="shared" si="8"/>
        <v>1</v>
      </c>
      <c r="T66" s="7">
        <f t="shared" si="9"/>
        <v>83968</v>
      </c>
    </row>
    <row r="67" spans="1:20">
      <c r="A67" s="23" t="s">
        <v>69</v>
      </c>
      <c r="B67" s="35" t="s">
        <v>49</v>
      </c>
      <c r="C67" s="36">
        <v>86334</v>
      </c>
      <c r="D67" s="6"/>
      <c r="E67" s="113">
        <v>9308050090</v>
      </c>
      <c r="F67" s="116">
        <f t="shared" si="11"/>
        <v>107814.41946394237</v>
      </c>
      <c r="G67" s="117">
        <v>7135458635</v>
      </c>
      <c r="H67" s="117">
        <f t="shared" si="12"/>
        <v>82649.461799522789</v>
      </c>
      <c r="I67" s="7"/>
      <c r="J67" s="10">
        <v>4.0270999999999999</v>
      </c>
      <c r="K67" s="117">
        <v>28735205</v>
      </c>
      <c r="L67" s="120">
        <f t="shared" si="13"/>
        <v>332.83764218036924</v>
      </c>
      <c r="M67" s="122">
        <f t="shared" si="3"/>
        <v>71354586.349999994</v>
      </c>
      <c r="N67" s="116">
        <f t="shared" si="4"/>
        <v>42619381.349999994</v>
      </c>
      <c r="O67" s="123">
        <f t="shared" si="5"/>
        <v>493.65697581485853</v>
      </c>
      <c r="P67" s="5"/>
      <c r="Q67" s="5">
        <f t="shared" si="6"/>
        <v>1</v>
      </c>
      <c r="R67" s="7">
        <f t="shared" si="7"/>
        <v>86334</v>
      </c>
      <c r="S67" s="5">
        <f t="shared" si="8"/>
        <v>1</v>
      </c>
      <c r="T67" s="7">
        <f t="shared" si="9"/>
        <v>86334</v>
      </c>
    </row>
    <row r="68" spans="1:20">
      <c r="A68" s="23" t="s">
        <v>70</v>
      </c>
      <c r="B68" s="35" t="s">
        <v>49</v>
      </c>
      <c r="C68" s="36">
        <v>727</v>
      </c>
      <c r="D68" s="6"/>
      <c r="E68" s="113">
        <v>159779751</v>
      </c>
      <c r="F68" s="116">
        <f t="shared" si="11"/>
        <v>219779.57496561212</v>
      </c>
      <c r="G68" s="117">
        <v>122767941</v>
      </c>
      <c r="H68" s="117">
        <f t="shared" si="12"/>
        <v>168869.24484181567</v>
      </c>
      <c r="I68" s="7"/>
      <c r="J68" s="10">
        <v>6.5</v>
      </c>
      <c r="K68" s="117">
        <v>797991</v>
      </c>
      <c r="L68" s="120">
        <f t="shared" si="13"/>
        <v>1097.6492434662998</v>
      </c>
      <c r="M68" s="122">
        <f t="shared" si="3"/>
        <v>1227679.4099999999</v>
      </c>
      <c r="N68" s="116">
        <f t="shared" si="4"/>
        <v>429688.40999999992</v>
      </c>
      <c r="O68" s="123">
        <f t="shared" si="5"/>
        <v>591.04320495185686</v>
      </c>
      <c r="P68" s="5"/>
      <c r="Q68" s="5">
        <f t="shared" si="6"/>
        <v>1</v>
      </c>
      <c r="R68" s="7">
        <f t="shared" si="7"/>
        <v>727</v>
      </c>
      <c r="S68" s="5">
        <f t="shared" si="8"/>
        <v>1</v>
      </c>
      <c r="T68" s="7">
        <f t="shared" si="9"/>
        <v>727</v>
      </c>
    </row>
    <row r="69" spans="1:20">
      <c r="A69" s="23" t="s">
        <v>450</v>
      </c>
      <c r="B69" s="35" t="s">
        <v>49</v>
      </c>
      <c r="C69" s="36">
        <v>7415</v>
      </c>
      <c r="D69" s="6"/>
      <c r="E69" s="113">
        <v>4034294279</v>
      </c>
      <c r="F69" s="116">
        <f t="shared" si="11"/>
        <v>544072.05380984489</v>
      </c>
      <c r="G69" s="117">
        <v>3583797111</v>
      </c>
      <c r="H69" s="117">
        <f t="shared" si="12"/>
        <v>483317.20984490897</v>
      </c>
      <c r="I69" s="7"/>
      <c r="J69" s="10">
        <v>3</v>
      </c>
      <c r="K69" s="117">
        <v>10751391</v>
      </c>
      <c r="L69" s="120">
        <f t="shared" si="13"/>
        <v>1449.9515846257586</v>
      </c>
      <c r="M69" s="122">
        <f t="shared" si="3"/>
        <v>35837971.109999999</v>
      </c>
      <c r="N69" s="116">
        <f t="shared" si="4"/>
        <v>25086580.109999999</v>
      </c>
      <c r="O69" s="123">
        <f t="shared" si="5"/>
        <v>3383.2205138233312</v>
      </c>
      <c r="P69" s="5"/>
      <c r="Q69" s="5">
        <f t="shared" si="6"/>
        <v>1</v>
      </c>
      <c r="R69" s="7">
        <f t="shared" si="7"/>
        <v>7415</v>
      </c>
      <c r="S69" s="5">
        <f t="shared" si="8"/>
        <v>1</v>
      </c>
      <c r="T69" s="7">
        <f t="shared" si="9"/>
        <v>7415</v>
      </c>
    </row>
    <row r="70" spans="1:20">
      <c r="A70" s="23" t="s">
        <v>71</v>
      </c>
      <c r="B70" s="35" t="s">
        <v>49</v>
      </c>
      <c r="C70" s="36">
        <v>87489</v>
      </c>
      <c r="D70" s="6"/>
      <c r="E70" s="113">
        <v>5883448796</v>
      </c>
      <c r="F70" s="116">
        <f t="shared" ref="F70:F92" si="14">(E70/C70)</f>
        <v>67247.868829224244</v>
      </c>
      <c r="G70" s="117">
        <v>4303647434</v>
      </c>
      <c r="H70" s="117">
        <f t="shared" ref="H70:H92" si="15">(G70/C70)</f>
        <v>49190.726079850036</v>
      </c>
      <c r="I70" s="7"/>
      <c r="J70" s="10">
        <v>6.2370000000000001</v>
      </c>
      <c r="K70" s="117">
        <v>26841849</v>
      </c>
      <c r="L70" s="120">
        <f t="shared" si="13"/>
        <v>306.80255803586738</v>
      </c>
      <c r="M70" s="122">
        <f t="shared" ref="M70:M133" si="16">(G70*0.01)</f>
        <v>43036474.340000004</v>
      </c>
      <c r="N70" s="116">
        <f t="shared" ref="N70:N133" si="17">(M70-K70)</f>
        <v>16194625.340000004</v>
      </c>
      <c r="O70" s="123">
        <f t="shared" ref="O70:O133" si="18">(N70/C70)</f>
        <v>185.10470276263305</v>
      </c>
      <c r="P70" s="5"/>
      <c r="Q70" s="5">
        <f t="shared" si="6"/>
        <v>1</v>
      </c>
      <c r="R70" s="7">
        <f t="shared" si="7"/>
        <v>87489</v>
      </c>
      <c r="S70" s="5">
        <f t="shared" si="8"/>
        <v>1</v>
      </c>
      <c r="T70" s="7">
        <f t="shared" si="9"/>
        <v>87489</v>
      </c>
    </row>
    <row r="71" spans="1:20">
      <c r="A71" s="23" t="s">
        <v>72</v>
      </c>
      <c r="B71" s="35" t="s">
        <v>49</v>
      </c>
      <c r="C71" s="36">
        <v>56881</v>
      </c>
      <c r="D71" s="6"/>
      <c r="E71" s="113">
        <v>3612655045</v>
      </c>
      <c r="F71" s="116">
        <f t="shared" si="14"/>
        <v>63512.509361649762</v>
      </c>
      <c r="G71" s="117">
        <v>2456109655</v>
      </c>
      <c r="H71" s="117">
        <f t="shared" si="15"/>
        <v>43179.790351787065</v>
      </c>
      <c r="I71" s="7"/>
      <c r="J71" s="10">
        <v>5.9999000000000002</v>
      </c>
      <c r="K71" s="117">
        <v>14736412</v>
      </c>
      <c r="L71" s="120">
        <f t="shared" si="13"/>
        <v>259.0744185228811</v>
      </c>
      <c r="M71" s="122">
        <f t="shared" si="16"/>
        <v>24561096.550000001</v>
      </c>
      <c r="N71" s="116">
        <f t="shared" si="17"/>
        <v>9824684.5500000007</v>
      </c>
      <c r="O71" s="123">
        <f t="shared" si="18"/>
        <v>172.72348499498955</v>
      </c>
      <c r="P71" s="5"/>
      <c r="Q71" s="5">
        <f t="shared" ref="Q71:Q134" si="19">IF(E71&gt;0,1,0)</f>
        <v>1</v>
      </c>
      <c r="R71" s="7">
        <f t="shared" ref="R71:R134" si="20">IF(E71&gt;0,C71,0)</f>
        <v>56881</v>
      </c>
      <c r="S71" s="5">
        <f t="shared" ref="S71:S134" si="21">IF(J71&gt;0,1,0)</f>
        <v>1</v>
      </c>
      <c r="T71" s="7">
        <f t="shared" ref="T71:T134" si="22">IF(J71&gt;0,C71,0)</f>
        <v>56881</v>
      </c>
    </row>
    <row r="72" spans="1:20">
      <c r="A72" s="23" t="s">
        <v>73</v>
      </c>
      <c r="B72" s="35" t="s">
        <v>49</v>
      </c>
      <c r="C72" s="36">
        <v>59314</v>
      </c>
      <c r="D72" s="6"/>
      <c r="E72" s="113">
        <v>6612426784</v>
      </c>
      <c r="F72" s="116">
        <f t="shared" si="14"/>
        <v>111481.720740466</v>
      </c>
      <c r="G72" s="117">
        <v>5365673850</v>
      </c>
      <c r="H72" s="117">
        <f t="shared" si="15"/>
        <v>90462.181778332262</v>
      </c>
      <c r="I72" s="7"/>
      <c r="J72" s="10">
        <v>1.5235000000000001</v>
      </c>
      <c r="K72" s="117">
        <v>8174604</v>
      </c>
      <c r="L72" s="120">
        <f t="shared" si="13"/>
        <v>137.8191320767441</v>
      </c>
      <c r="M72" s="122">
        <f t="shared" si="16"/>
        <v>53656738.5</v>
      </c>
      <c r="N72" s="116">
        <f t="shared" si="17"/>
        <v>45482134.5</v>
      </c>
      <c r="O72" s="123">
        <f t="shared" si="18"/>
        <v>766.80268570657859</v>
      </c>
      <c r="P72" s="5"/>
      <c r="Q72" s="5">
        <f t="shared" si="19"/>
        <v>1</v>
      </c>
      <c r="R72" s="7">
        <f t="shared" si="20"/>
        <v>59314</v>
      </c>
      <c r="S72" s="5">
        <f t="shared" si="21"/>
        <v>1</v>
      </c>
      <c r="T72" s="7">
        <f t="shared" si="22"/>
        <v>59314</v>
      </c>
    </row>
    <row r="73" spans="1:20">
      <c r="A73" s="23" t="s">
        <v>74</v>
      </c>
      <c r="B73" s="35" t="s">
        <v>49</v>
      </c>
      <c r="C73" s="36">
        <v>12414</v>
      </c>
      <c r="D73" s="6"/>
      <c r="E73" s="113">
        <v>1005987823</v>
      </c>
      <c r="F73" s="116">
        <f t="shared" si="14"/>
        <v>81036.557354599645</v>
      </c>
      <c r="G73" s="117">
        <v>645177186</v>
      </c>
      <c r="H73" s="117">
        <f t="shared" si="15"/>
        <v>51971.740454325758</v>
      </c>
      <c r="I73" s="7"/>
      <c r="J73" s="10">
        <v>6.1005000000000003</v>
      </c>
      <c r="K73" s="117">
        <v>3935903</v>
      </c>
      <c r="L73" s="120">
        <f t="shared" si="13"/>
        <v>317.05356855163524</v>
      </c>
      <c r="M73" s="122">
        <f t="shared" si="16"/>
        <v>6451771.8600000003</v>
      </c>
      <c r="N73" s="116">
        <f t="shared" si="17"/>
        <v>2515868.8600000003</v>
      </c>
      <c r="O73" s="123">
        <f t="shared" si="18"/>
        <v>202.66383599162239</v>
      </c>
      <c r="P73" s="5"/>
      <c r="Q73" s="5">
        <f t="shared" si="19"/>
        <v>1</v>
      </c>
      <c r="R73" s="7">
        <f t="shared" si="20"/>
        <v>12414</v>
      </c>
      <c r="S73" s="5">
        <f t="shared" si="21"/>
        <v>1</v>
      </c>
      <c r="T73" s="7">
        <f t="shared" si="22"/>
        <v>12414</v>
      </c>
    </row>
    <row r="74" spans="1:20">
      <c r="A74" s="23" t="s">
        <v>75</v>
      </c>
      <c r="B74" s="35" t="s">
        <v>76</v>
      </c>
      <c r="C74" s="36">
        <v>555</v>
      </c>
      <c r="D74" s="6"/>
      <c r="E74" s="113">
        <v>10783594</v>
      </c>
      <c r="F74" s="116">
        <f t="shared" si="14"/>
        <v>19429.899099099101</v>
      </c>
      <c r="G74" s="117">
        <v>5208318</v>
      </c>
      <c r="H74" s="117">
        <f t="shared" si="15"/>
        <v>9384.356756756757</v>
      </c>
      <c r="I74" s="98" t="s">
        <v>528</v>
      </c>
      <c r="J74" s="10"/>
      <c r="K74" s="117"/>
      <c r="L74" s="120"/>
      <c r="M74" s="122">
        <f t="shared" si="16"/>
        <v>52083.18</v>
      </c>
      <c r="N74" s="116">
        <f t="shared" si="17"/>
        <v>52083.18</v>
      </c>
      <c r="O74" s="123">
        <f t="shared" si="18"/>
        <v>93.843567567567561</v>
      </c>
      <c r="P74" s="5"/>
      <c r="Q74" s="5">
        <f t="shared" si="19"/>
        <v>1</v>
      </c>
      <c r="R74" s="7">
        <f t="shared" si="20"/>
        <v>555</v>
      </c>
      <c r="S74" s="5">
        <f t="shared" si="21"/>
        <v>0</v>
      </c>
      <c r="T74" s="7">
        <f t="shared" si="22"/>
        <v>0</v>
      </c>
    </row>
    <row r="75" spans="1:20">
      <c r="A75" s="23" t="s">
        <v>77</v>
      </c>
      <c r="B75" s="35" t="s">
        <v>76</v>
      </c>
      <c r="C75" s="36">
        <v>2415</v>
      </c>
      <c r="D75" s="6"/>
      <c r="E75" s="113">
        <v>77276126</v>
      </c>
      <c r="F75" s="116">
        <f t="shared" si="14"/>
        <v>31998.395859213251</v>
      </c>
      <c r="G75" s="117">
        <v>47817855</v>
      </c>
      <c r="H75" s="117">
        <f t="shared" si="15"/>
        <v>19800.35403726708</v>
      </c>
      <c r="I75" s="7"/>
      <c r="J75" s="10">
        <v>1.5</v>
      </c>
      <c r="K75" s="117">
        <v>71726</v>
      </c>
      <c r="L75" s="120">
        <f t="shared" ref="L75:L81" si="23">(K75/C75)</f>
        <v>29.700207039337474</v>
      </c>
      <c r="M75" s="122">
        <f t="shared" si="16"/>
        <v>478178.55</v>
      </c>
      <c r="N75" s="116">
        <f t="shared" si="17"/>
        <v>406452.55</v>
      </c>
      <c r="O75" s="123">
        <f t="shared" si="18"/>
        <v>168.30333333333334</v>
      </c>
      <c r="P75" s="5"/>
      <c r="Q75" s="5">
        <f t="shared" si="19"/>
        <v>1</v>
      </c>
      <c r="R75" s="7">
        <f t="shared" si="20"/>
        <v>2415</v>
      </c>
      <c r="S75" s="5">
        <f t="shared" si="21"/>
        <v>1</v>
      </c>
      <c r="T75" s="7">
        <f t="shared" si="22"/>
        <v>2415</v>
      </c>
    </row>
    <row r="76" spans="1:20">
      <c r="A76" s="23" t="s">
        <v>78</v>
      </c>
      <c r="B76" s="35" t="s">
        <v>79</v>
      </c>
      <c r="C76" s="36">
        <v>16591</v>
      </c>
      <c r="D76" s="6"/>
      <c r="E76" s="113">
        <v>2685084090</v>
      </c>
      <c r="F76" s="116">
        <f t="shared" si="14"/>
        <v>161839.79808329817</v>
      </c>
      <c r="G76" s="117">
        <v>2080545356</v>
      </c>
      <c r="H76" s="117">
        <f t="shared" si="15"/>
        <v>125402.04665179917</v>
      </c>
      <c r="I76" s="7"/>
      <c r="J76" s="10">
        <v>2.4771999999999998</v>
      </c>
      <c r="K76" s="117">
        <v>5153926</v>
      </c>
      <c r="L76" s="120">
        <f t="shared" si="23"/>
        <v>310.64589235127477</v>
      </c>
      <c r="M76" s="122">
        <f t="shared" si="16"/>
        <v>20805453.559999999</v>
      </c>
      <c r="N76" s="116">
        <f t="shared" si="17"/>
        <v>15651527.559999999</v>
      </c>
      <c r="O76" s="123">
        <f t="shared" si="18"/>
        <v>943.3745741667168</v>
      </c>
      <c r="P76" s="5"/>
      <c r="Q76" s="5">
        <f t="shared" si="19"/>
        <v>1</v>
      </c>
      <c r="R76" s="7">
        <f t="shared" si="20"/>
        <v>16591</v>
      </c>
      <c r="S76" s="5">
        <f t="shared" si="21"/>
        <v>1</v>
      </c>
      <c r="T76" s="7">
        <f t="shared" si="22"/>
        <v>16591</v>
      </c>
    </row>
    <row r="77" spans="1:20">
      <c r="A77" s="23" t="s">
        <v>80</v>
      </c>
      <c r="B77" s="35" t="s">
        <v>81</v>
      </c>
      <c r="C77" s="36">
        <v>3656</v>
      </c>
      <c r="D77" s="6"/>
      <c r="E77" s="113">
        <v>397503128</v>
      </c>
      <c r="F77" s="116">
        <f t="shared" si="14"/>
        <v>108726.23851203501</v>
      </c>
      <c r="G77" s="117">
        <v>311694665</v>
      </c>
      <c r="H77" s="117">
        <f t="shared" si="15"/>
        <v>85255.652352297591</v>
      </c>
      <c r="I77" s="7"/>
      <c r="J77" s="10">
        <v>5.8</v>
      </c>
      <c r="K77" s="117">
        <v>1807829</v>
      </c>
      <c r="L77" s="120">
        <f t="shared" si="23"/>
        <v>494.48276805251641</v>
      </c>
      <c r="M77" s="122">
        <f t="shared" si="16"/>
        <v>3116946.65</v>
      </c>
      <c r="N77" s="116">
        <f t="shared" si="17"/>
        <v>1309117.6499999999</v>
      </c>
      <c r="O77" s="123">
        <f t="shared" si="18"/>
        <v>358.0737554704595</v>
      </c>
      <c r="P77" s="5"/>
      <c r="Q77" s="5">
        <f t="shared" si="19"/>
        <v>1</v>
      </c>
      <c r="R77" s="7">
        <f t="shared" si="20"/>
        <v>3656</v>
      </c>
      <c r="S77" s="5">
        <f t="shared" si="21"/>
        <v>1</v>
      </c>
      <c r="T77" s="7">
        <f t="shared" si="22"/>
        <v>3656</v>
      </c>
    </row>
    <row r="78" spans="1:20">
      <c r="A78" s="23" t="s">
        <v>82</v>
      </c>
      <c r="B78" s="35" t="s">
        <v>81</v>
      </c>
      <c r="C78" s="36">
        <v>7020</v>
      </c>
      <c r="D78" s="6"/>
      <c r="E78" s="113">
        <v>515668704</v>
      </c>
      <c r="F78" s="116">
        <f t="shared" si="14"/>
        <v>73457.080341880341</v>
      </c>
      <c r="G78" s="117">
        <v>294656377</v>
      </c>
      <c r="H78" s="117">
        <f t="shared" si="15"/>
        <v>41973.842877492876</v>
      </c>
      <c r="I78" s="7"/>
      <c r="J78" s="11">
        <v>5.5080999999999998</v>
      </c>
      <c r="K78" s="117">
        <v>1622996</v>
      </c>
      <c r="L78" s="120">
        <f t="shared" si="23"/>
        <v>231.19601139601139</v>
      </c>
      <c r="M78" s="122">
        <f t="shared" si="16"/>
        <v>2946563.77</v>
      </c>
      <c r="N78" s="116">
        <f t="shared" si="17"/>
        <v>1323567.77</v>
      </c>
      <c r="O78" s="123">
        <f t="shared" si="18"/>
        <v>188.54241737891738</v>
      </c>
      <c r="P78" s="5"/>
      <c r="Q78" s="5">
        <f t="shared" si="19"/>
        <v>1</v>
      </c>
      <c r="R78" s="7">
        <f t="shared" si="20"/>
        <v>7020</v>
      </c>
      <c r="S78" s="5">
        <f t="shared" si="21"/>
        <v>1</v>
      </c>
      <c r="T78" s="7">
        <f t="shared" si="22"/>
        <v>7020</v>
      </c>
    </row>
    <row r="79" spans="1:20">
      <c r="A79" s="23" t="s">
        <v>83</v>
      </c>
      <c r="B79" s="35" t="s">
        <v>84</v>
      </c>
      <c r="C79" s="36">
        <v>5700</v>
      </c>
      <c r="D79" s="6"/>
      <c r="E79" s="113">
        <v>312077129</v>
      </c>
      <c r="F79" s="116">
        <f t="shared" si="14"/>
        <v>54750.373508771932</v>
      </c>
      <c r="G79" s="117">
        <v>221694624</v>
      </c>
      <c r="H79" s="117">
        <f t="shared" si="15"/>
        <v>38893.793684210526</v>
      </c>
      <c r="I79" s="7"/>
      <c r="J79" s="10">
        <v>2.6110000000000002</v>
      </c>
      <c r="K79" s="117">
        <v>578844</v>
      </c>
      <c r="L79" s="120">
        <f t="shared" si="23"/>
        <v>101.55157894736843</v>
      </c>
      <c r="M79" s="122">
        <f t="shared" si="16"/>
        <v>2216946.2400000002</v>
      </c>
      <c r="N79" s="116">
        <f t="shared" si="17"/>
        <v>1638102.2400000002</v>
      </c>
      <c r="O79" s="123">
        <f t="shared" si="18"/>
        <v>287.38635789473688</v>
      </c>
      <c r="P79" s="5"/>
      <c r="Q79" s="5">
        <f t="shared" si="19"/>
        <v>1</v>
      </c>
      <c r="R79" s="7">
        <f t="shared" si="20"/>
        <v>5700</v>
      </c>
      <c r="S79" s="5">
        <f t="shared" si="21"/>
        <v>1</v>
      </c>
      <c r="T79" s="7">
        <f t="shared" si="22"/>
        <v>5700</v>
      </c>
    </row>
    <row r="80" spans="1:20">
      <c r="A80" s="23" t="s">
        <v>85</v>
      </c>
      <c r="B80" s="35" t="s">
        <v>84</v>
      </c>
      <c r="C80" s="36">
        <v>1360</v>
      </c>
      <c r="D80" s="6"/>
      <c r="E80" s="113">
        <v>67271804</v>
      </c>
      <c r="F80" s="116">
        <f t="shared" si="14"/>
        <v>49464.561764705883</v>
      </c>
      <c r="G80" s="117">
        <v>41640294</v>
      </c>
      <c r="H80" s="117">
        <f t="shared" si="15"/>
        <v>30617.863235294117</v>
      </c>
      <c r="I80" s="7"/>
      <c r="J80" s="10">
        <v>2</v>
      </c>
      <c r="K80" s="117">
        <v>83280</v>
      </c>
      <c r="L80" s="120">
        <f t="shared" si="23"/>
        <v>61.235294117647058</v>
      </c>
      <c r="M80" s="122">
        <f t="shared" si="16"/>
        <v>416402.94</v>
      </c>
      <c r="N80" s="116">
        <f t="shared" si="17"/>
        <v>333122.94</v>
      </c>
      <c r="O80" s="123">
        <f t="shared" si="18"/>
        <v>244.94333823529411</v>
      </c>
      <c r="P80" s="5"/>
      <c r="Q80" s="5">
        <f t="shared" si="19"/>
        <v>1</v>
      </c>
      <c r="R80" s="7">
        <f t="shared" si="20"/>
        <v>1360</v>
      </c>
      <c r="S80" s="5">
        <f t="shared" si="21"/>
        <v>1</v>
      </c>
      <c r="T80" s="7">
        <f t="shared" si="22"/>
        <v>1360</v>
      </c>
    </row>
    <row r="81" spans="1:20">
      <c r="A81" s="23" t="s">
        <v>86</v>
      </c>
      <c r="B81" s="35" t="s">
        <v>84</v>
      </c>
      <c r="C81" s="36">
        <v>9119</v>
      </c>
      <c r="D81" s="6"/>
      <c r="E81" s="113">
        <v>590068198</v>
      </c>
      <c r="F81" s="116">
        <f t="shared" si="14"/>
        <v>64707.555433709837</v>
      </c>
      <c r="G81" s="117">
        <v>395958020</v>
      </c>
      <c r="H81" s="117">
        <f t="shared" si="15"/>
        <v>43421.210659063494</v>
      </c>
      <c r="I81" s="7"/>
      <c r="J81" s="10">
        <v>5</v>
      </c>
      <c r="K81" s="117">
        <v>1979790</v>
      </c>
      <c r="L81" s="120">
        <f t="shared" si="23"/>
        <v>217.10604232920275</v>
      </c>
      <c r="M81" s="122">
        <f t="shared" si="16"/>
        <v>3959580.2</v>
      </c>
      <c r="N81" s="116">
        <f t="shared" si="17"/>
        <v>1979790.2000000002</v>
      </c>
      <c r="O81" s="123">
        <f t="shared" si="18"/>
        <v>217.10606426143221</v>
      </c>
      <c r="P81" s="5"/>
      <c r="Q81" s="5">
        <f t="shared" si="19"/>
        <v>1</v>
      </c>
      <c r="R81" s="7">
        <f t="shared" si="20"/>
        <v>9119</v>
      </c>
      <c r="S81" s="5">
        <f t="shared" si="21"/>
        <v>1</v>
      </c>
      <c r="T81" s="7">
        <f t="shared" si="22"/>
        <v>9119</v>
      </c>
    </row>
    <row r="82" spans="1:20">
      <c r="A82" s="23" t="s">
        <v>87</v>
      </c>
      <c r="B82" s="35" t="s">
        <v>84</v>
      </c>
      <c r="C82" s="36">
        <v>603</v>
      </c>
      <c r="D82" s="6"/>
      <c r="E82" s="113">
        <v>21899865</v>
      </c>
      <c r="F82" s="116">
        <f t="shared" si="14"/>
        <v>36318.18407960199</v>
      </c>
      <c r="G82" s="117">
        <v>6819924</v>
      </c>
      <c r="H82" s="117">
        <f t="shared" si="15"/>
        <v>11309.990049751244</v>
      </c>
      <c r="I82" s="98" t="s">
        <v>528</v>
      </c>
      <c r="J82" s="10"/>
      <c r="K82" s="117"/>
      <c r="L82" s="120"/>
      <c r="M82" s="122">
        <f t="shared" si="16"/>
        <v>68199.240000000005</v>
      </c>
      <c r="N82" s="116">
        <f t="shared" si="17"/>
        <v>68199.240000000005</v>
      </c>
      <c r="O82" s="123">
        <f t="shared" si="18"/>
        <v>113.09990049751245</v>
      </c>
      <c r="P82" s="5"/>
      <c r="Q82" s="5">
        <f t="shared" si="19"/>
        <v>1</v>
      </c>
      <c r="R82" s="7">
        <f t="shared" si="20"/>
        <v>603</v>
      </c>
      <c r="S82" s="5">
        <f t="shared" si="21"/>
        <v>0</v>
      </c>
      <c r="T82" s="7">
        <f t="shared" si="22"/>
        <v>0</v>
      </c>
    </row>
    <row r="83" spans="1:20">
      <c r="A83" s="23" t="s">
        <v>88</v>
      </c>
      <c r="B83" s="35" t="s">
        <v>89</v>
      </c>
      <c r="C83" s="36">
        <v>522</v>
      </c>
      <c r="D83" s="6"/>
      <c r="E83" s="113">
        <v>78297997</v>
      </c>
      <c r="F83" s="116">
        <f t="shared" si="14"/>
        <v>149996.16283524904</v>
      </c>
      <c r="G83" s="117">
        <v>58137352</v>
      </c>
      <c r="H83" s="117">
        <f t="shared" si="15"/>
        <v>111374.23754789271</v>
      </c>
      <c r="I83" s="7"/>
      <c r="J83" s="10">
        <v>3.1705000000000001</v>
      </c>
      <c r="K83" s="117">
        <v>184324</v>
      </c>
      <c r="L83" s="120">
        <f>(K83/C83)</f>
        <v>353.11111111111109</v>
      </c>
      <c r="M83" s="122">
        <f t="shared" si="16"/>
        <v>581373.52</v>
      </c>
      <c r="N83" s="116">
        <f t="shared" si="17"/>
        <v>397049.52</v>
      </c>
      <c r="O83" s="123">
        <f t="shared" si="18"/>
        <v>760.63126436781613</v>
      </c>
      <c r="P83" s="5"/>
      <c r="Q83" s="5">
        <f t="shared" si="19"/>
        <v>1</v>
      </c>
      <c r="R83" s="7">
        <f t="shared" si="20"/>
        <v>522</v>
      </c>
      <c r="S83" s="5">
        <f t="shared" si="21"/>
        <v>1</v>
      </c>
      <c r="T83" s="7">
        <f t="shared" si="22"/>
        <v>522</v>
      </c>
    </row>
    <row r="84" spans="1:20">
      <c r="A84" s="23" t="s">
        <v>90</v>
      </c>
      <c r="B84" s="35" t="s">
        <v>89</v>
      </c>
      <c r="C84" s="36">
        <v>15346</v>
      </c>
      <c r="D84" s="6"/>
      <c r="E84" s="113">
        <v>7309170994</v>
      </c>
      <c r="F84" s="116">
        <f t="shared" si="14"/>
        <v>476291.6065424215</v>
      </c>
      <c r="G84" s="117">
        <v>6352910401</v>
      </c>
      <c r="H84" s="117">
        <f t="shared" si="15"/>
        <v>413978.26150136843</v>
      </c>
      <c r="I84" s="7"/>
      <c r="J84" s="10">
        <v>1.62</v>
      </c>
      <c r="K84" s="117">
        <v>10291714</v>
      </c>
      <c r="L84" s="120">
        <f>(K84/C84)</f>
        <v>670.64472826795259</v>
      </c>
      <c r="M84" s="122">
        <f t="shared" si="16"/>
        <v>63529104.009999998</v>
      </c>
      <c r="N84" s="116">
        <f t="shared" si="17"/>
        <v>53237390.009999998</v>
      </c>
      <c r="O84" s="123">
        <f t="shared" si="18"/>
        <v>3469.1378867457315</v>
      </c>
      <c r="P84" s="5"/>
      <c r="Q84" s="5">
        <f t="shared" si="19"/>
        <v>1</v>
      </c>
      <c r="R84" s="7">
        <f t="shared" si="20"/>
        <v>15346</v>
      </c>
      <c r="S84" s="5">
        <f t="shared" si="21"/>
        <v>1</v>
      </c>
      <c r="T84" s="7">
        <f t="shared" si="22"/>
        <v>15346</v>
      </c>
    </row>
    <row r="85" spans="1:20">
      <c r="A85" s="23" t="s">
        <v>91</v>
      </c>
      <c r="B85" s="35" t="s">
        <v>89</v>
      </c>
      <c r="C85" s="36">
        <v>22343</v>
      </c>
      <c r="D85" s="6"/>
      <c r="E85" s="113">
        <v>14426299363</v>
      </c>
      <c r="F85" s="116">
        <f t="shared" si="14"/>
        <v>645674.23188470665</v>
      </c>
      <c r="G85" s="117">
        <v>11212894783</v>
      </c>
      <c r="H85" s="117">
        <f t="shared" si="15"/>
        <v>501852.69583314686</v>
      </c>
      <c r="I85" s="7"/>
      <c r="J85" s="10">
        <v>1.1100000000000001</v>
      </c>
      <c r="K85" s="117">
        <v>12446313</v>
      </c>
      <c r="L85" s="120">
        <f>(K85/C85)</f>
        <v>557.05648301481449</v>
      </c>
      <c r="M85" s="122">
        <f t="shared" si="16"/>
        <v>112128947.83</v>
      </c>
      <c r="N85" s="116">
        <f t="shared" si="17"/>
        <v>99682634.829999998</v>
      </c>
      <c r="O85" s="123">
        <f t="shared" si="18"/>
        <v>4461.4704753166543</v>
      </c>
      <c r="P85" s="5"/>
      <c r="Q85" s="5">
        <f t="shared" si="19"/>
        <v>1</v>
      </c>
      <c r="R85" s="7">
        <f t="shared" si="20"/>
        <v>22343</v>
      </c>
      <c r="S85" s="5">
        <f t="shared" si="21"/>
        <v>1</v>
      </c>
      <c r="T85" s="7">
        <f t="shared" si="22"/>
        <v>22343</v>
      </c>
    </row>
    <row r="86" spans="1:20">
      <c r="A86" s="23" t="s">
        <v>92</v>
      </c>
      <c r="B86" s="35" t="s">
        <v>93</v>
      </c>
      <c r="C86" s="36">
        <v>409</v>
      </c>
      <c r="D86" s="6"/>
      <c r="E86" s="113">
        <v>20334519</v>
      </c>
      <c r="F86" s="116">
        <f t="shared" si="14"/>
        <v>49717.650366748167</v>
      </c>
      <c r="G86" s="117">
        <v>10077154</v>
      </c>
      <c r="H86" s="117">
        <f t="shared" si="15"/>
        <v>24638.518337408314</v>
      </c>
      <c r="I86" s="98" t="s">
        <v>528</v>
      </c>
      <c r="J86" s="11"/>
      <c r="K86" s="117"/>
      <c r="L86" s="120"/>
      <c r="M86" s="122">
        <f t="shared" si="16"/>
        <v>100771.54000000001</v>
      </c>
      <c r="N86" s="116">
        <f t="shared" si="17"/>
        <v>100771.54000000001</v>
      </c>
      <c r="O86" s="123">
        <f t="shared" si="18"/>
        <v>246.38518337408314</v>
      </c>
      <c r="P86" s="5"/>
      <c r="Q86" s="5">
        <f t="shared" si="19"/>
        <v>1</v>
      </c>
      <c r="R86" s="7">
        <f t="shared" si="20"/>
        <v>409</v>
      </c>
      <c r="S86" s="5">
        <f t="shared" si="21"/>
        <v>0</v>
      </c>
      <c r="T86" s="7">
        <f t="shared" si="22"/>
        <v>0</v>
      </c>
    </row>
    <row r="87" spans="1:20">
      <c r="A87" s="23" t="s">
        <v>94</v>
      </c>
      <c r="B87" s="35" t="s">
        <v>93</v>
      </c>
      <c r="C87" s="36">
        <v>10651</v>
      </c>
      <c r="D87" s="6"/>
      <c r="E87" s="113">
        <v>732482804</v>
      </c>
      <c r="F87" s="116">
        <f t="shared" si="14"/>
        <v>68771.270678809495</v>
      </c>
      <c r="G87" s="117">
        <v>448431292</v>
      </c>
      <c r="H87" s="117">
        <f t="shared" si="15"/>
        <v>42102.271336024787</v>
      </c>
      <c r="I87" s="7"/>
      <c r="J87" s="10">
        <v>3.5550000000000002</v>
      </c>
      <c r="K87" s="117">
        <v>1594173</v>
      </c>
      <c r="L87" s="120">
        <f t="shared" ref="L87:L92" si="24">(K87/C87)</f>
        <v>149.67355177917565</v>
      </c>
      <c r="M87" s="122">
        <f t="shared" si="16"/>
        <v>4484312.92</v>
      </c>
      <c r="N87" s="116">
        <f t="shared" si="17"/>
        <v>2890139.92</v>
      </c>
      <c r="O87" s="123">
        <f t="shared" si="18"/>
        <v>271.34916158107217</v>
      </c>
      <c r="P87" s="5"/>
      <c r="Q87" s="5">
        <f t="shared" si="19"/>
        <v>1</v>
      </c>
      <c r="R87" s="7">
        <f t="shared" si="20"/>
        <v>10651</v>
      </c>
      <c r="S87" s="5">
        <f t="shared" si="21"/>
        <v>1</v>
      </c>
      <c r="T87" s="7">
        <f t="shared" si="22"/>
        <v>10651</v>
      </c>
    </row>
    <row r="88" spans="1:20">
      <c r="A88" s="23" t="s">
        <v>95</v>
      </c>
      <c r="B88" s="35" t="s">
        <v>468</v>
      </c>
      <c r="C88" s="36">
        <v>6860</v>
      </c>
      <c r="D88" s="6"/>
      <c r="E88" s="113">
        <v>258366285</v>
      </c>
      <c r="F88" s="116">
        <f t="shared" si="14"/>
        <v>37662.723760932946</v>
      </c>
      <c r="G88" s="117">
        <v>148745776</v>
      </c>
      <c r="H88" s="117">
        <f t="shared" si="15"/>
        <v>21683.057725947521</v>
      </c>
      <c r="I88" s="7"/>
      <c r="J88" s="10">
        <v>8.9962999999999997</v>
      </c>
      <c r="K88" s="117">
        <v>1338161</v>
      </c>
      <c r="L88" s="120">
        <f t="shared" si="24"/>
        <v>195.06720116618075</v>
      </c>
      <c r="M88" s="122">
        <f t="shared" si="16"/>
        <v>1487457.76</v>
      </c>
      <c r="N88" s="116">
        <f t="shared" si="17"/>
        <v>149296.76</v>
      </c>
      <c r="O88" s="123">
        <f t="shared" si="18"/>
        <v>21.763376093294461</v>
      </c>
      <c r="P88" s="5"/>
      <c r="Q88" s="5">
        <f t="shared" si="19"/>
        <v>1</v>
      </c>
      <c r="R88" s="7">
        <f t="shared" si="20"/>
        <v>6860</v>
      </c>
      <c r="S88" s="5">
        <f t="shared" si="21"/>
        <v>1</v>
      </c>
      <c r="T88" s="7">
        <f t="shared" si="22"/>
        <v>6860</v>
      </c>
    </row>
    <row r="89" spans="1:20">
      <c r="A89" s="23" t="s">
        <v>96</v>
      </c>
      <c r="B89" s="35" t="s">
        <v>97</v>
      </c>
      <c r="C89" s="36">
        <v>1815</v>
      </c>
      <c r="D89" s="6"/>
      <c r="E89" s="113">
        <v>62160643</v>
      </c>
      <c r="F89" s="116">
        <f t="shared" si="14"/>
        <v>34248.288154269976</v>
      </c>
      <c r="G89" s="117">
        <v>23930076</v>
      </c>
      <c r="H89" s="117">
        <f t="shared" si="15"/>
        <v>13184.614876033058</v>
      </c>
      <c r="I89" s="8"/>
      <c r="J89" s="10">
        <v>5</v>
      </c>
      <c r="K89" s="117">
        <v>119650</v>
      </c>
      <c r="L89" s="120">
        <f t="shared" si="24"/>
        <v>65.9228650137741</v>
      </c>
      <c r="M89" s="122">
        <f t="shared" si="16"/>
        <v>239300.76</v>
      </c>
      <c r="N89" s="116">
        <f t="shared" si="17"/>
        <v>119650.76000000001</v>
      </c>
      <c r="O89" s="123">
        <f t="shared" si="18"/>
        <v>65.923283746556478</v>
      </c>
      <c r="P89" s="5"/>
      <c r="Q89" s="5">
        <f t="shared" si="19"/>
        <v>1</v>
      </c>
      <c r="R89" s="7">
        <f t="shared" si="20"/>
        <v>1815</v>
      </c>
      <c r="S89" s="5">
        <f t="shared" si="21"/>
        <v>1</v>
      </c>
      <c r="T89" s="7">
        <f t="shared" si="22"/>
        <v>1815</v>
      </c>
    </row>
    <row r="90" spans="1:20">
      <c r="A90" s="23" t="s">
        <v>98</v>
      </c>
      <c r="B90" s="35" t="s">
        <v>97</v>
      </c>
      <c r="C90" s="36">
        <v>241</v>
      </c>
      <c r="D90" s="6"/>
      <c r="E90" s="113">
        <v>35193870</v>
      </c>
      <c r="F90" s="116">
        <f t="shared" si="14"/>
        <v>146032.65560165976</v>
      </c>
      <c r="G90" s="117">
        <v>28895281</v>
      </c>
      <c r="H90" s="117">
        <f t="shared" si="15"/>
        <v>119897.43153526972</v>
      </c>
      <c r="I90" s="8"/>
      <c r="J90" s="10">
        <v>3</v>
      </c>
      <c r="K90" s="117">
        <v>86685</v>
      </c>
      <c r="L90" s="120">
        <f t="shared" si="24"/>
        <v>359.68879668049794</v>
      </c>
      <c r="M90" s="122">
        <f t="shared" si="16"/>
        <v>288952.81</v>
      </c>
      <c r="N90" s="116">
        <f t="shared" si="17"/>
        <v>202267.81</v>
      </c>
      <c r="O90" s="123">
        <f t="shared" si="18"/>
        <v>839.28551867219915</v>
      </c>
      <c r="P90" s="5"/>
      <c r="Q90" s="5">
        <f t="shared" si="19"/>
        <v>1</v>
      </c>
      <c r="R90" s="7">
        <f t="shared" si="20"/>
        <v>241</v>
      </c>
      <c r="S90" s="5">
        <f t="shared" si="21"/>
        <v>1</v>
      </c>
      <c r="T90" s="7">
        <f t="shared" si="22"/>
        <v>241</v>
      </c>
    </row>
    <row r="91" spans="1:20">
      <c r="A91" s="23" t="s">
        <v>99</v>
      </c>
      <c r="B91" s="35" t="s">
        <v>100</v>
      </c>
      <c r="C91" s="36">
        <v>13911</v>
      </c>
      <c r="D91" s="6"/>
      <c r="E91" s="113">
        <v>1384882203</v>
      </c>
      <c r="F91" s="116">
        <f t="shared" si="14"/>
        <v>99553.030191934435</v>
      </c>
      <c r="G91" s="117">
        <v>929633312</v>
      </c>
      <c r="H91" s="117">
        <f t="shared" si="15"/>
        <v>66827.209546402126</v>
      </c>
      <c r="I91" s="9"/>
      <c r="J91" s="11">
        <v>3.0394000000000001</v>
      </c>
      <c r="K91" s="117">
        <v>2825527</v>
      </c>
      <c r="L91" s="120">
        <f t="shared" si="24"/>
        <v>203.11458557975703</v>
      </c>
      <c r="M91" s="122">
        <f t="shared" si="16"/>
        <v>9296333.120000001</v>
      </c>
      <c r="N91" s="116">
        <f t="shared" si="17"/>
        <v>6470806.120000001</v>
      </c>
      <c r="O91" s="123">
        <f t="shared" si="18"/>
        <v>465.1575098842643</v>
      </c>
      <c r="P91" s="5"/>
      <c r="Q91" s="5">
        <f t="shared" si="19"/>
        <v>1</v>
      </c>
      <c r="R91" s="7">
        <f t="shared" si="20"/>
        <v>13911</v>
      </c>
      <c r="S91" s="5">
        <f t="shared" si="21"/>
        <v>1</v>
      </c>
      <c r="T91" s="7">
        <f t="shared" si="22"/>
        <v>13911</v>
      </c>
    </row>
    <row r="92" spans="1:20">
      <c r="A92" s="23" t="s">
        <v>101</v>
      </c>
      <c r="B92" s="35" t="s">
        <v>100</v>
      </c>
      <c r="C92" s="36">
        <v>1624</v>
      </c>
      <c r="D92" s="6"/>
      <c r="E92" s="113">
        <v>65937501</v>
      </c>
      <c r="F92" s="116">
        <f t="shared" si="14"/>
        <v>40601.909482758623</v>
      </c>
      <c r="G92" s="117">
        <v>42513958</v>
      </c>
      <c r="H92" s="117">
        <f t="shared" si="15"/>
        <v>26178.545566502464</v>
      </c>
      <c r="I92" s="9"/>
      <c r="J92" s="10">
        <v>2.0217999999999998</v>
      </c>
      <c r="K92" s="117">
        <v>85954</v>
      </c>
      <c r="L92" s="120">
        <f t="shared" si="24"/>
        <v>52.927339901477829</v>
      </c>
      <c r="M92" s="122">
        <f t="shared" si="16"/>
        <v>425139.58</v>
      </c>
      <c r="N92" s="116">
        <f t="shared" si="17"/>
        <v>339185.58</v>
      </c>
      <c r="O92" s="123">
        <f t="shared" si="18"/>
        <v>208.85811576354681</v>
      </c>
      <c r="P92" s="5"/>
      <c r="Q92" s="5">
        <f t="shared" si="19"/>
        <v>1</v>
      </c>
      <c r="R92" s="7">
        <f t="shared" si="20"/>
        <v>1624</v>
      </c>
      <c r="S92" s="5">
        <f t="shared" si="21"/>
        <v>1</v>
      </c>
      <c r="T92" s="7">
        <f t="shared" si="22"/>
        <v>1624</v>
      </c>
    </row>
    <row r="93" spans="1:20">
      <c r="A93" s="23" t="s">
        <v>102</v>
      </c>
      <c r="B93" s="35" t="s">
        <v>100</v>
      </c>
      <c r="C93" s="36">
        <v>782381</v>
      </c>
      <c r="D93" s="36" t="s">
        <v>511</v>
      </c>
      <c r="E93" s="116"/>
      <c r="F93" s="116"/>
      <c r="G93" s="117"/>
      <c r="H93" s="117"/>
      <c r="I93" s="9"/>
      <c r="J93" s="10"/>
      <c r="K93" s="117"/>
      <c r="L93" s="120"/>
      <c r="M93" s="122">
        <f t="shared" si="16"/>
        <v>0</v>
      </c>
      <c r="N93" s="116">
        <f t="shared" si="17"/>
        <v>0</v>
      </c>
      <c r="O93" s="123">
        <f t="shared" si="18"/>
        <v>0</v>
      </c>
      <c r="P93" s="5"/>
      <c r="Q93" s="5">
        <f t="shared" si="19"/>
        <v>0</v>
      </c>
      <c r="R93" s="7">
        <f t="shared" si="20"/>
        <v>0</v>
      </c>
      <c r="S93" s="5">
        <f t="shared" si="21"/>
        <v>0</v>
      </c>
      <c r="T93" s="7">
        <f t="shared" si="22"/>
        <v>0</v>
      </c>
    </row>
    <row r="94" spans="1:20">
      <c r="A94" s="23" t="s">
        <v>103</v>
      </c>
      <c r="B94" s="35" t="s">
        <v>100</v>
      </c>
      <c r="C94" s="36">
        <v>21146</v>
      </c>
      <c r="D94" s="6"/>
      <c r="E94" s="113">
        <v>2358525723</v>
      </c>
      <c r="F94" s="116">
        <f t="shared" ref="F94:F157" si="25">(E94/C94)</f>
        <v>111535.31273054006</v>
      </c>
      <c r="G94" s="117">
        <v>1702710093</v>
      </c>
      <c r="H94" s="117">
        <f t="shared" ref="H94:H157" si="26">(G94/C94)</f>
        <v>80521.61605031685</v>
      </c>
      <c r="I94" s="9"/>
      <c r="J94" s="10">
        <v>3.9070999999999998</v>
      </c>
      <c r="K94" s="117">
        <v>6652658</v>
      </c>
      <c r="L94" s="120">
        <f t="shared" ref="L94:L100" si="27">(K94/C94)</f>
        <v>314.60597748983258</v>
      </c>
      <c r="M94" s="122">
        <f t="shared" si="16"/>
        <v>17027100.93</v>
      </c>
      <c r="N94" s="116">
        <f t="shared" si="17"/>
        <v>10374442.93</v>
      </c>
      <c r="O94" s="123">
        <f t="shared" si="18"/>
        <v>490.61018301333581</v>
      </c>
      <c r="P94" s="5"/>
      <c r="Q94" s="5">
        <f t="shared" si="19"/>
        <v>1</v>
      </c>
      <c r="R94" s="7">
        <f t="shared" si="20"/>
        <v>21146</v>
      </c>
      <c r="S94" s="5">
        <f t="shared" si="21"/>
        <v>1</v>
      </c>
      <c r="T94" s="7">
        <f t="shared" si="22"/>
        <v>21146</v>
      </c>
    </row>
    <row r="95" spans="1:20">
      <c r="A95" s="23" t="s">
        <v>104</v>
      </c>
      <c r="B95" s="35" t="s">
        <v>100</v>
      </c>
      <c r="C95" s="36">
        <v>7217</v>
      </c>
      <c r="D95" s="6"/>
      <c r="E95" s="113">
        <v>692074847</v>
      </c>
      <c r="F95" s="116">
        <f t="shared" si="25"/>
        <v>95895.087571012889</v>
      </c>
      <c r="G95" s="117">
        <v>480629798</v>
      </c>
      <c r="H95" s="117">
        <f t="shared" si="26"/>
        <v>66596.89594014133</v>
      </c>
      <c r="I95" s="9"/>
      <c r="J95" s="10">
        <v>2.9</v>
      </c>
      <c r="K95" s="117">
        <v>1393826</v>
      </c>
      <c r="L95" s="120">
        <f t="shared" si="27"/>
        <v>193.1309408341416</v>
      </c>
      <c r="M95" s="122">
        <f t="shared" si="16"/>
        <v>4806297.9800000004</v>
      </c>
      <c r="N95" s="116">
        <f t="shared" si="17"/>
        <v>3412471.9800000004</v>
      </c>
      <c r="O95" s="123">
        <f t="shared" si="18"/>
        <v>472.83801856727177</v>
      </c>
      <c r="P95" s="5"/>
      <c r="Q95" s="5">
        <f t="shared" si="19"/>
        <v>1</v>
      </c>
      <c r="R95" s="7">
        <f t="shared" si="20"/>
        <v>7217</v>
      </c>
      <c r="S95" s="5">
        <f t="shared" si="21"/>
        <v>1</v>
      </c>
      <c r="T95" s="7">
        <f t="shared" si="22"/>
        <v>7217</v>
      </c>
    </row>
    <row r="96" spans="1:20">
      <c r="A96" s="23" t="s">
        <v>105</v>
      </c>
      <c r="B96" s="35" t="s">
        <v>106</v>
      </c>
      <c r="C96" s="36">
        <v>1735</v>
      </c>
      <c r="D96" s="6"/>
      <c r="E96" s="113">
        <v>46681855</v>
      </c>
      <c r="F96" s="116">
        <f t="shared" si="25"/>
        <v>26905.968299711814</v>
      </c>
      <c r="G96" s="117">
        <v>27815234</v>
      </c>
      <c r="H96" s="117">
        <f t="shared" si="26"/>
        <v>16031.835158501441</v>
      </c>
      <c r="I96" s="7"/>
      <c r="J96" s="10">
        <v>0.98099999999999998</v>
      </c>
      <c r="K96" s="117">
        <v>27286</v>
      </c>
      <c r="L96" s="120">
        <f t="shared" si="27"/>
        <v>15.726801152737751</v>
      </c>
      <c r="M96" s="122">
        <f t="shared" si="16"/>
        <v>278152.34000000003</v>
      </c>
      <c r="N96" s="116">
        <f t="shared" si="17"/>
        <v>250866.34000000003</v>
      </c>
      <c r="O96" s="123">
        <f t="shared" si="18"/>
        <v>144.59155043227668</v>
      </c>
      <c r="P96" s="5"/>
      <c r="Q96" s="5">
        <f t="shared" si="19"/>
        <v>1</v>
      </c>
      <c r="R96" s="7">
        <f t="shared" si="20"/>
        <v>1735</v>
      </c>
      <c r="S96" s="5">
        <f t="shared" si="21"/>
        <v>1</v>
      </c>
      <c r="T96" s="7">
        <f t="shared" si="22"/>
        <v>1735</v>
      </c>
    </row>
    <row r="97" spans="1:20">
      <c r="A97" s="23" t="s">
        <v>107</v>
      </c>
      <c r="B97" s="35" t="s">
        <v>106</v>
      </c>
      <c r="C97" s="36">
        <v>56307</v>
      </c>
      <c r="D97" s="6"/>
      <c r="E97" s="113">
        <v>3658744923</v>
      </c>
      <c r="F97" s="116">
        <f t="shared" si="25"/>
        <v>64978.509297245459</v>
      </c>
      <c r="G97" s="117">
        <v>2345084767</v>
      </c>
      <c r="H97" s="117">
        <f t="shared" si="26"/>
        <v>41648.192356190171</v>
      </c>
      <c r="I97" s="7"/>
      <c r="J97" s="10">
        <v>5.0570000000000004</v>
      </c>
      <c r="K97" s="117">
        <v>11859093</v>
      </c>
      <c r="L97" s="120">
        <f t="shared" si="27"/>
        <v>210.61489690447013</v>
      </c>
      <c r="M97" s="122">
        <f t="shared" si="16"/>
        <v>23450847.670000002</v>
      </c>
      <c r="N97" s="116">
        <f t="shared" si="17"/>
        <v>11591754.670000002</v>
      </c>
      <c r="O97" s="123">
        <f t="shared" si="18"/>
        <v>205.86702665743161</v>
      </c>
      <c r="P97" s="5"/>
      <c r="Q97" s="5">
        <f t="shared" si="19"/>
        <v>1</v>
      </c>
      <c r="R97" s="7">
        <f t="shared" si="20"/>
        <v>56307</v>
      </c>
      <c r="S97" s="5">
        <f t="shared" si="21"/>
        <v>1</v>
      </c>
      <c r="T97" s="7">
        <f t="shared" si="22"/>
        <v>56307</v>
      </c>
    </row>
    <row r="98" spans="1:20">
      <c r="A98" s="23" t="s">
        <v>108</v>
      </c>
      <c r="B98" s="35" t="s">
        <v>109</v>
      </c>
      <c r="C98" s="36">
        <v>555</v>
      </c>
      <c r="D98" s="6"/>
      <c r="E98" s="113">
        <v>39915965</v>
      </c>
      <c r="F98" s="116">
        <f t="shared" si="25"/>
        <v>71920.657657657663</v>
      </c>
      <c r="G98" s="117">
        <v>33200980</v>
      </c>
      <c r="H98" s="117">
        <f t="shared" si="26"/>
        <v>59821.585585585584</v>
      </c>
      <c r="I98" s="7"/>
      <c r="J98" s="10">
        <v>2.3197999999999999</v>
      </c>
      <c r="K98" s="117">
        <v>77019</v>
      </c>
      <c r="L98" s="120">
        <f t="shared" si="27"/>
        <v>138.77297297297298</v>
      </c>
      <c r="M98" s="122">
        <f t="shared" si="16"/>
        <v>332009.8</v>
      </c>
      <c r="N98" s="116">
        <f t="shared" si="17"/>
        <v>254990.8</v>
      </c>
      <c r="O98" s="123">
        <f t="shared" si="18"/>
        <v>459.44288288288288</v>
      </c>
      <c r="P98" s="5"/>
      <c r="Q98" s="5">
        <f t="shared" si="19"/>
        <v>1</v>
      </c>
      <c r="R98" s="7">
        <f t="shared" si="20"/>
        <v>555</v>
      </c>
      <c r="S98" s="5">
        <f t="shared" si="21"/>
        <v>1</v>
      </c>
      <c r="T98" s="7">
        <f t="shared" si="22"/>
        <v>555</v>
      </c>
    </row>
    <row r="99" spans="1:20">
      <c r="A99" s="23" t="s">
        <v>110</v>
      </c>
      <c r="B99" s="35" t="s">
        <v>109</v>
      </c>
      <c r="C99" s="36">
        <v>2192</v>
      </c>
      <c r="D99" s="6"/>
      <c r="E99" s="113">
        <v>148749554</v>
      </c>
      <c r="F99" s="116">
        <f t="shared" si="25"/>
        <v>67860.197992700734</v>
      </c>
      <c r="G99" s="117">
        <v>87508462</v>
      </c>
      <c r="H99" s="117">
        <f t="shared" si="26"/>
        <v>39921.743613138686</v>
      </c>
      <c r="I99" s="7"/>
      <c r="J99" s="10">
        <v>5.9</v>
      </c>
      <c r="K99" s="117">
        <v>516299</v>
      </c>
      <c r="L99" s="120">
        <f t="shared" si="27"/>
        <v>235.53786496350364</v>
      </c>
      <c r="M99" s="122">
        <f t="shared" si="16"/>
        <v>875084.62</v>
      </c>
      <c r="N99" s="116">
        <f t="shared" si="17"/>
        <v>358785.62</v>
      </c>
      <c r="O99" s="123">
        <f t="shared" si="18"/>
        <v>163.67957116788321</v>
      </c>
      <c r="P99" s="5"/>
      <c r="Q99" s="5">
        <f t="shared" si="19"/>
        <v>1</v>
      </c>
      <c r="R99" s="7">
        <f t="shared" si="20"/>
        <v>2192</v>
      </c>
      <c r="S99" s="5">
        <f t="shared" si="21"/>
        <v>1</v>
      </c>
      <c r="T99" s="7">
        <f t="shared" si="22"/>
        <v>2192</v>
      </c>
    </row>
    <row r="100" spans="1:20">
      <c r="A100" s="23" t="s">
        <v>447</v>
      </c>
      <c r="B100" s="35" t="s">
        <v>109</v>
      </c>
      <c r="C100" s="36">
        <v>42850</v>
      </c>
      <c r="D100" s="6"/>
      <c r="E100" s="113">
        <v>3199403340</v>
      </c>
      <c r="F100" s="116">
        <f t="shared" si="25"/>
        <v>74665.188798133022</v>
      </c>
      <c r="G100" s="117">
        <v>2405342186</v>
      </c>
      <c r="H100" s="117">
        <f t="shared" si="26"/>
        <v>56134.006674445744</v>
      </c>
      <c r="I100" s="7"/>
      <c r="J100" s="10">
        <v>3.4</v>
      </c>
      <c r="K100" s="117">
        <v>8178163</v>
      </c>
      <c r="L100" s="120">
        <f t="shared" si="27"/>
        <v>190.85561260210034</v>
      </c>
      <c r="M100" s="122">
        <f t="shared" si="16"/>
        <v>24053421.859999999</v>
      </c>
      <c r="N100" s="116">
        <f t="shared" si="17"/>
        <v>15875258.859999999</v>
      </c>
      <c r="O100" s="123">
        <f t="shared" si="18"/>
        <v>370.48445414235704</v>
      </c>
      <c r="P100" s="5"/>
      <c r="Q100" s="5">
        <f t="shared" si="19"/>
        <v>1</v>
      </c>
      <c r="R100" s="7">
        <f t="shared" si="20"/>
        <v>42850</v>
      </c>
      <c r="S100" s="5">
        <f t="shared" si="21"/>
        <v>1</v>
      </c>
      <c r="T100" s="7">
        <f t="shared" si="22"/>
        <v>42850</v>
      </c>
    </row>
    <row r="101" spans="1:20">
      <c r="A101" s="23" t="s">
        <v>111</v>
      </c>
      <c r="B101" s="35" t="s">
        <v>557</v>
      </c>
      <c r="C101" s="36">
        <v>10</v>
      </c>
      <c r="D101" s="6"/>
      <c r="E101" s="113">
        <v>21252421</v>
      </c>
      <c r="F101" s="116">
        <f t="shared" si="25"/>
        <v>2125242.1</v>
      </c>
      <c r="G101" s="117">
        <v>7297547</v>
      </c>
      <c r="H101" s="117">
        <f t="shared" si="26"/>
        <v>729754.7</v>
      </c>
      <c r="I101" s="98" t="s">
        <v>528</v>
      </c>
      <c r="J101" s="10"/>
      <c r="K101" s="117"/>
      <c r="L101" s="120"/>
      <c r="M101" s="122">
        <f t="shared" si="16"/>
        <v>72975.47</v>
      </c>
      <c r="N101" s="116">
        <f t="shared" si="17"/>
        <v>72975.47</v>
      </c>
      <c r="O101" s="123">
        <f t="shared" si="18"/>
        <v>7297.5470000000005</v>
      </c>
      <c r="P101" s="5"/>
      <c r="Q101" s="5">
        <f t="shared" si="19"/>
        <v>1</v>
      </c>
      <c r="R101" s="7">
        <f t="shared" si="20"/>
        <v>10</v>
      </c>
      <c r="S101" s="5">
        <f t="shared" si="21"/>
        <v>0</v>
      </c>
      <c r="T101" s="7">
        <f t="shared" si="22"/>
        <v>0</v>
      </c>
    </row>
    <row r="102" spans="1:20">
      <c r="A102" s="23" t="s">
        <v>112</v>
      </c>
      <c r="B102" s="35" t="s">
        <v>113</v>
      </c>
      <c r="C102" s="36">
        <v>5411</v>
      </c>
      <c r="D102" s="6"/>
      <c r="E102" s="113">
        <v>618532912</v>
      </c>
      <c r="F102" s="116">
        <f t="shared" si="25"/>
        <v>114310.27758270191</v>
      </c>
      <c r="G102" s="117">
        <v>463419818</v>
      </c>
      <c r="H102" s="117">
        <f t="shared" si="26"/>
        <v>85644.024764368878</v>
      </c>
      <c r="I102" s="7"/>
      <c r="J102" s="10">
        <v>3</v>
      </c>
      <c r="K102" s="117">
        <v>1390259</v>
      </c>
      <c r="L102" s="120">
        <f t="shared" ref="L102:L110" si="28">(K102/C102)</f>
        <v>256.93199038994641</v>
      </c>
      <c r="M102" s="122">
        <f t="shared" si="16"/>
        <v>4634198.18</v>
      </c>
      <c r="N102" s="116">
        <f t="shared" si="17"/>
        <v>3243939.1799999997</v>
      </c>
      <c r="O102" s="123">
        <f t="shared" si="18"/>
        <v>599.50825725374227</v>
      </c>
      <c r="P102" s="5"/>
      <c r="Q102" s="5">
        <f t="shared" si="19"/>
        <v>1</v>
      </c>
      <c r="R102" s="7">
        <f t="shared" si="20"/>
        <v>5411</v>
      </c>
      <c r="S102" s="5">
        <f t="shared" si="21"/>
        <v>1</v>
      </c>
      <c r="T102" s="7">
        <f t="shared" si="22"/>
        <v>5411</v>
      </c>
    </row>
    <row r="103" spans="1:20">
      <c r="A103" s="23" t="s">
        <v>114</v>
      </c>
      <c r="B103" s="35" t="s">
        <v>115</v>
      </c>
      <c r="C103" s="36">
        <v>2387</v>
      </c>
      <c r="D103" s="6"/>
      <c r="E103" s="113">
        <v>157755860</v>
      </c>
      <c r="F103" s="116">
        <f t="shared" si="25"/>
        <v>66089.593632174277</v>
      </c>
      <c r="G103" s="117">
        <v>103599029</v>
      </c>
      <c r="H103" s="117">
        <f t="shared" si="26"/>
        <v>43401.352744030162</v>
      </c>
      <c r="I103" s="7"/>
      <c r="J103" s="10">
        <v>7.25</v>
      </c>
      <c r="K103" s="117">
        <v>751092</v>
      </c>
      <c r="L103" s="120">
        <f t="shared" si="28"/>
        <v>314.65940511101803</v>
      </c>
      <c r="M103" s="122">
        <f t="shared" si="16"/>
        <v>1035990.29</v>
      </c>
      <c r="N103" s="116">
        <f t="shared" si="17"/>
        <v>284898.29000000004</v>
      </c>
      <c r="O103" s="123">
        <f t="shared" si="18"/>
        <v>119.35412232928364</v>
      </c>
      <c r="P103" s="5"/>
      <c r="Q103" s="5">
        <f t="shared" si="19"/>
        <v>1</v>
      </c>
      <c r="R103" s="7">
        <f t="shared" si="20"/>
        <v>2387</v>
      </c>
      <c r="S103" s="5">
        <f t="shared" si="21"/>
        <v>1</v>
      </c>
      <c r="T103" s="7">
        <f t="shared" si="22"/>
        <v>2387</v>
      </c>
    </row>
    <row r="104" spans="1:20">
      <c r="A104" s="23" t="s">
        <v>116</v>
      </c>
      <c r="B104" s="35" t="s">
        <v>115</v>
      </c>
      <c r="C104" s="36">
        <v>1303</v>
      </c>
      <c r="D104" s="6"/>
      <c r="E104" s="113">
        <v>78207711</v>
      </c>
      <c r="F104" s="116">
        <f t="shared" si="25"/>
        <v>60021.267075978511</v>
      </c>
      <c r="G104" s="117">
        <v>51727271</v>
      </c>
      <c r="H104" s="117">
        <f t="shared" si="26"/>
        <v>39698.596316193398</v>
      </c>
      <c r="I104" s="7"/>
      <c r="J104" s="11">
        <v>8.2531999999999996</v>
      </c>
      <c r="K104" s="117">
        <v>426915</v>
      </c>
      <c r="L104" s="120">
        <f t="shared" si="28"/>
        <v>327.64006139677667</v>
      </c>
      <c r="M104" s="122">
        <f t="shared" si="16"/>
        <v>517272.71</v>
      </c>
      <c r="N104" s="116">
        <f t="shared" si="17"/>
        <v>90357.710000000021</v>
      </c>
      <c r="O104" s="123">
        <f t="shared" si="18"/>
        <v>69.34590176515735</v>
      </c>
      <c r="P104" s="5"/>
      <c r="Q104" s="5">
        <f t="shared" si="19"/>
        <v>1</v>
      </c>
      <c r="R104" s="7">
        <f t="shared" si="20"/>
        <v>1303</v>
      </c>
      <c r="S104" s="5">
        <f t="shared" si="21"/>
        <v>1</v>
      </c>
      <c r="T104" s="7">
        <f t="shared" si="22"/>
        <v>1303</v>
      </c>
    </row>
    <row r="105" spans="1:20">
      <c r="A105" s="23" t="s">
        <v>117</v>
      </c>
      <c r="B105" s="35" t="s">
        <v>118</v>
      </c>
      <c r="C105" s="36">
        <v>3966</v>
      </c>
      <c r="D105" s="6"/>
      <c r="E105" s="113">
        <v>210277093</v>
      </c>
      <c r="F105" s="116">
        <f t="shared" si="25"/>
        <v>53019.942763489664</v>
      </c>
      <c r="G105" s="117">
        <v>32018053</v>
      </c>
      <c r="H105" s="117">
        <f t="shared" si="26"/>
        <v>8073.1348966212809</v>
      </c>
      <c r="I105" s="7"/>
      <c r="J105" s="10">
        <v>0.85950000000000004</v>
      </c>
      <c r="K105" s="117">
        <v>27519</v>
      </c>
      <c r="L105" s="120">
        <f t="shared" si="28"/>
        <v>6.9387291981845687</v>
      </c>
      <c r="M105" s="122">
        <f t="shared" si="16"/>
        <v>320180.53000000003</v>
      </c>
      <c r="N105" s="116">
        <f t="shared" si="17"/>
        <v>292661.53000000003</v>
      </c>
      <c r="O105" s="123">
        <f t="shared" si="18"/>
        <v>73.792619768028246</v>
      </c>
      <c r="P105" s="5"/>
      <c r="Q105" s="5">
        <f t="shared" si="19"/>
        <v>1</v>
      </c>
      <c r="R105" s="7">
        <f t="shared" si="20"/>
        <v>3966</v>
      </c>
      <c r="S105" s="5">
        <f t="shared" si="21"/>
        <v>1</v>
      </c>
      <c r="T105" s="7">
        <f t="shared" si="22"/>
        <v>3966</v>
      </c>
    </row>
    <row r="106" spans="1:20">
      <c r="A106" s="23" t="s">
        <v>119</v>
      </c>
      <c r="B106" s="35" t="s">
        <v>118</v>
      </c>
      <c r="C106" s="36">
        <v>635</v>
      </c>
      <c r="D106" s="6"/>
      <c r="E106" s="113">
        <v>13774243</v>
      </c>
      <c r="F106" s="116">
        <f t="shared" si="25"/>
        <v>21691.721259842521</v>
      </c>
      <c r="G106" s="117">
        <v>6685902</v>
      </c>
      <c r="H106" s="117">
        <f t="shared" si="26"/>
        <v>10528.979527559055</v>
      </c>
      <c r="I106" s="7"/>
      <c r="J106" s="10">
        <v>2.1</v>
      </c>
      <c r="K106" s="117">
        <v>14040</v>
      </c>
      <c r="L106" s="120">
        <f t="shared" si="28"/>
        <v>22.110236220472441</v>
      </c>
      <c r="M106" s="122">
        <f t="shared" si="16"/>
        <v>66859.02</v>
      </c>
      <c r="N106" s="116">
        <f t="shared" si="17"/>
        <v>52819.020000000004</v>
      </c>
      <c r="O106" s="123">
        <f t="shared" si="18"/>
        <v>83.179559055118119</v>
      </c>
      <c r="P106" s="5"/>
      <c r="Q106" s="5">
        <f t="shared" si="19"/>
        <v>1</v>
      </c>
      <c r="R106" s="7">
        <f t="shared" si="20"/>
        <v>635</v>
      </c>
      <c r="S106" s="5">
        <f t="shared" si="21"/>
        <v>1</v>
      </c>
      <c r="T106" s="7">
        <f t="shared" si="22"/>
        <v>635</v>
      </c>
    </row>
    <row r="107" spans="1:20">
      <c r="A107" s="23" t="s">
        <v>120</v>
      </c>
      <c r="B107" s="35" t="s">
        <v>118</v>
      </c>
      <c r="C107" s="36">
        <v>1752</v>
      </c>
      <c r="D107" s="6"/>
      <c r="E107" s="113">
        <v>25447794</v>
      </c>
      <c r="F107" s="116">
        <f t="shared" si="25"/>
        <v>14524.996575342466</v>
      </c>
      <c r="G107" s="117">
        <v>11620907</v>
      </c>
      <c r="H107" s="117">
        <f t="shared" si="26"/>
        <v>6632.9377853881278</v>
      </c>
      <c r="I107" s="7"/>
      <c r="J107" s="10">
        <v>4.2359</v>
      </c>
      <c r="K107" s="117">
        <v>49225</v>
      </c>
      <c r="L107" s="120">
        <f t="shared" si="28"/>
        <v>28.096461187214611</v>
      </c>
      <c r="M107" s="122">
        <f t="shared" si="16"/>
        <v>116209.07</v>
      </c>
      <c r="N107" s="116">
        <f t="shared" si="17"/>
        <v>66984.070000000007</v>
      </c>
      <c r="O107" s="123">
        <f t="shared" si="18"/>
        <v>38.232916666666668</v>
      </c>
      <c r="P107" s="5"/>
      <c r="Q107" s="5">
        <f t="shared" si="19"/>
        <v>1</v>
      </c>
      <c r="R107" s="7">
        <f t="shared" si="20"/>
        <v>1752</v>
      </c>
      <c r="S107" s="5">
        <f t="shared" si="21"/>
        <v>1</v>
      </c>
      <c r="T107" s="7">
        <f t="shared" si="22"/>
        <v>1752</v>
      </c>
    </row>
    <row r="108" spans="1:20">
      <c r="A108" s="23" t="s">
        <v>121</v>
      </c>
      <c r="B108" s="35" t="s">
        <v>118</v>
      </c>
      <c r="C108" s="36">
        <v>1752</v>
      </c>
      <c r="D108" s="6"/>
      <c r="E108" s="113">
        <v>63421862</v>
      </c>
      <c r="F108" s="116">
        <f t="shared" si="25"/>
        <v>36199.69292237443</v>
      </c>
      <c r="G108" s="117">
        <v>43986961</v>
      </c>
      <c r="H108" s="117">
        <f t="shared" si="26"/>
        <v>25106.712899543378</v>
      </c>
      <c r="I108" s="7"/>
      <c r="J108" s="10">
        <v>1.1020000000000001</v>
      </c>
      <c r="K108" s="117">
        <v>48473</v>
      </c>
      <c r="L108" s="120">
        <f t="shared" si="28"/>
        <v>27.667237442922374</v>
      </c>
      <c r="M108" s="122">
        <f t="shared" si="16"/>
        <v>439869.61</v>
      </c>
      <c r="N108" s="116">
        <f t="shared" si="17"/>
        <v>391396.61</v>
      </c>
      <c r="O108" s="123">
        <f t="shared" si="18"/>
        <v>223.39989155251141</v>
      </c>
      <c r="P108" s="5"/>
      <c r="Q108" s="5">
        <f t="shared" si="19"/>
        <v>1</v>
      </c>
      <c r="R108" s="7">
        <f t="shared" si="20"/>
        <v>1752</v>
      </c>
      <c r="S108" s="5">
        <f t="shared" si="21"/>
        <v>1</v>
      </c>
      <c r="T108" s="7">
        <f t="shared" si="22"/>
        <v>1752</v>
      </c>
    </row>
    <row r="109" spans="1:20">
      <c r="A109" s="23" t="s">
        <v>122</v>
      </c>
      <c r="B109" s="35" t="s">
        <v>118</v>
      </c>
      <c r="C109" s="36">
        <v>1499</v>
      </c>
      <c r="D109" s="6"/>
      <c r="E109" s="113">
        <v>31844233</v>
      </c>
      <c r="F109" s="116">
        <f t="shared" si="25"/>
        <v>21243.651100733823</v>
      </c>
      <c r="G109" s="117">
        <v>19364422</v>
      </c>
      <c r="H109" s="117">
        <f t="shared" si="26"/>
        <v>12918.226817878585</v>
      </c>
      <c r="I109" s="7"/>
      <c r="J109" s="10">
        <v>4.9078999999999997</v>
      </c>
      <c r="K109" s="117">
        <v>95038</v>
      </c>
      <c r="L109" s="120">
        <f t="shared" si="28"/>
        <v>63.40093395597065</v>
      </c>
      <c r="M109" s="122">
        <f t="shared" si="16"/>
        <v>193644.22</v>
      </c>
      <c r="N109" s="116">
        <f t="shared" si="17"/>
        <v>98606.22</v>
      </c>
      <c r="O109" s="123">
        <f t="shared" si="18"/>
        <v>65.781334222815204</v>
      </c>
      <c r="P109" s="5"/>
      <c r="Q109" s="5">
        <f t="shared" si="19"/>
        <v>1</v>
      </c>
      <c r="R109" s="7">
        <f t="shared" si="20"/>
        <v>1499</v>
      </c>
      <c r="S109" s="5">
        <f t="shared" si="21"/>
        <v>1</v>
      </c>
      <c r="T109" s="7">
        <f t="shared" si="22"/>
        <v>1499</v>
      </c>
    </row>
    <row r="110" spans="1:20">
      <c r="A110" s="23" t="s">
        <v>123</v>
      </c>
      <c r="B110" s="35" t="s">
        <v>118</v>
      </c>
      <c r="C110" s="36">
        <v>7352</v>
      </c>
      <c r="D110" s="6"/>
      <c r="E110" s="113">
        <v>327433324</v>
      </c>
      <c r="F110" s="116">
        <f t="shared" si="25"/>
        <v>44536.63275299238</v>
      </c>
      <c r="G110" s="117">
        <v>187282803</v>
      </c>
      <c r="H110" s="117">
        <f t="shared" si="26"/>
        <v>25473.721844396081</v>
      </c>
      <c r="I110" s="7"/>
      <c r="J110" s="10">
        <v>2.75</v>
      </c>
      <c r="K110" s="117">
        <v>515027</v>
      </c>
      <c r="L110" s="120">
        <f t="shared" si="28"/>
        <v>70.052638737758429</v>
      </c>
      <c r="M110" s="122">
        <f t="shared" si="16"/>
        <v>1872828.03</v>
      </c>
      <c r="N110" s="116">
        <f t="shared" si="17"/>
        <v>1357801.03</v>
      </c>
      <c r="O110" s="123">
        <f t="shared" si="18"/>
        <v>184.68457970620238</v>
      </c>
      <c r="P110" s="5"/>
      <c r="Q110" s="5">
        <f t="shared" si="19"/>
        <v>1</v>
      </c>
      <c r="R110" s="7">
        <f t="shared" si="20"/>
        <v>7352</v>
      </c>
      <c r="S110" s="5">
        <f t="shared" si="21"/>
        <v>1</v>
      </c>
      <c r="T110" s="7">
        <f t="shared" si="22"/>
        <v>7352</v>
      </c>
    </row>
    <row r="111" spans="1:20">
      <c r="A111" s="23" t="s">
        <v>124</v>
      </c>
      <c r="B111" s="35" t="s">
        <v>125</v>
      </c>
      <c r="C111" s="36">
        <v>404</v>
      </c>
      <c r="D111" s="6"/>
      <c r="E111" s="113">
        <v>22051726</v>
      </c>
      <c r="F111" s="116">
        <f t="shared" si="25"/>
        <v>54583.480198019803</v>
      </c>
      <c r="G111" s="117">
        <v>7391368</v>
      </c>
      <c r="H111" s="117">
        <f t="shared" si="26"/>
        <v>18295.465346534653</v>
      </c>
      <c r="I111" s="98" t="s">
        <v>528</v>
      </c>
      <c r="J111" s="10"/>
      <c r="K111" s="117"/>
      <c r="L111" s="120"/>
      <c r="M111" s="122">
        <f t="shared" si="16"/>
        <v>73913.680000000008</v>
      </c>
      <c r="N111" s="116">
        <f t="shared" si="17"/>
        <v>73913.680000000008</v>
      </c>
      <c r="O111" s="123">
        <f t="shared" si="18"/>
        <v>182.95465346534655</v>
      </c>
      <c r="P111" s="5"/>
      <c r="Q111" s="5">
        <f t="shared" si="19"/>
        <v>1</v>
      </c>
      <c r="R111" s="7">
        <f t="shared" si="20"/>
        <v>404</v>
      </c>
      <c r="S111" s="5">
        <f t="shared" si="21"/>
        <v>0</v>
      </c>
      <c r="T111" s="7">
        <f t="shared" si="22"/>
        <v>0</v>
      </c>
    </row>
    <row r="112" spans="1:20">
      <c r="A112" s="23" t="s">
        <v>126</v>
      </c>
      <c r="B112" s="35" t="s">
        <v>125</v>
      </c>
      <c r="C112" s="36">
        <v>1581</v>
      </c>
      <c r="D112" s="6"/>
      <c r="E112" s="113">
        <v>66439718</v>
      </c>
      <c r="F112" s="116">
        <f t="shared" si="25"/>
        <v>42023.857052498417</v>
      </c>
      <c r="G112" s="117">
        <v>34355018</v>
      </c>
      <c r="H112" s="117">
        <f t="shared" si="26"/>
        <v>21729.929158760278</v>
      </c>
      <c r="I112" s="98" t="s">
        <v>528</v>
      </c>
      <c r="J112" s="10"/>
      <c r="K112" s="117"/>
      <c r="L112" s="120"/>
      <c r="M112" s="122">
        <f t="shared" si="16"/>
        <v>343550.18</v>
      </c>
      <c r="N112" s="116">
        <f t="shared" si="17"/>
        <v>343550.18</v>
      </c>
      <c r="O112" s="123">
        <f t="shared" si="18"/>
        <v>217.29929158760277</v>
      </c>
      <c r="P112" s="5"/>
      <c r="Q112" s="5">
        <f t="shared" si="19"/>
        <v>1</v>
      </c>
      <c r="R112" s="7">
        <f t="shared" si="20"/>
        <v>1581</v>
      </c>
      <c r="S112" s="5">
        <f t="shared" si="21"/>
        <v>0</v>
      </c>
      <c r="T112" s="7">
        <f t="shared" si="22"/>
        <v>0</v>
      </c>
    </row>
    <row r="113" spans="1:20">
      <c r="A113" s="23" t="s">
        <v>127</v>
      </c>
      <c r="B113" s="35" t="s">
        <v>128</v>
      </c>
      <c r="C113" s="36">
        <v>877</v>
      </c>
      <c r="D113" s="6"/>
      <c r="E113" s="113">
        <v>31831653</v>
      </c>
      <c r="F113" s="116">
        <f t="shared" si="25"/>
        <v>36296.069555302165</v>
      </c>
      <c r="G113" s="117">
        <v>21643638</v>
      </c>
      <c r="H113" s="117">
        <f t="shared" si="26"/>
        <v>24679.176738882554</v>
      </c>
      <c r="I113" s="7"/>
      <c r="J113" s="11">
        <v>2</v>
      </c>
      <c r="K113" s="117">
        <v>43286</v>
      </c>
      <c r="L113" s="120">
        <f t="shared" ref="L113:L132" si="29">(K113/C113)</f>
        <v>49.356898517673891</v>
      </c>
      <c r="M113" s="122">
        <f t="shared" si="16"/>
        <v>216436.38</v>
      </c>
      <c r="N113" s="116">
        <f t="shared" si="17"/>
        <v>173150.38</v>
      </c>
      <c r="O113" s="123">
        <f t="shared" si="18"/>
        <v>197.43486887115165</v>
      </c>
      <c r="P113" s="5"/>
      <c r="Q113" s="5">
        <f t="shared" si="19"/>
        <v>1</v>
      </c>
      <c r="R113" s="7">
        <f t="shared" si="20"/>
        <v>877</v>
      </c>
      <c r="S113" s="5">
        <f t="shared" si="21"/>
        <v>1</v>
      </c>
      <c r="T113" s="7">
        <f t="shared" si="22"/>
        <v>877</v>
      </c>
    </row>
    <row r="114" spans="1:20">
      <c r="A114" s="23" t="s">
        <v>129</v>
      </c>
      <c r="B114" s="35" t="s">
        <v>130</v>
      </c>
      <c r="C114" s="36">
        <v>1676</v>
      </c>
      <c r="D114" s="6"/>
      <c r="E114" s="113">
        <v>56668883</v>
      </c>
      <c r="F114" s="116">
        <f t="shared" si="25"/>
        <v>33811.982696897372</v>
      </c>
      <c r="G114" s="117">
        <v>28041759</v>
      </c>
      <c r="H114" s="117">
        <f t="shared" si="26"/>
        <v>16731.359785202865</v>
      </c>
      <c r="I114" s="7"/>
      <c r="J114" s="11">
        <v>4.0288000000000004</v>
      </c>
      <c r="K114" s="117">
        <v>112974</v>
      </c>
      <c r="L114" s="120">
        <f t="shared" si="29"/>
        <v>67.406921241050114</v>
      </c>
      <c r="M114" s="122">
        <f t="shared" si="16"/>
        <v>280417.59000000003</v>
      </c>
      <c r="N114" s="116">
        <f t="shared" si="17"/>
        <v>167443.59000000003</v>
      </c>
      <c r="O114" s="123">
        <f t="shared" si="18"/>
        <v>99.906676610978536</v>
      </c>
      <c r="P114" s="5"/>
      <c r="Q114" s="5">
        <f t="shared" si="19"/>
        <v>1</v>
      </c>
      <c r="R114" s="7">
        <f t="shared" si="20"/>
        <v>1676</v>
      </c>
      <c r="S114" s="5">
        <f t="shared" si="21"/>
        <v>1</v>
      </c>
      <c r="T114" s="7">
        <f t="shared" si="22"/>
        <v>1676</v>
      </c>
    </row>
    <row r="115" spans="1:20">
      <c r="A115" s="23" t="s">
        <v>545</v>
      </c>
      <c r="B115" s="35" t="s">
        <v>131</v>
      </c>
      <c r="C115" s="36">
        <v>3632</v>
      </c>
      <c r="D115" s="6"/>
      <c r="E115" s="113">
        <v>259025490</v>
      </c>
      <c r="F115" s="116">
        <f t="shared" si="25"/>
        <v>71317.590859030839</v>
      </c>
      <c r="G115" s="117">
        <v>166880847</v>
      </c>
      <c r="H115" s="117">
        <f t="shared" si="26"/>
        <v>45947.36976872247</v>
      </c>
      <c r="I115" s="7"/>
      <c r="J115" s="10">
        <v>6.67</v>
      </c>
      <c r="K115" s="117">
        <v>1113095</v>
      </c>
      <c r="L115" s="120">
        <f t="shared" si="29"/>
        <v>306.46888766519822</v>
      </c>
      <c r="M115" s="122">
        <f t="shared" si="16"/>
        <v>1668808.47</v>
      </c>
      <c r="N115" s="116">
        <f t="shared" si="17"/>
        <v>555713.47</v>
      </c>
      <c r="O115" s="123">
        <f t="shared" si="18"/>
        <v>153.00481002202642</v>
      </c>
      <c r="P115" s="5"/>
      <c r="Q115" s="5">
        <f t="shared" si="19"/>
        <v>1</v>
      </c>
      <c r="R115" s="7">
        <f t="shared" si="20"/>
        <v>3632</v>
      </c>
      <c r="S115" s="5">
        <f t="shared" si="21"/>
        <v>1</v>
      </c>
      <c r="T115" s="7">
        <f t="shared" si="22"/>
        <v>3632</v>
      </c>
    </row>
    <row r="116" spans="1:20">
      <c r="A116" s="23" t="s">
        <v>132</v>
      </c>
      <c r="B116" s="35" t="s">
        <v>131</v>
      </c>
      <c r="C116" s="36">
        <v>1726</v>
      </c>
      <c r="D116" s="6"/>
      <c r="E116" s="113">
        <v>70074152</v>
      </c>
      <c r="F116" s="116">
        <f t="shared" si="25"/>
        <v>40599.161066048669</v>
      </c>
      <c r="G116" s="117">
        <v>38607505</v>
      </c>
      <c r="H116" s="117">
        <f t="shared" si="26"/>
        <v>22368.195249130938</v>
      </c>
      <c r="I116" s="7"/>
      <c r="J116" s="10">
        <v>6</v>
      </c>
      <c r="K116" s="117">
        <v>231645</v>
      </c>
      <c r="L116" s="120">
        <f t="shared" si="29"/>
        <v>134.20915411355736</v>
      </c>
      <c r="M116" s="122">
        <f t="shared" si="16"/>
        <v>386075.05</v>
      </c>
      <c r="N116" s="116">
        <f t="shared" si="17"/>
        <v>154430.04999999999</v>
      </c>
      <c r="O116" s="123">
        <f t="shared" si="18"/>
        <v>89.472798377752028</v>
      </c>
      <c r="P116" s="5"/>
      <c r="Q116" s="5">
        <f t="shared" si="19"/>
        <v>1</v>
      </c>
      <c r="R116" s="7">
        <f t="shared" si="20"/>
        <v>1726</v>
      </c>
      <c r="S116" s="5">
        <f t="shared" si="21"/>
        <v>1</v>
      </c>
      <c r="T116" s="7">
        <f t="shared" si="22"/>
        <v>1726</v>
      </c>
    </row>
    <row r="117" spans="1:20">
      <c r="A117" s="23" t="s">
        <v>133</v>
      </c>
      <c r="B117" s="35" t="s">
        <v>134</v>
      </c>
      <c r="C117" s="36">
        <v>1769</v>
      </c>
      <c r="D117" s="6"/>
      <c r="E117" s="113">
        <v>79577488</v>
      </c>
      <c r="F117" s="116">
        <f t="shared" si="25"/>
        <v>44984.447710570945</v>
      </c>
      <c r="G117" s="117">
        <v>33055644</v>
      </c>
      <c r="H117" s="117">
        <f t="shared" si="26"/>
        <v>18686.062182023743</v>
      </c>
      <c r="I117" s="7"/>
      <c r="J117" s="10">
        <v>4.7469999999999999</v>
      </c>
      <c r="K117" s="117">
        <v>156915</v>
      </c>
      <c r="L117" s="120">
        <f t="shared" si="29"/>
        <v>88.702656868287164</v>
      </c>
      <c r="M117" s="122">
        <f t="shared" si="16"/>
        <v>330556.44</v>
      </c>
      <c r="N117" s="116">
        <f t="shared" si="17"/>
        <v>173641.44</v>
      </c>
      <c r="O117" s="123">
        <f t="shared" si="18"/>
        <v>98.157964951950262</v>
      </c>
      <c r="P117" s="5"/>
      <c r="Q117" s="5">
        <f t="shared" si="19"/>
        <v>1</v>
      </c>
      <c r="R117" s="7">
        <f t="shared" si="20"/>
        <v>1769</v>
      </c>
      <c r="S117" s="5">
        <f t="shared" si="21"/>
        <v>1</v>
      </c>
      <c r="T117" s="7">
        <f t="shared" si="22"/>
        <v>1769</v>
      </c>
    </row>
    <row r="118" spans="1:20">
      <c r="A118" s="23" t="s">
        <v>135</v>
      </c>
      <c r="B118" s="35" t="s">
        <v>134</v>
      </c>
      <c r="C118" s="36">
        <v>830</v>
      </c>
      <c r="D118" s="6"/>
      <c r="E118" s="113">
        <v>15175524</v>
      </c>
      <c r="F118" s="116">
        <f t="shared" si="25"/>
        <v>18283.763855421686</v>
      </c>
      <c r="G118" s="117">
        <v>8972887</v>
      </c>
      <c r="H118" s="117">
        <f t="shared" si="26"/>
        <v>10810.707228915662</v>
      </c>
      <c r="I118" s="7"/>
      <c r="J118" s="10">
        <v>1.4770000000000001</v>
      </c>
      <c r="K118" s="117">
        <v>13252</v>
      </c>
      <c r="L118" s="120">
        <f t="shared" si="29"/>
        <v>15.966265060240964</v>
      </c>
      <c r="M118" s="122">
        <f t="shared" si="16"/>
        <v>89728.87</v>
      </c>
      <c r="N118" s="116">
        <f t="shared" si="17"/>
        <v>76476.87</v>
      </c>
      <c r="O118" s="123">
        <f t="shared" si="18"/>
        <v>92.140807228915662</v>
      </c>
      <c r="P118" s="5"/>
      <c r="Q118" s="5">
        <f t="shared" si="19"/>
        <v>1</v>
      </c>
      <c r="R118" s="7">
        <f t="shared" si="20"/>
        <v>830</v>
      </c>
      <c r="S118" s="5">
        <f t="shared" si="21"/>
        <v>1</v>
      </c>
      <c r="T118" s="7">
        <f t="shared" si="22"/>
        <v>830</v>
      </c>
    </row>
    <row r="119" spans="1:20">
      <c r="A119" s="23" t="s">
        <v>136</v>
      </c>
      <c r="B119" s="35" t="s">
        <v>134</v>
      </c>
      <c r="C119" s="36">
        <v>791</v>
      </c>
      <c r="D119" s="6"/>
      <c r="E119" s="113">
        <v>21186436</v>
      </c>
      <c r="F119" s="116">
        <f t="shared" si="25"/>
        <v>26784.369152970921</v>
      </c>
      <c r="G119" s="117">
        <v>10887255</v>
      </c>
      <c r="H119" s="117">
        <f t="shared" si="26"/>
        <v>13763.912768647282</v>
      </c>
      <c r="I119" s="7"/>
      <c r="J119" s="10">
        <v>3.8584999999999998</v>
      </c>
      <c r="K119" s="117">
        <v>42008</v>
      </c>
      <c r="L119" s="120">
        <f t="shared" si="29"/>
        <v>53.107458912768649</v>
      </c>
      <c r="M119" s="122">
        <f t="shared" si="16"/>
        <v>108872.55</v>
      </c>
      <c r="N119" s="116">
        <f t="shared" si="17"/>
        <v>66864.55</v>
      </c>
      <c r="O119" s="123">
        <f t="shared" si="18"/>
        <v>84.531668773704169</v>
      </c>
      <c r="P119" s="5"/>
      <c r="Q119" s="5">
        <f t="shared" si="19"/>
        <v>1</v>
      </c>
      <c r="R119" s="7">
        <f t="shared" si="20"/>
        <v>791</v>
      </c>
      <c r="S119" s="5">
        <f t="shared" si="21"/>
        <v>1</v>
      </c>
      <c r="T119" s="7">
        <f t="shared" si="22"/>
        <v>791</v>
      </c>
    </row>
    <row r="120" spans="1:20">
      <c r="A120" s="23" t="s">
        <v>137</v>
      </c>
      <c r="B120" s="35" t="s">
        <v>138</v>
      </c>
      <c r="C120" s="36">
        <v>3012</v>
      </c>
      <c r="D120" s="6"/>
      <c r="E120" s="113">
        <v>46643824</v>
      </c>
      <c r="F120" s="116">
        <f t="shared" si="25"/>
        <v>15485.997343957504</v>
      </c>
      <c r="G120" s="117">
        <v>22411549</v>
      </c>
      <c r="H120" s="117">
        <f t="shared" si="26"/>
        <v>7440.7533200531207</v>
      </c>
      <c r="I120" s="7"/>
      <c r="J120" s="10">
        <v>6</v>
      </c>
      <c r="K120" s="117">
        <v>134469</v>
      </c>
      <c r="L120" s="120">
        <f t="shared" si="29"/>
        <v>44.644422310756973</v>
      </c>
      <c r="M120" s="122">
        <f t="shared" si="16"/>
        <v>224115.49</v>
      </c>
      <c r="N120" s="116">
        <f t="shared" si="17"/>
        <v>89646.489999999991</v>
      </c>
      <c r="O120" s="123">
        <f t="shared" si="18"/>
        <v>29.763110889774232</v>
      </c>
      <c r="P120" s="5"/>
      <c r="Q120" s="5">
        <f t="shared" si="19"/>
        <v>1</v>
      </c>
      <c r="R120" s="7">
        <f t="shared" si="20"/>
        <v>3012</v>
      </c>
      <c r="S120" s="5">
        <f t="shared" si="21"/>
        <v>1</v>
      </c>
      <c r="T120" s="7">
        <f t="shared" si="22"/>
        <v>3012</v>
      </c>
    </row>
    <row r="121" spans="1:20">
      <c r="A121" s="23" t="s">
        <v>139</v>
      </c>
      <c r="B121" s="35" t="s">
        <v>138</v>
      </c>
      <c r="C121" s="36">
        <v>4327</v>
      </c>
      <c r="D121" s="6"/>
      <c r="E121" s="113">
        <v>154809242</v>
      </c>
      <c r="F121" s="116">
        <f t="shared" si="25"/>
        <v>35777.499884446501</v>
      </c>
      <c r="G121" s="117">
        <v>77648166</v>
      </c>
      <c r="H121" s="117">
        <f t="shared" si="26"/>
        <v>17945.034897157384</v>
      </c>
      <c r="I121" s="7"/>
      <c r="J121" s="10">
        <v>5.0199999999999996</v>
      </c>
      <c r="K121" s="117">
        <v>389793</v>
      </c>
      <c r="L121" s="120">
        <f t="shared" si="29"/>
        <v>90.083891841922807</v>
      </c>
      <c r="M121" s="122">
        <f t="shared" si="16"/>
        <v>776481.66</v>
      </c>
      <c r="N121" s="116">
        <f t="shared" si="17"/>
        <v>386688.66000000003</v>
      </c>
      <c r="O121" s="123">
        <f t="shared" si="18"/>
        <v>89.366457129651039</v>
      </c>
      <c r="P121" s="5"/>
      <c r="Q121" s="5">
        <f t="shared" si="19"/>
        <v>1</v>
      </c>
      <c r="R121" s="7">
        <f t="shared" si="20"/>
        <v>4327</v>
      </c>
      <c r="S121" s="5">
        <f t="shared" si="21"/>
        <v>1</v>
      </c>
      <c r="T121" s="7">
        <f t="shared" si="22"/>
        <v>4327</v>
      </c>
    </row>
    <row r="122" spans="1:20">
      <c r="A122" s="23" t="s">
        <v>140</v>
      </c>
      <c r="B122" s="35" t="s">
        <v>138</v>
      </c>
      <c r="C122" s="36">
        <v>1642</v>
      </c>
      <c r="D122" s="6"/>
      <c r="E122" s="113">
        <v>37673999</v>
      </c>
      <c r="F122" s="116">
        <f t="shared" si="25"/>
        <v>22943.970158343483</v>
      </c>
      <c r="G122" s="117">
        <v>18386173</v>
      </c>
      <c r="H122" s="117">
        <f t="shared" si="26"/>
        <v>11197.425700365407</v>
      </c>
      <c r="I122" s="7"/>
      <c r="J122" s="10">
        <v>9</v>
      </c>
      <c r="K122" s="117">
        <v>165475</v>
      </c>
      <c r="L122" s="120">
        <f t="shared" si="29"/>
        <v>100.77649208282583</v>
      </c>
      <c r="M122" s="122">
        <f t="shared" si="16"/>
        <v>183861.73</v>
      </c>
      <c r="N122" s="116">
        <f t="shared" si="17"/>
        <v>18386.73000000001</v>
      </c>
      <c r="O122" s="123">
        <f t="shared" si="18"/>
        <v>11.197764920828265</v>
      </c>
      <c r="P122" s="5"/>
      <c r="Q122" s="5">
        <f t="shared" si="19"/>
        <v>1</v>
      </c>
      <c r="R122" s="7">
        <f t="shared" si="20"/>
        <v>1642</v>
      </c>
      <c r="S122" s="5">
        <f t="shared" si="21"/>
        <v>1</v>
      </c>
      <c r="T122" s="7">
        <f t="shared" si="22"/>
        <v>1642</v>
      </c>
    </row>
    <row r="123" spans="1:20">
      <c r="A123" s="23" t="s">
        <v>141</v>
      </c>
      <c r="B123" s="35" t="s">
        <v>142</v>
      </c>
      <c r="C123" s="36">
        <v>6572</v>
      </c>
      <c r="D123" s="6"/>
      <c r="E123" s="113">
        <v>318358742</v>
      </c>
      <c r="F123" s="116">
        <f t="shared" si="25"/>
        <v>48441.683201460743</v>
      </c>
      <c r="G123" s="117">
        <v>174338532</v>
      </c>
      <c r="H123" s="117">
        <f t="shared" si="26"/>
        <v>26527.469872185029</v>
      </c>
      <c r="I123" s="7"/>
      <c r="J123" s="10">
        <v>5.6341000000000001</v>
      </c>
      <c r="K123" s="117">
        <v>982240</v>
      </c>
      <c r="L123" s="120">
        <f t="shared" si="29"/>
        <v>149.45830797321972</v>
      </c>
      <c r="M123" s="122">
        <f t="shared" si="16"/>
        <v>1743385.32</v>
      </c>
      <c r="N123" s="116">
        <f t="shared" si="17"/>
        <v>761145.32000000007</v>
      </c>
      <c r="O123" s="123">
        <f t="shared" si="18"/>
        <v>115.81639074863057</v>
      </c>
      <c r="P123" s="5"/>
      <c r="Q123" s="5">
        <f t="shared" si="19"/>
        <v>1</v>
      </c>
      <c r="R123" s="7">
        <f t="shared" si="20"/>
        <v>6572</v>
      </c>
      <c r="S123" s="5">
        <f t="shared" si="21"/>
        <v>1</v>
      </c>
      <c r="T123" s="7">
        <f t="shared" si="22"/>
        <v>6572</v>
      </c>
    </row>
    <row r="124" spans="1:20">
      <c r="A124" s="23" t="s">
        <v>558</v>
      </c>
      <c r="B124" s="35" t="s">
        <v>142</v>
      </c>
      <c r="C124" s="36">
        <v>4339</v>
      </c>
      <c r="D124" s="6"/>
      <c r="E124" s="113">
        <v>219944460</v>
      </c>
      <c r="F124" s="116">
        <f t="shared" si="25"/>
        <v>50690.126757317354</v>
      </c>
      <c r="G124" s="117">
        <v>127119730</v>
      </c>
      <c r="H124" s="117">
        <f t="shared" si="26"/>
        <v>29297.010831988937</v>
      </c>
      <c r="I124" s="7"/>
      <c r="J124" s="10">
        <v>3</v>
      </c>
      <c r="K124" s="117">
        <v>381359</v>
      </c>
      <c r="L124" s="120">
        <f t="shared" si="29"/>
        <v>87.890988707075365</v>
      </c>
      <c r="M124" s="122">
        <f t="shared" si="16"/>
        <v>1271197.3</v>
      </c>
      <c r="N124" s="116">
        <f t="shared" si="17"/>
        <v>889838.3</v>
      </c>
      <c r="O124" s="123">
        <f t="shared" si="18"/>
        <v>205.07911961281403</v>
      </c>
      <c r="P124" s="5"/>
      <c r="Q124" s="5">
        <f t="shared" si="19"/>
        <v>1</v>
      </c>
      <c r="R124" s="7">
        <f t="shared" si="20"/>
        <v>4339</v>
      </c>
      <c r="S124" s="5">
        <f t="shared" si="21"/>
        <v>1</v>
      </c>
      <c r="T124" s="7">
        <f t="shared" si="22"/>
        <v>4339</v>
      </c>
    </row>
    <row r="125" spans="1:20">
      <c r="A125" s="23" t="s">
        <v>143</v>
      </c>
      <c r="B125" s="35" t="s">
        <v>144</v>
      </c>
      <c r="C125" s="36">
        <v>7297</v>
      </c>
      <c r="D125" s="6"/>
      <c r="E125" s="113">
        <v>540099360</v>
      </c>
      <c r="F125" s="116">
        <f t="shared" si="25"/>
        <v>74016.631492394139</v>
      </c>
      <c r="G125" s="117">
        <v>274404384</v>
      </c>
      <c r="H125" s="117">
        <f t="shared" si="26"/>
        <v>37605.095792791559</v>
      </c>
      <c r="I125" s="7"/>
      <c r="J125" s="10">
        <v>8</v>
      </c>
      <c r="K125" s="117">
        <v>2195235</v>
      </c>
      <c r="L125" s="120">
        <f t="shared" si="29"/>
        <v>300.84075647526379</v>
      </c>
      <c r="M125" s="122">
        <f t="shared" si="16"/>
        <v>2744043.84</v>
      </c>
      <c r="N125" s="116">
        <f t="shared" si="17"/>
        <v>548808.83999999985</v>
      </c>
      <c r="O125" s="123">
        <f t="shared" si="18"/>
        <v>75.210201452651759</v>
      </c>
      <c r="P125" s="5"/>
      <c r="Q125" s="5">
        <f t="shared" si="19"/>
        <v>1</v>
      </c>
      <c r="R125" s="7">
        <f t="shared" si="20"/>
        <v>7297</v>
      </c>
      <c r="S125" s="5">
        <f t="shared" si="21"/>
        <v>1</v>
      </c>
      <c r="T125" s="7">
        <f t="shared" si="22"/>
        <v>7297</v>
      </c>
    </row>
    <row r="126" spans="1:20">
      <c r="A126" s="23" t="s">
        <v>145</v>
      </c>
      <c r="B126" s="35" t="s">
        <v>144</v>
      </c>
      <c r="C126" s="36">
        <v>8</v>
      </c>
      <c r="D126" s="6"/>
      <c r="E126" s="113">
        <v>22757885</v>
      </c>
      <c r="F126" s="116">
        <f t="shared" si="25"/>
        <v>2844735.625</v>
      </c>
      <c r="G126" s="117">
        <v>17707438</v>
      </c>
      <c r="H126" s="117">
        <f t="shared" si="26"/>
        <v>2213429.75</v>
      </c>
      <c r="I126" s="7"/>
      <c r="J126" s="10">
        <v>2.5499999999999998</v>
      </c>
      <c r="K126" s="117">
        <v>45153</v>
      </c>
      <c r="L126" s="120">
        <f t="shared" si="29"/>
        <v>5644.125</v>
      </c>
      <c r="M126" s="122">
        <f t="shared" si="16"/>
        <v>177074.38</v>
      </c>
      <c r="N126" s="116">
        <f t="shared" si="17"/>
        <v>131921.38</v>
      </c>
      <c r="O126" s="123">
        <f t="shared" si="18"/>
        <v>16490.172500000001</v>
      </c>
      <c r="P126" s="5"/>
      <c r="Q126" s="5">
        <f t="shared" si="19"/>
        <v>1</v>
      </c>
      <c r="R126" s="7">
        <f t="shared" si="20"/>
        <v>8</v>
      </c>
      <c r="S126" s="5">
        <f t="shared" si="21"/>
        <v>1</v>
      </c>
      <c r="T126" s="7">
        <f t="shared" si="22"/>
        <v>8</v>
      </c>
    </row>
    <row r="127" spans="1:20">
      <c r="A127" s="23" t="s">
        <v>146</v>
      </c>
      <c r="B127" s="35" t="s">
        <v>147</v>
      </c>
      <c r="C127" s="36">
        <v>8596</v>
      </c>
      <c r="D127" s="6"/>
      <c r="E127" s="113">
        <v>260157096</v>
      </c>
      <c r="F127" s="116">
        <f t="shared" si="25"/>
        <v>30264.90181479758</v>
      </c>
      <c r="G127" s="117">
        <v>158118610</v>
      </c>
      <c r="H127" s="117">
        <f t="shared" si="26"/>
        <v>18394.440437412752</v>
      </c>
      <c r="I127" s="7"/>
      <c r="J127" s="10">
        <v>7.75</v>
      </c>
      <c r="K127" s="117">
        <v>1225419</v>
      </c>
      <c r="L127" s="120">
        <f t="shared" si="29"/>
        <v>142.55688692415077</v>
      </c>
      <c r="M127" s="122">
        <f t="shared" si="16"/>
        <v>1581186.1</v>
      </c>
      <c r="N127" s="116">
        <f t="shared" si="17"/>
        <v>355767.10000000009</v>
      </c>
      <c r="O127" s="123">
        <f t="shared" si="18"/>
        <v>41.387517449976741</v>
      </c>
      <c r="P127" s="5"/>
      <c r="Q127" s="5">
        <f t="shared" si="19"/>
        <v>1</v>
      </c>
      <c r="R127" s="7">
        <f t="shared" si="20"/>
        <v>8596</v>
      </c>
      <c r="S127" s="5">
        <f t="shared" si="21"/>
        <v>1</v>
      </c>
      <c r="T127" s="7">
        <f t="shared" si="22"/>
        <v>8596</v>
      </c>
    </row>
    <row r="128" spans="1:20">
      <c r="A128" s="23" t="s">
        <v>148</v>
      </c>
      <c r="B128" s="35" t="s">
        <v>147</v>
      </c>
      <c r="C128" s="36">
        <v>1686</v>
      </c>
      <c r="D128" s="6"/>
      <c r="E128" s="113">
        <v>133820616</v>
      </c>
      <c r="F128" s="116">
        <f t="shared" si="25"/>
        <v>79371.658362989328</v>
      </c>
      <c r="G128" s="117">
        <v>92300171</v>
      </c>
      <c r="H128" s="117">
        <f t="shared" si="26"/>
        <v>54745.059905100832</v>
      </c>
      <c r="I128" s="7"/>
      <c r="J128" s="10">
        <v>4</v>
      </c>
      <c r="K128" s="117">
        <v>369200</v>
      </c>
      <c r="L128" s="120">
        <f t="shared" si="29"/>
        <v>218.97983392645315</v>
      </c>
      <c r="M128" s="122">
        <f t="shared" si="16"/>
        <v>923001.71</v>
      </c>
      <c r="N128" s="116">
        <f t="shared" si="17"/>
        <v>553801.71</v>
      </c>
      <c r="O128" s="123">
        <f t="shared" si="18"/>
        <v>328.47076512455516</v>
      </c>
      <c r="P128" s="5"/>
      <c r="Q128" s="5">
        <f t="shared" si="19"/>
        <v>1</v>
      </c>
      <c r="R128" s="7">
        <f t="shared" si="20"/>
        <v>1686</v>
      </c>
      <c r="S128" s="5">
        <f t="shared" si="21"/>
        <v>1</v>
      </c>
      <c r="T128" s="7">
        <f t="shared" si="22"/>
        <v>1686</v>
      </c>
    </row>
    <row r="129" spans="1:20">
      <c r="A129" s="23" t="s">
        <v>149</v>
      </c>
      <c r="B129" s="35" t="s">
        <v>147</v>
      </c>
      <c r="C129" s="36">
        <v>9853</v>
      </c>
      <c r="D129" s="6"/>
      <c r="E129" s="113">
        <v>521242626</v>
      </c>
      <c r="F129" s="116">
        <f t="shared" si="25"/>
        <v>52901.920836293517</v>
      </c>
      <c r="G129" s="117">
        <v>378819778</v>
      </c>
      <c r="H129" s="117">
        <f t="shared" si="26"/>
        <v>38447.150918501982</v>
      </c>
      <c r="I129" s="7"/>
      <c r="J129" s="10">
        <v>6.5</v>
      </c>
      <c r="K129" s="117">
        <v>2462328</v>
      </c>
      <c r="L129" s="120">
        <f t="shared" si="29"/>
        <v>249.90642443925708</v>
      </c>
      <c r="M129" s="122">
        <f t="shared" si="16"/>
        <v>3788197.7800000003</v>
      </c>
      <c r="N129" s="116">
        <f t="shared" si="17"/>
        <v>1325869.7800000003</v>
      </c>
      <c r="O129" s="123">
        <f t="shared" si="18"/>
        <v>134.56508474576273</v>
      </c>
      <c r="P129" s="5"/>
      <c r="Q129" s="5">
        <f t="shared" si="19"/>
        <v>1</v>
      </c>
      <c r="R129" s="7">
        <f t="shared" si="20"/>
        <v>9853</v>
      </c>
      <c r="S129" s="5">
        <f t="shared" si="21"/>
        <v>1</v>
      </c>
      <c r="T129" s="7">
        <f t="shared" si="22"/>
        <v>9853</v>
      </c>
    </row>
    <row r="130" spans="1:20">
      <c r="A130" s="23" t="s">
        <v>150</v>
      </c>
      <c r="B130" s="35" t="s">
        <v>151</v>
      </c>
      <c r="C130" s="36">
        <v>31841</v>
      </c>
      <c r="D130" s="6"/>
      <c r="E130" s="113">
        <v>1930955338</v>
      </c>
      <c r="F130" s="116">
        <f t="shared" si="25"/>
        <v>60643.67758550297</v>
      </c>
      <c r="G130" s="117">
        <v>1365050021</v>
      </c>
      <c r="H130" s="117">
        <f t="shared" si="26"/>
        <v>42870.827580792058</v>
      </c>
      <c r="I130" s="7"/>
      <c r="J130" s="10">
        <v>4.7</v>
      </c>
      <c r="K130" s="117">
        <v>6415735</v>
      </c>
      <c r="L130" s="120">
        <f t="shared" si="29"/>
        <v>201.49288652994568</v>
      </c>
      <c r="M130" s="122">
        <f t="shared" si="16"/>
        <v>13650500.210000001</v>
      </c>
      <c r="N130" s="116">
        <f t="shared" si="17"/>
        <v>7234765.2100000009</v>
      </c>
      <c r="O130" s="123">
        <f t="shared" si="18"/>
        <v>227.21538927797496</v>
      </c>
      <c r="P130" s="5"/>
      <c r="Q130" s="5">
        <f t="shared" si="19"/>
        <v>1</v>
      </c>
      <c r="R130" s="7">
        <f t="shared" si="20"/>
        <v>31841</v>
      </c>
      <c r="S130" s="5">
        <f t="shared" si="21"/>
        <v>1</v>
      </c>
      <c r="T130" s="7">
        <f t="shared" si="22"/>
        <v>31841</v>
      </c>
    </row>
    <row r="131" spans="1:20">
      <c r="A131" s="23" t="s">
        <v>152</v>
      </c>
      <c r="B131" s="35" t="s">
        <v>151</v>
      </c>
      <c r="C131" s="36">
        <v>318258</v>
      </c>
      <c r="D131" s="6"/>
      <c r="E131" s="113">
        <v>27729612528</v>
      </c>
      <c r="F131" s="116">
        <f t="shared" si="25"/>
        <v>87129.349546594269</v>
      </c>
      <c r="G131" s="117">
        <v>18000040225</v>
      </c>
      <c r="H131" s="117">
        <f t="shared" si="26"/>
        <v>56558.013388508691</v>
      </c>
      <c r="I131" s="7"/>
      <c r="J131" s="10">
        <v>6.5389999999999997</v>
      </c>
      <c r="K131" s="117">
        <v>117702263</v>
      </c>
      <c r="L131" s="120">
        <f t="shared" si="29"/>
        <v>369.83284944918904</v>
      </c>
      <c r="M131" s="122">
        <f t="shared" si="16"/>
        <v>180000402.25</v>
      </c>
      <c r="N131" s="116">
        <f t="shared" si="17"/>
        <v>62298139.25</v>
      </c>
      <c r="O131" s="123">
        <f t="shared" si="18"/>
        <v>195.74728443589791</v>
      </c>
      <c r="P131" s="5"/>
      <c r="Q131" s="5">
        <f t="shared" si="19"/>
        <v>1</v>
      </c>
      <c r="R131" s="7">
        <f t="shared" si="20"/>
        <v>318258</v>
      </c>
      <c r="S131" s="5">
        <f t="shared" si="21"/>
        <v>1</v>
      </c>
      <c r="T131" s="7">
        <f t="shared" si="22"/>
        <v>318258</v>
      </c>
    </row>
    <row r="132" spans="1:20">
      <c r="A132" s="23" t="s">
        <v>153</v>
      </c>
      <c r="B132" s="35" t="s">
        <v>151</v>
      </c>
      <c r="C132" s="36">
        <v>21862</v>
      </c>
      <c r="D132" s="6"/>
      <c r="E132" s="113">
        <v>1459490954</v>
      </c>
      <c r="F132" s="116">
        <f t="shared" si="25"/>
        <v>66759.260543408658</v>
      </c>
      <c r="G132" s="117">
        <v>1104235257</v>
      </c>
      <c r="H132" s="117">
        <f t="shared" si="26"/>
        <v>50509.343015277649</v>
      </c>
      <c r="I132" s="7"/>
      <c r="J132" s="10">
        <v>4.91</v>
      </c>
      <c r="K132" s="117">
        <v>5421795</v>
      </c>
      <c r="L132" s="120">
        <f t="shared" si="29"/>
        <v>248.00086908791511</v>
      </c>
      <c r="M132" s="122">
        <f t="shared" si="16"/>
        <v>11042352.57</v>
      </c>
      <c r="N132" s="116">
        <f t="shared" si="17"/>
        <v>5620557.5700000003</v>
      </c>
      <c r="O132" s="123">
        <f t="shared" si="18"/>
        <v>257.0925610648614</v>
      </c>
      <c r="P132" s="5"/>
      <c r="Q132" s="5">
        <f t="shared" si="19"/>
        <v>1</v>
      </c>
      <c r="R132" s="7">
        <f t="shared" si="20"/>
        <v>21862</v>
      </c>
      <c r="S132" s="5">
        <f t="shared" si="21"/>
        <v>1</v>
      </c>
      <c r="T132" s="7">
        <f t="shared" si="22"/>
        <v>21862</v>
      </c>
    </row>
    <row r="133" spans="1:20">
      <c r="A133" s="23" t="s">
        <v>154</v>
      </c>
      <c r="B133" s="35" t="s">
        <v>155</v>
      </c>
      <c r="C133" s="36">
        <v>2700</v>
      </c>
      <c r="D133" s="6"/>
      <c r="E133" s="113">
        <v>104210237</v>
      </c>
      <c r="F133" s="116">
        <f t="shared" si="25"/>
        <v>38596.384074074071</v>
      </c>
      <c r="G133" s="117">
        <v>61483396</v>
      </c>
      <c r="H133" s="117">
        <f t="shared" si="26"/>
        <v>22771.628148148149</v>
      </c>
      <c r="I133" s="98" t="s">
        <v>528</v>
      </c>
      <c r="J133" s="10"/>
      <c r="K133" s="117"/>
      <c r="L133" s="120"/>
      <c r="M133" s="122">
        <f t="shared" si="16"/>
        <v>614833.96</v>
      </c>
      <c r="N133" s="116">
        <f t="shared" si="17"/>
        <v>614833.96</v>
      </c>
      <c r="O133" s="123">
        <f t="shared" si="18"/>
        <v>227.71628148148147</v>
      </c>
      <c r="P133" s="5"/>
      <c r="Q133" s="5">
        <f t="shared" si="19"/>
        <v>1</v>
      </c>
      <c r="R133" s="7">
        <f t="shared" si="20"/>
        <v>2700</v>
      </c>
      <c r="S133" s="5">
        <f t="shared" si="21"/>
        <v>0</v>
      </c>
      <c r="T133" s="7">
        <f t="shared" si="22"/>
        <v>0</v>
      </c>
    </row>
    <row r="134" spans="1:20">
      <c r="A134" s="23" t="s">
        <v>156</v>
      </c>
      <c r="B134" s="35" t="s">
        <v>155</v>
      </c>
      <c r="C134" s="36">
        <v>379</v>
      </c>
      <c r="D134" s="6"/>
      <c r="E134" s="113">
        <v>7317251</v>
      </c>
      <c r="F134" s="116">
        <f t="shared" si="25"/>
        <v>19306.730870712399</v>
      </c>
      <c r="G134" s="117">
        <v>3535415</v>
      </c>
      <c r="H134" s="117">
        <f t="shared" si="26"/>
        <v>9328.2717678100271</v>
      </c>
      <c r="I134" s="7"/>
      <c r="J134" s="10">
        <v>0.7077</v>
      </c>
      <c r="K134" s="117">
        <v>2502</v>
      </c>
      <c r="L134" s="120">
        <f>(K134/C134)</f>
        <v>6.6015831134564644</v>
      </c>
      <c r="M134" s="122">
        <f t="shared" ref="M134:M197" si="30">(G134*0.01)</f>
        <v>35354.15</v>
      </c>
      <c r="N134" s="116">
        <f t="shared" ref="N134:N197" si="31">(M134-K134)</f>
        <v>32852.15</v>
      </c>
      <c r="O134" s="123">
        <f t="shared" ref="O134:O197" si="32">(N134/C134)</f>
        <v>86.681134564643799</v>
      </c>
      <c r="P134" s="5"/>
      <c r="Q134" s="5">
        <f t="shared" si="19"/>
        <v>1</v>
      </c>
      <c r="R134" s="7">
        <f t="shared" si="20"/>
        <v>379</v>
      </c>
      <c r="S134" s="5">
        <f t="shared" si="21"/>
        <v>1</v>
      </c>
      <c r="T134" s="7">
        <f t="shared" si="22"/>
        <v>379</v>
      </c>
    </row>
    <row r="135" spans="1:20">
      <c r="A135" s="23" t="s">
        <v>157</v>
      </c>
      <c r="B135" s="35" t="s">
        <v>155</v>
      </c>
      <c r="C135" s="36">
        <v>230</v>
      </c>
      <c r="D135" s="6"/>
      <c r="E135" s="113">
        <v>3056860</v>
      </c>
      <c r="F135" s="116">
        <f t="shared" si="25"/>
        <v>13290.695652173914</v>
      </c>
      <c r="G135" s="117">
        <v>1167365</v>
      </c>
      <c r="H135" s="117">
        <f t="shared" si="26"/>
        <v>5075.5</v>
      </c>
      <c r="I135" s="7"/>
      <c r="J135" s="12">
        <v>1.58</v>
      </c>
      <c r="K135" s="117">
        <v>1844</v>
      </c>
      <c r="L135" s="120">
        <f>(K135/C135)</f>
        <v>8.0173913043478269</v>
      </c>
      <c r="M135" s="122">
        <f t="shared" si="30"/>
        <v>11673.65</v>
      </c>
      <c r="N135" s="116">
        <f t="shared" si="31"/>
        <v>9829.65</v>
      </c>
      <c r="O135" s="123">
        <f t="shared" si="32"/>
        <v>42.73760869565217</v>
      </c>
      <c r="P135" s="5"/>
      <c r="Q135" s="5">
        <f t="shared" ref="Q135:Q198" si="33">IF(E135&gt;0,1,0)</f>
        <v>1</v>
      </c>
      <c r="R135" s="7">
        <f t="shared" ref="R135:R198" si="34">IF(E135&gt;0,C135,0)</f>
        <v>230</v>
      </c>
      <c r="S135" s="5">
        <f t="shared" ref="S135:S198" si="35">IF(J135&gt;0,1,0)</f>
        <v>1</v>
      </c>
      <c r="T135" s="7">
        <f t="shared" ref="T135:T198" si="36">IF(J135&gt;0,C135,0)</f>
        <v>230</v>
      </c>
    </row>
    <row r="136" spans="1:20">
      <c r="A136" s="23" t="s">
        <v>158</v>
      </c>
      <c r="B136" s="35" t="s">
        <v>155</v>
      </c>
      <c r="C136" s="36">
        <v>457</v>
      </c>
      <c r="D136" s="6"/>
      <c r="E136" s="113">
        <v>13956023</v>
      </c>
      <c r="F136" s="116">
        <f t="shared" si="25"/>
        <v>30538.343544857769</v>
      </c>
      <c r="G136" s="117">
        <v>8023178</v>
      </c>
      <c r="H136" s="117">
        <f t="shared" si="26"/>
        <v>17556.188183807441</v>
      </c>
      <c r="I136" s="98" t="s">
        <v>528</v>
      </c>
      <c r="J136" s="10"/>
      <c r="K136" s="117"/>
      <c r="L136" s="120"/>
      <c r="M136" s="122">
        <f t="shared" si="30"/>
        <v>80231.78</v>
      </c>
      <c r="N136" s="116">
        <f t="shared" si="31"/>
        <v>80231.78</v>
      </c>
      <c r="O136" s="123">
        <f t="shared" si="32"/>
        <v>175.56188183807438</v>
      </c>
      <c r="P136" s="5"/>
      <c r="Q136" s="5">
        <f t="shared" si="33"/>
        <v>1</v>
      </c>
      <c r="R136" s="7">
        <f t="shared" si="34"/>
        <v>457</v>
      </c>
      <c r="S136" s="5">
        <f t="shared" si="35"/>
        <v>0</v>
      </c>
      <c r="T136" s="7">
        <f t="shared" si="36"/>
        <v>0</v>
      </c>
    </row>
    <row r="137" spans="1:20">
      <c r="A137" s="23" t="s">
        <v>159</v>
      </c>
      <c r="B137" s="35" t="s">
        <v>155</v>
      </c>
      <c r="C137" s="36">
        <v>208</v>
      </c>
      <c r="D137" s="6"/>
      <c r="E137" s="113">
        <v>8302133</v>
      </c>
      <c r="F137" s="116">
        <f t="shared" si="25"/>
        <v>39914.100961538461</v>
      </c>
      <c r="G137" s="117">
        <v>3095887</v>
      </c>
      <c r="H137" s="117">
        <f t="shared" si="26"/>
        <v>14884.072115384615</v>
      </c>
      <c r="I137" s="98" t="s">
        <v>528</v>
      </c>
      <c r="J137" s="10"/>
      <c r="K137" s="117"/>
      <c r="L137" s="120"/>
      <c r="M137" s="122">
        <f t="shared" si="30"/>
        <v>30958.87</v>
      </c>
      <c r="N137" s="116">
        <f t="shared" si="31"/>
        <v>30958.87</v>
      </c>
      <c r="O137" s="123">
        <f t="shared" si="32"/>
        <v>148.84072115384615</v>
      </c>
      <c r="P137" s="5"/>
      <c r="Q137" s="5">
        <f t="shared" si="33"/>
        <v>1</v>
      </c>
      <c r="R137" s="7">
        <f t="shared" si="34"/>
        <v>208</v>
      </c>
      <c r="S137" s="5">
        <f t="shared" si="35"/>
        <v>0</v>
      </c>
      <c r="T137" s="7">
        <f t="shared" si="36"/>
        <v>0</v>
      </c>
    </row>
    <row r="138" spans="1:20">
      <c r="A138" s="23" t="s">
        <v>160</v>
      </c>
      <c r="B138" s="35" t="s">
        <v>161</v>
      </c>
      <c r="C138" s="36">
        <v>4173</v>
      </c>
      <c r="D138" s="6"/>
      <c r="E138" s="113">
        <v>80417339</v>
      </c>
      <c r="F138" s="116">
        <f t="shared" si="25"/>
        <v>19270.869638150012</v>
      </c>
      <c r="G138" s="117">
        <v>45575007</v>
      </c>
      <c r="H138" s="117">
        <f t="shared" si="26"/>
        <v>10921.401150251617</v>
      </c>
      <c r="I138" s="7"/>
      <c r="J138" s="11">
        <v>5.75</v>
      </c>
      <c r="K138" s="117">
        <v>262056</v>
      </c>
      <c r="L138" s="120">
        <f t="shared" ref="L138:L143" si="37">(K138/C138)</f>
        <v>62.797987059669303</v>
      </c>
      <c r="M138" s="122">
        <f t="shared" si="30"/>
        <v>455750.07</v>
      </c>
      <c r="N138" s="116">
        <f t="shared" si="31"/>
        <v>193694.07</v>
      </c>
      <c r="O138" s="123">
        <f t="shared" si="32"/>
        <v>46.416024442846876</v>
      </c>
      <c r="P138" s="5"/>
      <c r="Q138" s="5">
        <f t="shared" si="33"/>
        <v>1</v>
      </c>
      <c r="R138" s="7">
        <f t="shared" si="34"/>
        <v>4173</v>
      </c>
      <c r="S138" s="5">
        <f t="shared" si="35"/>
        <v>1</v>
      </c>
      <c r="T138" s="7">
        <f t="shared" si="36"/>
        <v>4173</v>
      </c>
    </row>
    <row r="139" spans="1:20">
      <c r="A139" s="23" t="s">
        <v>162</v>
      </c>
      <c r="B139" s="35" t="s">
        <v>161</v>
      </c>
      <c r="C139" s="36">
        <v>3574</v>
      </c>
      <c r="D139" s="6"/>
      <c r="E139" s="113">
        <v>2330577900</v>
      </c>
      <c r="F139" s="116">
        <f t="shared" si="25"/>
        <v>652092.30554001115</v>
      </c>
      <c r="G139" s="117">
        <v>1945971499</v>
      </c>
      <c r="H139" s="117">
        <f t="shared" si="26"/>
        <v>544479.99412423058</v>
      </c>
      <c r="I139" s="7"/>
      <c r="J139" s="11">
        <v>1.4730000000000001</v>
      </c>
      <c r="K139" s="117">
        <v>2866416</v>
      </c>
      <c r="L139" s="120">
        <f t="shared" si="37"/>
        <v>802.01902630106326</v>
      </c>
      <c r="M139" s="122">
        <f t="shared" si="30"/>
        <v>19459714.990000002</v>
      </c>
      <c r="N139" s="116">
        <f t="shared" si="31"/>
        <v>16593298.990000002</v>
      </c>
      <c r="O139" s="123">
        <f t="shared" si="32"/>
        <v>4642.7809149412433</v>
      </c>
      <c r="P139" s="5"/>
      <c r="Q139" s="5">
        <f t="shared" si="33"/>
        <v>1</v>
      </c>
      <c r="R139" s="7">
        <f t="shared" si="34"/>
        <v>3574</v>
      </c>
      <c r="S139" s="5">
        <f t="shared" si="35"/>
        <v>1</v>
      </c>
      <c r="T139" s="7">
        <f t="shared" si="36"/>
        <v>3574</v>
      </c>
    </row>
    <row r="140" spans="1:20">
      <c r="A140" s="23" t="s">
        <v>163</v>
      </c>
      <c r="B140" s="35" t="s">
        <v>161</v>
      </c>
      <c r="C140" s="36">
        <v>299</v>
      </c>
      <c r="D140" s="6"/>
      <c r="E140" s="113">
        <v>399249655</v>
      </c>
      <c r="F140" s="116">
        <f t="shared" si="25"/>
        <v>1335283.1270903009</v>
      </c>
      <c r="G140" s="117">
        <v>370789885</v>
      </c>
      <c r="H140" s="117">
        <f t="shared" si="26"/>
        <v>1240099.9498327759</v>
      </c>
      <c r="I140" s="7"/>
      <c r="J140" s="10">
        <v>0.89539999999999997</v>
      </c>
      <c r="K140" s="117">
        <v>332005</v>
      </c>
      <c r="L140" s="120">
        <f t="shared" si="37"/>
        <v>1110.3846153846155</v>
      </c>
      <c r="M140" s="122">
        <f t="shared" si="30"/>
        <v>3707898.85</v>
      </c>
      <c r="N140" s="116">
        <f t="shared" si="31"/>
        <v>3375893.85</v>
      </c>
      <c r="O140" s="123">
        <f t="shared" si="32"/>
        <v>11290.614882943144</v>
      </c>
      <c r="P140" s="5"/>
      <c r="Q140" s="5">
        <f t="shared" si="33"/>
        <v>1</v>
      </c>
      <c r="R140" s="7">
        <f t="shared" si="34"/>
        <v>299</v>
      </c>
      <c r="S140" s="5">
        <f t="shared" si="35"/>
        <v>1</v>
      </c>
      <c r="T140" s="7">
        <f t="shared" si="36"/>
        <v>299</v>
      </c>
    </row>
    <row r="141" spans="1:20">
      <c r="A141" s="23" t="s">
        <v>164</v>
      </c>
      <c r="B141" s="35" t="s">
        <v>161</v>
      </c>
      <c r="C141" s="36">
        <v>18275</v>
      </c>
      <c r="D141" s="6"/>
      <c r="E141" s="113">
        <v>995952364</v>
      </c>
      <c r="F141" s="116">
        <f t="shared" si="25"/>
        <v>54498.077373461012</v>
      </c>
      <c r="G141" s="117">
        <v>704823724</v>
      </c>
      <c r="H141" s="117">
        <f t="shared" si="26"/>
        <v>38567.64563611491</v>
      </c>
      <c r="I141" s="7"/>
      <c r="J141" s="10">
        <v>4.5903999999999998</v>
      </c>
      <c r="K141" s="117">
        <v>3235422</v>
      </c>
      <c r="L141" s="120">
        <f t="shared" si="37"/>
        <v>177.04087551299588</v>
      </c>
      <c r="M141" s="122">
        <f t="shared" si="30"/>
        <v>7048237.2400000002</v>
      </c>
      <c r="N141" s="116">
        <f t="shared" si="31"/>
        <v>3812815.24</v>
      </c>
      <c r="O141" s="123">
        <f t="shared" si="32"/>
        <v>208.63558084815324</v>
      </c>
      <c r="P141" s="5"/>
      <c r="Q141" s="5">
        <f t="shared" si="33"/>
        <v>1</v>
      </c>
      <c r="R141" s="7">
        <f t="shared" si="34"/>
        <v>18275</v>
      </c>
      <c r="S141" s="5">
        <f t="shared" si="35"/>
        <v>1</v>
      </c>
      <c r="T141" s="7">
        <f t="shared" si="36"/>
        <v>18275</v>
      </c>
    </row>
    <row r="142" spans="1:20">
      <c r="A142" s="23" t="s">
        <v>165</v>
      </c>
      <c r="B142" s="35" t="s">
        <v>161</v>
      </c>
      <c r="C142" s="36">
        <v>17945</v>
      </c>
      <c r="D142" s="6"/>
      <c r="E142" s="113">
        <v>2540597211</v>
      </c>
      <c r="F142" s="116">
        <f t="shared" si="25"/>
        <v>141576.88553914739</v>
      </c>
      <c r="G142" s="117">
        <v>1867208848</v>
      </c>
      <c r="H142" s="117">
        <f t="shared" si="26"/>
        <v>104051.76082474226</v>
      </c>
      <c r="I142" s="7"/>
      <c r="J142" s="10">
        <v>2.1425000000000001</v>
      </c>
      <c r="K142" s="117">
        <v>4000494</v>
      </c>
      <c r="L142" s="120">
        <f t="shared" si="37"/>
        <v>222.93084424630817</v>
      </c>
      <c r="M142" s="122">
        <f t="shared" si="30"/>
        <v>18672088.48</v>
      </c>
      <c r="N142" s="116">
        <f t="shared" si="31"/>
        <v>14671594.48</v>
      </c>
      <c r="O142" s="123">
        <f t="shared" si="32"/>
        <v>817.58676400111449</v>
      </c>
      <c r="P142" s="5"/>
      <c r="Q142" s="5">
        <f t="shared" si="33"/>
        <v>1</v>
      </c>
      <c r="R142" s="7">
        <f t="shared" si="34"/>
        <v>17945</v>
      </c>
      <c r="S142" s="5">
        <f t="shared" si="35"/>
        <v>1</v>
      </c>
      <c r="T142" s="7">
        <f t="shared" si="36"/>
        <v>17945</v>
      </c>
    </row>
    <row r="143" spans="1:20">
      <c r="A143" s="23" t="s">
        <v>166</v>
      </c>
      <c r="B143" s="35" t="s">
        <v>167</v>
      </c>
      <c r="C143" s="36">
        <v>478</v>
      </c>
      <c r="D143" s="6"/>
      <c r="E143" s="113">
        <v>9944491</v>
      </c>
      <c r="F143" s="116">
        <f t="shared" si="25"/>
        <v>20804.374476987447</v>
      </c>
      <c r="G143" s="117">
        <v>4821335</v>
      </c>
      <c r="H143" s="117">
        <f t="shared" si="26"/>
        <v>10086.47489539749</v>
      </c>
      <c r="I143" s="7"/>
      <c r="J143" s="10">
        <v>0.99299999999999999</v>
      </c>
      <c r="K143" s="117">
        <v>4787</v>
      </c>
      <c r="L143" s="120">
        <f t="shared" si="37"/>
        <v>10.014644351464435</v>
      </c>
      <c r="M143" s="122">
        <f t="shared" si="30"/>
        <v>48213.35</v>
      </c>
      <c r="N143" s="116">
        <f t="shared" si="31"/>
        <v>43426.35</v>
      </c>
      <c r="O143" s="123">
        <f t="shared" si="32"/>
        <v>90.850104602510456</v>
      </c>
      <c r="P143" s="5"/>
      <c r="Q143" s="5">
        <f t="shared" si="33"/>
        <v>1</v>
      </c>
      <c r="R143" s="7">
        <f t="shared" si="34"/>
        <v>478</v>
      </c>
      <c r="S143" s="5">
        <f t="shared" si="35"/>
        <v>1</v>
      </c>
      <c r="T143" s="7">
        <f t="shared" si="36"/>
        <v>478</v>
      </c>
    </row>
    <row r="144" spans="1:20">
      <c r="A144" s="23" t="s">
        <v>168</v>
      </c>
      <c r="B144" s="35" t="s">
        <v>167</v>
      </c>
      <c r="C144" s="36">
        <v>107</v>
      </c>
      <c r="D144" s="6"/>
      <c r="E144" s="113">
        <v>2009658</v>
      </c>
      <c r="F144" s="116">
        <f t="shared" si="25"/>
        <v>18781.850467289718</v>
      </c>
      <c r="G144" s="117">
        <v>1158355</v>
      </c>
      <c r="H144" s="117">
        <f t="shared" si="26"/>
        <v>10825.747663551401</v>
      </c>
      <c r="I144" s="98" t="s">
        <v>528</v>
      </c>
      <c r="J144" s="10"/>
      <c r="K144" s="117"/>
      <c r="L144" s="120"/>
      <c r="M144" s="122">
        <f t="shared" si="30"/>
        <v>11583.550000000001</v>
      </c>
      <c r="N144" s="116">
        <f t="shared" si="31"/>
        <v>11583.550000000001</v>
      </c>
      <c r="O144" s="123">
        <f t="shared" si="32"/>
        <v>108.25747663551402</v>
      </c>
      <c r="P144" s="5"/>
      <c r="Q144" s="5">
        <f t="shared" si="33"/>
        <v>1</v>
      </c>
      <c r="R144" s="7">
        <f t="shared" si="34"/>
        <v>107</v>
      </c>
      <c r="S144" s="5">
        <f t="shared" si="35"/>
        <v>0</v>
      </c>
      <c r="T144" s="7">
        <f t="shared" si="36"/>
        <v>0</v>
      </c>
    </row>
    <row r="145" spans="1:20">
      <c r="A145" s="23" t="s">
        <v>169</v>
      </c>
      <c r="B145" s="35" t="s">
        <v>167</v>
      </c>
      <c r="C145" s="36">
        <v>216</v>
      </c>
      <c r="D145" s="6"/>
      <c r="E145" s="113">
        <v>5947833</v>
      </c>
      <c r="F145" s="116">
        <f t="shared" si="25"/>
        <v>27536.263888888891</v>
      </c>
      <c r="G145" s="117">
        <v>3455808</v>
      </c>
      <c r="H145" s="117">
        <f t="shared" si="26"/>
        <v>15999.111111111111</v>
      </c>
      <c r="I145" s="7"/>
      <c r="J145" s="10">
        <v>2</v>
      </c>
      <c r="K145" s="117">
        <v>6911</v>
      </c>
      <c r="L145" s="120">
        <f>(K145/C145)</f>
        <v>31.99537037037037</v>
      </c>
      <c r="M145" s="122">
        <f t="shared" si="30"/>
        <v>34558.080000000002</v>
      </c>
      <c r="N145" s="116">
        <f t="shared" si="31"/>
        <v>27647.08</v>
      </c>
      <c r="O145" s="123">
        <f t="shared" si="32"/>
        <v>127.99574074074074</v>
      </c>
      <c r="P145" s="5"/>
      <c r="Q145" s="5">
        <f t="shared" si="33"/>
        <v>1</v>
      </c>
      <c r="R145" s="7">
        <f t="shared" si="34"/>
        <v>216</v>
      </c>
      <c r="S145" s="5">
        <f t="shared" si="35"/>
        <v>1</v>
      </c>
      <c r="T145" s="7">
        <f t="shared" si="36"/>
        <v>216</v>
      </c>
    </row>
    <row r="146" spans="1:20">
      <c r="A146" s="23" t="s">
        <v>170</v>
      </c>
      <c r="B146" s="35" t="s">
        <v>167</v>
      </c>
      <c r="C146" s="36">
        <v>892</v>
      </c>
      <c r="D146" s="6"/>
      <c r="E146" s="113">
        <v>24486894</v>
      </c>
      <c r="F146" s="116">
        <f t="shared" si="25"/>
        <v>27451.674887892375</v>
      </c>
      <c r="G146" s="117">
        <v>13424142</v>
      </c>
      <c r="H146" s="117">
        <f t="shared" si="26"/>
        <v>15049.486547085202</v>
      </c>
      <c r="I146" s="7"/>
      <c r="J146" s="12">
        <v>3</v>
      </c>
      <c r="K146" s="117">
        <v>40272</v>
      </c>
      <c r="L146" s="120">
        <f>(K146/C146)</f>
        <v>45.147982062780272</v>
      </c>
      <c r="M146" s="122">
        <f t="shared" si="30"/>
        <v>134241.42000000001</v>
      </c>
      <c r="N146" s="116">
        <f t="shared" si="31"/>
        <v>93969.420000000013</v>
      </c>
      <c r="O146" s="123">
        <f t="shared" si="32"/>
        <v>105.34688340807176</v>
      </c>
      <c r="P146" s="5"/>
      <c r="Q146" s="5">
        <f t="shared" si="33"/>
        <v>1</v>
      </c>
      <c r="R146" s="7">
        <f t="shared" si="34"/>
        <v>892</v>
      </c>
      <c r="S146" s="5">
        <f t="shared" si="35"/>
        <v>1</v>
      </c>
      <c r="T146" s="7">
        <f t="shared" si="36"/>
        <v>892</v>
      </c>
    </row>
    <row r="147" spans="1:20">
      <c r="A147" s="23" t="s">
        <v>171</v>
      </c>
      <c r="B147" s="35" t="s">
        <v>167</v>
      </c>
      <c r="C147" s="36">
        <v>2450</v>
      </c>
      <c r="D147" s="6"/>
      <c r="E147" s="113">
        <v>93674923</v>
      </c>
      <c r="F147" s="116">
        <f t="shared" si="25"/>
        <v>38234.662448979594</v>
      </c>
      <c r="G147" s="117">
        <v>55812043</v>
      </c>
      <c r="H147" s="117">
        <f t="shared" si="26"/>
        <v>22780.425714285713</v>
      </c>
      <c r="I147" s="7"/>
      <c r="J147" s="10">
        <v>4</v>
      </c>
      <c r="K147" s="117">
        <v>223248</v>
      </c>
      <c r="L147" s="120">
        <f>(K147/C147)</f>
        <v>91.121632653061226</v>
      </c>
      <c r="M147" s="122">
        <f t="shared" si="30"/>
        <v>558120.43000000005</v>
      </c>
      <c r="N147" s="116">
        <f t="shared" si="31"/>
        <v>334872.43000000005</v>
      </c>
      <c r="O147" s="123">
        <f t="shared" si="32"/>
        <v>136.68262448979593</v>
      </c>
      <c r="P147" s="5"/>
      <c r="Q147" s="5">
        <f t="shared" si="33"/>
        <v>1</v>
      </c>
      <c r="R147" s="7">
        <f t="shared" si="34"/>
        <v>2450</v>
      </c>
      <c r="S147" s="5">
        <f t="shared" si="35"/>
        <v>1</v>
      </c>
      <c r="T147" s="7">
        <f t="shared" si="36"/>
        <v>2450</v>
      </c>
    </row>
    <row r="148" spans="1:20">
      <c r="A148" s="23" t="s">
        <v>172</v>
      </c>
      <c r="B148" s="35" t="s">
        <v>167</v>
      </c>
      <c r="C148" s="36">
        <v>889</v>
      </c>
      <c r="D148" s="6"/>
      <c r="E148" s="113">
        <v>15628840</v>
      </c>
      <c r="F148" s="116">
        <f t="shared" si="25"/>
        <v>17580.247469066366</v>
      </c>
      <c r="G148" s="117">
        <v>7037993</v>
      </c>
      <c r="H148" s="117">
        <f t="shared" si="26"/>
        <v>7916.7525309336334</v>
      </c>
      <c r="I148" s="98" t="s">
        <v>528</v>
      </c>
      <c r="J148" s="10"/>
      <c r="K148" s="117"/>
      <c r="L148" s="120"/>
      <c r="M148" s="122">
        <f t="shared" si="30"/>
        <v>70379.930000000008</v>
      </c>
      <c r="N148" s="116">
        <f t="shared" si="31"/>
        <v>70379.930000000008</v>
      </c>
      <c r="O148" s="123">
        <f t="shared" si="32"/>
        <v>79.167525309336341</v>
      </c>
      <c r="P148" s="5"/>
      <c r="Q148" s="5">
        <f t="shared" si="33"/>
        <v>1</v>
      </c>
      <c r="R148" s="7">
        <f t="shared" si="34"/>
        <v>889</v>
      </c>
      <c r="S148" s="5">
        <f t="shared" si="35"/>
        <v>0</v>
      </c>
      <c r="T148" s="7">
        <f t="shared" si="36"/>
        <v>0</v>
      </c>
    </row>
    <row r="149" spans="1:20">
      <c r="A149" s="23" t="s">
        <v>173</v>
      </c>
      <c r="B149" s="35" t="s">
        <v>167</v>
      </c>
      <c r="C149" s="36">
        <v>755</v>
      </c>
      <c r="D149" s="6"/>
      <c r="E149" s="113">
        <v>19205414</v>
      </c>
      <c r="F149" s="116">
        <f t="shared" si="25"/>
        <v>25437.634437086093</v>
      </c>
      <c r="G149" s="117">
        <v>9887769</v>
      </c>
      <c r="H149" s="117">
        <f t="shared" si="26"/>
        <v>13096.382781456954</v>
      </c>
      <c r="I149" s="7"/>
      <c r="J149" s="10">
        <v>1</v>
      </c>
      <c r="K149" s="117">
        <v>9887</v>
      </c>
      <c r="L149" s="120">
        <f>(K149/C149)</f>
        <v>13.095364238410596</v>
      </c>
      <c r="M149" s="122">
        <f t="shared" si="30"/>
        <v>98877.69</v>
      </c>
      <c r="N149" s="116">
        <f t="shared" si="31"/>
        <v>88990.69</v>
      </c>
      <c r="O149" s="123">
        <f t="shared" si="32"/>
        <v>117.86846357615894</v>
      </c>
      <c r="P149" s="5"/>
      <c r="Q149" s="5">
        <f t="shared" si="33"/>
        <v>1</v>
      </c>
      <c r="R149" s="7">
        <f t="shared" si="34"/>
        <v>755</v>
      </c>
      <c r="S149" s="5">
        <f t="shared" si="35"/>
        <v>1</v>
      </c>
      <c r="T149" s="7">
        <f t="shared" si="36"/>
        <v>755</v>
      </c>
    </row>
    <row r="150" spans="1:20">
      <c r="A150" s="23" t="s">
        <v>174</v>
      </c>
      <c r="B150" s="35" t="s">
        <v>167</v>
      </c>
      <c r="C150" s="36">
        <v>291</v>
      </c>
      <c r="D150" s="6"/>
      <c r="E150" s="113">
        <v>5516636</v>
      </c>
      <c r="F150" s="116">
        <f t="shared" si="25"/>
        <v>18957.512027491408</v>
      </c>
      <c r="G150" s="117">
        <v>2399694</v>
      </c>
      <c r="H150" s="117">
        <f t="shared" si="26"/>
        <v>8246.3711340206191</v>
      </c>
      <c r="I150" s="7"/>
      <c r="J150" s="11">
        <v>3</v>
      </c>
      <c r="K150" s="117">
        <v>7199</v>
      </c>
      <c r="L150" s="120">
        <f>(K150/C150)</f>
        <v>24.738831615120276</v>
      </c>
      <c r="M150" s="122">
        <f t="shared" si="30"/>
        <v>23996.94</v>
      </c>
      <c r="N150" s="116">
        <f t="shared" si="31"/>
        <v>16797.939999999999</v>
      </c>
      <c r="O150" s="123">
        <f t="shared" si="32"/>
        <v>57.724879725085906</v>
      </c>
      <c r="P150" s="5"/>
      <c r="Q150" s="5">
        <f t="shared" si="33"/>
        <v>1</v>
      </c>
      <c r="R150" s="7">
        <f t="shared" si="34"/>
        <v>291</v>
      </c>
      <c r="S150" s="5">
        <f t="shared" si="35"/>
        <v>1</v>
      </c>
      <c r="T150" s="7">
        <f t="shared" si="36"/>
        <v>291</v>
      </c>
    </row>
    <row r="151" spans="1:20">
      <c r="A151" s="23" t="s">
        <v>175</v>
      </c>
      <c r="B151" s="35" t="s">
        <v>167</v>
      </c>
      <c r="C151" s="36">
        <v>1959</v>
      </c>
      <c r="D151" s="6"/>
      <c r="E151" s="113">
        <v>40687440</v>
      </c>
      <c r="F151" s="116">
        <f t="shared" si="25"/>
        <v>20769.49464012251</v>
      </c>
      <c r="G151" s="117">
        <v>9636826</v>
      </c>
      <c r="H151" s="117">
        <f t="shared" si="26"/>
        <v>4919.2577845839714</v>
      </c>
      <c r="I151" s="98" t="s">
        <v>528</v>
      </c>
      <c r="J151" s="10"/>
      <c r="K151" s="117"/>
      <c r="L151" s="120"/>
      <c r="M151" s="122">
        <f t="shared" si="30"/>
        <v>96368.26</v>
      </c>
      <c r="N151" s="116">
        <f t="shared" si="31"/>
        <v>96368.26</v>
      </c>
      <c r="O151" s="123">
        <f t="shared" si="32"/>
        <v>49.192577845839715</v>
      </c>
      <c r="P151" s="5"/>
      <c r="Q151" s="5">
        <f t="shared" si="33"/>
        <v>1</v>
      </c>
      <c r="R151" s="7">
        <f t="shared" si="34"/>
        <v>1959</v>
      </c>
      <c r="S151" s="5">
        <f t="shared" si="35"/>
        <v>0</v>
      </c>
      <c r="T151" s="7">
        <f t="shared" si="36"/>
        <v>0</v>
      </c>
    </row>
    <row r="152" spans="1:20">
      <c r="A152" s="23" t="s">
        <v>176</v>
      </c>
      <c r="B152" s="35" t="s">
        <v>167</v>
      </c>
      <c r="C152" s="36">
        <v>6383</v>
      </c>
      <c r="D152" s="6"/>
      <c r="E152" s="113">
        <v>277860013</v>
      </c>
      <c r="F152" s="116">
        <f t="shared" si="25"/>
        <v>43531.256932476892</v>
      </c>
      <c r="G152" s="117">
        <v>148743421</v>
      </c>
      <c r="H152" s="117">
        <f t="shared" si="26"/>
        <v>23303.058279805733</v>
      </c>
      <c r="I152" s="7"/>
      <c r="J152" s="10">
        <v>2.11</v>
      </c>
      <c r="K152" s="117">
        <v>313848</v>
      </c>
      <c r="L152" s="120">
        <f t="shared" ref="L152:L196" si="38">(K152/C152)</f>
        <v>49.169356102146324</v>
      </c>
      <c r="M152" s="122">
        <f t="shared" si="30"/>
        <v>1487434.21</v>
      </c>
      <c r="N152" s="116">
        <f t="shared" si="31"/>
        <v>1173586.21</v>
      </c>
      <c r="O152" s="123">
        <f t="shared" si="32"/>
        <v>183.861226695911</v>
      </c>
      <c r="P152" s="5"/>
      <c r="Q152" s="5">
        <f t="shared" si="33"/>
        <v>1</v>
      </c>
      <c r="R152" s="7">
        <f t="shared" si="34"/>
        <v>6383</v>
      </c>
      <c r="S152" s="5">
        <f t="shared" si="35"/>
        <v>1</v>
      </c>
      <c r="T152" s="7">
        <f t="shared" si="36"/>
        <v>6383</v>
      </c>
    </row>
    <row r="153" spans="1:20">
      <c r="A153" s="23" t="s">
        <v>177</v>
      </c>
      <c r="B153" s="35" t="s">
        <v>167</v>
      </c>
      <c r="C153" s="36">
        <v>1958</v>
      </c>
      <c r="D153" s="6"/>
      <c r="E153" s="113">
        <v>49921979</v>
      </c>
      <c r="F153" s="116">
        <f t="shared" si="25"/>
        <v>25496.41419816139</v>
      </c>
      <c r="G153" s="117">
        <v>26061440</v>
      </c>
      <c r="H153" s="117">
        <f t="shared" si="26"/>
        <v>13310.23493360572</v>
      </c>
      <c r="I153" s="7"/>
      <c r="J153" s="11">
        <v>0.5786</v>
      </c>
      <c r="K153" s="117">
        <v>15079</v>
      </c>
      <c r="L153" s="120">
        <f t="shared" si="38"/>
        <v>7.7012257405515836</v>
      </c>
      <c r="M153" s="122">
        <f t="shared" si="30"/>
        <v>260614.39999999999</v>
      </c>
      <c r="N153" s="116">
        <f t="shared" si="31"/>
        <v>245535.4</v>
      </c>
      <c r="O153" s="123">
        <f t="shared" si="32"/>
        <v>125.40112359550561</v>
      </c>
      <c r="P153" s="5"/>
      <c r="Q153" s="5">
        <f t="shared" si="33"/>
        <v>1</v>
      </c>
      <c r="R153" s="7">
        <f t="shared" si="34"/>
        <v>1958</v>
      </c>
      <c r="S153" s="5">
        <f t="shared" si="35"/>
        <v>1</v>
      </c>
      <c r="T153" s="7">
        <f t="shared" si="36"/>
        <v>1958</v>
      </c>
    </row>
    <row r="154" spans="1:20">
      <c r="A154" s="23" t="s">
        <v>178</v>
      </c>
      <c r="B154" s="35" t="s">
        <v>179</v>
      </c>
      <c r="C154" s="36">
        <v>2533</v>
      </c>
      <c r="D154" s="6"/>
      <c r="E154" s="113">
        <v>101331031</v>
      </c>
      <c r="F154" s="116">
        <f t="shared" si="25"/>
        <v>40004.354915120413</v>
      </c>
      <c r="G154" s="117">
        <v>61896243</v>
      </c>
      <c r="H154" s="117">
        <f t="shared" si="26"/>
        <v>24435.94275562574</v>
      </c>
      <c r="I154" s="7"/>
      <c r="J154" s="10">
        <v>6.5998999999999999</v>
      </c>
      <c r="K154" s="117">
        <v>408509</v>
      </c>
      <c r="L154" s="120">
        <f t="shared" si="38"/>
        <v>161.2747729964469</v>
      </c>
      <c r="M154" s="122">
        <f t="shared" si="30"/>
        <v>618962.43000000005</v>
      </c>
      <c r="N154" s="116">
        <f t="shared" si="31"/>
        <v>210453.43000000005</v>
      </c>
      <c r="O154" s="123">
        <f t="shared" si="32"/>
        <v>83.084654559810517</v>
      </c>
      <c r="P154" s="5"/>
      <c r="Q154" s="5">
        <f t="shared" si="33"/>
        <v>1</v>
      </c>
      <c r="R154" s="7">
        <f t="shared" si="34"/>
        <v>2533</v>
      </c>
      <c r="S154" s="5">
        <f t="shared" si="35"/>
        <v>1</v>
      </c>
      <c r="T154" s="7">
        <f t="shared" si="36"/>
        <v>2533</v>
      </c>
    </row>
    <row r="155" spans="1:20">
      <c r="A155" s="23" t="s">
        <v>180</v>
      </c>
      <c r="B155" s="35" t="s">
        <v>181</v>
      </c>
      <c r="C155" s="36">
        <v>1012</v>
      </c>
      <c r="D155" s="6"/>
      <c r="E155" s="113">
        <v>31041505</v>
      </c>
      <c r="F155" s="116">
        <f t="shared" si="25"/>
        <v>30673.42391304348</v>
      </c>
      <c r="G155" s="117">
        <v>15356238</v>
      </c>
      <c r="H155" s="117">
        <f t="shared" si="26"/>
        <v>15174.148221343874</v>
      </c>
      <c r="I155" s="7"/>
      <c r="J155" s="10">
        <v>2</v>
      </c>
      <c r="K155" s="117">
        <v>30712</v>
      </c>
      <c r="L155" s="120">
        <f t="shared" si="38"/>
        <v>30.347826086956523</v>
      </c>
      <c r="M155" s="122">
        <f t="shared" si="30"/>
        <v>153562.38</v>
      </c>
      <c r="N155" s="116">
        <f t="shared" si="31"/>
        <v>122850.38</v>
      </c>
      <c r="O155" s="123">
        <f t="shared" si="32"/>
        <v>121.39365612648221</v>
      </c>
      <c r="P155" s="5"/>
      <c r="Q155" s="5">
        <f t="shared" si="33"/>
        <v>1</v>
      </c>
      <c r="R155" s="7">
        <f t="shared" si="34"/>
        <v>1012</v>
      </c>
      <c r="S155" s="5">
        <f t="shared" si="35"/>
        <v>1</v>
      </c>
      <c r="T155" s="7">
        <f t="shared" si="36"/>
        <v>1012</v>
      </c>
    </row>
    <row r="156" spans="1:20">
      <c r="A156" s="23" t="s">
        <v>182</v>
      </c>
      <c r="B156" s="35" t="s">
        <v>183</v>
      </c>
      <c r="C156" s="36">
        <v>1381</v>
      </c>
      <c r="D156" s="6"/>
      <c r="E156" s="113">
        <v>43292034</v>
      </c>
      <c r="F156" s="116">
        <f t="shared" si="25"/>
        <v>31348.322954380885</v>
      </c>
      <c r="G156" s="117">
        <v>30603637</v>
      </c>
      <c r="H156" s="117">
        <f t="shared" si="26"/>
        <v>22160.490224475019</v>
      </c>
      <c r="I156" s="7"/>
      <c r="J156" s="10">
        <v>2.85</v>
      </c>
      <c r="K156" s="117">
        <v>87220</v>
      </c>
      <c r="L156" s="120">
        <f t="shared" si="38"/>
        <v>63.157132512671978</v>
      </c>
      <c r="M156" s="122">
        <f t="shared" si="30"/>
        <v>306036.37</v>
      </c>
      <c r="N156" s="116">
        <f t="shared" si="31"/>
        <v>218816.37</v>
      </c>
      <c r="O156" s="123">
        <f t="shared" si="32"/>
        <v>158.4477697320782</v>
      </c>
      <c r="P156" s="5"/>
      <c r="Q156" s="5">
        <f t="shared" si="33"/>
        <v>1</v>
      </c>
      <c r="R156" s="7">
        <f t="shared" si="34"/>
        <v>1381</v>
      </c>
      <c r="S156" s="5">
        <f t="shared" si="35"/>
        <v>1</v>
      </c>
      <c r="T156" s="7">
        <f t="shared" si="36"/>
        <v>1381</v>
      </c>
    </row>
    <row r="157" spans="1:20">
      <c r="A157" s="23" t="s">
        <v>184</v>
      </c>
      <c r="B157" s="35" t="s">
        <v>183</v>
      </c>
      <c r="C157" s="36">
        <v>15373</v>
      </c>
      <c r="D157" s="6"/>
      <c r="E157" s="113">
        <v>1153886944</v>
      </c>
      <c r="F157" s="116">
        <f t="shared" si="25"/>
        <v>75059.32114746634</v>
      </c>
      <c r="G157" s="117">
        <v>915513742</v>
      </c>
      <c r="H157" s="117">
        <f t="shared" si="26"/>
        <v>59553.356013790413</v>
      </c>
      <c r="I157" s="7"/>
      <c r="J157" s="10">
        <v>3.7290000000000001</v>
      </c>
      <c r="K157" s="117">
        <v>3413950</v>
      </c>
      <c r="L157" s="120">
        <f t="shared" si="38"/>
        <v>222.07441618421907</v>
      </c>
      <c r="M157" s="122">
        <f t="shared" si="30"/>
        <v>9155137.4199999999</v>
      </c>
      <c r="N157" s="116">
        <f t="shared" si="31"/>
        <v>5741187.4199999999</v>
      </c>
      <c r="O157" s="123">
        <f t="shared" si="32"/>
        <v>373.45914395368504</v>
      </c>
      <c r="P157" s="5"/>
      <c r="Q157" s="5">
        <f t="shared" si="33"/>
        <v>1</v>
      </c>
      <c r="R157" s="7">
        <f t="shared" si="34"/>
        <v>15373</v>
      </c>
      <c r="S157" s="5">
        <f t="shared" si="35"/>
        <v>1</v>
      </c>
      <c r="T157" s="7">
        <f t="shared" si="36"/>
        <v>15373</v>
      </c>
    </row>
    <row r="158" spans="1:20">
      <c r="A158" s="23" t="s">
        <v>185</v>
      </c>
      <c r="B158" s="35" t="s">
        <v>183</v>
      </c>
      <c r="C158" s="36">
        <v>16305</v>
      </c>
      <c r="D158" s="6"/>
      <c r="E158" s="113">
        <v>808976304</v>
      </c>
      <c r="F158" s="116">
        <f t="shared" ref="F158:F221" si="39">(E158/C158)</f>
        <v>49615.228702851884</v>
      </c>
      <c r="G158" s="117">
        <v>582386426</v>
      </c>
      <c r="H158" s="117">
        <f t="shared" ref="H158:H221" si="40">(G158/C158)</f>
        <v>35718.272063784112</v>
      </c>
      <c r="I158" s="7"/>
      <c r="J158" s="10">
        <v>5.4874000000000001</v>
      </c>
      <c r="K158" s="117">
        <v>3195787</v>
      </c>
      <c r="L158" s="120">
        <f t="shared" si="38"/>
        <v>196.00042931616068</v>
      </c>
      <c r="M158" s="122">
        <f t="shared" si="30"/>
        <v>5823864.2599999998</v>
      </c>
      <c r="N158" s="116">
        <f t="shared" si="31"/>
        <v>2628077.2599999998</v>
      </c>
      <c r="O158" s="123">
        <f t="shared" si="32"/>
        <v>161.18229132168045</v>
      </c>
      <c r="P158" s="5"/>
      <c r="Q158" s="5">
        <f t="shared" si="33"/>
        <v>1</v>
      </c>
      <c r="R158" s="7">
        <f t="shared" si="34"/>
        <v>16305</v>
      </c>
      <c r="S158" s="5">
        <f t="shared" si="35"/>
        <v>1</v>
      </c>
      <c r="T158" s="7">
        <f t="shared" si="36"/>
        <v>16305</v>
      </c>
    </row>
    <row r="159" spans="1:20">
      <c r="A159" s="23" t="s">
        <v>186</v>
      </c>
      <c r="B159" s="35" t="s">
        <v>183</v>
      </c>
      <c r="C159" s="36">
        <v>3265</v>
      </c>
      <c r="D159" s="6"/>
      <c r="E159" s="113">
        <v>130780720</v>
      </c>
      <c r="F159" s="116">
        <f t="shared" si="39"/>
        <v>40055.350689127103</v>
      </c>
      <c r="G159" s="117">
        <v>91689301</v>
      </c>
      <c r="H159" s="117">
        <f t="shared" si="40"/>
        <v>28082.481163859113</v>
      </c>
      <c r="I159" s="7"/>
      <c r="J159" s="10">
        <v>3.89</v>
      </c>
      <c r="K159" s="117">
        <v>356671</v>
      </c>
      <c r="L159" s="120">
        <f t="shared" si="38"/>
        <v>109.24073506891271</v>
      </c>
      <c r="M159" s="122">
        <f t="shared" si="30"/>
        <v>916893.01</v>
      </c>
      <c r="N159" s="116">
        <f t="shared" si="31"/>
        <v>560222.01</v>
      </c>
      <c r="O159" s="123">
        <f t="shared" si="32"/>
        <v>171.58407656967842</v>
      </c>
      <c r="P159" s="5"/>
      <c r="Q159" s="5">
        <f t="shared" si="33"/>
        <v>1</v>
      </c>
      <c r="R159" s="7">
        <f t="shared" si="34"/>
        <v>3265</v>
      </c>
      <c r="S159" s="5">
        <f t="shared" si="35"/>
        <v>1</v>
      </c>
      <c r="T159" s="7">
        <f t="shared" si="36"/>
        <v>3265</v>
      </c>
    </row>
    <row r="160" spans="1:20">
      <c r="A160" s="23" t="s">
        <v>187</v>
      </c>
      <c r="B160" s="35" t="s">
        <v>183</v>
      </c>
      <c r="C160" s="36">
        <v>3726</v>
      </c>
      <c r="D160" s="6"/>
      <c r="E160" s="113">
        <v>170850342</v>
      </c>
      <c r="F160" s="116">
        <f t="shared" si="39"/>
        <v>45853.553945249594</v>
      </c>
      <c r="G160" s="117">
        <v>134552417</v>
      </c>
      <c r="H160" s="117">
        <f t="shared" si="40"/>
        <v>36111.759796027909</v>
      </c>
      <c r="I160" s="7"/>
      <c r="J160" s="10">
        <v>5.95</v>
      </c>
      <c r="K160" s="117">
        <v>800586</v>
      </c>
      <c r="L160" s="120">
        <f t="shared" si="38"/>
        <v>214.8647342995169</v>
      </c>
      <c r="M160" s="122">
        <f t="shared" si="30"/>
        <v>1345524.17</v>
      </c>
      <c r="N160" s="116">
        <f t="shared" si="31"/>
        <v>544938.16999999993</v>
      </c>
      <c r="O160" s="123">
        <f t="shared" si="32"/>
        <v>146.25286366076219</v>
      </c>
      <c r="P160" s="5"/>
      <c r="Q160" s="5">
        <f t="shared" si="33"/>
        <v>1</v>
      </c>
      <c r="R160" s="7">
        <f t="shared" si="34"/>
        <v>3726</v>
      </c>
      <c r="S160" s="5">
        <f t="shared" si="35"/>
        <v>1</v>
      </c>
      <c r="T160" s="7">
        <f t="shared" si="36"/>
        <v>3726</v>
      </c>
    </row>
    <row r="161" spans="1:20">
      <c r="A161" s="23" t="s">
        <v>188</v>
      </c>
      <c r="B161" s="35" t="s">
        <v>183</v>
      </c>
      <c r="C161" s="36">
        <v>1016</v>
      </c>
      <c r="D161" s="6"/>
      <c r="E161" s="113">
        <v>71715662</v>
      </c>
      <c r="F161" s="116">
        <f t="shared" si="39"/>
        <v>70586.281496062991</v>
      </c>
      <c r="G161" s="117">
        <v>54656779</v>
      </c>
      <c r="H161" s="117">
        <f t="shared" si="40"/>
        <v>53796.042322834648</v>
      </c>
      <c r="I161" s="7"/>
      <c r="J161" s="10">
        <v>5.4450000000000003</v>
      </c>
      <c r="K161" s="117">
        <v>297606</v>
      </c>
      <c r="L161" s="120">
        <f t="shared" si="38"/>
        <v>292.9192913385827</v>
      </c>
      <c r="M161" s="122">
        <f t="shared" si="30"/>
        <v>546567.79</v>
      </c>
      <c r="N161" s="116">
        <f t="shared" si="31"/>
        <v>248961.79000000004</v>
      </c>
      <c r="O161" s="123">
        <f t="shared" si="32"/>
        <v>245.04113188976382</v>
      </c>
      <c r="P161" s="5"/>
      <c r="Q161" s="5">
        <f t="shared" si="33"/>
        <v>1</v>
      </c>
      <c r="R161" s="7">
        <f t="shared" si="34"/>
        <v>1016</v>
      </c>
      <c r="S161" s="5">
        <f t="shared" si="35"/>
        <v>1</v>
      </c>
      <c r="T161" s="7">
        <f t="shared" si="36"/>
        <v>1016</v>
      </c>
    </row>
    <row r="162" spans="1:20">
      <c r="A162" s="23" t="s">
        <v>189</v>
      </c>
      <c r="B162" s="35" t="s">
        <v>183</v>
      </c>
      <c r="C162" s="36">
        <v>12556</v>
      </c>
      <c r="D162" s="6"/>
      <c r="E162" s="113">
        <v>838660601</v>
      </c>
      <c r="F162" s="116">
        <f t="shared" si="39"/>
        <v>66793.612695125834</v>
      </c>
      <c r="G162" s="117">
        <v>553619720</v>
      </c>
      <c r="H162" s="117">
        <f t="shared" si="40"/>
        <v>44092.04523733673</v>
      </c>
      <c r="I162" s="7"/>
      <c r="J162" s="10">
        <v>2.2000000000000002</v>
      </c>
      <c r="K162" s="117">
        <v>1217963</v>
      </c>
      <c r="L162" s="120">
        <f t="shared" si="38"/>
        <v>97.002468939152592</v>
      </c>
      <c r="M162" s="122">
        <f t="shared" si="30"/>
        <v>5536197.2000000002</v>
      </c>
      <c r="N162" s="116">
        <f t="shared" si="31"/>
        <v>4318234.2</v>
      </c>
      <c r="O162" s="123">
        <f t="shared" si="32"/>
        <v>343.9179834342147</v>
      </c>
      <c r="P162" s="5"/>
      <c r="Q162" s="5">
        <f t="shared" si="33"/>
        <v>1</v>
      </c>
      <c r="R162" s="7">
        <f t="shared" si="34"/>
        <v>12556</v>
      </c>
      <c r="S162" s="5">
        <f t="shared" si="35"/>
        <v>1</v>
      </c>
      <c r="T162" s="7">
        <f t="shared" si="36"/>
        <v>12556</v>
      </c>
    </row>
    <row r="163" spans="1:20">
      <c r="A163" s="23" t="s">
        <v>190</v>
      </c>
      <c r="B163" s="35" t="s">
        <v>183</v>
      </c>
      <c r="C163" s="36">
        <v>16290</v>
      </c>
      <c r="D163" s="6"/>
      <c r="E163" s="113">
        <v>1101934763</v>
      </c>
      <c r="F163" s="116">
        <f t="shared" si="39"/>
        <v>67644.859607120932</v>
      </c>
      <c r="G163" s="117">
        <v>819542163</v>
      </c>
      <c r="H163" s="117">
        <f t="shared" si="40"/>
        <v>50309.525046040515</v>
      </c>
      <c r="I163" s="7"/>
      <c r="J163" s="10">
        <v>4.5</v>
      </c>
      <c r="K163" s="117">
        <v>3687939</v>
      </c>
      <c r="L163" s="120">
        <f t="shared" si="38"/>
        <v>226.39281767955802</v>
      </c>
      <c r="M163" s="122">
        <f t="shared" si="30"/>
        <v>8195421.6299999999</v>
      </c>
      <c r="N163" s="116">
        <f t="shared" si="31"/>
        <v>4507482.63</v>
      </c>
      <c r="O163" s="123">
        <f t="shared" si="32"/>
        <v>276.70243278084712</v>
      </c>
      <c r="P163" s="5"/>
      <c r="Q163" s="5">
        <f t="shared" si="33"/>
        <v>1</v>
      </c>
      <c r="R163" s="7">
        <f t="shared" si="34"/>
        <v>16290</v>
      </c>
      <c r="S163" s="5">
        <f t="shared" si="35"/>
        <v>1</v>
      </c>
      <c r="T163" s="7">
        <f t="shared" si="36"/>
        <v>16290</v>
      </c>
    </row>
    <row r="164" spans="1:20">
      <c r="A164" s="23" t="s">
        <v>191</v>
      </c>
      <c r="B164" s="35" t="s">
        <v>183</v>
      </c>
      <c r="C164" s="36">
        <v>3469</v>
      </c>
      <c r="D164" s="6"/>
      <c r="E164" s="113">
        <v>90825229</v>
      </c>
      <c r="F164" s="116">
        <f t="shared" si="39"/>
        <v>26181.962813490918</v>
      </c>
      <c r="G164" s="117">
        <v>65351044</v>
      </c>
      <c r="H164" s="117">
        <f t="shared" si="40"/>
        <v>18838.582876909772</v>
      </c>
      <c r="I164" s="7"/>
      <c r="J164" s="10">
        <v>5.9989999999999997</v>
      </c>
      <c r="K164" s="117">
        <v>392040</v>
      </c>
      <c r="L164" s="120">
        <f t="shared" si="38"/>
        <v>113.01239550302681</v>
      </c>
      <c r="M164" s="122">
        <f t="shared" si="30"/>
        <v>653510.44000000006</v>
      </c>
      <c r="N164" s="116">
        <f t="shared" si="31"/>
        <v>261470.44000000006</v>
      </c>
      <c r="O164" s="123">
        <f t="shared" si="32"/>
        <v>75.373433266070933</v>
      </c>
      <c r="P164" s="5"/>
      <c r="Q164" s="5">
        <f t="shared" si="33"/>
        <v>1</v>
      </c>
      <c r="R164" s="7">
        <f t="shared" si="34"/>
        <v>3469</v>
      </c>
      <c r="S164" s="5">
        <f t="shared" si="35"/>
        <v>1</v>
      </c>
      <c r="T164" s="7">
        <f t="shared" si="36"/>
        <v>3469</v>
      </c>
    </row>
    <row r="165" spans="1:20">
      <c r="A165" s="23" t="s">
        <v>192</v>
      </c>
      <c r="B165" s="35" t="s">
        <v>183</v>
      </c>
      <c r="C165" s="36">
        <v>7124</v>
      </c>
      <c r="D165" s="6"/>
      <c r="E165" s="113">
        <v>282102261</v>
      </c>
      <c r="F165" s="116">
        <f t="shared" si="39"/>
        <v>39598.857523863</v>
      </c>
      <c r="G165" s="117">
        <v>220146625</v>
      </c>
      <c r="H165" s="117">
        <f t="shared" si="40"/>
        <v>30902.10906793936</v>
      </c>
      <c r="I165" s="7"/>
      <c r="J165" s="10">
        <v>3.39</v>
      </c>
      <c r="K165" s="117">
        <v>746297</v>
      </c>
      <c r="L165" s="120">
        <f t="shared" si="38"/>
        <v>104.75814149354295</v>
      </c>
      <c r="M165" s="122">
        <f t="shared" si="30"/>
        <v>2201466.25</v>
      </c>
      <c r="N165" s="116">
        <f t="shared" si="31"/>
        <v>1455169.25</v>
      </c>
      <c r="O165" s="123">
        <f t="shared" si="32"/>
        <v>204.26294918585066</v>
      </c>
      <c r="P165" s="5"/>
      <c r="Q165" s="5">
        <f t="shared" si="33"/>
        <v>1</v>
      </c>
      <c r="R165" s="7">
        <f t="shared" si="34"/>
        <v>7124</v>
      </c>
      <c r="S165" s="5">
        <f t="shared" si="35"/>
        <v>1</v>
      </c>
      <c r="T165" s="7">
        <f t="shared" si="36"/>
        <v>7124</v>
      </c>
    </row>
    <row r="166" spans="1:20">
      <c r="A166" s="23" t="s">
        <v>193</v>
      </c>
      <c r="B166" s="35" t="s">
        <v>183</v>
      </c>
      <c r="C166" s="36">
        <v>1041</v>
      </c>
      <c r="D166" s="6"/>
      <c r="E166" s="113">
        <v>74574505</v>
      </c>
      <c r="F166" s="116">
        <f t="shared" si="39"/>
        <v>71637.37271853986</v>
      </c>
      <c r="G166" s="117">
        <v>54734965</v>
      </c>
      <c r="H166" s="117">
        <f t="shared" si="40"/>
        <v>52579.217098943322</v>
      </c>
      <c r="I166" s="7"/>
      <c r="J166" s="10">
        <v>2.99</v>
      </c>
      <c r="K166" s="117">
        <v>163657</v>
      </c>
      <c r="L166" s="120">
        <f t="shared" si="38"/>
        <v>157.21133525456293</v>
      </c>
      <c r="M166" s="122">
        <f t="shared" si="30"/>
        <v>547349.65</v>
      </c>
      <c r="N166" s="116">
        <f t="shared" si="31"/>
        <v>383692.65</v>
      </c>
      <c r="O166" s="123">
        <f t="shared" si="32"/>
        <v>368.58083573487033</v>
      </c>
      <c r="P166" s="5"/>
      <c r="Q166" s="5">
        <f t="shared" si="33"/>
        <v>1</v>
      </c>
      <c r="R166" s="7">
        <f t="shared" si="34"/>
        <v>1041</v>
      </c>
      <c r="S166" s="5">
        <f t="shared" si="35"/>
        <v>1</v>
      </c>
      <c r="T166" s="7">
        <f t="shared" si="36"/>
        <v>1041</v>
      </c>
    </row>
    <row r="167" spans="1:20">
      <c r="A167" s="23" t="s">
        <v>194</v>
      </c>
      <c r="B167" s="35" t="s">
        <v>183</v>
      </c>
      <c r="C167" s="36">
        <v>10594</v>
      </c>
      <c r="D167" s="6"/>
      <c r="E167" s="113">
        <v>739483842</v>
      </c>
      <c r="F167" s="116">
        <f t="shared" si="39"/>
        <v>69802.137247498584</v>
      </c>
      <c r="G167" s="117">
        <v>570882942</v>
      </c>
      <c r="H167" s="117">
        <f t="shared" si="40"/>
        <v>53887.383613366059</v>
      </c>
      <c r="I167" s="7"/>
      <c r="J167" s="10">
        <v>6.18</v>
      </c>
      <c r="K167" s="117">
        <v>3528056</v>
      </c>
      <c r="L167" s="120">
        <f t="shared" si="38"/>
        <v>333.02397583537851</v>
      </c>
      <c r="M167" s="122">
        <f t="shared" si="30"/>
        <v>5708829.4199999999</v>
      </c>
      <c r="N167" s="116">
        <f t="shared" si="31"/>
        <v>2180773.42</v>
      </c>
      <c r="O167" s="123">
        <f t="shared" si="32"/>
        <v>205.84986029828204</v>
      </c>
      <c r="P167" s="5"/>
      <c r="Q167" s="5">
        <f t="shared" si="33"/>
        <v>1</v>
      </c>
      <c r="R167" s="7">
        <f t="shared" si="34"/>
        <v>10594</v>
      </c>
      <c r="S167" s="5">
        <f t="shared" si="35"/>
        <v>1</v>
      </c>
      <c r="T167" s="7">
        <f t="shared" si="36"/>
        <v>10594</v>
      </c>
    </row>
    <row r="168" spans="1:20">
      <c r="A168" s="23" t="s">
        <v>195</v>
      </c>
      <c r="B168" s="35" t="s">
        <v>183</v>
      </c>
      <c r="C168" s="36">
        <v>10699</v>
      </c>
      <c r="D168" s="6"/>
      <c r="E168" s="113">
        <v>674579759</v>
      </c>
      <c r="F168" s="116">
        <f t="shared" si="39"/>
        <v>63050.729881297317</v>
      </c>
      <c r="G168" s="117">
        <v>406355653</v>
      </c>
      <c r="H168" s="117">
        <f t="shared" si="40"/>
        <v>37980.713431161792</v>
      </c>
      <c r="I168" s="7"/>
      <c r="J168" s="10">
        <v>5.42</v>
      </c>
      <c r="K168" s="117">
        <v>2202447</v>
      </c>
      <c r="L168" s="120">
        <f t="shared" si="38"/>
        <v>205.85540704738762</v>
      </c>
      <c r="M168" s="122">
        <f t="shared" si="30"/>
        <v>4063556.5300000003</v>
      </c>
      <c r="N168" s="116">
        <f t="shared" si="31"/>
        <v>1861109.5300000003</v>
      </c>
      <c r="O168" s="123">
        <f t="shared" si="32"/>
        <v>173.95172726423033</v>
      </c>
      <c r="P168" s="5"/>
      <c r="Q168" s="5">
        <f t="shared" si="33"/>
        <v>1</v>
      </c>
      <c r="R168" s="7">
        <f t="shared" si="34"/>
        <v>10699</v>
      </c>
      <c r="S168" s="5">
        <f t="shared" si="35"/>
        <v>1</v>
      </c>
      <c r="T168" s="7">
        <f t="shared" si="36"/>
        <v>10699</v>
      </c>
    </row>
    <row r="169" spans="1:20">
      <c r="A169" s="23" t="s">
        <v>196</v>
      </c>
      <c r="B169" s="35" t="s">
        <v>183</v>
      </c>
      <c r="C169" s="36">
        <v>2359</v>
      </c>
      <c r="D169" s="6"/>
      <c r="E169" s="113">
        <v>111975640</v>
      </c>
      <c r="F169" s="116">
        <f t="shared" si="39"/>
        <v>47467.418397626112</v>
      </c>
      <c r="G169" s="117">
        <v>76502103</v>
      </c>
      <c r="H169" s="117">
        <f t="shared" si="40"/>
        <v>32429.886816447648</v>
      </c>
      <c r="I169" s="7"/>
      <c r="J169" s="10">
        <v>5.99</v>
      </c>
      <c r="K169" s="117">
        <v>458247</v>
      </c>
      <c r="L169" s="120">
        <f t="shared" si="38"/>
        <v>194.2547689699025</v>
      </c>
      <c r="M169" s="122">
        <f t="shared" si="30"/>
        <v>765021.03</v>
      </c>
      <c r="N169" s="116">
        <f t="shared" si="31"/>
        <v>306774.03000000003</v>
      </c>
      <c r="O169" s="123">
        <f t="shared" si="32"/>
        <v>130.04409919457399</v>
      </c>
      <c r="P169" s="5"/>
      <c r="Q169" s="5">
        <f t="shared" si="33"/>
        <v>1</v>
      </c>
      <c r="R169" s="7">
        <f t="shared" si="34"/>
        <v>2359</v>
      </c>
      <c r="S169" s="5">
        <f t="shared" si="35"/>
        <v>1</v>
      </c>
      <c r="T169" s="7">
        <f t="shared" si="36"/>
        <v>2359</v>
      </c>
    </row>
    <row r="170" spans="1:20">
      <c r="A170" s="23" t="s">
        <v>448</v>
      </c>
      <c r="B170" s="35" t="s">
        <v>198</v>
      </c>
      <c r="C170" s="36">
        <v>39906</v>
      </c>
      <c r="D170" s="6"/>
      <c r="E170" s="113">
        <v>6410236473</v>
      </c>
      <c r="F170" s="116">
        <f t="shared" si="39"/>
        <v>160633.40031574198</v>
      </c>
      <c r="G170" s="117">
        <v>5551234533</v>
      </c>
      <c r="H170" s="117">
        <f t="shared" si="40"/>
        <v>139107.76657645465</v>
      </c>
      <c r="I170" s="7"/>
      <c r="J170" s="10">
        <v>0.99760000000000004</v>
      </c>
      <c r="K170" s="117">
        <v>5537911</v>
      </c>
      <c r="L170" s="120">
        <f t="shared" si="38"/>
        <v>138.7738936500777</v>
      </c>
      <c r="M170" s="122">
        <f t="shared" si="30"/>
        <v>55512345.329999998</v>
      </c>
      <c r="N170" s="116">
        <f t="shared" si="31"/>
        <v>49974434.329999998</v>
      </c>
      <c r="O170" s="123">
        <f t="shared" si="32"/>
        <v>1252.303772114469</v>
      </c>
      <c r="P170" s="5"/>
      <c r="Q170" s="5">
        <f t="shared" si="33"/>
        <v>1</v>
      </c>
      <c r="R170" s="7">
        <f t="shared" si="34"/>
        <v>39906</v>
      </c>
      <c r="S170" s="5">
        <f t="shared" si="35"/>
        <v>1</v>
      </c>
      <c r="T170" s="7">
        <f t="shared" si="36"/>
        <v>39906</v>
      </c>
    </row>
    <row r="171" spans="1:20">
      <c r="A171" s="23" t="s">
        <v>197</v>
      </c>
      <c r="B171" s="35" t="s">
        <v>198</v>
      </c>
      <c r="C171" s="36">
        <v>120439</v>
      </c>
      <c r="D171" s="6"/>
      <c r="E171" s="113">
        <v>9856091180</v>
      </c>
      <c r="F171" s="116">
        <f t="shared" si="39"/>
        <v>81834.714502777337</v>
      </c>
      <c r="G171" s="117">
        <v>7300200110</v>
      </c>
      <c r="H171" s="117">
        <f t="shared" si="40"/>
        <v>60613.25741661754</v>
      </c>
      <c r="I171" s="7"/>
      <c r="J171" s="10">
        <v>5.6830999999999996</v>
      </c>
      <c r="K171" s="117">
        <v>41487767</v>
      </c>
      <c r="L171" s="120">
        <f t="shared" si="38"/>
        <v>344.47120118898363</v>
      </c>
      <c r="M171" s="122">
        <f t="shared" si="30"/>
        <v>73002001.100000009</v>
      </c>
      <c r="N171" s="116">
        <f t="shared" si="31"/>
        <v>31514234.100000009</v>
      </c>
      <c r="O171" s="123">
        <f t="shared" si="32"/>
        <v>261.66137297719183</v>
      </c>
      <c r="P171" s="5"/>
      <c r="Q171" s="5">
        <f t="shared" si="33"/>
        <v>1</v>
      </c>
      <c r="R171" s="7">
        <f t="shared" si="34"/>
        <v>120439</v>
      </c>
      <c r="S171" s="5">
        <f t="shared" si="35"/>
        <v>1</v>
      </c>
      <c r="T171" s="7">
        <f t="shared" si="36"/>
        <v>120439</v>
      </c>
    </row>
    <row r="172" spans="1:20">
      <c r="A172" s="23" t="s">
        <v>199</v>
      </c>
      <c r="B172" s="35" t="s">
        <v>198</v>
      </c>
      <c r="C172" s="36">
        <v>52527</v>
      </c>
      <c r="D172" s="6"/>
      <c r="E172" s="113">
        <v>3812848568</v>
      </c>
      <c r="F172" s="116">
        <f t="shared" si="39"/>
        <v>72588.355855084053</v>
      </c>
      <c r="G172" s="117">
        <v>2795987518</v>
      </c>
      <c r="H172" s="117">
        <f t="shared" si="40"/>
        <v>53229.529917946958</v>
      </c>
      <c r="I172" s="7"/>
      <c r="J172" s="10">
        <v>7.7816000000000001</v>
      </c>
      <c r="K172" s="117">
        <v>21757256</v>
      </c>
      <c r="L172" s="120">
        <f t="shared" si="38"/>
        <v>414.21090106040702</v>
      </c>
      <c r="M172" s="122">
        <f t="shared" si="30"/>
        <v>27959875.18</v>
      </c>
      <c r="N172" s="116">
        <f t="shared" si="31"/>
        <v>6202619.1799999997</v>
      </c>
      <c r="O172" s="123">
        <f t="shared" si="32"/>
        <v>118.08439811906257</v>
      </c>
      <c r="P172" s="5"/>
      <c r="Q172" s="5">
        <f t="shared" si="33"/>
        <v>1</v>
      </c>
      <c r="R172" s="7">
        <f t="shared" si="34"/>
        <v>52527</v>
      </c>
      <c r="S172" s="5">
        <f t="shared" si="35"/>
        <v>1</v>
      </c>
      <c r="T172" s="7">
        <f t="shared" si="36"/>
        <v>52527</v>
      </c>
    </row>
    <row r="173" spans="1:20">
      <c r="A173" s="23" t="s">
        <v>200</v>
      </c>
      <c r="B173" s="35" t="s">
        <v>198</v>
      </c>
      <c r="C173" s="36">
        <v>6792</v>
      </c>
      <c r="D173" s="6"/>
      <c r="E173" s="113">
        <v>2618861940</v>
      </c>
      <c r="F173" s="116">
        <f t="shared" si="39"/>
        <v>385580.37985865725</v>
      </c>
      <c r="G173" s="117">
        <v>2291140270</v>
      </c>
      <c r="H173" s="117">
        <f t="shared" si="40"/>
        <v>337329.25058892817</v>
      </c>
      <c r="I173" s="7"/>
      <c r="J173" s="10">
        <v>1</v>
      </c>
      <c r="K173" s="117">
        <v>2291140</v>
      </c>
      <c r="L173" s="120">
        <f t="shared" si="38"/>
        <v>337.32921083627798</v>
      </c>
      <c r="M173" s="122">
        <f t="shared" si="30"/>
        <v>22911402.699999999</v>
      </c>
      <c r="N173" s="116">
        <f t="shared" si="31"/>
        <v>20620262.699999999</v>
      </c>
      <c r="O173" s="123">
        <f t="shared" si="32"/>
        <v>3035.9632950530035</v>
      </c>
      <c r="P173" s="5"/>
      <c r="Q173" s="5">
        <f t="shared" si="33"/>
        <v>1</v>
      </c>
      <c r="R173" s="7">
        <f t="shared" si="34"/>
        <v>6792</v>
      </c>
      <c r="S173" s="5">
        <f t="shared" si="35"/>
        <v>1</v>
      </c>
      <c r="T173" s="7">
        <f t="shared" si="36"/>
        <v>6792</v>
      </c>
    </row>
    <row r="174" spans="1:20">
      <c r="A174" s="23" t="s">
        <v>201</v>
      </c>
      <c r="B174" s="35" t="s">
        <v>198</v>
      </c>
      <c r="C174" s="36">
        <v>6224</v>
      </c>
      <c r="D174" s="6"/>
      <c r="E174" s="113">
        <v>4508676650</v>
      </c>
      <c r="F174" s="116">
        <f t="shared" si="39"/>
        <v>724401.77538560412</v>
      </c>
      <c r="G174" s="117">
        <v>3999633810</v>
      </c>
      <c r="H174" s="117">
        <f t="shared" si="40"/>
        <v>642614.68669665814</v>
      </c>
      <c r="I174" s="7"/>
      <c r="J174" s="10">
        <v>1.7291000000000001</v>
      </c>
      <c r="K174" s="117">
        <v>6915766</v>
      </c>
      <c r="L174" s="120">
        <f t="shared" si="38"/>
        <v>1111.1449228791773</v>
      </c>
      <c r="M174" s="122">
        <f t="shared" si="30"/>
        <v>39996338.100000001</v>
      </c>
      <c r="N174" s="116">
        <f t="shared" si="31"/>
        <v>33080572.100000001</v>
      </c>
      <c r="O174" s="123">
        <f t="shared" si="32"/>
        <v>5315.0019440874039</v>
      </c>
      <c r="P174" s="5"/>
      <c r="Q174" s="5">
        <f t="shared" si="33"/>
        <v>1</v>
      </c>
      <c r="R174" s="7">
        <f t="shared" si="34"/>
        <v>6224</v>
      </c>
      <c r="S174" s="5">
        <f t="shared" si="35"/>
        <v>1</v>
      </c>
      <c r="T174" s="7">
        <f t="shared" si="36"/>
        <v>6224</v>
      </c>
    </row>
    <row r="175" spans="1:20">
      <c r="A175" s="23" t="s">
        <v>202</v>
      </c>
      <c r="B175" s="35" t="s">
        <v>203</v>
      </c>
      <c r="C175" s="36">
        <v>162310</v>
      </c>
      <c r="D175" s="6"/>
      <c r="E175" s="113">
        <v>12560989702</v>
      </c>
      <c r="F175" s="116">
        <f t="shared" si="39"/>
        <v>77388.883630090568</v>
      </c>
      <c r="G175" s="117">
        <v>6734958779</v>
      </c>
      <c r="H175" s="117">
        <f t="shared" si="40"/>
        <v>41494.416727250325</v>
      </c>
      <c r="I175" s="7"/>
      <c r="J175" s="10">
        <v>3.7</v>
      </c>
      <c r="K175" s="117">
        <v>24919347</v>
      </c>
      <c r="L175" s="120">
        <f t="shared" si="38"/>
        <v>153.52933891935186</v>
      </c>
      <c r="M175" s="122">
        <f t="shared" si="30"/>
        <v>67349587.790000007</v>
      </c>
      <c r="N175" s="116">
        <f t="shared" si="31"/>
        <v>42430240.790000007</v>
      </c>
      <c r="O175" s="123">
        <f t="shared" si="32"/>
        <v>261.41482835315139</v>
      </c>
      <c r="P175" s="5"/>
      <c r="Q175" s="5">
        <f t="shared" si="33"/>
        <v>1</v>
      </c>
      <c r="R175" s="7">
        <f t="shared" si="34"/>
        <v>162310</v>
      </c>
      <c r="S175" s="5">
        <f t="shared" si="35"/>
        <v>1</v>
      </c>
      <c r="T175" s="7">
        <f t="shared" si="36"/>
        <v>162310</v>
      </c>
    </row>
    <row r="176" spans="1:20">
      <c r="A176" s="23" t="s">
        <v>204</v>
      </c>
      <c r="B176" s="35" t="s">
        <v>205</v>
      </c>
      <c r="C176" s="36">
        <v>966</v>
      </c>
      <c r="D176" s="6"/>
      <c r="E176" s="113">
        <v>34236971</v>
      </c>
      <c r="F176" s="116">
        <f t="shared" si="39"/>
        <v>35441.998964803315</v>
      </c>
      <c r="G176" s="117">
        <v>20477461</v>
      </c>
      <c r="H176" s="117">
        <f t="shared" si="40"/>
        <v>21198.199792960662</v>
      </c>
      <c r="I176" s="7"/>
      <c r="J176" s="10">
        <v>3.2</v>
      </c>
      <c r="K176" s="117">
        <v>65527</v>
      </c>
      <c r="L176" s="120">
        <f t="shared" si="38"/>
        <v>67.833333333333329</v>
      </c>
      <c r="M176" s="122">
        <f t="shared" si="30"/>
        <v>204774.61000000002</v>
      </c>
      <c r="N176" s="116">
        <f t="shared" si="31"/>
        <v>139247.61000000002</v>
      </c>
      <c r="O176" s="123">
        <f t="shared" si="32"/>
        <v>144.14866459627331</v>
      </c>
      <c r="P176" s="5"/>
      <c r="Q176" s="5">
        <f t="shared" si="33"/>
        <v>1</v>
      </c>
      <c r="R176" s="7">
        <f t="shared" si="34"/>
        <v>966</v>
      </c>
      <c r="S176" s="5">
        <f t="shared" si="35"/>
        <v>1</v>
      </c>
      <c r="T176" s="7">
        <f t="shared" si="36"/>
        <v>966</v>
      </c>
    </row>
    <row r="177" spans="1:20">
      <c r="A177" s="23" t="s">
        <v>206</v>
      </c>
      <c r="B177" s="35" t="s">
        <v>205</v>
      </c>
      <c r="C177" s="36">
        <v>819</v>
      </c>
      <c r="D177" s="6"/>
      <c r="E177" s="113">
        <v>134917624</v>
      </c>
      <c r="F177" s="116">
        <f t="shared" si="39"/>
        <v>164734.58363858363</v>
      </c>
      <c r="G177" s="117">
        <v>104835198</v>
      </c>
      <c r="H177" s="117">
        <f t="shared" si="40"/>
        <v>128003.90476190476</v>
      </c>
      <c r="I177" s="7"/>
      <c r="J177" s="10">
        <v>2.75</v>
      </c>
      <c r="K177" s="117">
        <v>288296</v>
      </c>
      <c r="L177" s="120">
        <f t="shared" si="38"/>
        <v>352.00976800976804</v>
      </c>
      <c r="M177" s="122">
        <f t="shared" si="30"/>
        <v>1048351.98</v>
      </c>
      <c r="N177" s="116">
        <f t="shared" si="31"/>
        <v>760055.98</v>
      </c>
      <c r="O177" s="123">
        <f t="shared" si="32"/>
        <v>928.02927960927957</v>
      </c>
      <c r="P177" s="5"/>
      <c r="Q177" s="5">
        <f t="shared" si="33"/>
        <v>1</v>
      </c>
      <c r="R177" s="7">
        <f t="shared" si="34"/>
        <v>819</v>
      </c>
      <c r="S177" s="5">
        <f t="shared" si="35"/>
        <v>1</v>
      </c>
      <c r="T177" s="7">
        <f t="shared" si="36"/>
        <v>819</v>
      </c>
    </row>
    <row r="178" spans="1:20">
      <c r="A178" s="23" t="s">
        <v>207</v>
      </c>
      <c r="B178" s="35" t="s">
        <v>205</v>
      </c>
      <c r="C178" s="36">
        <v>2008</v>
      </c>
      <c r="D178" s="6"/>
      <c r="E178" s="113">
        <v>112422705</v>
      </c>
      <c r="F178" s="116">
        <f t="shared" si="39"/>
        <v>55987.402888446217</v>
      </c>
      <c r="G178" s="117">
        <v>86694655</v>
      </c>
      <c r="H178" s="117">
        <f t="shared" si="40"/>
        <v>43174.628984063747</v>
      </c>
      <c r="I178" s="7"/>
      <c r="J178" s="10">
        <v>4.8499999999999996</v>
      </c>
      <c r="K178" s="117">
        <v>420469</v>
      </c>
      <c r="L178" s="120">
        <f t="shared" si="38"/>
        <v>209.3969123505976</v>
      </c>
      <c r="M178" s="122">
        <f t="shared" si="30"/>
        <v>866946.55</v>
      </c>
      <c r="N178" s="116">
        <f t="shared" si="31"/>
        <v>446477.55000000005</v>
      </c>
      <c r="O178" s="123">
        <f t="shared" si="32"/>
        <v>222.34937749003987</v>
      </c>
      <c r="P178" s="5"/>
      <c r="Q178" s="5">
        <f t="shared" si="33"/>
        <v>1</v>
      </c>
      <c r="R178" s="7">
        <f t="shared" si="34"/>
        <v>2008</v>
      </c>
      <c r="S178" s="5">
        <f t="shared" si="35"/>
        <v>1</v>
      </c>
      <c r="T178" s="7">
        <f t="shared" si="36"/>
        <v>2008</v>
      </c>
    </row>
    <row r="179" spans="1:20">
      <c r="A179" s="23" t="s">
        <v>208</v>
      </c>
      <c r="B179" s="35" t="s">
        <v>205</v>
      </c>
      <c r="C179" s="36">
        <v>1599</v>
      </c>
      <c r="D179" s="6"/>
      <c r="E179" s="113">
        <v>63223244</v>
      </c>
      <c r="F179" s="116">
        <f t="shared" si="39"/>
        <v>39539.239524702942</v>
      </c>
      <c r="G179" s="117">
        <v>45616533</v>
      </c>
      <c r="H179" s="117">
        <f t="shared" si="40"/>
        <v>28528.163227016885</v>
      </c>
      <c r="I179" s="7"/>
      <c r="J179" s="10">
        <v>5</v>
      </c>
      <c r="K179" s="117">
        <v>228082</v>
      </c>
      <c r="L179" s="120">
        <f t="shared" si="38"/>
        <v>142.64040025015635</v>
      </c>
      <c r="M179" s="122">
        <f t="shared" si="30"/>
        <v>456165.33</v>
      </c>
      <c r="N179" s="116">
        <f t="shared" si="31"/>
        <v>228083.33000000002</v>
      </c>
      <c r="O179" s="123">
        <f t="shared" si="32"/>
        <v>142.64123202001252</v>
      </c>
      <c r="P179" s="5"/>
      <c r="Q179" s="5">
        <f t="shared" si="33"/>
        <v>1</v>
      </c>
      <c r="R179" s="7">
        <f t="shared" si="34"/>
        <v>1599</v>
      </c>
      <c r="S179" s="5">
        <f t="shared" si="35"/>
        <v>1</v>
      </c>
      <c r="T179" s="7">
        <f t="shared" si="36"/>
        <v>1599</v>
      </c>
    </row>
    <row r="180" spans="1:20">
      <c r="A180" s="23" t="s">
        <v>209</v>
      </c>
      <c r="B180" s="35" t="s">
        <v>205</v>
      </c>
      <c r="C180" s="36">
        <v>135</v>
      </c>
      <c r="D180" s="6"/>
      <c r="E180" s="113">
        <v>4627429</v>
      </c>
      <c r="F180" s="116">
        <f t="shared" si="39"/>
        <v>34277.251851851855</v>
      </c>
      <c r="G180" s="117">
        <v>2849200</v>
      </c>
      <c r="H180" s="117">
        <f t="shared" si="40"/>
        <v>21105.185185185186</v>
      </c>
      <c r="I180" s="7"/>
      <c r="J180" s="10">
        <v>3</v>
      </c>
      <c r="K180" s="117">
        <v>8547</v>
      </c>
      <c r="L180" s="120">
        <f t="shared" si="38"/>
        <v>63.31111111111111</v>
      </c>
      <c r="M180" s="122">
        <f t="shared" si="30"/>
        <v>28492</v>
      </c>
      <c r="N180" s="116">
        <f t="shared" si="31"/>
        <v>19945</v>
      </c>
      <c r="O180" s="123">
        <f t="shared" si="32"/>
        <v>147.74074074074073</v>
      </c>
      <c r="P180" s="5"/>
      <c r="Q180" s="5">
        <f t="shared" si="33"/>
        <v>1</v>
      </c>
      <c r="R180" s="7">
        <f t="shared" si="34"/>
        <v>135</v>
      </c>
      <c r="S180" s="5">
        <f t="shared" si="35"/>
        <v>1</v>
      </c>
      <c r="T180" s="7">
        <f t="shared" si="36"/>
        <v>135</v>
      </c>
    </row>
    <row r="181" spans="1:20">
      <c r="A181" s="23" t="s">
        <v>210</v>
      </c>
      <c r="B181" s="35" t="s">
        <v>205</v>
      </c>
      <c r="C181" s="36">
        <v>2304</v>
      </c>
      <c r="D181" s="6"/>
      <c r="E181" s="113">
        <v>101515650</v>
      </c>
      <c r="F181" s="116">
        <f t="shared" si="39"/>
        <v>44060.611979166664</v>
      </c>
      <c r="G181" s="117">
        <v>67674270</v>
      </c>
      <c r="H181" s="117">
        <f t="shared" si="40"/>
        <v>29372.513020833332</v>
      </c>
      <c r="I181" s="7"/>
      <c r="J181" s="10">
        <v>4.5</v>
      </c>
      <c r="K181" s="117">
        <v>304534</v>
      </c>
      <c r="L181" s="120">
        <f t="shared" si="38"/>
        <v>132.17621527777777</v>
      </c>
      <c r="M181" s="122">
        <f t="shared" si="30"/>
        <v>676742.70000000007</v>
      </c>
      <c r="N181" s="116">
        <f t="shared" si="31"/>
        <v>372208.70000000007</v>
      </c>
      <c r="O181" s="123">
        <f t="shared" si="32"/>
        <v>161.54891493055558</v>
      </c>
      <c r="P181" s="5"/>
      <c r="Q181" s="5">
        <f t="shared" si="33"/>
        <v>1</v>
      </c>
      <c r="R181" s="7">
        <f t="shared" si="34"/>
        <v>2304</v>
      </c>
      <c r="S181" s="5">
        <f t="shared" si="35"/>
        <v>1</v>
      </c>
      <c r="T181" s="7">
        <f t="shared" si="36"/>
        <v>2304</v>
      </c>
    </row>
    <row r="182" spans="1:20">
      <c r="A182" s="23" t="s">
        <v>211</v>
      </c>
      <c r="B182" s="35" t="s">
        <v>205</v>
      </c>
      <c r="C182" s="36">
        <v>679</v>
      </c>
      <c r="D182" s="6"/>
      <c r="E182" s="113">
        <v>45347229</v>
      </c>
      <c r="F182" s="116">
        <f t="shared" si="39"/>
        <v>66785.315169366717</v>
      </c>
      <c r="G182" s="117">
        <v>34054015</v>
      </c>
      <c r="H182" s="117">
        <f t="shared" si="40"/>
        <v>50153.188512518413</v>
      </c>
      <c r="I182" s="7"/>
      <c r="J182" s="10">
        <v>1.9510000000000001</v>
      </c>
      <c r="K182" s="117">
        <v>66439</v>
      </c>
      <c r="L182" s="120">
        <f t="shared" si="38"/>
        <v>97.848306332842412</v>
      </c>
      <c r="M182" s="122">
        <f t="shared" si="30"/>
        <v>340540.15</v>
      </c>
      <c r="N182" s="116">
        <f t="shared" si="31"/>
        <v>274101.15000000002</v>
      </c>
      <c r="O182" s="123">
        <f t="shared" si="32"/>
        <v>403.68357879234173</v>
      </c>
      <c r="P182" s="5"/>
      <c r="Q182" s="5">
        <f t="shared" si="33"/>
        <v>1</v>
      </c>
      <c r="R182" s="7">
        <f t="shared" si="34"/>
        <v>679</v>
      </c>
      <c r="S182" s="5">
        <f t="shared" si="35"/>
        <v>1</v>
      </c>
      <c r="T182" s="7">
        <f t="shared" si="36"/>
        <v>679</v>
      </c>
    </row>
    <row r="183" spans="1:20">
      <c r="A183" s="23" t="s">
        <v>212</v>
      </c>
      <c r="B183" s="35" t="s">
        <v>213</v>
      </c>
      <c r="C183" s="36">
        <v>932</v>
      </c>
      <c r="D183" s="6"/>
      <c r="E183" s="113">
        <v>28849296</v>
      </c>
      <c r="F183" s="116">
        <f t="shared" si="39"/>
        <v>30954.180257510729</v>
      </c>
      <c r="G183" s="117">
        <v>13136066</v>
      </c>
      <c r="H183" s="117">
        <f t="shared" si="40"/>
        <v>14094.491416309012</v>
      </c>
      <c r="I183" s="7"/>
      <c r="J183" s="10">
        <v>3</v>
      </c>
      <c r="K183" s="117">
        <v>39408</v>
      </c>
      <c r="L183" s="120">
        <f t="shared" si="38"/>
        <v>42.283261802575105</v>
      </c>
      <c r="M183" s="122">
        <f t="shared" si="30"/>
        <v>131360.66</v>
      </c>
      <c r="N183" s="116">
        <f t="shared" si="31"/>
        <v>91952.66</v>
      </c>
      <c r="O183" s="123">
        <f t="shared" si="32"/>
        <v>98.661652360515021</v>
      </c>
      <c r="P183" s="5"/>
      <c r="Q183" s="5">
        <f t="shared" si="33"/>
        <v>1</v>
      </c>
      <c r="R183" s="7">
        <f t="shared" si="34"/>
        <v>932</v>
      </c>
      <c r="S183" s="5">
        <f t="shared" si="35"/>
        <v>1</v>
      </c>
      <c r="T183" s="7">
        <f t="shared" si="36"/>
        <v>932</v>
      </c>
    </row>
    <row r="184" spans="1:20">
      <c r="A184" s="23" t="s">
        <v>214</v>
      </c>
      <c r="B184" s="35" t="s">
        <v>215</v>
      </c>
      <c r="C184" s="36">
        <v>870</v>
      </c>
      <c r="D184" s="6"/>
      <c r="E184" s="113">
        <v>17203683</v>
      </c>
      <c r="F184" s="116">
        <f t="shared" si="39"/>
        <v>19774.34827586207</v>
      </c>
      <c r="G184" s="117">
        <v>9582274</v>
      </c>
      <c r="H184" s="117">
        <f t="shared" si="40"/>
        <v>11014.108045977011</v>
      </c>
      <c r="I184" s="7"/>
      <c r="J184" s="10">
        <v>9.4499999999999993</v>
      </c>
      <c r="K184" s="117">
        <v>90552</v>
      </c>
      <c r="L184" s="120">
        <f t="shared" si="38"/>
        <v>104.08275862068966</v>
      </c>
      <c r="M184" s="122">
        <f t="shared" si="30"/>
        <v>95822.74</v>
      </c>
      <c r="N184" s="116">
        <f t="shared" si="31"/>
        <v>5270.7400000000052</v>
      </c>
      <c r="O184" s="123">
        <f t="shared" si="32"/>
        <v>6.0583218390804658</v>
      </c>
      <c r="P184" s="5"/>
      <c r="Q184" s="5">
        <f t="shared" si="33"/>
        <v>1</v>
      </c>
      <c r="R184" s="7">
        <f t="shared" si="34"/>
        <v>870</v>
      </c>
      <c r="S184" s="5">
        <f t="shared" si="35"/>
        <v>1</v>
      </c>
      <c r="T184" s="7">
        <f t="shared" si="36"/>
        <v>870</v>
      </c>
    </row>
    <row r="185" spans="1:20">
      <c r="A185" s="23" t="s">
        <v>198</v>
      </c>
      <c r="B185" s="35" t="s">
        <v>215</v>
      </c>
      <c r="C185" s="36">
        <v>365</v>
      </c>
      <c r="D185" s="6"/>
      <c r="E185" s="113">
        <v>7801133</v>
      </c>
      <c r="F185" s="116">
        <f t="shared" si="39"/>
        <v>21372.967123287672</v>
      </c>
      <c r="G185" s="117">
        <v>4454700</v>
      </c>
      <c r="H185" s="117">
        <f t="shared" si="40"/>
        <v>12204.657534246575</v>
      </c>
      <c r="I185" s="7"/>
      <c r="J185" s="10">
        <v>6.67</v>
      </c>
      <c r="K185" s="117">
        <v>29712</v>
      </c>
      <c r="L185" s="120">
        <f t="shared" si="38"/>
        <v>81.402739726027391</v>
      </c>
      <c r="M185" s="122">
        <f t="shared" si="30"/>
        <v>44547</v>
      </c>
      <c r="N185" s="116">
        <f t="shared" si="31"/>
        <v>14835</v>
      </c>
      <c r="O185" s="123">
        <f t="shared" si="32"/>
        <v>40.643835616438359</v>
      </c>
      <c r="P185" s="5"/>
      <c r="Q185" s="5">
        <f t="shared" si="33"/>
        <v>1</v>
      </c>
      <c r="R185" s="7">
        <f t="shared" si="34"/>
        <v>365</v>
      </c>
      <c r="S185" s="5">
        <f t="shared" si="35"/>
        <v>1</v>
      </c>
      <c r="T185" s="7">
        <f t="shared" si="36"/>
        <v>365</v>
      </c>
    </row>
    <row r="186" spans="1:20">
      <c r="A186" s="23" t="s">
        <v>215</v>
      </c>
      <c r="B186" s="35" t="s">
        <v>215</v>
      </c>
      <c r="C186" s="36">
        <v>3079</v>
      </c>
      <c r="D186" s="6"/>
      <c r="E186" s="113">
        <v>103838665</v>
      </c>
      <c r="F186" s="116">
        <f t="shared" si="39"/>
        <v>33724.801883728484</v>
      </c>
      <c r="G186" s="117">
        <v>66536365</v>
      </c>
      <c r="H186" s="117">
        <f t="shared" si="40"/>
        <v>21609.732055862292</v>
      </c>
      <c r="I186" s="7"/>
      <c r="J186" s="10">
        <v>6.3407</v>
      </c>
      <c r="K186" s="117">
        <v>421887</v>
      </c>
      <c r="L186" s="120">
        <f t="shared" si="38"/>
        <v>137.02078596947061</v>
      </c>
      <c r="M186" s="122">
        <f t="shared" si="30"/>
        <v>665363.65</v>
      </c>
      <c r="N186" s="116">
        <f t="shared" si="31"/>
        <v>243476.65000000002</v>
      </c>
      <c r="O186" s="123">
        <f t="shared" si="32"/>
        <v>79.076534589152331</v>
      </c>
      <c r="P186" s="5"/>
      <c r="Q186" s="5">
        <f t="shared" si="33"/>
        <v>1</v>
      </c>
      <c r="R186" s="7">
        <f t="shared" si="34"/>
        <v>3079</v>
      </c>
      <c r="S186" s="5">
        <f t="shared" si="35"/>
        <v>1</v>
      </c>
      <c r="T186" s="7">
        <f t="shared" si="36"/>
        <v>3079</v>
      </c>
    </row>
    <row r="187" spans="1:20">
      <c r="A187" s="23" t="s">
        <v>216</v>
      </c>
      <c r="B187" s="35" t="s">
        <v>217</v>
      </c>
      <c r="C187" s="36">
        <v>1830</v>
      </c>
      <c r="D187" s="6"/>
      <c r="E187" s="113">
        <v>660788579</v>
      </c>
      <c r="F187" s="116">
        <f t="shared" si="39"/>
        <v>361086.65519125684</v>
      </c>
      <c r="G187" s="117">
        <v>509791698</v>
      </c>
      <c r="H187" s="117">
        <f t="shared" si="40"/>
        <v>278574.69836065575</v>
      </c>
      <c r="I187" s="7"/>
      <c r="J187" s="10">
        <v>2</v>
      </c>
      <c r="K187" s="117">
        <v>1019583</v>
      </c>
      <c r="L187" s="120">
        <f t="shared" si="38"/>
        <v>557.14918032786886</v>
      </c>
      <c r="M187" s="122">
        <f t="shared" si="30"/>
        <v>5097916.9800000004</v>
      </c>
      <c r="N187" s="116">
        <f t="shared" si="31"/>
        <v>4078333.9800000004</v>
      </c>
      <c r="O187" s="123">
        <f t="shared" si="32"/>
        <v>2228.5978032786888</v>
      </c>
      <c r="P187" s="5"/>
      <c r="Q187" s="5">
        <f t="shared" si="33"/>
        <v>1</v>
      </c>
      <c r="R187" s="7">
        <f t="shared" si="34"/>
        <v>1830</v>
      </c>
      <c r="S187" s="5">
        <f t="shared" si="35"/>
        <v>1</v>
      </c>
      <c r="T187" s="7">
        <f t="shared" si="36"/>
        <v>1830</v>
      </c>
    </row>
    <row r="188" spans="1:20">
      <c r="A188" s="23" t="s">
        <v>218</v>
      </c>
      <c r="B188" s="35" t="s">
        <v>217</v>
      </c>
      <c r="C188" s="36">
        <v>52181</v>
      </c>
      <c r="D188" s="6"/>
      <c r="E188" s="113">
        <v>3132270584</v>
      </c>
      <c r="F188" s="116">
        <f t="shared" si="39"/>
        <v>60027.032521415844</v>
      </c>
      <c r="G188" s="117">
        <v>2305203945</v>
      </c>
      <c r="H188" s="117">
        <f t="shared" si="40"/>
        <v>44177.074893160345</v>
      </c>
      <c r="I188" s="7"/>
      <c r="J188" s="10">
        <v>4.3</v>
      </c>
      <c r="K188" s="117">
        <v>9912376</v>
      </c>
      <c r="L188" s="120">
        <f t="shared" si="38"/>
        <v>189.96140357601425</v>
      </c>
      <c r="M188" s="122">
        <f t="shared" si="30"/>
        <v>23052039.449999999</v>
      </c>
      <c r="N188" s="116">
        <f t="shared" si="31"/>
        <v>13139663.449999999</v>
      </c>
      <c r="O188" s="123">
        <f t="shared" si="32"/>
        <v>251.80934535558919</v>
      </c>
      <c r="P188" s="5"/>
      <c r="Q188" s="5">
        <f t="shared" si="33"/>
        <v>1</v>
      </c>
      <c r="R188" s="7">
        <f t="shared" si="34"/>
        <v>52181</v>
      </c>
      <c r="S188" s="5">
        <f t="shared" si="35"/>
        <v>1</v>
      </c>
      <c r="T188" s="7">
        <f t="shared" si="36"/>
        <v>52181</v>
      </c>
    </row>
    <row r="189" spans="1:20">
      <c r="A189" s="23" t="s">
        <v>219</v>
      </c>
      <c r="B189" s="35" t="s">
        <v>217</v>
      </c>
      <c r="C189" s="36">
        <v>1505</v>
      </c>
      <c r="D189" s="6"/>
      <c r="E189" s="113">
        <v>407569737</v>
      </c>
      <c r="F189" s="116">
        <f t="shared" si="39"/>
        <v>270810.45647840534</v>
      </c>
      <c r="G189" s="117">
        <v>341557822</v>
      </c>
      <c r="H189" s="117">
        <f t="shared" si="40"/>
        <v>226948.71893687706</v>
      </c>
      <c r="I189" s="7"/>
      <c r="J189" s="10">
        <v>2.5434000000000001</v>
      </c>
      <c r="K189" s="117">
        <v>868718</v>
      </c>
      <c r="L189" s="120">
        <f t="shared" si="38"/>
        <v>577.22126245847176</v>
      </c>
      <c r="M189" s="122">
        <f t="shared" si="30"/>
        <v>3415578.22</v>
      </c>
      <c r="N189" s="116">
        <f t="shared" si="31"/>
        <v>2546860.2200000002</v>
      </c>
      <c r="O189" s="123">
        <f t="shared" si="32"/>
        <v>1692.2659269102992</v>
      </c>
      <c r="P189" s="5"/>
      <c r="Q189" s="5">
        <f t="shared" si="33"/>
        <v>1</v>
      </c>
      <c r="R189" s="7">
        <f t="shared" si="34"/>
        <v>1505</v>
      </c>
      <c r="S189" s="5">
        <f t="shared" si="35"/>
        <v>1</v>
      </c>
      <c r="T189" s="7">
        <f t="shared" si="36"/>
        <v>1505</v>
      </c>
    </row>
    <row r="190" spans="1:20">
      <c r="A190" s="23" t="s">
        <v>220</v>
      </c>
      <c r="B190" s="35" t="s">
        <v>217</v>
      </c>
      <c r="C190" s="36">
        <v>5015</v>
      </c>
      <c r="D190" s="6"/>
      <c r="E190" s="113">
        <v>1205861950</v>
      </c>
      <c r="F190" s="116">
        <f t="shared" si="39"/>
        <v>240451.036889332</v>
      </c>
      <c r="G190" s="117">
        <v>963435921</v>
      </c>
      <c r="H190" s="117">
        <f t="shared" si="40"/>
        <v>192110.8516450648</v>
      </c>
      <c r="I190" s="7"/>
      <c r="J190" s="10">
        <v>2</v>
      </c>
      <c r="K190" s="117">
        <v>1926871</v>
      </c>
      <c r="L190" s="120">
        <f t="shared" si="38"/>
        <v>384.22153539381856</v>
      </c>
      <c r="M190" s="122">
        <f t="shared" si="30"/>
        <v>9634359.2100000009</v>
      </c>
      <c r="N190" s="116">
        <f t="shared" si="31"/>
        <v>7707488.2100000009</v>
      </c>
      <c r="O190" s="123">
        <f t="shared" si="32"/>
        <v>1536.8869810568297</v>
      </c>
      <c r="P190" s="5"/>
      <c r="Q190" s="5">
        <f t="shared" si="33"/>
        <v>1</v>
      </c>
      <c r="R190" s="7">
        <f t="shared" si="34"/>
        <v>5015</v>
      </c>
      <c r="S190" s="5">
        <f t="shared" si="35"/>
        <v>1</v>
      </c>
      <c r="T190" s="7">
        <f t="shared" si="36"/>
        <v>5015</v>
      </c>
    </row>
    <row r="191" spans="1:20">
      <c r="A191" s="23" t="s">
        <v>221</v>
      </c>
      <c r="B191" s="35" t="s">
        <v>217</v>
      </c>
      <c r="C191" s="36">
        <v>12944</v>
      </c>
      <c r="D191" s="6"/>
      <c r="E191" s="113">
        <v>690673613</v>
      </c>
      <c r="F191" s="116">
        <f t="shared" si="39"/>
        <v>53358.591857231149</v>
      </c>
      <c r="G191" s="117">
        <v>485251199</v>
      </c>
      <c r="H191" s="117">
        <f t="shared" si="40"/>
        <v>37488.504249072932</v>
      </c>
      <c r="I191" s="7"/>
      <c r="J191" s="10">
        <v>5.1645000000000003</v>
      </c>
      <c r="K191" s="117">
        <v>2506079</v>
      </c>
      <c r="L191" s="120">
        <f t="shared" si="38"/>
        <v>193.60931705809642</v>
      </c>
      <c r="M191" s="122">
        <f t="shared" si="30"/>
        <v>4852511.99</v>
      </c>
      <c r="N191" s="116">
        <f t="shared" si="31"/>
        <v>2346432.9900000002</v>
      </c>
      <c r="O191" s="123">
        <f t="shared" si="32"/>
        <v>181.2757254326329</v>
      </c>
      <c r="P191" s="5"/>
      <c r="Q191" s="5">
        <f t="shared" si="33"/>
        <v>1</v>
      </c>
      <c r="R191" s="7">
        <f t="shared" si="34"/>
        <v>12944</v>
      </c>
      <c r="S191" s="5">
        <f t="shared" si="35"/>
        <v>1</v>
      </c>
      <c r="T191" s="7">
        <f t="shared" si="36"/>
        <v>12944</v>
      </c>
    </row>
    <row r="192" spans="1:20">
      <c r="A192" s="23" t="s">
        <v>478</v>
      </c>
      <c r="B192" s="35" t="s">
        <v>222</v>
      </c>
      <c r="C192" s="36">
        <v>7668</v>
      </c>
      <c r="D192" s="6"/>
      <c r="E192" s="113">
        <v>5366687445</v>
      </c>
      <c r="F192" s="116">
        <f t="shared" si="39"/>
        <v>699880.99178403756</v>
      </c>
      <c r="G192" s="117">
        <v>4581469923</v>
      </c>
      <c r="H192" s="117">
        <f t="shared" si="40"/>
        <v>597479.1240219092</v>
      </c>
      <c r="I192" s="7"/>
      <c r="J192" s="10">
        <v>1.85</v>
      </c>
      <c r="K192" s="117">
        <v>8475719</v>
      </c>
      <c r="L192" s="120">
        <f t="shared" si="38"/>
        <v>1105.336332811685</v>
      </c>
      <c r="M192" s="122">
        <f t="shared" si="30"/>
        <v>45814699.230000004</v>
      </c>
      <c r="N192" s="116">
        <f t="shared" si="31"/>
        <v>37338980.230000004</v>
      </c>
      <c r="O192" s="123">
        <f t="shared" si="32"/>
        <v>4869.4549074074075</v>
      </c>
      <c r="P192" s="5"/>
      <c r="Q192" s="5">
        <f t="shared" si="33"/>
        <v>1</v>
      </c>
      <c r="R192" s="7">
        <f t="shared" si="34"/>
        <v>7668</v>
      </c>
      <c r="S192" s="5">
        <f t="shared" si="35"/>
        <v>1</v>
      </c>
      <c r="T192" s="7">
        <f t="shared" si="36"/>
        <v>7668</v>
      </c>
    </row>
    <row r="193" spans="1:20">
      <c r="A193" s="23" t="s">
        <v>223</v>
      </c>
      <c r="B193" s="35" t="s">
        <v>224</v>
      </c>
      <c r="C193" s="36">
        <v>3612</v>
      </c>
      <c r="D193" s="6"/>
      <c r="E193" s="113">
        <v>161683489</v>
      </c>
      <c r="F193" s="116">
        <f t="shared" si="39"/>
        <v>44762.870708748618</v>
      </c>
      <c r="G193" s="117">
        <v>123205033</v>
      </c>
      <c r="H193" s="117">
        <f t="shared" si="40"/>
        <v>34109.920542635657</v>
      </c>
      <c r="I193" s="7"/>
      <c r="J193" s="10">
        <v>4.0271999999999997</v>
      </c>
      <c r="K193" s="117">
        <v>496171</v>
      </c>
      <c r="L193" s="120">
        <f t="shared" si="38"/>
        <v>137.36738648947951</v>
      </c>
      <c r="M193" s="122">
        <f t="shared" si="30"/>
        <v>1232050.33</v>
      </c>
      <c r="N193" s="116">
        <f t="shared" si="31"/>
        <v>735879.33000000007</v>
      </c>
      <c r="O193" s="123">
        <f t="shared" si="32"/>
        <v>203.73181893687709</v>
      </c>
      <c r="P193" s="5"/>
      <c r="Q193" s="5">
        <f t="shared" si="33"/>
        <v>1</v>
      </c>
      <c r="R193" s="7">
        <f t="shared" si="34"/>
        <v>3612</v>
      </c>
      <c r="S193" s="5">
        <f t="shared" si="35"/>
        <v>1</v>
      </c>
      <c r="T193" s="7">
        <f t="shared" si="36"/>
        <v>3612</v>
      </c>
    </row>
    <row r="194" spans="1:20">
      <c r="A194" s="23" t="s">
        <v>225</v>
      </c>
      <c r="B194" s="35" t="s">
        <v>224</v>
      </c>
      <c r="C194" s="36">
        <v>1922</v>
      </c>
      <c r="D194" s="6"/>
      <c r="E194" s="113">
        <v>137061615</v>
      </c>
      <c r="F194" s="116">
        <f t="shared" si="39"/>
        <v>71311.974505723207</v>
      </c>
      <c r="G194" s="117">
        <v>102569138</v>
      </c>
      <c r="H194" s="117">
        <f t="shared" si="40"/>
        <v>53365.83662851197</v>
      </c>
      <c r="I194" s="7"/>
      <c r="J194" s="10">
        <v>6.5</v>
      </c>
      <c r="K194" s="117">
        <v>666699</v>
      </c>
      <c r="L194" s="120">
        <f t="shared" si="38"/>
        <v>346.87773152965661</v>
      </c>
      <c r="M194" s="122">
        <f t="shared" si="30"/>
        <v>1025691.38</v>
      </c>
      <c r="N194" s="116">
        <f t="shared" si="31"/>
        <v>358992.38</v>
      </c>
      <c r="O194" s="123">
        <f t="shared" si="32"/>
        <v>186.78063475546307</v>
      </c>
      <c r="P194" s="5"/>
      <c r="Q194" s="5">
        <f t="shared" si="33"/>
        <v>1</v>
      </c>
      <c r="R194" s="7">
        <f t="shared" si="34"/>
        <v>1922</v>
      </c>
      <c r="S194" s="5">
        <f t="shared" si="35"/>
        <v>1</v>
      </c>
      <c r="T194" s="7">
        <f t="shared" si="36"/>
        <v>1922</v>
      </c>
    </row>
    <row r="195" spans="1:20">
      <c r="A195" s="23" t="s">
        <v>226</v>
      </c>
      <c r="B195" s="35" t="s">
        <v>224</v>
      </c>
      <c r="C195" s="36">
        <v>450</v>
      </c>
      <c r="D195" s="6"/>
      <c r="E195" s="113">
        <v>23117376</v>
      </c>
      <c r="F195" s="116">
        <f t="shared" si="39"/>
        <v>51371.946666666663</v>
      </c>
      <c r="G195" s="117">
        <v>13821864</v>
      </c>
      <c r="H195" s="117">
        <f t="shared" si="40"/>
        <v>30715.253333333334</v>
      </c>
      <c r="I195" s="7"/>
      <c r="J195" s="10">
        <v>1.49</v>
      </c>
      <c r="K195" s="117">
        <v>20594</v>
      </c>
      <c r="L195" s="120">
        <f t="shared" si="38"/>
        <v>45.764444444444443</v>
      </c>
      <c r="M195" s="122">
        <f t="shared" si="30"/>
        <v>138218.64000000001</v>
      </c>
      <c r="N195" s="116">
        <f t="shared" si="31"/>
        <v>117624.64000000001</v>
      </c>
      <c r="O195" s="123">
        <f t="shared" si="32"/>
        <v>261.38808888888894</v>
      </c>
      <c r="P195" s="5"/>
      <c r="Q195" s="5">
        <f t="shared" si="33"/>
        <v>1</v>
      </c>
      <c r="R195" s="7">
        <f t="shared" si="34"/>
        <v>450</v>
      </c>
      <c r="S195" s="5">
        <f t="shared" si="35"/>
        <v>1</v>
      </c>
      <c r="T195" s="7">
        <f t="shared" si="36"/>
        <v>450</v>
      </c>
    </row>
    <row r="196" spans="1:20">
      <c r="A196" s="23" t="s">
        <v>227</v>
      </c>
      <c r="B196" s="35" t="s">
        <v>224</v>
      </c>
      <c r="C196" s="36">
        <v>47139</v>
      </c>
      <c r="D196" s="6"/>
      <c r="E196" s="113">
        <v>3356217005</v>
      </c>
      <c r="F196" s="116">
        <f t="shared" si="39"/>
        <v>71198.307240289359</v>
      </c>
      <c r="G196" s="117">
        <v>2521911481</v>
      </c>
      <c r="H196" s="117">
        <f t="shared" si="40"/>
        <v>53499.469250514434</v>
      </c>
      <c r="I196" s="7"/>
      <c r="J196" s="10">
        <v>5.6760000000000002</v>
      </c>
      <c r="K196" s="117">
        <v>14314369</v>
      </c>
      <c r="L196" s="120">
        <f t="shared" si="38"/>
        <v>303.66297545556756</v>
      </c>
      <c r="M196" s="122">
        <f t="shared" si="30"/>
        <v>25219114.810000002</v>
      </c>
      <c r="N196" s="116">
        <f t="shared" si="31"/>
        <v>10904745.810000002</v>
      </c>
      <c r="O196" s="123">
        <f t="shared" si="32"/>
        <v>231.33171704957684</v>
      </c>
      <c r="P196" s="5"/>
      <c r="Q196" s="5">
        <f t="shared" si="33"/>
        <v>1</v>
      </c>
      <c r="R196" s="7">
        <f t="shared" si="34"/>
        <v>47139</v>
      </c>
      <c r="S196" s="5">
        <f t="shared" si="35"/>
        <v>1</v>
      </c>
      <c r="T196" s="7">
        <f t="shared" si="36"/>
        <v>47139</v>
      </c>
    </row>
    <row r="197" spans="1:20">
      <c r="A197" s="23" t="s">
        <v>228</v>
      </c>
      <c r="B197" s="35" t="s">
        <v>224</v>
      </c>
      <c r="C197" s="36">
        <v>530</v>
      </c>
      <c r="D197" s="6"/>
      <c r="E197" s="113">
        <v>13359602</v>
      </c>
      <c r="F197" s="116">
        <f t="shared" si="39"/>
        <v>25206.796226415096</v>
      </c>
      <c r="G197" s="117">
        <v>7496743</v>
      </c>
      <c r="H197" s="117">
        <f t="shared" si="40"/>
        <v>14144.798113207547</v>
      </c>
      <c r="I197" s="98" t="s">
        <v>528</v>
      </c>
      <c r="J197" s="10"/>
      <c r="K197" s="117"/>
      <c r="L197" s="120"/>
      <c r="M197" s="122">
        <f t="shared" si="30"/>
        <v>74967.430000000008</v>
      </c>
      <c r="N197" s="116">
        <f t="shared" si="31"/>
        <v>74967.430000000008</v>
      </c>
      <c r="O197" s="123">
        <f t="shared" si="32"/>
        <v>141.44798113207548</v>
      </c>
      <c r="P197" s="5"/>
      <c r="Q197" s="5">
        <f t="shared" si="33"/>
        <v>1</v>
      </c>
      <c r="R197" s="7">
        <f t="shared" si="34"/>
        <v>530</v>
      </c>
      <c r="S197" s="5">
        <f t="shared" si="35"/>
        <v>0</v>
      </c>
      <c r="T197" s="7">
        <f t="shared" si="36"/>
        <v>0</v>
      </c>
    </row>
    <row r="198" spans="1:20">
      <c r="A198" s="23" t="s">
        <v>229</v>
      </c>
      <c r="B198" s="35" t="s">
        <v>230</v>
      </c>
      <c r="C198" s="36">
        <v>619</v>
      </c>
      <c r="D198" s="6"/>
      <c r="E198" s="113">
        <v>1731791019</v>
      </c>
      <c r="F198" s="116">
        <f t="shared" si="39"/>
        <v>2797723.7786752828</v>
      </c>
      <c r="G198" s="117">
        <v>1375242694</v>
      </c>
      <c r="H198" s="117">
        <f t="shared" si="40"/>
        <v>2221716.7915993538</v>
      </c>
      <c r="I198" s="7"/>
      <c r="J198" s="10">
        <v>3.2269999999999999</v>
      </c>
      <c r="K198" s="117">
        <v>4437908</v>
      </c>
      <c r="L198" s="120">
        <f>(K198/C198)</f>
        <v>7169.4798061389338</v>
      </c>
      <c r="M198" s="122">
        <f t="shared" ref="M198:M261" si="41">(G198*0.01)</f>
        <v>13752426.939999999</v>
      </c>
      <c r="N198" s="116">
        <f t="shared" ref="N198:N261" si="42">(M198-K198)</f>
        <v>9314518.9399999995</v>
      </c>
      <c r="O198" s="123">
        <f t="shared" ref="O198:O261" si="43">(N198/C198)</f>
        <v>15047.688109854604</v>
      </c>
      <c r="P198" s="5"/>
      <c r="Q198" s="5">
        <f t="shared" si="33"/>
        <v>1</v>
      </c>
      <c r="R198" s="7">
        <f t="shared" si="34"/>
        <v>619</v>
      </c>
      <c r="S198" s="5">
        <f t="shared" si="35"/>
        <v>1</v>
      </c>
      <c r="T198" s="7">
        <f t="shared" si="36"/>
        <v>619</v>
      </c>
    </row>
    <row r="199" spans="1:20">
      <c r="A199" s="24" t="s">
        <v>582</v>
      </c>
      <c r="B199" s="35" t="s">
        <v>230</v>
      </c>
      <c r="C199" s="36">
        <v>449</v>
      </c>
      <c r="D199" s="6"/>
      <c r="E199" s="113">
        <v>16898970</v>
      </c>
      <c r="F199" s="116">
        <f t="shared" si="39"/>
        <v>37636.904231625835</v>
      </c>
      <c r="G199" s="117">
        <v>16893896</v>
      </c>
      <c r="H199" s="117">
        <f t="shared" si="40"/>
        <v>37625.603563474389</v>
      </c>
      <c r="I199" s="98" t="s">
        <v>528</v>
      </c>
      <c r="J199" s="10"/>
      <c r="K199" s="117"/>
      <c r="L199" s="120"/>
      <c r="M199" s="122">
        <f t="shared" si="41"/>
        <v>168938.96</v>
      </c>
      <c r="N199" s="116">
        <f t="shared" si="42"/>
        <v>168938.96</v>
      </c>
      <c r="O199" s="123">
        <f t="shared" si="43"/>
        <v>376.25603563474385</v>
      </c>
      <c r="P199" s="5"/>
      <c r="Q199" s="5">
        <f t="shared" ref="Q199:Q262" si="44">IF(E199&gt;0,1,0)</f>
        <v>1</v>
      </c>
      <c r="R199" s="7">
        <f t="shared" ref="R199:R262" si="45">IF(E199&gt;0,C199,0)</f>
        <v>449</v>
      </c>
      <c r="S199" s="5">
        <f t="shared" ref="S199:S262" si="46">IF(J199&gt;0,1,0)</f>
        <v>0</v>
      </c>
      <c r="T199" s="7">
        <f t="shared" ref="T199:T262" si="47">IF(J199&gt;0,C199,0)</f>
        <v>0</v>
      </c>
    </row>
    <row r="200" spans="1:20">
      <c r="A200" s="23" t="s">
        <v>446</v>
      </c>
      <c r="B200" s="35" t="s">
        <v>230</v>
      </c>
      <c r="C200" s="36">
        <v>1986</v>
      </c>
      <c r="D200" s="6"/>
      <c r="E200" s="113">
        <v>597634538</v>
      </c>
      <c r="F200" s="116">
        <f t="shared" si="39"/>
        <v>300923.73514602217</v>
      </c>
      <c r="G200" s="117">
        <v>464577487</v>
      </c>
      <c r="H200" s="117">
        <f t="shared" si="40"/>
        <v>233926.22708962738</v>
      </c>
      <c r="I200" s="7"/>
      <c r="J200" s="11">
        <v>1.889</v>
      </c>
      <c r="K200" s="117">
        <v>877586</v>
      </c>
      <c r="L200" s="120">
        <f t="shared" ref="L200:L245" si="48">(K200/C200)</f>
        <v>441.8862034239678</v>
      </c>
      <c r="M200" s="122">
        <f t="shared" si="41"/>
        <v>4645774.87</v>
      </c>
      <c r="N200" s="116">
        <f t="shared" si="42"/>
        <v>3768188.87</v>
      </c>
      <c r="O200" s="123">
        <f t="shared" si="43"/>
        <v>1897.3760674723062</v>
      </c>
      <c r="P200" s="5"/>
      <c r="Q200" s="5">
        <f t="shared" si="44"/>
        <v>1</v>
      </c>
      <c r="R200" s="7">
        <f t="shared" si="45"/>
        <v>1986</v>
      </c>
      <c r="S200" s="5">
        <f t="shared" si="46"/>
        <v>1</v>
      </c>
      <c r="T200" s="7">
        <f t="shared" si="47"/>
        <v>1986</v>
      </c>
    </row>
    <row r="201" spans="1:20">
      <c r="A201" s="23" t="s">
        <v>231</v>
      </c>
      <c r="B201" s="35" t="s">
        <v>230</v>
      </c>
      <c r="C201" s="36">
        <v>15275</v>
      </c>
      <c r="D201" s="6"/>
      <c r="E201" s="113">
        <v>1687032911</v>
      </c>
      <c r="F201" s="116">
        <f t="shared" si="39"/>
        <v>110444.05309328969</v>
      </c>
      <c r="G201" s="117">
        <v>1180061631</v>
      </c>
      <c r="H201" s="117">
        <f t="shared" si="40"/>
        <v>77254.443927986911</v>
      </c>
      <c r="I201" s="7"/>
      <c r="J201" s="10">
        <v>4.1539000000000001</v>
      </c>
      <c r="K201" s="117">
        <v>4901858</v>
      </c>
      <c r="L201" s="120">
        <f t="shared" si="48"/>
        <v>320.90723404255317</v>
      </c>
      <c r="M201" s="122">
        <f t="shared" si="41"/>
        <v>11800616.310000001</v>
      </c>
      <c r="N201" s="116">
        <f t="shared" si="42"/>
        <v>6898758.3100000005</v>
      </c>
      <c r="O201" s="123">
        <f t="shared" si="43"/>
        <v>451.63720523731592</v>
      </c>
      <c r="P201" s="5"/>
      <c r="Q201" s="5">
        <f t="shared" si="44"/>
        <v>1</v>
      </c>
      <c r="R201" s="7">
        <f t="shared" si="45"/>
        <v>15275</v>
      </c>
      <c r="S201" s="5">
        <f t="shared" si="46"/>
        <v>1</v>
      </c>
      <c r="T201" s="7">
        <f t="shared" si="47"/>
        <v>15275</v>
      </c>
    </row>
    <row r="202" spans="1:20">
      <c r="A202" s="24" t="s">
        <v>232</v>
      </c>
      <c r="B202" s="37" t="s">
        <v>233</v>
      </c>
      <c r="C202" s="36">
        <v>27241</v>
      </c>
      <c r="D202" s="6"/>
      <c r="E202" s="113">
        <v>5296835205</v>
      </c>
      <c r="F202" s="116">
        <f t="shared" si="39"/>
        <v>194443.49344737711</v>
      </c>
      <c r="G202" s="117">
        <v>4766164087</v>
      </c>
      <c r="H202" s="117">
        <f t="shared" si="40"/>
        <v>174962.89001872178</v>
      </c>
      <c r="I202" s="7"/>
      <c r="J202" s="10">
        <v>2.2269999999999999</v>
      </c>
      <c r="K202" s="117">
        <v>10614247</v>
      </c>
      <c r="L202" s="120">
        <f t="shared" si="48"/>
        <v>389.64234058955253</v>
      </c>
      <c r="M202" s="122">
        <f t="shared" si="41"/>
        <v>47661640.869999997</v>
      </c>
      <c r="N202" s="116">
        <f t="shared" si="42"/>
        <v>37047393.869999997</v>
      </c>
      <c r="O202" s="123">
        <f t="shared" si="43"/>
        <v>1359.9865595976653</v>
      </c>
      <c r="P202" s="5"/>
      <c r="Q202" s="5">
        <f t="shared" si="44"/>
        <v>1</v>
      </c>
      <c r="R202" s="7">
        <f t="shared" si="45"/>
        <v>27241</v>
      </c>
      <c r="S202" s="5">
        <f t="shared" si="46"/>
        <v>1</v>
      </c>
      <c r="T202" s="7">
        <f t="shared" si="47"/>
        <v>27241</v>
      </c>
    </row>
    <row r="203" spans="1:20">
      <c r="A203" s="23" t="s">
        <v>234</v>
      </c>
      <c r="B203" s="37" t="s">
        <v>233</v>
      </c>
      <c r="C203" s="36">
        <v>3312</v>
      </c>
      <c r="D203" s="6"/>
      <c r="E203" s="113">
        <v>1491429632</v>
      </c>
      <c r="F203" s="116">
        <f t="shared" si="39"/>
        <v>450310.87922705314</v>
      </c>
      <c r="G203" s="117">
        <v>1340028402</v>
      </c>
      <c r="H203" s="117">
        <f t="shared" si="40"/>
        <v>404597.94746376813</v>
      </c>
      <c r="I203" s="7"/>
      <c r="J203" s="11">
        <v>2.9020000000000001</v>
      </c>
      <c r="K203" s="117">
        <v>3888762</v>
      </c>
      <c r="L203" s="120">
        <f t="shared" si="48"/>
        <v>1174.143115942029</v>
      </c>
      <c r="M203" s="122">
        <f t="shared" si="41"/>
        <v>13400284.02</v>
      </c>
      <c r="N203" s="116">
        <f t="shared" si="42"/>
        <v>9511522.0199999996</v>
      </c>
      <c r="O203" s="123">
        <f t="shared" si="43"/>
        <v>2871.8363586956521</v>
      </c>
      <c r="P203" s="5"/>
      <c r="Q203" s="5">
        <f t="shared" si="44"/>
        <v>1</v>
      </c>
      <c r="R203" s="7">
        <f t="shared" si="45"/>
        <v>3312</v>
      </c>
      <c r="S203" s="5">
        <f t="shared" si="46"/>
        <v>1</v>
      </c>
      <c r="T203" s="7">
        <f t="shared" si="47"/>
        <v>3312</v>
      </c>
    </row>
    <row r="204" spans="1:20">
      <c r="A204" s="23" t="s">
        <v>235</v>
      </c>
      <c r="B204" s="37" t="s">
        <v>233</v>
      </c>
      <c r="C204" s="36">
        <v>5188</v>
      </c>
      <c r="D204" s="6"/>
      <c r="E204" s="113">
        <v>568677191</v>
      </c>
      <c r="F204" s="116">
        <f t="shared" si="39"/>
        <v>109613.95354664611</v>
      </c>
      <c r="G204" s="117">
        <v>429310022</v>
      </c>
      <c r="H204" s="117">
        <f t="shared" si="40"/>
        <v>82750.582498072472</v>
      </c>
      <c r="I204" s="7"/>
      <c r="J204" s="10">
        <v>5</v>
      </c>
      <c r="K204" s="117">
        <v>2146550</v>
      </c>
      <c r="L204" s="120">
        <f t="shared" si="48"/>
        <v>413.75289128758675</v>
      </c>
      <c r="M204" s="122">
        <f t="shared" si="41"/>
        <v>4293100.22</v>
      </c>
      <c r="N204" s="116">
        <f t="shared" si="42"/>
        <v>2146550.2199999997</v>
      </c>
      <c r="O204" s="123">
        <f t="shared" si="43"/>
        <v>413.75293369313795</v>
      </c>
      <c r="P204" s="5"/>
      <c r="Q204" s="5">
        <f t="shared" si="44"/>
        <v>1</v>
      </c>
      <c r="R204" s="7">
        <f t="shared" si="45"/>
        <v>5188</v>
      </c>
      <c r="S204" s="5">
        <f t="shared" si="46"/>
        <v>1</v>
      </c>
      <c r="T204" s="7">
        <f t="shared" si="47"/>
        <v>5188</v>
      </c>
    </row>
    <row r="205" spans="1:20">
      <c r="A205" s="23" t="s">
        <v>236</v>
      </c>
      <c r="B205" s="37" t="s">
        <v>233</v>
      </c>
      <c r="C205" s="36">
        <v>3485</v>
      </c>
      <c r="D205" s="6"/>
      <c r="E205" s="113">
        <v>185509125</v>
      </c>
      <c r="F205" s="116">
        <f t="shared" si="39"/>
        <v>53230.738880918223</v>
      </c>
      <c r="G205" s="117">
        <v>116543478</v>
      </c>
      <c r="H205" s="117">
        <f t="shared" si="40"/>
        <v>33441.457101865133</v>
      </c>
      <c r="I205" s="7"/>
      <c r="J205" s="10">
        <v>7.9</v>
      </c>
      <c r="K205" s="117">
        <v>920693</v>
      </c>
      <c r="L205" s="120">
        <f t="shared" si="48"/>
        <v>264.18737446197991</v>
      </c>
      <c r="M205" s="122">
        <f t="shared" si="41"/>
        <v>1165434.78</v>
      </c>
      <c r="N205" s="116">
        <f t="shared" si="42"/>
        <v>244741.78000000003</v>
      </c>
      <c r="O205" s="123">
        <f t="shared" si="43"/>
        <v>70.227196556671458</v>
      </c>
      <c r="P205" s="5"/>
      <c r="Q205" s="5">
        <f t="shared" si="44"/>
        <v>1</v>
      </c>
      <c r="R205" s="7">
        <f t="shared" si="45"/>
        <v>3485</v>
      </c>
      <c r="S205" s="5">
        <f t="shared" si="46"/>
        <v>1</v>
      </c>
      <c r="T205" s="7">
        <f t="shared" si="47"/>
        <v>3485</v>
      </c>
    </row>
    <row r="206" spans="1:20">
      <c r="A206" s="23" t="s">
        <v>237</v>
      </c>
      <c r="B206" s="37" t="s">
        <v>233</v>
      </c>
      <c r="C206" s="36">
        <v>43216</v>
      </c>
      <c r="D206" s="6"/>
      <c r="E206" s="113">
        <v>11184746558</v>
      </c>
      <c r="F206" s="116">
        <f t="shared" si="39"/>
        <v>258810.31465198073</v>
      </c>
      <c r="G206" s="117">
        <v>8381340299</v>
      </c>
      <c r="H206" s="117">
        <f t="shared" si="40"/>
        <v>193940.67704091078</v>
      </c>
      <c r="I206" s="7"/>
      <c r="J206" s="10">
        <v>5.99</v>
      </c>
      <c r="K206" s="117">
        <v>50204228</v>
      </c>
      <c r="L206" s="120">
        <f t="shared" si="48"/>
        <v>1161.7046464272491</v>
      </c>
      <c r="M206" s="122">
        <f t="shared" si="41"/>
        <v>83813402.989999995</v>
      </c>
      <c r="N206" s="116">
        <f t="shared" si="42"/>
        <v>33609174.989999995</v>
      </c>
      <c r="O206" s="123">
        <f t="shared" si="43"/>
        <v>777.70212398185845</v>
      </c>
      <c r="P206" s="5"/>
      <c r="Q206" s="5">
        <f t="shared" si="44"/>
        <v>1</v>
      </c>
      <c r="R206" s="7">
        <f t="shared" si="45"/>
        <v>43216</v>
      </c>
      <c r="S206" s="5">
        <f t="shared" si="46"/>
        <v>1</v>
      </c>
      <c r="T206" s="7">
        <f t="shared" si="47"/>
        <v>43216</v>
      </c>
    </row>
    <row r="207" spans="1:20">
      <c r="A207" s="23" t="s">
        <v>238</v>
      </c>
      <c r="B207" s="37" t="s">
        <v>233</v>
      </c>
      <c r="C207" s="36">
        <v>2530</v>
      </c>
      <c r="D207" s="6"/>
      <c r="E207" s="113">
        <v>124837934</v>
      </c>
      <c r="F207" s="116">
        <f t="shared" si="39"/>
        <v>49343.056916996051</v>
      </c>
      <c r="G207" s="117">
        <v>66454894</v>
      </c>
      <c r="H207" s="117">
        <f t="shared" si="40"/>
        <v>26266.756521739131</v>
      </c>
      <c r="I207" s="7"/>
      <c r="J207" s="10">
        <v>8.6999999999999993</v>
      </c>
      <c r="K207" s="117">
        <v>578157</v>
      </c>
      <c r="L207" s="120">
        <f t="shared" si="48"/>
        <v>228.52055335968379</v>
      </c>
      <c r="M207" s="122">
        <f t="shared" si="41"/>
        <v>664548.94000000006</v>
      </c>
      <c r="N207" s="116">
        <f t="shared" si="42"/>
        <v>86391.940000000061</v>
      </c>
      <c r="O207" s="123">
        <f t="shared" si="43"/>
        <v>34.147011857707533</v>
      </c>
      <c r="P207" s="5"/>
      <c r="Q207" s="5">
        <f t="shared" si="44"/>
        <v>1</v>
      </c>
      <c r="R207" s="7">
        <f t="shared" si="45"/>
        <v>2530</v>
      </c>
      <c r="S207" s="5">
        <f t="shared" si="46"/>
        <v>1</v>
      </c>
      <c r="T207" s="7">
        <f t="shared" si="47"/>
        <v>2530</v>
      </c>
    </row>
    <row r="208" spans="1:20">
      <c r="A208" s="23" t="s">
        <v>239</v>
      </c>
      <c r="B208" s="37" t="s">
        <v>233</v>
      </c>
      <c r="C208" s="36">
        <v>8466</v>
      </c>
      <c r="D208" s="6"/>
      <c r="E208" s="113">
        <v>343597489</v>
      </c>
      <c r="F208" s="116">
        <f t="shared" si="39"/>
        <v>40585.576305220886</v>
      </c>
      <c r="G208" s="117">
        <v>249708981</v>
      </c>
      <c r="H208" s="117">
        <f t="shared" si="40"/>
        <v>29495.509213323883</v>
      </c>
      <c r="I208" s="7"/>
      <c r="J208" s="10">
        <v>8.9</v>
      </c>
      <c r="K208" s="117">
        <v>2222409</v>
      </c>
      <c r="L208" s="120">
        <f t="shared" si="48"/>
        <v>262.5099220411056</v>
      </c>
      <c r="M208" s="122">
        <f t="shared" si="41"/>
        <v>2497089.81</v>
      </c>
      <c r="N208" s="116">
        <f t="shared" si="42"/>
        <v>274680.81000000006</v>
      </c>
      <c r="O208" s="123">
        <f t="shared" si="43"/>
        <v>32.445170092133246</v>
      </c>
      <c r="P208" s="5"/>
      <c r="Q208" s="5">
        <f t="shared" si="44"/>
        <v>1</v>
      </c>
      <c r="R208" s="7">
        <f t="shared" si="45"/>
        <v>8466</v>
      </c>
      <c r="S208" s="5">
        <f t="shared" si="46"/>
        <v>1</v>
      </c>
      <c r="T208" s="7">
        <f t="shared" si="47"/>
        <v>8466</v>
      </c>
    </row>
    <row r="209" spans="1:20">
      <c r="A209" s="23" t="s">
        <v>240</v>
      </c>
      <c r="B209" s="37" t="s">
        <v>233</v>
      </c>
      <c r="C209" s="36">
        <v>930</v>
      </c>
      <c r="D209" s="6"/>
      <c r="E209" s="113">
        <v>571585164</v>
      </c>
      <c r="F209" s="116">
        <f t="shared" si="39"/>
        <v>614607.70322580647</v>
      </c>
      <c r="G209" s="117">
        <v>435087328</v>
      </c>
      <c r="H209" s="117">
        <f t="shared" si="40"/>
        <v>467835.83655913977</v>
      </c>
      <c r="I209" s="7"/>
      <c r="J209" s="10">
        <v>8.59</v>
      </c>
      <c r="K209" s="117">
        <v>3737400</v>
      </c>
      <c r="L209" s="120">
        <f t="shared" si="48"/>
        <v>4018.7096774193546</v>
      </c>
      <c r="M209" s="122">
        <f t="shared" si="41"/>
        <v>4350873.28</v>
      </c>
      <c r="N209" s="116">
        <f t="shared" si="42"/>
        <v>613473.28000000026</v>
      </c>
      <c r="O209" s="123">
        <f t="shared" si="43"/>
        <v>659.64868817204331</v>
      </c>
      <c r="P209" s="5"/>
      <c r="Q209" s="5">
        <f t="shared" si="44"/>
        <v>1</v>
      </c>
      <c r="R209" s="7">
        <f t="shared" si="45"/>
        <v>930</v>
      </c>
      <c r="S209" s="5">
        <f t="shared" si="46"/>
        <v>1</v>
      </c>
      <c r="T209" s="7">
        <f t="shared" si="47"/>
        <v>930</v>
      </c>
    </row>
    <row r="210" spans="1:20">
      <c r="A210" s="23" t="s">
        <v>241</v>
      </c>
      <c r="B210" s="37" t="s">
        <v>233</v>
      </c>
      <c r="C210" s="36">
        <v>233388</v>
      </c>
      <c r="D210" s="6"/>
      <c r="E210" s="113">
        <v>9168879757</v>
      </c>
      <c r="F210" s="116">
        <f t="shared" si="39"/>
        <v>39285.994811215656</v>
      </c>
      <c r="G210" s="117">
        <v>6505209233</v>
      </c>
      <c r="H210" s="117">
        <f t="shared" si="40"/>
        <v>27872.937910261026</v>
      </c>
      <c r="I210" s="7"/>
      <c r="J210" s="10">
        <v>7.5279999999999996</v>
      </c>
      <c r="K210" s="117">
        <v>48971215</v>
      </c>
      <c r="L210" s="120">
        <f t="shared" si="48"/>
        <v>209.82747613416285</v>
      </c>
      <c r="M210" s="122">
        <f t="shared" si="41"/>
        <v>65052092.329999998</v>
      </c>
      <c r="N210" s="116">
        <f t="shared" si="42"/>
        <v>16080877.329999998</v>
      </c>
      <c r="O210" s="123">
        <f t="shared" si="43"/>
        <v>68.901902968447388</v>
      </c>
      <c r="P210" s="5"/>
      <c r="Q210" s="5">
        <f t="shared" si="44"/>
        <v>1</v>
      </c>
      <c r="R210" s="7">
        <f t="shared" si="45"/>
        <v>233388</v>
      </c>
      <c r="S210" s="5">
        <f t="shared" si="46"/>
        <v>1</v>
      </c>
      <c r="T210" s="7">
        <f t="shared" si="47"/>
        <v>233388</v>
      </c>
    </row>
    <row r="211" spans="1:20">
      <c r="A211" s="23" t="s">
        <v>242</v>
      </c>
      <c r="B211" s="37" t="s">
        <v>233</v>
      </c>
      <c r="C211" s="36">
        <v>20106</v>
      </c>
      <c r="D211" s="6"/>
      <c r="E211" s="113">
        <v>919698832</v>
      </c>
      <c r="F211" s="116">
        <f t="shared" si="39"/>
        <v>45742.506316522435</v>
      </c>
      <c r="G211" s="117">
        <v>683226703</v>
      </c>
      <c r="H211" s="117">
        <f t="shared" si="40"/>
        <v>33981.234606585102</v>
      </c>
      <c r="I211" s="7"/>
      <c r="J211" s="10">
        <v>6.12</v>
      </c>
      <c r="K211" s="117">
        <v>4181347</v>
      </c>
      <c r="L211" s="120">
        <f t="shared" si="48"/>
        <v>207.96513478563614</v>
      </c>
      <c r="M211" s="122">
        <f t="shared" si="41"/>
        <v>6832267.0300000003</v>
      </c>
      <c r="N211" s="116">
        <f t="shared" si="42"/>
        <v>2650920.0300000003</v>
      </c>
      <c r="O211" s="123">
        <f t="shared" si="43"/>
        <v>131.84721128021488</v>
      </c>
      <c r="P211" s="5"/>
      <c r="Q211" s="5">
        <f t="shared" si="44"/>
        <v>1</v>
      </c>
      <c r="R211" s="7">
        <f t="shared" si="45"/>
        <v>20106</v>
      </c>
      <c r="S211" s="5">
        <f t="shared" si="46"/>
        <v>1</v>
      </c>
      <c r="T211" s="7">
        <f t="shared" si="47"/>
        <v>20106</v>
      </c>
    </row>
    <row r="212" spans="1:20">
      <c r="A212" s="23" t="s">
        <v>243</v>
      </c>
      <c r="B212" s="37" t="s">
        <v>233</v>
      </c>
      <c r="C212" s="36">
        <v>34989</v>
      </c>
      <c r="D212" s="6"/>
      <c r="E212" s="113">
        <v>1322387430</v>
      </c>
      <c r="F212" s="116">
        <f t="shared" si="39"/>
        <v>37794.376232530223</v>
      </c>
      <c r="G212" s="117">
        <v>893719844</v>
      </c>
      <c r="H212" s="117">
        <f t="shared" si="40"/>
        <v>25542.880448140844</v>
      </c>
      <c r="I212" s="7"/>
      <c r="J212" s="10">
        <v>8.25</v>
      </c>
      <c r="K212" s="117">
        <v>7373188</v>
      </c>
      <c r="L212" s="120">
        <f t="shared" si="48"/>
        <v>210.72874331932894</v>
      </c>
      <c r="M212" s="122">
        <f t="shared" si="41"/>
        <v>8937198.4399999995</v>
      </c>
      <c r="N212" s="116">
        <f t="shared" si="42"/>
        <v>1564010.4399999995</v>
      </c>
      <c r="O212" s="123">
        <f t="shared" si="43"/>
        <v>44.700061162079493</v>
      </c>
      <c r="P212" s="5"/>
      <c r="Q212" s="5">
        <f t="shared" si="44"/>
        <v>1</v>
      </c>
      <c r="R212" s="7">
        <f t="shared" si="45"/>
        <v>34989</v>
      </c>
      <c r="S212" s="5">
        <f t="shared" si="46"/>
        <v>1</v>
      </c>
      <c r="T212" s="7">
        <f t="shared" si="47"/>
        <v>34989</v>
      </c>
    </row>
    <row r="213" spans="1:20">
      <c r="A213" s="23" t="s">
        <v>244</v>
      </c>
      <c r="B213" s="37" t="s">
        <v>233</v>
      </c>
      <c r="C213" s="36">
        <v>31</v>
      </c>
      <c r="D213" s="6"/>
      <c r="E213" s="113">
        <v>276024601</v>
      </c>
      <c r="F213" s="116">
        <f t="shared" si="39"/>
        <v>8904019.3870967738</v>
      </c>
      <c r="G213" s="117">
        <v>243394338</v>
      </c>
      <c r="H213" s="117">
        <f t="shared" si="40"/>
        <v>7851430.2580645159</v>
      </c>
      <c r="I213" s="7"/>
      <c r="J213" s="10">
        <v>10</v>
      </c>
      <c r="K213" s="117">
        <v>2433943</v>
      </c>
      <c r="L213" s="120">
        <f t="shared" si="48"/>
        <v>78514.290322580651</v>
      </c>
      <c r="M213" s="122">
        <f t="shared" si="41"/>
        <v>2433943.38</v>
      </c>
      <c r="N213" s="116">
        <f t="shared" si="42"/>
        <v>0.37999999988824129</v>
      </c>
      <c r="O213" s="123">
        <f t="shared" si="43"/>
        <v>1.2258064512523913E-2</v>
      </c>
      <c r="P213" s="5"/>
      <c r="Q213" s="5">
        <f t="shared" si="44"/>
        <v>1</v>
      </c>
      <c r="R213" s="7">
        <f t="shared" si="45"/>
        <v>31</v>
      </c>
      <c r="S213" s="5">
        <f t="shared" si="46"/>
        <v>1</v>
      </c>
      <c r="T213" s="7">
        <f t="shared" si="47"/>
        <v>31</v>
      </c>
    </row>
    <row r="214" spans="1:20">
      <c r="A214" s="23" t="s">
        <v>245</v>
      </c>
      <c r="B214" s="37" t="s">
        <v>233</v>
      </c>
      <c r="C214" s="36">
        <v>6</v>
      </c>
      <c r="D214" s="6"/>
      <c r="E214" s="113">
        <v>9452601</v>
      </c>
      <c r="F214" s="116">
        <f t="shared" si="39"/>
        <v>1575433.5</v>
      </c>
      <c r="G214" s="117">
        <v>265044</v>
      </c>
      <c r="H214" s="117">
        <f t="shared" si="40"/>
        <v>44174</v>
      </c>
      <c r="I214" s="7"/>
      <c r="J214" s="10">
        <v>9.6210000000000004</v>
      </c>
      <c r="K214" s="117">
        <v>2549</v>
      </c>
      <c r="L214" s="120">
        <f t="shared" si="48"/>
        <v>424.83333333333331</v>
      </c>
      <c r="M214" s="122">
        <f t="shared" si="41"/>
        <v>2650.44</v>
      </c>
      <c r="N214" s="116">
        <f t="shared" si="42"/>
        <v>101.44000000000005</v>
      </c>
      <c r="O214" s="123">
        <f t="shared" si="43"/>
        <v>16.906666666666677</v>
      </c>
      <c r="P214" s="5"/>
      <c r="Q214" s="5">
        <f t="shared" si="44"/>
        <v>1</v>
      </c>
      <c r="R214" s="7">
        <f t="shared" si="45"/>
        <v>6</v>
      </c>
      <c r="S214" s="5">
        <f t="shared" si="46"/>
        <v>1</v>
      </c>
      <c r="T214" s="7">
        <f t="shared" si="47"/>
        <v>6</v>
      </c>
    </row>
    <row r="215" spans="1:20">
      <c r="A215" s="23" t="s">
        <v>246</v>
      </c>
      <c r="B215" s="37" t="s">
        <v>233</v>
      </c>
      <c r="C215" s="36">
        <v>11100</v>
      </c>
      <c r="D215" s="6"/>
      <c r="E215" s="113">
        <v>4142236432</v>
      </c>
      <c r="F215" s="116">
        <f t="shared" si="39"/>
        <v>373174.45333333331</v>
      </c>
      <c r="G215" s="117">
        <v>3661499368</v>
      </c>
      <c r="H215" s="117">
        <f t="shared" si="40"/>
        <v>329864.80792792793</v>
      </c>
      <c r="I215" s="7"/>
      <c r="J215" s="10">
        <v>3.6059999999999999</v>
      </c>
      <c r="K215" s="117">
        <v>13203366</v>
      </c>
      <c r="L215" s="120">
        <f t="shared" si="48"/>
        <v>1189.4924324324325</v>
      </c>
      <c r="M215" s="122">
        <f t="shared" si="41"/>
        <v>36614993.68</v>
      </c>
      <c r="N215" s="116">
        <f t="shared" si="42"/>
        <v>23411627.68</v>
      </c>
      <c r="O215" s="123">
        <f t="shared" si="43"/>
        <v>2109.1556468468466</v>
      </c>
      <c r="P215" s="5"/>
      <c r="Q215" s="5">
        <f t="shared" si="44"/>
        <v>1</v>
      </c>
      <c r="R215" s="7">
        <f t="shared" si="45"/>
        <v>11100</v>
      </c>
      <c r="S215" s="5">
        <f t="shared" si="46"/>
        <v>1</v>
      </c>
      <c r="T215" s="7">
        <f t="shared" si="47"/>
        <v>11100</v>
      </c>
    </row>
    <row r="216" spans="1:20">
      <c r="A216" s="23" t="s">
        <v>247</v>
      </c>
      <c r="B216" s="37" t="s">
        <v>233</v>
      </c>
      <c r="C216" s="36">
        <v>1130</v>
      </c>
      <c r="D216" s="6"/>
      <c r="E216" s="113">
        <v>1042182917</v>
      </c>
      <c r="F216" s="116">
        <f t="shared" si="39"/>
        <v>922285.76725663722</v>
      </c>
      <c r="G216" s="117">
        <v>1020560931</v>
      </c>
      <c r="H216" s="117">
        <f t="shared" si="40"/>
        <v>903151.26637168147</v>
      </c>
      <c r="I216" s="7"/>
      <c r="J216" s="10">
        <v>7.45</v>
      </c>
      <c r="K216" s="117">
        <v>7603178</v>
      </c>
      <c r="L216" s="120">
        <f t="shared" si="48"/>
        <v>6728.4761061946901</v>
      </c>
      <c r="M216" s="122">
        <f t="shared" si="41"/>
        <v>10205609.310000001</v>
      </c>
      <c r="N216" s="116">
        <f t="shared" si="42"/>
        <v>2602431.3100000005</v>
      </c>
      <c r="O216" s="123">
        <f t="shared" si="43"/>
        <v>2303.0365575221244</v>
      </c>
      <c r="P216" s="5"/>
      <c r="Q216" s="5">
        <f t="shared" si="44"/>
        <v>1</v>
      </c>
      <c r="R216" s="7">
        <f t="shared" si="45"/>
        <v>1130</v>
      </c>
      <c r="S216" s="5">
        <f t="shared" si="46"/>
        <v>1</v>
      </c>
      <c r="T216" s="7">
        <f t="shared" si="47"/>
        <v>1130</v>
      </c>
    </row>
    <row r="217" spans="1:20">
      <c r="A217" s="23" t="s">
        <v>248</v>
      </c>
      <c r="B217" s="37" t="s">
        <v>233</v>
      </c>
      <c r="C217" s="36">
        <v>372920</v>
      </c>
      <c r="D217" s="6"/>
      <c r="E217" s="113">
        <v>28171545225</v>
      </c>
      <c r="F217" s="116">
        <f t="shared" si="39"/>
        <v>75543.133178697841</v>
      </c>
      <c r="G217" s="117">
        <v>19322365072</v>
      </c>
      <c r="H217" s="117">
        <f t="shared" si="40"/>
        <v>51813.700182344735</v>
      </c>
      <c r="I217" s="7"/>
      <c r="J217" s="10">
        <v>8.7624999999999993</v>
      </c>
      <c r="K217" s="117">
        <v>169312223</v>
      </c>
      <c r="L217" s="120">
        <f t="shared" si="48"/>
        <v>454.01754531803067</v>
      </c>
      <c r="M217" s="122">
        <f t="shared" si="41"/>
        <v>193223650.72</v>
      </c>
      <c r="N217" s="116">
        <f t="shared" si="42"/>
        <v>23911427.719999999</v>
      </c>
      <c r="O217" s="123">
        <f t="shared" si="43"/>
        <v>64.119456505416707</v>
      </c>
      <c r="P217" s="5"/>
      <c r="Q217" s="5">
        <f t="shared" si="44"/>
        <v>1</v>
      </c>
      <c r="R217" s="7">
        <f t="shared" si="45"/>
        <v>372920</v>
      </c>
      <c r="S217" s="5">
        <f t="shared" si="46"/>
        <v>1</v>
      </c>
      <c r="T217" s="7">
        <f t="shared" si="47"/>
        <v>372920</v>
      </c>
    </row>
    <row r="218" spans="1:20">
      <c r="A218" s="23" t="s">
        <v>249</v>
      </c>
      <c r="B218" s="37" t="s">
        <v>233</v>
      </c>
      <c r="C218" s="36">
        <v>90486</v>
      </c>
      <c r="D218" s="6"/>
      <c r="E218" s="113">
        <v>15023542924</v>
      </c>
      <c r="F218" s="116">
        <f t="shared" si="39"/>
        <v>166031.68361956545</v>
      </c>
      <c r="G218" s="117">
        <v>12060264751</v>
      </c>
      <c r="H218" s="117">
        <f t="shared" si="40"/>
        <v>133283.21233118937</v>
      </c>
      <c r="I218" s="7"/>
      <c r="J218" s="10">
        <v>7.2990000000000004</v>
      </c>
      <c r="K218" s="117">
        <v>88027872</v>
      </c>
      <c r="L218" s="120">
        <f t="shared" si="48"/>
        <v>972.8341621908362</v>
      </c>
      <c r="M218" s="122">
        <f t="shared" si="41"/>
        <v>120602647.51000001</v>
      </c>
      <c r="N218" s="116">
        <f t="shared" si="42"/>
        <v>32574775.510000005</v>
      </c>
      <c r="O218" s="123">
        <f t="shared" si="43"/>
        <v>359.99796112105747</v>
      </c>
      <c r="P218" s="5"/>
      <c r="Q218" s="5">
        <f t="shared" si="44"/>
        <v>1</v>
      </c>
      <c r="R218" s="7">
        <f t="shared" si="45"/>
        <v>90486</v>
      </c>
      <c r="S218" s="5">
        <f t="shared" si="46"/>
        <v>1</v>
      </c>
      <c r="T218" s="7">
        <f t="shared" si="47"/>
        <v>90486</v>
      </c>
    </row>
    <row r="219" spans="1:20">
      <c r="A219" s="23" t="s">
        <v>459</v>
      </c>
      <c r="B219" s="37" t="s">
        <v>233</v>
      </c>
      <c r="C219" s="36">
        <v>24523</v>
      </c>
      <c r="D219" s="6"/>
      <c r="E219" s="113">
        <v>2641127490</v>
      </c>
      <c r="F219" s="116">
        <f t="shared" si="39"/>
        <v>107700.01590343758</v>
      </c>
      <c r="G219" s="117">
        <v>2101387593</v>
      </c>
      <c r="H219" s="117">
        <f t="shared" si="40"/>
        <v>85690.47804102271</v>
      </c>
      <c r="I219" s="7"/>
      <c r="J219" s="10">
        <v>2.968</v>
      </c>
      <c r="K219" s="117">
        <v>6236918</v>
      </c>
      <c r="L219" s="120">
        <f t="shared" si="48"/>
        <v>254.32932349223179</v>
      </c>
      <c r="M219" s="122">
        <f t="shared" si="41"/>
        <v>21013875.93</v>
      </c>
      <c r="N219" s="116">
        <f t="shared" si="42"/>
        <v>14776957.93</v>
      </c>
      <c r="O219" s="123">
        <f t="shared" si="43"/>
        <v>602.57545691799533</v>
      </c>
      <c r="P219" s="5"/>
      <c r="Q219" s="5">
        <f t="shared" si="44"/>
        <v>1</v>
      </c>
      <c r="R219" s="7">
        <f t="shared" si="45"/>
        <v>24523</v>
      </c>
      <c r="S219" s="5">
        <f t="shared" si="46"/>
        <v>1</v>
      </c>
      <c r="T219" s="7">
        <f t="shared" si="47"/>
        <v>24523</v>
      </c>
    </row>
    <row r="220" spans="1:20">
      <c r="A220" s="23" t="s">
        <v>250</v>
      </c>
      <c r="B220" s="37" t="s">
        <v>233</v>
      </c>
      <c r="C220" s="36">
        <v>10441</v>
      </c>
      <c r="D220" s="6"/>
      <c r="E220" s="113">
        <v>952196314</v>
      </c>
      <c r="F220" s="116">
        <f t="shared" si="39"/>
        <v>91197.808064361656</v>
      </c>
      <c r="G220" s="117">
        <v>539002363</v>
      </c>
      <c r="H220" s="117">
        <f t="shared" si="40"/>
        <v>51623.634038885168</v>
      </c>
      <c r="I220" s="7"/>
      <c r="J220" s="10">
        <v>7.75</v>
      </c>
      <c r="K220" s="117">
        <v>4177268</v>
      </c>
      <c r="L220" s="120">
        <f t="shared" si="48"/>
        <v>400.08313379944451</v>
      </c>
      <c r="M220" s="122">
        <f t="shared" si="41"/>
        <v>5390023.6299999999</v>
      </c>
      <c r="N220" s="116">
        <f t="shared" si="42"/>
        <v>1212755.6299999999</v>
      </c>
      <c r="O220" s="123">
        <f t="shared" si="43"/>
        <v>116.15320658940713</v>
      </c>
      <c r="P220" s="5"/>
      <c r="Q220" s="5">
        <f t="shared" si="44"/>
        <v>1</v>
      </c>
      <c r="R220" s="7">
        <f t="shared" si="45"/>
        <v>10441</v>
      </c>
      <c r="S220" s="5">
        <f t="shared" si="46"/>
        <v>1</v>
      </c>
      <c r="T220" s="7">
        <f t="shared" si="47"/>
        <v>10441</v>
      </c>
    </row>
    <row r="221" spans="1:20">
      <c r="A221" s="23" t="s">
        <v>251</v>
      </c>
      <c r="B221" s="37" t="s">
        <v>233</v>
      </c>
      <c r="C221" s="36">
        <v>13725</v>
      </c>
      <c r="D221" s="6"/>
      <c r="E221" s="113">
        <v>1037707160</v>
      </c>
      <c r="F221" s="116">
        <f t="shared" si="39"/>
        <v>75607.079052823319</v>
      </c>
      <c r="G221" s="117">
        <v>728357668</v>
      </c>
      <c r="H221" s="117">
        <f t="shared" si="40"/>
        <v>53067.953952641168</v>
      </c>
      <c r="I221" s="7"/>
      <c r="J221" s="10">
        <v>8.1435999999999993</v>
      </c>
      <c r="K221" s="117">
        <v>5931453</v>
      </c>
      <c r="L221" s="120">
        <f t="shared" si="48"/>
        <v>432.16415300546447</v>
      </c>
      <c r="M221" s="122">
        <f t="shared" si="41"/>
        <v>7283576.6799999997</v>
      </c>
      <c r="N221" s="116">
        <f t="shared" si="42"/>
        <v>1352123.6799999997</v>
      </c>
      <c r="O221" s="123">
        <f t="shared" si="43"/>
        <v>98.51538652094716</v>
      </c>
      <c r="P221" s="5"/>
      <c r="Q221" s="5">
        <f t="shared" si="44"/>
        <v>1</v>
      </c>
      <c r="R221" s="7">
        <f t="shared" si="45"/>
        <v>13725</v>
      </c>
      <c r="S221" s="5">
        <f t="shared" si="46"/>
        <v>1</v>
      </c>
      <c r="T221" s="7">
        <f t="shared" si="47"/>
        <v>13725</v>
      </c>
    </row>
    <row r="222" spans="1:20">
      <c r="A222" s="23" t="s">
        <v>252</v>
      </c>
      <c r="B222" s="37" t="s">
        <v>233</v>
      </c>
      <c r="C222" s="36">
        <v>6613</v>
      </c>
      <c r="D222" s="6"/>
      <c r="E222" s="113">
        <v>394650014</v>
      </c>
      <c r="F222" s="116">
        <f t="shared" ref="F222:F285" si="49">(E222/C222)</f>
        <v>59677.909269620446</v>
      </c>
      <c r="G222" s="117">
        <v>327964093</v>
      </c>
      <c r="H222" s="117">
        <f t="shared" ref="H222:H285" si="50">(G222/C222)</f>
        <v>49593.844397399065</v>
      </c>
      <c r="I222" s="7"/>
      <c r="J222" s="10">
        <v>5.8094000000000001</v>
      </c>
      <c r="K222" s="117">
        <v>1905274</v>
      </c>
      <c r="L222" s="120">
        <f t="shared" si="48"/>
        <v>288.11038862845908</v>
      </c>
      <c r="M222" s="122">
        <f t="shared" si="41"/>
        <v>3279640.93</v>
      </c>
      <c r="N222" s="116">
        <f t="shared" si="42"/>
        <v>1374366.9300000002</v>
      </c>
      <c r="O222" s="123">
        <f t="shared" si="43"/>
        <v>207.82805534553157</v>
      </c>
      <c r="P222" s="5"/>
      <c r="Q222" s="5">
        <f t="shared" si="44"/>
        <v>1</v>
      </c>
      <c r="R222" s="7">
        <f t="shared" si="45"/>
        <v>6613</v>
      </c>
      <c r="S222" s="5">
        <f t="shared" si="46"/>
        <v>1</v>
      </c>
      <c r="T222" s="7">
        <f t="shared" si="47"/>
        <v>6613</v>
      </c>
    </row>
    <row r="223" spans="1:20">
      <c r="A223" s="23" t="s">
        <v>253</v>
      </c>
      <c r="B223" s="37" t="s">
        <v>233</v>
      </c>
      <c r="C223" s="36">
        <v>60069</v>
      </c>
      <c r="D223" s="6"/>
      <c r="E223" s="113">
        <v>2525749264</v>
      </c>
      <c r="F223" s="116">
        <f t="shared" si="49"/>
        <v>42047.466480214418</v>
      </c>
      <c r="G223" s="117">
        <v>1679551792</v>
      </c>
      <c r="H223" s="117">
        <f t="shared" si="50"/>
        <v>27960.375434916514</v>
      </c>
      <c r="I223" s="7"/>
      <c r="J223" s="10">
        <v>8.5</v>
      </c>
      <c r="K223" s="117">
        <v>14276190</v>
      </c>
      <c r="L223" s="120">
        <f t="shared" si="48"/>
        <v>237.66318733456524</v>
      </c>
      <c r="M223" s="122">
        <f t="shared" si="41"/>
        <v>16795517.920000002</v>
      </c>
      <c r="N223" s="116">
        <f t="shared" si="42"/>
        <v>2519327.9200000018</v>
      </c>
      <c r="O223" s="123">
        <f t="shared" si="43"/>
        <v>41.940567014599907</v>
      </c>
      <c r="P223" s="5"/>
      <c r="Q223" s="5">
        <f t="shared" si="44"/>
        <v>1</v>
      </c>
      <c r="R223" s="7">
        <f t="shared" si="45"/>
        <v>60069</v>
      </c>
      <c r="S223" s="5">
        <f t="shared" si="46"/>
        <v>1</v>
      </c>
      <c r="T223" s="7">
        <f t="shared" si="47"/>
        <v>60069</v>
      </c>
    </row>
    <row r="224" spans="1:20">
      <c r="A224" s="23" t="s">
        <v>254</v>
      </c>
      <c r="B224" s="37" t="s">
        <v>233</v>
      </c>
      <c r="C224" s="36">
        <v>42167</v>
      </c>
      <c r="D224" s="6"/>
      <c r="E224" s="113">
        <v>2141759643</v>
      </c>
      <c r="F224" s="116">
        <f t="shared" si="49"/>
        <v>50792.317286029356</v>
      </c>
      <c r="G224" s="117">
        <v>1486639659</v>
      </c>
      <c r="H224" s="117">
        <f t="shared" si="50"/>
        <v>35255.997794483839</v>
      </c>
      <c r="I224" s="7"/>
      <c r="J224" s="10">
        <v>7.5</v>
      </c>
      <c r="K224" s="117">
        <v>11149797</v>
      </c>
      <c r="L224" s="120">
        <f t="shared" si="48"/>
        <v>264.41997296464058</v>
      </c>
      <c r="M224" s="122">
        <f t="shared" si="41"/>
        <v>14866396.59</v>
      </c>
      <c r="N224" s="116">
        <f t="shared" si="42"/>
        <v>3716599.59</v>
      </c>
      <c r="O224" s="123">
        <f t="shared" si="43"/>
        <v>88.140004980197787</v>
      </c>
      <c r="P224" s="5"/>
      <c r="Q224" s="5">
        <f t="shared" si="44"/>
        <v>1</v>
      </c>
      <c r="R224" s="7">
        <f t="shared" si="45"/>
        <v>42167</v>
      </c>
      <c r="S224" s="5">
        <f t="shared" si="46"/>
        <v>1</v>
      </c>
      <c r="T224" s="7">
        <f t="shared" si="47"/>
        <v>42167</v>
      </c>
    </row>
    <row r="225" spans="1:20">
      <c r="A225" s="23" t="s">
        <v>255</v>
      </c>
      <c r="B225" s="37" t="s">
        <v>233</v>
      </c>
      <c r="C225" s="36">
        <v>15592</v>
      </c>
      <c r="D225" s="6"/>
      <c r="E225" s="113">
        <v>640455000</v>
      </c>
      <c r="F225" s="116">
        <f t="shared" si="49"/>
        <v>41075.872242175472</v>
      </c>
      <c r="G225" s="117">
        <v>485404719</v>
      </c>
      <c r="H225" s="117">
        <f t="shared" si="50"/>
        <v>31131.652065161623</v>
      </c>
      <c r="I225" s="7"/>
      <c r="J225" s="10">
        <v>9.8000000000000007</v>
      </c>
      <c r="K225" s="117">
        <v>4756966</v>
      </c>
      <c r="L225" s="120">
        <f t="shared" si="48"/>
        <v>305.09017444843511</v>
      </c>
      <c r="M225" s="122">
        <f t="shared" si="41"/>
        <v>4854047.1900000004</v>
      </c>
      <c r="N225" s="116">
        <f t="shared" si="42"/>
        <v>97081.19000000041</v>
      </c>
      <c r="O225" s="123">
        <f t="shared" si="43"/>
        <v>6.2263462031811452</v>
      </c>
      <c r="P225" s="5"/>
      <c r="Q225" s="5">
        <f t="shared" si="44"/>
        <v>1</v>
      </c>
      <c r="R225" s="7">
        <f t="shared" si="45"/>
        <v>15592</v>
      </c>
      <c r="S225" s="5">
        <f t="shared" si="46"/>
        <v>1</v>
      </c>
      <c r="T225" s="7">
        <f t="shared" si="47"/>
        <v>15592</v>
      </c>
    </row>
    <row r="226" spans="1:20">
      <c r="A226" s="23" t="s">
        <v>493</v>
      </c>
      <c r="B226" s="37" t="s">
        <v>233</v>
      </c>
      <c r="C226" s="36">
        <v>24789</v>
      </c>
      <c r="D226" s="6"/>
      <c r="E226" s="113">
        <v>2773167573</v>
      </c>
      <c r="F226" s="116">
        <f t="shared" si="49"/>
        <v>111870.89325910686</v>
      </c>
      <c r="G226" s="117">
        <v>1896349869</v>
      </c>
      <c r="H226" s="117">
        <f t="shared" si="50"/>
        <v>76499.651821372376</v>
      </c>
      <c r="I226" s="7"/>
      <c r="J226" s="10">
        <v>2.4470000000000001</v>
      </c>
      <c r="K226" s="117">
        <v>4640368</v>
      </c>
      <c r="L226" s="120">
        <f t="shared" si="48"/>
        <v>187.19464278510631</v>
      </c>
      <c r="M226" s="122">
        <f t="shared" si="41"/>
        <v>18963498.690000001</v>
      </c>
      <c r="N226" s="116">
        <f t="shared" si="42"/>
        <v>14323130.690000001</v>
      </c>
      <c r="O226" s="123">
        <f t="shared" si="43"/>
        <v>577.80187542861756</v>
      </c>
      <c r="P226" s="5"/>
      <c r="Q226" s="5">
        <f t="shared" si="44"/>
        <v>1</v>
      </c>
      <c r="R226" s="7">
        <f t="shared" si="45"/>
        <v>24789</v>
      </c>
      <c r="S226" s="5">
        <f t="shared" si="46"/>
        <v>1</v>
      </c>
      <c r="T226" s="7">
        <f t="shared" si="47"/>
        <v>24789</v>
      </c>
    </row>
    <row r="227" spans="1:20">
      <c r="A227" s="23" t="s">
        <v>256</v>
      </c>
      <c r="B227" s="37" t="s">
        <v>233</v>
      </c>
      <c r="C227" s="36">
        <v>19286</v>
      </c>
      <c r="D227" s="6"/>
      <c r="E227" s="113">
        <v>3643718158</v>
      </c>
      <c r="F227" s="116">
        <f t="shared" si="49"/>
        <v>188930.73514466453</v>
      </c>
      <c r="G227" s="117">
        <v>2502818085</v>
      </c>
      <c r="H227" s="117">
        <f t="shared" si="50"/>
        <v>129773.82998029659</v>
      </c>
      <c r="I227" s="7"/>
      <c r="J227" s="10">
        <v>2.4</v>
      </c>
      <c r="K227" s="117">
        <v>6006763</v>
      </c>
      <c r="L227" s="120">
        <f t="shared" si="48"/>
        <v>311.457171004874</v>
      </c>
      <c r="M227" s="122">
        <f t="shared" si="41"/>
        <v>25028180.850000001</v>
      </c>
      <c r="N227" s="116">
        <f t="shared" si="42"/>
        <v>19021417.850000001</v>
      </c>
      <c r="O227" s="123">
        <f t="shared" si="43"/>
        <v>986.28112879809191</v>
      </c>
      <c r="P227" s="5"/>
      <c r="Q227" s="5">
        <f t="shared" si="44"/>
        <v>1</v>
      </c>
      <c r="R227" s="7">
        <f t="shared" si="45"/>
        <v>19286</v>
      </c>
      <c r="S227" s="5">
        <f t="shared" si="46"/>
        <v>1</v>
      </c>
      <c r="T227" s="7">
        <f t="shared" si="47"/>
        <v>19286</v>
      </c>
    </row>
    <row r="228" spans="1:20">
      <c r="A228" s="23" t="s">
        <v>257</v>
      </c>
      <c r="B228" s="37" t="s">
        <v>233</v>
      </c>
      <c r="C228" s="36">
        <v>10768</v>
      </c>
      <c r="D228" s="6"/>
      <c r="E228" s="113">
        <v>1400444606</v>
      </c>
      <c r="F228" s="116">
        <f t="shared" si="49"/>
        <v>130056.14840267459</v>
      </c>
      <c r="G228" s="117">
        <v>911075427</v>
      </c>
      <c r="H228" s="117">
        <f t="shared" si="50"/>
        <v>84609.530739227339</v>
      </c>
      <c r="I228" s="7"/>
      <c r="J228" s="10">
        <v>7.3730000000000002</v>
      </c>
      <c r="K228" s="117">
        <v>6717359</v>
      </c>
      <c r="L228" s="120">
        <f t="shared" si="48"/>
        <v>623.82605869242195</v>
      </c>
      <c r="M228" s="122">
        <f t="shared" si="41"/>
        <v>9110754.2699999996</v>
      </c>
      <c r="N228" s="116">
        <f t="shared" si="42"/>
        <v>2393395.2699999996</v>
      </c>
      <c r="O228" s="123">
        <f t="shared" si="43"/>
        <v>222.26924869985137</v>
      </c>
      <c r="P228" s="5"/>
      <c r="Q228" s="5">
        <f t="shared" si="44"/>
        <v>1</v>
      </c>
      <c r="R228" s="7">
        <f t="shared" si="45"/>
        <v>10768</v>
      </c>
      <c r="S228" s="5">
        <f t="shared" si="46"/>
        <v>1</v>
      </c>
      <c r="T228" s="7">
        <f t="shared" si="47"/>
        <v>10768</v>
      </c>
    </row>
    <row r="229" spans="1:20">
      <c r="A229" s="23" t="s">
        <v>258</v>
      </c>
      <c r="B229" s="37" t="s">
        <v>233</v>
      </c>
      <c r="C229" s="36">
        <v>16198</v>
      </c>
      <c r="D229" s="6"/>
      <c r="E229" s="113">
        <v>2813898831</v>
      </c>
      <c r="F229" s="116">
        <f t="shared" si="49"/>
        <v>173718.9054821583</v>
      </c>
      <c r="G229" s="117">
        <v>2513044006</v>
      </c>
      <c r="H229" s="117">
        <f t="shared" si="50"/>
        <v>155145.32695394492</v>
      </c>
      <c r="I229" s="7"/>
      <c r="J229" s="10">
        <v>3.35</v>
      </c>
      <c r="K229" s="117">
        <v>8418697</v>
      </c>
      <c r="L229" s="120">
        <f t="shared" si="48"/>
        <v>519.73681936041487</v>
      </c>
      <c r="M229" s="122">
        <f t="shared" si="41"/>
        <v>25130440.060000002</v>
      </c>
      <c r="N229" s="116">
        <f t="shared" si="42"/>
        <v>16711743.060000002</v>
      </c>
      <c r="O229" s="123">
        <f t="shared" si="43"/>
        <v>1031.7164501790346</v>
      </c>
      <c r="P229" s="5"/>
      <c r="Q229" s="5">
        <f t="shared" si="44"/>
        <v>1</v>
      </c>
      <c r="R229" s="7">
        <f t="shared" si="45"/>
        <v>16198</v>
      </c>
      <c r="S229" s="5">
        <f t="shared" si="46"/>
        <v>1</v>
      </c>
      <c r="T229" s="7">
        <f t="shared" si="47"/>
        <v>16198</v>
      </c>
    </row>
    <row r="230" spans="1:20">
      <c r="A230" s="23" t="s">
        <v>259</v>
      </c>
      <c r="B230" s="37" t="s">
        <v>233</v>
      </c>
      <c r="C230" s="36">
        <v>5250</v>
      </c>
      <c r="D230" s="6"/>
      <c r="E230" s="113">
        <v>922072241</v>
      </c>
      <c r="F230" s="116">
        <f t="shared" si="49"/>
        <v>175632.8078095238</v>
      </c>
      <c r="G230" s="117">
        <v>742543763</v>
      </c>
      <c r="H230" s="117">
        <f t="shared" si="50"/>
        <v>141436.90723809524</v>
      </c>
      <c r="I230" s="7"/>
      <c r="J230" s="10">
        <v>5.6029999999999998</v>
      </c>
      <c r="K230" s="117">
        <v>4160472</v>
      </c>
      <c r="L230" s="120">
        <f t="shared" si="48"/>
        <v>792.4708571428572</v>
      </c>
      <c r="M230" s="122">
        <f t="shared" si="41"/>
        <v>7425437.6299999999</v>
      </c>
      <c r="N230" s="116">
        <f t="shared" si="42"/>
        <v>3264965.63</v>
      </c>
      <c r="O230" s="123">
        <f t="shared" si="43"/>
        <v>621.89821523809519</v>
      </c>
      <c r="P230" s="5"/>
      <c r="Q230" s="5">
        <f t="shared" si="44"/>
        <v>1</v>
      </c>
      <c r="R230" s="7">
        <f t="shared" si="45"/>
        <v>5250</v>
      </c>
      <c r="S230" s="5">
        <f t="shared" si="46"/>
        <v>1</v>
      </c>
      <c r="T230" s="7">
        <f t="shared" si="47"/>
        <v>5250</v>
      </c>
    </row>
    <row r="231" spans="1:20">
      <c r="A231" s="23" t="s">
        <v>260</v>
      </c>
      <c r="B231" s="37" t="s">
        <v>233</v>
      </c>
      <c r="C231" s="36">
        <v>14280</v>
      </c>
      <c r="D231" s="6"/>
      <c r="E231" s="113">
        <v>390462427</v>
      </c>
      <c r="F231" s="116">
        <f t="shared" si="49"/>
        <v>27343.307212885153</v>
      </c>
      <c r="G231" s="117">
        <v>289047231</v>
      </c>
      <c r="H231" s="117">
        <f t="shared" si="50"/>
        <v>20241.402731092436</v>
      </c>
      <c r="I231" s="7"/>
      <c r="J231" s="10">
        <v>3.9485999999999999</v>
      </c>
      <c r="K231" s="117">
        <v>1141331</v>
      </c>
      <c r="L231" s="120">
        <f t="shared" si="48"/>
        <v>79.925140056022414</v>
      </c>
      <c r="M231" s="122">
        <f t="shared" si="41"/>
        <v>2890472.31</v>
      </c>
      <c r="N231" s="116">
        <f t="shared" si="42"/>
        <v>1749141.31</v>
      </c>
      <c r="O231" s="123">
        <f t="shared" si="43"/>
        <v>122.48888725490197</v>
      </c>
      <c r="P231" s="5"/>
      <c r="Q231" s="5">
        <f t="shared" si="44"/>
        <v>1</v>
      </c>
      <c r="R231" s="7">
        <f t="shared" si="45"/>
        <v>14280</v>
      </c>
      <c r="S231" s="5">
        <f t="shared" si="46"/>
        <v>1</v>
      </c>
      <c r="T231" s="7">
        <f t="shared" si="47"/>
        <v>14280</v>
      </c>
    </row>
    <row r="232" spans="1:20">
      <c r="A232" s="23" t="s">
        <v>261</v>
      </c>
      <c r="B232" s="37" t="s">
        <v>233</v>
      </c>
      <c r="C232" s="36">
        <v>2348</v>
      </c>
      <c r="D232" s="6"/>
      <c r="E232" s="113">
        <v>177174263</v>
      </c>
      <c r="F232" s="116">
        <f t="shared" si="49"/>
        <v>75457.522572402042</v>
      </c>
      <c r="G232" s="117">
        <v>145252941</v>
      </c>
      <c r="H232" s="117">
        <f t="shared" si="50"/>
        <v>61862.41098807496</v>
      </c>
      <c r="I232" s="7"/>
      <c r="J232" s="11">
        <v>4.843</v>
      </c>
      <c r="K232" s="117">
        <v>703459</v>
      </c>
      <c r="L232" s="120">
        <f t="shared" si="48"/>
        <v>299.59923339011925</v>
      </c>
      <c r="M232" s="122">
        <f t="shared" si="41"/>
        <v>1452529.41</v>
      </c>
      <c r="N232" s="116">
        <f t="shared" si="42"/>
        <v>749070.40999999992</v>
      </c>
      <c r="O232" s="123">
        <f t="shared" si="43"/>
        <v>319.02487649063028</v>
      </c>
      <c r="P232" s="5"/>
      <c r="Q232" s="5">
        <f t="shared" si="44"/>
        <v>1</v>
      </c>
      <c r="R232" s="7">
        <f t="shared" si="45"/>
        <v>2348</v>
      </c>
      <c r="S232" s="5">
        <f t="shared" si="46"/>
        <v>1</v>
      </c>
      <c r="T232" s="7">
        <f t="shared" si="47"/>
        <v>2348</v>
      </c>
    </row>
    <row r="233" spans="1:20">
      <c r="A233" s="23" t="s">
        <v>262</v>
      </c>
      <c r="B233" s="37" t="s">
        <v>233</v>
      </c>
      <c r="C233" s="36">
        <v>6162</v>
      </c>
      <c r="D233" s="6"/>
      <c r="E233" s="113">
        <v>325691819</v>
      </c>
      <c r="F233" s="116">
        <f t="shared" si="49"/>
        <v>52854.887861084062</v>
      </c>
      <c r="G233" s="117">
        <v>220859447</v>
      </c>
      <c r="H233" s="117">
        <f t="shared" si="50"/>
        <v>35842.169263226227</v>
      </c>
      <c r="I233" s="7"/>
      <c r="J233" s="10">
        <v>8.4949999999999992</v>
      </c>
      <c r="K233" s="117">
        <v>1876201</v>
      </c>
      <c r="L233" s="120">
        <f t="shared" si="48"/>
        <v>304.47922752353134</v>
      </c>
      <c r="M233" s="122">
        <f t="shared" si="41"/>
        <v>2208594.4700000002</v>
      </c>
      <c r="N233" s="116">
        <f t="shared" si="42"/>
        <v>332393.4700000002</v>
      </c>
      <c r="O233" s="123">
        <f t="shared" si="43"/>
        <v>53.942465108730964</v>
      </c>
      <c r="P233" s="5"/>
      <c r="Q233" s="5">
        <f t="shared" si="44"/>
        <v>1</v>
      </c>
      <c r="R233" s="7">
        <f t="shared" si="45"/>
        <v>6162</v>
      </c>
      <c r="S233" s="5">
        <f t="shared" si="46"/>
        <v>1</v>
      </c>
      <c r="T233" s="7">
        <f t="shared" si="47"/>
        <v>6162</v>
      </c>
    </row>
    <row r="234" spans="1:20">
      <c r="A234" s="23" t="s">
        <v>263</v>
      </c>
      <c r="B234" s="37" t="s">
        <v>264</v>
      </c>
      <c r="C234" s="36">
        <v>6970</v>
      </c>
      <c r="D234" s="6"/>
      <c r="E234" s="113">
        <v>2262281989</v>
      </c>
      <c r="F234" s="116">
        <f t="shared" si="49"/>
        <v>324574.17345767573</v>
      </c>
      <c r="G234" s="117">
        <v>1865044052</v>
      </c>
      <c r="H234" s="117">
        <f t="shared" si="50"/>
        <v>267581.64304160688</v>
      </c>
      <c r="I234" s="7"/>
      <c r="J234" s="10">
        <v>2.75</v>
      </c>
      <c r="K234" s="117">
        <v>5128871</v>
      </c>
      <c r="L234" s="120">
        <f t="shared" si="48"/>
        <v>735.84949784791968</v>
      </c>
      <c r="M234" s="122">
        <f t="shared" si="41"/>
        <v>18650440.52</v>
      </c>
      <c r="N234" s="116">
        <f t="shared" si="42"/>
        <v>13521569.52</v>
      </c>
      <c r="O234" s="123">
        <f t="shared" si="43"/>
        <v>1939.9669325681491</v>
      </c>
      <c r="P234" s="5"/>
      <c r="Q234" s="5">
        <f t="shared" si="44"/>
        <v>1</v>
      </c>
      <c r="R234" s="7">
        <f t="shared" si="45"/>
        <v>6970</v>
      </c>
      <c r="S234" s="5">
        <f t="shared" si="46"/>
        <v>1</v>
      </c>
      <c r="T234" s="7">
        <f t="shared" si="47"/>
        <v>6970</v>
      </c>
    </row>
    <row r="235" spans="1:20">
      <c r="A235" s="23" t="s">
        <v>265</v>
      </c>
      <c r="B235" s="37" t="s">
        <v>264</v>
      </c>
      <c r="C235" s="36">
        <v>822</v>
      </c>
      <c r="D235" s="6"/>
      <c r="E235" s="113">
        <v>503967731</v>
      </c>
      <c r="F235" s="116">
        <f t="shared" si="49"/>
        <v>613099.42944038927</v>
      </c>
      <c r="G235" s="117">
        <v>456922305</v>
      </c>
      <c r="H235" s="117">
        <f t="shared" si="50"/>
        <v>555866.55109489046</v>
      </c>
      <c r="I235" s="7"/>
      <c r="J235" s="10">
        <v>2.2414999999999998</v>
      </c>
      <c r="K235" s="117">
        <v>1024191</v>
      </c>
      <c r="L235" s="120">
        <f t="shared" si="48"/>
        <v>1245.9744525547446</v>
      </c>
      <c r="M235" s="122">
        <f t="shared" si="41"/>
        <v>4569223.05</v>
      </c>
      <c r="N235" s="116">
        <f t="shared" si="42"/>
        <v>3545032.05</v>
      </c>
      <c r="O235" s="123">
        <f t="shared" si="43"/>
        <v>4312.6910583941608</v>
      </c>
      <c r="P235" s="5"/>
      <c r="Q235" s="5">
        <f t="shared" si="44"/>
        <v>1</v>
      </c>
      <c r="R235" s="7">
        <f t="shared" si="45"/>
        <v>822</v>
      </c>
      <c r="S235" s="5">
        <f t="shared" si="46"/>
        <v>1</v>
      </c>
      <c r="T235" s="7">
        <f t="shared" si="47"/>
        <v>822</v>
      </c>
    </row>
    <row r="236" spans="1:20">
      <c r="A236" s="23" t="s">
        <v>266</v>
      </c>
      <c r="B236" s="35" t="s">
        <v>264</v>
      </c>
      <c r="C236" s="36">
        <v>25811</v>
      </c>
      <c r="D236" s="6"/>
      <c r="E236" s="113">
        <v>7070689385</v>
      </c>
      <c r="F236" s="116">
        <f t="shared" si="49"/>
        <v>273940.93157955911</v>
      </c>
      <c r="G236" s="117">
        <v>3961783715</v>
      </c>
      <c r="H236" s="117">
        <f t="shared" si="50"/>
        <v>153492.06597962108</v>
      </c>
      <c r="I236" s="7"/>
      <c r="J236" s="11">
        <v>2.9815</v>
      </c>
      <c r="K236" s="117">
        <v>11812058</v>
      </c>
      <c r="L236" s="120">
        <f t="shared" si="48"/>
        <v>457.63658905117973</v>
      </c>
      <c r="M236" s="122">
        <f t="shared" si="41"/>
        <v>39617837.149999999</v>
      </c>
      <c r="N236" s="116">
        <f t="shared" si="42"/>
        <v>27805779.149999999</v>
      </c>
      <c r="O236" s="123">
        <f t="shared" si="43"/>
        <v>1077.2840707450312</v>
      </c>
      <c r="P236" s="5"/>
      <c r="Q236" s="5">
        <f t="shared" si="44"/>
        <v>1</v>
      </c>
      <c r="R236" s="7">
        <f t="shared" si="45"/>
        <v>25811</v>
      </c>
      <c r="S236" s="5">
        <f t="shared" si="46"/>
        <v>1</v>
      </c>
      <c r="T236" s="7">
        <f t="shared" si="47"/>
        <v>25811</v>
      </c>
    </row>
    <row r="237" spans="1:20">
      <c r="A237" s="23" t="s">
        <v>267</v>
      </c>
      <c r="B237" s="35" t="s">
        <v>264</v>
      </c>
      <c r="C237" s="36">
        <v>194</v>
      </c>
      <c r="D237" s="6"/>
      <c r="E237" s="113">
        <v>46973356</v>
      </c>
      <c r="F237" s="116">
        <f t="shared" si="49"/>
        <v>242130.70103092783</v>
      </c>
      <c r="G237" s="117">
        <v>36051403</v>
      </c>
      <c r="H237" s="117">
        <f t="shared" si="50"/>
        <v>185831.97422680413</v>
      </c>
      <c r="I237" s="7"/>
      <c r="J237" s="10">
        <v>2.383</v>
      </c>
      <c r="K237" s="117">
        <v>85910</v>
      </c>
      <c r="L237" s="120">
        <f t="shared" si="48"/>
        <v>442.83505154639175</v>
      </c>
      <c r="M237" s="122">
        <f t="shared" si="41"/>
        <v>360514.03</v>
      </c>
      <c r="N237" s="116">
        <f t="shared" si="42"/>
        <v>274604.03000000003</v>
      </c>
      <c r="O237" s="123">
        <f t="shared" si="43"/>
        <v>1415.4846907216497</v>
      </c>
      <c r="P237" s="5"/>
      <c r="Q237" s="5">
        <f t="shared" si="44"/>
        <v>1</v>
      </c>
      <c r="R237" s="7">
        <f t="shared" si="45"/>
        <v>194</v>
      </c>
      <c r="S237" s="5">
        <f t="shared" si="46"/>
        <v>1</v>
      </c>
      <c r="T237" s="7">
        <f t="shared" si="47"/>
        <v>194</v>
      </c>
    </row>
    <row r="238" spans="1:20">
      <c r="A238" s="23" t="s">
        <v>449</v>
      </c>
      <c r="B238" s="35" t="s">
        <v>264</v>
      </c>
      <c r="C238" s="36">
        <v>10341</v>
      </c>
      <c r="D238" s="6"/>
      <c r="E238" s="113">
        <v>1827046771</v>
      </c>
      <c r="F238" s="116">
        <f t="shared" si="49"/>
        <v>176679.89275698675</v>
      </c>
      <c r="G238" s="117">
        <v>1434979178</v>
      </c>
      <c r="H238" s="117">
        <f t="shared" si="50"/>
        <v>138765.99729233151</v>
      </c>
      <c r="I238" s="7"/>
      <c r="J238" s="10">
        <v>2.4931000000000001</v>
      </c>
      <c r="K238" s="117">
        <v>3577546</v>
      </c>
      <c r="L238" s="120">
        <f t="shared" si="48"/>
        <v>345.95745092350836</v>
      </c>
      <c r="M238" s="122">
        <f t="shared" si="41"/>
        <v>14349791.780000001</v>
      </c>
      <c r="N238" s="116">
        <f t="shared" si="42"/>
        <v>10772245.780000001</v>
      </c>
      <c r="O238" s="123">
        <f t="shared" si="43"/>
        <v>1041.7025219998068</v>
      </c>
      <c r="P238" s="5"/>
      <c r="Q238" s="5">
        <f t="shared" si="44"/>
        <v>1</v>
      </c>
      <c r="R238" s="7">
        <f t="shared" si="45"/>
        <v>10341</v>
      </c>
      <c r="S238" s="5">
        <f t="shared" si="46"/>
        <v>1</v>
      </c>
      <c r="T238" s="7">
        <f t="shared" si="47"/>
        <v>10341</v>
      </c>
    </row>
    <row r="239" spans="1:20">
      <c r="A239" s="23" t="s">
        <v>268</v>
      </c>
      <c r="B239" s="35" t="s">
        <v>269</v>
      </c>
      <c r="C239" s="36">
        <v>1023</v>
      </c>
      <c r="D239" s="6"/>
      <c r="E239" s="113">
        <v>80775976</v>
      </c>
      <c r="F239" s="116">
        <f t="shared" si="49"/>
        <v>78959.898338220912</v>
      </c>
      <c r="G239" s="117">
        <v>47895343</v>
      </c>
      <c r="H239" s="117">
        <f t="shared" si="50"/>
        <v>46818.517106549363</v>
      </c>
      <c r="I239" s="7"/>
      <c r="J239" s="10">
        <v>3</v>
      </c>
      <c r="K239" s="117">
        <v>143686</v>
      </c>
      <c r="L239" s="120">
        <f t="shared" si="48"/>
        <v>140.45552297165202</v>
      </c>
      <c r="M239" s="122">
        <f t="shared" si="41"/>
        <v>478953.43</v>
      </c>
      <c r="N239" s="116">
        <f t="shared" si="42"/>
        <v>335267.43</v>
      </c>
      <c r="O239" s="123">
        <f t="shared" si="43"/>
        <v>327.72964809384166</v>
      </c>
      <c r="P239" s="5"/>
      <c r="Q239" s="5">
        <f t="shared" si="44"/>
        <v>1</v>
      </c>
      <c r="R239" s="7">
        <f t="shared" si="45"/>
        <v>1023</v>
      </c>
      <c r="S239" s="5">
        <f t="shared" si="46"/>
        <v>1</v>
      </c>
      <c r="T239" s="7">
        <f t="shared" si="47"/>
        <v>1023</v>
      </c>
    </row>
    <row r="240" spans="1:20">
      <c r="A240" s="23" t="s">
        <v>270</v>
      </c>
      <c r="B240" s="35" t="s">
        <v>269</v>
      </c>
      <c r="C240" s="36">
        <v>11361</v>
      </c>
      <c r="D240" s="6"/>
      <c r="E240" s="113">
        <v>1531009531</v>
      </c>
      <c r="F240" s="116">
        <f t="shared" si="49"/>
        <v>134760.10307191269</v>
      </c>
      <c r="G240" s="117">
        <v>1131607817</v>
      </c>
      <c r="H240" s="117">
        <f t="shared" si="50"/>
        <v>99604.596162309652</v>
      </c>
      <c r="I240" s="7"/>
      <c r="J240" s="10">
        <v>5.6547999999999998</v>
      </c>
      <c r="K240" s="117">
        <v>6399015</v>
      </c>
      <c r="L240" s="120">
        <f t="shared" si="48"/>
        <v>563.24399260628468</v>
      </c>
      <c r="M240" s="122">
        <f t="shared" si="41"/>
        <v>11316078.17</v>
      </c>
      <c r="N240" s="116">
        <f t="shared" si="42"/>
        <v>4917063.17</v>
      </c>
      <c r="O240" s="123">
        <f t="shared" si="43"/>
        <v>432.80196901681188</v>
      </c>
      <c r="P240" s="5"/>
      <c r="Q240" s="5">
        <f t="shared" si="44"/>
        <v>1</v>
      </c>
      <c r="R240" s="7">
        <f t="shared" si="45"/>
        <v>11361</v>
      </c>
      <c r="S240" s="5">
        <f t="shared" si="46"/>
        <v>1</v>
      </c>
      <c r="T240" s="7">
        <f t="shared" si="47"/>
        <v>11361</v>
      </c>
    </row>
    <row r="241" spans="1:20">
      <c r="A241" s="23" t="s">
        <v>271</v>
      </c>
      <c r="B241" s="35" t="s">
        <v>269</v>
      </c>
      <c r="C241" s="36">
        <v>2748</v>
      </c>
      <c r="D241" s="6"/>
      <c r="E241" s="113">
        <v>223573484</v>
      </c>
      <c r="F241" s="116">
        <f t="shared" si="49"/>
        <v>81358.61863173217</v>
      </c>
      <c r="G241" s="117">
        <v>54987671</v>
      </c>
      <c r="H241" s="117">
        <f t="shared" si="50"/>
        <v>20010.069505094616</v>
      </c>
      <c r="I241" s="7"/>
      <c r="J241" s="10">
        <v>0.57969999999999999</v>
      </c>
      <c r="K241" s="117">
        <v>31876</v>
      </c>
      <c r="L241" s="120">
        <f t="shared" si="48"/>
        <v>11.599708879184861</v>
      </c>
      <c r="M241" s="122">
        <f t="shared" si="41"/>
        <v>549876.71</v>
      </c>
      <c r="N241" s="116">
        <f t="shared" si="42"/>
        <v>518000.70999999996</v>
      </c>
      <c r="O241" s="123">
        <f t="shared" si="43"/>
        <v>188.50098617176127</v>
      </c>
      <c r="P241" s="5"/>
      <c r="Q241" s="5">
        <f t="shared" si="44"/>
        <v>1</v>
      </c>
      <c r="R241" s="7">
        <f t="shared" si="45"/>
        <v>2748</v>
      </c>
      <c r="S241" s="5">
        <f t="shared" si="46"/>
        <v>1</v>
      </c>
      <c r="T241" s="7">
        <f t="shared" si="47"/>
        <v>2748</v>
      </c>
    </row>
    <row r="242" spans="1:20">
      <c r="A242" s="23" t="s">
        <v>272</v>
      </c>
      <c r="B242" s="35" t="s">
        <v>273</v>
      </c>
      <c r="C242" s="36">
        <v>365</v>
      </c>
      <c r="D242" s="6"/>
      <c r="E242" s="113">
        <v>41057946</v>
      </c>
      <c r="F242" s="116">
        <f t="shared" si="49"/>
        <v>112487.52328767124</v>
      </c>
      <c r="G242" s="117">
        <v>35607862</v>
      </c>
      <c r="H242" s="117">
        <f t="shared" si="50"/>
        <v>97555.786301369866</v>
      </c>
      <c r="I242" s="7"/>
      <c r="J242" s="10">
        <v>2.2999999999999998</v>
      </c>
      <c r="K242" s="117">
        <v>81898</v>
      </c>
      <c r="L242" s="120">
        <f t="shared" si="48"/>
        <v>224.37808219178083</v>
      </c>
      <c r="M242" s="122">
        <f t="shared" si="41"/>
        <v>356078.62</v>
      </c>
      <c r="N242" s="116">
        <f t="shared" si="42"/>
        <v>274180.62</v>
      </c>
      <c r="O242" s="123">
        <f t="shared" si="43"/>
        <v>751.1797808219178</v>
      </c>
      <c r="P242" s="5"/>
      <c r="Q242" s="5">
        <f t="shared" si="44"/>
        <v>1</v>
      </c>
      <c r="R242" s="7">
        <f t="shared" si="45"/>
        <v>365</v>
      </c>
      <c r="S242" s="5">
        <f t="shared" si="46"/>
        <v>1</v>
      </c>
      <c r="T242" s="7">
        <f t="shared" si="47"/>
        <v>365</v>
      </c>
    </row>
    <row r="243" spans="1:20">
      <c r="A243" s="23" t="s">
        <v>274</v>
      </c>
      <c r="B243" s="35" t="s">
        <v>273</v>
      </c>
      <c r="C243" s="36">
        <v>16030</v>
      </c>
      <c r="D243" s="6"/>
      <c r="E243" s="113">
        <v>693873075</v>
      </c>
      <c r="F243" s="116">
        <f t="shared" si="49"/>
        <v>43285.906113537116</v>
      </c>
      <c r="G243" s="117">
        <v>482165418</v>
      </c>
      <c r="H243" s="117">
        <f t="shared" si="50"/>
        <v>30078.940611353712</v>
      </c>
      <c r="I243" s="7"/>
      <c r="J243" s="10">
        <v>6.9989999999999997</v>
      </c>
      <c r="K243" s="117">
        <v>3374675</v>
      </c>
      <c r="L243" s="120">
        <f t="shared" si="48"/>
        <v>210.52245789145351</v>
      </c>
      <c r="M243" s="122">
        <f t="shared" si="41"/>
        <v>4821654.18</v>
      </c>
      <c r="N243" s="116">
        <f t="shared" si="42"/>
        <v>1446979.1799999997</v>
      </c>
      <c r="O243" s="123">
        <f t="shared" si="43"/>
        <v>90.26694822208357</v>
      </c>
      <c r="P243" s="5"/>
      <c r="Q243" s="5">
        <f t="shared" si="44"/>
        <v>1</v>
      </c>
      <c r="R243" s="7">
        <f t="shared" si="45"/>
        <v>16030</v>
      </c>
      <c r="S243" s="5">
        <f t="shared" si="46"/>
        <v>1</v>
      </c>
      <c r="T243" s="7">
        <f t="shared" si="47"/>
        <v>16030</v>
      </c>
    </row>
    <row r="244" spans="1:20">
      <c r="A244" s="23" t="s">
        <v>275</v>
      </c>
      <c r="B244" s="35" t="s">
        <v>273</v>
      </c>
      <c r="C244" s="36">
        <v>11784</v>
      </c>
      <c r="D244" s="6"/>
      <c r="E244" s="113">
        <v>3182649221</v>
      </c>
      <c r="F244" s="116">
        <f t="shared" si="49"/>
        <v>270082.24889680924</v>
      </c>
      <c r="G244" s="117">
        <v>2884232371</v>
      </c>
      <c r="H244" s="117">
        <f t="shared" si="50"/>
        <v>244758.34784453496</v>
      </c>
      <c r="I244" s="7"/>
      <c r="J244" s="10">
        <v>1.8</v>
      </c>
      <c r="K244" s="117">
        <v>5191618</v>
      </c>
      <c r="L244" s="120">
        <f t="shared" si="48"/>
        <v>440.56500339443312</v>
      </c>
      <c r="M244" s="122">
        <f t="shared" si="41"/>
        <v>28842323.710000001</v>
      </c>
      <c r="N244" s="116">
        <f t="shared" si="42"/>
        <v>23650705.710000001</v>
      </c>
      <c r="O244" s="123">
        <f t="shared" si="43"/>
        <v>2007.0184750509165</v>
      </c>
      <c r="P244" s="5"/>
      <c r="Q244" s="5">
        <f t="shared" si="44"/>
        <v>1</v>
      </c>
      <c r="R244" s="7">
        <f t="shared" si="45"/>
        <v>11784</v>
      </c>
      <c r="S244" s="5">
        <f t="shared" si="46"/>
        <v>1</v>
      </c>
      <c r="T244" s="7">
        <f t="shared" si="47"/>
        <v>11784</v>
      </c>
    </row>
    <row r="245" spans="1:20">
      <c r="A245" s="23" t="s">
        <v>276</v>
      </c>
      <c r="B245" s="35" t="s">
        <v>273</v>
      </c>
      <c r="C245" s="36">
        <v>20513</v>
      </c>
      <c r="D245" s="6"/>
      <c r="E245" s="113">
        <v>1213908490</v>
      </c>
      <c r="F245" s="116">
        <f t="shared" si="49"/>
        <v>59177.521084190514</v>
      </c>
      <c r="G245" s="117">
        <v>863630650</v>
      </c>
      <c r="H245" s="117">
        <f t="shared" si="50"/>
        <v>42101.625798274268</v>
      </c>
      <c r="I245" s="7"/>
      <c r="J245" s="10">
        <v>4.97</v>
      </c>
      <c r="K245" s="117">
        <v>4292244</v>
      </c>
      <c r="L245" s="120">
        <f t="shared" si="48"/>
        <v>209.24506410568907</v>
      </c>
      <c r="M245" s="122">
        <f t="shared" si="41"/>
        <v>8636306.5</v>
      </c>
      <c r="N245" s="116">
        <f t="shared" si="42"/>
        <v>4344062.5</v>
      </c>
      <c r="O245" s="123">
        <f t="shared" si="43"/>
        <v>211.77119387705358</v>
      </c>
      <c r="P245" s="5"/>
      <c r="Q245" s="5">
        <f t="shared" si="44"/>
        <v>1</v>
      </c>
      <c r="R245" s="7">
        <f t="shared" si="45"/>
        <v>20513</v>
      </c>
      <c r="S245" s="5">
        <f t="shared" si="46"/>
        <v>1</v>
      </c>
      <c r="T245" s="7">
        <f t="shared" si="47"/>
        <v>20513</v>
      </c>
    </row>
    <row r="246" spans="1:20">
      <c r="A246" s="23" t="s">
        <v>277</v>
      </c>
      <c r="B246" s="35" t="s">
        <v>273</v>
      </c>
      <c r="C246" s="36">
        <v>554</v>
      </c>
      <c r="D246" s="6"/>
      <c r="E246" s="113">
        <v>15400094</v>
      </c>
      <c r="F246" s="116">
        <f t="shared" si="49"/>
        <v>27798.003610108302</v>
      </c>
      <c r="G246" s="117">
        <v>6088101</v>
      </c>
      <c r="H246" s="117">
        <f t="shared" si="50"/>
        <v>10989.351985559566</v>
      </c>
      <c r="I246" s="98" t="s">
        <v>528</v>
      </c>
      <c r="J246" s="10"/>
      <c r="K246" s="117"/>
      <c r="L246" s="120"/>
      <c r="M246" s="122">
        <f t="shared" si="41"/>
        <v>60881.01</v>
      </c>
      <c r="N246" s="116">
        <f t="shared" si="42"/>
        <v>60881.01</v>
      </c>
      <c r="O246" s="123">
        <f t="shared" si="43"/>
        <v>109.89351985559567</v>
      </c>
      <c r="P246" s="5"/>
      <c r="Q246" s="5">
        <f t="shared" si="44"/>
        <v>1</v>
      </c>
      <c r="R246" s="7">
        <f t="shared" si="45"/>
        <v>554</v>
      </c>
      <c r="S246" s="5">
        <f t="shared" si="46"/>
        <v>0</v>
      </c>
      <c r="T246" s="7">
        <f t="shared" si="47"/>
        <v>0</v>
      </c>
    </row>
    <row r="247" spans="1:20">
      <c r="A247" s="23" t="s">
        <v>278</v>
      </c>
      <c r="B247" s="35" t="s">
        <v>273</v>
      </c>
      <c r="C247" s="36">
        <v>4078</v>
      </c>
      <c r="D247" s="6"/>
      <c r="E247" s="113">
        <v>298491241</v>
      </c>
      <c r="F247" s="116">
        <f t="shared" si="49"/>
        <v>73195.498038254053</v>
      </c>
      <c r="G247" s="117">
        <v>232063071</v>
      </c>
      <c r="H247" s="117">
        <f t="shared" si="50"/>
        <v>56906.09882295243</v>
      </c>
      <c r="I247" s="7"/>
      <c r="J247" s="10">
        <v>3.5</v>
      </c>
      <c r="K247" s="117">
        <v>812220</v>
      </c>
      <c r="L247" s="120">
        <f t="shared" ref="L247:L271" si="51">(K247/C247)</f>
        <v>199.17116233447769</v>
      </c>
      <c r="M247" s="122">
        <f t="shared" si="41"/>
        <v>2320630.71</v>
      </c>
      <c r="N247" s="116">
        <f t="shared" si="42"/>
        <v>1508410.71</v>
      </c>
      <c r="O247" s="123">
        <f t="shared" si="43"/>
        <v>369.88982589504656</v>
      </c>
      <c r="P247" s="5"/>
      <c r="Q247" s="5">
        <f t="shared" si="44"/>
        <v>1</v>
      </c>
      <c r="R247" s="7">
        <f t="shared" si="45"/>
        <v>4078</v>
      </c>
      <c r="S247" s="5">
        <f t="shared" si="46"/>
        <v>1</v>
      </c>
      <c r="T247" s="7">
        <f t="shared" si="47"/>
        <v>4078</v>
      </c>
    </row>
    <row r="248" spans="1:20">
      <c r="A248" s="23" t="s">
        <v>279</v>
      </c>
      <c r="B248" s="35" t="s">
        <v>273</v>
      </c>
      <c r="C248" s="36">
        <v>12446</v>
      </c>
      <c r="D248" s="6"/>
      <c r="E248" s="113">
        <v>679643765</v>
      </c>
      <c r="F248" s="116">
        <f t="shared" si="49"/>
        <v>54607.405190422629</v>
      </c>
      <c r="G248" s="117">
        <v>489675106</v>
      </c>
      <c r="H248" s="117">
        <f t="shared" si="50"/>
        <v>39343.974449622372</v>
      </c>
      <c r="I248" s="9"/>
      <c r="J248" s="10">
        <v>3.3</v>
      </c>
      <c r="K248" s="117">
        <v>1615927</v>
      </c>
      <c r="L248" s="120">
        <f t="shared" si="51"/>
        <v>129.8350474047887</v>
      </c>
      <c r="M248" s="122">
        <f t="shared" si="41"/>
        <v>4896751.0600000005</v>
      </c>
      <c r="N248" s="116">
        <f t="shared" si="42"/>
        <v>3280824.0600000005</v>
      </c>
      <c r="O248" s="123">
        <f t="shared" si="43"/>
        <v>263.60469709143501</v>
      </c>
      <c r="P248" s="5"/>
      <c r="Q248" s="5">
        <f t="shared" si="44"/>
        <v>1</v>
      </c>
      <c r="R248" s="7">
        <f t="shared" si="45"/>
        <v>12446</v>
      </c>
      <c r="S248" s="5">
        <f t="shared" si="46"/>
        <v>1</v>
      </c>
      <c r="T248" s="7">
        <f t="shared" si="47"/>
        <v>12446</v>
      </c>
    </row>
    <row r="249" spans="1:20">
      <c r="A249" s="23" t="s">
        <v>280</v>
      </c>
      <c r="B249" s="35" t="s">
        <v>273</v>
      </c>
      <c r="C249" s="36">
        <v>723</v>
      </c>
      <c r="D249" s="6"/>
      <c r="E249" s="113">
        <v>89670971</v>
      </c>
      <c r="F249" s="116">
        <f t="shared" si="49"/>
        <v>124026.23928077455</v>
      </c>
      <c r="G249" s="117">
        <v>70151825</v>
      </c>
      <c r="H249" s="117">
        <f t="shared" si="50"/>
        <v>97028.803596127254</v>
      </c>
      <c r="I249" s="7"/>
      <c r="J249" s="10">
        <v>2.8</v>
      </c>
      <c r="K249" s="117">
        <v>196425</v>
      </c>
      <c r="L249" s="120">
        <f t="shared" si="51"/>
        <v>271.68049792531122</v>
      </c>
      <c r="M249" s="122">
        <f t="shared" si="41"/>
        <v>701518.25</v>
      </c>
      <c r="N249" s="116">
        <f t="shared" si="42"/>
        <v>505093.25</v>
      </c>
      <c r="O249" s="123">
        <f t="shared" si="43"/>
        <v>698.60753803596128</v>
      </c>
      <c r="P249" s="5"/>
      <c r="Q249" s="5">
        <f t="shared" si="44"/>
        <v>1</v>
      </c>
      <c r="R249" s="7">
        <f t="shared" si="45"/>
        <v>723</v>
      </c>
      <c r="S249" s="5">
        <f t="shared" si="46"/>
        <v>1</v>
      </c>
      <c r="T249" s="7">
        <f t="shared" si="47"/>
        <v>723</v>
      </c>
    </row>
    <row r="250" spans="1:20">
      <c r="A250" s="23" t="s">
        <v>281</v>
      </c>
      <c r="B250" s="35" t="s">
        <v>273</v>
      </c>
      <c r="C250" s="36">
        <v>6452</v>
      </c>
      <c r="D250" s="6"/>
      <c r="E250" s="113">
        <v>227703428</v>
      </c>
      <c r="F250" s="116">
        <f t="shared" si="49"/>
        <v>35291.913825170486</v>
      </c>
      <c r="G250" s="117">
        <v>141188722</v>
      </c>
      <c r="H250" s="117">
        <f t="shared" si="50"/>
        <v>21882.93893366398</v>
      </c>
      <c r="I250" s="7"/>
      <c r="J250" s="11">
        <v>3.99</v>
      </c>
      <c r="K250" s="117">
        <v>563343</v>
      </c>
      <c r="L250" s="120">
        <f t="shared" si="51"/>
        <v>87.312926224426533</v>
      </c>
      <c r="M250" s="122">
        <f t="shared" si="41"/>
        <v>1411887.22</v>
      </c>
      <c r="N250" s="116">
        <f t="shared" si="42"/>
        <v>848544.22</v>
      </c>
      <c r="O250" s="123">
        <f t="shared" si="43"/>
        <v>131.51646311221327</v>
      </c>
      <c r="P250" s="5"/>
      <c r="Q250" s="5">
        <f t="shared" si="44"/>
        <v>1</v>
      </c>
      <c r="R250" s="7">
        <f t="shared" si="45"/>
        <v>6452</v>
      </c>
      <c r="S250" s="5">
        <f t="shared" si="46"/>
        <v>1</v>
      </c>
      <c r="T250" s="7">
        <f t="shared" si="47"/>
        <v>6452</v>
      </c>
    </row>
    <row r="251" spans="1:20">
      <c r="A251" s="23" t="s">
        <v>282</v>
      </c>
      <c r="B251" s="35" t="s">
        <v>282</v>
      </c>
      <c r="C251" s="36">
        <v>5452</v>
      </c>
      <c r="D251" s="6"/>
      <c r="E251" s="113">
        <v>340983689</v>
      </c>
      <c r="F251" s="116">
        <f t="shared" si="49"/>
        <v>62542.862986060165</v>
      </c>
      <c r="G251" s="117">
        <v>219064068</v>
      </c>
      <c r="H251" s="117">
        <f t="shared" si="50"/>
        <v>40180.496698459283</v>
      </c>
      <c r="I251" s="7"/>
      <c r="J251" s="10">
        <v>7.1898999999999997</v>
      </c>
      <c r="K251" s="117">
        <v>1575048</v>
      </c>
      <c r="L251" s="120">
        <f t="shared" si="51"/>
        <v>288.89361702127661</v>
      </c>
      <c r="M251" s="122">
        <f t="shared" si="41"/>
        <v>2190640.6800000002</v>
      </c>
      <c r="N251" s="116">
        <f t="shared" si="42"/>
        <v>615592.68000000017</v>
      </c>
      <c r="O251" s="123">
        <f t="shared" si="43"/>
        <v>112.91134996331624</v>
      </c>
      <c r="P251" s="5"/>
      <c r="Q251" s="5">
        <f t="shared" si="44"/>
        <v>1</v>
      </c>
      <c r="R251" s="7">
        <f t="shared" si="45"/>
        <v>5452</v>
      </c>
      <c r="S251" s="5">
        <f t="shared" si="46"/>
        <v>1</v>
      </c>
      <c r="T251" s="7">
        <f t="shared" si="47"/>
        <v>5452</v>
      </c>
    </row>
    <row r="252" spans="1:20">
      <c r="A252" s="23" t="s">
        <v>283</v>
      </c>
      <c r="B252" s="35" t="s">
        <v>284</v>
      </c>
      <c r="C252" s="36">
        <v>31374</v>
      </c>
      <c r="D252" s="6"/>
      <c r="E252" s="113">
        <v>1802340688</v>
      </c>
      <c r="F252" s="116">
        <f t="shared" si="49"/>
        <v>57446.952508446484</v>
      </c>
      <c r="G252" s="117">
        <v>1361852294</v>
      </c>
      <c r="H252" s="117">
        <f t="shared" si="50"/>
        <v>43407.034295913814</v>
      </c>
      <c r="I252" s="7"/>
      <c r="J252" s="10">
        <v>3.7618999999999998</v>
      </c>
      <c r="K252" s="117">
        <v>5123152</v>
      </c>
      <c r="L252" s="120">
        <f t="shared" si="51"/>
        <v>163.29291770255625</v>
      </c>
      <c r="M252" s="122">
        <f t="shared" si="41"/>
        <v>13618522.939999999</v>
      </c>
      <c r="N252" s="116">
        <f t="shared" si="42"/>
        <v>8495370.9399999995</v>
      </c>
      <c r="O252" s="123">
        <f t="shared" si="43"/>
        <v>270.77742525658186</v>
      </c>
      <c r="P252" s="5"/>
      <c r="Q252" s="5">
        <f t="shared" si="44"/>
        <v>1</v>
      </c>
      <c r="R252" s="7">
        <f t="shared" si="45"/>
        <v>31374</v>
      </c>
      <c r="S252" s="5">
        <f t="shared" si="46"/>
        <v>1</v>
      </c>
      <c r="T252" s="7">
        <f t="shared" si="47"/>
        <v>31374</v>
      </c>
    </row>
    <row r="253" spans="1:20">
      <c r="A253" s="23" t="s">
        <v>285</v>
      </c>
      <c r="B253" s="35" t="s">
        <v>284</v>
      </c>
      <c r="C253" s="36">
        <v>28</v>
      </c>
      <c r="D253" s="6"/>
      <c r="E253" s="113">
        <v>4004894175</v>
      </c>
      <c r="F253" s="116">
        <f t="shared" si="49"/>
        <v>143031934.82142857</v>
      </c>
      <c r="G253" s="117">
        <v>3842785673</v>
      </c>
      <c r="H253" s="117">
        <f t="shared" si="50"/>
        <v>137242345.4642857</v>
      </c>
      <c r="I253" s="7"/>
      <c r="J253" s="10">
        <v>0.54100000000000004</v>
      </c>
      <c r="K253" s="117">
        <v>2078947</v>
      </c>
      <c r="L253" s="120">
        <f t="shared" si="51"/>
        <v>74248.107142857145</v>
      </c>
      <c r="M253" s="122">
        <f t="shared" si="41"/>
        <v>38427856.730000004</v>
      </c>
      <c r="N253" s="116">
        <f t="shared" si="42"/>
        <v>36348909.730000004</v>
      </c>
      <c r="O253" s="123">
        <f t="shared" si="43"/>
        <v>1298175.3475000001</v>
      </c>
      <c r="P253" s="5"/>
      <c r="Q253" s="5">
        <f t="shared" si="44"/>
        <v>1</v>
      </c>
      <c r="R253" s="7">
        <f t="shared" si="45"/>
        <v>28</v>
      </c>
      <c r="S253" s="5">
        <f t="shared" si="46"/>
        <v>1</v>
      </c>
      <c r="T253" s="7">
        <f t="shared" si="47"/>
        <v>28</v>
      </c>
    </row>
    <row r="254" spans="1:20">
      <c r="A254" s="23" t="s">
        <v>286</v>
      </c>
      <c r="B254" s="35" t="s">
        <v>284</v>
      </c>
      <c r="C254" s="36">
        <v>6087</v>
      </c>
      <c r="D254" s="6"/>
      <c r="E254" s="113">
        <v>536071891</v>
      </c>
      <c r="F254" s="116">
        <f t="shared" si="49"/>
        <v>88068.324461968135</v>
      </c>
      <c r="G254" s="117">
        <v>405456551</v>
      </c>
      <c r="H254" s="117">
        <f t="shared" si="50"/>
        <v>66610.243305404962</v>
      </c>
      <c r="I254" s="7"/>
      <c r="J254" s="10">
        <v>3.1655000000000002</v>
      </c>
      <c r="K254" s="117">
        <v>1283472</v>
      </c>
      <c r="L254" s="120">
        <f t="shared" si="51"/>
        <v>210.85460818137014</v>
      </c>
      <c r="M254" s="122">
        <f t="shared" si="41"/>
        <v>4054565.5100000002</v>
      </c>
      <c r="N254" s="116">
        <f t="shared" si="42"/>
        <v>2771093.5100000002</v>
      </c>
      <c r="O254" s="123">
        <f t="shared" si="43"/>
        <v>455.24782487267953</v>
      </c>
      <c r="P254" s="5"/>
      <c r="Q254" s="5">
        <f t="shared" si="44"/>
        <v>1</v>
      </c>
      <c r="R254" s="7">
        <f t="shared" si="45"/>
        <v>6087</v>
      </c>
      <c r="S254" s="5">
        <f t="shared" si="46"/>
        <v>1</v>
      </c>
      <c r="T254" s="7">
        <f t="shared" si="47"/>
        <v>6087</v>
      </c>
    </row>
    <row r="255" spans="1:20">
      <c r="A255" s="23" t="s">
        <v>287</v>
      </c>
      <c r="B255" s="35" t="s">
        <v>284</v>
      </c>
      <c r="C255" s="36">
        <v>2474</v>
      </c>
      <c r="D255" s="6"/>
      <c r="E255" s="113">
        <v>192792605</v>
      </c>
      <c r="F255" s="116">
        <f t="shared" si="49"/>
        <v>77927.487873888444</v>
      </c>
      <c r="G255" s="117">
        <v>144450634</v>
      </c>
      <c r="H255" s="117">
        <f t="shared" si="50"/>
        <v>58387.483427647538</v>
      </c>
      <c r="I255" s="7"/>
      <c r="J255" s="10">
        <v>6.9039999999999999</v>
      </c>
      <c r="K255" s="117">
        <v>997287</v>
      </c>
      <c r="L255" s="120">
        <f t="shared" si="51"/>
        <v>403.10711398544868</v>
      </c>
      <c r="M255" s="122">
        <f t="shared" si="41"/>
        <v>1444506.34</v>
      </c>
      <c r="N255" s="116">
        <f t="shared" si="42"/>
        <v>447219.34000000008</v>
      </c>
      <c r="O255" s="123">
        <f t="shared" si="43"/>
        <v>180.76772029102671</v>
      </c>
      <c r="P255" s="5"/>
      <c r="Q255" s="5">
        <f t="shared" si="44"/>
        <v>1</v>
      </c>
      <c r="R255" s="7">
        <f t="shared" si="45"/>
        <v>2474</v>
      </c>
      <c r="S255" s="5">
        <f t="shared" si="46"/>
        <v>1</v>
      </c>
      <c r="T255" s="7">
        <f t="shared" si="47"/>
        <v>2474</v>
      </c>
    </row>
    <row r="256" spans="1:20">
      <c r="A256" s="23" t="s">
        <v>288</v>
      </c>
      <c r="B256" s="35" t="s">
        <v>284</v>
      </c>
      <c r="C256" s="36">
        <v>2078</v>
      </c>
      <c r="D256" s="6"/>
      <c r="E256" s="113">
        <v>238071411</v>
      </c>
      <c r="F256" s="116">
        <f t="shared" si="49"/>
        <v>114567.57025986526</v>
      </c>
      <c r="G256" s="117">
        <v>193002952</v>
      </c>
      <c r="H256" s="117">
        <f t="shared" si="50"/>
        <v>92879.187680461982</v>
      </c>
      <c r="I256" s="7"/>
      <c r="J256" s="10">
        <v>4.7</v>
      </c>
      <c r="K256" s="117">
        <v>907113</v>
      </c>
      <c r="L256" s="120">
        <f t="shared" si="51"/>
        <v>436.53176130895093</v>
      </c>
      <c r="M256" s="122">
        <f t="shared" si="41"/>
        <v>1930029.52</v>
      </c>
      <c r="N256" s="116">
        <f t="shared" si="42"/>
        <v>1022916.52</v>
      </c>
      <c r="O256" s="123">
        <f t="shared" si="43"/>
        <v>492.26011549566891</v>
      </c>
      <c r="P256" s="5"/>
      <c r="Q256" s="5">
        <f t="shared" si="44"/>
        <v>1</v>
      </c>
      <c r="R256" s="7">
        <f t="shared" si="45"/>
        <v>2078</v>
      </c>
      <c r="S256" s="5">
        <f t="shared" si="46"/>
        <v>1</v>
      </c>
      <c r="T256" s="7">
        <f t="shared" si="47"/>
        <v>2078</v>
      </c>
    </row>
    <row r="257" spans="1:20">
      <c r="A257" s="23" t="s">
        <v>289</v>
      </c>
      <c r="B257" s="35" t="s">
        <v>284</v>
      </c>
      <c r="C257" s="36">
        <v>19</v>
      </c>
      <c r="D257" s="6"/>
      <c r="E257" s="113">
        <v>1386729556</v>
      </c>
      <c r="F257" s="116">
        <f t="shared" si="49"/>
        <v>72985766.105263159</v>
      </c>
      <c r="G257" s="117">
        <v>1337692883</v>
      </c>
      <c r="H257" s="117">
        <f t="shared" si="50"/>
        <v>70404888.578947365</v>
      </c>
      <c r="I257" s="7"/>
      <c r="J257" s="10">
        <v>0.67979999999999996</v>
      </c>
      <c r="K257" s="117">
        <v>909363</v>
      </c>
      <c r="L257" s="120">
        <f t="shared" si="51"/>
        <v>47861.210526315786</v>
      </c>
      <c r="M257" s="122">
        <f t="shared" si="41"/>
        <v>13376928.83</v>
      </c>
      <c r="N257" s="116">
        <f t="shared" si="42"/>
        <v>12467565.83</v>
      </c>
      <c r="O257" s="123">
        <f t="shared" si="43"/>
        <v>656187.67526315793</v>
      </c>
      <c r="P257" s="5"/>
      <c r="Q257" s="5">
        <f t="shared" si="44"/>
        <v>1</v>
      </c>
      <c r="R257" s="7">
        <f t="shared" si="45"/>
        <v>19</v>
      </c>
      <c r="S257" s="5">
        <f t="shared" si="46"/>
        <v>1</v>
      </c>
      <c r="T257" s="7">
        <f t="shared" si="47"/>
        <v>19</v>
      </c>
    </row>
    <row r="258" spans="1:20">
      <c r="A258" s="23" t="s">
        <v>290</v>
      </c>
      <c r="B258" s="35" t="s">
        <v>284</v>
      </c>
      <c r="C258" s="36">
        <v>15360</v>
      </c>
      <c r="D258" s="6"/>
      <c r="E258" s="113">
        <v>2210463265</v>
      </c>
      <c r="F258" s="116">
        <f t="shared" si="49"/>
        <v>143910.36881510416</v>
      </c>
      <c r="G258" s="117">
        <v>1822218782</v>
      </c>
      <c r="H258" s="117">
        <f t="shared" si="50"/>
        <v>118634.03528645834</v>
      </c>
      <c r="I258" s="7"/>
      <c r="J258" s="10">
        <v>3.8</v>
      </c>
      <c r="K258" s="117">
        <v>6924431</v>
      </c>
      <c r="L258" s="120">
        <f t="shared" si="51"/>
        <v>450.80930989583334</v>
      </c>
      <c r="M258" s="122">
        <f t="shared" si="41"/>
        <v>18222187.82</v>
      </c>
      <c r="N258" s="116">
        <f t="shared" si="42"/>
        <v>11297756.82</v>
      </c>
      <c r="O258" s="123">
        <f t="shared" si="43"/>
        <v>735.53104296875006</v>
      </c>
      <c r="P258" s="5"/>
      <c r="Q258" s="5">
        <f t="shared" si="44"/>
        <v>1</v>
      </c>
      <c r="R258" s="7">
        <f t="shared" si="45"/>
        <v>15360</v>
      </c>
      <c r="S258" s="5">
        <f t="shared" si="46"/>
        <v>1</v>
      </c>
      <c r="T258" s="7">
        <f t="shared" si="47"/>
        <v>15360</v>
      </c>
    </row>
    <row r="259" spans="1:20">
      <c r="A259" s="23" t="s">
        <v>291</v>
      </c>
      <c r="B259" s="35" t="s">
        <v>284</v>
      </c>
      <c r="C259" s="36">
        <v>1638</v>
      </c>
      <c r="D259" s="6"/>
      <c r="E259" s="113">
        <v>126784341</v>
      </c>
      <c r="F259" s="116">
        <f t="shared" si="49"/>
        <v>77401.917582417576</v>
      </c>
      <c r="G259" s="117">
        <v>98328351</v>
      </c>
      <c r="H259" s="117">
        <f t="shared" si="50"/>
        <v>60029.518315018315</v>
      </c>
      <c r="I259" s="7"/>
      <c r="J259" s="10">
        <v>4.9245000000000001</v>
      </c>
      <c r="K259" s="117">
        <v>484217</v>
      </c>
      <c r="L259" s="120">
        <f t="shared" si="51"/>
        <v>295.61477411477409</v>
      </c>
      <c r="M259" s="122">
        <f t="shared" si="41"/>
        <v>983283.51</v>
      </c>
      <c r="N259" s="116">
        <f t="shared" si="42"/>
        <v>499066.51</v>
      </c>
      <c r="O259" s="123">
        <f t="shared" si="43"/>
        <v>304.68040903540901</v>
      </c>
      <c r="P259" s="5"/>
      <c r="Q259" s="5">
        <f t="shared" si="44"/>
        <v>1</v>
      </c>
      <c r="R259" s="7">
        <f t="shared" si="45"/>
        <v>1638</v>
      </c>
      <c r="S259" s="5">
        <f t="shared" si="46"/>
        <v>1</v>
      </c>
      <c r="T259" s="7">
        <f t="shared" si="47"/>
        <v>1638</v>
      </c>
    </row>
    <row r="260" spans="1:20">
      <c r="A260" s="23" t="s">
        <v>292</v>
      </c>
      <c r="B260" s="35" t="s">
        <v>284</v>
      </c>
      <c r="C260" s="36">
        <v>28093</v>
      </c>
      <c r="D260" s="6"/>
      <c r="E260" s="113">
        <v>1697653962</v>
      </c>
      <c r="F260" s="116">
        <f t="shared" si="49"/>
        <v>60429.785426974689</v>
      </c>
      <c r="G260" s="117">
        <v>1241617179</v>
      </c>
      <c r="H260" s="117">
        <f t="shared" si="50"/>
        <v>44196.674580856445</v>
      </c>
      <c r="I260" s="7"/>
      <c r="J260" s="10">
        <v>4.5789</v>
      </c>
      <c r="K260" s="117">
        <v>5685240</v>
      </c>
      <c r="L260" s="120">
        <f t="shared" si="51"/>
        <v>202.37212116897447</v>
      </c>
      <c r="M260" s="122">
        <f t="shared" si="41"/>
        <v>12416171.790000001</v>
      </c>
      <c r="N260" s="116">
        <f t="shared" si="42"/>
        <v>6730931.790000001</v>
      </c>
      <c r="O260" s="123">
        <f t="shared" si="43"/>
        <v>239.59462463958997</v>
      </c>
      <c r="P260" s="5"/>
      <c r="Q260" s="5">
        <f t="shared" si="44"/>
        <v>1</v>
      </c>
      <c r="R260" s="7">
        <f t="shared" si="45"/>
        <v>28093</v>
      </c>
      <c r="S260" s="5">
        <f t="shared" si="46"/>
        <v>1</v>
      </c>
      <c r="T260" s="7">
        <f t="shared" si="47"/>
        <v>28093</v>
      </c>
    </row>
    <row r="261" spans="1:20">
      <c r="A261" s="23" t="s">
        <v>293</v>
      </c>
      <c r="B261" s="35" t="s">
        <v>284</v>
      </c>
      <c r="C261" s="36">
        <v>201851</v>
      </c>
      <c r="D261" s="6"/>
      <c r="E261" s="113">
        <v>21616996090</v>
      </c>
      <c r="F261" s="116">
        <f t="shared" si="49"/>
        <v>107093.82708037116</v>
      </c>
      <c r="G261" s="117">
        <v>14114834134</v>
      </c>
      <c r="H261" s="117">
        <f t="shared" si="50"/>
        <v>69926.996319067039</v>
      </c>
      <c r="I261" s="7"/>
      <c r="J261" s="10">
        <v>5.6916000000000002</v>
      </c>
      <c r="K261" s="117">
        <v>80335989</v>
      </c>
      <c r="L261" s="120">
        <f t="shared" si="51"/>
        <v>397.99648750811241</v>
      </c>
      <c r="M261" s="122">
        <f t="shared" si="41"/>
        <v>141148341.34</v>
      </c>
      <c r="N261" s="116">
        <f t="shared" si="42"/>
        <v>60812352.340000004</v>
      </c>
      <c r="O261" s="123">
        <f t="shared" si="43"/>
        <v>301.27347568255794</v>
      </c>
      <c r="P261" s="5"/>
      <c r="Q261" s="5">
        <f t="shared" si="44"/>
        <v>1</v>
      </c>
      <c r="R261" s="7">
        <f t="shared" si="45"/>
        <v>201851</v>
      </c>
      <c r="S261" s="5">
        <f t="shared" si="46"/>
        <v>1</v>
      </c>
      <c r="T261" s="7">
        <f t="shared" si="47"/>
        <v>201851</v>
      </c>
    </row>
    <row r="262" spans="1:20">
      <c r="A262" s="23" t="s">
        <v>294</v>
      </c>
      <c r="B262" s="35" t="s">
        <v>284</v>
      </c>
      <c r="C262" s="36">
        <v>2292</v>
      </c>
      <c r="D262" s="6"/>
      <c r="E262" s="113">
        <v>439708263</v>
      </c>
      <c r="F262" s="116">
        <f t="shared" si="49"/>
        <v>191844.79188481675</v>
      </c>
      <c r="G262" s="117">
        <v>336266272</v>
      </c>
      <c r="H262" s="117">
        <f t="shared" si="50"/>
        <v>146713.03315881325</v>
      </c>
      <c r="I262" s="7"/>
      <c r="J262" s="10">
        <v>2.9</v>
      </c>
      <c r="K262" s="117">
        <v>975172</v>
      </c>
      <c r="L262" s="120">
        <f t="shared" si="51"/>
        <v>425.46771378708553</v>
      </c>
      <c r="M262" s="122">
        <f t="shared" ref="M262:M325" si="52">(G262*0.01)</f>
        <v>3362662.72</v>
      </c>
      <c r="N262" s="116">
        <f t="shared" ref="N262:N325" si="53">(M262-K262)</f>
        <v>2387490.7200000002</v>
      </c>
      <c r="O262" s="123">
        <f t="shared" ref="O262:O325" si="54">(N262/C262)</f>
        <v>1041.6626178010472</v>
      </c>
      <c r="P262" s="5"/>
      <c r="Q262" s="5">
        <f t="shared" si="44"/>
        <v>1</v>
      </c>
      <c r="R262" s="7">
        <f t="shared" si="45"/>
        <v>2292</v>
      </c>
      <c r="S262" s="5">
        <f t="shared" si="46"/>
        <v>1</v>
      </c>
      <c r="T262" s="7">
        <f t="shared" si="47"/>
        <v>2292</v>
      </c>
    </row>
    <row r="263" spans="1:20">
      <c r="A263" s="23" t="s">
        <v>295</v>
      </c>
      <c r="B263" s="35" t="s">
        <v>284</v>
      </c>
      <c r="C263" s="36">
        <v>20378</v>
      </c>
      <c r="D263" s="6"/>
      <c r="E263" s="113">
        <v>1169398119</v>
      </c>
      <c r="F263" s="116">
        <f t="shared" si="49"/>
        <v>57385.323338894887</v>
      </c>
      <c r="G263" s="117">
        <v>908118889</v>
      </c>
      <c r="H263" s="117">
        <f t="shared" si="50"/>
        <v>44563.690695848461</v>
      </c>
      <c r="I263" s="7"/>
      <c r="J263" s="10">
        <v>4.3040000000000003</v>
      </c>
      <c r="K263" s="117">
        <v>3908543</v>
      </c>
      <c r="L263" s="120">
        <f t="shared" si="51"/>
        <v>191.80209048974385</v>
      </c>
      <c r="M263" s="122">
        <f t="shared" si="52"/>
        <v>9081188.8900000006</v>
      </c>
      <c r="N263" s="116">
        <f t="shared" si="53"/>
        <v>5172645.8900000006</v>
      </c>
      <c r="O263" s="123">
        <f t="shared" si="54"/>
        <v>253.83481646874083</v>
      </c>
      <c r="P263" s="5"/>
      <c r="Q263" s="5">
        <f t="shared" ref="Q263:Q326" si="55">IF(E263&gt;0,1,0)</f>
        <v>1</v>
      </c>
      <c r="R263" s="7">
        <f t="shared" ref="R263:R326" si="56">IF(E263&gt;0,C263,0)</f>
        <v>20378</v>
      </c>
      <c r="S263" s="5">
        <f t="shared" ref="S263:S326" si="57">IF(J263&gt;0,1,0)</f>
        <v>1</v>
      </c>
      <c r="T263" s="7">
        <f t="shared" ref="T263:T326" si="58">IF(J263&gt;0,C263,0)</f>
        <v>20378</v>
      </c>
    </row>
    <row r="264" spans="1:20">
      <c r="A264" s="23" t="s">
        <v>296</v>
      </c>
      <c r="B264" s="35" t="s">
        <v>284</v>
      </c>
      <c r="C264" s="36">
        <v>26401</v>
      </c>
      <c r="D264" s="6"/>
      <c r="E264" s="113">
        <v>3900015757</v>
      </c>
      <c r="F264" s="116">
        <f t="shared" si="49"/>
        <v>147722.27404264989</v>
      </c>
      <c r="G264" s="117">
        <v>2838839395</v>
      </c>
      <c r="H264" s="117">
        <f t="shared" si="50"/>
        <v>107527.7222453695</v>
      </c>
      <c r="I264" s="7"/>
      <c r="J264" s="10">
        <v>3.6539999999999999</v>
      </c>
      <c r="K264" s="117">
        <v>10373119</v>
      </c>
      <c r="L264" s="120">
        <f t="shared" si="51"/>
        <v>392.90629142835496</v>
      </c>
      <c r="M264" s="122">
        <f t="shared" si="52"/>
        <v>28388393.949999999</v>
      </c>
      <c r="N264" s="116">
        <f t="shared" si="53"/>
        <v>18015274.949999999</v>
      </c>
      <c r="O264" s="123">
        <f t="shared" si="54"/>
        <v>682.37093102533993</v>
      </c>
      <c r="P264" s="5"/>
      <c r="Q264" s="5">
        <f t="shared" si="55"/>
        <v>1</v>
      </c>
      <c r="R264" s="7">
        <f t="shared" si="56"/>
        <v>26401</v>
      </c>
      <c r="S264" s="5">
        <f t="shared" si="57"/>
        <v>1</v>
      </c>
      <c r="T264" s="7">
        <f t="shared" si="58"/>
        <v>26401</v>
      </c>
    </row>
    <row r="265" spans="1:20">
      <c r="A265" s="23" t="s">
        <v>297</v>
      </c>
      <c r="B265" s="35" t="s">
        <v>298</v>
      </c>
      <c r="C265" s="36">
        <v>52749</v>
      </c>
      <c r="D265" s="6"/>
      <c r="E265" s="113">
        <v>2536979373</v>
      </c>
      <c r="F265" s="116">
        <f t="shared" si="49"/>
        <v>48095.307456065515</v>
      </c>
      <c r="G265" s="117">
        <v>1914748820</v>
      </c>
      <c r="H265" s="117">
        <f t="shared" si="50"/>
        <v>36299.243966710266</v>
      </c>
      <c r="I265" s="7"/>
      <c r="J265" s="10">
        <v>4.2953000000000001</v>
      </c>
      <c r="K265" s="117">
        <v>8224420</v>
      </c>
      <c r="L265" s="120">
        <f t="shared" si="51"/>
        <v>155.91613111149027</v>
      </c>
      <c r="M265" s="122">
        <f t="shared" si="52"/>
        <v>19147488.199999999</v>
      </c>
      <c r="N265" s="116">
        <f t="shared" si="53"/>
        <v>10923068.199999999</v>
      </c>
      <c r="O265" s="123">
        <f t="shared" si="54"/>
        <v>207.07630855561243</v>
      </c>
      <c r="P265" s="5"/>
      <c r="Q265" s="5">
        <f t="shared" si="55"/>
        <v>1</v>
      </c>
      <c r="R265" s="7">
        <f t="shared" si="56"/>
        <v>52749</v>
      </c>
      <c r="S265" s="5">
        <f t="shared" si="57"/>
        <v>1</v>
      </c>
      <c r="T265" s="7">
        <f t="shared" si="58"/>
        <v>52749</v>
      </c>
    </row>
    <row r="266" spans="1:20">
      <c r="A266" s="23" t="s">
        <v>546</v>
      </c>
      <c r="B266" s="35" t="s">
        <v>298</v>
      </c>
      <c r="C266" s="36">
        <v>23429</v>
      </c>
      <c r="D266" s="6"/>
      <c r="E266" s="113">
        <v>1075919055</v>
      </c>
      <c r="F266" s="116">
        <f t="shared" si="49"/>
        <v>45922.534252422214</v>
      </c>
      <c r="G266" s="117">
        <v>693567882</v>
      </c>
      <c r="H266" s="117">
        <f t="shared" si="50"/>
        <v>29602.965640872422</v>
      </c>
      <c r="I266" s="7"/>
      <c r="J266" s="10">
        <v>4.1790000000000003</v>
      </c>
      <c r="K266" s="117">
        <v>2898420</v>
      </c>
      <c r="L266" s="120">
        <f t="shared" si="51"/>
        <v>123.71078577830893</v>
      </c>
      <c r="M266" s="122">
        <f t="shared" si="52"/>
        <v>6935678.8200000003</v>
      </c>
      <c r="N266" s="116">
        <f t="shared" si="53"/>
        <v>4037258.8200000003</v>
      </c>
      <c r="O266" s="123">
        <f t="shared" si="54"/>
        <v>172.31887063041532</v>
      </c>
      <c r="P266" s="5"/>
      <c r="Q266" s="5">
        <f t="shared" si="55"/>
        <v>1</v>
      </c>
      <c r="R266" s="7">
        <f t="shared" si="56"/>
        <v>23429</v>
      </c>
      <c r="S266" s="5">
        <f t="shared" si="57"/>
        <v>1</v>
      </c>
      <c r="T266" s="7">
        <f t="shared" si="58"/>
        <v>23429</v>
      </c>
    </row>
    <row r="267" spans="1:20">
      <c r="A267" s="23" t="s">
        <v>299</v>
      </c>
      <c r="B267" s="35" t="s">
        <v>300</v>
      </c>
      <c r="C267" s="36">
        <v>2117</v>
      </c>
      <c r="D267" s="6"/>
      <c r="E267" s="113">
        <v>385468492</v>
      </c>
      <c r="F267" s="116">
        <f t="shared" si="49"/>
        <v>182082.42418516768</v>
      </c>
      <c r="G267" s="117">
        <v>328257821</v>
      </c>
      <c r="H267" s="117">
        <f t="shared" si="50"/>
        <v>155058.01653282947</v>
      </c>
      <c r="I267" s="7"/>
      <c r="J267" s="10">
        <v>6.8552999999999997</v>
      </c>
      <c r="K267" s="117">
        <v>2250305</v>
      </c>
      <c r="L267" s="120">
        <f t="shared" si="51"/>
        <v>1062.9688238072745</v>
      </c>
      <c r="M267" s="122">
        <f t="shared" si="52"/>
        <v>3282578.21</v>
      </c>
      <c r="N267" s="116">
        <f t="shared" si="53"/>
        <v>1032273.21</v>
      </c>
      <c r="O267" s="123">
        <f t="shared" si="54"/>
        <v>487.61134152102028</v>
      </c>
      <c r="P267" s="5"/>
      <c r="Q267" s="5">
        <f t="shared" si="55"/>
        <v>1</v>
      </c>
      <c r="R267" s="7">
        <f t="shared" si="56"/>
        <v>2117</v>
      </c>
      <c r="S267" s="5">
        <f t="shared" si="57"/>
        <v>1</v>
      </c>
      <c r="T267" s="7">
        <f t="shared" si="58"/>
        <v>2117</v>
      </c>
    </row>
    <row r="268" spans="1:20">
      <c r="A268" s="23" t="s">
        <v>301</v>
      </c>
      <c r="B268" s="35" t="s">
        <v>300</v>
      </c>
      <c r="C268" s="36">
        <v>14887</v>
      </c>
      <c r="D268" s="6"/>
      <c r="E268" s="113">
        <v>399173252</v>
      </c>
      <c r="F268" s="116">
        <f t="shared" si="49"/>
        <v>26813.545509504936</v>
      </c>
      <c r="G268" s="117">
        <v>236550562</v>
      </c>
      <c r="H268" s="117">
        <f t="shared" si="50"/>
        <v>15889.740175992476</v>
      </c>
      <c r="I268" s="7"/>
      <c r="J268" s="10">
        <v>9.1999999999999993</v>
      </c>
      <c r="K268" s="117">
        <v>2176265</v>
      </c>
      <c r="L268" s="120">
        <f t="shared" si="51"/>
        <v>146.18559817290253</v>
      </c>
      <c r="M268" s="122">
        <f t="shared" si="52"/>
        <v>2365505.62</v>
      </c>
      <c r="N268" s="116">
        <f t="shared" si="53"/>
        <v>189240.62000000011</v>
      </c>
      <c r="O268" s="123">
        <f t="shared" si="54"/>
        <v>12.711803587022242</v>
      </c>
      <c r="P268" s="5"/>
      <c r="Q268" s="5">
        <f t="shared" si="55"/>
        <v>1</v>
      </c>
      <c r="R268" s="7">
        <f t="shared" si="56"/>
        <v>14887</v>
      </c>
      <c r="S268" s="5">
        <f t="shared" si="57"/>
        <v>1</v>
      </c>
      <c r="T268" s="7">
        <f t="shared" si="58"/>
        <v>14887</v>
      </c>
    </row>
    <row r="269" spans="1:20">
      <c r="A269" s="23" t="s">
        <v>302</v>
      </c>
      <c r="B269" s="35" t="s">
        <v>300</v>
      </c>
      <c r="C269" s="36">
        <v>76043</v>
      </c>
      <c r="D269" s="6"/>
      <c r="E269" s="113">
        <v>15743050688</v>
      </c>
      <c r="F269" s="116">
        <f t="shared" si="49"/>
        <v>207028.26937390686</v>
      </c>
      <c r="G269" s="117">
        <v>12495206054</v>
      </c>
      <c r="H269" s="117">
        <f t="shared" si="50"/>
        <v>164317.63678445091</v>
      </c>
      <c r="I269" s="7"/>
      <c r="J269" s="10">
        <v>3.15</v>
      </c>
      <c r="K269" s="117">
        <v>39359899</v>
      </c>
      <c r="L269" s="120">
        <f t="shared" si="51"/>
        <v>517.60055494917344</v>
      </c>
      <c r="M269" s="122">
        <f t="shared" si="52"/>
        <v>124952060.54000001</v>
      </c>
      <c r="N269" s="116">
        <f t="shared" si="53"/>
        <v>85592161.540000007</v>
      </c>
      <c r="O269" s="123">
        <f t="shared" si="54"/>
        <v>1125.5758128953357</v>
      </c>
      <c r="P269" s="5"/>
      <c r="Q269" s="5">
        <f t="shared" si="55"/>
        <v>1</v>
      </c>
      <c r="R269" s="7">
        <f t="shared" si="56"/>
        <v>76043</v>
      </c>
      <c r="S269" s="5">
        <f t="shared" si="57"/>
        <v>1</v>
      </c>
      <c r="T269" s="7">
        <f t="shared" si="58"/>
        <v>76043</v>
      </c>
    </row>
    <row r="270" spans="1:20">
      <c r="A270" s="23" t="s">
        <v>303</v>
      </c>
      <c r="B270" s="35" t="s">
        <v>300</v>
      </c>
      <c r="C270" s="36">
        <v>64593</v>
      </c>
      <c r="D270" s="6"/>
      <c r="E270" s="113">
        <v>4438435345</v>
      </c>
      <c r="F270" s="116">
        <f t="shared" si="49"/>
        <v>68713.875265121605</v>
      </c>
      <c r="G270" s="117">
        <v>3232006782</v>
      </c>
      <c r="H270" s="117">
        <f t="shared" si="50"/>
        <v>50036.486647159909</v>
      </c>
      <c r="I270" s="7"/>
      <c r="J270" s="10">
        <v>7.5</v>
      </c>
      <c r="K270" s="117">
        <v>24240050</v>
      </c>
      <c r="L270" s="120">
        <f t="shared" si="51"/>
        <v>375.27363646215537</v>
      </c>
      <c r="M270" s="122">
        <f t="shared" si="52"/>
        <v>32320067.82</v>
      </c>
      <c r="N270" s="116">
        <f t="shared" si="53"/>
        <v>8080017.8200000003</v>
      </c>
      <c r="O270" s="123">
        <f t="shared" si="54"/>
        <v>125.09123000944375</v>
      </c>
      <c r="P270" s="5"/>
      <c r="Q270" s="5">
        <f t="shared" si="55"/>
        <v>1</v>
      </c>
      <c r="R270" s="7">
        <f t="shared" si="56"/>
        <v>64593</v>
      </c>
      <c r="S270" s="5">
        <f t="shared" si="57"/>
        <v>1</v>
      </c>
      <c r="T270" s="7">
        <f t="shared" si="58"/>
        <v>64593</v>
      </c>
    </row>
    <row r="271" spans="1:20">
      <c r="A271" s="23" t="s">
        <v>304</v>
      </c>
      <c r="B271" s="35" t="s">
        <v>300</v>
      </c>
      <c r="C271" s="36">
        <v>409</v>
      </c>
      <c r="D271" s="6"/>
      <c r="E271" s="113">
        <v>29686949</v>
      </c>
      <c r="F271" s="116">
        <f t="shared" si="49"/>
        <v>72584.227383863079</v>
      </c>
      <c r="G271" s="117">
        <v>23436478</v>
      </c>
      <c r="H271" s="117">
        <f t="shared" si="50"/>
        <v>57301.902200488999</v>
      </c>
      <c r="I271" s="7"/>
      <c r="J271" s="10">
        <v>0.93659999999999999</v>
      </c>
      <c r="K271" s="117">
        <v>21950</v>
      </c>
      <c r="L271" s="120">
        <f t="shared" si="51"/>
        <v>53.66748166259169</v>
      </c>
      <c r="M271" s="122">
        <f t="shared" si="52"/>
        <v>234364.78</v>
      </c>
      <c r="N271" s="116">
        <f t="shared" si="53"/>
        <v>212414.78</v>
      </c>
      <c r="O271" s="123">
        <f t="shared" si="54"/>
        <v>519.35154034229834</v>
      </c>
      <c r="P271" s="5"/>
      <c r="Q271" s="5">
        <f t="shared" si="55"/>
        <v>1</v>
      </c>
      <c r="R271" s="7">
        <f t="shared" si="56"/>
        <v>409</v>
      </c>
      <c r="S271" s="5">
        <f t="shared" si="57"/>
        <v>1</v>
      </c>
      <c r="T271" s="7">
        <f t="shared" si="58"/>
        <v>409</v>
      </c>
    </row>
    <row r="272" spans="1:20">
      <c r="A272" s="23" t="s">
        <v>305</v>
      </c>
      <c r="B272" s="35" t="s">
        <v>300</v>
      </c>
      <c r="C272" s="36">
        <v>172</v>
      </c>
      <c r="D272" s="6"/>
      <c r="E272" s="113">
        <v>5150941</v>
      </c>
      <c r="F272" s="116">
        <f t="shared" si="49"/>
        <v>29947.331395348836</v>
      </c>
      <c r="G272" s="117">
        <v>3699608</v>
      </c>
      <c r="H272" s="117">
        <f t="shared" si="50"/>
        <v>21509.348837209302</v>
      </c>
      <c r="I272" s="98" t="s">
        <v>528</v>
      </c>
      <c r="J272" s="10"/>
      <c r="K272" s="117"/>
      <c r="L272" s="120"/>
      <c r="M272" s="122">
        <f t="shared" si="52"/>
        <v>36996.080000000002</v>
      </c>
      <c r="N272" s="116">
        <f t="shared" si="53"/>
        <v>36996.080000000002</v>
      </c>
      <c r="O272" s="123">
        <f t="shared" si="54"/>
        <v>215.09348837209302</v>
      </c>
      <c r="P272" s="5"/>
      <c r="Q272" s="5">
        <f t="shared" si="55"/>
        <v>1</v>
      </c>
      <c r="R272" s="7">
        <f t="shared" si="56"/>
        <v>172</v>
      </c>
      <c r="S272" s="5">
        <f t="shared" si="57"/>
        <v>0</v>
      </c>
      <c r="T272" s="7">
        <f t="shared" si="58"/>
        <v>0</v>
      </c>
    </row>
    <row r="273" spans="1:20">
      <c r="A273" s="23" t="s">
        <v>306</v>
      </c>
      <c r="B273" s="35" t="s">
        <v>300</v>
      </c>
      <c r="C273" s="36">
        <v>62578</v>
      </c>
      <c r="D273" s="6"/>
      <c r="E273" s="113">
        <v>6266100587</v>
      </c>
      <c r="F273" s="116">
        <f t="shared" si="49"/>
        <v>100132.64385247212</v>
      </c>
      <c r="G273" s="117">
        <v>4705803129</v>
      </c>
      <c r="H273" s="117">
        <f t="shared" si="50"/>
        <v>75199.00170986609</v>
      </c>
      <c r="I273" s="9"/>
      <c r="J273" s="10">
        <v>7.52</v>
      </c>
      <c r="K273" s="117">
        <v>35387639</v>
      </c>
      <c r="L273" s="120">
        <f>(K273/C273)</f>
        <v>565.49648438748443</v>
      </c>
      <c r="M273" s="122">
        <f t="shared" si="52"/>
        <v>47058031.289999999</v>
      </c>
      <c r="N273" s="116">
        <f t="shared" si="53"/>
        <v>11670392.289999999</v>
      </c>
      <c r="O273" s="123">
        <f t="shared" si="54"/>
        <v>186.49353271117644</v>
      </c>
      <c r="P273" s="5"/>
      <c r="Q273" s="5">
        <f t="shared" si="55"/>
        <v>1</v>
      </c>
      <c r="R273" s="7">
        <f t="shared" si="56"/>
        <v>62578</v>
      </c>
      <c r="S273" s="5">
        <f t="shared" si="57"/>
        <v>1</v>
      </c>
      <c r="T273" s="7">
        <f t="shared" si="58"/>
        <v>62578</v>
      </c>
    </row>
    <row r="274" spans="1:20">
      <c r="A274" s="23" t="s">
        <v>307</v>
      </c>
      <c r="B274" s="35" t="s">
        <v>300</v>
      </c>
      <c r="C274" s="36">
        <v>268</v>
      </c>
      <c r="D274" s="6"/>
      <c r="E274" s="113">
        <v>15958373</v>
      </c>
      <c r="F274" s="116">
        <f t="shared" si="49"/>
        <v>59546.167910447759</v>
      </c>
      <c r="G274" s="117">
        <v>11694823</v>
      </c>
      <c r="H274" s="117">
        <f t="shared" si="50"/>
        <v>43637.399253731346</v>
      </c>
      <c r="I274" s="98" t="s">
        <v>528</v>
      </c>
      <c r="J274" s="10"/>
      <c r="K274" s="117"/>
      <c r="L274" s="120"/>
      <c r="M274" s="122">
        <f t="shared" si="52"/>
        <v>116948.23</v>
      </c>
      <c r="N274" s="116">
        <f t="shared" si="53"/>
        <v>116948.23</v>
      </c>
      <c r="O274" s="123">
        <f t="shared" si="54"/>
        <v>436.37399253731343</v>
      </c>
      <c r="P274" s="5"/>
      <c r="Q274" s="5">
        <f t="shared" si="55"/>
        <v>1</v>
      </c>
      <c r="R274" s="7">
        <f t="shared" si="56"/>
        <v>268</v>
      </c>
      <c r="S274" s="5">
        <f t="shared" si="57"/>
        <v>0</v>
      </c>
      <c r="T274" s="7">
        <f t="shared" si="58"/>
        <v>0</v>
      </c>
    </row>
    <row r="275" spans="1:20">
      <c r="A275" s="23" t="s">
        <v>308</v>
      </c>
      <c r="B275" s="35" t="s">
        <v>300</v>
      </c>
      <c r="C275" s="36">
        <v>228</v>
      </c>
      <c r="D275" s="6"/>
      <c r="E275" s="113">
        <v>128932348</v>
      </c>
      <c r="F275" s="116">
        <f t="shared" si="49"/>
        <v>565492.75438596494</v>
      </c>
      <c r="G275" s="117">
        <v>103281847</v>
      </c>
      <c r="H275" s="117">
        <f t="shared" si="50"/>
        <v>452990.55701754388</v>
      </c>
      <c r="I275" s="7"/>
      <c r="J275" s="10">
        <v>6.4359000000000002</v>
      </c>
      <c r="K275" s="117">
        <v>664711</v>
      </c>
      <c r="L275" s="120">
        <f t="shared" ref="L275:L306" si="59">(K275/C275)</f>
        <v>2915.3991228070176</v>
      </c>
      <c r="M275" s="122">
        <f t="shared" si="52"/>
        <v>1032818.47</v>
      </c>
      <c r="N275" s="116">
        <f t="shared" si="53"/>
        <v>368107.47</v>
      </c>
      <c r="O275" s="123">
        <f t="shared" si="54"/>
        <v>1614.5064473684208</v>
      </c>
      <c r="P275" s="5"/>
      <c r="Q275" s="5">
        <f t="shared" si="55"/>
        <v>1</v>
      </c>
      <c r="R275" s="7">
        <f t="shared" si="56"/>
        <v>228</v>
      </c>
      <c r="S275" s="5">
        <f t="shared" si="57"/>
        <v>1</v>
      </c>
      <c r="T275" s="7">
        <f t="shared" si="58"/>
        <v>228</v>
      </c>
    </row>
    <row r="276" spans="1:20">
      <c r="A276" s="23" t="s">
        <v>309</v>
      </c>
      <c r="B276" s="35" t="s">
        <v>300</v>
      </c>
      <c r="C276" s="36">
        <v>29883</v>
      </c>
      <c r="D276" s="6"/>
      <c r="E276" s="113">
        <v>1457055900</v>
      </c>
      <c r="F276" s="116">
        <f t="shared" si="49"/>
        <v>48758.688886657968</v>
      </c>
      <c r="G276" s="117">
        <v>1052736724</v>
      </c>
      <c r="H276" s="117">
        <f t="shared" si="50"/>
        <v>35228.615734698658</v>
      </c>
      <c r="I276" s="9"/>
      <c r="J276" s="11">
        <v>5.4065000000000003</v>
      </c>
      <c r="K276" s="117">
        <v>5691621</v>
      </c>
      <c r="L276" s="120">
        <f t="shared" si="59"/>
        <v>190.46350767995182</v>
      </c>
      <c r="M276" s="122">
        <f t="shared" si="52"/>
        <v>10527367.24</v>
      </c>
      <c r="N276" s="116">
        <f t="shared" si="53"/>
        <v>4835746.24</v>
      </c>
      <c r="O276" s="123">
        <f t="shared" si="54"/>
        <v>161.82264966703477</v>
      </c>
      <c r="P276" s="5"/>
      <c r="Q276" s="5">
        <f t="shared" si="55"/>
        <v>1</v>
      </c>
      <c r="R276" s="7">
        <f t="shared" si="56"/>
        <v>29883</v>
      </c>
      <c r="S276" s="5">
        <f t="shared" si="57"/>
        <v>1</v>
      </c>
      <c r="T276" s="7">
        <f t="shared" si="58"/>
        <v>29883</v>
      </c>
    </row>
    <row r="277" spans="1:20">
      <c r="A277" s="23" t="s">
        <v>310</v>
      </c>
      <c r="B277" s="35" t="s">
        <v>300</v>
      </c>
      <c r="C277" s="36">
        <v>720</v>
      </c>
      <c r="D277" s="6"/>
      <c r="E277" s="113">
        <v>583370571</v>
      </c>
      <c r="F277" s="116">
        <f t="shared" si="49"/>
        <v>810236.90416666667</v>
      </c>
      <c r="G277" s="117">
        <v>489397243</v>
      </c>
      <c r="H277" s="117">
        <f t="shared" si="50"/>
        <v>679718.39305555553</v>
      </c>
      <c r="I277" s="7"/>
      <c r="J277" s="10">
        <v>3.6377000000000002</v>
      </c>
      <c r="K277" s="117">
        <v>1780280</v>
      </c>
      <c r="L277" s="120">
        <f t="shared" si="59"/>
        <v>2472.6111111111113</v>
      </c>
      <c r="M277" s="122">
        <f t="shared" si="52"/>
        <v>4893972.43</v>
      </c>
      <c r="N277" s="116">
        <f t="shared" si="53"/>
        <v>3113692.4299999997</v>
      </c>
      <c r="O277" s="123">
        <f t="shared" si="54"/>
        <v>4324.5728194444437</v>
      </c>
      <c r="P277" s="5"/>
      <c r="Q277" s="5">
        <f t="shared" si="55"/>
        <v>1</v>
      </c>
      <c r="R277" s="7">
        <f t="shared" si="56"/>
        <v>720</v>
      </c>
      <c r="S277" s="5">
        <f t="shared" si="57"/>
        <v>1</v>
      </c>
      <c r="T277" s="7">
        <f t="shared" si="58"/>
        <v>720</v>
      </c>
    </row>
    <row r="278" spans="1:20">
      <c r="A278" s="23" t="s">
        <v>311</v>
      </c>
      <c r="B278" s="35" t="s">
        <v>300</v>
      </c>
      <c r="C278" s="36">
        <v>1502</v>
      </c>
      <c r="D278" s="6"/>
      <c r="E278" s="113">
        <v>79037472</v>
      </c>
      <c r="F278" s="116">
        <f t="shared" si="49"/>
        <v>52621.486018641808</v>
      </c>
      <c r="G278" s="117">
        <v>54481479</v>
      </c>
      <c r="H278" s="117">
        <f t="shared" si="50"/>
        <v>36272.622503328894</v>
      </c>
      <c r="I278" s="7"/>
      <c r="J278" s="12">
        <v>4.7854000000000001</v>
      </c>
      <c r="K278" s="117">
        <v>260715</v>
      </c>
      <c r="L278" s="120">
        <f t="shared" si="59"/>
        <v>173.57856191744341</v>
      </c>
      <c r="M278" s="122">
        <f t="shared" si="52"/>
        <v>544814.79</v>
      </c>
      <c r="N278" s="116">
        <f t="shared" si="53"/>
        <v>284099.79000000004</v>
      </c>
      <c r="O278" s="123">
        <f t="shared" si="54"/>
        <v>189.14766311584557</v>
      </c>
      <c r="P278" s="5"/>
      <c r="Q278" s="5">
        <f t="shared" si="55"/>
        <v>1</v>
      </c>
      <c r="R278" s="7">
        <f t="shared" si="56"/>
        <v>1502</v>
      </c>
      <c r="S278" s="5">
        <f t="shared" si="57"/>
        <v>1</v>
      </c>
      <c r="T278" s="7">
        <f t="shared" si="58"/>
        <v>1502</v>
      </c>
    </row>
    <row r="279" spans="1:20">
      <c r="A279" s="23" t="s">
        <v>312</v>
      </c>
      <c r="B279" s="35" t="s">
        <v>300</v>
      </c>
      <c r="C279" s="36">
        <v>3994</v>
      </c>
      <c r="D279" s="6"/>
      <c r="E279" s="113">
        <v>1542246322</v>
      </c>
      <c r="F279" s="116">
        <f t="shared" si="49"/>
        <v>386140.79168753128</v>
      </c>
      <c r="G279" s="117">
        <v>1356599854</v>
      </c>
      <c r="H279" s="117">
        <f t="shared" si="50"/>
        <v>339659.45267901855</v>
      </c>
      <c r="I279" s="7"/>
      <c r="J279" s="10">
        <v>3.5024000000000002</v>
      </c>
      <c r="K279" s="117">
        <v>4751355</v>
      </c>
      <c r="L279" s="120">
        <f t="shared" si="59"/>
        <v>1189.6231847771658</v>
      </c>
      <c r="M279" s="122">
        <f t="shared" si="52"/>
        <v>13565998.540000001</v>
      </c>
      <c r="N279" s="116">
        <f t="shared" si="53"/>
        <v>8814643.540000001</v>
      </c>
      <c r="O279" s="123">
        <f t="shared" si="54"/>
        <v>2206.9713420130197</v>
      </c>
      <c r="P279" s="5"/>
      <c r="Q279" s="5">
        <f t="shared" si="55"/>
        <v>1</v>
      </c>
      <c r="R279" s="7">
        <f t="shared" si="56"/>
        <v>3994</v>
      </c>
      <c r="S279" s="5">
        <f t="shared" si="57"/>
        <v>1</v>
      </c>
      <c r="T279" s="7">
        <f t="shared" si="58"/>
        <v>3994</v>
      </c>
    </row>
    <row r="280" spans="1:20">
      <c r="A280" s="23" t="s">
        <v>313</v>
      </c>
      <c r="B280" s="35" t="s">
        <v>300</v>
      </c>
      <c r="C280" s="36">
        <v>2433</v>
      </c>
      <c r="D280" s="6"/>
      <c r="E280" s="113">
        <v>264556990</v>
      </c>
      <c r="F280" s="116">
        <f t="shared" si="49"/>
        <v>108736.94615700781</v>
      </c>
      <c r="G280" s="117">
        <v>219092955</v>
      </c>
      <c r="H280" s="117">
        <f t="shared" si="50"/>
        <v>90050.536374845862</v>
      </c>
      <c r="I280" s="7"/>
      <c r="J280" s="10">
        <v>3.1</v>
      </c>
      <c r="K280" s="117">
        <v>679188</v>
      </c>
      <c r="L280" s="120">
        <f t="shared" si="59"/>
        <v>279.15659679408139</v>
      </c>
      <c r="M280" s="122">
        <f t="shared" si="52"/>
        <v>2190929.5499999998</v>
      </c>
      <c r="N280" s="116">
        <f t="shared" si="53"/>
        <v>1511741.5499999998</v>
      </c>
      <c r="O280" s="123">
        <f t="shared" si="54"/>
        <v>621.3487669543772</v>
      </c>
      <c r="P280" s="5"/>
      <c r="Q280" s="5">
        <f t="shared" si="55"/>
        <v>1</v>
      </c>
      <c r="R280" s="7">
        <f t="shared" si="56"/>
        <v>2433</v>
      </c>
      <c r="S280" s="5">
        <f t="shared" si="57"/>
        <v>1</v>
      </c>
      <c r="T280" s="7">
        <f t="shared" si="58"/>
        <v>2433</v>
      </c>
    </row>
    <row r="281" spans="1:20">
      <c r="A281" s="23" t="s">
        <v>314</v>
      </c>
      <c r="B281" s="35" t="s">
        <v>300</v>
      </c>
      <c r="C281" s="36">
        <v>3506</v>
      </c>
      <c r="D281" s="6"/>
      <c r="E281" s="113">
        <v>828706531</v>
      </c>
      <c r="F281" s="116">
        <f t="shared" si="49"/>
        <v>236368.09212778095</v>
      </c>
      <c r="G281" s="117">
        <v>700058644</v>
      </c>
      <c r="H281" s="117">
        <f t="shared" si="50"/>
        <v>199674.45636052481</v>
      </c>
      <c r="I281" s="7"/>
      <c r="J281" s="10">
        <v>2.6194999999999999</v>
      </c>
      <c r="K281" s="117">
        <v>1833803</v>
      </c>
      <c r="L281" s="120">
        <f t="shared" si="59"/>
        <v>523.04706217912155</v>
      </c>
      <c r="M281" s="122">
        <f t="shared" si="52"/>
        <v>7000586.4400000004</v>
      </c>
      <c r="N281" s="116">
        <f t="shared" si="53"/>
        <v>5166783.4400000004</v>
      </c>
      <c r="O281" s="123">
        <f t="shared" si="54"/>
        <v>1473.6975014261268</v>
      </c>
      <c r="P281" s="5"/>
      <c r="Q281" s="5">
        <f t="shared" si="55"/>
        <v>1</v>
      </c>
      <c r="R281" s="7">
        <f t="shared" si="56"/>
        <v>3506</v>
      </c>
      <c r="S281" s="5">
        <f t="shared" si="57"/>
        <v>1</v>
      </c>
      <c r="T281" s="7">
        <f t="shared" si="58"/>
        <v>3506</v>
      </c>
    </row>
    <row r="282" spans="1:20">
      <c r="A282" s="23" t="s">
        <v>315</v>
      </c>
      <c r="B282" s="35" t="s">
        <v>300</v>
      </c>
      <c r="C282" s="36">
        <v>44087</v>
      </c>
      <c r="D282" s="6"/>
      <c r="E282" s="113">
        <v>6467059812</v>
      </c>
      <c r="F282" s="116">
        <f t="shared" si="49"/>
        <v>146688.58874498151</v>
      </c>
      <c r="G282" s="117">
        <v>5005422625</v>
      </c>
      <c r="H282" s="117">
        <f t="shared" si="50"/>
        <v>113535.11522671083</v>
      </c>
      <c r="I282" s="7"/>
      <c r="J282" s="10">
        <v>2.6194999999999999</v>
      </c>
      <c r="K282" s="117">
        <v>13111704</v>
      </c>
      <c r="L282" s="120">
        <f t="shared" si="59"/>
        <v>297.40522149386442</v>
      </c>
      <c r="M282" s="122">
        <f t="shared" si="52"/>
        <v>50054226.25</v>
      </c>
      <c r="N282" s="116">
        <f t="shared" si="53"/>
        <v>36942522.25</v>
      </c>
      <c r="O282" s="123">
        <f t="shared" si="54"/>
        <v>837.94593077324384</v>
      </c>
      <c r="P282" s="5"/>
      <c r="Q282" s="5">
        <f t="shared" si="55"/>
        <v>1</v>
      </c>
      <c r="R282" s="7">
        <f t="shared" si="56"/>
        <v>44087</v>
      </c>
      <c r="S282" s="5">
        <f t="shared" si="57"/>
        <v>1</v>
      </c>
      <c r="T282" s="7">
        <f t="shared" si="58"/>
        <v>44087</v>
      </c>
    </row>
    <row r="283" spans="1:20">
      <c r="A283" s="23" t="s">
        <v>316</v>
      </c>
      <c r="B283" s="35" t="s">
        <v>300</v>
      </c>
      <c r="C283" s="36">
        <v>382</v>
      </c>
      <c r="D283" s="6"/>
      <c r="E283" s="113">
        <v>219427370</v>
      </c>
      <c r="F283" s="116">
        <f t="shared" si="49"/>
        <v>574417.19895287952</v>
      </c>
      <c r="G283" s="117">
        <v>168126886</v>
      </c>
      <c r="H283" s="117">
        <f t="shared" si="50"/>
        <v>440122.73821989528</v>
      </c>
      <c r="I283" s="7"/>
      <c r="J283" s="10">
        <v>4.4367999999999999</v>
      </c>
      <c r="K283" s="117">
        <v>745945</v>
      </c>
      <c r="L283" s="120">
        <f t="shared" si="59"/>
        <v>1952.7356020942409</v>
      </c>
      <c r="M283" s="122">
        <f t="shared" si="52"/>
        <v>1681268.86</v>
      </c>
      <c r="N283" s="116">
        <f t="shared" si="53"/>
        <v>935323.8600000001</v>
      </c>
      <c r="O283" s="123">
        <f t="shared" si="54"/>
        <v>2448.4917801047122</v>
      </c>
      <c r="P283" s="5"/>
      <c r="Q283" s="5">
        <f t="shared" si="55"/>
        <v>1</v>
      </c>
      <c r="R283" s="7">
        <f t="shared" si="56"/>
        <v>382</v>
      </c>
      <c r="S283" s="5">
        <f t="shared" si="57"/>
        <v>1</v>
      </c>
      <c r="T283" s="7">
        <f t="shared" si="58"/>
        <v>382</v>
      </c>
    </row>
    <row r="284" spans="1:20">
      <c r="A284" s="23" t="s">
        <v>317</v>
      </c>
      <c r="B284" s="35" t="s">
        <v>300</v>
      </c>
      <c r="C284" s="36">
        <v>3463</v>
      </c>
      <c r="D284" s="6"/>
      <c r="E284" s="113">
        <v>262110925</v>
      </c>
      <c r="F284" s="116">
        <f t="shared" si="49"/>
        <v>75688.976321108872</v>
      </c>
      <c r="G284" s="117">
        <v>176748084</v>
      </c>
      <c r="H284" s="117">
        <f t="shared" si="50"/>
        <v>51039.007796708058</v>
      </c>
      <c r="I284" s="7"/>
      <c r="J284" s="10">
        <v>5.3163999999999998</v>
      </c>
      <c r="K284" s="117">
        <v>939663</v>
      </c>
      <c r="L284" s="120">
        <f t="shared" si="59"/>
        <v>271.34363268842043</v>
      </c>
      <c r="M284" s="122">
        <f t="shared" si="52"/>
        <v>1767480.84</v>
      </c>
      <c r="N284" s="116">
        <f t="shared" si="53"/>
        <v>827817.84000000008</v>
      </c>
      <c r="O284" s="123">
        <f t="shared" si="54"/>
        <v>239.04644527866014</v>
      </c>
      <c r="P284" s="5"/>
      <c r="Q284" s="5">
        <f t="shared" si="55"/>
        <v>1</v>
      </c>
      <c r="R284" s="7">
        <f t="shared" si="56"/>
        <v>3463</v>
      </c>
      <c r="S284" s="5">
        <f t="shared" si="57"/>
        <v>1</v>
      </c>
      <c r="T284" s="7">
        <f t="shared" si="58"/>
        <v>3463</v>
      </c>
    </row>
    <row r="285" spans="1:20">
      <c r="A285" s="23" t="s">
        <v>318</v>
      </c>
      <c r="B285" s="35" t="s">
        <v>300</v>
      </c>
      <c r="C285" s="36">
        <v>8749</v>
      </c>
      <c r="D285" s="6"/>
      <c r="E285" s="113">
        <v>446454404</v>
      </c>
      <c r="F285" s="116">
        <f t="shared" si="49"/>
        <v>51029.1923648417</v>
      </c>
      <c r="G285" s="117">
        <v>351910685</v>
      </c>
      <c r="H285" s="117">
        <f t="shared" si="50"/>
        <v>40222.960909818263</v>
      </c>
      <c r="I285" s="7"/>
      <c r="J285" s="10">
        <v>8.35</v>
      </c>
      <c r="K285" s="117">
        <v>2938454</v>
      </c>
      <c r="L285" s="120">
        <f t="shared" si="59"/>
        <v>335.86169847982626</v>
      </c>
      <c r="M285" s="122">
        <f t="shared" si="52"/>
        <v>3519106.85</v>
      </c>
      <c r="N285" s="116">
        <f t="shared" si="53"/>
        <v>580652.85000000009</v>
      </c>
      <c r="O285" s="123">
        <f t="shared" si="54"/>
        <v>66.36791061835639</v>
      </c>
      <c r="P285" s="5"/>
      <c r="Q285" s="5">
        <f t="shared" si="55"/>
        <v>1</v>
      </c>
      <c r="R285" s="7">
        <f t="shared" si="56"/>
        <v>8749</v>
      </c>
      <c r="S285" s="5">
        <f t="shared" si="57"/>
        <v>1</v>
      </c>
      <c r="T285" s="7">
        <f t="shared" si="58"/>
        <v>8749</v>
      </c>
    </row>
    <row r="286" spans="1:20">
      <c r="A286" s="24" t="s">
        <v>628</v>
      </c>
      <c r="B286" s="35" t="s">
        <v>300</v>
      </c>
      <c r="C286" s="36">
        <v>35371</v>
      </c>
      <c r="D286" s="6"/>
      <c r="E286" s="113">
        <v>1577905025</v>
      </c>
      <c r="F286" s="116">
        <f t="shared" ref="F286:F349" si="60">(E286/C286)</f>
        <v>44610.133301292022</v>
      </c>
      <c r="G286" s="117">
        <v>1038091143</v>
      </c>
      <c r="H286" s="117">
        <f t="shared" ref="H286:H349" si="61">(G286/C286)</f>
        <v>29348.651239716153</v>
      </c>
      <c r="I286" s="7"/>
      <c r="J286" s="10">
        <v>8.4</v>
      </c>
      <c r="K286" s="117">
        <v>8719965</v>
      </c>
      <c r="L286" s="120">
        <f t="shared" si="59"/>
        <v>246.52865341664076</v>
      </c>
      <c r="M286" s="122">
        <f t="shared" si="52"/>
        <v>10380911.43</v>
      </c>
      <c r="N286" s="116">
        <f t="shared" si="53"/>
        <v>1660946.4299999997</v>
      </c>
      <c r="O286" s="123">
        <f t="shared" si="54"/>
        <v>46.957858980520754</v>
      </c>
      <c r="P286" s="5"/>
      <c r="Q286" s="5">
        <f t="shared" si="55"/>
        <v>1</v>
      </c>
      <c r="R286" s="7">
        <f t="shared" si="56"/>
        <v>35371</v>
      </c>
      <c r="S286" s="5">
        <f t="shared" si="57"/>
        <v>1</v>
      </c>
      <c r="T286" s="7">
        <f t="shared" si="58"/>
        <v>35371</v>
      </c>
    </row>
    <row r="287" spans="1:20">
      <c r="A287" s="23" t="s">
        <v>319</v>
      </c>
      <c r="B287" s="35" t="s">
        <v>300</v>
      </c>
      <c r="C287" s="36">
        <v>9501</v>
      </c>
      <c r="D287" s="6"/>
      <c r="E287" s="113">
        <v>784047579</v>
      </c>
      <c r="F287" s="116">
        <f t="shared" si="60"/>
        <v>82522.637511840861</v>
      </c>
      <c r="G287" s="117">
        <v>561244622</v>
      </c>
      <c r="H287" s="117">
        <f t="shared" si="61"/>
        <v>59072.163140722027</v>
      </c>
      <c r="I287" s="7"/>
      <c r="J287" s="10">
        <v>7.3318000000000003</v>
      </c>
      <c r="K287" s="117">
        <v>4114933</v>
      </c>
      <c r="L287" s="120">
        <f t="shared" si="59"/>
        <v>433.10525207872854</v>
      </c>
      <c r="M287" s="122">
        <f t="shared" si="52"/>
        <v>5612446.2199999997</v>
      </c>
      <c r="N287" s="116">
        <f t="shared" si="53"/>
        <v>1497513.2199999997</v>
      </c>
      <c r="O287" s="123">
        <f t="shared" si="54"/>
        <v>157.61637932849172</v>
      </c>
      <c r="P287" s="5"/>
      <c r="Q287" s="5">
        <f t="shared" si="55"/>
        <v>1</v>
      </c>
      <c r="R287" s="7">
        <f t="shared" si="56"/>
        <v>9501</v>
      </c>
      <c r="S287" s="5">
        <f t="shared" si="57"/>
        <v>1</v>
      </c>
      <c r="T287" s="7">
        <f t="shared" si="58"/>
        <v>9501</v>
      </c>
    </row>
    <row r="288" spans="1:20">
      <c r="A288" s="23" t="s">
        <v>320</v>
      </c>
      <c r="B288" s="35" t="s">
        <v>300</v>
      </c>
      <c r="C288" s="36">
        <v>321</v>
      </c>
      <c r="D288" s="6"/>
      <c r="E288" s="113">
        <v>687761816</v>
      </c>
      <c r="F288" s="116">
        <f t="shared" si="60"/>
        <v>2142560.1744548287</v>
      </c>
      <c r="G288" s="117">
        <v>635296836</v>
      </c>
      <c r="H288" s="117">
        <f t="shared" si="61"/>
        <v>1979117.8691588785</v>
      </c>
      <c r="I288" s="7"/>
      <c r="J288" s="10">
        <v>3.3460000000000001</v>
      </c>
      <c r="K288" s="117">
        <v>2125703</v>
      </c>
      <c r="L288" s="120">
        <f t="shared" si="59"/>
        <v>6622.1277258566979</v>
      </c>
      <c r="M288" s="122">
        <f t="shared" si="52"/>
        <v>6352968.3600000003</v>
      </c>
      <c r="N288" s="116">
        <f t="shared" si="53"/>
        <v>4227265.3600000003</v>
      </c>
      <c r="O288" s="123">
        <f t="shared" si="54"/>
        <v>13169.050965732089</v>
      </c>
      <c r="P288" s="5"/>
      <c r="Q288" s="5">
        <f t="shared" si="55"/>
        <v>1</v>
      </c>
      <c r="R288" s="7">
        <f t="shared" si="56"/>
        <v>321</v>
      </c>
      <c r="S288" s="5">
        <f t="shared" si="57"/>
        <v>1</v>
      </c>
      <c r="T288" s="7">
        <f t="shared" si="58"/>
        <v>321</v>
      </c>
    </row>
    <row r="289" spans="1:20">
      <c r="A289" s="23" t="s">
        <v>321</v>
      </c>
      <c r="B289" s="35" t="s">
        <v>300</v>
      </c>
      <c r="C289" s="36">
        <v>2338</v>
      </c>
      <c r="D289" s="6"/>
      <c r="E289" s="113">
        <v>156485854</v>
      </c>
      <c r="F289" s="116">
        <f t="shared" si="60"/>
        <v>66931.502994011971</v>
      </c>
      <c r="G289" s="117">
        <v>134764143</v>
      </c>
      <c r="H289" s="117">
        <f t="shared" si="61"/>
        <v>57640.779726261761</v>
      </c>
      <c r="I289" s="7"/>
      <c r="J289" s="10">
        <v>8.99</v>
      </c>
      <c r="K289" s="117">
        <v>1211529</v>
      </c>
      <c r="L289" s="120">
        <f t="shared" si="59"/>
        <v>518.19033361847733</v>
      </c>
      <c r="M289" s="122">
        <f t="shared" si="52"/>
        <v>1347641.43</v>
      </c>
      <c r="N289" s="116">
        <f t="shared" si="53"/>
        <v>136112.42999999993</v>
      </c>
      <c r="O289" s="123">
        <f t="shared" si="54"/>
        <v>58.21746364414026</v>
      </c>
      <c r="P289" s="5"/>
      <c r="Q289" s="5">
        <f t="shared" si="55"/>
        <v>1</v>
      </c>
      <c r="R289" s="7">
        <f t="shared" si="56"/>
        <v>2338</v>
      </c>
      <c r="S289" s="5">
        <f t="shared" si="57"/>
        <v>1</v>
      </c>
      <c r="T289" s="7">
        <f t="shared" si="58"/>
        <v>2338</v>
      </c>
    </row>
    <row r="290" spans="1:20">
      <c r="A290" s="23" t="s">
        <v>322</v>
      </c>
      <c r="B290" s="35" t="s">
        <v>300</v>
      </c>
      <c r="C290" s="36">
        <v>12339</v>
      </c>
      <c r="D290" s="6"/>
      <c r="E290" s="113">
        <v>1749350491</v>
      </c>
      <c r="F290" s="116">
        <f t="shared" si="60"/>
        <v>141774.08955344843</v>
      </c>
      <c r="G290" s="117">
        <v>1286285779</v>
      </c>
      <c r="H290" s="117">
        <f t="shared" si="61"/>
        <v>104245.5449388119</v>
      </c>
      <c r="I290" s="7"/>
      <c r="J290" s="10">
        <v>6.8</v>
      </c>
      <c r="K290" s="117">
        <v>8746743</v>
      </c>
      <c r="L290" s="120">
        <f t="shared" si="59"/>
        <v>708.86968149769029</v>
      </c>
      <c r="M290" s="122">
        <f t="shared" si="52"/>
        <v>12862857.790000001</v>
      </c>
      <c r="N290" s="116">
        <f t="shared" si="53"/>
        <v>4116114.790000001</v>
      </c>
      <c r="O290" s="123">
        <f t="shared" si="54"/>
        <v>333.58576789042883</v>
      </c>
      <c r="P290" s="5"/>
      <c r="Q290" s="5">
        <f t="shared" si="55"/>
        <v>1</v>
      </c>
      <c r="R290" s="7">
        <f t="shared" si="56"/>
        <v>12339</v>
      </c>
      <c r="S290" s="5">
        <f t="shared" si="57"/>
        <v>1</v>
      </c>
      <c r="T290" s="7">
        <f t="shared" si="58"/>
        <v>12339</v>
      </c>
    </row>
    <row r="291" spans="1:20">
      <c r="A291" s="23" t="s">
        <v>323</v>
      </c>
      <c r="B291" s="35" t="s">
        <v>300</v>
      </c>
      <c r="C291" s="36">
        <v>1657</v>
      </c>
      <c r="D291" s="6"/>
      <c r="E291" s="113">
        <v>619763373</v>
      </c>
      <c r="F291" s="116">
        <f t="shared" si="60"/>
        <v>374027.38261919131</v>
      </c>
      <c r="G291" s="117">
        <v>515853275</v>
      </c>
      <c r="H291" s="117">
        <f t="shared" si="61"/>
        <v>311317.60712130356</v>
      </c>
      <c r="I291" s="7"/>
      <c r="J291" s="10">
        <v>8.75</v>
      </c>
      <c r="K291" s="117">
        <v>4513716</v>
      </c>
      <c r="L291" s="120">
        <f t="shared" si="59"/>
        <v>2724.0289680144838</v>
      </c>
      <c r="M291" s="122">
        <f t="shared" si="52"/>
        <v>5158532.75</v>
      </c>
      <c r="N291" s="116">
        <f t="shared" si="53"/>
        <v>644816.75</v>
      </c>
      <c r="O291" s="123">
        <f t="shared" si="54"/>
        <v>389.14710319855158</v>
      </c>
      <c r="P291" s="5"/>
      <c r="Q291" s="5">
        <f t="shared" si="55"/>
        <v>1</v>
      </c>
      <c r="R291" s="7">
        <f t="shared" si="56"/>
        <v>1657</v>
      </c>
      <c r="S291" s="5">
        <f t="shared" si="57"/>
        <v>1</v>
      </c>
      <c r="T291" s="7">
        <f t="shared" si="58"/>
        <v>1657</v>
      </c>
    </row>
    <row r="292" spans="1:20">
      <c r="A292" s="23" t="s">
        <v>324</v>
      </c>
      <c r="B292" s="35" t="s">
        <v>300</v>
      </c>
      <c r="C292" s="36">
        <v>6114</v>
      </c>
      <c r="D292" s="6"/>
      <c r="E292" s="113">
        <v>152370381</v>
      </c>
      <c r="F292" s="116">
        <f t="shared" si="60"/>
        <v>24921.553974484788</v>
      </c>
      <c r="G292" s="117">
        <v>67353077</v>
      </c>
      <c r="H292" s="117">
        <f t="shared" si="61"/>
        <v>11016.204939483154</v>
      </c>
      <c r="I292" s="7"/>
      <c r="J292" s="10">
        <v>8.75</v>
      </c>
      <c r="K292" s="117">
        <v>589339</v>
      </c>
      <c r="L292" s="120">
        <f t="shared" si="59"/>
        <v>96.391723912332353</v>
      </c>
      <c r="M292" s="122">
        <f t="shared" si="52"/>
        <v>673530.77</v>
      </c>
      <c r="N292" s="116">
        <f t="shared" si="53"/>
        <v>84191.770000000019</v>
      </c>
      <c r="O292" s="123">
        <f t="shared" si="54"/>
        <v>13.770325482499185</v>
      </c>
      <c r="P292" s="5"/>
      <c r="Q292" s="5">
        <f t="shared" si="55"/>
        <v>1</v>
      </c>
      <c r="R292" s="7">
        <f t="shared" si="56"/>
        <v>6114</v>
      </c>
      <c r="S292" s="5">
        <f t="shared" si="57"/>
        <v>1</v>
      </c>
      <c r="T292" s="7">
        <f t="shared" si="58"/>
        <v>6114</v>
      </c>
    </row>
    <row r="293" spans="1:20">
      <c r="A293" s="23" t="s">
        <v>300</v>
      </c>
      <c r="B293" s="35" t="s">
        <v>300</v>
      </c>
      <c r="C293" s="36">
        <v>9682</v>
      </c>
      <c r="D293" s="6"/>
      <c r="E293" s="113">
        <v>10118596096</v>
      </c>
      <c r="F293" s="116">
        <f t="shared" si="60"/>
        <v>1045093.5856228052</v>
      </c>
      <c r="G293" s="117">
        <v>8419304581</v>
      </c>
      <c r="H293" s="117">
        <f t="shared" si="61"/>
        <v>869583.20398677955</v>
      </c>
      <c r="I293" s="7"/>
      <c r="J293" s="10">
        <v>3.9767999999999999</v>
      </c>
      <c r="K293" s="117">
        <v>33481890</v>
      </c>
      <c r="L293" s="120">
        <f t="shared" si="59"/>
        <v>3458.158438339186</v>
      </c>
      <c r="M293" s="122">
        <f t="shared" si="52"/>
        <v>84193045.810000002</v>
      </c>
      <c r="N293" s="116">
        <f t="shared" si="53"/>
        <v>50711155.810000002</v>
      </c>
      <c r="O293" s="123">
        <f t="shared" si="54"/>
        <v>5237.6736015286097</v>
      </c>
      <c r="P293" s="5"/>
      <c r="Q293" s="5">
        <f t="shared" si="55"/>
        <v>1</v>
      </c>
      <c r="R293" s="7">
        <f t="shared" si="56"/>
        <v>9682</v>
      </c>
      <c r="S293" s="5">
        <f t="shared" si="57"/>
        <v>1</v>
      </c>
      <c r="T293" s="7">
        <f t="shared" si="58"/>
        <v>9682</v>
      </c>
    </row>
    <row r="294" spans="1:20">
      <c r="A294" s="23" t="s">
        <v>325</v>
      </c>
      <c r="B294" s="35" t="s">
        <v>300</v>
      </c>
      <c r="C294" s="36">
        <v>39423</v>
      </c>
      <c r="D294" s="6"/>
      <c r="E294" s="113">
        <v>6428809190</v>
      </c>
      <c r="F294" s="116">
        <f t="shared" si="60"/>
        <v>163072.55130253913</v>
      </c>
      <c r="G294" s="117">
        <v>5272436090</v>
      </c>
      <c r="H294" s="117">
        <f t="shared" si="61"/>
        <v>133740.10323922583</v>
      </c>
      <c r="I294" s="7"/>
      <c r="J294" s="10">
        <v>5.7450000000000001</v>
      </c>
      <c r="K294" s="117">
        <v>30290145</v>
      </c>
      <c r="L294" s="120">
        <f t="shared" si="59"/>
        <v>768.33688455977472</v>
      </c>
      <c r="M294" s="122">
        <f t="shared" si="52"/>
        <v>52724360.899999999</v>
      </c>
      <c r="N294" s="116">
        <f t="shared" si="53"/>
        <v>22434215.899999999</v>
      </c>
      <c r="O294" s="123">
        <f t="shared" si="54"/>
        <v>569.06414783248351</v>
      </c>
      <c r="P294" s="5"/>
      <c r="Q294" s="5">
        <f t="shared" si="55"/>
        <v>1</v>
      </c>
      <c r="R294" s="7">
        <f t="shared" si="56"/>
        <v>39423</v>
      </c>
      <c r="S294" s="5">
        <f t="shared" si="57"/>
        <v>1</v>
      </c>
      <c r="T294" s="7">
        <f t="shared" si="58"/>
        <v>39423</v>
      </c>
    </row>
    <row r="295" spans="1:20">
      <c r="A295" s="23" t="s">
        <v>326</v>
      </c>
      <c r="B295" s="35" t="s">
        <v>300</v>
      </c>
      <c r="C295" s="36">
        <v>1345</v>
      </c>
      <c r="D295" s="6"/>
      <c r="E295" s="113">
        <v>392741728</v>
      </c>
      <c r="F295" s="116">
        <f t="shared" si="60"/>
        <v>292001.28475836432</v>
      </c>
      <c r="G295" s="117">
        <v>358022277</v>
      </c>
      <c r="H295" s="117">
        <f t="shared" si="61"/>
        <v>266187.56654275092</v>
      </c>
      <c r="I295" s="7"/>
      <c r="J295" s="10">
        <v>6.35</v>
      </c>
      <c r="K295" s="117">
        <v>2273441</v>
      </c>
      <c r="L295" s="120">
        <f t="shared" si="59"/>
        <v>1690.2907063197026</v>
      </c>
      <c r="M295" s="122">
        <f t="shared" si="52"/>
        <v>3580222.77</v>
      </c>
      <c r="N295" s="116">
        <f t="shared" si="53"/>
        <v>1306781.77</v>
      </c>
      <c r="O295" s="123">
        <f t="shared" si="54"/>
        <v>971.58495910780675</v>
      </c>
      <c r="P295" s="5"/>
      <c r="Q295" s="5">
        <f t="shared" si="55"/>
        <v>1</v>
      </c>
      <c r="R295" s="7">
        <f t="shared" si="56"/>
        <v>1345</v>
      </c>
      <c r="S295" s="5">
        <f t="shared" si="57"/>
        <v>1</v>
      </c>
      <c r="T295" s="7">
        <f t="shared" si="58"/>
        <v>1345</v>
      </c>
    </row>
    <row r="296" spans="1:20">
      <c r="A296" s="23" t="s">
        <v>327</v>
      </c>
      <c r="B296" s="35" t="s">
        <v>300</v>
      </c>
      <c r="C296" s="36">
        <v>12944</v>
      </c>
      <c r="D296" s="6"/>
      <c r="E296" s="113">
        <v>560122845</v>
      </c>
      <c r="F296" s="116">
        <f t="shared" si="60"/>
        <v>43272.778507416566</v>
      </c>
      <c r="G296" s="117">
        <v>380363972</v>
      </c>
      <c r="H296" s="117">
        <f t="shared" si="61"/>
        <v>29385.350123609394</v>
      </c>
      <c r="I296" s="9"/>
      <c r="J296" s="10">
        <v>4.8739999999999997</v>
      </c>
      <c r="K296" s="117">
        <v>1853894</v>
      </c>
      <c r="L296" s="120">
        <f t="shared" si="59"/>
        <v>143.22419653893695</v>
      </c>
      <c r="M296" s="122">
        <f t="shared" si="52"/>
        <v>3803639.72</v>
      </c>
      <c r="N296" s="116">
        <f t="shared" si="53"/>
        <v>1949745.7200000002</v>
      </c>
      <c r="O296" s="123">
        <f t="shared" si="54"/>
        <v>150.62930469715701</v>
      </c>
      <c r="P296" s="5"/>
      <c r="Q296" s="5">
        <f t="shared" si="55"/>
        <v>1</v>
      </c>
      <c r="R296" s="7">
        <f t="shared" si="56"/>
        <v>12944</v>
      </c>
      <c r="S296" s="5">
        <f t="shared" si="57"/>
        <v>1</v>
      </c>
      <c r="T296" s="7">
        <f t="shared" si="58"/>
        <v>12944</v>
      </c>
    </row>
    <row r="297" spans="1:20">
      <c r="A297" s="23" t="s">
        <v>328</v>
      </c>
      <c r="B297" s="35" t="s">
        <v>300</v>
      </c>
      <c r="C297" s="36">
        <v>31223</v>
      </c>
      <c r="D297" s="6"/>
      <c r="E297" s="113">
        <v>2737511456</v>
      </c>
      <c r="F297" s="116">
        <f t="shared" si="60"/>
        <v>87676.118758607437</v>
      </c>
      <c r="G297" s="117">
        <v>2016728396</v>
      </c>
      <c r="H297" s="117">
        <f t="shared" si="61"/>
        <v>64591.115395701883</v>
      </c>
      <c r="I297" s="7"/>
      <c r="J297" s="10">
        <v>9.5</v>
      </c>
      <c r="K297" s="117">
        <v>19158919</v>
      </c>
      <c r="L297" s="120">
        <f t="shared" si="59"/>
        <v>613.61557185408196</v>
      </c>
      <c r="M297" s="122">
        <f t="shared" si="52"/>
        <v>20167283.960000001</v>
      </c>
      <c r="N297" s="116">
        <f t="shared" si="53"/>
        <v>1008364.9600000009</v>
      </c>
      <c r="O297" s="123">
        <f t="shared" si="54"/>
        <v>32.295582102936969</v>
      </c>
      <c r="P297" s="5"/>
      <c r="Q297" s="5">
        <f t="shared" si="55"/>
        <v>1</v>
      </c>
      <c r="R297" s="7">
        <f t="shared" si="56"/>
        <v>31223</v>
      </c>
      <c r="S297" s="5">
        <f t="shared" si="57"/>
        <v>1</v>
      </c>
      <c r="T297" s="7">
        <f t="shared" si="58"/>
        <v>31223</v>
      </c>
    </row>
    <row r="298" spans="1:20">
      <c r="A298" s="23" t="s">
        <v>329</v>
      </c>
      <c r="B298" s="35" t="s">
        <v>300</v>
      </c>
      <c r="C298" s="36">
        <v>27212</v>
      </c>
      <c r="D298" s="6"/>
      <c r="E298" s="113">
        <v>1872355003</v>
      </c>
      <c r="F298" s="116">
        <f t="shared" si="60"/>
        <v>68806.2253050125</v>
      </c>
      <c r="G298" s="117">
        <v>1403109347</v>
      </c>
      <c r="H298" s="117">
        <f t="shared" si="61"/>
        <v>51562.154453917392</v>
      </c>
      <c r="I298" s="7"/>
      <c r="J298" s="10">
        <v>5.99</v>
      </c>
      <c r="K298" s="117">
        <v>8404624</v>
      </c>
      <c r="L298" s="120">
        <f t="shared" si="59"/>
        <v>308.8572688519771</v>
      </c>
      <c r="M298" s="122">
        <f t="shared" si="52"/>
        <v>14031093.470000001</v>
      </c>
      <c r="N298" s="116">
        <f t="shared" si="53"/>
        <v>5626469.4700000007</v>
      </c>
      <c r="O298" s="123">
        <f t="shared" si="54"/>
        <v>206.76427568719686</v>
      </c>
      <c r="P298" s="5"/>
      <c r="Q298" s="5">
        <f t="shared" si="55"/>
        <v>1</v>
      </c>
      <c r="R298" s="7">
        <f t="shared" si="56"/>
        <v>27212</v>
      </c>
      <c r="S298" s="5">
        <f t="shared" si="57"/>
        <v>1</v>
      </c>
      <c r="T298" s="7">
        <f t="shared" si="58"/>
        <v>27212</v>
      </c>
    </row>
    <row r="299" spans="1:20">
      <c r="A299" s="23" t="s">
        <v>330</v>
      </c>
      <c r="B299" s="35" t="s">
        <v>300</v>
      </c>
      <c r="C299" s="36">
        <v>4087</v>
      </c>
      <c r="D299" s="6"/>
      <c r="E299" s="113">
        <v>101803251</v>
      </c>
      <c r="F299" s="116">
        <f t="shared" si="60"/>
        <v>24909.041105945682</v>
      </c>
      <c r="G299" s="117">
        <v>40480983</v>
      </c>
      <c r="H299" s="117">
        <f t="shared" si="61"/>
        <v>9904.8160019574261</v>
      </c>
      <c r="I299" s="7"/>
      <c r="J299" s="10">
        <v>9.2888999999999999</v>
      </c>
      <c r="K299" s="117">
        <v>376023</v>
      </c>
      <c r="L299" s="120">
        <f t="shared" si="59"/>
        <v>92.004648886713966</v>
      </c>
      <c r="M299" s="122">
        <f t="shared" si="52"/>
        <v>404809.83</v>
      </c>
      <c r="N299" s="116">
        <f t="shared" si="53"/>
        <v>28786.830000000016</v>
      </c>
      <c r="O299" s="123">
        <f t="shared" si="54"/>
        <v>7.0435111328602931</v>
      </c>
      <c r="P299" s="5"/>
      <c r="Q299" s="5">
        <f t="shared" si="55"/>
        <v>1</v>
      </c>
      <c r="R299" s="7">
        <f t="shared" si="56"/>
        <v>4087</v>
      </c>
      <c r="S299" s="5">
        <f t="shared" si="57"/>
        <v>1</v>
      </c>
      <c r="T299" s="7">
        <f t="shared" si="58"/>
        <v>4087</v>
      </c>
    </row>
    <row r="300" spans="1:20">
      <c r="A300" s="23" t="s">
        <v>331</v>
      </c>
      <c r="B300" s="35" t="s">
        <v>300</v>
      </c>
      <c r="C300" s="36">
        <v>1533</v>
      </c>
      <c r="D300" s="6"/>
      <c r="E300" s="113">
        <v>263368448</v>
      </c>
      <c r="F300" s="116">
        <f t="shared" si="60"/>
        <v>171799.3789954338</v>
      </c>
      <c r="G300" s="117">
        <v>218806512</v>
      </c>
      <c r="H300" s="117">
        <f t="shared" si="61"/>
        <v>142730.92759295498</v>
      </c>
      <c r="I300" s="7"/>
      <c r="J300" s="10">
        <v>6.5</v>
      </c>
      <c r="K300" s="117">
        <v>1422242</v>
      </c>
      <c r="L300" s="120">
        <f t="shared" si="59"/>
        <v>927.750815394651</v>
      </c>
      <c r="M300" s="122">
        <f t="shared" si="52"/>
        <v>2188065.12</v>
      </c>
      <c r="N300" s="116">
        <f t="shared" si="53"/>
        <v>765823.12000000011</v>
      </c>
      <c r="O300" s="123">
        <f t="shared" si="54"/>
        <v>499.55846053489898</v>
      </c>
      <c r="P300" s="5"/>
      <c r="Q300" s="5">
        <f t="shared" si="55"/>
        <v>1</v>
      </c>
      <c r="R300" s="7">
        <f t="shared" si="56"/>
        <v>1533</v>
      </c>
      <c r="S300" s="5">
        <f t="shared" si="57"/>
        <v>1</v>
      </c>
      <c r="T300" s="7">
        <f t="shared" si="58"/>
        <v>1533</v>
      </c>
    </row>
    <row r="301" spans="1:20">
      <c r="A301" s="23" t="s">
        <v>332</v>
      </c>
      <c r="B301" s="35" t="s">
        <v>300</v>
      </c>
      <c r="C301" s="36">
        <v>5333</v>
      </c>
      <c r="D301" s="6"/>
      <c r="E301" s="113">
        <v>812163930</v>
      </c>
      <c r="F301" s="116">
        <f t="shared" si="60"/>
        <v>152290.25501593848</v>
      </c>
      <c r="G301" s="117">
        <v>603285310</v>
      </c>
      <c r="H301" s="117">
        <f t="shared" si="61"/>
        <v>113123.06581661354</v>
      </c>
      <c r="I301" s="7"/>
      <c r="J301" s="10">
        <v>6.4980000000000002</v>
      </c>
      <c r="K301" s="117">
        <v>3920147</v>
      </c>
      <c r="L301" s="120">
        <f t="shared" si="59"/>
        <v>735.0735045940371</v>
      </c>
      <c r="M301" s="122">
        <f t="shared" si="52"/>
        <v>6032853.1000000006</v>
      </c>
      <c r="N301" s="116">
        <f t="shared" si="53"/>
        <v>2112706.1000000006</v>
      </c>
      <c r="O301" s="123">
        <f t="shared" si="54"/>
        <v>396.15715357209837</v>
      </c>
      <c r="P301" s="5"/>
      <c r="Q301" s="5">
        <f t="shared" si="55"/>
        <v>1</v>
      </c>
      <c r="R301" s="7">
        <f t="shared" si="56"/>
        <v>5333</v>
      </c>
      <c r="S301" s="5">
        <f t="shared" si="57"/>
        <v>1</v>
      </c>
      <c r="T301" s="7">
        <f t="shared" si="58"/>
        <v>5333</v>
      </c>
    </row>
    <row r="302" spans="1:20">
      <c r="A302" s="23" t="s">
        <v>333</v>
      </c>
      <c r="B302" s="35" t="s">
        <v>300</v>
      </c>
      <c r="C302" s="36">
        <v>46208</v>
      </c>
      <c r="D302" s="6"/>
      <c r="E302" s="113">
        <v>4454245882</v>
      </c>
      <c r="F302" s="116">
        <f t="shared" si="60"/>
        <v>96395.556656855959</v>
      </c>
      <c r="G302" s="117">
        <v>3580924251</v>
      </c>
      <c r="H302" s="117">
        <f t="shared" si="61"/>
        <v>77495.763742209136</v>
      </c>
      <c r="I302" s="7"/>
      <c r="J302" s="10">
        <v>2.7</v>
      </c>
      <c r="K302" s="117">
        <v>9668495</v>
      </c>
      <c r="L302" s="120">
        <f t="shared" si="59"/>
        <v>209.23855176592798</v>
      </c>
      <c r="M302" s="122">
        <f t="shared" si="52"/>
        <v>35809242.509999998</v>
      </c>
      <c r="N302" s="116">
        <f t="shared" si="53"/>
        <v>26140747.509999998</v>
      </c>
      <c r="O302" s="123">
        <f t="shared" si="54"/>
        <v>565.71908565616343</v>
      </c>
      <c r="P302" s="5"/>
      <c r="Q302" s="5">
        <f t="shared" si="55"/>
        <v>1</v>
      </c>
      <c r="R302" s="7">
        <f t="shared" si="56"/>
        <v>46208</v>
      </c>
      <c r="S302" s="5">
        <f t="shared" si="57"/>
        <v>1</v>
      </c>
      <c r="T302" s="7">
        <f t="shared" si="58"/>
        <v>46208</v>
      </c>
    </row>
    <row r="303" spans="1:20">
      <c r="A303" s="23" t="s">
        <v>334</v>
      </c>
      <c r="B303" s="35" t="s">
        <v>300</v>
      </c>
      <c r="C303" s="36">
        <v>90721</v>
      </c>
      <c r="D303" s="6"/>
      <c r="E303" s="113">
        <v>9138719033</v>
      </c>
      <c r="F303" s="116">
        <f t="shared" si="60"/>
        <v>100734.32868905766</v>
      </c>
      <c r="G303" s="117">
        <v>6763662541</v>
      </c>
      <c r="H303" s="117">
        <f t="shared" si="61"/>
        <v>74554.541296943382</v>
      </c>
      <c r="I303" s="7"/>
      <c r="J303" s="10">
        <v>7.9</v>
      </c>
      <c r="K303" s="117">
        <v>53432934</v>
      </c>
      <c r="L303" s="120">
        <f t="shared" si="59"/>
        <v>588.98087543126724</v>
      </c>
      <c r="M303" s="122">
        <f t="shared" si="52"/>
        <v>67636625.409999996</v>
      </c>
      <c r="N303" s="116">
        <f t="shared" si="53"/>
        <v>14203691.409999996</v>
      </c>
      <c r="O303" s="123">
        <f t="shared" si="54"/>
        <v>156.56453753816643</v>
      </c>
      <c r="P303" s="5"/>
      <c r="Q303" s="5">
        <f t="shared" si="55"/>
        <v>1</v>
      </c>
      <c r="R303" s="7">
        <f t="shared" si="56"/>
        <v>90721</v>
      </c>
      <c r="S303" s="5">
        <f t="shared" si="57"/>
        <v>1</v>
      </c>
      <c r="T303" s="7">
        <f t="shared" si="58"/>
        <v>90721</v>
      </c>
    </row>
    <row r="304" spans="1:20">
      <c r="A304" s="23" t="s">
        <v>335</v>
      </c>
      <c r="B304" s="35" t="s">
        <v>336</v>
      </c>
      <c r="C304" s="36">
        <v>6476</v>
      </c>
      <c r="D304" s="6"/>
      <c r="E304" s="113">
        <v>334498830</v>
      </c>
      <c r="F304" s="116">
        <f t="shared" si="60"/>
        <v>51652.073810994443</v>
      </c>
      <c r="G304" s="117">
        <v>183455805</v>
      </c>
      <c r="H304" s="117">
        <f t="shared" si="61"/>
        <v>28328.567788758493</v>
      </c>
      <c r="I304" s="7"/>
      <c r="J304" s="10">
        <v>9</v>
      </c>
      <c r="K304" s="117">
        <v>1651102</v>
      </c>
      <c r="L304" s="120">
        <f t="shared" si="59"/>
        <v>254.95707226683137</v>
      </c>
      <c r="M304" s="122">
        <f t="shared" si="52"/>
        <v>1834558.05</v>
      </c>
      <c r="N304" s="116">
        <f t="shared" si="53"/>
        <v>183456.05000000005</v>
      </c>
      <c r="O304" s="123">
        <f t="shared" si="54"/>
        <v>28.32860562075356</v>
      </c>
      <c r="P304" s="5"/>
      <c r="Q304" s="5">
        <f t="shared" si="55"/>
        <v>1</v>
      </c>
      <c r="R304" s="7">
        <f t="shared" si="56"/>
        <v>6476</v>
      </c>
      <c r="S304" s="5">
        <f t="shared" si="57"/>
        <v>1</v>
      </c>
      <c r="T304" s="7">
        <f t="shared" si="58"/>
        <v>6476</v>
      </c>
    </row>
    <row r="305" spans="1:20">
      <c r="A305" s="23" t="s">
        <v>337</v>
      </c>
      <c r="B305" s="35" t="s">
        <v>336</v>
      </c>
      <c r="C305" s="36">
        <v>16191</v>
      </c>
      <c r="D305" s="6"/>
      <c r="E305" s="113">
        <v>795740232</v>
      </c>
      <c r="F305" s="116">
        <f t="shared" si="60"/>
        <v>49147.071335927365</v>
      </c>
      <c r="G305" s="117">
        <v>544045349</v>
      </c>
      <c r="H305" s="117">
        <f t="shared" si="61"/>
        <v>33601.713853375331</v>
      </c>
      <c r="I305" s="7"/>
      <c r="J305" s="10">
        <v>7</v>
      </c>
      <c r="K305" s="117">
        <v>3808317</v>
      </c>
      <c r="L305" s="120">
        <f t="shared" si="59"/>
        <v>235.21196961274782</v>
      </c>
      <c r="M305" s="122">
        <f t="shared" si="52"/>
        <v>5440453.4900000002</v>
      </c>
      <c r="N305" s="116">
        <f t="shared" si="53"/>
        <v>1632136.4900000002</v>
      </c>
      <c r="O305" s="123">
        <f t="shared" si="54"/>
        <v>100.80516892100552</v>
      </c>
      <c r="P305" s="5"/>
      <c r="Q305" s="5">
        <f t="shared" si="55"/>
        <v>1</v>
      </c>
      <c r="R305" s="7">
        <f t="shared" si="56"/>
        <v>16191</v>
      </c>
      <c r="S305" s="5">
        <f t="shared" si="57"/>
        <v>1</v>
      </c>
      <c r="T305" s="7">
        <f t="shared" si="58"/>
        <v>16191</v>
      </c>
    </row>
    <row r="306" spans="1:20">
      <c r="A306" s="23" t="s">
        <v>338</v>
      </c>
      <c r="B306" s="35" t="s">
        <v>336</v>
      </c>
      <c r="C306" s="36">
        <v>3139</v>
      </c>
      <c r="D306" s="6"/>
      <c r="E306" s="113">
        <v>268176408</v>
      </c>
      <c r="F306" s="116">
        <f t="shared" si="60"/>
        <v>85433.707550175212</v>
      </c>
      <c r="G306" s="117">
        <v>215442705</v>
      </c>
      <c r="H306" s="117">
        <f t="shared" si="61"/>
        <v>68634.184453647656</v>
      </c>
      <c r="I306" s="7"/>
      <c r="J306" s="10">
        <v>5.82</v>
      </c>
      <c r="K306" s="117">
        <v>1253876</v>
      </c>
      <c r="L306" s="120">
        <f t="shared" si="59"/>
        <v>399.45078050334502</v>
      </c>
      <c r="M306" s="122">
        <f t="shared" si="52"/>
        <v>2154427.0499999998</v>
      </c>
      <c r="N306" s="116">
        <f t="shared" si="53"/>
        <v>900551.04999999981</v>
      </c>
      <c r="O306" s="123">
        <f t="shared" si="54"/>
        <v>286.8910640331315</v>
      </c>
      <c r="P306" s="5"/>
      <c r="Q306" s="5">
        <f t="shared" si="55"/>
        <v>1</v>
      </c>
      <c r="R306" s="7">
        <f t="shared" si="56"/>
        <v>3139</v>
      </c>
      <c r="S306" s="5">
        <f t="shared" si="57"/>
        <v>1</v>
      </c>
      <c r="T306" s="7">
        <f t="shared" si="58"/>
        <v>3139</v>
      </c>
    </row>
    <row r="307" spans="1:20">
      <c r="A307" s="23" t="s">
        <v>339</v>
      </c>
      <c r="B307" s="35" t="s">
        <v>336</v>
      </c>
      <c r="C307" s="36">
        <v>765</v>
      </c>
      <c r="D307" s="6"/>
      <c r="E307" s="113">
        <v>52208726</v>
      </c>
      <c r="F307" s="116">
        <f t="shared" si="60"/>
        <v>68246.700653594773</v>
      </c>
      <c r="G307" s="117">
        <v>29667162</v>
      </c>
      <c r="H307" s="117">
        <f t="shared" si="61"/>
        <v>38780.603921568625</v>
      </c>
      <c r="I307" s="7"/>
      <c r="J307" s="10">
        <v>2.5329999999999999</v>
      </c>
      <c r="K307" s="117">
        <v>75146</v>
      </c>
      <c r="L307" s="120">
        <f t="shared" ref="L307:L338" si="62">(K307/C307)</f>
        <v>98.230065359477123</v>
      </c>
      <c r="M307" s="122">
        <f t="shared" si="52"/>
        <v>296671.62</v>
      </c>
      <c r="N307" s="116">
        <f t="shared" si="53"/>
        <v>221525.62</v>
      </c>
      <c r="O307" s="123">
        <f t="shared" si="54"/>
        <v>289.57597385620915</v>
      </c>
      <c r="P307" s="5"/>
      <c r="Q307" s="5">
        <f t="shared" si="55"/>
        <v>1</v>
      </c>
      <c r="R307" s="7">
        <f t="shared" si="56"/>
        <v>765</v>
      </c>
      <c r="S307" s="5">
        <f t="shared" si="57"/>
        <v>1</v>
      </c>
      <c r="T307" s="7">
        <f t="shared" si="58"/>
        <v>765</v>
      </c>
    </row>
    <row r="308" spans="1:20">
      <c r="A308" s="23" t="s">
        <v>547</v>
      </c>
      <c r="B308" s="35" t="s">
        <v>336</v>
      </c>
      <c r="C308" s="36">
        <v>774</v>
      </c>
      <c r="D308" s="6"/>
      <c r="E308" s="113">
        <v>50451661</v>
      </c>
      <c r="F308" s="116">
        <f t="shared" si="60"/>
        <v>65183.024547803616</v>
      </c>
      <c r="G308" s="117">
        <v>26434139</v>
      </c>
      <c r="H308" s="117">
        <f t="shared" si="61"/>
        <v>34152.634366925064</v>
      </c>
      <c r="I308" s="7"/>
      <c r="J308" s="10">
        <v>3</v>
      </c>
      <c r="K308" s="117">
        <v>79302</v>
      </c>
      <c r="L308" s="120">
        <f t="shared" si="62"/>
        <v>102.45736434108527</v>
      </c>
      <c r="M308" s="122">
        <f t="shared" si="52"/>
        <v>264341.39</v>
      </c>
      <c r="N308" s="116">
        <f t="shared" si="53"/>
        <v>185039.39</v>
      </c>
      <c r="O308" s="123">
        <f t="shared" si="54"/>
        <v>239.0689793281654</v>
      </c>
      <c r="P308" s="5"/>
      <c r="Q308" s="5">
        <f t="shared" si="55"/>
        <v>1</v>
      </c>
      <c r="R308" s="7">
        <f t="shared" si="56"/>
        <v>774</v>
      </c>
      <c r="S308" s="5">
        <f t="shared" si="57"/>
        <v>1</v>
      </c>
      <c r="T308" s="7">
        <f t="shared" si="58"/>
        <v>774</v>
      </c>
    </row>
    <row r="309" spans="1:20">
      <c r="A309" s="23" t="s">
        <v>340</v>
      </c>
      <c r="B309" s="35" t="s">
        <v>336</v>
      </c>
      <c r="C309" s="36">
        <v>11495</v>
      </c>
      <c r="D309" s="6"/>
      <c r="E309" s="113">
        <v>712558082</v>
      </c>
      <c r="F309" s="116">
        <f t="shared" si="60"/>
        <v>61988.523879947803</v>
      </c>
      <c r="G309" s="117">
        <v>465119554</v>
      </c>
      <c r="H309" s="117">
        <f t="shared" si="61"/>
        <v>40462.771117877339</v>
      </c>
      <c r="I309" s="7"/>
      <c r="J309" s="10">
        <v>6.42</v>
      </c>
      <c r="K309" s="117">
        <v>2986067</v>
      </c>
      <c r="L309" s="120">
        <f t="shared" si="62"/>
        <v>259.77094388864725</v>
      </c>
      <c r="M309" s="122">
        <f t="shared" si="52"/>
        <v>4651195.54</v>
      </c>
      <c r="N309" s="116">
        <f t="shared" si="53"/>
        <v>1665128.54</v>
      </c>
      <c r="O309" s="123">
        <f t="shared" si="54"/>
        <v>144.85676729012616</v>
      </c>
      <c r="P309" s="5"/>
      <c r="Q309" s="5">
        <f t="shared" si="55"/>
        <v>1</v>
      </c>
      <c r="R309" s="7">
        <f t="shared" si="56"/>
        <v>11495</v>
      </c>
      <c r="S309" s="5">
        <f t="shared" si="57"/>
        <v>1</v>
      </c>
      <c r="T309" s="7">
        <f t="shared" si="58"/>
        <v>11495</v>
      </c>
    </row>
    <row r="310" spans="1:20">
      <c r="A310" s="23" t="s">
        <v>341</v>
      </c>
      <c r="B310" s="35" t="s">
        <v>342</v>
      </c>
      <c r="C310" s="36">
        <v>4100</v>
      </c>
      <c r="D310" s="6"/>
      <c r="E310" s="113">
        <v>739967220</v>
      </c>
      <c r="F310" s="116">
        <f t="shared" si="60"/>
        <v>180479.80975609756</v>
      </c>
      <c r="G310" s="117">
        <v>551123640</v>
      </c>
      <c r="H310" s="117">
        <f t="shared" si="61"/>
        <v>134420.4</v>
      </c>
      <c r="I310" s="7"/>
      <c r="J310" s="10">
        <v>4.6388999999999996</v>
      </c>
      <c r="K310" s="117">
        <v>2556607</v>
      </c>
      <c r="L310" s="120">
        <f t="shared" si="62"/>
        <v>623.56268292682932</v>
      </c>
      <c r="M310" s="122">
        <f t="shared" si="52"/>
        <v>5511236.4000000004</v>
      </c>
      <c r="N310" s="116">
        <f t="shared" si="53"/>
        <v>2954629.4000000004</v>
      </c>
      <c r="O310" s="123">
        <f t="shared" si="54"/>
        <v>720.64131707317085</v>
      </c>
      <c r="P310" s="5"/>
      <c r="Q310" s="5">
        <f t="shared" si="55"/>
        <v>1</v>
      </c>
      <c r="R310" s="7">
        <f t="shared" si="56"/>
        <v>4100</v>
      </c>
      <c r="S310" s="5">
        <f t="shared" si="57"/>
        <v>1</v>
      </c>
      <c r="T310" s="7">
        <f t="shared" si="58"/>
        <v>4100</v>
      </c>
    </row>
    <row r="311" spans="1:20">
      <c r="A311" s="23" t="s">
        <v>343</v>
      </c>
      <c r="B311" s="35" t="s">
        <v>342</v>
      </c>
      <c r="C311" s="36">
        <v>1622</v>
      </c>
      <c r="D311" s="6"/>
      <c r="E311" s="113">
        <v>424469820</v>
      </c>
      <c r="F311" s="116">
        <f t="shared" si="60"/>
        <v>261695.32675709002</v>
      </c>
      <c r="G311" s="117">
        <v>314647590</v>
      </c>
      <c r="H311" s="117">
        <f t="shared" si="61"/>
        <v>193987.41676942047</v>
      </c>
      <c r="I311" s="7"/>
      <c r="J311" s="10">
        <v>2.4159999999999999</v>
      </c>
      <c r="K311" s="117">
        <v>760188</v>
      </c>
      <c r="L311" s="120">
        <f t="shared" si="62"/>
        <v>468.67324290998766</v>
      </c>
      <c r="M311" s="122">
        <f t="shared" si="52"/>
        <v>3146475.9</v>
      </c>
      <c r="N311" s="116">
        <f t="shared" si="53"/>
        <v>2386287.9</v>
      </c>
      <c r="O311" s="123">
        <f t="shared" si="54"/>
        <v>1471.200924784217</v>
      </c>
      <c r="P311" s="5"/>
      <c r="Q311" s="5">
        <f t="shared" si="55"/>
        <v>1</v>
      </c>
      <c r="R311" s="7">
        <f t="shared" si="56"/>
        <v>1622</v>
      </c>
      <c r="S311" s="5">
        <f t="shared" si="57"/>
        <v>1</v>
      </c>
      <c r="T311" s="7">
        <f t="shared" si="58"/>
        <v>1622</v>
      </c>
    </row>
    <row r="312" spans="1:20">
      <c r="A312" s="23" t="s">
        <v>344</v>
      </c>
      <c r="B312" s="35" t="s">
        <v>342</v>
      </c>
      <c r="C312" s="36">
        <v>2238</v>
      </c>
      <c r="D312" s="6"/>
      <c r="E312" s="113">
        <v>198710750</v>
      </c>
      <c r="F312" s="116">
        <f t="shared" si="60"/>
        <v>88789.432529043785</v>
      </c>
      <c r="G312" s="117">
        <v>147048860</v>
      </c>
      <c r="H312" s="117">
        <f t="shared" si="61"/>
        <v>65705.478105451301</v>
      </c>
      <c r="I312" s="7"/>
      <c r="J312" s="10">
        <v>4.3499999999999996</v>
      </c>
      <c r="K312" s="117">
        <v>639662</v>
      </c>
      <c r="L312" s="120">
        <f t="shared" si="62"/>
        <v>285.81858802502234</v>
      </c>
      <c r="M312" s="122">
        <f t="shared" si="52"/>
        <v>1470488.6</v>
      </c>
      <c r="N312" s="116">
        <f t="shared" si="53"/>
        <v>830826.60000000009</v>
      </c>
      <c r="O312" s="123">
        <f t="shared" si="54"/>
        <v>371.23619302949066</v>
      </c>
      <c r="P312" s="5"/>
      <c r="Q312" s="5">
        <f t="shared" si="55"/>
        <v>1</v>
      </c>
      <c r="R312" s="7">
        <f t="shared" si="56"/>
        <v>2238</v>
      </c>
      <c r="S312" s="5">
        <f t="shared" si="57"/>
        <v>1</v>
      </c>
      <c r="T312" s="7">
        <f t="shared" si="58"/>
        <v>2238</v>
      </c>
    </row>
    <row r="313" spans="1:20">
      <c r="A313" s="23" t="s">
        <v>345</v>
      </c>
      <c r="B313" s="35" t="s">
        <v>342</v>
      </c>
      <c r="C313" s="36">
        <v>72</v>
      </c>
      <c r="D313" s="6"/>
      <c r="E313" s="113">
        <v>92603730</v>
      </c>
      <c r="F313" s="116">
        <f t="shared" si="60"/>
        <v>1286162.9166666667</v>
      </c>
      <c r="G313" s="117">
        <v>73680030</v>
      </c>
      <c r="H313" s="117">
        <f t="shared" si="61"/>
        <v>1023333.75</v>
      </c>
      <c r="I313" s="7"/>
      <c r="J313" s="10">
        <v>1.0075000000000001</v>
      </c>
      <c r="K313" s="117">
        <v>74232</v>
      </c>
      <c r="L313" s="120">
        <f t="shared" si="62"/>
        <v>1031</v>
      </c>
      <c r="M313" s="122">
        <f t="shared" si="52"/>
        <v>736800.3</v>
      </c>
      <c r="N313" s="116">
        <f t="shared" si="53"/>
        <v>662568.30000000005</v>
      </c>
      <c r="O313" s="123">
        <f t="shared" si="54"/>
        <v>9202.3375000000015</v>
      </c>
      <c r="P313" s="5"/>
      <c r="Q313" s="5">
        <f t="shared" si="55"/>
        <v>1</v>
      </c>
      <c r="R313" s="7">
        <f t="shared" si="56"/>
        <v>72</v>
      </c>
      <c r="S313" s="5">
        <f t="shared" si="57"/>
        <v>1</v>
      </c>
      <c r="T313" s="7">
        <f t="shared" si="58"/>
        <v>72</v>
      </c>
    </row>
    <row r="314" spans="1:20">
      <c r="A314" s="23" t="s">
        <v>346</v>
      </c>
      <c r="B314" s="35" t="s">
        <v>342</v>
      </c>
      <c r="C314" s="36">
        <v>110055</v>
      </c>
      <c r="D314" s="6"/>
      <c r="E314" s="113">
        <v>9461860503</v>
      </c>
      <c r="F314" s="116">
        <f t="shared" si="60"/>
        <v>85973.926700286218</v>
      </c>
      <c r="G314" s="117">
        <v>6693265136</v>
      </c>
      <c r="H314" s="117">
        <f t="shared" si="61"/>
        <v>60817.456144654949</v>
      </c>
      <c r="I314" s="7"/>
      <c r="J314" s="10">
        <v>5.75</v>
      </c>
      <c r="K314" s="117">
        <v>38486274</v>
      </c>
      <c r="L314" s="120">
        <f t="shared" si="62"/>
        <v>349.70036799781928</v>
      </c>
      <c r="M314" s="122">
        <f t="shared" si="52"/>
        <v>66932651.359999999</v>
      </c>
      <c r="N314" s="116">
        <f t="shared" si="53"/>
        <v>28446377.359999999</v>
      </c>
      <c r="O314" s="123">
        <f t="shared" si="54"/>
        <v>258.47419344873015</v>
      </c>
      <c r="P314" s="5"/>
      <c r="Q314" s="5">
        <f t="shared" si="55"/>
        <v>1</v>
      </c>
      <c r="R314" s="7">
        <f t="shared" si="56"/>
        <v>110055</v>
      </c>
      <c r="S314" s="5">
        <f t="shared" si="57"/>
        <v>1</v>
      </c>
      <c r="T314" s="7">
        <f t="shared" si="58"/>
        <v>110055</v>
      </c>
    </row>
    <row r="315" spans="1:20">
      <c r="A315" s="23" t="s">
        <v>347</v>
      </c>
      <c r="B315" s="35" t="s">
        <v>342</v>
      </c>
      <c r="C315" s="36">
        <v>37081</v>
      </c>
      <c r="D315" s="6"/>
      <c r="E315" s="113">
        <v>2533204966</v>
      </c>
      <c r="F315" s="116">
        <f t="shared" si="60"/>
        <v>68315.443650386995</v>
      </c>
      <c r="G315" s="117">
        <v>1607701960</v>
      </c>
      <c r="H315" s="117">
        <f t="shared" si="61"/>
        <v>43356.488767832583</v>
      </c>
      <c r="I315" s="7"/>
      <c r="J315" s="10">
        <v>4.4253</v>
      </c>
      <c r="K315" s="117">
        <v>7114563</v>
      </c>
      <c r="L315" s="120">
        <f t="shared" si="62"/>
        <v>191.86545670289365</v>
      </c>
      <c r="M315" s="122">
        <f t="shared" si="52"/>
        <v>16077019.6</v>
      </c>
      <c r="N315" s="116">
        <f t="shared" si="53"/>
        <v>8962456.5999999996</v>
      </c>
      <c r="O315" s="123">
        <f t="shared" si="54"/>
        <v>241.69943097543216</v>
      </c>
      <c r="P315" s="5"/>
      <c r="Q315" s="5">
        <f t="shared" si="55"/>
        <v>1</v>
      </c>
      <c r="R315" s="7">
        <f t="shared" si="56"/>
        <v>37081</v>
      </c>
      <c r="S315" s="5">
        <f t="shared" si="57"/>
        <v>1</v>
      </c>
      <c r="T315" s="7">
        <f t="shared" si="58"/>
        <v>37081</v>
      </c>
    </row>
    <row r="316" spans="1:20">
      <c r="A316" s="23" t="s">
        <v>348</v>
      </c>
      <c r="B316" s="35" t="s">
        <v>342</v>
      </c>
      <c r="C316" s="36">
        <v>12692</v>
      </c>
      <c r="D316" s="6"/>
      <c r="E316" s="113">
        <v>864736320</v>
      </c>
      <c r="F316" s="116">
        <f t="shared" si="60"/>
        <v>68132.392057989287</v>
      </c>
      <c r="G316" s="117">
        <v>558145020</v>
      </c>
      <c r="H316" s="117">
        <f t="shared" si="61"/>
        <v>43976.128269776236</v>
      </c>
      <c r="I316" s="7"/>
      <c r="J316" s="10">
        <v>4.3</v>
      </c>
      <c r="K316" s="117">
        <v>2400023</v>
      </c>
      <c r="L316" s="120">
        <f t="shared" si="62"/>
        <v>189.09730538922156</v>
      </c>
      <c r="M316" s="122">
        <f t="shared" si="52"/>
        <v>5581450.2000000002</v>
      </c>
      <c r="N316" s="116">
        <f t="shared" si="53"/>
        <v>3181427.2</v>
      </c>
      <c r="O316" s="123">
        <f t="shared" si="54"/>
        <v>250.66397730854084</v>
      </c>
      <c r="P316" s="5"/>
      <c r="Q316" s="5">
        <f t="shared" si="55"/>
        <v>1</v>
      </c>
      <c r="R316" s="7">
        <f t="shared" si="56"/>
        <v>12692</v>
      </c>
      <c r="S316" s="5">
        <f t="shared" si="57"/>
        <v>1</v>
      </c>
      <c r="T316" s="7">
        <f t="shared" si="58"/>
        <v>12692</v>
      </c>
    </row>
    <row r="317" spans="1:20">
      <c r="A317" s="23" t="s">
        <v>349</v>
      </c>
      <c r="B317" s="35" t="s">
        <v>342</v>
      </c>
      <c r="C317" s="36">
        <v>5234</v>
      </c>
      <c r="D317" s="6"/>
      <c r="E317" s="113">
        <v>808492630</v>
      </c>
      <c r="F317" s="116">
        <f t="shared" si="60"/>
        <v>154469.35995414597</v>
      </c>
      <c r="G317" s="117">
        <v>640240760</v>
      </c>
      <c r="H317" s="117">
        <f t="shared" si="61"/>
        <v>122323.41612533435</v>
      </c>
      <c r="I317" s="7"/>
      <c r="J317" s="10">
        <v>2.3925999999999998</v>
      </c>
      <c r="K317" s="117">
        <v>1531840</v>
      </c>
      <c r="L317" s="120">
        <f t="shared" si="62"/>
        <v>292.67099732518153</v>
      </c>
      <c r="M317" s="122">
        <f t="shared" si="52"/>
        <v>6402407.6000000006</v>
      </c>
      <c r="N317" s="116">
        <f t="shared" si="53"/>
        <v>4870567.6000000006</v>
      </c>
      <c r="O317" s="123">
        <f t="shared" si="54"/>
        <v>930.56316392816211</v>
      </c>
      <c r="P317" s="5"/>
      <c r="Q317" s="5">
        <f t="shared" si="55"/>
        <v>1</v>
      </c>
      <c r="R317" s="7">
        <f t="shared" si="56"/>
        <v>5234</v>
      </c>
      <c r="S317" s="5">
        <f t="shared" si="57"/>
        <v>1</v>
      </c>
      <c r="T317" s="7">
        <f t="shared" si="58"/>
        <v>5234</v>
      </c>
    </row>
    <row r="318" spans="1:20">
      <c r="A318" s="23" t="s">
        <v>350</v>
      </c>
      <c r="B318" s="35" t="s">
        <v>342</v>
      </c>
      <c r="C318" s="36">
        <v>1756</v>
      </c>
      <c r="D318" s="6"/>
      <c r="E318" s="113">
        <v>621491930</v>
      </c>
      <c r="F318" s="116">
        <f t="shared" si="60"/>
        <v>353924.78929384967</v>
      </c>
      <c r="G318" s="117">
        <v>551444650</v>
      </c>
      <c r="H318" s="117">
        <f t="shared" si="61"/>
        <v>314034.53872437356</v>
      </c>
      <c r="I318" s="7"/>
      <c r="J318" s="10">
        <v>1.1712</v>
      </c>
      <c r="K318" s="117">
        <v>645851</v>
      </c>
      <c r="L318" s="120">
        <f t="shared" si="62"/>
        <v>367.79669703872435</v>
      </c>
      <c r="M318" s="122">
        <f t="shared" si="52"/>
        <v>5514446.5</v>
      </c>
      <c r="N318" s="116">
        <f t="shared" si="53"/>
        <v>4868595.5</v>
      </c>
      <c r="O318" s="123">
        <f t="shared" si="54"/>
        <v>2772.5486902050116</v>
      </c>
      <c r="P318" s="5"/>
      <c r="Q318" s="5">
        <f t="shared" si="55"/>
        <v>1</v>
      </c>
      <c r="R318" s="7">
        <f t="shared" si="56"/>
        <v>1756</v>
      </c>
      <c r="S318" s="5">
        <f t="shared" si="57"/>
        <v>1</v>
      </c>
      <c r="T318" s="7">
        <f t="shared" si="58"/>
        <v>1756</v>
      </c>
    </row>
    <row r="319" spans="1:20">
      <c r="A319" s="23" t="s">
        <v>351</v>
      </c>
      <c r="B319" s="35" t="s">
        <v>342</v>
      </c>
      <c r="C319" s="36">
        <v>4502</v>
      </c>
      <c r="D319" s="6"/>
      <c r="E319" s="113">
        <v>188914450</v>
      </c>
      <c r="F319" s="116">
        <f t="shared" si="60"/>
        <v>41962.338960462017</v>
      </c>
      <c r="G319" s="117">
        <v>117247770</v>
      </c>
      <c r="H319" s="117">
        <f t="shared" si="61"/>
        <v>26043.485117725457</v>
      </c>
      <c r="I319" s="7"/>
      <c r="J319" s="10">
        <v>3.754</v>
      </c>
      <c r="K319" s="117">
        <v>440148</v>
      </c>
      <c r="L319" s="120">
        <f t="shared" si="62"/>
        <v>97.76721457130165</v>
      </c>
      <c r="M319" s="122">
        <f t="shared" si="52"/>
        <v>1172477.7</v>
      </c>
      <c r="N319" s="116">
        <f t="shared" si="53"/>
        <v>732329.7</v>
      </c>
      <c r="O319" s="123">
        <f t="shared" si="54"/>
        <v>162.66763660595291</v>
      </c>
      <c r="P319" s="5"/>
      <c r="Q319" s="5">
        <f t="shared" si="55"/>
        <v>1</v>
      </c>
      <c r="R319" s="7">
        <f t="shared" si="56"/>
        <v>4502</v>
      </c>
      <c r="S319" s="5">
        <f t="shared" si="57"/>
        <v>1</v>
      </c>
      <c r="T319" s="7">
        <f t="shared" si="58"/>
        <v>4502</v>
      </c>
    </row>
    <row r="320" spans="1:20">
      <c r="A320" s="23" t="s">
        <v>352</v>
      </c>
      <c r="B320" s="35" t="s">
        <v>342</v>
      </c>
      <c r="C320" s="36">
        <v>71752</v>
      </c>
      <c r="D320" s="6"/>
      <c r="E320" s="113">
        <v>3918857976</v>
      </c>
      <c r="F320" s="116">
        <f t="shared" si="60"/>
        <v>54616.707213736205</v>
      </c>
      <c r="G320" s="117">
        <v>2840161146</v>
      </c>
      <c r="H320" s="117">
        <f t="shared" si="61"/>
        <v>39583.024110826176</v>
      </c>
      <c r="I320" s="7"/>
      <c r="J320" s="10">
        <v>3.75</v>
      </c>
      <c r="K320" s="117">
        <v>10650604</v>
      </c>
      <c r="L320" s="120">
        <f t="shared" si="62"/>
        <v>148.43633626937228</v>
      </c>
      <c r="M320" s="122">
        <f t="shared" si="52"/>
        <v>28401611.460000001</v>
      </c>
      <c r="N320" s="116">
        <f t="shared" si="53"/>
        <v>17751007.460000001</v>
      </c>
      <c r="O320" s="123">
        <f t="shared" si="54"/>
        <v>247.39390483888951</v>
      </c>
      <c r="P320" s="5"/>
      <c r="Q320" s="5">
        <f t="shared" si="55"/>
        <v>1</v>
      </c>
      <c r="R320" s="7">
        <f t="shared" si="56"/>
        <v>71752</v>
      </c>
      <c r="S320" s="5">
        <f t="shared" si="57"/>
        <v>1</v>
      </c>
      <c r="T320" s="7">
        <f t="shared" si="58"/>
        <v>71752</v>
      </c>
    </row>
    <row r="321" spans="1:20">
      <c r="A321" s="23" t="s">
        <v>353</v>
      </c>
      <c r="B321" s="35" t="s">
        <v>342</v>
      </c>
      <c r="C321" s="36">
        <v>4529</v>
      </c>
      <c r="D321" s="6"/>
      <c r="E321" s="113">
        <v>882464420</v>
      </c>
      <c r="F321" s="116">
        <f t="shared" si="60"/>
        <v>194847.52042393465</v>
      </c>
      <c r="G321" s="117">
        <v>702720830</v>
      </c>
      <c r="H321" s="117">
        <f t="shared" si="61"/>
        <v>155160.2627511592</v>
      </c>
      <c r="I321" s="7"/>
      <c r="J321" s="10">
        <v>2.2000000000000002</v>
      </c>
      <c r="K321" s="117">
        <v>1545985</v>
      </c>
      <c r="L321" s="120">
        <f t="shared" si="62"/>
        <v>341.35239567233384</v>
      </c>
      <c r="M321" s="122">
        <f t="shared" si="52"/>
        <v>7027208.2999999998</v>
      </c>
      <c r="N321" s="116">
        <f t="shared" si="53"/>
        <v>5481223.2999999998</v>
      </c>
      <c r="O321" s="123">
        <f t="shared" si="54"/>
        <v>1210.250231839258</v>
      </c>
      <c r="P321" s="5"/>
      <c r="Q321" s="5">
        <f t="shared" si="55"/>
        <v>1</v>
      </c>
      <c r="R321" s="7">
        <f t="shared" si="56"/>
        <v>4529</v>
      </c>
      <c r="S321" s="5">
        <f t="shared" si="57"/>
        <v>1</v>
      </c>
      <c r="T321" s="7">
        <f t="shared" si="58"/>
        <v>4529</v>
      </c>
    </row>
    <row r="322" spans="1:20">
      <c r="A322" s="23" t="s">
        <v>354</v>
      </c>
      <c r="B322" s="35" t="s">
        <v>342</v>
      </c>
      <c r="C322" s="36">
        <v>1555</v>
      </c>
      <c r="D322" s="6"/>
      <c r="E322" s="113">
        <v>371242030</v>
      </c>
      <c r="F322" s="116">
        <f t="shared" si="60"/>
        <v>238740.85530546625</v>
      </c>
      <c r="G322" s="117">
        <v>311176080</v>
      </c>
      <c r="H322" s="117">
        <f t="shared" si="61"/>
        <v>200113.2347266881</v>
      </c>
      <c r="I322" s="7"/>
      <c r="J322" s="10">
        <v>1</v>
      </c>
      <c r="K322" s="117">
        <v>311176</v>
      </c>
      <c r="L322" s="120">
        <f t="shared" si="62"/>
        <v>200.11318327974277</v>
      </c>
      <c r="M322" s="122">
        <f t="shared" si="52"/>
        <v>3111760.8000000003</v>
      </c>
      <c r="N322" s="116">
        <f t="shared" si="53"/>
        <v>2800584.8000000003</v>
      </c>
      <c r="O322" s="123">
        <f t="shared" si="54"/>
        <v>1801.0191639871384</v>
      </c>
      <c r="P322" s="5"/>
      <c r="Q322" s="5">
        <f t="shared" si="55"/>
        <v>1</v>
      </c>
      <c r="R322" s="7">
        <f t="shared" si="56"/>
        <v>1555</v>
      </c>
      <c r="S322" s="5">
        <f t="shared" si="57"/>
        <v>1</v>
      </c>
      <c r="T322" s="7">
        <f t="shared" si="58"/>
        <v>1555</v>
      </c>
    </row>
    <row r="323" spans="1:20">
      <c r="A323" s="23" t="s">
        <v>355</v>
      </c>
      <c r="B323" s="35" t="s">
        <v>342</v>
      </c>
      <c r="C323" s="36">
        <v>13518</v>
      </c>
      <c r="D323" s="6"/>
      <c r="E323" s="113">
        <v>1000490518</v>
      </c>
      <c r="F323" s="116">
        <f t="shared" si="60"/>
        <v>74011.726438822312</v>
      </c>
      <c r="G323" s="117">
        <v>759975132</v>
      </c>
      <c r="H323" s="117">
        <f t="shared" si="61"/>
        <v>56219.494895694632</v>
      </c>
      <c r="I323" s="7"/>
      <c r="J323" s="10">
        <v>4.6500000000000004</v>
      </c>
      <c r="K323" s="117">
        <v>3533884</v>
      </c>
      <c r="L323" s="120">
        <f t="shared" si="62"/>
        <v>261.42062435271492</v>
      </c>
      <c r="M323" s="122">
        <f t="shared" si="52"/>
        <v>7599751.3200000003</v>
      </c>
      <c r="N323" s="116">
        <f t="shared" si="53"/>
        <v>4065867.3200000003</v>
      </c>
      <c r="O323" s="123">
        <f t="shared" si="54"/>
        <v>300.77432460423142</v>
      </c>
      <c r="P323" s="5"/>
      <c r="Q323" s="5">
        <f t="shared" si="55"/>
        <v>1</v>
      </c>
      <c r="R323" s="7">
        <f t="shared" si="56"/>
        <v>13518</v>
      </c>
      <c r="S323" s="5">
        <f t="shared" si="57"/>
        <v>1</v>
      </c>
      <c r="T323" s="7">
        <f t="shared" si="58"/>
        <v>13518</v>
      </c>
    </row>
    <row r="324" spans="1:20">
      <c r="A324" s="23" t="s">
        <v>356</v>
      </c>
      <c r="B324" s="35" t="s">
        <v>342</v>
      </c>
      <c r="C324" s="36">
        <v>46642</v>
      </c>
      <c r="D324" s="6"/>
      <c r="E324" s="113">
        <v>3142291751</v>
      </c>
      <c r="F324" s="116">
        <f t="shared" si="60"/>
        <v>67370.433321898716</v>
      </c>
      <c r="G324" s="117">
        <v>2342238176</v>
      </c>
      <c r="H324" s="117">
        <f t="shared" si="61"/>
        <v>50217.361519660393</v>
      </c>
      <c r="I324" s="7"/>
      <c r="J324" s="10">
        <v>5.0788000000000002</v>
      </c>
      <c r="K324" s="117">
        <v>11895759</v>
      </c>
      <c r="L324" s="120">
        <f t="shared" si="62"/>
        <v>255.04393036319198</v>
      </c>
      <c r="M324" s="122">
        <f t="shared" si="52"/>
        <v>23422381.760000002</v>
      </c>
      <c r="N324" s="116">
        <f t="shared" si="53"/>
        <v>11526622.760000002</v>
      </c>
      <c r="O324" s="123">
        <f t="shared" si="54"/>
        <v>247.12968483341197</v>
      </c>
      <c r="P324" s="5"/>
      <c r="Q324" s="5">
        <f t="shared" si="55"/>
        <v>1</v>
      </c>
      <c r="R324" s="7">
        <f t="shared" si="56"/>
        <v>46642</v>
      </c>
      <c r="S324" s="5">
        <f t="shared" si="57"/>
        <v>1</v>
      </c>
      <c r="T324" s="7">
        <f t="shared" si="58"/>
        <v>46642</v>
      </c>
    </row>
    <row r="325" spans="1:20">
      <c r="A325" s="23" t="s">
        <v>357</v>
      </c>
      <c r="B325" s="35" t="s">
        <v>342</v>
      </c>
      <c r="C325" s="36">
        <v>1590</v>
      </c>
      <c r="D325" s="6"/>
      <c r="E325" s="113">
        <v>305633010</v>
      </c>
      <c r="F325" s="116">
        <f t="shared" si="60"/>
        <v>192222.01886792452</v>
      </c>
      <c r="G325" s="117">
        <v>218186210</v>
      </c>
      <c r="H325" s="117">
        <f t="shared" si="61"/>
        <v>137224.03144654087</v>
      </c>
      <c r="I325" s="7"/>
      <c r="J325" s="10">
        <v>2.2559999999999998</v>
      </c>
      <c r="K325" s="117">
        <v>492228</v>
      </c>
      <c r="L325" s="120">
        <f t="shared" si="62"/>
        <v>309.57735849056604</v>
      </c>
      <c r="M325" s="122">
        <f t="shared" si="52"/>
        <v>2181862.1</v>
      </c>
      <c r="N325" s="116">
        <f t="shared" si="53"/>
        <v>1689634.1</v>
      </c>
      <c r="O325" s="123">
        <f t="shared" si="54"/>
        <v>1062.6629559748428</v>
      </c>
      <c r="P325" s="5"/>
      <c r="Q325" s="5">
        <f t="shared" si="55"/>
        <v>1</v>
      </c>
      <c r="R325" s="7">
        <f t="shared" si="56"/>
        <v>1590</v>
      </c>
      <c r="S325" s="5">
        <f t="shared" si="57"/>
        <v>1</v>
      </c>
      <c r="T325" s="7">
        <f t="shared" si="58"/>
        <v>1590</v>
      </c>
    </row>
    <row r="326" spans="1:20">
      <c r="A326" s="23" t="s">
        <v>358</v>
      </c>
      <c r="B326" s="35" t="s">
        <v>342</v>
      </c>
      <c r="C326" s="36">
        <v>2342</v>
      </c>
      <c r="D326" s="6"/>
      <c r="E326" s="113">
        <v>425485760</v>
      </c>
      <c r="F326" s="116">
        <f t="shared" si="60"/>
        <v>181676.24252775405</v>
      </c>
      <c r="G326" s="117">
        <v>329794260</v>
      </c>
      <c r="H326" s="117">
        <f t="shared" si="61"/>
        <v>140817.3612297182</v>
      </c>
      <c r="I326" s="7"/>
      <c r="J326" s="10">
        <v>1.68</v>
      </c>
      <c r="K326" s="117">
        <v>554054</v>
      </c>
      <c r="L326" s="120">
        <f t="shared" si="62"/>
        <v>236.57301451750641</v>
      </c>
      <c r="M326" s="122">
        <f t="shared" ref="M326:M389" si="63">(G326*0.01)</f>
        <v>3297942.6</v>
      </c>
      <c r="N326" s="116">
        <f t="shared" ref="N326:N389" si="64">(M326-K326)</f>
        <v>2743888.6</v>
      </c>
      <c r="O326" s="123">
        <f t="shared" ref="O326:O389" si="65">(N326/C326)</f>
        <v>1171.6005977796756</v>
      </c>
      <c r="P326" s="5"/>
      <c r="Q326" s="5">
        <f t="shared" si="55"/>
        <v>1</v>
      </c>
      <c r="R326" s="7">
        <f t="shared" si="56"/>
        <v>2342</v>
      </c>
      <c r="S326" s="5">
        <f t="shared" si="57"/>
        <v>1</v>
      </c>
      <c r="T326" s="7">
        <f t="shared" si="58"/>
        <v>2342</v>
      </c>
    </row>
    <row r="327" spans="1:20">
      <c r="A327" s="23" t="s">
        <v>359</v>
      </c>
      <c r="B327" s="35" t="s">
        <v>342</v>
      </c>
      <c r="C327" s="36">
        <v>17602</v>
      </c>
      <c r="D327" s="6"/>
      <c r="E327" s="113">
        <v>1340199132</v>
      </c>
      <c r="F327" s="116">
        <f t="shared" si="60"/>
        <v>76139.025792523578</v>
      </c>
      <c r="G327" s="117">
        <v>891321442</v>
      </c>
      <c r="H327" s="117">
        <f t="shared" si="61"/>
        <v>50637.509487558229</v>
      </c>
      <c r="I327" s="7"/>
      <c r="J327" s="10">
        <v>2.9668000000000001</v>
      </c>
      <c r="K327" s="117">
        <v>2644372</v>
      </c>
      <c r="L327" s="120">
        <f t="shared" si="62"/>
        <v>150.23133734802863</v>
      </c>
      <c r="M327" s="122">
        <f t="shared" si="63"/>
        <v>8913214.4199999999</v>
      </c>
      <c r="N327" s="116">
        <f t="shared" si="64"/>
        <v>6268842.4199999999</v>
      </c>
      <c r="O327" s="123">
        <f t="shared" si="65"/>
        <v>356.1437575275537</v>
      </c>
      <c r="P327" s="5"/>
      <c r="Q327" s="5">
        <f t="shared" ref="Q327:Q390" si="66">IF(E327&gt;0,1,0)</f>
        <v>1</v>
      </c>
      <c r="R327" s="7">
        <f t="shared" ref="R327:R390" si="67">IF(E327&gt;0,C327,0)</f>
        <v>17602</v>
      </c>
      <c r="S327" s="5">
        <f t="shared" ref="S327:S390" si="68">IF(J327&gt;0,1,0)</f>
        <v>1</v>
      </c>
      <c r="T327" s="7">
        <f t="shared" ref="T327:T390" si="69">IF(J327&gt;0,C327,0)</f>
        <v>17602</v>
      </c>
    </row>
    <row r="328" spans="1:20">
      <c r="A328" s="23" t="s">
        <v>360</v>
      </c>
      <c r="B328" s="35" t="s">
        <v>342</v>
      </c>
      <c r="C328" s="36">
        <v>17647</v>
      </c>
      <c r="D328" s="6"/>
      <c r="E328" s="113">
        <v>1262345030</v>
      </c>
      <c r="F328" s="116">
        <f t="shared" si="60"/>
        <v>71533.123477078261</v>
      </c>
      <c r="G328" s="117">
        <v>883613700</v>
      </c>
      <c r="H328" s="117">
        <f t="shared" si="61"/>
        <v>50071.609905366349</v>
      </c>
      <c r="I328" s="7"/>
      <c r="J328" s="10">
        <v>2.9396</v>
      </c>
      <c r="K328" s="117">
        <v>2597470</v>
      </c>
      <c r="L328" s="120">
        <f t="shared" si="62"/>
        <v>147.19045730152433</v>
      </c>
      <c r="M328" s="122">
        <f t="shared" si="63"/>
        <v>8836137</v>
      </c>
      <c r="N328" s="116">
        <f t="shared" si="64"/>
        <v>6238667</v>
      </c>
      <c r="O328" s="123">
        <f t="shared" si="65"/>
        <v>353.52564175213917</v>
      </c>
      <c r="P328" s="5"/>
      <c r="Q328" s="5">
        <f t="shared" si="66"/>
        <v>1</v>
      </c>
      <c r="R328" s="7">
        <f t="shared" si="67"/>
        <v>17647</v>
      </c>
      <c r="S328" s="5">
        <f t="shared" si="68"/>
        <v>1</v>
      </c>
      <c r="T328" s="7">
        <f t="shared" si="69"/>
        <v>17647</v>
      </c>
    </row>
    <row r="329" spans="1:20">
      <c r="A329" s="23" t="s">
        <v>361</v>
      </c>
      <c r="B329" s="35" t="s">
        <v>342</v>
      </c>
      <c r="C329" s="36">
        <v>5826</v>
      </c>
      <c r="D329" s="6"/>
      <c r="E329" s="113">
        <v>520242230</v>
      </c>
      <c r="F329" s="116">
        <f t="shared" si="60"/>
        <v>89296.640920013728</v>
      </c>
      <c r="G329" s="117">
        <v>388490750</v>
      </c>
      <c r="H329" s="117">
        <f t="shared" si="61"/>
        <v>66682.24339169242</v>
      </c>
      <c r="I329" s="7"/>
      <c r="J329" s="10">
        <v>1.5408999999999999</v>
      </c>
      <c r="K329" s="117">
        <v>598625</v>
      </c>
      <c r="L329" s="120">
        <f t="shared" si="62"/>
        <v>102.75060075523515</v>
      </c>
      <c r="M329" s="122">
        <f t="shared" si="63"/>
        <v>3884907.5</v>
      </c>
      <c r="N329" s="116">
        <f t="shared" si="64"/>
        <v>3286282.5</v>
      </c>
      <c r="O329" s="123">
        <f t="shared" si="65"/>
        <v>564.07183316168903</v>
      </c>
      <c r="P329" s="5"/>
      <c r="Q329" s="5">
        <f t="shared" si="66"/>
        <v>1</v>
      </c>
      <c r="R329" s="7">
        <f t="shared" si="67"/>
        <v>5826</v>
      </c>
      <c r="S329" s="5">
        <f t="shared" si="68"/>
        <v>1</v>
      </c>
      <c r="T329" s="7">
        <f t="shared" si="69"/>
        <v>5826</v>
      </c>
    </row>
    <row r="330" spans="1:20">
      <c r="A330" s="24" t="s">
        <v>561</v>
      </c>
      <c r="B330" s="35" t="s">
        <v>342</v>
      </c>
      <c r="C330" s="36">
        <v>10002</v>
      </c>
      <c r="D330" s="6"/>
      <c r="E330" s="113">
        <v>2173907190</v>
      </c>
      <c r="F330" s="116">
        <f t="shared" si="60"/>
        <v>217347.24955008997</v>
      </c>
      <c r="G330" s="117">
        <v>1681651480</v>
      </c>
      <c r="H330" s="117">
        <f t="shared" si="61"/>
        <v>168131.52169566086</v>
      </c>
      <c r="I330" s="7"/>
      <c r="J330" s="10">
        <v>2.9</v>
      </c>
      <c r="K330" s="117">
        <v>4876789</v>
      </c>
      <c r="L330" s="120">
        <f t="shared" si="62"/>
        <v>487.58138372325533</v>
      </c>
      <c r="M330" s="122">
        <f t="shared" si="63"/>
        <v>16816514.800000001</v>
      </c>
      <c r="N330" s="116">
        <f t="shared" si="64"/>
        <v>11939725.800000001</v>
      </c>
      <c r="O330" s="123">
        <f t="shared" si="65"/>
        <v>1193.7338332333534</v>
      </c>
      <c r="P330" s="5"/>
      <c r="Q330" s="5">
        <f t="shared" si="66"/>
        <v>1</v>
      </c>
      <c r="R330" s="7">
        <f t="shared" si="67"/>
        <v>10002</v>
      </c>
      <c r="S330" s="5">
        <f t="shared" si="68"/>
        <v>1</v>
      </c>
      <c r="T330" s="7">
        <f t="shared" si="69"/>
        <v>10002</v>
      </c>
    </row>
    <row r="331" spans="1:20">
      <c r="A331" s="23" t="s">
        <v>548</v>
      </c>
      <c r="B331" s="35" t="s">
        <v>342</v>
      </c>
      <c r="C331" s="36">
        <v>252246</v>
      </c>
      <c r="D331" s="6"/>
      <c r="E331" s="113">
        <v>16693900501</v>
      </c>
      <c r="F331" s="116">
        <f t="shared" si="60"/>
        <v>66181.031615962202</v>
      </c>
      <c r="G331" s="117">
        <v>10782054510</v>
      </c>
      <c r="H331" s="117">
        <f t="shared" si="61"/>
        <v>42744.204110273306</v>
      </c>
      <c r="I331" s="7"/>
      <c r="J331" s="10">
        <v>7.09</v>
      </c>
      <c r="K331" s="117">
        <v>76444766</v>
      </c>
      <c r="L331" s="120">
        <f t="shared" si="62"/>
        <v>303.05640525518737</v>
      </c>
      <c r="M331" s="122">
        <f t="shared" si="63"/>
        <v>107820545.10000001</v>
      </c>
      <c r="N331" s="116">
        <f t="shared" si="64"/>
        <v>31375779.100000009</v>
      </c>
      <c r="O331" s="123">
        <f t="shared" si="65"/>
        <v>124.38563584754569</v>
      </c>
      <c r="P331" s="5"/>
      <c r="Q331" s="5">
        <f t="shared" si="66"/>
        <v>1</v>
      </c>
      <c r="R331" s="7">
        <f t="shared" si="67"/>
        <v>252246</v>
      </c>
      <c r="S331" s="5">
        <f t="shared" si="68"/>
        <v>1</v>
      </c>
      <c r="T331" s="7">
        <f t="shared" si="69"/>
        <v>252246</v>
      </c>
    </row>
    <row r="332" spans="1:20">
      <c r="A332" s="23" t="s">
        <v>362</v>
      </c>
      <c r="B332" s="35" t="s">
        <v>342</v>
      </c>
      <c r="C332" s="36">
        <v>22821</v>
      </c>
      <c r="D332" s="6"/>
      <c r="E332" s="113">
        <v>1643429410</v>
      </c>
      <c r="F332" s="116">
        <f t="shared" si="60"/>
        <v>72013.908680601206</v>
      </c>
      <c r="G332" s="117">
        <v>1151979930</v>
      </c>
      <c r="H332" s="117">
        <f t="shared" si="61"/>
        <v>50478.941764164585</v>
      </c>
      <c r="I332" s="7"/>
      <c r="J332" s="10">
        <v>4.9454000000000002</v>
      </c>
      <c r="K332" s="117">
        <v>5697001</v>
      </c>
      <c r="L332" s="120">
        <f t="shared" si="62"/>
        <v>249.63853468296745</v>
      </c>
      <c r="M332" s="122">
        <f t="shared" si="63"/>
        <v>11519799.300000001</v>
      </c>
      <c r="N332" s="116">
        <f t="shared" si="64"/>
        <v>5822798.3000000007</v>
      </c>
      <c r="O332" s="123">
        <f t="shared" si="65"/>
        <v>255.15088295867844</v>
      </c>
      <c r="P332" s="5"/>
      <c r="Q332" s="5">
        <f t="shared" si="66"/>
        <v>1</v>
      </c>
      <c r="R332" s="7">
        <f t="shared" si="67"/>
        <v>22821</v>
      </c>
      <c r="S332" s="5">
        <f t="shared" si="68"/>
        <v>1</v>
      </c>
      <c r="T332" s="7">
        <f t="shared" si="69"/>
        <v>22821</v>
      </c>
    </row>
    <row r="333" spans="1:20">
      <c r="A333" s="23" t="s">
        <v>363</v>
      </c>
      <c r="B333" s="35" t="s">
        <v>342</v>
      </c>
      <c r="C333" s="36">
        <v>7508</v>
      </c>
      <c r="D333" s="6"/>
      <c r="E333" s="113">
        <v>1451457560</v>
      </c>
      <c r="F333" s="116">
        <f t="shared" si="60"/>
        <v>193321.46510388918</v>
      </c>
      <c r="G333" s="117">
        <v>1025787570</v>
      </c>
      <c r="H333" s="117">
        <f t="shared" si="61"/>
        <v>136625.94166222695</v>
      </c>
      <c r="I333" s="7"/>
      <c r="J333" s="10">
        <v>2.3271999999999999</v>
      </c>
      <c r="K333" s="117">
        <v>2387212</v>
      </c>
      <c r="L333" s="120">
        <f t="shared" si="62"/>
        <v>317.95578050079916</v>
      </c>
      <c r="M333" s="122">
        <f t="shared" si="63"/>
        <v>10257875.700000001</v>
      </c>
      <c r="N333" s="116">
        <f t="shared" si="64"/>
        <v>7870663.7000000011</v>
      </c>
      <c r="O333" s="123">
        <f t="shared" si="65"/>
        <v>1048.3036361214706</v>
      </c>
      <c r="P333" s="5"/>
      <c r="Q333" s="5">
        <f t="shared" si="66"/>
        <v>1</v>
      </c>
      <c r="R333" s="7">
        <f t="shared" si="67"/>
        <v>7508</v>
      </c>
      <c r="S333" s="5">
        <f t="shared" si="68"/>
        <v>1</v>
      </c>
      <c r="T333" s="7">
        <f t="shared" si="69"/>
        <v>7508</v>
      </c>
    </row>
    <row r="334" spans="1:20">
      <c r="A334" s="23" t="s">
        <v>364</v>
      </c>
      <c r="B334" s="35" t="s">
        <v>365</v>
      </c>
      <c r="C334" s="36">
        <v>11203</v>
      </c>
      <c r="D334" s="6"/>
      <c r="E334" s="113">
        <v>500755765</v>
      </c>
      <c r="F334" s="116">
        <f t="shared" si="60"/>
        <v>44698.363384807642</v>
      </c>
      <c r="G334" s="117">
        <v>359853152</v>
      </c>
      <c r="H334" s="117">
        <f t="shared" si="61"/>
        <v>32121.141837007945</v>
      </c>
      <c r="I334" s="7"/>
      <c r="J334" s="10">
        <v>4.516</v>
      </c>
      <c r="K334" s="117">
        <v>1625096</v>
      </c>
      <c r="L334" s="120">
        <f t="shared" si="62"/>
        <v>145.05900205302152</v>
      </c>
      <c r="M334" s="122">
        <f t="shared" si="63"/>
        <v>3598531.52</v>
      </c>
      <c r="N334" s="116">
        <f t="shared" si="64"/>
        <v>1973435.52</v>
      </c>
      <c r="O334" s="123">
        <f t="shared" si="65"/>
        <v>176.15241631705794</v>
      </c>
      <c r="P334" s="5"/>
      <c r="Q334" s="5">
        <f t="shared" si="66"/>
        <v>1</v>
      </c>
      <c r="R334" s="7">
        <f t="shared" si="67"/>
        <v>11203</v>
      </c>
      <c r="S334" s="5">
        <f t="shared" si="68"/>
        <v>1</v>
      </c>
      <c r="T334" s="7">
        <f t="shared" si="69"/>
        <v>11203</v>
      </c>
    </row>
    <row r="335" spans="1:20">
      <c r="A335" s="23" t="s">
        <v>366</v>
      </c>
      <c r="B335" s="35" t="s">
        <v>365</v>
      </c>
      <c r="C335" s="36">
        <v>15492</v>
      </c>
      <c r="D335" s="6"/>
      <c r="E335" s="113">
        <v>763667324</v>
      </c>
      <c r="F335" s="116">
        <f t="shared" si="60"/>
        <v>49294.301833204234</v>
      </c>
      <c r="G335" s="117">
        <v>467344595</v>
      </c>
      <c r="H335" s="117">
        <f t="shared" si="61"/>
        <v>30166.834172476116</v>
      </c>
      <c r="I335" s="7"/>
      <c r="J335" s="10">
        <v>3.5</v>
      </c>
      <c r="K335" s="117">
        <v>1635706</v>
      </c>
      <c r="L335" s="120">
        <f t="shared" si="62"/>
        <v>105.5839142783372</v>
      </c>
      <c r="M335" s="122">
        <f t="shared" si="63"/>
        <v>4673445.95</v>
      </c>
      <c r="N335" s="116">
        <f t="shared" si="64"/>
        <v>3037739.95</v>
      </c>
      <c r="O335" s="123">
        <f t="shared" si="65"/>
        <v>196.08442744642397</v>
      </c>
      <c r="P335" s="5"/>
      <c r="Q335" s="5">
        <f t="shared" si="66"/>
        <v>1</v>
      </c>
      <c r="R335" s="7">
        <f t="shared" si="67"/>
        <v>15492</v>
      </c>
      <c r="S335" s="5">
        <f t="shared" si="68"/>
        <v>1</v>
      </c>
      <c r="T335" s="7">
        <f t="shared" si="69"/>
        <v>15492</v>
      </c>
    </row>
    <row r="336" spans="1:20">
      <c r="A336" s="23" t="s">
        <v>367</v>
      </c>
      <c r="B336" s="35" t="s">
        <v>365</v>
      </c>
      <c r="C336" s="36">
        <v>2059</v>
      </c>
      <c r="D336" s="6"/>
      <c r="E336" s="113">
        <v>75381461</v>
      </c>
      <c r="F336" s="116">
        <f t="shared" si="60"/>
        <v>36610.714424477905</v>
      </c>
      <c r="G336" s="117">
        <v>47570871</v>
      </c>
      <c r="H336" s="117">
        <f t="shared" si="61"/>
        <v>23103.871296745994</v>
      </c>
      <c r="I336" s="7"/>
      <c r="J336" s="10">
        <v>6.5</v>
      </c>
      <c r="K336" s="117">
        <v>309210</v>
      </c>
      <c r="L336" s="120">
        <f t="shared" si="62"/>
        <v>150.1748421563866</v>
      </c>
      <c r="M336" s="122">
        <f t="shared" si="63"/>
        <v>475708.71</v>
      </c>
      <c r="N336" s="116">
        <f t="shared" si="64"/>
        <v>166498.71000000002</v>
      </c>
      <c r="O336" s="123">
        <f t="shared" si="65"/>
        <v>80.86387081107334</v>
      </c>
      <c r="P336" s="5"/>
      <c r="Q336" s="5">
        <f t="shared" si="66"/>
        <v>1</v>
      </c>
      <c r="R336" s="7">
        <f t="shared" si="67"/>
        <v>2059</v>
      </c>
      <c r="S336" s="5">
        <f t="shared" si="68"/>
        <v>1</v>
      </c>
      <c r="T336" s="7">
        <f t="shared" si="69"/>
        <v>2059</v>
      </c>
    </row>
    <row r="337" spans="1:20">
      <c r="A337" s="23" t="s">
        <v>368</v>
      </c>
      <c r="B337" s="35" t="s">
        <v>365</v>
      </c>
      <c r="C337" s="36">
        <v>2952</v>
      </c>
      <c r="D337" s="6"/>
      <c r="E337" s="113">
        <v>121125700</v>
      </c>
      <c r="F337" s="116">
        <f t="shared" si="60"/>
        <v>41031.741192411922</v>
      </c>
      <c r="G337" s="117">
        <v>89313800</v>
      </c>
      <c r="H337" s="117">
        <f t="shared" si="61"/>
        <v>30255.352303523036</v>
      </c>
      <c r="I337" s="7"/>
      <c r="J337" s="10">
        <v>7</v>
      </c>
      <c r="K337" s="117">
        <v>625196</v>
      </c>
      <c r="L337" s="120">
        <f t="shared" si="62"/>
        <v>211.78726287262873</v>
      </c>
      <c r="M337" s="122">
        <f t="shared" si="63"/>
        <v>893138</v>
      </c>
      <c r="N337" s="116">
        <f t="shared" si="64"/>
        <v>267942</v>
      </c>
      <c r="O337" s="123">
        <f t="shared" si="65"/>
        <v>90.766260162601625</v>
      </c>
      <c r="P337" s="5"/>
      <c r="Q337" s="5">
        <f t="shared" si="66"/>
        <v>1</v>
      </c>
      <c r="R337" s="7">
        <f t="shared" si="67"/>
        <v>2952</v>
      </c>
      <c r="S337" s="5">
        <f t="shared" si="68"/>
        <v>1</v>
      </c>
      <c r="T337" s="7">
        <f t="shared" si="69"/>
        <v>2952</v>
      </c>
    </row>
    <row r="338" spans="1:20">
      <c r="A338" s="23" t="s">
        <v>369</v>
      </c>
      <c r="B338" s="35" t="s">
        <v>365</v>
      </c>
      <c r="C338" s="36">
        <v>2507</v>
      </c>
      <c r="D338" s="6"/>
      <c r="E338" s="113">
        <v>51008682</v>
      </c>
      <c r="F338" s="116">
        <f t="shared" si="60"/>
        <v>20346.502592740326</v>
      </c>
      <c r="G338" s="117">
        <v>29699335</v>
      </c>
      <c r="H338" s="117">
        <f t="shared" si="61"/>
        <v>11846.563621858795</v>
      </c>
      <c r="I338" s="7"/>
      <c r="J338" s="10">
        <v>7</v>
      </c>
      <c r="K338" s="117">
        <v>207895</v>
      </c>
      <c r="L338" s="120">
        <f t="shared" si="62"/>
        <v>82.925807738332665</v>
      </c>
      <c r="M338" s="122">
        <f t="shared" si="63"/>
        <v>296993.35000000003</v>
      </c>
      <c r="N338" s="116">
        <f t="shared" si="64"/>
        <v>89098.350000000035</v>
      </c>
      <c r="O338" s="123">
        <f t="shared" si="65"/>
        <v>35.539828480255302</v>
      </c>
      <c r="P338" s="5"/>
      <c r="Q338" s="5">
        <f t="shared" si="66"/>
        <v>1</v>
      </c>
      <c r="R338" s="7">
        <f t="shared" si="67"/>
        <v>2507</v>
      </c>
      <c r="S338" s="5">
        <f t="shared" si="68"/>
        <v>1</v>
      </c>
      <c r="T338" s="7">
        <f t="shared" si="69"/>
        <v>2507</v>
      </c>
    </row>
    <row r="339" spans="1:20">
      <c r="A339" s="23" t="s">
        <v>370</v>
      </c>
      <c r="B339" s="35" t="s">
        <v>365</v>
      </c>
      <c r="C339" s="36">
        <v>5828</v>
      </c>
      <c r="D339" s="6"/>
      <c r="E339" s="113">
        <v>144243238</v>
      </c>
      <c r="F339" s="116">
        <f t="shared" si="60"/>
        <v>24750.040837336994</v>
      </c>
      <c r="G339" s="117">
        <v>86966250</v>
      </c>
      <c r="H339" s="117">
        <f t="shared" si="61"/>
        <v>14922.143102264929</v>
      </c>
      <c r="I339" s="7"/>
      <c r="J339" s="10">
        <v>1</v>
      </c>
      <c r="K339" s="117">
        <v>86966</v>
      </c>
      <c r="L339" s="120">
        <f t="shared" ref="L339:L370" si="70">(K339/C339)</f>
        <v>14.92210020590254</v>
      </c>
      <c r="M339" s="122">
        <f t="shared" si="63"/>
        <v>869662.5</v>
      </c>
      <c r="N339" s="116">
        <f t="shared" si="64"/>
        <v>782696.5</v>
      </c>
      <c r="O339" s="123">
        <f t="shared" si="65"/>
        <v>134.29933081674673</v>
      </c>
      <c r="P339" s="5"/>
      <c r="Q339" s="5">
        <f t="shared" si="66"/>
        <v>1</v>
      </c>
      <c r="R339" s="7">
        <f t="shared" si="67"/>
        <v>5828</v>
      </c>
      <c r="S339" s="5">
        <f t="shared" si="68"/>
        <v>1</v>
      </c>
      <c r="T339" s="7">
        <f t="shared" si="69"/>
        <v>5828</v>
      </c>
    </row>
    <row r="340" spans="1:20">
      <c r="A340" s="23" t="s">
        <v>371</v>
      </c>
      <c r="B340" s="35" t="s">
        <v>365</v>
      </c>
      <c r="C340" s="36">
        <v>2982</v>
      </c>
      <c r="D340" s="6"/>
      <c r="E340" s="113">
        <v>120841002</v>
      </c>
      <c r="F340" s="116">
        <f t="shared" si="60"/>
        <v>40523.474849094564</v>
      </c>
      <c r="G340" s="117">
        <v>84969495</v>
      </c>
      <c r="H340" s="117">
        <f t="shared" si="61"/>
        <v>28494.129778672032</v>
      </c>
      <c r="I340" s="7"/>
      <c r="J340" s="10">
        <v>7</v>
      </c>
      <c r="K340" s="117">
        <v>594786</v>
      </c>
      <c r="L340" s="120">
        <f t="shared" si="70"/>
        <v>199.45875251509054</v>
      </c>
      <c r="M340" s="122">
        <f t="shared" si="63"/>
        <v>849694.95000000007</v>
      </c>
      <c r="N340" s="116">
        <f t="shared" si="64"/>
        <v>254908.95000000007</v>
      </c>
      <c r="O340" s="123">
        <f t="shared" si="65"/>
        <v>85.482545271629803</v>
      </c>
      <c r="P340" s="5"/>
      <c r="Q340" s="5">
        <f t="shared" si="66"/>
        <v>1</v>
      </c>
      <c r="R340" s="7">
        <f t="shared" si="67"/>
        <v>2982</v>
      </c>
      <c r="S340" s="5">
        <f t="shared" si="68"/>
        <v>1</v>
      </c>
      <c r="T340" s="7">
        <f t="shared" si="69"/>
        <v>2982</v>
      </c>
    </row>
    <row r="341" spans="1:20">
      <c r="A341" s="23" t="s">
        <v>372</v>
      </c>
      <c r="B341" s="35" t="s">
        <v>365</v>
      </c>
      <c r="C341" s="36">
        <v>14115</v>
      </c>
      <c r="D341" s="6"/>
      <c r="E341" s="113">
        <v>518774785</v>
      </c>
      <c r="F341" s="116">
        <f t="shared" si="60"/>
        <v>36753.438540559691</v>
      </c>
      <c r="G341" s="117">
        <v>374378857</v>
      </c>
      <c r="H341" s="117">
        <f t="shared" si="61"/>
        <v>26523.475522493802</v>
      </c>
      <c r="I341" s="9"/>
      <c r="J341" s="10">
        <v>6.99</v>
      </c>
      <c r="K341" s="117">
        <v>2616908</v>
      </c>
      <c r="L341" s="120">
        <f t="shared" si="70"/>
        <v>185.39907899397804</v>
      </c>
      <c r="M341" s="122">
        <f t="shared" si="63"/>
        <v>3743788.5700000003</v>
      </c>
      <c r="N341" s="116">
        <f t="shared" si="64"/>
        <v>1126880.5700000003</v>
      </c>
      <c r="O341" s="123">
        <f t="shared" si="65"/>
        <v>79.83567623095999</v>
      </c>
      <c r="P341" s="5"/>
      <c r="Q341" s="5">
        <f t="shared" si="66"/>
        <v>1</v>
      </c>
      <c r="R341" s="7">
        <f t="shared" si="67"/>
        <v>14115</v>
      </c>
      <c r="S341" s="5">
        <f t="shared" si="68"/>
        <v>1</v>
      </c>
      <c r="T341" s="7">
        <f t="shared" si="69"/>
        <v>14115</v>
      </c>
    </row>
    <row r="342" spans="1:20">
      <c r="A342" s="23" t="s">
        <v>373</v>
      </c>
      <c r="B342" s="35" t="s">
        <v>365</v>
      </c>
      <c r="C342" s="36">
        <v>246</v>
      </c>
      <c r="D342" s="6"/>
      <c r="E342" s="113">
        <v>14587705</v>
      </c>
      <c r="F342" s="116">
        <f t="shared" si="60"/>
        <v>59299.613821138213</v>
      </c>
      <c r="G342" s="117">
        <v>12237668</v>
      </c>
      <c r="H342" s="117">
        <f t="shared" si="61"/>
        <v>49746.617886178865</v>
      </c>
      <c r="I342" s="7"/>
      <c r="J342" s="10">
        <v>6.4294000000000002</v>
      </c>
      <c r="K342" s="117">
        <v>78680</v>
      </c>
      <c r="L342" s="120">
        <f t="shared" si="70"/>
        <v>319.83739837398372</v>
      </c>
      <c r="M342" s="122">
        <f t="shared" si="63"/>
        <v>122376.68000000001</v>
      </c>
      <c r="N342" s="116">
        <f t="shared" si="64"/>
        <v>43696.680000000008</v>
      </c>
      <c r="O342" s="123">
        <f t="shared" si="65"/>
        <v>177.6287804878049</v>
      </c>
      <c r="P342" s="5"/>
      <c r="Q342" s="5">
        <f t="shared" si="66"/>
        <v>1</v>
      </c>
      <c r="R342" s="7">
        <f t="shared" si="67"/>
        <v>246</v>
      </c>
      <c r="S342" s="5">
        <f t="shared" si="68"/>
        <v>1</v>
      </c>
      <c r="T342" s="7">
        <f t="shared" si="69"/>
        <v>246</v>
      </c>
    </row>
    <row r="343" spans="1:20">
      <c r="A343" s="23" t="s">
        <v>374</v>
      </c>
      <c r="B343" s="35" t="s">
        <v>365</v>
      </c>
      <c r="C343" s="36">
        <v>264</v>
      </c>
      <c r="D343" s="6"/>
      <c r="E343" s="113">
        <v>11180665</v>
      </c>
      <c r="F343" s="116">
        <f t="shared" si="60"/>
        <v>42351.003787878784</v>
      </c>
      <c r="G343" s="117">
        <v>8013603</v>
      </c>
      <c r="H343" s="117">
        <f t="shared" si="61"/>
        <v>30354.55681818182</v>
      </c>
      <c r="I343" s="7"/>
      <c r="J343" s="10">
        <v>0.49</v>
      </c>
      <c r="K343" s="117">
        <v>3926</v>
      </c>
      <c r="L343" s="120">
        <f t="shared" si="70"/>
        <v>14.871212121212121</v>
      </c>
      <c r="M343" s="122">
        <f t="shared" si="63"/>
        <v>80136.03</v>
      </c>
      <c r="N343" s="116">
        <f t="shared" si="64"/>
        <v>76210.03</v>
      </c>
      <c r="O343" s="123">
        <f t="shared" si="65"/>
        <v>288.67435606060604</v>
      </c>
      <c r="P343" s="5"/>
      <c r="Q343" s="5">
        <f t="shared" si="66"/>
        <v>1</v>
      </c>
      <c r="R343" s="7">
        <f t="shared" si="67"/>
        <v>264</v>
      </c>
      <c r="S343" s="5">
        <f t="shared" si="68"/>
        <v>1</v>
      </c>
      <c r="T343" s="7">
        <f t="shared" si="69"/>
        <v>264</v>
      </c>
    </row>
    <row r="344" spans="1:20">
      <c r="A344" s="23" t="s">
        <v>375</v>
      </c>
      <c r="B344" s="35" t="s">
        <v>365</v>
      </c>
      <c r="C344" s="36">
        <v>3981</v>
      </c>
      <c r="D344" s="6"/>
      <c r="E344" s="113">
        <v>149397543</v>
      </c>
      <c r="F344" s="116">
        <f t="shared" si="60"/>
        <v>37527.642049736249</v>
      </c>
      <c r="G344" s="117">
        <v>103386140</v>
      </c>
      <c r="H344" s="117">
        <f t="shared" si="61"/>
        <v>25969.891986937957</v>
      </c>
      <c r="I344" s="7"/>
      <c r="J344" s="11">
        <v>7.0579999999999998</v>
      </c>
      <c r="K344" s="117">
        <v>729699</v>
      </c>
      <c r="L344" s="120">
        <f t="shared" si="70"/>
        <v>183.29540316503392</v>
      </c>
      <c r="M344" s="122">
        <f t="shared" si="63"/>
        <v>1033861.4</v>
      </c>
      <c r="N344" s="116">
        <f t="shared" si="64"/>
        <v>304162.40000000002</v>
      </c>
      <c r="O344" s="123">
        <f t="shared" si="65"/>
        <v>76.403516704345648</v>
      </c>
      <c r="P344" s="5"/>
      <c r="Q344" s="5">
        <f t="shared" si="66"/>
        <v>1</v>
      </c>
      <c r="R344" s="7">
        <f t="shared" si="67"/>
        <v>3981</v>
      </c>
      <c r="S344" s="5">
        <f t="shared" si="68"/>
        <v>1</v>
      </c>
      <c r="T344" s="7">
        <f t="shared" si="69"/>
        <v>3981</v>
      </c>
    </row>
    <row r="345" spans="1:20">
      <c r="A345" s="23" t="s">
        <v>376</v>
      </c>
      <c r="B345" s="35" t="s">
        <v>365</v>
      </c>
      <c r="C345" s="36">
        <v>1358</v>
      </c>
      <c r="D345" s="6"/>
      <c r="E345" s="113">
        <v>58920506</v>
      </c>
      <c r="F345" s="116">
        <f t="shared" si="60"/>
        <v>43387.706921944038</v>
      </c>
      <c r="G345" s="117">
        <v>44621687</v>
      </c>
      <c r="H345" s="117">
        <f t="shared" si="61"/>
        <v>32858.385125184097</v>
      </c>
      <c r="I345" s="7"/>
      <c r="J345" s="10">
        <v>7.1479999999999997</v>
      </c>
      <c r="K345" s="117">
        <v>318955</v>
      </c>
      <c r="L345" s="120">
        <f t="shared" si="70"/>
        <v>234.87113402061857</v>
      </c>
      <c r="M345" s="122">
        <f t="shared" si="63"/>
        <v>446216.87</v>
      </c>
      <c r="N345" s="116">
        <f t="shared" si="64"/>
        <v>127261.87</v>
      </c>
      <c r="O345" s="123">
        <f t="shared" si="65"/>
        <v>93.712717231222385</v>
      </c>
      <c r="P345" s="5"/>
      <c r="Q345" s="5">
        <f t="shared" si="66"/>
        <v>1</v>
      </c>
      <c r="R345" s="7">
        <f t="shared" si="67"/>
        <v>1358</v>
      </c>
      <c r="S345" s="5">
        <f t="shared" si="68"/>
        <v>1</v>
      </c>
      <c r="T345" s="7">
        <f t="shared" si="69"/>
        <v>1358</v>
      </c>
    </row>
    <row r="346" spans="1:20">
      <c r="A346" s="23" t="s">
        <v>377</v>
      </c>
      <c r="B346" s="35" t="s">
        <v>365</v>
      </c>
      <c r="C346" s="36">
        <v>11626</v>
      </c>
      <c r="D346" s="6"/>
      <c r="E346" s="113">
        <v>554360236</v>
      </c>
      <c r="F346" s="116">
        <f t="shared" si="60"/>
        <v>47682.800275245143</v>
      </c>
      <c r="G346" s="117">
        <v>413301903</v>
      </c>
      <c r="H346" s="117">
        <f t="shared" si="61"/>
        <v>35549.793824187167</v>
      </c>
      <c r="I346" s="7"/>
      <c r="J346" s="10">
        <v>9.44</v>
      </c>
      <c r="K346" s="117">
        <v>3901569</v>
      </c>
      <c r="L346" s="120">
        <f t="shared" si="70"/>
        <v>335.58997075520386</v>
      </c>
      <c r="M346" s="122">
        <f t="shared" si="63"/>
        <v>4133019.0300000003</v>
      </c>
      <c r="N346" s="116">
        <f t="shared" si="64"/>
        <v>231450.03000000026</v>
      </c>
      <c r="O346" s="123">
        <f t="shared" si="65"/>
        <v>19.907967486667836</v>
      </c>
      <c r="P346" s="5"/>
      <c r="Q346" s="5">
        <f t="shared" si="66"/>
        <v>1</v>
      </c>
      <c r="R346" s="7">
        <f t="shared" si="67"/>
        <v>11626</v>
      </c>
      <c r="S346" s="5">
        <f t="shared" si="68"/>
        <v>1</v>
      </c>
      <c r="T346" s="7">
        <f t="shared" si="69"/>
        <v>11626</v>
      </c>
    </row>
    <row r="347" spans="1:20">
      <c r="A347" s="23" t="s">
        <v>378</v>
      </c>
      <c r="B347" s="35" t="s">
        <v>365</v>
      </c>
      <c r="C347" s="36">
        <v>88741</v>
      </c>
      <c r="D347" s="6"/>
      <c r="E347" s="113">
        <v>5332067050</v>
      </c>
      <c r="F347" s="116">
        <f t="shared" si="60"/>
        <v>60085.72193236497</v>
      </c>
      <c r="G347" s="117">
        <v>3618060210</v>
      </c>
      <c r="H347" s="117">
        <f t="shared" si="61"/>
        <v>40771.010130604795</v>
      </c>
      <c r="I347" s="7"/>
      <c r="J347" s="10">
        <v>3.5449999999999999</v>
      </c>
      <c r="K347" s="117">
        <v>12826023</v>
      </c>
      <c r="L347" s="120">
        <f t="shared" si="70"/>
        <v>144.53322590459877</v>
      </c>
      <c r="M347" s="122">
        <f t="shared" si="63"/>
        <v>36180602.100000001</v>
      </c>
      <c r="N347" s="116">
        <f t="shared" si="64"/>
        <v>23354579.100000001</v>
      </c>
      <c r="O347" s="123">
        <f t="shared" si="65"/>
        <v>263.17687540144919</v>
      </c>
      <c r="P347" s="5"/>
      <c r="Q347" s="5">
        <f t="shared" si="66"/>
        <v>1</v>
      </c>
      <c r="R347" s="7">
        <f t="shared" si="67"/>
        <v>88741</v>
      </c>
      <c r="S347" s="5">
        <f t="shared" si="68"/>
        <v>1</v>
      </c>
      <c r="T347" s="7">
        <f t="shared" si="69"/>
        <v>88741</v>
      </c>
    </row>
    <row r="348" spans="1:20">
      <c r="A348" s="23" t="s">
        <v>379</v>
      </c>
      <c r="B348" s="35" t="s">
        <v>365</v>
      </c>
      <c r="C348" s="36">
        <v>3385</v>
      </c>
      <c r="D348" s="6"/>
      <c r="E348" s="113">
        <v>150332519</v>
      </c>
      <c r="F348" s="116">
        <f t="shared" si="60"/>
        <v>44411.379320531756</v>
      </c>
      <c r="G348" s="117">
        <v>116936225</v>
      </c>
      <c r="H348" s="117">
        <f t="shared" si="61"/>
        <v>34545.413589364842</v>
      </c>
      <c r="I348" s="7"/>
      <c r="J348" s="10">
        <v>8.5</v>
      </c>
      <c r="K348" s="117">
        <v>993957</v>
      </c>
      <c r="L348" s="120">
        <f t="shared" si="70"/>
        <v>293.63574593796159</v>
      </c>
      <c r="M348" s="122">
        <f t="shared" si="63"/>
        <v>1169362.25</v>
      </c>
      <c r="N348" s="116">
        <f t="shared" si="64"/>
        <v>175405.25</v>
      </c>
      <c r="O348" s="123">
        <f t="shared" si="65"/>
        <v>51.818389955686854</v>
      </c>
      <c r="P348" s="5"/>
      <c r="Q348" s="5">
        <f t="shared" si="66"/>
        <v>1</v>
      </c>
      <c r="R348" s="7">
        <f t="shared" si="67"/>
        <v>3385</v>
      </c>
      <c r="S348" s="5">
        <f t="shared" si="68"/>
        <v>1</v>
      </c>
      <c r="T348" s="7">
        <f t="shared" si="69"/>
        <v>3385</v>
      </c>
    </row>
    <row r="349" spans="1:20">
      <c r="A349" s="23" t="s">
        <v>380</v>
      </c>
      <c r="B349" s="35" t="s">
        <v>365</v>
      </c>
      <c r="C349" s="36">
        <v>1710</v>
      </c>
      <c r="D349" s="6"/>
      <c r="E349" s="113">
        <v>48527823</v>
      </c>
      <c r="F349" s="116">
        <f t="shared" si="60"/>
        <v>28378.843859649121</v>
      </c>
      <c r="G349" s="117">
        <v>33512850</v>
      </c>
      <c r="H349" s="117">
        <f t="shared" si="61"/>
        <v>19598.157894736843</v>
      </c>
      <c r="I349" s="7"/>
      <c r="J349" s="10">
        <v>6.6879999999999997</v>
      </c>
      <c r="K349" s="117">
        <v>224133</v>
      </c>
      <c r="L349" s="120">
        <f t="shared" si="70"/>
        <v>131.07192982456141</v>
      </c>
      <c r="M349" s="122">
        <f t="shared" si="63"/>
        <v>335128.5</v>
      </c>
      <c r="N349" s="116">
        <f t="shared" si="64"/>
        <v>110995.5</v>
      </c>
      <c r="O349" s="123">
        <f t="shared" si="65"/>
        <v>64.909649122807011</v>
      </c>
      <c r="P349" s="5"/>
      <c r="Q349" s="5">
        <f t="shared" si="66"/>
        <v>1</v>
      </c>
      <c r="R349" s="7">
        <f t="shared" si="67"/>
        <v>1710</v>
      </c>
      <c r="S349" s="5">
        <f t="shared" si="68"/>
        <v>1</v>
      </c>
      <c r="T349" s="7">
        <f t="shared" si="69"/>
        <v>1710</v>
      </c>
    </row>
    <row r="350" spans="1:20">
      <c r="A350" s="23" t="s">
        <v>381</v>
      </c>
      <c r="B350" s="35" t="s">
        <v>365</v>
      </c>
      <c r="C350" s="36">
        <v>26867</v>
      </c>
      <c r="D350" s="6"/>
      <c r="E350" s="113">
        <v>1543300568</v>
      </c>
      <c r="F350" s="116">
        <f t="shared" ref="F350:F411" si="71">(E350/C350)</f>
        <v>57442.236498306469</v>
      </c>
      <c r="G350" s="117">
        <v>1093548002</v>
      </c>
      <c r="H350" s="117">
        <f t="shared" ref="H350:H411" si="72">(G350/C350)</f>
        <v>40702.274239773702</v>
      </c>
      <c r="I350" s="9"/>
      <c r="J350" s="10">
        <v>6.99</v>
      </c>
      <c r="K350" s="117">
        <v>7643900</v>
      </c>
      <c r="L350" s="120">
        <f t="shared" si="70"/>
        <v>284.50887706107864</v>
      </c>
      <c r="M350" s="122">
        <f t="shared" si="63"/>
        <v>10935480.02</v>
      </c>
      <c r="N350" s="116">
        <f t="shared" si="64"/>
        <v>3291580.0199999996</v>
      </c>
      <c r="O350" s="123">
        <f t="shared" si="65"/>
        <v>122.51386533665834</v>
      </c>
      <c r="P350" s="5"/>
      <c r="Q350" s="5">
        <f t="shared" si="66"/>
        <v>1</v>
      </c>
      <c r="R350" s="7">
        <f t="shared" si="67"/>
        <v>26867</v>
      </c>
      <c r="S350" s="5">
        <f t="shared" si="68"/>
        <v>1</v>
      </c>
      <c r="T350" s="7">
        <f t="shared" si="69"/>
        <v>26867</v>
      </c>
    </row>
    <row r="351" spans="1:20">
      <c r="A351" s="23" t="s">
        <v>382</v>
      </c>
      <c r="B351" s="35" t="s">
        <v>383</v>
      </c>
      <c r="C351" s="36">
        <v>1815</v>
      </c>
      <c r="D351" s="6"/>
      <c r="E351" s="113">
        <v>94070801</v>
      </c>
      <c r="F351" s="116">
        <f t="shared" si="71"/>
        <v>51829.642424242425</v>
      </c>
      <c r="G351" s="117">
        <v>52340346</v>
      </c>
      <c r="H351" s="117">
        <f t="shared" si="72"/>
        <v>28837.656198347107</v>
      </c>
      <c r="I351" s="9"/>
      <c r="J351" s="10">
        <v>9</v>
      </c>
      <c r="K351" s="117">
        <v>471063</v>
      </c>
      <c r="L351" s="120">
        <f t="shared" si="70"/>
        <v>259.53884297520659</v>
      </c>
      <c r="M351" s="122">
        <f t="shared" si="63"/>
        <v>523403.46</v>
      </c>
      <c r="N351" s="116">
        <f t="shared" si="64"/>
        <v>52340.460000000021</v>
      </c>
      <c r="O351" s="123">
        <f t="shared" si="65"/>
        <v>28.837719008264475</v>
      </c>
      <c r="P351" s="5"/>
      <c r="Q351" s="5">
        <f t="shared" si="66"/>
        <v>1</v>
      </c>
      <c r="R351" s="7">
        <f t="shared" si="67"/>
        <v>1815</v>
      </c>
      <c r="S351" s="5">
        <f t="shared" si="68"/>
        <v>1</v>
      </c>
      <c r="T351" s="7">
        <f t="shared" si="69"/>
        <v>1815</v>
      </c>
    </row>
    <row r="352" spans="1:20">
      <c r="A352" s="23" t="s">
        <v>384</v>
      </c>
      <c r="B352" s="35" t="s">
        <v>383</v>
      </c>
      <c r="C352" s="36">
        <v>1488</v>
      </c>
      <c r="D352" s="6"/>
      <c r="E352" s="113">
        <v>75483634</v>
      </c>
      <c r="F352" s="116">
        <f t="shared" si="71"/>
        <v>50728.24865591398</v>
      </c>
      <c r="G352" s="117">
        <v>32916963</v>
      </c>
      <c r="H352" s="117">
        <f t="shared" si="72"/>
        <v>22121.614919354837</v>
      </c>
      <c r="I352" s="9"/>
      <c r="J352" s="10">
        <v>8</v>
      </c>
      <c r="K352" s="117">
        <v>263335</v>
      </c>
      <c r="L352" s="120">
        <f t="shared" si="70"/>
        <v>176.97244623655914</v>
      </c>
      <c r="M352" s="122">
        <f t="shared" si="63"/>
        <v>329169.63</v>
      </c>
      <c r="N352" s="116">
        <f t="shared" si="64"/>
        <v>65834.63</v>
      </c>
      <c r="O352" s="123">
        <f t="shared" si="65"/>
        <v>44.243702956989253</v>
      </c>
      <c r="P352" s="5"/>
      <c r="Q352" s="5">
        <f t="shared" si="66"/>
        <v>1</v>
      </c>
      <c r="R352" s="7">
        <f t="shared" si="67"/>
        <v>1488</v>
      </c>
      <c r="S352" s="5">
        <f t="shared" si="68"/>
        <v>1</v>
      </c>
      <c r="T352" s="7">
        <f t="shared" si="69"/>
        <v>1488</v>
      </c>
    </row>
    <row r="353" spans="1:20">
      <c r="A353" s="23" t="s">
        <v>385</v>
      </c>
      <c r="B353" s="35" t="s">
        <v>383</v>
      </c>
      <c r="C353" s="36">
        <v>10510</v>
      </c>
      <c r="D353" s="6"/>
      <c r="E353" s="113">
        <v>582543288</v>
      </c>
      <c r="F353" s="116">
        <f t="shared" si="71"/>
        <v>55427.525023786868</v>
      </c>
      <c r="G353" s="117">
        <v>304566925</v>
      </c>
      <c r="H353" s="117">
        <f t="shared" si="72"/>
        <v>28978.774976213132</v>
      </c>
      <c r="I353" s="7"/>
      <c r="J353" s="10">
        <v>8</v>
      </c>
      <c r="K353" s="117">
        <v>2436535</v>
      </c>
      <c r="L353" s="120">
        <f t="shared" si="70"/>
        <v>231.83016175071361</v>
      </c>
      <c r="M353" s="122">
        <f t="shared" si="63"/>
        <v>3045669.25</v>
      </c>
      <c r="N353" s="116">
        <f t="shared" si="64"/>
        <v>609134.25</v>
      </c>
      <c r="O353" s="123">
        <f t="shared" si="65"/>
        <v>57.957588011417698</v>
      </c>
      <c r="P353" s="5"/>
      <c r="Q353" s="5">
        <f t="shared" si="66"/>
        <v>1</v>
      </c>
      <c r="R353" s="7">
        <f t="shared" si="67"/>
        <v>10510</v>
      </c>
      <c r="S353" s="5">
        <f t="shared" si="68"/>
        <v>1</v>
      </c>
      <c r="T353" s="7">
        <f t="shared" si="69"/>
        <v>10510</v>
      </c>
    </row>
    <row r="354" spans="1:20">
      <c r="A354" s="23" t="s">
        <v>386</v>
      </c>
      <c r="B354" s="35" t="s">
        <v>383</v>
      </c>
      <c r="C354" s="36">
        <v>796</v>
      </c>
      <c r="D354" s="6"/>
      <c r="E354" s="113">
        <v>29317165</v>
      </c>
      <c r="F354" s="116">
        <f t="shared" si="71"/>
        <v>36830.609296482413</v>
      </c>
      <c r="G354" s="117">
        <v>19482357</v>
      </c>
      <c r="H354" s="117">
        <f t="shared" si="72"/>
        <v>24475.32286432161</v>
      </c>
      <c r="I354" s="7"/>
      <c r="J354" s="10">
        <v>7.3049999999999997</v>
      </c>
      <c r="K354" s="117">
        <v>142318</v>
      </c>
      <c r="L354" s="120">
        <f t="shared" si="70"/>
        <v>178.79145728643215</v>
      </c>
      <c r="M354" s="122">
        <f t="shared" si="63"/>
        <v>194823.57</v>
      </c>
      <c r="N354" s="116">
        <f t="shared" si="64"/>
        <v>52505.570000000007</v>
      </c>
      <c r="O354" s="123">
        <f t="shared" si="65"/>
        <v>65.961771356783927</v>
      </c>
      <c r="P354" s="5"/>
      <c r="Q354" s="5">
        <f t="shared" si="66"/>
        <v>1</v>
      </c>
      <c r="R354" s="7">
        <f t="shared" si="67"/>
        <v>796</v>
      </c>
      <c r="S354" s="5">
        <f t="shared" si="68"/>
        <v>1</v>
      </c>
      <c r="T354" s="7">
        <f t="shared" si="69"/>
        <v>796</v>
      </c>
    </row>
    <row r="355" spans="1:20">
      <c r="A355" s="23" t="s">
        <v>387</v>
      </c>
      <c r="B355" s="35" t="s">
        <v>383</v>
      </c>
      <c r="C355" s="36">
        <v>584</v>
      </c>
      <c r="D355" s="6"/>
      <c r="E355" s="113">
        <v>40307155</v>
      </c>
      <c r="F355" s="116">
        <f t="shared" si="71"/>
        <v>69019.101027397264</v>
      </c>
      <c r="G355" s="117">
        <v>29110022</v>
      </c>
      <c r="H355" s="117">
        <f t="shared" si="72"/>
        <v>49845.928082191778</v>
      </c>
      <c r="I355" s="7"/>
      <c r="J355" s="10">
        <v>6.7</v>
      </c>
      <c r="K355" s="117">
        <v>195037</v>
      </c>
      <c r="L355" s="120">
        <f t="shared" si="70"/>
        <v>333.96746575342468</v>
      </c>
      <c r="M355" s="122">
        <f t="shared" si="63"/>
        <v>291100.22000000003</v>
      </c>
      <c r="N355" s="116">
        <f t="shared" si="64"/>
        <v>96063.22000000003</v>
      </c>
      <c r="O355" s="123">
        <f t="shared" si="65"/>
        <v>164.4918150684932</v>
      </c>
      <c r="P355" s="5"/>
      <c r="Q355" s="5">
        <f t="shared" si="66"/>
        <v>1</v>
      </c>
      <c r="R355" s="7">
        <f t="shared" si="67"/>
        <v>584</v>
      </c>
      <c r="S355" s="5">
        <f t="shared" si="68"/>
        <v>1</v>
      </c>
      <c r="T355" s="7">
        <f t="shared" si="69"/>
        <v>584</v>
      </c>
    </row>
    <row r="356" spans="1:20">
      <c r="A356" s="23" t="s">
        <v>390</v>
      </c>
      <c r="B356" s="35" t="s">
        <v>391</v>
      </c>
      <c r="C356" s="36">
        <v>5764</v>
      </c>
      <c r="D356" s="6"/>
      <c r="E356" s="113">
        <v>786299089</v>
      </c>
      <c r="F356" s="116">
        <f t="shared" si="71"/>
        <v>136415.52550312283</v>
      </c>
      <c r="G356" s="117">
        <v>480162079</v>
      </c>
      <c r="H356" s="117">
        <f t="shared" si="72"/>
        <v>83303.622310895211</v>
      </c>
      <c r="I356" s="7"/>
      <c r="J356" s="10">
        <v>1.9</v>
      </c>
      <c r="K356" s="117">
        <v>912307</v>
      </c>
      <c r="L356" s="120">
        <f t="shared" si="70"/>
        <v>158.27671755725191</v>
      </c>
      <c r="M356" s="122">
        <f t="shared" si="63"/>
        <v>4801620.79</v>
      </c>
      <c r="N356" s="116">
        <f t="shared" si="64"/>
        <v>3889313.79</v>
      </c>
      <c r="O356" s="123">
        <f t="shared" si="65"/>
        <v>674.75950555170016</v>
      </c>
      <c r="P356" s="5"/>
      <c r="Q356" s="5">
        <f t="shared" si="66"/>
        <v>1</v>
      </c>
      <c r="R356" s="7">
        <f t="shared" si="67"/>
        <v>5764</v>
      </c>
      <c r="S356" s="5">
        <f t="shared" si="68"/>
        <v>1</v>
      </c>
      <c r="T356" s="7">
        <f t="shared" si="69"/>
        <v>5764</v>
      </c>
    </row>
    <row r="357" spans="1:20">
      <c r="A357" s="23" t="s">
        <v>392</v>
      </c>
      <c r="B357" s="35" t="s">
        <v>391</v>
      </c>
      <c r="C357" s="36">
        <v>566</v>
      </c>
      <c r="D357" s="6"/>
      <c r="E357" s="113">
        <v>47583579</v>
      </c>
      <c r="F357" s="116">
        <f t="shared" si="71"/>
        <v>84069.927561837452</v>
      </c>
      <c r="G357" s="117">
        <v>32819920</v>
      </c>
      <c r="H357" s="117">
        <f t="shared" si="72"/>
        <v>57985.724381625441</v>
      </c>
      <c r="I357" s="7"/>
      <c r="J357" s="10">
        <v>2</v>
      </c>
      <c r="K357" s="117">
        <v>65639</v>
      </c>
      <c r="L357" s="120">
        <f t="shared" si="70"/>
        <v>115.96996466431095</v>
      </c>
      <c r="M357" s="122">
        <f t="shared" si="63"/>
        <v>328199.2</v>
      </c>
      <c r="N357" s="116">
        <f t="shared" si="64"/>
        <v>262560.2</v>
      </c>
      <c r="O357" s="123">
        <f t="shared" si="65"/>
        <v>463.88727915194346</v>
      </c>
      <c r="P357" s="5"/>
      <c r="Q357" s="5">
        <f t="shared" si="66"/>
        <v>1</v>
      </c>
      <c r="R357" s="7">
        <f t="shared" si="67"/>
        <v>566</v>
      </c>
      <c r="S357" s="5">
        <f t="shared" si="68"/>
        <v>1</v>
      </c>
      <c r="T357" s="7">
        <f t="shared" si="69"/>
        <v>566</v>
      </c>
    </row>
    <row r="358" spans="1:20">
      <c r="A358" s="23" t="s">
        <v>393</v>
      </c>
      <c r="B358" s="35" t="s">
        <v>391</v>
      </c>
      <c r="C358" s="36">
        <v>7288</v>
      </c>
      <c r="D358" s="6"/>
      <c r="E358" s="113">
        <v>374549925</v>
      </c>
      <c r="F358" s="116">
        <f t="shared" si="71"/>
        <v>51392.690038419321</v>
      </c>
      <c r="G358" s="117">
        <v>243559127</v>
      </c>
      <c r="H358" s="117">
        <f t="shared" si="72"/>
        <v>33419.19964324918</v>
      </c>
      <c r="I358" s="7"/>
      <c r="J358" s="10">
        <v>2.75</v>
      </c>
      <c r="K358" s="117">
        <v>669787</v>
      </c>
      <c r="L358" s="120">
        <f t="shared" si="70"/>
        <v>91.902716794731063</v>
      </c>
      <c r="M358" s="122">
        <f t="shared" si="63"/>
        <v>2435591.27</v>
      </c>
      <c r="N358" s="116">
        <f t="shared" si="64"/>
        <v>1765804.27</v>
      </c>
      <c r="O358" s="123">
        <f t="shared" si="65"/>
        <v>242.2892796377607</v>
      </c>
      <c r="P358" s="5"/>
      <c r="Q358" s="5">
        <f t="shared" si="66"/>
        <v>1</v>
      </c>
      <c r="R358" s="7">
        <f t="shared" si="67"/>
        <v>7288</v>
      </c>
      <c r="S358" s="5">
        <f t="shared" si="68"/>
        <v>1</v>
      </c>
      <c r="T358" s="7">
        <f t="shared" si="69"/>
        <v>7288</v>
      </c>
    </row>
    <row r="359" spans="1:20">
      <c r="A359" s="23" t="s">
        <v>394</v>
      </c>
      <c r="B359" s="35" t="s">
        <v>395</v>
      </c>
      <c r="C359" s="36">
        <v>31352</v>
      </c>
      <c r="D359" s="6"/>
      <c r="E359" s="113">
        <v>1809057273</v>
      </c>
      <c r="F359" s="116">
        <f t="shared" si="71"/>
        <v>57701.495056136773</v>
      </c>
      <c r="G359" s="117">
        <v>1318686987</v>
      </c>
      <c r="H359" s="117">
        <f t="shared" si="72"/>
        <v>42060.697467466191</v>
      </c>
      <c r="I359" s="7"/>
      <c r="J359" s="10">
        <v>5</v>
      </c>
      <c r="K359" s="117">
        <v>6593434</v>
      </c>
      <c r="L359" s="120">
        <f t="shared" si="70"/>
        <v>210.30345751467212</v>
      </c>
      <c r="M359" s="122">
        <f t="shared" si="63"/>
        <v>13186869.870000001</v>
      </c>
      <c r="N359" s="116">
        <f t="shared" si="64"/>
        <v>6593435.870000001</v>
      </c>
      <c r="O359" s="123">
        <f t="shared" si="65"/>
        <v>210.30351715998984</v>
      </c>
      <c r="P359" s="5"/>
      <c r="Q359" s="5">
        <f t="shared" si="66"/>
        <v>1</v>
      </c>
      <c r="R359" s="7">
        <f t="shared" si="67"/>
        <v>31352</v>
      </c>
      <c r="S359" s="5">
        <f t="shared" si="68"/>
        <v>1</v>
      </c>
      <c r="T359" s="7">
        <f t="shared" si="69"/>
        <v>31352</v>
      </c>
    </row>
    <row r="360" spans="1:20">
      <c r="A360" s="23" t="s">
        <v>395</v>
      </c>
      <c r="B360" s="35" t="s">
        <v>395</v>
      </c>
      <c r="C360" s="36">
        <v>54434</v>
      </c>
      <c r="D360" s="6"/>
      <c r="E360" s="113">
        <v>8436202159</v>
      </c>
      <c r="F360" s="116">
        <f t="shared" si="71"/>
        <v>154980.38283058384</v>
      </c>
      <c r="G360" s="117">
        <v>5589481929</v>
      </c>
      <c r="H360" s="117">
        <f t="shared" si="72"/>
        <v>102683.6522945218</v>
      </c>
      <c r="I360" s="7"/>
      <c r="J360" s="10">
        <v>2.6917</v>
      </c>
      <c r="K360" s="117">
        <v>15045208</v>
      </c>
      <c r="L360" s="120">
        <f t="shared" si="70"/>
        <v>276.39357754344712</v>
      </c>
      <c r="M360" s="122">
        <f t="shared" si="63"/>
        <v>55894819.289999999</v>
      </c>
      <c r="N360" s="116">
        <f t="shared" si="64"/>
        <v>40849611.289999999</v>
      </c>
      <c r="O360" s="123">
        <f t="shared" si="65"/>
        <v>750.44294540177088</v>
      </c>
      <c r="P360" s="5"/>
      <c r="Q360" s="5">
        <f t="shared" si="66"/>
        <v>1</v>
      </c>
      <c r="R360" s="7">
        <f t="shared" si="67"/>
        <v>54434</v>
      </c>
      <c r="S360" s="5">
        <f t="shared" si="68"/>
        <v>1</v>
      </c>
      <c r="T360" s="7">
        <f t="shared" si="69"/>
        <v>54434</v>
      </c>
    </row>
    <row r="361" spans="1:20">
      <c r="A361" s="23" t="s">
        <v>396</v>
      </c>
      <c r="B361" s="35" t="s">
        <v>395</v>
      </c>
      <c r="C361" s="36">
        <v>19290</v>
      </c>
      <c r="D361" s="6"/>
      <c r="E361" s="113">
        <v>2813383909</v>
      </c>
      <c r="F361" s="116">
        <f t="shared" si="71"/>
        <v>145846.75526179367</v>
      </c>
      <c r="G361" s="117">
        <v>2101878952</v>
      </c>
      <c r="H361" s="117">
        <f t="shared" si="72"/>
        <v>108962.10222913427</v>
      </c>
      <c r="I361" s="7"/>
      <c r="J361" s="10">
        <v>3.2745000000000002</v>
      </c>
      <c r="K361" s="117">
        <v>6882602</v>
      </c>
      <c r="L361" s="120">
        <f t="shared" si="70"/>
        <v>356.79637117677555</v>
      </c>
      <c r="M361" s="122">
        <f t="shared" si="63"/>
        <v>21018789.52</v>
      </c>
      <c r="N361" s="116">
        <f t="shared" si="64"/>
        <v>14136187.52</v>
      </c>
      <c r="O361" s="123">
        <f t="shared" si="65"/>
        <v>732.82465111456713</v>
      </c>
      <c r="P361" s="5"/>
      <c r="Q361" s="5">
        <f t="shared" si="66"/>
        <v>1</v>
      </c>
      <c r="R361" s="7">
        <f t="shared" si="67"/>
        <v>19290</v>
      </c>
      <c r="S361" s="5">
        <f t="shared" si="68"/>
        <v>1</v>
      </c>
      <c r="T361" s="7">
        <f t="shared" si="69"/>
        <v>19290</v>
      </c>
    </row>
    <row r="362" spans="1:20">
      <c r="A362" s="23" t="s">
        <v>397</v>
      </c>
      <c r="B362" s="35" t="s">
        <v>360</v>
      </c>
      <c r="C362" s="36">
        <v>42466</v>
      </c>
      <c r="D362" s="6"/>
      <c r="E362" s="113">
        <v>2737787195</v>
      </c>
      <c r="F362" s="116">
        <f t="shared" si="71"/>
        <v>64470.098313945273</v>
      </c>
      <c r="G362" s="117">
        <v>2276027081</v>
      </c>
      <c r="H362" s="117">
        <f t="shared" si="72"/>
        <v>53596.455540903313</v>
      </c>
      <c r="I362" s="7"/>
      <c r="J362" s="10">
        <v>2.6659999999999999</v>
      </c>
      <c r="K362" s="117">
        <v>6067888</v>
      </c>
      <c r="L362" s="120">
        <f t="shared" si="70"/>
        <v>142.88814581076625</v>
      </c>
      <c r="M362" s="122">
        <f t="shared" si="63"/>
        <v>22760270.809999999</v>
      </c>
      <c r="N362" s="116">
        <f t="shared" si="64"/>
        <v>16692382.809999999</v>
      </c>
      <c r="O362" s="123">
        <f t="shared" si="65"/>
        <v>393.07640959826682</v>
      </c>
      <c r="P362" s="5"/>
      <c r="Q362" s="5">
        <f t="shared" si="66"/>
        <v>1</v>
      </c>
      <c r="R362" s="7">
        <f t="shared" si="67"/>
        <v>42466</v>
      </c>
      <c r="S362" s="5">
        <f t="shared" si="68"/>
        <v>1</v>
      </c>
      <c r="T362" s="7">
        <f t="shared" si="69"/>
        <v>42466</v>
      </c>
    </row>
    <row r="363" spans="1:20">
      <c r="A363" s="23" t="s">
        <v>398</v>
      </c>
      <c r="B363" s="35" t="s">
        <v>360</v>
      </c>
      <c r="C363" s="36">
        <v>24439</v>
      </c>
      <c r="D363" s="6"/>
      <c r="E363" s="113">
        <v>1220338878</v>
      </c>
      <c r="F363" s="116">
        <f t="shared" si="71"/>
        <v>49934.075780514751</v>
      </c>
      <c r="G363" s="117">
        <v>951955479</v>
      </c>
      <c r="H363" s="117">
        <f t="shared" si="72"/>
        <v>38952.308973362247</v>
      </c>
      <c r="I363" s="7"/>
      <c r="J363" s="10">
        <v>3.9</v>
      </c>
      <c r="K363" s="117">
        <v>3712626</v>
      </c>
      <c r="L363" s="120">
        <f t="shared" si="70"/>
        <v>151.9139899341217</v>
      </c>
      <c r="M363" s="122">
        <f t="shared" si="63"/>
        <v>9519554.790000001</v>
      </c>
      <c r="N363" s="116">
        <f t="shared" si="64"/>
        <v>5806928.790000001</v>
      </c>
      <c r="O363" s="123">
        <f t="shared" si="65"/>
        <v>237.60909979950083</v>
      </c>
      <c r="P363" s="5"/>
      <c r="Q363" s="5">
        <f t="shared" si="66"/>
        <v>1</v>
      </c>
      <c r="R363" s="7">
        <f t="shared" si="67"/>
        <v>24439</v>
      </c>
      <c r="S363" s="5">
        <f t="shared" si="68"/>
        <v>1</v>
      </c>
      <c r="T363" s="7">
        <f t="shared" si="69"/>
        <v>24439</v>
      </c>
    </row>
    <row r="364" spans="1:20">
      <c r="A364" s="23" t="s">
        <v>399</v>
      </c>
      <c r="B364" s="35" t="s">
        <v>360</v>
      </c>
      <c r="C364" s="36">
        <v>13163</v>
      </c>
      <c r="D364" s="6"/>
      <c r="E364" s="113">
        <v>1778471629</v>
      </c>
      <c r="F364" s="116">
        <f t="shared" si="71"/>
        <v>135111.42057281773</v>
      </c>
      <c r="G364" s="117">
        <v>1544834181</v>
      </c>
      <c r="H364" s="117">
        <f t="shared" si="72"/>
        <v>117361.86135379472</v>
      </c>
      <c r="I364" s="7"/>
      <c r="J364" s="10">
        <v>3.9998</v>
      </c>
      <c r="K364" s="117">
        <v>6179027</v>
      </c>
      <c r="L364" s="120">
        <f t="shared" si="70"/>
        <v>469.42391552077794</v>
      </c>
      <c r="M364" s="122">
        <f t="shared" si="63"/>
        <v>15448341.810000001</v>
      </c>
      <c r="N364" s="116">
        <f t="shared" si="64"/>
        <v>9269314.8100000005</v>
      </c>
      <c r="O364" s="123">
        <f t="shared" si="65"/>
        <v>704.19469801716934</v>
      </c>
      <c r="P364" s="5"/>
      <c r="Q364" s="5">
        <f t="shared" si="66"/>
        <v>1</v>
      </c>
      <c r="R364" s="7">
        <f t="shared" si="67"/>
        <v>13163</v>
      </c>
      <c r="S364" s="5">
        <f t="shared" si="68"/>
        <v>1</v>
      </c>
      <c r="T364" s="7">
        <f t="shared" si="69"/>
        <v>13163</v>
      </c>
    </row>
    <row r="365" spans="1:20">
      <c r="A365" s="23" t="s">
        <v>400</v>
      </c>
      <c r="B365" s="35" t="s">
        <v>360</v>
      </c>
      <c r="C365" s="36">
        <v>13815</v>
      </c>
      <c r="D365" s="6"/>
      <c r="E365" s="113">
        <v>1001867216</v>
      </c>
      <c r="F365" s="116">
        <f t="shared" si="71"/>
        <v>72520.24726746291</v>
      </c>
      <c r="G365" s="117">
        <v>779951286</v>
      </c>
      <c r="H365" s="117">
        <f t="shared" si="72"/>
        <v>56456.842996742671</v>
      </c>
      <c r="I365" s="7"/>
      <c r="J365" s="10">
        <v>4.67</v>
      </c>
      <c r="K365" s="117">
        <v>3642372</v>
      </c>
      <c r="L365" s="120">
        <f t="shared" si="70"/>
        <v>263.65342019543976</v>
      </c>
      <c r="M365" s="122">
        <f t="shared" si="63"/>
        <v>7799512.8600000003</v>
      </c>
      <c r="N365" s="116">
        <f t="shared" si="64"/>
        <v>4157140.8600000003</v>
      </c>
      <c r="O365" s="123">
        <f t="shared" si="65"/>
        <v>300.915009771987</v>
      </c>
      <c r="P365" s="5"/>
      <c r="Q365" s="5">
        <f t="shared" si="66"/>
        <v>1</v>
      </c>
      <c r="R365" s="7">
        <f t="shared" si="67"/>
        <v>13815</v>
      </c>
      <c r="S365" s="5">
        <f t="shared" si="68"/>
        <v>1</v>
      </c>
      <c r="T365" s="7">
        <f t="shared" si="69"/>
        <v>13815</v>
      </c>
    </row>
    <row r="366" spans="1:20">
      <c r="A366" s="23" t="s">
        <v>401</v>
      </c>
      <c r="B366" s="35" t="s">
        <v>360</v>
      </c>
      <c r="C366" s="36">
        <v>29018</v>
      </c>
      <c r="D366" s="6"/>
      <c r="E366" s="113">
        <v>1769100942</v>
      </c>
      <c r="F366" s="116">
        <f t="shared" si="71"/>
        <v>60965.64001654146</v>
      </c>
      <c r="G366" s="117">
        <v>1339997888</v>
      </c>
      <c r="H366" s="117">
        <f t="shared" si="72"/>
        <v>46178.161417051488</v>
      </c>
      <c r="I366" s="7"/>
      <c r="J366" s="10">
        <v>5.335</v>
      </c>
      <c r="K366" s="117">
        <v>7148888</v>
      </c>
      <c r="L366" s="120">
        <f t="shared" si="70"/>
        <v>246.36046591770625</v>
      </c>
      <c r="M366" s="122">
        <f t="shared" si="63"/>
        <v>13399978.880000001</v>
      </c>
      <c r="N366" s="116">
        <f t="shared" si="64"/>
        <v>6251090.8800000008</v>
      </c>
      <c r="O366" s="123">
        <f t="shared" si="65"/>
        <v>215.42114825280862</v>
      </c>
      <c r="P366" s="5"/>
      <c r="Q366" s="5">
        <f t="shared" si="66"/>
        <v>1</v>
      </c>
      <c r="R366" s="7">
        <f t="shared" si="67"/>
        <v>29018</v>
      </c>
      <c r="S366" s="5">
        <f t="shared" si="68"/>
        <v>1</v>
      </c>
      <c r="T366" s="7">
        <f t="shared" si="69"/>
        <v>29018</v>
      </c>
    </row>
    <row r="367" spans="1:20">
      <c r="A367" s="23" t="s">
        <v>402</v>
      </c>
      <c r="B367" s="35" t="s">
        <v>360</v>
      </c>
      <c r="C367" s="36">
        <v>44549</v>
      </c>
      <c r="D367" s="6"/>
      <c r="E367" s="113">
        <v>2255009010</v>
      </c>
      <c r="F367" s="116">
        <f t="shared" si="71"/>
        <v>50618.622415766906</v>
      </c>
      <c r="G367" s="117">
        <v>1602086553</v>
      </c>
      <c r="H367" s="117">
        <f t="shared" si="72"/>
        <v>35962.34602347976</v>
      </c>
      <c r="I367" s="7"/>
      <c r="J367" s="10">
        <v>6.4749999999999996</v>
      </c>
      <c r="K367" s="117">
        <v>10373510</v>
      </c>
      <c r="L367" s="120">
        <f t="shared" si="70"/>
        <v>232.85618083458664</v>
      </c>
      <c r="M367" s="122">
        <f t="shared" si="63"/>
        <v>16020865.530000001</v>
      </c>
      <c r="N367" s="116">
        <f t="shared" si="64"/>
        <v>5647355.5300000012</v>
      </c>
      <c r="O367" s="123">
        <f t="shared" si="65"/>
        <v>126.76727940021102</v>
      </c>
      <c r="P367" s="5"/>
      <c r="Q367" s="5">
        <f t="shared" si="66"/>
        <v>1</v>
      </c>
      <c r="R367" s="7">
        <f t="shared" si="67"/>
        <v>44549</v>
      </c>
      <c r="S367" s="5">
        <f t="shared" si="68"/>
        <v>1</v>
      </c>
      <c r="T367" s="7">
        <f t="shared" si="69"/>
        <v>44549</v>
      </c>
    </row>
    <row r="368" spans="1:20">
      <c r="A368" s="23" t="s">
        <v>403</v>
      </c>
      <c r="B368" s="35" t="s">
        <v>360</v>
      </c>
      <c r="C368" s="36">
        <v>32572</v>
      </c>
      <c r="D368" s="6"/>
      <c r="E368" s="113">
        <v>1871936797</v>
      </c>
      <c r="F368" s="116">
        <f t="shared" si="71"/>
        <v>57470.735509026155</v>
      </c>
      <c r="G368" s="117">
        <v>1365985321</v>
      </c>
      <c r="H368" s="117">
        <f t="shared" si="72"/>
        <v>41937.410076139015</v>
      </c>
      <c r="I368" s="7"/>
      <c r="J368" s="10">
        <v>4.3</v>
      </c>
      <c r="K368" s="117">
        <v>5873736</v>
      </c>
      <c r="L368" s="120">
        <f t="shared" si="70"/>
        <v>180.33083630111753</v>
      </c>
      <c r="M368" s="122">
        <f t="shared" si="63"/>
        <v>13659853.210000001</v>
      </c>
      <c r="N368" s="116">
        <f t="shared" si="64"/>
        <v>7786117.2100000009</v>
      </c>
      <c r="O368" s="123">
        <f t="shared" si="65"/>
        <v>239.04326446027267</v>
      </c>
      <c r="P368" s="5"/>
      <c r="Q368" s="5">
        <f t="shared" si="66"/>
        <v>1</v>
      </c>
      <c r="R368" s="7">
        <f t="shared" si="67"/>
        <v>32572</v>
      </c>
      <c r="S368" s="5">
        <f t="shared" si="68"/>
        <v>1</v>
      </c>
      <c r="T368" s="7">
        <f t="shared" si="69"/>
        <v>32572</v>
      </c>
    </row>
    <row r="369" spans="1:20">
      <c r="A369" s="23" t="s">
        <v>388</v>
      </c>
      <c r="B369" s="35" t="s">
        <v>551</v>
      </c>
      <c r="C369" s="36">
        <v>616</v>
      </c>
      <c r="D369" s="6"/>
      <c r="E369" s="113">
        <v>26805790</v>
      </c>
      <c r="F369" s="116">
        <f t="shared" si="71"/>
        <v>43515.892857142855</v>
      </c>
      <c r="G369" s="117">
        <v>17290767</v>
      </c>
      <c r="H369" s="117">
        <f t="shared" si="72"/>
        <v>28069.426948051947</v>
      </c>
      <c r="I369" s="7"/>
      <c r="J369" s="10">
        <v>8</v>
      </c>
      <c r="K369" s="117">
        <v>138326</v>
      </c>
      <c r="L369" s="120">
        <f t="shared" si="70"/>
        <v>224.55519480519482</v>
      </c>
      <c r="M369" s="122">
        <f t="shared" si="63"/>
        <v>172907.67</v>
      </c>
      <c r="N369" s="116">
        <f t="shared" si="64"/>
        <v>34581.670000000013</v>
      </c>
      <c r="O369" s="123">
        <f t="shared" si="65"/>
        <v>56.139074675324693</v>
      </c>
      <c r="P369" s="5"/>
      <c r="Q369" s="5">
        <f t="shared" si="66"/>
        <v>1</v>
      </c>
      <c r="R369" s="7">
        <f t="shared" si="67"/>
        <v>616</v>
      </c>
      <c r="S369" s="5">
        <f t="shared" si="68"/>
        <v>1</v>
      </c>
      <c r="T369" s="7">
        <f t="shared" si="69"/>
        <v>616</v>
      </c>
    </row>
    <row r="370" spans="1:20">
      <c r="A370" s="23" t="s">
        <v>549</v>
      </c>
      <c r="B370" s="35" t="s">
        <v>551</v>
      </c>
      <c r="C370" s="36">
        <v>13245</v>
      </c>
      <c r="D370" s="6"/>
      <c r="E370" s="113">
        <v>1427591890</v>
      </c>
      <c r="F370" s="116">
        <f t="shared" si="71"/>
        <v>107783.45715364288</v>
      </c>
      <c r="G370" s="117">
        <v>938264306</v>
      </c>
      <c r="H370" s="117">
        <f t="shared" si="72"/>
        <v>70839.1322008305</v>
      </c>
      <c r="I370" s="7"/>
      <c r="J370" s="10">
        <v>6.6</v>
      </c>
      <c r="K370" s="117">
        <v>6192544</v>
      </c>
      <c r="L370" s="120">
        <f t="shared" si="70"/>
        <v>467.5382408456021</v>
      </c>
      <c r="M370" s="122">
        <f t="shared" si="63"/>
        <v>9382643.0600000005</v>
      </c>
      <c r="N370" s="116">
        <f t="shared" si="64"/>
        <v>3190099.0600000005</v>
      </c>
      <c r="O370" s="123">
        <f t="shared" si="65"/>
        <v>240.85308116270295</v>
      </c>
      <c r="P370" s="5"/>
      <c r="Q370" s="5">
        <f t="shared" si="66"/>
        <v>1</v>
      </c>
      <c r="R370" s="7">
        <f t="shared" si="67"/>
        <v>13245</v>
      </c>
      <c r="S370" s="5">
        <f t="shared" si="68"/>
        <v>1</v>
      </c>
      <c r="T370" s="7">
        <f t="shared" si="69"/>
        <v>13245</v>
      </c>
    </row>
    <row r="371" spans="1:20">
      <c r="A371" s="23" t="s">
        <v>550</v>
      </c>
      <c r="B371" s="35" t="s">
        <v>551</v>
      </c>
      <c r="C371" s="36">
        <v>5214</v>
      </c>
      <c r="D371" s="6"/>
      <c r="E371" s="113">
        <v>718880307</v>
      </c>
      <c r="F371" s="116">
        <f t="shared" si="71"/>
        <v>137875.01093210586</v>
      </c>
      <c r="G371" s="117">
        <v>604902185</v>
      </c>
      <c r="H371" s="117">
        <f t="shared" si="72"/>
        <v>116014.99520521672</v>
      </c>
      <c r="I371" s="7"/>
      <c r="J371" s="10">
        <v>2</v>
      </c>
      <c r="K371" s="117">
        <v>1209804</v>
      </c>
      <c r="L371" s="120">
        <f t="shared" ref="L371:L376" si="73">(K371/C371)</f>
        <v>232.02991944764096</v>
      </c>
      <c r="M371" s="122">
        <f t="shared" si="63"/>
        <v>6049021.8500000006</v>
      </c>
      <c r="N371" s="116">
        <f t="shared" si="64"/>
        <v>4839217.8500000006</v>
      </c>
      <c r="O371" s="123">
        <f t="shared" si="65"/>
        <v>928.12003260452639</v>
      </c>
      <c r="P371" s="5"/>
      <c r="Q371" s="5">
        <f t="shared" si="66"/>
        <v>1</v>
      </c>
      <c r="R371" s="7">
        <f t="shared" si="67"/>
        <v>5214</v>
      </c>
      <c r="S371" s="5">
        <f t="shared" si="68"/>
        <v>1</v>
      </c>
      <c r="T371" s="7">
        <f t="shared" si="69"/>
        <v>5214</v>
      </c>
    </row>
    <row r="372" spans="1:20">
      <c r="A372" s="23" t="s">
        <v>389</v>
      </c>
      <c r="B372" s="35" t="s">
        <v>552</v>
      </c>
      <c r="C372" s="36">
        <v>38732</v>
      </c>
      <c r="D372" s="6"/>
      <c r="E372" s="113">
        <v>2003636203</v>
      </c>
      <c r="F372" s="116">
        <f t="shared" si="71"/>
        <v>51730.770499845086</v>
      </c>
      <c r="G372" s="117">
        <v>1244285515</v>
      </c>
      <c r="H372" s="117">
        <f t="shared" si="72"/>
        <v>32125.516756170608</v>
      </c>
      <c r="I372" s="7"/>
      <c r="J372" s="10">
        <v>7.8304999999999998</v>
      </c>
      <c r="K372" s="117">
        <v>9743377</v>
      </c>
      <c r="L372" s="120">
        <f t="shared" si="73"/>
        <v>251.5588402354642</v>
      </c>
      <c r="M372" s="122">
        <f t="shared" si="63"/>
        <v>12442855.15</v>
      </c>
      <c r="N372" s="116">
        <f t="shared" si="64"/>
        <v>2699478.1500000004</v>
      </c>
      <c r="O372" s="123">
        <f t="shared" si="65"/>
        <v>69.696327326241871</v>
      </c>
      <c r="P372" s="5"/>
      <c r="Q372" s="5">
        <f t="shared" si="66"/>
        <v>1</v>
      </c>
      <c r="R372" s="7">
        <f t="shared" si="67"/>
        <v>38732</v>
      </c>
      <c r="S372" s="5">
        <f t="shared" si="68"/>
        <v>1</v>
      </c>
      <c r="T372" s="7">
        <f t="shared" si="69"/>
        <v>38732</v>
      </c>
    </row>
    <row r="373" spans="1:20">
      <c r="A373" s="23" t="s">
        <v>553</v>
      </c>
      <c r="B373" s="35" t="s">
        <v>552</v>
      </c>
      <c r="C373" s="36">
        <v>103072</v>
      </c>
      <c r="D373" s="6"/>
      <c r="E373" s="113">
        <v>5775245697</v>
      </c>
      <c r="F373" s="116">
        <f t="shared" si="71"/>
        <v>56031.179146615956</v>
      </c>
      <c r="G373" s="117">
        <v>4197584257</v>
      </c>
      <c r="H373" s="117">
        <f t="shared" si="72"/>
        <v>40724.77740802546</v>
      </c>
      <c r="I373" s="7"/>
      <c r="J373" s="10">
        <v>4.9398999999999997</v>
      </c>
      <c r="K373" s="117">
        <v>20735646</v>
      </c>
      <c r="L373" s="120">
        <f t="shared" si="73"/>
        <v>201.17632334678672</v>
      </c>
      <c r="M373" s="122">
        <f t="shared" si="63"/>
        <v>41975842.57</v>
      </c>
      <c r="N373" s="116">
        <f t="shared" si="64"/>
        <v>21240196.57</v>
      </c>
      <c r="O373" s="123">
        <f t="shared" si="65"/>
        <v>206.07145073346788</v>
      </c>
      <c r="P373" s="5"/>
      <c r="Q373" s="5">
        <f t="shared" si="66"/>
        <v>1</v>
      </c>
      <c r="R373" s="7">
        <f t="shared" si="67"/>
        <v>103072</v>
      </c>
      <c r="S373" s="5">
        <f t="shared" si="68"/>
        <v>1</v>
      </c>
      <c r="T373" s="7">
        <f t="shared" si="69"/>
        <v>103072</v>
      </c>
    </row>
    <row r="374" spans="1:20">
      <c r="A374" s="23" t="s">
        <v>554</v>
      </c>
      <c r="B374" s="35" t="s">
        <v>552</v>
      </c>
      <c r="C374" s="36">
        <v>622</v>
      </c>
      <c r="D374" s="6"/>
      <c r="E374" s="113">
        <v>55400630</v>
      </c>
      <c r="F374" s="116">
        <f t="shared" si="71"/>
        <v>89068.536977491967</v>
      </c>
      <c r="G374" s="117">
        <v>38096189</v>
      </c>
      <c r="H374" s="117">
        <f t="shared" si="72"/>
        <v>61247.892282958201</v>
      </c>
      <c r="I374" s="7"/>
      <c r="J374" s="10">
        <v>1</v>
      </c>
      <c r="K374" s="117">
        <v>38096</v>
      </c>
      <c r="L374" s="120">
        <f t="shared" si="73"/>
        <v>61.247588424437296</v>
      </c>
      <c r="M374" s="122">
        <f t="shared" si="63"/>
        <v>380961.89</v>
      </c>
      <c r="N374" s="116">
        <f t="shared" si="64"/>
        <v>342865.89</v>
      </c>
      <c r="O374" s="123">
        <f t="shared" si="65"/>
        <v>551.23133440514471</v>
      </c>
      <c r="P374" s="5"/>
      <c r="Q374" s="5">
        <f t="shared" si="66"/>
        <v>1</v>
      </c>
      <c r="R374" s="7">
        <f t="shared" si="67"/>
        <v>622</v>
      </c>
      <c r="S374" s="5">
        <f t="shared" si="68"/>
        <v>1</v>
      </c>
      <c r="T374" s="7">
        <f t="shared" si="69"/>
        <v>622</v>
      </c>
    </row>
    <row r="375" spans="1:20">
      <c r="A375" s="23" t="s">
        <v>404</v>
      </c>
      <c r="B375" s="35" t="s">
        <v>405</v>
      </c>
      <c r="C375" s="36">
        <v>2119</v>
      </c>
      <c r="D375" s="6"/>
      <c r="E375" s="113">
        <v>112464567</v>
      </c>
      <c r="F375" s="116">
        <f t="shared" si="71"/>
        <v>53074.359131665879</v>
      </c>
      <c r="G375" s="117">
        <v>84450878</v>
      </c>
      <c r="H375" s="117">
        <f t="shared" si="72"/>
        <v>39854.118924020768</v>
      </c>
      <c r="I375" s="7"/>
      <c r="J375" s="10">
        <v>3.5</v>
      </c>
      <c r="K375" s="117">
        <v>295578</v>
      </c>
      <c r="L375" s="120">
        <f t="shared" si="73"/>
        <v>139.48938178386032</v>
      </c>
      <c r="M375" s="122">
        <f t="shared" si="63"/>
        <v>844508.78</v>
      </c>
      <c r="N375" s="116">
        <f t="shared" si="64"/>
        <v>548930.78</v>
      </c>
      <c r="O375" s="123">
        <f t="shared" si="65"/>
        <v>259.05180745634732</v>
      </c>
      <c r="P375" s="5"/>
      <c r="Q375" s="5">
        <f t="shared" si="66"/>
        <v>1</v>
      </c>
      <c r="R375" s="7">
        <f t="shared" si="67"/>
        <v>2119</v>
      </c>
      <c r="S375" s="5">
        <f t="shared" si="68"/>
        <v>1</v>
      </c>
      <c r="T375" s="7">
        <f t="shared" si="69"/>
        <v>2119</v>
      </c>
    </row>
    <row r="376" spans="1:20">
      <c r="A376" s="23" t="s">
        <v>406</v>
      </c>
      <c r="B376" s="35" t="s">
        <v>405</v>
      </c>
      <c r="C376" s="36">
        <v>930</v>
      </c>
      <c r="D376" s="6"/>
      <c r="E376" s="113">
        <v>16675135</v>
      </c>
      <c r="F376" s="116">
        <f t="shared" si="71"/>
        <v>17930.252688172044</v>
      </c>
      <c r="G376" s="117">
        <v>8807945</v>
      </c>
      <c r="H376" s="117">
        <f t="shared" si="72"/>
        <v>9470.9086021505373</v>
      </c>
      <c r="I376" s="7"/>
      <c r="J376" s="10">
        <v>2</v>
      </c>
      <c r="K376" s="117">
        <v>17615</v>
      </c>
      <c r="L376" s="120">
        <f t="shared" si="73"/>
        <v>18.940860215053764</v>
      </c>
      <c r="M376" s="122">
        <f t="shared" si="63"/>
        <v>88079.45</v>
      </c>
      <c r="N376" s="116">
        <f t="shared" si="64"/>
        <v>70464.45</v>
      </c>
      <c r="O376" s="123">
        <f t="shared" si="65"/>
        <v>75.768225806451611</v>
      </c>
      <c r="P376" s="5"/>
      <c r="Q376" s="5">
        <f t="shared" si="66"/>
        <v>1</v>
      </c>
      <c r="R376" s="7">
        <f t="shared" si="67"/>
        <v>930</v>
      </c>
      <c r="S376" s="5">
        <f t="shared" si="68"/>
        <v>1</v>
      </c>
      <c r="T376" s="7">
        <f t="shared" si="69"/>
        <v>930</v>
      </c>
    </row>
    <row r="377" spans="1:20">
      <c r="A377" s="23" t="s">
        <v>407</v>
      </c>
      <c r="B377" s="35" t="s">
        <v>405</v>
      </c>
      <c r="C377" s="36">
        <v>642</v>
      </c>
      <c r="D377" s="6"/>
      <c r="E377" s="113">
        <v>15677605</v>
      </c>
      <c r="F377" s="116">
        <f t="shared" si="71"/>
        <v>24419.945482866042</v>
      </c>
      <c r="G377" s="117">
        <v>8320248</v>
      </c>
      <c r="H377" s="117">
        <f t="shared" si="72"/>
        <v>12959.88785046729</v>
      </c>
      <c r="I377" s="98" t="s">
        <v>528</v>
      </c>
      <c r="J377" s="10"/>
      <c r="K377" s="117"/>
      <c r="L377" s="120"/>
      <c r="M377" s="122">
        <f t="shared" si="63"/>
        <v>83202.48</v>
      </c>
      <c r="N377" s="116">
        <f t="shared" si="64"/>
        <v>83202.48</v>
      </c>
      <c r="O377" s="123">
        <f t="shared" si="65"/>
        <v>129.59887850467288</v>
      </c>
      <c r="P377" s="5"/>
      <c r="Q377" s="5">
        <f t="shared" si="66"/>
        <v>1</v>
      </c>
      <c r="R377" s="7">
        <f t="shared" si="67"/>
        <v>642</v>
      </c>
      <c r="S377" s="5">
        <f t="shared" si="68"/>
        <v>0</v>
      </c>
      <c r="T377" s="7">
        <f t="shared" si="69"/>
        <v>0</v>
      </c>
    </row>
    <row r="378" spans="1:20">
      <c r="A378" s="23" t="s">
        <v>408</v>
      </c>
      <c r="B378" s="35" t="s">
        <v>405</v>
      </c>
      <c r="C378" s="36">
        <v>802</v>
      </c>
      <c r="D378" s="6"/>
      <c r="E378" s="113">
        <v>16395545</v>
      </c>
      <c r="F378" s="116">
        <f t="shared" si="71"/>
        <v>20443.32294264339</v>
      </c>
      <c r="G378" s="117">
        <v>11073545</v>
      </c>
      <c r="H378" s="117">
        <f t="shared" si="72"/>
        <v>13807.412718204489</v>
      </c>
      <c r="I378" s="7"/>
      <c r="J378" s="10">
        <v>6</v>
      </c>
      <c r="K378" s="117">
        <v>66441</v>
      </c>
      <c r="L378" s="120">
        <f t="shared" ref="L378:L383" si="74">(K378/C378)</f>
        <v>82.844139650872819</v>
      </c>
      <c r="M378" s="122">
        <f t="shared" si="63"/>
        <v>110735.45</v>
      </c>
      <c r="N378" s="116">
        <f t="shared" si="64"/>
        <v>44294.45</v>
      </c>
      <c r="O378" s="123">
        <f t="shared" si="65"/>
        <v>55.229987531172064</v>
      </c>
      <c r="P378" s="5"/>
      <c r="Q378" s="5">
        <f t="shared" si="66"/>
        <v>1</v>
      </c>
      <c r="R378" s="7">
        <f t="shared" si="67"/>
        <v>802</v>
      </c>
      <c r="S378" s="5">
        <f t="shared" si="68"/>
        <v>1</v>
      </c>
      <c r="T378" s="7">
        <f t="shared" si="69"/>
        <v>802</v>
      </c>
    </row>
    <row r="379" spans="1:20">
      <c r="A379" s="23" t="s">
        <v>409</v>
      </c>
      <c r="B379" s="35" t="s">
        <v>405</v>
      </c>
      <c r="C379" s="36">
        <v>3948</v>
      </c>
      <c r="D379" s="6"/>
      <c r="E379" s="113">
        <v>129146934</v>
      </c>
      <c r="F379" s="116">
        <f t="shared" si="71"/>
        <v>32711.989361702126</v>
      </c>
      <c r="G379" s="117">
        <v>104629086</v>
      </c>
      <c r="H379" s="117">
        <f t="shared" si="72"/>
        <v>26501.794832826748</v>
      </c>
      <c r="I379" s="9"/>
      <c r="J379" s="10">
        <v>4.79</v>
      </c>
      <c r="K379" s="117">
        <v>501173</v>
      </c>
      <c r="L379" s="120">
        <f t="shared" si="74"/>
        <v>126.943515704154</v>
      </c>
      <c r="M379" s="122">
        <f t="shared" si="63"/>
        <v>1046290.86</v>
      </c>
      <c r="N379" s="116">
        <f t="shared" si="64"/>
        <v>545117.86</v>
      </c>
      <c r="O379" s="123">
        <f t="shared" si="65"/>
        <v>138.07443262411348</v>
      </c>
      <c r="P379" s="5"/>
      <c r="Q379" s="5">
        <f t="shared" si="66"/>
        <v>1</v>
      </c>
      <c r="R379" s="7">
        <f t="shared" si="67"/>
        <v>3948</v>
      </c>
      <c r="S379" s="5">
        <f t="shared" si="68"/>
        <v>1</v>
      </c>
      <c r="T379" s="7">
        <f t="shared" si="69"/>
        <v>3948</v>
      </c>
    </row>
    <row r="380" spans="1:20">
      <c r="A380" s="23" t="s">
        <v>410</v>
      </c>
      <c r="B380" s="35" t="s">
        <v>411</v>
      </c>
      <c r="C380" s="36">
        <v>688</v>
      </c>
      <c r="D380" s="6"/>
      <c r="E380" s="113">
        <v>25400803</v>
      </c>
      <c r="F380" s="116">
        <f t="shared" si="71"/>
        <v>36919.77180232558</v>
      </c>
      <c r="G380" s="117">
        <v>14307584</v>
      </c>
      <c r="H380" s="117">
        <f t="shared" si="72"/>
        <v>20795.906976744187</v>
      </c>
      <c r="I380" s="7"/>
      <c r="J380" s="10">
        <v>4.25</v>
      </c>
      <c r="K380" s="117">
        <v>60807</v>
      </c>
      <c r="L380" s="120">
        <f t="shared" si="74"/>
        <v>88.382267441860463</v>
      </c>
      <c r="M380" s="122">
        <f t="shared" si="63"/>
        <v>143075.84</v>
      </c>
      <c r="N380" s="116">
        <f t="shared" si="64"/>
        <v>82268.84</v>
      </c>
      <c r="O380" s="123">
        <f t="shared" si="65"/>
        <v>119.5768023255814</v>
      </c>
      <c r="P380" s="5"/>
      <c r="Q380" s="5">
        <f t="shared" si="66"/>
        <v>1</v>
      </c>
      <c r="R380" s="7">
        <f t="shared" si="67"/>
        <v>688</v>
      </c>
      <c r="S380" s="5">
        <f t="shared" si="68"/>
        <v>1</v>
      </c>
      <c r="T380" s="7">
        <f t="shared" si="69"/>
        <v>688</v>
      </c>
    </row>
    <row r="381" spans="1:20">
      <c r="A381" s="23" t="s">
        <v>412</v>
      </c>
      <c r="B381" s="35" t="s">
        <v>411</v>
      </c>
      <c r="C381" s="36">
        <v>6534</v>
      </c>
      <c r="D381" s="6"/>
      <c r="E381" s="113">
        <v>172351460</v>
      </c>
      <c r="F381" s="116">
        <f t="shared" si="71"/>
        <v>26377.633914906641</v>
      </c>
      <c r="G381" s="117">
        <v>102826847</v>
      </c>
      <c r="H381" s="117">
        <f t="shared" si="72"/>
        <v>15737.197275788185</v>
      </c>
      <c r="I381" s="7"/>
      <c r="J381" s="10">
        <v>6.75</v>
      </c>
      <c r="K381" s="117">
        <v>694081</v>
      </c>
      <c r="L381" s="120">
        <f t="shared" si="74"/>
        <v>106.226048362412</v>
      </c>
      <c r="M381" s="122">
        <f t="shared" si="63"/>
        <v>1028268.47</v>
      </c>
      <c r="N381" s="116">
        <f t="shared" si="64"/>
        <v>334187.46999999997</v>
      </c>
      <c r="O381" s="123">
        <f t="shared" si="65"/>
        <v>51.145924395469848</v>
      </c>
      <c r="P381" s="5"/>
      <c r="Q381" s="5">
        <f t="shared" si="66"/>
        <v>1</v>
      </c>
      <c r="R381" s="7">
        <f t="shared" si="67"/>
        <v>6534</v>
      </c>
      <c r="S381" s="5">
        <f t="shared" si="68"/>
        <v>1</v>
      </c>
      <c r="T381" s="7">
        <f t="shared" si="69"/>
        <v>6534</v>
      </c>
    </row>
    <row r="382" spans="1:20">
      <c r="A382" s="23" t="s">
        <v>413</v>
      </c>
      <c r="B382" s="35" t="s">
        <v>414</v>
      </c>
      <c r="C382" s="36">
        <v>6824</v>
      </c>
      <c r="D382" s="6"/>
      <c r="E382" s="113">
        <v>309612083</v>
      </c>
      <c r="F382" s="116">
        <f t="shared" si="71"/>
        <v>45371.055539273155</v>
      </c>
      <c r="G382" s="117">
        <v>174490194</v>
      </c>
      <c r="H382" s="117">
        <f t="shared" si="72"/>
        <v>25570.07532239156</v>
      </c>
      <c r="I382" s="7"/>
      <c r="J382" s="11">
        <v>4.6675000000000004</v>
      </c>
      <c r="K382" s="117">
        <v>814432</v>
      </c>
      <c r="L382" s="120">
        <f t="shared" si="74"/>
        <v>119.34818288393903</v>
      </c>
      <c r="M382" s="122">
        <f t="shared" si="63"/>
        <v>1744901.94</v>
      </c>
      <c r="N382" s="116">
        <f t="shared" si="64"/>
        <v>930469.94</v>
      </c>
      <c r="O382" s="123">
        <f t="shared" si="65"/>
        <v>136.35257033997655</v>
      </c>
      <c r="P382" s="5"/>
      <c r="Q382" s="5">
        <f t="shared" si="66"/>
        <v>1</v>
      </c>
      <c r="R382" s="7">
        <f t="shared" si="67"/>
        <v>6824</v>
      </c>
      <c r="S382" s="5">
        <f t="shared" si="68"/>
        <v>1</v>
      </c>
      <c r="T382" s="7">
        <f t="shared" si="69"/>
        <v>6824</v>
      </c>
    </row>
    <row r="383" spans="1:20">
      <c r="A383" s="23" t="s">
        <v>415</v>
      </c>
      <c r="B383" s="35" t="s">
        <v>416</v>
      </c>
      <c r="C383" s="36">
        <v>1930</v>
      </c>
      <c r="D383" s="6"/>
      <c r="E383" s="113">
        <v>55106534</v>
      </c>
      <c r="F383" s="116">
        <f t="shared" si="71"/>
        <v>28552.60829015544</v>
      </c>
      <c r="G383" s="117">
        <v>25665843</v>
      </c>
      <c r="H383" s="117">
        <f t="shared" si="72"/>
        <v>13298.364248704664</v>
      </c>
      <c r="I383" s="7"/>
      <c r="J383" s="10">
        <v>2.4249999999999998</v>
      </c>
      <c r="K383" s="117">
        <v>62239</v>
      </c>
      <c r="L383" s="120">
        <f t="shared" si="74"/>
        <v>32.248186528497406</v>
      </c>
      <c r="M383" s="122">
        <f t="shared" si="63"/>
        <v>256658.43</v>
      </c>
      <c r="N383" s="116">
        <f t="shared" si="64"/>
        <v>194419.43</v>
      </c>
      <c r="O383" s="123">
        <f t="shared" si="65"/>
        <v>100.73545595854922</v>
      </c>
      <c r="P383" s="5"/>
      <c r="Q383" s="5">
        <f t="shared" si="66"/>
        <v>1</v>
      </c>
      <c r="R383" s="7">
        <f t="shared" si="67"/>
        <v>1930</v>
      </c>
      <c r="S383" s="5">
        <f t="shared" si="68"/>
        <v>1</v>
      </c>
      <c r="T383" s="7">
        <f t="shared" si="69"/>
        <v>1930</v>
      </c>
    </row>
    <row r="384" spans="1:20">
      <c r="A384" s="23" t="s">
        <v>417</v>
      </c>
      <c r="B384" s="35" t="s">
        <v>416</v>
      </c>
      <c r="C384" s="36">
        <v>268</v>
      </c>
      <c r="D384" s="6"/>
      <c r="E384" s="113">
        <v>4697569</v>
      </c>
      <c r="F384" s="116">
        <f t="shared" si="71"/>
        <v>17528.242537313432</v>
      </c>
      <c r="G384" s="117">
        <v>1954641</v>
      </c>
      <c r="H384" s="117">
        <f t="shared" si="72"/>
        <v>7293.436567164179</v>
      </c>
      <c r="I384" s="98" t="s">
        <v>528</v>
      </c>
      <c r="J384" s="10"/>
      <c r="K384" s="117"/>
      <c r="L384" s="120"/>
      <c r="M384" s="122">
        <f t="shared" si="63"/>
        <v>19546.41</v>
      </c>
      <c r="N384" s="116">
        <f t="shared" si="64"/>
        <v>19546.41</v>
      </c>
      <c r="O384" s="123">
        <f t="shared" si="65"/>
        <v>72.934365671641785</v>
      </c>
      <c r="P384" s="5"/>
      <c r="Q384" s="5">
        <f t="shared" si="66"/>
        <v>1</v>
      </c>
      <c r="R384" s="7">
        <f t="shared" si="67"/>
        <v>268</v>
      </c>
      <c r="S384" s="5">
        <f t="shared" si="68"/>
        <v>0</v>
      </c>
      <c r="T384" s="7">
        <f t="shared" si="69"/>
        <v>0</v>
      </c>
    </row>
    <row r="385" spans="1:20">
      <c r="A385" s="23" t="s">
        <v>418</v>
      </c>
      <c r="B385" s="35" t="s">
        <v>416</v>
      </c>
      <c r="C385" s="36">
        <v>174</v>
      </c>
      <c r="D385" s="6"/>
      <c r="E385" s="113">
        <v>7150247</v>
      </c>
      <c r="F385" s="116">
        <f t="shared" si="71"/>
        <v>41093.373563218389</v>
      </c>
      <c r="G385" s="117">
        <v>4337359</v>
      </c>
      <c r="H385" s="117">
        <f t="shared" si="72"/>
        <v>24927.350574712644</v>
      </c>
      <c r="I385" s="7"/>
      <c r="J385" s="10">
        <v>1.96</v>
      </c>
      <c r="K385" s="117">
        <v>8501</v>
      </c>
      <c r="L385" s="120">
        <f t="shared" ref="L385:L401" si="75">(K385/C385)</f>
        <v>48.856321839080458</v>
      </c>
      <c r="M385" s="122">
        <f t="shared" si="63"/>
        <v>43373.590000000004</v>
      </c>
      <c r="N385" s="116">
        <f t="shared" si="64"/>
        <v>34872.590000000004</v>
      </c>
      <c r="O385" s="123">
        <f t="shared" si="65"/>
        <v>200.41718390804598</v>
      </c>
      <c r="P385" s="5"/>
      <c r="Q385" s="5">
        <f t="shared" si="66"/>
        <v>1</v>
      </c>
      <c r="R385" s="7">
        <f t="shared" si="67"/>
        <v>174</v>
      </c>
      <c r="S385" s="5">
        <f t="shared" si="68"/>
        <v>1</v>
      </c>
      <c r="T385" s="7">
        <f t="shared" si="69"/>
        <v>174</v>
      </c>
    </row>
    <row r="386" spans="1:20">
      <c r="A386" s="23" t="s">
        <v>419</v>
      </c>
      <c r="B386" s="35" t="s">
        <v>420</v>
      </c>
      <c r="C386" s="36">
        <v>64889</v>
      </c>
      <c r="D386" s="6"/>
      <c r="E386" s="113">
        <v>4605998379</v>
      </c>
      <c r="F386" s="116">
        <f t="shared" si="71"/>
        <v>70982.730185393521</v>
      </c>
      <c r="G386" s="117">
        <v>3173478294</v>
      </c>
      <c r="H386" s="117">
        <f t="shared" si="72"/>
        <v>48906.259828322211</v>
      </c>
      <c r="I386" s="9"/>
      <c r="J386" s="10">
        <v>6.7027000000000001</v>
      </c>
      <c r="K386" s="117">
        <v>21270872</v>
      </c>
      <c r="L386" s="120">
        <f t="shared" si="75"/>
        <v>327.80397293840252</v>
      </c>
      <c r="M386" s="122">
        <f t="shared" si="63"/>
        <v>31734782.940000001</v>
      </c>
      <c r="N386" s="116">
        <f t="shared" si="64"/>
        <v>10463910.940000001</v>
      </c>
      <c r="O386" s="123">
        <f t="shared" si="65"/>
        <v>161.25862534481965</v>
      </c>
      <c r="P386" s="5"/>
      <c r="Q386" s="5">
        <f t="shared" si="66"/>
        <v>1</v>
      </c>
      <c r="R386" s="7">
        <f t="shared" si="67"/>
        <v>64889</v>
      </c>
      <c r="S386" s="5">
        <f t="shared" si="68"/>
        <v>1</v>
      </c>
      <c r="T386" s="7">
        <f t="shared" si="69"/>
        <v>64889</v>
      </c>
    </row>
    <row r="387" spans="1:20">
      <c r="A387" s="23" t="s">
        <v>421</v>
      </c>
      <c r="B387" s="35" t="s">
        <v>420</v>
      </c>
      <c r="C387" s="36">
        <v>4514</v>
      </c>
      <c r="D387" s="6"/>
      <c r="E387" s="113">
        <v>1015459657</v>
      </c>
      <c r="F387" s="116">
        <f t="shared" si="71"/>
        <v>224957.83274257864</v>
      </c>
      <c r="G387" s="117">
        <v>889353561</v>
      </c>
      <c r="H387" s="117">
        <f t="shared" si="72"/>
        <v>197021.16991581745</v>
      </c>
      <c r="I387" s="7"/>
      <c r="J387" s="10">
        <v>4.0823</v>
      </c>
      <c r="K387" s="117">
        <v>3630608</v>
      </c>
      <c r="L387" s="120">
        <f t="shared" si="75"/>
        <v>804.29951262738143</v>
      </c>
      <c r="M387" s="122">
        <f t="shared" si="63"/>
        <v>8893535.6099999994</v>
      </c>
      <c r="N387" s="116">
        <f t="shared" si="64"/>
        <v>5262927.6099999994</v>
      </c>
      <c r="O387" s="123">
        <f t="shared" si="65"/>
        <v>1165.912186530793</v>
      </c>
      <c r="P387" s="5"/>
      <c r="Q387" s="5">
        <f t="shared" si="66"/>
        <v>1</v>
      </c>
      <c r="R387" s="7">
        <f t="shared" si="67"/>
        <v>4514</v>
      </c>
      <c r="S387" s="5">
        <f t="shared" si="68"/>
        <v>1</v>
      </c>
      <c r="T387" s="7">
        <f t="shared" si="69"/>
        <v>4514</v>
      </c>
    </row>
    <row r="388" spans="1:20">
      <c r="A388" s="23" t="s">
        <v>462</v>
      </c>
      <c r="B388" s="35" t="s">
        <v>420</v>
      </c>
      <c r="C388" s="36">
        <v>17124</v>
      </c>
      <c r="D388" s="6"/>
      <c r="E388" s="113">
        <v>1445190763</v>
      </c>
      <c r="F388" s="116">
        <f t="shared" si="71"/>
        <v>84395.629701004436</v>
      </c>
      <c r="G388" s="117">
        <v>1173914989</v>
      </c>
      <c r="H388" s="117">
        <f t="shared" si="72"/>
        <v>68553.783520205558</v>
      </c>
      <c r="I388" s="7"/>
      <c r="J388" s="10">
        <v>2.5074000000000001</v>
      </c>
      <c r="K388" s="117">
        <v>2943474</v>
      </c>
      <c r="L388" s="120">
        <f t="shared" si="75"/>
        <v>171.89173090399439</v>
      </c>
      <c r="M388" s="122">
        <f t="shared" si="63"/>
        <v>11739149.890000001</v>
      </c>
      <c r="N388" s="116">
        <f t="shared" si="64"/>
        <v>8795675.8900000006</v>
      </c>
      <c r="O388" s="123">
        <f t="shared" si="65"/>
        <v>513.64610429806123</v>
      </c>
      <c r="P388" s="5"/>
      <c r="Q388" s="5">
        <f t="shared" si="66"/>
        <v>1</v>
      </c>
      <c r="R388" s="7">
        <f t="shared" si="67"/>
        <v>17124</v>
      </c>
      <c r="S388" s="5">
        <f t="shared" si="68"/>
        <v>1</v>
      </c>
      <c r="T388" s="7">
        <f t="shared" si="69"/>
        <v>17124</v>
      </c>
    </row>
    <row r="389" spans="1:20">
      <c r="A389" s="23" t="s">
        <v>463</v>
      </c>
      <c r="B389" s="35" t="s">
        <v>420</v>
      </c>
      <c r="C389" s="36">
        <v>22901</v>
      </c>
      <c r="D389" s="6"/>
      <c r="E389" s="113">
        <v>1357164312</v>
      </c>
      <c r="F389" s="116">
        <f t="shared" si="71"/>
        <v>59262.229247631105</v>
      </c>
      <c r="G389" s="117">
        <v>871579748</v>
      </c>
      <c r="H389" s="117">
        <f t="shared" si="72"/>
        <v>38058.589057246405</v>
      </c>
      <c r="I389" s="7"/>
      <c r="J389" s="11">
        <v>6.0490000000000004</v>
      </c>
      <c r="K389" s="117">
        <v>5272185</v>
      </c>
      <c r="L389" s="120">
        <f t="shared" si="75"/>
        <v>230.21636609755032</v>
      </c>
      <c r="M389" s="122">
        <f t="shared" si="63"/>
        <v>8715797.4800000004</v>
      </c>
      <c r="N389" s="116">
        <f t="shared" si="64"/>
        <v>3443612.4800000004</v>
      </c>
      <c r="O389" s="123">
        <f t="shared" si="65"/>
        <v>150.36952447491379</v>
      </c>
      <c r="P389" s="5"/>
      <c r="Q389" s="5">
        <f t="shared" si="66"/>
        <v>1</v>
      </c>
      <c r="R389" s="7">
        <f t="shared" si="67"/>
        <v>22901</v>
      </c>
      <c r="S389" s="5">
        <f t="shared" si="68"/>
        <v>1</v>
      </c>
      <c r="T389" s="7">
        <f t="shared" si="69"/>
        <v>22901</v>
      </c>
    </row>
    <row r="390" spans="1:20">
      <c r="A390" s="23" t="s">
        <v>422</v>
      </c>
      <c r="B390" s="35" t="s">
        <v>420</v>
      </c>
      <c r="C390" s="36">
        <v>76332</v>
      </c>
      <c r="D390" s="6"/>
      <c r="E390" s="113">
        <v>2732846324</v>
      </c>
      <c r="F390" s="116">
        <f t="shared" si="71"/>
        <v>35802.105591364045</v>
      </c>
      <c r="G390" s="117">
        <v>1812629352</v>
      </c>
      <c r="H390" s="117">
        <f t="shared" si="72"/>
        <v>23746.650841062725</v>
      </c>
      <c r="I390" s="7"/>
      <c r="J390" s="10">
        <v>4.1980000000000004</v>
      </c>
      <c r="K390" s="117">
        <v>7609418</v>
      </c>
      <c r="L390" s="120">
        <f t="shared" si="75"/>
        <v>99.688439972750615</v>
      </c>
      <c r="M390" s="122">
        <f t="shared" ref="M390:M411" si="76">(G390*0.01)</f>
        <v>18126293.52</v>
      </c>
      <c r="N390" s="116">
        <f t="shared" ref="N390:N411" si="77">(M390-K390)</f>
        <v>10516875.52</v>
      </c>
      <c r="O390" s="123">
        <f t="shared" ref="O390:O411" si="78">(N390/C390)</f>
        <v>137.77806843787664</v>
      </c>
      <c r="P390" s="5"/>
      <c r="Q390" s="5">
        <f t="shared" si="66"/>
        <v>1</v>
      </c>
      <c r="R390" s="7">
        <f t="shared" si="67"/>
        <v>76332</v>
      </c>
      <c r="S390" s="5">
        <f t="shared" si="68"/>
        <v>1</v>
      </c>
      <c r="T390" s="7">
        <f t="shared" si="69"/>
        <v>76332</v>
      </c>
    </row>
    <row r="391" spans="1:20">
      <c r="A391" s="23" t="s">
        <v>423</v>
      </c>
      <c r="B391" s="35" t="s">
        <v>420</v>
      </c>
      <c r="C391" s="36">
        <v>20088</v>
      </c>
      <c r="D391" s="6"/>
      <c r="E391" s="113">
        <v>881807471</v>
      </c>
      <c r="F391" s="116">
        <f t="shared" si="71"/>
        <v>43897.225756670647</v>
      </c>
      <c r="G391" s="117">
        <v>577578094</v>
      </c>
      <c r="H391" s="117">
        <f t="shared" si="72"/>
        <v>28752.394165671049</v>
      </c>
      <c r="I391" s="7"/>
      <c r="J391" s="10">
        <v>6.95</v>
      </c>
      <c r="K391" s="117">
        <v>4014167</v>
      </c>
      <c r="L391" s="120">
        <f t="shared" si="75"/>
        <v>199.82910195141378</v>
      </c>
      <c r="M391" s="122">
        <f t="shared" si="76"/>
        <v>5775780.9400000004</v>
      </c>
      <c r="N391" s="116">
        <f t="shared" si="77"/>
        <v>1761613.9400000004</v>
      </c>
      <c r="O391" s="123">
        <f t="shared" si="78"/>
        <v>87.694839705296715</v>
      </c>
      <c r="P391" s="5"/>
      <c r="Q391" s="5">
        <f t="shared" ref="Q391:Q411" si="79">IF(E391&gt;0,1,0)</f>
        <v>1</v>
      </c>
      <c r="R391" s="7">
        <f t="shared" ref="R391:R411" si="80">IF(E391&gt;0,C391,0)</f>
        <v>20088</v>
      </c>
      <c r="S391" s="5">
        <f t="shared" ref="S391:S411" si="81">IF(J391&gt;0,1,0)</f>
        <v>1</v>
      </c>
      <c r="T391" s="7">
        <f t="shared" ref="T391:T411" si="82">IF(J391&gt;0,C391,0)</f>
        <v>20088</v>
      </c>
    </row>
    <row r="392" spans="1:20">
      <c r="A392" s="23" t="s">
        <v>424</v>
      </c>
      <c r="B392" s="35" t="s">
        <v>420</v>
      </c>
      <c r="C392" s="36">
        <v>12504</v>
      </c>
      <c r="D392" s="6"/>
      <c r="E392" s="113">
        <v>565120409</v>
      </c>
      <c r="F392" s="116">
        <f t="shared" si="71"/>
        <v>45195.170265515037</v>
      </c>
      <c r="G392" s="117">
        <v>405036274</v>
      </c>
      <c r="H392" s="117">
        <f t="shared" si="72"/>
        <v>32392.536308381317</v>
      </c>
      <c r="I392" s="7"/>
      <c r="J392" s="10">
        <v>4.08</v>
      </c>
      <c r="K392" s="117">
        <v>1652547</v>
      </c>
      <c r="L392" s="120">
        <f t="shared" si="75"/>
        <v>132.16146833013437</v>
      </c>
      <c r="M392" s="122">
        <f t="shared" si="76"/>
        <v>4050362.74</v>
      </c>
      <c r="N392" s="116">
        <f t="shared" si="77"/>
        <v>2397815.7400000002</v>
      </c>
      <c r="O392" s="123">
        <f t="shared" si="78"/>
        <v>191.76389475367884</v>
      </c>
      <c r="P392" s="5"/>
      <c r="Q392" s="5">
        <f t="shared" si="79"/>
        <v>1</v>
      </c>
      <c r="R392" s="7">
        <f t="shared" si="80"/>
        <v>12504</v>
      </c>
      <c r="S392" s="5">
        <f t="shared" si="81"/>
        <v>1</v>
      </c>
      <c r="T392" s="7">
        <f t="shared" si="82"/>
        <v>12504</v>
      </c>
    </row>
    <row r="393" spans="1:20">
      <c r="A393" s="23" t="s">
        <v>425</v>
      </c>
      <c r="B393" s="35" t="s">
        <v>420</v>
      </c>
      <c r="C393" s="36">
        <v>2823</v>
      </c>
      <c r="D393" s="6"/>
      <c r="E393" s="113">
        <v>114375311</v>
      </c>
      <c r="F393" s="116">
        <f t="shared" si="71"/>
        <v>40515.51930570315</v>
      </c>
      <c r="G393" s="117">
        <v>67979173</v>
      </c>
      <c r="H393" s="117">
        <f t="shared" si="72"/>
        <v>24080.472192702797</v>
      </c>
      <c r="I393" s="7"/>
      <c r="J393" s="10">
        <v>5.2</v>
      </c>
      <c r="K393" s="117">
        <v>353491</v>
      </c>
      <c r="L393" s="120">
        <f t="shared" si="75"/>
        <v>125.21820758058803</v>
      </c>
      <c r="M393" s="122">
        <f t="shared" si="76"/>
        <v>679791.73</v>
      </c>
      <c r="N393" s="116">
        <f t="shared" si="77"/>
        <v>326300.73</v>
      </c>
      <c r="O393" s="123">
        <f t="shared" si="78"/>
        <v>115.58651434643996</v>
      </c>
      <c r="P393" s="5"/>
      <c r="Q393" s="5">
        <f t="shared" si="79"/>
        <v>1</v>
      </c>
      <c r="R393" s="7">
        <f t="shared" si="80"/>
        <v>2823</v>
      </c>
      <c r="S393" s="5">
        <f t="shared" si="81"/>
        <v>1</v>
      </c>
      <c r="T393" s="7">
        <f t="shared" si="82"/>
        <v>2823</v>
      </c>
    </row>
    <row r="394" spans="1:20">
      <c r="A394" s="23" t="s">
        <v>426</v>
      </c>
      <c r="B394" s="35" t="s">
        <v>420</v>
      </c>
      <c r="C394" s="36">
        <v>20595</v>
      </c>
      <c r="D394" s="6"/>
      <c r="E394" s="113">
        <v>2600307694</v>
      </c>
      <c r="F394" s="116">
        <f t="shared" si="71"/>
        <v>126259.17426559844</v>
      </c>
      <c r="G394" s="117">
        <v>1952048281</v>
      </c>
      <c r="H394" s="117">
        <f t="shared" si="72"/>
        <v>94782.63078417092</v>
      </c>
      <c r="I394" s="7"/>
      <c r="J394" s="10">
        <v>5.0999999999999996</v>
      </c>
      <c r="K394" s="117">
        <v>9955446</v>
      </c>
      <c r="L394" s="120">
        <f t="shared" si="75"/>
        <v>483.39140568099054</v>
      </c>
      <c r="M394" s="122">
        <f t="shared" si="76"/>
        <v>19520482.809999999</v>
      </c>
      <c r="N394" s="116">
        <f t="shared" si="77"/>
        <v>9565036.8099999987</v>
      </c>
      <c r="O394" s="123">
        <f t="shared" si="78"/>
        <v>464.43490216071854</v>
      </c>
      <c r="P394" s="5"/>
      <c r="Q394" s="5">
        <f t="shared" si="79"/>
        <v>1</v>
      </c>
      <c r="R394" s="7">
        <f t="shared" si="80"/>
        <v>20595</v>
      </c>
      <c r="S394" s="5">
        <f t="shared" si="81"/>
        <v>1</v>
      </c>
      <c r="T394" s="7">
        <f t="shared" si="82"/>
        <v>20595</v>
      </c>
    </row>
    <row r="395" spans="1:20">
      <c r="A395" s="23" t="s">
        <v>427</v>
      </c>
      <c r="B395" s="35" t="s">
        <v>420</v>
      </c>
      <c r="C395" s="36">
        <v>1481</v>
      </c>
      <c r="D395" s="6"/>
      <c r="E395" s="113">
        <v>87952672</v>
      </c>
      <c r="F395" s="116">
        <f t="shared" si="71"/>
        <v>59387.35449020932</v>
      </c>
      <c r="G395" s="117">
        <v>59844068</v>
      </c>
      <c r="H395" s="117">
        <f t="shared" si="72"/>
        <v>40407.878460499662</v>
      </c>
      <c r="I395" s="7"/>
      <c r="J395" s="10">
        <v>4.6859000000000002</v>
      </c>
      <c r="K395" s="117">
        <v>280423</v>
      </c>
      <c r="L395" s="120">
        <f t="shared" si="75"/>
        <v>189.3470627954085</v>
      </c>
      <c r="M395" s="122">
        <f t="shared" si="76"/>
        <v>598440.68000000005</v>
      </c>
      <c r="N395" s="116">
        <f t="shared" si="77"/>
        <v>318017.68000000005</v>
      </c>
      <c r="O395" s="123">
        <f t="shared" si="78"/>
        <v>214.73172180958815</v>
      </c>
      <c r="P395" s="5"/>
      <c r="Q395" s="5">
        <f t="shared" si="79"/>
        <v>1</v>
      </c>
      <c r="R395" s="7">
        <f t="shared" si="80"/>
        <v>1481</v>
      </c>
      <c r="S395" s="5">
        <f t="shared" si="81"/>
        <v>1</v>
      </c>
      <c r="T395" s="7">
        <f t="shared" si="82"/>
        <v>1481</v>
      </c>
    </row>
    <row r="396" spans="1:20">
      <c r="A396" s="23" t="s">
        <v>428</v>
      </c>
      <c r="B396" s="35" t="s">
        <v>420</v>
      </c>
      <c r="C396" s="36">
        <v>7102</v>
      </c>
      <c r="D396" s="6"/>
      <c r="E396" s="113">
        <v>510454792</v>
      </c>
      <c r="F396" s="116">
        <f t="shared" si="71"/>
        <v>71874.794705716704</v>
      </c>
      <c r="G396" s="117">
        <v>382610920</v>
      </c>
      <c r="H396" s="117">
        <f t="shared" si="72"/>
        <v>53873.686285553362</v>
      </c>
      <c r="I396" s="7"/>
      <c r="J396" s="10">
        <v>4.875</v>
      </c>
      <c r="K396" s="117">
        <v>1865228</v>
      </c>
      <c r="L396" s="120">
        <f t="shared" si="75"/>
        <v>262.63418755280202</v>
      </c>
      <c r="M396" s="122">
        <f t="shared" si="76"/>
        <v>3826109.2</v>
      </c>
      <c r="N396" s="116">
        <f t="shared" si="77"/>
        <v>1960881.2000000002</v>
      </c>
      <c r="O396" s="123">
        <f t="shared" si="78"/>
        <v>276.10267530273165</v>
      </c>
      <c r="P396" s="5"/>
      <c r="Q396" s="5">
        <f t="shared" si="79"/>
        <v>1</v>
      </c>
      <c r="R396" s="7">
        <f t="shared" si="80"/>
        <v>7102</v>
      </c>
      <c r="S396" s="5">
        <f t="shared" si="81"/>
        <v>1</v>
      </c>
      <c r="T396" s="7">
        <f t="shared" si="82"/>
        <v>7102</v>
      </c>
    </row>
    <row r="397" spans="1:20">
      <c r="A397" s="23" t="s">
        <v>429</v>
      </c>
      <c r="B397" s="35" t="s">
        <v>420</v>
      </c>
      <c r="C397" s="36">
        <v>38325</v>
      </c>
      <c r="D397" s="6"/>
      <c r="E397" s="113">
        <v>3100771361</v>
      </c>
      <c r="F397" s="116">
        <f t="shared" si="71"/>
        <v>80907.276216568818</v>
      </c>
      <c r="G397" s="117">
        <v>2292100703</v>
      </c>
      <c r="H397" s="117">
        <f t="shared" si="72"/>
        <v>59806.932889758646</v>
      </c>
      <c r="I397" s="7"/>
      <c r="J397" s="10">
        <v>2.6616</v>
      </c>
      <c r="K397" s="117">
        <v>6100655</v>
      </c>
      <c r="L397" s="120">
        <f t="shared" si="75"/>
        <v>159.18212654924983</v>
      </c>
      <c r="M397" s="122">
        <f t="shared" si="76"/>
        <v>22921007.030000001</v>
      </c>
      <c r="N397" s="116">
        <f t="shared" si="77"/>
        <v>16820352.030000001</v>
      </c>
      <c r="O397" s="123">
        <f t="shared" si="78"/>
        <v>438.88720234833664</v>
      </c>
      <c r="P397" s="5"/>
      <c r="Q397" s="5">
        <f t="shared" si="79"/>
        <v>1</v>
      </c>
      <c r="R397" s="7">
        <f t="shared" si="80"/>
        <v>38325</v>
      </c>
      <c r="S397" s="5">
        <f t="shared" si="81"/>
        <v>1</v>
      </c>
      <c r="T397" s="7">
        <f t="shared" si="82"/>
        <v>38325</v>
      </c>
    </row>
    <row r="398" spans="1:20">
      <c r="A398" s="23" t="s">
        <v>430</v>
      </c>
      <c r="B398" s="35" t="s">
        <v>420</v>
      </c>
      <c r="C398" s="36">
        <v>2621</v>
      </c>
      <c r="D398" s="6"/>
      <c r="E398" s="113">
        <v>66971555</v>
      </c>
      <c r="F398" s="116">
        <f t="shared" si="71"/>
        <v>25551.909576497521</v>
      </c>
      <c r="G398" s="117">
        <v>38406648</v>
      </c>
      <c r="H398" s="117">
        <f t="shared" si="72"/>
        <v>14653.433040824113</v>
      </c>
      <c r="I398" s="7"/>
      <c r="J398" s="10">
        <v>4.7012</v>
      </c>
      <c r="K398" s="117">
        <v>180557</v>
      </c>
      <c r="L398" s="120">
        <f t="shared" si="75"/>
        <v>68.888592140404427</v>
      </c>
      <c r="M398" s="122">
        <f t="shared" si="76"/>
        <v>384066.48</v>
      </c>
      <c r="N398" s="116">
        <f t="shared" si="77"/>
        <v>203509.47999999998</v>
      </c>
      <c r="O398" s="123">
        <f t="shared" si="78"/>
        <v>77.645738267836691</v>
      </c>
      <c r="P398" s="5"/>
      <c r="Q398" s="5">
        <f t="shared" si="79"/>
        <v>1</v>
      </c>
      <c r="R398" s="7">
        <f t="shared" si="80"/>
        <v>2621</v>
      </c>
      <c r="S398" s="5">
        <f t="shared" si="81"/>
        <v>1</v>
      </c>
      <c r="T398" s="7">
        <f t="shared" si="82"/>
        <v>2621</v>
      </c>
    </row>
    <row r="399" spans="1:20">
      <c r="A399" s="23" t="s">
        <v>431</v>
      </c>
      <c r="B399" s="35" t="s">
        <v>420</v>
      </c>
      <c r="C399" s="36">
        <v>2917</v>
      </c>
      <c r="D399" s="6"/>
      <c r="E399" s="113">
        <v>703936261</v>
      </c>
      <c r="F399" s="116">
        <f t="shared" si="71"/>
        <v>241321.99554336647</v>
      </c>
      <c r="G399" s="117">
        <v>585270766</v>
      </c>
      <c r="H399" s="117">
        <f t="shared" si="72"/>
        <v>200641.3321906068</v>
      </c>
      <c r="I399" s="7"/>
      <c r="J399" s="10">
        <v>4.5780000000000003</v>
      </c>
      <c r="K399" s="117">
        <v>2679369</v>
      </c>
      <c r="L399" s="120">
        <f t="shared" si="75"/>
        <v>918.5358244772026</v>
      </c>
      <c r="M399" s="122">
        <f t="shared" si="76"/>
        <v>5852707.6600000001</v>
      </c>
      <c r="N399" s="116">
        <f t="shared" si="77"/>
        <v>3173338.66</v>
      </c>
      <c r="O399" s="123">
        <f t="shared" si="78"/>
        <v>1087.8774974288654</v>
      </c>
      <c r="P399" s="5"/>
      <c r="Q399" s="5">
        <f t="shared" si="79"/>
        <v>1</v>
      </c>
      <c r="R399" s="7">
        <f t="shared" si="80"/>
        <v>2917</v>
      </c>
      <c r="S399" s="5">
        <f t="shared" si="81"/>
        <v>1</v>
      </c>
      <c r="T399" s="7">
        <f t="shared" si="82"/>
        <v>2917</v>
      </c>
    </row>
    <row r="400" spans="1:20">
      <c r="A400" s="23" t="s">
        <v>432</v>
      </c>
      <c r="B400" s="35" t="s">
        <v>420</v>
      </c>
      <c r="C400" s="36">
        <v>50981</v>
      </c>
      <c r="D400" s="6"/>
      <c r="E400" s="113">
        <v>2653124246</v>
      </c>
      <c r="F400" s="116">
        <f t="shared" si="71"/>
        <v>52041.432023695103</v>
      </c>
      <c r="G400" s="117">
        <v>1864087939</v>
      </c>
      <c r="H400" s="117">
        <f t="shared" si="72"/>
        <v>36564.365920637101</v>
      </c>
      <c r="I400" s="7"/>
      <c r="J400" s="10">
        <v>4.3</v>
      </c>
      <c r="K400" s="117">
        <v>8015578</v>
      </c>
      <c r="L400" s="120">
        <f t="shared" si="75"/>
        <v>157.22677075773328</v>
      </c>
      <c r="M400" s="122">
        <f t="shared" si="76"/>
        <v>18640879.390000001</v>
      </c>
      <c r="N400" s="116">
        <f t="shared" si="77"/>
        <v>10625301.390000001</v>
      </c>
      <c r="O400" s="123">
        <f t="shared" si="78"/>
        <v>208.41688844863774</v>
      </c>
      <c r="P400" s="5"/>
      <c r="Q400" s="5">
        <f t="shared" si="79"/>
        <v>1</v>
      </c>
      <c r="R400" s="7">
        <f t="shared" si="80"/>
        <v>50981</v>
      </c>
      <c r="S400" s="5">
        <f t="shared" si="81"/>
        <v>1</v>
      </c>
      <c r="T400" s="7">
        <f t="shared" si="82"/>
        <v>50981</v>
      </c>
    </row>
    <row r="401" spans="1:20">
      <c r="A401" s="23" t="s">
        <v>433</v>
      </c>
      <c r="B401" s="35" t="s">
        <v>420</v>
      </c>
      <c r="C401" s="36">
        <v>13714</v>
      </c>
      <c r="D401" s="6"/>
      <c r="E401" s="113">
        <v>601285438</v>
      </c>
      <c r="F401" s="116">
        <f t="shared" si="71"/>
        <v>43844.643284235091</v>
      </c>
      <c r="G401" s="117">
        <v>431417683</v>
      </c>
      <c r="H401" s="117">
        <f t="shared" si="72"/>
        <v>31458.194764474261</v>
      </c>
      <c r="I401" s="7"/>
      <c r="J401" s="10">
        <v>4.6390000000000002</v>
      </c>
      <c r="K401" s="117">
        <v>2001346</v>
      </c>
      <c r="L401" s="120">
        <f t="shared" si="75"/>
        <v>145.93451946915562</v>
      </c>
      <c r="M401" s="122">
        <f t="shared" si="76"/>
        <v>4314176.83</v>
      </c>
      <c r="N401" s="116">
        <f t="shared" si="77"/>
        <v>2312830.83</v>
      </c>
      <c r="O401" s="123">
        <f t="shared" si="78"/>
        <v>168.64742817558701</v>
      </c>
      <c r="P401" s="5"/>
      <c r="Q401" s="5">
        <f t="shared" si="79"/>
        <v>1</v>
      </c>
      <c r="R401" s="7">
        <f t="shared" si="80"/>
        <v>13714</v>
      </c>
      <c r="S401" s="5">
        <f t="shared" si="81"/>
        <v>1</v>
      </c>
      <c r="T401" s="7">
        <f t="shared" si="82"/>
        <v>13714</v>
      </c>
    </row>
    <row r="402" spans="1:20">
      <c r="A402" s="23" t="s">
        <v>435</v>
      </c>
      <c r="B402" s="35" t="s">
        <v>434</v>
      </c>
      <c r="C402" s="36">
        <v>411</v>
      </c>
      <c r="D402" s="6"/>
      <c r="E402" s="113">
        <v>79465129</v>
      </c>
      <c r="F402" s="116">
        <f t="shared" si="71"/>
        <v>193345.81265206813</v>
      </c>
      <c r="G402" s="117">
        <v>48377570</v>
      </c>
      <c r="H402" s="117">
        <f t="shared" si="72"/>
        <v>117706.98296836983</v>
      </c>
      <c r="I402" s="98" t="s">
        <v>528</v>
      </c>
      <c r="J402" s="10"/>
      <c r="K402" s="117"/>
      <c r="L402" s="120"/>
      <c r="M402" s="122">
        <f t="shared" si="76"/>
        <v>483775.7</v>
      </c>
      <c r="N402" s="116">
        <f t="shared" si="77"/>
        <v>483775.7</v>
      </c>
      <c r="O402" s="123">
        <f t="shared" si="78"/>
        <v>1177.0698296836983</v>
      </c>
      <c r="P402" s="5"/>
      <c r="Q402" s="5">
        <f t="shared" si="79"/>
        <v>1</v>
      </c>
      <c r="R402" s="7">
        <f t="shared" si="80"/>
        <v>411</v>
      </c>
      <c r="S402" s="5">
        <f t="shared" si="81"/>
        <v>0</v>
      </c>
      <c r="T402" s="7">
        <f t="shared" si="82"/>
        <v>0</v>
      </c>
    </row>
    <row r="403" spans="1:20">
      <c r="A403" s="23" t="s">
        <v>555</v>
      </c>
      <c r="B403" s="35" t="s">
        <v>434</v>
      </c>
      <c r="C403" s="36">
        <v>271</v>
      </c>
      <c r="D403" s="6"/>
      <c r="E403" s="113">
        <v>61739401</v>
      </c>
      <c r="F403" s="116">
        <f t="shared" si="71"/>
        <v>227820.66789667896</v>
      </c>
      <c r="G403" s="117">
        <v>18122521</v>
      </c>
      <c r="H403" s="117">
        <f t="shared" si="72"/>
        <v>66872.771217712172</v>
      </c>
      <c r="I403" s="7"/>
      <c r="J403" s="10">
        <v>4.9878</v>
      </c>
      <c r="K403" s="117">
        <v>90391</v>
      </c>
      <c r="L403" s="120">
        <f>(K403/C403)</f>
        <v>333.54612546125463</v>
      </c>
      <c r="M403" s="122">
        <f t="shared" si="76"/>
        <v>181225.21</v>
      </c>
      <c r="N403" s="116">
        <f t="shared" si="77"/>
        <v>90834.209999999992</v>
      </c>
      <c r="O403" s="123">
        <f t="shared" si="78"/>
        <v>335.18158671586713</v>
      </c>
      <c r="P403" s="5"/>
      <c r="Q403" s="5">
        <f t="shared" si="79"/>
        <v>1</v>
      </c>
      <c r="R403" s="7">
        <f t="shared" si="80"/>
        <v>271</v>
      </c>
      <c r="S403" s="5">
        <f t="shared" si="81"/>
        <v>1</v>
      </c>
      <c r="T403" s="7">
        <f t="shared" si="82"/>
        <v>271</v>
      </c>
    </row>
    <row r="404" spans="1:20">
      <c r="A404" s="23" t="s">
        <v>436</v>
      </c>
      <c r="B404" s="35" t="s">
        <v>437</v>
      </c>
      <c r="C404" s="36">
        <v>5172</v>
      </c>
      <c r="D404" s="6"/>
      <c r="E404" s="113">
        <v>218438175</v>
      </c>
      <c r="F404" s="116">
        <f t="shared" si="71"/>
        <v>42234.759280742459</v>
      </c>
      <c r="G404" s="117">
        <v>144843841</v>
      </c>
      <c r="H404" s="117">
        <f t="shared" si="72"/>
        <v>28005.38302397525</v>
      </c>
      <c r="I404" s="7"/>
      <c r="J404" s="10">
        <v>4.5</v>
      </c>
      <c r="K404" s="117">
        <v>651797</v>
      </c>
      <c r="L404" s="120">
        <f>(K404/C404)</f>
        <v>126.02416860015468</v>
      </c>
      <c r="M404" s="122">
        <f t="shared" si="76"/>
        <v>1448438.41</v>
      </c>
      <c r="N404" s="116">
        <f t="shared" si="77"/>
        <v>796641.40999999992</v>
      </c>
      <c r="O404" s="123">
        <f t="shared" si="78"/>
        <v>154.0296616395978</v>
      </c>
      <c r="P404" s="5"/>
      <c r="Q404" s="5">
        <f t="shared" si="79"/>
        <v>1</v>
      </c>
      <c r="R404" s="7">
        <f t="shared" si="80"/>
        <v>5172</v>
      </c>
      <c r="S404" s="5">
        <f t="shared" si="81"/>
        <v>1</v>
      </c>
      <c r="T404" s="7">
        <f t="shared" si="82"/>
        <v>5172</v>
      </c>
    </row>
    <row r="405" spans="1:20">
      <c r="A405" s="23" t="s">
        <v>438</v>
      </c>
      <c r="B405" s="35" t="s">
        <v>437</v>
      </c>
      <c r="C405" s="36">
        <v>1210</v>
      </c>
      <c r="D405" s="6"/>
      <c r="E405" s="113">
        <v>61437486</v>
      </c>
      <c r="F405" s="116">
        <f t="shared" si="71"/>
        <v>50774.781818181815</v>
      </c>
      <c r="G405" s="117">
        <v>37243587</v>
      </c>
      <c r="H405" s="117">
        <f t="shared" si="72"/>
        <v>30779.823966942149</v>
      </c>
      <c r="I405" s="9"/>
      <c r="J405" s="10">
        <v>3.93</v>
      </c>
      <c r="K405" s="117">
        <v>146367</v>
      </c>
      <c r="L405" s="120">
        <f>(K405/C405)</f>
        <v>120.96446280991735</v>
      </c>
      <c r="M405" s="122">
        <f t="shared" si="76"/>
        <v>372435.87</v>
      </c>
      <c r="N405" s="116">
        <f t="shared" si="77"/>
        <v>226068.87</v>
      </c>
      <c r="O405" s="123">
        <f t="shared" si="78"/>
        <v>186.83377685950413</v>
      </c>
      <c r="P405" s="5"/>
      <c r="Q405" s="5">
        <f t="shared" si="79"/>
        <v>1</v>
      </c>
      <c r="R405" s="7">
        <f t="shared" si="80"/>
        <v>1210</v>
      </c>
      <c r="S405" s="5">
        <f t="shared" si="81"/>
        <v>1</v>
      </c>
      <c r="T405" s="7">
        <f t="shared" si="82"/>
        <v>1210</v>
      </c>
    </row>
    <row r="406" spans="1:20">
      <c r="A406" s="23" t="s">
        <v>439</v>
      </c>
      <c r="B406" s="35" t="s">
        <v>437</v>
      </c>
      <c r="C406" s="36">
        <v>682</v>
      </c>
      <c r="D406" s="6"/>
      <c r="E406" s="113">
        <v>14132065</v>
      </c>
      <c r="F406" s="116">
        <f t="shared" si="71"/>
        <v>20721.502932551321</v>
      </c>
      <c r="G406" s="117">
        <v>6731707</v>
      </c>
      <c r="H406" s="117">
        <f t="shared" si="72"/>
        <v>9870.5381231671563</v>
      </c>
      <c r="I406" s="98" t="s">
        <v>528</v>
      </c>
      <c r="J406" s="10"/>
      <c r="K406" s="117"/>
      <c r="L406" s="120"/>
      <c r="M406" s="122">
        <f t="shared" si="76"/>
        <v>67317.070000000007</v>
      </c>
      <c r="N406" s="116">
        <f t="shared" si="77"/>
        <v>67317.070000000007</v>
      </c>
      <c r="O406" s="123">
        <f t="shared" si="78"/>
        <v>98.705381231671566</v>
      </c>
      <c r="P406" s="5"/>
      <c r="Q406" s="5">
        <f t="shared" si="79"/>
        <v>1</v>
      </c>
      <c r="R406" s="7">
        <f t="shared" si="80"/>
        <v>682</v>
      </c>
      <c r="S406" s="5">
        <f t="shared" si="81"/>
        <v>0</v>
      </c>
      <c r="T406" s="7">
        <f t="shared" si="82"/>
        <v>0</v>
      </c>
    </row>
    <row r="407" spans="1:20">
      <c r="A407" s="23" t="s">
        <v>440</v>
      </c>
      <c r="B407" s="35" t="s">
        <v>441</v>
      </c>
      <c r="C407" s="36">
        <v>319</v>
      </c>
      <c r="D407" s="6"/>
      <c r="E407" s="113">
        <v>6646143</v>
      </c>
      <c r="F407" s="116">
        <f t="shared" si="71"/>
        <v>20834.304075235108</v>
      </c>
      <c r="G407" s="117">
        <v>2588516</v>
      </c>
      <c r="H407" s="117">
        <f t="shared" si="72"/>
        <v>8114.4702194357369</v>
      </c>
      <c r="I407" s="98" t="s">
        <v>528</v>
      </c>
      <c r="J407" s="11"/>
      <c r="K407" s="117"/>
      <c r="L407" s="120"/>
      <c r="M407" s="122">
        <f t="shared" si="76"/>
        <v>25885.16</v>
      </c>
      <c r="N407" s="116">
        <f t="shared" si="77"/>
        <v>25885.16</v>
      </c>
      <c r="O407" s="123">
        <f t="shared" si="78"/>
        <v>81.144702194357365</v>
      </c>
      <c r="P407" s="5"/>
      <c r="Q407" s="5">
        <f t="shared" si="79"/>
        <v>1</v>
      </c>
      <c r="R407" s="7">
        <f t="shared" si="80"/>
        <v>319</v>
      </c>
      <c r="S407" s="5">
        <f t="shared" si="81"/>
        <v>0</v>
      </c>
      <c r="T407" s="7">
        <f t="shared" si="82"/>
        <v>0</v>
      </c>
    </row>
    <row r="408" spans="1:20">
      <c r="A408" s="23" t="s">
        <v>442</v>
      </c>
      <c r="B408" s="35" t="s">
        <v>441</v>
      </c>
      <c r="C408" s="36">
        <v>3517</v>
      </c>
      <c r="D408" s="6"/>
      <c r="E408" s="113">
        <v>178791611</v>
      </c>
      <c r="F408" s="116">
        <f t="shared" si="71"/>
        <v>50836.397782200736</v>
      </c>
      <c r="G408" s="117">
        <v>119215885</v>
      </c>
      <c r="H408" s="117">
        <f t="shared" si="72"/>
        <v>33897.038669320442</v>
      </c>
      <c r="I408" s="9"/>
      <c r="J408" s="11">
        <v>6</v>
      </c>
      <c r="K408" s="117">
        <v>715295</v>
      </c>
      <c r="L408" s="120">
        <f>(K408/C408)</f>
        <v>203.38214387261871</v>
      </c>
      <c r="M408" s="122">
        <f t="shared" si="76"/>
        <v>1192158.8500000001</v>
      </c>
      <c r="N408" s="116">
        <f t="shared" si="77"/>
        <v>476863.85000000009</v>
      </c>
      <c r="O408" s="123">
        <f t="shared" si="78"/>
        <v>135.58824282058575</v>
      </c>
      <c r="P408" s="5"/>
      <c r="Q408" s="5">
        <f t="shared" si="79"/>
        <v>1</v>
      </c>
      <c r="R408" s="7">
        <f t="shared" si="80"/>
        <v>3517</v>
      </c>
      <c r="S408" s="5">
        <f t="shared" si="81"/>
        <v>1</v>
      </c>
      <c r="T408" s="7">
        <f t="shared" si="82"/>
        <v>3517</v>
      </c>
    </row>
    <row r="409" spans="1:20">
      <c r="A409" s="23" t="s">
        <v>443</v>
      </c>
      <c r="B409" s="35" t="s">
        <v>441</v>
      </c>
      <c r="C409" s="36">
        <v>232</v>
      </c>
      <c r="D409" s="6"/>
      <c r="E409" s="113">
        <v>6828571</v>
      </c>
      <c r="F409" s="116">
        <f t="shared" si="71"/>
        <v>29433.495689655174</v>
      </c>
      <c r="G409" s="117">
        <v>4591815</v>
      </c>
      <c r="H409" s="117">
        <f t="shared" si="72"/>
        <v>19792.306034482757</v>
      </c>
      <c r="I409" s="98" t="s">
        <v>528</v>
      </c>
      <c r="J409" s="11"/>
      <c r="K409" s="117"/>
      <c r="L409" s="120"/>
      <c r="M409" s="122">
        <f t="shared" si="76"/>
        <v>45918.15</v>
      </c>
      <c r="N409" s="116">
        <f t="shared" si="77"/>
        <v>45918.15</v>
      </c>
      <c r="O409" s="123">
        <f t="shared" si="78"/>
        <v>197.9230603448276</v>
      </c>
      <c r="P409" s="5"/>
      <c r="Q409" s="5">
        <f t="shared" si="79"/>
        <v>1</v>
      </c>
      <c r="R409" s="7">
        <f t="shared" si="80"/>
        <v>232</v>
      </c>
      <c r="S409" s="5">
        <f t="shared" si="81"/>
        <v>0</v>
      </c>
      <c r="T409" s="7">
        <f t="shared" si="82"/>
        <v>0</v>
      </c>
    </row>
    <row r="410" spans="1:20">
      <c r="A410" s="23" t="s">
        <v>444</v>
      </c>
      <c r="B410" s="35" t="s">
        <v>441</v>
      </c>
      <c r="C410" s="36">
        <v>744</v>
      </c>
      <c r="D410" s="6"/>
      <c r="E410" s="113">
        <v>21811482</v>
      </c>
      <c r="F410" s="116">
        <f t="shared" si="71"/>
        <v>29316.508064516129</v>
      </c>
      <c r="G410" s="117">
        <v>9964792</v>
      </c>
      <c r="H410" s="117">
        <f t="shared" si="72"/>
        <v>13393.537634408602</v>
      </c>
      <c r="I410" s="7"/>
      <c r="J410" s="11">
        <v>2.5143</v>
      </c>
      <c r="K410" s="117">
        <v>25054</v>
      </c>
      <c r="L410" s="120">
        <f>(K410/C410)</f>
        <v>33.674731182795696</v>
      </c>
      <c r="M410" s="122">
        <f t="shared" si="76"/>
        <v>99647.92</v>
      </c>
      <c r="N410" s="116">
        <f t="shared" si="77"/>
        <v>74593.919999999998</v>
      </c>
      <c r="O410" s="123">
        <f t="shared" si="78"/>
        <v>100.26064516129033</v>
      </c>
      <c r="P410" s="5"/>
      <c r="Q410" s="5">
        <f t="shared" si="79"/>
        <v>1</v>
      </c>
      <c r="R410" s="7">
        <f t="shared" si="80"/>
        <v>744</v>
      </c>
      <c r="S410" s="5">
        <f t="shared" si="81"/>
        <v>1</v>
      </c>
      <c r="T410" s="7">
        <f t="shared" si="82"/>
        <v>744</v>
      </c>
    </row>
    <row r="411" spans="1:20">
      <c r="A411" s="23" t="s">
        <v>445</v>
      </c>
      <c r="B411" s="35" t="s">
        <v>441</v>
      </c>
      <c r="C411" s="36">
        <v>432</v>
      </c>
      <c r="D411" s="6"/>
      <c r="E411" s="113">
        <v>6868697</v>
      </c>
      <c r="F411" s="116">
        <f t="shared" si="71"/>
        <v>15899.761574074075</v>
      </c>
      <c r="G411" s="117">
        <v>2987859</v>
      </c>
      <c r="H411" s="117">
        <f t="shared" si="72"/>
        <v>6916.3402777777774</v>
      </c>
      <c r="I411" s="98" t="s">
        <v>528</v>
      </c>
      <c r="J411" s="11"/>
      <c r="K411" s="117"/>
      <c r="L411" s="120"/>
      <c r="M411" s="122">
        <f t="shared" si="76"/>
        <v>29878.59</v>
      </c>
      <c r="N411" s="116">
        <f t="shared" si="77"/>
        <v>29878.59</v>
      </c>
      <c r="O411" s="123">
        <f t="shared" si="78"/>
        <v>69.163402777777776</v>
      </c>
      <c r="P411" s="5"/>
      <c r="Q411" s="5">
        <f t="shared" si="79"/>
        <v>1</v>
      </c>
      <c r="R411" s="7">
        <f t="shared" si="80"/>
        <v>432</v>
      </c>
      <c r="S411" s="5">
        <f t="shared" si="81"/>
        <v>0</v>
      </c>
      <c r="T411" s="7">
        <f t="shared" si="82"/>
        <v>0</v>
      </c>
    </row>
    <row r="412" spans="1:20">
      <c r="A412" s="70" t="s">
        <v>451</v>
      </c>
      <c r="B412" s="71"/>
      <c r="C412" s="72">
        <f>SUM(C6:C411)</f>
        <v>8498995</v>
      </c>
      <c r="D412" s="73"/>
      <c r="E412" s="73">
        <f>SUM(E6:E411)</f>
        <v>694347063099</v>
      </c>
      <c r="F412" s="74">
        <f>(E412/R412)</f>
        <v>89980.795086938393</v>
      </c>
      <c r="G412" s="75">
        <f>SUM(G6:G411)</f>
        <v>507212949152</v>
      </c>
      <c r="H412" s="76">
        <f>(G412/R412)</f>
        <v>65729.9884576318</v>
      </c>
      <c r="I412" s="71"/>
      <c r="J412" s="77"/>
      <c r="K412" s="78">
        <f>SUM(K6:K411)</f>
        <v>2443469538</v>
      </c>
      <c r="L412" s="79">
        <f>(K412/T412)</f>
        <v>319.55034814878849</v>
      </c>
      <c r="M412" s="79">
        <f>SUM(M6:M411)</f>
        <v>5072129491.5199976</v>
      </c>
      <c r="N412" s="78">
        <f>SUM(N6:N411)</f>
        <v>2628659953.519999</v>
      </c>
      <c r="O412" s="80">
        <f>(N412/R412)</f>
        <v>340.64940316050524</v>
      </c>
      <c r="P412" s="20"/>
      <c r="Q412" s="20">
        <f>SUM(Q6:Q411)</f>
        <v>405</v>
      </c>
      <c r="R412" s="21">
        <f>SUM(R6:R411)</f>
        <v>7716614</v>
      </c>
      <c r="S412" s="20">
        <f>SUM(S6:S411)</f>
        <v>373</v>
      </c>
      <c r="T412" s="21">
        <f>SUM(T6:T411)</f>
        <v>7646587</v>
      </c>
    </row>
    <row r="413" spans="1:20">
      <c r="A413" s="27" t="s">
        <v>453</v>
      </c>
      <c r="B413" s="13"/>
      <c r="C413" s="60">
        <f>(S412)</f>
        <v>373</v>
      </c>
      <c r="D413" s="14"/>
      <c r="E413" s="14"/>
      <c r="F413" s="16"/>
      <c r="G413" s="16"/>
      <c r="H413" s="16"/>
      <c r="I413" s="16"/>
      <c r="J413" s="14"/>
      <c r="K413" s="17"/>
      <c r="L413" s="17"/>
      <c r="M413" s="2"/>
      <c r="N413" s="2"/>
      <c r="O413" s="63"/>
      <c r="P413" s="2"/>
      <c r="Q413" s="2"/>
      <c r="R413" s="2"/>
      <c r="S413" s="2"/>
      <c r="T413" s="2"/>
    </row>
    <row r="414" spans="1:20">
      <c r="A414" s="22"/>
      <c r="B414" s="16"/>
      <c r="C414" s="16"/>
      <c r="D414" s="16"/>
      <c r="E414" s="16"/>
      <c r="F414" s="16"/>
      <c r="G414" s="16"/>
      <c r="H414" s="16"/>
      <c r="I414" s="16"/>
      <c r="J414" s="17"/>
      <c r="K414" s="17"/>
      <c r="L414" s="17"/>
      <c r="M414" s="2"/>
      <c r="N414" s="2"/>
      <c r="O414" s="63"/>
      <c r="P414" s="2"/>
      <c r="Q414" s="2"/>
      <c r="R414" s="2"/>
      <c r="S414" s="2"/>
      <c r="T414" s="2"/>
    </row>
    <row r="415" spans="1:20">
      <c r="A415" s="28" t="s">
        <v>498</v>
      </c>
      <c r="B415" s="25"/>
      <c r="C415" s="25"/>
      <c r="D415" s="25"/>
      <c r="E415" s="25"/>
      <c r="F415" s="25"/>
      <c r="G415" s="25"/>
      <c r="H415" s="25"/>
      <c r="I415" s="25"/>
      <c r="J415" s="26"/>
      <c r="K415" s="26"/>
      <c r="L415" s="26"/>
      <c r="M415" s="1"/>
      <c r="N415" s="1"/>
      <c r="O415" s="64"/>
      <c r="P415" s="1"/>
      <c r="Q415" s="1"/>
      <c r="R415" s="1"/>
      <c r="S415" s="1"/>
      <c r="T415" s="1"/>
    </row>
    <row r="416" spans="1:20">
      <c r="A416" s="96" t="s">
        <v>566</v>
      </c>
      <c r="B416" s="25"/>
      <c r="C416" s="25"/>
      <c r="D416" s="25"/>
      <c r="E416" s="25"/>
      <c r="F416" s="25"/>
      <c r="G416" s="25"/>
      <c r="H416" s="25"/>
      <c r="I416" s="25"/>
      <c r="J416" s="26"/>
      <c r="K416" s="26"/>
      <c r="L416" s="26"/>
      <c r="M416" s="1"/>
      <c r="N416" s="1"/>
      <c r="O416" s="64"/>
      <c r="P416" s="1"/>
      <c r="Q416" s="1"/>
      <c r="R416" s="1"/>
      <c r="S416" s="1"/>
      <c r="T416" s="1"/>
    </row>
    <row r="417" spans="1:20">
      <c r="A417" s="96" t="s">
        <v>570</v>
      </c>
      <c r="B417" s="25"/>
      <c r="C417" s="25"/>
      <c r="D417" s="25"/>
      <c r="E417" s="25"/>
      <c r="F417" s="25"/>
      <c r="G417" s="25"/>
      <c r="H417" s="25"/>
      <c r="I417" s="25"/>
      <c r="J417" s="26"/>
      <c r="K417" s="26"/>
      <c r="L417" s="26"/>
      <c r="M417" s="1"/>
      <c r="N417" s="1"/>
      <c r="O417" s="64"/>
      <c r="P417" s="1"/>
      <c r="Q417" s="1"/>
      <c r="R417" s="1"/>
      <c r="S417" s="1"/>
      <c r="T417" s="1"/>
    </row>
    <row r="418" spans="1:20">
      <c r="A418" s="96" t="s">
        <v>571</v>
      </c>
      <c r="B418" s="25"/>
      <c r="C418" s="25"/>
      <c r="D418" s="25"/>
      <c r="E418" s="25"/>
      <c r="F418" s="25"/>
      <c r="G418" s="25"/>
      <c r="H418" s="25"/>
      <c r="I418" s="25"/>
      <c r="J418" s="26"/>
      <c r="K418" s="26"/>
      <c r="L418" s="26"/>
      <c r="M418" s="1"/>
      <c r="N418" s="1"/>
      <c r="O418" s="64"/>
      <c r="P418" s="1"/>
      <c r="Q418" s="1"/>
      <c r="R418" s="1"/>
      <c r="S418" s="1"/>
      <c r="T418" s="1"/>
    </row>
    <row r="419" spans="1:20">
      <c r="A419" s="96" t="s">
        <v>572</v>
      </c>
      <c r="B419" s="25"/>
      <c r="C419" s="25"/>
      <c r="D419" s="25"/>
      <c r="E419" s="25"/>
      <c r="F419" s="25"/>
      <c r="G419" s="25"/>
      <c r="H419" s="25"/>
      <c r="I419" s="25"/>
      <c r="J419" s="26"/>
      <c r="K419" s="26"/>
      <c r="L419" s="26"/>
      <c r="M419" s="1"/>
      <c r="N419" s="1"/>
      <c r="O419" s="64"/>
      <c r="P419" s="1"/>
      <c r="Q419" s="1"/>
      <c r="R419" s="1"/>
      <c r="S419" s="1"/>
      <c r="T419" s="1"/>
    </row>
    <row r="420" spans="1:20">
      <c r="A420" s="29" t="s">
        <v>505</v>
      </c>
      <c r="B420" s="25"/>
      <c r="C420" s="25"/>
      <c r="D420" s="25"/>
      <c r="E420" s="25"/>
      <c r="F420" s="25"/>
      <c r="G420" s="25"/>
      <c r="H420" s="25"/>
      <c r="I420" s="25"/>
      <c r="J420" s="26"/>
      <c r="K420" s="26"/>
      <c r="L420" s="26"/>
      <c r="M420" s="1"/>
      <c r="N420" s="1"/>
      <c r="O420" s="64"/>
      <c r="P420" s="1"/>
      <c r="Q420" s="1"/>
      <c r="R420" s="1"/>
      <c r="S420" s="1"/>
      <c r="T420" s="1"/>
    </row>
    <row r="421" spans="1:20">
      <c r="A421" s="29"/>
      <c r="B421" s="25"/>
      <c r="C421" s="25"/>
      <c r="D421" s="25"/>
      <c r="E421" s="25"/>
      <c r="F421" s="25"/>
      <c r="G421" s="25"/>
      <c r="H421" s="25"/>
      <c r="I421" s="25"/>
      <c r="J421" s="26"/>
      <c r="K421" s="26"/>
      <c r="L421" s="26"/>
      <c r="M421" s="1"/>
      <c r="N421" s="1"/>
      <c r="O421" s="64"/>
      <c r="P421" s="1"/>
      <c r="Q421" s="1"/>
      <c r="R421" s="1"/>
      <c r="S421" s="1"/>
      <c r="T421" s="1"/>
    </row>
    <row r="422" spans="1:20">
      <c r="A422" s="96" t="s">
        <v>579</v>
      </c>
      <c r="B422" s="25"/>
      <c r="C422" s="25"/>
      <c r="D422" s="25"/>
      <c r="E422" s="25"/>
      <c r="F422" s="25"/>
      <c r="G422" s="25"/>
      <c r="H422" s="25"/>
      <c r="I422" s="25"/>
      <c r="J422" s="26"/>
      <c r="K422" s="26"/>
      <c r="L422" s="26"/>
      <c r="M422" s="1"/>
      <c r="N422" s="1"/>
      <c r="O422" s="64"/>
      <c r="P422" s="1"/>
      <c r="Q422" s="1"/>
      <c r="R422" s="1"/>
      <c r="S422" s="1"/>
      <c r="T422" s="1"/>
    </row>
    <row r="423" spans="1:20">
      <c r="A423" s="28" t="s">
        <v>492</v>
      </c>
      <c r="B423" s="25"/>
      <c r="C423" s="25"/>
      <c r="D423" s="25"/>
      <c r="E423" s="25"/>
      <c r="F423" s="25"/>
      <c r="G423" s="25"/>
      <c r="H423" s="25"/>
      <c r="I423" s="25"/>
      <c r="J423" s="26"/>
      <c r="K423" s="26"/>
      <c r="L423" s="26"/>
      <c r="M423" s="1"/>
      <c r="N423" s="1"/>
      <c r="O423" s="64"/>
      <c r="P423" s="1"/>
      <c r="Q423" s="1"/>
      <c r="R423" s="1"/>
      <c r="S423" s="1"/>
      <c r="T423" s="1"/>
    </row>
    <row r="424" spans="1:20" ht="13.5" thickBot="1">
      <c r="A424" s="30" t="s">
        <v>510</v>
      </c>
      <c r="B424" s="31"/>
      <c r="C424" s="31"/>
      <c r="D424" s="31"/>
      <c r="E424" s="31"/>
      <c r="F424" s="31"/>
      <c r="G424" s="31"/>
      <c r="H424" s="31"/>
      <c r="I424" s="31"/>
      <c r="J424" s="32"/>
      <c r="K424" s="32"/>
      <c r="L424" s="32"/>
      <c r="M424" s="31"/>
      <c r="N424" s="31"/>
      <c r="O424" s="81"/>
      <c r="P424" s="1"/>
      <c r="Q424" s="1"/>
      <c r="R424" s="1"/>
      <c r="S424" s="1"/>
      <c r="T424" s="1"/>
    </row>
    <row r="425" spans="1:20">
      <c r="A425" s="4"/>
      <c r="B425" s="1"/>
      <c r="C425" s="1"/>
      <c r="D425" s="1"/>
      <c r="E425" s="1"/>
      <c r="F425" s="1"/>
      <c r="G425" s="1"/>
      <c r="H425" s="1"/>
      <c r="I425" s="1"/>
      <c r="J425" s="3"/>
      <c r="K425" s="3"/>
      <c r="L425" s="3"/>
      <c r="M425" s="1"/>
      <c r="N425" s="1"/>
      <c r="O425" s="1"/>
      <c r="P425" s="1"/>
      <c r="Q425" s="1"/>
      <c r="R425" s="1"/>
      <c r="S425" s="1"/>
      <c r="T425" s="1"/>
    </row>
    <row r="426" spans="1:20">
      <c r="A426" s="4"/>
      <c r="B426" s="1"/>
      <c r="C426" s="1"/>
      <c r="D426" s="1"/>
      <c r="E426" s="1"/>
      <c r="F426" s="1"/>
      <c r="G426" s="1"/>
      <c r="H426" s="1"/>
      <c r="I426" s="1"/>
      <c r="J426" s="3"/>
      <c r="K426" s="3"/>
      <c r="L426" s="3"/>
      <c r="M426" s="1"/>
      <c r="N426" s="1"/>
      <c r="O426" s="1"/>
      <c r="P426" s="1"/>
      <c r="Q426" s="1"/>
      <c r="R426" s="1"/>
      <c r="S426" s="1"/>
      <c r="T426" s="1"/>
    </row>
    <row r="427" spans="1:20">
      <c r="A427" s="2"/>
      <c r="B427" s="2"/>
      <c r="C427" s="2"/>
      <c r="D427" s="2"/>
      <c r="E427" s="2"/>
      <c r="F427" s="2"/>
      <c r="G427" s="2"/>
      <c r="H427" s="2"/>
      <c r="I427" s="2"/>
      <c r="J427" s="2"/>
      <c r="K427" s="2"/>
      <c r="L427" s="2"/>
      <c r="M427" s="2"/>
      <c r="N427" s="2"/>
      <c r="O427" s="2"/>
      <c r="P427" s="2"/>
      <c r="Q427" s="2"/>
      <c r="R427" s="2"/>
      <c r="S427" s="2"/>
      <c r="T427"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rowBreaks count="1" manualBreakCount="1">
    <brk id="413" max="14" man="1"/>
  </rowBreaks>
  <ignoredErrors>
    <ignoredError sqref="F412 L41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T426"/>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7" t="s">
        <v>479</v>
      </c>
      <c r="B1" s="198"/>
      <c r="C1" s="198"/>
      <c r="D1" s="198"/>
      <c r="E1" s="198"/>
      <c r="F1" s="198"/>
      <c r="G1" s="198"/>
      <c r="H1" s="198"/>
      <c r="I1" s="198"/>
      <c r="J1" s="198"/>
      <c r="K1" s="198"/>
      <c r="L1" s="198"/>
      <c r="M1" s="198"/>
      <c r="N1" s="198"/>
      <c r="O1" s="199"/>
    </row>
    <row r="2" spans="1:20" ht="18">
      <c r="A2" s="41"/>
      <c r="B2" s="42"/>
      <c r="C2" s="43"/>
      <c r="D2" s="200" t="s">
        <v>483</v>
      </c>
      <c r="E2" s="201"/>
      <c r="F2" s="201"/>
      <c r="G2" s="201"/>
      <c r="H2" s="202"/>
      <c r="I2" s="44"/>
      <c r="J2" s="61" t="s">
        <v>456</v>
      </c>
      <c r="K2" s="45"/>
      <c r="L2" s="68"/>
      <c r="M2" s="201" t="s">
        <v>503</v>
      </c>
      <c r="N2" s="201"/>
      <c r="O2" s="203"/>
    </row>
    <row r="3" spans="1:20" ht="12.75" customHeight="1">
      <c r="A3" s="46"/>
      <c r="B3" s="47"/>
      <c r="C3" s="48">
        <v>2002</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6513</v>
      </c>
      <c r="D6" s="18"/>
      <c r="E6" s="18">
        <v>525040143</v>
      </c>
      <c r="F6" s="38">
        <f>(E6/C6)</f>
        <v>80614.178258866887</v>
      </c>
      <c r="G6" s="18">
        <v>355437553</v>
      </c>
      <c r="H6" s="39">
        <f t="shared" ref="H6:H14" si="0">(G6/C6)</f>
        <v>54573.5533548288</v>
      </c>
      <c r="I6" s="15"/>
      <c r="J6" s="17">
        <v>5.7</v>
      </c>
      <c r="K6" s="40">
        <v>2025994</v>
      </c>
      <c r="L6" s="84">
        <f t="shared" ref="L6:L14" si="1">(K6/C6)</f>
        <v>311.06924612313833</v>
      </c>
      <c r="M6" s="65">
        <f>(G6*0.01)</f>
        <v>3554375.5300000003</v>
      </c>
      <c r="N6" s="83">
        <f>(M6-K6)</f>
        <v>1528381.5300000003</v>
      </c>
      <c r="O6" s="62">
        <f>(N6/C6)</f>
        <v>234.66628742514973</v>
      </c>
      <c r="P6" s="5"/>
      <c r="Q6" s="5">
        <f>IF(E6&gt;0,1,0)</f>
        <v>1</v>
      </c>
      <c r="R6" s="7">
        <f>IF(E6&gt;0,C6,0)</f>
        <v>6513</v>
      </c>
      <c r="S6" s="5">
        <f>IF(J6&gt;0,1,0)</f>
        <v>1</v>
      </c>
      <c r="T6" s="7">
        <f>IF(J6&gt;0,C6,0)</f>
        <v>6513</v>
      </c>
    </row>
    <row r="7" spans="1:20">
      <c r="A7" s="23" t="s">
        <v>9</v>
      </c>
      <c r="B7" s="35" t="s">
        <v>8</v>
      </c>
      <c r="C7" s="36">
        <v>1263</v>
      </c>
      <c r="D7" s="6"/>
      <c r="E7" s="113">
        <v>37522739</v>
      </c>
      <c r="F7" s="116">
        <f>(E7/C7)</f>
        <v>29709.215360253365</v>
      </c>
      <c r="G7" s="113">
        <v>20595639</v>
      </c>
      <c r="H7" s="117">
        <f t="shared" si="0"/>
        <v>16306.919239904988</v>
      </c>
      <c r="I7" s="7"/>
      <c r="J7" s="10">
        <v>4</v>
      </c>
      <c r="K7" s="117">
        <v>82382</v>
      </c>
      <c r="L7" s="120">
        <f t="shared" si="1"/>
        <v>65.22723673792558</v>
      </c>
      <c r="M7" s="122">
        <f>(G7*0.01)</f>
        <v>205956.39</v>
      </c>
      <c r="N7" s="116">
        <f>(M7-K7)</f>
        <v>123574.39000000001</v>
      </c>
      <c r="O7" s="123">
        <f>(N7/C7)</f>
        <v>97.841955661124317</v>
      </c>
      <c r="P7" s="5"/>
      <c r="Q7" s="5">
        <f t="shared" ref="Q7:Q70" si="2">IF(E7&gt;0,1,0)</f>
        <v>1</v>
      </c>
      <c r="R7" s="7">
        <f t="shared" ref="R7:R70" si="3">IF(E7&gt;0,C7,0)</f>
        <v>1263</v>
      </c>
      <c r="S7" s="5">
        <f t="shared" ref="S7:S70" si="4">IF(J7&gt;0,1,0)</f>
        <v>1</v>
      </c>
      <c r="T7" s="7">
        <f t="shared" ref="T7:T70" si="5">IF(J7&gt;0,C7,0)</f>
        <v>1263</v>
      </c>
    </row>
    <row r="8" spans="1:20">
      <c r="A8" s="23" t="s">
        <v>10</v>
      </c>
      <c r="B8" s="35" t="s">
        <v>8</v>
      </c>
      <c r="C8" s="36">
        <v>98245</v>
      </c>
      <c r="D8" s="6"/>
      <c r="E8" s="113">
        <v>7047490127</v>
      </c>
      <c r="F8" s="116">
        <f t="shared" ref="F8:F71" si="6">(E8/C8)</f>
        <v>71733.829986258846</v>
      </c>
      <c r="G8" s="113">
        <v>3252819147</v>
      </c>
      <c r="H8" s="117">
        <f t="shared" si="0"/>
        <v>33109.258964832814</v>
      </c>
      <c r="I8" s="7"/>
      <c r="J8" s="10">
        <v>4.9416000000000002</v>
      </c>
      <c r="K8" s="117">
        <v>16074131</v>
      </c>
      <c r="L8" s="120">
        <f t="shared" si="1"/>
        <v>163.61271311517126</v>
      </c>
      <c r="M8" s="122">
        <f t="shared" ref="M8:M71" si="7">(G8*0.01)</f>
        <v>32528191.470000003</v>
      </c>
      <c r="N8" s="116">
        <f t="shared" ref="N8:N71" si="8">(M8-K8)</f>
        <v>16454060.470000003</v>
      </c>
      <c r="O8" s="123">
        <f t="shared" ref="O8:O71" si="9">(N8/C8)</f>
        <v>167.47987653315693</v>
      </c>
      <c r="P8" s="5"/>
      <c r="Q8" s="5">
        <f t="shared" si="2"/>
        <v>1</v>
      </c>
      <c r="R8" s="7">
        <f t="shared" si="3"/>
        <v>98245</v>
      </c>
      <c r="S8" s="5">
        <f t="shared" si="4"/>
        <v>1</v>
      </c>
      <c r="T8" s="7">
        <f t="shared" si="5"/>
        <v>98245</v>
      </c>
    </row>
    <row r="9" spans="1:20">
      <c r="A9" s="23" t="s">
        <v>11</v>
      </c>
      <c r="B9" s="35" t="s">
        <v>8</v>
      </c>
      <c r="C9" s="36">
        <v>1394</v>
      </c>
      <c r="D9" s="6"/>
      <c r="E9" s="113">
        <v>60197134</v>
      </c>
      <c r="F9" s="116">
        <f t="shared" si="6"/>
        <v>43183.022955523673</v>
      </c>
      <c r="G9" s="117">
        <v>30110764</v>
      </c>
      <c r="H9" s="117">
        <f t="shared" si="0"/>
        <v>21600.261119081781</v>
      </c>
      <c r="I9" s="7"/>
      <c r="J9" s="10">
        <v>5.4184999999999999</v>
      </c>
      <c r="K9" s="117">
        <v>163155</v>
      </c>
      <c r="L9" s="120">
        <f t="shared" si="1"/>
        <v>117.04088952654233</v>
      </c>
      <c r="M9" s="122">
        <f t="shared" si="7"/>
        <v>301107.64</v>
      </c>
      <c r="N9" s="116">
        <f t="shared" si="8"/>
        <v>137952.64000000001</v>
      </c>
      <c r="O9" s="123">
        <f t="shared" si="9"/>
        <v>98.961721664275473</v>
      </c>
      <c r="P9" s="5"/>
      <c r="Q9" s="5">
        <f t="shared" si="2"/>
        <v>1</v>
      </c>
      <c r="R9" s="7">
        <f t="shared" si="3"/>
        <v>1394</v>
      </c>
      <c r="S9" s="5">
        <f t="shared" si="4"/>
        <v>1</v>
      </c>
      <c r="T9" s="7">
        <f t="shared" si="5"/>
        <v>1394</v>
      </c>
    </row>
    <row r="10" spans="1:20">
      <c r="A10" s="23" t="s">
        <v>12</v>
      </c>
      <c r="B10" s="35" t="s">
        <v>8</v>
      </c>
      <c r="C10" s="36">
        <v>4067</v>
      </c>
      <c r="D10" s="6"/>
      <c r="E10" s="113">
        <v>182285274</v>
      </c>
      <c r="F10" s="116">
        <f t="shared" si="6"/>
        <v>44820.573887386279</v>
      </c>
      <c r="G10" s="117">
        <v>109389785</v>
      </c>
      <c r="H10" s="117">
        <f t="shared" si="0"/>
        <v>26896.922793213671</v>
      </c>
      <c r="I10" s="7"/>
      <c r="J10" s="10">
        <v>6.25</v>
      </c>
      <c r="K10" s="117">
        <v>683686</v>
      </c>
      <c r="L10" s="120">
        <f t="shared" si="1"/>
        <v>168.10572903860339</v>
      </c>
      <c r="M10" s="122">
        <f t="shared" si="7"/>
        <v>1093897.8500000001</v>
      </c>
      <c r="N10" s="116">
        <f t="shared" si="8"/>
        <v>410211.85000000009</v>
      </c>
      <c r="O10" s="123">
        <f t="shared" si="9"/>
        <v>100.86349889353335</v>
      </c>
      <c r="P10" s="5"/>
      <c r="Q10" s="5">
        <f t="shared" si="2"/>
        <v>1</v>
      </c>
      <c r="R10" s="7">
        <f t="shared" si="3"/>
        <v>4067</v>
      </c>
      <c r="S10" s="5">
        <f t="shared" si="4"/>
        <v>1</v>
      </c>
      <c r="T10" s="7">
        <f t="shared" si="5"/>
        <v>4067</v>
      </c>
    </row>
    <row r="11" spans="1:20">
      <c r="A11" s="23" t="s">
        <v>559</v>
      </c>
      <c r="B11" s="35" t="s">
        <v>8</v>
      </c>
      <c r="C11" s="36">
        <v>143</v>
      </c>
      <c r="D11" s="6"/>
      <c r="E11" s="113">
        <v>7919815</v>
      </c>
      <c r="F11" s="116">
        <f t="shared" si="6"/>
        <v>55383.321678321678</v>
      </c>
      <c r="G11" s="117">
        <v>3841815</v>
      </c>
      <c r="H11" s="117">
        <f t="shared" si="0"/>
        <v>26865.839160839161</v>
      </c>
      <c r="I11" s="7"/>
      <c r="J11" s="10">
        <v>3.9489999999999998</v>
      </c>
      <c r="K11" s="117">
        <v>15171</v>
      </c>
      <c r="L11" s="120">
        <f t="shared" si="1"/>
        <v>106.09090909090909</v>
      </c>
      <c r="M11" s="122">
        <f t="shared" si="7"/>
        <v>38418.15</v>
      </c>
      <c r="N11" s="116">
        <f t="shared" si="8"/>
        <v>23247.15</v>
      </c>
      <c r="O11" s="123">
        <f t="shared" si="9"/>
        <v>162.56748251748252</v>
      </c>
      <c r="P11" s="5"/>
      <c r="Q11" s="5">
        <f t="shared" si="2"/>
        <v>1</v>
      </c>
      <c r="R11" s="7">
        <f t="shared" si="3"/>
        <v>143</v>
      </c>
      <c r="S11" s="5">
        <f t="shared" si="4"/>
        <v>1</v>
      </c>
      <c r="T11" s="7">
        <f t="shared" si="5"/>
        <v>143</v>
      </c>
    </row>
    <row r="12" spans="1:20">
      <c r="A12" s="23" t="s">
        <v>13</v>
      </c>
      <c r="B12" s="35" t="s">
        <v>8</v>
      </c>
      <c r="C12" s="36">
        <v>644</v>
      </c>
      <c r="D12" s="6"/>
      <c r="E12" s="113">
        <v>28152637</v>
      </c>
      <c r="F12" s="116">
        <f t="shared" si="6"/>
        <v>43715.274844720494</v>
      </c>
      <c r="G12" s="117">
        <v>15932189</v>
      </c>
      <c r="H12" s="117">
        <f t="shared" si="0"/>
        <v>24739.42391304348</v>
      </c>
      <c r="I12" s="7"/>
      <c r="J12" s="10">
        <v>6</v>
      </c>
      <c r="K12" s="117">
        <v>95593</v>
      </c>
      <c r="L12" s="120">
        <f t="shared" si="1"/>
        <v>148.4363354037267</v>
      </c>
      <c r="M12" s="122">
        <f t="shared" si="7"/>
        <v>159321.89000000001</v>
      </c>
      <c r="N12" s="116">
        <f t="shared" si="8"/>
        <v>63728.890000000014</v>
      </c>
      <c r="O12" s="123">
        <f t="shared" si="9"/>
        <v>98.957903726708096</v>
      </c>
      <c r="P12" s="5"/>
      <c r="Q12" s="5">
        <f t="shared" si="2"/>
        <v>1</v>
      </c>
      <c r="R12" s="7">
        <f t="shared" si="3"/>
        <v>644</v>
      </c>
      <c r="S12" s="5">
        <f t="shared" si="4"/>
        <v>1</v>
      </c>
      <c r="T12" s="7">
        <f t="shared" si="5"/>
        <v>644</v>
      </c>
    </row>
    <row r="13" spans="1:20">
      <c r="A13" s="23" t="s">
        <v>14</v>
      </c>
      <c r="B13" s="35" t="s">
        <v>8</v>
      </c>
      <c r="C13" s="36">
        <v>3560</v>
      </c>
      <c r="D13" s="6"/>
      <c r="E13" s="113">
        <v>230483091</v>
      </c>
      <c r="F13" s="116">
        <f t="shared" si="6"/>
        <v>64742.441292134834</v>
      </c>
      <c r="G13" s="117">
        <v>138267761</v>
      </c>
      <c r="H13" s="117">
        <f t="shared" si="0"/>
        <v>38839.25870786517</v>
      </c>
      <c r="I13" s="7"/>
      <c r="J13" s="10">
        <v>4.5</v>
      </c>
      <c r="K13" s="117">
        <v>622204</v>
      </c>
      <c r="L13" s="120">
        <f t="shared" si="1"/>
        <v>174.77640449438204</v>
      </c>
      <c r="M13" s="122">
        <f t="shared" si="7"/>
        <v>1382677.61</v>
      </c>
      <c r="N13" s="116">
        <f t="shared" si="8"/>
        <v>760473.6100000001</v>
      </c>
      <c r="O13" s="123">
        <f t="shared" si="9"/>
        <v>213.61618258426969</v>
      </c>
      <c r="P13" s="5"/>
      <c r="Q13" s="5">
        <f t="shared" si="2"/>
        <v>1</v>
      </c>
      <c r="R13" s="7">
        <f t="shared" si="3"/>
        <v>3560</v>
      </c>
      <c r="S13" s="5">
        <f t="shared" si="4"/>
        <v>1</v>
      </c>
      <c r="T13" s="7">
        <f t="shared" si="5"/>
        <v>3560</v>
      </c>
    </row>
    <row r="14" spans="1:20">
      <c r="A14" s="23" t="s">
        <v>15</v>
      </c>
      <c r="B14" s="35" t="s">
        <v>8</v>
      </c>
      <c r="C14" s="36">
        <v>839</v>
      </c>
      <c r="D14" s="6"/>
      <c r="E14" s="113">
        <v>29197127</v>
      </c>
      <c r="F14" s="116">
        <f t="shared" si="6"/>
        <v>34799.912991656733</v>
      </c>
      <c r="G14" s="117">
        <v>15073582</v>
      </c>
      <c r="H14" s="117">
        <f t="shared" si="0"/>
        <v>17966.128724672228</v>
      </c>
      <c r="I14" s="7"/>
      <c r="J14" s="10">
        <v>5.0313999999999997</v>
      </c>
      <c r="K14" s="117">
        <v>75841</v>
      </c>
      <c r="L14" s="120">
        <f t="shared" si="1"/>
        <v>90.394517282479143</v>
      </c>
      <c r="M14" s="122">
        <f t="shared" si="7"/>
        <v>150735.82</v>
      </c>
      <c r="N14" s="116">
        <f t="shared" si="8"/>
        <v>74894.820000000007</v>
      </c>
      <c r="O14" s="123">
        <f t="shared" si="9"/>
        <v>89.266769964243153</v>
      </c>
      <c r="P14" s="5"/>
      <c r="Q14" s="5">
        <f t="shared" si="2"/>
        <v>1</v>
      </c>
      <c r="R14" s="7">
        <f t="shared" si="3"/>
        <v>839</v>
      </c>
      <c r="S14" s="5">
        <f t="shared" si="4"/>
        <v>1</v>
      </c>
      <c r="T14" s="7">
        <f t="shared" si="5"/>
        <v>839</v>
      </c>
    </row>
    <row r="15" spans="1:20">
      <c r="A15" s="23" t="s">
        <v>544</v>
      </c>
      <c r="B15" s="35" t="s">
        <v>16</v>
      </c>
      <c r="C15" s="36">
        <v>485</v>
      </c>
      <c r="D15" s="6" t="s">
        <v>527</v>
      </c>
      <c r="E15" s="113"/>
      <c r="F15" s="116"/>
      <c r="G15" s="117"/>
      <c r="H15" s="117"/>
      <c r="I15" s="98" t="s">
        <v>528</v>
      </c>
      <c r="J15" s="10"/>
      <c r="K15" s="117"/>
      <c r="L15" s="120"/>
      <c r="M15" s="122">
        <f t="shared" si="7"/>
        <v>0</v>
      </c>
      <c r="N15" s="116">
        <f t="shared" si="8"/>
        <v>0</v>
      </c>
      <c r="O15" s="123">
        <f t="shared" si="9"/>
        <v>0</v>
      </c>
      <c r="P15" s="5"/>
      <c r="Q15" s="5">
        <f t="shared" si="2"/>
        <v>0</v>
      </c>
      <c r="R15" s="7">
        <f t="shared" si="3"/>
        <v>0</v>
      </c>
      <c r="S15" s="5">
        <f t="shared" si="4"/>
        <v>0</v>
      </c>
      <c r="T15" s="7">
        <f t="shared" si="5"/>
        <v>0</v>
      </c>
    </row>
    <row r="16" spans="1:20">
      <c r="A16" s="23" t="s">
        <v>17</v>
      </c>
      <c r="B16" s="35" t="s">
        <v>16</v>
      </c>
      <c r="C16" s="36">
        <v>4689</v>
      </c>
      <c r="D16" s="6"/>
      <c r="E16" s="113">
        <v>197443057</v>
      </c>
      <c r="F16" s="116">
        <f t="shared" si="6"/>
        <v>42107.711025805074</v>
      </c>
      <c r="G16" s="117">
        <v>110060696</v>
      </c>
      <c r="H16" s="117">
        <f t="shared" ref="H16:H47" si="10">(G16/C16)</f>
        <v>23472.104073363189</v>
      </c>
      <c r="I16" s="7"/>
      <c r="J16" s="10">
        <v>3.65</v>
      </c>
      <c r="K16" s="117">
        <v>401721</v>
      </c>
      <c r="L16" s="120">
        <f>(K16/C16)</f>
        <v>85.673064619321821</v>
      </c>
      <c r="M16" s="122">
        <f t="shared" si="7"/>
        <v>1100606.96</v>
      </c>
      <c r="N16" s="116">
        <f t="shared" si="8"/>
        <v>698885.96</v>
      </c>
      <c r="O16" s="123">
        <f t="shared" si="9"/>
        <v>149.04797611431007</v>
      </c>
      <c r="P16" s="5"/>
      <c r="Q16" s="5">
        <f t="shared" si="2"/>
        <v>1</v>
      </c>
      <c r="R16" s="7">
        <f t="shared" si="3"/>
        <v>4689</v>
      </c>
      <c r="S16" s="5">
        <f t="shared" si="4"/>
        <v>1</v>
      </c>
      <c r="T16" s="7">
        <f t="shared" si="5"/>
        <v>4689</v>
      </c>
    </row>
    <row r="17" spans="1:20">
      <c r="A17" s="23" t="s">
        <v>18</v>
      </c>
      <c r="B17" s="35" t="s">
        <v>19</v>
      </c>
      <c r="C17" s="36">
        <v>14488</v>
      </c>
      <c r="D17" s="6"/>
      <c r="E17" s="113">
        <v>406166156</v>
      </c>
      <c r="F17" s="116">
        <f t="shared" si="6"/>
        <v>28034.660132523466</v>
      </c>
      <c r="G17" s="117">
        <v>299819349</v>
      </c>
      <c r="H17" s="117">
        <f t="shared" si="10"/>
        <v>20694.322818884593</v>
      </c>
      <c r="I17" s="98" t="s">
        <v>528</v>
      </c>
      <c r="J17" s="10"/>
      <c r="K17" s="117"/>
      <c r="L17" s="120"/>
      <c r="M17" s="122">
        <f t="shared" si="7"/>
        <v>2998193.49</v>
      </c>
      <c r="N17" s="116">
        <f t="shared" si="8"/>
        <v>2998193.49</v>
      </c>
      <c r="O17" s="123">
        <f t="shared" si="9"/>
        <v>206.94322818884595</v>
      </c>
      <c r="P17" s="5"/>
      <c r="Q17" s="5">
        <f t="shared" si="2"/>
        <v>1</v>
      </c>
      <c r="R17" s="7">
        <f t="shared" si="3"/>
        <v>14488</v>
      </c>
      <c r="S17" s="5">
        <f t="shared" si="4"/>
        <v>0</v>
      </c>
      <c r="T17" s="7">
        <f t="shared" si="5"/>
        <v>0</v>
      </c>
    </row>
    <row r="18" spans="1:20">
      <c r="A18" s="23" t="s">
        <v>20</v>
      </c>
      <c r="B18" s="35" t="s">
        <v>19</v>
      </c>
      <c r="C18" s="36">
        <v>5402</v>
      </c>
      <c r="D18" s="6"/>
      <c r="E18" s="113">
        <v>136871126</v>
      </c>
      <c r="F18" s="116">
        <f t="shared" si="6"/>
        <v>25337.120696038503</v>
      </c>
      <c r="G18" s="117">
        <v>79081511</v>
      </c>
      <c r="H18" s="117">
        <f t="shared" si="10"/>
        <v>14639.30229544613</v>
      </c>
      <c r="I18" s="98" t="s">
        <v>528</v>
      </c>
      <c r="J18" s="10"/>
      <c r="K18" s="117"/>
      <c r="L18" s="120"/>
      <c r="M18" s="122">
        <f t="shared" si="7"/>
        <v>790815.11</v>
      </c>
      <c r="N18" s="116">
        <f t="shared" si="8"/>
        <v>790815.11</v>
      </c>
      <c r="O18" s="123">
        <f t="shared" si="9"/>
        <v>146.39302295446132</v>
      </c>
      <c r="P18" s="5"/>
      <c r="Q18" s="5">
        <f t="shared" si="2"/>
        <v>1</v>
      </c>
      <c r="R18" s="7">
        <f t="shared" si="3"/>
        <v>5402</v>
      </c>
      <c r="S18" s="5">
        <f t="shared" si="4"/>
        <v>0</v>
      </c>
      <c r="T18" s="7">
        <f t="shared" si="5"/>
        <v>0</v>
      </c>
    </row>
    <row r="19" spans="1:20">
      <c r="A19" s="23" t="s">
        <v>21</v>
      </c>
      <c r="B19" s="35" t="s">
        <v>19</v>
      </c>
      <c r="C19" s="36">
        <v>13204</v>
      </c>
      <c r="D19" s="6"/>
      <c r="E19" s="113">
        <v>748964586</v>
      </c>
      <c r="F19" s="116">
        <f t="shared" si="6"/>
        <v>56722.552711299606</v>
      </c>
      <c r="G19" s="117">
        <v>469569740</v>
      </c>
      <c r="H19" s="117">
        <f t="shared" si="10"/>
        <v>35562.688579218418</v>
      </c>
      <c r="I19" s="7"/>
      <c r="J19" s="10">
        <v>4</v>
      </c>
      <c r="K19" s="117">
        <v>1878278</v>
      </c>
      <c r="L19" s="120">
        <f>(K19/C19)</f>
        <v>142.25068161163284</v>
      </c>
      <c r="M19" s="122">
        <f t="shared" si="7"/>
        <v>4695697.4000000004</v>
      </c>
      <c r="N19" s="116">
        <f t="shared" si="8"/>
        <v>2817419.4000000004</v>
      </c>
      <c r="O19" s="123">
        <f t="shared" si="9"/>
        <v>213.37620418055138</v>
      </c>
      <c r="P19" s="5"/>
      <c r="Q19" s="5">
        <f t="shared" si="2"/>
        <v>1</v>
      </c>
      <c r="R19" s="7">
        <f t="shared" si="3"/>
        <v>13204</v>
      </c>
      <c r="S19" s="5">
        <f t="shared" si="4"/>
        <v>1</v>
      </c>
      <c r="T19" s="7">
        <f t="shared" si="5"/>
        <v>13204</v>
      </c>
    </row>
    <row r="20" spans="1:20">
      <c r="A20" s="23" t="s">
        <v>22</v>
      </c>
      <c r="B20" s="35" t="s">
        <v>19</v>
      </c>
      <c r="C20" s="36">
        <v>1066</v>
      </c>
      <c r="D20" s="6"/>
      <c r="E20" s="113">
        <v>153856627</v>
      </c>
      <c r="F20" s="116">
        <f t="shared" si="6"/>
        <v>144330.79455909945</v>
      </c>
      <c r="G20" s="117">
        <v>124481762</v>
      </c>
      <c r="H20" s="117">
        <f t="shared" si="10"/>
        <v>116774.63602251407</v>
      </c>
      <c r="I20" s="7"/>
      <c r="J20" s="11">
        <v>4.5999999999999996</v>
      </c>
      <c r="K20" s="117">
        <v>572616</v>
      </c>
      <c r="L20" s="120">
        <f>(K20/C20)</f>
        <v>537.16322701688557</v>
      </c>
      <c r="M20" s="122">
        <f t="shared" si="7"/>
        <v>1244817.6200000001</v>
      </c>
      <c r="N20" s="116">
        <f t="shared" si="8"/>
        <v>672201.62000000011</v>
      </c>
      <c r="O20" s="123">
        <f t="shared" si="9"/>
        <v>630.58313320825528</v>
      </c>
      <c r="P20" s="5"/>
      <c r="Q20" s="5">
        <f t="shared" si="2"/>
        <v>1</v>
      </c>
      <c r="R20" s="7">
        <f t="shared" si="3"/>
        <v>1066</v>
      </c>
      <c r="S20" s="5">
        <f t="shared" si="4"/>
        <v>1</v>
      </c>
      <c r="T20" s="7">
        <f t="shared" si="5"/>
        <v>1066</v>
      </c>
    </row>
    <row r="21" spans="1:20">
      <c r="A21" s="23" t="s">
        <v>23</v>
      </c>
      <c r="B21" s="35" t="s">
        <v>19</v>
      </c>
      <c r="C21" s="36">
        <v>36412</v>
      </c>
      <c r="D21" s="6"/>
      <c r="E21" s="113">
        <v>2083235729</v>
      </c>
      <c r="F21" s="116">
        <f t="shared" si="6"/>
        <v>57212.889404591893</v>
      </c>
      <c r="G21" s="117">
        <v>1393200727</v>
      </c>
      <c r="H21" s="117">
        <f t="shared" si="10"/>
        <v>38262.131357794133</v>
      </c>
      <c r="I21" s="7"/>
      <c r="J21" s="10">
        <v>5</v>
      </c>
      <c r="K21" s="117">
        <v>6966003</v>
      </c>
      <c r="L21" s="120">
        <f>(K21/C21)</f>
        <v>191.31063934966494</v>
      </c>
      <c r="M21" s="122">
        <f t="shared" si="7"/>
        <v>13932007.27</v>
      </c>
      <c r="N21" s="116">
        <f t="shared" si="8"/>
        <v>6966004.2699999996</v>
      </c>
      <c r="O21" s="123">
        <f t="shared" si="9"/>
        <v>191.31067422827638</v>
      </c>
      <c r="P21" s="5"/>
      <c r="Q21" s="5">
        <f t="shared" si="2"/>
        <v>1</v>
      </c>
      <c r="R21" s="7">
        <f t="shared" si="3"/>
        <v>36412</v>
      </c>
      <c r="S21" s="5">
        <f t="shared" si="4"/>
        <v>1</v>
      </c>
      <c r="T21" s="7">
        <f t="shared" si="5"/>
        <v>36412</v>
      </c>
    </row>
    <row r="22" spans="1:20">
      <c r="A22" s="23" t="s">
        <v>24</v>
      </c>
      <c r="B22" s="35" t="s">
        <v>19</v>
      </c>
      <c r="C22" s="36">
        <v>7897</v>
      </c>
      <c r="D22" s="6"/>
      <c r="E22" s="113">
        <v>1391445298</v>
      </c>
      <c r="F22" s="116">
        <f t="shared" si="6"/>
        <v>176199.22730150691</v>
      </c>
      <c r="G22" s="117">
        <v>1265793208</v>
      </c>
      <c r="H22" s="117">
        <f t="shared" si="10"/>
        <v>160287.8571609472</v>
      </c>
      <c r="I22" s="98" t="s">
        <v>528</v>
      </c>
      <c r="J22" s="12"/>
      <c r="K22" s="117"/>
      <c r="L22" s="120"/>
      <c r="M22" s="122">
        <f t="shared" si="7"/>
        <v>12657932.08</v>
      </c>
      <c r="N22" s="116">
        <f t="shared" si="8"/>
        <v>12657932.08</v>
      </c>
      <c r="O22" s="123">
        <f t="shared" si="9"/>
        <v>1602.8785716094719</v>
      </c>
      <c r="P22" s="5"/>
      <c r="Q22" s="5">
        <f t="shared" si="2"/>
        <v>1</v>
      </c>
      <c r="R22" s="7">
        <f t="shared" si="3"/>
        <v>7897</v>
      </c>
      <c r="S22" s="5">
        <f t="shared" si="4"/>
        <v>0</v>
      </c>
      <c r="T22" s="7">
        <f t="shared" si="5"/>
        <v>0</v>
      </c>
    </row>
    <row r="23" spans="1:20">
      <c r="A23" s="23" t="s">
        <v>25</v>
      </c>
      <c r="B23" s="35" t="s">
        <v>19</v>
      </c>
      <c r="C23" s="36">
        <v>4688</v>
      </c>
      <c r="D23" s="6"/>
      <c r="E23" s="113">
        <v>163018972</v>
      </c>
      <c r="F23" s="116">
        <f t="shared" si="6"/>
        <v>34773.671501706485</v>
      </c>
      <c r="G23" s="117">
        <v>121020208</v>
      </c>
      <c r="H23" s="117">
        <f t="shared" si="10"/>
        <v>25814.890784982934</v>
      </c>
      <c r="I23" s="98" t="s">
        <v>528</v>
      </c>
      <c r="J23" s="12"/>
      <c r="K23" s="117"/>
      <c r="L23" s="120"/>
      <c r="M23" s="122">
        <f t="shared" si="7"/>
        <v>1210202.08</v>
      </c>
      <c r="N23" s="116">
        <f t="shared" si="8"/>
        <v>1210202.08</v>
      </c>
      <c r="O23" s="123">
        <f t="shared" si="9"/>
        <v>258.14890784982936</v>
      </c>
      <c r="P23" s="5"/>
      <c r="Q23" s="5">
        <f t="shared" si="2"/>
        <v>1</v>
      </c>
      <c r="R23" s="7">
        <f t="shared" si="3"/>
        <v>4688</v>
      </c>
      <c r="S23" s="5">
        <f t="shared" si="4"/>
        <v>0</v>
      </c>
      <c r="T23" s="7">
        <f t="shared" si="5"/>
        <v>0</v>
      </c>
    </row>
    <row r="24" spans="1:20">
      <c r="A24" s="23" t="s">
        <v>26</v>
      </c>
      <c r="B24" s="35" t="s">
        <v>19</v>
      </c>
      <c r="C24" s="36">
        <v>8894</v>
      </c>
      <c r="D24" s="6"/>
      <c r="E24" s="113">
        <v>178195413</v>
      </c>
      <c r="F24" s="116">
        <f t="shared" si="6"/>
        <v>20035.463570946704</v>
      </c>
      <c r="G24" s="117">
        <v>95466447</v>
      </c>
      <c r="H24" s="117">
        <f t="shared" si="10"/>
        <v>10733.80335057342</v>
      </c>
      <c r="I24" s="98" t="s">
        <v>528</v>
      </c>
      <c r="J24" s="10"/>
      <c r="K24" s="117"/>
      <c r="L24" s="120"/>
      <c r="M24" s="122">
        <f t="shared" si="7"/>
        <v>954664.47</v>
      </c>
      <c r="N24" s="116">
        <f t="shared" si="8"/>
        <v>954664.47</v>
      </c>
      <c r="O24" s="123">
        <f t="shared" si="9"/>
        <v>107.3380335057342</v>
      </c>
      <c r="P24" s="5"/>
      <c r="Q24" s="5">
        <f t="shared" si="2"/>
        <v>1</v>
      </c>
      <c r="R24" s="7">
        <f t="shared" si="3"/>
        <v>8894</v>
      </c>
      <c r="S24" s="5">
        <f t="shared" si="4"/>
        <v>0</v>
      </c>
      <c r="T24" s="7">
        <f t="shared" si="5"/>
        <v>0</v>
      </c>
    </row>
    <row r="25" spans="1:20">
      <c r="A25" s="23" t="s">
        <v>27</v>
      </c>
      <c r="B25" s="35" t="s">
        <v>28</v>
      </c>
      <c r="C25" s="36">
        <v>339</v>
      </c>
      <c r="D25" s="6"/>
      <c r="E25" s="113">
        <v>7574346</v>
      </c>
      <c r="F25" s="116">
        <f t="shared" si="6"/>
        <v>22343.203539823007</v>
      </c>
      <c r="G25" s="117">
        <v>3562060</v>
      </c>
      <c r="H25" s="117">
        <f t="shared" si="10"/>
        <v>10507.55162241888</v>
      </c>
      <c r="I25" s="7"/>
      <c r="J25" s="10">
        <v>0.48399999999999999</v>
      </c>
      <c r="K25" s="117">
        <v>1724</v>
      </c>
      <c r="L25" s="120">
        <f t="shared" ref="L25:L38" si="11">(K25/C25)</f>
        <v>5.0855457227138645</v>
      </c>
      <c r="M25" s="122">
        <f t="shared" si="7"/>
        <v>35620.6</v>
      </c>
      <c r="N25" s="116">
        <f t="shared" si="8"/>
        <v>33896.6</v>
      </c>
      <c r="O25" s="123">
        <f t="shared" si="9"/>
        <v>99.989970501474929</v>
      </c>
      <c r="P25" s="5"/>
      <c r="Q25" s="5">
        <f t="shared" si="2"/>
        <v>1</v>
      </c>
      <c r="R25" s="7">
        <f t="shared" si="3"/>
        <v>339</v>
      </c>
      <c r="S25" s="5">
        <f t="shared" si="4"/>
        <v>1</v>
      </c>
      <c r="T25" s="7">
        <f t="shared" si="5"/>
        <v>339</v>
      </c>
    </row>
    <row r="26" spans="1:20">
      <c r="A26" s="23" t="s">
        <v>29</v>
      </c>
      <c r="B26" s="35" t="s">
        <v>28</v>
      </c>
      <c r="C26" s="36">
        <v>432</v>
      </c>
      <c r="D26" s="6"/>
      <c r="E26" s="113">
        <v>6494922</v>
      </c>
      <c r="F26" s="116">
        <f t="shared" si="6"/>
        <v>15034.541666666666</v>
      </c>
      <c r="G26" s="117">
        <v>2977036</v>
      </c>
      <c r="H26" s="117">
        <f t="shared" si="10"/>
        <v>6891.2870370370374</v>
      </c>
      <c r="I26" s="7"/>
      <c r="J26" s="10">
        <v>0.54520000000000002</v>
      </c>
      <c r="K26" s="117">
        <v>1623</v>
      </c>
      <c r="L26" s="120">
        <f t="shared" si="11"/>
        <v>3.7569444444444446</v>
      </c>
      <c r="M26" s="122">
        <f t="shared" si="7"/>
        <v>29770.36</v>
      </c>
      <c r="N26" s="116">
        <f t="shared" si="8"/>
        <v>28147.360000000001</v>
      </c>
      <c r="O26" s="123">
        <f t="shared" si="9"/>
        <v>65.155925925925928</v>
      </c>
      <c r="P26" s="5"/>
      <c r="Q26" s="5">
        <f t="shared" si="2"/>
        <v>1</v>
      </c>
      <c r="R26" s="7">
        <f t="shared" si="3"/>
        <v>432</v>
      </c>
      <c r="S26" s="5">
        <f t="shared" si="4"/>
        <v>1</v>
      </c>
      <c r="T26" s="7">
        <f t="shared" si="5"/>
        <v>432</v>
      </c>
    </row>
    <row r="27" spans="1:20">
      <c r="A27" s="23" t="s">
        <v>30</v>
      </c>
      <c r="B27" s="35" t="s">
        <v>28</v>
      </c>
      <c r="C27" s="36">
        <v>665</v>
      </c>
      <c r="D27" s="6"/>
      <c r="E27" s="113">
        <v>16775293</v>
      </c>
      <c r="F27" s="116">
        <f t="shared" si="6"/>
        <v>25226.004511278195</v>
      </c>
      <c r="G27" s="117">
        <v>10453673</v>
      </c>
      <c r="H27" s="117">
        <f t="shared" si="10"/>
        <v>15719.80902255639</v>
      </c>
      <c r="I27" s="7"/>
      <c r="J27" s="11">
        <v>1.6576</v>
      </c>
      <c r="K27" s="117">
        <v>17328</v>
      </c>
      <c r="L27" s="120">
        <f t="shared" si="11"/>
        <v>26.057142857142857</v>
      </c>
      <c r="M27" s="122">
        <f t="shared" si="7"/>
        <v>104536.73</v>
      </c>
      <c r="N27" s="116">
        <f t="shared" si="8"/>
        <v>87208.73</v>
      </c>
      <c r="O27" s="123">
        <f t="shared" si="9"/>
        <v>131.14094736842105</v>
      </c>
      <c r="P27" s="5"/>
      <c r="Q27" s="5">
        <f t="shared" si="2"/>
        <v>1</v>
      </c>
      <c r="R27" s="7">
        <f t="shared" si="3"/>
        <v>665</v>
      </c>
      <c r="S27" s="5">
        <f t="shared" si="4"/>
        <v>1</v>
      </c>
      <c r="T27" s="7">
        <f t="shared" si="5"/>
        <v>665</v>
      </c>
    </row>
    <row r="28" spans="1:20">
      <c r="A28" s="23" t="s">
        <v>31</v>
      </c>
      <c r="B28" s="35" t="s">
        <v>28</v>
      </c>
      <c r="C28" s="36">
        <v>5671</v>
      </c>
      <c r="D28" s="6"/>
      <c r="E28" s="113">
        <v>238769806</v>
      </c>
      <c r="F28" s="116">
        <f t="shared" si="6"/>
        <v>42103.651207899842</v>
      </c>
      <c r="G28" s="117">
        <v>131989845</v>
      </c>
      <c r="H28" s="117">
        <f t="shared" si="10"/>
        <v>23274.527420208076</v>
      </c>
      <c r="I28" s="7"/>
      <c r="J28" s="11">
        <v>4</v>
      </c>
      <c r="K28" s="117">
        <v>527959</v>
      </c>
      <c r="L28" s="120">
        <f t="shared" si="11"/>
        <v>93.098042673249864</v>
      </c>
      <c r="M28" s="122">
        <f t="shared" si="7"/>
        <v>1319898.45</v>
      </c>
      <c r="N28" s="116">
        <f t="shared" si="8"/>
        <v>791939.45</v>
      </c>
      <c r="O28" s="123">
        <f t="shared" si="9"/>
        <v>139.64723152883087</v>
      </c>
      <c r="P28" s="5"/>
      <c r="Q28" s="5">
        <f t="shared" si="2"/>
        <v>1</v>
      </c>
      <c r="R28" s="7">
        <f t="shared" si="3"/>
        <v>5671</v>
      </c>
      <c r="S28" s="5">
        <f t="shared" si="4"/>
        <v>1</v>
      </c>
      <c r="T28" s="7">
        <f t="shared" si="5"/>
        <v>5671</v>
      </c>
    </row>
    <row r="29" spans="1:20">
      <c r="A29" s="23" t="s">
        <v>32</v>
      </c>
      <c r="B29" s="35" t="s">
        <v>33</v>
      </c>
      <c r="C29" s="36">
        <v>9161</v>
      </c>
      <c r="D29" s="6"/>
      <c r="E29" s="113">
        <v>630596060</v>
      </c>
      <c r="F29" s="116">
        <f t="shared" si="6"/>
        <v>68834.849907215365</v>
      </c>
      <c r="G29" s="117">
        <v>518197940</v>
      </c>
      <c r="H29" s="117">
        <f t="shared" si="10"/>
        <v>56565.65222137321</v>
      </c>
      <c r="I29" s="7"/>
      <c r="J29" s="11">
        <v>2.7063999999999999</v>
      </c>
      <c r="K29" s="117">
        <v>1402450</v>
      </c>
      <c r="L29" s="120">
        <f t="shared" si="11"/>
        <v>153.08918240366773</v>
      </c>
      <c r="M29" s="122">
        <f t="shared" si="7"/>
        <v>5181979.4000000004</v>
      </c>
      <c r="N29" s="116">
        <f t="shared" si="8"/>
        <v>3779529.4000000004</v>
      </c>
      <c r="O29" s="123">
        <f t="shared" si="9"/>
        <v>412.56733981006442</v>
      </c>
      <c r="P29" s="5"/>
      <c r="Q29" s="5">
        <f t="shared" si="2"/>
        <v>1</v>
      </c>
      <c r="R29" s="7">
        <f t="shared" si="3"/>
        <v>9161</v>
      </c>
      <c r="S29" s="5">
        <f t="shared" si="4"/>
        <v>1</v>
      </c>
      <c r="T29" s="7">
        <f t="shared" si="5"/>
        <v>9161</v>
      </c>
    </row>
    <row r="30" spans="1:20">
      <c r="A30" s="23" t="s">
        <v>34</v>
      </c>
      <c r="B30" s="35" t="s">
        <v>33</v>
      </c>
      <c r="C30" s="36">
        <v>16335</v>
      </c>
      <c r="D30" s="6"/>
      <c r="E30" s="113">
        <v>752104700</v>
      </c>
      <c r="F30" s="116">
        <f t="shared" si="6"/>
        <v>46042.528313437404</v>
      </c>
      <c r="G30" s="117">
        <v>449134422</v>
      </c>
      <c r="H30" s="117">
        <f t="shared" si="10"/>
        <v>27495.220202020202</v>
      </c>
      <c r="I30" s="7"/>
      <c r="J30" s="10">
        <v>4.4067999999999996</v>
      </c>
      <c r="K30" s="117">
        <v>1979245</v>
      </c>
      <c r="L30" s="120">
        <f t="shared" si="11"/>
        <v>121.16590143862871</v>
      </c>
      <c r="M30" s="122">
        <f t="shared" si="7"/>
        <v>4491344.22</v>
      </c>
      <c r="N30" s="116">
        <f t="shared" si="8"/>
        <v>2512099.2199999997</v>
      </c>
      <c r="O30" s="123">
        <f t="shared" si="9"/>
        <v>153.7863005815733</v>
      </c>
      <c r="P30" s="5"/>
      <c r="Q30" s="5">
        <f t="shared" si="2"/>
        <v>1</v>
      </c>
      <c r="R30" s="7">
        <f t="shared" si="3"/>
        <v>16335</v>
      </c>
      <c r="S30" s="5">
        <f t="shared" si="4"/>
        <v>1</v>
      </c>
      <c r="T30" s="7">
        <f t="shared" si="5"/>
        <v>16335</v>
      </c>
    </row>
    <row r="31" spans="1:20">
      <c r="A31" s="23" t="s">
        <v>35</v>
      </c>
      <c r="B31" s="35" t="s">
        <v>33</v>
      </c>
      <c r="C31" s="36">
        <v>12719</v>
      </c>
      <c r="D31" s="6"/>
      <c r="E31" s="113">
        <v>1534171855</v>
      </c>
      <c r="F31" s="116">
        <f t="shared" si="6"/>
        <v>120620.4776318893</v>
      </c>
      <c r="G31" s="117">
        <v>1110250364</v>
      </c>
      <c r="H31" s="117">
        <f t="shared" si="10"/>
        <v>87290.696123909118</v>
      </c>
      <c r="I31" s="7"/>
      <c r="J31" s="10">
        <v>4.8899999999999997</v>
      </c>
      <c r="K31" s="117">
        <v>5429124</v>
      </c>
      <c r="L31" s="120">
        <f t="shared" si="11"/>
        <v>426.85148203475114</v>
      </c>
      <c r="M31" s="122">
        <f t="shared" si="7"/>
        <v>11102503.640000001</v>
      </c>
      <c r="N31" s="116">
        <f t="shared" si="8"/>
        <v>5673379.6400000006</v>
      </c>
      <c r="O31" s="123">
        <f t="shared" si="9"/>
        <v>446.05547920434003</v>
      </c>
      <c r="P31" s="5"/>
      <c r="Q31" s="5">
        <f t="shared" si="2"/>
        <v>1</v>
      </c>
      <c r="R31" s="7">
        <f t="shared" si="3"/>
        <v>12719</v>
      </c>
      <c r="S31" s="5">
        <f t="shared" si="4"/>
        <v>1</v>
      </c>
      <c r="T31" s="7">
        <f t="shared" si="5"/>
        <v>12719</v>
      </c>
    </row>
    <row r="32" spans="1:20">
      <c r="A32" s="23" t="s">
        <v>36</v>
      </c>
      <c r="B32" s="35" t="s">
        <v>33</v>
      </c>
      <c r="C32" s="36">
        <v>2978</v>
      </c>
      <c r="D32" s="6"/>
      <c r="E32" s="113">
        <v>274652589</v>
      </c>
      <c r="F32" s="116">
        <f t="shared" si="6"/>
        <v>92227.195768972466</v>
      </c>
      <c r="G32" s="117">
        <v>199531986</v>
      </c>
      <c r="H32" s="117">
        <f t="shared" si="10"/>
        <v>67002.010073875077</v>
      </c>
      <c r="I32" s="7"/>
      <c r="J32" s="10">
        <v>5.0088999999999997</v>
      </c>
      <c r="K32" s="117">
        <v>999435</v>
      </c>
      <c r="L32" s="120">
        <f t="shared" si="11"/>
        <v>335.60611148421759</v>
      </c>
      <c r="M32" s="122">
        <f t="shared" si="7"/>
        <v>1995319.86</v>
      </c>
      <c r="N32" s="116">
        <f t="shared" si="8"/>
        <v>995884.8600000001</v>
      </c>
      <c r="O32" s="123">
        <f t="shared" si="9"/>
        <v>334.41398925453331</v>
      </c>
      <c r="P32" s="5"/>
      <c r="Q32" s="5">
        <f t="shared" si="2"/>
        <v>1</v>
      </c>
      <c r="R32" s="7">
        <f t="shared" si="3"/>
        <v>2978</v>
      </c>
      <c r="S32" s="5">
        <f t="shared" si="4"/>
        <v>1</v>
      </c>
      <c r="T32" s="7">
        <f t="shared" si="5"/>
        <v>2978</v>
      </c>
    </row>
    <row r="33" spans="1:20">
      <c r="A33" s="23" t="s">
        <v>37</v>
      </c>
      <c r="B33" s="35" t="s">
        <v>33</v>
      </c>
      <c r="C33" s="36">
        <v>8451</v>
      </c>
      <c r="D33" s="6"/>
      <c r="E33" s="113">
        <v>646053554</v>
      </c>
      <c r="F33" s="116">
        <f t="shared" si="6"/>
        <v>76446.994911844755</v>
      </c>
      <c r="G33" s="117">
        <v>492833514</v>
      </c>
      <c r="H33" s="117">
        <f t="shared" si="10"/>
        <v>58316.591409300672</v>
      </c>
      <c r="I33" s="7"/>
      <c r="J33" s="10">
        <v>4.8544999999999998</v>
      </c>
      <c r="K33" s="117">
        <v>2392460</v>
      </c>
      <c r="L33" s="120">
        <f t="shared" si="11"/>
        <v>283.09785824162822</v>
      </c>
      <c r="M33" s="122">
        <f t="shared" si="7"/>
        <v>4928335.1399999997</v>
      </c>
      <c r="N33" s="116">
        <f t="shared" si="8"/>
        <v>2535875.1399999997</v>
      </c>
      <c r="O33" s="123">
        <f t="shared" si="9"/>
        <v>300.06805585137852</v>
      </c>
      <c r="P33" s="5"/>
      <c r="Q33" s="5">
        <f t="shared" si="2"/>
        <v>1</v>
      </c>
      <c r="R33" s="7">
        <f t="shared" si="3"/>
        <v>8451</v>
      </c>
      <c r="S33" s="5">
        <f t="shared" si="4"/>
        <v>1</v>
      </c>
      <c r="T33" s="7">
        <f t="shared" si="5"/>
        <v>8451</v>
      </c>
    </row>
    <row r="34" spans="1:20">
      <c r="A34" s="23" t="s">
        <v>38</v>
      </c>
      <c r="B34" s="35" t="s">
        <v>33</v>
      </c>
      <c r="C34" s="36">
        <v>2667</v>
      </c>
      <c r="D34" s="6"/>
      <c r="E34" s="113">
        <v>179673227</v>
      </c>
      <c r="F34" s="116">
        <f t="shared" si="6"/>
        <v>67369.038995125607</v>
      </c>
      <c r="G34" s="117">
        <v>134977887</v>
      </c>
      <c r="H34" s="117">
        <f t="shared" si="10"/>
        <v>50610.381327334086</v>
      </c>
      <c r="I34" s="7"/>
      <c r="J34" s="10">
        <v>1.7642</v>
      </c>
      <c r="K34" s="117">
        <v>238127</v>
      </c>
      <c r="L34" s="120">
        <f t="shared" si="11"/>
        <v>89.286464191976009</v>
      </c>
      <c r="M34" s="122">
        <f t="shared" si="7"/>
        <v>1349778.87</v>
      </c>
      <c r="N34" s="116">
        <f t="shared" si="8"/>
        <v>1111651.8700000001</v>
      </c>
      <c r="O34" s="123">
        <f t="shared" si="9"/>
        <v>416.81734908136485</v>
      </c>
      <c r="P34" s="5"/>
      <c r="Q34" s="5">
        <f t="shared" si="2"/>
        <v>1</v>
      </c>
      <c r="R34" s="7">
        <f t="shared" si="3"/>
        <v>2667</v>
      </c>
      <c r="S34" s="5">
        <f t="shared" si="4"/>
        <v>1</v>
      </c>
      <c r="T34" s="7">
        <f t="shared" si="5"/>
        <v>2667</v>
      </c>
    </row>
    <row r="35" spans="1:20">
      <c r="A35" s="23" t="s">
        <v>39</v>
      </c>
      <c r="B35" s="35" t="s">
        <v>33</v>
      </c>
      <c r="C35" s="36">
        <v>72806</v>
      </c>
      <c r="D35" s="6"/>
      <c r="E35" s="113">
        <v>4128497054</v>
      </c>
      <c r="F35" s="116">
        <f t="shared" si="6"/>
        <v>56705.450841963575</v>
      </c>
      <c r="G35" s="117">
        <v>2798524106</v>
      </c>
      <c r="H35" s="117">
        <f t="shared" si="10"/>
        <v>38438.097217262315</v>
      </c>
      <c r="I35" s="7"/>
      <c r="J35" s="10">
        <v>4.5228000000000002</v>
      </c>
      <c r="K35" s="117">
        <v>12657164</v>
      </c>
      <c r="L35" s="120">
        <f t="shared" si="11"/>
        <v>173.84781474054336</v>
      </c>
      <c r="M35" s="122">
        <f t="shared" si="7"/>
        <v>27985241.060000002</v>
      </c>
      <c r="N35" s="116">
        <f t="shared" si="8"/>
        <v>15328077.060000002</v>
      </c>
      <c r="O35" s="123">
        <f t="shared" si="9"/>
        <v>210.5331574320798</v>
      </c>
      <c r="P35" s="5"/>
      <c r="Q35" s="5">
        <f t="shared" si="2"/>
        <v>1</v>
      </c>
      <c r="R35" s="7">
        <f t="shared" si="3"/>
        <v>72806</v>
      </c>
      <c r="S35" s="5">
        <f t="shared" si="4"/>
        <v>1</v>
      </c>
      <c r="T35" s="7">
        <f t="shared" si="5"/>
        <v>72806</v>
      </c>
    </row>
    <row r="36" spans="1:20">
      <c r="A36" s="23" t="s">
        <v>40</v>
      </c>
      <c r="B36" s="35" t="s">
        <v>33</v>
      </c>
      <c r="C36" s="36">
        <v>3403</v>
      </c>
      <c r="D36" s="6"/>
      <c r="E36" s="113">
        <v>287834875</v>
      </c>
      <c r="F36" s="116">
        <f t="shared" si="6"/>
        <v>84582.684396121069</v>
      </c>
      <c r="G36" s="117">
        <v>203347165</v>
      </c>
      <c r="H36" s="117">
        <f t="shared" si="10"/>
        <v>59755.264472524243</v>
      </c>
      <c r="I36" s="7"/>
      <c r="J36" s="10">
        <v>3.4939</v>
      </c>
      <c r="K36" s="117">
        <v>710474</v>
      </c>
      <c r="L36" s="120">
        <f t="shared" si="11"/>
        <v>208.77872465471643</v>
      </c>
      <c r="M36" s="122">
        <f t="shared" si="7"/>
        <v>2033471.6500000001</v>
      </c>
      <c r="N36" s="116">
        <f t="shared" si="8"/>
        <v>1322997.6500000001</v>
      </c>
      <c r="O36" s="123">
        <f t="shared" si="9"/>
        <v>388.77392007052606</v>
      </c>
      <c r="P36" s="5"/>
      <c r="Q36" s="5">
        <f t="shared" si="2"/>
        <v>1</v>
      </c>
      <c r="R36" s="7">
        <f t="shared" si="3"/>
        <v>3403</v>
      </c>
      <c r="S36" s="5">
        <f t="shared" si="4"/>
        <v>1</v>
      </c>
      <c r="T36" s="7">
        <f t="shared" si="5"/>
        <v>3403</v>
      </c>
    </row>
    <row r="37" spans="1:20">
      <c r="A37" s="23" t="s">
        <v>41</v>
      </c>
      <c r="B37" s="35" t="s">
        <v>33</v>
      </c>
      <c r="C37" s="36">
        <v>710</v>
      </c>
      <c r="D37" s="6"/>
      <c r="E37" s="113">
        <v>48269409</v>
      </c>
      <c r="F37" s="116">
        <f t="shared" si="6"/>
        <v>67985.083098591553</v>
      </c>
      <c r="G37" s="117">
        <v>36540109</v>
      </c>
      <c r="H37" s="117">
        <f t="shared" si="10"/>
        <v>51464.942253521127</v>
      </c>
      <c r="I37" s="7"/>
      <c r="J37" s="10">
        <v>4.3529</v>
      </c>
      <c r="K37" s="117">
        <v>159055</v>
      </c>
      <c r="L37" s="120">
        <f t="shared" si="11"/>
        <v>224.02112676056339</v>
      </c>
      <c r="M37" s="122">
        <f t="shared" si="7"/>
        <v>365401.09</v>
      </c>
      <c r="N37" s="116">
        <f t="shared" si="8"/>
        <v>206346.09000000003</v>
      </c>
      <c r="O37" s="123">
        <f t="shared" si="9"/>
        <v>290.62829577464794</v>
      </c>
      <c r="P37" s="5"/>
      <c r="Q37" s="5">
        <f t="shared" si="2"/>
        <v>1</v>
      </c>
      <c r="R37" s="7">
        <f t="shared" si="3"/>
        <v>710</v>
      </c>
      <c r="S37" s="5">
        <f t="shared" si="4"/>
        <v>1</v>
      </c>
      <c r="T37" s="7">
        <f t="shared" si="5"/>
        <v>710</v>
      </c>
    </row>
    <row r="38" spans="1:20">
      <c r="A38" s="23" t="s">
        <v>42</v>
      </c>
      <c r="B38" s="35" t="s">
        <v>33</v>
      </c>
      <c r="C38" s="36">
        <v>82611</v>
      </c>
      <c r="D38" s="6"/>
      <c r="E38" s="113">
        <v>3091518217</v>
      </c>
      <c r="F38" s="116">
        <f t="shared" si="6"/>
        <v>37422.597680696272</v>
      </c>
      <c r="G38" s="117">
        <v>2127916650</v>
      </c>
      <c r="H38" s="117">
        <f t="shared" si="10"/>
        <v>25758.272506082725</v>
      </c>
      <c r="I38" s="7"/>
      <c r="J38" s="10">
        <v>6.8726000000000003</v>
      </c>
      <c r="K38" s="117">
        <v>14624319</v>
      </c>
      <c r="L38" s="120">
        <f t="shared" si="11"/>
        <v>177.02629189817335</v>
      </c>
      <c r="M38" s="122">
        <f t="shared" si="7"/>
        <v>21279166.5</v>
      </c>
      <c r="N38" s="116">
        <f t="shared" si="8"/>
        <v>6654847.5</v>
      </c>
      <c r="O38" s="123">
        <f t="shared" si="9"/>
        <v>80.556433162653889</v>
      </c>
      <c r="P38" s="5"/>
      <c r="Q38" s="5">
        <f t="shared" si="2"/>
        <v>1</v>
      </c>
      <c r="R38" s="7">
        <f t="shared" si="3"/>
        <v>82611</v>
      </c>
      <c r="S38" s="5">
        <f t="shared" si="4"/>
        <v>1</v>
      </c>
      <c r="T38" s="7">
        <f t="shared" si="5"/>
        <v>82611</v>
      </c>
    </row>
    <row r="39" spans="1:20">
      <c r="A39" s="23" t="s">
        <v>43</v>
      </c>
      <c r="B39" s="35" t="s">
        <v>33</v>
      </c>
      <c r="C39" s="36">
        <v>804</v>
      </c>
      <c r="D39" s="6"/>
      <c r="E39" s="113">
        <v>41589850</v>
      </c>
      <c r="F39" s="116">
        <f t="shared" si="6"/>
        <v>51728.669154228854</v>
      </c>
      <c r="G39" s="117">
        <v>32632140</v>
      </c>
      <c r="H39" s="117">
        <f t="shared" si="10"/>
        <v>40587.238805970148</v>
      </c>
      <c r="I39" s="98" t="s">
        <v>528</v>
      </c>
      <c r="J39" s="10"/>
      <c r="K39" s="117"/>
      <c r="L39" s="120"/>
      <c r="M39" s="122">
        <f t="shared" si="7"/>
        <v>326321.40000000002</v>
      </c>
      <c r="N39" s="116">
        <f t="shared" si="8"/>
        <v>326321.40000000002</v>
      </c>
      <c r="O39" s="123">
        <f t="shared" si="9"/>
        <v>405.87238805970151</v>
      </c>
      <c r="P39" s="5"/>
      <c r="Q39" s="5">
        <f t="shared" si="2"/>
        <v>1</v>
      </c>
      <c r="R39" s="7">
        <f t="shared" si="3"/>
        <v>804</v>
      </c>
      <c r="S39" s="5">
        <f t="shared" si="4"/>
        <v>0</v>
      </c>
      <c r="T39" s="7">
        <f t="shared" si="5"/>
        <v>0</v>
      </c>
    </row>
    <row r="40" spans="1:20">
      <c r="A40" s="23" t="s">
        <v>44</v>
      </c>
      <c r="B40" s="35" t="s">
        <v>33</v>
      </c>
      <c r="C40" s="36">
        <v>21442</v>
      </c>
      <c r="D40" s="6"/>
      <c r="E40" s="113">
        <v>1160295404</v>
      </c>
      <c r="F40" s="116">
        <f t="shared" si="6"/>
        <v>54113.207909709912</v>
      </c>
      <c r="G40" s="117">
        <v>760568904</v>
      </c>
      <c r="H40" s="117">
        <f t="shared" si="10"/>
        <v>35470.987034791528</v>
      </c>
      <c r="I40" s="7"/>
      <c r="J40" s="10">
        <v>5.7</v>
      </c>
      <c r="K40" s="117">
        <v>4335242</v>
      </c>
      <c r="L40" s="120">
        <f>(K40/C40)</f>
        <v>202.18459098964649</v>
      </c>
      <c r="M40" s="122">
        <f t="shared" si="7"/>
        <v>7605689.04</v>
      </c>
      <c r="N40" s="116">
        <f t="shared" si="8"/>
        <v>3270447.04</v>
      </c>
      <c r="O40" s="123">
        <f t="shared" si="9"/>
        <v>152.52527935826882</v>
      </c>
      <c r="P40" s="5"/>
      <c r="Q40" s="5">
        <f t="shared" si="2"/>
        <v>1</v>
      </c>
      <c r="R40" s="7">
        <f t="shared" si="3"/>
        <v>21442</v>
      </c>
      <c r="S40" s="5">
        <f t="shared" si="4"/>
        <v>1</v>
      </c>
      <c r="T40" s="7">
        <f t="shared" si="5"/>
        <v>21442</v>
      </c>
    </row>
    <row r="41" spans="1:20">
      <c r="A41" s="23" t="s">
        <v>45</v>
      </c>
      <c r="B41" s="35" t="s">
        <v>33</v>
      </c>
      <c r="C41" s="36">
        <v>9647</v>
      </c>
      <c r="D41" s="6"/>
      <c r="E41" s="113">
        <v>652350070</v>
      </c>
      <c r="F41" s="116">
        <f t="shared" si="6"/>
        <v>67622.065927231262</v>
      </c>
      <c r="G41" s="117">
        <v>444392850</v>
      </c>
      <c r="H41" s="117">
        <f t="shared" si="10"/>
        <v>46065.393386545038</v>
      </c>
      <c r="I41" s="7"/>
      <c r="J41" s="10">
        <v>6.5640000000000001</v>
      </c>
      <c r="K41" s="121">
        <v>2916994</v>
      </c>
      <c r="L41" s="120">
        <f>(K41/C41)</f>
        <v>302.3731730071525</v>
      </c>
      <c r="M41" s="122">
        <f t="shared" si="7"/>
        <v>4443928.5</v>
      </c>
      <c r="N41" s="116">
        <f t="shared" si="8"/>
        <v>1526934.5</v>
      </c>
      <c r="O41" s="123">
        <f t="shared" si="9"/>
        <v>158.28076085829792</v>
      </c>
      <c r="P41" s="5"/>
      <c r="Q41" s="5">
        <f t="shared" si="2"/>
        <v>1</v>
      </c>
      <c r="R41" s="7">
        <f t="shared" si="3"/>
        <v>9647</v>
      </c>
      <c r="S41" s="5">
        <f t="shared" si="4"/>
        <v>1</v>
      </c>
      <c r="T41" s="7">
        <f t="shared" si="5"/>
        <v>9647</v>
      </c>
    </row>
    <row r="42" spans="1:20">
      <c r="A42" s="23" t="s">
        <v>46</v>
      </c>
      <c r="B42" s="35" t="s">
        <v>33</v>
      </c>
      <c r="C42" s="36">
        <v>41139</v>
      </c>
      <c r="D42" s="6"/>
      <c r="E42" s="113">
        <v>1839857370</v>
      </c>
      <c r="F42" s="116">
        <f t="shared" si="6"/>
        <v>44722.948297236202</v>
      </c>
      <c r="G42" s="117">
        <v>1155774141</v>
      </c>
      <c r="H42" s="117">
        <f t="shared" si="10"/>
        <v>28094.366440603808</v>
      </c>
      <c r="I42" s="7"/>
      <c r="J42" s="10">
        <v>5.8503999999999996</v>
      </c>
      <c r="K42" s="117">
        <v>6761741</v>
      </c>
      <c r="L42" s="120">
        <f>(K42/C42)</f>
        <v>164.36328058533266</v>
      </c>
      <c r="M42" s="122">
        <f t="shared" si="7"/>
        <v>11557741.41</v>
      </c>
      <c r="N42" s="116">
        <f t="shared" si="8"/>
        <v>4796000.41</v>
      </c>
      <c r="O42" s="123">
        <f t="shared" si="9"/>
        <v>116.58038382070542</v>
      </c>
      <c r="P42" s="5"/>
      <c r="Q42" s="5">
        <f t="shared" si="2"/>
        <v>1</v>
      </c>
      <c r="R42" s="7">
        <f t="shared" si="3"/>
        <v>41139</v>
      </c>
      <c r="S42" s="5">
        <f t="shared" si="4"/>
        <v>1</v>
      </c>
      <c r="T42" s="7">
        <f t="shared" si="5"/>
        <v>41139</v>
      </c>
    </row>
    <row r="43" spans="1:20">
      <c r="A43" s="23" t="s">
        <v>47</v>
      </c>
      <c r="B43" s="35" t="s">
        <v>33</v>
      </c>
      <c r="C43" s="36">
        <v>11108</v>
      </c>
      <c r="D43" s="6"/>
      <c r="E43" s="113">
        <v>705302310</v>
      </c>
      <c r="F43" s="116">
        <f t="shared" si="6"/>
        <v>63494.986496218939</v>
      </c>
      <c r="G43" s="117">
        <v>535986290</v>
      </c>
      <c r="H43" s="117">
        <f t="shared" si="10"/>
        <v>48252.2767374865</v>
      </c>
      <c r="I43" s="98" t="s">
        <v>528</v>
      </c>
      <c r="J43" s="10"/>
      <c r="K43" s="117"/>
      <c r="L43" s="120"/>
      <c r="M43" s="122">
        <f t="shared" si="7"/>
        <v>5359862.9000000004</v>
      </c>
      <c r="N43" s="116">
        <f t="shared" si="8"/>
        <v>5359862.9000000004</v>
      </c>
      <c r="O43" s="123">
        <f t="shared" si="9"/>
        <v>482.522767374865</v>
      </c>
      <c r="P43" s="5"/>
      <c r="Q43" s="5">
        <f t="shared" si="2"/>
        <v>1</v>
      </c>
      <c r="R43" s="7">
        <f t="shared" si="3"/>
        <v>11108</v>
      </c>
      <c r="S43" s="5">
        <f t="shared" si="4"/>
        <v>0</v>
      </c>
      <c r="T43" s="7">
        <f t="shared" si="5"/>
        <v>0</v>
      </c>
    </row>
    <row r="44" spans="1:20">
      <c r="A44" s="23" t="s">
        <v>48</v>
      </c>
      <c r="B44" s="35" t="s">
        <v>49</v>
      </c>
      <c r="C44" s="36">
        <v>46965</v>
      </c>
      <c r="D44" s="6"/>
      <c r="E44" s="113">
        <v>2739826221</v>
      </c>
      <c r="F44" s="116">
        <f t="shared" si="6"/>
        <v>58337.61782178218</v>
      </c>
      <c r="G44" s="117">
        <v>2020669459</v>
      </c>
      <c r="H44" s="117">
        <f t="shared" si="10"/>
        <v>43025.007111678911</v>
      </c>
      <c r="I44" s="7"/>
      <c r="J44" s="11">
        <v>5.0959000000000003</v>
      </c>
      <c r="K44" s="117">
        <v>10297129</v>
      </c>
      <c r="L44" s="120">
        <f t="shared" ref="L44:L73" si="12">(K44/C44)</f>
        <v>219.2511231768338</v>
      </c>
      <c r="M44" s="122">
        <f t="shared" si="7"/>
        <v>20206694.59</v>
      </c>
      <c r="N44" s="116">
        <f t="shared" si="8"/>
        <v>9909565.5899999999</v>
      </c>
      <c r="O44" s="123">
        <f t="shared" si="9"/>
        <v>210.99894793995529</v>
      </c>
      <c r="P44" s="5"/>
      <c r="Q44" s="5">
        <f t="shared" si="2"/>
        <v>1</v>
      </c>
      <c r="R44" s="7">
        <f t="shared" si="3"/>
        <v>46965</v>
      </c>
      <c r="S44" s="5">
        <f t="shared" si="4"/>
        <v>1</v>
      </c>
      <c r="T44" s="7">
        <f t="shared" si="5"/>
        <v>46965</v>
      </c>
    </row>
    <row r="45" spans="1:20">
      <c r="A45" s="23" t="s">
        <v>50</v>
      </c>
      <c r="B45" s="35" t="s">
        <v>49</v>
      </c>
      <c r="C45" s="36">
        <v>28464</v>
      </c>
      <c r="D45" s="6"/>
      <c r="E45" s="113">
        <v>1754524511</v>
      </c>
      <c r="F45" s="116">
        <f t="shared" si="6"/>
        <v>61640.124754075325</v>
      </c>
      <c r="G45" s="117">
        <v>1248553332</v>
      </c>
      <c r="H45" s="117">
        <f t="shared" si="10"/>
        <v>43864.296374367623</v>
      </c>
      <c r="I45" s="7"/>
      <c r="J45" s="10">
        <v>6.1870000000000003</v>
      </c>
      <c r="K45" s="117">
        <v>7724799</v>
      </c>
      <c r="L45" s="120">
        <f t="shared" si="12"/>
        <v>271.38838532883642</v>
      </c>
      <c r="M45" s="122">
        <f t="shared" si="7"/>
        <v>12485533.32</v>
      </c>
      <c r="N45" s="116">
        <f t="shared" si="8"/>
        <v>4760734.32</v>
      </c>
      <c r="O45" s="123">
        <f t="shared" si="9"/>
        <v>167.25457841483981</v>
      </c>
      <c r="P45" s="5"/>
      <c r="Q45" s="5">
        <f t="shared" si="2"/>
        <v>1</v>
      </c>
      <c r="R45" s="7">
        <f t="shared" si="3"/>
        <v>28464</v>
      </c>
      <c r="S45" s="5">
        <f t="shared" si="4"/>
        <v>1</v>
      </c>
      <c r="T45" s="7">
        <f t="shared" si="5"/>
        <v>28464</v>
      </c>
    </row>
    <row r="46" spans="1:20">
      <c r="A46" s="23" t="s">
        <v>51</v>
      </c>
      <c r="B46" s="35" t="s">
        <v>49</v>
      </c>
      <c r="C46" s="36">
        <v>122687</v>
      </c>
      <c r="D46" s="6"/>
      <c r="E46" s="113">
        <v>7716318606</v>
      </c>
      <c r="F46" s="116">
        <f t="shared" si="6"/>
        <v>62894.345823110845</v>
      </c>
      <c r="G46" s="117">
        <v>6106655014</v>
      </c>
      <c r="H46" s="117">
        <f t="shared" si="10"/>
        <v>49774.263075957519</v>
      </c>
      <c r="I46" s="7"/>
      <c r="J46" s="10">
        <v>3.8715000000000002</v>
      </c>
      <c r="K46" s="117">
        <v>23641914</v>
      </c>
      <c r="L46" s="120">
        <f t="shared" si="12"/>
        <v>192.70105227122679</v>
      </c>
      <c r="M46" s="122">
        <f t="shared" si="7"/>
        <v>61066550.140000001</v>
      </c>
      <c r="N46" s="116">
        <f t="shared" si="8"/>
        <v>37424636.140000001</v>
      </c>
      <c r="O46" s="123">
        <f t="shared" si="9"/>
        <v>305.04157848834842</v>
      </c>
      <c r="P46" s="5"/>
      <c r="Q46" s="5">
        <f t="shared" si="2"/>
        <v>1</v>
      </c>
      <c r="R46" s="7">
        <f t="shared" si="3"/>
        <v>122687</v>
      </c>
      <c r="S46" s="5">
        <f t="shared" si="4"/>
        <v>1</v>
      </c>
      <c r="T46" s="7">
        <f t="shared" si="5"/>
        <v>122687</v>
      </c>
    </row>
    <row r="47" spans="1:20">
      <c r="A47" s="23" t="s">
        <v>464</v>
      </c>
      <c r="B47" s="35" t="s">
        <v>49</v>
      </c>
      <c r="C47" s="36">
        <v>27167</v>
      </c>
      <c r="D47" s="6"/>
      <c r="E47" s="113">
        <v>2250400126</v>
      </c>
      <c r="F47" s="116">
        <f t="shared" si="6"/>
        <v>82835.798063827431</v>
      </c>
      <c r="G47" s="117">
        <v>1763150138</v>
      </c>
      <c r="H47" s="117">
        <f t="shared" si="10"/>
        <v>64900.435749254611</v>
      </c>
      <c r="I47" s="7"/>
      <c r="J47" s="10">
        <v>6.39</v>
      </c>
      <c r="K47" s="117">
        <v>11266529</v>
      </c>
      <c r="L47" s="120">
        <f t="shared" si="12"/>
        <v>414.71377038318548</v>
      </c>
      <c r="M47" s="122">
        <f t="shared" si="7"/>
        <v>17631501.379999999</v>
      </c>
      <c r="N47" s="116">
        <f t="shared" si="8"/>
        <v>6364972.379999999</v>
      </c>
      <c r="O47" s="123">
        <f t="shared" si="9"/>
        <v>234.29058710936059</v>
      </c>
      <c r="P47" s="5"/>
      <c r="Q47" s="5">
        <f t="shared" si="2"/>
        <v>1</v>
      </c>
      <c r="R47" s="7">
        <f t="shared" si="3"/>
        <v>27167</v>
      </c>
      <c r="S47" s="5">
        <f t="shared" si="4"/>
        <v>1</v>
      </c>
      <c r="T47" s="7">
        <f t="shared" si="5"/>
        <v>27167</v>
      </c>
    </row>
    <row r="48" spans="1:20">
      <c r="A48" s="23" t="s">
        <v>52</v>
      </c>
      <c r="B48" s="35" t="s">
        <v>49</v>
      </c>
      <c r="C48" s="36">
        <v>78696</v>
      </c>
      <c r="D48" s="6"/>
      <c r="E48" s="113">
        <v>5537912678</v>
      </c>
      <c r="F48" s="116">
        <f t="shared" si="6"/>
        <v>70370.955042187663</v>
      </c>
      <c r="G48" s="117">
        <v>4140896434</v>
      </c>
      <c r="H48" s="117">
        <f t="shared" ref="H48:H79" si="13">(G48/C48)</f>
        <v>52618.893387211545</v>
      </c>
      <c r="I48" s="7"/>
      <c r="J48" s="11">
        <v>5.1086</v>
      </c>
      <c r="K48" s="117">
        <v>21154183</v>
      </c>
      <c r="L48" s="120">
        <f t="shared" si="12"/>
        <v>268.80887211548236</v>
      </c>
      <c r="M48" s="122">
        <f t="shared" si="7"/>
        <v>41408964.340000004</v>
      </c>
      <c r="N48" s="116">
        <f t="shared" si="8"/>
        <v>20254781.340000004</v>
      </c>
      <c r="O48" s="123">
        <f t="shared" si="9"/>
        <v>257.38006175663315</v>
      </c>
      <c r="P48" s="5"/>
      <c r="Q48" s="5">
        <f t="shared" si="2"/>
        <v>1</v>
      </c>
      <c r="R48" s="7">
        <f t="shared" si="3"/>
        <v>78696</v>
      </c>
      <c r="S48" s="5">
        <f t="shared" si="4"/>
        <v>1</v>
      </c>
      <c r="T48" s="7">
        <f t="shared" si="5"/>
        <v>78696</v>
      </c>
    </row>
    <row r="49" spans="1:20">
      <c r="A49" s="23" t="s">
        <v>53</v>
      </c>
      <c r="B49" s="35" t="s">
        <v>49</v>
      </c>
      <c r="C49" s="36">
        <v>64794</v>
      </c>
      <c r="D49" s="6"/>
      <c r="E49" s="113">
        <v>4770391335</v>
      </c>
      <c r="F49" s="116">
        <f t="shared" si="6"/>
        <v>73623.967265487547</v>
      </c>
      <c r="G49" s="117">
        <v>3766035604</v>
      </c>
      <c r="H49" s="117">
        <f t="shared" si="13"/>
        <v>58123.215174244528</v>
      </c>
      <c r="I49" s="7"/>
      <c r="J49" s="10">
        <v>6.3818999999999999</v>
      </c>
      <c r="K49" s="117">
        <v>24034462</v>
      </c>
      <c r="L49" s="120">
        <f t="shared" si="12"/>
        <v>370.93653733370371</v>
      </c>
      <c r="M49" s="122">
        <f t="shared" si="7"/>
        <v>37660356.039999999</v>
      </c>
      <c r="N49" s="116">
        <f t="shared" si="8"/>
        <v>13625894.039999999</v>
      </c>
      <c r="O49" s="123">
        <f t="shared" si="9"/>
        <v>210.29561440874153</v>
      </c>
      <c r="P49" s="5"/>
      <c r="Q49" s="5">
        <f t="shared" si="2"/>
        <v>1</v>
      </c>
      <c r="R49" s="7">
        <f t="shared" si="3"/>
        <v>64794</v>
      </c>
      <c r="S49" s="5">
        <f t="shared" si="4"/>
        <v>1</v>
      </c>
      <c r="T49" s="7">
        <f t="shared" si="5"/>
        <v>64794</v>
      </c>
    </row>
    <row r="50" spans="1:20">
      <c r="A50" s="23" t="s">
        <v>54</v>
      </c>
      <c r="B50" s="35" t="s">
        <v>49</v>
      </c>
      <c r="C50" s="36">
        <v>155275</v>
      </c>
      <c r="D50" s="6"/>
      <c r="E50" s="113">
        <v>21510615094</v>
      </c>
      <c r="F50" s="116">
        <f t="shared" si="6"/>
        <v>138532.37864434067</v>
      </c>
      <c r="G50" s="117">
        <v>16385053725</v>
      </c>
      <c r="H50" s="117">
        <f t="shared" si="13"/>
        <v>105522.80615037835</v>
      </c>
      <c r="I50" s="7"/>
      <c r="J50" s="10">
        <v>4.8472</v>
      </c>
      <c r="K50" s="117">
        <v>79421632</v>
      </c>
      <c r="L50" s="120">
        <f t="shared" si="12"/>
        <v>511.49014329415553</v>
      </c>
      <c r="M50" s="122">
        <f t="shared" si="7"/>
        <v>163850537.25</v>
      </c>
      <c r="N50" s="116">
        <f t="shared" si="8"/>
        <v>84428905.25</v>
      </c>
      <c r="O50" s="123">
        <f t="shared" si="9"/>
        <v>543.73791820962811</v>
      </c>
      <c r="P50" s="5"/>
      <c r="Q50" s="5">
        <f t="shared" si="2"/>
        <v>1</v>
      </c>
      <c r="R50" s="7">
        <f t="shared" si="3"/>
        <v>155275</v>
      </c>
      <c r="S50" s="5">
        <f t="shared" si="4"/>
        <v>1</v>
      </c>
      <c r="T50" s="7">
        <f t="shared" si="5"/>
        <v>155275</v>
      </c>
    </row>
    <row r="51" spans="1:20">
      <c r="A51" s="23" t="s">
        <v>465</v>
      </c>
      <c r="B51" s="35" t="s">
        <v>49</v>
      </c>
      <c r="C51" s="36">
        <v>34254</v>
      </c>
      <c r="D51" s="6"/>
      <c r="E51" s="113">
        <v>2497888186</v>
      </c>
      <c r="F51" s="116">
        <f t="shared" si="6"/>
        <v>72922.525427687273</v>
      </c>
      <c r="G51" s="117">
        <v>1957877633</v>
      </c>
      <c r="H51" s="117">
        <f t="shared" si="13"/>
        <v>57157.635108308517</v>
      </c>
      <c r="I51" s="7"/>
      <c r="J51" s="10">
        <v>6.7480000000000002</v>
      </c>
      <c r="K51" s="117">
        <v>13211758</v>
      </c>
      <c r="L51" s="120">
        <f t="shared" si="12"/>
        <v>385.69971390202602</v>
      </c>
      <c r="M51" s="122">
        <f t="shared" si="7"/>
        <v>19578776.330000002</v>
      </c>
      <c r="N51" s="116">
        <f t="shared" si="8"/>
        <v>6367018.3300000019</v>
      </c>
      <c r="O51" s="123">
        <f t="shared" si="9"/>
        <v>185.87663718105921</v>
      </c>
      <c r="P51" s="5"/>
      <c r="Q51" s="5">
        <f t="shared" si="2"/>
        <v>1</v>
      </c>
      <c r="R51" s="7">
        <f t="shared" si="3"/>
        <v>34254</v>
      </c>
      <c r="S51" s="5">
        <f t="shared" si="4"/>
        <v>1</v>
      </c>
      <c r="T51" s="7">
        <f t="shared" si="5"/>
        <v>34254</v>
      </c>
    </row>
    <row r="52" spans="1:20">
      <c r="A52" s="23" t="s">
        <v>55</v>
      </c>
      <c r="B52" s="35" t="s">
        <v>49</v>
      </c>
      <c r="C52" s="36">
        <v>2162</v>
      </c>
      <c r="D52" s="6"/>
      <c r="E52" s="113">
        <v>681992695</v>
      </c>
      <c r="F52" s="116">
        <f t="shared" si="6"/>
        <v>315445.27983348753</v>
      </c>
      <c r="G52" s="117">
        <v>598457195</v>
      </c>
      <c r="H52" s="117">
        <f t="shared" si="13"/>
        <v>276807.21322849212</v>
      </c>
      <c r="I52" s="7"/>
      <c r="J52" s="10">
        <v>4.0380000000000003</v>
      </c>
      <c r="K52" s="117">
        <v>2416570</v>
      </c>
      <c r="L52" s="120">
        <f t="shared" si="12"/>
        <v>1117.7474560592045</v>
      </c>
      <c r="M52" s="122">
        <f t="shared" si="7"/>
        <v>5984571.9500000002</v>
      </c>
      <c r="N52" s="116">
        <f t="shared" si="8"/>
        <v>3568001.95</v>
      </c>
      <c r="O52" s="123">
        <f t="shared" si="9"/>
        <v>1650.324676225717</v>
      </c>
      <c r="P52" s="5"/>
      <c r="Q52" s="5">
        <f t="shared" si="2"/>
        <v>1</v>
      </c>
      <c r="R52" s="7">
        <f t="shared" si="3"/>
        <v>2162</v>
      </c>
      <c r="S52" s="5">
        <f t="shared" si="4"/>
        <v>1</v>
      </c>
      <c r="T52" s="7">
        <f t="shared" si="5"/>
        <v>2162</v>
      </c>
    </row>
    <row r="53" spans="1:20">
      <c r="A53" s="23" t="s">
        <v>56</v>
      </c>
      <c r="B53" s="35" t="s">
        <v>49</v>
      </c>
      <c r="C53" s="36">
        <v>141083</v>
      </c>
      <c r="D53" s="6"/>
      <c r="E53" s="113">
        <v>10040385763</v>
      </c>
      <c r="F53" s="116">
        <f t="shared" si="6"/>
        <v>71166.517319592007</v>
      </c>
      <c r="G53" s="117">
        <v>7476922993</v>
      </c>
      <c r="H53" s="117">
        <f t="shared" si="13"/>
        <v>52996.626049913881</v>
      </c>
      <c r="I53" s="7"/>
      <c r="J53" s="10">
        <v>6.9162999999999997</v>
      </c>
      <c r="K53" s="117">
        <v>51712642</v>
      </c>
      <c r="L53" s="120">
        <f t="shared" si="12"/>
        <v>366.54056122991432</v>
      </c>
      <c r="M53" s="122">
        <f t="shared" si="7"/>
        <v>74769229.930000007</v>
      </c>
      <c r="N53" s="116">
        <f t="shared" si="8"/>
        <v>23056587.930000007</v>
      </c>
      <c r="O53" s="123">
        <f t="shared" si="9"/>
        <v>163.42569926922454</v>
      </c>
      <c r="P53" s="5"/>
      <c r="Q53" s="5">
        <f t="shared" si="2"/>
        <v>1</v>
      </c>
      <c r="R53" s="7">
        <f t="shared" si="3"/>
        <v>141083</v>
      </c>
      <c r="S53" s="5">
        <f t="shared" si="4"/>
        <v>1</v>
      </c>
      <c r="T53" s="7">
        <f t="shared" si="5"/>
        <v>141083</v>
      </c>
    </row>
    <row r="54" spans="1:20">
      <c r="A54" s="23" t="s">
        <v>57</v>
      </c>
      <c r="B54" s="35" t="s">
        <v>49</v>
      </c>
      <c r="C54" s="36">
        <v>31708</v>
      </c>
      <c r="D54" s="6"/>
      <c r="E54" s="113">
        <v>1056404578</v>
      </c>
      <c r="F54" s="116">
        <f t="shared" si="6"/>
        <v>33316.657562760185</v>
      </c>
      <c r="G54" s="117">
        <v>740483311</v>
      </c>
      <c r="H54" s="117">
        <f t="shared" si="13"/>
        <v>23353.201431815316</v>
      </c>
      <c r="I54" s="7"/>
      <c r="J54" s="10">
        <v>5.7923999999999998</v>
      </c>
      <c r="K54" s="117">
        <v>4289175</v>
      </c>
      <c r="L54" s="120">
        <f t="shared" si="12"/>
        <v>135.27106723855178</v>
      </c>
      <c r="M54" s="122">
        <f t="shared" si="7"/>
        <v>7404833.1100000003</v>
      </c>
      <c r="N54" s="116">
        <f t="shared" si="8"/>
        <v>3115658.1100000003</v>
      </c>
      <c r="O54" s="123">
        <f t="shared" si="9"/>
        <v>98.26094707960138</v>
      </c>
      <c r="P54" s="5"/>
      <c r="Q54" s="5">
        <f t="shared" si="2"/>
        <v>1</v>
      </c>
      <c r="R54" s="7">
        <f t="shared" si="3"/>
        <v>31708</v>
      </c>
      <c r="S54" s="5">
        <f t="shared" si="4"/>
        <v>1</v>
      </c>
      <c r="T54" s="7">
        <f t="shared" si="5"/>
        <v>31708</v>
      </c>
    </row>
    <row r="55" spans="1:20">
      <c r="A55" s="24" t="s">
        <v>560</v>
      </c>
      <c r="B55" s="35" t="s">
        <v>49</v>
      </c>
      <c r="C55" s="36">
        <v>6220</v>
      </c>
      <c r="D55" s="6"/>
      <c r="E55" s="113">
        <v>1348092041</v>
      </c>
      <c r="F55" s="116">
        <f t="shared" si="6"/>
        <v>216735.05482315112</v>
      </c>
      <c r="G55" s="117">
        <v>1144713147</v>
      </c>
      <c r="H55" s="117">
        <f t="shared" si="13"/>
        <v>184037.48344051448</v>
      </c>
      <c r="I55" s="7"/>
      <c r="J55" s="10">
        <v>4.7</v>
      </c>
      <c r="K55" s="117">
        <v>5380151</v>
      </c>
      <c r="L55" s="120">
        <f t="shared" si="12"/>
        <v>864.97604501607714</v>
      </c>
      <c r="M55" s="122">
        <f t="shared" si="7"/>
        <v>11447131.470000001</v>
      </c>
      <c r="N55" s="116">
        <f t="shared" si="8"/>
        <v>6066980.4700000007</v>
      </c>
      <c r="O55" s="123">
        <f t="shared" si="9"/>
        <v>975.39878938906759</v>
      </c>
      <c r="P55" s="5"/>
      <c r="Q55" s="5">
        <f t="shared" si="2"/>
        <v>1</v>
      </c>
      <c r="R55" s="7">
        <f t="shared" si="3"/>
        <v>6220</v>
      </c>
      <c r="S55" s="5">
        <f t="shared" si="4"/>
        <v>1</v>
      </c>
      <c r="T55" s="7">
        <f t="shared" si="5"/>
        <v>6220</v>
      </c>
    </row>
    <row r="56" spans="1:20">
      <c r="A56" s="23" t="s">
        <v>58</v>
      </c>
      <c r="B56" s="35" t="s">
        <v>49</v>
      </c>
      <c r="C56" s="36">
        <v>57762</v>
      </c>
      <c r="D56" s="6"/>
      <c r="E56" s="113">
        <v>2021770180</v>
      </c>
      <c r="F56" s="116">
        <f t="shared" si="6"/>
        <v>35001.73435822859</v>
      </c>
      <c r="G56" s="117">
        <v>1510171160</v>
      </c>
      <c r="H56" s="117">
        <f t="shared" si="13"/>
        <v>26144.717288182543</v>
      </c>
      <c r="I56" s="7"/>
      <c r="J56" s="10">
        <v>5.82</v>
      </c>
      <c r="K56" s="117">
        <v>8789196</v>
      </c>
      <c r="L56" s="120">
        <f t="shared" si="12"/>
        <v>152.1622519995845</v>
      </c>
      <c r="M56" s="122">
        <f t="shared" si="7"/>
        <v>15101711.6</v>
      </c>
      <c r="N56" s="116">
        <f t="shared" si="8"/>
        <v>6312515.5999999996</v>
      </c>
      <c r="O56" s="123">
        <f t="shared" si="9"/>
        <v>109.28492088224091</v>
      </c>
      <c r="P56" s="5"/>
      <c r="Q56" s="5">
        <f t="shared" si="2"/>
        <v>1</v>
      </c>
      <c r="R56" s="7">
        <f t="shared" si="3"/>
        <v>57762</v>
      </c>
      <c r="S56" s="5">
        <f t="shared" si="4"/>
        <v>1</v>
      </c>
      <c r="T56" s="7">
        <f t="shared" si="5"/>
        <v>57762</v>
      </c>
    </row>
    <row r="57" spans="1:20">
      <c r="A57" s="23" t="s">
        <v>59</v>
      </c>
      <c r="B57" s="35" t="s">
        <v>49</v>
      </c>
      <c r="C57" s="36">
        <v>34</v>
      </c>
      <c r="D57" s="6"/>
      <c r="E57" s="113">
        <v>3917344</v>
      </c>
      <c r="F57" s="116">
        <f t="shared" si="6"/>
        <v>115216</v>
      </c>
      <c r="G57" s="117">
        <v>2942014</v>
      </c>
      <c r="H57" s="117">
        <f t="shared" si="13"/>
        <v>86529.823529411762</v>
      </c>
      <c r="I57" s="7"/>
      <c r="J57" s="10">
        <v>6.3311999999999999</v>
      </c>
      <c r="K57" s="117">
        <v>18626</v>
      </c>
      <c r="L57" s="120">
        <f t="shared" si="12"/>
        <v>547.82352941176475</v>
      </c>
      <c r="M57" s="122">
        <f t="shared" si="7"/>
        <v>29420.14</v>
      </c>
      <c r="N57" s="116">
        <f t="shared" si="8"/>
        <v>10794.14</v>
      </c>
      <c r="O57" s="123">
        <f t="shared" si="9"/>
        <v>317.47470588235291</v>
      </c>
      <c r="P57" s="5"/>
      <c r="Q57" s="5">
        <f t="shared" si="2"/>
        <v>1</v>
      </c>
      <c r="R57" s="7">
        <f t="shared" si="3"/>
        <v>34</v>
      </c>
      <c r="S57" s="5">
        <f t="shared" si="4"/>
        <v>1</v>
      </c>
      <c r="T57" s="7">
        <f t="shared" si="5"/>
        <v>34</v>
      </c>
    </row>
    <row r="58" spans="1:20">
      <c r="A58" s="23" t="s">
        <v>60</v>
      </c>
      <c r="B58" s="35" t="s">
        <v>49</v>
      </c>
      <c r="C58" s="36">
        <v>10857</v>
      </c>
      <c r="D58" s="6"/>
      <c r="E58" s="113">
        <v>1595910807</v>
      </c>
      <c r="F58" s="116">
        <f t="shared" si="6"/>
        <v>146993.71898314453</v>
      </c>
      <c r="G58" s="117">
        <v>1213049450</v>
      </c>
      <c r="H58" s="117">
        <f t="shared" si="13"/>
        <v>111729.70894353873</v>
      </c>
      <c r="I58" s="7"/>
      <c r="J58" s="10">
        <v>3.7362000000000002</v>
      </c>
      <c r="K58" s="117">
        <v>4532195</v>
      </c>
      <c r="L58" s="120">
        <f t="shared" si="12"/>
        <v>417.4445058487612</v>
      </c>
      <c r="M58" s="122">
        <f t="shared" si="7"/>
        <v>12130494.5</v>
      </c>
      <c r="N58" s="116">
        <f t="shared" si="8"/>
        <v>7598299.5</v>
      </c>
      <c r="O58" s="123">
        <f t="shared" si="9"/>
        <v>699.85258358662611</v>
      </c>
      <c r="P58" s="5"/>
      <c r="Q58" s="5">
        <f t="shared" si="2"/>
        <v>1</v>
      </c>
      <c r="R58" s="7">
        <f t="shared" si="3"/>
        <v>10857</v>
      </c>
      <c r="S58" s="5">
        <f t="shared" si="4"/>
        <v>1</v>
      </c>
      <c r="T58" s="7">
        <f t="shared" si="5"/>
        <v>10857</v>
      </c>
    </row>
    <row r="59" spans="1:20">
      <c r="A59" s="23" t="s">
        <v>61</v>
      </c>
      <c r="B59" s="35" t="s">
        <v>49</v>
      </c>
      <c r="C59" s="36">
        <v>53965</v>
      </c>
      <c r="D59" s="6"/>
      <c r="E59" s="113">
        <v>2479544818</v>
      </c>
      <c r="F59" s="116">
        <f t="shared" si="6"/>
        <v>45947.277272306121</v>
      </c>
      <c r="G59" s="117">
        <v>1754997002</v>
      </c>
      <c r="H59" s="117">
        <f t="shared" si="13"/>
        <v>32521.02292226443</v>
      </c>
      <c r="I59" s="7"/>
      <c r="J59" s="10">
        <v>6.86</v>
      </c>
      <c r="K59" s="117">
        <v>12039279</v>
      </c>
      <c r="L59" s="120">
        <f t="shared" si="12"/>
        <v>223.09420920967293</v>
      </c>
      <c r="M59" s="122">
        <f t="shared" si="7"/>
        <v>17549970.02</v>
      </c>
      <c r="N59" s="116">
        <f t="shared" si="8"/>
        <v>5510691.0199999996</v>
      </c>
      <c r="O59" s="123">
        <f t="shared" si="9"/>
        <v>102.11602001297136</v>
      </c>
      <c r="P59" s="5"/>
      <c r="Q59" s="5">
        <f t="shared" si="2"/>
        <v>1</v>
      </c>
      <c r="R59" s="7">
        <f t="shared" si="3"/>
        <v>53965</v>
      </c>
      <c r="S59" s="5">
        <f t="shared" si="4"/>
        <v>1</v>
      </c>
      <c r="T59" s="7">
        <f t="shared" si="5"/>
        <v>53965</v>
      </c>
    </row>
    <row r="60" spans="1:20">
      <c r="A60" s="23" t="s">
        <v>62</v>
      </c>
      <c r="B60" s="35" t="s">
        <v>49</v>
      </c>
      <c r="C60" s="36">
        <v>87537</v>
      </c>
      <c r="D60" s="6"/>
      <c r="E60" s="113">
        <v>4808482595</v>
      </c>
      <c r="F60" s="116">
        <f t="shared" si="6"/>
        <v>54930.858893953417</v>
      </c>
      <c r="G60" s="117">
        <v>3784000667</v>
      </c>
      <c r="H60" s="117">
        <f t="shared" si="13"/>
        <v>43227.442875584042</v>
      </c>
      <c r="I60" s="7"/>
      <c r="J60" s="10">
        <v>6.87</v>
      </c>
      <c r="K60" s="117">
        <v>25996084</v>
      </c>
      <c r="L60" s="120">
        <f t="shared" si="12"/>
        <v>296.97252590333233</v>
      </c>
      <c r="M60" s="122">
        <f t="shared" si="7"/>
        <v>37840006.670000002</v>
      </c>
      <c r="N60" s="116">
        <f t="shared" si="8"/>
        <v>11843922.670000002</v>
      </c>
      <c r="O60" s="123">
        <f t="shared" si="9"/>
        <v>135.30190285250811</v>
      </c>
      <c r="P60" s="5"/>
      <c r="Q60" s="5">
        <f t="shared" si="2"/>
        <v>1</v>
      </c>
      <c r="R60" s="7">
        <f t="shared" si="3"/>
        <v>87537</v>
      </c>
      <c r="S60" s="5">
        <f t="shared" si="4"/>
        <v>1</v>
      </c>
      <c r="T60" s="7">
        <f t="shared" si="5"/>
        <v>87537</v>
      </c>
    </row>
    <row r="61" spans="1:20">
      <c r="A61" s="23" t="s">
        <v>63</v>
      </c>
      <c r="B61" s="35" t="s">
        <v>49</v>
      </c>
      <c r="C61" s="36">
        <v>33200</v>
      </c>
      <c r="D61" s="6"/>
      <c r="E61" s="113">
        <v>1058460901</v>
      </c>
      <c r="F61" s="116">
        <f t="shared" si="6"/>
        <v>31881.352439759037</v>
      </c>
      <c r="G61" s="117">
        <v>733452201</v>
      </c>
      <c r="H61" s="117">
        <f t="shared" si="13"/>
        <v>22091.933765060239</v>
      </c>
      <c r="I61" s="7"/>
      <c r="J61" s="10">
        <v>5.6791999999999998</v>
      </c>
      <c r="K61" s="117">
        <v>4165421</v>
      </c>
      <c r="L61" s="120">
        <f t="shared" si="12"/>
        <v>125.46448795180723</v>
      </c>
      <c r="M61" s="122">
        <f t="shared" si="7"/>
        <v>7334522.0099999998</v>
      </c>
      <c r="N61" s="116">
        <f t="shared" si="8"/>
        <v>3169101.01</v>
      </c>
      <c r="O61" s="123">
        <f t="shared" si="9"/>
        <v>95.454849698795172</v>
      </c>
      <c r="P61" s="5"/>
      <c r="Q61" s="5">
        <f t="shared" si="2"/>
        <v>1</v>
      </c>
      <c r="R61" s="7">
        <f t="shared" si="3"/>
        <v>33200</v>
      </c>
      <c r="S61" s="5">
        <f t="shared" si="4"/>
        <v>1</v>
      </c>
      <c r="T61" s="7">
        <f t="shared" si="5"/>
        <v>33200</v>
      </c>
    </row>
    <row r="62" spans="1:20">
      <c r="A62" s="23" t="s">
        <v>64</v>
      </c>
      <c r="B62" s="35" t="s">
        <v>49</v>
      </c>
      <c r="C62" s="36">
        <v>31715</v>
      </c>
      <c r="D62" s="6"/>
      <c r="E62" s="113">
        <v>2113055051</v>
      </c>
      <c r="F62" s="116">
        <f t="shared" si="6"/>
        <v>66626.361374743807</v>
      </c>
      <c r="G62" s="117">
        <v>1602568224</v>
      </c>
      <c r="H62" s="117">
        <f t="shared" si="13"/>
        <v>50530.292416837459</v>
      </c>
      <c r="I62" s="7"/>
      <c r="J62" s="10">
        <v>5.9714999999999998</v>
      </c>
      <c r="K62" s="117">
        <v>9569736</v>
      </c>
      <c r="L62" s="120">
        <f t="shared" si="12"/>
        <v>301.74163644962954</v>
      </c>
      <c r="M62" s="122">
        <f t="shared" si="7"/>
        <v>16025682.24</v>
      </c>
      <c r="N62" s="116">
        <f t="shared" si="8"/>
        <v>6455946.2400000002</v>
      </c>
      <c r="O62" s="123">
        <f t="shared" si="9"/>
        <v>203.56128771874509</v>
      </c>
      <c r="P62" s="5"/>
      <c r="Q62" s="5">
        <f t="shared" si="2"/>
        <v>1</v>
      </c>
      <c r="R62" s="7">
        <f t="shared" si="3"/>
        <v>31715</v>
      </c>
      <c r="S62" s="5">
        <f t="shared" si="4"/>
        <v>1</v>
      </c>
      <c r="T62" s="7">
        <f t="shared" si="5"/>
        <v>31715</v>
      </c>
    </row>
    <row r="63" spans="1:20">
      <c r="A63" s="23" t="s">
        <v>65</v>
      </c>
      <c r="B63" s="35" t="s">
        <v>49</v>
      </c>
      <c r="C63" s="36">
        <v>16256</v>
      </c>
      <c r="D63" s="6"/>
      <c r="E63" s="113">
        <v>1973307879</v>
      </c>
      <c r="F63" s="116">
        <f t="shared" si="6"/>
        <v>121389.51027312993</v>
      </c>
      <c r="G63" s="117">
        <v>1508247999</v>
      </c>
      <c r="H63" s="117">
        <f t="shared" si="13"/>
        <v>92781.003875492126</v>
      </c>
      <c r="I63" s="7"/>
      <c r="J63" s="10">
        <v>4.0999999999999996</v>
      </c>
      <c r="K63" s="117">
        <v>6183816</v>
      </c>
      <c r="L63" s="120">
        <f t="shared" si="12"/>
        <v>380.40206692913387</v>
      </c>
      <c r="M63" s="122">
        <f t="shared" si="7"/>
        <v>15082479.99</v>
      </c>
      <c r="N63" s="116">
        <f t="shared" si="8"/>
        <v>8898663.9900000002</v>
      </c>
      <c r="O63" s="123">
        <f t="shared" si="9"/>
        <v>547.4079718257874</v>
      </c>
      <c r="P63" s="5"/>
      <c r="Q63" s="5">
        <f t="shared" si="2"/>
        <v>1</v>
      </c>
      <c r="R63" s="7">
        <f t="shared" si="3"/>
        <v>16256</v>
      </c>
      <c r="S63" s="5">
        <f t="shared" si="4"/>
        <v>1</v>
      </c>
      <c r="T63" s="7">
        <f t="shared" si="5"/>
        <v>16256</v>
      </c>
    </row>
    <row r="64" spans="1:20">
      <c r="A64" s="23" t="s">
        <v>66</v>
      </c>
      <c r="B64" s="35" t="s">
        <v>49</v>
      </c>
      <c r="C64" s="36">
        <v>6581</v>
      </c>
      <c r="D64" s="6"/>
      <c r="E64" s="113">
        <v>331580061</v>
      </c>
      <c r="F64" s="116">
        <f t="shared" si="6"/>
        <v>50384.449323810972</v>
      </c>
      <c r="G64" s="117">
        <v>302715331</v>
      </c>
      <c r="H64" s="117">
        <f t="shared" si="13"/>
        <v>45998.378817808843</v>
      </c>
      <c r="I64" s="7"/>
      <c r="J64" s="10">
        <v>8.5</v>
      </c>
      <c r="K64" s="117">
        <v>2573080</v>
      </c>
      <c r="L64" s="120">
        <f t="shared" si="12"/>
        <v>390.98617231423793</v>
      </c>
      <c r="M64" s="122">
        <f t="shared" si="7"/>
        <v>3027153.31</v>
      </c>
      <c r="N64" s="116">
        <f t="shared" si="8"/>
        <v>454073.31000000006</v>
      </c>
      <c r="O64" s="123">
        <f t="shared" si="9"/>
        <v>68.997615863850484</v>
      </c>
      <c r="P64" s="5"/>
      <c r="Q64" s="5">
        <f t="shared" si="2"/>
        <v>1</v>
      </c>
      <c r="R64" s="7">
        <f t="shared" si="3"/>
        <v>6581</v>
      </c>
      <c r="S64" s="5">
        <f t="shared" si="4"/>
        <v>1</v>
      </c>
      <c r="T64" s="7">
        <f t="shared" si="5"/>
        <v>6581</v>
      </c>
    </row>
    <row r="65" spans="1:20">
      <c r="A65" s="23" t="s">
        <v>67</v>
      </c>
      <c r="B65" s="35" t="s">
        <v>49</v>
      </c>
      <c r="C65" s="36">
        <v>144792</v>
      </c>
      <c r="D65" s="6"/>
      <c r="E65" s="113">
        <v>8678811181</v>
      </c>
      <c r="F65" s="116">
        <f t="shared" si="6"/>
        <v>59939.852899331454</v>
      </c>
      <c r="G65" s="117">
        <v>6539700681</v>
      </c>
      <c r="H65" s="117">
        <f t="shared" si="13"/>
        <v>45166.174104922924</v>
      </c>
      <c r="I65" s="7"/>
      <c r="J65" s="10">
        <v>4.5990000000000002</v>
      </c>
      <c r="K65" s="117">
        <v>30076083</v>
      </c>
      <c r="L65" s="120">
        <f t="shared" si="12"/>
        <v>207.7192317255097</v>
      </c>
      <c r="M65" s="122">
        <f t="shared" si="7"/>
        <v>65397006.810000002</v>
      </c>
      <c r="N65" s="116">
        <f t="shared" si="8"/>
        <v>35320923.810000002</v>
      </c>
      <c r="O65" s="123">
        <f t="shared" si="9"/>
        <v>243.94250932371955</v>
      </c>
      <c r="P65" s="5"/>
      <c r="Q65" s="5">
        <f t="shared" si="2"/>
        <v>1</v>
      </c>
      <c r="R65" s="7">
        <f t="shared" si="3"/>
        <v>144792</v>
      </c>
      <c r="S65" s="5">
        <f t="shared" si="4"/>
        <v>1</v>
      </c>
      <c r="T65" s="7">
        <f t="shared" si="5"/>
        <v>144792</v>
      </c>
    </row>
    <row r="66" spans="1:20">
      <c r="A66" s="23" t="s">
        <v>68</v>
      </c>
      <c r="B66" s="35" t="s">
        <v>49</v>
      </c>
      <c r="C66" s="36">
        <v>83630</v>
      </c>
      <c r="D66" s="6"/>
      <c r="E66" s="113">
        <v>6746504443</v>
      </c>
      <c r="F66" s="116">
        <f t="shared" si="6"/>
        <v>80670.865036470161</v>
      </c>
      <c r="G66" s="117">
        <v>5255288210</v>
      </c>
      <c r="H66" s="117">
        <f t="shared" si="13"/>
        <v>62839.749013511901</v>
      </c>
      <c r="I66" s="7"/>
      <c r="J66" s="10">
        <v>4</v>
      </c>
      <c r="K66" s="117">
        <v>21021152</v>
      </c>
      <c r="L66" s="120">
        <f t="shared" si="12"/>
        <v>251.35898600980511</v>
      </c>
      <c r="M66" s="122">
        <f t="shared" si="7"/>
        <v>52552882.100000001</v>
      </c>
      <c r="N66" s="116">
        <f t="shared" si="8"/>
        <v>31531730.100000001</v>
      </c>
      <c r="O66" s="123">
        <f t="shared" si="9"/>
        <v>377.03850412531392</v>
      </c>
      <c r="P66" s="5"/>
      <c r="Q66" s="5">
        <f t="shared" si="2"/>
        <v>1</v>
      </c>
      <c r="R66" s="7">
        <f t="shared" si="3"/>
        <v>83630</v>
      </c>
      <c r="S66" s="5">
        <f t="shared" si="4"/>
        <v>1</v>
      </c>
      <c r="T66" s="7">
        <f t="shared" si="5"/>
        <v>83630</v>
      </c>
    </row>
    <row r="67" spans="1:20">
      <c r="A67" s="23" t="s">
        <v>69</v>
      </c>
      <c r="B67" s="35" t="s">
        <v>49</v>
      </c>
      <c r="C67" s="36">
        <v>86300</v>
      </c>
      <c r="D67" s="6"/>
      <c r="E67" s="113">
        <v>8150922354</v>
      </c>
      <c r="F67" s="116">
        <f t="shared" si="6"/>
        <v>94448.694716106605</v>
      </c>
      <c r="G67" s="117">
        <v>6436373802</v>
      </c>
      <c r="H67" s="117">
        <f t="shared" si="13"/>
        <v>74581.388203939743</v>
      </c>
      <c r="I67" s="7"/>
      <c r="J67" s="10">
        <v>4.0876999999999999</v>
      </c>
      <c r="K67" s="117">
        <v>26309965</v>
      </c>
      <c r="L67" s="120">
        <f t="shared" si="12"/>
        <v>304.86633835457707</v>
      </c>
      <c r="M67" s="122">
        <f t="shared" si="7"/>
        <v>64363738.020000003</v>
      </c>
      <c r="N67" s="116">
        <f t="shared" si="8"/>
        <v>38053773.020000003</v>
      </c>
      <c r="O67" s="123">
        <f t="shared" si="9"/>
        <v>440.94754368482046</v>
      </c>
      <c r="P67" s="5"/>
      <c r="Q67" s="5">
        <f t="shared" si="2"/>
        <v>1</v>
      </c>
      <c r="R67" s="7">
        <f t="shared" si="3"/>
        <v>86300</v>
      </c>
      <c r="S67" s="5">
        <f t="shared" si="4"/>
        <v>1</v>
      </c>
      <c r="T67" s="7">
        <f t="shared" si="5"/>
        <v>86300</v>
      </c>
    </row>
    <row r="68" spans="1:20">
      <c r="A68" s="23" t="s">
        <v>70</v>
      </c>
      <c r="B68" s="35" t="s">
        <v>49</v>
      </c>
      <c r="C68" s="36">
        <v>643</v>
      </c>
      <c r="D68" s="6"/>
      <c r="E68" s="113">
        <v>149323865</v>
      </c>
      <c r="F68" s="116">
        <f t="shared" si="6"/>
        <v>232229.96111975115</v>
      </c>
      <c r="G68" s="117">
        <v>115279845</v>
      </c>
      <c r="H68" s="117">
        <f t="shared" si="13"/>
        <v>179284.36236391912</v>
      </c>
      <c r="I68" s="7"/>
      <c r="J68" s="10">
        <v>6.5</v>
      </c>
      <c r="K68" s="117">
        <v>749318</v>
      </c>
      <c r="L68" s="120">
        <f t="shared" si="12"/>
        <v>1165.3468118195956</v>
      </c>
      <c r="M68" s="122">
        <f t="shared" si="7"/>
        <v>1152798.45</v>
      </c>
      <c r="N68" s="116">
        <f t="shared" si="8"/>
        <v>403480.44999999995</v>
      </c>
      <c r="O68" s="123">
        <f t="shared" si="9"/>
        <v>627.49681181959556</v>
      </c>
      <c r="P68" s="5"/>
      <c r="Q68" s="5">
        <f t="shared" si="2"/>
        <v>1</v>
      </c>
      <c r="R68" s="7">
        <f t="shared" si="3"/>
        <v>643</v>
      </c>
      <c r="S68" s="5">
        <f t="shared" si="4"/>
        <v>1</v>
      </c>
      <c r="T68" s="7">
        <f t="shared" si="5"/>
        <v>643</v>
      </c>
    </row>
    <row r="69" spans="1:20">
      <c r="A69" s="23" t="s">
        <v>450</v>
      </c>
      <c r="B69" s="35" t="s">
        <v>49</v>
      </c>
      <c r="C69" s="36">
        <v>7352</v>
      </c>
      <c r="D69" s="6"/>
      <c r="E69" s="113">
        <v>3788505764</v>
      </c>
      <c r="F69" s="116">
        <f t="shared" si="6"/>
        <v>515302.74265505985</v>
      </c>
      <c r="G69" s="117">
        <v>3424875567</v>
      </c>
      <c r="H69" s="117">
        <f t="shared" si="13"/>
        <v>465842.70497823722</v>
      </c>
      <c r="I69" s="7"/>
      <c r="J69" s="10">
        <v>3</v>
      </c>
      <c r="K69" s="117">
        <v>10274626</v>
      </c>
      <c r="L69" s="120">
        <f t="shared" si="12"/>
        <v>1397.5280195865071</v>
      </c>
      <c r="M69" s="122">
        <f t="shared" si="7"/>
        <v>34248755.670000002</v>
      </c>
      <c r="N69" s="116">
        <f t="shared" si="8"/>
        <v>23974129.670000002</v>
      </c>
      <c r="O69" s="123">
        <f t="shared" si="9"/>
        <v>3260.8990301958652</v>
      </c>
      <c r="P69" s="5"/>
      <c r="Q69" s="5">
        <f t="shared" si="2"/>
        <v>1</v>
      </c>
      <c r="R69" s="7">
        <f t="shared" si="3"/>
        <v>7352</v>
      </c>
      <c r="S69" s="5">
        <f t="shared" si="4"/>
        <v>1</v>
      </c>
      <c r="T69" s="7">
        <f t="shared" si="5"/>
        <v>7352</v>
      </c>
    </row>
    <row r="70" spans="1:20">
      <c r="A70" s="23" t="s">
        <v>71</v>
      </c>
      <c r="B70" s="35" t="s">
        <v>49</v>
      </c>
      <c r="C70" s="36">
        <v>86941</v>
      </c>
      <c r="D70" s="6"/>
      <c r="E70" s="113">
        <v>5226321983</v>
      </c>
      <c r="F70" s="116">
        <f t="shared" si="6"/>
        <v>60113.433052299835</v>
      </c>
      <c r="G70" s="117">
        <v>3867919893</v>
      </c>
      <c r="H70" s="117">
        <f t="shared" si="13"/>
        <v>44489.020059580638</v>
      </c>
      <c r="I70" s="7"/>
      <c r="J70" s="10">
        <v>6.25</v>
      </c>
      <c r="K70" s="117">
        <v>24174499</v>
      </c>
      <c r="L70" s="120">
        <f t="shared" si="12"/>
        <v>278.05637156232387</v>
      </c>
      <c r="M70" s="122">
        <f t="shared" si="7"/>
        <v>38679198.93</v>
      </c>
      <c r="N70" s="116">
        <f t="shared" si="8"/>
        <v>14504699.93</v>
      </c>
      <c r="O70" s="123">
        <f t="shared" si="9"/>
        <v>166.83382903348246</v>
      </c>
      <c r="P70" s="5"/>
      <c r="Q70" s="5">
        <f t="shared" si="2"/>
        <v>1</v>
      </c>
      <c r="R70" s="7">
        <f t="shared" si="3"/>
        <v>86941</v>
      </c>
      <c r="S70" s="5">
        <f t="shared" si="4"/>
        <v>1</v>
      </c>
      <c r="T70" s="7">
        <f t="shared" si="5"/>
        <v>86941</v>
      </c>
    </row>
    <row r="71" spans="1:20">
      <c r="A71" s="23" t="s">
        <v>72</v>
      </c>
      <c r="B71" s="35" t="s">
        <v>49</v>
      </c>
      <c r="C71" s="36">
        <v>56444</v>
      </c>
      <c r="D71" s="6"/>
      <c r="E71" s="113">
        <v>3137117307</v>
      </c>
      <c r="F71" s="116">
        <f t="shared" si="6"/>
        <v>55579.287559350858</v>
      </c>
      <c r="G71" s="117">
        <v>2249319020</v>
      </c>
      <c r="H71" s="117">
        <f t="shared" si="13"/>
        <v>39850.453901211818</v>
      </c>
      <c r="I71" s="7"/>
      <c r="J71" s="10">
        <v>5.99</v>
      </c>
      <c r="K71" s="117">
        <v>13473420</v>
      </c>
      <c r="L71" s="120">
        <f t="shared" si="12"/>
        <v>238.70420239529446</v>
      </c>
      <c r="M71" s="122">
        <f t="shared" si="7"/>
        <v>22493190.199999999</v>
      </c>
      <c r="N71" s="116">
        <f t="shared" si="8"/>
        <v>9019770.1999999993</v>
      </c>
      <c r="O71" s="123">
        <f t="shared" si="9"/>
        <v>159.80033661682373</v>
      </c>
      <c r="P71" s="5"/>
      <c r="Q71" s="5">
        <f t="shared" ref="Q71:Q134" si="14">IF(E71&gt;0,1,0)</f>
        <v>1</v>
      </c>
      <c r="R71" s="7">
        <f t="shared" ref="R71:R134" si="15">IF(E71&gt;0,C71,0)</f>
        <v>56444</v>
      </c>
      <c r="S71" s="5">
        <f t="shared" ref="S71:S134" si="16">IF(J71&gt;0,1,0)</f>
        <v>1</v>
      </c>
      <c r="T71" s="7">
        <f t="shared" ref="T71:T134" si="17">IF(J71&gt;0,C71,0)</f>
        <v>56444</v>
      </c>
    </row>
    <row r="72" spans="1:20">
      <c r="A72" s="23" t="s">
        <v>73</v>
      </c>
      <c r="B72" s="35" t="s">
        <v>49</v>
      </c>
      <c r="C72" s="36">
        <v>57651</v>
      </c>
      <c r="D72" s="6"/>
      <c r="E72" s="113">
        <v>5227526702</v>
      </c>
      <c r="F72" s="116">
        <f t="shared" ref="F72:F92" si="18">(E72/C72)</f>
        <v>90675.386411337182</v>
      </c>
      <c r="G72" s="117">
        <v>4709857698</v>
      </c>
      <c r="H72" s="117">
        <f t="shared" si="13"/>
        <v>81696.027787896135</v>
      </c>
      <c r="I72" s="7"/>
      <c r="J72" s="10">
        <v>1.5235000000000001</v>
      </c>
      <c r="K72" s="117">
        <v>7175468</v>
      </c>
      <c r="L72" s="120">
        <f t="shared" si="12"/>
        <v>124.46389481535446</v>
      </c>
      <c r="M72" s="122">
        <f t="shared" ref="M72:M135" si="19">(G72*0.01)</f>
        <v>47098576.980000004</v>
      </c>
      <c r="N72" s="116">
        <f t="shared" ref="N72:N135" si="20">(M72-K72)</f>
        <v>39923108.980000004</v>
      </c>
      <c r="O72" s="123">
        <f t="shared" ref="O72:O135" si="21">(N72/C72)</f>
        <v>692.49638306360691</v>
      </c>
      <c r="P72" s="5"/>
      <c r="Q72" s="5">
        <f t="shared" si="14"/>
        <v>1</v>
      </c>
      <c r="R72" s="7">
        <f t="shared" si="15"/>
        <v>57651</v>
      </c>
      <c r="S72" s="5">
        <f t="shared" si="16"/>
        <v>1</v>
      </c>
      <c r="T72" s="7">
        <f t="shared" si="17"/>
        <v>57651</v>
      </c>
    </row>
    <row r="73" spans="1:20">
      <c r="A73" s="23" t="s">
        <v>74</v>
      </c>
      <c r="B73" s="35" t="s">
        <v>49</v>
      </c>
      <c r="C73" s="36">
        <v>12603</v>
      </c>
      <c r="D73" s="6"/>
      <c r="E73" s="113">
        <v>829556398</v>
      </c>
      <c r="F73" s="116">
        <f t="shared" si="18"/>
        <v>65822.137427596608</v>
      </c>
      <c r="G73" s="117">
        <v>552349616</v>
      </c>
      <c r="H73" s="117">
        <f t="shared" si="13"/>
        <v>43826.836150122988</v>
      </c>
      <c r="I73" s="7"/>
      <c r="J73" s="10">
        <v>6.1005000000000003</v>
      </c>
      <c r="K73" s="117">
        <v>3369608</v>
      </c>
      <c r="L73" s="120">
        <f t="shared" si="12"/>
        <v>267.36554788542412</v>
      </c>
      <c r="M73" s="122">
        <f t="shared" si="19"/>
        <v>5523496.1600000001</v>
      </c>
      <c r="N73" s="116">
        <f t="shared" si="20"/>
        <v>2153888.16</v>
      </c>
      <c r="O73" s="123">
        <f t="shared" si="21"/>
        <v>170.90281361580577</v>
      </c>
      <c r="P73" s="5"/>
      <c r="Q73" s="5">
        <f t="shared" si="14"/>
        <v>1</v>
      </c>
      <c r="R73" s="7">
        <f t="shared" si="15"/>
        <v>12603</v>
      </c>
      <c r="S73" s="5">
        <f t="shared" si="16"/>
        <v>1</v>
      </c>
      <c r="T73" s="7">
        <f t="shared" si="17"/>
        <v>12603</v>
      </c>
    </row>
    <row r="74" spans="1:20">
      <c r="A74" s="23" t="s">
        <v>75</v>
      </c>
      <c r="B74" s="35" t="s">
        <v>76</v>
      </c>
      <c r="C74" s="36">
        <v>549</v>
      </c>
      <c r="D74" s="6"/>
      <c r="E74" s="113">
        <v>10311866</v>
      </c>
      <c r="F74" s="116">
        <f t="shared" si="18"/>
        <v>18782.998178506376</v>
      </c>
      <c r="G74" s="117">
        <v>4882877</v>
      </c>
      <c r="H74" s="117">
        <f t="shared" si="13"/>
        <v>8894.1293260473594</v>
      </c>
      <c r="I74" s="98" t="s">
        <v>528</v>
      </c>
      <c r="J74" s="10"/>
      <c r="K74" s="117"/>
      <c r="L74" s="120"/>
      <c r="M74" s="122">
        <f t="shared" si="19"/>
        <v>48828.770000000004</v>
      </c>
      <c r="N74" s="116">
        <f t="shared" si="20"/>
        <v>48828.770000000004</v>
      </c>
      <c r="O74" s="123">
        <f t="shared" si="21"/>
        <v>88.9412932604736</v>
      </c>
      <c r="P74" s="5"/>
      <c r="Q74" s="5">
        <f t="shared" si="14"/>
        <v>1</v>
      </c>
      <c r="R74" s="7">
        <f t="shared" si="15"/>
        <v>549</v>
      </c>
      <c r="S74" s="5">
        <f t="shared" si="16"/>
        <v>0</v>
      </c>
      <c r="T74" s="7">
        <f t="shared" si="17"/>
        <v>0</v>
      </c>
    </row>
    <row r="75" spans="1:20">
      <c r="A75" s="23" t="s">
        <v>77</v>
      </c>
      <c r="B75" s="35" t="s">
        <v>76</v>
      </c>
      <c r="C75" s="36">
        <v>2453</v>
      </c>
      <c r="D75" s="6"/>
      <c r="E75" s="113">
        <v>76484056</v>
      </c>
      <c r="F75" s="116">
        <f t="shared" si="18"/>
        <v>31179.802690582961</v>
      </c>
      <c r="G75" s="117">
        <v>46948430</v>
      </c>
      <c r="H75" s="117">
        <f t="shared" si="13"/>
        <v>19139.188748471261</v>
      </c>
      <c r="I75" s="7"/>
      <c r="J75" s="10">
        <v>1.5</v>
      </c>
      <c r="K75" s="117">
        <v>70422</v>
      </c>
      <c r="L75" s="120">
        <f t="shared" ref="L75:L81" si="22">(K75/C75)</f>
        <v>28.708520179372197</v>
      </c>
      <c r="M75" s="122">
        <f t="shared" si="19"/>
        <v>469484.3</v>
      </c>
      <c r="N75" s="116">
        <f t="shared" si="20"/>
        <v>399062.3</v>
      </c>
      <c r="O75" s="123">
        <f t="shared" si="21"/>
        <v>162.6833673053404</v>
      </c>
      <c r="P75" s="5"/>
      <c r="Q75" s="5">
        <f t="shared" si="14"/>
        <v>1</v>
      </c>
      <c r="R75" s="7">
        <f t="shared" si="15"/>
        <v>2453</v>
      </c>
      <c r="S75" s="5">
        <f t="shared" si="16"/>
        <v>1</v>
      </c>
      <c r="T75" s="7">
        <f t="shared" si="17"/>
        <v>2453</v>
      </c>
    </row>
    <row r="76" spans="1:20">
      <c r="A76" s="23" t="s">
        <v>78</v>
      </c>
      <c r="B76" s="35" t="s">
        <v>79</v>
      </c>
      <c r="C76" s="36">
        <v>16120</v>
      </c>
      <c r="D76" s="6"/>
      <c r="E76" s="113">
        <v>2281064557</v>
      </c>
      <c r="F76" s="116">
        <f t="shared" si="18"/>
        <v>141505.24547146403</v>
      </c>
      <c r="G76" s="117">
        <v>1792498556</v>
      </c>
      <c r="H76" s="117">
        <f t="shared" si="13"/>
        <v>111197.18089330025</v>
      </c>
      <c r="I76" s="7"/>
      <c r="J76" s="10">
        <v>2.5446</v>
      </c>
      <c r="K76" s="117">
        <v>4561191</v>
      </c>
      <c r="L76" s="120">
        <f t="shared" si="22"/>
        <v>282.95229528535981</v>
      </c>
      <c r="M76" s="122">
        <f t="shared" si="19"/>
        <v>17924985.559999999</v>
      </c>
      <c r="N76" s="116">
        <f t="shared" si="20"/>
        <v>13363794.559999999</v>
      </c>
      <c r="O76" s="123">
        <f t="shared" si="21"/>
        <v>829.01951364764261</v>
      </c>
      <c r="P76" s="5"/>
      <c r="Q76" s="5">
        <f t="shared" si="14"/>
        <v>1</v>
      </c>
      <c r="R76" s="7">
        <f t="shared" si="15"/>
        <v>16120</v>
      </c>
      <c r="S76" s="5">
        <f t="shared" si="16"/>
        <v>1</v>
      </c>
      <c r="T76" s="7">
        <f t="shared" si="17"/>
        <v>16120</v>
      </c>
    </row>
    <row r="77" spans="1:20">
      <c r="A77" s="23" t="s">
        <v>80</v>
      </c>
      <c r="B77" s="35" t="s">
        <v>81</v>
      </c>
      <c r="C77" s="36">
        <v>3503</v>
      </c>
      <c r="D77" s="6"/>
      <c r="E77" s="113">
        <v>345152350</v>
      </c>
      <c r="F77" s="116">
        <f t="shared" si="18"/>
        <v>98530.502426491585</v>
      </c>
      <c r="G77" s="117">
        <v>273849194</v>
      </c>
      <c r="H77" s="117">
        <f t="shared" si="13"/>
        <v>78175.619183556948</v>
      </c>
      <c r="I77" s="7"/>
      <c r="J77" s="10">
        <v>5.8</v>
      </c>
      <c r="K77" s="117">
        <v>1588325</v>
      </c>
      <c r="L77" s="120">
        <f t="shared" si="22"/>
        <v>453.41849842991724</v>
      </c>
      <c r="M77" s="122">
        <f t="shared" si="19"/>
        <v>2738491.94</v>
      </c>
      <c r="N77" s="116">
        <f t="shared" si="20"/>
        <v>1150166.94</v>
      </c>
      <c r="O77" s="123">
        <f t="shared" si="21"/>
        <v>328.33769340565226</v>
      </c>
      <c r="P77" s="5"/>
      <c r="Q77" s="5">
        <f t="shared" si="14"/>
        <v>1</v>
      </c>
      <c r="R77" s="7">
        <f t="shared" si="15"/>
        <v>3503</v>
      </c>
      <c r="S77" s="5">
        <f t="shared" si="16"/>
        <v>1</v>
      </c>
      <c r="T77" s="7">
        <f t="shared" si="17"/>
        <v>3503</v>
      </c>
    </row>
    <row r="78" spans="1:20">
      <c r="A78" s="23" t="s">
        <v>82</v>
      </c>
      <c r="B78" s="35" t="s">
        <v>81</v>
      </c>
      <c r="C78" s="36">
        <v>6878</v>
      </c>
      <c r="D78" s="6"/>
      <c r="E78" s="113">
        <v>472839334</v>
      </c>
      <c r="F78" s="116">
        <f t="shared" si="18"/>
        <v>68746.631869729579</v>
      </c>
      <c r="G78" s="117">
        <v>266618676</v>
      </c>
      <c r="H78" s="117">
        <f t="shared" si="13"/>
        <v>38763.983134632159</v>
      </c>
      <c r="I78" s="7"/>
      <c r="J78" s="11">
        <v>5.8410000000000002</v>
      </c>
      <c r="K78" s="117">
        <v>1557319</v>
      </c>
      <c r="L78" s="120">
        <f t="shared" si="22"/>
        <v>226.42032567606861</v>
      </c>
      <c r="M78" s="122">
        <f t="shared" si="19"/>
        <v>2666186.7600000002</v>
      </c>
      <c r="N78" s="116">
        <f t="shared" si="20"/>
        <v>1108867.7600000002</v>
      </c>
      <c r="O78" s="123">
        <f t="shared" si="21"/>
        <v>161.21950567025303</v>
      </c>
      <c r="P78" s="5"/>
      <c r="Q78" s="5">
        <f t="shared" si="14"/>
        <v>1</v>
      </c>
      <c r="R78" s="7">
        <f t="shared" si="15"/>
        <v>6878</v>
      </c>
      <c r="S78" s="5">
        <f t="shared" si="16"/>
        <v>1</v>
      </c>
      <c r="T78" s="7">
        <f t="shared" si="17"/>
        <v>6878</v>
      </c>
    </row>
    <row r="79" spans="1:20">
      <c r="A79" s="23" t="s">
        <v>83</v>
      </c>
      <c r="B79" s="35" t="s">
        <v>84</v>
      </c>
      <c r="C79" s="36">
        <v>5545</v>
      </c>
      <c r="D79" s="6"/>
      <c r="E79" s="113">
        <v>289977667</v>
      </c>
      <c r="F79" s="116">
        <f t="shared" si="18"/>
        <v>52295.341208295758</v>
      </c>
      <c r="G79" s="117">
        <v>205178004</v>
      </c>
      <c r="H79" s="117">
        <f t="shared" si="13"/>
        <v>37002.345175834082</v>
      </c>
      <c r="I79" s="7"/>
      <c r="J79" s="10">
        <v>2.6110000000000002</v>
      </c>
      <c r="K79" s="117">
        <v>535719</v>
      </c>
      <c r="L79" s="120">
        <f t="shared" si="22"/>
        <v>96.612984670874667</v>
      </c>
      <c r="M79" s="122">
        <f t="shared" si="19"/>
        <v>2051780.04</v>
      </c>
      <c r="N79" s="116">
        <f t="shared" si="20"/>
        <v>1516061.04</v>
      </c>
      <c r="O79" s="123">
        <f t="shared" si="21"/>
        <v>273.4104670874662</v>
      </c>
      <c r="P79" s="5"/>
      <c r="Q79" s="5">
        <f t="shared" si="14"/>
        <v>1</v>
      </c>
      <c r="R79" s="7">
        <f t="shared" si="15"/>
        <v>5545</v>
      </c>
      <c r="S79" s="5">
        <f t="shared" si="16"/>
        <v>1</v>
      </c>
      <c r="T79" s="7">
        <f t="shared" si="17"/>
        <v>5545</v>
      </c>
    </row>
    <row r="80" spans="1:20">
      <c r="A80" s="23" t="s">
        <v>85</v>
      </c>
      <c r="B80" s="35" t="s">
        <v>84</v>
      </c>
      <c r="C80" s="36">
        <v>1348</v>
      </c>
      <c r="D80" s="6"/>
      <c r="E80" s="113">
        <v>63929927</v>
      </c>
      <c r="F80" s="116">
        <f t="shared" si="18"/>
        <v>47425.761869436203</v>
      </c>
      <c r="G80" s="117">
        <v>39784573</v>
      </c>
      <c r="H80" s="117">
        <f t="shared" ref="H80:H92" si="23">(G80/C80)</f>
        <v>29513.77818991098</v>
      </c>
      <c r="I80" s="7"/>
      <c r="J80" s="10">
        <v>2</v>
      </c>
      <c r="K80" s="117">
        <v>79569</v>
      </c>
      <c r="L80" s="120">
        <f t="shared" si="22"/>
        <v>59.027448071216618</v>
      </c>
      <c r="M80" s="122">
        <f t="shared" si="19"/>
        <v>397845.73</v>
      </c>
      <c r="N80" s="116">
        <f t="shared" si="20"/>
        <v>318276.73</v>
      </c>
      <c r="O80" s="123">
        <f t="shared" si="21"/>
        <v>236.11033382789316</v>
      </c>
      <c r="P80" s="5"/>
      <c r="Q80" s="5">
        <f t="shared" si="14"/>
        <v>1</v>
      </c>
      <c r="R80" s="7">
        <f t="shared" si="15"/>
        <v>1348</v>
      </c>
      <c r="S80" s="5">
        <f t="shared" si="16"/>
        <v>1</v>
      </c>
      <c r="T80" s="7">
        <f t="shared" si="17"/>
        <v>1348</v>
      </c>
    </row>
    <row r="81" spans="1:20">
      <c r="A81" s="23" t="s">
        <v>86</v>
      </c>
      <c r="B81" s="35" t="s">
        <v>84</v>
      </c>
      <c r="C81" s="36">
        <v>9106</v>
      </c>
      <c r="D81" s="6"/>
      <c r="E81" s="113">
        <v>566633941</v>
      </c>
      <c r="F81" s="116">
        <f t="shared" si="18"/>
        <v>62226.437623544916</v>
      </c>
      <c r="G81" s="117">
        <v>380014521</v>
      </c>
      <c r="H81" s="117">
        <f t="shared" si="23"/>
        <v>41732.321656050954</v>
      </c>
      <c r="I81" s="7"/>
      <c r="J81" s="10">
        <v>5</v>
      </c>
      <c r="K81" s="117">
        <v>1900072</v>
      </c>
      <c r="L81" s="120">
        <f t="shared" si="22"/>
        <v>208.66154184054469</v>
      </c>
      <c r="M81" s="122">
        <f t="shared" si="19"/>
        <v>3800145.21</v>
      </c>
      <c r="N81" s="116">
        <f t="shared" si="20"/>
        <v>1900073.21</v>
      </c>
      <c r="O81" s="123">
        <f t="shared" si="21"/>
        <v>208.66167471996485</v>
      </c>
      <c r="P81" s="5"/>
      <c r="Q81" s="5">
        <f t="shared" si="14"/>
        <v>1</v>
      </c>
      <c r="R81" s="7">
        <f t="shared" si="15"/>
        <v>9106</v>
      </c>
      <c r="S81" s="5">
        <f t="shared" si="16"/>
        <v>1</v>
      </c>
      <c r="T81" s="7">
        <f t="shared" si="17"/>
        <v>9106</v>
      </c>
    </row>
    <row r="82" spans="1:20">
      <c r="A82" s="23" t="s">
        <v>87</v>
      </c>
      <c r="B82" s="35" t="s">
        <v>84</v>
      </c>
      <c r="C82" s="36">
        <v>598</v>
      </c>
      <c r="D82" s="6"/>
      <c r="E82" s="113">
        <v>21451400</v>
      </c>
      <c r="F82" s="116">
        <f t="shared" si="18"/>
        <v>35871.906354515049</v>
      </c>
      <c r="G82" s="117">
        <v>6526107</v>
      </c>
      <c r="H82" s="117">
        <f t="shared" si="23"/>
        <v>10913.222408026755</v>
      </c>
      <c r="I82" s="98" t="s">
        <v>528</v>
      </c>
      <c r="J82" s="10"/>
      <c r="K82" s="117"/>
      <c r="L82" s="120"/>
      <c r="M82" s="122">
        <f t="shared" si="19"/>
        <v>65261.07</v>
      </c>
      <c r="N82" s="116">
        <f t="shared" si="20"/>
        <v>65261.07</v>
      </c>
      <c r="O82" s="123">
        <f t="shared" si="21"/>
        <v>109.13222408026756</v>
      </c>
      <c r="P82" s="5"/>
      <c r="Q82" s="5">
        <f t="shared" si="14"/>
        <v>1</v>
      </c>
      <c r="R82" s="7">
        <f t="shared" si="15"/>
        <v>598</v>
      </c>
      <c r="S82" s="5">
        <f t="shared" si="16"/>
        <v>0</v>
      </c>
      <c r="T82" s="7">
        <f t="shared" si="17"/>
        <v>0</v>
      </c>
    </row>
    <row r="83" spans="1:20">
      <c r="A83" s="23" t="s">
        <v>88</v>
      </c>
      <c r="B83" s="35" t="s">
        <v>89</v>
      </c>
      <c r="C83" s="36">
        <v>508</v>
      </c>
      <c r="D83" s="6"/>
      <c r="E83" s="113">
        <v>62664645</v>
      </c>
      <c r="F83" s="116">
        <f t="shared" si="18"/>
        <v>123355.60039370079</v>
      </c>
      <c r="G83" s="117">
        <v>45422418</v>
      </c>
      <c r="H83" s="117">
        <f t="shared" si="23"/>
        <v>89414.208661417317</v>
      </c>
      <c r="I83" s="7"/>
      <c r="J83" s="10">
        <v>4.0279999999999996</v>
      </c>
      <c r="K83" s="117">
        <v>182961</v>
      </c>
      <c r="L83" s="120">
        <f>(K83/C83)</f>
        <v>360.15944881889766</v>
      </c>
      <c r="M83" s="122">
        <f t="shared" si="19"/>
        <v>454224.18</v>
      </c>
      <c r="N83" s="116">
        <f t="shared" si="20"/>
        <v>271263.18</v>
      </c>
      <c r="O83" s="123">
        <f t="shared" si="21"/>
        <v>533.98263779527554</v>
      </c>
      <c r="P83" s="5"/>
      <c r="Q83" s="5">
        <f t="shared" si="14"/>
        <v>1</v>
      </c>
      <c r="R83" s="7">
        <f t="shared" si="15"/>
        <v>508</v>
      </c>
      <c r="S83" s="5">
        <f t="shared" si="16"/>
        <v>1</v>
      </c>
      <c r="T83" s="7">
        <f t="shared" si="17"/>
        <v>508</v>
      </c>
    </row>
    <row r="84" spans="1:20">
      <c r="A84" s="23" t="s">
        <v>90</v>
      </c>
      <c r="B84" s="35" t="s">
        <v>89</v>
      </c>
      <c r="C84" s="36">
        <v>14799</v>
      </c>
      <c r="D84" s="6"/>
      <c r="E84" s="113">
        <v>6416390235</v>
      </c>
      <c r="F84" s="116">
        <f t="shared" si="18"/>
        <v>433569.17595783499</v>
      </c>
      <c r="G84" s="117">
        <v>5609081378</v>
      </c>
      <c r="H84" s="117">
        <f t="shared" si="23"/>
        <v>379017.59429691196</v>
      </c>
      <c r="I84" s="7"/>
      <c r="J84" s="10">
        <v>1.69</v>
      </c>
      <c r="K84" s="117">
        <v>9479347</v>
      </c>
      <c r="L84" s="120">
        <f>(K84/C84)</f>
        <v>640.53969862828569</v>
      </c>
      <c r="M84" s="122">
        <f t="shared" si="19"/>
        <v>56090813.780000001</v>
      </c>
      <c r="N84" s="116">
        <f t="shared" si="20"/>
        <v>46611466.780000001</v>
      </c>
      <c r="O84" s="123">
        <f t="shared" si="21"/>
        <v>3149.6362443408339</v>
      </c>
      <c r="P84" s="5"/>
      <c r="Q84" s="5">
        <f t="shared" si="14"/>
        <v>1</v>
      </c>
      <c r="R84" s="7">
        <f t="shared" si="15"/>
        <v>14799</v>
      </c>
      <c r="S84" s="5">
        <f t="shared" si="16"/>
        <v>1</v>
      </c>
      <c r="T84" s="7">
        <f t="shared" si="17"/>
        <v>14799</v>
      </c>
    </row>
    <row r="85" spans="1:20">
      <c r="A85" s="23" t="s">
        <v>91</v>
      </c>
      <c r="B85" s="35" t="s">
        <v>89</v>
      </c>
      <c r="C85" s="36">
        <v>22057</v>
      </c>
      <c r="D85" s="6"/>
      <c r="E85" s="113">
        <v>12966197227</v>
      </c>
      <c r="F85" s="116">
        <f t="shared" si="18"/>
        <v>587849.53651901893</v>
      </c>
      <c r="G85" s="117">
        <v>9950900301</v>
      </c>
      <c r="H85" s="117">
        <f t="shared" si="23"/>
        <v>451144.77494672895</v>
      </c>
      <c r="I85" s="7"/>
      <c r="J85" s="10">
        <v>1.113</v>
      </c>
      <c r="K85" s="117">
        <v>11075352</v>
      </c>
      <c r="L85" s="120">
        <f>(K85/C85)</f>
        <v>502.12413292832207</v>
      </c>
      <c r="M85" s="122">
        <f t="shared" si="19"/>
        <v>99509003.010000005</v>
      </c>
      <c r="N85" s="116">
        <f t="shared" si="20"/>
        <v>88433651.010000005</v>
      </c>
      <c r="O85" s="123">
        <f t="shared" si="21"/>
        <v>4009.3236165389676</v>
      </c>
      <c r="P85" s="5"/>
      <c r="Q85" s="5">
        <f t="shared" si="14"/>
        <v>1</v>
      </c>
      <c r="R85" s="7">
        <f t="shared" si="15"/>
        <v>22057</v>
      </c>
      <c r="S85" s="5">
        <f t="shared" si="16"/>
        <v>1</v>
      </c>
      <c r="T85" s="7">
        <f t="shared" si="17"/>
        <v>22057</v>
      </c>
    </row>
    <row r="86" spans="1:20">
      <c r="A86" s="23" t="s">
        <v>92</v>
      </c>
      <c r="B86" s="35" t="s">
        <v>93</v>
      </c>
      <c r="C86" s="36">
        <v>409</v>
      </c>
      <c r="D86" s="6"/>
      <c r="E86" s="113">
        <v>19456937</v>
      </c>
      <c r="F86" s="116">
        <f t="shared" si="18"/>
        <v>47571.973105134472</v>
      </c>
      <c r="G86" s="117">
        <v>9425037</v>
      </c>
      <c r="H86" s="117">
        <f t="shared" si="23"/>
        <v>23044.100244498779</v>
      </c>
      <c r="I86" s="98" t="s">
        <v>528</v>
      </c>
      <c r="J86" s="11"/>
      <c r="K86" s="117"/>
      <c r="L86" s="120"/>
      <c r="M86" s="122">
        <f t="shared" si="19"/>
        <v>94250.37</v>
      </c>
      <c r="N86" s="116">
        <f t="shared" si="20"/>
        <v>94250.37</v>
      </c>
      <c r="O86" s="123">
        <f t="shared" si="21"/>
        <v>230.44100244498776</v>
      </c>
      <c r="P86" s="5"/>
      <c r="Q86" s="5">
        <f t="shared" si="14"/>
        <v>1</v>
      </c>
      <c r="R86" s="7">
        <f t="shared" si="15"/>
        <v>409</v>
      </c>
      <c r="S86" s="5">
        <f t="shared" si="16"/>
        <v>0</v>
      </c>
      <c r="T86" s="7">
        <f t="shared" si="17"/>
        <v>0</v>
      </c>
    </row>
    <row r="87" spans="1:20">
      <c r="A87" s="23" t="s">
        <v>94</v>
      </c>
      <c r="B87" s="35" t="s">
        <v>93</v>
      </c>
      <c r="C87" s="36">
        <v>10280</v>
      </c>
      <c r="D87" s="6"/>
      <c r="E87" s="113">
        <v>717068017</v>
      </c>
      <c r="F87" s="116">
        <f t="shared" si="18"/>
        <v>69753.69815175097</v>
      </c>
      <c r="G87" s="117">
        <v>438664350</v>
      </c>
      <c r="H87" s="117">
        <f t="shared" si="23"/>
        <v>42671.629377431906</v>
      </c>
      <c r="I87" s="7"/>
      <c r="J87" s="10">
        <v>3.5550000000000002</v>
      </c>
      <c r="K87" s="117">
        <v>1559451</v>
      </c>
      <c r="L87" s="120">
        <f t="shared" ref="L87:L92" si="24">(K87/C87)</f>
        <v>151.6975680933852</v>
      </c>
      <c r="M87" s="122">
        <f t="shared" si="19"/>
        <v>4386643.5</v>
      </c>
      <c r="N87" s="116">
        <f t="shared" si="20"/>
        <v>2827192.5</v>
      </c>
      <c r="O87" s="123">
        <f t="shared" si="21"/>
        <v>275.01872568093387</v>
      </c>
      <c r="P87" s="5"/>
      <c r="Q87" s="5">
        <f t="shared" si="14"/>
        <v>1</v>
      </c>
      <c r="R87" s="7">
        <f t="shared" si="15"/>
        <v>10280</v>
      </c>
      <c r="S87" s="5">
        <f t="shared" si="16"/>
        <v>1</v>
      </c>
      <c r="T87" s="7">
        <f t="shared" si="17"/>
        <v>10280</v>
      </c>
    </row>
    <row r="88" spans="1:20">
      <c r="A88" s="23" t="s">
        <v>95</v>
      </c>
      <c r="B88" s="35" t="s">
        <v>468</v>
      </c>
      <c r="C88" s="36">
        <v>6778</v>
      </c>
      <c r="D88" s="6"/>
      <c r="E88" s="113">
        <v>252883827</v>
      </c>
      <c r="F88" s="116">
        <f t="shared" si="18"/>
        <v>37309.505311301269</v>
      </c>
      <c r="G88" s="117">
        <v>141747218</v>
      </c>
      <c r="H88" s="117">
        <f t="shared" si="23"/>
        <v>20912.838300383595</v>
      </c>
      <c r="I88" s="7"/>
      <c r="J88" s="10">
        <v>8.9962999999999997</v>
      </c>
      <c r="K88" s="117">
        <v>1275200</v>
      </c>
      <c r="L88" s="120">
        <f t="shared" si="24"/>
        <v>188.13809383298909</v>
      </c>
      <c r="M88" s="122">
        <f t="shared" si="19"/>
        <v>1417472.18</v>
      </c>
      <c r="N88" s="116">
        <f t="shared" si="20"/>
        <v>142272.17999999993</v>
      </c>
      <c r="O88" s="123">
        <f t="shared" si="21"/>
        <v>20.990289170846847</v>
      </c>
      <c r="P88" s="5"/>
      <c r="Q88" s="5">
        <f t="shared" si="14"/>
        <v>1</v>
      </c>
      <c r="R88" s="7">
        <f t="shared" si="15"/>
        <v>6778</v>
      </c>
      <c r="S88" s="5">
        <f t="shared" si="16"/>
        <v>1</v>
      </c>
      <c r="T88" s="7">
        <f t="shared" si="17"/>
        <v>6778</v>
      </c>
    </row>
    <row r="89" spans="1:20">
      <c r="A89" s="23" t="s">
        <v>96</v>
      </c>
      <c r="B89" s="35" t="s">
        <v>97</v>
      </c>
      <c r="C89" s="36">
        <v>1838</v>
      </c>
      <c r="D89" s="6"/>
      <c r="E89" s="113">
        <v>52490425</v>
      </c>
      <c r="F89" s="116">
        <f t="shared" si="18"/>
        <v>28558.446681175192</v>
      </c>
      <c r="G89" s="117">
        <v>20459305</v>
      </c>
      <c r="H89" s="117">
        <f t="shared" si="23"/>
        <v>11131.286724700762</v>
      </c>
      <c r="I89" s="8"/>
      <c r="J89" s="10">
        <v>4.2340999999999998</v>
      </c>
      <c r="K89" s="117">
        <v>86626</v>
      </c>
      <c r="L89" s="120">
        <f t="shared" si="24"/>
        <v>47.130576713819366</v>
      </c>
      <c r="M89" s="122">
        <f t="shared" si="19"/>
        <v>204593.05000000002</v>
      </c>
      <c r="N89" s="116">
        <f t="shared" si="20"/>
        <v>117967.05000000002</v>
      </c>
      <c r="O89" s="123">
        <f t="shared" si="21"/>
        <v>64.182290533188251</v>
      </c>
      <c r="P89" s="5"/>
      <c r="Q89" s="5">
        <f t="shared" si="14"/>
        <v>1</v>
      </c>
      <c r="R89" s="7">
        <f t="shared" si="15"/>
        <v>1838</v>
      </c>
      <c r="S89" s="5">
        <f t="shared" si="16"/>
        <v>1</v>
      </c>
      <c r="T89" s="7">
        <f t="shared" si="17"/>
        <v>1838</v>
      </c>
    </row>
    <row r="90" spans="1:20">
      <c r="A90" s="23" t="s">
        <v>98</v>
      </c>
      <c r="B90" s="35" t="s">
        <v>97</v>
      </c>
      <c r="C90" s="36">
        <v>225</v>
      </c>
      <c r="D90" s="6"/>
      <c r="E90" s="113">
        <v>24578172</v>
      </c>
      <c r="F90" s="116">
        <f t="shared" si="18"/>
        <v>109236.32</v>
      </c>
      <c r="G90" s="117">
        <v>20361203</v>
      </c>
      <c r="H90" s="117">
        <f t="shared" si="23"/>
        <v>90494.235555555555</v>
      </c>
      <c r="I90" s="8"/>
      <c r="J90" s="10">
        <v>3</v>
      </c>
      <c r="K90" s="117">
        <v>61083</v>
      </c>
      <c r="L90" s="120">
        <f t="shared" si="24"/>
        <v>271.48</v>
      </c>
      <c r="M90" s="122">
        <f t="shared" si="19"/>
        <v>203612.03</v>
      </c>
      <c r="N90" s="116">
        <f t="shared" si="20"/>
        <v>142529.03</v>
      </c>
      <c r="O90" s="123">
        <f t="shared" si="21"/>
        <v>633.46235555555552</v>
      </c>
      <c r="P90" s="5"/>
      <c r="Q90" s="5">
        <f t="shared" si="14"/>
        <v>1</v>
      </c>
      <c r="R90" s="7">
        <f t="shared" si="15"/>
        <v>225</v>
      </c>
      <c r="S90" s="5">
        <f t="shared" si="16"/>
        <v>1</v>
      </c>
      <c r="T90" s="7">
        <f t="shared" si="17"/>
        <v>225</v>
      </c>
    </row>
    <row r="91" spans="1:20">
      <c r="A91" s="23" t="s">
        <v>99</v>
      </c>
      <c r="B91" s="35" t="s">
        <v>100</v>
      </c>
      <c r="C91" s="36">
        <v>13645</v>
      </c>
      <c r="D91" s="6"/>
      <c r="E91" s="113">
        <v>1212377246</v>
      </c>
      <c r="F91" s="116">
        <f t="shared" si="18"/>
        <v>88851.392158299743</v>
      </c>
      <c r="G91" s="117">
        <v>829709030</v>
      </c>
      <c r="H91" s="117">
        <f t="shared" si="23"/>
        <v>60806.817882008065</v>
      </c>
      <c r="I91" s="9"/>
      <c r="J91" s="11">
        <v>3.1711999999999998</v>
      </c>
      <c r="K91" s="117">
        <v>2631173</v>
      </c>
      <c r="L91" s="120">
        <f t="shared" si="24"/>
        <v>192.83056064492487</v>
      </c>
      <c r="M91" s="122">
        <f t="shared" si="19"/>
        <v>8297090.2999999998</v>
      </c>
      <c r="N91" s="116">
        <f t="shared" si="20"/>
        <v>5665917.2999999998</v>
      </c>
      <c r="O91" s="123">
        <f t="shared" si="21"/>
        <v>415.23761817515572</v>
      </c>
      <c r="P91" s="5"/>
      <c r="Q91" s="5">
        <f t="shared" si="14"/>
        <v>1</v>
      </c>
      <c r="R91" s="7">
        <f t="shared" si="15"/>
        <v>13645</v>
      </c>
      <c r="S91" s="5">
        <f t="shared" si="16"/>
        <v>1</v>
      </c>
      <c r="T91" s="7">
        <f t="shared" si="17"/>
        <v>13645</v>
      </c>
    </row>
    <row r="92" spans="1:20">
      <c r="A92" s="23" t="s">
        <v>101</v>
      </c>
      <c r="B92" s="35" t="s">
        <v>100</v>
      </c>
      <c r="C92" s="36">
        <v>1603</v>
      </c>
      <c r="D92" s="6"/>
      <c r="E92" s="113">
        <v>64486799</v>
      </c>
      <c r="F92" s="116">
        <f t="shared" si="18"/>
        <v>40228.820336868375</v>
      </c>
      <c r="G92" s="117">
        <v>40151555</v>
      </c>
      <c r="H92" s="117">
        <f t="shared" si="23"/>
        <v>25047.757330006239</v>
      </c>
      <c r="I92" s="9"/>
      <c r="J92" s="10">
        <v>2</v>
      </c>
      <c r="K92" s="117">
        <v>80303</v>
      </c>
      <c r="L92" s="120">
        <f t="shared" si="24"/>
        <v>50.09544603867748</v>
      </c>
      <c r="M92" s="122">
        <f t="shared" si="19"/>
        <v>401515.55</v>
      </c>
      <c r="N92" s="116">
        <f t="shared" si="20"/>
        <v>321212.55</v>
      </c>
      <c r="O92" s="123">
        <f t="shared" si="21"/>
        <v>200.38212726138491</v>
      </c>
      <c r="P92" s="5"/>
      <c r="Q92" s="5">
        <f t="shared" si="14"/>
        <v>1</v>
      </c>
      <c r="R92" s="7">
        <f t="shared" si="15"/>
        <v>1603</v>
      </c>
      <c r="S92" s="5">
        <f t="shared" si="16"/>
        <v>1</v>
      </c>
      <c r="T92" s="7">
        <f t="shared" si="17"/>
        <v>1603</v>
      </c>
    </row>
    <row r="93" spans="1:20">
      <c r="A93" s="23" t="s">
        <v>102</v>
      </c>
      <c r="B93" s="35" t="s">
        <v>100</v>
      </c>
      <c r="C93" s="36">
        <v>765826</v>
      </c>
      <c r="D93" s="97" t="s">
        <v>513</v>
      </c>
      <c r="E93" s="113"/>
      <c r="F93" s="116"/>
      <c r="G93" s="117"/>
      <c r="H93" s="117"/>
      <c r="I93" s="9"/>
      <c r="J93" s="10"/>
      <c r="K93" s="117"/>
      <c r="L93" s="120"/>
      <c r="M93" s="122">
        <f t="shared" si="19"/>
        <v>0</v>
      </c>
      <c r="N93" s="116">
        <f t="shared" si="20"/>
        <v>0</v>
      </c>
      <c r="O93" s="123">
        <f t="shared" si="21"/>
        <v>0</v>
      </c>
      <c r="P93" s="5"/>
      <c r="Q93" s="5">
        <f t="shared" si="14"/>
        <v>0</v>
      </c>
      <c r="R93" s="7">
        <f t="shared" si="15"/>
        <v>0</v>
      </c>
      <c r="S93" s="5">
        <f t="shared" si="16"/>
        <v>0</v>
      </c>
      <c r="T93" s="7">
        <f t="shared" si="17"/>
        <v>0</v>
      </c>
    </row>
    <row r="94" spans="1:20">
      <c r="A94" s="23" t="s">
        <v>103</v>
      </c>
      <c r="B94" s="35" t="s">
        <v>100</v>
      </c>
      <c r="C94" s="36">
        <v>21056</v>
      </c>
      <c r="D94" s="6"/>
      <c r="E94" s="113">
        <v>2044035662</v>
      </c>
      <c r="F94" s="116">
        <f t="shared" ref="F94:F157" si="25">(E94/C94)</f>
        <v>97076.161759118535</v>
      </c>
      <c r="G94" s="117">
        <v>1482172629</v>
      </c>
      <c r="H94" s="117">
        <f t="shared" ref="H94:H157" si="26">(G94/C94)</f>
        <v>70391.937167553187</v>
      </c>
      <c r="I94" s="9"/>
      <c r="J94" s="10">
        <v>3.9070999999999998</v>
      </c>
      <c r="K94" s="117">
        <v>5790996</v>
      </c>
      <c r="L94" s="120">
        <f t="shared" ref="L94:L100" si="27">(K94/C94)</f>
        <v>275.02830547112461</v>
      </c>
      <c r="M94" s="122">
        <f t="shared" si="19"/>
        <v>14821726.290000001</v>
      </c>
      <c r="N94" s="116">
        <f t="shared" si="20"/>
        <v>9030730.290000001</v>
      </c>
      <c r="O94" s="123">
        <f t="shared" si="21"/>
        <v>428.89106620440737</v>
      </c>
      <c r="P94" s="5"/>
      <c r="Q94" s="5">
        <f t="shared" si="14"/>
        <v>1</v>
      </c>
      <c r="R94" s="7">
        <f t="shared" si="15"/>
        <v>21056</v>
      </c>
      <c r="S94" s="5">
        <f t="shared" si="16"/>
        <v>1</v>
      </c>
      <c r="T94" s="7">
        <f t="shared" si="17"/>
        <v>21056</v>
      </c>
    </row>
    <row r="95" spans="1:20">
      <c r="A95" s="23" t="s">
        <v>104</v>
      </c>
      <c r="B95" s="35" t="s">
        <v>100</v>
      </c>
      <c r="C95" s="36">
        <v>7264</v>
      </c>
      <c r="D95" s="6"/>
      <c r="E95" s="113">
        <v>658742803</v>
      </c>
      <c r="F95" s="116">
        <f t="shared" si="25"/>
        <v>90685.958562775326</v>
      </c>
      <c r="G95" s="117">
        <v>443553209</v>
      </c>
      <c r="H95" s="117">
        <f t="shared" si="26"/>
        <v>61061.840446035239</v>
      </c>
      <c r="I95" s="9"/>
      <c r="J95" s="10">
        <v>2.9</v>
      </c>
      <c r="K95" s="117">
        <v>1286304</v>
      </c>
      <c r="L95" s="120">
        <f t="shared" si="27"/>
        <v>177.07929515418502</v>
      </c>
      <c r="M95" s="122">
        <f t="shared" si="19"/>
        <v>4435532.09</v>
      </c>
      <c r="N95" s="116">
        <f t="shared" si="20"/>
        <v>3149228.09</v>
      </c>
      <c r="O95" s="123">
        <f t="shared" si="21"/>
        <v>433.5391093061674</v>
      </c>
      <c r="P95" s="5"/>
      <c r="Q95" s="5">
        <f t="shared" si="14"/>
        <v>1</v>
      </c>
      <c r="R95" s="7">
        <f t="shared" si="15"/>
        <v>7264</v>
      </c>
      <c r="S95" s="5">
        <f t="shared" si="16"/>
        <v>1</v>
      </c>
      <c r="T95" s="7">
        <f t="shared" si="17"/>
        <v>7264</v>
      </c>
    </row>
    <row r="96" spans="1:20">
      <c r="A96" s="23" t="s">
        <v>105</v>
      </c>
      <c r="B96" s="35" t="s">
        <v>106</v>
      </c>
      <c r="C96" s="36">
        <v>1761</v>
      </c>
      <c r="D96" s="6"/>
      <c r="E96" s="113">
        <v>44422100</v>
      </c>
      <c r="F96" s="116">
        <f t="shared" si="25"/>
        <v>25225.496876774559</v>
      </c>
      <c r="G96" s="117">
        <v>26373095</v>
      </c>
      <c r="H96" s="117">
        <f t="shared" si="26"/>
        <v>14976.203861442362</v>
      </c>
      <c r="I96" s="7"/>
      <c r="J96" s="10">
        <v>0.98099999999999998</v>
      </c>
      <c r="K96" s="117">
        <v>25872</v>
      </c>
      <c r="L96" s="120">
        <f t="shared" si="27"/>
        <v>14.691652470187394</v>
      </c>
      <c r="M96" s="122">
        <f t="shared" si="19"/>
        <v>263730.95</v>
      </c>
      <c r="N96" s="116">
        <f t="shared" si="20"/>
        <v>237858.95</v>
      </c>
      <c r="O96" s="123">
        <f t="shared" si="21"/>
        <v>135.07038614423624</v>
      </c>
      <c r="P96" s="5"/>
      <c r="Q96" s="5">
        <f t="shared" si="14"/>
        <v>1</v>
      </c>
      <c r="R96" s="7">
        <f t="shared" si="15"/>
        <v>1761</v>
      </c>
      <c r="S96" s="5">
        <f t="shared" si="16"/>
        <v>1</v>
      </c>
      <c r="T96" s="7">
        <f t="shared" si="17"/>
        <v>1761</v>
      </c>
    </row>
    <row r="97" spans="1:20">
      <c r="A97" s="23" t="s">
        <v>107</v>
      </c>
      <c r="B97" s="35" t="s">
        <v>106</v>
      </c>
      <c r="C97" s="36">
        <v>56271</v>
      </c>
      <c r="D97" s="6"/>
      <c r="E97" s="113">
        <v>3412157296</v>
      </c>
      <c r="F97" s="116">
        <f t="shared" si="25"/>
        <v>60637.935988342128</v>
      </c>
      <c r="G97" s="117">
        <v>2220954526</v>
      </c>
      <c r="H97" s="117">
        <f t="shared" si="26"/>
        <v>39468.900961418847</v>
      </c>
      <c r="I97" s="7"/>
      <c r="J97" s="10">
        <v>5.5057</v>
      </c>
      <c r="K97" s="117">
        <v>11231367</v>
      </c>
      <c r="L97" s="120">
        <f t="shared" si="27"/>
        <v>199.59423148691155</v>
      </c>
      <c r="M97" s="122">
        <f t="shared" si="19"/>
        <v>22209545.260000002</v>
      </c>
      <c r="N97" s="116">
        <f t="shared" si="20"/>
        <v>10978178.260000002</v>
      </c>
      <c r="O97" s="123">
        <f t="shared" si="21"/>
        <v>195.09477812727695</v>
      </c>
      <c r="P97" s="5"/>
      <c r="Q97" s="5">
        <f t="shared" si="14"/>
        <v>1</v>
      </c>
      <c r="R97" s="7">
        <f t="shared" si="15"/>
        <v>56271</v>
      </c>
      <c r="S97" s="5">
        <f t="shared" si="16"/>
        <v>1</v>
      </c>
      <c r="T97" s="7">
        <f t="shared" si="17"/>
        <v>56271</v>
      </c>
    </row>
    <row r="98" spans="1:20">
      <c r="A98" s="23" t="s">
        <v>108</v>
      </c>
      <c r="B98" s="35" t="s">
        <v>109</v>
      </c>
      <c r="C98" s="36">
        <v>551</v>
      </c>
      <c r="D98" s="6"/>
      <c r="E98" s="113">
        <v>34277093</v>
      </c>
      <c r="F98" s="116">
        <f t="shared" si="25"/>
        <v>62208.880217785845</v>
      </c>
      <c r="G98" s="117">
        <v>28831577</v>
      </c>
      <c r="H98" s="117">
        <f t="shared" si="26"/>
        <v>52325.911070780399</v>
      </c>
      <c r="I98" s="7"/>
      <c r="J98" s="10">
        <v>2.3197999999999999</v>
      </c>
      <c r="K98" s="117">
        <v>66883</v>
      </c>
      <c r="L98" s="120">
        <f t="shared" si="27"/>
        <v>121.38475499092559</v>
      </c>
      <c r="M98" s="122">
        <f t="shared" si="19"/>
        <v>288315.77</v>
      </c>
      <c r="N98" s="116">
        <f t="shared" si="20"/>
        <v>221432.77000000002</v>
      </c>
      <c r="O98" s="123">
        <f t="shared" si="21"/>
        <v>401.87435571687843</v>
      </c>
      <c r="P98" s="5"/>
      <c r="Q98" s="5">
        <f t="shared" si="14"/>
        <v>1</v>
      </c>
      <c r="R98" s="7">
        <f t="shared" si="15"/>
        <v>551</v>
      </c>
      <c r="S98" s="5">
        <f t="shared" si="16"/>
        <v>1</v>
      </c>
      <c r="T98" s="7">
        <f t="shared" si="17"/>
        <v>551</v>
      </c>
    </row>
    <row r="99" spans="1:20">
      <c r="A99" s="23" t="s">
        <v>110</v>
      </c>
      <c r="B99" s="35" t="s">
        <v>109</v>
      </c>
      <c r="C99" s="36">
        <v>2163</v>
      </c>
      <c r="D99" s="6"/>
      <c r="E99" s="113">
        <v>138357144</v>
      </c>
      <c r="F99" s="116">
        <f t="shared" si="25"/>
        <v>63965.39251040222</v>
      </c>
      <c r="G99" s="117">
        <v>76275083</v>
      </c>
      <c r="H99" s="117">
        <f t="shared" si="26"/>
        <v>35263.561257512716</v>
      </c>
      <c r="I99" s="7"/>
      <c r="J99" s="10">
        <v>5.9</v>
      </c>
      <c r="K99" s="117">
        <v>450022</v>
      </c>
      <c r="L99" s="120">
        <f t="shared" si="27"/>
        <v>208.05455386037912</v>
      </c>
      <c r="M99" s="122">
        <f t="shared" si="19"/>
        <v>762750.83</v>
      </c>
      <c r="N99" s="116">
        <f t="shared" si="20"/>
        <v>312728.82999999996</v>
      </c>
      <c r="O99" s="123">
        <f t="shared" si="21"/>
        <v>144.58105871474802</v>
      </c>
      <c r="P99" s="5"/>
      <c r="Q99" s="5">
        <f t="shared" si="14"/>
        <v>1</v>
      </c>
      <c r="R99" s="7">
        <f t="shared" si="15"/>
        <v>2163</v>
      </c>
      <c r="S99" s="5">
        <f t="shared" si="16"/>
        <v>1</v>
      </c>
      <c r="T99" s="7">
        <f t="shared" si="17"/>
        <v>2163</v>
      </c>
    </row>
    <row r="100" spans="1:20">
      <c r="A100" s="23" t="s">
        <v>447</v>
      </c>
      <c r="B100" s="35" t="s">
        <v>109</v>
      </c>
      <c r="C100" s="36">
        <v>38348</v>
      </c>
      <c r="D100" s="6"/>
      <c r="E100" s="113">
        <v>2615267294</v>
      </c>
      <c r="F100" s="116">
        <f t="shared" si="25"/>
        <v>68198.270939814334</v>
      </c>
      <c r="G100" s="117">
        <v>1983740628</v>
      </c>
      <c r="H100" s="117">
        <f t="shared" si="26"/>
        <v>51729.963179305312</v>
      </c>
      <c r="I100" s="7"/>
      <c r="J100" s="10">
        <v>3.4</v>
      </c>
      <c r="K100" s="117">
        <v>6744718</v>
      </c>
      <c r="L100" s="120">
        <f t="shared" si="27"/>
        <v>175.88187128403047</v>
      </c>
      <c r="M100" s="122">
        <f t="shared" si="19"/>
        <v>19837406.280000001</v>
      </c>
      <c r="N100" s="116">
        <f t="shared" si="20"/>
        <v>13092688.280000001</v>
      </c>
      <c r="O100" s="123">
        <f t="shared" si="21"/>
        <v>341.41776050902268</v>
      </c>
      <c r="P100" s="5"/>
      <c r="Q100" s="5">
        <f t="shared" si="14"/>
        <v>1</v>
      </c>
      <c r="R100" s="7">
        <f t="shared" si="15"/>
        <v>38348</v>
      </c>
      <c r="S100" s="5">
        <f t="shared" si="16"/>
        <v>1</v>
      </c>
      <c r="T100" s="7">
        <f t="shared" si="17"/>
        <v>38348</v>
      </c>
    </row>
    <row r="101" spans="1:20">
      <c r="A101" s="23" t="s">
        <v>111</v>
      </c>
      <c r="B101" s="35" t="s">
        <v>557</v>
      </c>
      <c r="C101" s="36">
        <v>7</v>
      </c>
      <c r="D101" s="6"/>
      <c r="E101" s="113">
        <v>17085429</v>
      </c>
      <c r="F101" s="116">
        <f t="shared" si="25"/>
        <v>2440775.5714285714</v>
      </c>
      <c r="G101" s="117">
        <v>5895929</v>
      </c>
      <c r="H101" s="117">
        <f t="shared" si="26"/>
        <v>842275.57142857148</v>
      </c>
      <c r="I101" s="98" t="s">
        <v>528</v>
      </c>
      <c r="J101" s="10"/>
      <c r="K101" s="117"/>
      <c r="L101" s="120"/>
      <c r="M101" s="122">
        <f t="shared" si="19"/>
        <v>58959.29</v>
      </c>
      <c r="N101" s="116">
        <f t="shared" si="20"/>
        <v>58959.29</v>
      </c>
      <c r="O101" s="123">
        <f t="shared" si="21"/>
        <v>8422.7557142857149</v>
      </c>
      <c r="P101" s="5"/>
      <c r="Q101" s="5">
        <f t="shared" si="14"/>
        <v>1</v>
      </c>
      <c r="R101" s="7">
        <f t="shared" si="15"/>
        <v>7</v>
      </c>
      <c r="S101" s="5">
        <f t="shared" si="16"/>
        <v>0</v>
      </c>
      <c r="T101" s="7">
        <f t="shared" si="17"/>
        <v>0</v>
      </c>
    </row>
    <row r="102" spans="1:20">
      <c r="A102" s="23" t="s">
        <v>112</v>
      </c>
      <c r="B102" s="35" t="s">
        <v>113</v>
      </c>
      <c r="C102" s="36">
        <v>5415</v>
      </c>
      <c r="D102" s="6"/>
      <c r="E102" s="113">
        <v>511252994</v>
      </c>
      <c r="F102" s="116">
        <f t="shared" si="25"/>
        <v>94414.218651892894</v>
      </c>
      <c r="G102" s="117">
        <v>385104705</v>
      </c>
      <c r="H102" s="117">
        <f t="shared" si="26"/>
        <v>71118.135734072028</v>
      </c>
      <c r="I102" s="7"/>
      <c r="J102" s="10">
        <v>2.6778</v>
      </c>
      <c r="K102" s="117">
        <v>1031233</v>
      </c>
      <c r="L102" s="120">
        <f t="shared" ref="L102:L110" si="28">(K102/C102)</f>
        <v>190.44007386888273</v>
      </c>
      <c r="M102" s="122">
        <f t="shared" si="19"/>
        <v>3851047.0500000003</v>
      </c>
      <c r="N102" s="116">
        <f t="shared" si="20"/>
        <v>2819814.0500000003</v>
      </c>
      <c r="O102" s="123">
        <f t="shared" si="21"/>
        <v>520.74128347183751</v>
      </c>
      <c r="P102" s="5"/>
      <c r="Q102" s="5">
        <f t="shared" si="14"/>
        <v>1</v>
      </c>
      <c r="R102" s="7">
        <f t="shared" si="15"/>
        <v>5415</v>
      </c>
      <c r="S102" s="5">
        <f t="shared" si="16"/>
        <v>1</v>
      </c>
      <c r="T102" s="7">
        <f t="shared" si="17"/>
        <v>5415</v>
      </c>
    </row>
    <row r="103" spans="1:20">
      <c r="A103" s="23" t="s">
        <v>114</v>
      </c>
      <c r="B103" s="35" t="s">
        <v>115</v>
      </c>
      <c r="C103" s="36">
        <v>2326</v>
      </c>
      <c r="D103" s="6"/>
      <c r="E103" s="113">
        <v>145224069</v>
      </c>
      <c r="F103" s="116">
        <f t="shared" si="25"/>
        <v>62435.111349957006</v>
      </c>
      <c r="G103" s="117">
        <v>93281353</v>
      </c>
      <c r="H103" s="117">
        <f t="shared" si="26"/>
        <v>40103.763112639725</v>
      </c>
      <c r="I103" s="7"/>
      <c r="J103" s="10">
        <v>7.75</v>
      </c>
      <c r="K103" s="117">
        <v>722930</v>
      </c>
      <c r="L103" s="120">
        <f t="shared" si="28"/>
        <v>310.80395528804814</v>
      </c>
      <c r="M103" s="122">
        <f t="shared" si="19"/>
        <v>932813.53</v>
      </c>
      <c r="N103" s="116">
        <f t="shared" si="20"/>
        <v>209883.53000000003</v>
      </c>
      <c r="O103" s="123">
        <f t="shared" si="21"/>
        <v>90.233675838349114</v>
      </c>
      <c r="P103" s="5"/>
      <c r="Q103" s="5">
        <f t="shared" si="14"/>
        <v>1</v>
      </c>
      <c r="R103" s="7">
        <f t="shared" si="15"/>
        <v>2326</v>
      </c>
      <c r="S103" s="5">
        <f t="shared" si="16"/>
        <v>1</v>
      </c>
      <c r="T103" s="7">
        <f t="shared" si="17"/>
        <v>2326</v>
      </c>
    </row>
    <row r="104" spans="1:20">
      <c r="A104" s="23" t="s">
        <v>116</v>
      </c>
      <c r="B104" s="35" t="s">
        <v>115</v>
      </c>
      <c r="C104" s="36">
        <v>1281</v>
      </c>
      <c r="D104" s="6"/>
      <c r="E104" s="113">
        <v>62885597</v>
      </c>
      <c r="F104" s="116">
        <f t="shared" si="25"/>
        <v>49091.020296643248</v>
      </c>
      <c r="G104" s="117">
        <v>39769176</v>
      </c>
      <c r="H104" s="117">
        <f t="shared" si="26"/>
        <v>31045.414519906324</v>
      </c>
      <c r="I104" s="7"/>
      <c r="J104" s="11">
        <v>8.2531999999999996</v>
      </c>
      <c r="K104" s="117">
        <v>328222</v>
      </c>
      <c r="L104" s="120">
        <f t="shared" si="28"/>
        <v>256.22326307572212</v>
      </c>
      <c r="M104" s="122">
        <f t="shared" si="19"/>
        <v>397691.76</v>
      </c>
      <c r="N104" s="116">
        <f t="shared" si="20"/>
        <v>69469.760000000009</v>
      </c>
      <c r="O104" s="123">
        <f t="shared" si="21"/>
        <v>54.230882123341146</v>
      </c>
      <c r="P104" s="5"/>
      <c r="Q104" s="5">
        <f t="shared" si="14"/>
        <v>1</v>
      </c>
      <c r="R104" s="7">
        <f t="shared" si="15"/>
        <v>1281</v>
      </c>
      <c r="S104" s="5">
        <f t="shared" si="16"/>
        <v>1</v>
      </c>
      <c r="T104" s="7">
        <f t="shared" si="17"/>
        <v>1281</v>
      </c>
    </row>
    <row r="105" spans="1:20">
      <c r="A105" s="23" t="s">
        <v>117</v>
      </c>
      <c r="B105" s="35" t="s">
        <v>118</v>
      </c>
      <c r="C105" s="36">
        <v>3199</v>
      </c>
      <c r="D105" s="6"/>
      <c r="E105" s="113">
        <v>196880485</v>
      </c>
      <c r="F105" s="116">
        <f t="shared" si="25"/>
        <v>61544.384182557049</v>
      </c>
      <c r="G105" s="117">
        <v>30589740</v>
      </c>
      <c r="H105" s="117">
        <f t="shared" si="26"/>
        <v>9562.2819631134735</v>
      </c>
      <c r="I105" s="7"/>
      <c r="J105" s="10">
        <v>0.89</v>
      </c>
      <c r="K105" s="117">
        <v>27224</v>
      </c>
      <c r="L105" s="120">
        <f t="shared" si="28"/>
        <v>8.510159424820257</v>
      </c>
      <c r="M105" s="122">
        <f t="shared" si="19"/>
        <v>305897.40000000002</v>
      </c>
      <c r="N105" s="116">
        <f t="shared" si="20"/>
        <v>278673.40000000002</v>
      </c>
      <c r="O105" s="123">
        <f t="shared" si="21"/>
        <v>87.112660206314487</v>
      </c>
      <c r="P105" s="5"/>
      <c r="Q105" s="5">
        <f t="shared" si="14"/>
        <v>1</v>
      </c>
      <c r="R105" s="7">
        <f t="shared" si="15"/>
        <v>3199</v>
      </c>
      <c r="S105" s="5">
        <f t="shared" si="16"/>
        <v>1</v>
      </c>
      <c r="T105" s="7">
        <f t="shared" si="17"/>
        <v>3199</v>
      </c>
    </row>
    <row r="106" spans="1:20">
      <c r="A106" s="23" t="s">
        <v>119</v>
      </c>
      <c r="B106" s="35" t="s">
        <v>118</v>
      </c>
      <c r="C106" s="36">
        <v>627</v>
      </c>
      <c r="D106" s="6"/>
      <c r="E106" s="113">
        <v>13443570</v>
      </c>
      <c r="F106" s="116">
        <f t="shared" si="25"/>
        <v>21441.100478468899</v>
      </c>
      <c r="G106" s="117">
        <v>6459744</v>
      </c>
      <c r="H106" s="117">
        <f t="shared" si="26"/>
        <v>10302.622009569379</v>
      </c>
      <c r="I106" s="7"/>
      <c r="J106" s="10">
        <v>2.1</v>
      </c>
      <c r="K106" s="117">
        <v>13565</v>
      </c>
      <c r="L106" s="120">
        <f t="shared" si="28"/>
        <v>21.634768740031898</v>
      </c>
      <c r="M106" s="122">
        <f t="shared" si="19"/>
        <v>64597.440000000002</v>
      </c>
      <c r="N106" s="116">
        <f t="shared" si="20"/>
        <v>51032.44</v>
      </c>
      <c r="O106" s="123">
        <f t="shared" si="21"/>
        <v>81.391451355661886</v>
      </c>
      <c r="P106" s="5"/>
      <c r="Q106" s="5">
        <f t="shared" si="14"/>
        <v>1</v>
      </c>
      <c r="R106" s="7">
        <f t="shared" si="15"/>
        <v>627</v>
      </c>
      <c r="S106" s="5">
        <f t="shared" si="16"/>
        <v>1</v>
      </c>
      <c r="T106" s="7">
        <f t="shared" si="17"/>
        <v>627</v>
      </c>
    </row>
    <row r="107" spans="1:20">
      <c r="A107" s="23" t="s">
        <v>120</v>
      </c>
      <c r="B107" s="35" t="s">
        <v>118</v>
      </c>
      <c r="C107" s="36">
        <v>1698</v>
      </c>
      <c r="D107" s="6"/>
      <c r="E107" s="113">
        <v>25030409</v>
      </c>
      <c r="F107" s="116">
        <f t="shared" si="25"/>
        <v>14741.112485276797</v>
      </c>
      <c r="G107" s="117">
        <v>11214170</v>
      </c>
      <c r="H107" s="117">
        <f t="shared" si="26"/>
        <v>6604.3404004711429</v>
      </c>
      <c r="I107" s="7"/>
      <c r="J107" s="10">
        <v>4.2359999999999998</v>
      </c>
      <c r="K107" s="117">
        <v>47503</v>
      </c>
      <c r="L107" s="120">
        <f t="shared" si="28"/>
        <v>27.97585394581861</v>
      </c>
      <c r="M107" s="122">
        <f t="shared" si="19"/>
        <v>112141.7</v>
      </c>
      <c r="N107" s="116">
        <f t="shared" si="20"/>
        <v>64638.7</v>
      </c>
      <c r="O107" s="123">
        <f t="shared" si="21"/>
        <v>38.067550058892813</v>
      </c>
      <c r="P107" s="5"/>
      <c r="Q107" s="5">
        <f t="shared" si="14"/>
        <v>1</v>
      </c>
      <c r="R107" s="7">
        <f t="shared" si="15"/>
        <v>1698</v>
      </c>
      <c r="S107" s="5">
        <f t="shared" si="16"/>
        <v>1</v>
      </c>
      <c r="T107" s="7">
        <f t="shared" si="17"/>
        <v>1698</v>
      </c>
    </row>
    <row r="108" spans="1:20">
      <c r="A108" s="23" t="s">
        <v>121</v>
      </c>
      <c r="B108" s="35" t="s">
        <v>118</v>
      </c>
      <c r="C108" s="36">
        <v>1717</v>
      </c>
      <c r="D108" s="6"/>
      <c r="E108" s="113">
        <v>61366291</v>
      </c>
      <c r="F108" s="116">
        <f t="shared" si="25"/>
        <v>35740.414094350614</v>
      </c>
      <c r="G108" s="117">
        <v>42235546</v>
      </c>
      <c r="H108" s="117">
        <f t="shared" si="26"/>
        <v>24598.454280722191</v>
      </c>
      <c r="I108" s="7"/>
      <c r="J108" s="10">
        <v>1.1020000000000001</v>
      </c>
      <c r="K108" s="117">
        <v>46543</v>
      </c>
      <c r="L108" s="120">
        <f t="shared" si="28"/>
        <v>27.107163657542223</v>
      </c>
      <c r="M108" s="122">
        <f t="shared" si="19"/>
        <v>422355.46</v>
      </c>
      <c r="N108" s="116">
        <f t="shared" si="20"/>
        <v>375812.46</v>
      </c>
      <c r="O108" s="123">
        <f t="shared" si="21"/>
        <v>218.87737914967968</v>
      </c>
      <c r="P108" s="5"/>
      <c r="Q108" s="5">
        <f t="shared" si="14"/>
        <v>1</v>
      </c>
      <c r="R108" s="7">
        <f t="shared" si="15"/>
        <v>1717</v>
      </c>
      <c r="S108" s="5">
        <f t="shared" si="16"/>
        <v>1</v>
      </c>
      <c r="T108" s="7">
        <f t="shared" si="17"/>
        <v>1717</v>
      </c>
    </row>
    <row r="109" spans="1:20">
      <c r="A109" s="23" t="s">
        <v>122</v>
      </c>
      <c r="B109" s="35" t="s">
        <v>118</v>
      </c>
      <c r="C109" s="36">
        <v>1491</v>
      </c>
      <c r="D109" s="6"/>
      <c r="E109" s="113">
        <v>28926266</v>
      </c>
      <c r="F109" s="116">
        <f t="shared" si="25"/>
        <v>19400.58081824279</v>
      </c>
      <c r="G109" s="117">
        <v>16764745</v>
      </c>
      <c r="H109" s="117">
        <f t="shared" si="26"/>
        <v>11243.960429242119</v>
      </c>
      <c r="I109" s="7"/>
      <c r="J109" s="10">
        <v>4.9078999999999997</v>
      </c>
      <c r="K109" s="117">
        <v>82279</v>
      </c>
      <c r="L109" s="120">
        <f t="shared" si="28"/>
        <v>55.183769282360835</v>
      </c>
      <c r="M109" s="122">
        <f t="shared" si="19"/>
        <v>167647.45000000001</v>
      </c>
      <c r="N109" s="116">
        <f t="shared" si="20"/>
        <v>85368.450000000012</v>
      </c>
      <c r="O109" s="123">
        <f t="shared" si="21"/>
        <v>57.255835010060373</v>
      </c>
      <c r="P109" s="5"/>
      <c r="Q109" s="5">
        <f t="shared" si="14"/>
        <v>1</v>
      </c>
      <c r="R109" s="7">
        <f t="shared" si="15"/>
        <v>1491</v>
      </c>
      <c r="S109" s="5">
        <f t="shared" si="16"/>
        <v>1</v>
      </c>
      <c r="T109" s="7">
        <f t="shared" si="17"/>
        <v>1491</v>
      </c>
    </row>
    <row r="110" spans="1:20">
      <c r="A110" s="23" t="s">
        <v>123</v>
      </c>
      <c r="B110" s="35" t="s">
        <v>118</v>
      </c>
      <c r="C110" s="36">
        <v>7231</v>
      </c>
      <c r="D110" s="6"/>
      <c r="E110" s="113">
        <v>276695027</v>
      </c>
      <c r="F110" s="116">
        <f t="shared" si="25"/>
        <v>38265.112294288483</v>
      </c>
      <c r="G110" s="117">
        <v>174414682</v>
      </c>
      <c r="H110" s="117">
        <f t="shared" si="26"/>
        <v>24120.409625224725</v>
      </c>
      <c r="I110" s="7"/>
      <c r="J110" s="10">
        <v>2.75</v>
      </c>
      <c r="K110" s="117">
        <v>479640</v>
      </c>
      <c r="L110" s="120">
        <f t="shared" si="28"/>
        <v>66.331074540174257</v>
      </c>
      <c r="M110" s="122">
        <f t="shared" si="19"/>
        <v>1744146.82</v>
      </c>
      <c r="N110" s="116">
        <f t="shared" si="20"/>
        <v>1264506.82</v>
      </c>
      <c r="O110" s="123">
        <f t="shared" si="21"/>
        <v>174.87302171207304</v>
      </c>
      <c r="P110" s="5"/>
      <c r="Q110" s="5">
        <f t="shared" si="14"/>
        <v>1</v>
      </c>
      <c r="R110" s="7">
        <f t="shared" si="15"/>
        <v>7231</v>
      </c>
      <c r="S110" s="5">
        <f t="shared" si="16"/>
        <v>1</v>
      </c>
      <c r="T110" s="7">
        <f t="shared" si="17"/>
        <v>7231</v>
      </c>
    </row>
    <row r="111" spans="1:20">
      <c r="A111" s="23" t="s">
        <v>124</v>
      </c>
      <c r="B111" s="35" t="s">
        <v>125</v>
      </c>
      <c r="C111" s="36">
        <v>378</v>
      </c>
      <c r="D111" s="6"/>
      <c r="E111" s="113">
        <v>20394933</v>
      </c>
      <c r="F111" s="116">
        <f t="shared" si="25"/>
        <v>53954.849206349209</v>
      </c>
      <c r="G111" s="117">
        <v>7050111</v>
      </c>
      <c r="H111" s="117">
        <f t="shared" si="26"/>
        <v>18651.0873015873</v>
      </c>
      <c r="I111" s="98" t="s">
        <v>528</v>
      </c>
      <c r="J111" s="10"/>
      <c r="K111" s="117"/>
      <c r="L111" s="120"/>
      <c r="M111" s="122">
        <f t="shared" si="19"/>
        <v>70501.11</v>
      </c>
      <c r="N111" s="116">
        <f t="shared" si="20"/>
        <v>70501.11</v>
      </c>
      <c r="O111" s="123">
        <f t="shared" si="21"/>
        <v>186.51087301587302</v>
      </c>
      <c r="P111" s="5"/>
      <c r="Q111" s="5">
        <f t="shared" si="14"/>
        <v>1</v>
      </c>
      <c r="R111" s="7">
        <f t="shared" si="15"/>
        <v>378</v>
      </c>
      <c r="S111" s="5">
        <f t="shared" si="16"/>
        <v>0</v>
      </c>
      <c r="T111" s="7">
        <f t="shared" si="17"/>
        <v>0</v>
      </c>
    </row>
    <row r="112" spans="1:20">
      <c r="A112" s="23" t="s">
        <v>126</v>
      </c>
      <c r="B112" s="35" t="s">
        <v>125</v>
      </c>
      <c r="C112" s="36">
        <v>1605</v>
      </c>
      <c r="D112" s="6"/>
      <c r="E112" s="113">
        <v>61104707</v>
      </c>
      <c r="F112" s="116">
        <f t="shared" si="25"/>
        <v>38071.468535825545</v>
      </c>
      <c r="G112" s="117">
        <v>33230849</v>
      </c>
      <c r="H112" s="117">
        <f t="shared" si="26"/>
        <v>20704.578816199377</v>
      </c>
      <c r="I112" s="98" t="s">
        <v>528</v>
      </c>
      <c r="J112" s="10"/>
      <c r="K112" s="117"/>
      <c r="L112" s="120"/>
      <c r="M112" s="122">
        <f t="shared" si="19"/>
        <v>332308.49</v>
      </c>
      <c r="N112" s="116">
        <f t="shared" si="20"/>
        <v>332308.49</v>
      </c>
      <c r="O112" s="123">
        <f t="shared" si="21"/>
        <v>207.04578816199376</v>
      </c>
      <c r="P112" s="5"/>
      <c r="Q112" s="5">
        <f t="shared" si="14"/>
        <v>1</v>
      </c>
      <c r="R112" s="7">
        <f t="shared" si="15"/>
        <v>1605</v>
      </c>
      <c r="S112" s="5">
        <f t="shared" si="16"/>
        <v>0</v>
      </c>
      <c r="T112" s="7">
        <f t="shared" si="17"/>
        <v>0</v>
      </c>
    </row>
    <row r="113" spans="1:20">
      <c r="A113" s="23" t="s">
        <v>127</v>
      </c>
      <c r="B113" s="35" t="s">
        <v>128</v>
      </c>
      <c r="C113" s="36">
        <v>874</v>
      </c>
      <c r="D113" s="6"/>
      <c r="E113" s="113">
        <v>28942325</v>
      </c>
      <c r="F113" s="116">
        <f t="shared" si="25"/>
        <v>33114.788329519448</v>
      </c>
      <c r="G113" s="117">
        <v>20075431</v>
      </c>
      <c r="H113" s="117">
        <f t="shared" si="26"/>
        <v>22969.600686498856</v>
      </c>
      <c r="I113" s="7"/>
      <c r="J113" s="11">
        <v>2</v>
      </c>
      <c r="K113" s="117">
        <v>40150</v>
      </c>
      <c r="L113" s="120">
        <f t="shared" ref="L113:L132" si="29">(K113/C113)</f>
        <v>45.93821510297483</v>
      </c>
      <c r="M113" s="122">
        <f t="shared" si="19"/>
        <v>200754.31</v>
      </c>
      <c r="N113" s="116">
        <f t="shared" si="20"/>
        <v>160604.31</v>
      </c>
      <c r="O113" s="123">
        <f t="shared" si="21"/>
        <v>183.75779176201374</v>
      </c>
      <c r="P113" s="5"/>
      <c r="Q113" s="5">
        <f t="shared" si="14"/>
        <v>1</v>
      </c>
      <c r="R113" s="7">
        <f t="shared" si="15"/>
        <v>874</v>
      </c>
      <c r="S113" s="5">
        <f t="shared" si="16"/>
        <v>1</v>
      </c>
      <c r="T113" s="7">
        <f t="shared" si="17"/>
        <v>874</v>
      </c>
    </row>
    <row r="114" spans="1:20">
      <c r="A114" s="23" t="s">
        <v>129</v>
      </c>
      <c r="B114" s="35" t="s">
        <v>130</v>
      </c>
      <c r="C114" s="36">
        <v>1663</v>
      </c>
      <c r="D114" s="6"/>
      <c r="E114" s="113">
        <v>52601029</v>
      </c>
      <c r="F114" s="116">
        <f t="shared" si="25"/>
        <v>31630.203848466626</v>
      </c>
      <c r="G114" s="117">
        <v>27706961</v>
      </c>
      <c r="H114" s="117">
        <f t="shared" si="26"/>
        <v>16660.830426939265</v>
      </c>
      <c r="I114" s="7"/>
      <c r="J114" s="11">
        <v>4.0377999999999998</v>
      </c>
      <c r="K114" s="117">
        <v>111875</v>
      </c>
      <c r="L114" s="120">
        <f t="shared" si="29"/>
        <v>67.273000601322906</v>
      </c>
      <c r="M114" s="122">
        <f t="shared" si="19"/>
        <v>277069.61</v>
      </c>
      <c r="N114" s="116">
        <f t="shared" si="20"/>
        <v>165194.60999999999</v>
      </c>
      <c r="O114" s="123">
        <f t="shared" si="21"/>
        <v>99.335303668069741</v>
      </c>
      <c r="P114" s="5"/>
      <c r="Q114" s="5">
        <f t="shared" si="14"/>
        <v>1</v>
      </c>
      <c r="R114" s="7">
        <f t="shared" si="15"/>
        <v>1663</v>
      </c>
      <c r="S114" s="5">
        <f t="shared" si="16"/>
        <v>1</v>
      </c>
      <c r="T114" s="7">
        <f t="shared" si="17"/>
        <v>1663</v>
      </c>
    </row>
    <row r="115" spans="1:20">
      <c r="A115" s="23" t="s">
        <v>545</v>
      </c>
      <c r="B115" s="35" t="s">
        <v>131</v>
      </c>
      <c r="C115" s="36">
        <v>3678</v>
      </c>
      <c r="D115" s="6"/>
      <c r="E115" s="113">
        <v>245608218</v>
      </c>
      <c r="F115" s="116">
        <f t="shared" si="25"/>
        <v>66777.65579119086</v>
      </c>
      <c r="G115" s="117">
        <v>157974285</v>
      </c>
      <c r="H115" s="117">
        <f t="shared" si="26"/>
        <v>42951.137846655794</v>
      </c>
      <c r="I115" s="7"/>
      <c r="J115" s="10">
        <v>6.67</v>
      </c>
      <c r="K115" s="117">
        <v>1053688</v>
      </c>
      <c r="L115" s="120">
        <f t="shared" si="29"/>
        <v>286.48395867319198</v>
      </c>
      <c r="M115" s="122">
        <f t="shared" si="19"/>
        <v>1579742.85</v>
      </c>
      <c r="N115" s="116">
        <f t="shared" si="20"/>
        <v>526054.85000000009</v>
      </c>
      <c r="O115" s="123">
        <f t="shared" si="21"/>
        <v>143.02741979336599</v>
      </c>
      <c r="P115" s="5"/>
      <c r="Q115" s="5">
        <f t="shared" si="14"/>
        <v>1</v>
      </c>
      <c r="R115" s="7">
        <f t="shared" si="15"/>
        <v>3678</v>
      </c>
      <c r="S115" s="5">
        <f t="shared" si="16"/>
        <v>1</v>
      </c>
      <c r="T115" s="7">
        <f t="shared" si="17"/>
        <v>3678</v>
      </c>
    </row>
    <row r="116" spans="1:20">
      <c r="A116" s="23" t="s">
        <v>132</v>
      </c>
      <c r="B116" s="35" t="s">
        <v>131</v>
      </c>
      <c r="C116" s="36">
        <v>1695</v>
      </c>
      <c r="D116" s="6"/>
      <c r="E116" s="113">
        <v>65658968</v>
      </c>
      <c r="F116" s="116">
        <f t="shared" si="25"/>
        <v>38736.854277286133</v>
      </c>
      <c r="G116" s="117">
        <v>35505995</v>
      </c>
      <c r="H116" s="117">
        <f t="shared" si="26"/>
        <v>20947.489675516223</v>
      </c>
      <c r="I116" s="7"/>
      <c r="J116" s="10">
        <v>6</v>
      </c>
      <c r="K116" s="117">
        <v>213035</v>
      </c>
      <c r="L116" s="120">
        <f t="shared" si="29"/>
        <v>125.68436578171091</v>
      </c>
      <c r="M116" s="122">
        <f t="shared" si="19"/>
        <v>355059.95</v>
      </c>
      <c r="N116" s="116">
        <f t="shared" si="20"/>
        <v>142024.95000000001</v>
      </c>
      <c r="O116" s="123">
        <f t="shared" si="21"/>
        <v>83.790530973451339</v>
      </c>
      <c r="P116" s="5"/>
      <c r="Q116" s="5">
        <f t="shared" si="14"/>
        <v>1</v>
      </c>
      <c r="R116" s="7">
        <f t="shared" si="15"/>
        <v>1695</v>
      </c>
      <c r="S116" s="5">
        <f t="shared" si="16"/>
        <v>1</v>
      </c>
      <c r="T116" s="7">
        <f t="shared" si="17"/>
        <v>1695</v>
      </c>
    </row>
    <row r="117" spans="1:20">
      <c r="A117" s="23" t="s">
        <v>133</v>
      </c>
      <c r="B117" s="35" t="s">
        <v>134</v>
      </c>
      <c r="C117" s="36">
        <v>1785</v>
      </c>
      <c r="D117" s="6"/>
      <c r="E117" s="113">
        <v>77412328</v>
      </c>
      <c r="F117" s="116">
        <f t="shared" si="25"/>
        <v>43368.250980392157</v>
      </c>
      <c r="G117" s="117">
        <v>31011628</v>
      </c>
      <c r="H117" s="117">
        <f t="shared" si="26"/>
        <v>17373.46106442577</v>
      </c>
      <c r="I117" s="7"/>
      <c r="J117" s="10">
        <v>4.7469999999999999</v>
      </c>
      <c r="K117" s="117">
        <v>147212</v>
      </c>
      <c r="L117" s="120">
        <f t="shared" si="29"/>
        <v>82.471708683473395</v>
      </c>
      <c r="M117" s="122">
        <f t="shared" si="19"/>
        <v>310116.28000000003</v>
      </c>
      <c r="N117" s="116">
        <f t="shared" si="20"/>
        <v>162904.28000000003</v>
      </c>
      <c r="O117" s="123">
        <f t="shared" si="21"/>
        <v>91.262901960784333</v>
      </c>
      <c r="P117" s="5"/>
      <c r="Q117" s="5">
        <f t="shared" si="14"/>
        <v>1</v>
      </c>
      <c r="R117" s="7">
        <f t="shared" si="15"/>
        <v>1785</v>
      </c>
      <c r="S117" s="5">
        <f t="shared" si="16"/>
        <v>1</v>
      </c>
      <c r="T117" s="7">
        <f t="shared" si="17"/>
        <v>1785</v>
      </c>
    </row>
    <row r="118" spans="1:20">
      <c r="A118" s="23" t="s">
        <v>135</v>
      </c>
      <c r="B118" s="35" t="s">
        <v>134</v>
      </c>
      <c r="C118" s="36">
        <v>827</v>
      </c>
      <c r="D118" s="6"/>
      <c r="E118" s="113">
        <v>15127715</v>
      </c>
      <c r="F118" s="116">
        <f t="shared" si="25"/>
        <v>18292.279322853687</v>
      </c>
      <c r="G118" s="117">
        <v>9019932</v>
      </c>
      <c r="H118" s="117">
        <f t="shared" si="26"/>
        <v>10906.810157194679</v>
      </c>
      <c r="I118" s="7"/>
      <c r="J118" s="10">
        <v>1.4550000000000001</v>
      </c>
      <c r="K118" s="117">
        <v>13124</v>
      </c>
      <c r="L118" s="120">
        <f t="shared" si="29"/>
        <v>15.869407496977026</v>
      </c>
      <c r="M118" s="122">
        <f t="shared" si="19"/>
        <v>90199.32</v>
      </c>
      <c r="N118" s="116">
        <f t="shared" si="20"/>
        <v>77075.320000000007</v>
      </c>
      <c r="O118" s="123">
        <f t="shared" si="21"/>
        <v>93.198694074969779</v>
      </c>
      <c r="P118" s="5"/>
      <c r="Q118" s="5">
        <f t="shared" si="14"/>
        <v>1</v>
      </c>
      <c r="R118" s="7">
        <f t="shared" si="15"/>
        <v>827</v>
      </c>
      <c r="S118" s="5">
        <f t="shared" si="16"/>
        <v>1</v>
      </c>
      <c r="T118" s="7">
        <f t="shared" si="17"/>
        <v>827</v>
      </c>
    </row>
    <row r="119" spans="1:20">
      <c r="A119" s="23" t="s">
        <v>136</v>
      </c>
      <c r="B119" s="35" t="s">
        <v>134</v>
      </c>
      <c r="C119" s="36">
        <v>798</v>
      </c>
      <c r="D119" s="6"/>
      <c r="E119" s="113">
        <v>20470614</v>
      </c>
      <c r="F119" s="116">
        <f t="shared" si="25"/>
        <v>25652.398496240603</v>
      </c>
      <c r="G119" s="117">
        <v>10303546</v>
      </c>
      <c r="H119" s="117">
        <f t="shared" si="26"/>
        <v>12911.711779448622</v>
      </c>
      <c r="I119" s="7"/>
      <c r="J119" s="10">
        <v>3.8</v>
      </c>
      <c r="K119" s="117">
        <v>39153</v>
      </c>
      <c r="L119" s="120">
        <f t="shared" si="29"/>
        <v>49.063909774436091</v>
      </c>
      <c r="M119" s="122">
        <f t="shared" si="19"/>
        <v>103035.46</v>
      </c>
      <c r="N119" s="116">
        <f t="shared" si="20"/>
        <v>63882.460000000006</v>
      </c>
      <c r="O119" s="123">
        <f t="shared" si="21"/>
        <v>80.053208020050135</v>
      </c>
      <c r="P119" s="5"/>
      <c r="Q119" s="5">
        <f t="shared" si="14"/>
        <v>1</v>
      </c>
      <c r="R119" s="7">
        <f t="shared" si="15"/>
        <v>798</v>
      </c>
      <c r="S119" s="5">
        <f t="shared" si="16"/>
        <v>1</v>
      </c>
      <c r="T119" s="7">
        <f t="shared" si="17"/>
        <v>798</v>
      </c>
    </row>
    <row r="120" spans="1:20">
      <c r="A120" s="23" t="s">
        <v>137</v>
      </c>
      <c r="B120" s="35" t="s">
        <v>138</v>
      </c>
      <c r="C120" s="36">
        <v>2987</v>
      </c>
      <c r="D120" s="6"/>
      <c r="E120" s="113">
        <v>45286997</v>
      </c>
      <c r="F120" s="116">
        <f t="shared" si="25"/>
        <v>15161.364914630063</v>
      </c>
      <c r="G120" s="117">
        <v>21475879</v>
      </c>
      <c r="H120" s="117">
        <f t="shared" si="26"/>
        <v>7189.7820555741546</v>
      </c>
      <c r="I120" s="7"/>
      <c r="J120" s="10">
        <v>6</v>
      </c>
      <c r="K120" s="117">
        <v>128855</v>
      </c>
      <c r="L120" s="120">
        <f t="shared" si="29"/>
        <v>43.138600602611312</v>
      </c>
      <c r="M120" s="122">
        <f t="shared" si="19"/>
        <v>214758.79</v>
      </c>
      <c r="N120" s="116">
        <f t="shared" si="20"/>
        <v>85903.790000000008</v>
      </c>
      <c r="O120" s="123">
        <f t="shared" si="21"/>
        <v>28.759219953130234</v>
      </c>
      <c r="P120" s="5"/>
      <c r="Q120" s="5">
        <f t="shared" si="14"/>
        <v>1</v>
      </c>
      <c r="R120" s="7">
        <f t="shared" si="15"/>
        <v>2987</v>
      </c>
      <c r="S120" s="5">
        <f t="shared" si="16"/>
        <v>1</v>
      </c>
      <c r="T120" s="7">
        <f t="shared" si="17"/>
        <v>2987</v>
      </c>
    </row>
    <row r="121" spans="1:20">
      <c r="A121" s="23" t="s">
        <v>139</v>
      </c>
      <c r="B121" s="35" t="s">
        <v>138</v>
      </c>
      <c r="C121" s="36">
        <v>4377</v>
      </c>
      <c r="D121" s="6"/>
      <c r="E121" s="113">
        <v>148273860</v>
      </c>
      <c r="F121" s="116">
        <f t="shared" si="25"/>
        <v>33875.681973954765</v>
      </c>
      <c r="G121" s="117">
        <v>71969060</v>
      </c>
      <c r="H121" s="117">
        <f t="shared" si="26"/>
        <v>16442.554260909299</v>
      </c>
      <c r="I121" s="7"/>
      <c r="J121" s="10">
        <v>5.0199999999999996</v>
      </c>
      <c r="K121" s="117">
        <v>361284</v>
      </c>
      <c r="L121" s="120">
        <f t="shared" si="29"/>
        <v>82.54146675805346</v>
      </c>
      <c r="M121" s="122">
        <f t="shared" si="19"/>
        <v>719690.6</v>
      </c>
      <c r="N121" s="116">
        <f t="shared" si="20"/>
        <v>358406.6</v>
      </c>
      <c r="O121" s="123">
        <f t="shared" si="21"/>
        <v>81.884075851039526</v>
      </c>
      <c r="P121" s="5"/>
      <c r="Q121" s="5">
        <f t="shared" si="14"/>
        <v>1</v>
      </c>
      <c r="R121" s="7">
        <f t="shared" si="15"/>
        <v>4377</v>
      </c>
      <c r="S121" s="5">
        <f t="shared" si="16"/>
        <v>1</v>
      </c>
      <c r="T121" s="7">
        <f t="shared" si="17"/>
        <v>4377</v>
      </c>
    </row>
    <row r="122" spans="1:20">
      <c r="A122" s="23" t="s">
        <v>140</v>
      </c>
      <c r="B122" s="35" t="s">
        <v>138</v>
      </c>
      <c r="C122" s="36">
        <v>1629</v>
      </c>
      <c r="D122" s="6"/>
      <c r="E122" s="113">
        <v>35898930</v>
      </c>
      <c r="F122" s="116">
        <f t="shared" si="25"/>
        <v>22037.403314917126</v>
      </c>
      <c r="G122" s="117">
        <v>16535475</v>
      </c>
      <c r="H122" s="117">
        <f t="shared" si="26"/>
        <v>10150.690607734807</v>
      </c>
      <c r="I122" s="7"/>
      <c r="J122" s="10">
        <v>9</v>
      </c>
      <c r="K122" s="117">
        <v>148819</v>
      </c>
      <c r="L122" s="120">
        <f t="shared" si="29"/>
        <v>91.356046654389189</v>
      </c>
      <c r="M122" s="122">
        <f t="shared" si="19"/>
        <v>165354.75</v>
      </c>
      <c r="N122" s="116">
        <f t="shared" si="20"/>
        <v>16535.75</v>
      </c>
      <c r="O122" s="123">
        <f t="shared" si="21"/>
        <v>10.15085942295887</v>
      </c>
      <c r="P122" s="5"/>
      <c r="Q122" s="5">
        <f t="shared" si="14"/>
        <v>1</v>
      </c>
      <c r="R122" s="7">
        <f t="shared" si="15"/>
        <v>1629</v>
      </c>
      <c r="S122" s="5">
        <f t="shared" si="16"/>
        <v>1</v>
      </c>
      <c r="T122" s="7">
        <f t="shared" si="17"/>
        <v>1629</v>
      </c>
    </row>
    <row r="123" spans="1:20">
      <c r="A123" s="23" t="s">
        <v>141</v>
      </c>
      <c r="B123" s="35" t="s">
        <v>142</v>
      </c>
      <c r="C123" s="36">
        <v>6505</v>
      </c>
      <c r="D123" s="6"/>
      <c r="E123" s="113">
        <v>307105531</v>
      </c>
      <c r="F123" s="116">
        <f t="shared" si="25"/>
        <v>47210.68885472713</v>
      </c>
      <c r="G123" s="117">
        <v>167590601</v>
      </c>
      <c r="H123" s="117">
        <f t="shared" si="26"/>
        <v>25763.35142198309</v>
      </c>
      <c r="I123" s="7"/>
      <c r="J123" s="10">
        <v>5.6341000000000001</v>
      </c>
      <c r="K123" s="117">
        <v>944222</v>
      </c>
      <c r="L123" s="120">
        <f t="shared" si="29"/>
        <v>145.1532667179093</v>
      </c>
      <c r="M123" s="122">
        <f t="shared" si="19"/>
        <v>1675906.01</v>
      </c>
      <c r="N123" s="116">
        <f t="shared" si="20"/>
        <v>731684.01</v>
      </c>
      <c r="O123" s="123">
        <f t="shared" si="21"/>
        <v>112.4802475019216</v>
      </c>
      <c r="P123" s="5"/>
      <c r="Q123" s="5">
        <f t="shared" si="14"/>
        <v>1</v>
      </c>
      <c r="R123" s="7">
        <f t="shared" si="15"/>
        <v>6505</v>
      </c>
      <c r="S123" s="5">
        <f t="shared" si="16"/>
        <v>1</v>
      </c>
      <c r="T123" s="7">
        <f t="shared" si="17"/>
        <v>6505</v>
      </c>
    </row>
    <row r="124" spans="1:20">
      <c r="A124" s="23" t="s">
        <v>558</v>
      </c>
      <c r="B124" s="35" t="s">
        <v>142</v>
      </c>
      <c r="C124" s="36">
        <v>4281</v>
      </c>
      <c r="D124" s="6"/>
      <c r="E124" s="113">
        <v>209774790</v>
      </c>
      <c r="F124" s="116">
        <f t="shared" si="25"/>
        <v>49001.352487736513</v>
      </c>
      <c r="G124" s="117">
        <v>121424740</v>
      </c>
      <c r="H124" s="117">
        <f t="shared" si="26"/>
        <v>28363.639336603599</v>
      </c>
      <c r="I124" s="7"/>
      <c r="J124" s="10">
        <v>3</v>
      </c>
      <c r="K124" s="117">
        <v>364274</v>
      </c>
      <c r="L124" s="120">
        <f t="shared" si="29"/>
        <v>85.090866619948613</v>
      </c>
      <c r="M124" s="122">
        <f t="shared" si="19"/>
        <v>1214247.4000000001</v>
      </c>
      <c r="N124" s="116">
        <f t="shared" si="20"/>
        <v>849973.40000000014</v>
      </c>
      <c r="O124" s="123">
        <f t="shared" si="21"/>
        <v>198.5455267460874</v>
      </c>
      <c r="P124" s="5"/>
      <c r="Q124" s="5">
        <f t="shared" si="14"/>
        <v>1</v>
      </c>
      <c r="R124" s="7">
        <f t="shared" si="15"/>
        <v>4281</v>
      </c>
      <c r="S124" s="5">
        <f t="shared" si="16"/>
        <v>1</v>
      </c>
      <c r="T124" s="7">
        <f t="shared" si="17"/>
        <v>4281</v>
      </c>
    </row>
    <row r="125" spans="1:20">
      <c r="A125" s="23" t="s">
        <v>143</v>
      </c>
      <c r="B125" s="35" t="s">
        <v>144</v>
      </c>
      <c r="C125" s="36">
        <v>7260</v>
      </c>
      <c r="D125" s="6"/>
      <c r="E125" s="113">
        <v>477366802</v>
      </c>
      <c r="F125" s="116">
        <f t="shared" si="25"/>
        <v>65753.003030303036</v>
      </c>
      <c r="G125" s="117">
        <v>253713238</v>
      </c>
      <c r="H125" s="117">
        <f t="shared" si="26"/>
        <v>34946.726997245176</v>
      </c>
      <c r="I125" s="7"/>
      <c r="J125" s="10">
        <v>8</v>
      </c>
      <c r="K125" s="117">
        <v>2029705</v>
      </c>
      <c r="L125" s="120">
        <f t="shared" si="29"/>
        <v>279.5736914600551</v>
      </c>
      <c r="M125" s="122">
        <f t="shared" si="19"/>
        <v>2537132.38</v>
      </c>
      <c r="N125" s="116">
        <f t="shared" si="20"/>
        <v>507427.37999999989</v>
      </c>
      <c r="O125" s="123">
        <f t="shared" si="21"/>
        <v>69.893578512396672</v>
      </c>
      <c r="P125" s="5"/>
      <c r="Q125" s="5">
        <f t="shared" si="14"/>
        <v>1</v>
      </c>
      <c r="R125" s="7">
        <f t="shared" si="15"/>
        <v>7260</v>
      </c>
      <c r="S125" s="5">
        <f t="shared" si="16"/>
        <v>1</v>
      </c>
      <c r="T125" s="7">
        <f t="shared" si="17"/>
        <v>7260</v>
      </c>
    </row>
    <row r="126" spans="1:20">
      <c r="A126" s="23" t="s">
        <v>145</v>
      </c>
      <c r="B126" s="35" t="s">
        <v>144</v>
      </c>
      <c r="C126" s="36">
        <v>12</v>
      </c>
      <c r="D126" s="6"/>
      <c r="E126" s="113">
        <v>20207011</v>
      </c>
      <c r="F126" s="116">
        <f t="shared" si="25"/>
        <v>1683917.5833333333</v>
      </c>
      <c r="G126" s="117">
        <v>15181451</v>
      </c>
      <c r="H126" s="117">
        <f t="shared" si="26"/>
        <v>1265120.9166666667</v>
      </c>
      <c r="I126" s="7"/>
      <c r="J126" s="10">
        <v>1.1499999999999999</v>
      </c>
      <c r="K126" s="117">
        <v>17458</v>
      </c>
      <c r="L126" s="120">
        <f t="shared" si="29"/>
        <v>1454.8333333333333</v>
      </c>
      <c r="M126" s="122">
        <f t="shared" si="19"/>
        <v>151814.51</v>
      </c>
      <c r="N126" s="116">
        <f t="shared" si="20"/>
        <v>134356.51</v>
      </c>
      <c r="O126" s="123">
        <f t="shared" si="21"/>
        <v>11196.375833333334</v>
      </c>
      <c r="P126" s="5"/>
      <c r="Q126" s="5">
        <f t="shared" si="14"/>
        <v>1</v>
      </c>
      <c r="R126" s="7">
        <f t="shared" si="15"/>
        <v>12</v>
      </c>
      <c r="S126" s="5">
        <f t="shared" si="16"/>
        <v>1</v>
      </c>
      <c r="T126" s="7">
        <f t="shared" si="17"/>
        <v>12</v>
      </c>
    </row>
    <row r="127" spans="1:20">
      <c r="A127" s="23" t="s">
        <v>146</v>
      </c>
      <c r="B127" s="35" t="s">
        <v>147</v>
      </c>
      <c r="C127" s="36">
        <v>8566</v>
      </c>
      <c r="D127" s="6"/>
      <c r="E127" s="113">
        <v>251552802</v>
      </c>
      <c r="F127" s="116">
        <f t="shared" si="25"/>
        <v>29366.425636236283</v>
      </c>
      <c r="G127" s="117">
        <v>156394886</v>
      </c>
      <c r="H127" s="117">
        <f t="shared" si="26"/>
        <v>18257.633201027318</v>
      </c>
      <c r="I127" s="7"/>
      <c r="J127" s="10">
        <v>7.75</v>
      </c>
      <c r="K127" s="117">
        <v>1212060</v>
      </c>
      <c r="L127" s="120">
        <f t="shared" si="29"/>
        <v>141.49661452253093</v>
      </c>
      <c r="M127" s="122">
        <f t="shared" si="19"/>
        <v>1563948.86</v>
      </c>
      <c r="N127" s="116">
        <f t="shared" si="20"/>
        <v>351888.8600000001</v>
      </c>
      <c r="O127" s="123">
        <f t="shared" si="21"/>
        <v>41.079717487742251</v>
      </c>
      <c r="P127" s="5"/>
      <c r="Q127" s="5">
        <f t="shared" si="14"/>
        <v>1</v>
      </c>
      <c r="R127" s="7">
        <f t="shared" si="15"/>
        <v>8566</v>
      </c>
      <c r="S127" s="5">
        <f t="shared" si="16"/>
        <v>1</v>
      </c>
      <c r="T127" s="7">
        <f t="shared" si="17"/>
        <v>8566</v>
      </c>
    </row>
    <row r="128" spans="1:20">
      <c r="A128" s="23" t="s">
        <v>148</v>
      </c>
      <c r="B128" s="35" t="s">
        <v>147</v>
      </c>
      <c r="C128" s="36">
        <v>1675</v>
      </c>
      <c r="D128" s="6"/>
      <c r="E128" s="113">
        <v>120078411</v>
      </c>
      <c r="F128" s="116">
        <f t="shared" si="25"/>
        <v>71688.603582089549</v>
      </c>
      <c r="G128" s="117">
        <v>82407148</v>
      </c>
      <c r="H128" s="117">
        <f t="shared" si="26"/>
        <v>49198.297313432835</v>
      </c>
      <c r="I128" s="7"/>
      <c r="J128" s="10">
        <v>5.3</v>
      </c>
      <c r="K128" s="117">
        <v>436757</v>
      </c>
      <c r="L128" s="120">
        <f t="shared" si="29"/>
        <v>260.75044776119404</v>
      </c>
      <c r="M128" s="122">
        <f t="shared" si="19"/>
        <v>824071.48</v>
      </c>
      <c r="N128" s="116">
        <f t="shared" si="20"/>
        <v>387314.48</v>
      </c>
      <c r="O128" s="123">
        <f t="shared" si="21"/>
        <v>231.23252537313431</v>
      </c>
      <c r="P128" s="5"/>
      <c r="Q128" s="5">
        <f t="shared" si="14"/>
        <v>1</v>
      </c>
      <c r="R128" s="7">
        <f t="shared" si="15"/>
        <v>1675</v>
      </c>
      <c r="S128" s="5">
        <f t="shared" si="16"/>
        <v>1</v>
      </c>
      <c r="T128" s="7">
        <f t="shared" si="17"/>
        <v>1675</v>
      </c>
    </row>
    <row r="129" spans="1:20">
      <c r="A129" s="23" t="s">
        <v>149</v>
      </c>
      <c r="B129" s="35" t="s">
        <v>147</v>
      </c>
      <c r="C129" s="36">
        <v>9786</v>
      </c>
      <c r="D129" s="6"/>
      <c r="E129" s="113">
        <v>478620053</v>
      </c>
      <c r="F129" s="116">
        <f t="shared" si="25"/>
        <v>48908.650418965866</v>
      </c>
      <c r="G129" s="117">
        <v>348509652</v>
      </c>
      <c r="H129" s="117">
        <f t="shared" si="26"/>
        <v>35613.085223789087</v>
      </c>
      <c r="I129" s="7"/>
      <c r="J129" s="10">
        <v>6.5</v>
      </c>
      <c r="K129" s="117">
        <v>2265312</v>
      </c>
      <c r="L129" s="120">
        <f t="shared" si="29"/>
        <v>231.48497854077254</v>
      </c>
      <c r="M129" s="122">
        <f t="shared" si="19"/>
        <v>3485096.52</v>
      </c>
      <c r="N129" s="116">
        <f t="shared" si="20"/>
        <v>1219784.52</v>
      </c>
      <c r="O129" s="123">
        <f t="shared" si="21"/>
        <v>124.64587369711833</v>
      </c>
      <c r="P129" s="5"/>
      <c r="Q129" s="5">
        <f t="shared" si="14"/>
        <v>1</v>
      </c>
      <c r="R129" s="7">
        <f t="shared" si="15"/>
        <v>9786</v>
      </c>
      <c r="S129" s="5">
        <f t="shared" si="16"/>
        <v>1</v>
      </c>
      <c r="T129" s="7">
        <f t="shared" si="17"/>
        <v>9786</v>
      </c>
    </row>
    <row r="130" spans="1:20">
      <c r="A130" s="23" t="s">
        <v>150</v>
      </c>
      <c r="B130" s="35" t="s">
        <v>151</v>
      </c>
      <c r="C130" s="36">
        <v>31714</v>
      </c>
      <c r="D130" s="6"/>
      <c r="E130" s="113">
        <v>1784565305</v>
      </c>
      <c r="F130" s="116">
        <f t="shared" si="25"/>
        <v>56270.584126884023</v>
      </c>
      <c r="G130" s="117">
        <v>1307218608</v>
      </c>
      <c r="H130" s="117">
        <f t="shared" si="26"/>
        <v>41218.976098883773</v>
      </c>
      <c r="I130" s="7"/>
      <c r="J130" s="10">
        <v>4.7</v>
      </c>
      <c r="K130" s="117">
        <v>6143927</v>
      </c>
      <c r="L130" s="120">
        <f t="shared" si="29"/>
        <v>193.72917323579492</v>
      </c>
      <c r="M130" s="122">
        <f t="shared" si="19"/>
        <v>13072186.08</v>
      </c>
      <c r="N130" s="116">
        <f t="shared" si="20"/>
        <v>6928259.0800000001</v>
      </c>
      <c r="O130" s="123">
        <f t="shared" si="21"/>
        <v>218.46058775304283</v>
      </c>
      <c r="P130" s="5"/>
      <c r="Q130" s="5">
        <f t="shared" si="14"/>
        <v>1</v>
      </c>
      <c r="R130" s="7">
        <f t="shared" si="15"/>
        <v>31714</v>
      </c>
      <c r="S130" s="5">
        <f t="shared" si="16"/>
        <v>1</v>
      </c>
      <c r="T130" s="7">
        <f t="shared" si="17"/>
        <v>31714</v>
      </c>
    </row>
    <row r="131" spans="1:20">
      <c r="A131" s="23" t="s">
        <v>152</v>
      </c>
      <c r="B131" s="35" t="s">
        <v>151</v>
      </c>
      <c r="C131" s="36">
        <v>311880</v>
      </c>
      <c r="D131" s="6"/>
      <c r="E131" s="113">
        <v>25863203128</v>
      </c>
      <c r="F131" s="116">
        <f t="shared" si="25"/>
        <v>82926.776734641535</v>
      </c>
      <c r="G131" s="117">
        <v>16774766730</v>
      </c>
      <c r="H131" s="117">
        <f t="shared" si="26"/>
        <v>53785.964890342439</v>
      </c>
      <c r="I131" s="7"/>
      <c r="J131" s="10">
        <v>6.5389999999999997</v>
      </c>
      <c r="K131" s="117">
        <v>109690199</v>
      </c>
      <c r="L131" s="120">
        <f t="shared" si="29"/>
        <v>351.70642234192638</v>
      </c>
      <c r="M131" s="122">
        <f t="shared" si="19"/>
        <v>167747667.30000001</v>
      </c>
      <c r="N131" s="116">
        <f t="shared" si="20"/>
        <v>58057468.300000012</v>
      </c>
      <c r="O131" s="123">
        <f t="shared" si="21"/>
        <v>186.15322656149806</v>
      </c>
      <c r="P131" s="5"/>
      <c r="Q131" s="5">
        <f t="shared" si="14"/>
        <v>1</v>
      </c>
      <c r="R131" s="7">
        <f t="shared" si="15"/>
        <v>311880</v>
      </c>
      <c r="S131" s="5">
        <f t="shared" si="16"/>
        <v>1</v>
      </c>
      <c r="T131" s="7">
        <f t="shared" si="17"/>
        <v>311880</v>
      </c>
    </row>
    <row r="132" spans="1:20">
      <c r="A132" s="23" t="s">
        <v>153</v>
      </c>
      <c r="B132" s="35" t="s">
        <v>151</v>
      </c>
      <c r="C132" s="36">
        <v>21632</v>
      </c>
      <c r="D132" s="6"/>
      <c r="E132" s="113">
        <v>1363943681</v>
      </c>
      <c r="F132" s="116">
        <f t="shared" si="25"/>
        <v>63052.130223742606</v>
      </c>
      <c r="G132" s="117">
        <v>1036861747</v>
      </c>
      <c r="H132" s="117">
        <f t="shared" si="26"/>
        <v>47931.848511464494</v>
      </c>
      <c r="I132" s="7"/>
      <c r="J132" s="10">
        <v>4.91</v>
      </c>
      <c r="K132" s="117">
        <v>5090991</v>
      </c>
      <c r="L132" s="120">
        <f t="shared" si="29"/>
        <v>235.34536797337279</v>
      </c>
      <c r="M132" s="122">
        <f t="shared" si="19"/>
        <v>10368617.470000001</v>
      </c>
      <c r="N132" s="116">
        <f t="shared" si="20"/>
        <v>5277626.4700000007</v>
      </c>
      <c r="O132" s="123">
        <f t="shared" si="21"/>
        <v>243.97311714127221</v>
      </c>
      <c r="P132" s="5"/>
      <c r="Q132" s="5">
        <f t="shared" si="14"/>
        <v>1</v>
      </c>
      <c r="R132" s="7">
        <f t="shared" si="15"/>
        <v>21632</v>
      </c>
      <c r="S132" s="5">
        <f t="shared" si="16"/>
        <v>1</v>
      </c>
      <c r="T132" s="7">
        <f t="shared" si="17"/>
        <v>21632</v>
      </c>
    </row>
    <row r="133" spans="1:20">
      <c r="A133" s="23" t="s">
        <v>154</v>
      </c>
      <c r="B133" s="35" t="s">
        <v>155</v>
      </c>
      <c r="C133" s="36">
        <v>2803</v>
      </c>
      <c r="D133" s="6"/>
      <c r="E133" s="113">
        <v>103162958</v>
      </c>
      <c r="F133" s="116">
        <f t="shared" si="25"/>
        <v>36804.480199785947</v>
      </c>
      <c r="G133" s="117">
        <v>59956936</v>
      </c>
      <c r="H133" s="117">
        <f t="shared" si="26"/>
        <v>21390.27327863004</v>
      </c>
      <c r="I133" s="98" t="s">
        <v>528</v>
      </c>
      <c r="J133" s="10"/>
      <c r="K133" s="117"/>
      <c r="L133" s="120"/>
      <c r="M133" s="122">
        <f t="shared" si="19"/>
        <v>599569.36</v>
      </c>
      <c r="N133" s="116">
        <f t="shared" si="20"/>
        <v>599569.36</v>
      </c>
      <c r="O133" s="123">
        <f t="shared" si="21"/>
        <v>213.90273278630039</v>
      </c>
      <c r="P133" s="5"/>
      <c r="Q133" s="5">
        <f t="shared" si="14"/>
        <v>1</v>
      </c>
      <c r="R133" s="7">
        <f t="shared" si="15"/>
        <v>2803</v>
      </c>
      <c r="S133" s="5">
        <f t="shared" si="16"/>
        <v>0</v>
      </c>
      <c r="T133" s="7">
        <f t="shared" si="17"/>
        <v>0</v>
      </c>
    </row>
    <row r="134" spans="1:20">
      <c r="A134" s="23" t="s">
        <v>156</v>
      </c>
      <c r="B134" s="35" t="s">
        <v>155</v>
      </c>
      <c r="C134" s="36">
        <v>361</v>
      </c>
      <c r="D134" s="6"/>
      <c r="E134" s="113">
        <v>7040196</v>
      </c>
      <c r="F134" s="116">
        <f t="shared" si="25"/>
        <v>19501.927977839336</v>
      </c>
      <c r="G134" s="117">
        <v>3306588</v>
      </c>
      <c r="H134" s="117">
        <f t="shared" si="26"/>
        <v>9159.5235457063718</v>
      </c>
      <c r="I134" s="7"/>
      <c r="J134" s="10">
        <v>0.76229999999999998</v>
      </c>
      <c r="K134" s="117">
        <v>2520</v>
      </c>
      <c r="L134" s="120">
        <f>(K134/C134)</f>
        <v>6.9806094182825484</v>
      </c>
      <c r="M134" s="122">
        <f t="shared" si="19"/>
        <v>33065.879999999997</v>
      </c>
      <c r="N134" s="116">
        <f t="shared" si="20"/>
        <v>30545.879999999997</v>
      </c>
      <c r="O134" s="123">
        <f t="shared" si="21"/>
        <v>84.614626038781154</v>
      </c>
      <c r="P134" s="5"/>
      <c r="Q134" s="5">
        <f t="shared" si="14"/>
        <v>1</v>
      </c>
      <c r="R134" s="7">
        <f t="shared" si="15"/>
        <v>361</v>
      </c>
      <c r="S134" s="5">
        <f t="shared" si="16"/>
        <v>1</v>
      </c>
      <c r="T134" s="7">
        <f t="shared" si="17"/>
        <v>361</v>
      </c>
    </row>
    <row r="135" spans="1:20">
      <c r="A135" s="23" t="s">
        <v>157</v>
      </c>
      <c r="B135" s="35" t="s">
        <v>155</v>
      </c>
      <c r="C135" s="36">
        <v>230</v>
      </c>
      <c r="D135" s="6"/>
      <c r="E135" s="113">
        <v>2969588</v>
      </c>
      <c r="F135" s="116">
        <f t="shared" si="25"/>
        <v>12911.252173913044</v>
      </c>
      <c r="G135" s="117">
        <v>1211806</v>
      </c>
      <c r="H135" s="117">
        <f t="shared" si="26"/>
        <v>5268.7217391304348</v>
      </c>
      <c r="I135" s="7"/>
      <c r="J135" s="12">
        <v>1.54</v>
      </c>
      <c r="K135" s="117">
        <v>1866</v>
      </c>
      <c r="L135" s="120">
        <f>(K135/C135)</f>
        <v>8.1130434782608702</v>
      </c>
      <c r="M135" s="122">
        <f t="shared" si="19"/>
        <v>12118.06</v>
      </c>
      <c r="N135" s="116">
        <f t="shared" si="20"/>
        <v>10252.06</v>
      </c>
      <c r="O135" s="123">
        <f t="shared" si="21"/>
        <v>44.574173913043474</v>
      </c>
      <c r="P135" s="5"/>
      <c r="Q135" s="5">
        <f t="shared" ref="Q135:Q198" si="30">IF(E135&gt;0,1,0)</f>
        <v>1</v>
      </c>
      <c r="R135" s="7">
        <f t="shared" ref="R135:R198" si="31">IF(E135&gt;0,C135,0)</f>
        <v>230</v>
      </c>
      <c r="S135" s="5">
        <f t="shared" ref="S135:S198" si="32">IF(J135&gt;0,1,0)</f>
        <v>1</v>
      </c>
      <c r="T135" s="7">
        <f t="shared" ref="T135:T198" si="33">IF(J135&gt;0,C135,0)</f>
        <v>230</v>
      </c>
    </row>
    <row r="136" spans="1:20">
      <c r="A136" s="23" t="s">
        <v>158</v>
      </c>
      <c r="B136" s="35" t="s">
        <v>155</v>
      </c>
      <c r="C136" s="36">
        <v>457</v>
      </c>
      <c r="D136" s="6"/>
      <c r="E136" s="113">
        <v>13446045</v>
      </c>
      <c r="F136" s="116">
        <f t="shared" si="25"/>
        <v>29422.417943107223</v>
      </c>
      <c r="G136" s="117">
        <v>7579518</v>
      </c>
      <c r="H136" s="117">
        <f t="shared" si="26"/>
        <v>16585.378555798688</v>
      </c>
      <c r="I136" s="98" t="s">
        <v>528</v>
      </c>
      <c r="J136" s="10"/>
      <c r="K136" s="117"/>
      <c r="L136" s="120"/>
      <c r="M136" s="122">
        <f t="shared" ref="M136:M199" si="34">(G136*0.01)</f>
        <v>75795.180000000008</v>
      </c>
      <c r="N136" s="116">
        <f t="shared" ref="N136:N199" si="35">(M136-K136)</f>
        <v>75795.180000000008</v>
      </c>
      <c r="O136" s="123">
        <f t="shared" ref="O136:O199" si="36">(N136/C136)</f>
        <v>165.8537855579869</v>
      </c>
      <c r="P136" s="5"/>
      <c r="Q136" s="5">
        <f t="shared" si="30"/>
        <v>1</v>
      </c>
      <c r="R136" s="7">
        <f t="shared" si="31"/>
        <v>457</v>
      </c>
      <c r="S136" s="5">
        <f t="shared" si="32"/>
        <v>0</v>
      </c>
      <c r="T136" s="7">
        <f t="shared" si="33"/>
        <v>0</v>
      </c>
    </row>
    <row r="137" spans="1:20">
      <c r="A137" s="23" t="s">
        <v>159</v>
      </c>
      <c r="B137" s="35" t="s">
        <v>155</v>
      </c>
      <c r="C137" s="36">
        <v>211</v>
      </c>
      <c r="D137" s="6"/>
      <c r="E137" s="113">
        <v>7859918</v>
      </c>
      <c r="F137" s="116">
        <f t="shared" si="25"/>
        <v>37250.796208530803</v>
      </c>
      <c r="G137" s="117">
        <v>2780924</v>
      </c>
      <c r="H137" s="117">
        <f t="shared" si="26"/>
        <v>13179.734597156397</v>
      </c>
      <c r="I137" s="98" t="s">
        <v>528</v>
      </c>
      <c r="J137" s="10"/>
      <c r="K137" s="117"/>
      <c r="L137" s="120"/>
      <c r="M137" s="122">
        <f t="shared" si="34"/>
        <v>27809.24</v>
      </c>
      <c r="N137" s="116">
        <f t="shared" si="35"/>
        <v>27809.24</v>
      </c>
      <c r="O137" s="123">
        <f t="shared" si="36"/>
        <v>131.797345971564</v>
      </c>
      <c r="P137" s="5"/>
      <c r="Q137" s="5">
        <f t="shared" si="30"/>
        <v>1</v>
      </c>
      <c r="R137" s="7">
        <f t="shared" si="31"/>
        <v>211</v>
      </c>
      <c r="S137" s="5">
        <f t="shared" si="32"/>
        <v>0</v>
      </c>
      <c r="T137" s="7">
        <f t="shared" si="33"/>
        <v>0</v>
      </c>
    </row>
    <row r="138" spans="1:20">
      <c r="A138" s="23" t="s">
        <v>160</v>
      </c>
      <c r="B138" s="35" t="s">
        <v>161</v>
      </c>
      <c r="C138" s="36">
        <v>4044</v>
      </c>
      <c r="D138" s="6"/>
      <c r="E138" s="113">
        <v>68452168</v>
      </c>
      <c r="F138" s="116">
        <f t="shared" si="25"/>
        <v>16926.846686449062</v>
      </c>
      <c r="G138" s="117">
        <v>37832480</v>
      </c>
      <c r="H138" s="117">
        <f t="shared" si="26"/>
        <v>9355.2126607319478</v>
      </c>
      <c r="I138" s="7"/>
      <c r="J138" s="11">
        <v>5.75</v>
      </c>
      <c r="K138" s="117">
        <v>217536</v>
      </c>
      <c r="L138" s="120">
        <f t="shared" ref="L138:L143" si="37">(K138/C138)</f>
        <v>53.79228486646884</v>
      </c>
      <c r="M138" s="122">
        <f t="shared" si="34"/>
        <v>378324.8</v>
      </c>
      <c r="N138" s="116">
        <f t="shared" si="35"/>
        <v>160788.79999999999</v>
      </c>
      <c r="O138" s="123">
        <f t="shared" si="36"/>
        <v>39.759841740850639</v>
      </c>
      <c r="P138" s="5"/>
      <c r="Q138" s="5">
        <f t="shared" si="30"/>
        <v>1</v>
      </c>
      <c r="R138" s="7">
        <f t="shared" si="31"/>
        <v>4044</v>
      </c>
      <c r="S138" s="5">
        <f t="shared" si="32"/>
        <v>1</v>
      </c>
      <c r="T138" s="7">
        <f t="shared" si="33"/>
        <v>4044</v>
      </c>
    </row>
    <row r="139" spans="1:20">
      <c r="A139" s="23" t="s">
        <v>162</v>
      </c>
      <c r="B139" s="35" t="s">
        <v>161</v>
      </c>
      <c r="C139" s="36">
        <v>3507</v>
      </c>
      <c r="D139" s="6"/>
      <c r="E139" s="113">
        <v>2114149059</v>
      </c>
      <c r="F139" s="116">
        <f t="shared" si="25"/>
        <v>602836.91445680067</v>
      </c>
      <c r="G139" s="117">
        <v>1755740576</v>
      </c>
      <c r="H139" s="117">
        <f t="shared" si="26"/>
        <v>500638.88679783291</v>
      </c>
      <c r="I139" s="7"/>
      <c r="J139" s="11">
        <v>1.4370000000000001</v>
      </c>
      <c r="K139" s="117">
        <v>2522999</v>
      </c>
      <c r="L139" s="120">
        <f t="shared" si="37"/>
        <v>719.41802110065578</v>
      </c>
      <c r="M139" s="122">
        <f t="shared" si="34"/>
        <v>17557405.760000002</v>
      </c>
      <c r="N139" s="116">
        <f t="shared" si="35"/>
        <v>15034406.760000002</v>
      </c>
      <c r="O139" s="123">
        <f t="shared" si="36"/>
        <v>4286.9708468776735</v>
      </c>
      <c r="P139" s="5"/>
      <c r="Q139" s="5">
        <f t="shared" si="30"/>
        <v>1</v>
      </c>
      <c r="R139" s="7">
        <f t="shared" si="31"/>
        <v>3507</v>
      </c>
      <c r="S139" s="5">
        <f t="shared" si="32"/>
        <v>1</v>
      </c>
      <c r="T139" s="7">
        <f t="shared" si="33"/>
        <v>3507</v>
      </c>
    </row>
    <row r="140" spans="1:20">
      <c r="A140" s="23" t="s">
        <v>163</v>
      </c>
      <c r="B140" s="35" t="s">
        <v>161</v>
      </c>
      <c r="C140" s="36">
        <v>216</v>
      </c>
      <c r="D140" s="6"/>
      <c r="E140" s="113">
        <v>306227066</v>
      </c>
      <c r="F140" s="116">
        <f t="shared" si="25"/>
        <v>1417717.8981481481</v>
      </c>
      <c r="G140" s="117">
        <v>292856126</v>
      </c>
      <c r="H140" s="117">
        <f t="shared" si="26"/>
        <v>1355815.3981481481</v>
      </c>
      <c r="I140" s="7"/>
      <c r="J140" s="10">
        <v>0.93540000000000001</v>
      </c>
      <c r="K140" s="117">
        <v>273937</v>
      </c>
      <c r="L140" s="120">
        <f t="shared" si="37"/>
        <v>1268.226851851852</v>
      </c>
      <c r="M140" s="122">
        <f t="shared" si="34"/>
        <v>2928561.2600000002</v>
      </c>
      <c r="N140" s="116">
        <f t="shared" si="35"/>
        <v>2654624.2600000002</v>
      </c>
      <c r="O140" s="123">
        <f t="shared" si="36"/>
        <v>12289.92712962963</v>
      </c>
      <c r="P140" s="5"/>
      <c r="Q140" s="5">
        <f t="shared" si="30"/>
        <v>1</v>
      </c>
      <c r="R140" s="7">
        <f t="shared" si="31"/>
        <v>216</v>
      </c>
      <c r="S140" s="5">
        <f t="shared" si="32"/>
        <v>1</v>
      </c>
      <c r="T140" s="7">
        <f t="shared" si="33"/>
        <v>216</v>
      </c>
    </row>
    <row r="141" spans="1:20">
      <c r="A141" s="23" t="s">
        <v>164</v>
      </c>
      <c r="B141" s="35" t="s">
        <v>161</v>
      </c>
      <c r="C141" s="36">
        <v>17425</v>
      </c>
      <c r="D141" s="6"/>
      <c r="E141" s="113">
        <v>873649965</v>
      </c>
      <c r="F141" s="116">
        <f t="shared" si="25"/>
        <v>50137.731133428984</v>
      </c>
      <c r="G141" s="117">
        <v>623616811</v>
      </c>
      <c r="H141" s="117">
        <f t="shared" si="26"/>
        <v>35788.626169296986</v>
      </c>
      <c r="I141" s="7"/>
      <c r="J141" s="10">
        <v>4.5903999999999998</v>
      </c>
      <c r="K141" s="117">
        <v>2862650</v>
      </c>
      <c r="L141" s="120">
        <f t="shared" si="37"/>
        <v>164.28407460545193</v>
      </c>
      <c r="M141" s="122">
        <f t="shared" si="34"/>
        <v>6236168.1100000003</v>
      </c>
      <c r="N141" s="116">
        <f t="shared" si="35"/>
        <v>3373518.1100000003</v>
      </c>
      <c r="O141" s="123">
        <f t="shared" si="36"/>
        <v>193.60218708751796</v>
      </c>
      <c r="P141" s="5"/>
      <c r="Q141" s="5">
        <f t="shared" si="30"/>
        <v>1</v>
      </c>
      <c r="R141" s="7">
        <f t="shared" si="31"/>
        <v>17425</v>
      </c>
      <c r="S141" s="5">
        <f t="shared" si="32"/>
        <v>1</v>
      </c>
      <c r="T141" s="7">
        <f t="shared" si="33"/>
        <v>17425</v>
      </c>
    </row>
    <row r="142" spans="1:20">
      <c r="A142" s="23" t="s">
        <v>165</v>
      </c>
      <c r="B142" s="35" t="s">
        <v>161</v>
      </c>
      <c r="C142" s="36">
        <v>17918</v>
      </c>
      <c r="D142" s="6"/>
      <c r="E142" s="113">
        <v>2251183618</v>
      </c>
      <c r="F142" s="116">
        <f t="shared" si="25"/>
        <v>125638.1079361536</v>
      </c>
      <c r="G142" s="117">
        <v>1690501057</v>
      </c>
      <c r="H142" s="117">
        <f t="shared" si="26"/>
        <v>94346.52623060609</v>
      </c>
      <c r="I142" s="7"/>
      <c r="J142" s="10">
        <v>2.1425000000000001</v>
      </c>
      <c r="K142" s="117">
        <v>3621898</v>
      </c>
      <c r="L142" s="120">
        <f t="shared" si="37"/>
        <v>202.13740372809465</v>
      </c>
      <c r="M142" s="122">
        <f t="shared" si="34"/>
        <v>16905010.57</v>
      </c>
      <c r="N142" s="116">
        <f t="shared" si="35"/>
        <v>13283112.57</v>
      </c>
      <c r="O142" s="123">
        <f t="shared" si="36"/>
        <v>741.32785857796625</v>
      </c>
      <c r="P142" s="5"/>
      <c r="Q142" s="5">
        <f t="shared" si="30"/>
        <v>1</v>
      </c>
      <c r="R142" s="7">
        <f t="shared" si="31"/>
        <v>17918</v>
      </c>
      <c r="S142" s="5">
        <f t="shared" si="32"/>
        <v>1</v>
      </c>
      <c r="T142" s="7">
        <f t="shared" si="33"/>
        <v>17918</v>
      </c>
    </row>
    <row r="143" spans="1:20">
      <c r="A143" s="23" t="s">
        <v>166</v>
      </c>
      <c r="B143" s="35" t="s">
        <v>167</v>
      </c>
      <c r="C143" s="36">
        <v>509</v>
      </c>
      <c r="D143" s="6"/>
      <c r="E143" s="113">
        <v>9927993</v>
      </c>
      <c r="F143" s="116">
        <f t="shared" si="25"/>
        <v>19504.897838899804</v>
      </c>
      <c r="G143" s="117">
        <v>4554187</v>
      </c>
      <c r="H143" s="117">
        <f t="shared" si="26"/>
        <v>8947.3222003929277</v>
      </c>
      <c r="I143" s="7"/>
      <c r="J143" s="10">
        <v>0.99299999999999999</v>
      </c>
      <c r="K143" s="117">
        <v>4522</v>
      </c>
      <c r="L143" s="120">
        <f t="shared" si="37"/>
        <v>8.884086444007858</v>
      </c>
      <c r="M143" s="122">
        <f t="shared" si="34"/>
        <v>45541.87</v>
      </c>
      <c r="N143" s="116">
        <f t="shared" si="35"/>
        <v>41019.870000000003</v>
      </c>
      <c r="O143" s="123">
        <f t="shared" si="36"/>
        <v>80.589135559921417</v>
      </c>
      <c r="P143" s="5"/>
      <c r="Q143" s="5">
        <f t="shared" si="30"/>
        <v>1</v>
      </c>
      <c r="R143" s="7">
        <f t="shared" si="31"/>
        <v>509</v>
      </c>
      <c r="S143" s="5">
        <f t="shared" si="32"/>
        <v>1</v>
      </c>
      <c r="T143" s="7">
        <f t="shared" si="33"/>
        <v>509</v>
      </c>
    </row>
    <row r="144" spans="1:20">
      <c r="A144" s="23" t="s">
        <v>168</v>
      </c>
      <c r="B144" s="35" t="s">
        <v>167</v>
      </c>
      <c r="C144" s="36">
        <v>117</v>
      </c>
      <c r="D144" s="6"/>
      <c r="E144" s="113">
        <v>1888635</v>
      </c>
      <c r="F144" s="116">
        <f t="shared" si="25"/>
        <v>16142.179487179486</v>
      </c>
      <c r="G144" s="117">
        <v>1047792</v>
      </c>
      <c r="H144" s="117">
        <f t="shared" si="26"/>
        <v>8955.4871794871797</v>
      </c>
      <c r="I144" s="98" t="s">
        <v>528</v>
      </c>
      <c r="J144" s="10"/>
      <c r="K144" s="117"/>
      <c r="L144" s="120"/>
      <c r="M144" s="122">
        <f t="shared" si="34"/>
        <v>10477.92</v>
      </c>
      <c r="N144" s="116">
        <f t="shared" si="35"/>
        <v>10477.92</v>
      </c>
      <c r="O144" s="123">
        <f t="shared" si="36"/>
        <v>89.554871794871801</v>
      </c>
      <c r="P144" s="5"/>
      <c r="Q144" s="5">
        <f t="shared" si="30"/>
        <v>1</v>
      </c>
      <c r="R144" s="7">
        <f t="shared" si="31"/>
        <v>117</v>
      </c>
      <c r="S144" s="5">
        <f t="shared" si="32"/>
        <v>0</v>
      </c>
      <c r="T144" s="7">
        <f t="shared" si="33"/>
        <v>0</v>
      </c>
    </row>
    <row r="145" spans="1:20">
      <c r="A145" s="23" t="s">
        <v>169</v>
      </c>
      <c r="B145" s="35" t="s">
        <v>167</v>
      </c>
      <c r="C145" s="36">
        <v>217</v>
      </c>
      <c r="D145" s="6"/>
      <c r="E145" s="113">
        <v>5584885</v>
      </c>
      <c r="F145" s="116">
        <f t="shared" si="25"/>
        <v>25736.797235023041</v>
      </c>
      <c r="G145" s="117">
        <v>3149602</v>
      </c>
      <c r="H145" s="117">
        <f t="shared" si="26"/>
        <v>14514.294930875576</v>
      </c>
      <c r="I145" s="7"/>
      <c r="J145" s="10">
        <v>2</v>
      </c>
      <c r="K145" s="117">
        <v>6299</v>
      </c>
      <c r="L145" s="120">
        <f>(K145/C145)</f>
        <v>29.027649769585253</v>
      </c>
      <c r="M145" s="122">
        <f t="shared" si="34"/>
        <v>31496.02</v>
      </c>
      <c r="N145" s="116">
        <f t="shared" si="35"/>
        <v>25197.02</v>
      </c>
      <c r="O145" s="123">
        <f t="shared" si="36"/>
        <v>116.11529953917051</v>
      </c>
      <c r="P145" s="5"/>
      <c r="Q145" s="5">
        <f t="shared" si="30"/>
        <v>1</v>
      </c>
      <c r="R145" s="7">
        <f t="shared" si="31"/>
        <v>217</v>
      </c>
      <c r="S145" s="5">
        <f t="shared" si="32"/>
        <v>1</v>
      </c>
      <c r="T145" s="7">
        <f t="shared" si="33"/>
        <v>217</v>
      </c>
    </row>
    <row r="146" spans="1:20">
      <c r="A146" s="23" t="s">
        <v>170</v>
      </c>
      <c r="B146" s="35" t="s">
        <v>167</v>
      </c>
      <c r="C146" s="36">
        <v>877</v>
      </c>
      <c r="D146" s="6"/>
      <c r="E146" s="113">
        <v>22953745</v>
      </c>
      <c r="F146" s="116">
        <f t="shared" si="25"/>
        <v>26173.027366020524</v>
      </c>
      <c r="G146" s="117">
        <v>12637221</v>
      </c>
      <c r="H146" s="117">
        <f t="shared" si="26"/>
        <v>14409.602052451539</v>
      </c>
      <c r="I146" s="7"/>
      <c r="J146" s="12">
        <v>3</v>
      </c>
      <c r="K146" s="117">
        <v>37911</v>
      </c>
      <c r="L146" s="120">
        <f>(K146/C146)</f>
        <v>43.22805017103763</v>
      </c>
      <c r="M146" s="122">
        <f t="shared" si="34"/>
        <v>126372.21</v>
      </c>
      <c r="N146" s="116">
        <f t="shared" si="35"/>
        <v>88461.21</v>
      </c>
      <c r="O146" s="123">
        <f t="shared" si="36"/>
        <v>100.86797035347777</v>
      </c>
      <c r="P146" s="5"/>
      <c r="Q146" s="5">
        <f t="shared" si="30"/>
        <v>1</v>
      </c>
      <c r="R146" s="7">
        <f t="shared" si="31"/>
        <v>877</v>
      </c>
      <c r="S146" s="5">
        <f t="shared" si="32"/>
        <v>1</v>
      </c>
      <c r="T146" s="7">
        <f t="shared" si="33"/>
        <v>877</v>
      </c>
    </row>
    <row r="147" spans="1:20">
      <c r="A147" s="23" t="s">
        <v>171</v>
      </c>
      <c r="B147" s="35" t="s">
        <v>167</v>
      </c>
      <c r="C147" s="36">
        <v>2438</v>
      </c>
      <c r="D147" s="6"/>
      <c r="E147" s="113">
        <v>82401694</v>
      </c>
      <c r="F147" s="116">
        <f t="shared" si="25"/>
        <v>33798.890073831011</v>
      </c>
      <c r="G147" s="117">
        <v>45383924</v>
      </c>
      <c r="H147" s="117">
        <f t="shared" si="26"/>
        <v>18615.227235438884</v>
      </c>
      <c r="I147" s="7"/>
      <c r="J147" s="10">
        <v>4</v>
      </c>
      <c r="K147" s="117">
        <v>181535</v>
      </c>
      <c r="L147" s="120">
        <f>(K147/C147)</f>
        <v>74.460623461853984</v>
      </c>
      <c r="M147" s="122">
        <f t="shared" si="34"/>
        <v>453839.24</v>
      </c>
      <c r="N147" s="116">
        <f t="shared" si="35"/>
        <v>272304.24</v>
      </c>
      <c r="O147" s="123">
        <f t="shared" si="36"/>
        <v>111.69164889253486</v>
      </c>
      <c r="P147" s="5"/>
      <c r="Q147" s="5">
        <f t="shared" si="30"/>
        <v>1</v>
      </c>
      <c r="R147" s="7">
        <f t="shared" si="31"/>
        <v>2438</v>
      </c>
      <c r="S147" s="5">
        <f t="shared" si="32"/>
        <v>1</v>
      </c>
      <c r="T147" s="7">
        <f t="shared" si="33"/>
        <v>2438</v>
      </c>
    </row>
    <row r="148" spans="1:20">
      <c r="A148" s="23" t="s">
        <v>172</v>
      </c>
      <c r="B148" s="35" t="s">
        <v>167</v>
      </c>
      <c r="C148" s="36">
        <v>869</v>
      </c>
      <c r="D148" s="6"/>
      <c r="E148" s="113">
        <v>14844801</v>
      </c>
      <c r="F148" s="116">
        <f t="shared" si="25"/>
        <v>17082.624856156501</v>
      </c>
      <c r="G148" s="117">
        <v>6862895</v>
      </c>
      <c r="H148" s="117">
        <f t="shared" si="26"/>
        <v>7897.4626006904491</v>
      </c>
      <c r="I148" s="98" t="s">
        <v>528</v>
      </c>
      <c r="J148" s="10"/>
      <c r="K148" s="117"/>
      <c r="L148" s="120"/>
      <c r="M148" s="122">
        <f t="shared" si="34"/>
        <v>68628.95</v>
      </c>
      <c r="N148" s="116">
        <f t="shared" si="35"/>
        <v>68628.95</v>
      </c>
      <c r="O148" s="123">
        <f t="shared" si="36"/>
        <v>78.974626006904487</v>
      </c>
      <c r="P148" s="5"/>
      <c r="Q148" s="5">
        <f t="shared" si="30"/>
        <v>1</v>
      </c>
      <c r="R148" s="7">
        <f t="shared" si="31"/>
        <v>869</v>
      </c>
      <c r="S148" s="5">
        <f t="shared" si="32"/>
        <v>0</v>
      </c>
      <c r="T148" s="7">
        <f t="shared" si="33"/>
        <v>0</v>
      </c>
    </row>
    <row r="149" spans="1:20">
      <c r="A149" s="23" t="s">
        <v>173</v>
      </c>
      <c r="B149" s="35" t="s">
        <v>167</v>
      </c>
      <c r="C149" s="36">
        <v>755</v>
      </c>
      <c r="D149" s="6"/>
      <c r="E149" s="113">
        <v>19066928</v>
      </c>
      <c r="F149" s="116">
        <f t="shared" si="25"/>
        <v>25254.209271523177</v>
      </c>
      <c r="G149" s="117">
        <v>9563013</v>
      </c>
      <c r="H149" s="117">
        <f t="shared" si="26"/>
        <v>12666.242384105961</v>
      </c>
      <c r="I149" s="7"/>
      <c r="J149" s="10">
        <v>1</v>
      </c>
      <c r="K149" s="117">
        <v>9563</v>
      </c>
      <c r="L149" s="120">
        <f>(K149/C149)</f>
        <v>12.666225165562913</v>
      </c>
      <c r="M149" s="122">
        <f t="shared" si="34"/>
        <v>95630.13</v>
      </c>
      <c r="N149" s="116">
        <f t="shared" si="35"/>
        <v>86067.13</v>
      </c>
      <c r="O149" s="123">
        <f t="shared" si="36"/>
        <v>113.9961986754967</v>
      </c>
      <c r="P149" s="5"/>
      <c r="Q149" s="5">
        <f t="shared" si="30"/>
        <v>1</v>
      </c>
      <c r="R149" s="7">
        <f t="shared" si="31"/>
        <v>755</v>
      </c>
      <c r="S149" s="5">
        <f t="shared" si="32"/>
        <v>1</v>
      </c>
      <c r="T149" s="7">
        <f t="shared" si="33"/>
        <v>755</v>
      </c>
    </row>
    <row r="150" spans="1:20">
      <c r="A150" s="23" t="s">
        <v>174</v>
      </c>
      <c r="B150" s="35" t="s">
        <v>167</v>
      </c>
      <c r="C150" s="36">
        <v>296</v>
      </c>
      <c r="D150" s="6"/>
      <c r="E150" s="113">
        <v>5495789</v>
      </c>
      <c r="F150" s="116">
        <f t="shared" si="25"/>
        <v>18566.85472972973</v>
      </c>
      <c r="G150" s="117">
        <v>2368258</v>
      </c>
      <c r="H150" s="117">
        <f t="shared" si="26"/>
        <v>8000.8716216216217</v>
      </c>
      <c r="I150" s="7"/>
      <c r="J150" s="11">
        <v>4</v>
      </c>
      <c r="K150" s="117">
        <v>9473</v>
      </c>
      <c r="L150" s="120">
        <f>(K150/C150)</f>
        <v>32.003378378378379</v>
      </c>
      <c r="M150" s="122">
        <f t="shared" si="34"/>
        <v>23682.58</v>
      </c>
      <c r="N150" s="116">
        <f t="shared" si="35"/>
        <v>14209.580000000002</v>
      </c>
      <c r="O150" s="123">
        <f t="shared" si="36"/>
        <v>48.005337837837843</v>
      </c>
      <c r="P150" s="5"/>
      <c r="Q150" s="5">
        <f t="shared" si="30"/>
        <v>1</v>
      </c>
      <c r="R150" s="7">
        <f t="shared" si="31"/>
        <v>296</v>
      </c>
      <c r="S150" s="5">
        <f t="shared" si="32"/>
        <v>1</v>
      </c>
      <c r="T150" s="7">
        <f t="shared" si="33"/>
        <v>296</v>
      </c>
    </row>
    <row r="151" spans="1:20">
      <c r="A151" s="23" t="s">
        <v>175</v>
      </c>
      <c r="B151" s="35" t="s">
        <v>167</v>
      </c>
      <c r="C151" s="36">
        <v>1891</v>
      </c>
      <c r="D151" s="6"/>
      <c r="E151" s="113">
        <v>37670898</v>
      </c>
      <c r="F151" s="116">
        <f t="shared" si="25"/>
        <v>19921.151771549445</v>
      </c>
      <c r="G151" s="117">
        <v>9323008</v>
      </c>
      <c r="H151" s="117">
        <f t="shared" si="26"/>
        <v>4930.1998942358541</v>
      </c>
      <c r="I151" s="98" t="s">
        <v>528</v>
      </c>
      <c r="J151" s="10"/>
      <c r="K151" s="117"/>
      <c r="L151" s="120"/>
      <c r="M151" s="122">
        <f t="shared" si="34"/>
        <v>93230.080000000002</v>
      </c>
      <c r="N151" s="116">
        <f t="shared" si="35"/>
        <v>93230.080000000002</v>
      </c>
      <c r="O151" s="123">
        <f t="shared" si="36"/>
        <v>49.301998942358544</v>
      </c>
      <c r="P151" s="5"/>
      <c r="Q151" s="5">
        <f t="shared" si="30"/>
        <v>1</v>
      </c>
      <c r="R151" s="7">
        <f t="shared" si="31"/>
        <v>1891</v>
      </c>
      <c r="S151" s="5">
        <f t="shared" si="32"/>
        <v>0</v>
      </c>
      <c r="T151" s="7">
        <f t="shared" si="33"/>
        <v>0</v>
      </c>
    </row>
    <row r="152" spans="1:20">
      <c r="A152" s="23" t="s">
        <v>176</v>
      </c>
      <c r="B152" s="35" t="s">
        <v>167</v>
      </c>
      <c r="C152" s="36">
        <v>6278</v>
      </c>
      <c r="D152" s="6"/>
      <c r="E152" s="113">
        <v>261560635</v>
      </c>
      <c r="F152" s="116">
        <f t="shared" si="25"/>
        <v>41663.051130933418</v>
      </c>
      <c r="G152" s="117">
        <v>144196107</v>
      </c>
      <c r="H152" s="117">
        <f t="shared" si="26"/>
        <v>22968.478337050015</v>
      </c>
      <c r="I152" s="7"/>
      <c r="J152" s="10">
        <v>2.11</v>
      </c>
      <c r="K152" s="117">
        <v>304253</v>
      </c>
      <c r="L152" s="120">
        <f t="shared" ref="L152:L196" si="38">(K152/C152)</f>
        <v>48.463364128703411</v>
      </c>
      <c r="M152" s="122">
        <f t="shared" si="34"/>
        <v>1441961.07</v>
      </c>
      <c r="N152" s="116">
        <f t="shared" si="35"/>
        <v>1137708.07</v>
      </c>
      <c r="O152" s="123">
        <f t="shared" si="36"/>
        <v>181.22141924179675</v>
      </c>
      <c r="P152" s="5"/>
      <c r="Q152" s="5">
        <f t="shared" si="30"/>
        <v>1</v>
      </c>
      <c r="R152" s="7">
        <f t="shared" si="31"/>
        <v>6278</v>
      </c>
      <c r="S152" s="5">
        <f t="shared" si="32"/>
        <v>1</v>
      </c>
      <c r="T152" s="7">
        <f t="shared" si="33"/>
        <v>6278</v>
      </c>
    </row>
    <row r="153" spans="1:20">
      <c r="A153" s="23" t="s">
        <v>177</v>
      </c>
      <c r="B153" s="35" t="s">
        <v>167</v>
      </c>
      <c r="C153" s="36">
        <v>1932</v>
      </c>
      <c r="D153" s="6"/>
      <c r="E153" s="113">
        <v>48602884</v>
      </c>
      <c r="F153" s="116">
        <f t="shared" si="25"/>
        <v>25156.772256728778</v>
      </c>
      <c r="G153" s="117">
        <v>25467237</v>
      </c>
      <c r="H153" s="117">
        <f t="shared" si="26"/>
        <v>13181.799689440993</v>
      </c>
      <c r="I153" s="7"/>
      <c r="J153" s="11">
        <v>0.59160000000000001</v>
      </c>
      <c r="K153" s="117">
        <v>15066</v>
      </c>
      <c r="L153" s="120">
        <f t="shared" si="38"/>
        <v>7.7981366459627326</v>
      </c>
      <c r="M153" s="122">
        <f t="shared" si="34"/>
        <v>254672.37</v>
      </c>
      <c r="N153" s="116">
        <f t="shared" si="35"/>
        <v>239606.37</v>
      </c>
      <c r="O153" s="123">
        <f t="shared" si="36"/>
        <v>124.0198602484472</v>
      </c>
      <c r="P153" s="5"/>
      <c r="Q153" s="5">
        <f t="shared" si="30"/>
        <v>1</v>
      </c>
      <c r="R153" s="7">
        <f t="shared" si="31"/>
        <v>1932</v>
      </c>
      <c r="S153" s="5">
        <f t="shared" si="32"/>
        <v>1</v>
      </c>
      <c r="T153" s="7">
        <f t="shared" si="33"/>
        <v>1932</v>
      </c>
    </row>
    <row r="154" spans="1:20">
      <c r="A154" s="23" t="s">
        <v>178</v>
      </c>
      <c r="B154" s="35" t="s">
        <v>179</v>
      </c>
      <c r="C154" s="36">
        <v>2545</v>
      </c>
      <c r="D154" s="6"/>
      <c r="E154" s="113">
        <v>98417416</v>
      </c>
      <c r="F154" s="116">
        <f t="shared" si="25"/>
        <v>38670.890373280941</v>
      </c>
      <c r="G154" s="117">
        <v>58706172</v>
      </c>
      <c r="H154" s="117">
        <f t="shared" si="26"/>
        <v>23067.258153241652</v>
      </c>
      <c r="I154" s="7"/>
      <c r="J154" s="10">
        <v>7.1740000000000004</v>
      </c>
      <c r="K154" s="117">
        <v>421158</v>
      </c>
      <c r="L154" s="120">
        <f t="shared" si="38"/>
        <v>165.4844793713163</v>
      </c>
      <c r="M154" s="122">
        <f t="shared" si="34"/>
        <v>587061.72</v>
      </c>
      <c r="N154" s="116">
        <f t="shared" si="35"/>
        <v>165903.71999999997</v>
      </c>
      <c r="O154" s="123">
        <f t="shared" si="36"/>
        <v>65.18810216110019</v>
      </c>
      <c r="P154" s="5"/>
      <c r="Q154" s="5">
        <f t="shared" si="30"/>
        <v>1</v>
      </c>
      <c r="R154" s="7">
        <f t="shared" si="31"/>
        <v>2545</v>
      </c>
      <c r="S154" s="5">
        <f t="shared" si="32"/>
        <v>1</v>
      </c>
      <c r="T154" s="7">
        <f t="shared" si="33"/>
        <v>2545</v>
      </c>
    </row>
    <row r="155" spans="1:20">
      <c r="A155" s="23" t="s">
        <v>180</v>
      </c>
      <c r="B155" s="35" t="s">
        <v>181</v>
      </c>
      <c r="C155" s="36">
        <v>1010</v>
      </c>
      <c r="D155" s="6"/>
      <c r="E155" s="113">
        <v>30439784</v>
      </c>
      <c r="F155" s="116">
        <f t="shared" si="25"/>
        <v>30138.400000000001</v>
      </c>
      <c r="G155" s="117">
        <v>14740241</v>
      </c>
      <c r="H155" s="117">
        <f t="shared" si="26"/>
        <v>14594.29801980198</v>
      </c>
      <c r="I155" s="7"/>
      <c r="J155" s="10">
        <v>2</v>
      </c>
      <c r="K155" s="117">
        <v>29480</v>
      </c>
      <c r="L155" s="120">
        <f t="shared" si="38"/>
        <v>29.188118811881189</v>
      </c>
      <c r="M155" s="122">
        <f t="shared" si="34"/>
        <v>147402.41</v>
      </c>
      <c r="N155" s="116">
        <f t="shared" si="35"/>
        <v>117922.41</v>
      </c>
      <c r="O155" s="123">
        <f t="shared" si="36"/>
        <v>116.75486138613861</v>
      </c>
      <c r="P155" s="5"/>
      <c r="Q155" s="5">
        <f t="shared" si="30"/>
        <v>1</v>
      </c>
      <c r="R155" s="7">
        <f t="shared" si="31"/>
        <v>1010</v>
      </c>
      <c r="S155" s="5">
        <f t="shared" si="32"/>
        <v>1</v>
      </c>
      <c r="T155" s="7">
        <f t="shared" si="33"/>
        <v>1010</v>
      </c>
    </row>
    <row r="156" spans="1:20">
      <c r="A156" s="23" t="s">
        <v>182</v>
      </c>
      <c r="B156" s="35" t="s">
        <v>183</v>
      </c>
      <c r="C156" s="36">
        <v>1343</v>
      </c>
      <c r="D156" s="6"/>
      <c r="E156" s="113">
        <v>39386254</v>
      </c>
      <c r="F156" s="116">
        <f t="shared" si="25"/>
        <v>29327.069247952346</v>
      </c>
      <c r="G156" s="117">
        <v>27066184</v>
      </c>
      <c r="H156" s="117">
        <f t="shared" si="26"/>
        <v>20153.524944154877</v>
      </c>
      <c r="I156" s="7"/>
      <c r="J156" s="10">
        <v>2.5</v>
      </c>
      <c r="K156" s="117">
        <v>67665</v>
      </c>
      <c r="L156" s="120">
        <f t="shared" si="38"/>
        <v>50.383469843633655</v>
      </c>
      <c r="M156" s="122">
        <f t="shared" si="34"/>
        <v>270661.84000000003</v>
      </c>
      <c r="N156" s="116">
        <f t="shared" si="35"/>
        <v>202996.84000000003</v>
      </c>
      <c r="O156" s="123">
        <f t="shared" si="36"/>
        <v>151.15177959791512</v>
      </c>
      <c r="P156" s="5"/>
      <c r="Q156" s="5">
        <f t="shared" si="30"/>
        <v>1</v>
      </c>
      <c r="R156" s="7">
        <f t="shared" si="31"/>
        <v>1343</v>
      </c>
      <c r="S156" s="5">
        <f t="shared" si="32"/>
        <v>1</v>
      </c>
      <c r="T156" s="7">
        <f t="shared" si="33"/>
        <v>1343</v>
      </c>
    </row>
    <row r="157" spans="1:20">
      <c r="A157" s="23" t="s">
        <v>184</v>
      </c>
      <c r="B157" s="35" t="s">
        <v>183</v>
      </c>
      <c r="C157" s="36">
        <v>13718</v>
      </c>
      <c r="D157" s="6"/>
      <c r="E157" s="113">
        <v>886346702</v>
      </c>
      <c r="F157" s="116">
        <f t="shared" si="25"/>
        <v>64611.947951596441</v>
      </c>
      <c r="G157" s="117">
        <v>720137462</v>
      </c>
      <c r="H157" s="117">
        <f t="shared" si="26"/>
        <v>52495.805656801283</v>
      </c>
      <c r="I157" s="7"/>
      <c r="J157" s="10">
        <v>3.7290000000000001</v>
      </c>
      <c r="K157" s="117">
        <v>2685392</v>
      </c>
      <c r="L157" s="120">
        <f t="shared" si="38"/>
        <v>195.75681586237062</v>
      </c>
      <c r="M157" s="122">
        <f t="shared" si="34"/>
        <v>7201374.6200000001</v>
      </c>
      <c r="N157" s="116">
        <f t="shared" si="35"/>
        <v>4515982.62</v>
      </c>
      <c r="O157" s="123">
        <f t="shared" si="36"/>
        <v>329.20124070564225</v>
      </c>
      <c r="P157" s="5"/>
      <c r="Q157" s="5">
        <f t="shared" si="30"/>
        <v>1</v>
      </c>
      <c r="R157" s="7">
        <f t="shared" si="31"/>
        <v>13718</v>
      </c>
      <c r="S157" s="5">
        <f t="shared" si="32"/>
        <v>1</v>
      </c>
      <c r="T157" s="7">
        <f t="shared" si="33"/>
        <v>13718</v>
      </c>
    </row>
    <row r="158" spans="1:20">
      <c r="A158" s="23" t="s">
        <v>185</v>
      </c>
      <c r="B158" s="35" t="s">
        <v>183</v>
      </c>
      <c r="C158" s="36">
        <v>15562</v>
      </c>
      <c r="D158" s="6"/>
      <c r="E158" s="113">
        <v>692741606</v>
      </c>
      <c r="F158" s="116">
        <f t="shared" ref="F158:F221" si="39">(E158/C158)</f>
        <v>44514.947050507646</v>
      </c>
      <c r="G158" s="117">
        <v>493198438</v>
      </c>
      <c r="H158" s="117">
        <f t="shared" ref="H158:H221" si="40">(G158/C158)</f>
        <v>31692.484128004111</v>
      </c>
      <c r="I158" s="7"/>
      <c r="J158" s="10">
        <v>5.4874000000000001</v>
      </c>
      <c r="K158" s="117">
        <v>2706377</v>
      </c>
      <c r="L158" s="120">
        <f t="shared" si="38"/>
        <v>173.90933042025446</v>
      </c>
      <c r="M158" s="122">
        <f t="shared" si="34"/>
        <v>4931984.38</v>
      </c>
      <c r="N158" s="116">
        <f t="shared" si="35"/>
        <v>2225607.38</v>
      </c>
      <c r="O158" s="123">
        <f t="shared" si="36"/>
        <v>143.01551085978664</v>
      </c>
      <c r="P158" s="5"/>
      <c r="Q158" s="5">
        <f t="shared" si="30"/>
        <v>1</v>
      </c>
      <c r="R158" s="7">
        <f t="shared" si="31"/>
        <v>15562</v>
      </c>
      <c r="S158" s="5">
        <f t="shared" si="32"/>
        <v>1</v>
      </c>
      <c r="T158" s="7">
        <f t="shared" si="33"/>
        <v>15562</v>
      </c>
    </row>
    <row r="159" spans="1:20">
      <c r="A159" s="23" t="s">
        <v>186</v>
      </c>
      <c r="B159" s="35" t="s">
        <v>183</v>
      </c>
      <c r="C159" s="36">
        <v>3220</v>
      </c>
      <c r="D159" s="6"/>
      <c r="E159" s="113">
        <v>120153931</v>
      </c>
      <c r="F159" s="116">
        <f t="shared" si="39"/>
        <v>37314.885403726708</v>
      </c>
      <c r="G159" s="117">
        <v>83060153</v>
      </c>
      <c r="H159" s="117">
        <f t="shared" si="40"/>
        <v>25795.07857142857</v>
      </c>
      <c r="I159" s="7"/>
      <c r="J159" s="10">
        <v>5.89</v>
      </c>
      <c r="K159" s="117">
        <v>489224</v>
      </c>
      <c r="L159" s="120">
        <f t="shared" si="38"/>
        <v>151.93291925465837</v>
      </c>
      <c r="M159" s="122">
        <f t="shared" si="34"/>
        <v>830601.53</v>
      </c>
      <c r="N159" s="116">
        <f t="shared" si="35"/>
        <v>341377.53</v>
      </c>
      <c r="O159" s="123">
        <f t="shared" si="36"/>
        <v>106.01786645962734</v>
      </c>
      <c r="P159" s="5"/>
      <c r="Q159" s="5">
        <f t="shared" si="30"/>
        <v>1</v>
      </c>
      <c r="R159" s="7">
        <f t="shared" si="31"/>
        <v>3220</v>
      </c>
      <c r="S159" s="5">
        <f t="shared" si="32"/>
        <v>1</v>
      </c>
      <c r="T159" s="7">
        <f t="shared" si="33"/>
        <v>3220</v>
      </c>
    </row>
    <row r="160" spans="1:20">
      <c r="A160" s="23" t="s">
        <v>187</v>
      </c>
      <c r="B160" s="35" t="s">
        <v>183</v>
      </c>
      <c r="C160" s="36">
        <v>3295</v>
      </c>
      <c r="D160" s="6"/>
      <c r="E160" s="113">
        <v>140158963</v>
      </c>
      <c r="F160" s="116">
        <f t="shared" si="39"/>
        <v>42536.862822458272</v>
      </c>
      <c r="G160" s="117">
        <v>110811677</v>
      </c>
      <c r="H160" s="117">
        <f t="shared" si="40"/>
        <v>33630.250986342944</v>
      </c>
      <c r="I160" s="7"/>
      <c r="J160" s="10">
        <v>6</v>
      </c>
      <c r="K160" s="117">
        <v>664870</v>
      </c>
      <c r="L160" s="120">
        <f t="shared" si="38"/>
        <v>201.7814871016692</v>
      </c>
      <c r="M160" s="122">
        <f t="shared" si="34"/>
        <v>1108116.77</v>
      </c>
      <c r="N160" s="116">
        <f t="shared" si="35"/>
        <v>443246.77</v>
      </c>
      <c r="O160" s="123">
        <f t="shared" si="36"/>
        <v>134.52102276176024</v>
      </c>
      <c r="P160" s="5"/>
      <c r="Q160" s="5">
        <f t="shared" si="30"/>
        <v>1</v>
      </c>
      <c r="R160" s="7">
        <f t="shared" si="31"/>
        <v>3295</v>
      </c>
      <c r="S160" s="5">
        <f t="shared" si="32"/>
        <v>1</v>
      </c>
      <c r="T160" s="7">
        <f t="shared" si="33"/>
        <v>3295</v>
      </c>
    </row>
    <row r="161" spans="1:20">
      <c r="A161" s="23" t="s">
        <v>188</v>
      </c>
      <c r="B161" s="35" t="s">
        <v>183</v>
      </c>
      <c r="C161" s="36">
        <v>982</v>
      </c>
      <c r="D161" s="6"/>
      <c r="E161" s="113">
        <v>65044634</v>
      </c>
      <c r="F161" s="116">
        <f t="shared" si="39"/>
        <v>66236.898167006104</v>
      </c>
      <c r="G161" s="117">
        <v>51394997</v>
      </c>
      <c r="H161" s="117">
        <f t="shared" si="40"/>
        <v>52337.064154786152</v>
      </c>
      <c r="I161" s="7"/>
      <c r="J161" s="10">
        <v>5.4450000000000003</v>
      </c>
      <c r="K161" s="117">
        <v>279845</v>
      </c>
      <c r="L161" s="120">
        <f t="shared" si="38"/>
        <v>284.97454175152751</v>
      </c>
      <c r="M161" s="122">
        <f t="shared" si="34"/>
        <v>513949.97000000003</v>
      </c>
      <c r="N161" s="116">
        <f t="shared" si="35"/>
        <v>234104.97000000003</v>
      </c>
      <c r="O161" s="123">
        <f t="shared" si="36"/>
        <v>238.39609979633406</v>
      </c>
      <c r="P161" s="5"/>
      <c r="Q161" s="5">
        <f t="shared" si="30"/>
        <v>1</v>
      </c>
      <c r="R161" s="7">
        <f t="shared" si="31"/>
        <v>982</v>
      </c>
      <c r="S161" s="5">
        <f t="shared" si="32"/>
        <v>1</v>
      </c>
      <c r="T161" s="7">
        <f t="shared" si="33"/>
        <v>982</v>
      </c>
    </row>
    <row r="162" spans="1:20">
      <c r="A162" s="23" t="s">
        <v>189</v>
      </c>
      <c r="B162" s="35" t="s">
        <v>183</v>
      </c>
      <c r="C162" s="36">
        <v>12364</v>
      </c>
      <c r="D162" s="6"/>
      <c r="E162" s="113">
        <v>762109716</v>
      </c>
      <c r="F162" s="116">
        <f t="shared" si="39"/>
        <v>61639.414105467484</v>
      </c>
      <c r="G162" s="117">
        <v>503731501</v>
      </c>
      <c r="H162" s="117">
        <f t="shared" si="40"/>
        <v>40741.790763506957</v>
      </c>
      <c r="I162" s="7"/>
      <c r="J162" s="10">
        <v>2.2000000000000002</v>
      </c>
      <c r="K162" s="117">
        <v>1108209</v>
      </c>
      <c r="L162" s="120">
        <f t="shared" si="38"/>
        <v>89.631915237787126</v>
      </c>
      <c r="M162" s="122">
        <f t="shared" si="34"/>
        <v>5037315.01</v>
      </c>
      <c r="N162" s="116">
        <f t="shared" si="35"/>
        <v>3929106.01</v>
      </c>
      <c r="O162" s="123">
        <f t="shared" si="36"/>
        <v>317.78599239728243</v>
      </c>
      <c r="P162" s="5"/>
      <c r="Q162" s="5">
        <f t="shared" si="30"/>
        <v>1</v>
      </c>
      <c r="R162" s="7">
        <f t="shared" si="31"/>
        <v>12364</v>
      </c>
      <c r="S162" s="5">
        <f t="shared" si="32"/>
        <v>1</v>
      </c>
      <c r="T162" s="7">
        <f t="shared" si="33"/>
        <v>12364</v>
      </c>
    </row>
    <row r="163" spans="1:20">
      <c r="A163" s="23" t="s">
        <v>190</v>
      </c>
      <c r="B163" s="35" t="s">
        <v>183</v>
      </c>
      <c r="C163" s="36">
        <v>16104</v>
      </c>
      <c r="D163" s="6"/>
      <c r="E163" s="113">
        <v>998610356</v>
      </c>
      <c r="F163" s="116">
        <f t="shared" si="39"/>
        <v>62010.08171882762</v>
      </c>
      <c r="G163" s="117">
        <v>684773445</v>
      </c>
      <c r="H163" s="117">
        <f t="shared" si="40"/>
        <v>42521.947652757081</v>
      </c>
      <c r="I163" s="7"/>
      <c r="J163" s="10">
        <v>4.5</v>
      </c>
      <c r="K163" s="117">
        <v>3081480</v>
      </c>
      <c r="L163" s="120">
        <f t="shared" si="38"/>
        <v>191.34873323397915</v>
      </c>
      <c r="M163" s="122">
        <f t="shared" si="34"/>
        <v>6847734.4500000002</v>
      </c>
      <c r="N163" s="116">
        <f t="shared" si="35"/>
        <v>3766254.45</v>
      </c>
      <c r="O163" s="123">
        <f t="shared" si="36"/>
        <v>233.87074329359166</v>
      </c>
      <c r="P163" s="5"/>
      <c r="Q163" s="5">
        <f t="shared" si="30"/>
        <v>1</v>
      </c>
      <c r="R163" s="7">
        <f t="shared" si="31"/>
        <v>16104</v>
      </c>
      <c r="S163" s="5">
        <f t="shared" si="32"/>
        <v>1</v>
      </c>
      <c r="T163" s="7">
        <f t="shared" si="33"/>
        <v>16104</v>
      </c>
    </row>
    <row r="164" spans="1:20">
      <c r="A164" s="23" t="s">
        <v>191</v>
      </c>
      <c r="B164" s="35" t="s">
        <v>183</v>
      </c>
      <c r="C164" s="36">
        <v>3080</v>
      </c>
      <c r="D164" s="6"/>
      <c r="E164" s="113">
        <v>73657851</v>
      </c>
      <c r="F164" s="116">
        <f t="shared" si="39"/>
        <v>23914.88668831169</v>
      </c>
      <c r="G164" s="117">
        <v>51797611</v>
      </c>
      <c r="H164" s="117">
        <f t="shared" si="40"/>
        <v>16817.40616883117</v>
      </c>
      <c r="I164" s="7"/>
      <c r="J164" s="10">
        <v>5.9989999999999997</v>
      </c>
      <c r="K164" s="117">
        <v>310733</v>
      </c>
      <c r="L164" s="120">
        <f t="shared" si="38"/>
        <v>100.88733766233766</v>
      </c>
      <c r="M164" s="122">
        <f t="shared" si="34"/>
        <v>517976.11</v>
      </c>
      <c r="N164" s="116">
        <f t="shared" si="35"/>
        <v>207243.11</v>
      </c>
      <c r="O164" s="123">
        <f t="shared" si="36"/>
        <v>67.286724025974024</v>
      </c>
      <c r="P164" s="5"/>
      <c r="Q164" s="5">
        <f t="shared" si="30"/>
        <v>1</v>
      </c>
      <c r="R164" s="7">
        <f t="shared" si="31"/>
        <v>3080</v>
      </c>
      <c r="S164" s="5">
        <f t="shared" si="32"/>
        <v>1</v>
      </c>
      <c r="T164" s="7">
        <f t="shared" si="33"/>
        <v>3080</v>
      </c>
    </row>
    <row r="165" spans="1:20">
      <c r="A165" s="23" t="s">
        <v>192</v>
      </c>
      <c r="B165" s="35" t="s">
        <v>183</v>
      </c>
      <c r="C165" s="36">
        <v>6444</v>
      </c>
      <c r="D165" s="6"/>
      <c r="E165" s="113">
        <v>237164250</v>
      </c>
      <c r="F165" s="116">
        <f t="shared" si="39"/>
        <v>36803.887337057728</v>
      </c>
      <c r="G165" s="117">
        <v>185559456</v>
      </c>
      <c r="H165" s="117">
        <f t="shared" si="40"/>
        <v>28795.694599627561</v>
      </c>
      <c r="I165" s="7"/>
      <c r="J165" s="10">
        <v>3.39</v>
      </c>
      <c r="K165" s="117">
        <v>629046</v>
      </c>
      <c r="L165" s="120">
        <f t="shared" si="38"/>
        <v>97.617318435754186</v>
      </c>
      <c r="M165" s="122">
        <f t="shared" si="34"/>
        <v>1855594.56</v>
      </c>
      <c r="N165" s="116">
        <f t="shared" si="35"/>
        <v>1226548.56</v>
      </c>
      <c r="O165" s="123">
        <f t="shared" si="36"/>
        <v>190.33962756052142</v>
      </c>
      <c r="P165" s="5"/>
      <c r="Q165" s="5">
        <f t="shared" si="30"/>
        <v>1</v>
      </c>
      <c r="R165" s="7">
        <f t="shared" si="31"/>
        <v>6444</v>
      </c>
      <c r="S165" s="5">
        <f t="shared" si="32"/>
        <v>1</v>
      </c>
      <c r="T165" s="7">
        <f t="shared" si="33"/>
        <v>6444</v>
      </c>
    </row>
    <row r="166" spans="1:20">
      <c r="A166" s="23" t="s">
        <v>193</v>
      </c>
      <c r="B166" s="35" t="s">
        <v>183</v>
      </c>
      <c r="C166" s="36">
        <v>985</v>
      </c>
      <c r="D166" s="6"/>
      <c r="E166" s="113">
        <v>58525907</v>
      </c>
      <c r="F166" s="116">
        <f t="shared" si="39"/>
        <v>59417.164467005074</v>
      </c>
      <c r="G166" s="117">
        <v>42688611</v>
      </c>
      <c r="H166" s="117">
        <f t="shared" si="40"/>
        <v>43338.691370558372</v>
      </c>
      <c r="I166" s="7"/>
      <c r="J166" s="10">
        <v>2.99</v>
      </c>
      <c r="K166" s="117">
        <v>127638</v>
      </c>
      <c r="L166" s="120">
        <f t="shared" si="38"/>
        <v>129.58172588832488</v>
      </c>
      <c r="M166" s="122">
        <f t="shared" si="34"/>
        <v>426886.11</v>
      </c>
      <c r="N166" s="116">
        <f t="shared" si="35"/>
        <v>299248.11</v>
      </c>
      <c r="O166" s="123">
        <f t="shared" si="36"/>
        <v>303.80518781725885</v>
      </c>
      <c r="P166" s="5"/>
      <c r="Q166" s="5">
        <f t="shared" si="30"/>
        <v>1</v>
      </c>
      <c r="R166" s="7">
        <f t="shared" si="31"/>
        <v>985</v>
      </c>
      <c r="S166" s="5">
        <f t="shared" si="32"/>
        <v>1</v>
      </c>
      <c r="T166" s="7">
        <f t="shared" si="33"/>
        <v>985</v>
      </c>
    </row>
    <row r="167" spans="1:20">
      <c r="A167" s="23" t="s">
        <v>194</v>
      </c>
      <c r="B167" s="35" t="s">
        <v>183</v>
      </c>
      <c r="C167" s="36">
        <v>10364</v>
      </c>
      <c r="D167" s="6"/>
      <c r="E167" s="113">
        <v>680050326</v>
      </c>
      <c r="F167" s="116">
        <f t="shared" si="39"/>
        <v>65616.588768815127</v>
      </c>
      <c r="G167" s="117">
        <v>525275803</v>
      </c>
      <c r="H167" s="117">
        <f t="shared" si="40"/>
        <v>50682.728965650327</v>
      </c>
      <c r="I167" s="7"/>
      <c r="J167" s="10">
        <v>6.181</v>
      </c>
      <c r="K167" s="117">
        <v>3246729</v>
      </c>
      <c r="L167" s="120">
        <f t="shared" si="38"/>
        <v>313.26987649556156</v>
      </c>
      <c r="M167" s="122">
        <f t="shared" si="34"/>
        <v>5252758.03</v>
      </c>
      <c r="N167" s="116">
        <f t="shared" si="35"/>
        <v>2006029.0300000003</v>
      </c>
      <c r="O167" s="123">
        <f t="shared" si="36"/>
        <v>193.55741316094173</v>
      </c>
      <c r="P167" s="5"/>
      <c r="Q167" s="5">
        <f t="shared" si="30"/>
        <v>1</v>
      </c>
      <c r="R167" s="7">
        <f t="shared" si="31"/>
        <v>10364</v>
      </c>
      <c r="S167" s="5">
        <f t="shared" si="32"/>
        <v>1</v>
      </c>
      <c r="T167" s="7">
        <f t="shared" si="33"/>
        <v>10364</v>
      </c>
    </row>
    <row r="168" spans="1:20">
      <c r="A168" s="23" t="s">
        <v>195</v>
      </c>
      <c r="B168" s="35" t="s">
        <v>183</v>
      </c>
      <c r="C168" s="36">
        <v>10301</v>
      </c>
      <c r="D168" s="6"/>
      <c r="E168" s="113">
        <v>604653037</v>
      </c>
      <c r="F168" s="116">
        <f t="shared" si="39"/>
        <v>58698.479468012811</v>
      </c>
      <c r="G168" s="117">
        <v>362344221</v>
      </c>
      <c r="H168" s="117">
        <f t="shared" si="40"/>
        <v>35175.635472284244</v>
      </c>
      <c r="I168" s="7"/>
      <c r="J168" s="10">
        <v>5.42</v>
      </c>
      <c r="K168" s="117">
        <v>1963905</v>
      </c>
      <c r="L168" s="120">
        <f t="shared" si="38"/>
        <v>190.65187845840211</v>
      </c>
      <c r="M168" s="122">
        <f t="shared" si="34"/>
        <v>3623442.21</v>
      </c>
      <c r="N168" s="116">
        <f t="shared" si="35"/>
        <v>1659537.21</v>
      </c>
      <c r="O168" s="123">
        <f t="shared" si="36"/>
        <v>161.10447626444034</v>
      </c>
      <c r="P168" s="5"/>
      <c r="Q168" s="5">
        <f t="shared" si="30"/>
        <v>1</v>
      </c>
      <c r="R168" s="7">
        <f t="shared" si="31"/>
        <v>10301</v>
      </c>
      <c r="S168" s="5">
        <f t="shared" si="32"/>
        <v>1</v>
      </c>
      <c r="T168" s="7">
        <f t="shared" si="33"/>
        <v>10301</v>
      </c>
    </row>
    <row r="169" spans="1:20">
      <c r="A169" s="23" t="s">
        <v>196</v>
      </c>
      <c r="B169" s="35" t="s">
        <v>183</v>
      </c>
      <c r="C169" s="36">
        <v>2300</v>
      </c>
      <c r="D169" s="6"/>
      <c r="E169" s="113">
        <v>106429992</v>
      </c>
      <c r="F169" s="116">
        <f t="shared" si="39"/>
        <v>46273.909565217393</v>
      </c>
      <c r="G169" s="117">
        <v>72671539</v>
      </c>
      <c r="H169" s="117">
        <f t="shared" si="40"/>
        <v>31596.321304347824</v>
      </c>
      <c r="I169" s="7"/>
      <c r="J169" s="10">
        <v>5.99</v>
      </c>
      <c r="K169" s="117">
        <v>435302</v>
      </c>
      <c r="L169" s="120">
        <f t="shared" si="38"/>
        <v>189.26173913043479</v>
      </c>
      <c r="M169" s="122">
        <f t="shared" si="34"/>
        <v>726715.39</v>
      </c>
      <c r="N169" s="116">
        <f t="shared" si="35"/>
        <v>291413.39</v>
      </c>
      <c r="O169" s="123">
        <f t="shared" si="36"/>
        <v>126.70147391304349</v>
      </c>
      <c r="P169" s="5"/>
      <c r="Q169" s="5">
        <f t="shared" si="30"/>
        <v>1</v>
      </c>
      <c r="R169" s="7">
        <f t="shared" si="31"/>
        <v>2300</v>
      </c>
      <c r="S169" s="5">
        <f t="shared" si="32"/>
        <v>1</v>
      </c>
      <c r="T169" s="7">
        <f t="shared" si="33"/>
        <v>2300</v>
      </c>
    </row>
    <row r="170" spans="1:20">
      <c r="A170" s="23" t="s">
        <v>448</v>
      </c>
      <c r="B170" s="35" t="s">
        <v>198</v>
      </c>
      <c r="C170" s="36">
        <v>39154</v>
      </c>
      <c r="D170" s="6"/>
      <c r="E170" s="113">
        <v>5458252847</v>
      </c>
      <c r="F170" s="116">
        <f t="shared" si="39"/>
        <v>139404.73124074168</v>
      </c>
      <c r="G170" s="117">
        <v>4744944467</v>
      </c>
      <c r="H170" s="117">
        <f t="shared" si="40"/>
        <v>121186.71060428054</v>
      </c>
      <c r="I170" s="7"/>
      <c r="J170" s="10">
        <v>1.0885</v>
      </c>
      <c r="K170" s="117">
        <v>5164872</v>
      </c>
      <c r="L170" s="120">
        <f t="shared" si="38"/>
        <v>131.9117331562548</v>
      </c>
      <c r="M170" s="122">
        <f t="shared" si="34"/>
        <v>47449444.670000002</v>
      </c>
      <c r="N170" s="116">
        <f t="shared" si="35"/>
        <v>42284572.670000002</v>
      </c>
      <c r="O170" s="123">
        <f t="shared" si="36"/>
        <v>1079.9553728865505</v>
      </c>
      <c r="P170" s="5"/>
      <c r="Q170" s="5">
        <f t="shared" si="30"/>
        <v>1</v>
      </c>
      <c r="R170" s="7">
        <f t="shared" si="31"/>
        <v>39154</v>
      </c>
      <c r="S170" s="5">
        <f t="shared" si="32"/>
        <v>1</v>
      </c>
      <c r="T170" s="7">
        <f t="shared" si="33"/>
        <v>39154</v>
      </c>
    </row>
    <row r="171" spans="1:20">
      <c r="A171" s="23" t="s">
        <v>197</v>
      </c>
      <c r="B171" s="35" t="s">
        <v>198</v>
      </c>
      <c r="C171" s="36">
        <v>113253</v>
      </c>
      <c r="D171" s="6"/>
      <c r="E171" s="113">
        <v>7489076090</v>
      </c>
      <c r="F171" s="116">
        <f t="shared" si="39"/>
        <v>66126.95548903782</v>
      </c>
      <c r="G171" s="117">
        <v>5608534540</v>
      </c>
      <c r="H171" s="117">
        <f t="shared" si="40"/>
        <v>49522.171951294891</v>
      </c>
      <c r="I171" s="7"/>
      <c r="J171" s="10">
        <v>5.8033000000000001</v>
      </c>
      <c r="K171" s="117">
        <v>32548008</v>
      </c>
      <c r="L171" s="120">
        <f t="shared" si="38"/>
        <v>287.39201610553363</v>
      </c>
      <c r="M171" s="122">
        <f t="shared" si="34"/>
        <v>56085345.399999999</v>
      </c>
      <c r="N171" s="116">
        <f t="shared" si="35"/>
        <v>23537337.399999999</v>
      </c>
      <c r="O171" s="123">
        <f t="shared" si="36"/>
        <v>207.82970340741525</v>
      </c>
      <c r="P171" s="5"/>
      <c r="Q171" s="5">
        <f t="shared" si="30"/>
        <v>1</v>
      </c>
      <c r="R171" s="7">
        <f t="shared" si="31"/>
        <v>113253</v>
      </c>
      <c r="S171" s="5">
        <f t="shared" si="32"/>
        <v>1</v>
      </c>
      <c r="T171" s="7">
        <f t="shared" si="33"/>
        <v>113253</v>
      </c>
    </row>
    <row r="172" spans="1:20">
      <c r="A172" s="23" t="s">
        <v>199</v>
      </c>
      <c r="B172" s="35" t="s">
        <v>198</v>
      </c>
      <c r="C172" s="36">
        <v>51323</v>
      </c>
      <c r="D172" s="6"/>
      <c r="E172" s="113">
        <v>3339477313</v>
      </c>
      <c r="F172" s="116">
        <f t="shared" si="39"/>
        <v>65067.85092453676</v>
      </c>
      <c r="G172" s="117">
        <v>2436068803</v>
      </c>
      <c r="H172" s="117">
        <f t="shared" si="40"/>
        <v>47465.440504257349</v>
      </c>
      <c r="I172" s="7"/>
      <c r="J172" s="10">
        <v>7.7816000000000001</v>
      </c>
      <c r="K172" s="117">
        <v>18956512</v>
      </c>
      <c r="L172" s="120">
        <f t="shared" si="38"/>
        <v>369.35705239366365</v>
      </c>
      <c r="M172" s="122">
        <f t="shared" si="34"/>
        <v>24360688.030000001</v>
      </c>
      <c r="N172" s="116">
        <f t="shared" si="35"/>
        <v>5404176.0300000012</v>
      </c>
      <c r="O172" s="123">
        <f t="shared" si="36"/>
        <v>105.29735264890986</v>
      </c>
      <c r="P172" s="5"/>
      <c r="Q172" s="5">
        <f t="shared" si="30"/>
        <v>1</v>
      </c>
      <c r="R172" s="7">
        <f t="shared" si="31"/>
        <v>51323</v>
      </c>
      <c r="S172" s="5">
        <f t="shared" si="32"/>
        <v>1</v>
      </c>
      <c r="T172" s="7">
        <f t="shared" si="33"/>
        <v>51323</v>
      </c>
    </row>
    <row r="173" spans="1:20">
      <c r="A173" s="23" t="s">
        <v>200</v>
      </c>
      <c r="B173" s="35" t="s">
        <v>198</v>
      </c>
      <c r="C173" s="36">
        <v>6741</v>
      </c>
      <c r="D173" s="6"/>
      <c r="E173" s="113">
        <v>2097922580</v>
      </c>
      <c r="F173" s="116">
        <f t="shared" si="39"/>
        <v>311218.30292241508</v>
      </c>
      <c r="G173" s="117">
        <v>1888027310</v>
      </c>
      <c r="H173" s="117">
        <f t="shared" si="40"/>
        <v>280081.19121792016</v>
      </c>
      <c r="I173" s="7"/>
      <c r="J173" s="10">
        <v>1.04</v>
      </c>
      <c r="K173" s="117">
        <v>1963548</v>
      </c>
      <c r="L173" s="120">
        <f t="shared" si="38"/>
        <v>291.28437917222965</v>
      </c>
      <c r="M173" s="122">
        <f t="shared" si="34"/>
        <v>18880273.100000001</v>
      </c>
      <c r="N173" s="116">
        <f t="shared" si="35"/>
        <v>16916725.100000001</v>
      </c>
      <c r="O173" s="123">
        <f t="shared" si="36"/>
        <v>2509.5275330069726</v>
      </c>
      <c r="P173" s="5"/>
      <c r="Q173" s="5">
        <f t="shared" si="30"/>
        <v>1</v>
      </c>
      <c r="R173" s="7">
        <f t="shared" si="31"/>
        <v>6741</v>
      </c>
      <c r="S173" s="5">
        <f t="shared" si="32"/>
        <v>1</v>
      </c>
      <c r="T173" s="7">
        <f t="shared" si="33"/>
        <v>6741</v>
      </c>
    </row>
    <row r="174" spans="1:20">
      <c r="A174" s="23" t="s">
        <v>201</v>
      </c>
      <c r="B174" s="35" t="s">
        <v>198</v>
      </c>
      <c r="C174" s="36">
        <v>6135</v>
      </c>
      <c r="D174" s="6"/>
      <c r="E174" s="113">
        <v>4097119160</v>
      </c>
      <c r="F174" s="116">
        <f t="shared" si="39"/>
        <v>667827.08394458028</v>
      </c>
      <c r="G174" s="117">
        <v>3655590340</v>
      </c>
      <c r="H174" s="117">
        <f t="shared" si="40"/>
        <v>595858.24612876936</v>
      </c>
      <c r="I174" s="7"/>
      <c r="J174" s="10">
        <v>1.7291000000000001</v>
      </c>
      <c r="K174" s="117">
        <v>6320881</v>
      </c>
      <c r="L174" s="120">
        <f t="shared" si="38"/>
        <v>1030.2984515077424</v>
      </c>
      <c r="M174" s="122">
        <f t="shared" si="34"/>
        <v>36555903.399999999</v>
      </c>
      <c r="N174" s="116">
        <f t="shared" si="35"/>
        <v>30235022.399999999</v>
      </c>
      <c r="O174" s="123">
        <f t="shared" si="36"/>
        <v>4928.2840097799508</v>
      </c>
      <c r="P174" s="5"/>
      <c r="Q174" s="5">
        <f t="shared" si="30"/>
        <v>1</v>
      </c>
      <c r="R174" s="7">
        <f t="shared" si="31"/>
        <v>6135</v>
      </c>
      <c r="S174" s="5">
        <f t="shared" si="32"/>
        <v>1</v>
      </c>
      <c r="T174" s="7">
        <f t="shared" si="33"/>
        <v>6135</v>
      </c>
    </row>
    <row r="175" spans="1:20">
      <c r="A175" s="23" t="s">
        <v>202</v>
      </c>
      <c r="B175" s="35" t="s">
        <v>203</v>
      </c>
      <c r="C175" s="36">
        <v>156703</v>
      </c>
      <c r="D175" s="6"/>
      <c r="E175" s="113">
        <v>11718892463</v>
      </c>
      <c r="F175" s="116">
        <f t="shared" si="39"/>
        <v>74784.097707127497</v>
      </c>
      <c r="G175" s="117">
        <v>6335213795</v>
      </c>
      <c r="H175" s="117">
        <f t="shared" si="40"/>
        <v>40428.158969515578</v>
      </c>
      <c r="I175" s="7"/>
      <c r="J175" s="10">
        <v>3.2</v>
      </c>
      <c r="K175" s="117">
        <v>20272684</v>
      </c>
      <c r="L175" s="120">
        <f t="shared" si="38"/>
        <v>129.37010778351404</v>
      </c>
      <c r="M175" s="122">
        <f t="shared" si="34"/>
        <v>63352137.950000003</v>
      </c>
      <c r="N175" s="116">
        <f t="shared" si="35"/>
        <v>43079453.950000003</v>
      </c>
      <c r="O175" s="123">
        <f t="shared" si="36"/>
        <v>274.91148191164177</v>
      </c>
      <c r="P175" s="5"/>
      <c r="Q175" s="5">
        <f t="shared" si="30"/>
        <v>1</v>
      </c>
      <c r="R175" s="7">
        <f t="shared" si="31"/>
        <v>156703</v>
      </c>
      <c r="S175" s="5">
        <f t="shared" si="32"/>
        <v>1</v>
      </c>
      <c r="T175" s="7">
        <f t="shared" si="33"/>
        <v>156703</v>
      </c>
    </row>
    <row r="176" spans="1:20">
      <c r="A176" s="23" t="s">
        <v>204</v>
      </c>
      <c r="B176" s="35" t="s">
        <v>205</v>
      </c>
      <c r="C176" s="36">
        <v>964</v>
      </c>
      <c r="D176" s="6"/>
      <c r="E176" s="113">
        <v>32183249</v>
      </c>
      <c r="F176" s="116">
        <f t="shared" si="39"/>
        <v>33385.113070539417</v>
      </c>
      <c r="G176" s="117">
        <v>19400175</v>
      </c>
      <c r="H176" s="117">
        <f t="shared" si="40"/>
        <v>20124.662863070538</v>
      </c>
      <c r="I176" s="7"/>
      <c r="J176" s="10">
        <v>3</v>
      </c>
      <c r="K176" s="117">
        <v>58200</v>
      </c>
      <c r="L176" s="120">
        <f t="shared" si="38"/>
        <v>60.373443983402488</v>
      </c>
      <c r="M176" s="122">
        <f t="shared" si="34"/>
        <v>194001.75</v>
      </c>
      <c r="N176" s="116">
        <f t="shared" si="35"/>
        <v>135801.75</v>
      </c>
      <c r="O176" s="123">
        <f t="shared" si="36"/>
        <v>140.87318464730291</v>
      </c>
      <c r="P176" s="5"/>
      <c r="Q176" s="5">
        <f t="shared" si="30"/>
        <v>1</v>
      </c>
      <c r="R176" s="7">
        <f t="shared" si="31"/>
        <v>964</v>
      </c>
      <c r="S176" s="5">
        <f t="shared" si="32"/>
        <v>1</v>
      </c>
      <c r="T176" s="7">
        <f t="shared" si="33"/>
        <v>964</v>
      </c>
    </row>
    <row r="177" spans="1:20">
      <c r="A177" s="23" t="s">
        <v>206</v>
      </c>
      <c r="B177" s="35" t="s">
        <v>205</v>
      </c>
      <c r="C177" s="36">
        <v>806</v>
      </c>
      <c r="D177" s="6"/>
      <c r="E177" s="113">
        <v>124574095</v>
      </c>
      <c r="F177" s="116">
        <f t="shared" si="39"/>
        <v>154558.43052109182</v>
      </c>
      <c r="G177" s="117">
        <v>95424318</v>
      </c>
      <c r="H177" s="117">
        <f t="shared" si="40"/>
        <v>118392.4540942928</v>
      </c>
      <c r="I177" s="7"/>
      <c r="J177" s="10">
        <v>2.4500000000000002</v>
      </c>
      <c r="K177" s="117">
        <v>233789</v>
      </c>
      <c r="L177" s="120">
        <f t="shared" si="38"/>
        <v>290.06079404466499</v>
      </c>
      <c r="M177" s="122">
        <f t="shared" si="34"/>
        <v>954243.18</v>
      </c>
      <c r="N177" s="116">
        <f t="shared" si="35"/>
        <v>720454.18</v>
      </c>
      <c r="O177" s="123">
        <f t="shared" si="36"/>
        <v>893.86374689826312</v>
      </c>
      <c r="P177" s="5"/>
      <c r="Q177" s="5">
        <f t="shared" si="30"/>
        <v>1</v>
      </c>
      <c r="R177" s="7">
        <f t="shared" si="31"/>
        <v>806</v>
      </c>
      <c r="S177" s="5">
        <f t="shared" si="32"/>
        <v>1</v>
      </c>
      <c r="T177" s="7">
        <f t="shared" si="33"/>
        <v>806</v>
      </c>
    </row>
    <row r="178" spans="1:20">
      <c r="A178" s="23" t="s">
        <v>207</v>
      </c>
      <c r="B178" s="35" t="s">
        <v>205</v>
      </c>
      <c r="C178" s="36">
        <v>2012</v>
      </c>
      <c r="D178" s="6"/>
      <c r="E178" s="113">
        <v>110622826</v>
      </c>
      <c r="F178" s="116">
        <f t="shared" si="39"/>
        <v>54981.523856858847</v>
      </c>
      <c r="G178" s="117">
        <v>86122042</v>
      </c>
      <c r="H178" s="117">
        <f t="shared" si="40"/>
        <v>42804.195825049705</v>
      </c>
      <c r="I178" s="7"/>
      <c r="J178" s="10">
        <v>4.6993</v>
      </c>
      <c r="K178" s="117">
        <v>404713</v>
      </c>
      <c r="L178" s="120">
        <f t="shared" si="38"/>
        <v>201.14960238568588</v>
      </c>
      <c r="M178" s="122">
        <f t="shared" si="34"/>
        <v>861220.42</v>
      </c>
      <c r="N178" s="116">
        <f t="shared" si="35"/>
        <v>456507.42000000004</v>
      </c>
      <c r="O178" s="123">
        <f t="shared" si="36"/>
        <v>226.89235586481115</v>
      </c>
      <c r="P178" s="5"/>
      <c r="Q178" s="5">
        <f t="shared" si="30"/>
        <v>1</v>
      </c>
      <c r="R178" s="7">
        <f t="shared" si="31"/>
        <v>2012</v>
      </c>
      <c r="S178" s="5">
        <f t="shared" si="32"/>
        <v>1</v>
      </c>
      <c r="T178" s="7">
        <f t="shared" si="33"/>
        <v>2012</v>
      </c>
    </row>
    <row r="179" spans="1:20">
      <c r="A179" s="23" t="s">
        <v>208</v>
      </c>
      <c r="B179" s="35" t="s">
        <v>205</v>
      </c>
      <c r="C179" s="36">
        <v>1558</v>
      </c>
      <c r="D179" s="6"/>
      <c r="E179" s="113">
        <v>59862597</v>
      </c>
      <c r="F179" s="116">
        <f t="shared" si="39"/>
        <v>38422.719512195123</v>
      </c>
      <c r="G179" s="117">
        <v>43830059</v>
      </c>
      <c r="H179" s="117">
        <f t="shared" si="40"/>
        <v>28132.258664955072</v>
      </c>
      <c r="I179" s="7"/>
      <c r="J179" s="10">
        <v>5</v>
      </c>
      <c r="K179" s="117">
        <v>219150</v>
      </c>
      <c r="L179" s="120">
        <f t="shared" si="38"/>
        <v>140.66110397946085</v>
      </c>
      <c r="M179" s="122">
        <f t="shared" si="34"/>
        <v>438300.59</v>
      </c>
      <c r="N179" s="116">
        <f t="shared" si="35"/>
        <v>219150.59000000003</v>
      </c>
      <c r="O179" s="123">
        <f t="shared" si="36"/>
        <v>140.66148267008987</v>
      </c>
      <c r="P179" s="5"/>
      <c r="Q179" s="5">
        <f t="shared" si="30"/>
        <v>1</v>
      </c>
      <c r="R179" s="7">
        <f t="shared" si="31"/>
        <v>1558</v>
      </c>
      <c r="S179" s="5">
        <f t="shared" si="32"/>
        <v>1</v>
      </c>
      <c r="T179" s="7">
        <f t="shared" si="33"/>
        <v>1558</v>
      </c>
    </row>
    <row r="180" spans="1:20">
      <c r="A180" s="23" t="s">
        <v>209</v>
      </c>
      <c r="B180" s="35" t="s">
        <v>205</v>
      </c>
      <c r="C180" s="36">
        <v>130</v>
      </c>
      <c r="D180" s="6"/>
      <c r="E180" s="113">
        <v>4297712</v>
      </c>
      <c r="F180" s="116">
        <f t="shared" si="39"/>
        <v>33059.323076923079</v>
      </c>
      <c r="G180" s="117">
        <v>2572983</v>
      </c>
      <c r="H180" s="117">
        <f t="shared" si="40"/>
        <v>19792.176923076924</v>
      </c>
      <c r="I180" s="7"/>
      <c r="J180" s="10">
        <v>3</v>
      </c>
      <c r="K180" s="117">
        <v>7718</v>
      </c>
      <c r="L180" s="120">
        <f t="shared" si="38"/>
        <v>59.369230769230768</v>
      </c>
      <c r="M180" s="122">
        <f t="shared" si="34"/>
        <v>25729.83</v>
      </c>
      <c r="N180" s="116">
        <f t="shared" si="35"/>
        <v>18011.830000000002</v>
      </c>
      <c r="O180" s="123">
        <f t="shared" si="36"/>
        <v>138.55253846153846</v>
      </c>
      <c r="P180" s="5"/>
      <c r="Q180" s="5">
        <f t="shared" si="30"/>
        <v>1</v>
      </c>
      <c r="R180" s="7">
        <f t="shared" si="31"/>
        <v>130</v>
      </c>
      <c r="S180" s="5">
        <f t="shared" si="32"/>
        <v>1</v>
      </c>
      <c r="T180" s="7">
        <f t="shared" si="33"/>
        <v>130</v>
      </c>
    </row>
    <row r="181" spans="1:20">
      <c r="A181" s="23" t="s">
        <v>210</v>
      </c>
      <c r="B181" s="35" t="s">
        <v>205</v>
      </c>
      <c r="C181" s="36">
        <v>2290</v>
      </c>
      <c r="D181" s="6"/>
      <c r="E181" s="113">
        <v>98492343</v>
      </c>
      <c r="F181" s="116">
        <f t="shared" si="39"/>
        <v>43009.756768558953</v>
      </c>
      <c r="G181" s="117">
        <v>60290213</v>
      </c>
      <c r="H181" s="117">
        <f t="shared" si="40"/>
        <v>26327.603930131005</v>
      </c>
      <c r="I181" s="7"/>
      <c r="J181" s="10">
        <v>4.5</v>
      </c>
      <c r="K181" s="117">
        <v>271305</v>
      </c>
      <c r="L181" s="120">
        <f t="shared" si="38"/>
        <v>118.47379912663756</v>
      </c>
      <c r="M181" s="122">
        <f t="shared" si="34"/>
        <v>602902.13</v>
      </c>
      <c r="N181" s="116">
        <f t="shared" si="35"/>
        <v>331597.13</v>
      </c>
      <c r="O181" s="123">
        <f t="shared" si="36"/>
        <v>144.80224017467251</v>
      </c>
      <c r="P181" s="5"/>
      <c r="Q181" s="5">
        <f t="shared" si="30"/>
        <v>1</v>
      </c>
      <c r="R181" s="7">
        <f t="shared" si="31"/>
        <v>2290</v>
      </c>
      <c r="S181" s="5">
        <f t="shared" si="32"/>
        <v>1</v>
      </c>
      <c r="T181" s="7">
        <f t="shared" si="33"/>
        <v>2290</v>
      </c>
    </row>
    <row r="182" spans="1:20">
      <c r="A182" s="23" t="s">
        <v>211</v>
      </c>
      <c r="B182" s="35" t="s">
        <v>205</v>
      </c>
      <c r="C182" s="36">
        <v>662</v>
      </c>
      <c r="D182" s="6"/>
      <c r="E182" s="113">
        <v>41168662</v>
      </c>
      <c r="F182" s="116">
        <f t="shared" si="39"/>
        <v>62188.311178247735</v>
      </c>
      <c r="G182" s="117">
        <v>31551888</v>
      </c>
      <c r="H182" s="117">
        <f t="shared" si="40"/>
        <v>47661.462235649546</v>
      </c>
      <c r="I182" s="7"/>
      <c r="J182" s="10">
        <v>1.9510000000000001</v>
      </c>
      <c r="K182" s="117">
        <v>61557</v>
      </c>
      <c r="L182" s="120">
        <f t="shared" si="38"/>
        <v>92.986404833836858</v>
      </c>
      <c r="M182" s="122">
        <f t="shared" si="34"/>
        <v>315518.88</v>
      </c>
      <c r="N182" s="116">
        <f t="shared" si="35"/>
        <v>253961.88</v>
      </c>
      <c r="O182" s="123">
        <f t="shared" si="36"/>
        <v>383.62821752265864</v>
      </c>
      <c r="P182" s="5"/>
      <c r="Q182" s="5">
        <f t="shared" si="30"/>
        <v>1</v>
      </c>
      <c r="R182" s="7">
        <f t="shared" si="31"/>
        <v>662</v>
      </c>
      <c r="S182" s="5">
        <f t="shared" si="32"/>
        <v>1</v>
      </c>
      <c r="T182" s="7">
        <f t="shared" si="33"/>
        <v>662</v>
      </c>
    </row>
    <row r="183" spans="1:20">
      <c r="A183" s="23" t="s">
        <v>212</v>
      </c>
      <c r="B183" s="35" t="s">
        <v>213</v>
      </c>
      <c r="C183" s="36">
        <v>988</v>
      </c>
      <c r="D183" s="6"/>
      <c r="E183" s="113">
        <v>27330213</v>
      </c>
      <c r="F183" s="116">
        <f t="shared" si="39"/>
        <v>27662.158906882592</v>
      </c>
      <c r="G183" s="117">
        <v>12198537</v>
      </c>
      <c r="H183" s="117">
        <f t="shared" si="40"/>
        <v>12346.697368421053</v>
      </c>
      <c r="I183" s="7"/>
      <c r="J183" s="10">
        <v>3</v>
      </c>
      <c r="K183" s="117">
        <v>36595</v>
      </c>
      <c r="L183" s="120">
        <f t="shared" si="38"/>
        <v>37.039473684210527</v>
      </c>
      <c r="M183" s="122">
        <f t="shared" si="34"/>
        <v>121985.37</v>
      </c>
      <c r="N183" s="116">
        <f t="shared" si="35"/>
        <v>85390.37</v>
      </c>
      <c r="O183" s="123">
        <f t="shared" si="36"/>
        <v>86.427499999999995</v>
      </c>
      <c r="P183" s="5"/>
      <c r="Q183" s="5">
        <f t="shared" si="30"/>
        <v>1</v>
      </c>
      <c r="R183" s="7">
        <f t="shared" si="31"/>
        <v>988</v>
      </c>
      <c r="S183" s="5">
        <f t="shared" si="32"/>
        <v>1</v>
      </c>
      <c r="T183" s="7">
        <f t="shared" si="33"/>
        <v>988</v>
      </c>
    </row>
    <row r="184" spans="1:20">
      <c r="A184" s="23" t="s">
        <v>214</v>
      </c>
      <c r="B184" s="35" t="s">
        <v>215</v>
      </c>
      <c r="C184" s="36">
        <v>846</v>
      </c>
      <c r="D184" s="6"/>
      <c r="E184" s="113">
        <v>16916687</v>
      </c>
      <c r="F184" s="116">
        <f t="shared" si="39"/>
        <v>19996.083924349881</v>
      </c>
      <c r="G184" s="117">
        <v>9346893</v>
      </c>
      <c r="H184" s="117">
        <f t="shared" si="40"/>
        <v>11048.336879432623</v>
      </c>
      <c r="I184" s="7"/>
      <c r="J184" s="10">
        <v>9.85</v>
      </c>
      <c r="K184" s="117">
        <v>92066</v>
      </c>
      <c r="L184" s="120">
        <f t="shared" si="38"/>
        <v>108.82505910165484</v>
      </c>
      <c r="M184" s="122">
        <f t="shared" si="34"/>
        <v>93468.930000000008</v>
      </c>
      <c r="N184" s="116">
        <f t="shared" si="35"/>
        <v>1402.9300000000076</v>
      </c>
      <c r="O184" s="123">
        <f t="shared" si="36"/>
        <v>1.6583096926714038</v>
      </c>
      <c r="P184" s="5"/>
      <c r="Q184" s="5">
        <f t="shared" si="30"/>
        <v>1</v>
      </c>
      <c r="R184" s="7">
        <f t="shared" si="31"/>
        <v>846</v>
      </c>
      <c r="S184" s="5">
        <f t="shared" si="32"/>
        <v>1</v>
      </c>
      <c r="T184" s="7">
        <f t="shared" si="33"/>
        <v>846</v>
      </c>
    </row>
    <row r="185" spans="1:20">
      <c r="A185" s="23" t="s">
        <v>198</v>
      </c>
      <c r="B185" s="35" t="s">
        <v>215</v>
      </c>
      <c r="C185" s="36">
        <v>360</v>
      </c>
      <c r="D185" s="6"/>
      <c r="E185" s="113">
        <v>7494908</v>
      </c>
      <c r="F185" s="116">
        <f t="shared" si="39"/>
        <v>20819.18888888889</v>
      </c>
      <c r="G185" s="117">
        <v>4239008</v>
      </c>
      <c r="H185" s="117">
        <f t="shared" si="40"/>
        <v>11775.022222222222</v>
      </c>
      <c r="I185" s="7"/>
      <c r="J185" s="10">
        <v>6.67</v>
      </c>
      <c r="K185" s="117">
        <v>28274</v>
      </c>
      <c r="L185" s="120">
        <f t="shared" si="38"/>
        <v>78.538888888888891</v>
      </c>
      <c r="M185" s="122">
        <f t="shared" si="34"/>
        <v>42390.080000000002</v>
      </c>
      <c r="N185" s="116">
        <f t="shared" si="35"/>
        <v>14116.080000000002</v>
      </c>
      <c r="O185" s="123">
        <f t="shared" si="36"/>
        <v>39.211333333333336</v>
      </c>
      <c r="P185" s="5"/>
      <c r="Q185" s="5">
        <f t="shared" si="30"/>
        <v>1</v>
      </c>
      <c r="R185" s="7">
        <f t="shared" si="31"/>
        <v>360</v>
      </c>
      <c r="S185" s="5">
        <f t="shared" si="32"/>
        <v>1</v>
      </c>
      <c r="T185" s="7">
        <f t="shared" si="33"/>
        <v>360</v>
      </c>
    </row>
    <row r="186" spans="1:20">
      <c r="A186" s="23" t="s">
        <v>215</v>
      </c>
      <c r="B186" s="35" t="s">
        <v>215</v>
      </c>
      <c r="C186" s="36">
        <v>3069</v>
      </c>
      <c r="D186" s="6"/>
      <c r="E186" s="113">
        <v>104070393</v>
      </c>
      <c r="F186" s="116">
        <f t="shared" si="39"/>
        <v>33910.196480938415</v>
      </c>
      <c r="G186" s="117">
        <v>67109466</v>
      </c>
      <c r="H186" s="117">
        <f t="shared" si="40"/>
        <v>21866.88367546432</v>
      </c>
      <c r="I186" s="7"/>
      <c r="J186" s="10">
        <v>6.3234000000000004</v>
      </c>
      <c r="K186" s="117">
        <v>424359</v>
      </c>
      <c r="L186" s="120">
        <f t="shared" si="38"/>
        <v>138.27272727272728</v>
      </c>
      <c r="M186" s="122">
        <f t="shared" si="34"/>
        <v>671094.66</v>
      </c>
      <c r="N186" s="116">
        <f t="shared" si="35"/>
        <v>246735.66000000003</v>
      </c>
      <c r="O186" s="123">
        <f t="shared" si="36"/>
        <v>80.396109481915943</v>
      </c>
      <c r="P186" s="5"/>
      <c r="Q186" s="5">
        <f t="shared" si="30"/>
        <v>1</v>
      </c>
      <c r="R186" s="7">
        <f t="shared" si="31"/>
        <v>3069</v>
      </c>
      <c r="S186" s="5">
        <f t="shared" si="32"/>
        <v>1</v>
      </c>
      <c r="T186" s="7">
        <f t="shared" si="33"/>
        <v>3069</v>
      </c>
    </row>
    <row r="187" spans="1:20">
      <c r="A187" s="23" t="s">
        <v>216</v>
      </c>
      <c r="B187" s="35" t="s">
        <v>217</v>
      </c>
      <c r="C187" s="36">
        <v>1814</v>
      </c>
      <c r="D187" s="6"/>
      <c r="E187" s="113">
        <v>495507940</v>
      </c>
      <c r="F187" s="116">
        <f t="shared" si="39"/>
        <v>273157.6295479603</v>
      </c>
      <c r="G187" s="117">
        <v>398668291</v>
      </c>
      <c r="H187" s="117">
        <f t="shared" si="40"/>
        <v>219773.03803748623</v>
      </c>
      <c r="I187" s="7"/>
      <c r="J187" s="10">
        <v>2</v>
      </c>
      <c r="K187" s="117">
        <v>797336</v>
      </c>
      <c r="L187" s="120">
        <f t="shared" si="38"/>
        <v>439.54575523704523</v>
      </c>
      <c r="M187" s="122">
        <f t="shared" si="34"/>
        <v>3986682.91</v>
      </c>
      <c r="N187" s="116">
        <f t="shared" si="35"/>
        <v>3189346.91</v>
      </c>
      <c r="O187" s="123">
        <f t="shared" si="36"/>
        <v>1758.184625137817</v>
      </c>
      <c r="P187" s="5"/>
      <c r="Q187" s="5">
        <f t="shared" si="30"/>
        <v>1</v>
      </c>
      <c r="R187" s="7">
        <f t="shared" si="31"/>
        <v>1814</v>
      </c>
      <c r="S187" s="5">
        <f t="shared" si="32"/>
        <v>1</v>
      </c>
      <c r="T187" s="7">
        <f t="shared" si="33"/>
        <v>1814</v>
      </c>
    </row>
    <row r="188" spans="1:20">
      <c r="A188" s="23" t="s">
        <v>218</v>
      </c>
      <c r="B188" s="35" t="s">
        <v>217</v>
      </c>
      <c r="C188" s="36">
        <v>49958</v>
      </c>
      <c r="D188" s="6"/>
      <c r="E188" s="113">
        <v>2733542793</v>
      </c>
      <c r="F188" s="116">
        <f t="shared" si="39"/>
        <v>54716.817987109171</v>
      </c>
      <c r="G188" s="117">
        <v>2000932624</v>
      </c>
      <c r="H188" s="117">
        <f t="shared" si="40"/>
        <v>40052.296408983544</v>
      </c>
      <c r="I188" s="7"/>
      <c r="J188" s="10">
        <v>4.3</v>
      </c>
      <c r="K188" s="117">
        <v>8604010</v>
      </c>
      <c r="L188" s="120">
        <f t="shared" si="38"/>
        <v>172.22486888986748</v>
      </c>
      <c r="M188" s="122">
        <f t="shared" si="34"/>
        <v>20009326.240000002</v>
      </c>
      <c r="N188" s="116">
        <f t="shared" si="35"/>
        <v>11405316.240000002</v>
      </c>
      <c r="O188" s="123">
        <f t="shared" si="36"/>
        <v>228.298095199968</v>
      </c>
      <c r="P188" s="5"/>
      <c r="Q188" s="5">
        <f t="shared" si="30"/>
        <v>1</v>
      </c>
      <c r="R188" s="7">
        <f t="shared" si="31"/>
        <v>49958</v>
      </c>
      <c r="S188" s="5">
        <f t="shared" si="32"/>
        <v>1</v>
      </c>
      <c r="T188" s="7">
        <f t="shared" si="33"/>
        <v>49958</v>
      </c>
    </row>
    <row r="189" spans="1:20">
      <c r="A189" s="23" t="s">
        <v>219</v>
      </c>
      <c r="B189" s="35" t="s">
        <v>217</v>
      </c>
      <c r="C189" s="36">
        <v>1497</v>
      </c>
      <c r="D189" s="6"/>
      <c r="E189" s="113">
        <v>321384201</v>
      </c>
      <c r="F189" s="116">
        <f t="shared" si="39"/>
        <v>214685.50501002005</v>
      </c>
      <c r="G189" s="117">
        <v>272481018</v>
      </c>
      <c r="H189" s="117">
        <f t="shared" si="40"/>
        <v>182018.04809619239</v>
      </c>
      <c r="I189" s="7"/>
      <c r="J189" s="10">
        <v>2.6749999999999998</v>
      </c>
      <c r="K189" s="117">
        <v>728886</v>
      </c>
      <c r="L189" s="120">
        <f t="shared" si="38"/>
        <v>486.89779559118239</v>
      </c>
      <c r="M189" s="122">
        <f t="shared" si="34"/>
        <v>2724810.18</v>
      </c>
      <c r="N189" s="116">
        <f t="shared" si="35"/>
        <v>1995924.1800000002</v>
      </c>
      <c r="O189" s="123">
        <f t="shared" si="36"/>
        <v>1333.2826853707415</v>
      </c>
      <c r="P189" s="5"/>
      <c r="Q189" s="5">
        <f t="shared" si="30"/>
        <v>1</v>
      </c>
      <c r="R189" s="7">
        <f t="shared" si="31"/>
        <v>1497</v>
      </c>
      <c r="S189" s="5">
        <f t="shared" si="32"/>
        <v>1</v>
      </c>
      <c r="T189" s="7">
        <f t="shared" si="33"/>
        <v>1497</v>
      </c>
    </row>
    <row r="190" spans="1:20">
      <c r="A190" s="23" t="s">
        <v>220</v>
      </c>
      <c r="B190" s="35" t="s">
        <v>217</v>
      </c>
      <c r="C190" s="36">
        <v>4978</v>
      </c>
      <c r="D190" s="6"/>
      <c r="E190" s="113">
        <v>984593391</v>
      </c>
      <c r="F190" s="116">
        <f t="shared" si="39"/>
        <v>197788.94957814383</v>
      </c>
      <c r="G190" s="117">
        <v>799580908</v>
      </c>
      <c r="H190" s="117">
        <f t="shared" si="40"/>
        <v>160622.92245881879</v>
      </c>
      <c r="I190" s="7"/>
      <c r="J190" s="10">
        <v>2.25</v>
      </c>
      <c r="K190" s="117">
        <v>1799057</v>
      </c>
      <c r="L190" s="120">
        <f t="shared" si="38"/>
        <v>361.40156689433508</v>
      </c>
      <c r="M190" s="122">
        <f t="shared" si="34"/>
        <v>7995809.0800000001</v>
      </c>
      <c r="N190" s="116">
        <f t="shared" si="35"/>
        <v>6196752.0800000001</v>
      </c>
      <c r="O190" s="123">
        <f t="shared" si="36"/>
        <v>1244.8276576938529</v>
      </c>
      <c r="P190" s="5"/>
      <c r="Q190" s="5">
        <f t="shared" si="30"/>
        <v>1</v>
      </c>
      <c r="R190" s="7">
        <f t="shared" si="31"/>
        <v>4978</v>
      </c>
      <c r="S190" s="5">
        <f t="shared" si="32"/>
        <v>1</v>
      </c>
      <c r="T190" s="7">
        <f t="shared" si="33"/>
        <v>4978</v>
      </c>
    </row>
    <row r="191" spans="1:20">
      <c r="A191" s="23" t="s">
        <v>221</v>
      </c>
      <c r="B191" s="35" t="s">
        <v>217</v>
      </c>
      <c r="C191" s="36">
        <v>12921</v>
      </c>
      <c r="D191" s="6"/>
      <c r="E191" s="113">
        <v>589977295</v>
      </c>
      <c r="F191" s="116">
        <f t="shared" si="39"/>
        <v>45660.343239687332</v>
      </c>
      <c r="G191" s="117">
        <v>418658688</v>
      </c>
      <c r="H191" s="117">
        <f t="shared" si="40"/>
        <v>32401.415370327373</v>
      </c>
      <c r="I191" s="7"/>
      <c r="J191" s="10">
        <v>4.6645000000000003</v>
      </c>
      <c r="K191" s="117">
        <v>1952833</v>
      </c>
      <c r="L191" s="120">
        <f t="shared" si="38"/>
        <v>151.13636715424502</v>
      </c>
      <c r="M191" s="122">
        <f t="shared" si="34"/>
        <v>4186586.88</v>
      </c>
      <c r="N191" s="116">
        <f t="shared" si="35"/>
        <v>2233753.88</v>
      </c>
      <c r="O191" s="123">
        <f t="shared" si="36"/>
        <v>172.87778654902871</v>
      </c>
      <c r="P191" s="5"/>
      <c r="Q191" s="5">
        <f t="shared" si="30"/>
        <v>1</v>
      </c>
      <c r="R191" s="7">
        <f t="shared" si="31"/>
        <v>12921</v>
      </c>
      <c r="S191" s="5">
        <f t="shared" si="32"/>
        <v>1</v>
      </c>
      <c r="T191" s="7">
        <f t="shared" si="33"/>
        <v>12921</v>
      </c>
    </row>
    <row r="192" spans="1:20">
      <c r="A192" s="23" t="s">
        <v>478</v>
      </c>
      <c r="B192" s="35" t="s">
        <v>222</v>
      </c>
      <c r="C192" s="36">
        <v>7657</v>
      </c>
      <c r="D192" s="6"/>
      <c r="E192" s="113">
        <v>4628788740</v>
      </c>
      <c r="F192" s="116">
        <f t="shared" si="39"/>
        <v>604517.27047146403</v>
      </c>
      <c r="G192" s="117">
        <v>4022050972</v>
      </c>
      <c r="H192" s="117">
        <f t="shared" si="40"/>
        <v>525277.65077706671</v>
      </c>
      <c r="I192" s="7"/>
      <c r="J192" s="10">
        <v>2</v>
      </c>
      <c r="K192" s="117">
        <v>8044101</v>
      </c>
      <c r="L192" s="120">
        <f t="shared" si="38"/>
        <v>1050.5551782682512</v>
      </c>
      <c r="M192" s="122">
        <f t="shared" si="34"/>
        <v>40220509.719999999</v>
      </c>
      <c r="N192" s="116">
        <f t="shared" si="35"/>
        <v>32176408.719999999</v>
      </c>
      <c r="O192" s="123">
        <f t="shared" si="36"/>
        <v>4202.2213295024158</v>
      </c>
      <c r="P192" s="5"/>
      <c r="Q192" s="5">
        <f t="shared" si="30"/>
        <v>1</v>
      </c>
      <c r="R192" s="7">
        <f t="shared" si="31"/>
        <v>7657</v>
      </c>
      <c r="S192" s="5">
        <f t="shared" si="32"/>
        <v>1</v>
      </c>
      <c r="T192" s="7">
        <f t="shared" si="33"/>
        <v>7657</v>
      </c>
    </row>
    <row r="193" spans="1:20">
      <c r="A193" s="23" t="s">
        <v>223</v>
      </c>
      <c r="B193" s="35" t="s">
        <v>224</v>
      </c>
      <c r="C193" s="36">
        <v>3519</v>
      </c>
      <c r="D193" s="6"/>
      <c r="E193" s="113">
        <v>147104399</v>
      </c>
      <c r="F193" s="116">
        <f t="shared" si="39"/>
        <v>41802.898266552998</v>
      </c>
      <c r="G193" s="117">
        <v>112005999</v>
      </c>
      <c r="H193" s="117">
        <f t="shared" si="40"/>
        <v>31828.928388746805</v>
      </c>
      <c r="I193" s="7"/>
      <c r="J193" s="10">
        <v>4.0271999999999997</v>
      </c>
      <c r="K193" s="117">
        <v>451070</v>
      </c>
      <c r="L193" s="120">
        <f t="shared" si="38"/>
        <v>128.18130150610969</v>
      </c>
      <c r="M193" s="122">
        <f t="shared" si="34"/>
        <v>1120059.99</v>
      </c>
      <c r="N193" s="116">
        <f t="shared" si="35"/>
        <v>668989.99</v>
      </c>
      <c r="O193" s="123">
        <f t="shared" si="36"/>
        <v>190.10798238135834</v>
      </c>
      <c r="P193" s="5"/>
      <c r="Q193" s="5">
        <f t="shared" si="30"/>
        <v>1</v>
      </c>
      <c r="R193" s="7">
        <f t="shared" si="31"/>
        <v>3519</v>
      </c>
      <c r="S193" s="5">
        <f t="shared" si="32"/>
        <v>1</v>
      </c>
      <c r="T193" s="7">
        <f t="shared" si="33"/>
        <v>3519</v>
      </c>
    </row>
    <row r="194" spans="1:20">
      <c r="A194" s="23" t="s">
        <v>225</v>
      </c>
      <c r="B194" s="35" t="s">
        <v>224</v>
      </c>
      <c r="C194" s="36">
        <v>1908</v>
      </c>
      <c r="D194" s="6"/>
      <c r="E194" s="113">
        <v>120998733</v>
      </c>
      <c r="F194" s="116">
        <f t="shared" si="39"/>
        <v>63416.526729559751</v>
      </c>
      <c r="G194" s="117">
        <v>89774794</v>
      </c>
      <c r="H194" s="117">
        <f t="shared" si="40"/>
        <v>47051.778825995811</v>
      </c>
      <c r="I194" s="7"/>
      <c r="J194" s="10">
        <v>6.5</v>
      </c>
      <c r="K194" s="117">
        <v>583536</v>
      </c>
      <c r="L194" s="120">
        <f t="shared" si="38"/>
        <v>305.8364779874214</v>
      </c>
      <c r="M194" s="122">
        <f t="shared" si="34"/>
        <v>897747.94000000006</v>
      </c>
      <c r="N194" s="116">
        <f t="shared" si="35"/>
        <v>314211.94000000006</v>
      </c>
      <c r="O194" s="123">
        <f t="shared" si="36"/>
        <v>164.68131027253671</v>
      </c>
      <c r="P194" s="5"/>
      <c r="Q194" s="5">
        <f t="shared" si="30"/>
        <v>1</v>
      </c>
      <c r="R194" s="7">
        <f t="shared" si="31"/>
        <v>1908</v>
      </c>
      <c r="S194" s="5">
        <f t="shared" si="32"/>
        <v>1</v>
      </c>
      <c r="T194" s="7">
        <f t="shared" si="33"/>
        <v>1908</v>
      </c>
    </row>
    <row r="195" spans="1:20">
      <c r="A195" s="23" t="s">
        <v>226</v>
      </c>
      <c r="B195" s="35" t="s">
        <v>224</v>
      </c>
      <c r="C195" s="36">
        <v>455</v>
      </c>
      <c r="D195" s="6"/>
      <c r="E195" s="113">
        <v>23221385</v>
      </c>
      <c r="F195" s="116">
        <f t="shared" si="39"/>
        <v>51036.010989010989</v>
      </c>
      <c r="G195" s="117">
        <v>12912793</v>
      </c>
      <c r="H195" s="117">
        <f t="shared" si="40"/>
        <v>28379.764835164835</v>
      </c>
      <c r="I195" s="7"/>
      <c r="J195" s="10">
        <v>1.58</v>
      </c>
      <c r="K195" s="117">
        <v>20402</v>
      </c>
      <c r="L195" s="120">
        <f t="shared" si="38"/>
        <v>44.839560439560437</v>
      </c>
      <c r="M195" s="122">
        <f t="shared" si="34"/>
        <v>129127.93000000001</v>
      </c>
      <c r="N195" s="116">
        <f t="shared" si="35"/>
        <v>108725.93000000001</v>
      </c>
      <c r="O195" s="123">
        <f t="shared" si="36"/>
        <v>238.95808791208793</v>
      </c>
      <c r="P195" s="5"/>
      <c r="Q195" s="5">
        <f t="shared" si="30"/>
        <v>1</v>
      </c>
      <c r="R195" s="7">
        <f t="shared" si="31"/>
        <v>455</v>
      </c>
      <c r="S195" s="5">
        <f t="shared" si="32"/>
        <v>1</v>
      </c>
      <c r="T195" s="7">
        <f t="shared" si="33"/>
        <v>455</v>
      </c>
    </row>
    <row r="196" spans="1:20">
      <c r="A196" s="23" t="s">
        <v>227</v>
      </c>
      <c r="B196" s="35" t="s">
        <v>224</v>
      </c>
      <c r="C196" s="36">
        <v>46453</v>
      </c>
      <c r="D196" s="6"/>
      <c r="E196" s="113">
        <v>3139545883</v>
      </c>
      <c r="F196" s="116">
        <f t="shared" si="39"/>
        <v>67585.427916388609</v>
      </c>
      <c r="G196" s="117">
        <v>2351269279</v>
      </c>
      <c r="H196" s="117">
        <f t="shared" si="40"/>
        <v>50616.09108130799</v>
      </c>
      <c r="I196" s="7"/>
      <c r="J196" s="10">
        <v>5.7784000000000004</v>
      </c>
      <c r="K196" s="117">
        <v>13586574</v>
      </c>
      <c r="L196" s="120">
        <f t="shared" si="38"/>
        <v>292.48001205519557</v>
      </c>
      <c r="M196" s="122">
        <f t="shared" si="34"/>
        <v>23512692.789999999</v>
      </c>
      <c r="N196" s="116">
        <f t="shared" si="35"/>
        <v>9926118.7899999991</v>
      </c>
      <c r="O196" s="123">
        <f t="shared" si="36"/>
        <v>213.68089875788431</v>
      </c>
      <c r="P196" s="5"/>
      <c r="Q196" s="5">
        <f t="shared" si="30"/>
        <v>1</v>
      </c>
      <c r="R196" s="7">
        <f t="shared" si="31"/>
        <v>46453</v>
      </c>
      <c r="S196" s="5">
        <f t="shared" si="32"/>
        <v>1</v>
      </c>
      <c r="T196" s="7">
        <f t="shared" si="33"/>
        <v>46453</v>
      </c>
    </row>
    <row r="197" spans="1:20">
      <c r="A197" s="23" t="s">
        <v>228</v>
      </c>
      <c r="B197" s="35" t="s">
        <v>224</v>
      </c>
      <c r="C197" s="36">
        <v>523</v>
      </c>
      <c r="D197" s="6"/>
      <c r="E197" s="113">
        <v>12961331</v>
      </c>
      <c r="F197" s="116">
        <f t="shared" si="39"/>
        <v>24782.65965583174</v>
      </c>
      <c r="G197" s="117">
        <v>7096725</v>
      </c>
      <c r="H197" s="117">
        <f t="shared" si="40"/>
        <v>13569.263862332697</v>
      </c>
      <c r="I197" s="98" t="s">
        <v>528</v>
      </c>
      <c r="J197" s="10"/>
      <c r="K197" s="117"/>
      <c r="L197" s="120"/>
      <c r="M197" s="122">
        <f t="shared" si="34"/>
        <v>70967.25</v>
      </c>
      <c r="N197" s="116">
        <f t="shared" si="35"/>
        <v>70967.25</v>
      </c>
      <c r="O197" s="123">
        <f t="shared" si="36"/>
        <v>135.69263862332696</v>
      </c>
      <c r="P197" s="5"/>
      <c r="Q197" s="5">
        <f t="shared" si="30"/>
        <v>1</v>
      </c>
      <c r="R197" s="7">
        <f t="shared" si="31"/>
        <v>523</v>
      </c>
      <c r="S197" s="5">
        <f t="shared" si="32"/>
        <v>0</v>
      </c>
      <c r="T197" s="7">
        <f t="shared" si="33"/>
        <v>0</v>
      </c>
    </row>
    <row r="198" spans="1:20">
      <c r="A198" s="23" t="s">
        <v>229</v>
      </c>
      <c r="B198" s="35" t="s">
        <v>230</v>
      </c>
      <c r="C198" s="36">
        <v>620</v>
      </c>
      <c r="D198" s="6"/>
      <c r="E198" s="113">
        <v>1649344456</v>
      </c>
      <c r="F198" s="116">
        <f t="shared" si="39"/>
        <v>2660232.9935483872</v>
      </c>
      <c r="G198" s="117">
        <v>1309042425</v>
      </c>
      <c r="H198" s="117">
        <f t="shared" si="40"/>
        <v>2111358.75</v>
      </c>
      <c r="I198" s="7"/>
      <c r="J198" s="10">
        <v>3.4990000000000001</v>
      </c>
      <c r="K198" s="117">
        <v>4580339</v>
      </c>
      <c r="L198" s="120">
        <f>(K198/C198)</f>
        <v>7387.6435483870964</v>
      </c>
      <c r="M198" s="122">
        <f t="shared" si="34"/>
        <v>13090424.25</v>
      </c>
      <c r="N198" s="116">
        <f t="shared" si="35"/>
        <v>8510085.25</v>
      </c>
      <c r="O198" s="123">
        <f t="shared" si="36"/>
        <v>13725.943951612904</v>
      </c>
      <c r="P198" s="5"/>
      <c r="Q198" s="5">
        <f t="shared" si="30"/>
        <v>1</v>
      </c>
      <c r="R198" s="7">
        <f t="shared" si="31"/>
        <v>620</v>
      </c>
      <c r="S198" s="5">
        <f t="shared" si="32"/>
        <v>1</v>
      </c>
      <c r="T198" s="7">
        <f t="shared" si="33"/>
        <v>620</v>
      </c>
    </row>
    <row r="199" spans="1:20">
      <c r="A199" s="24" t="s">
        <v>582</v>
      </c>
      <c r="B199" s="35" t="s">
        <v>230</v>
      </c>
      <c r="C199" s="36">
        <v>453</v>
      </c>
      <c r="D199" s="6"/>
      <c r="E199" s="113">
        <v>16633496</v>
      </c>
      <c r="F199" s="116">
        <f t="shared" si="39"/>
        <v>36718.534216335538</v>
      </c>
      <c r="G199" s="117">
        <v>16629210</v>
      </c>
      <c r="H199" s="117">
        <f t="shared" si="40"/>
        <v>36709.072847682117</v>
      </c>
      <c r="I199" s="98" t="s">
        <v>528</v>
      </c>
      <c r="J199" s="10"/>
      <c r="K199" s="117"/>
      <c r="L199" s="120"/>
      <c r="M199" s="122">
        <f t="shared" si="34"/>
        <v>166292.1</v>
      </c>
      <c r="N199" s="116">
        <f t="shared" si="35"/>
        <v>166292.1</v>
      </c>
      <c r="O199" s="123">
        <f t="shared" si="36"/>
        <v>367.0907284768212</v>
      </c>
      <c r="P199" s="5"/>
      <c r="Q199" s="5">
        <f t="shared" ref="Q199:Q262" si="41">IF(E199&gt;0,1,0)</f>
        <v>1</v>
      </c>
      <c r="R199" s="7">
        <f t="shared" ref="R199:R262" si="42">IF(E199&gt;0,C199,0)</f>
        <v>453</v>
      </c>
      <c r="S199" s="5">
        <f t="shared" ref="S199:S262" si="43">IF(J199&gt;0,1,0)</f>
        <v>0</v>
      </c>
      <c r="T199" s="7">
        <f t="shared" ref="T199:T262" si="44">IF(J199&gt;0,C199,0)</f>
        <v>0</v>
      </c>
    </row>
    <row r="200" spans="1:20">
      <c r="A200" s="23" t="s">
        <v>446</v>
      </c>
      <c r="B200" s="35" t="s">
        <v>230</v>
      </c>
      <c r="C200" s="36">
        <v>1981</v>
      </c>
      <c r="D200" s="6"/>
      <c r="E200" s="113">
        <v>492899085</v>
      </c>
      <c r="F200" s="116">
        <f t="shared" si="39"/>
        <v>248813.26855123675</v>
      </c>
      <c r="G200" s="117">
        <v>411663051</v>
      </c>
      <c r="H200" s="117">
        <f t="shared" si="40"/>
        <v>207805.67945482078</v>
      </c>
      <c r="I200" s="7"/>
      <c r="J200" s="11">
        <v>1.889</v>
      </c>
      <c r="K200" s="117">
        <v>777631</v>
      </c>
      <c r="L200" s="120">
        <f t="shared" ref="L200:L244" si="45">(K200/C200)</f>
        <v>392.54467440686523</v>
      </c>
      <c r="M200" s="122">
        <f t="shared" ref="M200:M263" si="46">(G200*0.01)</f>
        <v>4116630.5100000002</v>
      </c>
      <c r="N200" s="116">
        <f t="shared" ref="N200:N263" si="47">(M200-K200)</f>
        <v>3338999.5100000002</v>
      </c>
      <c r="O200" s="123">
        <f t="shared" ref="O200:O263" si="48">(N200/C200)</f>
        <v>1685.5121201413428</v>
      </c>
      <c r="P200" s="5"/>
      <c r="Q200" s="5">
        <f t="shared" si="41"/>
        <v>1</v>
      </c>
      <c r="R200" s="7">
        <f t="shared" si="42"/>
        <v>1981</v>
      </c>
      <c r="S200" s="5">
        <f t="shared" si="43"/>
        <v>1</v>
      </c>
      <c r="T200" s="7">
        <f t="shared" si="44"/>
        <v>1981</v>
      </c>
    </row>
    <row r="201" spans="1:20">
      <c r="A201" s="23" t="s">
        <v>231</v>
      </c>
      <c r="B201" s="35" t="s">
        <v>230</v>
      </c>
      <c r="C201" s="36">
        <v>14989</v>
      </c>
      <c r="D201" s="6"/>
      <c r="E201" s="113">
        <v>1498646568</v>
      </c>
      <c r="F201" s="116">
        <f t="shared" si="39"/>
        <v>99983.092134231774</v>
      </c>
      <c r="G201" s="117">
        <v>1063105090</v>
      </c>
      <c r="H201" s="117">
        <f t="shared" si="40"/>
        <v>70925.684835546068</v>
      </c>
      <c r="I201" s="7"/>
      <c r="J201" s="10">
        <v>4.1539000000000001</v>
      </c>
      <c r="K201" s="117">
        <v>4416032</v>
      </c>
      <c r="L201" s="120">
        <f t="shared" si="45"/>
        <v>294.61818667022482</v>
      </c>
      <c r="M201" s="122">
        <f t="shared" si="46"/>
        <v>10631050.9</v>
      </c>
      <c r="N201" s="116">
        <f t="shared" si="47"/>
        <v>6215018.9000000004</v>
      </c>
      <c r="O201" s="123">
        <f t="shared" si="48"/>
        <v>414.63866168523589</v>
      </c>
      <c r="P201" s="5"/>
      <c r="Q201" s="5">
        <f t="shared" si="41"/>
        <v>1</v>
      </c>
      <c r="R201" s="7">
        <f t="shared" si="42"/>
        <v>14989</v>
      </c>
      <c r="S201" s="5">
        <f t="shared" si="43"/>
        <v>1</v>
      </c>
      <c r="T201" s="7">
        <f t="shared" si="44"/>
        <v>14989</v>
      </c>
    </row>
    <row r="202" spans="1:20">
      <c r="A202" s="24" t="s">
        <v>232</v>
      </c>
      <c r="B202" s="37" t="s">
        <v>233</v>
      </c>
      <c r="C202" s="36">
        <v>26142</v>
      </c>
      <c r="D202" s="6"/>
      <c r="E202" s="113">
        <v>4608248380</v>
      </c>
      <c r="F202" s="116">
        <f t="shared" si="39"/>
        <v>176277.57554892509</v>
      </c>
      <c r="G202" s="117">
        <v>4209767227</v>
      </c>
      <c r="H202" s="117">
        <f t="shared" si="40"/>
        <v>161034.62730472037</v>
      </c>
      <c r="I202" s="7"/>
      <c r="J202" s="10">
        <v>2.2269999999999999</v>
      </c>
      <c r="K202" s="117">
        <v>9375151</v>
      </c>
      <c r="L202" s="120">
        <f t="shared" si="45"/>
        <v>358.62409150026775</v>
      </c>
      <c r="M202" s="122">
        <f t="shared" si="46"/>
        <v>42097672.270000003</v>
      </c>
      <c r="N202" s="116">
        <f t="shared" si="47"/>
        <v>32722521.270000003</v>
      </c>
      <c r="O202" s="123">
        <f t="shared" si="48"/>
        <v>1251.7221815469361</v>
      </c>
      <c r="P202" s="5"/>
      <c r="Q202" s="5">
        <f t="shared" si="41"/>
        <v>1</v>
      </c>
      <c r="R202" s="7">
        <f t="shared" si="42"/>
        <v>26142</v>
      </c>
      <c r="S202" s="5">
        <f t="shared" si="43"/>
        <v>1</v>
      </c>
      <c r="T202" s="7">
        <f t="shared" si="44"/>
        <v>26142</v>
      </c>
    </row>
    <row r="203" spans="1:20">
      <c r="A203" s="23" t="s">
        <v>234</v>
      </c>
      <c r="B203" s="37" t="s">
        <v>233</v>
      </c>
      <c r="C203" s="36">
        <v>3309</v>
      </c>
      <c r="D203" s="6"/>
      <c r="E203" s="113">
        <v>1301962476</v>
      </c>
      <c r="F203" s="116">
        <f t="shared" si="39"/>
        <v>393461.00815956481</v>
      </c>
      <c r="G203" s="117">
        <v>1205156655</v>
      </c>
      <c r="H203" s="117">
        <f t="shared" si="40"/>
        <v>364205.69809610152</v>
      </c>
      <c r="I203" s="7"/>
      <c r="J203" s="11">
        <v>2.96</v>
      </c>
      <c r="K203" s="117">
        <v>3567263</v>
      </c>
      <c r="L203" s="120">
        <f t="shared" si="45"/>
        <v>1078.0486551828346</v>
      </c>
      <c r="M203" s="122">
        <f t="shared" si="46"/>
        <v>12051566.550000001</v>
      </c>
      <c r="N203" s="116">
        <f t="shared" si="47"/>
        <v>8484303.5500000007</v>
      </c>
      <c r="O203" s="123">
        <f t="shared" si="48"/>
        <v>2564.0083257781807</v>
      </c>
      <c r="P203" s="5"/>
      <c r="Q203" s="5">
        <f t="shared" si="41"/>
        <v>1</v>
      </c>
      <c r="R203" s="7">
        <f t="shared" si="42"/>
        <v>3309</v>
      </c>
      <c r="S203" s="5">
        <f t="shared" si="43"/>
        <v>1</v>
      </c>
      <c r="T203" s="7">
        <f t="shared" si="44"/>
        <v>3309</v>
      </c>
    </row>
    <row r="204" spans="1:20">
      <c r="A204" s="23" t="s">
        <v>235</v>
      </c>
      <c r="B204" s="37" t="s">
        <v>233</v>
      </c>
      <c r="C204" s="36">
        <v>5118</v>
      </c>
      <c r="D204" s="6"/>
      <c r="E204" s="113">
        <v>500716359</v>
      </c>
      <c r="F204" s="116">
        <f t="shared" si="39"/>
        <v>97834.38042203986</v>
      </c>
      <c r="G204" s="117">
        <v>388680526</v>
      </c>
      <c r="H204" s="117">
        <f t="shared" si="40"/>
        <v>75943.830793278627</v>
      </c>
      <c r="I204" s="7"/>
      <c r="J204" s="10">
        <v>5</v>
      </c>
      <c r="K204" s="117">
        <v>1943402</v>
      </c>
      <c r="L204" s="120">
        <f t="shared" si="45"/>
        <v>379.71903087143414</v>
      </c>
      <c r="M204" s="122">
        <f t="shared" si="46"/>
        <v>3886805.2600000002</v>
      </c>
      <c r="N204" s="116">
        <f t="shared" si="47"/>
        <v>1943403.2600000002</v>
      </c>
      <c r="O204" s="123">
        <f t="shared" si="48"/>
        <v>379.71927706135216</v>
      </c>
      <c r="P204" s="5"/>
      <c r="Q204" s="5">
        <f t="shared" si="41"/>
        <v>1</v>
      </c>
      <c r="R204" s="7">
        <f t="shared" si="42"/>
        <v>5118</v>
      </c>
      <c r="S204" s="5">
        <f t="shared" si="43"/>
        <v>1</v>
      </c>
      <c r="T204" s="7">
        <f t="shared" si="44"/>
        <v>5118</v>
      </c>
    </row>
    <row r="205" spans="1:20">
      <c r="A205" s="23" t="s">
        <v>236</v>
      </c>
      <c r="B205" s="37" t="s">
        <v>233</v>
      </c>
      <c r="C205" s="36">
        <v>3274</v>
      </c>
      <c r="D205" s="6"/>
      <c r="E205" s="113">
        <v>157363351</v>
      </c>
      <c r="F205" s="116">
        <f t="shared" si="39"/>
        <v>48064.554367745877</v>
      </c>
      <c r="G205" s="117">
        <v>105185870</v>
      </c>
      <c r="H205" s="117">
        <f t="shared" si="40"/>
        <v>32127.632864996947</v>
      </c>
      <c r="I205" s="7"/>
      <c r="J205" s="10">
        <v>8.1999999999999993</v>
      </c>
      <c r="K205" s="117">
        <v>862524</v>
      </c>
      <c r="L205" s="120">
        <f t="shared" si="45"/>
        <v>263.44654856444714</v>
      </c>
      <c r="M205" s="122">
        <f t="shared" si="46"/>
        <v>1051858.7</v>
      </c>
      <c r="N205" s="116">
        <f t="shared" si="47"/>
        <v>189334.69999999995</v>
      </c>
      <c r="O205" s="123">
        <f t="shared" si="48"/>
        <v>57.82978008552228</v>
      </c>
      <c r="P205" s="5"/>
      <c r="Q205" s="5">
        <f t="shared" si="41"/>
        <v>1</v>
      </c>
      <c r="R205" s="7">
        <f t="shared" si="42"/>
        <v>3274</v>
      </c>
      <c r="S205" s="5">
        <f t="shared" si="43"/>
        <v>1</v>
      </c>
      <c r="T205" s="7">
        <f t="shared" si="44"/>
        <v>3274</v>
      </c>
    </row>
    <row r="206" spans="1:20">
      <c r="A206" s="23" t="s">
        <v>237</v>
      </c>
      <c r="B206" s="37" t="s">
        <v>233</v>
      </c>
      <c r="C206" s="36">
        <v>42743</v>
      </c>
      <c r="D206" s="6"/>
      <c r="E206" s="113">
        <v>9374700341</v>
      </c>
      <c r="F206" s="116">
        <f t="shared" si="39"/>
        <v>219327.14926420699</v>
      </c>
      <c r="G206" s="117">
        <v>7247628507</v>
      </c>
      <c r="H206" s="117">
        <f t="shared" si="40"/>
        <v>169562.93444540625</v>
      </c>
      <c r="I206" s="7"/>
      <c r="J206" s="10">
        <v>5.8410000000000002</v>
      </c>
      <c r="K206" s="117">
        <v>42333398</v>
      </c>
      <c r="L206" s="120">
        <f t="shared" si="45"/>
        <v>990.41709753643875</v>
      </c>
      <c r="M206" s="122">
        <f t="shared" si="46"/>
        <v>72476285.070000008</v>
      </c>
      <c r="N206" s="116">
        <f t="shared" si="47"/>
        <v>30142887.070000008</v>
      </c>
      <c r="O206" s="123">
        <f t="shared" si="48"/>
        <v>705.21224691762416</v>
      </c>
      <c r="P206" s="5"/>
      <c r="Q206" s="5">
        <f t="shared" si="41"/>
        <v>1</v>
      </c>
      <c r="R206" s="7">
        <f t="shared" si="42"/>
        <v>42743</v>
      </c>
      <c r="S206" s="5">
        <f t="shared" si="43"/>
        <v>1</v>
      </c>
      <c r="T206" s="7">
        <f t="shared" si="44"/>
        <v>42743</v>
      </c>
    </row>
    <row r="207" spans="1:20">
      <c r="A207" s="23" t="s">
        <v>238</v>
      </c>
      <c r="B207" s="37" t="s">
        <v>233</v>
      </c>
      <c r="C207" s="36">
        <v>2522</v>
      </c>
      <c r="D207" s="6"/>
      <c r="E207" s="113">
        <v>108362443</v>
      </c>
      <c r="F207" s="116">
        <f t="shared" si="39"/>
        <v>42966.868754956384</v>
      </c>
      <c r="G207" s="117">
        <v>58209269</v>
      </c>
      <c r="H207" s="117">
        <f t="shared" si="40"/>
        <v>23080.598334655035</v>
      </c>
      <c r="I207" s="7"/>
      <c r="J207" s="10">
        <v>8.6999999999999993</v>
      </c>
      <c r="K207" s="117">
        <v>506420</v>
      </c>
      <c r="L207" s="120">
        <f t="shared" si="45"/>
        <v>200.8009516256939</v>
      </c>
      <c r="M207" s="122">
        <f t="shared" si="46"/>
        <v>582092.69000000006</v>
      </c>
      <c r="N207" s="116">
        <f t="shared" si="47"/>
        <v>75672.690000000061</v>
      </c>
      <c r="O207" s="123">
        <f t="shared" si="48"/>
        <v>30.005031720856486</v>
      </c>
      <c r="P207" s="5"/>
      <c r="Q207" s="5">
        <f t="shared" si="41"/>
        <v>1</v>
      </c>
      <c r="R207" s="7">
        <f t="shared" si="42"/>
        <v>2522</v>
      </c>
      <c r="S207" s="5">
        <f t="shared" si="43"/>
        <v>1</v>
      </c>
      <c r="T207" s="7">
        <f t="shared" si="44"/>
        <v>2522</v>
      </c>
    </row>
    <row r="208" spans="1:20">
      <c r="A208" s="23" t="s">
        <v>239</v>
      </c>
      <c r="B208" s="37" t="s">
        <v>233</v>
      </c>
      <c r="C208" s="36">
        <v>8129</v>
      </c>
      <c r="D208" s="6"/>
      <c r="E208" s="113">
        <v>311401755</v>
      </c>
      <c r="F208" s="116">
        <f t="shared" si="39"/>
        <v>38307.510763931605</v>
      </c>
      <c r="G208" s="117">
        <v>225405058</v>
      </c>
      <c r="H208" s="117">
        <f t="shared" si="40"/>
        <v>27728.510025833435</v>
      </c>
      <c r="I208" s="7"/>
      <c r="J208" s="10">
        <v>8.9</v>
      </c>
      <c r="K208" s="117">
        <v>2006105</v>
      </c>
      <c r="L208" s="120">
        <f t="shared" si="45"/>
        <v>246.78373723705252</v>
      </c>
      <c r="M208" s="122">
        <f t="shared" si="46"/>
        <v>2254050.58</v>
      </c>
      <c r="N208" s="116">
        <f t="shared" si="47"/>
        <v>247945.58000000007</v>
      </c>
      <c r="O208" s="123">
        <f t="shared" si="48"/>
        <v>30.50136302128184</v>
      </c>
      <c r="P208" s="5"/>
      <c r="Q208" s="5">
        <f t="shared" si="41"/>
        <v>1</v>
      </c>
      <c r="R208" s="7">
        <f t="shared" si="42"/>
        <v>8129</v>
      </c>
      <c r="S208" s="5">
        <f t="shared" si="43"/>
        <v>1</v>
      </c>
      <c r="T208" s="7">
        <f t="shared" si="44"/>
        <v>8129</v>
      </c>
    </row>
    <row r="209" spans="1:20">
      <c r="A209" s="23" t="s">
        <v>240</v>
      </c>
      <c r="B209" s="37" t="s">
        <v>233</v>
      </c>
      <c r="C209" s="36">
        <v>924</v>
      </c>
      <c r="D209" s="6"/>
      <c r="E209" s="113">
        <v>450906332</v>
      </c>
      <c r="F209" s="116">
        <f t="shared" si="39"/>
        <v>487993.86580086581</v>
      </c>
      <c r="G209" s="117">
        <v>368378312</v>
      </c>
      <c r="H209" s="117">
        <f t="shared" si="40"/>
        <v>398677.82683982683</v>
      </c>
      <c r="I209" s="7"/>
      <c r="J209" s="10">
        <v>8.59</v>
      </c>
      <c r="K209" s="117">
        <v>3164369</v>
      </c>
      <c r="L209" s="120">
        <f t="shared" si="45"/>
        <v>3424.6417748917747</v>
      </c>
      <c r="M209" s="122">
        <f t="shared" si="46"/>
        <v>3683783.12</v>
      </c>
      <c r="N209" s="116">
        <f t="shared" si="47"/>
        <v>519414.12000000011</v>
      </c>
      <c r="O209" s="123">
        <f t="shared" si="48"/>
        <v>562.13649350649359</v>
      </c>
      <c r="P209" s="5"/>
      <c r="Q209" s="5">
        <f t="shared" si="41"/>
        <v>1</v>
      </c>
      <c r="R209" s="7">
        <f t="shared" si="42"/>
        <v>924</v>
      </c>
      <c r="S209" s="5">
        <f t="shared" si="43"/>
        <v>1</v>
      </c>
      <c r="T209" s="7">
        <f t="shared" si="44"/>
        <v>924</v>
      </c>
    </row>
    <row r="210" spans="1:20">
      <c r="A210" s="23" t="s">
        <v>241</v>
      </c>
      <c r="B210" s="37" t="s">
        <v>233</v>
      </c>
      <c r="C210" s="36">
        <v>231270</v>
      </c>
      <c r="D210" s="6"/>
      <c r="E210" s="113">
        <v>8207963598</v>
      </c>
      <c r="F210" s="116">
        <f t="shared" si="39"/>
        <v>35490.827163056165</v>
      </c>
      <c r="G210" s="117">
        <v>5865875920</v>
      </c>
      <c r="H210" s="117">
        <f t="shared" si="40"/>
        <v>25363.75630215765</v>
      </c>
      <c r="I210" s="7"/>
      <c r="J210" s="10">
        <v>6.12</v>
      </c>
      <c r="K210" s="117">
        <v>35899160</v>
      </c>
      <c r="L210" s="120">
        <f t="shared" si="45"/>
        <v>155.22618584338653</v>
      </c>
      <c r="M210" s="122">
        <f t="shared" si="46"/>
        <v>58658759.200000003</v>
      </c>
      <c r="N210" s="116">
        <f t="shared" si="47"/>
        <v>22759599.200000003</v>
      </c>
      <c r="O210" s="123">
        <f t="shared" si="48"/>
        <v>98.411377178190008</v>
      </c>
      <c r="P210" s="5"/>
      <c r="Q210" s="5">
        <f t="shared" si="41"/>
        <v>1</v>
      </c>
      <c r="R210" s="7">
        <f t="shared" si="42"/>
        <v>231270</v>
      </c>
      <c r="S210" s="5">
        <f t="shared" si="43"/>
        <v>1</v>
      </c>
      <c r="T210" s="7">
        <f t="shared" si="44"/>
        <v>231270</v>
      </c>
    </row>
    <row r="211" spans="1:20">
      <c r="A211" s="23" t="s">
        <v>242</v>
      </c>
      <c r="B211" s="37" t="s">
        <v>233</v>
      </c>
      <c r="C211" s="36">
        <v>19725</v>
      </c>
      <c r="D211" s="6"/>
      <c r="E211" s="113">
        <v>789076281</v>
      </c>
      <c r="F211" s="116">
        <f t="shared" si="39"/>
        <v>40003.867224334601</v>
      </c>
      <c r="G211" s="117">
        <v>607826419</v>
      </c>
      <c r="H211" s="117">
        <f t="shared" si="40"/>
        <v>30815.027579214195</v>
      </c>
      <c r="I211" s="7"/>
      <c r="J211" s="10">
        <v>6.12</v>
      </c>
      <c r="K211" s="117">
        <v>3719897</v>
      </c>
      <c r="L211" s="120">
        <f t="shared" si="45"/>
        <v>188.58793409378961</v>
      </c>
      <c r="M211" s="122">
        <f t="shared" si="46"/>
        <v>6078264.1900000004</v>
      </c>
      <c r="N211" s="116">
        <f t="shared" si="47"/>
        <v>2358367.1900000004</v>
      </c>
      <c r="O211" s="123">
        <f t="shared" si="48"/>
        <v>119.56234169835237</v>
      </c>
      <c r="P211" s="5"/>
      <c r="Q211" s="5">
        <f t="shared" si="41"/>
        <v>1</v>
      </c>
      <c r="R211" s="7">
        <f t="shared" si="42"/>
        <v>19725</v>
      </c>
      <c r="S211" s="5">
        <f t="shared" si="43"/>
        <v>1</v>
      </c>
      <c r="T211" s="7">
        <f t="shared" si="44"/>
        <v>19725</v>
      </c>
    </row>
    <row r="212" spans="1:20">
      <c r="A212" s="23" t="s">
        <v>243</v>
      </c>
      <c r="B212" s="37" t="s">
        <v>233</v>
      </c>
      <c r="C212" s="36">
        <v>32811</v>
      </c>
      <c r="D212" s="6"/>
      <c r="E212" s="113">
        <v>1111119354</v>
      </c>
      <c r="F212" s="116">
        <f t="shared" si="39"/>
        <v>33864.23315351559</v>
      </c>
      <c r="G212" s="117">
        <v>746526189</v>
      </c>
      <c r="H212" s="117">
        <f t="shared" si="40"/>
        <v>22752.314437231416</v>
      </c>
      <c r="I212" s="7"/>
      <c r="J212" s="10">
        <v>8.5</v>
      </c>
      <c r="K212" s="117">
        <v>6345472</v>
      </c>
      <c r="L212" s="120">
        <f t="shared" si="45"/>
        <v>193.3946542318125</v>
      </c>
      <c r="M212" s="122">
        <f t="shared" si="46"/>
        <v>7465261.8900000006</v>
      </c>
      <c r="N212" s="116">
        <f t="shared" si="47"/>
        <v>1119789.8900000006</v>
      </c>
      <c r="O212" s="123">
        <f t="shared" si="48"/>
        <v>34.128490140501683</v>
      </c>
      <c r="P212" s="5"/>
      <c r="Q212" s="5">
        <f t="shared" si="41"/>
        <v>1</v>
      </c>
      <c r="R212" s="7">
        <f t="shared" si="42"/>
        <v>32811</v>
      </c>
      <c r="S212" s="5">
        <f t="shared" si="43"/>
        <v>1</v>
      </c>
      <c r="T212" s="7">
        <f t="shared" si="44"/>
        <v>32811</v>
      </c>
    </row>
    <row r="213" spans="1:20">
      <c r="A213" s="23" t="s">
        <v>244</v>
      </c>
      <c r="B213" s="37" t="s">
        <v>233</v>
      </c>
      <c r="C213" s="36">
        <v>32</v>
      </c>
      <c r="D213" s="6"/>
      <c r="E213" s="113">
        <v>247677686</v>
      </c>
      <c r="F213" s="116">
        <f t="shared" si="39"/>
        <v>7739927.6875</v>
      </c>
      <c r="G213" s="117">
        <v>218782378</v>
      </c>
      <c r="H213" s="117">
        <f t="shared" si="40"/>
        <v>6836949.3125</v>
      </c>
      <c r="I213" s="7"/>
      <c r="J213" s="10">
        <v>10</v>
      </c>
      <c r="K213" s="117">
        <v>2187823</v>
      </c>
      <c r="L213" s="120">
        <f t="shared" si="45"/>
        <v>68369.46875</v>
      </c>
      <c r="M213" s="122">
        <f t="shared" si="46"/>
        <v>2187823.7800000003</v>
      </c>
      <c r="N213" s="116">
        <f t="shared" si="47"/>
        <v>0.78000000026077032</v>
      </c>
      <c r="O213" s="123">
        <f t="shared" si="48"/>
        <v>2.4375000008149073E-2</v>
      </c>
      <c r="P213" s="5"/>
      <c r="Q213" s="5">
        <f t="shared" si="41"/>
        <v>1</v>
      </c>
      <c r="R213" s="7">
        <f t="shared" si="42"/>
        <v>32</v>
      </c>
      <c r="S213" s="5">
        <f t="shared" si="43"/>
        <v>1</v>
      </c>
      <c r="T213" s="7">
        <f t="shared" si="44"/>
        <v>32</v>
      </c>
    </row>
    <row r="214" spans="1:20">
      <c r="A214" s="23" t="s">
        <v>245</v>
      </c>
      <c r="B214" s="37" t="s">
        <v>233</v>
      </c>
      <c r="C214" s="36">
        <v>6</v>
      </c>
      <c r="D214" s="6"/>
      <c r="E214" s="113">
        <v>9426348</v>
      </c>
      <c r="F214" s="116">
        <f t="shared" si="39"/>
        <v>1571058</v>
      </c>
      <c r="G214" s="117">
        <v>255025</v>
      </c>
      <c r="H214" s="117">
        <f t="shared" si="40"/>
        <v>42504.166666666664</v>
      </c>
      <c r="I214" s="7"/>
      <c r="J214" s="10">
        <v>10</v>
      </c>
      <c r="K214" s="117">
        <v>2550</v>
      </c>
      <c r="L214" s="120">
        <f t="shared" si="45"/>
        <v>425</v>
      </c>
      <c r="M214" s="122">
        <f t="shared" si="46"/>
        <v>2550.25</v>
      </c>
      <c r="N214" s="116">
        <f t="shared" si="47"/>
        <v>0.25</v>
      </c>
      <c r="O214" s="123">
        <f t="shared" si="48"/>
        <v>4.1666666666666664E-2</v>
      </c>
      <c r="P214" s="5"/>
      <c r="Q214" s="5">
        <f t="shared" si="41"/>
        <v>1</v>
      </c>
      <c r="R214" s="7">
        <f t="shared" si="42"/>
        <v>6</v>
      </c>
      <c r="S214" s="5">
        <f t="shared" si="43"/>
        <v>1</v>
      </c>
      <c r="T214" s="7">
        <f t="shared" si="44"/>
        <v>6</v>
      </c>
    </row>
    <row r="215" spans="1:20">
      <c r="A215" s="23" t="s">
        <v>246</v>
      </c>
      <c r="B215" s="37" t="s">
        <v>233</v>
      </c>
      <c r="C215" s="36">
        <v>10698</v>
      </c>
      <c r="D215" s="6"/>
      <c r="E215" s="113">
        <v>3662042304</v>
      </c>
      <c r="F215" s="116">
        <f t="shared" si="39"/>
        <v>342310.92765002802</v>
      </c>
      <c r="G215" s="117">
        <v>3261071058</v>
      </c>
      <c r="H215" s="117">
        <f t="shared" si="40"/>
        <v>304829.97363993269</v>
      </c>
      <c r="I215" s="7"/>
      <c r="J215" s="10">
        <v>3.6059999999999999</v>
      </c>
      <c r="K215" s="117">
        <v>11759422</v>
      </c>
      <c r="L215" s="120">
        <f t="shared" si="45"/>
        <v>1099.2168629650403</v>
      </c>
      <c r="M215" s="122">
        <f t="shared" si="46"/>
        <v>32610710.580000002</v>
      </c>
      <c r="N215" s="116">
        <f t="shared" si="47"/>
        <v>20851288.580000002</v>
      </c>
      <c r="O215" s="123">
        <f t="shared" si="48"/>
        <v>1949.082873434287</v>
      </c>
      <c r="P215" s="5"/>
      <c r="Q215" s="5">
        <f t="shared" si="41"/>
        <v>1</v>
      </c>
      <c r="R215" s="7">
        <f t="shared" si="42"/>
        <v>10698</v>
      </c>
      <c r="S215" s="5">
        <f t="shared" si="43"/>
        <v>1</v>
      </c>
      <c r="T215" s="7">
        <f t="shared" si="44"/>
        <v>10698</v>
      </c>
    </row>
    <row r="216" spans="1:20">
      <c r="A216" s="23" t="s">
        <v>247</v>
      </c>
      <c r="B216" s="37" t="s">
        <v>233</v>
      </c>
      <c r="C216" s="36">
        <v>1118</v>
      </c>
      <c r="D216" s="6"/>
      <c r="E216" s="113">
        <v>894520200</v>
      </c>
      <c r="F216" s="116">
        <f t="shared" si="39"/>
        <v>800107.51341681578</v>
      </c>
      <c r="G216" s="117">
        <v>873656793</v>
      </c>
      <c r="H216" s="117">
        <f t="shared" si="40"/>
        <v>781446.14758497314</v>
      </c>
      <c r="I216" s="7"/>
      <c r="J216" s="10">
        <v>7.8</v>
      </c>
      <c r="K216" s="117">
        <v>6814522</v>
      </c>
      <c r="L216" s="120">
        <f t="shared" si="45"/>
        <v>6095.2790697674418</v>
      </c>
      <c r="M216" s="122">
        <f t="shared" si="46"/>
        <v>8736567.9299999997</v>
      </c>
      <c r="N216" s="116">
        <f t="shared" si="47"/>
        <v>1922045.9299999997</v>
      </c>
      <c r="O216" s="123">
        <f t="shared" si="48"/>
        <v>1719.1824060822896</v>
      </c>
      <c r="P216" s="5"/>
      <c r="Q216" s="5">
        <f t="shared" si="41"/>
        <v>1</v>
      </c>
      <c r="R216" s="7">
        <f t="shared" si="42"/>
        <v>1118</v>
      </c>
      <c r="S216" s="5">
        <f t="shared" si="43"/>
        <v>1</v>
      </c>
      <c r="T216" s="7">
        <f t="shared" si="44"/>
        <v>1118</v>
      </c>
    </row>
    <row r="217" spans="1:20">
      <c r="A217" s="23" t="s">
        <v>248</v>
      </c>
      <c r="B217" s="37" t="s">
        <v>233</v>
      </c>
      <c r="C217" s="36">
        <v>366496</v>
      </c>
      <c r="D217" s="6"/>
      <c r="E217" s="113">
        <v>25102625687</v>
      </c>
      <c r="F217" s="116">
        <f t="shared" si="39"/>
        <v>68493.58707052737</v>
      </c>
      <c r="G217" s="117">
        <v>17320684446</v>
      </c>
      <c r="H217" s="117">
        <f t="shared" si="40"/>
        <v>47260.227795119186</v>
      </c>
      <c r="I217" s="7"/>
      <c r="J217" s="10">
        <v>8.85</v>
      </c>
      <c r="K217" s="117">
        <v>153288057</v>
      </c>
      <c r="L217" s="120">
        <f t="shared" si="45"/>
        <v>418.25301503972759</v>
      </c>
      <c r="M217" s="122">
        <f t="shared" si="46"/>
        <v>173206844.46000001</v>
      </c>
      <c r="N217" s="116">
        <f t="shared" si="47"/>
        <v>19918787.460000008</v>
      </c>
      <c r="O217" s="123">
        <f t="shared" si="48"/>
        <v>54.349262911464265</v>
      </c>
      <c r="P217" s="5"/>
      <c r="Q217" s="5">
        <f t="shared" si="41"/>
        <v>1</v>
      </c>
      <c r="R217" s="7">
        <f t="shared" si="42"/>
        <v>366496</v>
      </c>
      <c r="S217" s="5">
        <f t="shared" si="43"/>
        <v>1</v>
      </c>
      <c r="T217" s="7">
        <f t="shared" si="44"/>
        <v>366496</v>
      </c>
    </row>
    <row r="218" spans="1:20">
      <c r="A218" s="23" t="s">
        <v>249</v>
      </c>
      <c r="B218" s="37" t="s">
        <v>233</v>
      </c>
      <c r="C218" s="36">
        <v>88972</v>
      </c>
      <c r="D218" s="6"/>
      <c r="E218" s="113">
        <v>13109812656</v>
      </c>
      <c r="F218" s="116">
        <f t="shared" si="39"/>
        <v>147347.62235309984</v>
      </c>
      <c r="G218" s="117">
        <v>10603676677</v>
      </c>
      <c r="H218" s="117">
        <f t="shared" si="40"/>
        <v>119179.92938227757</v>
      </c>
      <c r="I218" s="7"/>
      <c r="J218" s="10">
        <v>7.2990000000000004</v>
      </c>
      <c r="K218" s="117">
        <v>77396236</v>
      </c>
      <c r="L218" s="120">
        <f t="shared" si="45"/>
        <v>869.89430382592275</v>
      </c>
      <c r="M218" s="122">
        <f t="shared" si="46"/>
        <v>106036766.77</v>
      </c>
      <c r="N218" s="116">
        <f t="shared" si="47"/>
        <v>28640530.769999996</v>
      </c>
      <c r="O218" s="123">
        <f t="shared" si="48"/>
        <v>321.90498999685292</v>
      </c>
      <c r="P218" s="5"/>
      <c r="Q218" s="5">
        <f t="shared" si="41"/>
        <v>1</v>
      </c>
      <c r="R218" s="7">
        <f t="shared" si="42"/>
        <v>88972</v>
      </c>
      <c r="S218" s="5">
        <f t="shared" si="43"/>
        <v>1</v>
      </c>
      <c r="T218" s="7">
        <f t="shared" si="44"/>
        <v>88972</v>
      </c>
    </row>
    <row r="219" spans="1:20">
      <c r="A219" s="23" t="s">
        <v>459</v>
      </c>
      <c r="B219" s="37" t="s">
        <v>233</v>
      </c>
      <c r="C219" s="36">
        <v>24291</v>
      </c>
      <c r="D219" s="6"/>
      <c r="E219" s="113">
        <v>2297283426</v>
      </c>
      <c r="F219" s="116">
        <f t="shared" si="39"/>
        <v>94573.439792515754</v>
      </c>
      <c r="G219" s="117">
        <v>1880862956</v>
      </c>
      <c r="H219" s="117">
        <f t="shared" si="40"/>
        <v>77430.445679469762</v>
      </c>
      <c r="I219" s="7"/>
      <c r="J219" s="10">
        <v>3.0569999999999999</v>
      </c>
      <c r="K219" s="117">
        <v>5749798</v>
      </c>
      <c r="L219" s="120">
        <f t="shared" si="45"/>
        <v>236.70487011650405</v>
      </c>
      <c r="M219" s="122">
        <f t="shared" si="46"/>
        <v>18808629.559999999</v>
      </c>
      <c r="N219" s="116">
        <f t="shared" si="47"/>
        <v>13058831.559999999</v>
      </c>
      <c r="O219" s="123">
        <f t="shared" si="48"/>
        <v>537.59958667819353</v>
      </c>
      <c r="P219" s="5"/>
      <c r="Q219" s="5">
        <f t="shared" si="41"/>
        <v>1</v>
      </c>
      <c r="R219" s="7">
        <f t="shared" si="42"/>
        <v>24291</v>
      </c>
      <c r="S219" s="5">
        <f t="shared" si="43"/>
        <v>1</v>
      </c>
      <c r="T219" s="7">
        <f t="shared" si="44"/>
        <v>24291</v>
      </c>
    </row>
    <row r="220" spans="1:20">
      <c r="A220" s="23" t="s">
        <v>250</v>
      </c>
      <c r="B220" s="37" t="s">
        <v>233</v>
      </c>
      <c r="C220" s="36">
        <v>10430</v>
      </c>
      <c r="D220" s="6"/>
      <c r="E220" s="113">
        <v>795820241</v>
      </c>
      <c r="F220" s="116">
        <f t="shared" si="39"/>
        <v>76301.077756471714</v>
      </c>
      <c r="G220" s="117">
        <v>484166145</v>
      </c>
      <c r="H220" s="117">
        <f t="shared" si="40"/>
        <v>46420.531639501438</v>
      </c>
      <c r="I220" s="7"/>
      <c r="J220" s="10">
        <v>7.75</v>
      </c>
      <c r="K220" s="117">
        <v>3752287</v>
      </c>
      <c r="L220" s="120">
        <f t="shared" si="45"/>
        <v>359.75906040268455</v>
      </c>
      <c r="M220" s="122">
        <f t="shared" si="46"/>
        <v>4841661.45</v>
      </c>
      <c r="N220" s="116">
        <f t="shared" si="47"/>
        <v>1089374.4500000002</v>
      </c>
      <c r="O220" s="123">
        <f t="shared" si="48"/>
        <v>104.44625599232984</v>
      </c>
      <c r="P220" s="5"/>
      <c r="Q220" s="5">
        <f t="shared" si="41"/>
        <v>1</v>
      </c>
      <c r="R220" s="7">
        <f t="shared" si="42"/>
        <v>10430</v>
      </c>
      <c r="S220" s="5">
        <f t="shared" si="43"/>
        <v>1</v>
      </c>
      <c r="T220" s="7">
        <f t="shared" si="44"/>
        <v>10430</v>
      </c>
    </row>
    <row r="221" spans="1:20">
      <c r="A221" s="23" t="s">
        <v>251</v>
      </c>
      <c r="B221" s="37" t="s">
        <v>233</v>
      </c>
      <c r="C221" s="36">
        <v>13706</v>
      </c>
      <c r="D221" s="6"/>
      <c r="E221" s="113">
        <v>894118881</v>
      </c>
      <c r="F221" s="116">
        <f t="shared" si="39"/>
        <v>65235.581570115275</v>
      </c>
      <c r="G221" s="117">
        <v>672785358</v>
      </c>
      <c r="H221" s="117">
        <f t="shared" si="40"/>
        <v>49086.922369765067</v>
      </c>
      <c r="I221" s="7"/>
      <c r="J221" s="10">
        <v>8.15</v>
      </c>
      <c r="K221" s="117">
        <v>5483200</v>
      </c>
      <c r="L221" s="120">
        <f t="shared" si="45"/>
        <v>400.05836859769443</v>
      </c>
      <c r="M221" s="122">
        <f t="shared" si="46"/>
        <v>6727853.5800000001</v>
      </c>
      <c r="N221" s="116">
        <f t="shared" si="47"/>
        <v>1244653.58</v>
      </c>
      <c r="O221" s="123">
        <f t="shared" si="48"/>
        <v>90.810855099956228</v>
      </c>
      <c r="P221" s="5"/>
      <c r="Q221" s="5">
        <f t="shared" si="41"/>
        <v>1</v>
      </c>
      <c r="R221" s="7">
        <f t="shared" si="42"/>
        <v>13706</v>
      </c>
      <c r="S221" s="5">
        <f t="shared" si="43"/>
        <v>1</v>
      </c>
      <c r="T221" s="7">
        <f t="shared" si="44"/>
        <v>13706</v>
      </c>
    </row>
    <row r="222" spans="1:20">
      <c r="A222" s="23" t="s">
        <v>252</v>
      </c>
      <c r="B222" s="37" t="s">
        <v>233</v>
      </c>
      <c r="C222" s="36">
        <v>6689</v>
      </c>
      <c r="D222" s="6"/>
      <c r="E222" s="113">
        <v>350518754</v>
      </c>
      <c r="F222" s="116">
        <f t="shared" ref="F222:F285" si="49">(E222/C222)</f>
        <v>52402.265510539692</v>
      </c>
      <c r="G222" s="117">
        <v>294466258</v>
      </c>
      <c r="H222" s="117">
        <f t="shared" ref="H222:H285" si="50">(G222/C222)</f>
        <v>44022.463447451039</v>
      </c>
      <c r="I222" s="7"/>
      <c r="J222" s="10">
        <v>5.7641999999999998</v>
      </c>
      <c r="K222" s="117">
        <v>1697362</v>
      </c>
      <c r="L222" s="120">
        <f t="shared" si="45"/>
        <v>253.75422335177157</v>
      </c>
      <c r="M222" s="122">
        <f t="shared" si="46"/>
        <v>2944662.58</v>
      </c>
      <c r="N222" s="116">
        <f t="shared" si="47"/>
        <v>1247300.58</v>
      </c>
      <c r="O222" s="123">
        <f t="shared" si="48"/>
        <v>186.47041112273882</v>
      </c>
      <c r="P222" s="5"/>
      <c r="Q222" s="5">
        <f t="shared" si="41"/>
        <v>1</v>
      </c>
      <c r="R222" s="7">
        <f t="shared" si="42"/>
        <v>6689</v>
      </c>
      <c r="S222" s="5">
        <f t="shared" si="43"/>
        <v>1</v>
      </c>
      <c r="T222" s="7">
        <f t="shared" si="44"/>
        <v>6689</v>
      </c>
    </row>
    <row r="223" spans="1:20">
      <c r="A223" s="23" t="s">
        <v>253</v>
      </c>
      <c r="B223" s="37" t="s">
        <v>233</v>
      </c>
      <c r="C223" s="36">
        <v>59996</v>
      </c>
      <c r="D223" s="6"/>
      <c r="E223" s="113">
        <v>2206679570</v>
      </c>
      <c r="F223" s="116">
        <f t="shared" si="49"/>
        <v>36780.444862990866</v>
      </c>
      <c r="G223" s="117">
        <v>1490614244</v>
      </c>
      <c r="H223" s="117">
        <f t="shared" si="50"/>
        <v>24845.227081805453</v>
      </c>
      <c r="I223" s="7"/>
      <c r="J223" s="10">
        <v>8.5</v>
      </c>
      <c r="K223" s="117">
        <v>12670221</v>
      </c>
      <c r="L223" s="120">
        <f t="shared" si="45"/>
        <v>211.18442896193079</v>
      </c>
      <c r="M223" s="122">
        <f t="shared" si="46"/>
        <v>14906142.439999999</v>
      </c>
      <c r="N223" s="116">
        <f t="shared" si="47"/>
        <v>2235921.4399999995</v>
      </c>
      <c r="O223" s="123">
        <f t="shared" si="48"/>
        <v>37.267841856123731</v>
      </c>
      <c r="P223" s="5"/>
      <c r="Q223" s="5">
        <f t="shared" si="41"/>
        <v>1</v>
      </c>
      <c r="R223" s="7">
        <f t="shared" si="42"/>
        <v>59996</v>
      </c>
      <c r="S223" s="5">
        <f t="shared" si="43"/>
        <v>1</v>
      </c>
      <c r="T223" s="7">
        <f t="shared" si="44"/>
        <v>59996</v>
      </c>
    </row>
    <row r="224" spans="1:20">
      <c r="A224" s="23" t="s">
        <v>254</v>
      </c>
      <c r="B224" s="37" t="s">
        <v>233</v>
      </c>
      <c r="C224" s="36">
        <v>42178</v>
      </c>
      <c r="D224" s="6"/>
      <c r="E224" s="113">
        <v>1867657842</v>
      </c>
      <c r="F224" s="116">
        <f t="shared" si="49"/>
        <v>44280.379392100149</v>
      </c>
      <c r="G224" s="117">
        <v>1327165473</v>
      </c>
      <c r="H224" s="117">
        <f t="shared" si="50"/>
        <v>31465.822774906348</v>
      </c>
      <c r="I224" s="7"/>
      <c r="J224" s="10">
        <v>7.5</v>
      </c>
      <c r="K224" s="117">
        <v>9953741</v>
      </c>
      <c r="L224" s="120">
        <f t="shared" si="45"/>
        <v>235.9936696856181</v>
      </c>
      <c r="M224" s="122">
        <f t="shared" si="46"/>
        <v>13271654.73</v>
      </c>
      <c r="N224" s="116">
        <f t="shared" si="47"/>
        <v>3317913.7300000004</v>
      </c>
      <c r="O224" s="123">
        <f t="shared" si="48"/>
        <v>78.664558063445412</v>
      </c>
      <c r="P224" s="5"/>
      <c r="Q224" s="5">
        <f t="shared" si="41"/>
        <v>1</v>
      </c>
      <c r="R224" s="7">
        <f t="shared" si="42"/>
        <v>42178</v>
      </c>
      <c r="S224" s="5">
        <f t="shared" si="43"/>
        <v>1</v>
      </c>
      <c r="T224" s="7">
        <f t="shared" si="44"/>
        <v>42178</v>
      </c>
    </row>
    <row r="225" spans="1:20">
      <c r="A225" s="23" t="s">
        <v>255</v>
      </c>
      <c r="B225" s="37" t="s">
        <v>233</v>
      </c>
      <c r="C225" s="36">
        <v>15361</v>
      </c>
      <c r="D225" s="6"/>
      <c r="E225" s="113">
        <v>590174359</v>
      </c>
      <c r="F225" s="116">
        <f t="shared" si="49"/>
        <v>38420.308508560644</v>
      </c>
      <c r="G225" s="117">
        <v>445678318</v>
      </c>
      <c r="H225" s="117">
        <f t="shared" si="50"/>
        <v>29013.626586810755</v>
      </c>
      <c r="I225" s="7"/>
      <c r="J225" s="10">
        <v>9.8000000000000007</v>
      </c>
      <c r="K225" s="117">
        <v>4367647</v>
      </c>
      <c r="L225" s="120">
        <f t="shared" si="45"/>
        <v>284.33350693314236</v>
      </c>
      <c r="M225" s="122">
        <f t="shared" si="46"/>
        <v>4456783.18</v>
      </c>
      <c r="N225" s="116">
        <f t="shared" si="47"/>
        <v>89136.179999999702</v>
      </c>
      <c r="O225" s="123">
        <f t="shared" si="48"/>
        <v>5.8027589349651523</v>
      </c>
      <c r="P225" s="5"/>
      <c r="Q225" s="5">
        <f t="shared" si="41"/>
        <v>1</v>
      </c>
      <c r="R225" s="7">
        <f t="shared" si="42"/>
        <v>15361</v>
      </c>
      <c r="S225" s="5">
        <f t="shared" si="43"/>
        <v>1</v>
      </c>
      <c r="T225" s="7">
        <f t="shared" si="44"/>
        <v>15361</v>
      </c>
    </row>
    <row r="226" spans="1:20">
      <c r="A226" s="23" t="s">
        <v>256</v>
      </c>
      <c r="B226" s="37" t="s">
        <v>233</v>
      </c>
      <c r="C226" s="36">
        <v>19078</v>
      </c>
      <c r="D226" s="6"/>
      <c r="E226" s="113">
        <v>3157405381</v>
      </c>
      <c r="F226" s="116">
        <f t="shared" si="49"/>
        <v>165499.81030506344</v>
      </c>
      <c r="G226" s="117">
        <v>2274629416</v>
      </c>
      <c r="H226" s="117">
        <f t="shared" si="50"/>
        <v>119227.87587797463</v>
      </c>
      <c r="I226" s="7"/>
      <c r="J226" s="10">
        <v>2.4</v>
      </c>
      <c r="K226" s="117">
        <v>5459110</v>
      </c>
      <c r="L226" s="120">
        <f t="shared" si="45"/>
        <v>286.14687074116785</v>
      </c>
      <c r="M226" s="122">
        <f t="shared" si="46"/>
        <v>22746294.16</v>
      </c>
      <c r="N226" s="116">
        <f t="shared" si="47"/>
        <v>17287184.16</v>
      </c>
      <c r="O226" s="123">
        <f t="shared" si="48"/>
        <v>906.1318880385785</v>
      </c>
      <c r="P226" s="5"/>
      <c r="Q226" s="5">
        <f t="shared" si="41"/>
        <v>1</v>
      </c>
      <c r="R226" s="7">
        <f t="shared" si="42"/>
        <v>19078</v>
      </c>
      <c r="S226" s="5">
        <f t="shared" si="43"/>
        <v>1</v>
      </c>
      <c r="T226" s="7">
        <f t="shared" si="44"/>
        <v>19078</v>
      </c>
    </row>
    <row r="227" spans="1:20">
      <c r="A227" s="23" t="s">
        <v>257</v>
      </c>
      <c r="B227" s="37" t="s">
        <v>233</v>
      </c>
      <c r="C227" s="36">
        <v>10759</v>
      </c>
      <c r="D227" s="6"/>
      <c r="E227" s="113">
        <v>1252328832</v>
      </c>
      <c r="F227" s="116">
        <f t="shared" si="49"/>
        <v>116398.25559996282</v>
      </c>
      <c r="G227" s="117">
        <v>848516902</v>
      </c>
      <c r="H227" s="117">
        <f t="shared" si="50"/>
        <v>78865.777674505065</v>
      </c>
      <c r="I227" s="7"/>
      <c r="J227" s="10">
        <v>6.3730000000000002</v>
      </c>
      <c r="K227" s="117">
        <v>5407598</v>
      </c>
      <c r="L227" s="120">
        <f t="shared" si="45"/>
        <v>502.61158100195183</v>
      </c>
      <c r="M227" s="122">
        <f t="shared" si="46"/>
        <v>8485169.0199999996</v>
      </c>
      <c r="N227" s="116">
        <f t="shared" si="47"/>
        <v>3077571.0199999996</v>
      </c>
      <c r="O227" s="123">
        <f t="shared" si="48"/>
        <v>286.04619574309874</v>
      </c>
      <c r="P227" s="5"/>
      <c r="Q227" s="5">
        <f t="shared" si="41"/>
        <v>1</v>
      </c>
      <c r="R227" s="7">
        <f t="shared" si="42"/>
        <v>10759</v>
      </c>
      <c r="S227" s="5">
        <f t="shared" si="43"/>
        <v>1</v>
      </c>
      <c r="T227" s="7">
        <f t="shared" si="44"/>
        <v>10759</v>
      </c>
    </row>
    <row r="228" spans="1:20">
      <c r="A228" s="23" t="s">
        <v>258</v>
      </c>
      <c r="B228" s="37" t="s">
        <v>233</v>
      </c>
      <c r="C228" s="36">
        <v>15477</v>
      </c>
      <c r="D228" s="6"/>
      <c r="E228" s="113">
        <v>2410316568</v>
      </c>
      <c r="F228" s="116">
        <f t="shared" si="49"/>
        <v>155735.38592750533</v>
      </c>
      <c r="G228" s="117">
        <v>2196812792</v>
      </c>
      <c r="H228" s="117">
        <f t="shared" si="50"/>
        <v>141940.4789041804</v>
      </c>
      <c r="I228" s="7"/>
      <c r="J228" s="10">
        <v>3.35</v>
      </c>
      <c r="K228" s="117">
        <v>7359322</v>
      </c>
      <c r="L228" s="120">
        <f t="shared" si="45"/>
        <v>475.50054920204173</v>
      </c>
      <c r="M228" s="122">
        <f t="shared" si="46"/>
        <v>21968127.920000002</v>
      </c>
      <c r="N228" s="116">
        <f t="shared" si="47"/>
        <v>14608805.920000002</v>
      </c>
      <c r="O228" s="123">
        <f t="shared" si="48"/>
        <v>943.90423983976234</v>
      </c>
      <c r="P228" s="5"/>
      <c r="Q228" s="5">
        <f t="shared" si="41"/>
        <v>1</v>
      </c>
      <c r="R228" s="7">
        <f t="shared" si="42"/>
        <v>15477</v>
      </c>
      <c r="S228" s="5">
        <f t="shared" si="43"/>
        <v>1</v>
      </c>
      <c r="T228" s="7">
        <f t="shared" si="44"/>
        <v>15477</v>
      </c>
    </row>
    <row r="229" spans="1:20">
      <c r="A229" s="23" t="s">
        <v>259</v>
      </c>
      <c r="B229" s="37" t="s">
        <v>233</v>
      </c>
      <c r="C229" s="36">
        <v>5061</v>
      </c>
      <c r="D229" s="6"/>
      <c r="E229" s="113">
        <v>793462153</v>
      </c>
      <c r="F229" s="116">
        <f t="shared" si="49"/>
        <v>156779.71803991307</v>
      </c>
      <c r="G229" s="117">
        <v>654408389</v>
      </c>
      <c r="H229" s="117">
        <f t="shared" si="50"/>
        <v>129304.16696305078</v>
      </c>
      <c r="I229" s="7"/>
      <c r="J229" s="10">
        <v>5.6029999999999998</v>
      </c>
      <c r="K229" s="117">
        <v>3666650</v>
      </c>
      <c r="L229" s="120">
        <f t="shared" si="45"/>
        <v>724.49120727129025</v>
      </c>
      <c r="M229" s="122">
        <f t="shared" si="46"/>
        <v>6544083.8900000006</v>
      </c>
      <c r="N229" s="116">
        <f t="shared" si="47"/>
        <v>2877433.8900000006</v>
      </c>
      <c r="O229" s="123">
        <f t="shared" si="48"/>
        <v>568.5504623592177</v>
      </c>
      <c r="P229" s="5"/>
      <c r="Q229" s="5">
        <f t="shared" si="41"/>
        <v>1</v>
      </c>
      <c r="R229" s="7">
        <f t="shared" si="42"/>
        <v>5061</v>
      </c>
      <c r="S229" s="5">
        <f t="shared" si="43"/>
        <v>1</v>
      </c>
      <c r="T229" s="7">
        <f t="shared" si="44"/>
        <v>5061</v>
      </c>
    </row>
    <row r="230" spans="1:20">
      <c r="A230" s="23" t="s">
        <v>260</v>
      </c>
      <c r="B230" s="37" t="s">
        <v>233</v>
      </c>
      <c r="C230" s="36">
        <v>14260</v>
      </c>
      <c r="D230" s="6"/>
      <c r="E230" s="113">
        <v>345270595</v>
      </c>
      <c r="F230" s="116">
        <f t="shared" si="49"/>
        <v>24212.524193548386</v>
      </c>
      <c r="G230" s="117">
        <v>260086220</v>
      </c>
      <c r="H230" s="117">
        <f t="shared" si="50"/>
        <v>18238.865357643757</v>
      </c>
      <c r="I230" s="7"/>
      <c r="J230" s="10">
        <v>3.4487000000000001</v>
      </c>
      <c r="K230" s="117">
        <v>896959</v>
      </c>
      <c r="L230" s="120">
        <f t="shared" si="45"/>
        <v>62.900350631136043</v>
      </c>
      <c r="M230" s="122">
        <f t="shared" si="46"/>
        <v>2600862.2000000002</v>
      </c>
      <c r="N230" s="116">
        <f t="shared" si="47"/>
        <v>1703903.2000000002</v>
      </c>
      <c r="O230" s="123">
        <f t="shared" si="48"/>
        <v>119.48830294530156</v>
      </c>
      <c r="P230" s="5"/>
      <c r="Q230" s="5">
        <f t="shared" si="41"/>
        <v>1</v>
      </c>
      <c r="R230" s="7">
        <f t="shared" si="42"/>
        <v>14260</v>
      </c>
      <c r="S230" s="5">
        <f t="shared" si="43"/>
        <v>1</v>
      </c>
      <c r="T230" s="7">
        <f t="shared" si="44"/>
        <v>14260</v>
      </c>
    </row>
    <row r="231" spans="1:20">
      <c r="A231" s="23" t="s">
        <v>261</v>
      </c>
      <c r="B231" s="37" t="s">
        <v>233</v>
      </c>
      <c r="C231" s="36">
        <v>2353</v>
      </c>
      <c r="D231" s="6"/>
      <c r="E231" s="113">
        <v>166023274</v>
      </c>
      <c r="F231" s="116">
        <f t="shared" si="49"/>
        <v>70558.12749681258</v>
      </c>
      <c r="G231" s="117">
        <v>136838948</v>
      </c>
      <c r="H231" s="117">
        <f t="shared" si="50"/>
        <v>58155.099022524439</v>
      </c>
      <c r="I231" s="7"/>
      <c r="J231" s="10">
        <v>4.843</v>
      </c>
      <c r="K231" s="117">
        <v>662711</v>
      </c>
      <c r="L231" s="120">
        <f t="shared" si="45"/>
        <v>281.64513387165323</v>
      </c>
      <c r="M231" s="122">
        <f t="shared" si="46"/>
        <v>1368389.48</v>
      </c>
      <c r="N231" s="116">
        <f t="shared" si="47"/>
        <v>705678.48</v>
      </c>
      <c r="O231" s="123">
        <f t="shared" si="48"/>
        <v>299.90585635359116</v>
      </c>
      <c r="P231" s="5"/>
      <c r="Q231" s="5">
        <f t="shared" si="41"/>
        <v>1</v>
      </c>
      <c r="R231" s="7">
        <f t="shared" si="42"/>
        <v>2353</v>
      </c>
      <c r="S231" s="5">
        <f t="shared" si="43"/>
        <v>1</v>
      </c>
      <c r="T231" s="7">
        <f t="shared" si="44"/>
        <v>2353</v>
      </c>
    </row>
    <row r="232" spans="1:20">
      <c r="A232" s="23" t="s">
        <v>262</v>
      </c>
      <c r="B232" s="37" t="s">
        <v>233</v>
      </c>
      <c r="C232" s="36">
        <v>5979</v>
      </c>
      <c r="D232" s="6"/>
      <c r="E232" s="113">
        <v>288589696</v>
      </c>
      <c r="F232" s="116">
        <f t="shared" si="49"/>
        <v>48267.217929419632</v>
      </c>
      <c r="G232" s="117">
        <v>202017435</v>
      </c>
      <c r="H232" s="117">
        <f t="shared" si="50"/>
        <v>33787.829904666331</v>
      </c>
      <c r="I232" s="7"/>
      <c r="J232" s="11">
        <v>8.4949999999999992</v>
      </c>
      <c r="K232" s="117">
        <v>1716138</v>
      </c>
      <c r="L232" s="120">
        <f t="shared" si="45"/>
        <v>287.0275965880582</v>
      </c>
      <c r="M232" s="122">
        <f t="shared" si="46"/>
        <v>2020174.35</v>
      </c>
      <c r="N232" s="116">
        <f t="shared" si="47"/>
        <v>304036.35000000009</v>
      </c>
      <c r="O232" s="123">
        <f t="shared" si="48"/>
        <v>50.850702458605134</v>
      </c>
      <c r="P232" s="5"/>
      <c r="Q232" s="5">
        <f t="shared" si="41"/>
        <v>1</v>
      </c>
      <c r="R232" s="7">
        <f t="shared" si="42"/>
        <v>5979</v>
      </c>
      <c r="S232" s="5">
        <f t="shared" si="43"/>
        <v>1</v>
      </c>
      <c r="T232" s="7">
        <f t="shared" si="44"/>
        <v>5979</v>
      </c>
    </row>
    <row r="233" spans="1:20">
      <c r="A233" s="23" t="s">
        <v>263</v>
      </c>
      <c r="B233" s="37" t="s">
        <v>264</v>
      </c>
      <c r="C233" s="36">
        <v>7067</v>
      </c>
      <c r="D233" s="6"/>
      <c r="E233" s="113">
        <v>1762533712</v>
      </c>
      <c r="F233" s="116">
        <f t="shared" si="49"/>
        <v>249403.38361398046</v>
      </c>
      <c r="G233" s="117">
        <v>1526996921</v>
      </c>
      <c r="H233" s="117">
        <f t="shared" si="50"/>
        <v>216074.27776991652</v>
      </c>
      <c r="I233" s="7"/>
      <c r="J233" s="10">
        <v>3.1</v>
      </c>
      <c r="K233" s="117">
        <v>4733690</v>
      </c>
      <c r="L233" s="120">
        <f t="shared" si="45"/>
        <v>669.83019668883549</v>
      </c>
      <c r="M233" s="122">
        <f t="shared" si="46"/>
        <v>15269969.210000001</v>
      </c>
      <c r="N233" s="116">
        <f t="shared" si="47"/>
        <v>10536279.210000001</v>
      </c>
      <c r="O233" s="123">
        <f t="shared" si="48"/>
        <v>1490.9125810103299</v>
      </c>
      <c r="P233" s="5"/>
      <c r="Q233" s="5">
        <f t="shared" si="41"/>
        <v>1</v>
      </c>
      <c r="R233" s="7">
        <f t="shared" si="42"/>
        <v>7067</v>
      </c>
      <c r="S233" s="5">
        <f t="shared" si="43"/>
        <v>1</v>
      </c>
      <c r="T233" s="7">
        <f t="shared" si="44"/>
        <v>7067</v>
      </c>
    </row>
    <row r="234" spans="1:20">
      <c r="A234" s="23" t="s">
        <v>265</v>
      </c>
      <c r="B234" s="37" t="s">
        <v>264</v>
      </c>
      <c r="C234" s="36">
        <v>815</v>
      </c>
      <c r="D234" s="6"/>
      <c r="E234" s="113">
        <v>418900846</v>
      </c>
      <c r="F234" s="116">
        <f t="shared" si="49"/>
        <v>513988.76809815952</v>
      </c>
      <c r="G234" s="117">
        <v>383854068</v>
      </c>
      <c r="H234" s="117">
        <f t="shared" si="50"/>
        <v>470986.58650306746</v>
      </c>
      <c r="I234" s="7"/>
      <c r="J234" s="10">
        <v>2.6166999999999998</v>
      </c>
      <c r="K234" s="117">
        <v>1004430</v>
      </c>
      <c r="L234" s="120">
        <f t="shared" si="45"/>
        <v>1232.4294478527606</v>
      </c>
      <c r="M234" s="122">
        <f t="shared" si="46"/>
        <v>3838540.68</v>
      </c>
      <c r="N234" s="116">
        <f t="shared" si="47"/>
        <v>2834110.68</v>
      </c>
      <c r="O234" s="123">
        <f t="shared" si="48"/>
        <v>3477.4364171779143</v>
      </c>
      <c r="P234" s="5"/>
      <c r="Q234" s="5">
        <f t="shared" si="41"/>
        <v>1</v>
      </c>
      <c r="R234" s="7">
        <f t="shared" si="42"/>
        <v>815</v>
      </c>
      <c r="S234" s="5">
        <f t="shared" si="43"/>
        <v>1</v>
      </c>
      <c r="T234" s="7">
        <f t="shared" si="44"/>
        <v>815</v>
      </c>
    </row>
    <row r="235" spans="1:20">
      <c r="A235" s="23" t="s">
        <v>266</v>
      </c>
      <c r="B235" s="37" t="s">
        <v>264</v>
      </c>
      <c r="C235" s="36">
        <v>25853</v>
      </c>
      <c r="D235" s="6"/>
      <c r="E235" s="113">
        <v>6612223176</v>
      </c>
      <c r="F235" s="116">
        <f t="shared" si="49"/>
        <v>255762.31679108809</v>
      </c>
      <c r="G235" s="117">
        <v>3651348889</v>
      </c>
      <c r="H235" s="117">
        <f t="shared" si="50"/>
        <v>141235.01678722005</v>
      </c>
      <c r="I235" s="7"/>
      <c r="J235" s="10">
        <v>3.1612</v>
      </c>
      <c r="K235" s="117">
        <v>11542644</v>
      </c>
      <c r="L235" s="120">
        <f t="shared" si="45"/>
        <v>446.4721308939001</v>
      </c>
      <c r="M235" s="122">
        <f t="shared" si="46"/>
        <v>36513488.890000001</v>
      </c>
      <c r="N235" s="116">
        <f t="shared" si="47"/>
        <v>24970844.890000001</v>
      </c>
      <c r="O235" s="123">
        <f t="shared" si="48"/>
        <v>965.87803697830043</v>
      </c>
      <c r="P235" s="5"/>
      <c r="Q235" s="5">
        <f t="shared" si="41"/>
        <v>1</v>
      </c>
      <c r="R235" s="7">
        <f t="shared" si="42"/>
        <v>25853</v>
      </c>
      <c r="S235" s="5">
        <f t="shared" si="43"/>
        <v>1</v>
      </c>
      <c r="T235" s="7">
        <f t="shared" si="44"/>
        <v>25853</v>
      </c>
    </row>
    <row r="236" spans="1:20">
      <c r="A236" s="23" t="s">
        <v>267</v>
      </c>
      <c r="B236" s="35" t="s">
        <v>264</v>
      </c>
      <c r="C236" s="36">
        <v>188</v>
      </c>
      <c r="D236" s="6"/>
      <c r="E236" s="113">
        <v>42317095</v>
      </c>
      <c r="F236" s="116">
        <f t="shared" si="49"/>
        <v>225090.93085106384</v>
      </c>
      <c r="G236" s="117">
        <v>31971280</v>
      </c>
      <c r="H236" s="117">
        <f t="shared" si="50"/>
        <v>170060</v>
      </c>
      <c r="I236" s="7"/>
      <c r="J236" s="11">
        <v>2.6469999999999998</v>
      </c>
      <c r="K236" s="117">
        <v>84627</v>
      </c>
      <c r="L236" s="120">
        <f t="shared" si="45"/>
        <v>450.14361702127661</v>
      </c>
      <c r="M236" s="122">
        <f t="shared" si="46"/>
        <v>319712.8</v>
      </c>
      <c r="N236" s="116">
        <f t="shared" si="47"/>
        <v>235085.8</v>
      </c>
      <c r="O236" s="123">
        <f t="shared" si="48"/>
        <v>1250.4563829787232</v>
      </c>
      <c r="P236" s="5"/>
      <c r="Q236" s="5">
        <f t="shared" si="41"/>
        <v>1</v>
      </c>
      <c r="R236" s="7">
        <f t="shared" si="42"/>
        <v>188</v>
      </c>
      <c r="S236" s="5">
        <f t="shared" si="43"/>
        <v>1</v>
      </c>
      <c r="T236" s="7">
        <f t="shared" si="44"/>
        <v>188</v>
      </c>
    </row>
    <row r="237" spans="1:20">
      <c r="A237" s="23" t="s">
        <v>449</v>
      </c>
      <c r="B237" s="35" t="s">
        <v>264</v>
      </c>
      <c r="C237" s="36">
        <v>10445</v>
      </c>
      <c r="D237" s="6"/>
      <c r="E237" s="113">
        <v>1503930344</v>
      </c>
      <c r="F237" s="116">
        <f t="shared" si="49"/>
        <v>143985.67199617042</v>
      </c>
      <c r="G237" s="117">
        <v>1195431861</v>
      </c>
      <c r="H237" s="117">
        <f t="shared" si="50"/>
        <v>114450.15423647678</v>
      </c>
      <c r="I237" s="7"/>
      <c r="J237" s="10">
        <v>2.9645000000000001</v>
      </c>
      <c r="K237" s="117">
        <v>3543857</v>
      </c>
      <c r="L237" s="120">
        <f t="shared" si="45"/>
        <v>339.28741024413597</v>
      </c>
      <c r="M237" s="122">
        <f t="shared" si="46"/>
        <v>11954318.609999999</v>
      </c>
      <c r="N237" s="116">
        <f t="shared" si="47"/>
        <v>8410461.6099999994</v>
      </c>
      <c r="O237" s="123">
        <f t="shared" si="48"/>
        <v>805.2141321206318</v>
      </c>
      <c r="P237" s="5"/>
      <c r="Q237" s="5">
        <f t="shared" si="41"/>
        <v>1</v>
      </c>
      <c r="R237" s="7">
        <f t="shared" si="42"/>
        <v>10445</v>
      </c>
      <c r="S237" s="5">
        <f t="shared" si="43"/>
        <v>1</v>
      </c>
      <c r="T237" s="7">
        <f t="shared" si="44"/>
        <v>10445</v>
      </c>
    </row>
    <row r="238" spans="1:20">
      <c r="A238" s="23" t="s">
        <v>268</v>
      </c>
      <c r="B238" s="35" t="s">
        <v>269</v>
      </c>
      <c r="C238" s="36">
        <v>1018</v>
      </c>
      <c r="D238" s="6"/>
      <c r="E238" s="113">
        <v>76793477</v>
      </c>
      <c r="F238" s="116">
        <f t="shared" si="49"/>
        <v>75435.635559921415</v>
      </c>
      <c r="G238" s="117">
        <v>46196893</v>
      </c>
      <c r="H238" s="117">
        <f t="shared" si="50"/>
        <v>45380.052062868366</v>
      </c>
      <c r="I238" s="7"/>
      <c r="J238" s="10">
        <v>2.8940000000000001</v>
      </c>
      <c r="K238" s="117">
        <v>133693</v>
      </c>
      <c r="L238" s="120">
        <f t="shared" si="45"/>
        <v>131.32907662082513</v>
      </c>
      <c r="M238" s="122">
        <f t="shared" si="46"/>
        <v>461968.93</v>
      </c>
      <c r="N238" s="116">
        <f t="shared" si="47"/>
        <v>328275.93</v>
      </c>
      <c r="O238" s="123">
        <f t="shared" si="48"/>
        <v>322.47144400785857</v>
      </c>
      <c r="P238" s="5"/>
      <c r="Q238" s="5">
        <f t="shared" si="41"/>
        <v>1</v>
      </c>
      <c r="R238" s="7">
        <f t="shared" si="42"/>
        <v>1018</v>
      </c>
      <c r="S238" s="5">
        <f t="shared" si="43"/>
        <v>1</v>
      </c>
      <c r="T238" s="7">
        <f t="shared" si="44"/>
        <v>1018</v>
      </c>
    </row>
    <row r="239" spans="1:20">
      <c r="A239" s="23" t="s">
        <v>270</v>
      </c>
      <c r="B239" s="35" t="s">
        <v>269</v>
      </c>
      <c r="C239" s="36">
        <v>10963</v>
      </c>
      <c r="D239" s="6"/>
      <c r="E239" s="113">
        <v>1470821984</v>
      </c>
      <c r="F239" s="116">
        <f t="shared" si="49"/>
        <v>134162.36285688225</v>
      </c>
      <c r="G239" s="117">
        <v>1082899059</v>
      </c>
      <c r="H239" s="117">
        <f t="shared" si="50"/>
        <v>98777.620997902035</v>
      </c>
      <c r="I239" s="7"/>
      <c r="J239" s="10">
        <v>6.2184999999999997</v>
      </c>
      <c r="K239" s="117">
        <v>6734007</v>
      </c>
      <c r="L239" s="120">
        <f t="shared" si="45"/>
        <v>614.24856334944809</v>
      </c>
      <c r="M239" s="122">
        <f t="shared" si="46"/>
        <v>10828990.59</v>
      </c>
      <c r="N239" s="116">
        <f t="shared" si="47"/>
        <v>4094983.59</v>
      </c>
      <c r="O239" s="123">
        <f t="shared" si="48"/>
        <v>373.52764662957219</v>
      </c>
      <c r="P239" s="5"/>
      <c r="Q239" s="5">
        <f t="shared" si="41"/>
        <v>1</v>
      </c>
      <c r="R239" s="7">
        <f t="shared" si="42"/>
        <v>10963</v>
      </c>
      <c r="S239" s="5">
        <f t="shared" si="43"/>
        <v>1</v>
      </c>
      <c r="T239" s="7">
        <f t="shared" si="44"/>
        <v>10963</v>
      </c>
    </row>
    <row r="240" spans="1:20">
      <c r="A240" s="23" t="s">
        <v>271</v>
      </c>
      <c r="B240" s="35" t="s">
        <v>269</v>
      </c>
      <c r="C240" s="36">
        <v>2741</v>
      </c>
      <c r="D240" s="6"/>
      <c r="E240" s="113">
        <v>217348692</v>
      </c>
      <c r="F240" s="116">
        <f t="shared" si="49"/>
        <v>79295.400218898212</v>
      </c>
      <c r="G240" s="117">
        <v>50697217</v>
      </c>
      <c r="H240" s="117">
        <f t="shared" si="50"/>
        <v>18495.88361911711</v>
      </c>
      <c r="I240" s="7"/>
      <c r="J240" s="10">
        <v>0.60470000000000002</v>
      </c>
      <c r="K240" s="117">
        <v>30656</v>
      </c>
      <c r="L240" s="120">
        <f t="shared" si="45"/>
        <v>11.184239328712149</v>
      </c>
      <c r="M240" s="122">
        <f t="shared" si="46"/>
        <v>506972.17</v>
      </c>
      <c r="N240" s="116">
        <f t="shared" si="47"/>
        <v>476316.17</v>
      </c>
      <c r="O240" s="123">
        <f t="shared" si="48"/>
        <v>173.77459686245896</v>
      </c>
      <c r="P240" s="5"/>
      <c r="Q240" s="5">
        <f t="shared" si="41"/>
        <v>1</v>
      </c>
      <c r="R240" s="7">
        <f t="shared" si="42"/>
        <v>2741</v>
      </c>
      <c r="S240" s="5">
        <f t="shared" si="43"/>
        <v>1</v>
      </c>
      <c r="T240" s="7">
        <f t="shared" si="44"/>
        <v>2741</v>
      </c>
    </row>
    <row r="241" spans="1:20">
      <c r="A241" s="23" t="s">
        <v>272</v>
      </c>
      <c r="B241" s="35" t="s">
        <v>273</v>
      </c>
      <c r="C241" s="36">
        <v>360</v>
      </c>
      <c r="D241" s="6"/>
      <c r="E241" s="113">
        <v>40067336</v>
      </c>
      <c r="F241" s="116">
        <f t="shared" si="49"/>
        <v>111298.15555555555</v>
      </c>
      <c r="G241" s="117">
        <v>35103968</v>
      </c>
      <c r="H241" s="117">
        <f t="shared" si="50"/>
        <v>97511.022222222222</v>
      </c>
      <c r="I241" s="7"/>
      <c r="J241" s="10">
        <v>2.2999999999999998</v>
      </c>
      <c r="K241" s="117">
        <v>80739</v>
      </c>
      <c r="L241" s="120">
        <f t="shared" si="45"/>
        <v>224.27500000000001</v>
      </c>
      <c r="M241" s="122">
        <f t="shared" si="46"/>
        <v>351039.68</v>
      </c>
      <c r="N241" s="116">
        <f t="shared" si="47"/>
        <v>270300.68</v>
      </c>
      <c r="O241" s="123">
        <f t="shared" si="48"/>
        <v>750.83522222222223</v>
      </c>
      <c r="P241" s="5"/>
      <c r="Q241" s="5">
        <f t="shared" si="41"/>
        <v>1</v>
      </c>
      <c r="R241" s="7">
        <f t="shared" si="42"/>
        <v>360</v>
      </c>
      <c r="S241" s="5">
        <f t="shared" si="43"/>
        <v>1</v>
      </c>
      <c r="T241" s="7">
        <f t="shared" si="44"/>
        <v>360</v>
      </c>
    </row>
    <row r="242" spans="1:20">
      <c r="A242" s="23" t="s">
        <v>274</v>
      </c>
      <c r="B242" s="35" t="s">
        <v>273</v>
      </c>
      <c r="C242" s="36">
        <v>15466</v>
      </c>
      <c r="D242" s="6"/>
      <c r="E242" s="113">
        <v>643215755</v>
      </c>
      <c r="F242" s="116">
        <f t="shared" si="49"/>
        <v>41589.018168886592</v>
      </c>
      <c r="G242" s="117">
        <v>450592161</v>
      </c>
      <c r="H242" s="117">
        <f t="shared" si="50"/>
        <v>29134.369649553861</v>
      </c>
      <c r="I242" s="7"/>
      <c r="J242" s="10">
        <v>6.9989999999999997</v>
      </c>
      <c r="K242" s="117">
        <v>3153694</v>
      </c>
      <c r="L242" s="120">
        <f t="shared" si="45"/>
        <v>203.91141859562913</v>
      </c>
      <c r="M242" s="122">
        <f t="shared" si="46"/>
        <v>4505921.6100000003</v>
      </c>
      <c r="N242" s="116">
        <f t="shared" si="47"/>
        <v>1352227.6100000003</v>
      </c>
      <c r="O242" s="123">
        <f t="shared" si="48"/>
        <v>87.432277899909494</v>
      </c>
      <c r="P242" s="5"/>
      <c r="Q242" s="5">
        <f t="shared" si="41"/>
        <v>1</v>
      </c>
      <c r="R242" s="7">
        <f t="shared" si="42"/>
        <v>15466</v>
      </c>
      <c r="S242" s="5">
        <f t="shared" si="43"/>
        <v>1</v>
      </c>
      <c r="T242" s="7">
        <f t="shared" si="44"/>
        <v>15466</v>
      </c>
    </row>
    <row r="243" spans="1:20">
      <c r="A243" s="23" t="s">
        <v>275</v>
      </c>
      <c r="B243" s="35" t="s">
        <v>273</v>
      </c>
      <c r="C243" s="36">
        <v>11658</v>
      </c>
      <c r="D243" s="6"/>
      <c r="E243" s="113">
        <v>2943353641</v>
      </c>
      <c r="F243" s="116">
        <f t="shared" si="49"/>
        <v>252475.00780579858</v>
      </c>
      <c r="G243" s="117">
        <v>2657596540</v>
      </c>
      <c r="H243" s="117">
        <f t="shared" si="50"/>
        <v>227963.33333333334</v>
      </c>
      <c r="I243" s="7"/>
      <c r="J243" s="10">
        <v>1.8</v>
      </c>
      <c r="K243" s="117">
        <v>4783673</v>
      </c>
      <c r="L243" s="120">
        <f t="shared" si="45"/>
        <v>410.33393377937898</v>
      </c>
      <c r="M243" s="122">
        <f t="shared" si="46"/>
        <v>26575965.400000002</v>
      </c>
      <c r="N243" s="116">
        <f t="shared" si="47"/>
        <v>21792292.400000002</v>
      </c>
      <c r="O243" s="123">
        <f t="shared" si="48"/>
        <v>1869.2993995539546</v>
      </c>
      <c r="P243" s="5"/>
      <c r="Q243" s="5">
        <f t="shared" si="41"/>
        <v>1</v>
      </c>
      <c r="R243" s="7">
        <f t="shared" si="42"/>
        <v>11658</v>
      </c>
      <c r="S243" s="5">
        <f t="shared" si="43"/>
        <v>1</v>
      </c>
      <c r="T243" s="7">
        <f t="shared" si="44"/>
        <v>11658</v>
      </c>
    </row>
    <row r="244" spans="1:20">
      <c r="A244" s="23" t="s">
        <v>276</v>
      </c>
      <c r="B244" s="35" t="s">
        <v>273</v>
      </c>
      <c r="C244" s="36">
        <v>20239</v>
      </c>
      <c r="D244" s="6"/>
      <c r="E244" s="113">
        <v>1161695980</v>
      </c>
      <c r="F244" s="116">
        <f t="shared" si="49"/>
        <v>57398.882355847622</v>
      </c>
      <c r="G244" s="117">
        <v>831018054</v>
      </c>
      <c r="H244" s="117">
        <f t="shared" si="50"/>
        <v>41060.232916646077</v>
      </c>
      <c r="I244" s="7"/>
      <c r="J244" s="10">
        <v>4.97</v>
      </c>
      <c r="K244" s="117">
        <v>4130159</v>
      </c>
      <c r="L244" s="120">
        <f t="shared" si="45"/>
        <v>204.06932160679875</v>
      </c>
      <c r="M244" s="122">
        <f t="shared" si="46"/>
        <v>8310180.54</v>
      </c>
      <c r="N244" s="116">
        <f t="shared" si="47"/>
        <v>4180021.54</v>
      </c>
      <c r="O244" s="123">
        <f t="shared" si="48"/>
        <v>206.53300755966205</v>
      </c>
      <c r="P244" s="5"/>
      <c r="Q244" s="5">
        <f t="shared" si="41"/>
        <v>1</v>
      </c>
      <c r="R244" s="7">
        <f t="shared" si="42"/>
        <v>20239</v>
      </c>
      <c r="S244" s="5">
        <f t="shared" si="43"/>
        <v>1</v>
      </c>
      <c r="T244" s="7">
        <f t="shared" si="44"/>
        <v>20239</v>
      </c>
    </row>
    <row r="245" spans="1:20">
      <c r="A245" s="23" t="s">
        <v>277</v>
      </c>
      <c r="B245" s="35" t="s">
        <v>273</v>
      </c>
      <c r="C245" s="36">
        <v>551</v>
      </c>
      <c r="D245" s="6"/>
      <c r="E245" s="113">
        <v>13765318</v>
      </c>
      <c r="F245" s="116">
        <f t="shared" si="49"/>
        <v>24982.428312159711</v>
      </c>
      <c r="G245" s="117">
        <v>5503683</v>
      </c>
      <c r="H245" s="117">
        <f t="shared" si="50"/>
        <v>9988.5353901996368</v>
      </c>
      <c r="I245" s="98" t="s">
        <v>528</v>
      </c>
      <c r="J245" s="10"/>
      <c r="K245" s="117"/>
      <c r="L245" s="120"/>
      <c r="M245" s="122">
        <f t="shared" si="46"/>
        <v>55036.83</v>
      </c>
      <c r="N245" s="116">
        <f t="shared" si="47"/>
        <v>55036.83</v>
      </c>
      <c r="O245" s="123">
        <f t="shared" si="48"/>
        <v>99.885353901996368</v>
      </c>
      <c r="P245" s="5"/>
      <c r="Q245" s="5">
        <f t="shared" si="41"/>
        <v>1</v>
      </c>
      <c r="R245" s="7">
        <f t="shared" si="42"/>
        <v>551</v>
      </c>
      <c r="S245" s="5">
        <f t="shared" si="43"/>
        <v>0</v>
      </c>
      <c r="T245" s="7">
        <f t="shared" si="44"/>
        <v>0</v>
      </c>
    </row>
    <row r="246" spans="1:20">
      <c r="A246" s="23" t="s">
        <v>278</v>
      </c>
      <c r="B246" s="35" t="s">
        <v>273</v>
      </c>
      <c r="C246" s="36">
        <v>4066</v>
      </c>
      <c r="D246" s="6"/>
      <c r="E246" s="113">
        <v>286918315</v>
      </c>
      <c r="F246" s="116">
        <f t="shared" si="49"/>
        <v>70565.252090506634</v>
      </c>
      <c r="G246" s="117">
        <v>222579661</v>
      </c>
      <c r="H246" s="117">
        <f t="shared" si="50"/>
        <v>54741.67757009346</v>
      </c>
      <c r="I246" s="7"/>
      <c r="J246" s="10">
        <v>3.5</v>
      </c>
      <c r="K246" s="117">
        <v>779028</v>
      </c>
      <c r="L246" s="120">
        <f t="shared" ref="L246:L270" si="51">(K246/C246)</f>
        <v>191.59567142154452</v>
      </c>
      <c r="M246" s="122">
        <f t="shared" si="46"/>
        <v>2225796.61</v>
      </c>
      <c r="N246" s="116">
        <f t="shared" si="47"/>
        <v>1446768.6099999999</v>
      </c>
      <c r="O246" s="123">
        <f t="shared" si="48"/>
        <v>355.82110427939006</v>
      </c>
      <c r="P246" s="5"/>
      <c r="Q246" s="5">
        <f t="shared" si="41"/>
        <v>1</v>
      </c>
      <c r="R246" s="7">
        <f t="shared" si="42"/>
        <v>4066</v>
      </c>
      <c r="S246" s="5">
        <f t="shared" si="43"/>
        <v>1</v>
      </c>
      <c r="T246" s="7">
        <f t="shared" si="44"/>
        <v>4066</v>
      </c>
    </row>
    <row r="247" spans="1:20">
      <c r="A247" s="23" t="s">
        <v>279</v>
      </c>
      <c r="B247" s="35" t="s">
        <v>273</v>
      </c>
      <c r="C247" s="36">
        <v>12138</v>
      </c>
      <c r="D247" s="6"/>
      <c r="E247" s="113">
        <v>630855891</v>
      </c>
      <c r="F247" s="116">
        <f t="shared" si="49"/>
        <v>51973.627533366285</v>
      </c>
      <c r="G247" s="117">
        <v>451890154</v>
      </c>
      <c r="H247" s="117">
        <f t="shared" si="50"/>
        <v>37229.375020596475</v>
      </c>
      <c r="I247" s="7"/>
      <c r="J247" s="10">
        <v>3</v>
      </c>
      <c r="K247" s="117">
        <v>1355670</v>
      </c>
      <c r="L247" s="120">
        <f t="shared" si="51"/>
        <v>111.68808699950569</v>
      </c>
      <c r="M247" s="122">
        <f t="shared" si="46"/>
        <v>4518901.54</v>
      </c>
      <c r="N247" s="116">
        <f t="shared" si="47"/>
        <v>3163231.54</v>
      </c>
      <c r="O247" s="123">
        <f t="shared" si="48"/>
        <v>260.60566320645904</v>
      </c>
      <c r="P247" s="5"/>
      <c r="Q247" s="5">
        <f t="shared" si="41"/>
        <v>1</v>
      </c>
      <c r="R247" s="7">
        <f t="shared" si="42"/>
        <v>12138</v>
      </c>
      <c r="S247" s="5">
        <f t="shared" si="43"/>
        <v>1</v>
      </c>
      <c r="T247" s="7">
        <f t="shared" si="44"/>
        <v>12138</v>
      </c>
    </row>
    <row r="248" spans="1:20">
      <c r="A248" s="23" t="s">
        <v>280</v>
      </c>
      <c r="B248" s="35" t="s">
        <v>273</v>
      </c>
      <c r="C248" s="36">
        <v>721</v>
      </c>
      <c r="D248" s="6"/>
      <c r="E248" s="113">
        <v>86667408</v>
      </c>
      <c r="F248" s="116">
        <f t="shared" si="49"/>
        <v>120204.44937586685</v>
      </c>
      <c r="G248" s="117">
        <v>66842916</v>
      </c>
      <c r="H248" s="117">
        <f t="shared" si="50"/>
        <v>92708.621359223296</v>
      </c>
      <c r="I248" s="9"/>
      <c r="J248" s="10">
        <v>2.8</v>
      </c>
      <c r="K248" s="117">
        <v>187160</v>
      </c>
      <c r="L248" s="120">
        <f t="shared" si="51"/>
        <v>259.58391123439668</v>
      </c>
      <c r="M248" s="122">
        <f t="shared" si="46"/>
        <v>668429.16</v>
      </c>
      <c r="N248" s="116">
        <f t="shared" si="47"/>
        <v>481269.16000000003</v>
      </c>
      <c r="O248" s="123">
        <f t="shared" si="48"/>
        <v>667.50230235783636</v>
      </c>
      <c r="P248" s="5"/>
      <c r="Q248" s="5">
        <f t="shared" si="41"/>
        <v>1</v>
      </c>
      <c r="R248" s="7">
        <f t="shared" si="42"/>
        <v>721</v>
      </c>
      <c r="S248" s="5">
        <f t="shared" si="43"/>
        <v>1</v>
      </c>
      <c r="T248" s="7">
        <f t="shared" si="44"/>
        <v>721</v>
      </c>
    </row>
    <row r="249" spans="1:20">
      <c r="A249" s="23" t="s">
        <v>281</v>
      </c>
      <c r="B249" s="35" t="s">
        <v>273</v>
      </c>
      <c r="C249" s="36">
        <v>6438</v>
      </c>
      <c r="D249" s="6"/>
      <c r="E249" s="113">
        <v>217140623</v>
      </c>
      <c r="F249" s="116">
        <f t="shared" si="49"/>
        <v>33727.962566014292</v>
      </c>
      <c r="G249" s="117">
        <v>135181800</v>
      </c>
      <c r="H249" s="117">
        <f t="shared" si="50"/>
        <v>20997.483690587138</v>
      </c>
      <c r="I249" s="7"/>
      <c r="J249" s="10">
        <v>3.99</v>
      </c>
      <c r="K249" s="117">
        <v>539375</v>
      </c>
      <c r="L249" s="120">
        <f t="shared" si="51"/>
        <v>83.779900590245418</v>
      </c>
      <c r="M249" s="122">
        <f t="shared" si="46"/>
        <v>1351818</v>
      </c>
      <c r="N249" s="116">
        <f t="shared" si="47"/>
        <v>812443</v>
      </c>
      <c r="O249" s="123">
        <f t="shared" si="48"/>
        <v>126.19493631562597</v>
      </c>
      <c r="P249" s="5"/>
      <c r="Q249" s="5">
        <f t="shared" si="41"/>
        <v>1</v>
      </c>
      <c r="R249" s="7">
        <f t="shared" si="42"/>
        <v>6438</v>
      </c>
      <c r="S249" s="5">
        <f t="shared" si="43"/>
        <v>1</v>
      </c>
      <c r="T249" s="7">
        <f t="shared" si="44"/>
        <v>6438</v>
      </c>
    </row>
    <row r="250" spans="1:20">
      <c r="A250" s="23" t="s">
        <v>282</v>
      </c>
      <c r="B250" s="35" t="s">
        <v>282</v>
      </c>
      <c r="C250" s="36">
        <v>5396</v>
      </c>
      <c r="D250" s="6"/>
      <c r="E250" s="113">
        <v>318266975</v>
      </c>
      <c r="F250" s="116">
        <f t="shared" si="49"/>
        <v>58982.019088213492</v>
      </c>
      <c r="G250" s="117">
        <v>202234482</v>
      </c>
      <c r="H250" s="117">
        <f t="shared" si="50"/>
        <v>37478.5919199407</v>
      </c>
      <c r="I250" s="7"/>
      <c r="J250" s="11">
        <v>6.6898999999999997</v>
      </c>
      <c r="K250" s="117">
        <v>1352928</v>
      </c>
      <c r="L250" s="120">
        <f t="shared" si="51"/>
        <v>250.72794662713122</v>
      </c>
      <c r="M250" s="122">
        <f t="shared" si="46"/>
        <v>2022344.82</v>
      </c>
      <c r="N250" s="116">
        <f t="shared" si="47"/>
        <v>669416.82000000007</v>
      </c>
      <c r="O250" s="123">
        <f t="shared" si="48"/>
        <v>124.05797257227577</v>
      </c>
      <c r="P250" s="5"/>
      <c r="Q250" s="5">
        <f t="shared" si="41"/>
        <v>1</v>
      </c>
      <c r="R250" s="7">
        <f t="shared" si="42"/>
        <v>5396</v>
      </c>
      <c r="S250" s="5">
        <f t="shared" si="43"/>
        <v>1</v>
      </c>
      <c r="T250" s="7">
        <f t="shared" si="44"/>
        <v>5396</v>
      </c>
    </row>
    <row r="251" spans="1:20">
      <c r="A251" s="23" t="s">
        <v>283</v>
      </c>
      <c r="B251" s="35" t="s">
        <v>284</v>
      </c>
      <c r="C251" s="36">
        <v>29710</v>
      </c>
      <c r="D251" s="6"/>
      <c r="E251" s="113">
        <v>1623773109</v>
      </c>
      <c r="F251" s="116">
        <f t="shared" si="49"/>
        <v>54654.093200942443</v>
      </c>
      <c r="G251" s="117">
        <v>1219651885</v>
      </c>
      <c r="H251" s="117">
        <f t="shared" si="50"/>
        <v>41051.897845843152</v>
      </c>
      <c r="I251" s="7"/>
      <c r="J251" s="10">
        <v>3.7618999999999998</v>
      </c>
      <c r="K251" s="117">
        <v>4588208</v>
      </c>
      <c r="L251" s="120">
        <f t="shared" si="51"/>
        <v>154.43312016156176</v>
      </c>
      <c r="M251" s="122">
        <f t="shared" si="46"/>
        <v>12196518.85</v>
      </c>
      <c r="N251" s="116">
        <f t="shared" si="47"/>
        <v>7608310.8499999996</v>
      </c>
      <c r="O251" s="123">
        <f t="shared" si="48"/>
        <v>256.08585829686973</v>
      </c>
      <c r="P251" s="5"/>
      <c r="Q251" s="5">
        <f t="shared" si="41"/>
        <v>1</v>
      </c>
      <c r="R251" s="7">
        <f t="shared" si="42"/>
        <v>29710</v>
      </c>
      <c r="S251" s="5">
        <f t="shared" si="43"/>
        <v>1</v>
      </c>
      <c r="T251" s="7">
        <f t="shared" si="44"/>
        <v>29710</v>
      </c>
    </row>
    <row r="252" spans="1:20">
      <c r="A252" s="23" t="s">
        <v>285</v>
      </c>
      <c r="B252" s="35" t="s">
        <v>284</v>
      </c>
      <c r="C252" s="36">
        <v>28</v>
      </c>
      <c r="D252" s="6"/>
      <c r="E252" s="113">
        <v>4022617259</v>
      </c>
      <c r="F252" s="116">
        <f t="shared" si="49"/>
        <v>143664902.10714287</v>
      </c>
      <c r="G252" s="117">
        <v>3859668973</v>
      </c>
      <c r="H252" s="117">
        <f t="shared" si="50"/>
        <v>137845320.4642857</v>
      </c>
      <c r="I252" s="7"/>
      <c r="J252" s="10">
        <v>0.51</v>
      </c>
      <c r="K252" s="117">
        <v>1968431</v>
      </c>
      <c r="L252" s="120">
        <f t="shared" si="51"/>
        <v>70301.107142857145</v>
      </c>
      <c r="M252" s="122">
        <f t="shared" si="46"/>
        <v>38596689.730000004</v>
      </c>
      <c r="N252" s="116">
        <f t="shared" si="47"/>
        <v>36628258.730000004</v>
      </c>
      <c r="O252" s="123">
        <f t="shared" si="48"/>
        <v>1308152.0975000001</v>
      </c>
      <c r="P252" s="5"/>
      <c r="Q252" s="5">
        <f t="shared" si="41"/>
        <v>1</v>
      </c>
      <c r="R252" s="7">
        <f t="shared" si="42"/>
        <v>28</v>
      </c>
      <c r="S252" s="5">
        <f t="shared" si="43"/>
        <v>1</v>
      </c>
      <c r="T252" s="7">
        <f t="shared" si="44"/>
        <v>28</v>
      </c>
    </row>
    <row r="253" spans="1:20">
      <c r="A253" s="23" t="s">
        <v>286</v>
      </c>
      <c r="B253" s="35" t="s">
        <v>284</v>
      </c>
      <c r="C253" s="36">
        <v>6015</v>
      </c>
      <c r="D253" s="6"/>
      <c r="E253" s="113">
        <v>483592148</v>
      </c>
      <c r="F253" s="116">
        <f t="shared" si="49"/>
        <v>80397.697090606816</v>
      </c>
      <c r="G253" s="117">
        <v>384932105</v>
      </c>
      <c r="H253" s="117">
        <f t="shared" si="50"/>
        <v>63995.362427265172</v>
      </c>
      <c r="I253" s="7"/>
      <c r="J253" s="10">
        <v>2.6655000000000002</v>
      </c>
      <c r="K253" s="117">
        <v>1026036</v>
      </c>
      <c r="L253" s="120">
        <f t="shared" si="51"/>
        <v>170.57955112219452</v>
      </c>
      <c r="M253" s="122">
        <f t="shared" si="46"/>
        <v>3849321.0500000003</v>
      </c>
      <c r="N253" s="116">
        <f t="shared" si="47"/>
        <v>2823285.0500000003</v>
      </c>
      <c r="O253" s="123">
        <f t="shared" si="48"/>
        <v>469.37407315045726</v>
      </c>
      <c r="P253" s="5"/>
      <c r="Q253" s="5">
        <f t="shared" si="41"/>
        <v>1</v>
      </c>
      <c r="R253" s="7">
        <f t="shared" si="42"/>
        <v>6015</v>
      </c>
      <c r="S253" s="5">
        <f t="shared" si="43"/>
        <v>1</v>
      </c>
      <c r="T253" s="7">
        <f t="shared" si="44"/>
        <v>6015</v>
      </c>
    </row>
    <row r="254" spans="1:20">
      <c r="A254" s="23" t="s">
        <v>287</v>
      </c>
      <c r="B254" s="35" t="s">
        <v>284</v>
      </c>
      <c r="C254" s="36">
        <v>2459</v>
      </c>
      <c r="D254" s="6"/>
      <c r="E254" s="113">
        <v>189752463</v>
      </c>
      <c r="F254" s="116">
        <f t="shared" si="49"/>
        <v>77166.516063440416</v>
      </c>
      <c r="G254" s="117">
        <v>141174944</v>
      </c>
      <c r="H254" s="117">
        <f t="shared" si="50"/>
        <v>57411.526636844246</v>
      </c>
      <c r="I254" s="7"/>
      <c r="J254" s="10">
        <v>6.9039999999999999</v>
      </c>
      <c r="K254" s="117">
        <v>974671</v>
      </c>
      <c r="L254" s="120">
        <f t="shared" si="51"/>
        <v>396.36884912566086</v>
      </c>
      <c r="M254" s="122">
        <f t="shared" si="46"/>
        <v>1411749.44</v>
      </c>
      <c r="N254" s="116">
        <f t="shared" si="47"/>
        <v>437078.43999999994</v>
      </c>
      <c r="O254" s="123">
        <f t="shared" si="48"/>
        <v>177.7464172427816</v>
      </c>
      <c r="P254" s="5"/>
      <c r="Q254" s="5">
        <f t="shared" si="41"/>
        <v>1</v>
      </c>
      <c r="R254" s="7">
        <f t="shared" si="42"/>
        <v>2459</v>
      </c>
      <c r="S254" s="5">
        <f t="shared" si="43"/>
        <v>1</v>
      </c>
      <c r="T254" s="7">
        <f t="shared" si="44"/>
        <v>2459</v>
      </c>
    </row>
    <row r="255" spans="1:20">
      <c r="A255" s="23" t="s">
        <v>288</v>
      </c>
      <c r="B255" s="35" t="s">
        <v>284</v>
      </c>
      <c r="C255" s="36">
        <v>1934</v>
      </c>
      <c r="D255" s="6"/>
      <c r="E255" s="113">
        <v>214904179</v>
      </c>
      <c r="F255" s="116">
        <f t="shared" si="49"/>
        <v>111119.0170630817</v>
      </c>
      <c r="G255" s="117">
        <v>177474632</v>
      </c>
      <c r="H255" s="117">
        <f t="shared" si="50"/>
        <v>91765.580144777661</v>
      </c>
      <c r="I255" s="7"/>
      <c r="J255" s="10">
        <v>4.7</v>
      </c>
      <c r="K255" s="117">
        <v>834130</v>
      </c>
      <c r="L255" s="120">
        <f t="shared" si="51"/>
        <v>431.29782833505686</v>
      </c>
      <c r="M255" s="122">
        <f t="shared" si="46"/>
        <v>1774746.32</v>
      </c>
      <c r="N255" s="116">
        <f t="shared" si="47"/>
        <v>940616.32000000007</v>
      </c>
      <c r="O255" s="123">
        <f t="shared" si="48"/>
        <v>486.35797311271978</v>
      </c>
      <c r="P255" s="5"/>
      <c r="Q255" s="5">
        <f t="shared" si="41"/>
        <v>1</v>
      </c>
      <c r="R255" s="7">
        <f t="shared" si="42"/>
        <v>1934</v>
      </c>
      <c r="S255" s="5">
        <f t="shared" si="43"/>
        <v>1</v>
      </c>
      <c r="T255" s="7">
        <f t="shared" si="44"/>
        <v>1934</v>
      </c>
    </row>
    <row r="256" spans="1:20">
      <c r="A256" s="23" t="s">
        <v>289</v>
      </c>
      <c r="B256" s="35" t="s">
        <v>284</v>
      </c>
      <c r="C256" s="36">
        <v>19</v>
      </c>
      <c r="D256" s="6"/>
      <c r="E256" s="113">
        <v>1414316594</v>
      </c>
      <c r="F256" s="116">
        <f t="shared" si="49"/>
        <v>74437715.473684207</v>
      </c>
      <c r="G256" s="117">
        <v>1365536658</v>
      </c>
      <c r="H256" s="117">
        <f t="shared" si="50"/>
        <v>71870350.421052635</v>
      </c>
      <c r="I256" s="7"/>
      <c r="J256" s="10">
        <v>0.62580000000000002</v>
      </c>
      <c r="K256" s="117">
        <v>854552</v>
      </c>
      <c r="L256" s="120">
        <f t="shared" si="51"/>
        <v>44976.42105263158</v>
      </c>
      <c r="M256" s="122">
        <f t="shared" si="46"/>
        <v>13655366.58</v>
      </c>
      <c r="N256" s="116">
        <f t="shared" si="47"/>
        <v>12800814.58</v>
      </c>
      <c r="O256" s="123">
        <f t="shared" si="48"/>
        <v>673727.08315789478</v>
      </c>
      <c r="P256" s="5"/>
      <c r="Q256" s="5">
        <f t="shared" si="41"/>
        <v>1</v>
      </c>
      <c r="R256" s="7">
        <f t="shared" si="42"/>
        <v>19</v>
      </c>
      <c r="S256" s="5">
        <f t="shared" si="43"/>
        <v>1</v>
      </c>
      <c r="T256" s="7">
        <f t="shared" si="44"/>
        <v>19</v>
      </c>
    </row>
    <row r="257" spans="1:20">
      <c r="A257" s="23" t="s">
        <v>290</v>
      </c>
      <c r="B257" s="35" t="s">
        <v>284</v>
      </c>
      <c r="C257" s="36">
        <v>14441</v>
      </c>
      <c r="D257" s="6"/>
      <c r="E257" s="113">
        <v>1883404945</v>
      </c>
      <c r="F257" s="116">
        <f t="shared" si="49"/>
        <v>130420.67342981788</v>
      </c>
      <c r="G257" s="117">
        <v>1583296316</v>
      </c>
      <c r="H257" s="117">
        <f t="shared" si="50"/>
        <v>109638.96655356277</v>
      </c>
      <c r="I257" s="7"/>
      <c r="J257" s="10">
        <v>3.8</v>
      </c>
      <c r="K257" s="117">
        <v>6016526</v>
      </c>
      <c r="L257" s="120">
        <f t="shared" si="51"/>
        <v>416.62807284814073</v>
      </c>
      <c r="M257" s="122">
        <f t="shared" si="46"/>
        <v>15832963.16</v>
      </c>
      <c r="N257" s="116">
        <f t="shared" si="47"/>
        <v>9816437.1600000001</v>
      </c>
      <c r="O257" s="123">
        <f t="shared" si="48"/>
        <v>679.761592687487</v>
      </c>
      <c r="P257" s="5"/>
      <c r="Q257" s="5">
        <f t="shared" si="41"/>
        <v>1</v>
      </c>
      <c r="R257" s="7">
        <f t="shared" si="42"/>
        <v>14441</v>
      </c>
      <c r="S257" s="5">
        <f t="shared" si="43"/>
        <v>1</v>
      </c>
      <c r="T257" s="7">
        <f t="shared" si="44"/>
        <v>14441</v>
      </c>
    </row>
    <row r="258" spans="1:20">
      <c r="A258" s="23" t="s">
        <v>291</v>
      </c>
      <c r="B258" s="35" t="s">
        <v>284</v>
      </c>
      <c r="C258" s="36">
        <v>1194</v>
      </c>
      <c r="D258" s="6"/>
      <c r="E258" s="113">
        <v>104662006</v>
      </c>
      <c r="F258" s="116">
        <f t="shared" si="49"/>
        <v>87656.621440536008</v>
      </c>
      <c r="G258" s="117">
        <v>82428186</v>
      </c>
      <c r="H258" s="117">
        <f t="shared" si="50"/>
        <v>69035.331658291456</v>
      </c>
      <c r="I258" s="7"/>
      <c r="J258" s="10">
        <v>4.9245000000000001</v>
      </c>
      <c r="K258" s="117">
        <v>405917</v>
      </c>
      <c r="L258" s="120">
        <f t="shared" si="51"/>
        <v>339.96398659966496</v>
      </c>
      <c r="M258" s="122">
        <f t="shared" si="46"/>
        <v>824281.86</v>
      </c>
      <c r="N258" s="116">
        <f t="shared" si="47"/>
        <v>418364.86</v>
      </c>
      <c r="O258" s="123">
        <f t="shared" si="48"/>
        <v>350.38932998324958</v>
      </c>
      <c r="P258" s="5"/>
      <c r="Q258" s="5">
        <f t="shared" si="41"/>
        <v>1</v>
      </c>
      <c r="R258" s="7">
        <f t="shared" si="42"/>
        <v>1194</v>
      </c>
      <c r="S258" s="5">
        <f t="shared" si="43"/>
        <v>1</v>
      </c>
      <c r="T258" s="7">
        <f t="shared" si="44"/>
        <v>1194</v>
      </c>
    </row>
    <row r="259" spans="1:20">
      <c r="A259" s="23" t="s">
        <v>292</v>
      </c>
      <c r="B259" s="35" t="s">
        <v>284</v>
      </c>
      <c r="C259" s="36">
        <v>27246</v>
      </c>
      <c r="D259" s="6"/>
      <c r="E259" s="113">
        <v>1567260000</v>
      </c>
      <c r="F259" s="116">
        <f t="shared" si="49"/>
        <v>57522.572120678262</v>
      </c>
      <c r="G259" s="117">
        <v>1151336799</v>
      </c>
      <c r="H259" s="117">
        <f t="shared" si="50"/>
        <v>42257.094582691039</v>
      </c>
      <c r="I259" s="7"/>
      <c r="J259" s="10">
        <v>4.5789</v>
      </c>
      <c r="K259" s="117">
        <v>5271856</v>
      </c>
      <c r="L259" s="120">
        <f t="shared" si="51"/>
        <v>193.49100785436394</v>
      </c>
      <c r="M259" s="122">
        <f t="shared" si="46"/>
        <v>11513367.99</v>
      </c>
      <c r="N259" s="116">
        <f t="shared" si="47"/>
        <v>6241511.9900000002</v>
      </c>
      <c r="O259" s="123">
        <f t="shared" si="48"/>
        <v>229.07993797254645</v>
      </c>
      <c r="P259" s="5"/>
      <c r="Q259" s="5">
        <f t="shared" si="41"/>
        <v>1</v>
      </c>
      <c r="R259" s="7">
        <f t="shared" si="42"/>
        <v>27246</v>
      </c>
      <c r="S259" s="5">
        <f t="shared" si="43"/>
        <v>1</v>
      </c>
      <c r="T259" s="7">
        <f t="shared" si="44"/>
        <v>27246</v>
      </c>
    </row>
    <row r="260" spans="1:20">
      <c r="A260" s="23" t="s">
        <v>293</v>
      </c>
      <c r="B260" s="35" t="s">
        <v>284</v>
      </c>
      <c r="C260" s="36">
        <v>194913</v>
      </c>
      <c r="D260" s="6"/>
      <c r="E260" s="113">
        <v>20596789091</v>
      </c>
      <c r="F260" s="116">
        <f t="shared" si="49"/>
        <v>105671.7052787654</v>
      </c>
      <c r="G260" s="117">
        <v>13090795130</v>
      </c>
      <c r="H260" s="117">
        <f t="shared" si="50"/>
        <v>67162.247412948345</v>
      </c>
      <c r="I260" s="7"/>
      <c r="J260" s="10">
        <v>5.6916000000000002</v>
      </c>
      <c r="K260" s="117">
        <v>74507569</v>
      </c>
      <c r="L260" s="120">
        <f t="shared" si="51"/>
        <v>382.26064449267108</v>
      </c>
      <c r="M260" s="122">
        <f t="shared" si="46"/>
        <v>130907951.3</v>
      </c>
      <c r="N260" s="116">
        <f t="shared" si="47"/>
        <v>56400382.299999997</v>
      </c>
      <c r="O260" s="123">
        <f t="shared" si="48"/>
        <v>289.36182963681233</v>
      </c>
      <c r="P260" s="5"/>
      <c r="Q260" s="5">
        <f t="shared" si="41"/>
        <v>1</v>
      </c>
      <c r="R260" s="7">
        <f t="shared" si="42"/>
        <v>194913</v>
      </c>
      <c r="S260" s="5">
        <f t="shared" si="43"/>
        <v>1</v>
      </c>
      <c r="T260" s="7">
        <f t="shared" si="44"/>
        <v>194913</v>
      </c>
    </row>
    <row r="261" spans="1:20">
      <c r="A261" s="23" t="s">
        <v>294</v>
      </c>
      <c r="B261" s="35" t="s">
        <v>284</v>
      </c>
      <c r="C261" s="36">
        <v>2303</v>
      </c>
      <c r="D261" s="6"/>
      <c r="E261" s="113">
        <v>395447679</v>
      </c>
      <c r="F261" s="116">
        <f t="shared" si="49"/>
        <v>171709.80416847591</v>
      </c>
      <c r="G261" s="117">
        <v>305564237</v>
      </c>
      <c r="H261" s="117">
        <f t="shared" si="50"/>
        <v>132680.95397307861</v>
      </c>
      <c r="I261" s="7"/>
      <c r="J261" s="10">
        <v>2.4</v>
      </c>
      <c r="K261" s="117">
        <v>733354</v>
      </c>
      <c r="L261" s="120">
        <f t="shared" si="51"/>
        <v>318.43421623968737</v>
      </c>
      <c r="M261" s="122">
        <f t="shared" si="46"/>
        <v>3055642.37</v>
      </c>
      <c r="N261" s="116">
        <f t="shared" si="47"/>
        <v>2322288.37</v>
      </c>
      <c r="O261" s="123">
        <f t="shared" si="48"/>
        <v>1008.3753234910986</v>
      </c>
      <c r="P261" s="5"/>
      <c r="Q261" s="5">
        <f t="shared" si="41"/>
        <v>1</v>
      </c>
      <c r="R261" s="7">
        <f t="shared" si="42"/>
        <v>2303</v>
      </c>
      <c r="S261" s="5">
        <f t="shared" si="43"/>
        <v>1</v>
      </c>
      <c r="T261" s="7">
        <f t="shared" si="44"/>
        <v>2303</v>
      </c>
    </row>
    <row r="262" spans="1:20">
      <c r="A262" s="23" t="s">
        <v>295</v>
      </c>
      <c r="B262" s="35" t="s">
        <v>284</v>
      </c>
      <c r="C262" s="36">
        <v>18301</v>
      </c>
      <c r="D262" s="6"/>
      <c r="E262" s="113">
        <v>976700654</v>
      </c>
      <c r="F262" s="116">
        <f t="shared" si="49"/>
        <v>53368.704114529261</v>
      </c>
      <c r="G262" s="117">
        <v>744325191</v>
      </c>
      <c r="H262" s="117">
        <f t="shared" si="50"/>
        <v>40671.285230315283</v>
      </c>
      <c r="I262" s="7"/>
      <c r="J262" s="10">
        <v>4.3040000000000003</v>
      </c>
      <c r="K262" s="117">
        <v>3203575</v>
      </c>
      <c r="L262" s="120">
        <f t="shared" si="51"/>
        <v>175.04917764056609</v>
      </c>
      <c r="M262" s="122">
        <f t="shared" si="46"/>
        <v>7443251.9100000001</v>
      </c>
      <c r="N262" s="116">
        <f t="shared" si="47"/>
        <v>4239676.91</v>
      </c>
      <c r="O262" s="123">
        <f t="shared" si="48"/>
        <v>231.66367466258674</v>
      </c>
      <c r="P262" s="5"/>
      <c r="Q262" s="5">
        <f t="shared" si="41"/>
        <v>1</v>
      </c>
      <c r="R262" s="7">
        <f t="shared" si="42"/>
        <v>18301</v>
      </c>
      <c r="S262" s="5">
        <f t="shared" si="43"/>
        <v>1</v>
      </c>
      <c r="T262" s="7">
        <f t="shared" si="44"/>
        <v>18301</v>
      </c>
    </row>
    <row r="263" spans="1:20">
      <c r="A263" s="23" t="s">
        <v>296</v>
      </c>
      <c r="B263" s="35" t="s">
        <v>284</v>
      </c>
      <c r="C263" s="36">
        <v>25852</v>
      </c>
      <c r="D263" s="6"/>
      <c r="E263" s="113">
        <v>3390658781</v>
      </c>
      <c r="F263" s="116">
        <f t="shared" si="49"/>
        <v>131156.53647686832</v>
      </c>
      <c r="G263" s="117">
        <v>2516163523</v>
      </c>
      <c r="H263" s="117">
        <f t="shared" si="50"/>
        <v>97329.549860745785</v>
      </c>
      <c r="I263" s="7"/>
      <c r="J263" s="10">
        <v>4.1340000000000003</v>
      </c>
      <c r="K263" s="117">
        <v>10401820</v>
      </c>
      <c r="L263" s="120">
        <f t="shared" si="51"/>
        <v>402.36035896642426</v>
      </c>
      <c r="M263" s="122">
        <f t="shared" si="46"/>
        <v>25161635.23</v>
      </c>
      <c r="N263" s="116">
        <f t="shared" si="47"/>
        <v>14759815.23</v>
      </c>
      <c r="O263" s="123">
        <f t="shared" si="48"/>
        <v>570.93513964103363</v>
      </c>
      <c r="P263" s="5"/>
      <c r="Q263" s="5">
        <f t="shared" ref="Q263:Q326" si="52">IF(E263&gt;0,1,0)</f>
        <v>1</v>
      </c>
      <c r="R263" s="7">
        <f t="shared" ref="R263:R326" si="53">IF(E263&gt;0,C263,0)</f>
        <v>25852</v>
      </c>
      <c r="S263" s="5">
        <f t="shared" ref="S263:S326" si="54">IF(J263&gt;0,1,0)</f>
        <v>1</v>
      </c>
      <c r="T263" s="7">
        <f t="shared" ref="T263:T326" si="55">IF(J263&gt;0,C263,0)</f>
        <v>25852</v>
      </c>
    </row>
    <row r="264" spans="1:20">
      <c r="A264" s="23" t="s">
        <v>297</v>
      </c>
      <c r="B264" s="35" t="s">
        <v>298</v>
      </c>
      <c r="C264" s="36">
        <v>50978</v>
      </c>
      <c r="D264" s="6"/>
      <c r="E264" s="113">
        <v>2370869862</v>
      </c>
      <c r="F264" s="116">
        <f t="shared" si="49"/>
        <v>46507.706500843502</v>
      </c>
      <c r="G264" s="117">
        <v>1760966717</v>
      </c>
      <c r="H264" s="117">
        <f t="shared" si="50"/>
        <v>34543.660343677664</v>
      </c>
      <c r="I264" s="7"/>
      <c r="J264" s="10">
        <v>4.2953000000000001</v>
      </c>
      <c r="K264" s="117">
        <v>7563880</v>
      </c>
      <c r="L264" s="120">
        <f t="shared" si="51"/>
        <v>148.37537761387264</v>
      </c>
      <c r="M264" s="122">
        <f t="shared" ref="M264:M327" si="56">(G264*0.01)</f>
        <v>17609667.170000002</v>
      </c>
      <c r="N264" s="116">
        <f t="shared" ref="N264:N327" si="57">(M264-K264)</f>
        <v>10045787.170000002</v>
      </c>
      <c r="O264" s="123">
        <f t="shared" ref="O264:O327" si="58">(N264/C264)</f>
        <v>197.06122582290402</v>
      </c>
      <c r="P264" s="5"/>
      <c r="Q264" s="5">
        <f t="shared" si="52"/>
        <v>1</v>
      </c>
      <c r="R264" s="7">
        <f t="shared" si="53"/>
        <v>50978</v>
      </c>
      <c r="S264" s="5">
        <f t="shared" si="54"/>
        <v>1</v>
      </c>
      <c r="T264" s="7">
        <f t="shared" si="55"/>
        <v>50978</v>
      </c>
    </row>
    <row r="265" spans="1:20">
      <c r="A265" s="23" t="s">
        <v>546</v>
      </c>
      <c r="B265" s="35" t="s">
        <v>298</v>
      </c>
      <c r="C265" s="36">
        <v>21825</v>
      </c>
      <c r="D265" s="6"/>
      <c r="E265" s="113">
        <v>971230014</v>
      </c>
      <c r="F265" s="116">
        <f t="shared" si="49"/>
        <v>44500.802474226803</v>
      </c>
      <c r="G265" s="117">
        <v>631624842</v>
      </c>
      <c r="H265" s="117">
        <f t="shared" si="50"/>
        <v>28940.428041237112</v>
      </c>
      <c r="I265" s="7"/>
      <c r="J265" s="10">
        <v>4.1790000000000003</v>
      </c>
      <c r="K265" s="117">
        <v>2639560</v>
      </c>
      <c r="L265" s="120">
        <f t="shared" si="51"/>
        <v>120.94203894616265</v>
      </c>
      <c r="M265" s="122">
        <f t="shared" si="56"/>
        <v>6316248.4199999999</v>
      </c>
      <c r="N265" s="116">
        <f t="shared" si="57"/>
        <v>3676688.42</v>
      </c>
      <c r="O265" s="123">
        <f t="shared" si="58"/>
        <v>168.46224146620847</v>
      </c>
      <c r="P265" s="5"/>
      <c r="Q265" s="5">
        <f t="shared" si="52"/>
        <v>1</v>
      </c>
      <c r="R265" s="7">
        <f t="shared" si="53"/>
        <v>21825</v>
      </c>
      <c r="S265" s="5">
        <f t="shared" si="54"/>
        <v>1</v>
      </c>
      <c r="T265" s="7">
        <f t="shared" si="55"/>
        <v>21825</v>
      </c>
    </row>
    <row r="266" spans="1:20">
      <c r="A266" s="23" t="s">
        <v>299</v>
      </c>
      <c r="B266" s="35" t="s">
        <v>300</v>
      </c>
      <c r="C266" s="36">
        <v>2100</v>
      </c>
      <c r="D266" s="6"/>
      <c r="E266" s="113">
        <v>381805058</v>
      </c>
      <c r="F266" s="116">
        <f t="shared" si="49"/>
        <v>181811.93238095238</v>
      </c>
      <c r="G266" s="117">
        <v>331667130</v>
      </c>
      <c r="H266" s="117">
        <f t="shared" si="50"/>
        <v>157936.72857142857</v>
      </c>
      <c r="I266" s="7"/>
      <c r="J266" s="10">
        <v>7.1139999999999999</v>
      </c>
      <c r="K266" s="117">
        <v>2359479</v>
      </c>
      <c r="L266" s="120">
        <f t="shared" si="51"/>
        <v>1123.5614285714287</v>
      </c>
      <c r="M266" s="122">
        <f t="shared" si="56"/>
        <v>3316671.3000000003</v>
      </c>
      <c r="N266" s="116">
        <f t="shared" si="57"/>
        <v>957192.30000000028</v>
      </c>
      <c r="O266" s="123">
        <f t="shared" si="58"/>
        <v>455.80585714285729</v>
      </c>
      <c r="P266" s="5"/>
      <c r="Q266" s="5">
        <f t="shared" si="52"/>
        <v>1</v>
      </c>
      <c r="R266" s="7">
        <f t="shared" si="53"/>
        <v>2100</v>
      </c>
      <c r="S266" s="5">
        <f t="shared" si="54"/>
        <v>1</v>
      </c>
      <c r="T266" s="7">
        <f t="shared" si="55"/>
        <v>2100</v>
      </c>
    </row>
    <row r="267" spans="1:20">
      <c r="A267" s="23" t="s">
        <v>301</v>
      </c>
      <c r="B267" s="35" t="s">
        <v>300</v>
      </c>
      <c r="C267" s="36">
        <v>14869</v>
      </c>
      <c r="D267" s="6"/>
      <c r="E267" s="113">
        <v>370368478</v>
      </c>
      <c r="F267" s="116">
        <f t="shared" si="49"/>
        <v>24908.768444414553</v>
      </c>
      <c r="G267" s="117">
        <v>227408475</v>
      </c>
      <c r="H267" s="117">
        <f t="shared" si="50"/>
        <v>15294.133768242653</v>
      </c>
      <c r="I267" s="7"/>
      <c r="J267" s="10">
        <v>9.1181000000000001</v>
      </c>
      <c r="K267" s="117">
        <v>2073533</v>
      </c>
      <c r="L267" s="120">
        <f t="shared" si="51"/>
        <v>139.45342659223888</v>
      </c>
      <c r="M267" s="122">
        <f t="shared" si="56"/>
        <v>2274084.75</v>
      </c>
      <c r="N267" s="116">
        <f t="shared" si="57"/>
        <v>200551.75</v>
      </c>
      <c r="O267" s="123">
        <f t="shared" si="58"/>
        <v>13.487911090187639</v>
      </c>
      <c r="P267" s="5"/>
      <c r="Q267" s="5">
        <f t="shared" si="52"/>
        <v>1</v>
      </c>
      <c r="R267" s="7">
        <f t="shared" si="53"/>
        <v>14869</v>
      </c>
      <c r="S267" s="5">
        <f t="shared" si="54"/>
        <v>1</v>
      </c>
      <c r="T267" s="7">
        <f t="shared" si="55"/>
        <v>14869</v>
      </c>
    </row>
    <row r="268" spans="1:20">
      <c r="A268" s="23" t="s">
        <v>302</v>
      </c>
      <c r="B268" s="35" t="s">
        <v>300</v>
      </c>
      <c r="C268" s="36">
        <v>75580</v>
      </c>
      <c r="D268" s="6"/>
      <c r="E268" s="113">
        <v>14510782541</v>
      </c>
      <c r="F268" s="116">
        <f t="shared" si="49"/>
        <v>191992.35963217783</v>
      </c>
      <c r="G268" s="117">
        <v>11614994340</v>
      </c>
      <c r="H268" s="117">
        <f t="shared" si="50"/>
        <v>153678.14686424981</v>
      </c>
      <c r="I268" s="7"/>
      <c r="J268" s="10">
        <v>3.15</v>
      </c>
      <c r="K268" s="117">
        <v>36587232</v>
      </c>
      <c r="L268" s="120">
        <f t="shared" si="51"/>
        <v>484.08616035988359</v>
      </c>
      <c r="M268" s="122">
        <f t="shared" si="56"/>
        <v>116149943.40000001</v>
      </c>
      <c r="N268" s="116">
        <f t="shared" si="57"/>
        <v>79562711.400000006</v>
      </c>
      <c r="O268" s="123">
        <f t="shared" si="58"/>
        <v>1052.6953082826146</v>
      </c>
      <c r="P268" s="5"/>
      <c r="Q268" s="5">
        <f t="shared" si="52"/>
        <v>1</v>
      </c>
      <c r="R268" s="7">
        <f t="shared" si="53"/>
        <v>75580</v>
      </c>
      <c r="S268" s="5">
        <f t="shared" si="54"/>
        <v>1</v>
      </c>
      <c r="T268" s="7">
        <f t="shared" si="55"/>
        <v>75580</v>
      </c>
    </row>
    <row r="269" spans="1:20">
      <c r="A269" s="23" t="s">
        <v>303</v>
      </c>
      <c r="B269" s="35" t="s">
        <v>300</v>
      </c>
      <c r="C269" s="36">
        <v>62847</v>
      </c>
      <c r="D269" s="6"/>
      <c r="E269" s="113">
        <v>3853890068</v>
      </c>
      <c r="F269" s="116">
        <f t="shared" si="49"/>
        <v>61321.782551275319</v>
      </c>
      <c r="G269" s="117">
        <v>2896293585</v>
      </c>
      <c r="H269" s="117">
        <f t="shared" si="50"/>
        <v>46084.834359635308</v>
      </c>
      <c r="I269" s="7"/>
      <c r="J269" s="10">
        <v>7.6</v>
      </c>
      <c r="K269" s="117">
        <v>22011831</v>
      </c>
      <c r="L269" s="120">
        <f t="shared" si="51"/>
        <v>350.24473721896032</v>
      </c>
      <c r="M269" s="122">
        <f t="shared" si="56"/>
        <v>28962935.850000001</v>
      </c>
      <c r="N269" s="116">
        <f t="shared" si="57"/>
        <v>6951104.8500000015</v>
      </c>
      <c r="O269" s="123">
        <f t="shared" si="58"/>
        <v>110.60360637739274</v>
      </c>
      <c r="P269" s="5"/>
      <c r="Q269" s="5">
        <f t="shared" si="52"/>
        <v>1</v>
      </c>
      <c r="R269" s="7">
        <f t="shared" si="53"/>
        <v>62847</v>
      </c>
      <c r="S269" s="5">
        <f t="shared" si="54"/>
        <v>1</v>
      </c>
      <c r="T269" s="7">
        <f t="shared" si="55"/>
        <v>62847</v>
      </c>
    </row>
    <row r="270" spans="1:20">
      <c r="A270" s="23" t="s">
        <v>304</v>
      </c>
      <c r="B270" s="35" t="s">
        <v>300</v>
      </c>
      <c r="C270" s="36">
        <v>411</v>
      </c>
      <c r="D270" s="6"/>
      <c r="E270" s="113">
        <v>26359193</v>
      </c>
      <c r="F270" s="116">
        <f t="shared" si="49"/>
        <v>64134.289537712895</v>
      </c>
      <c r="G270" s="117">
        <v>20839174</v>
      </c>
      <c r="H270" s="117">
        <f t="shared" si="50"/>
        <v>50703.586374695864</v>
      </c>
      <c r="I270" s="7"/>
      <c r="J270" s="10">
        <v>1.0508</v>
      </c>
      <c r="K270" s="117">
        <v>21897</v>
      </c>
      <c r="L270" s="120">
        <f t="shared" si="51"/>
        <v>53.277372262773724</v>
      </c>
      <c r="M270" s="122">
        <f t="shared" si="56"/>
        <v>208391.74</v>
      </c>
      <c r="N270" s="116">
        <f t="shared" si="57"/>
        <v>186494.74</v>
      </c>
      <c r="O270" s="123">
        <f t="shared" si="58"/>
        <v>453.7584914841849</v>
      </c>
      <c r="P270" s="5"/>
      <c r="Q270" s="5">
        <f t="shared" si="52"/>
        <v>1</v>
      </c>
      <c r="R270" s="7">
        <f t="shared" si="53"/>
        <v>411</v>
      </c>
      <c r="S270" s="5">
        <f t="shared" si="54"/>
        <v>1</v>
      </c>
      <c r="T270" s="7">
        <f t="shared" si="55"/>
        <v>411</v>
      </c>
    </row>
    <row r="271" spans="1:20">
      <c r="A271" s="23" t="s">
        <v>305</v>
      </c>
      <c r="B271" s="35" t="s">
        <v>300</v>
      </c>
      <c r="C271" s="36">
        <v>164</v>
      </c>
      <c r="D271" s="6"/>
      <c r="E271" s="113">
        <v>4805228</v>
      </c>
      <c r="F271" s="116">
        <f t="shared" si="49"/>
        <v>29300.170731707316</v>
      </c>
      <c r="G271" s="117">
        <v>3543718</v>
      </c>
      <c r="H271" s="117">
        <f t="shared" si="50"/>
        <v>21608.036585365855</v>
      </c>
      <c r="I271" s="98" t="s">
        <v>528</v>
      </c>
      <c r="J271" s="10"/>
      <c r="K271" s="117"/>
      <c r="L271" s="120"/>
      <c r="M271" s="122">
        <f t="shared" si="56"/>
        <v>35437.18</v>
      </c>
      <c r="N271" s="116">
        <f t="shared" si="57"/>
        <v>35437.18</v>
      </c>
      <c r="O271" s="123">
        <f t="shared" si="58"/>
        <v>216.08036585365855</v>
      </c>
      <c r="P271" s="5"/>
      <c r="Q271" s="5">
        <f t="shared" si="52"/>
        <v>1</v>
      </c>
      <c r="R271" s="7">
        <f t="shared" si="53"/>
        <v>164</v>
      </c>
      <c r="S271" s="5">
        <f t="shared" si="54"/>
        <v>0</v>
      </c>
      <c r="T271" s="7">
        <f t="shared" si="55"/>
        <v>0</v>
      </c>
    </row>
    <row r="272" spans="1:20">
      <c r="A272" s="23" t="s">
        <v>306</v>
      </c>
      <c r="B272" s="35" t="s">
        <v>300</v>
      </c>
      <c r="C272" s="36">
        <v>61527</v>
      </c>
      <c r="D272" s="6"/>
      <c r="E272" s="113">
        <v>5437130126</v>
      </c>
      <c r="F272" s="116">
        <f t="shared" si="49"/>
        <v>88369.823427113297</v>
      </c>
      <c r="G272" s="117">
        <v>4151462658</v>
      </c>
      <c r="H272" s="117">
        <f t="shared" si="50"/>
        <v>67473.835194304935</v>
      </c>
      <c r="I272" s="7"/>
      <c r="J272" s="10">
        <v>7.44</v>
      </c>
      <c r="K272" s="117">
        <v>30886882</v>
      </c>
      <c r="L272" s="120">
        <f>(K272/C272)</f>
        <v>502.00533099289743</v>
      </c>
      <c r="M272" s="122">
        <f t="shared" si="56"/>
        <v>41514626.579999998</v>
      </c>
      <c r="N272" s="116">
        <f t="shared" si="57"/>
        <v>10627744.579999998</v>
      </c>
      <c r="O272" s="123">
        <f t="shared" si="58"/>
        <v>172.73302095015194</v>
      </c>
      <c r="P272" s="5"/>
      <c r="Q272" s="5">
        <f t="shared" si="52"/>
        <v>1</v>
      </c>
      <c r="R272" s="7">
        <f t="shared" si="53"/>
        <v>61527</v>
      </c>
      <c r="S272" s="5">
        <f t="shared" si="54"/>
        <v>1</v>
      </c>
      <c r="T272" s="7">
        <f t="shared" si="55"/>
        <v>61527</v>
      </c>
    </row>
    <row r="273" spans="1:20">
      <c r="A273" s="23" t="s">
        <v>307</v>
      </c>
      <c r="B273" s="35" t="s">
        <v>300</v>
      </c>
      <c r="C273" s="36">
        <v>273</v>
      </c>
      <c r="D273" s="6"/>
      <c r="E273" s="113">
        <v>13379501</v>
      </c>
      <c r="F273" s="116">
        <f t="shared" si="49"/>
        <v>49009.16117216117</v>
      </c>
      <c r="G273" s="117">
        <v>10604276</v>
      </c>
      <c r="H273" s="117">
        <f t="shared" si="50"/>
        <v>38843.501831501831</v>
      </c>
      <c r="I273" s="98" t="s">
        <v>528</v>
      </c>
      <c r="J273" s="10"/>
      <c r="K273" s="117"/>
      <c r="L273" s="120"/>
      <c r="M273" s="122">
        <f t="shared" si="56"/>
        <v>106042.76000000001</v>
      </c>
      <c r="N273" s="116">
        <f t="shared" si="57"/>
        <v>106042.76000000001</v>
      </c>
      <c r="O273" s="123">
        <f t="shared" si="58"/>
        <v>388.43501831501834</v>
      </c>
      <c r="P273" s="5"/>
      <c r="Q273" s="5">
        <f t="shared" si="52"/>
        <v>1</v>
      </c>
      <c r="R273" s="7">
        <f t="shared" si="53"/>
        <v>273</v>
      </c>
      <c r="S273" s="5">
        <f t="shared" si="54"/>
        <v>0</v>
      </c>
      <c r="T273" s="7">
        <f t="shared" si="55"/>
        <v>0</v>
      </c>
    </row>
    <row r="274" spans="1:20">
      <c r="A274" s="23" t="s">
        <v>308</v>
      </c>
      <c r="B274" s="35" t="s">
        <v>300</v>
      </c>
      <c r="C274" s="36">
        <v>228</v>
      </c>
      <c r="D274" s="6"/>
      <c r="E274" s="113">
        <v>109952752</v>
      </c>
      <c r="F274" s="116">
        <f t="shared" si="49"/>
        <v>482248.91228070174</v>
      </c>
      <c r="G274" s="117">
        <v>91727679</v>
      </c>
      <c r="H274" s="117">
        <f t="shared" si="50"/>
        <v>402314.38157894736</v>
      </c>
      <c r="I274" s="9"/>
      <c r="J274" s="10">
        <v>6.4534000000000002</v>
      </c>
      <c r="K274" s="117">
        <v>591955</v>
      </c>
      <c r="L274" s="120">
        <f t="shared" ref="L274:L305" si="59">(K274/C274)</f>
        <v>2596.2938596491226</v>
      </c>
      <c r="M274" s="122">
        <f t="shared" si="56"/>
        <v>917276.79</v>
      </c>
      <c r="N274" s="116">
        <f t="shared" si="57"/>
        <v>325321.79000000004</v>
      </c>
      <c r="O274" s="123">
        <f t="shared" si="58"/>
        <v>1426.849956140351</v>
      </c>
      <c r="P274" s="5"/>
      <c r="Q274" s="5">
        <f t="shared" si="52"/>
        <v>1</v>
      </c>
      <c r="R274" s="7">
        <f t="shared" si="53"/>
        <v>228</v>
      </c>
      <c r="S274" s="5">
        <f t="shared" si="54"/>
        <v>1</v>
      </c>
      <c r="T274" s="7">
        <f t="shared" si="55"/>
        <v>228</v>
      </c>
    </row>
    <row r="275" spans="1:20">
      <c r="A275" s="23" t="s">
        <v>309</v>
      </c>
      <c r="B275" s="35" t="s">
        <v>300</v>
      </c>
      <c r="C275" s="36">
        <v>29359</v>
      </c>
      <c r="D275" s="6"/>
      <c r="E275" s="113">
        <v>1227766996</v>
      </c>
      <c r="F275" s="116">
        <f t="shared" si="49"/>
        <v>41819.101331789228</v>
      </c>
      <c r="G275" s="117">
        <v>911363381</v>
      </c>
      <c r="H275" s="117">
        <f t="shared" si="50"/>
        <v>31042.044381620628</v>
      </c>
      <c r="I275" s="7"/>
      <c r="J275" s="10">
        <v>5.3502000000000001</v>
      </c>
      <c r="K275" s="117">
        <v>4875976</v>
      </c>
      <c r="L275" s="120">
        <f t="shared" si="59"/>
        <v>166.08113355359515</v>
      </c>
      <c r="M275" s="122">
        <f t="shared" si="56"/>
        <v>9113633.8100000005</v>
      </c>
      <c r="N275" s="116">
        <f t="shared" si="57"/>
        <v>4237657.8100000005</v>
      </c>
      <c r="O275" s="123">
        <f t="shared" si="58"/>
        <v>144.33931026261115</v>
      </c>
      <c r="P275" s="5"/>
      <c r="Q275" s="5">
        <f t="shared" si="52"/>
        <v>1</v>
      </c>
      <c r="R275" s="7">
        <f t="shared" si="53"/>
        <v>29359</v>
      </c>
      <c r="S275" s="5">
        <f t="shared" si="54"/>
        <v>1</v>
      </c>
      <c r="T275" s="7">
        <f t="shared" si="55"/>
        <v>29359</v>
      </c>
    </row>
    <row r="276" spans="1:20">
      <c r="A276" s="23" t="s">
        <v>310</v>
      </c>
      <c r="B276" s="35" t="s">
        <v>300</v>
      </c>
      <c r="C276" s="36">
        <v>718</v>
      </c>
      <c r="D276" s="6"/>
      <c r="E276" s="113">
        <v>558183007</v>
      </c>
      <c r="F276" s="116">
        <f t="shared" si="49"/>
        <v>777413.65877437324</v>
      </c>
      <c r="G276" s="117">
        <v>465436873</v>
      </c>
      <c r="H276" s="117">
        <f t="shared" si="50"/>
        <v>648240.77019498602</v>
      </c>
      <c r="I276" s="9"/>
      <c r="J276" s="11">
        <v>3.7852999999999999</v>
      </c>
      <c r="K276" s="117">
        <v>1761818</v>
      </c>
      <c r="L276" s="120">
        <f t="shared" si="59"/>
        <v>2453.7855153203341</v>
      </c>
      <c r="M276" s="122">
        <f t="shared" si="56"/>
        <v>4654368.7300000004</v>
      </c>
      <c r="N276" s="116">
        <f t="shared" si="57"/>
        <v>2892550.7300000004</v>
      </c>
      <c r="O276" s="123">
        <f t="shared" si="58"/>
        <v>4028.6221866295273</v>
      </c>
      <c r="P276" s="5"/>
      <c r="Q276" s="5">
        <f t="shared" si="52"/>
        <v>1</v>
      </c>
      <c r="R276" s="7">
        <f t="shared" si="53"/>
        <v>718</v>
      </c>
      <c r="S276" s="5">
        <f t="shared" si="54"/>
        <v>1</v>
      </c>
      <c r="T276" s="7">
        <f t="shared" si="55"/>
        <v>718</v>
      </c>
    </row>
    <row r="277" spans="1:20">
      <c r="A277" s="23" t="s">
        <v>311</v>
      </c>
      <c r="B277" s="35" t="s">
        <v>300</v>
      </c>
      <c r="C277" s="36">
        <v>1504</v>
      </c>
      <c r="D277" s="6"/>
      <c r="E277" s="113">
        <v>72770366</v>
      </c>
      <c r="F277" s="116">
        <f t="shared" si="49"/>
        <v>48384.55186170213</v>
      </c>
      <c r="G277" s="117">
        <v>51560592</v>
      </c>
      <c r="H277" s="117">
        <f t="shared" si="50"/>
        <v>34282.308510638301</v>
      </c>
      <c r="I277" s="7"/>
      <c r="J277" s="10">
        <v>4.7854000000000001</v>
      </c>
      <c r="K277" s="117">
        <v>246738</v>
      </c>
      <c r="L277" s="120">
        <f t="shared" si="59"/>
        <v>164.05452127659575</v>
      </c>
      <c r="M277" s="122">
        <f t="shared" si="56"/>
        <v>515605.92</v>
      </c>
      <c r="N277" s="116">
        <f t="shared" si="57"/>
        <v>268867.92</v>
      </c>
      <c r="O277" s="123">
        <f t="shared" si="58"/>
        <v>178.76856382978721</v>
      </c>
      <c r="P277" s="5"/>
      <c r="Q277" s="5">
        <f t="shared" si="52"/>
        <v>1</v>
      </c>
      <c r="R277" s="7">
        <f t="shared" si="53"/>
        <v>1504</v>
      </c>
      <c r="S277" s="5">
        <f t="shared" si="54"/>
        <v>1</v>
      </c>
      <c r="T277" s="7">
        <f t="shared" si="55"/>
        <v>1504</v>
      </c>
    </row>
    <row r="278" spans="1:20">
      <c r="A278" s="23" t="s">
        <v>312</v>
      </c>
      <c r="B278" s="35" t="s">
        <v>300</v>
      </c>
      <c r="C278" s="36">
        <v>3961</v>
      </c>
      <c r="D278" s="6"/>
      <c r="E278" s="113">
        <v>1338695342</v>
      </c>
      <c r="F278" s="116">
        <f t="shared" si="49"/>
        <v>337969.03357737942</v>
      </c>
      <c r="G278" s="117">
        <v>1203859271</v>
      </c>
      <c r="H278" s="117">
        <f t="shared" si="50"/>
        <v>303928.11688967433</v>
      </c>
      <c r="I278" s="7"/>
      <c r="J278" s="12">
        <v>3.7029000000000001</v>
      </c>
      <c r="K278" s="117">
        <v>4457770</v>
      </c>
      <c r="L278" s="120">
        <f t="shared" si="59"/>
        <v>1125.415299166877</v>
      </c>
      <c r="M278" s="122">
        <f t="shared" si="56"/>
        <v>12038592.710000001</v>
      </c>
      <c r="N278" s="116">
        <f t="shared" si="57"/>
        <v>7580822.7100000009</v>
      </c>
      <c r="O278" s="123">
        <f t="shared" si="58"/>
        <v>1913.8658697298665</v>
      </c>
      <c r="P278" s="5"/>
      <c r="Q278" s="5">
        <f t="shared" si="52"/>
        <v>1</v>
      </c>
      <c r="R278" s="7">
        <f t="shared" si="53"/>
        <v>3961</v>
      </c>
      <c r="S278" s="5">
        <f t="shared" si="54"/>
        <v>1</v>
      </c>
      <c r="T278" s="7">
        <f t="shared" si="55"/>
        <v>3961</v>
      </c>
    </row>
    <row r="279" spans="1:20">
      <c r="A279" s="23" t="s">
        <v>313</v>
      </c>
      <c r="B279" s="35" t="s">
        <v>300</v>
      </c>
      <c r="C279" s="36">
        <v>2420</v>
      </c>
      <c r="D279" s="6"/>
      <c r="E279" s="113">
        <v>218874995</v>
      </c>
      <c r="F279" s="116">
        <f t="shared" si="49"/>
        <v>90444.212809917357</v>
      </c>
      <c r="G279" s="117">
        <v>187670146</v>
      </c>
      <c r="H279" s="117">
        <f t="shared" si="50"/>
        <v>77549.64710743801</v>
      </c>
      <c r="I279" s="7"/>
      <c r="J279" s="10">
        <v>3.5707</v>
      </c>
      <c r="K279" s="117">
        <v>670113</v>
      </c>
      <c r="L279" s="120">
        <f t="shared" si="59"/>
        <v>276.90619834710742</v>
      </c>
      <c r="M279" s="122">
        <f t="shared" si="56"/>
        <v>1876701.46</v>
      </c>
      <c r="N279" s="116">
        <f t="shared" si="57"/>
        <v>1206588.46</v>
      </c>
      <c r="O279" s="123">
        <f t="shared" si="58"/>
        <v>498.59027272727269</v>
      </c>
      <c r="P279" s="5"/>
      <c r="Q279" s="5">
        <f t="shared" si="52"/>
        <v>1</v>
      </c>
      <c r="R279" s="7">
        <f t="shared" si="53"/>
        <v>2420</v>
      </c>
      <c r="S279" s="5">
        <f t="shared" si="54"/>
        <v>1</v>
      </c>
      <c r="T279" s="7">
        <f t="shared" si="55"/>
        <v>2420</v>
      </c>
    </row>
    <row r="280" spans="1:20">
      <c r="A280" s="23" t="s">
        <v>314</v>
      </c>
      <c r="B280" s="35" t="s">
        <v>300</v>
      </c>
      <c r="C280" s="36">
        <v>3484</v>
      </c>
      <c r="D280" s="6"/>
      <c r="E280" s="113">
        <v>729799661</v>
      </c>
      <c r="F280" s="116">
        <f t="shared" si="49"/>
        <v>209471.77411021813</v>
      </c>
      <c r="G280" s="117">
        <v>624586199</v>
      </c>
      <c r="H280" s="117">
        <f t="shared" si="50"/>
        <v>179272.73220436281</v>
      </c>
      <c r="I280" s="7"/>
      <c r="J280" s="10">
        <v>3.653</v>
      </c>
      <c r="K280" s="117">
        <v>2281613</v>
      </c>
      <c r="L280" s="120">
        <f t="shared" si="59"/>
        <v>654.8831802525832</v>
      </c>
      <c r="M280" s="122">
        <f t="shared" si="56"/>
        <v>6245861.9900000002</v>
      </c>
      <c r="N280" s="116">
        <f t="shared" si="57"/>
        <v>3964248.99</v>
      </c>
      <c r="O280" s="123">
        <f t="shared" si="58"/>
        <v>1137.8441417910449</v>
      </c>
      <c r="P280" s="5"/>
      <c r="Q280" s="5">
        <f t="shared" si="52"/>
        <v>1</v>
      </c>
      <c r="R280" s="7">
        <f t="shared" si="53"/>
        <v>3484</v>
      </c>
      <c r="S280" s="5">
        <f t="shared" si="54"/>
        <v>1</v>
      </c>
      <c r="T280" s="7">
        <f t="shared" si="55"/>
        <v>3484</v>
      </c>
    </row>
    <row r="281" spans="1:20">
      <c r="A281" s="23" t="s">
        <v>315</v>
      </c>
      <c r="B281" s="35" t="s">
        <v>300</v>
      </c>
      <c r="C281" s="36">
        <v>42296</v>
      </c>
      <c r="D281" s="6"/>
      <c r="E281" s="113">
        <v>5491920063</v>
      </c>
      <c r="F281" s="116">
        <f t="shared" si="49"/>
        <v>129844.90408076414</v>
      </c>
      <c r="G281" s="117">
        <v>4321522780</v>
      </c>
      <c r="H281" s="117">
        <f t="shared" si="50"/>
        <v>102173.32088140723</v>
      </c>
      <c r="I281" s="7"/>
      <c r="J281" s="10">
        <v>2.6194999999999999</v>
      </c>
      <c r="K281" s="117">
        <v>11320228</v>
      </c>
      <c r="L281" s="120">
        <f t="shared" si="59"/>
        <v>267.64299224512956</v>
      </c>
      <c r="M281" s="122">
        <f t="shared" si="56"/>
        <v>43215227.800000004</v>
      </c>
      <c r="N281" s="116">
        <f t="shared" si="57"/>
        <v>31894999.800000004</v>
      </c>
      <c r="O281" s="123">
        <f t="shared" si="58"/>
        <v>754.09021656894276</v>
      </c>
      <c r="P281" s="5"/>
      <c r="Q281" s="5">
        <f t="shared" si="52"/>
        <v>1</v>
      </c>
      <c r="R281" s="7">
        <f t="shared" si="53"/>
        <v>42296</v>
      </c>
      <c r="S281" s="5">
        <f t="shared" si="54"/>
        <v>1</v>
      </c>
      <c r="T281" s="7">
        <f t="shared" si="55"/>
        <v>42296</v>
      </c>
    </row>
    <row r="282" spans="1:20">
      <c r="A282" s="23" t="s">
        <v>316</v>
      </c>
      <c r="B282" s="35" t="s">
        <v>300</v>
      </c>
      <c r="C282" s="36">
        <v>379</v>
      </c>
      <c r="D282" s="6"/>
      <c r="E282" s="113">
        <v>179933888</v>
      </c>
      <c r="F282" s="116">
        <f t="shared" si="49"/>
        <v>474759.59894459101</v>
      </c>
      <c r="G282" s="117">
        <v>147056729</v>
      </c>
      <c r="H282" s="117">
        <f t="shared" si="50"/>
        <v>388012.47757255938</v>
      </c>
      <c r="I282" s="7"/>
      <c r="J282" s="10">
        <v>4.8567999999999998</v>
      </c>
      <c r="K282" s="117">
        <v>714225</v>
      </c>
      <c r="L282" s="120">
        <f t="shared" si="59"/>
        <v>1884.4986807387863</v>
      </c>
      <c r="M282" s="122">
        <f t="shared" si="56"/>
        <v>1470567.29</v>
      </c>
      <c r="N282" s="116">
        <f t="shared" si="57"/>
        <v>756342.29</v>
      </c>
      <c r="O282" s="123">
        <f t="shared" si="58"/>
        <v>1995.6260949868074</v>
      </c>
      <c r="P282" s="5"/>
      <c r="Q282" s="5">
        <f t="shared" si="52"/>
        <v>1</v>
      </c>
      <c r="R282" s="7">
        <f t="shared" si="53"/>
        <v>379</v>
      </c>
      <c r="S282" s="5">
        <f t="shared" si="54"/>
        <v>1</v>
      </c>
      <c r="T282" s="7">
        <f t="shared" si="55"/>
        <v>379</v>
      </c>
    </row>
    <row r="283" spans="1:20">
      <c r="A283" s="23" t="s">
        <v>317</v>
      </c>
      <c r="B283" s="35" t="s">
        <v>300</v>
      </c>
      <c r="C283" s="36">
        <v>3462</v>
      </c>
      <c r="D283" s="6"/>
      <c r="E283" s="113">
        <v>238777030</v>
      </c>
      <c r="F283" s="116">
        <f t="shared" si="49"/>
        <v>68970.834777585216</v>
      </c>
      <c r="G283" s="117">
        <v>166322626</v>
      </c>
      <c r="H283" s="117">
        <f t="shared" si="50"/>
        <v>48042.352975158865</v>
      </c>
      <c r="I283" s="7"/>
      <c r="J283" s="10">
        <v>5.3163999999999998</v>
      </c>
      <c r="K283" s="117">
        <v>884237</v>
      </c>
      <c r="L283" s="120">
        <f t="shared" si="59"/>
        <v>255.41218948584634</v>
      </c>
      <c r="M283" s="122">
        <f t="shared" si="56"/>
        <v>1663226.26</v>
      </c>
      <c r="N283" s="116">
        <f t="shared" si="57"/>
        <v>778989.26</v>
      </c>
      <c r="O283" s="123">
        <f t="shared" si="58"/>
        <v>225.01134026574235</v>
      </c>
      <c r="P283" s="5"/>
      <c r="Q283" s="5">
        <f t="shared" si="52"/>
        <v>1</v>
      </c>
      <c r="R283" s="7">
        <f t="shared" si="53"/>
        <v>3462</v>
      </c>
      <c r="S283" s="5">
        <f t="shared" si="54"/>
        <v>1</v>
      </c>
      <c r="T283" s="7">
        <f t="shared" si="55"/>
        <v>3462</v>
      </c>
    </row>
    <row r="284" spans="1:20">
      <c r="A284" s="23" t="s">
        <v>318</v>
      </c>
      <c r="B284" s="35" t="s">
        <v>300</v>
      </c>
      <c r="C284" s="36">
        <v>8715</v>
      </c>
      <c r="D284" s="6"/>
      <c r="E284" s="113">
        <v>405273015</v>
      </c>
      <c r="F284" s="116">
        <f t="shared" si="49"/>
        <v>46502.927710843374</v>
      </c>
      <c r="G284" s="117">
        <v>324798944</v>
      </c>
      <c r="H284" s="117">
        <f t="shared" si="50"/>
        <v>37268.955134825017</v>
      </c>
      <c r="I284" s="7"/>
      <c r="J284" s="10">
        <v>8.35</v>
      </c>
      <c r="K284" s="117">
        <v>2712071</v>
      </c>
      <c r="L284" s="120">
        <f t="shared" si="59"/>
        <v>311.19575444635683</v>
      </c>
      <c r="M284" s="122">
        <f t="shared" si="56"/>
        <v>3247989.44</v>
      </c>
      <c r="N284" s="116">
        <f t="shared" si="57"/>
        <v>535918.43999999994</v>
      </c>
      <c r="O284" s="123">
        <f t="shared" si="58"/>
        <v>61.493796901893283</v>
      </c>
      <c r="P284" s="5"/>
      <c r="Q284" s="5">
        <f t="shared" si="52"/>
        <v>1</v>
      </c>
      <c r="R284" s="7">
        <f t="shared" si="53"/>
        <v>8715</v>
      </c>
      <c r="S284" s="5">
        <f t="shared" si="54"/>
        <v>1</v>
      </c>
      <c r="T284" s="7">
        <f t="shared" si="55"/>
        <v>8715</v>
      </c>
    </row>
    <row r="285" spans="1:20">
      <c r="A285" s="24" t="s">
        <v>628</v>
      </c>
      <c r="B285" s="35" t="s">
        <v>300</v>
      </c>
      <c r="C285" s="36">
        <v>35292</v>
      </c>
      <c r="D285" s="6"/>
      <c r="E285" s="113">
        <v>1381701694</v>
      </c>
      <c r="F285" s="116">
        <f t="shared" si="49"/>
        <v>39150.563697155165</v>
      </c>
      <c r="G285" s="117">
        <v>907211443</v>
      </c>
      <c r="H285" s="117">
        <f t="shared" si="50"/>
        <v>25705.866570327555</v>
      </c>
      <c r="I285" s="7"/>
      <c r="J285" s="10">
        <v>8.5252999999999997</v>
      </c>
      <c r="K285" s="117">
        <v>7734249</v>
      </c>
      <c r="L285" s="120">
        <f t="shared" si="59"/>
        <v>219.15020401224072</v>
      </c>
      <c r="M285" s="122">
        <f t="shared" si="56"/>
        <v>9072114.4299999997</v>
      </c>
      <c r="N285" s="116">
        <f t="shared" si="57"/>
        <v>1337865.4299999997</v>
      </c>
      <c r="O285" s="123">
        <f t="shared" si="58"/>
        <v>37.908461691034788</v>
      </c>
      <c r="P285" s="5"/>
      <c r="Q285" s="5">
        <f t="shared" si="52"/>
        <v>1</v>
      </c>
      <c r="R285" s="7">
        <f t="shared" si="53"/>
        <v>35292</v>
      </c>
      <c r="S285" s="5">
        <f t="shared" si="54"/>
        <v>1</v>
      </c>
      <c r="T285" s="7">
        <f t="shared" si="55"/>
        <v>35292</v>
      </c>
    </row>
    <row r="286" spans="1:20">
      <c r="A286" s="23" t="s">
        <v>319</v>
      </c>
      <c r="B286" s="35" t="s">
        <v>300</v>
      </c>
      <c r="C286" s="36">
        <v>9477</v>
      </c>
      <c r="D286" s="6"/>
      <c r="E286" s="113">
        <v>650255058</v>
      </c>
      <c r="F286" s="116">
        <f t="shared" ref="F286:F349" si="60">(E286/C286)</f>
        <v>68614.018993352322</v>
      </c>
      <c r="G286" s="117">
        <v>486501909</v>
      </c>
      <c r="H286" s="117">
        <f t="shared" ref="H286:H349" si="61">(G286/C286)</f>
        <v>51335.012029123143</v>
      </c>
      <c r="I286" s="7"/>
      <c r="J286" s="10">
        <v>7.3318000000000003</v>
      </c>
      <c r="K286" s="117">
        <v>3566934</v>
      </c>
      <c r="L286" s="120">
        <f t="shared" si="59"/>
        <v>376.37796771130104</v>
      </c>
      <c r="M286" s="122">
        <f t="shared" si="56"/>
        <v>4865019.09</v>
      </c>
      <c r="N286" s="116">
        <f t="shared" si="57"/>
        <v>1298085.0899999999</v>
      </c>
      <c r="O286" s="123">
        <f t="shared" si="58"/>
        <v>136.97215257993034</v>
      </c>
      <c r="P286" s="5"/>
      <c r="Q286" s="5">
        <f t="shared" si="52"/>
        <v>1</v>
      </c>
      <c r="R286" s="7">
        <f t="shared" si="53"/>
        <v>9477</v>
      </c>
      <c r="S286" s="5">
        <f t="shared" si="54"/>
        <v>1</v>
      </c>
      <c r="T286" s="7">
        <f t="shared" si="55"/>
        <v>9477</v>
      </c>
    </row>
    <row r="287" spans="1:20">
      <c r="A287" s="23" t="s">
        <v>320</v>
      </c>
      <c r="B287" s="35" t="s">
        <v>300</v>
      </c>
      <c r="C287" s="36">
        <v>320</v>
      </c>
      <c r="D287" s="6"/>
      <c r="E287" s="113">
        <v>634271724</v>
      </c>
      <c r="F287" s="116">
        <f t="shared" si="60"/>
        <v>1982099.1375</v>
      </c>
      <c r="G287" s="117">
        <v>586800231</v>
      </c>
      <c r="H287" s="117">
        <f t="shared" si="61"/>
        <v>1833750.721875</v>
      </c>
      <c r="I287" s="7"/>
      <c r="J287" s="10">
        <v>3.3210000000000002</v>
      </c>
      <c r="K287" s="117">
        <v>1948763</v>
      </c>
      <c r="L287" s="120">
        <f t="shared" si="59"/>
        <v>6089.8843749999996</v>
      </c>
      <c r="M287" s="122">
        <f t="shared" si="56"/>
        <v>5868002.3100000005</v>
      </c>
      <c r="N287" s="116">
        <f t="shared" si="57"/>
        <v>3919239.3100000005</v>
      </c>
      <c r="O287" s="123">
        <f t="shared" si="58"/>
        <v>12247.622843750001</v>
      </c>
      <c r="P287" s="5"/>
      <c r="Q287" s="5">
        <f t="shared" si="52"/>
        <v>1</v>
      </c>
      <c r="R287" s="7">
        <f t="shared" si="53"/>
        <v>320</v>
      </c>
      <c r="S287" s="5">
        <f t="shared" si="54"/>
        <v>1</v>
      </c>
      <c r="T287" s="7">
        <f t="shared" si="55"/>
        <v>320</v>
      </c>
    </row>
    <row r="288" spans="1:20">
      <c r="A288" s="23" t="s">
        <v>321</v>
      </c>
      <c r="B288" s="35" t="s">
        <v>300</v>
      </c>
      <c r="C288" s="36">
        <v>2620</v>
      </c>
      <c r="D288" s="6"/>
      <c r="E288" s="113">
        <v>161953311</v>
      </c>
      <c r="F288" s="116">
        <f t="shared" si="60"/>
        <v>61814.240839694656</v>
      </c>
      <c r="G288" s="117">
        <v>141357673</v>
      </c>
      <c r="H288" s="117">
        <f t="shared" si="61"/>
        <v>53953.310305343512</v>
      </c>
      <c r="I288" s="7"/>
      <c r="J288" s="10">
        <v>8.99</v>
      </c>
      <c r="K288" s="117">
        <v>1270805</v>
      </c>
      <c r="L288" s="120">
        <f t="shared" si="59"/>
        <v>485.04007633587787</v>
      </c>
      <c r="M288" s="122">
        <f t="shared" si="56"/>
        <v>1413576.73</v>
      </c>
      <c r="N288" s="116">
        <f t="shared" si="57"/>
        <v>142771.72999999998</v>
      </c>
      <c r="O288" s="123">
        <f t="shared" si="58"/>
        <v>54.493026717557242</v>
      </c>
      <c r="P288" s="5"/>
      <c r="Q288" s="5">
        <f t="shared" si="52"/>
        <v>1</v>
      </c>
      <c r="R288" s="7">
        <f t="shared" si="53"/>
        <v>2620</v>
      </c>
      <c r="S288" s="5">
        <f t="shared" si="54"/>
        <v>1</v>
      </c>
      <c r="T288" s="7">
        <f t="shared" si="55"/>
        <v>2620</v>
      </c>
    </row>
    <row r="289" spans="1:20">
      <c r="A289" s="23" t="s">
        <v>322</v>
      </c>
      <c r="B289" s="35" t="s">
        <v>300</v>
      </c>
      <c r="C289" s="36">
        <v>12299</v>
      </c>
      <c r="D289" s="6"/>
      <c r="E289" s="113">
        <v>1503528384</v>
      </c>
      <c r="F289" s="116">
        <f t="shared" si="60"/>
        <v>122248.01886332223</v>
      </c>
      <c r="G289" s="117">
        <v>1136026797</v>
      </c>
      <c r="H289" s="117">
        <f t="shared" si="61"/>
        <v>92367.41174079194</v>
      </c>
      <c r="I289" s="7"/>
      <c r="J289" s="10">
        <v>5.8</v>
      </c>
      <c r="K289" s="117">
        <v>6588955</v>
      </c>
      <c r="L289" s="120">
        <f t="shared" si="59"/>
        <v>535.73095373607612</v>
      </c>
      <c r="M289" s="122">
        <f t="shared" si="56"/>
        <v>11360267.970000001</v>
      </c>
      <c r="N289" s="116">
        <f t="shared" si="57"/>
        <v>4771312.9700000007</v>
      </c>
      <c r="O289" s="123">
        <f t="shared" si="58"/>
        <v>387.94316367184331</v>
      </c>
      <c r="P289" s="5"/>
      <c r="Q289" s="5">
        <f t="shared" si="52"/>
        <v>1</v>
      </c>
      <c r="R289" s="7">
        <f t="shared" si="53"/>
        <v>12299</v>
      </c>
      <c r="S289" s="5">
        <f t="shared" si="54"/>
        <v>1</v>
      </c>
      <c r="T289" s="7">
        <f t="shared" si="55"/>
        <v>12299</v>
      </c>
    </row>
    <row r="290" spans="1:20">
      <c r="A290" s="23" t="s">
        <v>323</v>
      </c>
      <c r="B290" s="35" t="s">
        <v>300</v>
      </c>
      <c r="C290" s="36">
        <v>1642</v>
      </c>
      <c r="D290" s="6"/>
      <c r="E290" s="113">
        <v>579189732</v>
      </c>
      <c r="F290" s="116">
        <f t="shared" si="60"/>
        <v>352734.30694275274</v>
      </c>
      <c r="G290" s="117">
        <v>475797044</v>
      </c>
      <c r="H290" s="117">
        <f t="shared" si="61"/>
        <v>289766.77466504264</v>
      </c>
      <c r="I290" s="7"/>
      <c r="J290" s="10">
        <v>4</v>
      </c>
      <c r="K290" s="117">
        <v>1903188</v>
      </c>
      <c r="L290" s="120">
        <f t="shared" si="59"/>
        <v>1159.0669914738123</v>
      </c>
      <c r="M290" s="122">
        <f t="shared" si="56"/>
        <v>4757970.4400000004</v>
      </c>
      <c r="N290" s="116">
        <f t="shared" si="57"/>
        <v>2854782.4400000004</v>
      </c>
      <c r="O290" s="123">
        <f t="shared" si="58"/>
        <v>1738.600755176614</v>
      </c>
      <c r="P290" s="5"/>
      <c r="Q290" s="5">
        <f t="shared" si="52"/>
        <v>1</v>
      </c>
      <c r="R290" s="7">
        <f t="shared" si="53"/>
        <v>1642</v>
      </c>
      <c r="S290" s="5">
        <f t="shared" si="54"/>
        <v>1</v>
      </c>
      <c r="T290" s="7">
        <f t="shared" si="55"/>
        <v>1642</v>
      </c>
    </row>
    <row r="291" spans="1:20">
      <c r="A291" s="23" t="s">
        <v>324</v>
      </c>
      <c r="B291" s="35" t="s">
        <v>300</v>
      </c>
      <c r="C291" s="36">
        <v>6078</v>
      </c>
      <c r="D291" s="6"/>
      <c r="E291" s="113">
        <v>146032288</v>
      </c>
      <c r="F291" s="116">
        <f t="shared" si="60"/>
        <v>24026.371832839752</v>
      </c>
      <c r="G291" s="117">
        <v>67434737</v>
      </c>
      <c r="H291" s="117">
        <f t="shared" si="61"/>
        <v>11094.889272787101</v>
      </c>
      <c r="I291" s="7"/>
      <c r="J291" s="10">
        <v>8.75</v>
      </c>
      <c r="K291" s="117">
        <v>590053</v>
      </c>
      <c r="L291" s="120">
        <f t="shared" si="59"/>
        <v>97.08012504113195</v>
      </c>
      <c r="M291" s="122">
        <f t="shared" si="56"/>
        <v>674347.37</v>
      </c>
      <c r="N291" s="116">
        <f t="shared" si="57"/>
        <v>84294.37</v>
      </c>
      <c r="O291" s="123">
        <f t="shared" si="58"/>
        <v>13.868767686739059</v>
      </c>
      <c r="P291" s="5"/>
      <c r="Q291" s="5">
        <f t="shared" si="52"/>
        <v>1</v>
      </c>
      <c r="R291" s="7">
        <f t="shared" si="53"/>
        <v>6078</v>
      </c>
      <c r="S291" s="5">
        <f t="shared" si="54"/>
        <v>1</v>
      </c>
      <c r="T291" s="7">
        <f t="shared" si="55"/>
        <v>6078</v>
      </c>
    </row>
    <row r="292" spans="1:20">
      <c r="A292" s="23" t="s">
        <v>300</v>
      </c>
      <c r="B292" s="35" t="s">
        <v>300</v>
      </c>
      <c r="C292" s="36">
        <v>9674</v>
      </c>
      <c r="D292" s="6"/>
      <c r="E292" s="113">
        <v>9137743634</v>
      </c>
      <c r="F292" s="116">
        <f t="shared" si="60"/>
        <v>944567.2559437668</v>
      </c>
      <c r="G292" s="117">
        <v>7634262235</v>
      </c>
      <c r="H292" s="117">
        <f t="shared" si="61"/>
        <v>789152.59820136451</v>
      </c>
      <c r="I292" s="7"/>
      <c r="J292" s="10">
        <v>3.9706000000000001</v>
      </c>
      <c r="K292" s="117">
        <v>30312601</v>
      </c>
      <c r="L292" s="120">
        <f t="shared" si="59"/>
        <v>3133.4092412652471</v>
      </c>
      <c r="M292" s="122">
        <f t="shared" si="56"/>
        <v>76342622.350000009</v>
      </c>
      <c r="N292" s="116">
        <f t="shared" si="57"/>
        <v>46030021.350000009</v>
      </c>
      <c r="O292" s="123">
        <f t="shared" si="58"/>
        <v>4758.116740748399</v>
      </c>
      <c r="P292" s="5"/>
      <c r="Q292" s="5">
        <f t="shared" si="52"/>
        <v>1</v>
      </c>
      <c r="R292" s="7">
        <f t="shared" si="53"/>
        <v>9674</v>
      </c>
      <c r="S292" s="5">
        <f t="shared" si="54"/>
        <v>1</v>
      </c>
      <c r="T292" s="7">
        <f t="shared" si="55"/>
        <v>9674</v>
      </c>
    </row>
    <row r="293" spans="1:20">
      <c r="A293" s="23" t="s">
        <v>325</v>
      </c>
      <c r="B293" s="35" t="s">
        <v>300</v>
      </c>
      <c r="C293" s="36">
        <v>36498</v>
      </c>
      <c r="D293" s="6"/>
      <c r="E293" s="113">
        <v>5451610846</v>
      </c>
      <c r="F293" s="116">
        <f t="shared" si="60"/>
        <v>149367.38577456298</v>
      </c>
      <c r="G293" s="117">
        <v>4502156318</v>
      </c>
      <c r="H293" s="117">
        <f t="shared" si="61"/>
        <v>123353.50753465944</v>
      </c>
      <c r="I293" s="7"/>
      <c r="J293" s="10">
        <v>5.9066999999999998</v>
      </c>
      <c r="K293" s="117">
        <v>26592886</v>
      </c>
      <c r="L293" s="120">
        <f t="shared" si="59"/>
        <v>728.61214313113044</v>
      </c>
      <c r="M293" s="122">
        <f t="shared" si="56"/>
        <v>45021563.18</v>
      </c>
      <c r="N293" s="116">
        <f t="shared" si="57"/>
        <v>18428677.18</v>
      </c>
      <c r="O293" s="123">
        <f t="shared" si="58"/>
        <v>504.92293221546385</v>
      </c>
      <c r="P293" s="5"/>
      <c r="Q293" s="5">
        <f t="shared" si="52"/>
        <v>1</v>
      </c>
      <c r="R293" s="7">
        <f t="shared" si="53"/>
        <v>36498</v>
      </c>
      <c r="S293" s="5">
        <f t="shared" si="54"/>
        <v>1</v>
      </c>
      <c r="T293" s="7">
        <f t="shared" si="55"/>
        <v>36498</v>
      </c>
    </row>
    <row r="294" spans="1:20">
      <c r="A294" s="23" t="s">
        <v>326</v>
      </c>
      <c r="B294" s="35" t="s">
        <v>300</v>
      </c>
      <c r="C294" s="36">
        <v>1268</v>
      </c>
      <c r="D294" s="6"/>
      <c r="E294" s="113">
        <v>312258541</v>
      </c>
      <c r="F294" s="116">
        <f t="shared" si="60"/>
        <v>246260.67902208201</v>
      </c>
      <c r="G294" s="117">
        <v>287622367</v>
      </c>
      <c r="H294" s="117">
        <f t="shared" si="61"/>
        <v>226831.51971608834</v>
      </c>
      <c r="I294" s="7"/>
      <c r="J294" s="10">
        <v>6.35</v>
      </c>
      <c r="K294" s="117">
        <v>1826402</v>
      </c>
      <c r="L294" s="120">
        <f t="shared" si="59"/>
        <v>1440.3801261829653</v>
      </c>
      <c r="M294" s="122">
        <f t="shared" si="56"/>
        <v>2876223.67</v>
      </c>
      <c r="N294" s="116">
        <f t="shared" si="57"/>
        <v>1049821.67</v>
      </c>
      <c r="O294" s="123">
        <f t="shared" si="58"/>
        <v>827.93507097791792</v>
      </c>
      <c r="P294" s="5"/>
      <c r="Q294" s="5">
        <f t="shared" si="52"/>
        <v>1</v>
      </c>
      <c r="R294" s="7">
        <f t="shared" si="53"/>
        <v>1268</v>
      </c>
      <c r="S294" s="5">
        <f t="shared" si="54"/>
        <v>1</v>
      </c>
      <c r="T294" s="7">
        <f t="shared" si="55"/>
        <v>1268</v>
      </c>
    </row>
    <row r="295" spans="1:20">
      <c r="A295" s="23" t="s">
        <v>327</v>
      </c>
      <c r="B295" s="35" t="s">
        <v>300</v>
      </c>
      <c r="C295" s="36">
        <v>12804</v>
      </c>
      <c r="D295" s="6"/>
      <c r="E295" s="113">
        <v>478198981</v>
      </c>
      <c r="F295" s="116">
        <f t="shared" si="60"/>
        <v>37347.624258044358</v>
      </c>
      <c r="G295" s="117">
        <v>324408525</v>
      </c>
      <c r="H295" s="117">
        <f t="shared" si="61"/>
        <v>25336.498359887537</v>
      </c>
      <c r="I295" s="7"/>
      <c r="J295" s="10">
        <v>4.8739999999999997</v>
      </c>
      <c r="K295" s="117">
        <v>1581167</v>
      </c>
      <c r="L295" s="120">
        <f t="shared" si="59"/>
        <v>123.49008122461731</v>
      </c>
      <c r="M295" s="122">
        <f t="shared" si="56"/>
        <v>3244085.25</v>
      </c>
      <c r="N295" s="116">
        <f t="shared" si="57"/>
        <v>1662918.25</v>
      </c>
      <c r="O295" s="123">
        <f t="shared" si="58"/>
        <v>129.87490237425806</v>
      </c>
      <c r="P295" s="5"/>
      <c r="Q295" s="5">
        <f t="shared" si="52"/>
        <v>1</v>
      </c>
      <c r="R295" s="7">
        <f t="shared" si="53"/>
        <v>12804</v>
      </c>
      <c r="S295" s="5">
        <f t="shared" si="54"/>
        <v>1</v>
      </c>
      <c r="T295" s="7">
        <f t="shared" si="55"/>
        <v>12804</v>
      </c>
    </row>
    <row r="296" spans="1:20">
      <c r="A296" s="23" t="s">
        <v>328</v>
      </c>
      <c r="B296" s="35" t="s">
        <v>300</v>
      </c>
      <c r="C296" s="36">
        <v>31007</v>
      </c>
      <c r="D296" s="6"/>
      <c r="E296" s="113">
        <v>2396956962</v>
      </c>
      <c r="F296" s="116">
        <f t="shared" si="60"/>
        <v>77303.736640113522</v>
      </c>
      <c r="G296" s="117">
        <v>1770470527</v>
      </c>
      <c r="H296" s="117">
        <f t="shared" si="61"/>
        <v>57099.059147934335</v>
      </c>
      <c r="I296" s="9"/>
      <c r="J296" s="10">
        <v>9.5</v>
      </c>
      <c r="K296" s="117">
        <v>16819470</v>
      </c>
      <c r="L296" s="120">
        <f t="shared" si="59"/>
        <v>542.44106169574616</v>
      </c>
      <c r="M296" s="122">
        <f t="shared" si="56"/>
        <v>17704705.27</v>
      </c>
      <c r="N296" s="116">
        <f t="shared" si="57"/>
        <v>885235.26999999955</v>
      </c>
      <c r="O296" s="123">
        <f t="shared" si="58"/>
        <v>28.549529783597237</v>
      </c>
      <c r="P296" s="5"/>
      <c r="Q296" s="5">
        <f t="shared" si="52"/>
        <v>1</v>
      </c>
      <c r="R296" s="7">
        <f t="shared" si="53"/>
        <v>31007</v>
      </c>
      <c r="S296" s="5">
        <f t="shared" si="54"/>
        <v>1</v>
      </c>
      <c r="T296" s="7">
        <f t="shared" si="55"/>
        <v>31007</v>
      </c>
    </row>
    <row r="297" spans="1:20">
      <c r="A297" s="23" t="s">
        <v>329</v>
      </c>
      <c r="B297" s="35" t="s">
        <v>300</v>
      </c>
      <c r="C297" s="36">
        <v>25123</v>
      </c>
      <c r="D297" s="6"/>
      <c r="E297" s="113">
        <v>1455037060</v>
      </c>
      <c r="F297" s="116">
        <f t="shared" si="60"/>
        <v>57916.533057357803</v>
      </c>
      <c r="G297" s="117">
        <v>1097952810</v>
      </c>
      <c r="H297" s="117">
        <f t="shared" si="61"/>
        <v>43703.093181546792</v>
      </c>
      <c r="I297" s="7"/>
      <c r="J297" s="10">
        <v>6.19</v>
      </c>
      <c r="K297" s="117">
        <v>6796327</v>
      </c>
      <c r="L297" s="120">
        <f t="shared" si="59"/>
        <v>270.52211121283284</v>
      </c>
      <c r="M297" s="122">
        <f t="shared" si="56"/>
        <v>10979528.1</v>
      </c>
      <c r="N297" s="116">
        <f t="shared" si="57"/>
        <v>4183201.0999999996</v>
      </c>
      <c r="O297" s="123">
        <f t="shared" si="58"/>
        <v>166.50882060263501</v>
      </c>
      <c r="P297" s="5"/>
      <c r="Q297" s="5">
        <f t="shared" si="52"/>
        <v>1</v>
      </c>
      <c r="R297" s="7">
        <f t="shared" si="53"/>
        <v>25123</v>
      </c>
      <c r="S297" s="5">
        <f t="shared" si="54"/>
        <v>1</v>
      </c>
      <c r="T297" s="7">
        <f t="shared" si="55"/>
        <v>25123</v>
      </c>
    </row>
    <row r="298" spans="1:20">
      <c r="A298" s="23" t="s">
        <v>330</v>
      </c>
      <c r="B298" s="35" t="s">
        <v>300</v>
      </c>
      <c r="C298" s="36">
        <v>3934</v>
      </c>
      <c r="D298" s="6"/>
      <c r="E298" s="113">
        <v>97539576</v>
      </c>
      <c r="F298" s="116">
        <f t="shared" si="60"/>
        <v>24793.994916115913</v>
      </c>
      <c r="G298" s="117">
        <v>35615648</v>
      </c>
      <c r="H298" s="117">
        <f t="shared" si="61"/>
        <v>9053.2913065582106</v>
      </c>
      <c r="I298" s="7"/>
      <c r="J298" s="10">
        <v>9.2888999999999999</v>
      </c>
      <c r="K298" s="117">
        <v>330830</v>
      </c>
      <c r="L298" s="120">
        <f t="shared" si="59"/>
        <v>84.095068632435186</v>
      </c>
      <c r="M298" s="122">
        <f t="shared" si="56"/>
        <v>356156.48</v>
      </c>
      <c r="N298" s="116">
        <f t="shared" si="57"/>
        <v>25326.479999999981</v>
      </c>
      <c r="O298" s="123">
        <f t="shared" si="58"/>
        <v>6.4378444331469193</v>
      </c>
      <c r="P298" s="5"/>
      <c r="Q298" s="5">
        <f t="shared" si="52"/>
        <v>1</v>
      </c>
      <c r="R298" s="7">
        <f t="shared" si="53"/>
        <v>3934</v>
      </c>
      <c r="S298" s="5">
        <f t="shared" si="54"/>
        <v>1</v>
      </c>
      <c r="T298" s="7">
        <f t="shared" si="55"/>
        <v>3934</v>
      </c>
    </row>
    <row r="299" spans="1:20">
      <c r="A299" s="23" t="s">
        <v>331</v>
      </c>
      <c r="B299" s="35" t="s">
        <v>300</v>
      </c>
      <c r="C299" s="36">
        <v>1532</v>
      </c>
      <c r="D299" s="6"/>
      <c r="E299" s="113">
        <v>207696253</v>
      </c>
      <c r="F299" s="116">
        <f t="shared" si="60"/>
        <v>135571.96671018278</v>
      </c>
      <c r="G299" s="117">
        <v>179542950</v>
      </c>
      <c r="H299" s="117">
        <f t="shared" si="61"/>
        <v>117195.13707571801</v>
      </c>
      <c r="I299" s="7"/>
      <c r="J299" s="10">
        <v>6.75</v>
      </c>
      <c r="K299" s="117">
        <v>1211914</v>
      </c>
      <c r="L299" s="120">
        <f t="shared" si="59"/>
        <v>791.0665796344648</v>
      </c>
      <c r="M299" s="122">
        <f t="shared" si="56"/>
        <v>1795429.5</v>
      </c>
      <c r="N299" s="116">
        <f t="shared" si="57"/>
        <v>583515.5</v>
      </c>
      <c r="O299" s="123">
        <f t="shared" si="58"/>
        <v>380.8847911227154</v>
      </c>
      <c r="P299" s="5"/>
      <c r="Q299" s="5">
        <f t="shared" si="52"/>
        <v>1</v>
      </c>
      <c r="R299" s="7">
        <f t="shared" si="53"/>
        <v>1532</v>
      </c>
      <c r="S299" s="5">
        <f t="shared" si="54"/>
        <v>1</v>
      </c>
      <c r="T299" s="7">
        <f t="shared" si="55"/>
        <v>1532</v>
      </c>
    </row>
    <row r="300" spans="1:20">
      <c r="A300" s="23" t="s">
        <v>332</v>
      </c>
      <c r="B300" s="35" t="s">
        <v>300</v>
      </c>
      <c r="C300" s="36">
        <v>5327</v>
      </c>
      <c r="D300" s="6"/>
      <c r="E300" s="113">
        <v>695178946</v>
      </c>
      <c r="F300" s="116">
        <f t="shared" si="60"/>
        <v>130501.02233902759</v>
      </c>
      <c r="G300" s="117">
        <v>523061602</v>
      </c>
      <c r="H300" s="117">
        <f t="shared" si="61"/>
        <v>98190.651773981604</v>
      </c>
      <c r="I300" s="7"/>
      <c r="J300" s="10">
        <v>6.7305000000000001</v>
      </c>
      <c r="K300" s="117">
        <v>3520466</v>
      </c>
      <c r="L300" s="120">
        <f t="shared" si="59"/>
        <v>660.87216069082035</v>
      </c>
      <c r="M300" s="122">
        <f t="shared" si="56"/>
        <v>5230616.0200000005</v>
      </c>
      <c r="N300" s="116">
        <f t="shared" si="57"/>
        <v>1710150.0200000005</v>
      </c>
      <c r="O300" s="123">
        <f t="shared" si="58"/>
        <v>321.03435704899579</v>
      </c>
      <c r="P300" s="5"/>
      <c r="Q300" s="5">
        <f t="shared" si="52"/>
        <v>1</v>
      </c>
      <c r="R300" s="7">
        <f t="shared" si="53"/>
        <v>5327</v>
      </c>
      <c r="S300" s="5">
        <f t="shared" si="54"/>
        <v>1</v>
      </c>
      <c r="T300" s="7">
        <f t="shared" si="55"/>
        <v>5327</v>
      </c>
    </row>
    <row r="301" spans="1:20">
      <c r="A301" s="23" t="s">
        <v>333</v>
      </c>
      <c r="B301" s="35" t="s">
        <v>300</v>
      </c>
      <c r="C301" s="36">
        <v>42319</v>
      </c>
      <c r="D301" s="6"/>
      <c r="E301" s="113">
        <v>3760523481</v>
      </c>
      <c r="F301" s="116">
        <f t="shared" si="60"/>
        <v>88861.350244571004</v>
      </c>
      <c r="G301" s="117">
        <v>3084559360</v>
      </c>
      <c r="H301" s="117">
        <f t="shared" si="61"/>
        <v>72888.285640019851</v>
      </c>
      <c r="I301" s="7"/>
      <c r="J301" s="10">
        <v>2.5</v>
      </c>
      <c r="K301" s="117">
        <v>7711398</v>
      </c>
      <c r="L301" s="120">
        <f t="shared" si="59"/>
        <v>182.22070464803045</v>
      </c>
      <c r="M301" s="122">
        <f t="shared" si="56"/>
        <v>30845593.600000001</v>
      </c>
      <c r="N301" s="116">
        <f t="shared" si="57"/>
        <v>23134195.600000001</v>
      </c>
      <c r="O301" s="123">
        <f t="shared" si="58"/>
        <v>546.66215175216814</v>
      </c>
      <c r="P301" s="5"/>
      <c r="Q301" s="5">
        <f t="shared" si="52"/>
        <v>1</v>
      </c>
      <c r="R301" s="7">
        <f t="shared" si="53"/>
        <v>42319</v>
      </c>
      <c r="S301" s="5">
        <f t="shared" si="54"/>
        <v>1</v>
      </c>
      <c r="T301" s="7">
        <f t="shared" si="55"/>
        <v>42319</v>
      </c>
    </row>
    <row r="302" spans="1:20">
      <c r="A302" s="23" t="s">
        <v>334</v>
      </c>
      <c r="B302" s="35" t="s">
        <v>300</v>
      </c>
      <c r="C302" s="36">
        <v>86194</v>
      </c>
      <c r="D302" s="6"/>
      <c r="E302" s="113">
        <v>8132900636</v>
      </c>
      <c r="F302" s="116">
        <f t="shared" si="60"/>
        <v>94355.762999744766</v>
      </c>
      <c r="G302" s="117">
        <v>6069796529</v>
      </c>
      <c r="H302" s="117">
        <f t="shared" si="61"/>
        <v>70420.17459451934</v>
      </c>
      <c r="I302" s="7"/>
      <c r="J302" s="10">
        <v>7.9</v>
      </c>
      <c r="K302" s="117">
        <v>47951392</v>
      </c>
      <c r="L302" s="120">
        <f t="shared" si="59"/>
        <v>556.31937257813775</v>
      </c>
      <c r="M302" s="122">
        <f t="shared" si="56"/>
        <v>60697965.289999999</v>
      </c>
      <c r="N302" s="116">
        <f t="shared" si="57"/>
        <v>12746573.289999999</v>
      </c>
      <c r="O302" s="123">
        <f t="shared" si="58"/>
        <v>147.88237336705569</v>
      </c>
      <c r="P302" s="5"/>
      <c r="Q302" s="5">
        <f t="shared" si="52"/>
        <v>1</v>
      </c>
      <c r="R302" s="7">
        <f t="shared" si="53"/>
        <v>86194</v>
      </c>
      <c r="S302" s="5">
        <f t="shared" si="54"/>
        <v>1</v>
      </c>
      <c r="T302" s="7">
        <f t="shared" si="55"/>
        <v>86194</v>
      </c>
    </row>
    <row r="303" spans="1:20">
      <c r="A303" s="23" t="s">
        <v>335</v>
      </c>
      <c r="B303" s="35" t="s">
        <v>336</v>
      </c>
      <c r="C303" s="36">
        <v>6393</v>
      </c>
      <c r="D303" s="6"/>
      <c r="E303" s="113">
        <v>323022528</v>
      </c>
      <c r="F303" s="116">
        <f t="shared" si="60"/>
        <v>50527.534490849364</v>
      </c>
      <c r="G303" s="117">
        <v>180721663</v>
      </c>
      <c r="H303" s="117">
        <f t="shared" si="61"/>
        <v>28268.678711090255</v>
      </c>
      <c r="I303" s="7"/>
      <c r="J303" s="10">
        <v>7.4</v>
      </c>
      <c r="K303" s="117">
        <v>1337340</v>
      </c>
      <c r="L303" s="120">
        <f t="shared" si="59"/>
        <v>209.18817456593149</v>
      </c>
      <c r="M303" s="122">
        <f t="shared" si="56"/>
        <v>1807216.6300000001</v>
      </c>
      <c r="N303" s="116">
        <f t="shared" si="57"/>
        <v>469876.63000000012</v>
      </c>
      <c r="O303" s="123">
        <f t="shared" si="58"/>
        <v>73.498612544971081</v>
      </c>
      <c r="P303" s="5"/>
      <c r="Q303" s="5">
        <f t="shared" si="52"/>
        <v>1</v>
      </c>
      <c r="R303" s="7">
        <f t="shared" si="53"/>
        <v>6393</v>
      </c>
      <c r="S303" s="5">
        <f t="shared" si="54"/>
        <v>1</v>
      </c>
      <c r="T303" s="7">
        <f t="shared" si="55"/>
        <v>6393</v>
      </c>
    </row>
    <row r="304" spans="1:20">
      <c r="A304" s="23" t="s">
        <v>337</v>
      </c>
      <c r="B304" s="35" t="s">
        <v>336</v>
      </c>
      <c r="C304" s="36">
        <v>16193</v>
      </c>
      <c r="D304" s="6"/>
      <c r="E304" s="113">
        <v>756744557</v>
      </c>
      <c r="F304" s="116">
        <f t="shared" si="60"/>
        <v>46732.820169208921</v>
      </c>
      <c r="G304" s="117">
        <v>522298847</v>
      </c>
      <c r="H304" s="117">
        <f t="shared" si="61"/>
        <v>32254.606743654665</v>
      </c>
      <c r="I304" s="7"/>
      <c r="J304" s="10">
        <v>6.25</v>
      </c>
      <c r="K304" s="117">
        <v>3264367</v>
      </c>
      <c r="L304" s="120">
        <f t="shared" si="59"/>
        <v>201.59124312974743</v>
      </c>
      <c r="M304" s="122">
        <f t="shared" si="56"/>
        <v>5222988.47</v>
      </c>
      <c r="N304" s="116">
        <f t="shared" si="57"/>
        <v>1958621.4699999997</v>
      </c>
      <c r="O304" s="123">
        <f t="shared" si="58"/>
        <v>120.95482430679922</v>
      </c>
      <c r="P304" s="5"/>
      <c r="Q304" s="5">
        <f t="shared" si="52"/>
        <v>1</v>
      </c>
      <c r="R304" s="7">
        <f t="shared" si="53"/>
        <v>16193</v>
      </c>
      <c r="S304" s="5">
        <f t="shared" si="54"/>
        <v>1</v>
      </c>
      <c r="T304" s="7">
        <f t="shared" si="55"/>
        <v>16193</v>
      </c>
    </row>
    <row r="305" spans="1:20">
      <c r="A305" s="23" t="s">
        <v>338</v>
      </c>
      <c r="B305" s="35" t="s">
        <v>336</v>
      </c>
      <c r="C305" s="36">
        <v>3077</v>
      </c>
      <c r="D305" s="6"/>
      <c r="E305" s="113">
        <v>240884881</v>
      </c>
      <c r="F305" s="116">
        <f t="shared" si="60"/>
        <v>78285.629184270394</v>
      </c>
      <c r="G305" s="117">
        <v>194604958</v>
      </c>
      <c r="H305" s="117">
        <f t="shared" si="61"/>
        <v>63245.030224244394</v>
      </c>
      <c r="I305" s="7"/>
      <c r="J305" s="10">
        <v>5.82</v>
      </c>
      <c r="K305" s="117">
        <v>1132600</v>
      </c>
      <c r="L305" s="120">
        <f t="shared" si="59"/>
        <v>368.08579785505361</v>
      </c>
      <c r="M305" s="122">
        <f t="shared" si="56"/>
        <v>1946049.58</v>
      </c>
      <c r="N305" s="116">
        <f t="shared" si="57"/>
        <v>813449.58000000007</v>
      </c>
      <c r="O305" s="123">
        <f t="shared" si="58"/>
        <v>264.36450438739035</v>
      </c>
      <c r="P305" s="5"/>
      <c r="Q305" s="5">
        <f t="shared" si="52"/>
        <v>1</v>
      </c>
      <c r="R305" s="7">
        <f t="shared" si="53"/>
        <v>3077</v>
      </c>
      <c r="S305" s="5">
        <f t="shared" si="54"/>
        <v>1</v>
      </c>
      <c r="T305" s="7">
        <f t="shared" si="55"/>
        <v>3077</v>
      </c>
    </row>
    <row r="306" spans="1:20">
      <c r="A306" s="23" t="s">
        <v>339</v>
      </c>
      <c r="B306" s="35" t="s">
        <v>336</v>
      </c>
      <c r="C306" s="36">
        <v>712</v>
      </c>
      <c r="D306" s="6"/>
      <c r="E306" s="113">
        <v>46664788</v>
      </c>
      <c r="F306" s="116">
        <f t="shared" si="60"/>
        <v>65540.432584269656</v>
      </c>
      <c r="G306" s="117">
        <v>25497534</v>
      </c>
      <c r="H306" s="117">
        <f t="shared" si="61"/>
        <v>35811.143258426964</v>
      </c>
      <c r="I306" s="7"/>
      <c r="J306" s="10">
        <v>2.5329999999999999</v>
      </c>
      <c r="K306" s="117">
        <v>64585</v>
      </c>
      <c r="L306" s="120">
        <f t="shared" ref="L306:L337" si="62">(K306/C306)</f>
        <v>90.709269662921344</v>
      </c>
      <c r="M306" s="122">
        <f t="shared" si="56"/>
        <v>254975.34</v>
      </c>
      <c r="N306" s="116">
        <f t="shared" si="57"/>
        <v>190390.34</v>
      </c>
      <c r="O306" s="123">
        <f t="shared" si="58"/>
        <v>267.40216292134829</v>
      </c>
      <c r="P306" s="5"/>
      <c r="Q306" s="5">
        <f t="shared" si="52"/>
        <v>1</v>
      </c>
      <c r="R306" s="7">
        <f t="shared" si="53"/>
        <v>712</v>
      </c>
      <c r="S306" s="5">
        <f t="shared" si="54"/>
        <v>1</v>
      </c>
      <c r="T306" s="7">
        <f t="shared" si="55"/>
        <v>712</v>
      </c>
    </row>
    <row r="307" spans="1:20">
      <c r="A307" s="23" t="s">
        <v>547</v>
      </c>
      <c r="B307" s="35" t="s">
        <v>336</v>
      </c>
      <c r="C307" s="36">
        <v>666</v>
      </c>
      <c r="D307" s="6"/>
      <c r="E307" s="113">
        <v>46220222</v>
      </c>
      <c r="F307" s="116">
        <f t="shared" si="60"/>
        <v>69399.732732732737</v>
      </c>
      <c r="G307" s="117">
        <v>21983343</v>
      </c>
      <c r="H307" s="117">
        <f t="shared" si="61"/>
        <v>33008.022522522522</v>
      </c>
      <c r="I307" s="7"/>
      <c r="J307" s="10">
        <v>3</v>
      </c>
      <c r="K307" s="117">
        <v>65950</v>
      </c>
      <c r="L307" s="120">
        <f t="shared" si="62"/>
        <v>99.02402402402403</v>
      </c>
      <c r="M307" s="122">
        <f t="shared" si="56"/>
        <v>219833.43</v>
      </c>
      <c r="N307" s="116">
        <f t="shared" si="57"/>
        <v>153883.43</v>
      </c>
      <c r="O307" s="123">
        <f t="shared" si="58"/>
        <v>231.05620120120119</v>
      </c>
      <c r="P307" s="5"/>
      <c r="Q307" s="5">
        <f t="shared" si="52"/>
        <v>1</v>
      </c>
      <c r="R307" s="7">
        <f t="shared" si="53"/>
        <v>666</v>
      </c>
      <c r="S307" s="5">
        <f t="shared" si="54"/>
        <v>1</v>
      </c>
      <c r="T307" s="7">
        <f t="shared" si="55"/>
        <v>666</v>
      </c>
    </row>
    <row r="308" spans="1:20">
      <c r="A308" s="23" t="s">
        <v>340</v>
      </c>
      <c r="B308" s="35" t="s">
        <v>336</v>
      </c>
      <c r="C308" s="36">
        <v>11106</v>
      </c>
      <c r="D308" s="6"/>
      <c r="E308" s="113">
        <v>633727484</v>
      </c>
      <c r="F308" s="116">
        <f t="shared" si="60"/>
        <v>57061.721952097963</v>
      </c>
      <c r="G308" s="117">
        <v>411989261</v>
      </c>
      <c r="H308" s="117">
        <f t="shared" si="61"/>
        <v>37096.097694939672</v>
      </c>
      <c r="I308" s="7"/>
      <c r="J308" s="10">
        <v>6.42</v>
      </c>
      <c r="K308" s="117">
        <v>2644971</v>
      </c>
      <c r="L308" s="120">
        <f t="shared" si="62"/>
        <v>238.15694219340898</v>
      </c>
      <c r="M308" s="122">
        <f t="shared" si="56"/>
        <v>4119892.61</v>
      </c>
      <c r="N308" s="116">
        <f t="shared" si="57"/>
        <v>1474921.6099999999</v>
      </c>
      <c r="O308" s="123">
        <f t="shared" si="58"/>
        <v>132.80403475598774</v>
      </c>
      <c r="P308" s="5"/>
      <c r="Q308" s="5">
        <f t="shared" si="52"/>
        <v>1</v>
      </c>
      <c r="R308" s="7">
        <f t="shared" si="53"/>
        <v>11106</v>
      </c>
      <c r="S308" s="5">
        <f t="shared" si="54"/>
        <v>1</v>
      </c>
      <c r="T308" s="7">
        <f t="shared" si="55"/>
        <v>11106</v>
      </c>
    </row>
    <row r="309" spans="1:20">
      <c r="A309" s="23" t="s">
        <v>341</v>
      </c>
      <c r="B309" s="35" t="s">
        <v>342</v>
      </c>
      <c r="C309" s="36">
        <v>4089</v>
      </c>
      <c r="D309" s="6"/>
      <c r="E309" s="113">
        <v>683027620</v>
      </c>
      <c r="F309" s="116">
        <f t="shared" si="60"/>
        <v>167040.25923208607</v>
      </c>
      <c r="G309" s="117">
        <v>514972040</v>
      </c>
      <c r="H309" s="117">
        <f t="shared" si="61"/>
        <v>125940.82660797262</v>
      </c>
      <c r="I309" s="7"/>
      <c r="J309" s="10">
        <v>4.7615999999999996</v>
      </c>
      <c r="K309" s="117">
        <v>2452090</v>
      </c>
      <c r="L309" s="120">
        <f t="shared" si="62"/>
        <v>599.67962827097085</v>
      </c>
      <c r="M309" s="122">
        <f t="shared" si="56"/>
        <v>5149720.4000000004</v>
      </c>
      <c r="N309" s="116">
        <f t="shared" si="57"/>
        <v>2697630.4000000004</v>
      </c>
      <c r="O309" s="123">
        <f t="shared" si="58"/>
        <v>659.72863780875525</v>
      </c>
      <c r="P309" s="5"/>
      <c r="Q309" s="5">
        <f t="shared" si="52"/>
        <v>1</v>
      </c>
      <c r="R309" s="7">
        <f t="shared" si="53"/>
        <v>4089</v>
      </c>
      <c r="S309" s="5">
        <f t="shared" si="54"/>
        <v>1</v>
      </c>
      <c r="T309" s="7">
        <f t="shared" si="55"/>
        <v>4089</v>
      </c>
    </row>
    <row r="310" spans="1:20">
      <c r="A310" s="23" t="s">
        <v>343</v>
      </c>
      <c r="B310" s="35" t="s">
        <v>342</v>
      </c>
      <c r="C310" s="36">
        <v>1633</v>
      </c>
      <c r="D310" s="6"/>
      <c r="E310" s="113">
        <v>362739160</v>
      </c>
      <c r="F310" s="116">
        <f t="shared" si="60"/>
        <v>222130.53276178811</v>
      </c>
      <c r="G310" s="117">
        <v>275223230</v>
      </c>
      <c r="H310" s="117">
        <f t="shared" si="61"/>
        <v>168538.41396203308</v>
      </c>
      <c r="I310" s="7"/>
      <c r="J310" s="10">
        <v>2.4689999999999999</v>
      </c>
      <c r="K310" s="117">
        <v>679526</v>
      </c>
      <c r="L310" s="120">
        <f t="shared" si="62"/>
        <v>416.12124923453769</v>
      </c>
      <c r="M310" s="122">
        <f t="shared" si="56"/>
        <v>2752232.3000000003</v>
      </c>
      <c r="N310" s="116">
        <f t="shared" si="57"/>
        <v>2072706.3000000003</v>
      </c>
      <c r="O310" s="123">
        <f t="shared" si="58"/>
        <v>1269.2628903857933</v>
      </c>
      <c r="P310" s="5"/>
      <c r="Q310" s="5">
        <f t="shared" si="52"/>
        <v>1</v>
      </c>
      <c r="R310" s="7">
        <f t="shared" si="53"/>
        <v>1633</v>
      </c>
      <c r="S310" s="5">
        <f t="shared" si="54"/>
        <v>1</v>
      </c>
      <c r="T310" s="7">
        <f t="shared" si="55"/>
        <v>1633</v>
      </c>
    </row>
    <row r="311" spans="1:20">
      <c r="A311" s="23" t="s">
        <v>344</v>
      </c>
      <c r="B311" s="35" t="s">
        <v>342</v>
      </c>
      <c r="C311" s="36">
        <v>2238</v>
      </c>
      <c r="D311" s="6"/>
      <c r="E311" s="113">
        <v>188504400</v>
      </c>
      <c r="F311" s="116">
        <f t="shared" si="60"/>
        <v>84228.954423592499</v>
      </c>
      <c r="G311" s="117">
        <v>138451330</v>
      </c>
      <c r="H311" s="117">
        <f t="shared" si="61"/>
        <v>61863.865058087576</v>
      </c>
      <c r="I311" s="7"/>
      <c r="J311" s="10">
        <v>4.3499999999999996</v>
      </c>
      <c r="K311" s="117">
        <v>602263</v>
      </c>
      <c r="L311" s="120">
        <f t="shared" si="62"/>
        <v>269.10768543342272</v>
      </c>
      <c r="M311" s="122">
        <f t="shared" si="56"/>
        <v>1384513.3</v>
      </c>
      <c r="N311" s="116">
        <f t="shared" si="57"/>
        <v>782250.3</v>
      </c>
      <c r="O311" s="123">
        <f t="shared" si="58"/>
        <v>349.53096514745312</v>
      </c>
      <c r="P311" s="5"/>
      <c r="Q311" s="5">
        <f t="shared" si="52"/>
        <v>1</v>
      </c>
      <c r="R311" s="7">
        <f t="shared" si="53"/>
        <v>2238</v>
      </c>
      <c r="S311" s="5">
        <f t="shared" si="54"/>
        <v>1</v>
      </c>
      <c r="T311" s="7">
        <f t="shared" si="55"/>
        <v>2238</v>
      </c>
    </row>
    <row r="312" spans="1:20">
      <c r="A312" s="23" t="s">
        <v>345</v>
      </c>
      <c r="B312" s="35" t="s">
        <v>342</v>
      </c>
      <c r="C312" s="36">
        <v>71</v>
      </c>
      <c r="D312" s="6"/>
      <c r="E312" s="113">
        <v>81194520</v>
      </c>
      <c r="F312" s="116">
        <f t="shared" si="60"/>
        <v>1143584.7887323943</v>
      </c>
      <c r="G312" s="117">
        <v>64364620</v>
      </c>
      <c r="H312" s="117">
        <f t="shared" si="61"/>
        <v>906543.94366197183</v>
      </c>
      <c r="I312" s="7"/>
      <c r="J312" s="10">
        <v>1.6848000000000001</v>
      </c>
      <c r="K312" s="117">
        <v>108441</v>
      </c>
      <c r="L312" s="120">
        <f t="shared" si="62"/>
        <v>1527.338028169014</v>
      </c>
      <c r="M312" s="122">
        <f t="shared" si="56"/>
        <v>643646.20000000007</v>
      </c>
      <c r="N312" s="116">
        <f t="shared" si="57"/>
        <v>535205.20000000007</v>
      </c>
      <c r="O312" s="123">
        <f t="shared" si="58"/>
        <v>7538.1014084507051</v>
      </c>
      <c r="P312" s="5"/>
      <c r="Q312" s="5">
        <f t="shared" si="52"/>
        <v>1</v>
      </c>
      <c r="R312" s="7">
        <f t="shared" si="53"/>
        <v>71</v>
      </c>
      <c r="S312" s="5">
        <f t="shared" si="54"/>
        <v>1</v>
      </c>
      <c r="T312" s="7">
        <f t="shared" si="55"/>
        <v>71</v>
      </c>
    </row>
    <row r="313" spans="1:20">
      <c r="A313" s="23" t="s">
        <v>346</v>
      </c>
      <c r="B313" s="35" t="s">
        <v>342</v>
      </c>
      <c r="C313" s="36">
        <v>109719</v>
      </c>
      <c r="D313" s="6"/>
      <c r="E313" s="113">
        <v>8556134526</v>
      </c>
      <c r="F313" s="116">
        <f t="shared" si="60"/>
        <v>77982.250348617832</v>
      </c>
      <c r="G313" s="117">
        <v>6105078389</v>
      </c>
      <c r="H313" s="117">
        <f t="shared" si="61"/>
        <v>55642.854829154479</v>
      </c>
      <c r="I313" s="7"/>
      <c r="J313" s="10">
        <v>5.7530000000000001</v>
      </c>
      <c r="K313" s="117">
        <v>35122515</v>
      </c>
      <c r="L313" s="120">
        <f t="shared" si="62"/>
        <v>320.11333497388785</v>
      </c>
      <c r="M313" s="122">
        <f t="shared" si="56"/>
        <v>61050783.890000001</v>
      </c>
      <c r="N313" s="116">
        <f t="shared" si="57"/>
        <v>25928268.890000001</v>
      </c>
      <c r="O313" s="123">
        <f t="shared" si="58"/>
        <v>236.31521331765694</v>
      </c>
      <c r="P313" s="5"/>
      <c r="Q313" s="5">
        <f t="shared" si="52"/>
        <v>1</v>
      </c>
      <c r="R313" s="7">
        <f t="shared" si="53"/>
        <v>109719</v>
      </c>
      <c r="S313" s="5">
        <f t="shared" si="54"/>
        <v>1</v>
      </c>
      <c r="T313" s="7">
        <f t="shared" si="55"/>
        <v>109719</v>
      </c>
    </row>
    <row r="314" spans="1:20">
      <c r="A314" s="23" t="s">
        <v>347</v>
      </c>
      <c r="B314" s="35" t="s">
        <v>342</v>
      </c>
      <c r="C314" s="36">
        <v>36865</v>
      </c>
      <c r="D314" s="6"/>
      <c r="E314" s="113">
        <v>2306982500</v>
      </c>
      <c r="F314" s="116">
        <f t="shared" si="60"/>
        <v>62579.207920792076</v>
      </c>
      <c r="G314" s="117">
        <v>1462872650</v>
      </c>
      <c r="H314" s="117">
        <f t="shared" si="61"/>
        <v>39681.883900718836</v>
      </c>
      <c r="I314" s="7"/>
      <c r="J314" s="10">
        <v>4.1166</v>
      </c>
      <c r="K314" s="117">
        <v>6022061</v>
      </c>
      <c r="L314" s="120">
        <f t="shared" si="62"/>
        <v>163.3544283195443</v>
      </c>
      <c r="M314" s="122">
        <f t="shared" si="56"/>
        <v>14628726.5</v>
      </c>
      <c r="N314" s="116">
        <f t="shared" si="57"/>
        <v>8606665.5</v>
      </c>
      <c r="O314" s="123">
        <f t="shared" si="58"/>
        <v>233.46441068764412</v>
      </c>
      <c r="P314" s="5"/>
      <c r="Q314" s="5">
        <f t="shared" si="52"/>
        <v>1</v>
      </c>
      <c r="R314" s="7">
        <f t="shared" si="53"/>
        <v>36865</v>
      </c>
      <c r="S314" s="5">
        <f t="shared" si="54"/>
        <v>1</v>
      </c>
      <c r="T314" s="7">
        <f t="shared" si="55"/>
        <v>36865</v>
      </c>
    </row>
    <row r="315" spans="1:20">
      <c r="A315" s="23" t="s">
        <v>348</v>
      </c>
      <c r="B315" s="35" t="s">
        <v>342</v>
      </c>
      <c r="C315" s="36">
        <v>12578</v>
      </c>
      <c r="D315" s="6"/>
      <c r="E315" s="113">
        <v>738163050</v>
      </c>
      <c r="F315" s="116">
        <f t="shared" si="60"/>
        <v>58686.838130068376</v>
      </c>
      <c r="G315" s="117">
        <v>485146200</v>
      </c>
      <c r="H315" s="117">
        <f t="shared" si="61"/>
        <v>38571.012879631104</v>
      </c>
      <c r="I315" s="7"/>
      <c r="J315" s="10">
        <v>4.3</v>
      </c>
      <c r="K315" s="117">
        <v>2086128</v>
      </c>
      <c r="L315" s="120">
        <f t="shared" si="62"/>
        <v>165.85530290984258</v>
      </c>
      <c r="M315" s="122">
        <f t="shared" si="56"/>
        <v>4851462</v>
      </c>
      <c r="N315" s="116">
        <f t="shared" si="57"/>
        <v>2765334</v>
      </c>
      <c r="O315" s="123">
        <f t="shared" si="58"/>
        <v>219.85482588646843</v>
      </c>
      <c r="P315" s="5"/>
      <c r="Q315" s="5">
        <f t="shared" si="52"/>
        <v>1</v>
      </c>
      <c r="R315" s="7">
        <f t="shared" si="53"/>
        <v>12578</v>
      </c>
      <c r="S315" s="5">
        <f t="shared" si="54"/>
        <v>1</v>
      </c>
      <c r="T315" s="7">
        <f t="shared" si="55"/>
        <v>12578</v>
      </c>
    </row>
    <row r="316" spans="1:20">
      <c r="A316" s="23" t="s">
        <v>349</v>
      </c>
      <c r="B316" s="35" t="s">
        <v>342</v>
      </c>
      <c r="C316" s="36">
        <v>5210</v>
      </c>
      <c r="D316" s="6"/>
      <c r="E316" s="113">
        <v>695923860</v>
      </c>
      <c r="F316" s="116">
        <f t="shared" si="60"/>
        <v>133574.63723608444</v>
      </c>
      <c r="G316" s="117">
        <v>558810140</v>
      </c>
      <c r="H316" s="117">
        <f t="shared" si="61"/>
        <v>107257.22456813819</v>
      </c>
      <c r="I316" s="7"/>
      <c r="J316" s="10">
        <v>2.5185</v>
      </c>
      <c r="K316" s="117">
        <v>1407363</v>
      </c>
      <c r="L316" s="120">
        <f t="shared" si="62"/>
        <v>270.12725527831094</v>
      </c>
      <c r="M316" s="122">
        <f t="shared" si="56"/>
        <v>5588101.4000000004</v>
      </c>
      <c r="N316" s="116">
        <f t="shared" si="57"/>
        <v>4180738.4000000004</v>
      </c>
      <c r="O316" s="123">
        <f t="shared" si="58"/>
        <v>802.44499040307107</v>
      </c>
      <c r="P316" s="5"/>
      <c r="Q316" s="5">
        <f t="shared" si="52"/>
        <v>1</v>
      </c>
      <c r="R316" s="7">
        <f t="shared" si="53"/>
        <v>5210</v>
      </c>
      <c r="S316" s="5">
        <f t="shared" si="54"/>
        <v>1</v>
      </c>
      <c r="T316" s="7">
        <f t="shared" si="55"/>
        <v>5210</v>
      </c>
    </row>
    <row r="317" spans="1:20">
      <c r="A317" s="23" t="s">
        <v>350</v>
      </c>
      <c r="B317" s="35" t="s">
        <v>342</v>
      </c>
      <c r="C317" s="36">
        <v>1716</v>
      </c>
      <c r="D317" s="6"/>
      <c r="E317" s="113">
        <v>511012330</v>
      </c>
      <c r="F317" s="116">
        <f t="shared" si="60"/>
        <v>297792.73310023308</v>
      </c>
      <c r="G317" s="117">
        <v>458027850</v>
      </c>
      <c r="H317" s="117">
        <f t="shared" si="61"/>
        <v>266915.99650349648</v>
      </c>
      <c r="I317" s="7"/>
      <c r="J317" s="10">
        <v>2.5185</v>
      </c>
      <c r="K317" s="117">
        <v>1153543</v>
      </c>
      <c r="L317" s="120">
        <f t="shared" si="62"/>
        <v>672.22785547785543</v>
      </c>
      <c r="M317" s="122">
        <f t="shared" si="56"/>
        <v>4580278.5</v>
      </c>
      <c r="N317" s="116">
        <f t="shared" si="57"/>
        <v>3426735.5</v>
      </c>
      <c r="O317" s="123">
        <f t="shared" si="58"/>
        <v>1996.9321095571095</v>
      </c>
      <c r="P317" s="5"/>
      <c r="Q317" s="5">
        <f t="shared" si="52"/>
        <v>1</v>
      </c>
      <c r="R317" s="7">
        <f t="shared" si="53"/>
        <v>1716</v>
      </c>
      <c r="S317" s="5">
        <f t="shared" si="54"/>
        <v>1</v>
      </c>
      <c r="T317" s="7">
        <f t="shared" si="55"/>
        <v>1716</v>
      </c>
    </row>
    <row r="318" spans="1:20">
      <c r="A318" s="23" t="s">
        <v>351</v>
      </c>
      <c r="B318" s="35" t="s">
        <v>342</v>
      </c>
      <c r="C318" s="36">
        <v>4440</v>
      </c>
      <c r="D318" s="6"/>
      <c r="E318" s="113">
        <v>163488420</v>
      </c>
      <c r="F318" s="116">
        <f t="shared" si="60"/>
        <v>36821.716216216213</v>
      </c>
      <c r="G318" s="117">
        <v>105256180</v>
      </c>
      <c r="H318" s="117">
        <f t="shared" si="61"/>
        <v>23706.346846846845</v>
      </c>
      <c r="I318" s="7"/>
      <c r="J318" s="10">
        <v>3.754</v>
      </c>
      <c r="K318" s="117">
        <v>395131</v>
      </c>
      <c r="L318" s="120">
        <f t="shared" si="62"/>
        <v>88.993468468468464</v>
      </c>
      <c r="M318" s="122">
        <f t="shared" si="56"/>
        <v>1052561.8</v>
      </c>
      <c r="N318" s="116">
        <f t="shared" si="57"/>
        <v>657430.80000000005</v>
      </c>
      <c r="O318" s="123">
        <f t="shared" si="58"/>
        <v>148.07000000000002</v>
      </c>
      <c r="P318" s="5"/>
      <c r="Q318" s="5">
        <f t="shared" si="52"/>
        <v>1</v>
      </c>
      <c r="R318" s="7">
        <f t="shared" si="53"/>
        <v>4440</v>
      </c>
      <c r="S318" s="5">
        <f t="shared" si="54"/>
        <v>1</v>
      </c>
      <c r="T318" s="7">
        <f t="shared" si="55"/>
        <v>4440</v>
      </c>
    </row>
    <row r="319" spans="1:20">
      <c r="A319" s="23" t="s">
        <v>352</v>
      </c>
      <c r="B319" s="35" t="s">
        <v>342</v>
      </c>
      <c r="C319" s="36">
        <v>70234</v>
      </c>
      <c r="D319" s="6"/>
      <c r="E319" s="113">
        <v>3575852205</v>
      </c>
      <c r="F319" s="116">
        <f t="shared" si="60"/>
        <v>50913.406683372727</v>
      </c>
      <c r="G319" s="117">
        <v>2638833646</v>
      </c>
      <c r="H319" s="117">
        <f t="shared" si="61"/>
        <v>37572.025600136687</v>
      </c>
      <c r="I319" s="7"/>
      <c r="J319" s="10">
        <v>3.4</v>
      </c>
      <c r="K319" s="117">
        <v>8972034</v>
      </c>
      <c r="L319" s="120">
        <f t="shared" si="62"/>
        <v>127.74488139647464</v>
      </c>
      <c r="M319" s="122">
        <f t="shared" si="56"/>
        <v>26388336.460000001</v>
      </c>
      <c r="N319" s="116">
        <f t="shared" si="57"/>
        <v>17416302.460000001</v>
      </c>
      <c r="O319" s="123">
        <f t="shared" si="58"/>
        <v>247.97537460489224</v>
      </c>
      <c r="P319" s="5"/>
      <c r="Q319" s="5">
        <f t="shared" si="52"/>
        <v>1</v>
      </c>
      <c r="R319" s="7">
        <f t="shared" si="53"/>
        <v>70234</v>
      </c>
      <c r="S319" s="5">
        <f t="shared" si="54"/>
        <v>1</v>
      </c>
      <c r="T319" s="7">
        <f t="shared" si="55"/>
        <v>70234</v>
      </c>
    </row>
    <row r="320" spans="1:20">
      <c r="A320" s="23" t="s">
        <v>353</v>
      </c>
      <c r="B320" s="35" t="s">
        <v>342</v>
      </c>
      <c r="C320" s="36">
        <v>4521</v>
      </c>
      <c r="D320" s="6"/>
      <c r="E320" s="113">
        <v>730242140</v>
      </c>
      <c r="F320" s="116">
        <f t="shared" si="60"/>
        <v>161522.26056182259</v>
      </c>
      <c r="G320" s="117">
        <v>591962610</v>
      </c>
      <c r="H320" s="117">
        <f t="shared" si="61"/>
        <v>130936.21101526212</v>
      </c>
      <c r="I320" s="7"/>
      <c r="J320" s="10">
        <v>2.2000000000000002</v>
      </c>
      <c r="K320" s="117">
        <v>1302317</v>
      </c>
      <c r="L320" s="120">
        <f t="shared" si="62"/>
        <v>288.05950011059502</v>
      </c>
      <c r="M320" s="122">
        <f t="shared" si="56"/>
        <v>5919626.1000000006</v>
      </c>
      <c r="N320" s="116">
        <f t="shared" si="57"/>
        <v>4617309.1000000006</v>
      </c>
      <c r="O320" s="123">
        <f t="shared" si="58"/>
        <v>1021.3026100420262</v>
      </c>
      <c r="P320" s="5"/>
      <c r="Q320" s="5">
        <f t="shared" si="52"/>
        <v>1</v>
      </c>
      <c r="R320" s="7">
        <f t="shared" si="53"/>
        <v>4521</v>
      </c>
      <c r="S320" s="5">
        <f t="shared" si="54"/>
        <v>1</v>
      </c>
      <c r="T320" s="7">
        <f t="shared" si="55"/>
        <v>4521</v>
      </c>
    </row>
    <row r="321" spans="1:20">
      <c r="A321" s="23" t="s">
        <v>354</v>
      </c>
      <c r="B321" s="35" t="s">
        <v>342</v>
      </c>
      <c r="C321" s="36">
        <v>1558</v>
      </c>
      <c r="D321" s="6"/>
      <c r="E321" s="113">
        <v>318389940</v>
      </c>
      <c r="F321" s="116">
        <f t="shared" si="60"/>
        <v>204358.11296534017</v>
      </c>
      <c r="G321" s="117">
        <v>272819070</v>
      </c>
      <c r="H321" s="117">
        <f t="shared" si="61"/>
        <v>175108.51732991013</v>
      </c>
      <c r="I321" s="7"/>
      <c r="J321" s="10">
        <v>1</v>
      </c>
      <c r="K321" s="117">
        <v>272819</v>
      </c>
      <c r="L321" s="120">
        <f t="shared" si="62"/>
        <v>175.10847240051348</v>
      </c>
      <c r="M321" s="122">
        <f t="shared" si="56"/>
        <v>2728190.7</v>
      </c>
      <c r="N321" s="116">
        <f t="shared" si="57"/>
        <v>2455371.7000000002</v>
      </c>
      <c r="O321" s="123">
        <f t="shared" si="58"/>
        <v>1575.976700898588</v>
      </c>
      <c r="P321" s="5"/>
      <c r="Q321" s="5">
        <f t="shared" si="52"/>
        <v>1</v>
      </c>
      <c r="R321" s="7">
        <f t="shared" si="53"/>
        <v>1558</v>
      </c>
      <c r="S321" s="5">
        <f t="shared" si="54"/>
        <v>1</v>
      </c>
      <c r="T321" s="7">
        <f t="shared" si="55"/>
        <v>1558</v>
      </c>
    </row>
    <row r="322" spans="1:20">
      <c r="A322" s="23" t="s">
        <v>355</v>
      </c>
      <c r="B322" s="35" t="s">
        <v>342</v>
      </c>
      <c r="C322" s="36">
        <v>12701</v>
      </c>
      <c r="D322" s="6"/>
      <c r="E322" s="113">
        <v>908574228</v>
      </c>
      <c r="F322" s="116">
        <f t="shared" si="60"/>
        <v>71535.645067317528</v>
      </c>
      <c r="G322" s="117">
        <v>695932822</v>
      </c>
      <c r="H322" s="117">
        <f t="shared" si="61"/>
        <v>54793.54554759468</v>
      </c>
      <c r="I322" s="7"/>
      <c r="J322" s="10">
        <v>4.6500000000000004</v>
      </c>
      <c r="K322" s="117">
        <v>3236087</v>
      </c>
      <c r="L322" s="120">
        <f t="shared" si="62"/>
        <v>254.78993780017322</v>
      </c>
      <c r="M322" s="122">
        <f t="shared" si="56"/>
        <v>6959328.2199999997</v>
      </c>
      <c r="N322" s="116">
        <f t="shared" si="57"/>
        <v>3723241.2199999997</v>
      </c>
      <c r="O322" s="123">
        <f t="shared" si="58"/>
        <v>293.14551767577353</v>
      </c>
      <c r="P322" s="5"/>
      <c r="Q322" s="5">
        <f t="shared" si="52"/>
        <v>1</v>
      </c>
      <c r="R322" s="7">
        <f t="shared" si="53"/>
        <v>12701</v>
      </c>
      <c r="S322" s="5">
        <f t="shared" si="54"/>
        <v>1</v>
      </c>
      <c r="T322" s="7">
        <f t="shared" si="55"/>
        <v>12701</v>
      </c>
    </row>
    <row r="323" spans="1:20">
      <c r="A323" s="23" t="s">
        <v>356</v>
      </c>
      <c r="B323" s="35" t="s">
        <v>342</v>
      </c>
      <c r="C323" s="36">
        <v>46534</v>
      </c>
      <c r="D323" s="6"/>
      <c r="E323" s="113">
        <v>2885056298</v>
      </c>
      <c r="F323" s="116">
        <f t="shared" si="60"/>
        <v>61998.88894141918</v>
      </c>
      <c r="G323" s="117">
        <v>2191872446</v>
      </c>
      <c r="H323" s="117">
        <f t="shared" si="61"/>
        <v>47102.601237804614</v>
      </c>
      <c r="I323" s="7"/>
      <c r="J323" s="10">
        <v>5.0788000000000002</v>
      </c>
      <c r="K323" s="117">
        <v>11132081</v>
      </c>
      <c r="L323" s="120">
        <f t="shared" si="62"/>
        <v>239.2246744315984</v>
      </c>
      <c r="M323" s="122">
        <f t="shared" si="56"/>
        <v>21918724.460000001</v>
      </c>
      <c r="N323" s="116">
        <f t="shared" si="57"/>
        <v>10786643.460000001</v>
      </c>
      <c r="O323" s="123">
        <f t="shared" si="58"/>
        <v>231.80133794644777</v>
      </c>
      <c r="P323" s="5"/>
      <c r="Q323" s="5">
        <f t="shared" si="52"/>
        <v>1</v>
      </c>
      <c r="R323" s="7">
        <f t="shared" si="53"/>
        <v>46534</v>
      </c>
      <c r="S323" s="5">
        <f t="shared" si="54"/>
        <v>1</v>
      </c>
      <c r="T323" s="7">
        <f t="shared" si="55"/>
        <v>46534</v>
      </c>
    </row>
    <row r="324" spans="1:20">
      <c r="A324" s="23" t="s">
        <v>357</v>
      </c>
      <c r="B324" s="35" t="s">
        <v>342</v>
      </c>
      <c r="C324" s="36">
        <v>1545</v>
      </c>
      <c r="D324" s="6"/>
      <c r="E324" s="113">
        <v>253310970</v>
      </c>
      <c r="F324" s="116">
        <f t="shared" si="60"/>
        <v>163955.3203883495</v>
      </c>
      <c r="G324" s="117">
        <v>184945970</v>
      </c>
      <c r="H324" s="117">
        <f t="shared" si="61"/>
        <v>119706.12944983819</v>
      </c>
      <c r="I324" s="7"/>
      <c r="J324" s="10">
        <v>2.2559999999999998</v>
      </c>
      <c r="K324" s="117">
        <v>417238</v>
      </c>
      <c r="L324" s="120">
        <f t="shared" si="62"/>
        <v>270.0569579288026</v>
      </c>
      <c r="M324" s="122">
        <f t="shared" si="56"/>
        <v>1849459.7</v>
      </c>
      <c r="N324" s="116">
        <f t="shared" si="57"/>
        <v>1432221.7</v>
      </c>
      <c r="O324" s="123">
        <f t="shared" si="58"/>
        <v>927.00433656957921</v>
      </c>
      <c r="P324" s="5"/>
      <c r="Q324" s="5">
        <f t="shared" si="52"/>
        <v>1</v>
      </c>
      <c r="R324" s="7">
        <f t="shared" si="53"/>
        <v>1545</v>
      </c>
      <c r="S324" s="5">
        <f t="shared" si="54"/>
        <v>1</v>
      </c>
      <c r="T324" s="7">
        <f t="shared" si="55"/>
        <v>1545</v>
      </c>
    </row>
    <row r="325" spans="1:20">
      <c r="A325" s="23" t="s">
        <v>358</v>
      </c>
      <c r="B325" s="35" t="s">
        <v>342</v>
      </c>
      <c r="C325" s="36">
        <v>2337</v>
      </c>
      <c r="D325" s="6"/>
      <c r="E325" s="113">
        <v>357651850</v>
      </c>
      <c r="F325" s="116">
        <f t="shared" si="60"/>
        <v>153038.87462558836</v>
      </c>
      <c r="G325" s="117">
        <v>283229450</v>
      </c>
      <c r="H325" s="117">
        <f t="shared" si="61"/>
        <v>121193.60290971331</v>
      </c>
      <c r="I325" s="7"/>
      <c r="J325" s="10">
        <v>1.68</v>
      </c>
      <c r="K325" s="117">
        <v>475825</v>
      </c>
      <c r="L325" s="120">
        <f t="shared" si="62"/>
        <v>203.60504920838682</v>
      </c>
      <c r="M325" s="122">
        <f t="shared" si="56"/>
        <v>2832294.5</v>
      </c>
      <c r="N325" s="116">
        <f t="shared" si="57"/>
        <v>2356469.5</v>
      </c>
      <c r="O325" s="123">
        <f t="shared" si="58"/>
        <v>1008.3309798887462</v>
      </c>
      <c r="P325" s="5"/>
      <c r="Q325" s="5">
        <f t="shared" si="52"/>
        <v>1</v>
      </c>
      <c r="R325" s="7">
        <f t="shared" si="53"/>
        <v>2337</v>
      </c>
      <c r="S325" s="5">
        <f t="shared" si="54"/>
        <v>1</v>
      </c>
      <c r="T325" s="7">
        <f t="shared" si="55"/>
        <v>2337</v>
      </c>
    </row>
    <row r="326" spans="1:20">
      <c r="A326" s="23" t="s">
        <v>359</v>
      </c>
      <c r="B326" s="35" t="s">
        <v>342</v>
      </c>
      <c r="C326" s="36">
        <v>17479</v>
      </c>
      <c r="D326" s="6"/>
      <c r="E326" s="113">
        <v>1207936489</v>
      </c>
      <c r="F326" s="116">
        <f t="shared" si="60"/>
        <v>69107.871674580922</v>
      </c>
      <c r="G326" s="117">
        <v>817796839</v>
      </c>
      <c r="H326" s="117">
        <f t="shared" si="61"/>
        <v>46787.392814234227</v>
      </c>
      <c r="I326" s="7"/>
      <c r="J326" s="10">
        <v>2.9668000000000001</v>
      </c>
      <c r="K326" s="117">
        <v>2426239</v>
      </c>
      <c r="L326" s="120">
        <f t="shared" si="62"/>
        <v>138.80879913038504</v>
      </c>
      <c r="M326" s="122">
        <f t="shared" si="56"/>
        <v>8177968.3900000006</v>
      </c>
      <c r="N326" s="116">
        <f t="shared" si="57"/>
        <v>5751729.3900000006</v>
      </c>
      <c r="O326" s="123">
        <f t="shared" si="58"/>
        <v>329.06512901195725</v>
      </c>
      <c r="P326" s="5"/>
      <c r="Q326" s="5">
        <f t="shared" si="52"/>
        <v>1</v>
      </c>
      <c r="R326" s="7">
        <f t="shared" si="53"/>
        <v>17479</v>
      </c>
      <c r="S326" s="5">
        <f t="shared" si="54"/>
        <v>1</v>
      </c>
      <c r="T326" s="7">
        <f t="shared" si="55"/>
        <v>17479</v>
      </c>
    </row>
    <row r="327" spans="1:20">
      <c r="A327" s="23" t="s">
        <v>360</v>
      </c>
      <c r="B327" s="35" t="s">
        <v>342</v>
      </c>
      <c r="C327" s="36">
        <v>17085</v>
      </c>
      <c r="D327" s="6"/>
      <c r="E327" s="113">
        <v>1041889400</v>
      </c>
      <c r="F327" s="116">
        <f t="shared" si="60"/>
        <v>60982.698273339185</v>
      </c>
      <c r="G327" s="117">
        <v>755152410</v>
      </c>
      <c r="H327" s="117">
        <f t="shared" si="61"/>
        <v>44199.73134328358</v>
      </c>
      <c r="I327" s="7"/>
      <c r="J327" s="10">
        <v>2.9396</v>
      </c>
      <c r="K327" s="117">
        <v>2219846</v>
      </c>
      <c r="L327" s="120">
        <f t="shared" si="62"/>
        <v>129.92952882645596</v>
      </c>
      <c r="M327" s="122">
        <f t="shared" si="56"/>
        <v>7551524.1000000006</v>
      </c>
      <c r="N327" s="116">
        <f t="shared" si="57"/>
        <v>5331678.1000000006</v>
      </c>
      <c r="O327" s="123">
        <f t="shared" si="58"/>
        <v>312.06778460637992</v>
      </c>
      <c r="P327" s="5"/>
      <c r="Q327" s="5">
        <f t="shared" ref="Q327:Q390" si="63">IF(E327&gt;0,1,0)</f>
        <v>1</v>
      </c>
      <c r="R327" s="7">
        <f t="shared" ref="R327:R390" si="64">IF(E327&gt;0,C327,0)</f>
        <v>17085</v>
      </c>
      <c r="S327" s="5">
        <f t="shared" ref="S327:S390" si="65">IF(J327&gt;0,1,0)</f>
        <v>1</v>
      </c>
      <c r="T327" s="7">
        <f t="shared" ref="T327:T390" si="66">IF(J327&gt;0,C327,0)</f>
        <v>17085</v>
      </c>
    </row>
    <row r="328" spans="1:20">
      <c r="A328" s="23" t="s">
        <v>361</v>
      </c>
      <c r="B328" s="35" t="s">
        <v>342</v>
      </c>
      <c r="C328" s="36">
        <v>5800</v>
      </c>
      <c r="D328" s="6"/>
      <c r="E328" s="113">
        <v>468547460</v>
      </c>
      <c r="F328" s="116">
        <f t="shared" si="60"/>
        <v>80784.0448275862</v>
      </c>
      <c r="G328" s="117">
        <v>364754470</v>
      </c>
      <c r="H328" s="117">
        <f t="shared" si="61"/>
        <v>62888.701724137929</v>
      </c>
      <c r="I328" s="7"/>
      <c r="J328" s="10">
        <v>1.5408999999999999</v>
      </c>
      <c r="K328" s="117">
        <v>562050</v>
      </c>
      <c r="L328" s="120">
        <f t="shared" si="62"/>
        <v>96.90517241379311</v>
      </c>
      <c r="M328" s="122">
        <f t="shared" ref="M328:M391" si="67">(G328*0.01)</f>
        <v>3647544.7</v>
      </c>
      <c r="N328" s="116">
        <f t="shared" ref="N328:N391" si="68">(M328-K328)</f>
        <v>3085494.7</v>
      </c>
      <c r="O328" s="123">
        <f t="shared" ref="O328:O391" si="69">(N328/C328)</f>
        <v>531.9818448275862</v>
      </c>
      <c r="P328" s="5"/>
      <c r="Q328" s="5">
        <f t="shared" si="63"/>
        <v>1</v>
      </c>
      <c r="R328" s="7">
        <f t="shared" si="64"/>
        <v>5800</v>
      </c>
      <c r="S328" s="5">
        <f t="shared" si="65"/>
        <v>1</v>
      </c>
      <c r="T328" s="7">
        <f t="shared" si="66"/>
        <v>5800</v>
      </c>
    </row>
    <row r="329" spans="1:20">
      <c r="A329" s="24" t="s">
        <v>561</v>
      </c>
      <c r="B329" s="35" t="s">
        <v>342</v>
      </c>
      <c r="C329" s="36">
        <v>9968</v>
      </c>
      <c r="D329" s="6"/>
      <c r="E329" s="113">
        <v>1880606000</v>
      </c>
      <c r="F329" s="116">
        <f t="shared" si="60"/>
        <v>188664.32584269662</v>
      </c>
      <c r="G329" s="117">
        <v>1493428060</v>
      </c>
      <c r="H329" s="117">
        <f t="shared" si="61"/>
        <v>149822.23715890851</v>
      </c>
      <c r="I329" s="7"/>
      <c r="J329" s="10">
        <v>2.9</v>
      </c>
      <c r="K329" s="117">
        <v>4330941</v>
      </c>
      <c r="L329" s="120">
        <f t="shared" si="62"/>
        <v>434.48445024077046</v>
      </c>
      <c r="M329" s="122">
        <f t="shared" si="67"/>
        <v>14934280.6</v>
      </c>
      <c r="N329" s="116">
        <f t="shared" si="68"/>
        <v>10603339.6</v>
      </c>
      <c r="O329" s="123">
        <f t="shared" si="69"/>
        <v>1063.7379213483146</v>
      </c>
      <c r="P329" s="5"/>
      <c r="Q329" s="5">
        <f t="shared" si="63"/>
        <v>1</v>
      </c>
      <c r="R329" s="7">
        <f t="shared" si="64"/>
        <v>9968</v>
      </c>
      <c r="S329" s="5">
        <f t="shared" si="65"/>
        <v>1</v>
      </c>
      <c r="T329" s="7">
        <f t="shared" si="66"/>
        <v>9968</v>
      </c>
    </row>
    <row r="330" spans="1:20">
      <c r="A330" s="23" t="s">
        <v>548</v>
      </c>
      <c r="B330" s="35" t="s">
        <v>342</v>
      </c>
      <c r="C330" s="36">
        <v>250354</v>
      </c>
      <c r="D330" s="6"/>
      <c r="E330" s="113">
        <v>14964273075</v>
      </c>
      <c r="F330" s="116">
        <f t="shared" si="60"/>
        <v>59772.454504421738</v>
      </c>
      <c r="G330" s="117">
        <v>9960105303</v>
      </c>
      <c r="H330" s="117">
        <f t="shared" si="61"/>
        <v>39784.086944886039</v>
      </c>
      <c r="I330" s="7"/>
      <c r="J330" s="10">
        <v>7.14</v>
      </c>
      <c r="K330" s="117">
        <v>71115151</v>
      </c>
      <c r="L330" s="120">
        <f t="shared" si="62"/>
        <v>284.05837733768982</v>
      </c>
      <c r="M330" s="122">
        <f t="shared" si="67"/>
        <v>99601053.030000001</v>
      </c>
      <c r="N330" s="116">
        <f t="shared" si="68"/>
        <v>28485902.030000001</v>
      </c>
      <c r="O330" s="123">
        <f t="shared" si="69"/>
        <v>113.78249211117058</v>
      </c>
      <c r="P330" s="5"/>
      <c r="Q330" s="5">
        <f t="shared" si="63"/>
        <v>1</v>
      </c>
      <c r="R330" s="7">
        <f t="shared" si="64"/>
        <v>250354</v>
      </c>
      <c r="S330" s="5">
        <f t="shared" si="65"/>
        <v>1</v>
      </c>
      <c r="T330" s="7">
        <f t="shared" si="66"/>
        <v>250354</v>
      </c>
    </row>
    <row r="331" spans="1:20">
      <c r="A331" s="23" t="s">
        <v>362</v>
      </c>
      <c r="B331" s="35" t="s">
        <v>342</v>
      </c>
      <c r="C331" s="36">
        <v>22326</v>
      </c>
      <c r="D331" s="6"/>
      <c r="E331" s="113">
        <v>1479012770</v>
      </c>
      <c r="F331" s="116">
        <f t="shared" si="60"/>
        <v>66246.204873241964</v>
      </c>
      <c r="G331" s="117">
        <v>1048052920</v>
      </c>
      <c r="H331" s="117">
        <f t="shared" si="61"/>
        <v>46943.156857475587</v>
      </c>
      <c r="I331" s="7"/>
      <c r="J331" s="10">
        <v>4.9454000000000002</v>
      </c>
      <c r="K331" s="117">
        <v>5183040</v>
      </c>
      <c r="L331" s="120">
        <f t="shared" si="62"/>
        <v>232.15264713786615</v>
      </c>
      <c r="M331" s="122">
        <f t="shared" si="67"/>
        <v>10480529.200000001</v>
      </c>
      <c r="N331" s="116">
        <f t="shared" si="68"/>
        <v>5297489.2000000011</v>
      </c>
      <c r="O331" s="123">
        <f t="shared" si="69"/>
        <v>237.27892143688979</v>
      </c>
      <c r="P331" s="5"/>
      <c r="Q331" s="5">
        <f t="shared" si="63"/>
        <v>1</v>
      </c>
      <c r="R331" s="7">
        <f t="shared" si="64"/>
        <v>22326</v>
      </c>
      <c r="S331" s="5">
        <f t="shared" si="65"/>
        <v>1</v>
      </c>
      <c r="T331" s="7">
        <f t="shared" si="66"/>
        <v>22326</v>
      </c>
    </row>
    <row r="332" spans="1:20">
      <c r="A332" s="23" t="s">
        <v>363</v>
      </c>
      <c r="B332" s="35" t="s">
        <v>342</v>
      </c>
      <c r="C332" s="36">
        <v>7503</v>
      </c>
      <c r="D332" s="6"/>
      <c r="E332" s="113">
        <v>1266983250</v>
      </c>
      <c r="F332" s="116">
        <f t="shared" si="60"/>
        <v>168863.55457816873</v>
      </c>
      <c r="G332" s="117">
        <v>899398010</v>
      </c>
      <c r="H332" s="117">
        <f t="shared" si="61"/>
        <v>119871.78595228575</v>
      </c>
      <c r="I332" s="7"/>
      <c r="J332" s="10">
        <v>2.6272000000000002</v>
      </c>
      <c r="K332" s="117">
        <v>2362898</v>
      </c>
      <c r="L332" s="120">
        <f t="shared" si="62"/>
        <v>314.92709582833533</v>
      </c>
      <c r="M332" s="122">
        <f t="shared" si="67"/>
        <v>8993980.0999999996</v>
      </c>
      <c r="N332" s="116">
        <f t="shared" si="68"/>
        <v>6631082.0999999996</v>
      </c>
      <c r="O332" s="123">
        <f t="shared" si="69"/>
        <v>883.79076369452218</v>
      </c>
      <c r="P332" s="5"/>
      <c r="Q332" s="5">
        <f t="shared" si="63"/>
        <v>1</v>
      </c>
      <c r="R332" s="7">
        <f t="shared" si="64"/>
        <v>7503</v>
      </c>
      <c r="S332" s="5">
        <f t="shared" si="65"/>
        <v>1</v>
      </c>
      <c r="T332" s="7">
        <f t="shared" si="66"/>
        <v>7503</v>
      </c>
    </row>
    <row r="333" spans="1:20">
      <c r="A333" s="23" t="s">
        <v>364</v>
      </c>
      <c r="B333" s="35" t="s">
        <v>365</v>
      </c>
      <c r="C333" s="36">
        <v>11167</v>
      </c>
      <c r="D333" s="6"/>
      <c r="E333" s="113">
        <v>486132957</v>
      </c>
      <c r="F333" s="116">
        <f t="shared" si="60"/>
        <v>43532.995164323453</v>
      </c>
      <c r="G333" s="117">
        <v>343652732</v>
      </c>
      <c r="H333" s="117">
        <f t="shared" si="61"/>
        <v>30773.952896928451</v>
      </c>
      <c r="I333" s="7"/>
      <c r="J333" s="10">
        <v>4.51</v>
      </c>
      <c r="K333" s="117">
        <v>1549873</v>
      </c>
      <c r="L333" s="120">
        <f t="shared" si="62"/>
        <v>138.79045401629801</v>
      </c>
      <c r="M333" s="122">
        <f t="shared" si="67"/>
        <v>3436527.3200000003</v>
      </c>
      <c r="N333" s="116">
        <f t="shared" si="68"/>
        <v>1886654.3200000003</v>
      </c>
      <c r="O333" s="123">
        <f t="shared" si="69"/>
        <v>168.94907495298651</v>
      </c>
      <c r="P333" s="5"/>
      <c r="Q333" s="5">
        <f t="shared" si="63"/>
        <v>1</v>
      </c>
      <c r="R333" s="7">
        <f t="shared" si="64"/>
        <v>11167</v>
      </c>
      <c r="S333" s="5">
        <f t="shared" si="65"/>
        <v>1</v>
      </c>
      <c r="T333" s="7">
        <f t="shared" si="66"/>
        <v>11167</v>
      </c>
    </row>
    <row r="334" spans="1:20">
      <c r="A334" s="23" t="s">
        <v>366</v>
      </c>
      <c r="B334" s="35" t="s">
        <v>365</v>
      </c>
      <c r="C334" s="36">
        <v>15383</v>
      </c>
      <c r="D334" s="6"/>
      <c r="E334" s="113">
        <v>724574193</v>
      </c>
      <c r="F334" s="116">
        <f t="shared" si="60"/>
        <v>47102.268283169731</v>
      </c>
      <c r="G334" s="117">
        <v>428515186</v>
      </c>
      <c r="H334" s="117">
        <f t="shared" si="61"/>
        <v>27856.412013261393</v>
      </c>
      <c r="I334" s="7"/>
      <c r="J334" s="10">
        <v>3.5</v>
      </c>
      <c r="K334" s="117">
        <v>1499803</v>
      </c>
      <c r="L334" s="120">
        <f t="shared" si="62"/>
        <v>97.497432230384192</v>
      </c>
      <c r="M334" s="122">
        <f t="shared" si="67"/>
        <v>4285151.8600000003</v>
      </c>
      <c r="N334" s="116">
        <f t="shared" si="68"/>
        <v>2785348.8600000003</v>
      </c>
      <c r="O334" s="123">
        <f t="shared" si="69"/>
        <v>181.06668790222975</v>
      </c>
      <c r="P334" s="5"/>
      <c r="Q334" s="5">
        <f t="shared" si="63"/>
        <v>1</v>
      </c>
      <c r="R334" s="7">
        <f t="shared" si="64"/>
        <v>15383</v>
      </c>
      <c r="S334" s="5">
        <f t="shared" si="65"/>
        <v>1</v>
      </c>
      <c r="T334" s="7">
        <f t="shared" si="66"/>
        <v>15383</v>
      </c>
    </row>
    <row r="335" spans="1:20">
      <c r="A335" s="23" t="s">
        <v>367</v>
      </c>
      <c r="B335" s="35" t="s">
        <v>365</v>
      </c>
      <c r="C335" s="36">
        <v>1995</v>
      </c>
      <c r="D335" s="6"/>
      <c r="E335" s="113">
        <v>74672933</v>
      </c>
      <c r="F335" s="116">
        <f t="shared" si="60"/>
        <v>37430.041604010024</v>
      </c>
      <c r="G335" s="117">
        <v>47019715</v>
      </c>
      <c r="H335" s="117">
        <f t="shared" si="61"/>
        <v>23568.779448621553</v>
      </c>
      <c r="I335" s="7"/>
      <c r="J335" s="10">
        <v>6</v>
      </c>
      <c r="K335" s="117">
        <v>282118</v>
      </c>
      <c r="L335" s="120">
        <f t="shared" si="62"/>
        <v>141.4125313283208</v>
      </c>
      <c r="M335" s="122">
        <f t="shared" si="67"/>
        <v>470197.15</v>
      </c>
      <c r="N335" s="116">
        <f t="shared" si="68"/>
        <v>188079.15000000002</v>
      </c>
      <c r="O335" s="123">
        <f t="shared" si="69"/>
        <v>94.275263157894742</v>
      </c>
      <c r="P335" s="5"/>
      <c r="Q335" s="5">
        <f t="shared" si="63"/>
        <v>1</v>
      </c>
      <c r="R335" s="7">
        <f t="shared" si="64"/>
        <v>1995</v>
      </c>
      <c r="S335" s="5">
        <f t="shared" si="65"/>
        <v>1</v>
      </c>
      <c r="T335" s="7">
        <f t="shared" si="66"/>
        <v>1995</v>
      </c>
    </row>
    <row r="336" spans="1:20">
      <c r="A336" s="23" t="s">
        <v>368</v>
      </c>
      <c r="B336" s="35" t="s">
        <v>365</v>
      </c>
      <c r="C336" s="36">
        <v>2938</v>
      </c>
      <c r="D336" s="6"/>
      <c r="E336" s="113">
        <v>116128083</v>
      </c>
      <c r="F336" s="116">
        <f t="shared" si="60"/>
        <v>39526.236555479918</v>
      </c>
      <c r="G336" s="117">
        <v>85766015</v>
      </c>
      <c r="H336" s="117">
        <f t="shared" si="61"/>
        <v>29191.972430224643</v>
      </c>
      <c r="I336" s="7"/>
      <c r="J336" s="10">
        <v>7</v>
      </c>
      <c r="K336" s="117">
        <v>600362</v>
      </c>
      <c r="L336" s="120">
        <f t="shared" si="62"/>
        <v>204.34377127297481</v>
      </c>
      <c r="M336" s="122">
        <f t="shared" si="67"/>
        <v>857660.15</v>
      </c>
      <c r="N336" s="116">
        <f t="shared" si="68"/>
        <v>257298.15000000002</v>
      </c>
      <c r="O336" s="123">
        <f t="shared" si="69"/>
        <v>87.575953029271616</v>
      </c>
      <c r="P336" s="5"/>
      <c r="Q336" s="5">
        <f t="shared" si="63"/>
        <v>1</v>
      </c>
      <c r="R336" s="7">
        <f t="shared" si="64"/>
        <v>2938</v>
      </c>
      <c r="S336" s="5">
        <f t="shared" si="65"/>
        <v>1</v>
      </c>
      <c r="T336" s="7">
        <f t="shared" si="66"/>
        <v>2938</v>
      </c>
    </row>
    <row r="337" spans="1:20">
      <c r="A337" s="23" t="s">
        <v>369</v>
      </c>
      <c r="B337" s="35" t="s">
        <v>365</v>
      </c>
      <c r="C337" s="36">
        <v>2512</v>
      </c>
      <c r="D337" s="6"/>
      <c r="E337" s="113">
        <v>48613053</v>
      </c>
      <c r="F337" s="116">
        <f t="shared" si="60"/>
        <v>19352.330015923566</v>
      </c>
      <c r="G337" s="117">
        <v>27776622</v>
      </c>
      <c r="H337" s="117">
        <f t="shared" si="61"/>
        <v>11057.572452229299</v>
      </c>
      <c r="I337" s="7"/>
      <c r="J337" s="10">
        <v>7</v>
      </c>
      <c r="K337" s="117">
        <v>194436</v>
      </c>
      <c r="L337" s="120">
        <f t="shared" si="62"/>
        <v>77.402866242038215</v>
      </c>
      <c r="M337" s="122">
        <f t="shared" si="67"/>
        <v>277766.22000000003</v>
      </c>
      <c r="N337" s="116">
        <f t="shared" si="68"/>
        <v>83330.22000000003</v>
      </c>
      <c r="O337" s="123">
        <f t="shared" si="69"/>
        <v>33.172858280254786</v>
      </c>
      <c r="P337" s="5"/>
      <c r="Q337" s="5">
        <f t="shared" si="63"/>
        <v>1</v>
      </c>
      <c r="R337" s="7">
        <f t="shared" si="64"/>
        <v>2512</v>
      </c>
      <c r="S337" s="5">
        <f t="shared" si="65"/>
        <v>1</v>
      </c>
      <c r="T337" s="7">
        <f t="shared" si="66"/>
        <v>2512</v>
      </c>
    </row>
    <row r="338" spans="1:20">
      <c r="A338" s="23" t="s">
        <v>370</v>
      </c>
      <c r="B338" s="35" t="s">
        <v>365</v>
      </c>
      <c r="C338" s="36">
        <v>5747</v>
      </c>
      <c r="D338" s="6"/>
      <c r="E338" s="113">
        <v>143535951</v>
      </c>
      <c r="F338" s="116">
        <f t="shared" si="60"/>
        <v>24975.804941708717</v>
      </c>
      <c r="G338" s="117">
        <v>85238476</v>
      </c>
      <c r="H338" s="117">
        <f t="shared" si="61"/>
        <v>14831.821124064729</v>
      </c>
      <c r="I338" s="7"/>
      <c r="J338" s="10">
        <v>1</v>
      </c>
      <c r="K338" s="117">
        <v>85238</v>
      </c>
      <c r="L338" s="120">
        <f t="shared" ref="L338:L369" si="70">(K338/C338)</f>
        <v>14.831738298242561</v>
      </c>
      <c r="M338" s="122">
        <f t="shared" si="67"/>
        <v>852384.76</v>
      </c>
      <c r="N338" s="116">
        <f t="shared" si="68"/>
        <v>767146.76</v>
      </c>
      <c r="O338" s="123">
        <f t="shared" si="69"/>
        <v>133.48647294240473</v>
      </c>
      <c r="P338" s="5"/>
      <c r="Q338" s="5">
        <f t="shared" si="63"/>
        <v>1</v>
      </c>
      <c r="R338" s="7">
        <f t="shared" si="64"/>
        <v>5747</v>
      </c>
      <c r="S338" s="5">
        <f t="shared" si="65"/>
        <v>1</v>
      </c>
      <c r="T338" s="7">
        <f t="shared" si="66"/>
        <v>5747</v>
      </c>
    </row>
    <row r="339" spans="1:20">
      <c r="A339" s="23" t="s">
        <v>371</v>
      </c>
      <c r="B339" s="35" t="s">
        <v>365</v>
      </c>
      <c r="C339" s="36">
        <v>2953</v>
      </c>
      <c r="D339" s="6"/>
      <c r="E339" s="113">
        <v>119660428</v>
      </c>
      <c r="F339" s="116">
        <f t="shared" si="60"/>
        <v>40521.64849305791</v>
      </c>
      <c r="G339" s="117">
        <v>83585376</v>
      </c>
      <c r="H339" s="117">
        <f t="shared" si="61"/>
        <v>28305.240772096175</v>
      </c>
      <c r="I339" s="7"/>
      <c r="J339" s="10">
        <v>7</v>
      </c>
      <c r="K339" s="117">
        <v>585097</v>
      </c>
      <c r="L339" s="120">
        <f t="shared" si="70"/>
        <v>198.13647138503217</v>
      </c>
      <c r="M339" s="122">
        <f t="shared" si="67"/>
        <v>835853.76</v>
      </c>
      <c r="N339" s="116">
        <f t="shared" si="68"/>
        <v>250756.76</v>
      </c>
      <c r="O339" s="123">
        <f t="shared" si="69"/>
        <v>84.915936335929572</v>
      </c>
      <c r="P339" s="5"/>
      <c r="Q339" s="5">
        <f t="shared" si="63"/>
        <v>1</v>
      </c>
      <c r="R339" s="7">
        <f t="shared" si="64"/>
        <v>2953</v>
      </c>
      <c r="S339" s="5">
        <f t="shared" si="65"/>
        <v>1</v>
      </c>
      <c r="T339" s="7">
        <f t="shared" si="66"/>
        <v>2953</v>
      </c>
    </row>
    <row r="340" spans="1:20">
      <c r="A340" s="23" t="s">
        <v>372</v>
      </c>
      <c r="B340" s="35" t="s">
        <v>365</v>
      </c>
      <c r="C340" s="36">
        <v>13778</v>
      </c>
      <c r="D340" s="6"/>
      <c r="E340" s="113">
        <v>501987026</v>
      </c>
      <c r="F340" s="116">
        <f t="shared" si="60"/>
        <v>36433.954565248947</v>
      </c>
      <c r="G340" s="117">
        <v>358320069</v>
      </c>
      <c r="H340" s="117">
        <f t="shared" si="61"/>
        <v>26006.682319640007</v>
      </c>
      <c r="I340" s="7"/>
      <c r="J340" s="10">
        <v>6.99</v>
      </c>
      <c r="K340" s="117">
        <v>2504657</v>
      </c>
      <c r="L340" s="120">
        <f t="shared" si="70"/>
        <v>181.78668892437219</v>
      </c>
      <c r="M340" s="122">
        <f t="shared" si="67"/>
        <v>3583200.69</v>
      </c>
      <c r="N340" s="116">
        <f t="shared" si="68"/>
        <v>1078543.69</v>
      </c>
      <c r="O340" s="123">
        <f t="shared" si="69"/>
        <v>78.280134272027865</v>
      </c>
      <c r="P340" s="5"/>
      <c r="Q340" s="5">
        <f t="shared" si="63"/>
        <v>1</v>
      </c>
      <c r="R340" s="7">
        <f t="shared" si="64"/>
        <v>13778</v>
      </c>
      <c r="S340" s="5">
        <f t="shared" si="65"/>
        <v>1</v>
      </c>
      <c r="T340" s="7">
        <f t="shared" si="66"/>
        <v>13778</v>
      </c>
    </row>
    <row r="341" spans="1:20">
      <c r="A341" s="23" t="s">
        <v>373</v>
      </c>
      <c r="B341" s="35" t="s">
        <v>365</v>
      </c>
      <c r="C341" s="36">
        <v>251</v>
      </c>
      <c r="D341" s="6"/>
      <c r="E341" s="113">
        <v>14106599</v>
      </c>
      <c r="F341" s="116">
        <f t="shared" si="60"/>
        <v>56201.589641434264</v>
      </c>
      <c r="G341" s="117">
        <v>11525515</v>
      </c>
      <c r="H341" s="117">
        <f t="shared" si="61"/>
        <v>45918.386454183266</v>
      </c>
      <c r="I341" s="9"/>
      <c r="J341" s="10">
        <v>5.9294000000000002</v>
      </c>
      <c r="K341" s="117">
        <v>68339</v>
      </c>
      <c r="L341" s="120">
        <f t="shared" si="70"/>
        <v>272.26693227091636</v>
      </c>
      <c r="M341" s="122">
        <f t="shared" si="67"/>
        <v>115255.15000000001</v>
      </c>
      <c r="N341" s="116">
        <f t="shared" si="68"/>
        <v>46916.150000000009</v>
      </c>
      <c r="O341" s="123">
        <f t="shared" si="69"/>
        <v>186.91693227091636</v>
      </c>
      <c r="P341" s="5"/>
      <c r="Q341" s="5">
        <f t="shared" si="63"/>
        <v>1</v>
      </c>
      <c r="R341" s="7">
        <f t="shared" si="64"/>
        <v>251</v>
      </c>
      <c r="S341" s="5">
        <f t="shared" si="65"/>
        <v>1</v>
      </c>
      <c r="T341" s="7">
        <f t="shared" si="66"/>
        <v>251</v>
      </c>
    </row>
    <row r="342" spans="1:20">
      <c r="A342" s="23" t="s">
        <v>374</v>
      </c>
      <c r="B342" s="35" t="s">
        <v>365</v>
      </c>
      <c r="C342" s="36">
        <v>268</v>
      </c>
      <c r="D342" s="6"/>
      <c r="E342" s="113">
        <v>11112114</v>
      </c>
      <c r="F342" s="116">
        <f t="shared" si="60"/>
        <v>41463.111940298506</v>
      </c>
      <c r="G342" s="117">
        <v>7752279</v>
      </c>
      <c r="H342" s="117">
        <f t="shared" si="61"/>
        <v>28926.414179104479</v>
      </c>
      <c r="I342" s="7"/>
      <c r="J342" s="10">
        <v>0.5</v>
      </c>
      <c r="K342" s="117">
        <v>3876</v>
      </c>
      <c r="L342" s="120">
        <f t="shared" si="70"/>
        <v>14.462686567164178</v>
      </c>
      <c r="M342" s="122">
        <f t="shared" si="67"/>
        <v>77522.790000000008</v>
      </c>
      <c r="N342" s="116">
        <f t="shared" si="68"/>
        <v>73646.790000000008</v>
      </c>
      <c r="O342" s="123">
        <f t="shared" si="69"/>
        <v>274.80145522388062</v>
      </c>
      <c r="P342" s="5"/>
      <c r="Q342" s="5">
        <f t="shared" si="63"/>
        <v>1</v>
      </c>
      <c r="R342" s="7">
        <f t="shared" si="64"/>
        <v>268</v>
      </c>
      <c r="S342" s="5">
        <f t="shared" si="65"/>
        <v>1</v>
      </c>
      <c r="T342" s="7">
        <f t="shared" si="66"/>
        <v>268</v>
      </c>
    </row>
    <row r="343" spans="1:20">
      <c r="A343" s="23" t="s">
        <v>375</v>
      </c>
      <c r="B343" s="35" t="s">
        <v>365</v>
      </c>
      <c r="C343" s="36">
        <v>3960</v>
      </c>
      <c r="D343" s="6"/>
      <c r="E343" s="113">
        <v>148033910</v>
      </c>
      <c r="F343" s="116">
        <f t="shared" si="60"/>
        <v>37382.300505050502</v>
      </c>
      <c r="G343" s="117">
        <v>102163162</v>
      </c>
      <c r="H343" s="117">
        <f t="shared" si="61"/>
        <v>25798.778282828283</v>
      </c>
      <c r="I343" s="7"/>
      <c r="J343" s="10">
        <v>7.0579999999999998</v>
      </c>
      <c r="K343" s="117">
        <v>721067</v>
      </c>
      <c r="L343" s="120">
        <f t="shared" si="70"/>
        <v>182.08762626262626</v>
      </c>
      <c r="M343" s="122">
        <f t="shared" si="67"/>
        <v>1021631.62</v>
      </c>
      <c r="N343" s="116">
        <f t="shared" si="68"/>
        <v>300564.62</v>
      </c>
      <c r="O343" s="123">
        <f t="shared" si="69"/>
        <v>75.900156565656559</v>
      </c>
      <c r="P343" s="5"/>
      <c r="Q343" s="5">
        <f t="shared" si="63"/>
        <v>1</v>
      </c>
      <c r="R343" s="7">
        <f t="shared" si="64"/>
        <v>3960</v>
      </c>
      <c r="S343" s="5">
        <f t="shared" si="65"/>
        <v>1</v>
      </c>
      <c r="T343" s="7">
        <f t="shared" si="66"/>
        <v>3960</v>
      </c>
    </row>
    <row r="344" spans="1:20">
      <c r="A344" s="23" t="s">
        <v>376</v>
      </c>
      <c r="B344" s="35" t="s">
        <v>365</v>
      </c>
      <c r="C344" s="36">
        <v>1336</v>
      </c>
      <c r="D344" s="6"/>
      <c r="E344" s="113">
        <v>53466395</v>
      </c>
      <c r="F344" s="116">
        <f t="shared" si="60"/>
        <v>40019.75673652695</v>
      </c>
      <c r="G344" s="117">
        <v>39494530</v>
      </c>
      <c r="H344" s="117">
        <f t="shared" si="61"/>
        <v>29561.773952095809</v>
      </c>
      <c r="I344" s="7"/>
      <c r="J344" s="11">
        <v>7.1479999999999997</v>
      </c>
      <c r="K344" s="117">
        <v>282306</v>
      </c>
      <c r="L344" s="120">
        <f t="shared" si="70"/>
        <v>211.30688622754491</v>
      </c>
      <c r="M344" s="122">
        <f t="shared" si="67"/>
        <v>394945.3</v>
      </c>
      <c r="N344" s="116">
        <f t="shared" si="68"/>
        <v>112639.29999999999</v>
      </c>
      <c r="O344" s="123">
        <f t="shared" si="69"/>
        <v>84.31085329341316</v>
      </c>
      <c r="P344" s="5"/>
      <c r="Q344" s="5">
        <f t="shared" si="63"/>
        <v>1</v>
      </c>
      <c r="R344" s="7">
        <f t="shared" si="64"/>
        <v>1336</v>
      </c>
      <c r="S344" s="5">
        <f t="shared" si="65"/>
        <v>1</v>
      </c>
      <c r="T344" s="7">
        <f t="shared" si="66"/>
        <v>1336</v>
      </c>
    </row>
    <row r="345" spans="1:20">
      <c r="A345" s="23" t="s">
        <v>377</v>
      </c>
      <c r="B345" s="35" t="s">
        <v>365</v>
      </c>
      <c r="C345" s="36">
        <v>11336</v>
      </c>
      <c r="D345" s="6"/>
      <c r="E345" s="113">
        <v>502104556</v>
      </c>
      <c r="F345" s="116">
        <f t="shared" si="60"/>
        <v>44292.921312632323</v>
      </c>
      <c r="G345" s="117">
        <v>355635393</v>
      </c>
      <c r="H345" s="117">
        <f t="shared" si="61"/>
        <v>31372.21180310515</v>
      </c>
      <c r="I345" s="7"/>
      <c r="J345" s="10">
        <v>8.94</v>
      </c>
      <c r="K345" s="117">
        <v>3179380</v>
      </c>
      <c r="L345" s="120">
        <f t="shared" si="70"/>
        <v>280.46753705010588</v>
      </c>
      <c r="M345" s="122">
        <f t="shared" si="67"/>
        <v>3556353.93</v>
      </c>
      <c r="N345" s="116">
        <f t="shared" si="68"/>
        <v>376973.93000000017</v>
      </c>
      <c r="O345" s="123">
        <f t="shared" si="69"/>
        <v>33.254580980945676</v>
      </c>
      <c r="P345" s="5"/>
      <c r="Q345" s="5">
        <f t="shared" si="63"/>
        <v>1</v>
      </c>
      <c r="R345" s="7">
        <f t="shared" si="64"/>
        <v>11336</v>
      </c>
      <c r="S345" s="5">
        <f t="shared" si="65"/>
        <v>1</v>
      </c>
      <c r="T345" s="7">
        <f t="shared" si="66"/>
        <v>11336</v>
      </c>
    </row>
    <row r="346" spans="1:20">
      <c r="A346" s="23" t="s">
        <v>378</v>
      </c>
      <c r="B346" s="35" t="s">
        <v>365</v>
      </c>
      <c r="C346" s="36">
        <v>85517</v>
      </c>
      <c r="D346" s="6"/>
      <c r="E346" s="113">
        <v>5071623350</v>
      </c>
      <c r="F346" s="116">
        <f t="shared" si="60"/>
        <v>59305.440438743171</v>
      </c>
      <c r="G346" s="117">
        <v>3398730356</v>
      </c>
      <c r="H346" s="117">
        <f t="shared" si="61"/>
        <v>39743.330051334822</v>
      </c>
      <c r="I346" s="7"/>
      <c r="J346" s="10">
        <v>2.9950000000000001</v>
      </c>
      <c r="K346" s="117">
        <v>10179197</v>
      </c>
      <c r="L346" s="120">
        <f t="shared" si="70"/>
        <v>119.03126863664535</v>
      </c>
      <c r="M346" s="122">
        <f t="shared" si="67"/>
        <v>33987303.560000002</v>
      </c>
      <c r="N346" s="116">
        <f t="shared" si="68"/>
        <v>23808106.560000002</v>
      </c>
      <c r="O346" s="123">
        <f t="shared" si="69"/>
        <v>278.40203187670289</v>
      </c>
      <c r="P346" s="5"/>
      <c r="Q346" s="5">
        <f t="shared" si="63"/>
        <v>1</v>
      </c>
      <c r="R346" s="7">
        <f t="shared" si="64"/>
        <v>85517</v>
      </c>
      <c r="S346" s="5">
        <f t="shared" si="65"/>
        <v>1</v>
      </c>
      <c r="T346" s="7">
        <f t="shared" si="66"/>
        <v>85517</v>
      </c>
    </row>
    <row r="347" spans="1:20">
      <c r="A347" s="23" t="s">
        <v>379</v>
      </c>
      <c r="B347" s="35" t="s">
        <v>365</v>
      </c>
      <c r="C347" s="36">
        <v>3235</v>
      </c>
      <c r="D347" s="6"/>
      <c r="E347" s="113">
        <v>139576908</v>
      </c>
      <c r="F347" s="116">
        <f t="shared" si="60"/>
        <v>43145.875734157649</v>
      </c>
      <c r="G347" s="117">
        <v>106205090</v>
      </c>
      <c r="H347" s="117">
        <f t="shared" si="61"/>
        <v>32830.012364760434</v>
      </c>
      <c r="I347" s="7"/>
      <c r="J347" s="10">
        <v>8.5</v>
      </c>
      <c r="K347" s="117">
        <v>902743</v>
      </c>
      <c r="L347" s="120">
        <f t="shared" si="70"/>
        <v>279.05502318392581</v>
      </c>
      <c r="M347" s="122">
        <f t="shared" si="67"/>
        <v>1062050.8999999999</v>
      </c>
      <c r="N347" s="116">
        <f t="shared" si="68"/>
        <v>159307.89999999991</v>
      </c>
      <c r="O347" s="123">
        <f t="shared" si="69"/>
        <v>49.24510046367849</v>
      </c>
      <c r="P347" s="5"/>
      <c r="Q347" s="5">
        <f t="shared" si="63"/>
        <v>1</v>
      </c>
      <c r="R347" s="7">
        <f t="shared" si="64"/>
        <v>3235</v>
      </c>
      <c r="S347" s="5">
        <f t="shared" si="65"/>
        <v>1</v>
      </c>
      <c r="T347" s="7">
        <f t="shared" si="66"/>
        <v>3235</v>
      </c>
    </row>
    <row r="348" spans="1:20">
      <c r="A348" s="23" t="s">
        <v>380</v>
      </c>
      <c r="B348" s="35" t="s">
        <v>365</v>
      </c>
      <c r="C348" s="36">
        <v>1560</v>
      </c>
      <c r="D348" s="6"/>
      <c r="E348" s="113">
        <v>41647995</v>
      </c>
      <c r="F348" s="116">
        <f t="shared" si="60"/>
        <v>26697.432692307691</v>
      </c>
      <c r="G348" s="117">
        <v>27865961</v>
      </c>
      <c r="H348" s="117">
        <f t="shared" si="61"/>
        <v>17862.795512820514</v>
      </c>
      <c r="I348" s="7"/>
      <c r="J348" s="10">
        <v>5.5</v>
      </c>
      <c r="K348" s="117">
        <v>153262</v>
      </c>
      <c r="L348" s="120">
        <f t="shared" si="70"/>
        <v>98.244871794871798</v>
      </c>
      <c r="M348" s="122">
        <f t="shared" si="67"/>
        <v>278659.61</v>
      </c>
      <c r="N348" s="116">
        <f t="shared" si="68"/>
        <v>125397.60999999999</v>
      </c>
      <c r="O348" s="123">
        <f t="shared" si="69"/>
        <v>80.383083333333317</v>
      </c>
      <c r="P348" s="5"/>
      <c r="Q348" s="5">
        <f t="shared" si="63"/>
        <v>1</v>
      </c>
      <c r="R348" s="7">
        <f t="shared" si="64"/>
        <v>1560</v>
      </c>
      <c r="S348" s="5">
        <f t="shared" si="65"/>
        <v>1</v>
      </c>
      <c r="T348" s="7">
        <f t="shared" si="66"/>
        <v>1560</v>
      </c>
    </row>
    <row r="349" spans="1:20">
      <c r="A349" s="23" t="s">
        <v>381</v>
      </c>
      <c r="B349" s="35" t="s">
        <v>365</v>
      </c>
      <c r="C349" s="36">
        <v>26596</v>
      </c>
      <c r="D349" s="6"/>
      <c r="E349" s="113">
        <v>1486826385</v>
      </c>
      <c r="F349" s="116">
        <f t="shared" si="60"/>
        <v>55904.135396300197</v>
      </c>
      <c r="G349" s="117">
        <v>1053709917</v>
      </c>
      <c r="H349" s="117">
        <f t="shared" si="61"/>
        <v>39619.112535719658</v>
      </c>
      <c r="I349" s="7"/>
      <c r="J349" s="10">
        <v>6.75</v>
      </c>
      <c r="K349" s="117">
        <v>7112541</v>
      </c>
      <c r="L349" s="120">
        <f t="shared" si="70"/>
        <v>267.42897428184688</v>
      </c>
      <c r="M349" s="122">
        <f t="shared" si="67"/>
        <v>10537099.17</v>
      </c>
      <c r="N349" s="116">
        <f t="shared" si="68"/>
        <v>3424558.17</v>
      </c>
      <c r="O349" s="123">
        <f t="shared" si="69"/>
        <v>128.76215107534966</v>
      </c>
      <c r="P349" s="5"/>
      <c r="Q349" s="5">
        <f t="shared" si="63"/>
        <v>1</v>
      </c>
      <c r="R349" s="7">
        <f t="shared" si="64"/>
        <v>26596</v>
      </c>
      <c r="S349" s="5">
        <f t="shared" si="65"/>
        <v>1</v>
      </c>
      <c r="T349" s="7">
        <f t="shared" si="66"/>
        <v>26596</v>
      </c>
    </row>
    <row r="350" spans="1:20">
      <c r="A350" s="23" t="s">
        <v>382</v>
      </c>
      <c r="B350" s="35" t="s">
        <v>383</v>
      </c>
      <c r="C350" s="36">
        <v>1785</v>
      </c>
      <c r="D350" s="6"/>
      <c r="E350" s="113">
        <v>89421631</v>
      </c>
      <c r="F350" s="116">
        <f t="shared" ref="F350:F410" si="71">(E350/C350)</f>
        <v>50096.151820728293</v>
      </c>
      <c r="G350" s="117">
        <v>51872792</v>
      </c>
      <c r="H350" s="117">
        <f t="shared" ref="H350:H410" si="72">(G350/C350)</f>
        <v>29060.387675070029</v>
      </c>
      <c r="I350" s="9"/>
      <c r="J350" s="10">
        <v>8.25</v>
      </c>
      <c r="K350" s="117">
        <v>427950</v>
      </c>
      <c r="L350" s="120">
        <f t="shared" si="70"/>
        <v>239.74789915966386</v>
      </c>
      <c r="M350" s="122">
        <f t="shared" si="67"/>
        <v>518727.92</v>
      </c>
      <c r="N350" s="116">
        <f t="shared" si="68"/>
        <v>90777.919999999984</v>
      </c>
      <c r="O350" s="123">
        <f t="shared" si="69"/>
        <v>50.855977591036407</v>
      </c>
      <c r="P350" s="5"/>
      <c r="Q350" s="5">
        <f t="shared" si="63"/>
        <v>1</v>
      </c>
      <c r="R350" s="7">
        <f t="shared" si="64"/>
        <v>1785</v>
      </c>
      <c r="S350" s="5">
        <f t="shared" si="65"/>
        <v>1</v>
      </c>
      <c r="T350" s="7">
        <f t="shared" si="66"/>
        <v>1785</v>
      </c>
    </row>
    <row r="351" spans="1:20">
      <c r="A351" s="23" t="s">
        <v>384</v>
      </c>
      <c r="B351" s="35" t="s">
        <v>383</v>
      </c>
      <c r="C351" s="36">
        <v>1493</v>
      </c>
      <c r="D351" s="6"/>
      <c r="E351" s="113">
        <v>73729800</v>
      </c>
      <c r="F351" s="116">
        <f t="shared" si="71"/>
        <v>49383.657066309446</v>
      </c>
      <c r="G351" s="117">
        <v>31663495</v>
      </c>
      <c r="H351" s="117">
        <f t="shared" si="72"/>
        <v>21207.967180174146</v>
      </c>
      <c r="I351" s="9"/>
      <c r="J351" s="10">
        <v>8</v>
      </c>
      <c r="K351" s="117">
        <v>253307</v>
      </c>
      <c r="L351" s="120">
        <f t="shared" si="70"/>
        <v>169.66309444072337</v>
      </c>
      <c r="M351" s="122">
        <f t="shared" si="67"/>
        <v>316634.95</v>
      </c>
      <c r="N351" s="116">
        <f t="shared" si="68"/>
        <v>63327.950000000012</v>
      </c>
      <c r="O351" s="123">
        <f t="shared" si="69"/>
        <v>42.416577361018092</v>
      </c>
      <c r="P351" s="5"/>
      <c r="Q351" s="5">
        <f t="shared" si="63"/>
        <v>1</v>
      </c>
      <c r="R351" s="7">
        <f t="shared" si="64"/>
        <v>1493</v>
      </c>
      <c r="S351" s="5">
        <f t="shared" si="65"/>
        <v>1</v>
      </c>
      <c r="T351" s="7">
        <f t="shared" si="66"/>
        <v>1493</v>
      </c>
    </row>
    <row r="352" spans="1:20">
      <c r="A352" s="23" t="s">
        <v>385</v>
      </c>
      <c r="B352" s="35" t="s">
        <v>383</v>
      </c>
      <c r="C352" s="36">
        <v>10250</v>
      </c>
      <c r="D352" s="6"/>
      <c r="E352" s="113">
        <v>538728847</v>
      </c>
      <c r="F352" s="116">
        <f t="shared" si="71"/>
        <v>52558.911902439024</v>
      </c>
      <c r="G352" s="117">
        <v>274921752</v>
      </c>
      <c r="H352" s="117">
        <f t="shared" si="72"/>
        <v>26821.634341463414</v>
      </c>
      <c r="I352" s="9"/>
      <c r="J352" s="10">
        <v>7.8</v>
      </c>
      <c r="K352" s="117">
        <v>2144389</v>
      </c>
      <c r="L352" s="120">
        <f t="shared" si="70"/>
        <v>209.20868292682925</v>
      </c>
      <c r="M352" s="122">
        <f t="shared" si="67"/>
        <v>2749217.52</v>
      </c>
      <c r="N352" s="116">
        <f t="shared" si="68"/>
        <v>604828.52</v>
      </c>
      <c r="O352" s="123">
        <f t="shared" si="69"/>
        <v>59.007660487804877</v>
      </c>
      <c r="P352" s="5"/>
      <c r="Q352" s="5">
        <f t="shared" si="63"/>
        <v>1</v>
      </c>
      <c r="R352" s="7">
        <f t="shared" si="64"/>
        <v>10250</v>
      </c>
      <c r="S352" s="5">
        <f t="shared" si="65"/>
        <v>1</v>
      </c>
      <c r="T352" s="7">
        <f t="shared" si="66"/>
        <v>10250</v>
      </c>
    </row>
    <row r="353" spans="1:20">
      <c r="A353" s="23" t="s">
        <v>386</v>
      </c>
      <c r="B353" s="35" t="s">
        <v>383</v>
      </c>
      <c r="C353" s="36">
        <v>799</v>
      </c>
      <c r="D353" s="6"/>
      <c r="E353" s="113">
        <v>28240321</v>
      </c>
      <c r="F353" s="116">
        <f t="shared" si="71"/>
        <v>35344.58197747184</v>
      </c>
      <c r="G353" s="117">
        <v>18570353</v>
      </c>
      <c r="H353" s="117">
        <f t="shared" si="72"/>
        <v>23241.993742177721</v>
      </c>
      <c r="I353" s="7"/>
      <c r="J353" s="10">
        <v>7.2889999999999997</v>
      </c>
      <c r="K353" s="117">
        <v>135359</v>
      </c>
      <c r="L353" s="120">
        <f t="shared" si="70"/>
        <v>169.41051314142678</v>
      </c>
      <c r="M353" s="122">
        <f t="shared" si="67"/>
        <v>185703.53</v>
      </c>
      <c r="N353" s="116">
        <f t="shared" si="68"/>
        <v>50344.53</v>
      </c>
      <c r="O353" s="123">
        <f t="shared" si="69"/>
        <v>63.009424280350437</v>
      </c>
      <c r="P353" s="5"/>
      <c r="Q353" s="5">
        <f t="shared" si="63"/>
        <v>1</v>
      </c>
      <c r="R353" s="7">
        <f t="shared" si="64"/>
        <v>799</v>
      </c>
      <c r="S353" s="5">
        <f t="shared" si="65"/>
        <v>1</v>
      </c>
      <c r="T353" s="7">
        <f t="shared" si="66"/>
        <v>799</v>
      </c>
    </row>
    <row r="354" spans="1:20">
      <c r="A354" s="23" t="s">
        <v>387</v>
      </c>
      <c r="B354" s="35" t="s">
        <v>383</v>
      </c>
      <c r="C354" s="36">
        <v>584</v>
      </c>
      <c r="D354" s="6"/>
      <c r="E354" s="113">
        <v>37351439</v>
      </c>
      <c r="F354" s="116">
        <f t="shared" si="71"/>
        <v>63957.943493150684</v>
      </c>
      <c r="G354" s="117">
        <v>26770971</v>
      </c>
      <c r="H354" s="117">
        <f t="shared" si="72"/>
        <v>45840.70376712329</v>
      </c>
      <c r="I354" s="7"/>
      <c r="J354" s="10">
        <v>6.7</v>
      </c>
      <c r="K354" s="117">
        <v>179365</v>
      </c>
      <c r="L354" s="120">
        <f t="shared" si="70"/>
        <v>307.13184931506851</v>
      </c>
      <c r="M354" s="122">
        <f t="shared" si="67"/>
        <v>267709.71000000002</v>
      </c>
      <c r="N354" s="116">
        <f t="shared" si="68"/>
        <v>88344.710000000021</v>
      </c>
      <c r="O354" s="123">
        <f t="shared" si="69"/>
        <v>151.27518835616442</v>
      </c>
      <c r="P354" s="5"/>
      <c r="Q354" s="5">
        <f t="shared" si="63"/>
        <v>1</v>
      </c>
      <c r="R354" s="7">
        <f t="shared" si="64"/>
        <v>584</v>
      </c>
      <c r="S354" s="5">
        <f t="shared" si="65"/>
        <v>1</v>
      </c>
      <c r="T354" s="7">
        <f t="shared" si="66"/>
        <v>584</v>
      </c>
    </row>
    <row r="355" spans="1:20">
      <c r="A355" s="23" t="s">
        <v>390</v>
      </c>
      <c r="B355" s="35" t="s">
        <v>391</v>
      </c>
      <c r="C355" s="36">
        <v>5736</v>
      </c>
      <c r="D355" s="6"/>
      <c r="E355" s="113">
        <v>721186771</v>
      </c>
      <c r="F355" s="116">
        <f t="shared" si="71"/>
        <v>125729.91126220362</v>
      </c>
      <c r="G355" s="117">
        <v>448573257</v>
      </c>
      <c r="H355" s="117">
        <f t="shared" si="72"/>
        <v>78203.148012552309</v>
      </c>
      <c r="I355" s="7"/>
      <c r="J355" s="10">
        <v>1.83</v>
      </c>
      <c r="K355" s="117">
        <v>820889</v>
      </c>
      <c r="L355" s="120">
        <f t="shared" si="70"/>
        <v>143.11175034867503</v>
      </c>
      <c r="M355" s="122">
        <f t="shared" si="67"/>
        <v>4485732.57</v>
      </c>
      <c r="N355" s="116">
        <f t="shared" si="68"/>
        <v>3664843.5700000003</v>
      </c>
      <c r="O355" s="123">
        <f t="shared" si="69"/>
        <v>638.91972977684804</v>
      </c>
      <c r="P355" s="5"/>
      <c r="Q355" s="5">
        <f t="shared" si="63"/>
        <v>1</v>
      </c>
      <c r="R355" s="7">
        <f t="shared" si="64"/>
        <v>5736</v>
      </c>
      <c r="S355" s="5">
        <f t="shared" si="65"/>
        <v>1</v>
      </c>
      <c r="T355" s="7">
        <f t="shared" si="66"/>
        <v>5736</v>
      </c>
    </row>
    <row r="356" spans="1:20">
      <c r="A356" s="23" t="s">
        <v>392</v>
      </c>
      <c r="B356" s="35" t="s">
        <v>391</v>
      </c>
      <c r="C356" s="36">
        <v>577</v>
      </c>
      <c r="D356" s="6"/>
      <c r="E356" s="113">
        <v>49703042</v>
      </c>
      <c r="F356" s="116">
        <f t="shared" si="71"/>
        <v>86140.454072790293</v>
      </c>
      <c r="G356" s="117">
        <v>34388928</v>
      </c>
      <c r="H356" s="117">
        <f t="shared" si="72"/>
        <v>59599.528596187178</v>
      </c>
      <c r="I356" s="7"/>
      <c r="J356" s="10">
        <v>2</v>
      </c>
      <c r="K356" s="117">
        <v>68777</v>
      </c>
      <c r="L356" s="120">
        <f t="shared" si="70"/>
        <v>119.19757365684575</v>
      </c>
      <c r="M356" s="122">
        <f t="shared" si="67"/>
        <v>343889.28</v>
      </c>
      <c r="N356" s="116">
        <f t="shared" si="68"/>
        <v>275112.28000000003</v>
      </c>
      <c r="O356" s="123">
        <f t="shared" si="69"/>
        <v>476.79771230502604</v>
      </c>
      <c r="P356" s="5"/>
      <c r="Q356" s="5">
        <f t="shared" si="63"/>
        <v>1</v>
      </c>
      <c r="R356" s="7">
        <f t="shared" si="64"/>
        <v>577</v>
      </c>
      <c r="S356" s="5">
        <f t="shared" si="65"/>
        <v>1</v>
      </c>
      <c r="T356" s="7">
        <f t="shared" si="66"/>
        <v>577</v>
      </c>
    </row>
    <row r="357" spans="1:20">
      <c r="A357" s="23" t="s">
        <v>393</v>
      </c>
      <c r="B357" s="35" t="s">
        <v>391</v>
      </c>
      <c r="C357" s="36">
        <v>7231</v>
      </c>
      <c r="D357" s="6"/>
      <c r="E357" s="113">
        <v>345735984</v>
      </c>
      <c r="F357" s="116">
        <f t="shared" si="71"/>
        <v>47813.025031116027</v>
      </c>
      <c r="G357" s="117">
        <v>229908121</v>
      </c>
      <c r="H357" s="117">
        <f t="shared" si="72"/>
        <v>31794.789240768911</v>
      </c>
      <c r="I357" s="7"/>
      <c r="J357" s="10">
        <v>2.75</v>
      </c>
      <c r="K357" s="117">
        <v>632247</v>
      </c>
      <c r="L357" s="120">
        <f t="shared" si="70"/>
        <v>87.435624394966112</v>
      </c>
      <c r="M357" s="122">
        <f t="shared" si="67"/>
        <v>2299081.21</v>
      </c>
      <c r="N357" s="116">
        <f t="shared" si="68"/>
        <v>1666834.21</v>
      </c>
      <c r="O357" s="123">
        <f t="shared" si="69"/>
        <v>230.51226801272298</v>
      </c>
      <c r="P357" s="5"/>
      <c r="Q357" s="5">
        <f t="shared" si="63"/>
        <v>1</v>
      </c>
      <c r="R357" s="7">
        <f t="shared" si="64"/>
        <v>7231</v>
      </c>
      <c r="S357" s="5">
        <f t="shared" si="65"/>
        <v>1</v>
      </c>
      <c r="T357" s="7">
        <f t="shared" si="66"/>
        <v>7231</v>
      </c>
    </row>
    <row r="358" spans="1:20">
      <c r="A358" s="23" t="s">
        <v>394</v>
      </c>
      <c r="B358" s="35" t="s">
        <v>395</v>
      </c>
      <c r="C358" s="36">
        <v>27448</v>
      </c>
      <c r="D358" s="6"/>
      <c r="E358" s="113">
        <v>1484819432</v>
      </c>
      <c r="F358" s="116">
        <f t="shared" si="71"/>
        <v>54095.723987175748</v>
      </c>
      <c r="G358" s="117">
        <v>1070880864</v>
      </c>
      <c r="H358" s="117">
        <f t="shared" si="72"/>
        <v>39014.895948703001</v>
      </c>
      <c r="I358" s="7"/>
      <c r="J358" s="10">
        <v>4.5</v>
      </c>
      <c r="K358" s="117">
        <v>4818963</v>
      </c>
      <c r="L358" s="120">
        <f t="shared" si="70"/>
        <v>175.56699941707956</v>
      </c>
      <c r="M358" s="122">
        <f t="shared" si="67"/>
        <v>10708808.640000001</v>
      </c>
      <c r="N358" s="116">
        <f t="shared" si="68"/>
        <v>5889845.6400000006</v>
      </c>
      <c r="O358" s="123">
        <f t="shared" si="69"/>
        <v>214.58196006995047</v>
      </c>
      <c r="P358" s="5"/>
      <c r="Q358" s="5">
        <f t="shared" si="63"/>
        <v>1</v>
      </c>
      <c r="R358" s="7">
        <f t="shared" si="64"/>
        <v>27448</v>
      </c>
      <c r="S358" s="5">
        <f t="shared" si="65"/>
        <v>1</v>
      </c>
      <c r="T358" s="7">
        <f t="shared" si="66"/>
        <v>27448</v>
      </c>
    </row>
    <row r="359" spans="1:20">
      <c r="A359" s="23" t="s">
        <v>395</v>
      </c>
      <c r="B359" s="35" t="s">
        <v>395</v>
      </c>
      <c r="C359" s="36">
        <v>53939</v>
      </c>
      <c r="D359" s="6"/>
      <c r="E359" s="113">
        <v>7114534473</v>
      </c>
      <c r="F359" s="116">
        <f t="shared" si="71"/>
        <v>131899.63612599418</v>
      </c>
      <c r="G359" s="117">
        <v>4870463654</v>
      </c>
      <c r="H359" s="117">
        <f t="shared" si="72"/>
        <v>90295.772150021323</v>
      </c>
      <c r="I359" s="7"/>
      <c r="J359" s="10">
        <v>2.6917</v>
      </c>
      <c r="K359" s="117">
        <v>13109827</v>
      </c>
      <c r="L359" s="120">
        <f t="shared" si="70"/>
        <v>243.04912957229462</v>
      </c>
      <c r="M359" s="122">
        <f t="shared" si="67"/>
        <v>48704636.539999999</v>
      </c>
      <c r="N359" s="116">
        <f t="shared" si="68"/>
        <v>35594809.539999999</v>
      </c>
      <c r="O359" s="123">
        <f t="shared" si="69"/>
        <v>659.90859192791856</v>
      </c>
      <c r="P359" s="5"/>
      <c r="Q359" s="5">
        <f t="shared" si="63"/>
        <v>1</v>
      </c>
      <c r="R359" s="7">
        <f t="shared" si="64"/>
        <v>53939</v>
      </c>
      <c r="S359" s="5">
        <f t="shared" si="65"/>
        <v>1</v>
      </c>
      <c r="T359" s="7">
        <f t="shared" si="66"/>
        <v>53939</v>
      </c>
    </row>
    <row r="360" spans="1:20">
      <c r="A360" s="23" t="s">
        <v>396</v>
      </c>
      <c r="B360" s="35" t="s">
        <v>395</v>
      </c>
      <c r="C360" s="36">
        <v>18628</v>
      </c>
      <c r="D360" s="6"/>
      <c r="E360" s="113">
        <v>2279559086</v>
      </c>
      <c r="F360" s="116">
        <f t="shared" si="71"/>
        <v>122372.72310500323</v>
      </c>
      <c r="G360" s="117">
        <v>1751106844</v>
      </c>
      <c r="H360" s="117">
        <f t="shared" si="72"/>
        <v>94004.017822632595</v>
      </c>
      <c r="I360" s="7"/>
      <c r="J360" s="10">
        <v>3.355</v>
      </c>
      <c r="K360" s="117">
        <v>5874963</v>
      </c>
      <c r="L360" s="120">
        <f t="shared" si="70"/>
        <v>315.38345501395747</v>
      </c>
      <c r="M360" s="122">
        <f t="shared" si="67"/>
        <v>17511068.440000001</v>
      </c>
      <c r="N360" s="116">
        <f t="shared" si="68"/>
        <v>11636105.440000001</v>
      </c>
      <c r="O360" s="123">
        <f t="shared" si="69"/>
        <v>624.65672321236855</v>
      </c>
      <c r="P360" s="5"/>
      <c r="Q360" s="5">
        <f t="shared" si="63"/>
        <v>1</v>
      </c>
      <c r="R360" s="7">
        <f t="shared" si="64"/>
        <v>18628</v>
      </c>
      <c r="S360" s="5">
        <f t="shared" si="65"/>
        <v>1</v>
      </c>
      <c r="T360" s="7">
        <f t="shared" si="66"/>
        <v>18628</v>
      </c>
    </row>
    <row r="361" spans="1:20">
      <c r="A361" s="23" t="s">
        <v>397</v>
      </c>
      <c r="B361" s="35" t="s">
        <v>360</v>
      </c>
      <c r="C361" s="36">
        <v>42319</v>
      </c>
      <c r="D361" s="6"/>
      <c r="E361" s="113">
        <v>2646509838</v>
      </c>
      <c r="F361" s="116">
        <f t="shared" si="71"/>
        <v>62537.154422363477</v>
      </c>
      <c r="G361" s="117">
        <v>2242449007</v>
      </c>
      <c r="H361" s="117">
        <f t="shared" si="72"/>
        <v>52989.177603440534</v>
      </c>
      <c r="I361" s="7"/>
      <c r="J361" s="10">
        <v>4.95</v>
      </c>
      <c r="K361" s="117">
        <v>11100122</v>
      </c>
      <c r="L361" s="120">
        <f t="shared" si="70"/>
        <v>262.29641532172309</v>
      </c>
      <c r="M361" s="122">
        <f t="shared" si="67"/>
        <v>22424490.07</v>
      </c>
      <c r="N361" s="116">
        <f t="shared" si="68"/>
        <v>11324368.07</v>
      </c>
      <c r="O361" s="123">
        <f t="shared" si="69"/>
        <v>267.59536071268224</v>
      </c>
      <c r="P361" s="5"/>
      <c r="Q361" s="5">
        <f t="shared" si="63"/>
        <v>1</v>
      </c>
      <c r="R361" s="7">
        <f t="shared" si="64"/>
        <v>42319</v>
      </c>
      <c r="S361" s="5">
        <f t="shared" si="65"/>
        <v>1</v>
      </c>
      <c r="T361" s="7">
        <f t="shared" si="66"/>
        <v>42319</v>
      </c>
    </row>
    <row r="362" spans="1:20">
      <c r="A362" s="23" t="s">
        <v>398</v>
      </c>
      <c r="B362" s="35" t="s">
        <v>360</v>
      </c>
      <c r="C362" s="36">
        <v>24112</v>
      </c>
      <c r="D362" s="6"/>
      <c r="E362" s="113">
        <v>1149263642</v>
      </c>
      <c r="F362" s="116">
        <f t="shared" si="71"/>
        <v>47663.555159256801</v>
      </c>
      <c r="G362" s="117">
        <v>908387688</v>
      </c>
      <c r="H362" s="117">
        <f t="shared" si="72"/>
        <v>37673.676509621764</v>
      </c>
      <c r="I362" s="7"/>
      <c r="J362" s="10">
        <v>3.9</v>
      </c>
      <c r="K362" s="117">
        <v>3542711</v>
      </c>
      <c r="L362" s="120">
        <f t="shared" si="70"/>
        <v>146.92729761114796</v>
      </c>
      <c r="M362" s="122">
        <f t="shared" si="67"/>
        <v>9083876.8800000008</v>
      </c>
      <c r="N362" s="116">
        <f t="shared" si="68"/>
        <v>5541165.8800000008</v>
      </c>
      <c r="O362" s="123">
        <f t="shared" si="69"/>
        <v>229.80946748506972</v>
      </c>
      <c r="P362" s="5"/>
      <c r="Q362" s="5">
        <f t="shared" si="63"/>
        <v>1</v>
      </c>
      <c r="R362" s="7">
        <f t="shared" si="64"/>
        <v>24112</v>
      </c>
      <c r="S362" s="5">
        <f t="shared" si="65"/>
        <v>1</v>
      </c>
      <c r="T362" s="7">
        <f t="shared" si="66"/>
        <v>24112</v>
      </c>
    </row>
    <row r="363" spans="1:20">
      <c r="A363" s="23" t="s">
        <v>399</v>
      </c>
      <c r="B363" s="35" t="s">
        <v>360</v>
      </c>
      <c r="C363" s="36">
        <v>12964</v>
      </c>
      <c r="D363" s="6"/>
      <c r="E363" s="113">
        <v>1644473592</v>
      </c>
      <c r="F363" s="116">
        <f t="shared" si="71"/>
        <v>126849.24344338167</v>
      </c>
      <c r="G363" s="117">
        <v>1431361023</v>
      </c>
      <c r="H363" s="117">
        <f t="shared" si="72"/>
        <v>110410.44608145634</v>
      </c>
      <c r="I363" s="7"/>
      <c r="J363" s="10">
        <v>3.7648000000000001</v>
      </c>
      <c r="K363" s="117">
        <v>5388787</v>
      </c>
      <c r="L363" s="120">
        <f t="shared" si="70"/>
        <v>415.67317186053685</v>
      </c>
      <c r="M363" s="122">
        <f t="shared" si="67"/>
        <v>14313610.23</v>
      </c>
      <c r="N363" s="116">
        <f t="shared" si="68"/>
        <v>8924823.2300000004</v>
      </c>
      <c r="O363" s="123">
        <f t="shared" si="69"/>
        <v>688.43128895402651</v>
      </c>
      <c r="P363" s="5"/>
      <c r="Q363" s="5">
        <f t="shared" si="63"/>
        <v>1</v>
      </c>
      <c r="R363" s="7">
        <f t="shared" si="64"/>
        <v>12964</v>
      </c>
      <c r="S363" s="5">
        <f t="shared" si="65"/>
        <v>1</v>
      </c>
      <c r="T363" s="7">
        <f t="shared" si="66"/>
        <v>12964</v>
      </c>
    </row>
    <row r="364" spans="1:20">
      <c r="A364" s="23" t="s">
        <v>400</v>
      </c>
      <c r="B364" s="35" t="s">
        <v>360</v>
      </c>
      <c r="C364" s="36">
        <v>13776</v>
      </c>
      <c r="D364" s="6"/>
      <c r="E364" s="113">
        <v>941683430</v>
      </c>
      <c r="F364" s="116">
        <f t="shared" si="71"/>
        <v>68356.811120789775</v>
      </c>
      <c r="G364" s="117">
        <v>750900571</v>
      </c>
      <c r="H364" s="117">
        <f t="shared" si="72"/>
        <v>54507.881170150984</v>
      </c>
      <c r="I364" s="7"/>
      <c r="J364" s="10">
        <v>4.67</v>
      </c>
      <c r="K364" s="117">
        <v>3506705</v>
      </c>
      <c r="L364" s="120">
        <f t="shared" si="70"/>
        <v>254.55175667828107</v>
      </c>
      <c r="M364" s="122">
        <f t="shared" si="67"/>
        <v>7509005.71</v>
      </c>
      <c r="N364" s="116">
        <f t="shared" si="68"/>
        <v>4002300.71</v>
      </c>
      <c r="O364" s="123">
        <f t="shared" si="69"/>
        <v>290.5270550232288</v>
      </c>
      <c r="P364" s="5"/>
      <c r="Q364" s="5">
        <f t="shared" si="63"/>
        <v>1</v>
      </c>
      <c r="R364" s="7">
        <f t="shared" si="64"/>
        <v>13776</v>
      </c>
      <c r="S364" s="5">
        <f t="shared" si="65"/>
        <v>1</v>
      </c>
      <c r="T364" s="7">
        <f t="shared" si="66"/>
        <v>13776</v>
      </c>
    </row>
    <row r="365" spans="1:20">
      <c r="A365" s="23" t="s">
        <v>401</v>
      </c>
      <c r="B365" s="35" t="s">
        <v>360</v>
      </c>
      <c r="C365" s="36">
        <v>28012</v>
      </c>
      <c r="D365" s="6"/>
      <c r="E365" s="113">
        <v>1618912878</v>
      </c>
      <c r="F365" s="116">
        <f t="shared" si="71"/>
        <v>57793.548407825219</v>
      </c>
      <c r="G365" s="117">
        <v>1249303887</v>
      </c>
      <c r="H365" s="117">
        <f t="shared" si="72"/>
        <v>44598.882157646723</v>
      </c>
      <c r="I365" s="7"/>
      <c r="J365" s="10">
        <v>5.335</v>
      </c>
      <c r="K365" s="117">
        <v>6665036</v>
      </c>
      <c r="L365" s="120">
        <f t="shared" si="70"/>
        <v>237.93502784520919</v>
      </c>
      <c r="M365" s="122">
        <f t="shared" si="67"/>
        <v>12493038.870000001</v>
      </c>
      <c r="N365" s="116">
        <f t="shared" si="68"/>
        <v>5828002.870000001</v>
      </c>
      <c r="O365" s="123">
        <f t="shared" si="69"/>
        <v>208.05379373125808</v>
      </c>
      <c r="P365" s="5"/>
      <c r="Q365" s="5">
        <f t="shared" si="63"/>
        <v>1</v>
      </c>
      <c r="R365" s="7">
        <f t="shared" si="64"/>
        <v>28012</v>
      </c>
      <c r="S365" s="5">
        <f t="shared" si="65"/>
        <v>1</v>
      </c>
      <c r="T365" s="7">
        <f t="shared" si="66"/>
        <v>28012</v>
      </c>
    </row>
    <row r="366" spans="1:20">
      <c r="A366" s="23" t="s">
        <v>402</v>
      </c>
      <c r="B366" s="35" t="s">
        <v>360</v>
      </c>
      <c r="C366" s="36">
        <v>43251</v>
      </c>
      <c r="D366" s="6"/>
      <c r="E366" s="113">
        <v>2100071814</v>
      </c>
      <c r="F366" s="116">
        <f t="shared" si="71"/>
        <v>48555.451064715264</v>
      </c>
      <c r="G366" s="117">
        <v>1499149233</v>
      </c>
      <c r="H366" s="117">
        <f t="shared" si="72"/>
        <v>34661.608587084695</v>
      </c>
      <c r="I366" s="7"/>
      <c r="J366" s="10">
        <v>6.5</v>
      </c>
      <c r="K366" s="117">
        <v>9744470</v>
      </c>
      <c r="L366" s="120">
        <f t="shared" si="70"/>
        <v>225.30045548079812</v>
      </c>
      <c r="M366" s="122">
        <f t="shared" si="67"/>
        <v>14991492.33</v>
      </c>
      <c r="N366" s="116">
        <f t="shared" si="68"/>
        <v>5247022.33</v>
      </c>
      <c r="O366" s="123">
        <f t="shared" si="69"/>
        <v>121.31563039004878</v>
      </c>
      <c r="P366" s="5"/>
      <c r="Q366" s="5">
        <f t="shared" si="63"/>
        <v>1</v>
      </c>
      <c r="R366" s="7">
        <f t="shared" si="64"/>
        <v>43251</v>
      </c>
      <c r="S366" s="5">
        <f t="shared" si="65"/>
        <v>1</v>
      </c>
      <c r="T366" s="7">
        <f t="shared" si="66"/>
        <v>43251</v>
      </c>
    </row>
    <row r="367" spans="1:20">
      <c r="A367" s="23" t="s">
        <v>403</v>
      </c>
      <c r="B367" s="35" t="s">
        <v>360</v>
      </c>
      <c r="C367" s="36">
        <v>32082</v>
      </c>
      <c r="D367" s="6"/>
      <c r="E367" s="113">
        <v>1685929396</v>
      </c>
      <c r="F367" s="116">
        <f t="shared" si="71"/>
        <v>52550.632628888474</v>
      </c>
      <c r="G367" s="117">
        <v>1266969110</v>
      </c>
      <c r="H367" s="117">
        <f t="shared" si="72"/>
        <v>39491.587494545231</v>
      </c>
      <c r="I367" s="7"/>
      <c r="J367" s="10">
        <v>4.1657999999999999</v>
      </c>
      <c r="K367" s="117">
        <v>5277939</v>
      </c>
      <c r="L367" s="120">
        <f t="shared" si="70"/>
        <v>164.51402655694781</v>
      </c>
      <c r="M367" s="122">
        <f t="shared" si="67"/>
        <v>12669691.1</v>
      </c>
      <c r="N367" s="116">
        <f t="shared" si="68"/>
        <v>7391752.0999999996</v>
      </c>
      <c r="O367" s="123">
        <f t="shared" si="69"/>
        <v>230.40184838850445</v>
      </c>
      <c r="P367" s="5"/>
      <c r="Q367" s="5">
        <f t="shared" si="63"/>
        <v>1</v>
      </c>
      <c r="R367" s="7">
        <f t="shared" si="64"/>
        <v>32082</v>
      </c>
      <c r="S367" s="5">
        <f t="shared" si="65"/>
        <v>1</v>
      </c>
      <c r="T367" s="7">
        <f t="shared" si="66"/>
        <v>32082</v>
      </c>
    </row>
    <row r="368" spans="1:20">
      <c r="A368" s="23" t="s">
        <v>388</v>
      </c>
      <c r="B368" s="35" t="s">
        <v>551</v>
      </c>
      <c r="C368" s="36">
        <v>523</v>
      </c>
      <c r="D368" s="6"/>
      <c r="E368" s="113">
        <v>23143602</v>
      </c>
      <c r="F368" s="116">
        <f t="shared" si="71"/>
        <v>44251.629063097513</v>
      </c>
      <c r="G368" s="117">
        <v>14023764</v>
      </c>
      <c r="H368" s="117">
        <f t="shared" si="72"/>
        <v>26814.080305927342</v>
      </c>
      <c r="I368" s="7"/>
      <c r="J368" s="10">
        <v>8</v>
      </c>
      <c r="K368" s="117">
        <v>112190</v>
      </c>
      <c r="L368" s="120">
        <f t="shared" si="70"/>
        <v>214.51242829827916</v>
      </c>
      <c r="M368" s="122">
        <f t="shared" si="67"/>
        <v>140237.64000000001</v>
      </c>
      <c r="N368" s="116">
        <f t="shared" si="68"/>
        <v>28047.640000000014</v>
      </c>
      <c r="O368" s="123">
        <f t="shared" si="69"/>
        <v>53.628374760994291</v>
      </c>
      <c r="P368" s="5"/>
      <c r="Q368" s="5">
        <f t="shared" si="63"/>
        <v>1</v>
      </c>
      <c r="R368" s="7">
        <f t="shared" si="64"/>
        <v>523</v>
      </c>
      <c r="S368" s="5">
        <f t="shared" si="65"/>
        <v>1</v>
      </c>
      <c r="T368" s="7">
        <f t="shared" si="66"/>
        <v>523</v>
      </c>
    </row>
    <row r="369" spans="1:20">
      <c r="A369" s="23" t="s">
        <v>549</v>
      </c>
      <c r="B369" s="35" t="s">
        <v>551</v>
      </c>
      <c r="C369" s="36">
        <v>13031</v>
      </c>
      <c r="D369" s="6"/>
      <c r="E369" s="113">
        <v>1221076500</v>
      </c>
      <c r="F369" s="116">
        <f t="shared" si="71"/>
        <v>93705.509937840528</v>
      </c>
      <c r="G369" s="117">
        <v>795793585</v>
      </c>
      <c r="H369" s="117">
        <f t="shared" si="72"/>
        <v>61069.264446320311</v>
      </c>
      <c r="I369" s="7"/>
      <c r="J369" s="10">
        <v>6.6</v>
      </c>
      <c r="K369" s="117">
        <v>5252237</v>
      </c>
      <c r="L369" s="120">
        <f t="shared" si="70"/>
        <v>403.05709462052027</v>
      </c>
      <c r="M369" s="122">
        <f t="shared" si="67"/>
        <v>7957935.8500000006</v>
      </c>
      <c r="N369" s="116">
        <f t="shared" si="68"/>
        <v>2705698.8500000006</v>
      </c>
      <c r="O369" s="123">
        <f t="shared" si="69"/>
        <v>207.63554984268288</v>
      </c>
      <c r="P369" s="5"/>
      <c r="Q369" s="5">
        <f t="shared" si="63"/>
        <v>1</v>
      </c>
      <c r="R369" s="7">
        <f t="shared" si="64"/>
        <v>13031</v>
      </c>
      <c r="S369" s="5">
        <f t="shared" si="65"/>
        <v>1</v>
      </c>
      <c r="T369" s="7">
        <f t="shared" si="66"/>
        <v>13031</v>
      </c>
    </row>
    <row r="370" spans="1:20">
      <c r="A370" s="23" t="s">
        <v>550</v>
      </c>
      <c r="B370" s="35" t="s">
        <v>551</v>
      </c>
      <c r="C370" s="36">
        <v>5003</v>
      </c>
      <c r="D370" s="6"/>
      <c r="E370" s="113">
        <v>609066114</v>
      </c>
      <c r="F370" s="116">
        <f t="shared" si="71"/>
        <v>121740.17869278433</v>
      </c>
      <c r="G370" s="117">
        <v>512411088</v>
      </c>
      <c r="H370" s="117">
        <f t="shared" si="72"/>
        <v>102420.76514091545</v>
      </c>
      <c r="I370" s="7"/>
      <c r="J370" s="10">
        <v>2</v>
      </c>
      <c r="K370" s="117">
        <v>1024822</v>
      </c>
      <c r="L370" s="120">
        <f t="shared" ref="L370:L375" si="73">(K370/C370)</f>
        <v>204.84149510293824</v>
      </c>
      <c r="M370" s="122">
        <f t="shared" si="67"/>
        <v>5124110.88</v>
      </c>
      <c r="N370" s="116">
        <f t="shared" si="68"/>
        <v>4099288.88</v>
      </c>
      <c r="O370" s="123">
        <f t="shared" si="69"/>
        <v>819.36615630621623</v>
      </c>
      <c r="P370" s="5"/>
      <c r="Q370" s="5">
        <f t="shared" si="63"/>
        <v>1</v>
      </c>
      <c r="R370" s="7">
        <f t="shared" si="64"/>
        <v>5003</v>
      </c>
      <c r="S370" s="5">
        <f t="shared" si="65"/>
        <v>1</v>
      </c>
      <c r="T370" s="7">
        <f t="shared" si="66"/>
        <v>5003</v>
      </c>
    </row>
    <row r="371" spans="1:20">
      <c r="A371" s="23" t="s">
        <v>389</v>
      </c>
      <c r="B371" s="35" t="s">
        <v>552</v>
      </c>
      <c r="C371" s="36">
        <v>38642</v>
      </c>
      <c r="D371" s="6"/>
      <c r="E371" s="113">
        <v>1921408831</v>
      </c>
      <c r="F371" s="116">
        <f t="shared" si="71"/>
        <v>49723.327752186742</v>
      </c>
      <c r="G371" s="117">
        <v>1173357544</v>
      </c>
      <c r="H371" s="117">
        <f t="shared" si="72"/>
        <v>30364.824387971636</v>
      </c>
      <c r="I371" s="7"/>
      <c r="J371" s="10">
        <v>7.3304999999999998</v>
      </c>
      <c r="K371" s="117">
        <v>8601297</v>
      </c>
      <c r="L371" s="120">
        <f t="shared" si="73"/>
        <v>222.58933285026654</v>
      </c>
      <c r="M371" s="122">
        <f t="shared" si="67"/>
        <v>11733575.439999999</v>
      </c>
      <c r="N371" s="116">
        <f t="shared" si="68"/>
        <v>3132278.4399999995</v>
      </c>
      <c r="O371" s="123">
        <f t="shared" si="69"/>
        <v>81.058911029449803</v>
      </c>
      <c r="P371" s="5"/>
      <c r="Q371" s="5">
        <f t="shared" si="63"/>
        <v>1</v>
      </c>
      <c r="R371" s="7">
        <f t="shared" si="64"/>
        <v>38642</v>
      </c>
      <c r="S371" s="5">
        <f t="shared" si="65"/>
        <v>1</v>
      </c>
      <c r="T371" s="7">
        <f t="shared" si="66"/>
        <v>38642</v>
      </c>
    </row>
    <row r="372" spans="1:20">
      <c r="A372" s="23" t="s">
        <v>553</v>
      </c>
      <c r="B372" s="35" t="s">
        <v>552</v>
      </c>
      <c r="C372" s="36">
        <v>96430</v>
      </c>
      <c r="D372" s="6"/>
      <c r="E372" s="113">
        <v>4586972595</v>
      </c>
      <c r="F372" s="116">
        <f t="shared" si="71"/>
        <v>47567.899979259564</v>
      </c>
      <c r="G372" s="117">
        <v>3391006606</v>
      </c>
      <c r="H372" s="117">
        <f t="shared" si="72"/>
        <v>35165.473462615366</v>
      </c>
      <c r="I372" s="7"/>
      <c r="J372" s="10">
        <v>4.6066000000000003</v>
      </c>
      <c r="K372" s="117">
        <v>15621011</v>
      </c>
      <c r="L372" s="120">
        <f t="shared" si="73"/>
        <v>161.99326972933736</v>
      </c>
      <c r="M372" s="122">
        <f t="shared" si="67"/>
        <v>33910066.060000002</v>
      </c>
      <c r="N372" s="116">
        <f t="shared" si="68"/>
        <v>18289055.060000002</v>
      </c>
      <c r="O372" s="123">
        <f t="shared" si="69"/>
        <v>189.66146489681637</v>
      </c>
      <c r="P372" s="5"/>
      <c r="Q372" s="5">
        <f t="shared" si="63"/>
        <v>1</v>
      </c>
      <c r="R372" s="7">
        <f t="shared" si="64"/>
        <v>96430</v>
      </c>
      <c r="S372" s="5">
        <f t="shared" si="65"/>
        <v>1</v>
      </c>
      <c r="T372" s="7">
        <f t="shared" si="66"/>
        <v>96430</v>
      </c>
    </row>
    <row r="373" spans="1:20">
      <c r="A373" s="23" t="s">
        <v>554</v>
      </c>
      <c r="B373" s="35" t="s">
        <v>552</v>
      </c>
      <c r="C373" s="36">
        <v>614</v>
      </c>
      <c r="D373" s="6"/>
      <c r="E373" s="113">
        <v>40392230</v>
      </c>
      <c r="F373" s="116">
        <f t="shared" si="71"/>
        <v>65785.390879478829</v>
      </c>
      <c r="G373" s="117">
        <v>32097443</v>
      </c>
      <c r="H373" s="117">
        <f t="shared" si="72"/>
        <v>52275.965798045603</v>
      </c>
      <c r="I373" s="7"/>
      <c r="J373" s="10">
        <v>0.9</v>
      </c>
      <c r="K373" s="117">
        <v>28887</v>
      </c>
      <c r="L373" s="120">
        <f t="shared" si="73"/>
        <v>47.047231270358303</v>
      </c>
      <c r="M373" s="122">
        <f t="shared" si="67"/>
        <v>320974.43</v>
      </c>
      <c r="N373" s="116">
        <f t="shared" si="68"/>
        <v>292087.43</v>
      </c>
      <c r="O373" s="123">
        <f t="shared" si="69"/>
        <v>475.7124267100977</v>
      </c>
      <c r="P373" s="5"/>
      <c r="Q373" s="5">
        <f t="shared" si="63"/>
        <v>1</v>
      </c>
      <c r="R373" s="7">
        <f t="shared" si="64"/>
        <v>614</v>
      </c>
      <c r="S373" s="5">
        <f t="shared" si="65"/>
        <v>1</v>
      </c>
      <c r="T373" s="7">
        <f t="shared" si="66"/>
        <v>614</v>
      </c>
    </row>
    <row r="374" spans="1:20">
      <c r="A374" s="23" t="s">
        <v>404</v>
      </c>
      <c r="B374" s="35" t="s">
        <v>405</v>
      </c>
      <c r="C374" s="36">
        <v>2067</v>
      </c>
      <c r="D374" s="6"/>
      <c r="E374" s="113">
        <v>100890539</v>
      </c>
      <c r="F374" s="116">
        <f t="shared" si="71"/>
        <v>48810.130140299952</v>
      </c>
      <c r="G374" s="117">
        <v>75093844</v>
      </c>
      <c r="H374" s="117">
        <f t="shared" si="72"/>
        <v>36329.871311078859</v>
      </c>
      <c r="I374" s="7"/>
      <c r="J374" s="10">
        <v>2.5</v>
      </c>
      <c r="K374" s="117">
        <v>187734</v>
      </c>
      <c r="L374" s="120">
        <f t="shared" si="73"/>
        <v>90.824383164005809</v>
      </c>
      <c r="M374" s="122">
        <f t="shared" si="67"/>
        <v>750938.44000000006</v>
      </c>
      <c r="N374" s="116">
        <f t="shared" si="68"/>
        <v>563204.44000000006</v>
      </c>
      <c r="O374" s="123">
        <f t="shared" si="69"/>
        <v>272.4743299467828</v>
      </c>
      <c r="P374" s="5"/>
      <c r="Q374" s="5">
        <f t="shared" si="63"/>
        <v>1</v>
      </c>
      <c r="R374" s="7">
        <f t="shared" si="64"/>
        <v>2067</v>
      </c>
      <c r="S374" s="5">
        <f t="shared" si="65"/>
        <v>1</v>
      </c>
      <c r="T374" s="7">
        <f t="shared" si="66"/>
        <v>2067</v>
      </c>
    </row>
    <row r="375" spans="1:20">
      <c r="A375" s="23" t="s">
        <v>406</v>
      </c>
      <c r="B375" s="35" t="s">
        <v>405</v>
      </c>
      <c r="C375" s="36">
        <v>922</v>
      </c>
      <c r="D375" s="6"/>
      <c r="E375" s="113">
        <v>16263752</v>
      </c>
      <c r="F375" s="116">
        <f t="shared" si="71"/>
        <v>17639.644251626898</v>
      </c>
      <c r="G375" s="117">
        <v>8176151</v>
      </c>
      <c r="H375" s="117">
        <f t="shared" si="72"/>
        <v>8867.8427331887196</v>
      </c>
      <c r="I375" s="7"/>
      <c r="J375" s="10">
        <v>0.79500000000000004</v>
      </c>
      <c r="K375" s="117">
        <v>6500</v>
      </c>
      <c r="L375" s="120">
        <f t="shared" si="73"/>
        <v>7.0498915401301518</v>
      </c>
      <c r="M375" s="122">
        <f t="shared" si="67"/>
        <v>81761.509999999995</v>
      </c>
      <c r="N375" s="116">
        <f t="shared" si="68"/>
        <v>75261.509999999995</v>
      </c>
      <c r="O375" s="123">
        <f t="shared" si="69"/>
        <v>81.628535791757045</v>
      </c>
      <c r="P375" s="5"/>
      <c r="Q375" s="5">
        <f t="shared" si="63"/>
        <v>1</v>
      </c>
      <c r="R375" s="7">
        <f t="shared" si="64"/>
        <v>922</v>
      </c>
      <c r="S375" s="5">
        <f t="shared" si="65"/>
        <v>1</v>
      </c>
      <c r="T375" s="7">
        <f t="shared" si="66"/>
        <v>922</v>
      </c>
    </row>
    <row r="376" spans="1:20">
      <c r="A376" s="23" t="s">
        <v>407</v>
      </c>
      <c r="B376" s="35" t="s">
        <v>405</v>
      </c>
      <c r="C376" s="36">
        <v>643</v>
      </c>
      <c r="D376" s="6"/>
      <c r="E376" s="113">
        <v>15327439</v>
      </c>
      <c r="F376" s="116">
        <f t="shared" si="71"/>
        <v>23837.38569206843</v>
      </c>
      <c r="G376" s="117">
        <v>7848308</v>
      </c>
      <c r="H376" s="117">
        <f t="shared" si="72"/>
        <v>12205.766718506999</v>
      </c>
      <c r="I376" s="98" t="s">
        <v>528</v>
      </c>
      <c r="J376" s="10"/>
      <c r="K376" s="117"/>
      <c r="L376" s="120"/>
      <c r="M376" s="122">
        <f t="shared" si="67"/>
        <v>78483.08</v>
      </c>
      <c r="N376" s="116">
        <f t="shared" si="68"/>
        <v>78483.08</v>
      </c>
      <c r="O376" s="123">
        <f t="shared" si="69"/>
        <v>122.05766718506999</v>
      </c>
      <c r="P376" s="5"/>
      <c r="Q376" s="5">
        <f t="shared" si="63"/>
        <v>1</v>
      </c>
      <c r="R376" s="7">
        <f t="shared" si="64"/>
        <v>643</v>
      </c>
      <c r="S376" s="5">
        <f t="shared" si="65"/>
        <v>0</v>
      </c>
      <c r="T376" s="7">
        <f t="shared" si="66"/>
        <v>0</v>
      </c>
    </row>
    <row r="377" spans="1:20">
      <c r="A377" s="23" t="s">
        <v>408</v>
      </c>
      <c r="B377" s="35" t="s">
        <v>405</v>
      </c>
      <c r="C377" s="36">
        <v>797</v>
      </c>
      <c r="D377" s="6"/>
      <c r="E377" s="113">
        <v>16222588</v>
      </c>
      <c r="F377" s="116">
        <f t="shared" si="71"/>
        <v>20354.564617314933</v>
      </c>
      <c r="G377" s="117">
        <v>10703980</v>
      </c>
      <c r="H377" s="117">
        <f t="shared" si="72"/>
        <v>13430.338770388958</v>
      </c>
      <c r="I377" s="7"/>
      <c r="J377" s="10">
        <v>6</v>
      </c>
      <c r="K377" s="117">
        <v>64223</v>
      </c>
      <c r="L377" s="120">
        <f t="shared" ref="L377:L382" si="74">(K377/C377)</f>
        <v>80.580928481806779</v>
      </c>
      <c r="M377" s="122">
        <f t="shared" si="67"/>
        <v>107039.8</v>
      </c>
      <c r="N377" s="116">
        <f t="shared" si="68"/>
        <v>42816.800000000003</v>
      </c>
      <c r="O377" s="123">
        <f t="shared" si="69"/>
        <v>53.722459222082811</v>
      </c>
      <c r="P377" s="5"/>
      <c r="Q377" s="5">
        <f t="shared" si="63"/>
        <v>1</v>
      </c>
      <c r="R377" s="7">
        <f t="shared" si="64"/>
        <v>797</v>
      </c>
      <c r="S377" s="5">
        <f t="shared" si="65"/>
        <v>1</v>
      </c>
      <c r="T377" s="7">
        <f t="shared" si="66"/>
        <v>797</v>
      </c>
    </row>
    <row r="378" spans="1:20">
      <c r="A378" s="23" t="s">
        <v>409</v>
      </c>
      <c r="B378" s="35" t="s">
        <v>405</v>
      </c>
      <c r="C378" s="36">
        <v>3954</v>
      </c>
      <c r="D378" s="6"/>
      <c r="E378" s="113">
        <v>119248762</v>
      </c>
      <c r="F378" s="116">
        <f t="shared" si="71"/>
        <v>30159.019221041985</v>
      </c>
      <c r="G378" s="117">
        <v>94811476</v>
      </c>
      <c r="H378" s="117">
        <f t="shared" si="72"/>
        <v>23978.623166413759</v>
      </c>
      <c r="I378" s="7"/>
      <c r="J378" s="10">
        <v>4.79</v>
      </c>
      <c r="K378" s="117">
        <v>454146</v>
      </c>
      <c r="L378" s="120">
        <f t="shared" si="74"/>
        <v>114.85735963581183</v>
      </c>
      <c r="M378" s="122">
        <f t="shared" si="67"/>
        <v>948114.76</v>
      </c>
      <c r="N378" s="116">
        <f t="shared" si="68"/>
        <v>493968.76</v>
      </c>
      <c r="O378" s="123">
        <f t="shared" si="69"/>
        <v>124.92887202832574</v>
      </c>
      <c r="P378" s="5"/>
      <c r="Q378" s="5">
        <f t="shared" si="63"/>
        <v>1</v>
      </c>
      <c r="R378" s="7">
        <f t="shared" si="64"/>
        <v>3954</v>
      </c>
      <c r="S378" s="5">
        <f t="shared" si="65"/>
        <v>1</v>
      </c>
      <c r="T378" s="7">
        <f t="shared" si="66"/>
        <v>3954</v>
      </c>
    </row>
    <row r="379" spans="1:20">
      <c r="A379" s="23" t="s">
        <v>410</v>
      </c>
      <c r="B379" s="35" t="s">
        <v>411</v>
      </c>
      <c r="C379" s="36">
        <v>695</v>
      </c>
      <c r="D379" s="6"/>
      <c r="E379" s="113">
        <v>24617898</v>
      </c>
      <c r="F379" s="116">
        <f t="shared" si="71"/>
        <v>35421.435971223022</v>
      </c>
      <c r="G379" s="117">
        <v>14000976</v>
      </c>
      <c r="H379" s="117">
        <f t="shared" si="72"/>
        <v>20145.289208633094</v>
      </c>
      <c r="I379" s="9"/>
      <c r="J379" s="10">
        <v>4.25</v>
      </c>
      <c r="K379" s="117">
        <v>59504</v>
      </c>
      <c r="L379" s="120">
        <f t="shared" si="74"/>
        <v>85.617266187050362</v>
      </c>
      <c r="M379" s="122">
        <f t="shared" si="67"/>
        <v>140009.76</v>
      </c>
      <c r="N379" s="116">
        <f t="shared" si="68"/>
        <v>80505.760000000009</v>
      </c>
      <c r="O379" s="123">
        <f t="shared" si="69"/>
        <v>115.83562589928059</v>
      </c>
      <c r="P379" s="5"/>
      <c r="Q379" s="5">
        <f t="shared" si="63"/>
        <v>1</v>
      </c>
      <c r="R379" s="7">
        <f t="shared" si="64"/>
        <v>695</v>
      </c>
      <c r="S379" s="5">
        <f t="shared" si="65"/>
        <v>1</v>
      </c>
      <c r="T379" s="7">
        <f t="shared" si="66"/>
        <v>695</v>
      </c>
    </row>
    <row r="380" spans="1:20">
      <c r="A380" s="23" t="s">
        <v>412</v>
      </c>
      <c r="B380" s="35" t="s">
        <v>411</v>
      </c>
      <c r="C380" s="36">
        <v>6500</v>
      </c>
      <c r="D380" s="6"/>
      <c r="E380" s="113">
        <v>161577823</v>
      </c>
      <c r="F380" s="116">
        <f t="shared" si="71"/>
        <v>24858.126615384615</v>
      </c>
      <c r="G380" s="117">
        <v>95805278</v>
      </c>
      <c r="H380" s="117">
        <f t="shared" si="72"/>
        <v>14739.273538461539</v>
      </c>
      <c r="I380" s="7"/>
      <c r="J380" s="10">
        <v>6.25</v>
      </c>
      <c r="K380" s="117">
        <v>598782</v>
      </c>
      <c r="L380" s="120">
        <f t="shared" si="74"/>
        <v>92.120307692307691</v>
      </c>
      <c r="M380" s="122">
        <f t="shared" si="67"/>
        <v>958052.78</v>
      </c>
      <c r="N380" s="116">
        <f t="shared" si="68"/>
        <v>359270.78</v>
      </c>
      <c r="O380" s="123">
        <f t="shared" si="69"/>
        <v>55.272427692307694</v>
      </c>
      <c r="P380" s="5"/>
      <c r="Q380" s="5">
        <f t="shared" si="63"/>
        <v>1</v>
      </c>
      <c r="R380" s="7">
        <f t="shared" si="64"/>
        <v>6500</v>
      </c>
      <c r="S380" s="5">
        <f t="shared" si="65"/>
        <v>1</v>
      </c>
      <c r="T380" s="7">
        <f t="shared" si="66"/>
        <v>6500</v>
      </c>
    </row>
    <row r="381" spans="1:20">
      <c r="A381" s="23" t="s">
        <v>413</v>
      </c>
      <c r="B381" s="35" t="s">
        <v>414</v>
      </c>
      <c r="C381" s="36">
        <v>6827</v>
      </c>
      <c r="D381" s="6"/>
      <c r="E381" s="113">
        <v>293697710</v>
      </c>
      <c r="F381" s="116">
        <f t="shared" si="71"/>
        <v>43020.024901127872</v>
      </c>
      <c r="G381" s="117">
        <v>169972810</v>
      </c>
      <c r="H381" s="117">
        <f t="shared" si="72"/>
        <v>24897.145158927786</v>
      </c>
      <c r="I381" s="7"/>
      <c r="J381" s="10">
        <v>4.7300000000000004</v>
      </c>
      <c r="K381" s="117">
        <v>803971</v>
      </c>
      <c r="L381" s="120">
        <f t="shared" si="74"/>
        <v>117.76343928519115</v>
      </c>
      <c r="M381" s="122">
        <f t="shared" si="67"/>
        <v>1699728.1</v>
      </c>
      <c r="N381" s="116">
        <f t="shared" si="68"/>
        <v>895757.10000000009</v>
      </c>
      <c r="O381" s="123">
        <f t="shared" si="69"/>
        <v>131.20801230408674</v>
      </c>
      <c r="P381" s="5"/>
      <c r="Q381" s="5">
        <f t="shared" si="63"/>
        <v>1</v>
      </c>
      <c r="R381" s="7">
        <f t="shared" si="64"/>
        <v>6827</v>
      </c>
      <c r="S381" s="5">
        <f t="shared" si="65"/>
        <v>1</v>
      </c>
      <c r="T381" s="7">
        <f t="shared" si="66"/>
        <v>6827</v>
      </c>
    </row>
    <row r="382" spans="1:20">
      <c r="A382" s="23" t="s">
        <v>415</v>
      </c>
      <c r="B382" s="35" t="s">
        <v>416</v>
      </c>
      <c r="C382" s="36">
        <v>1917</v>
      </c>
      <c r="D382" s="6"/>
      <c r="E382" s="113">
        <v>54567255</v>
      </c>
      <c r="F382" s="116">
        <f t="shared" si="71"/>
        <v>28464.921752738654</v>
      </c>
      <c r="G382" s="117">
        <v>25446898</v>
      </c>
      <c r="H382" s="117">
        <f t="shared" si="72"/>
        <v>13274.333854981742</v>
      </c>
      <c r="I382" s="7"/>
      <c r="J382" s="11">
        <v>2.4500000000000002</v>
      </c>
      <c r="K382" s="117">
        <v>62344</v>
      </c>
      <c r="L382" s="120">
        <f t="shared" si="74"/>
        <v>32.521648408972354</v>
      </c>
      <c r="M382" s="122">
        <f t="shared" si="67"/>
        <v>254468.98</v>
      </c>
      <c r="N382" s="116">
        <f t="shared" si="68"/>
        <v>192124.98</v>
      </c>
      <c r="O382" s="123">
        <f t="shared" si="69"/>
        <v>100.22169014084507</v>
      </c>
      <c r="P382" s="5"/>
      <c r="Q382" s="5">
        <f t="shared" si="63"/>
        <v>1</v>
      </c>
      <c r="R382" s="7">
        <f t="shared" si="64"/>
        <v>1917</v>
      </c>
      <c r="S382" s="5">
        <f t="shared" si="65"/>
        <v>1</v>
      </c>
      <c r="T382" s="7">
        <f t="shared" si="66"/>
        <v>1917</v>
      </c>
    </row>
    <row r="383" spans="1:20">
      <c r="A383" s="23" t="s">
        <v>417</v>
      </c>
      <c r="B383" s="35" t="s">
        <v>416</v>
      </c>
      <c r="C383" s="36">
        <v>268</v>
      </c>
      <c r="D383" s="6"/>
      <c r="E383" s="113">
        <v>4450915</v>
      </c>
      <c r="F383" s="116">
        <f t="shared" si="71"/>
        <v>16607.891791044774</v>
      </c>
      <c r="G383" s="117">
        <v>1825308</v>
      </c>
      <c r="H383" s="117">
        <f t="shared" si="72"/>
        <v>6810.8507462686566</v>
      </c>
      <c r="I383" s="98" t="s">
        <v>528</v>
      </c>
      <c r="J383" s="10"/>
      <c r="K383" s="117"/>
      <c r="L383" s="120"/>
      <c r="M383" s="122">
        <f t="shared" si="67"/>
        <v>18253.080000000002</v>
      </c>
      <c r="N383" s="116">
        <f t="shared" si="68"/>
        <v>18253.080000000002</v>
      </c>
      <c r="O383" s="123">
        <f t="shared" si="69"/>
        <v>68.108507462686575</v>
      </c>
      <c r="P383" s="5"/>
      <c r="Q383" s="5">
        <f t="shared" si="63"/>
        <v>1</v>
      </c>
      <c r="R383" s="7">
        <f t="shared" si="64"/>
        <v>268</v>
      </c>
      <c r="S383" s="5">
        <f t="shared" si="65"/>
        <v>0</v>
      </c>
      <c r="T383" s="7">
        <f t="shared" si="66"/>
        <v>0</v>
      </c>
    </row>
    <row r="384" spans="1:20">
      <c r="A384" s="23" t="s">
        <v>418</v>
      </c>
      <c r="B384" s="35" t="s">
        <v>416</v>
      </c>
      <c r="C384" s="36">
        <v>188</v>
      </c>
      <c r="D384" s="6"/>
      <c r="E384" s="113">
        <v>5053053</v>
      </c>
      <c r="F384" s="116">
        <f t="shared" si="71"/>
        <v>26877.941489361703</v>
      </c>
      <c r="G384" s="117">
        <v>3071775</v>
      </c>
      <c r="H384" s="117">
        <f t="shared" si="72"/>
        <v>16339.228723404256</v>
      </c>
      <c r="I384" s="7"/>
      <c r="J384" s="10">
        <v>2</v>
      </c>
      <c r="K384" s="117">
        <v>6143</v>
      </c>
      <c r="L384" s="120">
        <f t="shared" ref="L384:L400" si="75">(K384/C384)</f>
        <v>32.675531914893618</v>
      </c>
      <c r="M384" s="122">
        <f t="shared" si="67"/>
        <v>30717.75</v>
      </c>
      <c r="N384" s="116">
        <f t="shared" si="68"/>
        <v>24574.75</v>
      </c>
      <c r="O384" s="123">
        <f t="shared" si="69"/>
        <v>130.71675531914894</v>
      </c>
      <c r="P384" s="5"/>
      <c r="Q384" s="5">
        <f t="shared" si="63"/>
        <v>1</v>
      </c>
      <c r="R384" s="7">
        <f t="shared" si="64"/>
        <v>188</v>
      </c>
      <c r="S384" s="5">
        <f t="shared" si="65"/>
        <v>1</v>
      </c>
      <c r="T384" s="7">
        <f t="shared" si="66"/>
        <v>188</v>
      </c>
    </row>
    <row r="385" spans="1:20">
      <c r="A385" s="23" t="s">
        <v>419</v>
      </c>
      <c r="B385" s="35" t="s">
        <v>420</v>
      </c>
      <c r="C385" s="36">
        <v>64945</v>
      </c>
      <c r="D385" s="6"/>
      <c r="E385" s="113">
        <v>4073044498</v>
      </c>
      <c r="F385" s="116">
        <f t="shared" si="71"/>
        <v>62715.289829856032</v>
      </c>
      <c r="G385" s="117">
        <v>2855610859</v>
      </c>
      <c r="H385" s="117">
        <f t="shared" si="72"/>
        <v>43969.679867580264</v>
      </c>
      <c r="I385" s="7"/>
      <c r="J385" s="10">
        <v>6.7838000000000003</v>
      </c>
      <c r="K385" s="117">
        <v>19371892</v>
      </c>
      <c r="L385" s="120">
        <f t="shared" si="75"/>
        <v>298.28149973054121</v>
      </c>
      <c r="M385" s="122">
        <f t="shared" si="67"/>
        <v>28556108.59</v>
      </c>
      <c r="N385" s="116">
        <f t="shared" si="68"/>
        <v>9184216.5899999999</v>
      </c>
      <c r="O385" s="123">
        <f t="shared" si="69"/>
        <v>141.41529894526138</v>
      </c>
      <c r="P385" s="5"/>
      <c r="Q385" s="5">
        <f t="shared" si="63"/>
        <v>1</v>
      </c>
      <c r="R385" s="7">
        <f t="shared" si="64"/>
        <v>64945</v>
      </c>
      <c r="S385" s="5">
        <f t="shared" si="65"/>
        <v>1</v>
      </c>
      <c r="T385" s="7">
        <f t="shared" si="66"/>
        <v>64945</v>
      </c>
    </row>
    <row r="386" spans="1:20">
      <c r="A386" s="23" t="s">
        <v>421</v>
      </c>
      <c r="B386" s="35" t="s">
        <v>420</v>
      </c>
      <c r="C386" s="36">
        <v>4405</v>
      </c>
      <c r="D386" s="6"/>
      <c r="E386" s="113">
        <v>887738825</v>
      </c>
      <c r="F386" s="116">
        <f t="shared" si="71"/>
        <v>201529.81271282633</v>
      </c>
      <c r="G386" s="117">
        <v>787770498</v>
      </c>
      <c r="H386" s="117">
        <f t="shared" si="72"/>
        <v>178835.52735527809</v>
      </c>
      <c r="I386" s="9"/>
      <c r="J386" s="10">
        <v>3.6823000000000001</v>
      </c>
      <c r="K386" s="117">
        <v>2900807</v>
      </c>
      <c r="L386" s="120">
        <f t="shared" si="75"/>
        <v>658.52599318955731</v>
      </c>
      <c r="M386" s="122">
        <f t="shared" si="67"/>
        <v>7877704.9800000004</v>
      </c>
      <c r="N386" s="116">
        <f t="shared" si="68"/>
        <v>4976897.9800000004</v>
      </c>
      <c r="O386" s="123">
        <f t="shared" si="69"/>
        <v>1129.8292803632237</v>
      </c>
      <c r="P386" s="5"/>
      <c r="Q386" s="5">
        <f t="shared" si="63"/>
        <v>1</v>
      </c>
      <c r="R386" s="7">
        <f t="shared" si="64"/>
        <v>4405</v>
      </c>
      <c r="S386" s="5">
        <f t="shared" si="65"/>
        <v>1</v>
      </c>
      <c r="T386" s="7">
        <f t="shared" si="66"/>
        <v>4405</v>
      </c>
    </row>
    <row r="387" spans="1:20">
      <c r="A387" s="23" t="s">
        <v>462</v>
      </c>
      <c r="B387" s="35" t="s">
        <v>420</v>
      </c>
      <c r="C387" s="36">
        <v>16508</v>
      </c>
      <c r="D387" s="6"/>
      <c r="E387" s="113">
        <v>1066233896</v>
      </c>
      <c r="F387" s="116">
        <f t="shared" si="71"/>
        <v>64588.920281075843</v>
      </c>
      <c r="G387" s="117">
        <v>831092681</v>
      </c>
      <c r="H387" s="117">
        <f t="shared" si="72"/>
        <v>50344.84377271626</v>
      </c>
      <c r="I387" s="7"/>
      <c r="J387" s="10">
        <v>2.5074000000000001</v>
      </c>
      <c r="K387" s="117">
        <v>2083881</v>
      </c>
      <c r="L387" s="120">
        <f t="shared" si="75"/>
        <v>126.23461352071723</v>
      </c>
      <c r="M387" s="122">
        <f t="shared" si="67"/>
        <v>8310926.8100000005</v>
      </c>
      <c r="N387" s="116">
        <f t="shared" si="68"/>
        <v>6227045.8100000005</v>
      </c>
      <c r="O387" s="123">
        <f t="shared" si="69"/>
        <v>377.21382420644539</v>
      </c>
      <c r="P387" s="5"/>
      <c r="Q387" s="5">
        <f t="shared" si="63"/>
        <v>1</v>
      </c>
      <c r="R387" s="7">
        <f t="shared" si="64"/>
        <v>16508</v>
      </c>
      <c r="S387" s="5">
        <f t="shared" si="65"/>
        <v>1</v>
      </c>
      <c r="T387" s="7">
        <f t="shared" si="66"/>
        <v>16508</v>
      </c>
    </row>
    <row r="388" spans="1:20">
      <c r="A388" s="23" t="s">
        <v>463</v>
      </c>
      <c r="B388" s="35" t="s">
        <v>420</v>
      </c>
      <c r="C388" s="36">
        <v>22318</v>
      </c>
      <c r="D388" s="6"/>
      <c r="E388" s="113">
        <v>1244123981</v>
      </c>
      <c r="F388" s="116">
        <f t="shared" si="71"/>
        <v>55745.316829465002</v>
      </c>
      <c r="G388" s="117">
        <v>799039594</v>
      </c>
      <c r="H388" s="117">
        <f t="shared" si="72"/>
        <v>35802.473071063716</v>
      </c>
      <c r="I388" s="7"/>
      <c r="J388" s="10">
        <v>5.9269999999999996</v>
      </c>
      <c r="K388" s="117">
        <v>4735907</v>
      </c>
      <c r="L388" s="120">
        <f t="shared" si="75"/>
        <v>212.20122770857603</v>
      </c>
      <c r="M388" s="122">
        <f t="shared" si="67"/>
        <v>7990395.9400000004</v>
      </c>
      <c r="N388" s="116">
        <f t="shared" si="68"/>
        <v>3254488.9400000004</v>
      </c>
      <c r="O388" s="123">
        <f t="shared" si="69"/>
        <v>145.82350300206113</v>
      </c>
      <c r="P388" s="5"/>
      <c r="Q388" s="5">
        <f t="shared" si="63"/>
        <v>1</v>
      </c>
      <c r="R388" s="7">
        <f t="shared" si="64"/>
        <v>22318</v>
      </c>
      <c r="S388" s="5">
        <f t="shared" si="65"/>
        <v>1</v>
      </c>
      <c r="T388" s="7">
        <f t="shared" si="66"/>
        <v>22318</v>
      </c>
    </row>
    <row r="389" spans="1:20">
      <c r="A389" s="23" t="s">
        <v>422</v>
      </c>
      <c r="B389" s="35" t="s">
        <v>420</v>
      </c>
      <c r="C389" s="36">
        <v>73824</v>
      </c>
      <c r="D389" s="6"/>
      <c r="E389" s="113">
        <v>2448027183</v>
      </c>
      <c r="F389" s="116">
        <f t="shared" si="71"/>
        <v>33160.316197984394</v>
      </c>
      <c r="G389" s="117">
        <v>1630738499</v>
      </c>
      <c r="H389" s="117">
        <f t="shared" si="72"/>
        <v>22089.544037169486</v>
      </c>
      <c r="I389" s="7"/>
      <c r="J389" s="11">
        <v>4.1980000000000004</v>
      </c>
      <c r="K389" s="117">
        <v>6845840</v>
      </c>
      <c r="L389" s="120">
        <f t="shared" si="75"/>
        <v>92.731902904204588</v>
      </c>
      <c r="M389" s="122">
        <f t="shared" si="67"/>
        <v>16307384.99</v>
      </c>
      <c r="N389" s="116">
        <f t="shared" si="68"/>
        <v>9461544.9900000002</v>
      </c>
      <c r="O389" s="123">
        <f t="shared" si="69"/>
        <v>128.16353746749024</v>
      </c>
      <c r="P389" s="5"/>
      <c r="Q389" s="5">
        <f t="shared" si="63"/>
        <v>1</v>
      </c>
      <c r="R389" s="7">
        <f t="shared" si="64"/>
        <v>73824</v>
      </c>
      <c r="S389" s="5">
        <f t="shared" si="65"/>
        <v>1</v>
      </c>
      <c r="T389" s="7">
        <f t="shared" si="66"/>
        <v>73824</v>
      </c>
    </row>
    <row r="390" spans="1:20">
      <c r="A390" s="23" t="s">
        <v>423</v>
      </c>
      <c r="B390" s="35" t="s">
        <v>420</v>
      </c>
      <c r="C390" s="36">
        <v>19515</v>
      </c>
      <c r="D390" s="6"/>
      <c r="E390" s="113">
        <v>759102614</v>
      </c>
      <c r="F390" s="116">
        <f t="shared" si="71"/>
        <v>38898.417320010245</v>
      </c>
      <c r="G390" s="117">
        <v>506036346</v>
      </c>
      <c r="H390" s="117">
        <f t="shared" si="72"/>
        <v>25930.635203689471</v>
      </c>
      <c r="I390" s="7"/>
      <c r="J390" s="10">
        <v>6.95</v>
      </c>
      <c r="K390" s="117">
        <v>3516952</v>
      </c>
      <c r="L390" s="120">
        <f t="shared" si="75"/>
        <v>180.2178836792211</v>
      </c>
      <c r="M390" s="122">
        <f t="shared" si="67"/>
        <v>5060363.46</v>
      </c>
      <c r="N390" s="116">
        <f t="shared" si="68"/>
        <v>1543411.46</v>
      </c>
      <c r="O390" s="123">
        <f t="shared" si="69"/>
        <v>79.088468357673577</v>
      </c>
      <c r="P390" s="5"/>
      <c r="Q390" s="5">
        <f t="shared" si="63"/>
        <v>1</v>
      </c>
      <c r="R390" s="7">
        <f t="shared" si="64"/>
        <v>19515</v>
      </c>
      <c r="S390" s="5">
        <f t="shared" si="65"/>
        <v>1</v>
      </c>
      <c r="T390" s="7">
        <f t="shared" si="66"/>
        <v>19515</v>
      </c>
    </row>
    <row r="391" spans="1:20">
      <c r="A391" s="23" t="s">
        <v>424</v>
      </c>
      <c r="B391" s="35" t="s">
        <v>420</v>
      </c>
      <c r="C391" s="36">
        <v>12503</v>
      </c>
      <c r="D391" s="6"/>
      <c r="E391" s="113">
        <v>504671821</v>
      </c>
      <c r="F391" s="116">
        <f t="shared" si="71"/>
        <v>40364.058306006562</v>
      </c>
      <c r="G391" s="117">
        <v>358322094</v>
      </c>
      <c r="H391" s="117">
        <f t="shared" si="72"/>
        <v>28658.889386547227</v>
      </c>
      <c r="I391" s="7"/>
      <c r="J391" s="10">
        <v>4.5</v>
      </c>
      <c r="K391" s="117">
        <v>1612449</v>
      </c>
      <c r="L391" s="120">
        <f t="shared" si="75"/>
        <v>128.96496840758218</v>
      </c>
      <c r="M391" s="122">
        <f t="shared" si="67"/>
        <v>3583220.94</v>
      </c>
      <c r="N391" s="116">
        <f t="shared" si="68"/>
        <v>1970771.94</v>
      </c>
      <c r="O391" s="123">
        <f t="shared" si="69"/>
        <v>157.6239254578901</v>
      </c>
      <c r="P391" s="5"/>
      <c r="Q391" s="5">
        <f t="shared" ref="Q391:Q410" si="76">IF(E391&gt;0,1,0)</f>
        <v>1</v>
      </c>
      <c r="R391" s="7">
        <f t="shared" ref="R391:R410" si="77">IF(E391&gt;0,C391,0)</f>
        <v>12503</v>
      </c>
      <c r="S391" s="5">
        <f t="shared" ref="S391:S410" si="78">IF(J391&gt;0,1,0)</f>
        <v>1</v>
      </c>
      <c r="T391" s="7">
        <f t="shared" ref="T391:T410" si="79">IF(J391&gt;0,C391,0)</f>
        <v>12503</v>
      </c>
    </row>
    <row r="392" spans="1:20">
      <c r="A392" s="23" t="s">
        <v>425</v>
      </c>
      <c r="B392" s="35" t="s">
        <v>420</v>
      </c>
      <c r="C392" s="36">
        <v>2785</v>
      </c>
      <c r="D392" s="6"/>
      <c r="E392" s="113">
        <v>100626998</v>
      </c>
      <c r="F392" s="116">
        <f t="shared" si="71"/>
        <v>36131.776660682226</v>
      </c>
      <c r="G392" s="117">
        <v>61149581</v>
      </c>
      <c r="H392" s="117">
        <f t="shared" si="72"/>
        <v>21956.761579892282</v>
      </c>
      <c r="I392" s="7"/>
      <c r="J392" s="10">
        <v>5.2</v>
      </c>
      <c r="K392" s="117">
        <v>317977</v>
      </c>
      <c r="L392" s="120">
        <f t="shared" si="75"/>
        <v>114.17486535008976</v>
      </c>
      <c r="M392" s="122">
        <f t="shared" ref="M392:M410" si="80">(G392*0.01)</f>
        <v>611495.81000000006</v>
      </c>
      <c r="N392" s="116">
        <f t="shared" ref="N392:N410" si="81">(M392-K392)</f>
        <v>293518.81000000006</v>
      </c>
      <c r="O392" s="123">
        <f t="shared" ref="O392:O410" si="82">(N392/C392)</f>
        <v>105.39275044883306</v>
      </c>
      <c r="P392" s="5"/>
      <c r="Q392" s="5">
        <f t="shared" si="76"/>
        <v>1</v>
      </c>
      <c r="R392" s="7">
        <f t="shared" si="77"/>
        <v>2785</v>
      </c>
      <c r="S392" s="5">
        <f t="shared" si="78"/>
        <v>1</v>
      </c>
      <c r="T392" s="7">
        <f t="shared" si="79"/>
        <v>2785</v>
      </c>
    </row>
    <row r="393" spans="1:20">
      <c r="A393" s="23" t="s">
        <v>426</v>
      </c>
      <c r="B393" s="35" t="s">
        <v>420</v>
      </c>
      <c r="C393" s="36">
        <v>20350</v>
      </c>
      <c r="D393" s="6"/>
      <c r="E393" s="113">
        <v>2171661609</v>
      </c>
      <c r="F393" s="116">
        <f t="shared" si="71"/>
        <v>106715.55818181818</v>
      </c>
      <c r="G393" s="117">
        <v>1663695995</v>
      </c>
      <c r="H393" s="117">
        <f t="shared" si="72"/>
        <v>81754.102948402942</v>
      </c>
      <c r="I393" s="7"/>
      <c r="J393" s="10">
        <v>5.0999999999999996</v>
      </c>
      <c r="K393" s="117">
        <v>8484849</v>
      </c>
      <c r="L393" s="120">
        <f t="shared" si="75"/>
        <v>416.94589680589678</v>
      </c>
      <c r="M393" s="122">
        <f t="shared" si="80"/>
        <v>16636959.950000001</v>
      </c>
      <c r="N393" s="116">
        <f t="shared" si="81"/>
        <v>8152110.9500000011</v>
      </c>
      <c r="O393" s="123">
        <f t="shared" si="82"/>
        <v>400.59513267813276</v>
      </c>
      <c r="P393" s="5"/>
      <c r="Q393" s="5">
        <f t="shared" si="76"/>
        <v>1</v>
      </c>
      <c r="R393" s="7">
        <f t="shared" si="77"/>
        <v>20350</v>
      </c>
      <c r="S393" s="5">
        <f t="shared" si="78"/>
        <v>1</v>
      </c>
      <c r="T393" s="7">
        <f t="shared" si="79"/>
        <v>20350</v>
      </c>
    </row>
    <row r="394" spans="1:20">
      <c r="A394" s="23" t="s">
        <v>427</v>
      </c>
      <c r="B394" s="35" t="s">
        <v>420</v>
      </c>
      <c r="C394" s="36">
        <v>1467</v>
      </c>
      <c r="D394" s="6"/>
      <c r="E394" s="113">
        <v>73718838</v>
      </c>
      <c r="F394" s="116">
        <f t="shared" si="71"/>
        <v>50251.423312883438</v>
      </c>
      <c r="G394" s="117">
        <v>49895616</v>
      </c>
      <c r="H394" s="117">
        <f t="shared" si="72"/>
        <v>34012.008179959099</v>
      </c>
      <c r="I394" s="7"/>
      <c r="J394" s="10">
        <v>4.335</v>
      </c>
      <c r="K394" s="117">
        <v>216297</v>
      </c>
      <c r="L394" s="120">
        <f t="shared" si="75"/>
        <v>147.44171779141104</v>
      </c>
      <c r="M394" s="122">
        <f t="shared" si="80"/>
        <v>498956.16000000003</v>
      </c>
      <c r="N394" s="116">
        <f t="shared" si="81"/>
        <v>282659.16000000003</v>
      </c>
      <c r="O394" s="123">
        <f t="shared" si="82"/>
        <v>192.67836400817998</v>
      </c>
      <c r="P394" s="5"/>
      <c r="Q394" s="5">
        <f t="shared" si="76"/>
        <v>1</v>
      </c>
      <c r="R394" s="7">
        <f t="shared" si="77"/>
        <v>1467</v>
      </c>
      <c r="S394" s="5">
        <f t="shared" si="78"/>
        <v>1</v>
      </c>
      <c r="T394" s="7">
        <f t="shared" si="79"/>
        <v>1467</v>
      </c>
    </row>
    <row r="395" spans="1:20">
      <c r="A395" s="23" t="s">
        <v>428</v>
      </c>
      <c r="B395" s="35" t="s">
        <v>420</v>
      </c>
      <c r="C395" s="36">
        <v>6686</v>
      </c>
      <c r="D395" s="6"/>
      <c r="E395" s="113">
        <v>435875439</v>
      </c>
      <c r="F395" s="116">
        <f t="shared" si="71"/>
        <v>65192.258300927308</v>
      </c>
      <c r="G395" s="117">
        <v>330680503</v>
      </c>
      <c r="H395" s="117">
        <f t="shared" si="72"/>
        <v>49458.645378402631</v>
      </c>
      <c r="I395" s="7"/>
      <c r="J395" s="10">
        <v>5.2169999999999996</v>
      </c>
      <c r="K395" s="117">
        <v>1725160</v>
      </c>
      <c r="L395" s="120">
        <f t="shared" si="75"/>
        <v>258.02572539635059</v>
      </c>
      <c r="M395" s="122">
        <f t="shared" si="80"/>
        <v>3306805.0300000003</v>
      </c>
      <c r="N395" s="116">
        <f t="shared" si="81"/>
        <v>1581645.0300000003</v>
      </c>
      <c r="O395" s="123">
        <f t="shared" si="82"/>
        <v>236.56072838767577</v>
      </c>
      <c r="P395" s="5"/>
      <c r="Q395" s="5">
        <f t="shared" si="76"/>
        <v>1</v>
      </c>
      <c r="R395" s="7">
        <f t="shared" si="77"/>
        <v>6686</v>
      </c>
      <c r="S395" s="5">
        <f t="shared" si="78"/>
        <v>1</v>
      </c>
      <c r="T395" s="7">
        <f t="shared" si="79"/>
        <v>6686</v>
      </c>
    </row>
    <row r="396" spans="1:20">
      <c r="A396" s="23" t="s">
        <v>429</v>
      </c>
      <c r="B396" s="35" t="s">
        <v>420</v>
      </c>
      <c r="C396" s="36">
        <v>37603</v>
      </c>
      <c r="D396" s="6"/>
      <c r="E396" s="113">
        <v>2803576984</v>
      </c>
      <c r="F396" s="116">
        <f t="shared" si="71"/>
        <v>74557.268941307877</v>
      </c>
      <c r="G396" s="117">
        <v>2114516416</v>
      </c>
      <c r="H396" s="117">
        <f t="shared" si="72"/>
        <v>56232.652075632264</v>
      </c>
      <c r="I396" s="7"/>
      <c r="J396" s="10">
        <v>2.6124999999999998</v>
      </c>
      <c r="K396" s="117">
        <v>5524174</v>
      </c>
      <c r="L396" s="120">
        <f t="shared" si="75"/>
        <v>146.90779990958168</v>
      </c>
      <c r="M396" s="122">
        <f t="shared" si="80"/>
        <v>21145164.16</v>
      </c>
      <c r="N396" s="116">
        <f t="shared" si="81"/>
        <v>15620990.16</v>
      </c>
      <c r="O396" s="123">
        <f t="shared" si="82"/>
        <v>415.41872084674094</v>
      </c>
      <c r="P396" s="5"/>
      <c r="Q396" s="5">
        <f t="shared" si="76"/>
        <v>1</v>
      </c>
      <c r="R396" s="7">
        <f t="shared" si="77"/>
        <v>37603</v>
      </c>
      <c r="S396" s="5">
        <f t="shared" si="78"/>
        <v>1</v>
      </c>
      <c r="T396" s="7">
        <f t="shared" si="79"/>
        <v>37603</v>
      </c>
    </row>
    <row r="397" spans="1:20">
      <c r="A397" s="23" t="s">
        <v>430</v>
      </c>
      <c r="B397" s="35" t="s">
        <v>420</v>
      </c>
      <c r="C397" s="36">
        <v>2623</v>
      </c>
      <c r="D397" s="6"/>
      <c r="E397" s="113">
        <v>61841338</v>
      </c>
      <c r="F397" s="116">
        <f t="shared" si="71"/>
        <v>23576.568051849026</v>
      </c>
      <c r="G397" s="117">
        <v>36032397</v>
      </c>
      <c r="H397" s="117">
        <f t="shared" si="72"/>
        <v>13737.093785741517</v>
      </c>
      <c r="I397" s="7"/>
      <c r="J397" s="10">
        <v>5</v>
      </c>
      <c r="K397" s="117">
        <v>180161</v>
      </c>
      <c r="L397" s="120">
        <f t="shared" si="75"/>
        <v>68.685093404498659</v>
      </c>
      <c r="M397" s="122">
        <f t="shared" si="80"/>
        <v>360323.97000000003</v>
      </c>
      <c r="N397" s="116">
        <f t="shared" si="81"/>
        <v>180162.97000000003</v>
      </c>
      <c r="O397" s="123">
        <f t="shared" si="82"/>
        <v>68.685844452916513</v>
      </c>
      <c r="P397" s="5"/>
      <c r="Q397" s="5">
        <f t="shared" si="76"/>
        <v>1</v>
      </c>
      <c r="R397" s="7">
        <f t="shared" si="77"/>
        <v>2623</v>
      </c>
      <c r="S397" s="5">
        <f t="shared" si="78"/>
        <v>1</v>
      </c>
      <c r="T397" s="7">
        <f t="shared" si="79"/>
        <v>2623</v>
      </c>
    </row>
    <row r="398" spans="1:20">
      <c r="A398" s="23" t="s">
        <v>431</v>
      </c>
      <c r="B398" s="35" t="s">
        <v>420</v>
      </c>
      <c r="C398" s="36">
        <v>2767</v>
      </c>
      <c r="D398" s="6"/>
      <c r="E398" s="113">
        <v>567031240</v>
      </c>
      <c r="F398" s="116">
        <f t="shared" si="71"/>
        <v>204926.36067943621</v>
      </c>
      <c r="G398" s="117">
        <v>472905895</v>
      </c>
      <c r="H398" s="117">
        <f t="shared" si="72"/>
        <v>170909.25009035057</v>
      </c>
      <c r="I398" s="7"/>
      <c r="J398" s="10">
        <v>4.7779999999999996</v>
      </c>
      <c r="K398" s="117">
        <v>2259544</v>
      </c>
      <c r="L398" s="120">
        <f t="shared" si="75"/>
        <v>816.60426454644016</v>
      </c>
      <c r="M398" s="122">
        <f t="shared" si="80"/>
        <v>4729058.95</v>
      </c>
      <c r="N398" s="116">
        <f t="shared" si="81"/>
        <v>2469514.9500000002</v>
      </c>
      <c r="O398" s="123">
        <f t="shared" si="82"/>
        <v>892.48823635706549</v>
      </c>
      <c r="P398" s="5"/>
      <c r="Q398" s="5">
        <f t="shared" si="76"/>
        <v>1</v>
      </c>
      <c r="R398" s="7">
        <f t="shared" si="77"/>
        <v>2767</v>
      </c>
      <c r="S398" s="5">
        <f t="shared" si="78"/>
        <v>1</v>
      </c>
      <c r="T398" s="7">
        <f t="shared" si="79"/>
        <v>2767</v>
      </c>
    </row>
    <row r="399" spans="1:20">
      <c r="A399" s="23" t="s">
        <v>432</v>
      </c>
      <c r="B399" s="35" t="s">
        <v>420</v>
      </c>
      <c r="C399" s="36">
        <v>48831</v>
      </c>
      <c r="D399" s="6"/>
      <c r="E399" s="113">
        <v>2302791879</v>
      </c>
      <c r="F399" s="116">
        <f t="shared" si="71"/>
        <v>47158.400995269396</v>
      </c>
      <c r="G399" s="117">
        <v>1632138845</v>
      </c>
      <c r="H399" s="117">
        <f t="shared" si="72"/>
        <v>33424.235526612196</v>
      </c>
      <c r="I399" s="7"/>
      <c r="J399" s="10">
        <v>4.4851000000000001</v>
      </c>
      <c r="K399" s="117">
        <v>7320305</v>
      </c>
      <c r="L399" s="120">
        <f t="shared" si="75"/>
        <v>149.91101963916364</v>
      </c>
      <c r="M399" s="122">
        <f t="shared" si="80"/>
        <v>16321388.450000001</v>
      </c>
      <c r="N399" s="116">
        <f t="shared" si="81"/>
        <v>9001083.4500000011</v>
      </c>
      <c r="O399" s="123">
        <f t="shared" si="82"/>
        <v>184.33133562695832</v>
      </c>
      <c r="P399" s="5"/>
      <c r="Q399" s="5">
        <f t="shared" si="76"/>
        <v>1</v>
      </c>
      <c r="R399" s="7">
        <f t="shared" si="77"/>
        <v>48831</v>
      </c>
      <c r="S399" s="5">
        <f t="shared" si="78"/>
        <v>1</v>
      </c>
      <c r="T399" s="7">
        <f t="shared" si="79"/>
        <v>48831</v>
      </c>
    </row>
    <row r="400" spans="1:20">
      <c r="A400" s="23" t="s">
        <v>433</v>
      </c>
      <c r="B400" s="35" t="s">
        <v>420</v>
      </c>
      <c r="C400" s="36">
        <v>13335</v>
      </c>
      <c r="D400" s="6"/>
      <c r="E400" s="113">
        <v>545842691</v>
      </c>
      <c r="F400" s="116">
        <f t="shared" si="71"/>
        <v>40933.085189351332</v>
      </c>
      <c r="G400" s="117">
        <v>403518553</v>
      </c>
      <c r="H400" s="117">
        <f t="shared" si="72"/>
        <v>30260.108961379829</v>
      </c>
      <c r="I400" s="7"/>
      <c r="J400" s="10">
        <v>4.6390000000000002</v>
      </c>
      <c r="K400" s="117">
        <v>1871922</v>
      </c>
      <c r="L400" s="120">
        <f t="shared" si="75"/>
        <v>140.37660292463443</v>
      </c>
      <c r="M400" s="122">
        <f t="shared" si="80"/>
        <v>4035185.5300000003</v>
      </c>
      <c r="N400" s="116">
        <f t="shared" si="81"/>
        <v>2163263.5300000003</v>
      </c>
      <c r="O400" s="123">
        <f t="shared" si="82"/>
        <v>162.22448668916388</v>
      </c>
      <c r="P400" s="5"/>
      <c r="Q400" s="5">
        <f t="shared" si="76"/>
        <v>1</v>
      </c>
      <c r="R400" s="7">
        <f t="shared" si="77"/>
        <v>13335</v>
      </c>
      <c r="S400" s="5">
        <f t="shared" si="78"/>
        <v>1</v>
      </c>
      <c r="T400" s="7">
        <f t="shared" si="79"/>
        <v>13335</v>
      </c>
    </row>
    <row r="401" spans="1:20">
      <c r="A401" s="23" t="s">
        <v>435</v>
      </c>
      <c r="B401" s="35" t="s">
        <v>434</v>
      </c>
      <c r="C401" s="36">
        <v>413</v>
      </c>
      <c r="D401" s="6"/>
      <c r="E401" s="113">
        <v>75935396</v>
      </c>
      <c r="F401" s="116">
        <f t="shared" si="71"/>
        <v>183862.94430992735</v>
      </c>
      <c r="G401" s="117">
        <v>44654111</v>
      </c>
      <c r="H401" s="117">
        <f t="shared" si="72"/>
        <v>108121.33414043584</v>
      </c>
      <c r="I401" s="98" t="s">
        <v>528</v>
      </c>
      <c r="J401" s="10"/>
      <c r="K401" s="117"/>
      <c r="L401" s="120"/>
      <c r="M401" s="122">
        <f t="shared" si="80"/>
        <v>446541.11</v>
      </c>
      <c r="N401" s="116">
        <f t="shared" si="81"/>
        <v>446541.11</v>
      </c>
      <c r="O401" s="123">
        <f t="shared" si="82"/>
        <v>1081.2133414043583</v>
      </c>
      <c r="P401" s="5"/>
      <c r="Q401" s="5">
        <f t="shared" si="76"/>
        <v>1</v>
      </c>
      <c r="R401" s="7">
        <f t="shared" si="77"/>
        <v>413</v>
      </c>
      <c r="S401" s="5">
        <f t="shared" si="78"/>
        <v>0</v>
      </c>
      <c r="T401" s="7">
        <f t="shared" si="79"/>
        <v>0</v>
      </c>
    </row>
    <row r="402" spans="1:20">
      <c r="A402" s="23" t="s">
        <v>555</v>
      </c>
      <c r="B402" s="35" t="s">
        <v>434</v>
      </c>
      <c r="C402" s="36">
        <v>273</v>
      </c>
      <c r="D402" s="6"/>
      <c r="E402" s="113">
        <v>62984331</v>
      </c>
      <c r="F402" s="116">
        <f t="shared" si="71"/>
        <v>230711.83516483515</v>
      </c>
      <c r="G402" s="117">
        <v>19685307</v>
      </c>
      <c r="H402" s="117">
        <f t="shared" si="72"/>
        <v>72107.351648351643</v>
      </c>
      <c r="I402" s="7"/>
      <c r="J402" s="10">
        <v>4.5</v>
      </c>
      <c r="K402" s="117">
        <v>88583</v>
      </c>
      <c r="L402" s="120">
        <f>(K402/C402)</f>
        <v>324.47985347985349</v>
      </c>
      <c r="M402" s="122">
        <f t="shared" si="80"/>
        <v>196853.07</v>
      </c>
      <c r="N402" s="116">
        <f t="shared" si="81"/>
        <v>108270.07</v>
      </c>
      <c r="O402" s="123">
        <f t="shared" si="82"/>
        <v>396.59366300366304</v>
      </c>
      <c r="P402" s="5"/>
      <c r="Q402" s="5">
        <f t="shared" si="76"/>
        <v>1</v>
      </c>
      <c r="R402" s="7">
        <f t="shared" si="77"/>
        <v>273</v>
      </c>
      <c r="S402" s="5">
        <f t="shared" si="78"/>
        <v>1</v>
      </c>
      <c r="T402" s="7">
        <f t="shared" si="79"/>
        <v>273</v>
      </c>
    </row>
    <row r="403" spans="1:20">
      <c r="A403" s="23" t="s">
        <v>436</v>
      </c>
      <c r="B403" s="35" t="s">
        <v>437</v>
      </c>
      <c r="C403" s="36">
        <v>5168</v>
      </c>
      <c r="D403" s="6"/>
      <c r="E403" s="113">
        <v>214105894</v>
      </c>
      <c r="F403" s="116">
        <f t="shared" si="71"/>
        <v>41429.159055727556</v>
      </c>
      <c r="G403" s="117">
        <v>143110748</v>
      </c>
      <c r="H403" s="117">
        <f t="shared" si="72"/>
        <v>27691.708204334365</v>
      </c>
      <c r="I403" s="7"/>
      <c r="J403" s="10">
        <v>4.5</v>
      </c>
      <c r="K403" s="117">
        <v>643998</v>
      </c>
      <c r="L403" s="120">
        <f>(K403/C403)</f>
        <v>124.6126160990712</v>
      </c>
      <c r="M403" s="122">
        <f t="shared" si="80"/>
        <v>1431107.48</v>
      </c>
      <c r="N403" s="116">
        <f t="shared" si="81"/>
        <v>787109.48</v>
      </c>
      <c r="O403" s="123">
        <f t="shared" si="82"/>
        <v>152.30446594427244</v>
      </c>
      <c r="P403" s="5"/>
      <c r="Q403" s="5">
        <f t="shared" si="76"/>
        <v>1</v>
      </c>
      <c r="R403" s="7">
        <f t="shared" si="77"/>
        <v>5168</v>
      </c>
      <c r="S403" s="5">
        <f t="shared" si="78"/>
        <v>1</v>
      </c>
      <c r="T403" s="7">
        <f t="shared" si="79"/>
        <v>5168</v>
      </c>
    </row>
    <row r="404" spans="1:20">
      <c r="A404" s="23" t="s">
        <v>438</v>
      </c>
      <c r="B404" s="35" t="s">
        <v>437</v>
      </c>
      <c r="C404" s="36">
        <v>1208</v>
      </c>
      <c r="D404" s="6"/>
      <c r="E404" s="113">
        <v>55244042</v>
      </c>
      <c r="F404" s="116">
        <f t="shared" si="71"/>
        <v>45731.822847682117</v>
      </c>
      <c r="G404" s="117">
        <v>35014151</v>
      </c>
      <c r="H404" s="117">
        <f t="shared" si="72"/>
        <v>28985.224337748343</v>
      </c>
      <c r="I404" s="7"/>
      <c r="J404" s="10">
        <v>3.93</v>
      </c>
      <c r="K404" s="117">
        <v>137605</v>
      </c>
      <c r="L404" s="120">
        <f>(K404/C404)</f>
        <v>113.9114238410596</v>
      </c>
      <c r="M404" s="122">
        <f t="shared" si="80"/>
        <v>350141.51</v>
      </c>
      <c r="N404" s="116">
        <f t="shared" si="81"/>
        <v>212536.51</v>
      </c>
      <c r="O404" s="123">
        <f t="shared" si="82"/>
        <v>175.94081953642385</v>
      </c>
      <c r="P404" s="5"/>
      <c r="Q404" s="5">
        <f t="shared" si="76"/>
        <v>1</v>
      </c>
      <c r="R404" s="7">
        <f t="shared" si="77"/>
        <v>1208</v>
      </c>
      <c r="S404" s="5">
        <f t="shared" si="78"/>
        <v>1</v>
      </c>
      <c r="T404" s="7">
        <f t="shared" si="79"/>
        <v>1208</v>
      </c>
    </row>
    <row r="405" spans="1:20">
      <c r="A405" s="23" t="s">
        <v>439</v>
      </c>
      <c r="B405" s="35" t="s">
        <v>437</v>
      </c>
      <c r="C405" s="36">
        <v>671</v>
      </c>
      <c r="D405" s="6"/>
      <c r="E405" s="113">
        <v>13717216</v>
      </c>
      <c r="F405" s="116">
        <f t="shared" si="71"/>
        <v>20442.944858420269</v>
      </c>
      <c r="G405" s="117">
        <v>6456463</v>
      </c>
      <c r="H405" s="117">
        <f t="shared" si="72"/>
        <v>9622.1505216095375</v>
      </c>
      <c r="I405" s="98" t="s">
        <v>528</v>
      </c>
      <c r="J405" s="10"/>
      <c r="K405" s="117"/>
      <c r="L405" s="120"/>
      <c r="M405" s="122">
        <f t="shared" si="80"/>
        <v>64564.630000000005</v>
      </c>
      <c r="N405" s="116">
        <f t="shared" si="81"/>
        <v>64564.630000000005</v>
      </c>
      <c r="O405" s="123">
        <f t="shared" si="82"/>
        <v>96.22150521609538</v>
      </c>
      <c r="P405" s="5"/>
      <c r="Q405" s="5">
        <f t="shared" si="76"/>
        <v>1</v>
      </c>
      <c r="R405" s="7">
        <f t="shared" si="77"/>
        <v>671</v>
      </c>
      <c r="S405" s="5">
        <f t="shared" si="78"/>
        <v>0</v>
      </c>
      <c r="T405" s="7">
        <f t="shared" si="79"/>
        <v>0</v>
      </c>
    </row>
    <row r="406" spans="1:20">
      <c r="A406" s="23" t="s">
        <v>440</v>
      </c>
      <c r="B406" s="35" t="s">
        <v>441</v>
      </c>
      <c r="C406" s="36">
        <v>312</v>
      </c>
      <c r="D406" s="6"/>
      <c r="E406" s="113">
        <v>6749105</v>
      </c>
      <c r="F406" s="116">
        <f t="shared" si="71"/>
        <v>21631.746794871793</v>
      </c>
      <c r="G406" s="117">
        <v>2758371</v>
      </c>
      <c r="H406" s="117">
        <f t="shared" si="72"/>
        <v>8840.9326923076915</v>
      </c>
      <c r="I406" s="98" t="s">
        <v>528</v>
      </c>
      <c r="J406" s="10"/>
      <c r="K406" s="117"/>
      <c r="L406" s="120"/>
      <c r="M406" s="122">
        <f t="shared" si="80"/>
        <v>27583.71</v>
      </c>
      <c r="N406" s="116">
        <f t="shared" si="81"/>
        <v>27583.71</v>
      </c>
      <c r="O406" s="123">
        <f t="shared" si="82"/>
        <v>88.409326923076918</v>
      </c>
      <c r="P406" s="5"/>
      <c r="Q406" s="5">
        <f t="shared" si="76"/>
        <v>1</v>
      </c>
      <c r="R406" s="7">
        <f t="shared" si="77"/>
        <v>312</v>
      </c>
      <c r="S406" s="5">
        <f t="shared" si="78"/>
        <v>0</v>
      </c>
      <c r="T406" s="7">
        <f t="shared" si="79"/>
        <v>0</v>
      </c>
    </row>
    <row r="407" spans="1:20">
      <c r="A407" s="23" t="s">
        <v>442</v>
      </c>
      <c r="B407" s="35" t="s">
        <v>441</v>
      </c>
      <c r="C407" s="36">
        <v>3535</v>
      </c>
      <c r="D407" s="6"/>
      <c r="E407" s="113">
        <v>175333409</v>
      </c>
      <c r="F407" s="116">
        <f t="shared" si="71"/>
        <v>49599.267043847241</v>
      </c>
      <c r="G407" s="117">
        <v>115584963</v>
      </c>
      <c r="H407" s="117">
        <f t="shared" si="72"/>
        <v>32697.302121640736</v>
      </c>
      <c r="I407" s="7"/>
      <c r="J407" s="11">
        <v>6</v>
      </c>
      <c r="K407" s="117">
        <v>693509</v>
      </c>
      <c r="L407" s="120">
        <f>(K407/C407)</f>
        <v>196.18359264497877</v>
      </c>
      <c r="M407" s="122">
        <f t="shared" si="80"/>
        <v>1155849.6300000001</v>
      </c>
      <c r="N407" s="116">
        <f t="shared" si="81"/>
        <v>462340.63000000012</v>
      </c>
      <c r="O407" s="123">
        <f t="shared" si="82"/>
        <v>130.7894285714286</v>
      </c>
      <c r="P407" s="5"/>
      <c r="Q407" s="5">
        <f t="shared" si="76"/>
        <v>1</v>
      </c>
      <c r="R407" s="7">
        <f t="shared" si="77"/>
        <v>3535</v>
      </c>
      <c r="S407" s="5">
        <f t="shared" si="78"/>
        <v>1</v>
      </c>
      <c r="T407" s="7">
        <f t="shared" si="79"/>
        <v>3535</v>
      </c>
    </row>
    <row r="408" spans="1:20">
      <c r="A408" s="23" t="s">
        <v>443</v>
      </c>
      <c r="B408" s="35" t="s">
        <v>441</v>
      </c>
      <c r="C408" s="36">
        <v>248</v>
      </c>
      <c r="D408" s="6"/>
      <c r="E408" s="113">
        <v>6723750</v>
      </c>
      <c r="F408" s="116">
        <f t="shared" si="71"/>
        <v>27111.895161290322</v>
      </c>
      <c r="G408" s="117">
        <v>4499664</v>
      </c>
      <c r="H408" s="117">
        <f t="shared" si="72"/>
        <v>18143.806451612902</v>
      </c>
      <c r="I408" s="98" t="s">
        <v>528</v>
      </c>
      <c r="J408" s="11"/>
      <c r="K408" s="117"/>
      <c r="L408" s="120"/>
      <c r="M408" s="122">
        <f t="shared" si="80"/>
        <v>44996.639999999999</v>
      </c>
      <c r="N408" s="116">
        <f t="shared" si="81"/>
        <v>44996.639999999999</v>
      </c>
      <c r="O408" s="123">
        <f t="shared" si="82"/>
        <v>181.43806451612903</v>
      </c>
      <c r="P408" s="5"/>
      <c r="Q408" s="5">
        <f t="shared" si="76"/>
        <v>1</v>
      </c>
      <c r="R408" s="7">
        <f t="shared" si="77"/>
        <v>248</v>
      </c>
      <c r="S408" s="5">
        <f t="shared" si="78"/>
        <v>0</v>
      </c>
      <c r="T408" s="7">
        <f t="shared" si="79"/>
        <v>0</v>
      </c>
    </row>
    <row r="409" spans="1:20">
      <c r="A409" s="23" t="s">
        <v>444</v>
      </c>
      <c r="B409" s="35" t="s">
        <v>441</v>
      </c>
      <c r="C409" s="36">
        <v>774</v>
      </c>
      <c r="D409" s="6"/>
      <c r="E409" s="113">
        <v>21458698</v>
      </c>
      <c r="F409" s="116">
        <f t="shared" si="71"/>
        <v>27724.416020671833</v>
      </c>
      <c r="G409" s="117">
        <v>9549255</v>
      </c>
      <c r="H409" s="117">
        <f t="shared" si="72"/>
        <v>12337.538759689922</v>
      </c>
      <c r="I409" s="9"/>
      <c r="J409" s="11">
        <v>2.6067999999999998</v>
      </c>
      <c r="K409" s="117">
        <v>24892</v>
      </c>
      <c r="L409" s="120">
        <f>(K409/C409)</f>
        <v>32.160206718346252</v>
      </c>
      <c r="M409" s="122">
        <f t="shared" si="80"/>
        <v>95492.55</v>
      </c>
      <c r="N409" s="116">
        <f t="shared" si="81"/>
        <v>70600.55</v>
      </c>
      <c r="O409" s="123">
        <f t="shared" si="82"/>
        <v>91.215180878552971</v>
      </c>
      <c r="P409" s="5"/>
      <c r="Q409" s="5">
        <f t="shared" si="76"/>
        <v>1</v>
      </c>
      <c r="R409" s="7">
        <f t="shared" si="77"/>
        <v>774</v>
      </c>
      <c r="S409" s="5">
        <f t="shared" si="78"/>
        <v>1</v>
      </c>
      <c r="T409" s="7">
        <f t="shared" si="79"/>
        <v>774</v>
      </c>
    </row>
    <row r="410" spans="1:20">
      <c r="A410" s="23" t="s">
        <v>445</v>
      </c>
      <c r="B410" s="35" t="s">
        <v>441</v>
      </c>
      <c r="C410" s="36">
        <v>421</v>
      </c>
      <c r="D410" s="6"/>
      <c r="E410" s="113">
        <v>6698723</v>
      </c>
      <c r="F410" s="116">
        <f t="shared" si="71"/>
        <v>15911.456057007126</v>
      </c>
      <c r="G410" s="117">
        <v>2759519</v>
      </c>
      <c r="H410" s="117">
        <f t="shared" si="72"/>
        <v>6554.6769596199529</v>
      </c>
      <c r="I410" s="98" t="s">
        <v>528</v>
      </c>
      <c r="J410" s="11"/>
      <c r="K410" s="117"/>
      <c r="L410" s="120"/>
      <c r="M410" s="122">
        <f t="shared" si="80"/>
        <v>27595.190000000002</v>
      </c>
      <c r="N410" s="116">
        <f t="shared" si="81"/>
        <v>27595.190000000002</v>
      </c>
      <c r="O410" s="123">
        <f t="shared" si="82"/>
        <v>65.546769596199525</v>
      </c>
      <c r="P410" s="5"/>
      <c r="Q410" s="5">
        <f t="shared" si="76"/>
        <v>1</v>
      </c>
      <c r="R410" s="7">
        <f t="shared" si="77"/>
        <v>421</v>
      </c>
      <c r="S410" s="5">
        <f t="shared" si="78"/>
        <v>0</v>
      </c>
      <c r="T410" s="7">
        <f t="shared" si="79"/>
        <v>0</v>
      </c>
    </row>
    <row r="411" spans="1:20">
      <c r="A411" s="70" t="s">
        <v>451</v>
      </c>
      <c r="B411" s="71"/>
      <c r="C411" s="72">
        <f>SUM(C6:C410)</f>
        <v>8261119</v>
      </c>
      <c r="D411" s="73"/>
      <c r="E411" s="73">
        <f>SUM(E6:E410)</f>
        <v>611680529818</v>
      </c>
      <c r="F411" s="74">
        <f>(E411/R411)</f>
        <v>81613.902560012211</v>
      </c>
      <c r="G411" s="75">
        <f>SUM(G6:G410)</f>
        <v>452340977006</v>
      </c>
      <c r="H411" s="76">
        <f>(G411/R411)</f>
        <v>60353.911268440766</v>
      </c>
      <c r="I411" s="71"/>
      <c r="J411" s="77"/>
      <c r="K411" s="78">
        <f>SUM(K6:K410)</f>
        <v>2174604452</v>
      </c>
      <c r="L411" s="79">
        <f>(K411/T411)</f>
        <v>292.80925601744951</v>
      </c>
      <c r="M411" s="79">
        <f>SUM(M6:M410)</f>
        <v>4523409770.0599976</v>
      </c>
      <c r="N411" s="78">
        <f>SUM(N6:N410)</f>
        <v>2348805318.0600014</v>
      </c>
      <c r="O411" s="80">
        <f>(N411/R411)</f>
        <v>313.3909925457732</v>
      </c>
      <c r="P411" s="20"/>
      <c r="Q411" s="20">
        <f>SUM(Q6:Q410)</f>
        <v>403</v>
      </c>
      <c r="R411" s="21">
        <f>SUM(R6:R410)</f>
        <v>7494808</v>
      </c>
      <c r="S411" s="20">
        <f>SUM(S6:S410)</f>
        <v>372</v>
      </c>
      <c r="T411" s="21">
        <f>SUM(T6:T410)</f>
        <v>7426693</v>
      </c>
    </row>
    <row r="412" spans="1:20">
      <c r="A412" s="27" t="s">
        <v>453</v>
      </c>
      <c r="B412" s="13"/>
      <c r="C412" s="60">
        <f>(S411)</f>
        <v>372</v>
      </c>
      <c r="D412" s="14"/>
      <c r="E412" s="14"/>
      <c r="F412" s="16"/>
      <c r="G412" s="16"/>
      <c r="H412" s="16"/>
      <c r="I412" s="16"/>
      <c r="J412" s="14"/>
      <c r="K412" s="17"/>
      <c r="L412" s="17"/>
      <c r="M412" s="2"/>
      <c r="N412" s="2"/>
      <c r="O412" s="63"/>
      <c r="P412" s="2"/>
      <c r="Q412" s="2"/>
      <c r="R412" s="2"/>
      <c r="S412" s="2"/>
      <c r="T412" s="2"/>
    </row>
    <row r="413" spans="1:20">
      <c r="A413" s="22"/>
      <c r="B413" s="16"/>
      <c r="C413" s="16"/>
      <c r="D413" s="16"/>
      <c r="E413" s="16"/>
      <c r="F413" s="16"/>
      <c r="G413" s="16"/>
      <c r="H413" s="16"/>
      <c r="I413" s="16"/>
      <c r="J413" s="17"/>
      <c r="K413" s="17"/>
      <c r="L413" s="17"/>
      <c r="M413" s="2"/>
      <c r="N413" s="2"/>
      <c r="O413" s="63"/>
      <c r="P413" s="2"/>
      <c r="Q413" s="2"/>
      <c r="R413" s="2"/>
      <c r="S413" s="2"/>
      <c r="T413" s="2"/>
    </row>
    <row r="414" spans="1:20">
      <c r="A414" s="28" t="s">
        <v>498</v>
      </c>
      <c r="B414" s="25"/>
      <c r="C414" s="25"/>
      <c r="D414" s="25"/>
      <c r="E414" s="25"/>
      <c r="F414" s="25"/>
      <c r="G414" s="25"/>
      <c r="H414" s="25"/>
      <c r="I414" s="25"/>
      <c r="J414" s="26"/>
      <c r="K414" s="26"/>
      <c r="L414" s="26"/>
      <c r="M414" s="1"/>
      <c r="N414" s="1"/>
      <c r="O414" s="64"/>
      <c r="P414" s="1"/>
      <c r="Q414" s="1"/>
      <c r="R414" s="1"/>
      <c r="S414" s="1"/>
      <c r="T414" s="1"/>
    </row>
    <row r="415" spans="1:20">
      <c r="A415" s="96" t="s">
        <v>566</v>
      </c>
      <c r="B415" s="25"/>
      <c r="C415" s="25"/>
      <c r="D415" s="25"/>
      <c r="E415" s="25"/>
      <c r="F415" s="25"/>
      <c r="G415" s="25"/>
      <c r="H415" s="25"/>
      <c r="I415" s="25"/>
      <c r="J415" s="26"/>
      <c r="K415" s="26"/>
      <c r="L415" s="26"/>
      <c r="M415" s="1"/>
      <c r="N415" s="1"/>
      <c r="O415" s="64"/>
      <c r="P415" s="1"/>
      <c r="Q415" s="1"/>
      <c r="R415" s="1"/>
      <c r="S415" s="1"/>
      <c r="T415" s="1"/>
    </row>
    <row r="416" spans="1:20">
      <c r="A416" s="96" t="s">
        <v>570</v>
      </c>
      <c r="B416" s="25"/>
      <c r="C416" s="25"/>
      <c r="D416" s="25"/>
      <c r="E416" s="25"/>
      <c r="F416" s="25"/>
      <c r="G416" s="25"/>
      <c r="H416" s="25"/>
      <c r="I416" s="25"/>
      <c r="J416" s="26"/>
      <c r="K416" s="26"/>
      <c r="L416" s="26"/>
      <c r="M416" s="1"/>
      <c r="N416" s="1"/>
      <c r="O416" s="64"/>
      <c r="P416" s="1"/>
      <c r="Q416" s="1"/>
      <c r="R416" s="1"/>
      <c r="S416" s="1"/>
      <c r="T416" s="1"/>
    </row>
    <row r="417" spans="1:20">
      <c r="A417" s="96" t="s">
        <v>571</v>
      </c>
      <c r="B417" s="25"/>
      <c r="C417" s="25"/>
      <c r="D417" s="25"/>
      <c r="E417" s="25"/>
      <c r="F417" s="25"/>
      <c r="G417" s="25"/>
      <c r="H417" s="25"/>
      <c r="I417" s="25"/>
      <c r="J417" s="26"/>
      <c r="K417" s="26"/>
      <c r="L417" s="26"/>
      <c r="M417" s="1"/>
      <c r="N417" s="1"/>
      <c r="O417" s="64"/>
      <c r="P417" s="1"/>
      <c r="Q417" s="1"/>
      <c r="R417" s="1"/>
      <c r="S417" s="1"/>
      <c r="T417" s="1"/>
    </row>
    <row r="418" spans="1:20">
      <c r="A418" s="96" t="s">
        <v>572</v>
      </c>
      <c r="B418" s="25"/>
      <c r="C418" s="25"/>
      <c r="D418" s="25"/>
      <c r="E418" s="25"/>
      <c r="F418" s="25"/>
      <c r="G418" s="25"/>
      <c r="H418" s="25"/>
      <c r="I418" s="25"/>
      <c r="J418" s="26"/>
      <c r="K418" s="26"/>
      <c r="L418" s="26"/>
      <c r="M418" s="1"/>
      <c r="N418" s="1"/>
      <c r="O418" s="64"/>
      <c r="P418" s="1"/>
      <c r="Q418" s="1"/>
      <c r="R418" s="1"/>
      <c r="S418" s="1"/>
      <c r="T418" s="1"/>
    </row>
    <row r="419" spans="1:20">
      <c r="A419" s="29" t="s">
        <v>505</v>
      </c>
      <c r="B419" s="25"/>
      <c r="C419" s="25"/>
      <c r="D419" s="25"/>
      <c r="E419" s="25"/>
      <c r="F419" s="25"/>
      <c r="G419" s="25"/>
      <c r="H419" s="25"/>
      <c r="I419" s="25"/>
      <c r="J419" s="26"/>
      <c r="K419" s="26"/>
      <c r="L419" s="26"/>
      <c r="M419" s="1"/>
      <c r="N419" s="1"/>
      <c r="O419" s="64"/>
      <c r="P419" s="1"/>
      <c r="Q419" s="1"/>
      <c r="R419" s="1"/>
      <c r="S419" s="1"/>
      <c r="T419" s="1"/>
    </row>
    <row r="420" spans="1:20">
      <c r="A420" s="29"/>
      <c r="B420" s="25"/>
      <c r="C420" s="25"/>
      <c r="D420" s="25"/>
      <c r="E420" s="25"/>
      <c r="F420" s="25"/>
      <c r="G420" s="25"/>
      <c r="H420" s="25"/>
      <c r="I420" s="25"/>
      <c r="J420" s="26"/>
      <c r="K420" s="26"/>
      <c r="L420" s="26"/>
      <c r="M420" s="1"/>
      <c r="N420" s="1"/>
      <c r="O420" s="64"/>
      <c r="P420" s="1"/>
      <c r="Q420" s="1"/>
      <c r="R420" s="1"/>
      <c r="S420" s="1"/>
      <c r="T420" s="1"/>
    </row>
    <row r="421" spans="1:20">
      <c r="A421" s="96" t="s">
        <v>579</v>
      </c>
      <c r="B421" s="25"/>
      <c r="C421" s="25"/>
      <c r="D421" s="25"/>
      <c r="E421" s="25"/>
      <c r="F421" s="25"/>
      <c r="G421" s="25"/>
      <c r="H421" s="25"/>
      <c r="I421" s="25"/>
      <c r="J421" s="26"/>
      <c r="K421" s="26"/>
      <c r="L421" s="26"/>
      <c r="M421" s="1"/>
      <c r="N421" s="1"/>
      <c r="O421" s="64"/>
      <c r="P421" s="1"/>
      <c r="Q421" s="1"/>
      <c r="R421" s="1"/>
      <c r="S421" s="1"/>
      <c r="T421" s="1"/>
    </row>
    <row r="422" spans="1:20">
      <c r="A422" s="28" t="s">
        <v>480</v>
      </c>
      <c r="B422" s="25"/>
      <c r="C422" s="25"/>
      <c r="D422" s="25"/>
      <c r="E422" s="25"/>
      <c r="F422" s="25"/>
      <c r="G422" s="25"/>
      <c r="H422" s="25"/>
      <c r="I422" s="25"/>
      <c r="J422" s="26"/>
      <c r="K422" s="26"/>
      <c r="L422" s="26"/>
      <c r="M422" s="1"/>
      <c r="N422" s="1"/>
      <c r="O422" s="64"/>
      <c r="P422" s="1"/>
      <c r="Q422" s="1"/>
      <c r="R422" s="1"/>
      <c r="S422" s="1"/>
      <c r="T422" s="1"/>
    </row>
    <row r="423" spans="1:20" ht="13.5" thickBot="1">
      <c r="A423" s="30" t="s">
        <v>494</v>
      </c>
      <c r="B423" s="31"/>
      <c r="C423" s="31"/>
      <c r="D423" s="31"/>
      <c r="E423" s="31"/>
      <c r="F423" s="31"/>
      <c r="G423" s="31"/>
      <c r="H423" s="31"/>
      <c r="I423" s="31"/>
      <c r="J423" s="32"/>
      <c r="K423" s="32"/>
      <c r="L423" s="32"/>
      <c r="M423" s="31"/>
      <c r="N423" s="31"/>
      <c r="O423" s="81"/>
      <c r="P423" s="1"/>
      <c r="Q423" s="1"/>
      <c r="R423" s="1"/>
      <c r="S423" s="1"/>
      <c r="T423" s="1"/>
    </row>
    <row r="424" spans="1:20">
      <c r="A424" s="4"/>
      <c r="B424" s="1"/>
      <c r="C424" s="1"/>
      <c r="D424" s="1"/>
      <c r="E424" s="1"/>
      <c r="F424" s="1"/>
      <c r="G424" s="1"/>
      <c r="H424" s="1"/>
      <c r="I424" s="1"/>
      <c r="J424" s="3"/>
      <c r="K424" s="3"/>
      <c r="L424" s="3"/>
      <c r="M424" s="1"/>
      <c r="N424" s="1"/>
      <c r="O424" s="1"/>
      <c r="P424" s="1"/>
      <c r="Q424" s="1"/>
      <c r="R424" s="1"/>
      <c r="S424" s="1"/>
      <c r="T424" s="1"/>
    </row>
    <row r="425" spans="1:20">
      <c r="A425" s="4"/>
      <c r="B425" s="1"/>
      <c r="C425" s="1"/>
      <c r="D425" s="1"/>
      <c r="E425" s="1"/>
      <c r="F425" s="1"/>
      <c r="G425" s="1"/>
      <c r="H425" s="1"/>
      <c r="I425" s="1"/>
      <c r="J425" s="3"/>
      <c r="K425" s="3"/>
      <c r="L425" s="3"/>
      <c r="M425" s="1"/>
      <c r="N425" s="1"/>
      <c r="O425" s="1"/>
      <c r="P425" s="1"/>
      <c r="Q425" s="1"/>
      <c r="R425" s="1"/>
      <c r="S425" s="1"/>
      <c r="T425" s="1"/>
    </row>
    <row r="426" spans="1:20">
      <c r="A426" s="2"/>
      <c r="B426" s="2"/>
      <c r="C426" s="2"/>
      <c r="D426" s="2"/>
      <c r="E426" s="2"/>
      <c r="F426" s="2"/>
      <c r="G426" s="2"/>
      <c r="H426" s="2"/>
      <c r="I426" s="2"/>
      <c r="J426" s="2"/>
      <c r="K426" s="2"/>
      <c r="L426" s="2"/>
      <c r="M426" s="2"/>
      <c r="N426" s="2"/>
      <c r="O426" s="2"/>
      <c r="P426" s="2"/>
      <c r="Q426" s="2"/>
      <c r="R426" s="2"/>
      <c r="S426" s="2"/>
      <c r="T426"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rowBreaks count="1" manualBreakCount="1">
    <brk id="412" max="14" man="1"/>
  </rowBreaks>
  <ignoredErrors>
    <ignoredError sqref="F411 L41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T426"/>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7" t="s">
        <v>457</v>
      </c>
      <c r="B1" s="198"/>
      <c r="C1" s="198"/>
      <c r="D1" s="198"/>
      <c r="E1" s="198"/>
      <c r="F1" s="198"/>
      <c r="G1" s="198"/>
      <c r="H1" s="198"/>
      <c r="I1" s="198"/>
      <c r="J1" s="198"/>
      <c r="K1" s="198"/>
      <c r="L1" s="198"/>
      <c r="M1" s="198"/>
      <c r="N1" s="198"/>
      <c r="O1" s="199"/>
    </row>
    <row r="2" spans="1:20" ht="18">
      <c r="A2" s="41"/>
      <c r="B2" s="42"/>
      <c r="C2" s="43"/>
      <c r="D2" s="200" t="s">
        <v>483</v>
      </c>
      <c r="E2" s="201"/>
      <c r="F2" s="201"/>
      <c r="G2" s="201"/>
      <c r="H2" s="202"/>
      <c r="I2" s="44"/>
      <c r="J2" s="61" t="s">
        <v>456</v>
      </c>
      <c r="K2" s="45"/>
      <c r="L2" s="68"/>
      <c r="M2" s="201" t="s">
        <v>503</v>
      </c>
      <c r="N2" s="201"/>
      <c r="O2" s="203"/>
    </row>
    <row r="3" spans="1:20" ht="12.75" customHeight="1">
      <c r="A3" s="46"/>
      <c r="B3" s="47"/>
      <c r="C3" s="48">
        <v>2001</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6268</v>
      </c>
      <c r="D6" s="18"/>
      <c r="E6" s="18">
        <v>476545417</v>
      </c>
      <c r="F6" s="38">
        <f t="shared" ref="F6:F14" si="0">(E6/C6)</f>
        <v>76028.305201021052</v>
      </c>
      <c r="G6" s="18">
        <v>313958304</v>
      </c>
      <c r="H6" s="39">
        <f t="shared" ref="H6:H14" si="1">(G6/C6)</f>
        <v>50089.072112316528</v>
      </c>
      <c r="I6" s="15"/>
      <c r="J6" s="17">
        <v>5.7</v>
      </c>
      <c r="K6" s="40">
        <v>1789562</v>
      </c>
      <c r="L6" s="84">
        <f t="shared" ref="L6:L14" si="2">(K6/C6)</f>
        <v>285.50765794511807</v>
      </c>
      <c r="M6" s="65">
        <f t="shared" ref="M6:M37" si="3">(G6*0.01)</f>
        <v>3139583.04</v>
      </c>
      <c r="N6" s="83">
        <f t="shared" ref="N6:N37" si="4">(M6-K6)</f>
        <v>1350021.04</v>
      </c>
      <c r="O6" s="62">
        <f t="shared" ref="O6:O37" si="5">(N6/C6)</f>
        <v>215.38306317804722</v>
      </c>
      <c r="P6" s="5"/>
      <c r="Q6" s="5">
        <f>IF(E6&gt;0,1,0)</f>
        <v>1</v>
      </c>
      <c r="R6" s="7">
        <f>IF(E6&gt;0,C6,0)</f>
        <v>6268</v>
      </c>
      <c r="S6" s="5">
        <f>IF(J6&gt;0,1,0)</f>
        <v>1</v>
      </c>
      <c r="T6" s="7">
        <f>IF(J6&gt;0,C6,0)</f>
        <v>6268</v>
      </c>
    </row>
    <row r="7" spans="1:20">
      <c r="A7" s="23" t="s">
        <v>9</v>
      </c>
      <c r="B7" s="35" t="s">
        <v>8</v>
      </c>
      <c r="C7" s="36">
        <v>1273</v>
      </c>
      <c r="D7" s="6"/>
      <c r="E7" s="113">
        <v>33142060</v>
      </c>
      <c r="F7" s="116">
        <f t="shared" si="0"/>
        <v>26034.611154752554</v>
      </c>
      <c r="G7" s="113">
        <v>18880610</v>
      </c>
      <c r="H7" s="117">
        <f t="shared" si="1"/>
        <v>14831.586802827966</v>
      </c>
      <c r="I7" s="7"/>
      <c r="J7" s="10">
        <v>4</v>
      </c>
      <c r="K7" s="117">
        <v>75522</v>
      </c>
      <c r="L7" s="120">
        <f t="shared" si="2"/>
        <v>59.326001571091908</v>
      </c>
      <c r="M7" s="122">
        <f t="shared" si="3"/>
        <v>188806.1</v>
      </c>
      <c r="N7" s="116">
        <f t="shared" si="4"/>
        <v>113284.1</v>
      </c>
      <c r="O7" s="123">
        <f t="shared" si="5"/>
        <v>88.989866457187745</v>
      </c>
      <c r="P7" s="5"/>
      <c r="Q7" s="5">
        <f t="shared" ref="Q7:Q70" si="6">IF(E7&gt;0,1,0)</f>
        <v>1</v>
      </c>
      <c r="R7" s="7">
        <f t="shared" ref="R7:R70" si="7">IF(E7&gt;0,C7,0)</f>
        <v>1273</v>
      </c>
      <c r="S7" s="5">
        <f t="shared" ref="S7:S70" si="8">IF(J7&gt;0,1,0)</f>
        <v>1</v>
      </c>
      <c r="T7" s="7">
        <f t="shared" ref="T7:T70" si="9">IF(J7&gt;0,C7,0)</f>
        <v>1273</v>
      </c>
    </row>
    <row r="8" spans="1:20">
      <c r="A8" s="23" t="s">
        <v>10</v>
      </c>
      <c r="B8" s="35" t="s">
        <v>8</v>
      </c>
      <c r="C8" s="36">
        <v>96446</v>
      </c>
      <c r="D8" s="6"/>
      <c r="E8" s="113">
        <v>6633284013</v>
      </c>
      <c r="F8" s="116">
        <f t="shared" si="0"/>
        <v>68777.181147999916</v>
      </c>
      <c r="G8" s="113">
        <v>2735232295</v>
      </c>
      <c r="H8" s="117">
        <f t="shared" si="1"/>
        <v>28360.246096261119</v>
      </c>
      <c r="I8" s="7"/>
      <c r="J8" s="10">
        <v>4.9416000000000002</v>
      </c>
      <c r="K8" s="117">
        <v>13516423</v>
      </c>
      <c r="L8" s="120">
        <f t="shared" si="2"/>
        <v>140.14498268461108</v>
      </c>
      <c r="M8" s="122">
        <f t="shared" si="3"/>
        <v>27352322.949999999</v>
      </c>
      <c r="N8" s="116">
        <f t="shared" si="4"/>
        <v>13835899.949999999</v>
      </c>
      <c r="O8" s="123">
        <f t="shared" si="5"/>
        <v>143.45747827800011</v>
      </c>
      <c r="P8" s="5"/>
      <c r="Q8" s="5">
        <f t="shared" si="6"/>
        <v>1</v>
      </c>
      <c r="R8" s="7">
        <f t="shared" si="7"/>
        <v>96446</v>
      </c>
      <c r="S8" s="5">
        <f t="shared" si="8"/>
        <v>1</v>
      </c>
      <c r="T8" s="7">
        <f t="shared" si="9"/>
        <v>96446</v>
      </c>
    </row>
    <row r="9" spans="1:20">
      <c r="A9" s="23" t="s">
        <v>11</v>
      </c>
      <c r="B9" s="35" t="s">
        <v>8</v>
      </c>
      <c r="C9" s="36">
        <v>1373</v>
      </c>
      <c r="D9" s="6"/>
      <c r="E9" s="113">
        <v>56000409</v>
      </c>
      <c r="F9" s="116">
        <f t="shared" si="0"/>
        <v>40786.896576839041</v>
      </c>
      <c r="G9" s="117">
        <v>27134129</v>
      </c>
      <c r="H9" s="117">
        <f t="shared" si="1"/>
        <v>19762.657683903861</v>
      </c>
      <c r="I9" s="7"/>
      <c r="J9" s="10">
        <v>5.4185000000000008</v>
      </c>
      <c r="K9" s="117">
        <v>147026</v>
      </c>
      <c r="L9" s="120">
        <f t="shared" si="2"/>
        <v>107.08375819373634</v>
      </c>
      <c r="M9" s="122">
        <f t="shared" si="3"/>
        <v>271341.28999999998</v>
      </c>
      <c r="N9" s="116">
        <f t="shared" si="4"/>
        <v>124315.28999999998</v>
      </c>
      <c r="O9" s="123">
        <f t="shared" si="5"/>
        <v>90.542818645302248</v>
      </c>
      <c r="P9" s="5"/>
      <c r="Q9" s="5">
        <f t="shared" si="6"/>
        <v>1</v>
      </c>
      <c r="R9" s="7">
        <f t="shared" si="7"/>
        <v>1373</v>
      </c>
      <c r="S9" s="5">
        <f t="shared" si="8"/>
        <v>1</v>
      </c>
      <c r="T9" s="7">
        <f t="shared" si="9"/>
        <v>1373</v>
      </c>
    </row>
    <row r="10" spans="1:20">
      <c r="A10" s="23" t="s">
        <v>12</v>
      </c>
      <c r="B10" s="35" t="s">
        <v>8</v>
      </c>
      <c r="C10" s="36">
        <v>3967</v>
      </c>
      <c r="D10" s="6"/>
      <c r="E10" s="113">
        <v>167996995</v>
      </c>
      <c r="F10" s="116">
        <f t="shared" si="0"/>
        <v>42348.624905470126</v>
      </c>
      <c r="G10" s="117">
        <v>99384715</v>
      </c>
      <c r="H10" s="117">
        <f t="shared" si="1"/>
        <v>25052.864885303756</v>
      </c>
      <c r="I10" s="7"/>
      <c r="J10" s="10">
        <v>6.25</v>
      </c>
      <c r="K10" s="117">
        <v>621154</v>
      </c>
      <c r="L10" s="120">
        <f t="shared" si="2"/>
        <v>156.58028737080917</v>
      </c>
      <c r="M10" s="122">
        <f t="shared" si="3"/>
        <v>993847.15</v>
      </c>
      <c r="N10" s="116">
        <f t="shared" si="4"/>
        <v>372693.15</v>
      </c>
      <c r="O10" s="123">
        <f t="shared" si="5"/>
        <v>93.948361482228393</v>
      </c>
      <c r="P10" s="5"/>
      <c r="Q10" s="5">
        <f t="shared" si="6"/>
        <v>1</v>
      </c>
      <c r="R10" s="7">
        <f t="shared" si="7"/>
        <v>3967</v>
      </c>
      <c r="S10" s="5">
        <f t="shared" si="8"/>
        <v>1</v>
      </c>
      <c r="T10" s="7">
        <f t="shared" si="9"/>
        <v>3967</v>
      </c>
    </row>
    <row r="11" spans="1:20">
      <c r="A11" s="23" t="s">
        <v>559</v>
      </c>
      <c r="B11" s="35" t="s">
        <v>8</v>
      </c>
      <c r="C11" s="36">
        <v>151</v>
      </c>
      <c r="D11" s="6"/>
      <c r="E11" s="113">
        <v>7618698</v>
      </c>
      <c r="F11" s="116">
        <f t="shared" si="0"/>
        <v>50454.953642384105</v>
      </c>
      <c r="G11" s="117">
        <v>3801828</v>
      </c>
      <c r="H11" s="117">
        <f t="shared" si="1"/>
        <v>25177.668874172185</v>
      </c>
      <c r="I11" s="7"/>
      <c r="J11" s="10">
        <v>3.9420000000000002</v>
      </c>
      <c r="K11" s="117">
        <v>14986</v>
      </c>
      <c r="L11" s="120">
        <f t="shared" si="2"/>
        <v>99.245033112582774</v>
      </c>
      <c r="M11" s="122">
        <f t="shared" si="3"/>
        <v>38018.28</v>
      </c>
      <c r="N11" s="116">
        <f t="shared" si="4"/>
        <v>23032.28</v>
      </c>
      <c r="O11" s="123">
        <f t="shared" si="5"/>
        <v>152.53165562913907</v>
      </c>
      <c r="P11" s="5"/>
      <c r="Q11" s="5">
        <f t="shared" si="6"/>
        <v>1</v>
      </c>
      <c r="R11" s="7">
        <f t="shared" si="7"/>
        <v>151</v>
      </c>
      <c r="S11" s="5">
        <f t="shared" si="8"/>
        <v>1</v>
      </c>
      <c r="T11" s="7">
        <f t="shared" si="9"/>
        <v>151</v>
      </c>
    </row>
    <row r="12" spans="1:20">
      <c r="A12" s="23" t="s">
        <v>13</v>
      </c>
      <c r="B12" s="35" t="s">
        <v>8</v>
      </c>
      <c r="C12" s="36">
        <v>644</v>
      </c>
      <c r="D12" s="6"/>
      <c r="E12" s="113">
        <v>22398700</v>
      </c>
      <c r="F12" s="116">
        <f t="shared" si="0"/>
        <v>34780.590062111798</v>
      </c>
      <c r="G12" s="117">
        <v>13734720</v>
      </c>
      <c r="H12" s="117">
        <f t="shared" si="1"/>
        <v>21327.204968944101</v>
      </c>
      <c r="I12" s="7"/>
      <c r="J12" s="10">
        <v>6</v>
      </c>
      <c r="K12" s="117">
        <v>82408</v>
      </c>
      <c r="L12" s="120">
        <f t="shared" si="2"/>
        <v>127.96273291925466</v>
      </c>
      <c r="M12" s="122">
        <f t="shared" si="3"/>
        <v>137347.20000000001</v>
      </c>
      <c r="N12" s="116">
        <f t="shared" si="4"/>
        <v>54939.200000000012</v>
      </c>
      <c r="O12" s="123">
        <f t="shared" si="5"/>
        <v>85.309316770186356</v>
      </c>
      <c r="P12" s="5"/>
      <c r="Q12" s="5">
        <f t="shared" si="6"/>
        <v>1</v>
      </c>
      <c r="R12" s="7">
        <f t="shared" si="7"/>
        <v>644</v>
      </c>
      <c r="S12" s="5">
        <f t="shared" si="8"/>
        <v>1</v>
      </c>
      <c r="T12" s="7">
        <f t="shared" si="9"/>
        <v>644</v>
      </c>
    </row>
    <row r="13" spans="1:20">
      <c r="A13" s="23" t="s">
        <v>14</v>
      </c>
      <c r="B13" s="35" t="s">
        <v>8</v>
      </c>
      <c r="C13" s="36">
        <v>3450</v>
      </c>
      <c r="D13" s="6"/>
      <c r="E13" s="113">
        <v>221741679</v>
      </c>
      <c r="F13" s="116">
        <f t="shared" si="0"/>
        <v>64272.950434782608</v>
      </c>
      <c r="G13" s="117">
        <v>134428889</v>
      </c>
      <c r="H13" s="117">
        <f t="shared" si="1"/>
        <v>38964.895362318843</v>
      </c>
      <c r="I13" s="7"/>
      <c r="J13" s="10">
        <v>4</v>
      </c>
      <c r="K13" s="117">
        <v>537715</v>
      </c>
      <c r="L13" s="120">
        <f t="shared" si="2"/>
        <v>155.85942028985508</v>
      </c>
      <c r="M13" s="122">
        <f t="shared" si="3"/>
        <v>1344288.8900000001</v>
      </c>
      <c r="N13" s="116">
        <f t="shared" si="4"/>
        <v>806573.89000000013</v>
      </c>
      <c r="O13" s="123">
        <f t="shared" si="5"/>
        <v>233.78953333333337</v>
      </c>
      <c r="P13" s="5"/>
      <c r="Q13" s="5">
        <f t="shared" si="6"/>
        <v>1</v>
      </c>
      <c r="R13" s="7">
        <f t="shared" si="7"/>
        <v>3450</v>
      </c>
      <c r="S13" s="5">
        <f t="shared" si="8"/>
        <v>1</v>
      </c>
      <c r="T13" s="7">
        <f t="shared" si="9"/>
        <v>3450</v>
      </c>
    </row>
    <row r="14" spans="1:20">
      <c r="A14" s="23" t="s">
        <v>15</v>
      </c>
      <c r="B14" s="35" t="s">
        <v>8</v>
      </c>
      <c r="C14" s="36">
        <v>831</v>
      </c>
      <c r="D14" s="6"/>
      <c r="E14" s="113">
        <v>26117030</v>
      </c>
      <c r="F14" s="116">
        <f t="shared" si="0"/>
        <v>31428.435619735257</v>
      </c>
      <c r="G14" s="117">
        <v>13416725</v>
      </c>
      <c r="H14" s="117">
        <f t="shared" si="1"/>
        <v>16145.276774969916</v>
      </c>
      <c r="I14" s="7"/>
      <c r="J14" s="10">
        <v>5.0314000000000005</v>
      </c>
      <c r="K14" s="117">
        <v>67504</v>
      </c>
      <c r="L14" s="120">
        <f t="shared" si="2"/>
        <v>81.232250300842352</v>
      </c>
      <c r="M14" s="122">
        <f t="shared" si="3"/>
        <v>134167.25</v>
      </c>
      <c r="N14" s="116">
        <f t="shared" si="4"/>
        <v>66663.25</v>
      </c>
      <c r="O14" s="123">
        <f t="shared" si="5"/>
        <v>80.220517448856796</v>
      </c>
      <c r="P14" s="5"/>
      <c r="Q14" s="5">
        <f t="shared" si="6"/>
        <v>1</v>
      </c>
      <c r="R14" s="7">
        <f t="shared" si="7"/>
        <v>831</v>
      </c>
      <c r="S14" s="5">
        <f t="shared" si="8"/>
        <v>1</v>
      </c>
      <c r="T14" s="7">
        <f t="shared" si="9"/>
        <v>831</v>
      </c>
    </row>
    <row r="15" spans="1:20">
      <c r="A15" s="23" t="s">
        <v>544</v>
      </c>
      <c r="B15" s="35" t="s">
        <v>16</v>
      </c>
      <c r="C15" s="36">
        <v>480</v>
      </c>
      <c r="D15" s="6" t="s">
        <v>527</v>
      </c>
      <c r="E15" s="113"/>
      <c r="F15" s="116"/>
      <c r="G15" s="117"/>
      <c r="H15" s="117"/>
      <c r="I15" s="98" t="s">
        <v>528</v>
      </c>
      <c r="J15" s="10"/>
      <c r="K15" s="117"/>
      <c r="L15" s="120"/>
      <c r="M15" s="122">
        <f t="shared" si="3"/>
        <v>0</v>
      </c>
      <c r="N15" s="116">
        <f t="shared" si="4"/>
        <v>0</v>
      </c>
      <c r="O15" s="123">
        <f t="shared" si="5"/>
        <v>0</v>
      </c>
      <c r="P15" s="5"/>
      <c r="Q15" s="5">
        <f t="shared" si="6"/>
        <v>0</v>
      </c>
      <c r="R15" s="7">
        <f t="shared" si="7"/>
        <v>0</v>
      </c>
      <c r="S15" s="5">
        <f t="shared" si="8"/>
        <v>0</v>
      </c>
      <c r="T15" s="7">
        <f t="shared" si="9"/>
        <v>0</v>
      </c>
    </row>
    <row r="16" spans="1:20">
      <c r="A16" s="23" t="s">
        <v>17</v>
      </c>
      <c r="B16" s="35" t="s">
        <v>16</v>
      </c>
      <c r="C16" s="36">
        <v>4590</v>
      </c>
      <c r="D16" s="6"/>
      <c r="E16" s="113">
        <v>184294419</v>
      </c>
      <c r="F16" s="116">
        <f t="shared" ref="F16:F47" si="10">(E16/C16)</f>
        <v>40151.289542483661</v>
      </c>
      <c r="G16" s="117">
        <v>103137946</v>
      </c>
      <c r="H16" s="117">
        <f t="shared" ref="H16:H47" si="11">(G16/C16)</f>
        <v>22470.140740740742</v>
      </c>
      <c r="I16" s="7"/>
      <c r="J16" s="10">
        <v>3.65</v>
      </c>
      <c r="K16" s="117">
        <v>376453</v>
      </c>
      <c r="L16" s="120">
        <f>(K16/C16)</f>
        <v>82.015904139433545</v>
      </c>
      <c r="M16" s="122">
        <f t="shared" si="3"/>
        <v>1031379.4600000001</v>
      </c>
      <c r="N16" s="116">
        <f t="shared" si="4"/>
        <v>654926.46000000008</v>
      </c>
      <c r="O16" s="123">
        <f t="shared" si="5"/>
        <v>142.68550326797387</v>
      </c>
      <c r="P16" s="5"/>
      <c r="Q16" s="5">
        <f t="shared" si="6"/>
        <v>1</v>
      </c>
      <c r="R16" s="7">
        <f t="shared" si="7"/>
        <v>4590</v>
      </c>
      <c r="S16" s="5">
        <f t="shared" si="8"/>
        <v>1</v>
      </c>
      <c r="T16" s="7">
        <f t="shared" si="9"/>
        <v>4590</v>
      </c>
    </row>
    <row r="17" spans="1:20">
      <c r="A17" s="23" t="s">
        <v>18</v>
      </c>
      <c r="B17" s="35" t="s">
        <v>19</v>
      </c>
      <c r="C17" s="36">
        <v>14503</v>
      </c>
      <c r="D17" s="6"/>
      <c r="E17" s="113">
        <v>396811603</v>
      </c>
      <c r="F17" s="116">
        <f t="shared" si="10"/>
        <v>27360.656622767703</v>
      </c>
      <c r="G17" s="117">
        <v>289582061</v>
      </c>
      <c r="H17" s="117">
        <f t="shared" si="11"/>
        <v>19967.045507825966</v>
      </c>
      <c r="I17" s="98" t="s">
        <v>528</v>
      </c>
      <c r="J17" s="10"/>
      <c r="K17" s="117"/>
      <c r="L17" s="120"/>
      <c r="M17" s="122">
        <f t="shared" si="3"/>
        <v>2895820.61</v>
      </c>
      <c r="N17" s="116">
        <f t="shared" si="4"/>
        <v>2895820.61</v>
      </c>
      <c r="O17" s="123">
        <f t="shared" si="5"/>
        <v>199.67045507825966</v>
      </c>
      <c r="P17" s="5"/>
      <c r="Q17" s="5">
        <f t="shared" si="6"/>
        <v>1</v>
      </c>
      <c r="R17" s="7">
        <f t="shared" si="7"/>
        <v>14503</v>
      </c>
      <c r="S17" s="5">
        <f t="shared" si="8"/>
        <v>0</v>
      </c>
      <c r="T17" s="7">
        <f t="shared" si="9"/>
        <v>0</v>
      </c>
    </row>
    <row r="18" spans="1:20">
      <c r="A18" s="23" t="s">
        <v>20</v>
      </c>
      <c r="B18" s="35" t="s">
        <v>19</v>
      </c>
      <c r="C18" s="36">
        <v>5385</v>
      </c>
      <c r="D18" s="6"/>
      <c r="E18" s="113">
        <v>135089456</v>
      </c>
      <c r="F18" s="116">
        <f t="shared" si="10"/>
        <v>25086.249953574745</v>
      </c>
      <c r="G18" s="117">
        <v>76680111</v>
      </c>
      <c r="H18" s="117">
        <f t="shared" si="11"/>
        <v>14239.574930362118</v>
      </c>
      <c r="I18" s="98" t="s">
        <v>528</v>
      </c>
      <c r="J18" s="10"/>
      <c r="K18" s="117"/>
      <c r="L18" s="120"/>
      <c r="M18" s="122">
        <f t="shared" si="3"/>
        <v>766801.11</v>
      </c>
      <c r="N18" s="116">
        <f t="shared" si="4"/>
        <v>766801.11</v>
      </c>
      <c r="O18" s="123">
        <f t="shared" si="5"/>
        <v>142.39574930362116</v>
      </c>
      <c r="P18" s="5"/>
      <c r="Q18" s="5">
        <f t="shared" si="6"/>
        <v>1</v>
      </c>
      <c r="R18" s="7">
        <f t="shared" si="7"/>
        <v>5385</v>
      </c>
      <c r="S18" s="5">
        <f t="shared" si="8"/>
        <v>0</v>
      </c>
      <c r="T18" s="7">
        <f t="shared" si="9"/>
        <v>0</v>
      </c>
    </row>
    <row r="19" spans="1:20">
      <c r="A19" s="23" t="s">
        <v>21</v>
      </c>
      <c r="B19" s="35" t="s">
        <v>19</v>
      </c>
      <c r="C19" s="36">
        <v>12698</v>
      </c>
      <c r="D19" s="6"/>
      <c r="E19" s="113">
        <v>677315003</v>
      </c>
      <c r="F19" s="116">
        <f t="shared" si="10"/>
        <v>53340.290045676484</v>
      </c>
      <c r="G19" s="117">
        <v>421298568</v>
      </c>
      <c r="H19" s="117">
        <f t="shared" si="11"/>
        <v>33178.340526067099</v>
      </c>
      <c r="I19" s="7"/>
      <c r="J19" s="10">
        <v>4</v>
      </c>
      <c r="K19" s="117">
        <v>1685194</v>
      </c>
      <c r="L19" s="120">
        <f>(K19/C19)</f>
        <v>132.71334068357223</v>
      </c>
      <c r="M19" s="122">
        <f t="shared" si="3"/>
        <v>4212985.68</v>
      </c>
      <c r="N19" s="116">
        <f t="shared" si="4"/>
        <v>2527791.6799999997</v>
      </c>
      <c r="O19" s="123">
        <f t="shared" si="5"/>
        <v>199.07006457709872</v>
      </c>
      <c r="P19" s="5"/>
      <c r="Q19" s="5">
        <f t="shared" si="6"/>
        <v>1</v>
      </c>
      <c r="R19" s="7">
        <f t="shared" si="7"/>
        <v>12698</v>
      </c>
      <c r="S19" s="5">
        <f t="shared" si="8"/>
        <v>1</v>
      </c>
      <c r="T19" s="7">
        <f t="shared" si="9"/>
        <v>12698</v>
      </c>
    </row>
    <row r="20" spans="1:20">
      <c r="A20" s="23" t="s">
        <v>22</v>
      </c>
      <c r="B20" s="35" t="s">
        <v>19</v>
      </c>
      <c r="C20" s="36">
        <v>1034</v>
      </c>
      <c r="D20" s="6"/>
      <c r="E20" s="113">
        <v>126594685</v>
      </c>
      <c r="F20" s="116">
        <f t="shared" si="10"/>
        <v>122431.99709864604</v>
      </c>
      <c r="G20" s="117">
        <v>103023904</v>
      </c>
      <c r="H20" s="117">
        <f t="shared" si="11"/>
        <v>99636.270793036747</v>
      </c>
      <c r="I20" s="7"/>
      <c r="J20" s="11">
        <v>4.8499999999999996</v>
      </c>
      <c r="K20" s="117">
        <v>499665</v>
      </c>
      <c r="L20" s="120">
        <f>(K20/C20)</f>
        <v>483.23500967117991</v>
      </c>
      <c r="M20" s="122">
        <f t="shared" si="3"/>
        <v>1030239.04</v>
      </c>
      <c r="N20" s="116">
        <f t="shared" si="4"/>
        <v>530574.04</v>
      </c>
      <c r="O20" s="123">
        <f t="shared" si="5"/>
        <v>513.1276982591877</v>
      </c>
      <c r="P20" s="5"/>
      <c r="Q20" s="5">
        <f t="shared" si="6"/>
        <v>1</v>
      </c>
      <c r="R20" s="7">
        <f t="shared" si="7"/>
        <v>1034</v>
      </c>
      <c r="S20" s="5">
        <f t="shared" si="8"/>
        <v>1</v>
      </c>
      <c r="T20" s="7">
        <f t="shared" si="9"/>
        <v>1034</v>
      </c>
    </row>
    <row r="21" spans="1:20">
      <c r="A21" s="23" t="s">
        <v>23</v>
      </c>
      <c r="B21" s="35" t="s">
        <v>19</v>
      </c>
      <c r="C21" s="36">
        <v>36428</v>
      </c>
      <c r="D21" s="6"/>
      <c r="E21" s="113">
        <v>2021366397</v>
      </c>
      <c r="F21" s="116">
        <f t="shared" si="10"/>
        <v>55489.359750741191</v>
      </c>
      <c r="G21" s="117">
        <v>1332119902</v>
      </c>
      <c r="H21" s="117">
        <f t="shared" si="11"/>
        <v>36568.570934446034</v>
      </c>
      <c r="I21" s="7"/>
      <c r="J21" s="10">
        <v>5</v>
      </c>
      <c r="K21" s="117">
        <v>6660599</v>
      </c>
      <c r="L21" s="120">
        <f>(K21/C21)</f>
        <v>182.84284067201054</v>
      </c>
      <c r="M21" s="122">
        <f t="shared" si="3"/>
        <v>13321199.02</v>
      </c>
      <c r="N21" s="116">
        <f t="shared" si="4"/>
        <v>6660600.0199999996</v>
      </c>
      <c r="O21" s="123">
        <f t="shared" si="5"/>
        <v>182.84286867244975</v>
      </c>
      <c r="P21" s="5"/>
      <c r="Q21" s="5">
        <f t="shared" si="6"/>
        <v>1</v>
      </c>
      <c r="R21" s="7">
        <f t="shared" si="7"/>
        <v>36428</v>
      </c>
      <c r="S21" s="5">
        <f t="shared" si="8"/>
        <v>1</v>
      </c>
      <c r="T21" s="7">
        <f t="shared" si="9"/>
        <v>36428</v>
      </c>
    </row>
    <row r="22" spans="1:20">
      <c r="A22" s="23" t="s">
        <v>24</v>
      </c>
      <c r="B22" s="35" t="s">
        <v>19</v>
      </c>
      <c r="C22" s="36">
        <v>7806</v>
      </c>
      <c r="D22" s="6"/>
      <c r="E22" s="113">
        <v>1288855276</v>
      </c>
      <c r="F22" s="116">
        <f t="shared" si="10"/>
        <v>165110.84755316423</v>
      </c>
      <c r="G22" s="117">
        <v>1169006428</v>
      </c>
      <c r="H22" s="117">
        <f t="shared" si="11"/>
        <v>149757.42095823726</v>
      </c>
      <c r="I22" s="98" t="s">
        <v>528</v>
      </c>
      <c r="J22" s="12"/>
      <c r="K22" s="117"/>
      <c r="L22" s="120"/>
      <c r="M22" s="122">
        <f t="shared" si="3"/>
        <v>11690064.279999999</v>
      </c>
      <c r="N22" s="116">
        <f t="shared" si="4"/>
        <v>11690064.279999999</v>
      </c>
      <c r="O22" s="123">
        <f t="shared" si="5"/>
        <v>1497.5742095823725</v>
      </c>
      <c r="P22" s="5"/>
      <c r="Q22" s="5">
        <f t="shared" si="6"/>
        <v>1</v>
      </c>
      <c r="R22" s="7">
        <f t="shared" si="7"/>
        <v>7806</v>
      </c>
      <c r="S22" s="5">
        <f t="shared" si="8"/>
        <v>0</v>
      </c>
      <c r="T22" s="7">
        <f t="shared" si="9"/>
        <v>0</v>
      </c>
    </row>
    <row r="23" spans="1:20">
      <c r="A23" s="23" t="s">
        <v>25</v>
      </c>
      <c r="B23" s="35" t="s">
        <v>19</v>
      </c>
      <c r="C23" s="36">
        <v>4651</v>
      </c>
      <c r="D23" s="6"/>
      <c r="E23" s="113">
        <v>156474329</v>
      </c>
      <c r="F23" s="116">
        <f t="shared" si="10"/>
        <v>33643.158245538594</v>
      </c>
      <c r="G23" s="117">
        <v>113814557</v>
      </c>
      <c r="H23" s="117">
        <f t="shared" si="11"/>
        <v>24470.986239518385</v>
      </c>
      <c r="I23" s="98" t="s">
        <v>528</v>
      </c>
      <c r="J23" s="12"/>
      <c r="K23" s="117"/>
      <c r="L23" s="120"/>
      <c r="M23" s="122">
        <f t="shared" si="3"/>
        <v>1138145.57</v>
      </c>
      <c r="N23" s="116">
        <f t="shared" si="4"/>
        <v>1138145.57</v>
      </c>
      <c r="O23" s="123">
        <f t="shared" si="5"/>
        <v>244.70986239518385</v>
      </c>
      <c r="P23" s="5"/>
      <c r="Q23" s="5">
        <f t="shared" si="6"/>
        <v>1</v>
      </c>
      <c r="R23" s="7">
        <f t="shared" si="7"/>
        <v>4651</v>
      </c>
      <c r="S23" s="5">
        <f t="shared" si="8"/>
        <v>0</v>
      </c>
      <c r="T23" s="7">
        <f t="shared" si="9"/>
        <v>0</v>
      </c>
    </row>
    <row r="24" spans="1:20">
      <c r="A24" s="23" t="s">
        <v>26</v>
      </c>
      <c r="B24" s="35" t="s">
        <v>19</v>
      </c>
      <c r="C24" s="36">
        <v>8788</v>
      </c>
      <c r="D24" s="6"/>
      <c r="E24" s="113">
        <v>175009843</v>
      </c>
      <c r="F24" s="116">
        <f t="shared" si="10"/>
        <v>19914.638484296767</v>
      </c>
      <c r="G24" s="117">
        <v>92002379</v>
      </c>
      <c r="H24" s="117">
        <f t="shared" si="11"/>
        <v>10469.091829767865</v>
      </c>
      <c r="I24" s="98" t="s">
        <v>528</v>
      </c>
      <c r="J24" s="10"/>
      <c r="K24" s="117"/>
      <c r="L24" s="120"/>
      <c r="M24" s="122">
        <f t="shared" si="3"/>
        <v>920023.79</v>
      </c>
      <c r="N24" s="116">
        <f t="shared" si="4"/>
        <v>920023.79</v>
      </c>
      <c r="O24" s="123">
        <f t="shared" si="5"/>
        <v>104.69091829767866</v>
      </c>
      <c r="P24" s="5"/>
      <c r="Q24" s="5">
        <f t="shared" si="6"/>
        <v>1</v>
      </c>
      <c r="R24" s="7">
        <f t="shared" si="7"/>
        <v>8788</v>
      </c>
      <c r="S24" s="5">
        <f t="shared" si="8"/>
        <v>0</v>
      </c>
      <c r="T24" s="7">
        <f t="shared" si="9"/>
        <v>0</v>
      </c>
    </row>
    <row r="25" spans="1:20">
      <c r="A25" s="23" t="s">
        <v>27</v>
      </c>
      <c r="B25" s="35" t="s">
        <v>28</v>
      </c>
      <c r="C25" s="36">
        <v>344</v>
      </c>
      <c r="D25" s="6"/>
      <c r="E25" s="113">
        <v>7450957</v>
      </c>
      <c r="F25" s="116">
        <f t="shared" si="10"/>
        <v>21659.758720930233</v>
      </c>
      <c r="G25" s="117">
        <v>3552144</v>
      </c>
      <c r="H25" s="117">
        <f t="shared" si="11"/>
        <v>10326</v>
      </c>
      <c r="I25" s="7"/>
      <c r="J25" s="10">
        <v>0.48400000000000004</v>
      </c>
      <c r="K25" s="117">
        <v>1719</v>
      </c>
      <c r="L25" s="120">
        <f t="shared" ref="L25:L38" si="12">(K25/C25)</f>
        <v>4.9970930232558137</v>
      </c>
      <c r="M25" s="122">
        <f t="shared" si="3"/>
        <v>35521.440000000002</v>
      </c>
      <c r="N25" s="116">
        <f t="shared" si="4"/>
        <v>33802.44</v>
      </c>
      <c r="O25" s="123">
        <f t="shared" si="5"/>
        <v>98.262906976744191</v>
      </c>
      <c r="P25" s="5"/>
      <c r="Q25" s="5">
        <f t="shared" si="6"/>
        <v>1</v>
      </c>
      <c r="R25" s="7">
        <f t="shared" si="7"/>
        <v>344</v>
      </c>
      <c r="S25" s="5">
        <f t="shared" si="8"/>
        <v>1</v>
      </c>
      <c r="T25" s="7">
        <f t="shared" si="9"/>
        <v>344</v>
      </c>
    </row>
    <row r="26" spans="1:20">
      <c r="A26" s="23" t="s">
        <v>29</v>
      </c>
      <c r="B26" s="35" t="s">
        <v>28</v>
      </c>
      <c r="C26" s="36">
        <v>443</v>
      </c>
      <c r="D26" s="6"/>
      <c r="E26" s="113">
        <v>6257716</v>
      </c>
      <c r="F26" s="116">
        <f t="shared" si="10"/>
        <v>14125.769751693002</v>
      </c>
      <c r="G26" s="117">
        <v>2962586</v>
      </c>
      <c r="H26" s="117">
        <f t="shared" si="11"/>
        <v>6687.5530474040634</v>
      </c>
      <c r="I26" s="7"/>
      <c r="J26" s="10">
        <v>0.5423</v>
      </c>
      <c r="K26" s="117">
        <v>1606</v>
      </c>
      <c r="L26" s="120">
        <f t="shared" si="12"/>
        <v>3.6252821670428892</v>
      </c>
      <c r="M26" s="122">
        <f t="shared" si="3"/>
        <v>29625.86</v>
      </c>
      <c r="N26" s="116">
        <f t="shared" si="4"/>
        <v>28019.86</v>
      </c>
      <c r="O26" s="123">
        <f t="shared" si="5"/>
        <v>63.250248306997747</v>
      </c>
      <c r="P26" s="5"/>
      <c r="Q26" s="5">
        <f t="shared" si="6"/>
        <v>1</v>
      </c>
      <c r="R26" s="7">
        <f t="shared" si="7"/>
        <v>443</v>
      </c>
      <c r="S26" s="5">
        <f t="shared" si="8"/>
        <v>1</v>
      </c>
      <c r="T26" s="7">
        <f t="shared" si="9"/>
        <v>443</v>
      </c>
    </row>
    <row r="27" spans="1:20">
      <c r="A27" s="23" t="s">
        <v>30</v>
      </c>
      <c r="B27" s="35" t="s">
        <v>28</v>
      </c>
      <c r="C27" s="36">
        <v>665</v>
      </c>
      <c r="D27" s="6"/>
      <c r="E27" s="113">
        <v>15747142</v>
      </c>
      <c r="F27" s="116">
        <f t="shared" si="10"/>
        <v>23679.912781954888</v>
      </c>
      <c r="G27" s="117">
        <v>9499586</v>
      </c>
      <c r="H27" s="117">
        <f t="shared" si="11"/>
        <v>14285.091729323309</v>
      </c>
      <c r="I27" s="7"/>
      <c r="J27" s="11">
        <v>1.7380000000000002</v>
      </c>
      <c r="K27" s="117">
        <v>16510</v>
      </c>
      <c r="L27" s="120">
        <f t="shared" si="12"/>
        <v>24.827067669172934</v>
      </c>
      <c r="M27" s="122">
        <f t="shared" si="3"/>
        <v>94995.86</v>
      </c>
      <c r="N27" s="116">
        <f t="shared" si="4"/>
        <v>78485.86</v>
      </c>
      <c r="O27" s="123">
        <f t="shared" si="5"/>
        <v>118.02384962406015</v>
      </c>
      <c r="P27" s="5"/>
      <c r="Q27" s="5">
        <f t="shared" si="6"/>
        <v>1</v>
      </c>
      <c r="R27" s="7">
        <f t="shared" si="7"/>
        <v>665</v>
      </c>
      <c r="S27" s="5">
        <f t="shared" si="8"/>
        <v>1</v>
      </c>
      <c r="T27" s="7">
        <f t="shared" si="9"/>
        <v>665</v>
      </c>
    </row>
    <row r="28" spans="1:20">
      <c r="A28" s="23" t="s">
        <v>31</v>
      </c>
      <c r="B28" s="35" t="s">
        <v>28</v>
      </c>
      <c r="C28" s="36">
        <v>5655</v>
      </c>
      <c r="D28" s="6"/>
      <c r="E28" s="113">
        <v>232455010</v>
      </c>
      <c r="F28" s="116">
        <f t="shared" si="10"/>
        <v>41106.102564102563</v>
      </c>
      <c r="G28" s="117">
        <v>127477347</v>
      </c>
      <c r="H28" s="117">
        <f t="shared" si="11"/>
        <v>22542.413262599468</v>
      </c>
      <c r="I28" s="7"/>
      <c r="J28" s="11">
        <v>4</v>
      </c>
      <c r="K28" s="117">
        <v>509909</v>
      </c>
      <c r="L28" s="120">
        <f t="shared" si="12"/>
        <v>90.169584438549961</v>
      </c>
      <c r="M28" s="122">
        <f t="shared" si="3"/>
        <v>1274773.47</v>
      </c>
      <c r="N28" s="116">
        <f t="shared" si="4"/>
        <v>764864.47</v>
      </c>
      <c r="O28" s="123">
        <f t="shared" si="5"/>
        <v>135.25454818744473</v>
      </c>
      <c r="P28" s="5"/>
      <c r="Q28" s="5">
        <f t="shared" si="6"/>
        <v>1</v>
      </c>
      <c r="R28" s="7">
        <f t="shared" si="7"/>
        <v>5655</v>
      </c>
      <c r="S28" s="5">
        <f t="shared" si="8"/>
        <v>1</v>
      </c>
      <c r="T28" s="7">
        <f t="shared" si="9"/>
        <v>5655</v>
      </c>
    </row>
    <row r="29" spans="1:20">
      <c r="A29" s="23" t="s">
        <v>32</v>
      </c>
      <c r="B29" s="35" t="s">
        <v>33</v>
      </c>
      <c r="C29" s="36">
        <v>8941</v>
      </c>
      <c r="D29" s="6"/>
      <c r="E29" s="113">
        <v>544096441</v>
      </c>
      <c r="F29" s="116">
        <f t="shared" si="10"/>
        <v>60854.092495246616</v>
      </c>
      <c r="G29" s="117">
        <v>451520711</v>
      </c>
      <c r="H29" s="117">
        <f t="shared" si="11"/>
        <v>50500.023599149987</v>
      </c>
      <c r="I29" s="7"/>
      <c r="J29" s="11">
        <v>2.0004</v>
      </c>
      <c r="K29" s="117">
        <v>903222</v>
      </c>
      <c r="L29" s="120">
        <f t="shared" si="12"/>
        <v>101.02024382060172</v>
      </c>
      <c r="M29" s="122">
        <f t="shared" si="3"/>
        <v>4515207.1100000003</v>
      </c>
      <c r="N29" s="116">
        <f t="shared" si="4"/>
        <v>3611985.1100000003</v>
      </c>
      <c r="O29" s="123">
        <f t="shared" si="5"/>
        <v>403.97999217089813</v>
      </c>
      <c r="P29" s="5"/>
      <c r="Q29" s="5">
        <f t="shared" si="6"/>
        <v>1</v>
      </c>
      <c r="R29" s="7">
        <f t="shared" si="7"/>
        <v>8941</v>
      </c>
      <c r="S29" s="5">
        <f t="shared" si="8"/>
        <v>1</v>
      </c>
      <c r="T29" s="7">
        <f t="shared" si="9"/>
        <v>8941</v>
      </c>
    </row>
    <row r="30" spans="1:20">
      <c r="A30" s="23" t="s">
        <v>34</v>
      </c>
      <c r="B30" s="35" t="s">
        <v>33</v>
      </c>
      <c r="C30" s="36">
        <v>16641</v>
      </c>
      <c r="D30" s="6"/>
      <c r="E30" s="113">
        <v>702748387</v>
      </c>
      <c r="F30" s="116">
        <f t="shared" si="10"/>
        <v>42229.93732347816</v>
      </c>
      <c r="G30" s="117">
        <v>411022412</v>
      </c>
      <c r="H30" s="117">
        <f t="shared" si="11"/>
        <v>24699.381767922601</v>
      </c>
      <c r="I30" s="7"/>
      <c r="J30" s="10">
        <v>4.4068000000000005</v>
      </c>
      <c r="K30" s="117">
        <v>1811293</v>
      </c>
      <c r="L30" s="120">
        <f t="shared" si="12"/>
        <v>108.84520161048015</v>
      </c>
      <c r="M30" s="122">
        <f t="shared" si="3"/>
        <v>4110224.12</v>
      </c>
      <c r="N30" s="116">
        <f t="shared" si="4"/>
        <v>2298931.12</v>
      </c>
      <c r="O30" s="123">
        <f t="shared" si="5"/>
        <v>138.14861606874587</v>
      </c>
      <c r="P30" s="5"/>
      <c r="Q30" s="5">
        <f t="shared" si="6"/>
        <v>1</v>
      </c>
      <c r="R30" s="7">
        <f t="shared" si="7"/>
        <v>16641</v>
      </c>
      <c r="S30" s="5">
        <f t="shared" si="8"/>
        <v>1</v>
      </c>
      <c r="T30" s="7">
        <f t="shared" si="9"/>
        <v>16641</v>
      </c>
    </row>
    <row r="31" spans="1:20">
      <c r="A31" s="23" t="s">
        <v>35</v>
      </c>
      <c r="B31" s="35" t="s">
        <v>33</v>
      </c>
      <c r="C31" s="36">
        <v>12661</v>
      </c>
      <c r="D31" s="6"/>
      <c r="E31" s="113">
        <v>1362797710</v>
      </c>
      <c r="F31" s="116">
        <f t="shared" si="10"/>
        <v>107637.44648921886</v>
      </c>
      <c r="G31" s="117">
        <v>1015386455</v>
      </c>
      <c r="H31" s="117">
        <f t="shared" si="11"/>
        <v>80197.966590316719</v>
      </c>
      <c r="I31" s="7"/>
      <c r="J31" s="10">
        <v>5.0374000000000008</v>
      </c>
      <c r="K31" s="117">
        <v>5114907</v>
      </c>
      <c r="L31" s="120">
        <f t="shared" si="12"/>
        <v>403.98917936971804</v>
      </c>
      <c r="M31" s="122">
        <f t="shared" si="3"/>
        <v>10153864.550000001</v>
      </c>
      <c r="N31" s="116">
        <f t="shared" si="4"/>
        <v>5038957.5500000007</v>
      </c>
      <c r="O31" s="123">
        <f t="shared" si="5"/>
        <v>397.99048653344926</v>
      </c>
      <c r="P31" s="5"/>
      <c r="Q31" s="5">
        <f t="shared" si="6"/>
        <v>1</v>
      </c>
      <c r="R31" s="7">
        <f t="shared" si="7"/>
        <v>12661</v>
      </c>
      <c r="S31" s="5">
        <f t="shared" si="8"/>
        <v>1</v>
      </c>
      <c r="T31" s="7">
        <f t="shared" si="9"/>
        <v>12661</v>
      </c>
    </row>
    <row r="32" spans="1:20">
      <c r="A32" s="23" t="s">
        <v>36</v>
      </c>
      <c r="B32" s="35" t="s">
        <v>33</v>
      </c>
      <c r="C32" s="36">
        <v>2925</v>
      </c>
      <c r="D32" s="6"/>
      <c r="E32" s="113">
        <v>245999147</v>
      </c>
      <c r="F32" s="116">
        <f t="shared" si="10"/>
        <v>84102.272478632483</v>
      </c>
      <c r="G32" s="117">
        <v>184011117</v>
      </c>
      <c r="H32" s="117">
        <f t="shared" si="11"/>
        <v>62909.783589743587</v>
      </c>
      <c r="I32" s="7"/>
      <c r="J32" s="10">
        <v>4.8451000000000004</v>
      </c>
      <c r="K32" s="117">
        <v>891552</v>
      </c>
      <c r="L32" s="120">
        <f t="shared" si="12"/>
        <v>304.80410256410255</v>
      </c>
      <c r="M32" s="122">
        <f t="shared" si="3"/>
        <v>1840111.17</v>
      </c>
      <c r="N32" s="116">
        <f t="shared" si="4"/>
        <v>948559.16999999993</v>
      </c>
      <c r="O32" s="123">
        <f t="shared" si="5"/>
        <v>324.29373333333331</v>
      </c>
      <c r="P32" s="5"/>
      <c r="Q32" s="5">
        <f t="shared" si="6"/>
        <v>1</v>
      </c>
      <c r="R32" s="7">
        <f t="shared" si="7"/>
        <v>2925</v>
      </c>
      <c r="S32" s="5">
        <f t="shared" si="8"/>
        <v>1</v>
      </c>
      <c r="T32" s="7">
        <f t="shared" si="9"/>
        <v>2925</v>
      </c>
    </row>
    <row r="33" spans="1:20">
      <c r="A33" s="23" t="s">
        <v>37</v>
      </c>
      <c r="B33" s="35" t="s">
        <v>33</v>
      </c>
      <c r="C33" s="36">
        <v>8450</v>
      </c>
      <c r="D33" s="6"/>
      <c r="E33" s="113">
        <v>559699457</v>
      </c>
      <c r="F33" s="116">
        <f t="shared" si="10"/>
        <v>66236.622130177508</v>
      </c>
      <c r="G33" s="117">
        <v>453308257</v>
      </c>
      <c r="H33" s="117">
        <f t="shared" si="11"/>
        <v>53645.947573964499</v>
      </c>
      <c r="I33" s="7"/>
      <c r="J33" s="10">
        <v>4.6900000000000004</v>
      </c>
      <c r="K33" s="117">
        <v>2126015</v>
      </c>
      <c r="L33" s="120">
        <f t="shared" si="12"/>
        <v>251.59940828402367</v>
      </c>
      <c r="M33" s="122">
        <f t="shared" si="3"/>
        <v>4533082.57</v>
      </c>
      <c r="N33" s="116">
        <f t="shared" si="4"/>
        <v>2407067.5700000003</v>
      </c>
      <c r="O33" s="123">
        <f t="shared" si="5"/>
        <v>284.86006745562133</v>
      </c>
      <c r="P33" s="5"/>
      <c r="Q33" s="5">
        <f t="shared" si="6"/>
        <v>1</v>
      </c>
      <c r="R33" s="7">
        <f t="shared" si="7"/>
        <v>8450</v>
      </c>
      <c r="S33" s="5">
        <f t="shared" si="8"/>
        <v>1</v>
      </c>
      <c r="T33" s="7">
        <f t="shared" si="9"/>
        <v>8450</v>
      </c>
    </row>
    <row r="34" spans="1:20">
      <c r="A34" s="23" t="s">
        <v>38</v>
      </c>
      <c r="B34" s="35" t="s">
        <v>33</v>
      </c>
      <c r="C34" s="36">
        <v>2645</v>
      </c>
      <c r="D34" s="6"/>
      <c r="E34" s="113">
        <v>167913299</v>
      </c>
      <c r="F34" s="116">
        <f t="shared" si="10"/>
        <v>63483.288846880911</v>
      </c>
      <c r="G34" s="117">
        <v>128162009</v>
      </c>
      <c r="H34" s="117">
        <f t="shared" si="11"/>
        <v>48454.445746691868</v>
      </c>
      <c r="I34" s="7"/>
      <c r="J34" s="10">
        <v>1.7642000000000002</v>
      </c>
      <c r="K34" s="117">
        <v>226103</v>
      </c>
      <c r="L34" s="120">
        <f t="shared" si="12"/>
        <v>85.483175803402645</v>
      </c>
      <c r="M34" s="122">
        <f t="shared" si="3"/>
        <v>1281620.0900000001</v>
      </c>
      <c r="N34" s="116">
        <f t="shared" si="4"/>
        <v>1055517.0900000001</v>
      </c>
      <c r="O34" s="123">
        <f t="shared" si="5"/>
        <v>399.06128166351613</v>
      </c>
      <c r="P34" s="5"/>
      <c r="Q34" s="5">
        <f t="shared" si="6"/>
        <v>1</v>
      </c>
      <c r="R34" s="7">
        <f t="shared" si="7"/>
        <v>2645</v>
      </c>
      <c r="S34" s="5">
        <f t="shared" si="8"/>
        <v>1</v>
      </c>
      <c r="T34" s="7">
        <f t="shared" si="9"/>
        <v>2645</v>
      </c>
    </row>
    <row r="35" spans="1:20">
      <c r="A35" s="23" t="s">
        <v>39</v>
      </c>
      <c r="B35" s="35" t="s">
        <v>33</v>
      </c>
      <c r="C35" s="36">
        <v>72498</v>
      </c>
      <c r="D35" s="6"/>
      <c r="E35" s="113">
        <v>3829652844</v>
      </c>
      <c r="F35" s="116">
        <f t="shared" si="10"/>
        <v>52824.255069105355</v>
      </c>
      <c r="G35" s="117">
        <v>2617118504</v>
      </c>
      <c r="H35" s="117">
        <f t="shared" si="11"/>
        <v>36099.182101575214</v>
      </c>
      <c r="I35" s="7"/>
      <c r="J35" s="10">
        <v>4.5228000000000002</v>
      </c>
      <c r="K35" s="117">
        <v>11836703</v>
      </c>
      <c r="L35" s="120">
        <f t="shared" si="12"/>
        <v>163.26937294821926</v>
      </c>
      <c r="M35" s="122">
        <f t="shared" si="3"/>
        <v>26171185.039999999</v>
      </c>
      <c r="N35" s="116">
        <f t="shared" si="4"/>
        <v>14334482.039999999</v>
      </c>
      <c r="O35" s="123">
        <f t="shared" si="5"/>
        <v>197.72244806753289</v>
      </c>
      <c r="P35" s="5"/>
      <c r="Q35" s="5">
        <f t="shared" si="6"/>
        <v>1</v>
      </c>
      <c r="R35" s="7">
        <f t="shared" si="7"/>
        <v>72498</v>
      </c>
      <c r="S35" s="5">
        <f t="shared" si="8"/>
        <v>1</v>
      </c>
      <c r="T35" s="7">
        <f t="shared" si="9"/>
        <v>72498</v>
      </c>
    </row>
    <row r="36" spans="1:20">
      <c r="A36" s="23" t="s">
        <v>40</v>
      </c>
      <c r="B36" s="35" t="s">
        <v>33</v>
      </c>
      <c r="C36" s="36">
        <v>3341</v>
      </c>
      <c r="D36" s="6"/>
      <c r="E36" s="113">
        <v>254485572</v>
      </c>
      <c r="F36" s="116">
        <f t="shared" si="10"/>
        <v>76170.479497156542</v>
      </c>
      <c r="G36" s="117">
        <v>188085712</v>
      </c>
      <c r="H36" s="117">
        <f t="shared" si="11"/>
        <v>56296.232265788683</v>
      </c>
      <c r="I36" s="7"/>
      <c r="J36" s="10">
        <v>3.9866999999999999</v>
      </c>
      <c r="K36" s="117">
        <v>749841</v>
      </c>
      <c r="L36" s="120">
        <f t="shared" si="12"/>
        <v>224.436096976953</v>
      </c>
      <c r="M36" s="122">
        <f t="shared" si="3"/>
        <v>1880857.12</v>
      </c>
      <c r="N36" s="116">
        <f t="shared" si="4"/>
        <v>1131016.1200000001</v>
      </c>
      <c r="O36" s="123">
        <f t="shared" si="5"/>
        <v>338.52622568093386</v>
      </c>
      <c r="P36" s="5"/>
      <c r="Q36" s="5">
        <f t="shared" si="6"/>
        <v>1</v>
      </c>
      <c r="R36" s="7">
        <f t="shared" si="7"/>
        <v>3341</v>
      </c>
      <c r="S36" s="5">
        <f t="shared" si="8"/>
        <v>1</v>
      </c>
      <c r="T36" s="7">
        <f t="shared" si="9"/>
        <v>3341</v>
      </c>
    </row>
    <row r="37" spans="1:20">
      <c r="A37" s="23" t="s">
        <v>41</v>
      </c>
      <c r="B37" s="35" t="s">
        <v>33</v>
      </c>
      <c r="C37" s="36">
        <v>708</v>
      </c>
      <c r="D37" s="6"/>
      <c r="E37" s="113">
        <v>45293166</v>
      </c>
      <c r="F37" s="116">
        <f t="shared" si="10"/>
        <v>63973.398305084746</v>
      </c>
      <c r="G37" s="117">
        <v>35267596</v>
      </c>
      <c r="H37" s="117">
        <f t="shared" si="11"/>
        <v>49812.988700564973</v>
      </c>
      <c r="I37" s="7"/>
      <c r="J37" s="10">
        <v>4.0360000000000005</v>
      </c>
      <c r="K37" s="117">
        <v>142340</v>
      </c>
      <c r="L37" s="120">
        <f t="shared" si="12"/>
        <v>201.045197740113</v>
      </c>
      <c r="M37" s="122">
        <f t="shared" si="3"/>
        <v>352675.96</v>
      </c>
      <c r="N37" s="116">
        <f t="shared" si="4"/>
        <v>210335.96000000002</v>
      </c>
      <c r="O37" s="123">
        <f t="shared" si="5"/>
        <v>297.08468926553678</v>
      </c>
      <c r="P37" s="5"/>
      <c r="Q37" s="5">
        <f t="shared" si="6"/>
        <v>1</v>
      </c>
      <c r="R37" s="7">
        <f t="shared" si="7"/>
        <v>708</v>
      </c>
      <c r="S37" s="5">
        <f t="shared" si="8"/>
        <v>1</v>
      </c>
      <c r="T37" s="7">
        <f t="shared" si="9"/>
        <v>708</v>
      </c>
    </row>
    <row r="38" spans="1:20">
      <c r="A38" s="23" t="s">
        <v>42</v>
      </c>
      <c r="B38" s="35" t="s">
        <v>33</v>
      </c>
      <c r="C38" s="36">
        <v>80685</v>
      </c>
      <c r="D38" s="6"/>
      <c r="E38" s="113">
        <v>2862806271</v>
      </c>
      <c r="F38" s="116">
        <f t="shared" si="10"/>
        <v>35481.270013013571</v>
      </c>
      <c r="G38" s="117">
        <v>2015158738</v>
      </c>
      <c r="H38" s="117">
        <f t="shared" si="11"/>
        <v>24975.630389787446</v>
      </c>
      <c r="I38" s="7"/>
      <c r="J38" s="10">
        <v>6.8643000000000001</v>
      </c>
      <c r="K38" s="117">
        <v>13832654</v>
      </c>
      <c r="L38" s="120">
        <f t="shared" si="12"/>
        <v>171.44021813224268</v>
      </c>
      <c r="M38" s="122">
        <f t="shared" ref="M38:M69" si="13">(G38*0.01)</f>
        <v>20151587.379999999</v>
      </c>
      <c r="N38" s="116">
        <f t="shared" ref="N38:N69" si="14">(M38-K38)</f>
        <v>6318933.379999999</v>
      </c>
      <c r="O38" s="123">
        <f t="shared" ref="O38:O69" si="15">(N38/C38)</f>
        <v>78.316085765631769</v>
      </c>
      <c r="P38" s="5"/>
      <c r="Q38" s="5">
        <f t="shared" si="6"/>
        <v>1</v>
      </c>
      <c r="R38" s="7">
        <f t="shared" si="7"/>
        <v>80685</v>
      </c>
      <c r="S38" s="5">
        <f t="shared" si="8"/>
        <v>1</v>
      </c>
      <c r="T38" s="7">
        <f t="shared" si="9"/>
        <v>80685</v>
      </c>
    </row>
    <row r="39" spans="1:20">
      <c r="A39" s="23" t="s">
        <v>43</v>
      </c>
      <c r="B39" s="35" t="s">
        <v>33</v>
      </c>
      <c r="C39" s="36">
        <v>821</v>
      </c>
      <c r="D39" s="6"/>
      <c r="E39" s="113">
        <v>38009607</v>
      </c>
      <c r="F39" s="116">
        <f t="shared" si="10"/>
        <v>46296.719853836781</v>
      </c>
      <c r="G39" s="117">
        <v>31560247</v>
      </c>
      <c r="H39" s="117">
        <f t="shared" si="11"/>
        <v>38441.226552984168</v>
      </c>
      <c r="I39" s="98" t="s">
        <v>528</v>
      </c>
      <c r="J39" s="10"/>
      <c r="K39" s="117"/>
      <c r="L39" s="120"/>
      <c r="M39" s="122">
        <f t="shared" si="13"/>
        <v>315602.47000000003</v>
      </c>
      <c r="N39" s="116">
        <f t="shared" si="14"/>
        <v>315602.47000000003</v>
      </c>
      <c r="O39" s="123">
        <f t="shared" si="15"/>
        <v>384.4122655298417</v>
      </c>
      <c r="P39" s="5"/>
      <c r="Q39" s="5">
        <f t="shared" si="6"/>
        <v>1</v>
      </c>
      <c r="R39" s="7">
        <f t="shared" si="7"/>
        <v>821</v>
      </c>
      <c r="S39" s="5">
        <f t="shared" si="8"/>
        <v>0</v>
      </c>
      <c r="T39" s="7">
        <f t="shared" si="9"/>
        <v>0</v>
      </c>
    </row>
    <row r="40" spans="1:20">
      <c r="A40" s="23" t="s">
        <v>44</v>
      </c>
      <c r="B40" s="35" t="s">
        <v>33</v>
      </c>
      <c r="C40" s="36">
        <v>20874</v>
      </c>
      <c r="D40" s="6"/>
      <c r="E40" s="113">
        <v>1050892884</v>
      </c>
      <c r="F40" s="116">
        <f t="shared" si="10"/>
        <v>50344.585800517387</v>
      </c>
      <c r="G40" s="117">
        <v>694450594</v>
      </c>
      <c r="H40" s="117">
        <f t="shared" si="11"/>
        <v>33268.688032959661</v>
      </c>
      <c r="I40" s="7"/>
      <c r="J40" s="10">
        <v>5.7</v>
      </c>
      <c r="K40" s="117">
        <v>3958368</v>
      </c>
      <c r="L40" s="120">
        <f>(K40/C40)</f>
        <v>189.63150330554757</v>
      </c>
      <c r="M40" s="122">
        <f t="shared" si="13"/>
        <v>6944505.9400000004</v>
      </c>
      <c r="N40" s="116">
        <f t="shared" si="14"/>
        <v>2986137.9400000004</v>
      </c>
      <c r="O40" s="123">
        <f t="shared" si="15"/>
        <v>143.05537702404908</v>
      </c>
      <c r="P40" s="5"/>
      <c r="Q40" s="5">
        <f t="shared" si="6"/>
        <v>1</v>
      </c>
      <c r="R40" s="7">
        <f t="shared" si="7"/>
        <v>20874</v>
      </c>
      <c r="S40" s="5">
        <f t="shared" si="8"/>
        <v>1</v>
      </c>
      <c r="T40" s="7">
        <f t="shared" si="9"/>
        <v>20874</v>
      </c>
    </row>
    <row r="41" spans="1:20">
      <c r="A41" s="23" t="s">
        <v>45</v>
      </c>
      <c r="B41" s="35" t="s">
        <v>33</v>
      </c>
      <c r="C41" s="36">
        <v>9616</v>
      </c>
      <c r="D41" s="6"/>
      <c r="E41" s="113">
        <v>565361873</v>
      </c>
      <c r="F41" s="116">
        <f t="shared" si="10"/>
        <v>58793.871984193014</v>
      </c>
      <c r="G41" s="117">
        <v>409121023</v>
      </c>
      <c r="H41" s="117">
        <f t="shared" si="11"/>
        <v>42545.863456738771</v>
      </c>
      <c r="I41" s="7"/>
      <c r="J41" s="10">
        <v>6.5265000000000004</v>
      </c>
      <c r="K41" s="121">
        <v>2670128</v>
      </c>
      <c r="L41" s="120">
        <f>(K41/C41)</f>
        <v>277.67554076539102</v>
      </c>
      <c r="M41" s="122">
        <f t="shared" si="13"/>
        <v>4091210.23</v>
      </c>
      <c r="N41" s="116">
        <f t="shared" si="14"/>
        <v>1421082.23</v>
      </c>
      <c r="O41" s="123">
        <f t="shared" si="15"/>
        <v>147.78309380199667</v>
      </c>
      <c r="P41" s="5"/>
      <c r="Q41" s="5">
        <f t="shared" si="6"/>
        <v>1</v>
      </c>
      <c r="R41" s="7">
        <f t="shared" si="7"/>
        <v>9616</v>
      </c>
      <c r="S41" s="5">
        <f t="shared" si="8"/>
        <v>1</v>
      </c>
      <c r="T41" s="7">
        <f t="shared" si="9"/>
        <v>9616</v>
      </c>
    </row>
    <row r="42" spans="1:20">
      <c r="A42" s="23" t="s">
        <v>46</v>
      </c>
      <c r="B42" s="35" t="s">
        <v>33</v>
      </c>
      <c r="C42" s="36">
        <v>40790</v>
      </c>
      <c r="D42" s="6"/>
      <c r="E42" s="113">
        <v>1708819374</v>
      </c>
      <c r="F42" s="116">
        <f t="shared" si="10"/>
        <v>41893.095709732777</v>
      </c>
      <c r="G42" s="117">
        <v>1098461024</v>
      </c>
      <c r="H42" s="117">
        <f t="shared" si="11"/>
        <v>26929.664721745525</v>
      </c>
      <c r="I42" s="7"/>
      <c r="J42" s="10">
        <v>5.3212999999999999</v>
      </c>
      <c r="K42" s="117">
        <v>5845240</v>
      </c>
      <c r="L42" s="120">
        <f>(K42/C42)</f>
        <v>143.30080902181908</v>
      </c>
      <c r="M42" s="122">
        <f t="shared" si="13"/>
        <v>10984610.24</v>
      </c>
      <c r="N42" s="116">
        <f t="shared" si="14"/>
        <v>5139370.24</v>
      </c>
      <c r="O42" s="123">
        <f t="shared" si="15"/>
        <v>125.9958381956362</v>
      </c>
      <c r="P42" s="5"/>
      <c r="Q42" s="5">
        <f t="shared" si="6"/>
        <v>1</v>
      </c>
      <c r="R42" s="7">
        <f t="shared" si="7"/>
        <v>40790</v>
      </c>
      <c r="S42" s="5">
        <f t="shared" si="8"/>
        <v>1</v>
      </c>
      <c r="T42" s="7">
        <f t="shared" si="9"/>
        <v>40790</v>
      </c>
    </row>
    <row r="43" spans="1:20">
      <c r="A43" s="23" t="s">
        <v>47</v>
      </c>
      <c r="B43" s="35" t="s">
        <v>33</v>
      </c>
      <c r="C43" s="36">
        <v>10461</v>
      </c>
      <c r="D43" s="6"/>
      <c r="E43" s="113">
        <v>639876716</v>
      </c>
      <c r="F43" s="116">
        <f t="shared" si="10"/>
        <v>61167.834432654621</v>
      </c>
      <c r="G43" s="117">
        <v>490461006</v>
      </c>
      <c r="H43" s="117">
        <f t="shared" si="11"/>
        <v>46884.715227989676</v>
      </c>
      <c r="I43" s="98" t="s">
        <v>528</v>
      </c>
      <c r="J43" s="10"/>
      <c r="K43" s="117"/>
      <c r="L43" s="120"/>
      <c r="M43" s="122">
        <f t="shared" si="13"/>
        <v>4904610.0600000005</v>
      </c>
      <c r="N43" s="116">
        <f t="shared" si="14"/>
        <v>4904610.0600000005</v>
      </c>
      <c r="O43" s="123">
        <f t="shared" si="15"/>
        <v>468.84715227989682</v>
      </c>
      <c r="P43" s="5"/>
      <c r="Q43" s="5">
        <f t="shared" si="6"/>
        <v>1</v>
      </c>
      <c r="R43" s="7">
        <f t="shared" si="7"/>
        <v>10461</v>
      </c>
      <c r="S43" s="5">
        <f t="shared" si="8"/>
        <v>0</v>
      </c>
      <c r="T43" s="7">
        <f t="shared" si="9"/>
        <v>0</v>
      </c>
    </row>
    <row r="44" spans="1:20">
      <c r="A44" s="23" t="s">
        <v>48</v>
      </c>
      <c r="B44" s="35" t="s">
        <v>49</v>
      </c>
      <c r="C44" s="36">
        <v>45517</v>
      </c>
      <c r="D44" s="6"/>
      <c r="E44" s="113">
        <v>2365999875</v>
      </c>
      <c r="F44" s="116">
        <f t="shared" si="10"/>
        <v>51980.57593866028</v>
      </c>
      <c r="G44" s="117">
        <v>1789168446</v>
      </c>
      <c r="H44" s="117">
        <f t="shared" si="11"/>
        <v>39307.697036272162</v>
      </c>
      <c r="I44" s="7"/>
      <c r="J44" s="11">
        <v>5.0959000000000003</v>
      </c>
      <c r="K44" s="117">
        <v>9117423</v>
      </c>
      <c r="L44" s="120">
        <f t="shared" ref="L44:L73" si="16">(K44/C44)</f>
        <v>200.30808269437793</v>
      </c>
      <c r="M44" s="122">
        <f t="shared" si="13"/>
        <v>17891684.460000001</v>
      </c>
      <c r="N44" s="116">
        <f t="shared" si="14"/>
        <v>8774261.4600000009</v>
      </c>
      <c r="O44" s="123">
        <f t="shared" si="15"/>
        <v>192.76888766834372</v>
      </c>
      <c r="P44" s="5"/>
      <c r="Q44" s="5">
        <f t="shared" si="6"/>
        <v>1</v>
      </c>
      <c r="R44" s="7">
        <f t="shared" si="7"/>
        <v>45517</v>
      </c>
      <c r="S44" s="5">
        <f t="shared" si="8"/>
        <v>1</v>
      </c>
      <c r="T44" s="7">
        <f t="shared" si="9"/>
        <v>45517</v>
      </c>
    </row>
    <row r="45" spans="1:20">
      <c r="A45" s="23" t="s">
        <v>50</v>
      </c>
      <c r="B45" s="35" t="s">
        <v>49</v>
      </c>
      <c r="C45" s="36">
        <v>28134</v>
      </c>
      <c r="D45" s="6"/>
      <c r="E45" s="113">
        <v>1527403716</v>
      </c>
      <c r="F45" s="116">
        <f t="shared" si="10"/>
        <v>54290.314779270637</v>
      </c>
      <c r="G45" s="117">
        <v>1161099927</v>
      </c>
      <c r="H45" s="117">
        <f t="shared" si="11"/>
        <v>41270.346449136276</v>
      </c>
      <c r="I45" s="7"/>
      <c r="J45" s="10">
        <v>5.8570000000000002</v>
      </c>
      <c r="K45" s="117">
        <v>6800562</v>
      </c>
      <c r="L45" s="120">
        <f t="shared" si="16"/>
        <v>241.72040946896993</v>
      </c>
      <c r="M45" s="122">
        <f t="shared" si="13"/>
        <v>11610999.27</v>
      </c>
      <c r="N45" s="116">
        <f t="shared" si="14"/>
        <v>4810437.2699999996</v>
      </c>
      <c r="O45" s="123">
        <f t="shared" si="15"/>
        <v>170.98305502239282</v>
      </c>
      <c r="P45" s="5"/>
      <c r="Q45" s="5">
        <f t="shared" si="6"/>
        <v>1</v>
      </c>
      <c r="R45" s="7">
        <f t="shared" si="7"/>
        <v>28134</v>
      </c>
      <c r="S45" s="5">
        <f t="shared" si="8"/>
        <v>1</v>
      </c>
      <c r="T45" s="7">
        <f t="shared" si="9"/>
        <v>28134</v>
      </c>
    </row>
    <row r="46" spans="1:20">
      <c r="A46" s="23" t="s">
        <v>51</v>
      </c>
      <c r="B46" s="35" t="s">
        <v>49</v>
      </c>
      <c r="C46" s="36">
        <v>120085</v>
      </c>
      <c r="D46" s="6"/>
      <c r="E46" s="113">
        <v>6785892757</v>
      </c>
      <c r="F46" s="116">
        <f t="shared" si="10"/>
        <v>56509.07904401049</v>
      </c>
      <c r="G46" s="117">
        <v>5604905935</v>
      </c>
      <c r="H46" s="117">
        <f t="shared" si="11"/>
        <v>46674.48836240996</v>
      </c>
      <c r="I46" s="7"/>
      <c r="J46" s="10">
        <v>3.8715000000000002</v>
      </c>
      <c r="K46" s="117">
        <v>21699393</v>
      </c>
      <c r="L46" s="120">
        <f t="shared" si="16"/>
        <v>180.70027896906359</v>
      </c>
      <c r="M46" s="122">
        <f t="shared" si="13"/>
        <v>56049059.350000001</v>
      </c>
      <c r="N46" s="116">
        <f t="shared" si="14"/>
        <v>34349666.350000001</v>
      </c>
      <c r="O46" s="123">
        <f t="shared" si="15"/>
        <v>286.04460465503604</v>
      </c>
      <c r="P46" s="5"/>
      <c r="Q46" s="5">
        <f t="shared" si="6"/>
        <v>1</v>
      </c>
      <c r="R46" s="7">
        <f t="shared" si="7"/>
        <v>120085</v>
      </c>
      <c r="S46" s="5">
        <f t="shared" si="8"/>
        <v>1</v>
      </c>
      <c r="T46" s="7">
        <f t="shared" si="9"/>
        <v>120085</v>
      </c>
    </row>
    <row r="47" spans="1:20">
      <c r="A47" s="23" t="s">
        <v>464</v>
      </c>
      <c r="B47" s="35" t="s">
        <v>49</v>
      </c>
      <c r="C47" s="36">
        <v>20169</v>
      </c>
      <c r="D47" s="6"/>
      <c r="E47" s="113">
        <v>2012614682</v>
      </c>
      <c r="F47" s="116">
        <f t="shared" si="10"/>
        <v>99787.529475928401</v>
      </c>
      <c r="G47" s="117">
        <v>1612214254</v>
      </c>
      <c r="H47" s="117">
        <f t="shared" si="11"/>
        <v>79935.259755069666</v>
      </c>
      <c r="I47" s="7"/>
      <c r="J47" s="10">
        <v>6.1</v>
      </c>
      <c r="K47" s="117">
        <v>9834506</v>
      </c>
      <c r="L47" s="120">
        <f t="shared" si="16"/>
        <v>487.60503743368537</v>
      </c>
      <c r="M47" s="122">
        <f t="shared" si="13"/>
        <v>16122142.540000001</v>
      </c>
      <c r="N47" s="116">
        <f t="shared" si="14"/>
        <v>6287636.540000001</v>
      </c>
      <c r="O47" s="123">
        <f t="shared" si="15"/>
        <v>311.74756011701129</v>
      </c>
      <c r="P47" s="5"/>
      <c r="Q47" s="5">
        <f t="shared" si="6"/>
        <v>1</v>
      </c>
      <c r="R47" s="7">
        <f t="shared" si="7"/>
        <v>20169</v>
      </c>
      <c r="S47" s="5">
        <f t="shared" si="8"/>
        <v>1</v>
      </c>
      <c r="T47" s="7">
        <f t="shared" si="9"/>
        <v>20169</v>
      </c>
    </row>
    <row r="48" spans="1:20">
      <c r="A48" s="23" t="s">
        <v>52</v>
      </c>
      <c r="B48" s="35" t="s">
        <v>49</v>
      </c>
      <c r="C48" s="36">
        <v>77798</v>
      </c>
      <c r="D48" s="6"/>
      <c r="E48" s="113">
        <v>4881667635</v>
      </c>
      <c r="F48" s="116">
        <f t="shared" ref="F48:F79" si="17">(E48/C48)</f>
        <v>62747.9836885267</v>
      </c>
      <c r="G48" s="117">
        <v>3749947334</v>
      </c>
      <c r="H48" s="117">
        <f t="shared" ref="H48:H79" si="18">(G48/C48)</f>
        <v>48201.076300161956</v>
      </c>
      <c r="I48" s="7"/>
      <c r="J48" s="11">
        <v>5.1086</v>
      </c>
      <c r="K48" s="117">
        <v>19156980</v>
      </c>
      <c r="L48" s="120">
        <f t="shared" si="16"/>
        <v>246.24000616982443</v>
      </c>
      <c r="M48" s="122">
        <f t="shared" si="13"/>
        <v>37499473.340000004</v>
      </c>
      <c r="N48" s="116">
        <f t="shared" si="14"/>
        <v>18342493.340000004</v>
      </c>
      <c r="O48" s="123">
        <f t="shared" si="15"/>
        <v>235.77075683179521</v>
      </c>
      <c r="P48" s="5"/>
      <c r="Q48" s="5">
        <f t="shared" si="6"/>
        <v>1</v>
      </c>
      <c r="R48" s="7">
        <f t="shared" si="7"/>
        <v>77798</v>
      </c>
      <c r="S48" s="5">
        <f t="shared" si="8"/>
        <v>1</v>
      </c>
      <c r="T48" s="7">
        <f t="shared" si="9"/>
        <v>77798</v>
      </c>
    </row>
    <row r="49" spans="1:20">
      <c r="A49" s="23" t="s">
        <v>53</v>
      </c>
      <c r="B49" s="35" t="s">
        <v>49</v>
      </c>
      <c r="C49" s="36">
        <v>64948</v>
      </c>
      <c r="D49" s="6"/>
      <c r="E49" s="113">
        <v>4277305302</v>
      </c>
      <c r="F49" s="116">
        <f t="shared" si="17"/>
        <v>65857.382860134268</v>
      </c>
      <c r="G49" s="117">
        <v>3469060983</v>
      </c>
      <c r="H49" s="117">
        <f t="shared" si="18"/>
        <v>53412.899288661698</v>
      </c>
      <c r="I49" s="7"/>
      <c r="J49" s="10">
        <v>6.3546000000000005</v>
      </c>
      <c r="K49" s="117">
        <v>22044494</v>
      </c>
      <c r="L49" s="120">
        <f t="shared" si="16"/>
        <v>339.41759561495348</v>
      </c>
      <c r="M49" s="122">
        <f t="shared" si="13"/>
        <v>34690609.829999998</v>
      </c>
      <c r="N49" s="116">
        <f t="shared" si="14"/>
        <v>12646115.829999998</v>
      </c>
      <c r="O49" s="123">
        <f t="shared" si="15"/>
        <v>194.71139727166346</v>
      </c>
      <c r="P49" s="5"/>
      <c r="Q49" s="5">
        <f t="shared" si="6"/>
        <v>1</v>
      </c>
      <c r="R49" s="7">
        <f t="shared" si="7"/>
        <v>64948</v>
      </c>
      <c r="S49" s="5">
        <f t="shared" si="8"/>
        <v>1</v>
      </c>
      <c r="T49" s="7">
        <f t="shared" si="9"/>
        <v>64948</v>
      </c>
    </row>
    <row r="50" spans="1:20">
      <c r="A50" s="23" t="s">
        <v>54</v>
      </c>
      <c r="B50" s="35" t="s">
        <v>49</v>
      </c>
      <c r="C50" s="36">
        <v>155181</v>
      </c>
      <c r="D50" s="6"/>
      <c r="E50" s="113">
        <v>18379383238</v>
      </c>
      <c r="F50" s="116">
        <f t="shared" si="17"/>
        <v>118438.36061115729</v>
      </c>
      <c r="G50" s="117">
        <v>14505492721</v>
      </c>
      <c r="H50" s="117">
        <f t="shared" si="18"/>
        <v>93474.669714720236</v>
      </c>
      <c r="I50" s="7"/>
      <c r="J50" s="10">
        <v>4.8762000000000008</v>
      </c>
      <c r="K50" s="117">
        <v>70731683</v>
      </c>
      <c r="L50" s="120">
        <f t="shared" si="16"/>
        <v>455.80118055689809</v>
      </c>
      <c r="M50" s="122">
        <f t="shared" si="13"/>
        <v>145054927.21000001</v>
      </c>
      <c r="N50" s="116">
        <f t="shared" si="14"/>
        <v>74323244.210000008</v>
      </c>
      <c r="O50" s="123">
        <f t="shared" si="15"/>
        <v>478.94551659030429</v>
      </c>
      <c r="P50" s="5"/>
      <c r="Q50" s="5">
        <f t="shared" si="6"/>
        <v>1</v>
      </c>
      <c r="R50" s="7">
        <f t="shared" si="7"/>
        <v>155181</v>
      </c>
      <c r="S50" s="5">
        <f t="shared" si="8"/>
        <v>1</v>
      </c>
      <c r="T50" s="7">
        <f t="shared" si="9"/>
        <v>155181</v>
      </c>
    </row>
    <row r="51" spans="1:20">
      <c r="A51" s="23" t="s">
        <v>465</v>
      </c>
      <c r="B51" s="35" t="s">
        <v>49</v>
      </c>
      <c r="C51" s="36">
        <v>34286</v>
      </c>
      <c r="D51" s="6"/>
      <c r="E51" s="113">
        <v>2098073414</v>
      </c>
      <c r="F51" s="116">
        <f t="shared" si="17"/>
        <v>61193.297964183628</v>
      </c>
      <c r="G51" s="117">
        <v>1722666413</v>
      </c>
      <c r="H51" s="117">
        <f t="shared" si="18"/>
        <v>50244.018345680452</v>
      </c>
      <c r="I51" s="7"/>
      <c r="J51" s="10">
        <v>6.7480000000000002</v>
      </c>
      <c r="K51" s="117">
        <v>11624552</v>
      </c>
      <c r="L51" s="120">
        <f t="shared" si="16"/>
        <v>339.04660794493378</v>
      </c>
      <c r="M51" s="122">
        <f t="shared" si="13"/>
        <v>17226664.129999999</v>
      </c>
      <c r="N51" s="116">
        <f t="shared" si="14"/>
        <v>5602112.129999999</v>
      </c>
      <c r="O51" s="123">
        <f t="shared" si="15"/>
        <v>163.39357551187069</v>
      </c>
      <c r="P51" s="5"/>
      <c r="Q51" s="5">
        <f t="shared" si="6"/>
        <v>1</v>
      </c>
      <c r="R51" s="7">
        <f t="shared" si="7"/>
        <v>34286</v>
      </c>
      <c r="S51" s="5">
        <f t="shared" si="8"/>
        <v>1</v>
      </c>
      <c r="T51" s="7">
        <f t="shared" si="9"/>
        <v>34286</v>
      </c>
    </row>
    <row r="52" spans="1:20">
      <c r="A52" s="23" t="s">
        <v>55</v>
      </c>
      <c r="B52" s="35" t="s">
        <v>49</v>
      </c>
      <c r="C52" s="36">
        <v>2170</v>
      </c>
      <c r="D52" s="6"/>
      <c r="E52" s="113">
        <v>577404673</v>
      </c>
      <c r="F52" s="116">
        <f t="shared" si="17"/>
        <v>266085.10276497697</v>
      </c>
      <c r="G52" s="117">
        <v>524023793</v>
      </c>
      <c r="H52" s="117">
        <f t="shared" si="18"/>
        <v>241485.61889400921</v>
      </c>
      <c r="I52" s="7"/>
      <c r="J52" s="10">
        <v>3.65</v>
      </c>
      <c r="K52" s="117">
        <v>1912686</v>
      </c>
      <c r="L52" s="120">
        <f t="shared" si="16"/>
        <v>881.42211981566822</v>
      </c>
      <c r="M52" s="122">
        <f t="shared" si="13"/>
        <v>5240237.93</v>
      </c>
      <c r="N52" s="116">
        <f t="shared" si="14"/>
        <v>3327551.9299999997</v>
      </c>
      <c r="O52" s="123">
        <f t="shared" si="15"/>
        <v>1533.4340691244238</v>
      </c>
      <c r="P52" s="5"/>
      <c r="Q52" s="5">
        <f t="shared" si="6"/>
        <v>1</v>
      </c>
      <c r="R52" s="7">
        <f t="shared" si="7"/>
        <v>2170</v>
      </c>
      <c r="S52" s="5">
        <f t="shared" si="8"/>
        <v>1</v>
      </c>
      <c r="T52" s="7">
        <f t="shared" si="9"/>
        <v>2170</v>
      </c>
    </row>
    <row r="53" spans="1:20">
      <c r="A53" s="23" t="s">
        <v>56</v>
      </c>
      <c r="B53" s="35" t="s">
        <v>49</v>
      </c>
      <c r="C53" s="36">
        <v>140413</v>
      </c>
      <c r="D53" s="6"/>
      <c r="E53" s="113">
        <v>8517826777</v>
      </c>
      <c r="F53" s="116">
        <f t="shared" si="17"/>
        <v>60662.664974040868</v>
      </c>
      <c r="G53" s="117">
        <v>6480975128</v>
      </c>
      <c r="H53" s="117">
        <f t="shared" si="18"/>
        <v>46156.517758327223</v>
      </c>
      <c r="I53" s="7"/>
      <c r="J53" s="10">
        <v>6.85</v>
      </c>
      <c r="K53" s="117">
        <v>44394679</v>
      </c>
      <c r="L53" s="120">
        <f t="shared" si="16"/>
        <v>316.17214218056733</v>
      </c>
      <c r="M53" s="122">
        <f t="shared" si="13"/>
        <v>64809751.280000001</v>
      </c>
      <c r="N53" s="116">
        <f t="shared" si="14"/>
        <v>20415072.280000001</v>
      </c>
      <c r="O53" s="123">
        <f t="shared" si="15"/>
        <v>145.3930354027049</v>
      </c>
      <c r="P53" s="5"/>
      <c r="Q53" s="5">
        <f t="shared" si="6"/>
        <v>1</v>
      </c>
      <c r="R53" s="7">
        <f t="shared" si="7"/>
        <v>140413</v>
      </c>
      <c r="S53" s="5">
        <f t="shared" si="8"/>
        <v>1</v>
      </c>
      <c r="T53" s="7">
        <f t="shared" si="9"/>
        <v>140413</v>
      </c>
    </row>
    <row r="54" spans="1:20">
      <c r="A54" s="23" t="s">
        <v>57</v>
      </c>
      <c r="B54" s="35" t="s">
        <v>49</v>
      </c>
      <c r="C54" s="36">
        <v>31742</v>
      </c>
      <c r="D54" s="6"/>
      <c r="E54" s="113">
        <v>965606345</v>
      </c>
      <c r="F54" s="116">
        <f t="shared" si="17"/>
        <v>30420.463266334824</v>
      </c>
      <c r="G54" s="117">
        <v>697248804</v>
      </c>
      <c r="H54" s="117">
        <f t="shared" si="18"/>
        <v>21966.127024132064</v>
      </c>
      <c r="I54" s="7"/>
      <c r="J54" s="10">
        <v>4.95</v>
      </c>
      <c r="K54" s="117">
        <v>3451381</v>
      </c>
      <c r="L54" s="120">
        <f t="shared" si="16"/>
        <v>108.73231050343394</v>
      </c>
      <c r="M54" s="122">
        <f t="shared" si="13"/>
        <v>6972488.04</v>
      </c>
      <c r="N54" s="116">
        <f t="shared" si="14"/>
        <v>3521107.04</v>
      </c>
      <c r="O54" s="123">
        <f t="shared" si="15"/>
        <v>110.92895973788671</v>
      </c>
      <c r="P54" s="5"/>
      <c r="Q54" s="5">
        <f t="shared" si="6"/>
        <v>1</v>
      </c>
      <c r="R54" s="7">
        <f t="shared" si="7"/>
        <v>31742</v>
      </c>
      <c r="S54" s="5">
        <f t="shared" si="8"/>
        <v>1</v>
      </c>
      <c r="T54" s="7">
        <f t="shared" si="9"/>
        <v>31742</v>
      </c>
    </row>
    <row r="55" spans="1:20">
      <c r="A55" s="24" t="s">
        <v>560</v>
      </c>
      <c r="B55" s="35" t="s">
        <v>49</v>
      </c>
      <c r="C55" s="36">
        <v>3284</v>
      </c>
      <c r="D55" s="6"/>
      <c r="E55" s="113">
        <v>1122157881</v>
      </c>
      <c r="F55" s="116">
        <f t="shared" si="17"/>
        <v>341704.59226552985</v>
      </c>
      <c r="G55" s="117">
        <v>1003456267</v>
      </c>
      <c r="H55" s="117">
        <f t="shared" si="18"/>
        <v>305559.15560292325</v>
      </c>
      <c r="I55" s="7"/>
      <c r="J55" s="10">
        <v>4.7</v>
      </c>
      <c r="K55" s="117">
        <v>4716244</v>
      </c>
      <c r="L55" s="120">
        <f t="shared" si="16"/>
        <v>1436.1278928136419</v>
      </c>
      <c r="M55" s="122">
        <f t="shared" si="13"/>
        <v>10034562.67</v>
      </c>
      <c r="N55" s="116">
        <f t="shared" si="14"/>
        <v>5318318.67</v>
      </c>
      <c r="O55" s="123">
        <f t="shared" si="15"/>
        <v>1619.4636632155907</v>
      </c>
      <c r="P55" s="5"/>
      <c r="Q55" s="5">
        <f t="shared" si="6"/>
        <v>1</v>
      </c>
      <c r="R55" s="7">
        <f t="shared" si="7"/>
        <v>3284</v>
      </c>
      <c r="S55" s="5">
        <f t="shared" si="8"/>
        <v>1</v>
      </c>
      <c r="T55" s="7">
        <f t="shared" si="9"/>
        <v>3284</v>
      </c>
    </row>
    <row r="56" spans="1:20">
      <c r="A56" s="23" t="s">
        <v>58</v>
      </c>
      <c r="B56" s="35" t="s">
        <v>49</v>
      </c>
      <c r="C56" s="36">
        <v>57815</v>
      </c>
      <c r="D56" s="6"/>
      <c r="E56" s="113">
        <v>1788691357</v>
      </c>
      <c r="F56" s="116">
        <f t="shared" si="17"/>
        <v>30938.188307532648</v>
      </c>
      <c r="G56" s="117">
        <v>1372878062</v>
      </c>
      <c r="H56" s="117">
        <f t="shared" si="18"/>
        <v>23746.053134999569</v>
      </c>
      <c r="I56" s="7"/>
      <c r="J56" s="10">
        <v>5.6</v>
      </c>
      <c r="K56" s="117">
        <v>7688117</v>
      </c>
      <c r="L56" s="120">
        <f t="shared" si="16"/>
        <v>132.97789500994551</v>
      </c>
      <c r="M56" s="122">
        <f t="shared" si="13"/>
        <v>13728780.620000001</v>
      </c>
      <c r="N56" s="116">
        <f t="shared" si="14"/>
        <v>6040663.620000001</v>
      </c>
      <c r="O56" s="123">
        <f t="shared" si="15"/>
        <v>104.48263634005018</v>
      </c>
      <c r="P56" s="5"/>
      <c r="Q56" s="5">
        <f t="shared" si="6"/>
        <v>1</v>
      </c>
      <c r="R56" s="7">
        <f t="shared" si="7"/>
        <v>57815</v>
      </c>
      <c r="S56" s="5">
        <f t="shared" si="8"/>
        <v>1</v>
      </c>
      <c r="T56" s="7">
        <f t="shared" si="9"/>
        <v>57815</v>
      </c>
    </row>
    <row r="57" spans="1:20">
      <c r="A57" s="23" t="s">
        <v>59</v>
      </c>
      <c r="B57" s="35" t="s">
        <v>49</v>
      </c>
      <c r="C57" s="36">
        <v>34</v>
      </c>
      <c r="D57" s="6"/>
      <c r="E57" s="113">
        <v>3216844</v>
      </c>
      <c r="F57" s="116">
        <f t="shared" si="17"/>
        <v>94613.058823529413</v>
      </c>
      <c r="G57" s="117">
        <v>2600964</v>
      </c>
      <c r="H57" s="117">
        <f t="shared" si="18"/>
        <v>76498.941176470587</v>
      </c>
      <c r="I57" s="7"/>
      <c r="J57" s="10">
        <v>7</v>
      </c>
      <c r="K57" s="117">
        <v>18206</v>
      </c>
      <c r="L57" s="120">
        <f t="shared" si="16"/>
        <v>535.47058823529414</v>
      </c>
      <c r="M57" s="122">
        <f t="shared" si="13"/>
        <v>26009.64</v>
      </c>
      <c r="N57" s="116">
        <f t="shared" si="14"/>
        <v>7803.6399999999994</v>
      </c>
      <c r="O57" s="123">
        <f t="shared" si="15"/>
        <v>229.51882352941175</v>
      </c>
      <c r="P57" s="5"/>
      <c r="Q57" s="5">
        <f t="shared" si="6"/>
        <v>1</v>
      </c>
      <c r="R57" s="7">
        <f t="shared" si="7"/>
        <v>34</v>
      </c>
      <c r="S57" s="5">
        <f t="shared" si="8"/>
        <v>1</v>
      </c>
      <c r="T57" s="7">
        <f t="shared" si="9"/>
        <v>34</v>
      </c>
    </row>
    <row r="58" spans="1:20">
      <c r="A58" s="23" t="s">
        <v>60</v>
      </c>
      <c r="B58" s="35" t="s">
        <v>49</v>
      </c>
      <c r="C58" s="36">
        <v>10829</v>
      </c>
      <c r="D58" s="6"/>
      <c r="E58" s="113">
        <v>1337934000</v>
      </c>
      <c r="F58" s="116">
        <f t="shared" si="17"/>
        <v>123551.02040816327</v>
      </c>
      <c r="G58" s="117">
        <v>1074812243</v>
      </c>
      <c r="H58" s="117">
        <f t="shared" si="18"/>
        <v>99253.139071013022</v>
      </c>
      <c r="I58" s="7"/>
      <c r="J58" s="10">
        <v>3.8984000000000005</v>
      </c>
      <c r="K58" s="117">
        <v>4190048</v>
      </c>
      <c r="L58" s="120">
        <f t="shared" si="16"/>
        <v>386.9284329116262</v>
      </c>
      <c r="M58" s="122">
        <f t="shared" si="13"/>
        <v>10748122.43</v>
      </c>
      <c r="N58" s="116">
        <f t="shared" si="14"/>
        <v>6558074.4299999997</v>
      </c>
      <c r="O58" s="123">
        <f t="shared" si="15"/>
        <v>605.60295779850401</v>
      </c>
      <c r="P58" s="5"/>
      <c r="Q58" s="5">
        <f t="shared" si="6"/>
        <v>1</v>
      </c>
      <c r="R58" s="7">
        <f t="shared" si="7"/>
        <v>10829</v>
      </c>
      <c r="S58" s="5">
        <f t="shared" si="8"/>
        <v>1</v>
      </c>
      <c r="T58" s="7">
        <f t="shared" si="9"/>
        <v>10829</v>
      </c>
    </row>
    <row r="59" spans="1:20">
      <c r="A59" s="23" t="s">
        <v>61</v>
      </c>
      <c r="B59" s="35" t="s">
        <v>49</v>
      </c>
      <c r="C59" s="36">
        <v>54131</v>
      </c>
      <c r="D59" s="6"/>
      <c r="E59" s="113">
        <v>2211438482</v>
      </c>
      <c r="F59" s="116">
        <f t="shared" si="17"/>
        <v>40853.457020930706</v>
      </c>
      <c r="G59" s="117">
        <v>1624575075</v>
      </c>
      <c r="H59" s="117">
        <f t="shared" si="18"/>
        <v>30011.916923759029</v>
      </c>
      <c r="I59" s="7"/>
      <c r="J59" s="10">
        <v>7.0083000000000002</v>
      </c>
      <c r="K59" s="117">
        <v>11385509</v>
      </c>
      <c r="L59" s="120">
        <f t="shared" si="16"/>
        <v>210.33250817461345</v>
      </c>
      <c r="M59" s="122">
        <f t="shared" si="13"/>
        <v>16245750.75</v>
      </c>
      <c r="N59" s="116">
        <f t="shared" si="14"/>
        <v>4860241.75</v>
      </c>
      <c r="O59" s="123">
        <f t="shared" si="15"/>
        <v>89.786661062976847</v>
      </c>
      <c r="P59" s="5"/>
      <c r="Q59" s="5">
        <f t="shared" si="6"/>
        <v>1</v>
      </c>
      <c r="R59" s="7">
        <f t="shared" si="7"/>
        <v>54131</v>
      </c>
      <c r="S59" s="5">
        <f t="shared" si="8"/>
        <v>1</v>
      </c>
      <c r="T59" s="7">
        <f t="shared" si="9"/>
        <v>54131</v>
      </c>
    </row>
    <row r="60" spans="1:20">
      <c r="A60" s="23" t="s">
        <v>62</v>
      </c>
      <c r="B60" s="35" t="s">
        <v>49</v>
      </c>
      <c r="C60" s="36">
        <v>78813</v>
      </c>
      <c r="D60" s="6"/>
      <c r="E60" s="113">
        <v>3775761551</v>
      </c>
      <c r="F60" s="116">
        <f t="shared" si="17"/>
        <v>47907.852143681877</v>
      </c>
      <c r="G60" s="117">
        <v>3001413920</v>
      </c>
      <c r="H60" s="117">
        <f t="shared" si="18"/>
        <v>38082.726453757627</v>
      </c>
      <c r="I60" s="7"/>
      <c r="J60" s="10">
        <v>6.922600000000001</v>
      </c>
      <c r="K60" s="117">
        <v>20777588</v>
      </c>
      <c r="L60" s="120">
        <f t="shared" si="16"/>
        <v>263.63148211589458</v>
      </c>
      <c r="M60" s="122">
        <f t="shared" si="13"/>
        <v>30014139.199999999</v>
      </c>
      <c r="N60" s="116">
        <f t="shared" si="14"/>
        <v>9236551.1999999993</v>
      </c>
      <c r="O60" s="123">
        <f t="shared" si="15"/>
        <v>117.1957824216817</v>
      </c>
      <c r="P60" s="5"/>
      <c r="Q60" s="5">
        <f t="shared" si="6"/>
        <v>1</v>
      </c>
      <c r="R60" s="7">
        <f t="shared" si="7"/>
        <v>78813</v>
      </c>
      <c r="S60" s="5">
        <f t="shared" si="8"/>
        <v>1</v>
      </c>
      <c r="T60" s="7">
        <f t="shared" si="9"/>
        <v>78813</v>
      </c>
    </row>
    <row r="61" spans="1:20">
      <c r="A61" s="23" t="s">
        <v>63</v>
      </c>
      <c r="B61" s="35" t="s">
        <v>49</v>
      </c>
      <c r="C61" s="36">
        <v>32972</v>
      </c>
      <c r="D61" s="6"/>
      <c r="E61" s="113">
        <v>928020703</v>
      </c>
      <c r="F61" s="116">
        <f t="shared" si="17"/>
        <v>28145.720702414168</v>
      </c>
      <c r="G61" s="117">
        <v>663706082</v>
      </c>
      <c r="H61" s="117">
        <f t="shared" si="18"/>
        <v>20129.384993327672</v>
      </c>
      <c r="I61" s="7"/>
      <c r="J61" s="10">
        <v>5.6792000000000007</v>
      </c>
      <c r="K61" s="117">
        <v>3769319</v>
      </c>
      <c r="L61" s="120">
        <f t="shared" si="16"/>
        <v>114.31878563629746</v>
      </c>
      <c r="M61" s="122">
        <f t="shared" si="13"/>
        <v>6637060.8200000003</v>
      </c>
      <c r="N61" s="116">
        <f t="shared" si="14"/>
        <v>2867741.8200000003</v>
      </c>
      <c r="O61" s="123">
        <f t="shared" si="15"/>
        <v>86.975064296979269</v>
      </c>
      <c r="P61" s="5"/>
      <c r="Q61" s="5">
        <f t="shared" si="6"/>
        <v>1</v>
      </c>
      <c r="R61" s="7">
        <f t="shared" si="7"/>
        <v>32972</v>
      </c>
      <c r="S61" s="5">
        <f t="shared" si="8"/>
        <v>1</v>
      </c>
      <c r="T61" s="7">
        <f t="shared" si="9"/>
        <v>32972</v>
      </c>
    </row>
    <row r="62" spans="1:20">
      <c r="A62" s="23" t="s">
        <v>64</v>
      </c>
      <c r="B62" s="35" t="s">
        <v>49</v>
      </c>
      <c r="C62" s="36">
        <v>31543</v>
      </c>
      <c r="D62" s="6"/>
      <c r="E62" s="113">
        <v>1867500123</v>
      </c>
      <c r="F62" s="116">
        <f t="shared" si="17"/>
        <v>59204.898804806136</v>
      </c>
      <c r="G62" s="117">
        <v>1468890743</v>
      </c>
      <c r="H62" s="117">
        <f t="shared" si="18"/>
        <v>46567.88330215896</v>
      </c>
      <c r="I62" s="7"/>
      <c r="J62" s="10">
        <v>5.9715000000000007</v>
      </c>
      <c r="K62" s="117">
        <v>8771481</v>
      </c>
      <c r="L62" s="120">
        <f t="shared" si="16"/>
        <v>278.08011286180766</v>
      </c>
      <c r="M62" s="122">
        <f t="shared" si="13"/>
        <v>14688907.43</v>
      </c>
      <c r="N62" s="116">
        <f t="shared" si="14"/>
        <v>5917426.4299999997</v>
      </c>
      <c r="O62" s="123">
        <f t="shared" si="15"/>
        <v>187.59872015978186</v>
      </c>
      <c r="P62" s="5"/>
      <c r="Q62" s="5">
        <f t="shared" si="6"/>
        <v>1</v>
      </c>
      <c r="R62" s="7">
        <f t="shared" si="7"/>
        <v>31543</v>
      </c>
      <c r="S62" s="5">
        <f t="shared" si="8"/>
        <v>1</v>
      </c>
      <c r="T62" s="7">
        <f t="shared" si="9"/>
        <v>31543</v>
      </c>
    </row>
    <row r="63" spans="1:20">
      <c r="A63" s="23" t="s">
        <v>65</v>
      </c>
      <c r="B63" s="35" t="s">
        <v>49</v>
      </c>
      <c r="C63" s="36">
        <v>15105</v>
      </c>
      <c r="D63" s="6"/>
      <c r="E63" s="113">
        <v>1583095999</v>
      </c>
      <c r="F63" s="116">
        <f t="shared" si="17"/>
        <v>104806.09063224099</v>
      </c>
      <c r="G63" s="117">
        <v>1245409179</v>
      </c>
      <c r="H63" s="117">
        <f t="shared" si="18"/>
        <v>82450.127706057596</v>
      </c>
      <c r="I63" s="7"/>
      <c r="J63" s="10">
        <v>4.0999999999999996</v>
      </c>
      <c r="K63" s="117">
        <v>5106177</v>
      </c>
      <c r="L63" s="120">
        <f t="shared" si="16"/>
        <v>338.04548162859982</v>
      </c>
      <c r="M63" s="122">
        <f t="shared" si="13"/>
        <v>12454091.790000001</v>
      </c>
      <c r="N63" s="116">
        <f t="shared" si="14"/>
        <v>7347914.790000001</v>
      </c>
      <c r="O63" s="123">
        <f t="shared" si="15"/>
        <v>486.45579543197624</v>
      </c>
      <c r="P63" s="5"/>
      <c r="Q63" s="5">
        <f t="shared" si="6"/>
        <v>1</v>
      </c>
      <c r="R63" s="7">
        <f t="shared" si="7"/>
        <v>15105</v>
      </c>
      <c r="S63" s="5">
        <f t="shared" si="8"/>
        <v>1</v>
      </c>
      <c r="T63" s="7">
        <f t="shared" si="9"/>
        <v>15105</v>
      </c>
    </row>
    <row r="64" spans="1:20">
      <c r="A64" s="23" t="s">
        <v>66</v>
      </c>
      <c r="B64" s="35" t="s">
        <v>49</v>
      </c>
      <c r="C64" s="36">
        <v>6629</v>
      </c>
      <c r="D64" s="6"/>
      <c r="E64" s="113">
        <v>311217885</v>
      </c>
      <c r="F64" s="116">
        <f t="shared" si="17"/>
        <v>46947.938603107556</v>
      </c>
      <c r="G64" s="117">
        <v>282926184</v>
      </c>
      <c r="H64" s="117">
        <f t="shared" si="18"/>
        <v>42680.069995474434</v>
      </c>
      <c r="I64" s="7"/>
      <c r="J64" s="10">
        <v>8.5</v>
      </c>
      <c r="K64" s="117">
        <v>2404872</v>
      </c>
      <c r="L64" s="120">
        <f t="shared" si="16"/>
        <v>362.78050988082668</v>
      </c>
      <c r="M64" s="122">
        <f t="shared" si="13"/>
        <v>2829261.84</v>
      </c>
      <c r="N64" s="116">
        <f t="shared" si="14"/>
        <v>424389.83999999985</v>
      </c>
      <c r="O64" s="123">
        <f t="shared" si="15"/>
        <v>64.020190073917618</v>
      </c>
      <c r="P64" s="5"/>
      <c r="Q64" s="5">
        <f t="shared" si="6"/>
        <v>1</v>
      </c>
      <c r="R64" s="7">
        <f t="shared" si="7"/>
        <v>6629</v>
      </c>
      <c r="S64" s="5">
        <f t="shared" si="8"/>
        <v>1</v>
      </c>
      <c r="T64" s="7">
        <f t="shared" si="9"/>
        <v>6629</v>
      </c>
    </row>
    <row r="65" spans="1:20">
      <c r="A65" s="23" t="s">
        <v>67</v>
      </c>
      <c r="B65" s="35" t="s">
        <v>49</v>
      </c>
      <c r="C65" s="36">
        <v>141659</v>
      </c>
      <c r="D65" s="6"/>
      <c r="E65" s="113">
        <v>7579681777</v>
      </c>
      <c r="F65" s="116">
        <f t="shared" si="17"/>
        <v>53506.531720540173</v>
      </c>
      <c r="G65" s="117">
        <v>5950962222</v>
      </c>
      <c r="H65" s="117">
        <f t="shared" si="18"/>
        <v>42009.065587078832</v>
      </c>
      <c r="I65" s="7"/>
      <c r="J65" s="10">
        <v>4.4597000000000007</v>
      </c>
      <c r="K65" s="117">
        <v>26539506</v>
      </c>
      <c r="L65" s="120">
        <f t="shared" si="16"/>
        <v>187.34782823541039</v>
      </c>
      <c r="M65" s="122">
        <f t="shared" si="13"/>
        <v>59509622.219999999</v>
      </c>
      <c r="N65" s="116">
        <f t="shared" si="14"/>
        <v>32970116.219999999</v>
      </c>
      <c r="O65" s="123">
        <f t="shared" si="15"/>
        <v>232.74282763537789</v>
      </c>
      <c r="P65" s="5"/>
      <c r="Q65" s="5">
        <f t="shared" si="6"/>
        <v>1</v>
      </c>
      <c r="R65" s="7">
        <f t="shared" si="7"/>
        <v>141659</v>
      </c>
      <c r="S65" s="5">
        <f t="shared" si="8"/>
        <v>1</v>
      </c>
      <c r="T65" s="7">
        <f t="shared" si="9"/>
        <v>141659</v>
      </c>
    </row>
    <row r="66" spans="1:20">
      <c r="A66" s="23" t="s">
        <v>68</v>
      </c>
      <c r="B66" s="35" t="s">
        <v>49</v>
      </c>
      <c r="C66" s="36">
        <v>83445</v>
      </c>
      <c r="D66" s="6"/>
      <c r="E66" s="113">
        <v>6146065602</v>
      </c>
      <c r="F66" s="116">
        <f t="shared" si="17"/>
        <v>73654.090742405184</v>
      </c>
      <c r="G66" s="117">
        <v>4988561235</v>
      </c>
      <c r="H66" s="117">
        <f t="shared" si="18"/>
        <v>59782.626101024623</v>
      </c>
      <c r="I66" s="7"/>
      <c r="J66" s="10">
        <v>4</v>
      </c>
      <c r="K66" s="117">
        <v>19954244</v>
      </c>
      <c r="L66" s="120">
        <f t="shared" si="16"/>
        <v>239.13049313919348</v>
      </c>
      <c r="M66" s="122">
        <f t="shared" si="13"/>
        <v>49885612.350000001</v>
      </c>
      <c r="N66" s="116">
        <f t="shared" si="14"/>
        <v>29931368.350000001</v>
      </c>
      <c r="O66" s="123">
        <f t="shared" si="15"/>
        <v>358.69576787105279</v>
      </c>
      <c r="P66" s="5"/>
      <c r="Q66" s="5">
        <f t="shared" si="6"/>
        <v>1</v>
      </c>
      <c r="R66" s="7">
        <f t="shared" si="7"/>
        <v>83445</v>
      </c>
      <c r="S66" s="5">
        <f t="shared" si="8"/>
        <v>1</v>
      </c>
      <c r="T66" s="7">
        <f t="shared" si="9"/>
        <v>83445</v>
      </c>
    </row>
    <row r="67" spans="1:20">
      <c r="A67" s="23" t="s">
        <v>69</v>
      </c>
      <c r="B67" s="35" t="s">
        <v>49</v>
      </c>
      <c r="C67" s="36">
        <v>84199</v>
      </c>
      <c r="D67" s="6"/>
      <c r="E67" s="113">
        <v>7087741023</v>
      </c>
      <c r="F67" s="116">
        <f t="shared" si="17"/>
        <v>84178.446572999674</v>
      </c>
      <c r="G67" s="117">
        <v>5802140356</v>
      </c>
      <c r="H67" s="117">
        <f t="shared" si="18"/>
        <v>68909.848763049449</v>
      </c>
      <c r="I67" s="7"/>
      <c r="J67" s="10">
        <v>4.1261000000000001</v>
      </c>
      <c r="K67" s="117">
        <v>23940211</v>
      </c>
      <c r="L67" s="120">
        <f t="shared" si="16"/>
        <v>284.32892314635563</v>
      </c>
      <c r="M67" s="122">
        <f t="shared" si="13"/>
        <v>58021403.560000002</v>
      </c>
      <c r="N67" s="116">
        <f t="shared" si="14"/>
        <v>34081192.560000002</v>
      </c>
      <c r="O67" s="123">
        <f t="shared" si="15"/>
        <v>404.76956448413881</v>
      </c>
      <c r="P67" s="5"/>
      <c r="Q67" s="5">
        <f t="shared" si="6"/>
        <v>1</v>
      </c>
      <c r="R67" s="7">
        <f t="shared" si="7"/>
        <v>84199</v>
      </c>
      <c r="S67" s="5">
        <f t="shared" si="8"/>
        <v>1</v>
      </c>
      <c r="T67" s="7">
        <f t="shared" si="9"/>
        <v>84199</v>
      </c>
    </row>
    <row r="68" spans="1:20">
      <c r="A68" s="23" t="s">
        <v>70</v>
      </c>
      <c r="B68" s="35" t="s">
        <v>49</v>
      </c>
      <c r="C68" s="36">
        <v>643</v>
      </c>
      <c r="D68" s="6"/>
      <c r="E68" s="113">
        <v>127180808</v>
      </c>
      <c r="F68" s="116">
        <f t="shared" si="17"/>
        <v>197792.85847589426</v>
      </c>
      <c r="G68" s="117">
        <v>112336838</v>
      </c>
      <c r="H68" s="117">
        <f t="shared" si="18"/>
        <v>174707.36858475895</v>
      </c>
      <c r="I68" s="7"/>
      <c r="J68" s="10">
        <v>6.5</v>
      </c>
      <c r="K68" s="117">
        <v>730189</v>
      </c>
      <c r="L68" s="120">
        <f t="shared" si="16"/>
        <v>1135.5972006220841</v>
      </c>
      <c r="M68" s="122">
        <f t="shared" si="13"/>
        <v>1123368.3800000001</v>
      </c>
      <c r="N68" s="116">
        <f t="shared" si="14"/>
        <v>393179.38000000012</v>
      </c>
      <c r="O68" s="123">
        <f t="shared" si="15"/>
        <v>611.4764852255056</v>
      </c>
      <c r="P68" s="5"/>
      <c r="Q68" s="5">
        <f t="shared" si="6"/>
        <v>1</v>
      </c>
      <c r="R68" s="7">
        <f t="shared" si="7"/>
        <v>643</v>
      </c>
      <c r="S68" s="5">
        <f t="shared" si="8"/>
        <v>1</v>
      </c>
      <c r="T68" s="7">
        <f t="shared" si="9"/>
        <v>643</v>
      </c>
    </row>
    <row r="69" spans="1:20">
      <c r="A69" s="23" t="s">
        <v>450</v>
      </c>
      <c r="B69" s="35" t="s">
        <v>49</v>
      </c>
      <c r="C69" s="36">
        <v>7192</v>
      </c>
      <c r="D69" s="6"/>
      <c r="E69" s="113">
        <v>3489857667</v>
      </c>
      <c r="F69" s="116">
        <f t="shared" si="17"/>
        <v>485241.61109566182</v>
      </c>
      <c r="G69" s="117">
        <v>3207365758</v>
      </c>
      <c r="H69" s="117">
        <f t="shared" si="18"/>
        <v>445962.98081201332</v>
      </c>
      <c r="I69" s="7"/>
      <c r="J69" s="10">
        <v>3</v>
      </c>
      <c r="K69" s="117">
        <v>9622097</v>
      </c>
      <c r="L69" s="120">
        <f t="shared" si="16"/>
        <v>1337.8889043381535</v>
      </c>
      <c r="M69" s="122">
        <f t="shared" si="13"/>
        <v>32073657.580000002</v>
      </c>
      <c r="N69" s="116">
        <f t="shared" si="14"/>
        <v>22451560.580000002</v>
      </c>
      <c r="O69" s="123">
        <f t="shared" si="15"/>
        <v>3121.7409037819803</v>
      </c>
      <c r="P69" s="5"/>
      <c r="Q69" s="5">
        <f t="shared" si="6"/>
        <v>1</v>
      </c>
      <c r="R69" s="7">
        <f t="shared" si="7"/>
        <v>7192</v>
      </c>
      <c r="S69" s="5">
        <f t="shared" si="8"/>
        <v>1</v>
      </c>
      <c r="T69" s="7">
        <f t="shared" si="9"/>
        <v>7192</v>
      </c>
    </row>
    <row r="70" spans="1:20">
      <c r="A70" s="23" t="s">
        <v>71</v>
      </c>
      <c r="B70" s="35" t="s">
        <v>49</v>
      </c>
      <c r="C70" s="36">
        <v>86664</v>
      </c>
      <c r="D70" s="6"/>
      <c r="E70" s="113">
        <v>4667957372</v>
      </c>
      <c r="F70" s="116">
        <f t="shared" si="17"/>
        <v>53862.703913966587</v>
      </c>
      <c r="G70" s="117">
        <v>3547486998</v>
      </c>
      <c r="H70" s="117">
        <f t="shared" si="18"/>
        <v>40933.801786208809</v>
      </c>
      <c r="I70" s="7"/>
      <c r="J70" s="10">
        <v>6.2750000000000004</v>
      </c>
      <c r="K70" s="117">
        <v>22260480</v>
      </c>
      <c r="L70" s="120">
        <f t="shared" si="16"/>
        <v>256.85959567986708</v>
      </c>
      <c r="M70" s="122">
        <f t="shared" ref="M70:M92" si="19">(G70*0.01)</f>
        <v>35474869.980000004</v>
      </c>
      <c r="N70" s="116">
        <f t="shared" ref="N70:N92" si="20">(M70-K70)</f>
        <v>13214389.980000004</v>
      </c>
      <c r="O70" s="123">
        <f t="shared" ref="O70:O92" si="21">(N70/C70)</f>
        <v>152.47842218222104</v>
      </c>
      <c r="P70" s="5"/>
      <c r="Q70" s="5">
        <f t="shared" si="6"/>
        <v>1</v>
      </c>
      <c r="R70" s="7">
        <f t="shared" si="7"/>
        <v>86664</v>
      </c>
      <c r="S70" s="5">
        <f t="shared" si="8"/>
        <v>1</v>
      </c>
      <c r="T70" s="7">
        <f t="shared" si="9"/>
        <v>86664</v>
      </c>
    </row>
    <row r="71" spans="1:20">
      <c r="A71" s="23" t="s">
        <v>72</v>
      </c>
      <c r="B71" s="35" t="s">
        <v>49</v>
      </c>
      <c r="C71" s="36">
        <v>56047</v>
      </c>
      <c r="D71" s="6"/>
      <c r="E71" s="113">
        <v>2753306815</v>
      </c>
      <c r="F71" s="116">
        <f t="shared" si="17"/>
        <v>49124.963245133549</v>
      </c>
      <c r="G71" s="117">
        <v>2040046839</v>
      </c>
      <c r="H71" s="117">
        <f t="shared" si="18"/>
        <v>36398.858797081019</v>
      </c>
      <c r="I71" s="7"/>
      <c r="J71" s="10">
        <v>5.9999000000000002</v>
      </c>
      <c r="K71" s="117">
        <v>12240077</v>
      </c>
      <c r="L71" s="120">
        <f t="shared" si="16"/>
        <v>218.38951237354362</v>
      </c>
      <c r="M71" s="122">
        <f t="shared" si="19"/>
        <v>20400468.390000001</v>
      </c>
      <c r="N71" s="116">
        <f t="shared" si="20"/>
        <v>8160391.3900000006</v>
      </c>
      <c r="O71" s="123">
        <f t="shared" si="21"/>
        <v>145.59907559726659</v>
      </c>
      <c r="P71" s="5"/>
      <c r="Q71" s="5">
        <f t="shared" ref="Q71:Q134" si="22">IF(E71&gt;0,1,0)</f>
        <v>1</v>
      </c>
      <c r="R71" s="7">
        <f t="shared" ref="R71:R134" si="23">IF(E71&gt;0,C71,0)</f>
        <v>56047</v>
      </c>
      <c r="S71" s="5">
        <f t="shared" ref="S71:S134" si="24">IF(J71&gt;0,1,0)</f>
        <v>1</v>
      </c>
      <c r="T71" s="7">
        <f t="shared" ref="T71:T134" si="25">IF(J71&gt;0,C71,0)</f>
        <v>56047</v>
      </c>
    </row>
    <row r="72" spans="1:20">
      <c r="A72" s="23" t="s">
        <v>73</v>
      </c>
      <c r="B72" s="35" t="s">
        <v>49</v>
      </c>
      <c r="C72" s="36">
        <v>53159</v>
      </c>
      <c r="D72" s="6"/>
      <c r="E72" s="113">
        <v>4525412319</v>
      </c>
      <c r="F72" s="116">
        <f t="shared" si="17"/>
        <v>85129.748847796232</v>
      </c>
      <c r="G72" s="117">
        <v>3896573055</v>
      </c>
      <c r="H72" s="117">
        <f t="shared" si="18"/>
        <v>73300.345284900017</v>
      </c>
      <c r="I72" s="7"/>
      <c r="J72" s="10">
        <v>1.5235000000000001</v>
      </c>
      <c r="K72" s="117">
        <v>5936429</v>
      </c>
      <c r="L72" s="120">
        <f t="shared" si="16"/>
        <v>111.6730751142798</v>
      </c>
      <c r="M72" s="122">
        <f t="shared" si="19"/>
        <v>38965730.550000004</v>
      </c>
      <c r="N72" s="116">
        <f t="shared" si="20"/>
        <v>33029301.550000004</v>
      </c>
      <c r="O72" s="123">
        <f t="shared" si="21"/>
        <v>621.3303777347204</v>
      </c>
      <c r="P72" s="5"/>
      <c r="Q72" s="5">
        <f t="shared" si="22"/>
        <v>1</v>
      </c>
      <c r="R72" s="7">
        <f t="shared" si="23"/>
        <v>53159</v>
      </c>
      <c r="S72" s="5">
        <f t="shared" si="24"/>
        <v>1</v>
      </c>
      <c r="T72" s="7">
        <f t="shared" si="25"/>
        <v>53159</v>
      </c>
    </row>
    <row r="73" spans="1:20">
      <c r="A73" s="23" t="s">
        <v>74</v>
      </c>
      <c r="B73" s="35" t="s">
        <v>49</v>
      </c>
      <c r="C73" s="36">
        <v>12714</v>
      </c>
      <c r="D73" s="6"/>
      <c r="E73" s="113">
        <v>681430761</v>
      </c>
      <c r="F73" s="116">
        <f t="shared" si="17"/>
        <v>53596.882255781027</v>
      </c>
      <c r="G73" s="117">
        <v>485055355</v>
      </c>
      <c r="H73" s="117">
        <f t="shared" si="18"/>
        <v>38151.27851187667</v>
      </c>
      <c r="I73" s="7"/>
      <c r="J73" s="10">
        <v>6.2467000000000006</v>
      </c>
      <c r="K73" s="117">
        <v>3029995</v>
      </c>
      <c r="L73" s="120">
        <f t="shared" si="16"/>
        <v>238.31956897907818</v>
      </c>
      <c r="M73" s="122">
        <f t="shared" si="19"/>
        <v>4850553.55</v>
      </c>
      <c r="N73" s="116">
        <f t="shared" si="20"/>
        <v>1820558.5499999998</v>
      </c>
      <c r="O73" s="123">
        <f t="shared" si="21"/>
        <v>143.19321613968853</v>
      </c>
      <c r="P73" s="5"/>
      <c r="Q73" s="5">
        <f t="shared" si="22"/>
        <v>1</v>
      </c>
      <c r="R73" s="7">
        <f t="shared" si="23"/>
        <v>12714</v>
      </c>
      <c r="S73" s="5">
        <f t="shared" si="24"/>
        <v>1</v>
      </c>
      <c r="T73" s="7">
        <f t="shared" si="25"/>
        <v>12714</v>
      </c>
    </row>
    <row r="74" spans="1:20">
      <c r="A74" s="23" t="s">
        <v>75</v>
      </c>
      <c r="B74" s="35" t="s">
        <v>76</v>
      </c>
      <c r="C74" s="36">
        <v>528</v>
      </c>
      <c r="D74" s="6"/>
      <c r="E74" s="113">
        <v>9183696</v>
      </c>
      <c r="F74" s="116">
        <f t="shared" si="17"/>
        <v>17393.363636363636</v>
      </c>
      <c r="G74" s="117">
        <v>4056869</v>
      </c>
      <c r="H74" s="117">
        <f t="shared" si="18"/>
        <v>7683.464015151515</v>
      </c>
      <c r="I74" s="98" t="s">
        <v>528</v>
      </c>
      <c r="J74" s="10"/>
      <c r="K74" s="117"/>
      <c r="L74" s="120"/>
      <c r="M74" s="122">
        <f t="shared" si="19"/>
        <v>40568.69</v>
      </c>
      <c r="N74" s="116">
        <f t="shared" si="20"/>
        <v>40568.69</v>
      </c>
      <c r="O74" s="123">
        <f t="shared" si="21"/>
        <v>76.83464015151516</v>
      </c>
      <c r="P74" s="5"/>
      <c r="Q74" s="5">
        <f t="shared" si="22"/>
        <v>1</v>
      </c>
      <c r="R74" s="7">
        <f t="shared" si="23"/>
        <v>528</v>
      </c>
      <c r="S74" s="5">
        <f t="shared" si="24"/>
        <v>0</v>
      </c>
      <c r="T74" s="7">
        <f t="shared" si="25"/>
        <v>0</v>
      </c>
    </row>
    <row r="75" spans="1:20">
      <c r="A75" s="23" t="s">
        <v>77</v>
      </c>
      <c r="B75" s="35" t="s">
        <v>76</v>
      </c>
      <c r="C75" s="36">
        <v>2468</v>
      </c>
      <c r="D75" s="6"/>
      <c r="E75" s="113">
        <v>75103702</v>
      </c>
      <c r="F75" s="116">
        <f t="shared" si="17"/>
        <v>30430.997568881685</v>
      </c>
      <c r="G75" s="117">
        <v>45608086</v>
      </c>
      <c r="H75" s="117">
        <f t="shared" si="18"/>
        <v>18479.775526742302</v>
      </c>
      <c r="I75" s="7"/>
      <c r="J75" s="10">
        <v>1.5</v>
      </c>
      <c r="K75" s="117">
        <v>68412</v>
      </c>
      <c r="L75" s="120">
        <f t="shared" ref="L75:L81" si="26">(K75/C75)</f>
        <v>27.719611021069692</v>
      </c>
      <c r="M75" s="122">
        <f t="shared" si="19"/>
        <v>456080.86</v>
      </c>
      <c r="N75" s="116">
        <f t="shared" si="20"/>
        <v>387668.86</v>
      </c>
      <c r="O75" s="123">
        <f t="shared" si="21"/>
        <v>157.0781442463533</v>
      </c>
      <c r="P75" s="5"/>
      <c r="Q75" s="5">
        <f t="shared" si="22"/>
        <v>1</v>
      </c>
      <c r="R75" s="7">
        <f t="shared" si="23"/>
        <v>2468</v>
      </c>
      <c r="S75" s="5">
        <f t="shared" si="24"/>
        <v>1</v>
      </c>
      <c r="T75" s="7">
        <f t="shared" si="25"/>
        <v>2468</v>
      </c>
    </row>
    <row r="76" spans="1:20">
      <c r="A76" s="23" t="s">
        <v>78</v>
      </c>
      <c r="B76" s="35" t="s">
        <v>79</v>
      </c>
      <c r="C76" s="36">
        <v>15236</v>
      </c>
      <c r="D76" s="6"/>
      <c r="E76" s="113">
        <v>1994112277</v>
      </c>
      <c r="F76" s="116">
        <f t="shared" si="17"/>
        <v>130881.61440010501</v>
      </c>
      <c r="G76" s="117">
        <v>1582842106</v>
      </c>
      <c r="H76" s="117">
        <f t="shared" si="18"/>
        <v>103888.297847204</v>
      </c>
      <c r="I76" s="7"/>
      <c r="J76" s="10">
        <v>2.7419000000000002</v>
      </c>
      <c r="K76" s="117">
        <v>4339994</v>
      </c>
      <c r="L76" s="120">
        <f t="shared" si="26"/>
        <v>284.85127330007879</v>
      </c>
      <c r="M76" s="122">
        <f t="shared" si="19"/>
        <v>15828421.060000001</v>
      </c>
      <c r="N76" s="116">
        <f t="shared" si="20"/>
        <v>11488427.060000001</v>
      </c>
      <c r="O76" s="123">
        <f t="shared" si="21"/>
        <v>754.03170517196122</v>
      </c>
      <c r="P76" s="5"/>
      <c r="Q76" s="5">
        <f t="shared" si="22"/>
        <v>1</v>
      </c>
      <c r="R76" s="7">
        <f t="shared" si="23"/>
        <v>15236</v>
      </c>
      <c r="S76" s="5">
        <f t="shared" si="24"/>
        <v>1</v>
      </c>
      <c r="T76" s="7">
        <f t="shared" si="25"/>
        <v>15236</v>
      </c>
    </row>
    <row r="77" spans="1:20">
      <c r="A77" s="23" t="s">
        <v>80</v>
      </c>
      <c r="B77" s="35" t="s">
        <v>81</v>
      </c>
      <c r="C77" s="36">
        <v>3449</v>
      </c>
      <c r="D77" s="6"/>
      <c r="E77" s="113">
        <v>321841906</v>
      </c>
      <c r="F77" s="116">
        <f t="shared" si="17"/>
        <v>93314.556683096554</v>
      </c>
      <c r="G77" s="117">
        <v>258613766</v>
      </c>
      <c r="H77" s="117">
        <f t="shared" si="18"/>
        <v>74982.245868367638</v>
      </c>
      <c r="I77" s="7"/>
      <c r="J77" s="10">
        <v>5.8184000000000005</v>
      </c>
      <c r="K77" s="117">
        <v>1504718</v>
      </c>
      <c r="L77" s="120">
        <f t="shared" si="26"/>
        <v>436.27660191359814</v>
      </c>
      <c r="M77" s="122">
        <f t="shared" si="19"/>
        <v>2586137.66</v>
      </c>
      <c r="N77" s="116">
        <f t="shared" si="20"/>
        <v>1081419.6600000001</v>
      </c>
      <c r="O77" s="123">
        <f t="shared" si="21"/>
        <v>313.54585677007833</v>
      </c>
      <c r="P77" s="5"/>
      <c r="Q77" s="5">
        <f t="shared" si="22"/>
        <v>1</v>
      </c>
      <c r="R77" s="7">
        <f t="shared" si="23"/>
        <v>3449</v>
      </c>
      <c r="S77" s="5">
        <f t="shared" si="24"/>
        <v>1</v>
      </c>
      <c r="T77" s="7">
        <f t="shared" si="25"/>
        <v>3449</v>
      </c>
    </row>
    <row r="78" spans="1:20">
      <c r="A78" s="23" t="s">
        <v>82</v>
      </c>
      <c r="B78" s="35" t="s">
        <v>81</v>
      </c>
      <c r="C78" s="36">
        <v>6837</v>
      </c>
      <c r="D78" s="6"/>
      <c r="E78" s="113">
        <v>412961426</v>
      </c>
      <c r="F78" s="116">
        <f t="shared" si="17"/>
        <v>60400.969138511042</v>
      </c>
      <c r="G78" s="117">
        <v>254504558</v>
      </c>
      <c r="H78" s="117">
        <f t="shared" si="18"/>
        <v>37224.595290332014</v>
      </c>
      <c r="I78" s="7"/>
      <c r="J78" s="11">
        <v>6.0137000000000009</v>
      </c>
      <c r="K78" s="117">
        <v>1530514</v>
      </c>
      <c r="L78" s="120">
        <f t="shared" si="26"/>
        <v>223.85753985666227</v>
      </c>
      <c r="M78" s="122">
        <f t="shared" si="19"/>
        <v>2545045.58</v>
      </c>
      <c r="N78" s="116">
        <f t="shared" si="20"/>
        <v>1014531.5800000001</v>
      </c>
      <c r="O78" s="123">
        <f t="shared" si="21"/>
        <v>148.38841304665789</v>
      </c>
      <c r="P78" s="5"/>
      <c r="Q78" s="5">
        <f t="shared" si="22"/>
        <v>1</v>
      </c>
      <c r="R78" s="7">
        <f t="shared" si="23"/>
        <v>6837</v>
      </c>
      <c r="S78" s="5">
        <f t="shared" si="24"/>
        <v>1</v>
      </c>
      <c r="T78" s="7">
        <f t="shared" si="25"/>
        <v>6837</v>
      </c>
    </row>
    <row r="79" spans="1:20">
      <c r="A79" s="23" t="s">
        <v>83</v>
      </c>
      <c r="B79" s="35" t="s">
        <v>84</v>
      </c>
      <c r="C79" s="36">
        <v>5480</v>
      </c>
      <c r="D79" s="6"/>
      <c r="E79" s="113">
        <v>269496776</v>
      </c>
      <c r="F79" s="116">
        <f t="shared" si="17"/>
        <v>49178.243795620438</v>
      </c>
      <c r="G79" s="117">
        <v>191420075</v>
      </c>
      <c r="H79" s="117">
        <f t="shared" si="18"/>
        <v>34930.670620437959</v>
      </c>
      <c r="I79" s="7"/>
      <c r="J79" s="10">
        <v>2.6110000000000002</v>
      </c>
      <c r="K79" s="117">
        <v>499797</v>
      </c>
      <c r="L79" s="120">
        <f t="shared" si="26"/>
        <v>91.20383211678832</v>
      </c>
      <c r="M79" s="122">
        <f t="shared" si="19"/>
        <v>1914200.75</v>
      </c>
      <c r="N79" s="116">
        <f t="shared" si="20"/>
        <v>1414403.75</v>
      </c>
      <c r="O79" s="123">
        <f t="shared" si="21"/>
        <v>258.10287408759126</v>
      </c>
      <c r="P79" s="5"/>
      <c r="Q79" s="5">
        <f t="shared" si="22"/>
        <v>1</v>
      </c>
      <c r="R79" s="7">
        <f t="shared" si="23"/>
        <v>5480</v>
      </c>
      <c r="S79" s="5">
        <f t="shared" si="24"/>
        <v>1</v>
      </c>
      <c r="T79" s="7">
        <f t="shared" si="25"/>
        <v>5480</v>
      </c>
    </row>
    <row r="80" spans="1:20">
      <c r="A80" s="23" t="s">
        <v>85</v>
      </c>
      <c r="B80" s="35" t="s">
        <v>84</v>
      </c>
      <c r="C80" s="36">
        <v>1346</v>
      </c>
      <c r="D80" s="6"/>
      <c r="E80" s="113">
        <v>59370535</v>
      </c>
      <c r="F80" s="116">
        <f t="shared" ref="F80:F92" si="27">(E80/C80)</f>
        <v>44108.867013372954</v>
      </c>
      <c r="G80" s="117">
        <v>37010551</v>
      </c>
      <c r="H80" s="117">
        <f t="shared" ref="H80:H92" si="28">(G80/C80)</f>
        <v>27496.694650817237</v>
      </c>
      <c r="I80" s="7"/>
      <c r="J80" s="10">
        <v>2</v>
      </c>
      <c r="K80" s="117">
        <v>74021</v>
      </c>
      <c r="L80" s="120">
        <f t="shared" si="26"/>
        <v>54.993313521545318</v>
      </c>
      <c r="M80" s="122">
        <f t="shared" si="19"/>
        <v>370105.51</v>
      </c>
      <c r="N80" s="116">
        <f t="shared" si="20"/>
        <v>296084.51</v>
      </c>
      <c r="O80" s="123">
        <f t="shared" si="21"/>
        <v>219.97363298662705</v>
      </c>
      <c r="P80" s="5"/>
      <c r="Q80" s="5">
        <f t="shared" si="22"/>
        <v>1</v>
      </c>
      <c r="R80" s="7">
        <f t="shared" si="23"/>
        <v>1346</v>
      </c>
      <c r="S80" s="5">
        <f t="shared" si="24"/>
        <v>1</v>
      </c>
      <c r="T80" s="7">
        <f t="shared" si="25"/>
        <v>1346</v>
      </c>
    </row>
    <row r="81" spans="1:20">
      <c r="A81" s="23" t="s">
        <v>86</v>
      </c>
      <c r="B81" s="35" t="s">
        <v>84</v>
      </c>
      <c r="C81" s="36">
        <v>9010</v>
      </c>
      <c r="D81" s="6"/>
      <c r="E81" s="113">
        <v>529295107</v>
      </c>
      <c r="F81" s="116">
        <f t="shared" si="27"/>
        <v>58745.294894561601</v>
      </c>
      <c r="G81" s="117">
        <v>361541389</v>
      </c>
      <c r="H81" s="117">
        <f t="shared" si="28"/>
        <v>40126.680244173142</v>
      </c>
      <c r="I81" s="7"/>
      <c r="J81" s="10">
        <v>5</v>
      </c>
      <c r="K81" s="117">
        <v>1807706</v>
      </c>
      <c r="L81" s="120">
        <f t="shared" si="26"/>
        <v>200.6332963374029</v>
      </c>
      <c r="M81" s="122">
        <f t="shared" si="19"/>
        <v>3615413.89</v>
      </c>
      <c r="N81" s="116">
        <f t="shared" si="20"/>
        <v>1807707.8900000001</v>
      </c>
      <c r="O81" s="123">
        <f t="shared" si="21"/>
        <v>200.63350610432855</v>
      </c>
      <c r="P81" s="5"/>
      <c r="Q81" s="5">
        <f t="shared" si="22"/>
        <v>1</v>
      </c>
      <c r="R81" s="7">
        <f t="shared" si="23"/>
        <v>9010</v>
      </c>
      <c r="S81" s="5">
        <f t="shared" si="24"/>
        <v>1</v>
      </c>
      <c r="T81" s="7">
        <f t="shared" si="25"/>
        <v>9010</v>
      </c>
    </row>
    <row r="82" spans="1:20">
      <c r="A82" s="23" t="s">
        <v>87</v>
      </c>
      <c r="B82" s="35" t="s">
        <v>84</v>
      </c>
      <c r="C82" s="36">
        <v>582</v>
      </c>
      <c r="D82" s="6"/>
      <c r="E82" s="113">
        <v>20979630</v>
      </c>
      <c r="F82" s="116">
        <f t="shared" si="27"/>
        <v>36047.474226804123</v>
      </c>
      <c r="G82" s="117">
        <v>6080771</v>
      </c>
      <c r="H82" s="117">
        <f t="shared" si="28"/>
        <v>10448.060137457045</v>
      </c>
      <c r="I82" s="98" t="s">
        <v>528</v>
      </c>
      <c r="J82" s="10"/>
      <c r="K82" s="117"/>
      <c r="L82" s="120"/>
      <c r="M82" s="122">
        <f t="shared" si="19"/>
        <v>60807.71</v>
      </c>
      <c r="N82" s="116">
        <f t="shared" si="20"/>
        <v>60807.71</v>
      </c>
      <c r="O82" s="123">
        <f t="shared" si="21"/>
        <v>104.48060137457044</v>
      </c>
      <c r="P82" s="5"/>
      <c r="Q82" s="5">
        <f t="shared" si="22"/>
        <v>1</v>
      </c>
      <c r="R82" s="7">
        <f t="shared" si="23"/>
        <v>582</v>
      </c>
      <c r="S82" s="5">
        <f t="shared" si="24"/>
        <v>0</v>
      </c>
      <c r="T82" s="7">
        <f t="shared" si="25"/>
        <v>0</v>
      </c>
    </row>
    <row r="83" spans="1:20">
      <c r="A83" s="23" t="s">
        <v>88</v>
      </c>
      <c r="B83" s="35" t="s">
        <v>89</v>
      </c>
      <c r="C83" s="36">
        <v>488</v>
      </c>
      <c r="D83" s="6"/>
      <c r="E83" s="113">
        <v>54376105</v>
      </c>
      <c r="F83" s="116">
        <f t="shared" si="27"/>
        <v>111426.44467213115</v>
      </c>
      <c r="G83" s="117">
        <v>39095141</v>
      </c>
      <c r="H83" s="117">
        <f t="shared" si="28"/>
        <v>80112.993852459011</v>
      </c>
      <c r="I83" s="7"/>
      <c r="J83" s="10">
        <v>4.4014000000000006</v>
      </c>
      <c r="K83" s="117">
        <v>172073</v>
      </c>
      <c r="L83" s="120">
        <f>(K83/C83)</f>
        <v>352.60860655737707</v>
      </c>
      <c r="M83" s="122">
        <f t="shared" si="19"/>
        <v>390951.41000000003</v>
      </c>
      <c r="N83" s="116">
        <f t="shared" si="20"/>
        <v>218878.41000000003</v>
      </c>
      <c r="O83" s="123">
        <f t="shared" si="21"/>
        <v>448.5213319672132</v>
      </c>
      <c r="P83" s="5"/>
      <c r="Q83" s="5">
        <f t="shared" si="22"/>
        <v>1</v>
      </c>
      <c r="R83" s="7">
        <f t="shared" si="23"/>
        <v>488</v>
      </c>
      <c r="S83" s="5">
        <f t="shared" si="24"/>
        <v>1</v>
      </c>
      <c r="T83" s="7">
        <f t="shared" si="25"/>
        <v>488</v>
      </c>
    </row>
    <row r="84" spans="1:20">
      <c r="A84" s="23" t="s">
        <v>90</v>
      </c>
      <c r="B84" s="35" t="s">
        <v>89</v>
      </c>
      <c r="C84" s="36">
        <v>15066</v>
      </c>
      <c r="D84" s="6"/>
      <c r="E84" s="113">
        <v>5282683364</v>
      </c>
      <c r="F84" s="116">
        <f t="shared" si="27"/>
        <v>350636.09212797025</v>
      </c>
      <c r="G84" s="117">
        <v>4692708724</v>
      </c>
      <c r="H84" s="117">
        <f t="shared" si="28"/>
        <v>311476.75056418427</v>
      </c>
      <c r="I84" s="7"/>
      <c r="J84" s="10">
        <v>1.7437000000000002</v>
      </c>
      <c r="K84" s="117">
        <v>8182676</v>
      </c>
      <c r="L84" s="120">
        <f>(K84/C84)</f>
        <v>543.12199654851986</v>
      </c>
      <c r="M84" s="122">
        <f t="shared" si="19"/>
        <v>46927087.240000002</v>
      </c>
      <c r="N84" s="116">
        <f t="shared" si="20"/>
        <v>38744411.240000002</v>
      </c>
      <c r="O84" s="123">
        <f t="shared" si="21"/>
        <v>2571.6455090933227</v>
      </c>
      <c r="P84" s="5"/>
      <c r="Q84" s="5">
        <f t="shared" si="22"/>
        <v>1</v>
      </c>
      <c r="R84" s="7">
        <f t="shared" si="23"/>
        <v>15066</v>
      </c>
      <c r="S84" s="5">
        <f t="shared" si="24"/>
        <v>1</v>
      </c>
      <c r="T84" s="7">
        <f t="shared" si="25"/>
        <v>15066</v>
      </c>
    </row>
    <row r="85" spans="1:20">
      <c r="A85" s="23" t="s">
        <v>91</v>
      </c>
      <c r="B85" s="35" t="s">
        <v>89</v>
      </c>
      <c r="C85" s="36">
        <v>21687</v>
      </c>
      <c r="D85" s="6"/>
      <c r="E85" s="113">
        <v>10721508162</v>
      </c>
      <c r="F85" s="116">
        <f t="shared" si="27"/>
        <v>494374.88642965833</v>
      </c>
      <c r="G85" s="117">
        <v>8488615092</v>
      </c>
      <c r="H85" s="117">
        <f t="shared" si="28"/>
        <v>391414.90717941622</v>
      </c>
      <c r="I85" s="7"/>
      <c r="J85" s="10">
        <v>1.1499999999999999</v>
      </c>
      <c r="K85" s="117">
        <v>9761907</v>
      </c>
      <c r="L85" s="120">
        <f>(K85/C85)</f>
        <v>450.12712685018676</v>
      </c>
      <c r="M85" s="122">
        <f t="shared" si="19"/>
        <v>84886150.920000002</v>
      </c>
      <c r="N85" s="116">
        <f t="shared" si="20"/>
        <v>75124243.920000002</v>
      </c>
      <c r="O85" s="123">
        <f t="shared" si="21"/>
        <v>3464.0219449439755</v>
      </c>
      <c r="P85" s="5"/>
      <c r="Q85" s="5">
        <f t="shared" si="22"/>
        <v>1</v>
      </c>
      <c r="R85" s="7">
        <f t="shared" si="23"/>
        <v>21687</v>
      </c>
      <c r="S85" s="5">
        <f t="shared" si="24"/>
        <v>1</v>
      </c>
      <c r="T85" s="7">
        <f t="shared" si="25"/>
        <v>21687</v>
      </c>
    </row>
    <row r="86" spans="1:20">
      <c r="A86" s="23" t="s">
        <v>92</v>
      </c>
      <c r="B86" s="35" t="s">
        <v>93</v>
      </c>
      <c r="C86" s="36">
        <v>397</v>
      </c>
      <c r="D86" s="6"/>
      <c r="E86" s="113">
        <v>17641144</v>
      </c>
      <c r="F86" s="116">
        <f t="shared" si="27"/>
        <v>44436.130982367758</v>
      </c>
      <c r="G86" s="117">
        <v>8033874</v>
      </c>
      <c r="H86" s="117">
        <f t="shared" si="28"/>
        <v>20236.458438287154</v>
      </c>
      <c r="I86" s="98" t="s">
        <v>528</v>
      </c>
      <c r="J86" s="11"/>
      <c r="K86" s="117"/>
      <c r="L86" s="120"/>
      <c r="M86" s="122">
        <f t="shared" si="19"/>
        <v>80338.740000000005</v>
      </c>
      <c r="N86" s="116">
        <f t="shared" si="20"/>
        <v>80338.740000000005</v>
      </c>
      <c r="O86" s="123">
        <f t="shared" si="21"/>
        <v>202.36458438287156</v>
      </c>
      <c r="P86" s="5"/>
      <c r="Q86" s="5">
        <f t="shared" si="22"/>
        <v>1</v>
      </c>
      <c r="R86" s="7">
        <f t="shared" si="23"/>
        <v>397</v>
      </c>
      <c r="S86" s="5">
        <f t="shared" si="24"/>
        <v>0</v>
      </c>
      <c r="T86" s="7">
        <f t="shared" si="25"/>
        <v>0</v>
      </c>
    </row>
    <row r="87" spans="1:20">
      <c r="A87" s="23" t="s">
        <v>94</v>
      </c>
      <c r="B87" s="35" t="s">
        <v>93</v>
      </c>
      <c r="C87" s="36">
        <v>10041</v>
      </c>
      <c r="D87" s="6"/>
      <c r="E87" s="113">
        <v>673880999</v>
      </c>
      <c r="F87" s="116">
        <f t="shared" si="27"/>
        <v>67112.936858878602</v>
      </c>
      <c r="G87" s="117">
        <v>407409237</v>
      </c>
      <c r="H87" s="117">
        <f t="shared" si="28"/>
        <v>40574.5679713176</v>
      </c>
      <c r="I87" s="7"/>
      <c r="J87" s="10">
        <v>3.5550000000000002</v>
      </c>
      <c r="K87" s="117">
        <v>1448339</v>
      </c>
      <c r="L87" s="120">
        <f t="shared" ref="L87:L92" si="29">(K87/C87)</f>
        <v>144.24250572652127</v>
      </c>
      <c r="M87" s="122">
        <f t="shared" si="19"/>
        <v>4074092.37</v>
      </c>
      <c r="N87" s="116">
        <f t="shared" si="20"/>
        <v>2625753.37</v>
      </c>
      <c r="O87" s="123">
        <f t="shared" si="21"/>
        <v>261.5031739866547</v>
      </c>
      <c r="P87" s="5"/>
      <c r="Q87" s="5">
        <f t="shared" si="22"/>
        <v>1</v>
      </c>
      <c r="R87" s="7">
        <f t="shared" si="23"/>
        <v>10041</v>
      </c>
      <c r="S87" s="5">
        <f t="shared" si="24"/>
        <v>1</v>
      </c>
      <c r="T87" s="7">
        <f t="shared" si="25"/>
        <v>10041</v>
      </c>
    </row>
    <row r="88" spans="1:20">
      <c r="A88" s="23" t="s">
        <v>95</v>
      </c>
      <c r="B88" s="35" t="s">
        <v>468</v>
      </c>
      <c r="C88" s="36">
        <v>6734</v>
      </c>
      <c r="D88" s="6"/>
      <c r="E88" s="113">
        <v>246431283</v>
      </c>
      <c r="F88" s="116">
        <f t="shared" si="27"/>
        <v>36595.082120582119</v>
      </c>
      <c r="G88" s="117">
        <v>140179881</v>
      </c>
      <c r="H88" s="117">
        <f t="shared" si="28"/>
        <v>20816.733145233145</v>
      </c>
      <c r="I88" s="7"/>
      <c r="J88" s="10">
        <v>8.861600000000001</v>
      </c>
      <c r="K88" s="117">
        <v>1242218</v>
      </c>
      <c r="L88" s="120">
        <f t="shared" si="29"/>
        <v>184.46955746955746</v>
      </c>
      <c r="M88" s="122">
        <f t="shared" si="19"/>
        <v>1401798.81</v>
      </c>
      <c r="N88" s="116">
        <f t="shared" si="20"/>
        <v>159580.81000000006</v>
      </c>
      <c r="O88" s="123">
        <f t="shared" si="21"/>
        <v>23.697773982773992</v>
      </c>
      <c r="P88" s="5"/>
      <c r="Q88" s="5">
        <f t="shared" si="22"/>
        <v>1</v>
      </c>
      <c r="R88" s="7">
        <f t="shared" si="23"/>
        <v>6734</v>
      </c>
      <c r="S88" s="5">
        <f t="shared" si="24"/>
        <v>1</v>
      </c>
      <c r="T88" s="7">
        <f t="shared" si="25"/>
        <v>6734</v>
      </c>
    </row>
    <row r="89" spans="1:20">
      <c r="A89" s="23" t="s">
        <v>96</v>
      </c>
      <c r="B89" s="35" t="s">
        <v>97</v>
      </c>
      <c r="C89" s="36">
        <v>1851</v>
      </c>
      <c r="D89" s="6"/>
      <c r="E89" s="113">
        <v>51556964</v>
      </c>
      <c r="F89" s="116">
        <f t="shared" si="27"/>
        <v>27853.573203673688</v>
      </c>
      <c r="G89" s="117">
        <v>19447816</v>
      </c>
      <c r="H89" s="117">
        <f t="shared" si="28"/>
        <v>10506.653700702323</v>
      </c>
      <c r="I89" s="8"/>
      <c r="J89" s="10">
        <v>4.2340999999999998</v>
      </c>
      <c r="K89" s="117">
        <v>82343</v>
      </c>
      <c r="L89" s="120">
        <f t="shared" si="29"/>
        <v>44.485683414370612</v>
      </c>
      <c r="M89" s="122">
        <f t="shared" si="19"/>
        <v>194478.16</v>
      </c>
      <c r="N89" s="116">
        <f t="shared" si="20"/>
        <v>112135.16</v>
      </c>
      <c r="O89" s="123">
        <f t="shared" si="21"/>
        <v>60.580853592652623</v>
      </c>
      <c r="P89" s="5"/>
      <c r="Q89" s="5">
        <f t="shared" si="22"/>
        <v>1</v>
      </c>
      <c r="R89" s="7">
        <f t="shared" si="23"/>
        <v>1851</v>
      </c>
      <c r="S89" s="5">
        <f t="shared" si="24"/>
        <v>1</v>
      </c>
      <c r="T89" s="7">
        <f t="shared" si="25"/>
        <v>1851</v>
      </c>
    </row>
    <row r="90" spans="1:20">
      <c r="A90" s="23" t="s">
        <v>98</v>
      </c>
      <c r="B90" s="35" t="s">
        <v>97</v>
      </c>
      <c r="C90" s="36">
        <v>214</v>
      </c>
      <c r="D90" s="6"/>
      <c r="E90" s="113">
        <v>22551514</v>
      </c>
      <c r="F90" s="116">
        <f t="shared" si="27"/>
        <v>105380.90654205608</v>
      </c>
      <c r="G90" s="117">
        <v>18561754</v>
      </c>
      <c r="H90" s="117">
        <f t="shared" si="28"/>
        <v>86737.168224299065</v>
      </c>
      <c r="I90" s="8"/>
      <c r="J90" s="10">
        <v>3</v>
      </c>
      <c r="K90" s="117">
        <v>55685</v>
      </c>
      <c r="L90" s="120">
        <f t="shared" si="29"/>
        <v>260.21028037383178</v>
      </c>
      <c r="M90" s="122">
        <f t="shared" si="19"/>
        <v>185617.54</v>
      </c>
      <c r="N90" s="116">
        <f t="shared" si="20"/>
        <v>129932.54000000001</v>
      </c>
      <c r="O90" s="123">
        <f t="shared" si="21"/>
        <v>607.16140186915891</v>
      </c>
      <c r="P90" s="5"/>
      <c r="Q90" s="5">
        <f t="shared" si="22"/>
        <v>1</v>
      </c>
      <c r="R90" s="7">
        <f t="shared" si="23"/>
        <v>214</v>
      </c>
      <c r="S90" s="5">
        <f t="shared" si="24"/>
        <v>1</v>
      </c>
      <c r="T90" s="7">
        <f t="shared" si="25"/>
        <v>214</v>
      </c>
    </row>
    <row r="91" spans="1:20">
      <c r="A91" s="23" t="s">
        <v>99</v>
      </c>
      <c r="B91" s="35" t="s">
        <v>100</v>
      </c>
      <c r="C91" s="36">
        <v>13418</v>
      </c>
      <c r="D91" s="6"/>
      <c r="E91" s="113">
        <v>1108780887</v>
      </c>
      <c r="F91" s="116">
        <f t="shared" si="27"/>
        <v>82633.841630645402</v>
      </c>
      <c r="G91" s="117">
        <v>773152664</v>
      </c>
      <c r="H91" s="117">
        <f t="shared" si="28"/>
        <v>57620.559248770311</v>
      </c>
      <c r="I91" s="9"/>
      <c r="J91" s="11">
        <v>3.0323000000000002</v>
      </c>
      <c r="K91" s="117">
        <v>2344430</v>
      </c>
      <c r="L91" s="120">
        <f t="shared" si="29"/>
        <v>174.72276047100908</v>
      </c>
      <c r="M91" s="122">
        <f t="shared" si="19"/>
        <v>7731526.6400000006</v>
      </c>
      <c r="N91" s="116">
        <f t="shared" si="20"/>
        <v>5387096.6400000006</v>
      </c>
      <c r="O91" s="123">
        <f t="shared" si="21"/>
        <v>401.48283201669403</v>
      </c>
      <c r="P91" s="5"/>
      <c r="Q91" s="5">
        <f t="shared" si="22"/>
        <v>1</v>
      </c>
      <c r="R91" s="7">
        <f t="shared" si="23"/>
        <v>13418</v>
      </c>
      <c r="S91" s="5">
        <f t="shared" si="24"/>
        <v>1</v>
      </c>
      <c r="T91" s="7">
        <f t="shared" si="25"/>
        <v>13418</v>
      </c>
    </row>
    <row r="92" spans="1:20">
      <c r="A92" s="23" t="s">
        <v>101</v>
      </c>
      <c r="B92" s="35" t="s">
        <v>100</v>
      </c>
      <c r="C92" s="36">
        <v>1631</v>
      </c>
      <c r="D92" s="6"/>
      <c r="E92" s="113">
        <v>58753031</v>
      </c>
      <c r="F92" s="116">
        <f t="shared" si="27"/>
        <v>36022.704475781728</v>
      </c>
      <c r="G92" s="117">
        <v>34995729</v>
      </c>
      <c r="H92" s="117">
        <f t="shared" si="28"/>
        <v>21456.608828939301</v>
      </c>
      <c r="I92" s="9"/>
      <c r="J92" s="10">
        <v>2</v>
      </c>
      <c r="K92" s="117">
        <v>69991</v>
      </c>
      <c r="L92" s="120">
        <f t="shared" si="29"/>
        <v>42.912936848559163</v>
      </c>
      <c r="M92" s="122">
        <f t="shared" si="19"/>
        <v>349957.29</v>
      </c>
      <c r="N92" s="116">
        <f t="shared" si="20"/>
        <v>279966.28999999998</v>
      </c>
      <c r="O92" s="123">
        <f t="shared" si="21"/>
        <v>171.65315144083382</v>
      </c>
      <c r="P92" s="5"/>
      <c r="Q92" s="5">
        <f t="shared" si="22"/>
        <v>1</v>
      </c>
      <c r="R92" s="7">
        <f t="shared" si="23"/>
        <v>1631</v>
      </c>
      <c r="S92" s="5">
        <f t="shared" si="24"/>
        <v>1</v>
      </c>
      <c r="T92" s="7">
        <f t="shared" si="25"/>
        <v>1631</v>
      </c>
    </row>
    <row r="93" spans="1:20">
      <c r="A93" s="23" t="s">
        <v>102</v>
      </c>
      <c r="B93" s="35" t="s">
        <v>100</v>
      </c>
      <c r="C93" s="36">
        <v>750513</v>
      </c>
      <c r="D93" s="36" t="s">
        <v>515</v>
      </c>
      <c r="E93" s="113"/>
      <c r="F93" s="116"/>
      <c r="G93" s="117"/>
      <c r="H93" s="117"/>
      <c r="I93" s="9"/>
      <c r="J93" s="10"/>
      <c r="K93" s="117"/>
      <c r="L93" s="120"/>
      <c r="M93" s="122"/>
      <c r="N93" s="116"/>
      <c r="O93" s="123"/>
      <c r="P93" s="5"/>
      <c r="Q93" s="5">
        <f t="shared" si="22"/>
        <v>0</v>
      </c>
      <c r="R93" s="7">
        <f t="shared" si="23"/>
        <v>0</v>
      </c>
      <c r="S93" s="5">
        <f t="shared" si="24"/>
        <v>0</v>
      </c>
      <c r="T93" s="7">
        <f t="shared" si="25"/>
        <v>0</v>
      </c>
    </row>
    <row r="94" spans="1:20">
      <c r="A94" s="23" t="s">
        <v>103</v>
      </c>
      <c r="B94" s="35" t="s">
        <v>100</v>
      </c>
      <c r="C94" s="36">
        <v>21072</v>
      </c>
      <c r="D94" s="6"/>
      <c r="E94" s="113">
        <v>1824497658</v>
      </c>
      <c r="F94" s="116">
        <f t="shared" ref="F94:F157" si="30">(E94/C94)</f>
        <v>86583.981492027335</v>
      </c>
      <c r="G94" s="117">
        <v>1326821205</v>
      </c>
      <c r="H94" s="117">
        <f t="shared" ref="H94:H157" si="31">(G94/C94)</f>
        <v>62966.078445330299</v>
      </c>
      <c r="I94" s="9"/>
      <c r="J94" s="10">
        <v>3.9071000000000002</v>
      </c>
      <c r="K94" s="117">
        <v>5184023</v>
      </c>
      <c r="L94" s="120"/>
      <c r="M94" s="122"/>
      <c r="N94" s="116"/>
      <c r="O94" s="123"/>
      <c r="P94" s="5"/>
      <c r="Q94" s="5">
        <f t="shared" si="22"/>
        <v>1</v>
      </c>
      <c r="R94" s="7">
        <f t="shared" si="23"/>
        <v>21072</v>
      </c>
      <c r="S94" s="5">
        <f t="shared" si="24"/>
        <v>1</v>
      </c>
      <c r="T94" s="7">
        <f t="shared" si="25"/>
        <v>21072</v>
      </c>
    </row>
    <row r="95" spans="1:20">
      <c r="A95" s="23" t="s">
        <v>104</v>
      </c>
      <c r="B95" s="35" t="s">
        <v>100</v>
      </c>
      <c r="C95" s="36">
        <v>7264</v>
      </c>
      <c r="D95" s="6"/>
      <c r="E95" s="113">
        <v>567495202</v>
      </c>
      <c r="F95" s="116">
        <f t="shared" si="30"/>
        <v>78124.339482378855</v>
      </c>
      <c r="G95" s="117">
        <v>403184208</v>
      </c>
      <c r="H95" s="117">
        <f t="shared" si="31"/>
        <v>55504.433920704847</v>
      </c>
      <c r="I95" s="9"/>
      <c r="J95" s="10">
        <v>2.64</v>
      </c>
      <c r="K95" s="117">
        <v>1064406</v>
      </c>
      <c r="L95" s="120">
        <f t="shared" ref="L95:L100" si="32">(K95/C95)</f>
        <v>146.5316629955947</v>
      </c>
      <c r="M95" s="122">
        <f t="shared" ref="M95:M158" si="33">(G95*0.01)</f>
        <v>4031842.08</v>
      </c>
      <c r="N95" s="116">
        <f t="shared" ref="N95:N158" si="34">(M95-K95)</f>
        <v>2967436.08</v>
      </c>
      <c r="O95" s="123">
        <f t="shared" ref="O95:O158" si="35">(N95/C95)</f>
        <v>408.51267621145377</v>
      </c>
      <c r="P95" s="5"/>
      <c r="Q95" s="5">
        <f t="shared" si="22"/>
        <v>1</v>
      </c>
      <c r="R95" s="7">
        <f t="shared" si="23"/>
        <v>7264</v>
      </c>
      <c r="S95" s="5">
        <f t="shared" si="24"/>
        <v>1</v>
      </c>
      <c r="T95" s="7">
        <f t="shared" si="25"/>
        <v>7264</v>
      </c>
    </row>
    <row r="96" spans="1:20">
      <c r="A96" s="23" t="s">
        <v>105</v>
      </c>
      <c r="B96" s="35" t="s">
        <v>106</v>
      </c>
      <c r="C96" s="36">
        <v>1763</v>
      </c>
      <c r="D96" s="6"/>
      <c r="E96" s="113">
        <v>44168310</v>
      </c>
      <c r="F96" s="116">
        <f t="shared" si="30"/>
        <v>25052.926829268294</v>
      </c>
      <c r="G96" s="117">
        <v>26129404</v>
      </c>
      <c r="H96" s="117">
        <f t="shared" si="31"/>
        <v>14820.989222915485</v>
      </c>
      <c r="I96" s="7"/>
      <c r="J96" s="10">
        <v>0.99800000000000011</v>
      </c>
      <c r="K96" s="117">
        <v>26077</v>
      </c>
      <c r="L96" s="120">
        <f t="shared" si="32"/>
        <v>14.79126488939308</v>
      </c>
      <c r="M96" s="122">
        <f t="shared" si="33"/>
        <v>261294.04</v>
      </c>
      <c r="N96" s="116">
        <f t="shared" si="34"/>
        <v>235217.04</v>
      </c>
      <c r="O96" s="123">
        <f t="shared" si="35"/>
        <v>133.41862733976177</v>
      </c>
      <c r="P96" s="5"/>
      <c r="Q96" s="5">
        <f t="shared" si="22"/>
        <v>1</v>
      </c>
      <c r="R96" s="7">
        <f t="shared" si="23"/>
        <v>1763</v>
      </c>
      <c r="S96" s="5">
        <f t="shared" si="24"/>
        <v>1</v>
      </c>
      <c r="T96" s="7">
        <f t="shared" si="25"/>
        <v>1763</v>
      </c>
    </row>
    <row r="97" spans="1:20">
      <c r="A97" s="23" t="s">
        <v>107</v>
      </c>
      <c r="B97" s="35" t="s">
        <v>106</v>
      </c>
      <c r="C97" s="36">
        <v>56275</v>
      </c>
      <c r="D97" s="6"/>
      <c r="E97" s="113">
        <v>3342590872</v>
      </c>
      <c r="F97" s="116">
        <f t="shared" si="30"/>
        <v>59397.438862727678</v>
      </c>
      <c r="G97" s="117">
        <v>2166415139</v>
      </c>
      <c r="H97" s="117">
        <f t="shared" si="31"/>
        <v>38496.937165704134</v>
      </c>
      <c r="I97" s="7"/>
      <c r="J97" s="10">
        <v>5.0570000000000004</v>
      </c>
      <c r="K97" s="117">
        <v>10955561</v>
      </c>
      <c r="L97" s="120">
        <f t="shared" si="32"/>
        <v>194.67900488671702</v>
      </c>
      <c r="M97" s="122">
        <f t="shared" si="33"/>
        <v>21664151.390000001</v>
      </c>
      <c r="N97" s="116">
        <f t="shared" si="34"/>
        <v>10708590.390000001</v>
      </c>
      <c r="O97" s="123">
        <f t="shared" si="35"/>
        <v>190.29036677032431</v>
      </c>
      <c r="P97" s="5"/>
      <c r="Q97" s="5">
        <f t="shared" si="22"/>
        <v>1</v>
      </c>
      <c r="R97" s="7">
        <f t="shared" si="23"/>
        <v>56275</v>
      </c>
      <c r="S97" s="5">
        <f t="shared" si="24"/>
        <v>1</v>
      </c>
      <c r="T97" s="7">
        <f t="shared" si="25"/>
        <v>56275</v>
      </c>
    </row>
    <row r="98" spans="1:20">
      <c r="A98" s="23" t="s">
        <v>108</v>
      </c>
      <c r="B98" s="35" t="s">
        <v>109</v>
      </c>
      <c r="C98" s="36">
        <v>543</v>
      </c>
      <c r="D98" s="6"/>
      <c r="E98" s="113">
        <v>25496234</v>
      </c>
      <c r="F98" s="116">
        <f t="shared" si="30"/>
        <v>46954.390423572746</v>
      </c>
      <c r="G98" s="117">
        <v>21740807</v>
      </c>
      <c r="H98" s="117">
        <f t="shared" si="31"/>
        <v>40038.318600368322</v>
      </c>
      <c r="I98" s="7"/>
      <c r="J98" s="10">
        <v>2.3198000000000003</v>
      </c>
      <c r="K98" s="117">
        <v>50434</v>
      </c>
      <c r="L98" s="120">
        <f t="shared" si="32"/>
        <v>92.880294659300191</v>
      </c>
      <c r="M98" s="122">
        <f t="shared" si="33"/>
        <v>217408.07</v>
      </c>
      <c r="N98" s="116">
        <f t="shared" si="34"/>
        <v>166974.07</v>
      </c>
      <c r="O98" s="123">
        <f t="shared" si="35"/>
        <v>307.50289134438304</v>
      </c>
      <c r="P98" s="5"/>
      <c r="Q98" s="5">
        <f t="shared" si="22"/>
        <v>1</v>
      </c>
      <c r="R98" s="7">
        <f t="shared" si="23"/>
        <v>543</v>
      </c>
      <c r="S98" s="5">
        <f t="shared" si="24"/>
        <v>1</v>
      </c>
      <c r="T98" s="7">
        <f t="shared" si="25"/>
        <v>543</v>
      </c>
    </row>
    <row r="99" spans="1:20">
      <c r="A99" s="23" t="s">
        <v>110</v>
      </c>
      <c r="B99" s="35" t="s">
        <v>109</v>
      </c>
      <c r="C99" s="36">
        <v>2131</v>
      </c>
      <c r="D99" s="6"/>
      <c r="E99" s="113">
        <v>132334276</v>
      </c>
      <c r="F99" s="116">
        <f t="shared" si="30"/>
        <v>62099.613327076491</v>
      </c>
      <c r="G99" s="117">
        <v>72349640</v>
      </c>
      <c r="H99" s="117">
        <f t="shared" si="31"/>
        <v>33951.027686532143</v>
      </c>
      <c r="I99" s="7"/>
      <c r="J99" s="10">
        <v>5.9</v>
      </c>
      <c r="K99" s="117">
        <v>426862</v>
      </c>
      <c r="L99" s="120">
        <f t="shared" si="32"/>
        <v>200.3106522759268</v>
      </c>
      <c r="M99" s="122">
        <f t="shared" si="33"/>
        <v>723496.4</v>
      </c>
      <c r="N99" s="116">
        <f t="shared" si="34"/>
        <v>296634.40000000002</v>
      </c>
      <c r="O99" s="123">
        <f t="shared" si="35"/>
        <v>139.19962458939466</v>
      </c>
      <c r="P99" s="5"/>
      <c r="Q99" s="5">
        <f t="shared" si="22"/>
        <v>1</v>
      </c>
      <c r="R99" s="7">
        <f t="shared" si="23"/>
        <v>2131</v>
      </c>
      <c r="S99" s="5">
        <f t="shared" si="24"/>
        <v>1</v>
      </c>
      <c r="T99" s="7">
        <f t="shared" si="25"/>
        <v>2131</v>
      </c>
    </row>
    <row r="100" spans="1:20">
      <c r="A100" s="23" t="s">
        <v>447</v>
      </c>
      <c r="B100" s="35" t="s">
        <v>109</v>
      </c>
      <c r="C100" s="36">
        <v>35443</v>
      </c>
      <c r="D100" s="6"/>
      <c r="E100" s="113">
        <v>2335461843</v>
      </c>
      <c r="F100" s="116">
        <f t="shared" si="30"/>
        <v>65893.458313348194</v>
      </c>
      <c r="G100" s="117">
        <v>1773378865</v>
      </c>
      <c r="H100" s="117">
        <f t="shared" si="31"/>
        <v>50034.671585362412</v>
      </c>
      <c r="I100" s="7"/>
      <c r="J100" s="10">
        <v>3.5</v>
      </c>
      <c r="K100" s="117">
        <v>6206826</v>
      </c>
      <c r="L100" s="120">
        <f t="shared" si="32"/>
        <v>175.12134977287477</v>
      </c>
      <c r="M100" s="122">
        <f t="shared" si="33"/>
        <v>17733788.649999999</v>
      </c>
      <c r="N100" s="116">
        <f t="shared" si="34"/>
        <v>11526962.649999999</v>
      </c>
      <c r="O100" s="123">
        <f t="shared" si="35"/>
        <v>325.22536608074932</v>
      </c>
      <c r="P100" s="5"/>
      <c r="Q100" s="5">
        <f t="shared" si="22"/>
        <v>1</v>
      </c>
      <c r="R100" s="7">
        <f t="shared" si="23"/>
        <v>35443</v>
      </c>
      <c r="S100" s="5">
        <f t="shared" si="24"/>
        <v>1</v>
      </c>
      <c r="T100" s="7">
        <f t="shared" si="25"/>
        <v>35443</v>
      </c>
    </row>
    <row r="101" spans="1:20">
      <c r="A101" s="23" t="s">
        <v>111</v>
      </c>
      <c r="B101" s="35" t="s">
        <v>557</v>
      </c>
      <c r="C101" s="36">
        <v>7</v>
      </c>
      <c r="D101" s="6"/>
      <c r="E101" s="113">
        <v>10473857</v>
      </c>
      <c r="F101" s="116">
        <f t="shared" si="30"/>
        <v>1496265.2857142857</v>
      </c>
      <c r="G101" s="117">
        <v>2482398</v>
      </c>
      <c r="H101" s="117">
        <f t="shared" si="31"/>
        <v>354628.28571428574</v>
      </c>
      <c r="I101" s="98" t="s">
        <v>528</v>
      </c>
      <c r="J101" s="10"/>
      <c r="K101" s="117"/>
      <c r="L101" s="120"/>
      <c r="M101" s="122">
        <f t="shared" si="33"/>
        <v>24823.98</v>
      </c>
      <c r="N101" s="116">
        <f t="shared" si="34"/>
        <v>24823.98</v>
      </c>
      <c r="O101" s="123">
        <f t="shared" si="35"/>
        <v>3546.2828571428572</v>
      </c>
      <c r="P101" s="5"/>
      <c r="Q101" s="5">
        <f t="shared" si="22"/>
        <v>1</v>
      </c>
      <c r="R101" s="7">
        <f t="shared" si="23"/>
        <v>7</v>
      </c>
      <c r="S101" s="5">
        <f t="shared" si="24"/>
        <v>0</v>
      </c>
      <c r="T101" s="7">
        <f t="shared" si="25"/>
        <v>0</v>
      </c>
    </row>
    <row r="102" spans="1:20">
      <c r="A102" s="23" t="s">
        <v>112</v>
      </c>
      <c r="B102" s="35" t="s">
        <v>113</v>
      </c>
      <c r="C102" s="36">
        <v>5097</v>
      </c>
      <c r="D102" s="6"/>
      <c r="E102" s="113">
        <v>410442645</v>
      </c>
      <c r="F102" s="116">
        <f t="shared" si="30"/>
        <v>80526.318422601529</v>
      </c>
      <c r="G102" s="117">
        <v>323145657</v>
      </c>
      <c r="H102" s="117">
        <f t="shared" si="31"/>
        <v>63399.187168922894</v>
      </c>
      <c r="I102" s="7"/>
      <c r="J102" s="10">
        <v>2.6778000000000004</v>
      </c>
      <c r="K102" s="117">
        <v>865319</v>
      </c>
      <c r="L102" s="120">
        <f t="shared" ref="L102:L110" si="36">(K102/C102)</f>
        <v>169.77025701392975</v>
      </c>
      <c r="M102" s="122">
        <f t="shared" si="33"/>
        <v>3231456.5700000003</v>
      </c>
      <c r="N102" s="116">
        <f t="shared" si="34"/>
        <v>2366137.5700000003</v>
      </c>
      <c r="O102" s="123">
        <f t="shared" si="35"/>
        <v>464.22161467529924</v>
      </c>
      <c r="P102" s="5"/>
      <c r="Q102" s="5">
        <f t="shared" si="22"/>
        <v>1</v>
      </c>
      <c r="R102" s="7">
        <f t="shared" si="23"/>
        <v>5097</v>
      </c>
      <c r="S102" s="5">
        <f t="shared" si="24"/>
        <v>1</v>
      </c>
      <c r="T102" s="7">
        <f t="shared" si="25"/>
        <v>5097</v>
      </c>
    </row>
    <row r="103" spans="1:20">
      <c r="A103" s="23" t="s">
        <v>114</v>
      </c>
      <c r="B103" s="35" t="s">
        <v>115</v>
      </c>
      <c r="C103" s="36">
        <v>2323</v>
      </c>
      <c r="D103" s="6"/>
      <c r="E103" s="113">
        <v>140488816</v>
      </c>
      <c r="F103" s="116">
        <f t="shared" si="30"/>
        <v>60477.320705983642</v>
      </c>
      <c r="G103" s="117">
        <v>88518493</v>
      </c>
      <c r="H103" s="117">
        <f t="shared" si="31"/>
        <v>38105.248816185966</v>
      </c>
      <c r="I103" s="7"/>
      <c r="J103" s="10">
        <v>7.75</v>
      </c>
      <c r="K103" s="117">
        <v>686018</v>
      </c>
      <c r="L103" s="120">
        <f t="shared" si="36"/>
        <v>295.31554024967716</v>
      </c>
      <c r="M103" s="122">
        <f t="shared" si="33"/>
        <v>885184.93</v>
      </c>
      <c r="N103" s="116">
        <f t="shared" si="34"/>
        <v>199166.93000000005</v>
      </c>
      <c r="O103" s="123">
        <f t="shared" si="35"/>
        <v>85.736947912182544</v>
      </c>
      <c r="P103" s="5"/>
      <c r="Q103" s="5">
        <f t="shared" si="22"/>
        <v>1</v>
      </c>
      <c r="R103" s="7">
        <f t="shared" si="23"/>
        <v>2323</v>
      </c>
      <c r="S103" s="5">
        <f t="shared" si="24"/>
        <v>1</v>
      </c>
      <c r="T103" s="7">
        <f t="shared" si="25"/>
        <v>2323</v>
      </c>
    </row>
    <row r="104" spans="1:20">
      <c r="A104" s="23" t="s">
        <v>116</v>
      </c>
      <c r="B104" s="35" t="s">
        <v>115</v>
      </c>
      <c r="C104" s="36">
        <v>1305</v>
      </c>
      <c r="D104" s="6"/>
      <c r="E104" s="113">
        <v>60525284</v>
      </c>
      <c r="F104" s="116">
        <f t="shared" si="30"/>
        <v>46379.527969348659</v>
      </c>
      <c r="G104" s="117">
        <v>37536643</v>
      </c>
      <c r="H104" s="117">
        <f t="shared" si="31"/>
        <v>28763.711111111112</v>
      </c>
      <c r="I104" s="7"/>
      <c r="J104" s="11">
        <v>8</v>
      </c>
      <c r="K104" s="117">
        <v>300293</v>
      </c>
      <c r="L104" s="120">
        <f t="shared" si="36"/>
        <v>230.10957854406129</v>
      </c>
      <c r="M104" s="122">
        <f t="shared" si="33"/>
        <v>375366.43</v>
      </c>
      <c r="N104" s="116">
        <f t="shared" si="34"/>
        <v>75073.429999999993</v>
      </c>
      <c r="O104" s="123">
        <f t="shared" si="35"/>
        <v>57.527532567049803</v>
      </c>
      <c r="P104" s="5"/>
      <c r="Q104" s="5">
        <f t="shared" si="22"/>
        <v>1</v>
      </c>
      <c r="R104" s="7">
        <f t="shared" si="23"/>
        <v>1305</v>
      </c>
      <c r="S104" s="5">
        <f t="shared" si="24"/>
        <v>1</v>
      </c>
      <c r="T104" s="7">
        <f t="shared" si="25"/>
        <v>1305</v>
      </c>
    </row>
    <row r="105" spans="1:20">
      <c r="A105" s="23" t="s">
        <v>117</v>
      </c>
      <c r="B105" s="35" t="s">
        <v>118</v>
      </c>
      <c r="C105" s="36">
        <v>3605</v>
      </c>
      <c r="D105" s="6"/>
      <c r="E105" s="113">
        <v>194568656</v>
      </c>
      <c r="F105" s="116">
        <f t="shared" si="30"/>
        <v>53971.887933425794</v>
      </c>
      <c r="G105" s="117">
        <v>30032321</v>
      </c>
      <c r="H105" s="117">
        <f t="shared" si="31"/>
        <v>8330.7409153952849</v>
      </c>
      <c r="I105" s="7"/>
      <c r="J105" s="10">
        <v>0.92130000000000012</v>
      </c>
      <c r="K105" s="117">
        <v>27668</v>
      </c>
      <c r="L105" s="120">
        <f t="shared" si="36"/>
        <v>7.6748959778085988</v>
      </c>
      <c r="M105" s="122">
        <f t="shared" si="33"/>
        <v>300323.21000000002</v>
      </c>
      <c r="N105" s="116">
        <f t="shared" si="34"/>
        <v>272655.21000000002</v>
      </c>
      <c r="O105" s="123">
        <f t="shared" si="35"/>
        <v>75.632513176144244</v>
      </c>
      <c r="P105" s="5"/>
      <c r="Q105" s="5">
        <f t="shared" si="22"/>
        <v>1</v>
      </c>
      <c r="R105" s="7">
        <f t="shared" si="23"/>
        <v>3605</v>
      </c>
      <c r="S105" s="5">
        <f t="shared" si="24"/>
        <v>1</v>
      </c>
      <c r="T105" s="7">
        <f t="shared" si="25"/>
        <v>3605</v>
      </c>
    </row>
    <row r="106" spans="1:20">
      <c r="A106" s="23" t="s">
        <v>119</v>
      </c>
      <c r="B106" s="35" t="s">
        <v>118</v>
      </c>
      <c r="C106" s="36">
        <v>624</v>
      </c>
      <c r="D106" s="6"/>
      <c r="E106" s="113">
        <v>13397402</v>
      </c>
      <c r="F106" s="116">
        <f t="shared" si="30"/>
        <v>21470.195512820512</v>
      </c>
      <c r="G106" s="117">
        <v>6680544</v>
      </c>
      <c r="H106" s="117">
        <f t="shared" si="31"/>
        <v>10706</v>
      </c>
      <c r="I106" s="7"/>
      <c r="J106" s="10">
        <v>2</v>
      </c>
      <c r="K106" s="117">
        <v>13361</v>
      </c>
      <c r="L106" s="120">
        <f t="shared" si="36"/>
        <v>21.411858974358974</v>
      </c>
      <c r="M106" s="122">
        <f t="shared" si="33"/>
        <v>66805.440000000002</v>
      </c>
      <c r="N106" s="116">
        <f t="shared" si="34"/>
        <v>53444.44</v>
      </c>
      <c r="O106" s="123">
        <f t="shared" si="35"/>
        <v>85.648141025641024</v>
      </c>
      <c r="P106" s="5"/>
      <c r="Q106" s="5">
        <f t="shared" si="22"/>
        <v>1</v>
      </c>
      <c r="R106" s="7">
        <f t="shared" si="23"/>
        <v>624</v>
      </c>
      <c r="S106" s="5">
        <f t="shared" si="24"/>
        <v>1</v>
      </c>
      <c r="T106" s="7">
        <f t="shared" si="25"/>
        <v>624</v>
      </c>
    </row>
    <row r="107" spans="1:20">
      <c r="A107" s="23" t="s">
        <v>120</v>
      </c>
      <c r="B107" s="35" t="s">
        <v>118</v>
      </c>
      <c r="C107" s="36">
        <v>1731</v>
      </c>
      <c r="D107" s="6"/>
      <c r="E107" s="113">
        <v>21500702</v>
      </c>
      <c r="F107" s="116">
        <f t="shared" si="30"/>
        <v>12420.971692663201</v>
      </c>
      <c r="G107" s="117">
        <v>8782340</v>
      </c>
      <c r="H107" s="117">
        <f t="shared" si="31"/>
        <v>5073.5644136337378</v>
      </c>
      <c r="I107" s="7"/>
      <c r="J107" s="10">
        <v>2</v>
      </c>
      <c r="K107" s="117">
        <v>17564</v>
      </c>
      <c r="L107" s="120">
        <f t="shared" si="36"/>
        <v>10.146735990756788</v>
      </c>
      <c r="M107" s="122">
        <f t="shared" si="33"/>
        <v>87823.400000000009</v>
      </c>
      <c r="N107" s="116">
        <f t="shared" si="34"/>
        <v>70259.400000000009</v>
      </c>
      <c r="O107" s="123">
        <f t="shared" si="35"/>
        <v>40.588908145580596</v>
      </c>
      <c r="P107" s="5"/>
      <c r="Q107" s="5">
        <f t="shared" si="22"/>
        <v>1</v>
      </c>
      <c r="R107" s="7">
        <f t="shared" si="23"/>
        <v>1731</v>
      </c>
      <c r="S107" s="5">
        <f t="shared" si="24"/>
        <v>1</v>
      </c>
      <c r="T107" s="7">
        <f t="shared" si="25"/>
        <v>1731</v>
      </c>
    </row>
    <row r="108" spans="1:20">
      <c r="A108" s="23" t="s">
        <v>121</v>
      </c>
      <c r="B108" s="35" t="s">
        <v>118</v>
      </c>
      <c r="C108" s="36">
        <v>1727</v>
      </c>
      <c r="D108" s="6"/>
      <c r="E108" s="113">
        <v>59022202</v>
      </c>
      <c r="F108" s="116">
        <f t="shared" si="30"/>
        <v>34176.144759698902</v>
      </c>
      <c r="G108" s="117">
        <v>40572077</v>
      </c>
      <c r="H108" s="117">
        <f t="shared" si="31"/>
        <v>23492.80660104227</v>
      </c>
      <c r="I108" s="7"/>
      <c r="J108" s="10">
        <v>1.1020000000000001</v>
      </c>
      <c r="K108" s="117">
        <v>44710</v>
      </c>
      <c r="L108" s="120">
        <f t="shared" si="36"/>
        <v>25.888824551244934</v>
      </c>
      <c r="M108" s="122">
        <f t="shared" si="33"/>
        <v>405720.77</v>
      </c>
      <c r="N108" s="116">
        <f t="shared" si="34"/>
        <v>361010.77</v>
      </c>
      <c r="O108" s="123">
        <f t="shared" si="35"/>
        <v>209.03924145917779</v>
      </c>
      <c r="P108" s="5"/>
      <c r="Q108" s="5">
        <f t="shared" si="22"/>
        <v>1</v>
      </c>
      <c r="R108" s="7">
        <f t="shared" si="23"/>
        <v>1727</v>
      </c>
      <c r="S108" s="5">
        <f t="shared" si="24"/>
        <v>1</v>
      </c>
      <c r="T108" s="7">
        <f t="shared" si="25"/>
        <v>1727</v>
      </c>
    </row>
    <row r="109" spans="1:20">
      <c r="A109" s="23" t="s">
        <v>122</v>
      </c>
      <c r="B109" s="35" t="s">
        <v>118</v>
      </c>
      <c r="C109" s="36">
        <v>1456</v>
      </c>
      <c r="D109" s="6"/>
      <c r="E109" s="113">
        <v>26100269</v>
      </c>
      <c r="F109" s="116">
        <f t="shared" si="30"/>
        <v>17926.008928571428</v>
      </c>
      <c r="G109" s="117">
        <v>13931425</v>
      </c>
      <c r="H109" s="117">
        <f t="shared" si="31"/>
        <v>9568.2864010989015</v>
      </c>
      <c r="I109" s="7"/>
      <c r="J109" s="10">
        <v>5</v>
      </c>
      <c r="K109" s="117">
        <v>69657</v>
      </c>
      <c r="L109" s="120">
        <f t="shared" si="36"/>
        <v>47.841346153846153</v>
      </c>
      <c r="M109" s="122">
        <f t="shared" si="33"/>
        <v>139314.25</v>
      </c>
      <c r="N109" s="116">
        <f t="shared" si="34"/>
        <v>69657.25</v>
      </c>
      <c r="O109" s="123">
        <f t="shared" si="35"/>
        <v>47.841517857142854</v>
      </c>
      <c r="P109" s="5"/>
      <c r="Q109" s="5">
        <f t="shared" si="22"/>
        <v>1</v>
      </c>
      <c r="R109" s="7">
        <f t="shared" si="23"/>
        <v>1456</v>
      </c>
      <c r="S109" s="5">
        <f t="shared" si="24"/>
        <v>1</v>
      </c>
      <c r="T109" s="7">
        <f t="shared" si="25"/>
        <v>1456</v>
      </c>
    </row>
    <row r="110" spans="1:20">
      <c r="A110" s="23" t="s">
        <v>123</v>
      </c>
      <c r="B110" s="35" t="s">
        <v>118</v>
      </c>
      <c r="C110" s="36">
        <v>7000</v>
      </c>
      <c r="D110" s="6"/>
      <c r="E110" s="113">
        <v>270917540</v>
      </c>
      <c r="F110" s="116">
        <f t="shared" si="30"/>
        <v>38702.505714285711</v>
      </c>
      <c r="G110" s="117">
        <v>170543774</v>
      </c>
      <c r="H110" s="117">
        <f t="shared" si="31"/>
        <v>24363.396285714287</v>
      </c>
      <c r="I110" s="7"/>
      <c r="J110" s="10">
        <v>2.75</v>
      </c>
      <c r="K110" s="117">
        <v>468995</v>
      </c>
      <c r="L110" s="120">
        <f t="shared" si="36"/>
        <v>66.999285714285719</v>
      </c>
      <c r="M110" s="122">
        <f t="shared" si="33"/>
        <v>1705437.74</v>
      </c>
      <c r="N110" s="116">
        <f t="shared" si="34"/>
        <v>1236442.74</v>
      </c>
      <c r="O110" s="123">
        <f t="shared" si="35"/>
        <v>176.63467714285713</v>
      </c>
      <c r="P110" s="5"/>
      <c r="Q110" s="5">
        <f t="shared" si="22"/>
        <v>1</v>
      </c>
      <c r="R110" s="7">
        <f t="shared" si="23"/>
        <v>7000</v>
      </c>
      <c r="S110" s="5">
        <f t="shared" si="24"/>
        <v>1</v>
      </c>
      <c r="T110" s="7">
        <f t="shared" si="25"/>
        <v>7000</v>
      </c>
    </row>
    <row r="111" spans="1:20">
      <c r="A111" s="23" t="s">
        <v>124</v>
      </c>
      <c r="B111" s="35" t="s">
        <v>125</v>
      </c>
      <c r="C111" s="36">
        <v>365</v>
      </c>
      <c r="D111" s="6"/>
      <c r="E111" s="113">
        <v>19995254</v>
      </c>
      <c r="F111" s="116">
        <f t="shared" si="30"/>
        <v>54781.517808219178</v>
      </c>
      <c r="G111" s="117">
        <v>6555186</v>
      </c>
      <c r="H111" s="117">
        <f t="shared" si="31"/>
        <v>17959.413698630138</v>
      </c>
      <c r="I111" s="98" t="s">
        <v>528</v>
      </c>
      <c r="J111" s="10"/>
      <c r="K111" s="117"/>
      <c r="L111" s="120"/>
      <c r="M111" s="122">
        <f t="shared" si="33"/>
        <v>65551.86</v>
      </c>
      <c r="N111" s="116">
        <f t="shared" si="34"/>
        <v>65551.86</v>
      </c>
      <c r="O111" s="123">
        <f t="shared" si="35"/>
        <v>179.59413698630138</v>
      </c>
      <c r="P111" s="5"/>
      <c r="Q111" s="5">
        <f t="shared" si="22"/>
        <v>1</v>
      </c>
      <c r="R111" s="7">
        <f t="shared" si="23"/>
        <v>365</v>
      </c>
      <c r="S111" s="5">
        <f t="shared" si="24"/>
        <v>0</v>
      </c>
      <c r="T111" s="7">
        <f t="shared" si="25"/>
        <v>0</v>
      </c>
    </row>
    <row r="112" spans="1:20">
      <c r="A112" s="23" t="s">
        <v>126</v>
      </c>
      <c r="B112" s="35" t="s">
        <v>125</v>
      </c>
      <c r="C112" s="36">
        <v>1612</v>
      </c>
      <c r="D112" s="6"/>
      <c r="E112" s="113">
        <v>57961703</v>
      </c>
      <c r="F112" s="116">
        <f t="shared" si="30"/>
        <v>35956.391439205952</v>
      </c>
      <c r="G112" s="117">
        <v>30906806</v>
      </c>
      <c r="H112" s="117">
        <f t="shared" si="31"/>
        <v>19172.956575682383</v>
      </c>
      <c r="I112" s="98" t="s">
        <v>528</v>
      </c>
      <c r="J112" s="10"/>
      <c r="K112" s="117"/>
      <c r="L112" s="120"/>
      <c r="M112" s="122">
        <f t="shared" si="33"/>
        <v>309068.06</v>
      </c>
      <c r="N112" s="116">
        <f t="shared" si="34"/>
        <v>309068.06</v>
      </c>
      <c r="O112" s="123">
        <f t="shared" si="35"/>
        <v>191.72956575682383</v>
      </c>
      <c r="P112" s="5"/>
      <c r="Q112" s="5">
        <f t="shared" si="22"/>
        <v>1</v>
      </c>
      <c r="R112" s="7">
        <f t="shared" si="23"/>
        <v>1612</v>
      </c>
      <c r="S112" s="5">
        <f t="shared" si="24"/>
        <v>0</v>
      </c>
      <c r="T112" s="7">
        <f t="shared" si="25"/>
        <v>0</v>
      </c>
    </row>
    <row r="113" spans="1:20">
      <c r="A113" s="23" t="s">
        <v>127</v>
      </c>
      <c r="B113" s="35" t="s">
        <v>128</v>
      </c>
      <c r="C113" s="36">
        <v>801</v>
      </c>
      <c r="D113" s="6"/>
      <c r="E113" s="113">
        <v>27246720</v>
      </c>
      <c r="F113" s="116">
        <f t="shared" si="30"/>
        <v>34015.880149812736</v>
      </c>
      <c r="G113" s="117">
        <v>18804012</v>
      </c>
      <c r="H113" s="117">
        <f t="shared" si="31"/>
        <v>23475.670411985018</v>
      </c>
      <c r="I113" s="7"/>
      <c r="J113" s="11">
        <v>2</v>
      </c>
      <c r="K113" s="117">
        <v>37607</v>
      </c>
      <c r="L113" s="120">
        <f t="shared" ref="L113:L132" si="37">(K113/C113)</f>
        <v>46.950062421972532</v>
      </c>
      <c r="M113" s="122">
        <f t="shared" si="33"/>
        <v>188040.12</v>
      </c>
      <c r="N113" s="116">
        <f t="shared" si="34"/>
        <v>150433.12</v>
      </c>
      <c r="O113" s="123">
        <f t="shared" si="35"/>
        <v>187.80664169787764</v>
      </c>
      <c r="P113" s="5"/>
      <c r="Q113" s="5">
        <f t="shared" si="22"/>
        <v>1</v>
      </c>
      <c r="R113" s="7">
        <f t="shared" si="23"/>
        <v>801</v>
      </c>
      <c r="S113" s="5">
        <f t="shared" si="24"/>
        <v>1</v>
      </c>
      <c r="T113" s="7">
        <f t="shared" si="25"/>
        <v>801</v>
      </c>
    </row>
    <row r="114" spans="1:20">
      <c r="A114" s="23" t="s">
        <v>129</v>
      </c>
      <c r="B114" s="35" t="s">
        <v>130</v>
      </c>
      <c r="C114" s="36">
        <v>1660</v>
      </c>
      <c r="D114" s="6"/>
      <c r="E114" s="113">
        <v>48318735</v>
      </c>
      <c r="F114" s="116">
        <f t="shared" si="30"/>
        <v>29107.671686746988</v>
      </c>
      <c r="G114" s="117">
        <v>25269230</v>
      </c>
      <c r="H114" s="117">
        <f t="shared" si="31"/>
        <v>15222.427710843374</v>
      </c>
      <c r="I114" s="7"/>
      <c r="J114" s="11">
        <v>4.2979000000000003</v>
      </c>
      <c r="K114" s="117">
        <v>108604</v>
      </c>
      <c r="L114" s="120">
        <f t="shared" si="37"/>
        <v>65.424096385542171</v>
      </c>
      <c r="M114" s="122">
        <f t="shared" si="33"/>
        <v>252692.30000000002</v>
      </c>
      <c r="N114" s="116">
        <f t="shared" si="34"/>
        <v>144088.30000000002</v>
      </c>
      <c r="O114" s="123">
        <f t="shared" si="35"/>
        <v>86.800180722891582</v>
      </c>
      <c r="P114" s="5"/>
      <c r="Q114" s="5">
        <f t="shared" si="22"/>
        <v>1</v>
      </c>
      <c r="R114" s="7">
        <f t="shared" si="23"/>
        <v>1660</v>
      </c>
      <c r="S114" s="5">
        <f t="shared" si="24"/>
        <v>1</v>
      </c>
      <c r="T114" s="7">
        <f t="shared" si="25"/>
        <v>1660</v>
      </c>
    </row>
    <row r="115" spans="1:20">
      <c r="A115" s="23" t="s">
        <v>545</v>
      </c>
      <c r="B115" s="35" t="s">
        <v>131</v>
      </c>
      <c r="C115" s="36">
        <v>3615</v>
      </c>
      <c r="D115" s="6"/>
      <c r="E115" s="113">
        <v>262583755</v>
      </c>
      <c r="F115" s="116">
        <f t="shared" si="30"/>
        <v>72637.27662517289</v>
      </c>
      <c r="G115" s="117">
        <v>190240854</v>
      </c>
      <c r="H115" s="117">
        <f t="shared" si="31"/>
        <v>52625.409128630708</v>
      </c>
      <c r="I115" s="7"/>
      <c r="J115" s="10">
        <v>6.67</v>
      </c>
      <c r="K115" s="117">
        <v>1268906</v>
      </c>
      <c r="L115" s="120">
        <f t="shared" si="37"/>
        <v>351.01134163208854</v>
      </c>
      <c r="M115" s="122">
        <f t="shared" si="33"/>
        <v>1902408.54</v>
      </c>
      <c r="N115" s="116">
        <f t="shared" si="34"/>
        <v>633502.54</v>
      </c>
      <c r="O115" s="123">
        <f t="shared" si="35"/>
        <v>175.24274965421856</v>
      </c>
      <c r="P115" s="5"/>
      <c r="Q115" s="5">
        <f t="shared" si="22"/>
        <v>1</v>
      </c>
      <c r="R115" s="7">
        <f t="shared" si="23"/>
        <v>3615</v>
      </c>
      <c r="S115" s="5">
        <f t="shared" si="24"/>
        <v>1</v>
      </c>
      <c r="T115" s="7">
        <f t="shared" si="25"/>
        <v>3615</v>
      </c>
    </row>
    <row r="116" spans="1:20">
      <c r="A116" s="23" t="s">
        <v>132</v>
      </c>
      <c r="B116" s="35" t="s">
        <v>131</v>
      </c>
      <c r="C116" s="36">
        <v>1742</v>
      </c>
      <c r="D116" s="6"/>
      <c r="E116" s="113">
        <v>63740182</v>
      </c>
      <c r="F116" s="116">
        <f t="shared" si="30"/>
        <v>36590.230769230766</v>
      </c>
      <c r="G116" s="117">
        <v>34181550</v>
      </c>
      <c r="H116" s="117">
        <f t="shared" si="31"/>
        <v>19622.014925373136</v>
      </c>
      <c r="I116" s="7"/>
      <c r="J116" s="10">
        <v>4</v>
      </c>
      <c r="K116" s="117">
        <v>136726</v>
      </c>
      <c r="L116" s="120">
        <f t="shared" si="37"/>
        <v>78.487944890929967</v>
      </c>
      <c r="M116" s="122">
        <f t="shared" si="33"/>
        <v>341815.5</v>
      </c>
      <c r="N116" s="116">
        <f t="shared" si="34"/>
        <v>205089.5</v>
      </c>
      <c r="O116" s="123">
        <f t="shared" si="35"/>
        <v>117.73220436280138</v>
      </c>
      <c r="P116" s="5"/>
      <c r="Q116" s="5">
        <f t="shared" si="22"/>
        <v>1</v>
      </c>
      <c r="R116" s="7">
        <f t="shared" si="23"/>
        <v>1742</v>
      </c>
      <c r="S116" s="5">
        <f t="shared" si="24"/>
        <v>1</v>
      </c>
      <c r="T116" s="7">
        <f t="shared" si="25"/>
        <v>1742</v>
      </c>
    </row>
    <row r="117" spans="1:20">
      <c r="A117" s="23" t="s">
        <v>133</v>
      </c>
      <c r="B117" s="35" t="s">
        <v>134</v>
      </c>
      <c r="C117" s="36">
        <v>1766</v>
      </c>
      <c r="D117" s="6"/>
      <c r="E117" s="113">
        <v>74875867</v>
      </c>
      <c r="F117" s="116">
        <f t="shared" si="30"/>
        <v>42398.565685164212</v>
      </c>
      <c r="G117" s="117">
        <v>28819505</v>
      </c>
      <c r="H117" s="117">
        <f t="shared" si="31"/>
        <v>16319.085503963759</v>
      </c>
      <c r="I117" s="7"/>
      <c r="J117" s="10">
        <v>4.7470000000000008</v>
      </c>
      <c r="K117" s="117">
        <v>136806</v>
      </c>
      <c r="L117" s="120">
        <f t="shared" si="37"/>
        <v>77.466591166477912</v>
      </c>
      <c r="M117" s="122">
        <f t="shared" si="33"/>
        <v>288195.05</v>
      </c>
      <c r="N117" s="116">
        <f t="shared" si="34"/>
        <v>151389.04999999999</v>
      </c>
      <c r="O117" s="123">
        <f t="shared" si="35"/>
        <v>85.724263873159671</v>
      </c>
      <c r="P117" s="5"/>
      <c r="Q117" s="5">
        <f t="shared" si="22"/>
        <v>1</v>
      </c>
      <c r="R117" s="7">
        <f t="shared" si="23"/>
        <v>1766</v>
      </c>
      <c r="S117" s="5">
        <f t="shared" si="24"/>
        <v>1</v>
      </c>
      <c r="T117" s="7">
        <f t="shared" si="25"/>
        <v>1766</v>
      </c>
    </row>
    <row r="118" spans="1:20">
      <c r="A118" s="23" t="s">
        <v>135</v>
      </c>
      <c r="B118" s="35" t="s">
        <v>134</v>
      </c>
      <c r="C118" s="36">
        <v>825</v>
      </c>
      <c r="D118" s="6"/>
      <c r="E118" s="113">
        <v>15268696</v>
      </c>
      <c r="F118" s="116">
        <f t="shared" si="30"/>
        <v>18507.510303030303</v>
      </c>
      <c r="G118" s="117">
        <v>9064290</v>
      </c>
      <c r="H118" s="117">
        <f t="shared" si="31"/>
        <v>10987.018181818183</v>
      </c>
      <c r="I118" s="7"/>
      <c r="J118" s="10">
        <v>1.4382000000000001</v>
      </c>
      <c r="K118" s="117">
        <v>13036</v>
      </c>
      <c r="L118" s="120">
        <f t="shared" si="37"/>
        <v>15.801212121212121</v>
      </c>
      <c r="M118" s="122">
        <f t="shared" si="33"/>
        <v>90642.900000000009</v>
      </c>
      <c r="N118" s="116">
        <f t="shared" si="34"/>
        <v>77606.900000000009</v>
      </c>
      <c r="O118" s="123">
        <f t="shared" si="35"/>
        <v>94.068969696969702</v>
      </c>
      <c r="P118" s="5"/>
      <c r="Q118" s="5">
        <f t="shared" si="22"/>
        <v>1</v>
      </c>
      <c r="R118" s="7">
        <f t="shared" si="23"/>
        <v>825</v>
      </c>
      <c r="S118" s="5">
        <f t="shared" si="24"/>
        <v>1</v>
      </c>
      <c r="T118" s="7">
        <f t="shared" si="25"/>
        <v>825</v>
      </c>
    </row>
    <row r="119" spans="1:20">
      <c r="A119" s="23" t="s">
        <v>136</v>
      </c>
      <c r="B119" s="35" t="s">
        <v>134</v>
      </c>
      <c r="C119" s="36">
        <v>812</v>
      </c>
      <c r="D119" s="6"/>
      <c r="E119" s="113">
        <v>19910737</v>
      </c>
      <c r="F119" s="116">
        <f t="shared" si="30"/>
        <v>24520.612068965518</v>
      </c>
      <c r="G119" s="117">
        <v>9837441</v>
      </c>
      <c r="H119" s="117">
        <f t="shared" si="31"/>
        <v>12115.07512315271</v>
      </c>
      <c r="I119" s="7"/>
      <c r="J119" s="10">
        <v>3.8</v>
      </c>
      <c r="K119" s="117">
        <v>37382</v>
      </c>
      <c r="L119" s="120">
        <f t="shared" si="37"/>
        <v>46.036945812807879</v>
      </c>
      <c r="M119" s="122">
        <f t="shared" si="33"/>
        <v>98374.41</v>
      </c>
      <c r="N119" s="116">
        <f t="shared" si="34"/>
        <v>60992.41</v>
      </c>
      <c r="O119" s="123">
        <f t="shared" si="35"/>
        <v>75.11380541871921</v>
      </c>
      <c r="P119" s="5"/>
      <c r="Q119" s="5">
        <f t="shared" si="22"/>
        <v>1</v>
      </c>
      <c r="R119" s="7">
        <f t="shared" si="23"/>
        <v>812</v>
      </c>
      <c r="S119" s="5">
        <f t="shared" si="24"/>
        <v>1</v>
      </c>
      <c r="T119" s="7">
        <f t="shared" si="25"/>
        <v>812</v>
      </c>
    </row>
    <row r="120" spans="1:20">
      <c r="A120" s="23" t="s">
        <v>137</v>
      </c>
      <c r="B120" s="35" t="s">
        <v>138</v>
      </c>
      <c r="C120" s="36">
        <v>2922</v>
      </c>
      <c r="D120" s="6"/>
      <c r="E120" s="113">
        <v>42877561</v>
      </c>
      <c r="F120" s="116">
        <f t="shared" si="30"/>
        <v>14674.045516769336</v>
      </c>
      <c r="G120" s="117">
        <v>19411409</v>
      </c>
      <c r="H120" s="117">
        <f t="shared" si="31"/>
        <v>6643.1926762491448</v>
      </c>
      <c r="I120" s="7"/>
      <c r="J120" s="10">
        <v>6</v>
      </c>
      <c r="K120" s="117">
        <v>116468</v>
      </c>
      <c r="L120" s="120">
        <f t="shared" si="37"/>
        <v>39.8590006844627</v>
      </c>
      <c r="M120" s="122">
        <f t="shared" si="33"/>
        <v>194114.09</v>
      </c>
      <c r="N120" s="116">
        <f t="shared" si="34"/>
        <v>77646.09</v>
      </c>
      <c r="O120" s="123">
        <f t="shared" si="35"/>
        <v>26.572926078028747</v>
      </c>
      <c r="P120" s="5"/>
      <c r="Q120" s="5">
        <f t="shared" si="22"/>
        <v>1</v>
      </c>
      <c r="R120" s="7">
        <f t="shared" si="23"/>
        <v>2922</v>
      </c>
      <c r="S120" s="5">
        <f t="shared" si="24"/>
        <v>1</v>
      </c>
      <c r="T120" s="7">
        <f t="shared" si="25"/>
        <v>2922</v>
      </c>
    </row>
    <row r="121" spans="1:20">
      <c r="A121" s="23" t="s">
        <v>139</v>
      </c>
      <c r="B121" s="35" t="s">
        <v>138</v>
      </c>
      <c r="C121" s="36">
        <v>4377</v>
      </c>
      <c r="D121" s="6"/>
      <c r="E121" s="113">
        <v>142835686</v>
      </c>
      <c r="F121" s="116">
        <f t="shared" si="30"/>
        <v>32633.238748000913</v>
      </c>
      <c r="G121" s="117">
        <v>66927840</v>
      </c>
      <c r="H121" s="117">
        <f t="shared" si="31"/>
        <v>15290.801919122687</v>
      </c>
      <c r="I121" s="7"/>
      <c r="J121" s="10">
        <v>5.0199999999999996</v>
      </c>
      <c r="K121" s="117">
        <v>335977</v>
      </c>
      <c r="L121" s="120">
        <f t="shared" si="37"/>
        <v>76.759652730180491</v>
      </c>
      <c r="M121" s="122">
        <f t="shared" si="33"/>
        <v>669278.4</v>
      </c>
      <c r="N121" s="116">
        <f t="shared" si="34"/>
        <v>333301.40000000002</v>
      </c>
      <c r="O121" s="123">
        <f t="shared" si="35"/>
        <v>76.148366461046379</v>
      </c>
      <c r="P121" s="5"/>
      <c r="Q121" s="5">
        <f t="shared" si="22"/>
        <v>1</v>
      </c>
      <c r="R121" s="7">
        <f t="shared" si="23"/>
        <v>4377</v>
      </c>
      <c r="S121" s="5">
        <f t="shared" si="24"/>
        <v>1</v>
      </c>
      <c r="T121" s="7">
        <f t="shared" si="25"/>
        <v>4377</v>
      </c>
    </row>
    <row r="122" spans="1:20">
      <c r="A122" s="23" t="s">
        <v>140</v>
      </c>
      <c r="B122" s="35" t="s">
        <v>138</v>
      </c>
      <c r="C122" s="36">
        <v>1607</v>
      </c>
      <c r="D122" s="6"/>
      <c r="E122" s="113">
        <v>36328868</v>
      </c>
      <c r="F122" s="116">
        <f t="shared" si="30"/>
        <v>22606.638456751713</v>
      </c>
      <c r="G122" s="117">
        <v>15984589</v>
      </c>
      <c r="H122" s="117">
        <f t="shared" si="31"/>
        <v>9946.8506533914133</v>
      </c>
      <c r="I122" s="7"/>
      <c r="J122" s="10">
        <v>9.1120000000000001</v>
      </c>
      <c r="K122" s="117">
        <v>145651</v>
      </c>
      <c r="L122" s="120">
        <f t="shared" si="37"/>
        <v>90.635345364032361</v>
      </c>
      <c r="M122" s="122">
        <f t="shared" si="33"/>
        <v>159845.89000000001</v>
      </c>
      <c r="N122" s="116">
        <f t="shared" si="34"/>
        <v>14194.890000000014</v>
      </c>
      <c r="O122" s="123">
        <f t="shared" si="35"/>
        <v>8.8331611698817767</v>
      </c>
      <c r="P122" s="5"/>
      <c r="Q122" s="5">
        <f t="shared" si="22"/>
        <v>1</v>
      </c>
      <c r="R122" s="7">
        <f t="shared" si="23"/>
        <v>1607</v>
      </c>
      <c r="S122" s="5">
        <f t="shared" si="24"/>
        <v>1</v>
      </c>
      <c r="T122" s="7">
        <f t="shared" si="25"/>
        <v>1607</v>
      </c>
    </row>
    <row r="123" spans="1:20">
      <c r="A123" s="23" t="s">
        <v>141</v>
      </c>
      <c r="B123" s="35" t="s">
        <v>142</v>
      </c>
      <c r="C123" s="36">
        <v>6487</v>
      </c>
      <c r="D123" s="6"/>
      <c r="E123" s="113">
        <v>304563755</v>
      </c>
      <c r="F123" s="116">
        <f t="shared" si="30"/>
        <v>46949.862031755816</v>
      </c>
      <c r="G123" s="117">
        <v>166906385</v>
      </c>
      <c r="H123" s="117">
        <f t="shared" si="31"/>
        <v>25729.364112841067</v>
      </c>
      <c r="I123" s="7"/>
      <c r="J123" s="10">
        <v>5.6341000000000001</v>
      </c>
      <c r="K123" s="117">
        <v>940367</v>
      </c>
      <c r="L123" s="120">
        <f t="shared" si="37"/>
        <v>144.96176969323261</v>
      </c>
      <c r="M123" s="122">
        <f t="shared" si="33"/>
        <v>1669063.85</v>
      </c>
      <c r="N123" s="116">
        <f t="shared" si="34"/>
        <v>728696.85000000009</v>
      </c>
      <c r="O123" s="123">
        <f t="shared" si="35"/>
        <v>112.33187143517806</v>
      </c>
      <c r="P123" s="5"/>
      <c r="Q123" s="5">
        <f t="shared" si="22"/>
        <v>1</v>
      </c>
      <c r="R123" s="7">
        <f t="shared" si="23"/>
        <v>6487</v>
      </c>
      <c r="S123" s="5">
        <f t="shared" si="24"/>
        <v>1</v>
      </c>
      <c r="T123" s="7">
        <f t="shared" si="25"/>
        <v>6487</v>
      </c>
    </row>
    <row r="124" spans="1:20">
      <c r="A124" s="23" t="s">
        <v>558</v>
      </c>
      <c r="B124" s="35" t="s">
        <v>142</v>
      </c>
      <c r="C124" s="36">
        <v>4273</v>
      </c>
      <c r="D124" s="6"/>
      <c r="E124" s="113">
        <v>177819350</v>
      </c>
      <c r="F124" s="116">
        <f t="shared" si="30"/>
        <v>41614.638427334423</v>
      </c>
      <c r="G124" s="117">
        <v>112045270</v>
      </c>
      <c r="H124" s="117">
        <f t="shared" si="31"/>
        <v>26221.687339106014</v>
      </c>
      <c r="I124" s="7"/>
      <c r="J124" s="10">
        <v>3</v>
      </c>
      <c r="K124" s="117">
        <v>336135</v>
      </c>
      <c r="L124" s="120">
        <f t="shared" si="37"/>
        <v>78.664872454949688</v>
      </c>
      <c r="M124" s="122">
        <f t="shared" si="33"/>
        <v>1120452.7</v>
      </c>
      <c r="N124" s="116">
        <f t="shared" si="34"/>
        <v>784317.7</v>
      </c>
      <c r="O124" s="123">
        <f t="shared" si="35"/>
        <v>183.55200093611046</v>
      </c>
      <c r="P124" s="5"/>
      <c r="Q124" s="5">
        <f t="shared" si="22"/>
        <v>1</v>
      </c>
      <c r="R124" s="7">
        <f t="shared" si="23"/>
        <v>4273</v>
      </c>
      <c r="S124" s="5">
        <f t="shared" si="24"/>
        <v>1</v>
      </c>
      <c r="T124" s="7">
        <f t="shared" si="25"/>
        <v>4273</v>
      </c>
    </row>
    <row r="125" spans="1:20">
      <c r="A125" s="23" t="s">
        <v>143</v>
      </c>
      <c r="B125" s="35" t="s">
        <v>144</v>
      </c>
      <c r="C125" s="36">
        <v>7227</v>
      </c>
      <c r="D125" s="6"/>
      <c r="E125" s="113">
        <v>451173106</v>
      </c>
      <c r="F125" s="116">
        <f t="shared" si="30"/>
        <v>62428.82330150823</v>
      </c>
      <c r="G125" s="117">
        <v>239021702</v>
      </c>
      <c r="H125" s="117">
        <f t="shared" si="31"/>
        <v>33073.433236474331</v>
      </c>
      <c r="I125" s="7"/>
      <c r="J125" s="10">
        <v>8</v>
      </c>
      <c r="K125" s="117">
        <v>1912173</v>
      </c>
      <c r="L125" s="120">
        <f t="shared" si="37"/>
        <v>264.5873806558738</v>
      </c>
      <c r="M125" s="122">
        <f t="shared" si="33"/>
        <v>2390217.02</v>
      </c>
      <c r="N125" s="116">
        <f t="shared" si="34"/>
        <v>478044.02</v>
      </c>
      <c r="O125" s="123">
        <f t="shared" si="35"/>
        <v>66.146951708869523</v>
      </c>
      <c r="P125" s="5"/>
      <c r="Q125" s="5">
        <f t="shared" si="22"/>
        <v>1</v>
      </c>
      <c r="R125" s="7">
        <f t="shared" si="23"/>
        <v>7227</v>
      </c>
      <c r="S125" s="5">
        <f t="shared" si="24"/>
        <v>1</v>
      </c>
      <c r="T125" s="7">
        <f t="shared" si="25"/>
        <v>7227</v>
      </c>
    </row>
    <row r="126" spans="1:20">
      <c r="A126" s="23" t="s">
        <v>145</v>
      </c>
      <c r="B126" s="35" t="s">
        <v>144</v>
      </c>
      <c r="C126" s="36">
        <v>12</v>
      </c>
      <c r="D126" s="6"/>
      <c r="E126" s="113">
        <v>19514980</v>
      </c>
      <c r="F126" s="116">
        <f t="shared" si="30"/>
        <v>1626248.3333333333</v>
      </c>
      <c r="G126" s="117">
        <v>12624756</v>
      </c>
      <c r="H126" s="117">
        <f t="shared" si="31"/>
        <v>1052063</v>
      </c>
      <c r="I126" s="7"/>
      <c r="J126" s="10">
        <v>1.1499999999999999</v>
      </c>
      <c r="K126" s="117">
        <v>14518</v>
      </c>
      <c r="L126" s="120">
        <f t="shared" si="37"/>
        <v>1209.8333333333333</v>
      </c>
      <c r="M126" s="122">
        <f t="shared" si="33"/>
        <v>126247.56</v>
      </c>
      <c r="N126" s="116">
        <f t="shared" si="34"/>
        <v>111729.56</v>
      </c>
      <c r="O126" s="123">
        <f t="shared" si="35"/>
        <v>9310.7966666666671</v>
      </c>
      <c r="P126" s="5"/>
      <c r="Q126" s="5">
        <f t="shared" si="22"/>
        <v>1</v>
      </c>
      <c r="R126" s="7">
        <f t="shared" si="23"/>
        <v>12</v>
      </c>
      <c r="S126" s="5">
        <f t="shared" si="24"/>
        <v>1</v>
      </c>
      <c r="T126" s="7">
        <f t="shared" si="25"/>
        <v>12</v>
      </c>
    </row>
    <row r="127" spans="1:20">
      <c r="A127" s="23" t="s">
        <v>146</v>
      </c>
      <c r="B127" s="35" t="s">
        <v>147</v>
      </c>
      <c r="C127" s="36">
        <v>8540</v>
      </c>
      <c r="D127" s="6"/>
      <c r="E127" s="113">
        <v>243549632</v>
      </c>
      <c r="F127" s="116">
        <f t="shared" si="30"/>
        <v>28518.692271662763</v>
      </c>
      <c r="G127" s="117">
        <v>152185195</v>
      </c>
      <c r="H127" s="117">
        <f t="shared" si="31"/>
        <v>17820.280444964872</v>
      </c>
      <c r="I127" s="7"/>
      <c r="J127" s="10">
        <v>7.75</v>
      </c>
      <c r="K127" s="117">
        <v>1179435</v>
      </c>
      <c r="L127" s="120">
        <f t="shared" si="37"/>
        <v>138.10714285714286</v>
      </c>
      <c r="M127" s="122">
        <f t="shared" si="33"/>
        <v>1521851.95</v>
      </c>
      <c r="N127" s="116">
        <f t="shared" si="34"/>
        <v>342416.94999999995</v>
      </c>
      <c r="O127" s="123">
        <f t="shared" si="35"/>
        <v>40.095661592505849</v>
      </c>
      <c r="P127" s="5"/>
      <c r="Q127" s="5">
        <f t="shared" si="22"/>
        <v>1</v>
      </c>
      <c r="R127" s="7">
        <f t="shared" si="23"/>
        <v>8540</v>
      </c>
      <c r="S127" s="5">
        <f t="shared" si="24"/>
        <v>1</v>
      </c>
      <c r="T127" s="7">
        <f t="shared" si="25"/>
        <v>8540</v>
      </c>
    </row>
    <row r="128" spans="1:20">
      <c r="A128" s="23" t="s">
        <v>148</v>
      </c>
      <c r="B128" s="35" t="s">
        <v>147</v>
      </c>
      <c r="C128" s="36">
        <v>1661</v>
      </c>
      <c r="D128" s="6"/>
      <c r="E128" s="113">
        <v>111879392</v>
      </c>
      <c r="F128" s="116">
        <f t="shared" si="30"/>
        <v>67356.647802528591</v>
      </c>
      <c r="G128" s="117">
        <v>75994129</v>
      </c>
      <c r="H128" s="117">
        <f t="shared" si="31"/>
        <v>45752.034316676698</v>
      </c>
      <c r="I128" s="7"/>
      <c r="J128" s="10">
        <v>5.3</v>
      </c>
      <c r="K128" s="117">
        <v>402768</v>
      </c>
      <c r="L128" s="120">
        <f t="shared" si="37"/>
        <v>242.48524984948827</v>
      </c>
      <c r="M128" s="122">
        <f t="shared" si="33"/>
        <v>759941.29</v>
      </c>
      <c r="N128" s="116">
        <f t="shared" si="34"/>
        <v>357173.29000000004</v>
      </c>
      <c r="O128" s="123">
        <f t="shared" si="35"/>
        <v>215.03509331727878</v>
      </c>
      <c r="P128" s="5"/>
      <c r="Q128" s="5">
        <f t="shared" si="22"/>
        <v>1</v>
      </c>
      <c r="R128" s="7">
        <f t="shared" si="23"/>
        <v>1661</v>
      </c>
      <c r="S128" s="5">
        <f t="shared" si="24"/>
        <v>1</v>
      </c>
      <c r="T128" s="7">
        <f t="shared" si="25"/>
        <v>1661</v>
      </c>
    </row>
    <row r="129" spans="1:20">
      <c r="A129" s="23" t="s">
        <v>149</v>
      </c>
      <c r="B129" s="35" t="s">
        <v>147</v>
      </c>
      <c r="C129" s="36">
        <v>9723</v>
      </c>
      <c r="D129" s="6"/>
      <c r="E129" s="113">
        <v>464716479</v>
      </c>
      <c r="F129" s="116">
        <f t="shared" si="30"/>
        <v>47795.585621721693</v>
      </c>
      <c r="G129" s="117">
        <v>331677118</v>
      </c>
      <c r="H129" s="117">
        <f t="shared" si="31"/>
        <v>34112.631698035584</v>
      </c>
      <c r="I129" s="7"/>
      <c r="J129" s="10">
        <v>6.5</v>
      </c>
      <c r="K129" s="117">
        <v>2155901</v>
      </c>
      <c r="L129" s="120">
        <f t="shared" si="37"/>
        <v>221.73207857657101</v>
      </c>
      <c r="M129" s="122">
        <f t="shared" si="33"/>
        <v>3316771.18</v>
      </c>
      <c r="N129" s="116">
        <f t="shared" si="34"/>
        <v>1160870.1800000002</v>
      </c>
      <c r="O129" s="123">
        <f t="shared" si="35"/>
        <v>119.39423840378485</v>
      </c>
      <c r="P129" s="5"/>
      <c r="Q129" s="5">
        <f t="shared" si="22"/>
        <v>1</v>
      </c>
      <c r="R129" s="7">
        <f t="shared" si="23"/>
        <v>9723</v>
      </c>
      <c r="S129" s="5">
        <f t="shared" si="24"/>
        <v>1</v>
      </c>
      <c r="T129" s="7">
        <f t="shared" si="25"/>
        <v>9723</v>
      </c>
    </row>
    <row r="130" spans="1:20">
      <c r="A130" s="23" t="s">
        <v>150</v>
      </c>
      <c r="B130" s="35" t="s">
        <v>151</v>
      </c>
      <c r="C130" s="36">
        <v>31282</v>
      </c>
      <c r="D130" s="6"/>
      <c r="E130" s="113">
        <v>1614800460</v>
      </c>
      <c r="F130" s="116">
        <f t="shared" si="30"/>
        <v>51620.755066811587</v>
      </c>
      <c r="G130" s="117">
        <v>1192844105</v>
      </c>
      <c r="H130" s="117">
        <f t="shared" si="31"/>
        <v>38131.964228629884</v>
      </c>
      <c r="I130" s="7"/>
      <c r="J130" s="10">
        <v>4.7</v>
      </c>
      <c r="K130" s="117">
        <v>5606367</v>
      </c>
      <c r="L130" s="120">
        <f t="shared" si="37"/>
        <v>179.22022249216803</v>
      </c>
      <c r="M130" s="122">
        <f t="shared" si="33"/>
        <v>11928441.050000001</v>
      </c>
      <c r="N130" s="116">
        <f t="shared" si="34"/>
        <v>6322074.0500000007</v>
      </c>
      <c r="O130" s="123">
        <f t="shared" si="35"/>
        <v>202.09941979413082</v>
      </c>
      <c r="P130" s="5"/>
      <c r="Q130" s="5">
        <f t="shared" si="22"/>
        <v>1</v>
      </c>
      <c r="R130" s="7">
        <f t="shared" si="23"/>
        <v>31282</v>
      </c>
      <c r="S130" s="5">
        <f t="shared" si="24"/>
        <v>1</v>
      </c>
      <c r="T130" s="7">
        <f t="shared" si="25"/>
        <v>31282</v>
      </c>
    </row>
    <row r="131" spans="1:20">
      <c r="A131" s="23" t="s">
        <v>152</v>
      </c>
      <c r="B131" s="35" t="s">
        <v>151</v>
      </c>
      <c r="C131" s="36">
        <v>308005</v>
      </c>
      <c r="D131" s="6"/>
      <c r="E131" s="113">
        <v>23753438493</v>
      </c>
      <c r="F131" s="116">
        <f t="shared" si="30"/>
        <v>77120.301595753321</v>
      </c>
      <c r="G131" s="117">
        <v>15652109697</v>
      </c>
      <c r="H131" s="117">
        <f t="shared" si="31"/>
        <v>50817.713014399116</v>
      </c>
      <c r="I131" s="7"/>
      <c r="J131" s="10">
        <v>6.5390000000000006</v>
      </c>
      <c r="K131" s="117">
        <v>102349145</v>
      </c>
      <c r="L131" s="120">
        <f t="shared" si="37"/>
        <v>332.29702439895459</v>
      </c>
      <c r="M131" s="122">
        <f t="shared" si="33"/>
        <v>156521096.97</v>
      </c>
      <c r="N131" s="116">
        <f t="shared" si="34"/>
        <v>54171951.969999999</v>
      </c>
      <c r="O131" s="123">
        <f t="shared" si="35"/>
        <v>175.88010574503662</v>
      </c>
      <c r="P131" s="5"/>
      <c r="Q131" s="5">
        <f t="shared" si="22"/>
        <v>1</v>
      </c>
      <c r="R131" s="7">
        <f t="shared" si="23"/>
        <v>308005</v>
      </c>
      <c r="S131" s="5">
        <f t="shared" si="24"/>
        <v>1</v>
      </c>
      <c r="T131" s="7">
        <f t="shared" si="25"/>
        <v>308005</v>
      </c>
    </row>
    <row r="132" spans="1:20">
      <c r="A132" s="23" t="s">
        <v>153</v>
      </c>
      <c r="B132" s="35" t="s">
        <v>151</v>
      </c>
      <c r="C132" s="36">
        <v>21083</v>
      </c>
      <c r="D132" s="6"/>
      <c r="E132" s="113">
        <v>1316907766</v>
      </c>
      <c r="F132" s="116">
        <f t="shared" si="30"/>
        <v>62463.015984442442</v>
      </c>
      <c r="G132" s="117">
        <v>1024870504</v>
      </c>
      <c r="H132" s="117">
        <f t="shared" si="31"/>
        <v>48611.227244699519</v>
      </c>
      <c r="I132" s="7"/>
      <c r="J132" s="10">
        <v>4.91</v>
      </c>
      <c r="K132" s="117">
        <v>5032114</v>
      </c>
      <c r="L132" s="120">
        <f t="shared" si="37"/>
        <v>238.68111748802352</v>
      </c>
      <c r="M132" s="122">
        <f t="shared" si="33"/>
        <v>10248705.040000001</v>
      </c>
      <c r="N132" s="116">
        <f t="shared" si="34"/>
        <v>5216591.040000001</v>
      </c>
      <c r="O132" s="123">
        <f t="shared" si="35"/>
        <v>247.43115495897172</v>
      </c>
      <c r="P132" s="5"/>
      <c r="Q132" s="5">
        <f t="shared" si="22"/>
        <v>1</v>
      </c>
      <c r="R132" s="7">
        <f t="shared" si="23"/>
        <v>21083</v>
      </c>
      <c r="S132" s="5">
        <f t="shared" si="24"/>
        <v>1</v>
      </c>
      <c r="T132" s="7">
        <f t="shared" si="25"/>
        <v>21083</v>
      </c>
    </row>
    <row r="133" spans="1:20">
      <c r="A133" s="23" t="s">
        <v>154</v>
      </c>
      <c r="B133" s="35" t="s">
        <v>155</v>
      </c>
      <c r="C133" s="36">
        <v>2787</v>
      </c>
      <c r="D133" s="6"/>
      <c r="E133" s="113">
        <v>95841385</v>
      </c>
      <c r="F133" s="116">
        <f t="shared" si="30"/>
        <v>34388.728022963762</v>
      </c>
      <c r="G133" s="117">
        <v>55821507</v>
      </c>
      <c r="H133" s="117">
        <f t="shared" si="31"/>
        <v>20029.245425188376</v>
      </c>
      <c r="I133" s="98" t="s">
        <v>528</v>
      </c>
      <c r="J133" s="10"/>
      <c r="K133" s="117"/>
      <c r="L133" s="120"/>
      <c r="M133" s="122">
        <f t="shared" si="33"/>
        <v>558215.07000000007</v>
      </c>
      <c r="N133" s="116">
        <f t="shared" si="34"/>
        <v>558215.07000000007</v>
      </c>
      <c r="O133" s="123">
        <f t="shared" si="35"/>
        <v>200.29245425188378</v>
      </c>
      <c r="P133" s="5"/>
      <c r="Q133" s="5">
        <f t="shared" si="22"/>
        <v>1</v>
      </c>
      <c r="R133" s="7">
        <f t="shared" si="23"/>
        <v>2787</v>
      </c>
      <c r="S133" s="5">
        <f t="shared" si="24"/>
        <v>0</v>
      </c>
      <c r="T133" s="7">
        <f t="shared" si="25"/>
        <v>0</v>
      </c>
    </row>
    <row r="134" spans="1:20">
      <c r="A134" s="23" t="s">
        <v>156</v>
      </c>
      <c r="B134" s="35" t="s">
        <v>155</v>
      </c>
      <c r="C134" s="36">
        <v>356</v>
      </c>
      <c r="D134" s="6"/>
      <c r="E134" s="113">
        <v>6669601</v>
      </c>
      <c r="F134" s="116">
        <f t="shared" si="30"/>
        <v>18734.834269662922</v>
      </c>
      <c r="G134" s="117">
        <v>3152672</v>
      </c>
      <c r="H134" s="117">
        <f t="shared" si="31"/>
        <v>8855.8202247191002</v>
      </c>
      <c r="I134" s="7"/>
      <c r="J134" s="10">
        <v>0.76</v>
      </c>
      <c r="K134" s="117">
        <v>2396</v>
      </c>
      <c r="L134" s="120">
        <f>(K134/C134)</f>
        <v>6.7303370786516856</v>
      </c>
      <c r="M134" s="122">
        <f t="shared" si="33"/>
        <v>31526.720000000001</v>
      </c>
      <c r="N134" s="116">
        <f t="shared" si="34"/>
        <v>29130.720000000001</v>
      </c>
      <c r="O134" s="123">
        <f t="shared" si="35"/>
        <v>81.827865168539333</v>
      </c>
      <c r="P134" s="5"/>
      <c r="Q134" s="5">
        <f t="shared" si="22"/>
        <v>1</v>
      </c>
      <c r="R134" s="7">
        <f t="shared" si="23"/>
        <v>356</v>
      </c>
      <c r="S134" s="5">
        <f t="shared" si="24"/>
        <v>1</v>
      </c>
      <c r="T134" s="7">
        <f t="shared" si="25"/>
        <v>356</v>
      </c>
    </row>
    <row r="135" spans="1:20">
      <c r="A135" s="23" t="s">
        <v>157</v>
      </c>
      <c r="B135" s="35" t="s">
        <v>155</v>
      </c>
      <c r="C135" s="36">
        <v>213</v>
      </c>
      <c r="D135" s="6"/>
      <c r="E135" s="113">
        <v>2686512</v>
      </c>
      <c r="F135" s="116">
        <f t="shared" si="30"/>
        <v>12612.732394366198</v>
      </c>
      <c r="G135" s="117">
        <v>1045268</v>
      </c>
      <c r="H135" s="117">
        <f t="shared" si="31"/>
        <v>4907.3615023474176</v>
      </c>
      <c r="I135" s="7"/>
      <c r="J135" s="12">
        <v>1.79</v>
      </c>
      <c r="K135" s="117">
        <v>1871</v>
      </c>
      <c r="L135" s="120">
        <f>(K135/C135)</f>
        <v>8.784037558685446</v>
      </c>
      <c r="M135" s="122">
        <f t="shared" si="33"/>
        <v>10452.68</v>
      </c>
      <c r="N135" s="116">
        <f t="shared" si="34"/>
        <v>8581.68</v>
      </c>
      <c r="O135" s="123">
        <f t="shared" si="35"/>
        <v>40.289577464788735</v>
      </c>
      <c r="P135" s="5"/>
      <c r="Q135" s="5">
        <f t="shared" ref="Q135:Q198" si="38">IF(E135&gt;0,1,0)</f>
        <v>1</v>
      </c>
      <c r="R135" s="7">
        <f t="shared" ref="R135:R198" si="39">IF(E135&gt;0,C135,0)</f>
        <v>213</v>
      </c>
      <c r="S135" s="5">
        <f t="shared" ref="S135:S198" si="40">IF(J135&gt;0,1,0)</f>
        <v>1</v>
      </c>
      <c r="T135" s="7">
        <f t="shared" ref="T135:T198" si="41">IF(J135&gt;0,C135,0)</f>
        <v>213</v>
      </c>
    </row>
    <row r="136" spans="1:20">
      <c r="A136" s="23" t="s">
        <v>158</v>
      </c>
      <c r="B136" s="35" t="s">
        <v>155</v>
      </c>
      <c r="C136" s="36">
        <v>465</v>
      </c>
      <c r="D136" s="6"/>
      <c r="E136" s="113">
        <v>13917341</v>
      </c>
      <c r="F136" s="116">
        <f t="shared" si="30"/>
        <v>29929.765591397849</v>
      </c>
      <c r="G136" s="117">
        <v>7192079</v>
      </c>
      <c r="H136" s="117">
        <f t="shared" si="31"/>
        <v>15466.836559139785</v>
      </c>
      <c r="I136" s="98" t="s">
        <v>528</v>
      </c>
      <c r="J136" s="10"/>
      <c r="K136" s="117"/>
      <c r="L136" s="120"/>
      <c r="M136" s="122">
        <f t="shared" si="33"/>
        <v>71920.790000000008</v>
      </c>
      <c r="N136" s="116">
        <f t="shared" si="34"/>
        <v>71920.790000000008</v>
      </c>
      <c r="O136" s="123">
        <f t="shared" si="35"/>
        <v>154.66836559139787</v>
      </c>
      <c r="P136" s="5"/>
      <c r="Q136" s="5">
        <f t="shared" si="38"/>
        <v>1</v>
      </c>
      <c r="R136" s="7">
        <f t="shared" si="39"/>
        <v>465</v>
      </c>
      <c r="S136" s="5">
        <f t="shared" si="40"/>
        <v>0</v>
      </c>
      <c r="T136" s="7">
        <f t="shared" si="41"/>
        <v>0</v>
      </c>
    </row>
    <row r="137" spans="1:20">
      <c r="A137" s="23" t="s">
        <v>159</v>
      </c>
      <c r="B137" s="35" t="s">
        <v>155</v>
      </c>
      <c r="C137" s="36">
        <v>213</v>
      </c>
      <c r="D137" s="6"/>
      <c r="E137" s="113">
        <v>7282639</v>
      </c>
      <c r="F137" s="116">
        <f t="shared" si="30"/>
        <v>34190.793427230048</v>
      </c>
      <c r="G137" s="117">
        <v>2234133</v>
      </c>
      <c r="H137" s="117">
        <f t="shared" si="31"/>
        <v>10488.887323943662</v>
      </c>
      <c r="I137" s="98" t="s">
        <v>528</v>
      </c>
      <c r="J137" s="10"/>
      <c r="K137" s="117"/>
      <c r="L137" s="120"/>
      <c r="M137" s="122">
        <f t="shared" si="33"/>
        <v>22341.33</v>
      </c>
      <c r="N137" s="116">
        <f t="shared" si="34"/>
        <v>22341.33</v>
      </c>
      <c r="O137" s="123">
        <f t="shared" si="35"/>
        <v>104.88887323943663</v>
      </c>
      <c r="P137" s="5"/>
      <c r="Q137" s="5">
        <f t="shared" si="38"/>
        <v>1</v>
      </c>
      <c r="R137" s="7">
        <f t="shared" si="39"/>
        <v>213</v>
      </c>
      <c r="S137" s="5">
        <f t="shared" si="40"/>
        <v>0</v>
      </c>
      <c r="T137" s="7">
        <f t="shared" si="41"/>
        <v>0</v>
      </c>
    </row>
    <row r="138" spans="1:20">
      <c r="A138" s="23" t="s">
        <v>160</v>
      </c>
      <c r="B138" s="35" t="s">
        <v>161</v>
      </c>
      <c r="C138" s="36">
        <v>3901</v>
      </c>
      <c r="D138" s="6"/>
      <c r="E138" s="113">
        <v>65708770</v>
      </c>
      <c r="F138" s="116">
        <f t="shared" si="30"/>
        <v>16844.083568315815</v>
      </c>
      <c r="G138" s="117">
        <v>35710028</v>
      </c>
      <c r="H138" s="117">
        <f t="shared" si="31"/>
        <v>9154.0702384004107</v>
      </c>
      <c r="I138" s="7"/>
      <c r="J138" s="11">
        <v>5.75</v>
      </c>
      <c r="K138" s="117">
        <v>205332</v>
      </c>
      <c r="L138" s="120">
        <f t="shared" ref="L138:L143" si="42">(K138/C138)</f>
        <v>52.635734427069984</v>
      </c>
      <c r="M138" s="122">
        <f t="shared" si="33"/>
        <v>357100.28</v>
      </c>
      <c r="N138" s="116">
        <f t="shared" si="34"/>
        <v>151768.28000000003</v>
      </c>
      <c r="O138" s="123">
        <f t="shared" si="35"/>
        <v>38.904967956934129</v>
      </c>
      <c r="P138" s="5"/>
      <c r="Q138" s="5">
        <f t="shared" si="38"/>
        <v>1</v>
      </c>
      <c r="R138" s="7">
        <f t="shared" si="39"/>
        <v>3901</v>
      </c>
      <c r="S138" s="5">
        <f t="shared" si="40"/>
        <v>1</v>
      </c>
      <c r="T138" s="7">
        <f t="shared" si="41"/>
        <v>3901</v>
      </c>
    </row>
    <row r="139" spans="1:20">
      <c r="A139" s="23" t="s">
        <v>162</v>
      </c>
      <c r="B139" s="35" t="s">
        <v>161</v>
      </c>
      <c r="C139" s="36">
        <v>3521</v>
      </c>
      <c r="D139" s="6"/>
      <c r="E139" s="113">
        <v>1710403586</v>
      </c>
      <c r="F139" s="116">
        <f t="shared" si="30"/>
        <v>485772.10621982394</v>
      </c>
      <c r="G139" s="117">
        <v>1479150073</v>
      </c>
      <c r="H139" s="117">
        <f t="shared" si="31"/>
        <v>420093.74410678784</v>
      </c>
      <c r="I139" s="7"/>
      <c r="J139" s="11">
        <v>1.4284000000000001</v>
      </c>
      <c r="K139" s="117">
        <v>2112817</v>
      </c>
      <c r="L139" s="120">
        <f t="shared" si="42"/>
        <v>600.06163021868792</v>
      </c>
      <c r="M139" s="122">
        <f t="shared" si="33"/>
        <v>14791500.73</v>
      </c>
      <c r="N139" s="116">
        <f t="shared" si="34"/>
        <v>12678683.73</v>
      </c>
      <c r="O139" s="123">
        <f t="shared" si="35"/>
        <v>3600.8758108491907</v>
      </c>
      <c r="P139" s="5"/>
      <c r="Q139" s="5">
        <f t="shared" si="38"/>
        <v>1</v>
      </c>
      <c r="R139" s="7">
        <f t="shared" si="39"/>
        <v>3521</v>
      </c>
      <c r="S139" s="5">
        <f t="shared" si="40"/>
        <v>1</v>
      </c>
      <c r="T139" s="7">
        <f t="shared" si="41"/>
        <v>3521</v>
      </c>
    </row>
    <row r="140" spans="1:20">
      <c r="A140" s="23" t="s">
        <v>163</v>
      </c>
      <c r="B140" s="35" t="s">
        <v>161</v>
      </c>
      <c r="C140" s="36">
        <v>161</v>
      </c>
      <c r="D140" s="6"/>
      <c r="E140" s="113">
        <v>217781325</v>
      </c>
      <c r="F140" s="116">
        <f t="shared" si="30"/>
        <v>1352679.0372670807</v>
      </c>
      <c r="G140" s="117">
        <v>210871065</v>
      </c>
      <c r="H140" s="117">
        <f t="shared" si="31"/>
        <v>1309758.1677018635</v>
      </c>
      <c r="I140" s="7"/>
      <c r="J140" s="10">
        <v>1.3430000000000002</v>
      </c>
      <c r="K140" s="117">
        <v>283199</v>
      </c>
      <c r="L140" s="120">
        <f t="shared" si="42"/>
        <v>1759</v>
      </c>
      <c r="M140" s="122">
        <f t="shared" si="33"/>
        <v>2108710.65</v>
      </c>
      <c r="N140" s="116">
        <f t="shared" si="34"/>
        <v>1825511.65</v>
      </c>
      <c r="O140" s="123">
        <f t="shared" si="35"/>
        <v>11338.581677018634</v>
      </c>
      <c r="P140" s="5"/>
      <c r="Q140" s="5">
        <f t="shared" si="38"/>
        <v>1</v>
      </c>
      <c r="R140" s="7">
        <f t="shared" si="39"/>
        <v>161</v>
      </c>
      <c r="S140" s="5">
        <f t="shared" si="40"/>
        <v>1</v>
      </c>
      <c r="T140" s="7">
        <f t="shared" si="41"/>
        <v>161</v>
      </c>
    </row>
    <row r="141" spans="1:20">
      <c r="A141" s="23" t="s">
        <v>164</v>
      </c>
      <c r="B141" s="35" t="s">
        <v>161</v>
      </c>
      <c r="C141" s="36">
        <v>16796</v>
      </c>
      <c r="D141" s="6"/>
      <c r="E141" s="113">
        <v>800245054</v>
      </c>
      <c r="F141" s="116">
        <f t="shared" si="30"/>
        <v>47644.978209097404</v>
      </c>
      <c r="G141" s="117">
        <v>584427432</v>
      </c>
      <c r="H141" s="117">
        <f t="shared" si="31"/>
        <v>34795.631817099311</v>
      </c>
      <c r="I141" s="7"/>
      <c r="J141" s="10">
        <v>4.5904000000000007</v>
      </c>
      <c r="K141" s="117">
        <v>2682755</v>
      </c>
      <c r="L141" s="120">
        <f t="shared" si="42"/>
        <v>159.72582757799475</v>
      </c>
      <c r="M141" s="122">
        <f t="shared" si="33"/>
        <v>5844274.3200000003</v>
      </c>
      <c r="N141" s="116">
        <f t="shared" si="34"/>
        <v>3161519.3200000003</v>
      </c>
      <c r="O141" s="123">
        <f t="shared" si="35"/>
        <v>188.23049059299836</v>
      </c>
      <c r="P141" s="5"/>
      <c r="Q141" s="5">
        <f t="shared" si="38"/>
        <v>1</v>
      </c>
      <c r="R141" s="7">
        <f t="shared" si="39"/>
        <v>16796</v>
      </c>
      <c r="S141" s="5">
        <f t="shared" si="40"/>
        <v>1</v>
      </c>
      <c r="T141" s="7">
        <f t="shared" si="41"/>
        <v>16796</v>
      </c>
    </row>
    <row r="142" spans="1:20">
      <c r="A142" s="23" t="s">
        <v>165</v>
      </c>
      <c r="B142" s="35" t="s">
        <v>161</v>
      </c>
      <c r="C142" s="36">
        <v>17879</v>
      </c>
      <c r="D142" s="6"/>
      <c r="E142" s="113">
        <v>2029259297</v>
      </c>
      <c r="F142" s="116">
        <f t="shared" si="30"/>
        <v>113499.59712511886</v>
      </c>
      <c r="G142" s="117">
        <v>1567729391</v>
      </c>
      <c r="H142" s="117">
        <f t="shared" si="31"/>
        <v>87685.518820963145</v>
      </c>
      <c r="I142" s="7"/>
      <c r="J142" s="10">
        <v>2.1425000000000001</v>
      </c>
      <c r="K142" s="117">
        <v>3358860</v>
      </c>
      <c r="L142" s="120">
        <f t="shared" si="42"/>
        <v>187.86621175680966</v>
      </c>
      <c r="M142" s="122">
        <f t="shared" si="33"/>
        <v>15677293.91</v>
      </c>
      <c r="N142" s="116">
        <f t="shared" si="34"/>
        <v>12318433.91</v>
      </c>
      <c r="O142" s="123">
        <f t="shared" si="35"/>
        <v>688.9889764528217</v>
      </c>
      <c r="P142" s="5"/>
      <c r="Q142" s="5">
        <f t="shared" si="38"/>
        <v>1</v>
      </c>
      <c r="R142" s="7">
        <f t="shared" si="39"/>
        <v>17879</v>
      </c>
      <c r="S142" s="5">
        <f t="shared" si="40"/>
        <v>1</v>
      </c>
      <c r="T142" s="7">
        <f t="shared" si="41"/>
        <v>17879</v>
      </c>
    </row>
    <row r="143" spans="1:20">
      <c r="A143" s="23" t="s">
        <v>166</v>
      </c>
      <c r="B143" s="35" t="s">
        <v>167</v>
      </c>
      <c r="C143" s="36">
        <v>498</v>
      </c>
      <c r="D143" s="6"/>
      <c r="E143" s="113">
        <v>9252445</v>
      </c>
      <c r="F143" s="116">
        <f t="shared" si="30"/>
        <v>18579.206827309237</v>
      </c>
      <c r="G143" s="117">
        <v>4243102</v>
      </c>
      <c r="H143" s="117">
        <f t="shared" si="31"/>
        <v>8520.2851405622496</v>
      </c>
      <c r="I143" s="7"/>
      <c r="J143" s="10">
        <v>0.9930000000000001</v>
      </c>
      <c r="K143" s="117">
        <v>4213</v>
      </c>
      <c r="L143" s="120">
        <f t="shared" si="42"/>
        <v>8.4598393574297184</v>
      </c>
      <c r="M143" s="122">
        <f t="shared" si="33"/>
        <v>42431.020000000004</v>
      </c>
      <c r="N143" s="116">
        <f t="shared" si="34"/>
        <v>38218.020000000004</v>
      </c>
      <c r="O143" s="123">
        <f t="shared" si="35"/>
        <v>76.743012048192782</v>
      </c>
      <c r="P143" s="5"/>
      <c r="Q143" s="5">
        <f t="shared" si="38"/>
        <v>1</v>
      </c>
      <c r="R143" s="7">
        <f t="shared" si="39"/>
        <v>498</v>
      </c>
      <c r="S143" s="5">
        <f t="shared" si="40"/>
        <v>1</v>
      </c>
      <c r="T143" s="7">
        <f t="shared" si="41"/>
        <v>498</v>
      </c>
    </row>
    <row r="144" spans="1:20">
      <c r="A144" s="23" t="s">
        <v>168</v>
      </c>
      <c r="B144" s="35" t="s">
        <v>167</v>
      </c>
      <c r="C144" s="36">
        <v>114</v>
      </c>
      <c r="D144" s="6"/>
      <c r="E144" s="113">
        <v>1709269</v>
      </c>
      <c r="F144" s="116">
        <f t="shared" si="30"/>
        <v>14993.587719298246</v>
      </c>
      <c r="G144" s="117">
        <v>940578</v>
      </c>
      <c r="H144" s="117">
        <f t="shared" si="31"/>
        <v>8250.6842105263149</v>
      </c>
      <c r="I144" s="98" t="s">
        <v>528</v>
      </c>
      <c r="J144" s="10"/>
      <c r="K144" s="117"/>
      <c r="L144" s="120"/>
      <c r="M144" s="122">
        <f t="shared" si="33"/>
        <v>9405.7800000000007</v>
      </c>
      <c r="N144" s="116">
        <f t="shared" si="34"/>
        <v>9405.7800000000007</v>
      </c>
      <c r="O144" s="123">
        <f t="shared" si="35"/>
        <v>82.506842105263161</v>
      </c>
      <c r="P144" s="5"/>
      <c r="Q144" s="5">
        <f t="shared" si="38"/>
        <v>1</v>
      </c>
      <c r="R144" s="7">
        <f t="shared" si="39"/>
        <v>114</v>
      </c>
      <c r="S144" s="5">
        <f t="shared" si="40"/>
        <v>0</v>
      </c>
      <c r="T144" s="7">
        <f t="shared" si="41"/>
        <v>0</v>
      </c>
    </row>
    <row r="145" spans="1:20">
      <c r="A145" s="23" t="s">
        <v>169</v>
      </c>
      <c r="B145" s="35" t="s">
        <v>167</v>
      </c>
      <c r="C145" s="36">
        <v>218</v>
      </c>
      <c r="D145" s="6"/>
      <c r="E145" s="113">
        <v>5348405</v>
      </c>
      <c r="F145" s="116">
        <f t="shared" si="30"/>
        <v>24533.967889908257</v>
      </c>
      <c r="G145" s="117">
        <v>3015793</v>
      </c>
      <c r="H145" s="117">
        <f t="shared" si="31"/>
        <v>13833.912844036697</v>
      </c>
      <c r="I145" s="7"/>
      <c r="J145" s="10">
        <v>2</v>
      </c>
      <c r="K145" s="117">
        <v>6031</v>
      </c>
      <c r="L145" s="120">
        <f>(K145/C145)</f>
        <v>27.665137614678898</v>
      </c>
      <c r="M145" s="122">
        <f t="shared" si="33"/>
        <v>30157.93</v>
      </c>
      <c r="N145" s="116">
        <f t="shared" si="34"/>
        <v>24126.93</v>
      </c>
      <c r="O145" s="123">
        <f t="shared" si="35"/>
        <v>110.67399082568808</v>
      </c>
      <c r="P145" s="5"/>
      <c r="Q145" s="5">
        <f t="shared" si="38"/>
        <v>1</v>
      </c>
      <c r="R145" s="7">
        <f t="shared" si="39"/>
        <v>218</v>
      </c>
      <c r="S145" s="5">
        <f t="shared" si="40"/>
        <v>1</v>
      </c>
      <c r="T145" s="7">
        <f t="shared" si="41"/>
        <v>218</v>
      </c>
    </row>
    <row r="146" spans="1:20">
      <c r="A146" s="23" t="s">
        <v>170</v>
      </c>
      <c r="B146" s="35" t="s">
        <v>167</v>
      </c>
      <c r="C146" s="36">
        <v>869</v>
      </c>
      <c r="D146" s="6"/>
      <c r="E146" s="113">
        <v>21552314</v>
      </c>
      <c r="F146" s="116">
        <f t="shared" si="30"/>
        <v>24801.281933256618</v>
      </c>
      <c r="G146" s="117">
        <v>11635856</v>
      </c>
      <c r="H146" s="117">
        <f t="shared" si="31"/>
        <v>13389.937859608746</v>
      </c>
      <c r="I146" s="7"/>
      <c r="J146" s="12">
        <v>3</v>
      </c>
      <c r="K146" s="117">
        <v>34907</v>
      </c>
      <c r="L146" s="120">
        <f>(K146/C146)</f>
        <v>40.16915995397008</v>
      </c>
      <c r="M146" s="122">
        <f t="shared" si="33"/>
        <v>116358.56</v>
      </c>
      <c r="N146" s="116">
        <f t="shared" si="34"/>
        <v>81451.56</v>
      </c>
      <c r="O146" s="123">
        <f t="shared" si="35"/>
        <v>93.730218642117379</v>
      </c>
      <c r="P146" s="5"/>
      <c r="Q146" s="5">
        <f t="shared" si="38"/>
        <v>1</v>
      </c>
      <c r="R146" s="7">
        <f t="shared" si="39"/>
        <v>869</v>
      </c>
      <c r="S146" s="5">
        <f t="shared" si="40"/>
        <v>1</v>
      </c>
      <c r="T146" s="7">
        <f t="shared" si="41"/>
        <v>869</v>
      </c>
    </row>
    <row r="147" spans="1:20">
      <c r="A147" s="23" t="s">
        <v>171</v>
      </c>
      <c r="B147" s="35" t="s">
        <v>167</v>
      </c>
      <c r="C147" s="36">
        <v>2408</v>
      </c>
      <c r="D147" s="6"/>
      <c r="E147" s="113">
        <v>79136280</v>
      </c>
      <c r="F147" s="116">
        <f t="shared" si="30"/>
        <v>32863.903654485053</v>
      </c>
      <c r="G147" s="117">
        <v>43711162</v>
      </c>
      <c r="H147" s="117">
        <f t="shared" si="31"/>
        <v>18152.475913621263</v>
      </c>
      <c r="I147" s="7"/>
      <c r="J147" s="10">
        <v>4</v>
      </c>
      <c r="K147" s="117">
        <v>174844</v>
      </c>
      <c r="L147" s="120">
        <f>(K147/C147)</f>
        <v>72.60963455149502</v>
      </c>
      <c r="M147" s="122">
        <f t="shared" si="33"/>
        <v>437111.62</v>
      </c>
      <c r="N147" s="116">
        <f t="shared" si="34"/>
        <v>262267.62</v>
      </c>
      <c r="O147" s="123">
        <f t="shared" si="35"/>
        <v>108.9151245847176</v>
      </c>
      <c r="P147" s="5"/>
      <c r="Q147" s="5">
        <f t="shared" si="38"/>
        <v>1</v>
      </c>
      <c r="R147" s="7">
        <f t="shared" si="39"/>
        <v>2408</v>
      </c>
      <c r="S147" s="5">
        <f t="shared" si="40"/>
        <v>1</v>
      </c>
      <c r="T147" s="7">
        <f t="shared" si="41"/>
        <v>2408</v>
      </c>
    </row>
    <row r="148" spans="1:20">
      <c r="A148" s="23" t="s">
        <v>172</v>
      </c>
      <c r="B148" s="35" t="s">
        <v>167</v>
      </c>
      <c r="C148" s="36">
        <v>844</v>
      </c>
      <c r="D148" s="6"/>
      <c r="E148" s="113">
        <v>13405917</v>
      </c>
      <c r="F148" s="116">
        <f t="shared" si="30"/>
        <v>15883.787914691944</v>
      </c>
      <c r="G148" s="117">
        <v>6022976</v>
      </c>
      <c r="H148" s="117">
        <f t="shared" si="31"/>
        <v>7136.2274881516587</v>
      </c>
      <c r="I148" s="98" t="s">
        <v>528</v>
      </c>
      <c r="J148" s="10"/>
      <c r="K148" s="117"/>
      <c r="L148" s="120"/>
      <c r="M148" s="122">
        <f t="shared" si="33"/>
        <v>60229.760000000002</v>
      </c>
      <c r="N148" s="116">
        <f t="shared" si="34"/>
        <v>60229.760000000002</v>
      </c>
      <c r="O148" s="123">
        <f t="shared" si="35"/>
        <v>71.362274881516583</v>
      </c>
      <c r="P148" s="5"/>
      <c r="Q148" s="5">
        <f t="shared" si="38"/>
        <v>1</v>
      </c>
      <c r="R148" s="7">
        <f t="shared" si="39"/>
        <v>844</v>
      </c>
      <c r="S148" s="5">
        <f t="shared" si="40"/>
        <v>0</v>
      </c>
      <c r="T148" s="7">
        <f t="shared" si="41"/>
        <v>0</v>
      </c>
    </row>
    <row r="149" spans="1:20">
      <c r="A149" s="23" t="s">
        <v>173</v>
      </c>
      <c r="B149" s="35" t="s">
        <v>167</v>
      </c>
      <c r="C149" s="36">
        <v>735</v>
      </c>
      <c r="D149" s="6"/>
      <c r="E149" s="113">
        <v>18462952</v>
      </c>
      <c r="F149" s="116">
        <f t="shared" si="30"/>
        <v>25119.662585034013</v>
      </c>
      <c r="G149" s="117">
        <v>9271782</v>
      </c>
      <c r="H149" s="117">
        <f t="shared" si="31"/>
        <v>12614.669387755102</v>
      </c>
      <c r="I149" s="7"/>
      <c r="J149" s="10">
        <v>1</v>
      </c>
      <c r="K149" s="117">
        <v>9271</v>
      </c>
      <c r="L149" s="120">
        <f>(K149/C149)</f>
        <v>12.613605442176871</v>
      </c>
      <c r="M149" s="122">
        <f t="shared" si="33"/>
        <v>92717.82</v>
      </c>
      <c r="N149" s="116">
        <f t="shared" si="34"/>
        <v>83446.820000000007</v>
      </c>
      <c r="O149" s="123">
        <f t="shared" si="35"/>
        <v>113.53308843537415</v>
      </c>
      <c r="P149" s="5"/>
      <c r="Q149" s="5">
        <f t="shared" si="38"/>
        <v>1</v>
      </c>
      <c r="R149" s="7">
        <f t="shared" si="39"/>
        <v>735</v>
      </c>
      <c r="S149" s="5">
        <f t="shared" si="40"/>
        <v>1</v>
      </c>
      <c r="T149" s="7">
        <f t="shared" si="41"/>
        <v>735</v>
      </c>
    </row>
    <row r="150" spans="1:20">
      <c r="A150" s="23" t="s">
        <v>174</v>
      </c>
      <c r="B150" s="35" t="s">
        <v>167</v>
      </c>
      <c r="C150" s="36">
        <v>293</v>
      </c>
      <c r="D150" s="6"/>
      <c r="E150" s="113">
        <v>5327573</v>
      </c>
      <c r="F150" s="116">
        <f t="shared" si="30"/>
        <v>18182.843003412971</v>
      </c>
      <c r="G150" s="117">
        <v>2320728</v>
      </c>
      <c r="H150" s="117">
        <f t="shared" si="31"/>
        <v>7920.5733788395901</v>
      </c>
      <c r="I150" s="7"/>
      <c r="J150" s="11">
        <v>4</v>
      </c>
      <c r="K150" s="117">
        <v>9282</v>
      </c>
      <c r="L150" s="120">
        <f>(K150/C150)</f>
        <v>31.679180887372013</v>
      </c>
      <c r="M150" s="122">
        <f t="shared" si="33"/>
        <v>23207.279999999999</v>
      </c>
      <c r="N150" s="116">
        <f t="shared" si="34"/>
        <v>13925.279999999999</v>
      </c>
      <c r="O150" s="123">
        <f t="shared" si="35"/>
        <v>47.526552901023884</v>
      </c>
      <c r="P150" s="5"/>
      <c r="Q150" s="5">
        <f t="shared" si="38"/>
        <v>1</v>
      </c>
      <c r="R150" s="7">
        <f t="shared" si="39"/>
        <v>293</v>
      </c>
      <c r="S150" s="5">
        <f t="shared" si="40"/>
        <v>1</v>
      </c>
      <c r="T150" s="7">
        <f t="shared" si="41"/>
        <v>293</v>
      </c>
    </row>
    <row r="151" spans="1:20">
      <c r="A151" s="23" t="s">
        <v>175</v>
      </c>
      <c r="B151" s="35" t="s">
        <v>167</v>
      </c>
      <c r="C151" s="36">
        <v>1892</v>
      </c>
      <c r="D151" s="6"/>
      <c r="E151" s="113">
        <v>36011706</v>
      </c>
      <c r="F151" s="116">
        <f t="shared" si="30"/>
        <v>19033.671247357295</v>
      </c>
      <c r="G151" s="117">
        <v>8570430</v>
      </c>
      <c r="H151" s="117">
        <f t="shared" si="31"/>
        <v>4529.8255813953492</v>
      </c>
      <c r="I151" s="98" t="s">
        <v>528</v>
      </c>
      <c r="J151" s="10"/>
      <c r="K151" s="117"/>
      <c r="L151" s="120"/>
      <c r="M151" s="122">
        <f t="shared" si="33"/>
        <v>85704.3</v>
      </c>
      <c r="N151" s="116">
        <f t="shared" si="34"/>
        <v>85704.3</v>
      </c>
      <c r="O151" s="123">
        <f t="shared" si="35"/>
        <v>45.298255813953489</v>
      </c>
      <c r="P151" s="5"/>
      <c r="Q151" s="5">
        <f t="shared" si="38"/>
        <v>1</v>
      </c>
      <c r="R151" s="7">
        <f t="shared" si="39"/>
        <v>1892</v>
      </c>
      <c r="S151" s="5">
        <f t="shared" si="40"/>
        <v>0</v>
      </c>
      <c r="T151" s="7">
        <f t="shared" si="41"/>
        <v>0</v>
      </c>
    </row>
    <row r="152" spans="1:20">
      <c r="A152" s="23" t="s">
        <v>176</v>
      </c>
      <c r="B152" s="35" t="s">
        <v>167</v>
      </c>
      <c r="C152" s="36">
        <v>6355</v>
      </c>
      <c r="D152" s="6"/>
      <c r="E152" s="113">
        <v>247626735</v>
      </c>
      <c r="F152" s="116">
        <f t="shared" si="30"/>
        <v>38965.654602675058</v>
      </c>
      <c r="G152" s="117">
        <v>132766773</v>
      </c>
      <c r="H152" s="117">
        <f t="shared" si="31"/>
        <v>20891.703068450039</v>
      </c>
      <c r="I152" s="7"/>
      <c r="J152" s="10">
        <v>2.11</v>
      </c>
      <c r="K152" s="117">
        <v>280137</v>
      </c>
      <c r="L152" s="120">
        <f t="shared" ref="L152:L196" si="43">(K152/C152)</f>
        <v>44.081353265145552</v>
      </c>
      <c r="M152" s="122">
        <f t="shared" si="33"/>
        <v>1327667.73</v>
      </c>
      <c r="N152" s="116">
        <f t="shared" si="34"/>
        <v>1047530.73</v>
      </c>
      <c r="O152" s="123">
        <f t="shared" si="35"/>
        <v>164.83567741935482</v>
      </c>
      <c r="P152" s="5"/>
      <c r="Q152" s="5">
        <f t="shared" si="38"/>
        <v>1</v>
      </c>
      <c r="R152" s="7">
        <f t="shared" si="39"/>
        <v>6355</v>
      </c>
      <c r="S152" s="5">
        <f t="shared" si="40"/>
        <v>1</v>
      </c>
      <c r="T152" s="7">
        <f t="shared" si="41"/>
        <v>6355</v>
      </c>
    </row>
    <row r="153" spans="1:20">
      <c r="A153" s="23" t="s">
        <v>177</v>
      </c>
      <c r="B153" s="35" t="s">
        <v>167</v>
      </c>
      <c r="C153" s="36">
        <v>1923</v>
      </c>
      <c r="D153" s="6"/>
      <c r="E153" s="113">
        <v>44325298</v>
      </c>
      <c r="F153" s="116">
        <f t="shared" si="30"/>
        <v>23050.076963078522</v>
      </c>
      <c r="G153" s="117">
        <v>22195079</v>
      </c>
      <c r="H153" s="117">
        <f t="shared" si="31"/>
        <v>11541.902756110245</v>
      </c>
      <c r="I153" s="7"/>
      <c r="J153" s="11">
        <v>0.6110000000000001</v>
      </c>
      <c r="K153" s="117">
        <v>13561</v>
      </c>
      <c r="L153" s="120">
        <f t="shared" si="43"/>
        <v>7.0520020800832031</v>
      </c>
      <c r="M153" s="122">
        <f t="shared" si="33"/>
        <v>221950.79</v>
      </c>
      <c r="N153" s="116">
        <f t="shared" si="34"/>
        <v>208389.79</v>
      </c>
      <c r="O153" s="123">
        <f t="shared" si="35"/>
        <v>108.36702548101924</v>
      </c>
      <c r="P153" s="5"/>
      <c r="Q153" s="5">
        <f t="shared" si="38"/>
        <v>1</v>
      </c>
      <c r="R153" s="7">
        <f t="shared" si="39"/>
        <v>1923</v>
      </c>
      <c r="S153" s="5">
        <f t="shared" si="40"/>
        <v>1</v>
      </c>
      <c r="T153" s="7">
        <f t="shared" si="41"/>
        <v>1923</v>
      </c>
    </row>
    <row r="154" spans="1:20">
      <c r="A154" s="23" t="s">
        <v>178</v>
      </c>
      <c r="B154" s="35" t="s">
        <v>179</v>
      </c>
      <c r="C154" s="36">
        <v>2526</v>
      </c>
      <c r="D154" s="6"/>
      <c r="E154" s="113">
        <v>93113526</v>
      </c>
      <c r="F154" s="116">
        <f t="shared" si="30"/>
        <v>36862.045130641331</v>
      </c>
      <c r="G154" s="117">
        <v>55815621</v>
      </c>
      <c r="H154" s="117">
        <f t="shared" si="31"/>
        <v>22096.445368171022</v>
      </c>
      <c r="I154" s="7"/>
      <c r="J154" s="10">
        <v>7.75</v>
      </c>
      <c r="K154" s="117">
        <v>432571</v>
      </c>
      <c r="L154" s="120">
        <f t="shared" si="43"/>
        <v>171.24742676167855</v>
      </c>
      <c r="M154" s="122">
        <f t="shared" si="33"/>
        <v>558156.21</v>
      </c>
      <c r="N154" s="116">
        <f t="shared" si="34"/>
        <v>125585.20999999996</v>
      </c>
      <c r="O154" s="123">
        <f t="shared" si="35"/>
        <v>49.717026920031657</v>
      </c>
      <c r="P154" s="5"/>
      <c r="Q154" s="5">
        <f t="shared" si="38"/>
        <v>1</v>
      </c>
      <c r="R154" s="7">
        <f t="shared" si="39"/>
        <v>2526</v>
      </c>
      <c r="S154" s="5">
        <f t="shared" si="40"/>
        <v>1</v>
      </c>
      <c r="T154" s="7">
        <f t="shared" si="41"/>
        <v>2526</v>
      </c>
    </row>
    <row r="155" spans="1:20">
      <c r="A155" s="23" t="s">
        <v>180</v>
      </c>
      <c r="B155" s="35" t="s">
        <v>181</v>
      </c>
      <c r="C155" s="36">
        <v>1001</v>
      </c>
      <c r="D155" s="6"/>
      <c r="E155" s="113">
        <v>28620447</v>
      </c>
      <c r="F155" s="116">
        <f t="shared" si="30"/>
        <v>28591.855144855144</v>
      </c>
      <c r="G155" s="117">
        <v>13689267</v>
      </c>
      <c r="H155" s="117">
        <f t="shared" si="31"/>
        <v>13675.591408591408</v>
      </c>
      <c r="I155" s="7"/>
      <c r="J155" s="10">
        <v>2</v>
      </c>
      <c r="K155" s="117">
        <v>27378</v>
      </c>
      <c r="L155" s="120">
        <f t="shared" si="43"/>
        <v>27.350649350649352</v>
      </c>
      <c r="M155" s="122">
        <f t="shared" si="33"/>
        <v>136892.67000000001</v>
      </c>
      <c r="N155" s="116">
        <f t="shared" si="34"/>
        <v>109514.67000000001</v>
      </c>
      <c r="O155" s="123">
        <f t="shared" si="35"/>
        <v>109.40526473526475</v>
      </c>
      <c r="P155" s="5"/>
      <c r="Q155" s="5">
        <f t="shared" si="38"/>
        <v>1</v>
      </c>
      <c r="R155" s="7">
        <f t="shared" si="39"/>
        <v>1001</v>
      </c>
      <c r="S155" s="5">
        <f t="shared" si="40"/>
        <v>1</v>
      </c>
      <c r="T155" s="7">
        <f t="shared" si="41"/>
        <v>1001</v>
      </c>
    </row>
    <row r="156" spans="1:20">
      <c r="A156" s="23" t="s">
        <v>182</v>
      </c>
      <c r="B156" s="35" t="s">
        <v>183</v>
      </c>
      <c r="C156" s="36">
        <v>1305</v>
      </c>
      <c r="D156" s="6"/>
      <c r="E156" s="113">
        <v>33464092</v>
      </c>
      <c r="F156" s="116">
        <f t="shared" si="30"/>
        <v>25642.982375478929</v>
      </c>
      <c r="G156" s="117">
        <v>22313219</v>
      </c>
      <c r="H156" s="117">
        <f t="shared" si="31"/>
        <v>17098.252107279692</v>
      </c>
      <c r="I156" s="7"/>
      <c r="J156" s="10">
        <v>2.35</v>
      </c>
      <c r="K156" s="117">
        <v>52436</v>
      </c>
      <c r="L156" s="120">
        <f t="shared" si="43"/>
        <v>40.180842911877392</v>
      </c>
      <c r="M156" s="122">
        <f t="shared" si="33"/>
        <v>223132.19</v>
      </c>
      <c r="N156" s="116">
        <f t="shared" si="34"/>
        <v>170696.19</v>
      </c>
      <c r="O156" s="123">
        <f t="shared" si="35"/>
        <v>130.80167816091955</v>
      </c>
      <c r="P156" s="5"/>
      <c r="Q156" s="5">
        <f t="shared" si="38"/>
        <v>1</v>
      </c>
      <c r="R156" s="7">
        <f t="shared" si="39"/>
        <v>1305</v>
      </c>
      <c r="S156" s="5">
        <f t="shared" si="40"/>
        <v>1</v>
      </c>
      <c r="T156" s="7">
        <f t="shared" si="41"/>
        <v>1305</v>
      </c>
    </row>
    <row r="157" spans="1:20">
      <c r="A157" s="23" t="s">
        <v>184</v>
      </c>
      <c r="B157" s="35" t="s">
        <v>183</v>
      </c>
      <c r="C157" s="36">
        <v>10571</v>
      </c>
      <c r="D157" s="6"/>
      <c r="E157" s="113">
        <v>699449565</v>
      </c>
      <c r="F157" s="116">
        <f t="shared" si="30"/>
        <v>66166.830479614044</v>
      </c>
      <c r="G157" s="117">
        <v>571227645</v>
      </c>
      <c r="H157" s="117">
        <f t="shared" si="31"/>
        <v>54037.238198845902</v>
      </c>
      <c r="I157" s="7"/>
      <c r="J157" s="10">
        <v>3.7290000000000001</v>
      </c>
      <c r="K157" s="117">
        <v>2130107</v>
      </c>
      <c r="L157" s="120">
        <f t="shared" si="43"/>
        <v>201.50477722069814</v>
      </c>
      <c r="M157" s="122">
        <f t="shared" si="33"/>
        <v>5712276.4500000002</v>
      </c>
      <c r="N157" s="116">
        <f t="shared" si="34"/>
        <v>3582169.45</v>
      </c>
      <c r="O157" s="123">
        <f t="shared" si="35"/>
        <v>338.86760476776089</v>
      </c>
      <c r="P157" s="5"/>
      <c r="Q157" s="5">
        <f t="shared" si="38"/>
        <v>1</v>
      </c>
      <c r="R157" s="7">
        <f t="shared" si="39"/>
        <v>10571</v>
      </c>
      <c r="S157" s="5">
        <f t="shared" si="40"/>
        <v>1</v>
      </c>
      <c r="T157" s="7">
        <f t="shared" si="41"/>
        <v>10571</v>
      </c>
    </row>
    <row r="158" spans="1:20">
      <c r="A158" s="23" t="s">
        <v>185</v>
      </c>
      <c r="B158" s="35" t="s">
        <v>183</v>
      </c>
      <c r="C158" s="36">
        <v>15283</v>
      </c>
      <c r="D158" s="6"/>
      <c r="E158" s="113">
        <v>656997453</v>
      </c>
      <c r="F158" s="116">
        <f t="shared" ref="F158:F221" si="44">(E158/C158)</f>
        <v>42988.77530589544</v>
      </c>
      <c r="G158" s="117">
        <v>464854851</v>
      </c>
      <c r="H158" s="117">
        <f t="shared" ref="H158:H221" si="45">(G158/C158)</f>
        <v>30416.466073414904</v>
      </c>
      <c r="I158" s="7"/>
      <c r="J158" s="10">
        <v>5.4874000000000001</v>
      </c>
      <c r="K158" s="117">
        <v>2550844</v>
      </c>
      <c r="L158" s="120">
        <f t="shared" si="43"/>
        <v>166.90728260158346</v>
      </c>
      <c r="M158" s="122">
        <f t="shared" si="33"/>
        <v>4648548.51</v>
      </c>
      <c r="N158" s="116">
        <f t="shared" si="34"/>
        <v>2097704.5099999998</v>
      </c>
      <c r="O158" s="123">
        <f t="shared" si="35"/>
        <v>137.25737813256558</v>
      </c>
      <c r="P158" s="5"/>
      <c r="Q158" s="5">
        <f t="shared" si="38"/>
        <v>1</v>
      </c>
      <c r="R158" s="7">
        <f t="shared" si="39"/>
        <v>15283</v>
      </c>
      <c r="S158" s="5">
        <f t="shared" si="40"/>
        <v>1</v>
      </c>
      <c r="T158" s="7">
        <f t="shared" si="41"/>
        <v>15283</v>
      </c>
    </row>
    <row r="159" spans="1:20">
      <c r="A159" s="23" t="s">
        <v>186</v>
      </c>
      <c r="B159" s="35" t="s">
        <v>183</v>
      </c>
      <c r="C159" s="36">
        <v>3193</v>
      </c>
      <c r="D159" s="6"/>
      <c r="E159" s="113">
        <v>114789206</v>
      </c>
      <c r="F159" s="116">
        <f t="shared" si="44"/>
        <v>35950.268086439086</v>
      </c>
      <c r="G159" s="117">
        <v>78919277</v>
      </c>
      <c r="H159" s="117">
        <f t="shared" si="45"/>
        <v>24716.341058565613</v>
      </c>
      <c r="I159" s="7"/>
      <c r="J159" s="10">
        <v>3.89</v>
      </c>
      <c r="K159" s="117">
        <v>306995</v>
      </c>
      <c r="L159" s="120">
        <f t="shared" si="43"/>
        <v>96.146257438145938</v>
      </c>
      <c r="M159" s="122">
        <f t="shared" ref="M159:M222" si="46">(G159*0.01)</f>
        <v>789192.77</v>
      </c>
      <c r="N159" s="116">
        <f t="shared" ref="N159:N222" si="47">(M159-K159)</f>
        <v>482197.77</v>
      </c>
      <c r="O159" s="123">
        <f t="shared" ref="O159:O222" si="48">(N159/C159)</f>
        <v>151.01715314751019</v>
      </c>
      <c r="P159" s="5"/>
      <c r="Q159" s="5">
        <f t="shared" si="38"/>
        <v>1</v>
      </c>
      <c r="R159" s="7">
        <f t="shared" si="39"/>
        <v>3193</v>
      </c>
      <c r="S159" s="5">
        <f t="shared" si="40"/>
        <v>1</v>
      </c>
      <c r="T159" s="7">
        <f t="shared" si="41"/>
        <v>3193</v>
      </c>
    </row>
    <row r="160" spans="1:20">
      <c r="A160" s="23" t="s">
        <v>187</v>
      </c>
      <c r="B160" s="35" t="s">
        <v>183</v>
      </c>
      <c r="C160" s="36">
        <v>2739</v>
      </c>
      <c r="D160" s="6"/>
      <c r="E160" s="113">
        <v>113246452</v>
      </c>
      <c r="F160" s="116">
        <f t="shared" si="44"/>
        <v>41345.911646586348</v>
      </c>
      <c r="G160" s="117">
        <v>88769917</v>
      </c>
      <c r="H160" s="117">
        <f t="shared" si="45"/>
        <v>32409.608251186564</v>
      </c>
      <c r="I160" s="7"/>
      <c r="J160" s="10">
        <v>6</v>
      </c>
      <c r="K160" s="117">
        <v>532619</v>
      </c>
      <c r="L160" s="120">
        <f t="shared" si="43"/>
        <v>194.45746622855057</v>
      </c>
      <c r="M160" s="122">
        <f t="shared" si="46"/>
        <v>887699.17</v>
      </c>
      <c r="N160" s="116">
        <f t="shared" si="47"/>
        <v>355080.17000000004</v>
      </c>
      <c r="O160" s="123">
        <f t="shared" si="48"/>
        <v>129.63861628331509</v>
      </c>
      <c r="P160" s="5"/>
      <c r="Q160" s="5">
        <f t="shared" si="38"/>
        <v>1</v>
      </c>
      <c r="R160" s="7">
        <f t="shared" si="39"/>
        <v>2739</v>
      </c>
      <c r="S160" s="5">
        <f t="shared" si="40"/>
        <v>1</v>
      </c>
      <c r="T160" s="7">
        <f t="shared" si="41"/>
        <v>2739</v>
      </c>
    </row>
    <row r="161" spans="1:20">
      <c r="A161" s="23" t="s">
        <v>188</v>
      </c>
      <c r="B161" s="35" t="s">
        <v>183</v>
      </c>
      <c r="C161" s="36">
        <v>951</v>
      </c>
      <c r="D161" s="6"/>
      <c r="E161" s="113">
        <v>61572016</v>
      </c>
      <c r="F161" s="116">
        <f t="shared" si="44"/>
        <v>64744.496319663514</v>
      </c>
      <c r="G161" s="117">
        <v>48622367</v>
      </c>
      <c r="H161" s="117">
        <f t="shared" si="45"/>
        <v>51127.620399579391</v>
      </c>
      <c r="I161" s="7"/>
      <c r="J161" s="10">
        <v>5.4450000000000003</v>
      </c>
      <c r="K161" s="117">
        <v>264748</v>
      </c>
      <c r="L161" s="120">
        <f t="shared" si="43"/>
        <v>278.38906414300737</v>
      </c>
      <c r="M161" s="122">
        <f t="shared" si="46"/>
        <v>486223.67</v>
      </c>
      <c r="N161" s="116">
        <f t="shared" si="47"/>
        <v>221475.66999999998</v>
      </c>
      <c r="O161" s="123">
        <f t="shared" si="48"/>
        <v>232.88713985278653</v>
      </c>
      <c r="P161" s="5"/>
      <c r="Q161" s="5">
        <f t="shared" si="38"/>
        <v>1</v>
      </c>
      <c r="R161" s="7">
        <f t="shared" si="39"/>
        <v>951</v>
      </c>
      <c r="S161" s="5">
        <f t="shared" si="40"/>
        <v>1</v>
      </c>
      <c r="T161" s="7">
        <f t="shared" si="41"/>
        <v>951</v>
      </c>
    </row>
    <row r="162" spans="1:20">
      <c r="A162" s="23" t="s">
        <v>189</v>
      </c>
      <c r="B162" s="35" t="s">
        <v>183</v>
      </c>
      <c r="C162" s="36">
        <v>12022</v>
      </c>
      <c r="D162" s="6"/>
      <c r="E162" s="113">
        <v>694089703</v>
      </c>
      <c r="F162" s="116">
        <f t="shared" si="44"/>
        <v>57734.961154549994</v>
      </c>
      <c r="G162" s="117">
        <v>482784706</v>
      </c>
      <c r="H162" s="117">
        <f t="shared" si="45"/>
        <v>40158.435035767761</v>
      </c>
      <c r="I162" s="7"/>
      <c r="J162" s="10">
        <v>2.72</v>
      </c>
      <c r="K162" s="117">
        <v>1313174</v>
      </c>
      <c r="L162" s="120">
        <f t="shared" si="43"/>
        <v>109.23090999833639</v>
      </c>
      <c r="M162" s="122">
        <f t="shared" si="46"/>
        <v>4827847.0600000005</v>
      </c>
      <c r="N162" s="116">
        <f t="shared" si="47"/>
        <v>3514673.0600000005</v>
      </c>
      <c r="O162" s="123">
        <f t="shared" si="48"/>
        <v>292.35344035934128</v>
      </c>
      <c r="P162" s="5"/>
      <c r="Q162" s="5">
        <f t="shared" si="38"/>
        <v>1</v>
      </c>
      <c r="R162" s="7">
        <f t="shared" si="39"/>
        <v>12022</v>
      </c>
      <c r="S162" s="5">
        <f t="shared" si="40"/>
        <v>1</v>
      </c>
      <c r="T162" s="7">
        <f t="shared" si="41"/>
        <v>12022</v>
      </c>
    </row>
    <row r="163" spans="1:20">
      <c r="A163" s="23" t="s">
        <v>190</v>
      </c>
      <c r="B163" s="35" t="s">
        <v>183</v>
      </c>
      <c r="C163" s="36">
        <v>16033</v>
      </c>
      <c r="D163" s="6"/>
      <c r="E163" s="113">
        <v>947170469</v>
      </c>
      <c r="F163" s="116">
        <f t="shared" si="44"/>
        <v>59076.309424312356</v>
      </c>
      <c r="G163" s="117">
        <v>668798035</v>
      </c>
      <c r="H163" s="117">
        <f t="shared" si="45"/>
        <v>41713.842387575627</v>
      </c>
      <c r="I163" s="7"/>
      <c r="J163" s="10">
        <v>4.5</v>
      </c>
      <c r="K163" s="117">
        <v>3009591</v>
      </c>
      <c r="L163" s="120">
        <f t="shared" si="43"/>
        <v>187.71228092060127</v>
      </c>
      <c r="M163" s="122">
        <f t="shared" si="46"/>
        <v>6687980.3500000006</v>
      </c>
      <c r="N163" s="116">
        <f t="shared" si="47"/>
        <v>3678389.3500000006</v>
      </c>
      <c r="O163" s="123">
        <f t="shared" si="48"/>
        <v>229.42614295515503</v>
      </c>
      <c r="P163" s="5"/>
      <c r="Q163" s="5">
        <f t="shared" si="38"/>
        <v>1</v>
      </c>
      <c r="R163" s="7">
        <f t="shared" si="39"/>
        <v>16033</v>
      </c>
      <c r="S163" s="5">
        <f t="shared" si="40"/>
        <v>1</v>
      </c>
      <c r="T163" s="7">
        <f t="shared" si="41"/>
        <v>16033</v>
      </c>
    </row>
    <row r="164" spans="1:20">
      <c r="A164" s="23" t="s">
        <v>191</v>
      </c>
      <c r="B164" s="35" t="s">
        <v>183</v>
      </c>
      <c r="C164" s="36">
        <v>2922</v>
      </c>
      <c r="D164" s="6"/>
      <c r="E164" s="113">
        <v>62885827</v>
      </c>
      <c r="F164" s="116">
        <f t="shared" si="44"/>
        <v>21521.501368925394</v>
      </c>
      <c r="G164" s="117">
        <v>43405646</v>
      </c>
      <c r="H164" s="117">
        <f t="shared" si="45"/>
        <v>14854.772758384668</v>
      </c>
      <c r="I164" s="7"/>
      <c r="J164" s="10">
        <v>5.9990000000000006</v>
      </c>
      <c r="K164" s="117">
        <v>260390</v>
      </c>
      <c r="L164" s="120">
        <f t="shared" si="43"/>
        <v>89.113620807665981</v>
      </c>
      <c r="M164" s="122">
        <f t="shared" si="46"/>
        <v>434056.46</v>
      </c>
      <c r="N164" s="116">
        <f t="shared" si="47"/>
        <v>173666.46000000002</v>
      </c>
      <c r="O164" s="123">
        <f t="shared" si="48"/>
        <v>59.434106776180705</v>
      </c>
      <c r="P164" s="5"/>
      <c r="Q164" s="5">
        <f t="shared" si="38"/>
        <v>1</v>
      </c>
      <c r="R164" s="7">
        <f t="shared" si="39"/>
        <v>2922</v>
      </c>
      <c r="S164" s="5">
        <f t="shared" si="40"/>
        <v>1</v>
      </c>
      <c r="T164" s="7">
        <f t="shared" si="41"/>
        <v>2922</v>
      </c>
    </row>
    <row r="165" spans="1:20">
      <c r="A165" s="23" t="s">
        <v>192</v>
      </c>
      <c r="B165" s="35" t="s">
        <v>183</v>
      </c>
      <c r="C165" s="36">
        <v>5985</v>
      </c>
      <c r="D165" s="6"/>
      <c r="E165" s="113">
        <v>204373367</v>
      </c>
      <c r="F165" s="116">
        <f t="shared" si="44"/>
        <v>34147.596825396824</v>
      </c>
      <c r="G165" s="117">
        <v>159226127</v>
      </c>
      <c r="H165" s="117">
        <f t="shared" si="45"/>
        <v>26604.198329156225</v>
      </c>
      <c r="I165" s="7"/>
      <c r="J165" s="10">
        <v>3.39</v>
      </c>
      <c r="K165" s="117">
        <v>539776</v>
      </c>
      <c r="L165" s="120">
        <f t="shared" si="43"/>
        <v>90.188137009189646</v>
      </c>
      <c r="M165" s="122">
        <f t="shared" si="46"/>
        <v>1592261.27</v>
      </c>
      <c r="N165" s="116">
        <f t="shared" si="47"/>
        <v>1052485.27</v>
      </c>
      <c r="O165" s="123">
        <f t="shared" si="48"/>
        <v>175.85384628237261</v>
      </c>
      <c r="P165" s="5"/>
      <c r="Q165" s="5">
        <f t="shared" si="38"/>
        <v>1</v>
      </c>
      <c r="R165" s="7">
        <f t="shared" si="39"/>
        <v>5985</v>
      </c>
      <c r="S165" s="5">
        <f t="shared" si="40"/>
        <v>1</v>
      </c>
      <c r="T165" s="7">
        <f t="shared" si="41"/>
        <v>5985</v>
      </c>
    </row>
    <row r="166" spans="1:20">
      <c r="A166" s="23" t="s">
        <v>193</v>
      </c>
      <c r="B166" s="35" t="s">
        <v>183</v>
      </c>
      <c r="C166" s="36">
        <v>922</v>
      </c>
      <c r="D166" s="6"/>
      <c r="E166" s="113">
        <v>48713660</v>
      </c>
      <c r="F166" s="116">
        <f t="shared" si="44"/>
        <v>52834.772234273318</v>
      </c>
      <c r="G166" s="117">
        <v>35637782</v>
      </c>
      <c r="H166" s="117">
        <f t="shared" si="45"/>
        <v>38652.691973969631</v>
      </c>
      <c r="I166" s="7"/>
      <c r="J166" s="10">
        <v>2.99</v>
      </c>
      <c r="K166" s="117">
        <v>106556</v>
      </c>
      <c r="L166" s="120">
        <f t="shared" si="43"/>
        <v>115.5704989154013</v>
      </c>
      <c r="M166" s="122">
        <f t="shared" si="46"/>
        <v>356377.82</v>
      </c>
      <c r="N166" s="116">
        <f t="shared" si="47"/>
        <v>249821.82</v>
      </c>
      <c r="O166" s="123">
        <f t="shared" si="48"/>
        <v>270.95642082429504</v>
      </c>
      <c r="P166" s="5"/>
      <c r="Q166" s="5">
        <f t="shared" si="38"/>
        <v>1</v>
      </c>
      <c r="R166" s="7">
        <f t="shared" si="39"/>
        <v>922</v>
      </c>
      <c r="S166" s="5">
        <f t="shared" si="40"/>
        <v>1</v>
      </c>
      <c r="T166" s="7">
        <f t="shared" si="41"/>
        <v>922</v>
      </c>
    </row>
    <row r="167" spans="1:20">
      <c r="A167" s="23" t="s">
        <v>194</v>
      </c>
      <c r="B167" s="35" t="s">
        <v>183</v>
      </c>
      <c r="C167" s="36">
        <v>9925</v>
      </c>
      <c r="D167" s="6"/>
      <c r="E167" s="113">
        <v>629900304</v>
      </c>
      <c r="F167" s="116">
        <f t="shared" si="44"/>
        <v>63466.025591939549</v>
      </c>
      <c r="G167" s="117">
        <v>490644801</v>
      </c>
      <c r="H167" s="117">
        <f t="shared" si="45"/>
        <v>49435.244433249369</v>
      </c>
      <c r="I167" s="7"/>
      <c r="J167" s="10">
        <v>6.1810000000000009</v>
      </c>
      <c r="K167" s="117">
        <v>3032675</v>
      </c>
      <c r="L167" s="120">
        <f t="shared" si="43"/>
        <v>305.55919395465997</v>
      </c>
      <c r="M167" s="122">
        <f t="shared" si="46"/>
        <v>4906448.01</v>
      </c>
      <c r="N167" s="116">
        <f t="shared" si="47"/>
        <v>1873773.0099999998</v>
      </c>
      <c r="O167" s="123">
        <f t="shared" si="48"/>
        <v>188.79325037783374</v>
      </c>
      <c r="P167" s="5"/>
      <c r="Q167" s="5">
        <f t="shared" si="38"/>
        <v>1</v>
      </c>
      <c r="R167" s="7">
        <f t="shared" si="39"/>
        <v>9925</v>
      </c>
      <c r="S167" s="5">
        <f t="shared" si="40"/>
        <v>1</v>
      </c>
      <c r="T167" s="7">
        <f t="shared" si="41"/>
        <v>9925</v>
      </c>
    </row>
    <row r="168" spans="1:20">
      <c r="A168" s="23" t="s">
        <v>195</v>
      </c>
      <c r="B168" s="35" t="s">
        <v>183</v>
      </c>
      <c r="C168" s="36">
        <v>9957</v>
      </c>
      <c r="D168" s="6"/>
      <c r="E168" s="113">
        <v>557673005</v>
      </c>
      <c r="F168" s="116">
        <f t="shared" si="44"/>
        <v>56008.135482575075</v>
      </c>
      <c r="G168" s="117">
        <v>333763638</v>
      </c>
      <c r="H168" s="117">
        <f t="shared" si="45"/>
        <v>33520.501958421213</v>
      </c>
      <c r="I168" s="7"/>
      <c r="J168" s="10">
        <v>4.42</v>
      </c>
      <c r="K168" s="117">
        <v>1475235</v>
      </c>
      <c r="L168" s="120">
        <f t="shared" si="43"/>
        <v>148.16059053931906</v>
      </c>
      <c r="M168" s="122">
        <f t="shared" si="46"/>
        <v>3337636.38</v>
      </c>
      <c r="N168" s="116">
        <f t="shared" si="47"/>
        <v>1862401.38</v>
      </c>
      <c r="O168" s="123">
        <f t="shared" si="48"/>
        <v>187.04442904489304</v>
      </c>
      <c r="P168" s="5"/>
      <c r="Q168" s="5">
        <f t="shared" si="38"/>
        <v>1</v>
      </c>
      <c r="R168" s="7">
        <f t="shared" si="39"/>
        <v>9957</v>
      </c>
      <c r="S168" s="5">
        <f t="shared" si="40"/>
        <v>1</v>
      </c>
      <c r="T168" s="7">
        <f t="shared" si="41"/>
        <v>9957</v>
      </c>
    </row>
    <row r="169" spans="1:20">
      <c r="A169" s="23" t="s">
        <v>196</v>
      </c>
      <c r="B169" s="35" t="s">
        <v>183</v>
      </c>
      <c r="C169" s="36">
        <v>2262</v>
      </c>
      <c r="D169" s="6"/>
      <c r="E169" s="113">
        <v>90605597</v>
      </c>
      <c r="F169" s="116">
        <f t="shared" si="44"/>
        <v>40055.524756852341</v>
      </c>
      <c r="G169" s="117">
        <v>67016556</v>
      </c>
      <c r="H169" s="117">
        <f t="shared" si="45"/>
        <v>29627.124668435012</v>
      </c>
      <c r="I169" s="7"/>
      <c r="J169" s="10">
        <v>5.75</v>
      </c>
      <c r="K169" s="117">
        <v>385345</v>
      </c>
      <c r="L169" s="120">
        <f t="shared" si="43"/>
        <v>170.35587975243146</v>
      </c>
      <c r="M169" s="122">
        <f t="shared" si="46"/>
        <v>670165.56000000006</v>
      </c>
      <c r="N169" s="116">
        <f t="shared" si="47"/>
        <v>284820.56000000006</v>
      </c>
      <c r="O169" s="123">
        <f t="shared" si="48"/>
        <v>125.91536693191868</v>
      </c>
      <c r="P169" s="5"/>
      <c r="Q169" s="5">
        <f t="shared" si="38"/>
        <v>1</v>
      </c>
      <c r="R169" s="7">
        <f t="shared" si="39"/>
        <v>2262</v>
      </c>
      <c r="S169" s="5">
        <f t="shared" si="40"/>
        <v>1</v>
      </c>
      <c r="T169" s="7">
        <f t="shared" si="41"/>
        <v>2262</v>
      </c>
    </row>
    <row r="170" spans="1:20">
      <c r="A170" s="23" t="s">
        <v>448</v>
      </c>
      <c r="B170" s="35" t="s">
        <v>198</v>
      </c>
      <c r="C170" s="36">
        <v>38003</v>
      </c>
      <c r="D170" s="6"/>
      <c r="E170" s="113">
        <v>4622070710</v>
      </c>
      <c r="F170" s="116">
        <f t="shared" si="44"/>
        <v>121623.83785490619</v>
      </c>
      <c r="G170" s="117">
        <v>4097563120</v>
      </c>
      <c r="H170" s="117">
        <f t="shared" si="45"/>
        <v>107822.09615030393</v>
      </c>
      <c r="I170" s="7"/>
      <c r="J170" s="10">
        <v>1.22</v>
      </c>
      <c r="K170" s="117">
        <v>4999027</v>
      </c>
      <c r="L170" s="120">
        <f t="shared" si="43"/>
        <v>131.54295713496302</v>
      </c>
      <c r="M170" s="122">
        <f t="shared" si="46"/>
        <v>40975631.200000003</v>
      </c>
      <c r="N170" s="116">
        <f t="shared" si="47"/>
        <v>35976604.200000003</v>
      </c>
      <c r="O170" s="123">
        <f t="shared" si="48"/>
        <v>946.67800436807624</v>
      </c>
      <c r="P170" s="5"/>
      <c r="Q170" s="5">
        <f t="shared" si="38"/>
        <v>1</v>
      </c>
      <c r="R170" s="7">
        <f t="shared" si="39"/>
        <v>38003</v>
      </c>
      <c r="S170" s="5">
        <f t="shared" si="40"/>
        <v>1</v>
      </c>
      <c r="T170" s="7">
        <f t="shared" si="41"/>
        <v>38003</v>
      </c>
    </row>
    <row r="171" spans="1:20">
      <c r="A171" s="23" t="s">
        <v>197</v>
      </c>
      <c r="B171" s="35" t="s">
        <v>198</v>
      </c>
      <c r="C171" s="36">
        <v>106947</v>
      </c>
      <c r="D171" s="6"/>
      <c r="E171" s="113">
        <v>6112989690</v>
      </c>
      <c r="F171" s="116">
        <f t="shared" si="44"/>
        <v>57159.057196555303</v>
      </c>
      <c r="G171" s="117">
        <v>4714588660</v>
      </c>
      <c r="H171" s="117">
        <f t="shared" si="45"/>
        <v>44083.411970415254</v>
      </c>
      <c r="I171" s="7"/>
      <c r="J171" s="10">
        <v>5.8033000000000001</v>
      </c>
      <c r="K171" s="117">
        <v>27360172</v>
      </c>
      <c r="L171" s="120">
        <f t="shared" si="43"/>
        <v>255.82926122284871</v>
      </c>
      <c r="M171" s="122">
        <f t="shared" si="46"/>
        <v>47145886.600000001</v>
      </c>
      <c r="N171" s="116">
        <f t="shared" si="47"/>
        <v>19785714.600000001</v>
      </c>
      <c r="O171" s="123">
        <f t="shared" si="48"/>
        <v>185.00485848130384</v>
      </c>
      <c r="P171" s="5"/>
      <c r="Q171" s="5">
        <f t="shared" si="38"/>
        <v>1</v>
      </c>
      <c r="R171" s="7">
        <f t="shared" si="39"/>
        <v>106947</v>
      </c>
      <c r="S171" s="5">
        <f t="shared" si="40"/>
        <v>1</v>
      </c>
      <c r="T171" s="7">
        <f t="shared" si="41"/>
        <v>106947</v>
      </c>
    </row>
    <row r="172" spans="1:20">
      <c r="A172" s="23" t="s">
        <v>199</v>
      </c>
      <c r="B172" s="35" t="s">
        <v>198</v>
      </c>
      <c r="C172" s="36">
        <v>49909</v>
      </c>
      <c r="D172" s="6"/>
      <c r="E172" s="113">
        <v>3094282960</v>
      </c>
      <c r="F172" s="116">
        <f t="shared" si="44"/>
        <v>61998.496463563686</v>
      </c>
      <c r="G172" s="117">
        <v>2209818360</v>
      </c>
      <c r="H172" s="117">
        <f t="shared" si="45"/>
        <v>44276.951251277322</v>
      </c>
      <c r="I172" s="7"/>
      <c r="J172" s="10">
        <v>7.781600000000001</v>
      </c>
      <c r="K172" s="117">
        <v>17195922</v>
      </c>
      <c r="L172" s="120">
        <f t="shared" si="43"/>
        <v>344.54551283335672</v>
      </c>
      <c r="M172" s="122">
        <f t="shared" si="46"/>
        <v>22098183.600000001</v>
      </c>
      <c r="N172" s="116">
        <f t="shared" si="47"/>
        <v>4902261.6000000015</v>
      </c>
      <c r="O172" s="123">
        <f t="shared" si="48"/>
        <v>98.223999679416565</v>
      </c>
      <c r="P172" s="5"/>
      <c r="Q172" s="5">
        <f t="shared" si="38"/>
        <v>1</v>
      </c>
      <c r="R172" s="7">
        <f t="shared" si="39"/>
        <v>49909</v>
      </c>
      <c r="S172" s="5">
        <f t="shared" si="40"/>
        <v>1</v>
      </c>
      <c r="T172" s="7">
        <f t="shared" si="41"/>
        <v>49909</v>
      </c>
    </row>
    <row r="173" spans="1:20">
      <c r="A173" s="23" t="s">
        <v>200</v>
      </c>
      <c r="B173" s="35" t="s">
        <v>198</v>
      </c>
      <c r="C173" s="36">
        <v>6700</v>
      </c>
      <c r="D173" s="6"/>
      <c r="E173" s="113">
        <v>1759032110</v>
      </c>
      <c r="F173" s="116">
        <f t="shared" si="44"/>
        <v>262542.10597014928</v>
      </c>
      <c r="G173" s="117">
        <v>1616283120</v>
      </c>
      <c r="H173" s="117">
        <f t="shared" si="45"/>
        <v>241236.28656716418</v>
      </c>
      <c r="I173" s="7"/>
      <c r="J173" s="10">
        <v>1.04</v>
      </c>
      <c r="K173" s="117">
        <v>1680934</v>
      </c>
      <c r="L173" s="120">
        <f t="shared" si="43"/>
        <v>250.88567164179105</v>
      </c>
      <c r="M173" s="122">
        <f t="shared" si="46"/>
        <v>16162831.200000001</v>
      </c>
      <c r="N173" s="116">
        <f t="shared" si="47"/>
        <v>14481897.200000001</v>
      </c>
      <c r="O173" s="123">
        <f t="shared" si="48"/>
        <v>2161.477194029851</v>
      </c>
      <c r="P173" s="5"/>
      <c r="Q173" s="5">
        <f t="shared" si="38"/>
        <v>1</v>
      </c>
      <c r="R173" s="7">
        <f t="shared" si="39"/>
        <v>6700</v>
      </c>
      <c r="S173" s="5">
        <f t="shared" si="40"/>
        <v>1</v>
      </c>
      <c r="T173" s="7">
        <f t="shared" si="41"/>
        <v>6700</v>
      </c>
    </row>
    <row r="174" spans="1:20">
      <c r="A174" s="23" t="s">
        <v>201</v>
      </c>
      <c r="B174" s="35" t="s">
        <v>198</v>
      </c>
      <c r="C174" s="36">
        <v>6072</v>
      </c>
      <c r="D174" s="6"/>
      <c r="E174" s="113">
        <v>3562929520</v>
      </c>
      <c r="F174" s="116">
        <f t="shared" si="44"/>
        <v>586780.22397891968</v>
      </c>
      <c r="G174" s="117">
        <v>3226396010</v>
      </c>
      <c r="H174" s="117">
        <f t="shared" si="45"/>
        <v>531356.39163372864</v>
      </c>
      <c r="I174" s="7"/>
      <c r="J174" s="10">
        <v>1.7291000000000001</v>
      </c>
      <c r="K174" s="117">
        <v>5578761</v>
      </c>
      <c r="L174" s="120">
        <f t="shared" si="43"/>
        <v>918.76828063241112</v>
      </c>
      <c r="M174" s="122">
        <f t="shared" si="46"/>
        <v>32263960.100000001</v>
      </c>
      <c r="N174" s="116">
        <f t="shared" si="47"/>
        <v>26685199.100000001</v>
      </c>
      <c r="O174" s="123">
        <f t="shared" si="48"/>
        <v>4394.7956357048752</v>
      </c>
      <c r="P174" s="5"/>
      <c r="Q174" s="5">
        <f t="shared" si="38"/>
        <v>1</v>
      </c>
      <c r="R174" s="7">
        <f t="shared" si="39"/>
        <v>6072</v>
      </c>
      <c r="S174" s="5">
        <f t="shared" si="40"/>
        <v>1</v>
      </c>
      <c r="T174" s="7">
        <f t="shared" si="41"/>
        <v>6072</v>
      </c>
    </row>
    <row r="175" spans="1:20">
      <c r="A175" s="23" t="s">
        <v>202</v>
      </c>
      <c r="B175" s="35" t="s">
        <v>203</v>
      </c>
      <c r="C175" s="36">
        <v>153658</v>
      </c>
      <c r="D175" s="6"/>
      <c r="E175" s="113">
        <v>11101845347</v>
      </c>
      <c r="F175" s="116">
        <f t="shared" si="44"/>
        <v>72250.356942040118</v>
      </c>
      <c r="G175" s="117">
        <v>5892234502</v>
      </c>
      <c r="H175" s="117">
        <f t="shared" si="45"/>
        <v>38346.421937028987</v>
      </c>
      <c r="I175" s="7"/>
      <c r="J175" s="10">
        <v>3.2</v>
      </c>
      <c r="K175" s="117">
        <v>18855150</v>
      </c>
      <c r="L175" s="120">
        <f t="shared" si="43"/>
        <v>122.70854755365812</v>
      </c>
      <c r="M175" s="122">
        <f t="shared" si="46"/>
        <v>58922345.020000003</v>
      </c>
      <c r="N175" s="116">
        <f t="shared" si="47"/>
        <v>40067195.020000003</v>
      </c>
      <c r="O175" s="123">
        <f t="shared" si="48"/>
        <v>260.75567181663178</v>
      </c>
      <c r="P175" s="5"/>
      <c r="Q175" s="5">
        <f t="shared" si="38"/>
        <v>1</v>
      </c>
      <c r="R175" s="7">
        <f t="shared" si="39"/>
        <v>153658</v>
      </c>
      <c r="S175" s="5">
        <f t="shared" si="40"/>
        <v>1</v>
      </c>
      <c r="T175" s="7">
        <f t="shared" si="41"/>
        <v>153658</v>
      </c>
    </row>
    <row r="176" spans="1:20">
      <c r="A176" s="23" t="s">
        <v>204</v>
      </c>
      <c r="B176" s="35" t="s">
        <v>205</v>
      </c>
      <c r="C176" s="36">
        <v>957</v>
      </c>
      <c r="D176" s="6"/>
      <c r="E176" s="113">
        <v>29563758</v>
      </c>
      <c r="F176" s="116">
        <f t="shared" si="44"/>
        <v>30892.119122257052</v>
      </c>
      <c r="G176" s="117">
        <v>17829408</v>
      </c>
      <c r="H176" s="117">
        <f t="shared" si="45"/>
        <v>18630.520376175547</v>
      </c>
      <c r="I176" s="7"/>
      <c r="J176" s="10">
        <v>3.0070000000000001</v>
      </c>
      <c r="K176" s="117">
        <v>53613</v>
      </c>
      <c r="L176" s="120">
        <f t="shared" si="43"/>
        <v>56.021943573667713</v>
      </c>
      <c r="M176" s="122">
        <f t="shared" si="46"/>
        <v>178294.08000000002</v>
      </c>
      <c r="N176" s="116">
        <f t="shared" si="47"/>
        <v>124681.08000000002</v>
      </c>
      <c r="O176" s="123">
        <f t="shared" si="48"/>
        <v>130.28326018808778</v>
      </c>
      <c r="P176" s="5"/>
      <c r="Q176" s="5">
        <f t="shared" si="38"/>
        <v>1</v>
      </c>
      <c r="R176" s="7">
        <f t="shared" si="39"/>
        <v>957</v>
      </c>
      <c r="S176" s="5">
        <f t="shared" si="40"/>
        <v>1</v>
      </c>
      <c r="T176" s="7">
        <f t="shared" si="41"/>
        <v>957</v>
      </c>
    </row>
    <row r="177" spans="1:20">
      <c r="A177" s="23" t="s">
        <v>206</v>
      </c>
      <c r="B177" s="35" t="s">
        <v>205</v>
      </c>
      <c r="C177" s="36">
        <v>787</v>
      </c>
      <c r="D177" s="6"/>
      <c r="E177" s="113">
        <v>87902776</v>
      </c>
      <c r="F177" s="116">
        <f t="shared" si="44"/>
        <v>111693.48919949174</v>
      </c>
      <c r="G177" s="117">
        <v>72910624</v>
      </c>
      <c r="H177" s="117">
        <f t="shared" si="45"/>
        <v>92643.740787801784</v>
      </c>
      <c r="I177" s="7"/>
      <c r="J177" s="10">
        <v>2.7</v>
      </c>
      <c r="K177" s="117">
        <v>196858</v>
      </c>
      <c r="L177" s="120">
        <f t="shared" si="43"/>
        <v>250.13722998729352</v>
      </c>
      <c r="M177" s="122">
        <f t="shared" si="46"/>
        <v>729106.24</v>
      </c>
      <c r="N177" s="116">
        <f t="shared" si="47"/>
        <v>532248.24</v>
      </c>
      <c r="O177" s="123">
        <f t="shared" si="48"/>
        <v>676.30017789072429</v>
      </c>
      <c r="P177" s="5"/>
      <c r="Q177" s="5">
        <f t="shared" si="38"/>
        <v>1</v>
      </c>
      <c r="R177" s="7">
        <f t="shared" si="39"/>
        <v>787</v>
      </c>
      <c r="S177" s="5">
        <f t="shared" si="40"/>
        <v>1</v>
      </c>
      <c r="T177" s="7">
        <f t="shared" si="41"/>
        <v>787</v>
      </c>
    </row>
    <row r="178" spans="1:20">
      <c r="A178" s="23" t="s">
        <v>207</v>
      </c>
      <c r="B178" s="35" t="s">
        <v>205</v>
      </c>
      <c r="C178" s="36">
        <v>1995</v>
      </c>
      <c r="D178" s="6"/>
      <c r="E178" s="113">
        <v>102597700</v>
      </c>
      <c r="F178" s="116">
        <f t="shared" si="44"/>
        <v>51427.418546365916</v>
      </c>
      <c r="G178" s="117">
        <v>80319027</v>
      </c>
      <c r="H178" s="117">
        <f t="shared" si="45"/>
        <v>40260.163909774434</v>
      </c>
      <c r="I178" s="7"/>
      <c r="J178" s="10">
        <v>4.9407000000000005</v>
      </c>
      <c r="K178" s="117">
        <v>396832</v>
      </c>
      <c r="L178" s="120">
        <f t="shared" si="43"/>
        <v>198.91328320802006</v>
      </c>
      <c r="M178" s="122">
        <f t="shared" si="46"/>
        <v>803190.27</v>
      </c>
      <c r="N178" s="116">
        <f t="shared" si="47"/>
        <v>406358.27</v>
      </c>
      <c r="O178" s="123">
        <f t="shared" si="48"/>
        <v>203.68835588972431</v>
      </c>
      <c r="P178" s="5"/>
      <c r="Q178" s="5">
        <f t="shared" si="38"/>
        <v>1</v>
      </c>
      <c r="R178" s="7">
        <f t="shared" si="39"/>
        <v>1995</v>
      </c>
      <c r="S178" s="5">
        <f t="shared" si="40"/>
        <v>1</v>
      </c>
      <c r="T178" s="7">
        <f t="shared" si="41"/>
        <v>1995</v>
      </c>
    </row>
    <row r="179" spans="1:20">
      <c r="A179" s="23" t="s">
        <v>208</v>
      </c>
      <c r="B179" s="35" t="s">
        <v>205</v>
      </c>
      <c r="C179" s="36">
        <v>1500</v>
      </c>
      <c r="D179" s="6"/>
      <c r="E179" s="113">
        <v>54720294</v>
      </c>
      <c r="F179" s="116">
        <f t="shared" si="44"/>
        <v>36480.196000000004</v>
      </c>
      <c r="G179" s="117">
        <v>40706163</v>
      </c>
      <c r="H179" s="117">
        <f t="shared" si="45"/>
        <v>27137.441999999999</v>
      </c>
      <c r="I179" s="7"/>
      <c r="J179" s="10">
        <v>4.5</v>
      </c>
      <c r="K179" s="117">
        <v>183177</v>
      </c>
      <c r="L179" s="120">
        <f t="shared" si="43"/>
        <v>122.11799999999999</v>
      </c>
      <c r="M179" s="122">
        <f t="shared" si="46"/>
        <v>407061.63</v>
      </c>
      <c r="N179" s="116">
        <f t="shared" si="47"/>
        <v>223884.63</v>
      </c>
      <c r="O179" s="123">
        <f t="shared" si="48"/>
        <v>149.25641999999999</v>
      </c>
      <c r="P179" s="5"/>
      <c r="Q179" s="5">
        <f t="shared" si="38"/>
        <v>1</v>
      </c>
      <c r="R179" s="7">
        <f t="shared" si="39"/>
        <v>1500</v>
      </c>
      <c r="S179" s="5">
        <f t="shared" si="40"/>
        <v>1</v>
      </c>
      <c r="T179" s="7">
        <f t="shared" si="41"/>
        <v>1500</v>
      </c>
    </row>
    <row r="180" spans="1:20">
      <c r="A180" s="23" t="s">
        <v>209</v>
      </c>
      <c r="B180" s="35" t="s">
        <v>205</v>
      </c>
      <c r="C180" s="36">
        <v>121</v>
      </c>
      <c r="D180" s="6"/>
      <c r="E180" s="113">
        <v>4083355</v>
      </c>
      <c r="F180" s="116">
        <f t="shared" si="44"/>
        <v>33746.735537190085</v>
      </c>
      <c r="G180" s="117">
        <v>2506714</v>
      </c>
      <c r="H180" s="117">
        <f t="shared" si="45"/>
        <v>20716.644628099173</v>
      </c>
      <c r="I180" s="7"/>
      <c r="J180" s="10">
        <v>3</v>
      </c>
      <c r="K180" s="117">
        <v>7520</v>
      </c>
      <c r="L180" s="120">
        <f t="shared" si="43"/>
        <v>62.148760330578511</v>
      </c>
      <c r="M180" s="122">
        <f t="shared" si="46"/>
        <v>25067.14</v>
      </c>
      <c r="N180" s="116">
        <f t="shared" si="47"/>
        <v>17547.14</v>
      </c>
      <c r="O180" s="123">
        <f t="shared" si="48"/>
        <v>145.01768595041321</v>
      </c>
      <c r="P180" s="5"/>
      <c r="Q180" s="5">
        <f t="shared" si="38"/>
        <v>1</v>
      </c>
      <c r="R180" s="7">
        <f t="shared" si="39"/>
        <v>121</v>
      </c>
      <c r="S180" s="5">
        <f t="shared" si="40"/>
        <v>1</v>
      </c>
      <c r="T180" s="7">
        <f t="shared" si="41"/>
        <v>121</v>
      </c>
    </row>
    <row r="181" spans="1:20">
      <c r="A181" s="23" t="s">
        <v>210</v>
      </c>
      <c r="B181" s="35" t="s">
        <v>205</v>
      </c>
      <c r="C181" s="36">
        <v>2289</v>
      </c>
      <c r="D181" s="6"/>
      <c r="E181" s="113">
        <v>90557231</v>
      </c>
      <c r="F181" s="116">
        <f t="shared" si="44"/>
        <v>39561.918304936655</v>
      </c>
      <c r="G181" s="117">
        <v>56577559</v>
      </c>
      <c r="H181" s="117">
        <f t="shared" si="45"/>
        <v>24717.151157710792</v>
      </c>
      <c r="I181" s="7"/>
      <c r="J181" s="10">
        <v>4.5</v>
      </c>
      <c r="K181" s="117">
        <v>254599</v>
      </c>
      <c r="L181" s="120">
        <f t="shared" si="43"/>
        <v>111.22717343818262</v>
      </c>
      <c r="M181" s="122">
        <f t="shared" si="46"/>
        <v>565775.59</v>
      </c>
      <c r="N181" s="116">
        <f t="shared" si="47"/>
        <v>311176.58999999997</v>
      </c>
      <c r="O181" s="123">
        <f t="shared" si="48"/>
        <v>135.94433813892527</v>
      </c>
      <c r="P181" s="5"/>
      <c r="Q181" s="5">
        <f t="shared" si="38"/>
        <v>1</v>
      </c>
      <c r="R181" s="7">
        <f t="shared" si="39"/>
        <v>2289</v>
      </c>
      <c r="S181" s="5">
        <f t="shared" si="40"/>
        <v>1</v>
      </c>
      <c r="T181" s="7">
        <f t="shared" si="41"/>
        <v>2289</v>
      </c>
    </row>
    <row r="182" spans="1:20">
      <c r="A182" s="23" t="s">
        <v>211</v>
      </c>
      <c r="B182" s="35" t="s">
        <v>205</v>
      </c>
      <c r="C182" s="36">
        <v>648</v>
      </c>
      <c r="D182" s="6"/>
      <c r="E182" s="113">
        <v>34912055</v>
      </c>
      <c r="F182" s="116">
        <f t="shared" si="44"/>
        <v>53876.628086419754</v>
      </c>
      <c r="G182" s="117">
        <v>27301275</v>
      </c>
      <c r="H182" s="117">
        <f t="shared" si="45"/>
        <v>42131.597222222219</v>
      </c>
      <c r="I182" s="7"/>
      <c r="J182" s="10">
        <v>1.9510000000000001</v>
      </c>
      <c r="K182" s="117">
        <v>53264</v>
      </c>
      <c r="L182" s="120">
        <f t="shared" si="43"/>
        <v>82.197530864197532</v>
      </c>
      <c r="M182" s="122">
        <f t="shared" si="46"/>
        <v>273012.75</v>
      </c>
      <c r="N182" s="116">
        <f t="shared" si="47"/>
        <v>219748.75</v>
      </c>
      <c r="O182" s="123">
        <f t="shared" si="48"/>
        <v>339.11844135802471</v>
      </c>
      <c r="P182" s="5"/>
      <c r="Q182" s="5">
        <f t="shared" si="38"/>
        <v>1</v>
      </c>
      <c r="R182" s="7">
        <f t="shared" si="39"/>
        <v>648</v>
      </c>
      <c r="S182" s="5">
        <f t="shared" si="40"/>
        <v>1</v>
      </c>
      <c r="T182" s="7">
        <f t="shared" si="41"/>
        <v>648</v>
      </c>
    </row>
    <row r="183" spans="1:20">
      <c r="A183" s="23" t="s">
        <v>212</v>
      </c>
      <c r="B183" s="35" t="s">
        <v>213</v>
      </c>
      <c r="C183" s="36">
        <v>929</v>
      </c>
      <c r="D183" s="6"/>
      <c r="E183" s="113">
        <v>27543691</v>
      </c>
      <c r="F183" s="116">
        <f t="shared" si="44"/>
        <v>29648.752421959096</v>
      </c>
      <c r="G183" s="117">
        <v>11706652</v>
      </c>
      <c r="H183" s="117">
        <f t="shared" si="45"/>
        <v>12601.347685683531</v>
      </c>
      <c r="I183" s="7"/>
      <c r="J183" s="10">
        <v>3</v>
      </c>
      <c r="K183" s="117">
        <v>35119</v>
      </c>
      <c r="L183" s="120">
        <f t="shared" si="43"/>
        <v>37.803013993541441</v>
      </c>
      <c r="M183" s="122">
        <f t="shared" si="46"/>
        <v>117066.52</v>
      </c>
      <c r="N183" s="116">
        <f t="shared" si="47"/>
        <v>81947.520000000004</v>
      </c>
      <c r="O183" s="123">
        <f t="shared" si="48"/>
        <v>88.21046286329387</v>
      </c>
      <c r="P183" s="5"/>
      <c r="Q183" s="5">
        <f t="shared" si="38"/>
        <v>1</v>
      </c>
      <c r="R183" s="7">
        <f t="shared" si="39"/>
        <v>929</v>
      </c>
      <c r="S183" s="5">
        <f t="shared" si="40"/>
        <v>1</v>
      </c>
      <c r="T183" s="7">
        <f t="shared" si="41"/>
        <v>929</v>
      </c>
    </row>
    <row r="184" spans="1:20">
      <c r="A184" s="23" t="s">
        <v>214</v>
      </c>
      <c r="B184" s="35" t="s">
        <v>215</v>
      </c>
      <c r="C184" s="36">
        <v>847</v>
      </c>
      <c r="D184" s="6"/>
      <c r="E184" s="113">
        <v>16129810</v>
      </c>
      <c r="F184" s="116">
        <f t="shared" si="44"/>
        <v>19043.459268004721</v>
      </c>
      <c r="G184" s="117">
        <v>8659138</v>
      </c>
      <c r="H184" s="117">
        <f t="shared" si="45"/>
        <v>10223.303423848878</v>
      </c>
      <c r="I184" s="7"/>
      <c r="J184" s="10">
        <v>9.85</v>
      </c>
      <c r="K184" s="117">
        <v>85292</v>
      </c>
      <c r="L184" s="120">
        <f t="shared" si="43"/>
        <v>100.69893742621015</v>
      </c>
      <c r="M184" s="122">
        <f t="shared" si="46"/>
        <v>86591.38</v>
      </c>
      <c r="N184" s="116">
        <f t="shared" si="47"/>
        <v>1299.3800000000047</v>
      </c>
      <c r="O184" s="123">
        <f t="shared" si="48"/>
        <v>1.534096812278636</v>
      </c>
      <c r="P184" s="5"/>
      <c r="Q184" s="5">
        <f t="shared" si="38"/>
        <v>1</v>
      </c>
      <c r="R184" s="7">
        <f t="shared" si="39"/>
        <v>847</v>
      </c>
      <c r="S184" s="5">
        <f t="shared" si="40"/>
        <v>1</v>
      </c>
      <c r="T184" s="7">
        <f t="shared" si="41"/>
        <v>847</v>
      </c>
    </row>
    <row r="185" spans="1:20">
      <c r="A185" s="23" t="s">
        <v>198</v>
      </c>
      <c r="B185" s="35" t="s">
        <v>215</v>
      </c>
      <c r="C185" s="36">
        <v>368</v>
      </c>
      <c r="D185" s="6"/>
      <c r="E185" s="113">
        <v>6847985</v>
      </c>
      <c r="F185" s="116">
        <f t="shared" si="44"/>
        <v>18608.654891304348</v>
      </c>
      <c r="G185" s="117">
        <v>3805845</v>
      </c>
      <c r="H185" s="117">
        <f t="shared" si="45"/>
        <v>10341.970108695652</v>
      </c>
      <c r="I185" s="7"/>
      <c r="J185" s="10">
        <v>6.67</v>
      </c>
      <c r="K185" s="117">
        <v>25384</v>
      </c>
      <c r="L185" s="120">
        <f t="shared" si="43"/>
        <v>68.978260869565219</v>
      </c>
      <c r="M185" s="122">
        <f t="shared" si="46"/>
        <v>38058.450000000004</v>
      </c>
      <c r="N185" s="116">
        <f t="shared" si="47"/>
        <v>12674.450000000004</v>
      </c>
      <c r="O185" s="123">
        <f t="shared" si="48"/>
        <v>34.441440217391317</v>
      </c>
      <c r="P185" s="5"/>
      <c r="Q185" s="5">
        <f t="shared" si="38"/>
        <v>1</v>
      </c>
      <c r="R185" s="7">
        <f t="shared" si="39"/>
        <v>368</v>
      </c>
      <c r="S185" s="5">
        <f t="shared" si="40"/>
        <v>1</v>
      </c>
      <c r="T185" s="7">
        <f t="shared" si="41"/>
        <v>368</v>
      </c>
    </row>
    <row r="186" spans="1:20">
      <c r="A186" s="23" t="s">
        <v>215</v>
      </c>
      <c r="B186" s="35" t="s">
        <v>215</v>
      </c>
      <c r="C186" s="36">
        <v>3087</v>
      </c>
      <c r="D186" s="6"/>
      <c r="E186" s="113">
        <v>99935775</v>
      </c>
      <c r="F186" s="116">
        <f t="shared" si="44"/>
        <v>32373.10495626822</v>
      </c>
      <c r="G186" s="117">
        <v>65214346</v>
      </c>
      <c r="H186" s="117">
        <f t="shared" si="45"/>
        <v>21125.476514415292</v>
      </c>
      <c r="I186" s="7"/>
      <c r="J186" s="10">
        <v>6.3234000000000004</v>
      </c>
      <c r="K186" s="117">
        <v>412376</v>
      </c>
      <c r="L186" s="120">
        <f t="shared" si="43"/>
        <v>133.58471007450601</v>
      </c>
      <c r="M186" s="122">
        <f t="shared" si="46"/>
        <v>652143.46</v>
      </c>
      <c r="N186" s="116">
        <f t="shared" si="47"/>
        <v>239767.45999999996</v>
      </c>
      <c r="O186" s="123">
        <f t="shared" si="48"/>
        <v>77.670055069646892</v>
      </c>
      <c r="P186" s="5"/>
      <c r="Q186" s="5">
        <f t="shared" si="38"/>
        <v>1</v>
      </c>
      <c r="R186" s="7">
        <f t="shared" si="39"/>
        <v>3087</v>
      </c>
      <c r="S186" s="5">
        <f t="shared" si="40"/>
        <v>1</v>
      </c>
      <c r="T186" s="7">
        <f t="shared" si="41"/>
        <v>3087</v>
      </c>
    </row>
    <row r="187" spans="1:20">
      <c r="A187" s="23" t="s">
        <v>216</v>
      </c>
      <c r="B187" s="35" t="s">
        <v>217</v>
      </c>
      <c r="C187" s="36">
        <v>1822</v>
      </c>
      <c r="D187" s="6"/>
      <c r="E187" s="113">
        <v>408014168</v>
      </c>
      <c r="F187" s="116">
        <f t="shared" si="44"/>
        <v>223937.52360043908</v>
      </c>
      <c r="G187" s="117">
        <v>339892996</v>
      </c>
      <c r="H187" s="117">
        <f t="shared" si="45"/>
        <v>186549.39407244785</v>
      </c>
      <c r="I187" s="7"/>
      <c r="J187" s="10">
        <v>2</v>
      </c>
      <c r="K187" s="117">
        <v>679785</v>
      </c>
      <c r="L187" s="120">
        <f t="shared" si="43"/>
        <v>373.09824368825468</v>
      </c>
      <c r="M187" s="122">
        <f t="shared" si="46"/>
        <v>3398929.96</v>
      </c>
      <c r="N187" s="116">
        <f t="shared" si="47"/>
        <v>2719144.96</v>
      </c>
      <c r="O187" s="123">
        <f t="shared" si="48"/>
        <v>1492.395697036224</v>
      </c>
      <c r="P187" s="5"/>
      <c r="Q187" s="5">
        <f t="shared" si="38"/>
        <v>1</v>
      </c>
      <c r="R187" s="7">
        <f t="shared" si="39"/>
        <v>1822</v>
      </c>
      <c r="S187" s="5">
        <f t="shared" si="40"/>
        <v>1</v>
      </c>
      <c r="T187" s="7">
        <f t="shared" si="41"/>
        <v>1822</v>
      </c>
    </row>
    <row r="188" spans="1:20">
      <c r="A188" s="23" t="s">
        <v>218</v>
      </c>
      <c r="B188" s="35" t="s">
        <v>217</v>
      </c>
      <c r="C188" s="36">
        <v>49733</v>
      </c>
      <c r="D188" s="6"/>
      <c r="E188" s="113">
        <v>2494726535</v>
      </c>
      <c r="F188" s="116">
        <f t="shared" si="44"/>
        <v>50162.397904811696</v>
      </c>
      <c r="G188" s="117">
        <v>1853834855</v>
      </c>
      <c r="H188" s="117">
        <f t="shared" si="45"/>
        <v>37275.749602879376</v>
      </c>
      <c r="I188" s="7"/>
      <c r="J188" s="10">
        <v>3.95</v>
      </c>
      <c r="K188" s="117">
        <v>7322647</v>
      </c>
      <c r="L188" s="120">
        <f t="shared" si="43"/>
        <v>147.23919731365493</v>
      </c>
      <c r="M188" s="122">
        <f t="shared" si="46"/>
        <v>18538348.550000001</v>
      </c>
      <c r="N188" s="116">
        <f t="shared" si="47"/>
        <v>11215701.550000001</v>
      </c>
      <c r="O188" s="123">
        <f t="shared" si="48"/>
        <v>225.51829871513885</v>
      </c>
      <c r="P188" s="5"/>
      <c r="Q188" s="5">
        <f t="shared" si="38"/>
        <v>1</v>
      </c>
      <c r="R188" s="7">
        <f t="shared" si="39"/>
        <v>49733</v>
      </c>
      <c r="S188" s="5">
        <f t="shared" si="40"/>
        <v>1</v>
      </c>
      <c r="T188" s="7">
        <f t="shared" si="41"/>
        <v>49733</v>
      </c>
    </row>
    <row r="189" spans="1:20">
      <c r="A189" s="23" t="s">
        <v>219</v>
      </c>
      <c r="B189" s="35" t="s">
        <v>217</v>
      </c>
      <c r="C189" s="36">
        <v>1512</v>
      </c>
      <c r="D189" s="6"/>
      <c r="E189" s="113">
        <v>269023128</v>
      </c>
      <c r="F189" s="116">
        <f t="shared" si="44"/>
        <v>177925.3492063492</v>
      </c>
      <c r="G189" s="117">
        <v>228176272</v>
      </c>
      <c r="H189" s="117">
        <f t="shared" si="45"/>
        <v>150910.2328042328</v>
      </c>
      <c r="I189" s="7"/>
      <c r="J189" s="10">
        <v>2.6816000000000004</v>
      </c>
      <c r="K189" s="117">
        <v>611877</v>
      </c>
      <c r="L189" s="120">
        <f t="shared" si="43"/>
        <v>404.68055555555554</v>
      </c>
      <c r="M189" s="122">
        <f t="shared" si="46"/>
        <v>2281762.7200000002</v>
      </c>
      <c r="N189" s="116">
        <f t="shared" si="47"/>
        <v>1669885.7200000002</v>
      </c>
      <c r="O189" s="123">
        <f t="shared" si="48"/>
        <v>1104.4217724867726</v>
      </c>
      <c r="P189" s="5"/>
      <c r="Q189" s="5">
        <f t="shared" si="38"/>
        <v>1</v>
      </c>
      <c r="R189" s="7">
        <f t="shared" si="39"/>
        <v>1512</v>
      </c>
      <c r="S189" s="5">
        <f t="shared" si="40"/>
        <v>1</v>
      </c>
      <c r="T189" s="7">
        <f t="shared" si="41"/>
        <v>1512</v>
      </c>
    </row>
    <row r="190" spans="1:20">
      <c r="A190" s="23" t="s">
        <v>220</v>
      </c>
      <c r="B190" s="35" t="s">
        <v>217</v>
      </c>
      <c r="C190" s="36">
        <v>4993</v>
      </c>
      <c r="D190" s="6"/>
      <c r="E190" s="113">
        <v>807242667</v>
      </c>
      <c r="F190" s="116">
        <f t="shared" si="44"/>
        <v>161674.87822952133</v>
      </c>
      <c r="G190" s="117">
        <v>678702272</v>
      </c>
      <c r="H190" s="117">
        <f t="shared" si="45"/>
        <v>135930.75746044461</v>
      </c>
      <c r="I190" s="7"/>
      <c r="J190" s="10">
        <v>2.25</v>
      </c>
      <c r="K190" s="117">
        <v>1527080</v>
      </c>
      <c r="L190" s="120">
        <f t="shared" si="43"/>
        <v>305.84418185459646</v>
      </c>
      <c r="M190" s="122">
        <f t="shared" si="46"/>
        <v>6787022.7199999997</v>
      </c>
      <c r="N190" s="116">
        <f t="shared" si="47"/>
        <v>5259942.72</v>
      </c>
      <c r="O190" s="123">
        <f t="shared" si="48"/>
        <v>1053.4633927498498</v>
      </c>
      <c r="P190" s="5"/>
      <c r="Q190" s="5">
        <f t="shared" si="38"/>
        <v>1</v>
      </c>
      <c r="R190" s="7">
        <f t="shared" si="39"/>
        <v>4993</v>
      </c>
      <c r="S190" s="5">
        <f t="shared" si="40"/>
        <v>1</v>
      </c>
      <c r="T190" s="7">
        <f t="shared" si="41"/>
        <v>4993</v>
      </c>
    </row>
    <row r="191" spans="1:20">
      <c r="A191" s="23" t="s">
        <v>221</v>
      </c>
      <c r="B191" s="35" t="s">
        <v>217</v>
      </c>
      <c r="C191" s="36">
        <v>12772</v>
      </c>
      <c r="D191" s="6"/>
      <c r="E191" s="113">
        <v>523327834</v>
      </c>
      <c r="F191" s="116">
        <f t="shared" si="44"/>
        <v>40974.619010335111</v>
      </c>
      <c r="G191" s="117">
        <v>377876426</v>
      </c>
      <c r="H191" s="117">
        <f t="shared" si="45"/>
        <v>29586.315847165675</v>
      </c>
      <c r="I191" s="7"/>
      <c r="J191" s="10">
        <v>4.1645000000000003</v>
      </c>
      <c r="K191" s="117">
        <v>1573666</v>
      </c>
      <c r="L191" s="120">
        <f t="shared" si="43"/>
        <v>123.21218290009395</v>
      </c>
      <c r="M191" s="122">
        <f t="shared" si="46"/>
        <v>3778764.2600000002</v>
      </c>
      <c r="N191" s="116">
        <f t="shared" si="47"/>
        <v>2205098.2600000002</v>
      </c>
      <c r="O191" s="123">
        <f t="shared" si="48"/>
        <v>172.65097557156281</v>
      </c>
      <c r="P191" s="5"/>
      <c r="Q191" s="5">
        <f t="shared" si="38"/>
        <v>1</v>
      </c>
      <c r="R191" s="7">
        <f t="shared" si="39"/>
        <v>12772</v>
      </c>
      <c r="S191" s="5">
        <f t="shared" si="40"/>
        <v>1</v>
      </c>
      <c r="T191" s="7">
        <f t="shared" si="41"/>
        <v>12772</v>
      </c>
    </row>
    <row r="192" spans="1:20">
      <c r="A192" s="23" t="s">
        <v>478</v>
      </c>
      <c r="B192" s="35" t="s">
        <v>222</v>
      </c>
      <c r="C192" s="36">
        <v>7631</v>
      </c>
      <c r="D192" s="6"/>
      <c r="E192" s="113">
        <v>3765135235</v>
      </c>
      <c r="F192" s="116">
        <f t="shared" si="44"/>
        <v>493399.97837767005</v>
      </c>
      <c r="G192" s="117">
        <v>3394730661</v>
      </c>
      <c r="H192" s="117">
        <f t="shared" si="45"/>
        <v>444860.52430874069</v>
      </c>
      <c r="I192" s="7"/>
      <c r="J192" s="10">
        <v>2.15</v>
      </c>
      <c r="K192" s="117">
        <v>7298670</v>
      </c>
      <c r="L192" s="120">
        <f t="shared" si="43"/>
        <v>956.45000655222123</v>
      </c>
      <c r="M192" s="122">
        <f t="shared" si="46"/>
        <v>33947306.609999999</v>
      </c>
      <c r="N192" s="116">
        <f t="shared" si="47"/>
        <v>26648636.609999999</v>
      </c>
      <c r="O192" s="123">
        <f t="shared" si="48"/>
        <v>3492.1552365351854</v>
      </c>
      <c r="P192" s="5"/>
      <c r="Q192" s="5">
        <f t="shared" si="38"/>
        <v>1</v>
      </c>
      <c r="R192" s="7">
        <f t="shared" si="39"/>
        <v>7631</v>
      </c>
      <c r="S192" s="5">
        <f t="shared" si="40"/>
        <v>1</v>
      </c>
      <c r="T192" s="7">
        <f t="shared" si="41"/>
        <v>7631</v>
      </c>
    </row>
    <row r="193" spans="1:20">
      <c r="A193" s="23" t="s">
        <v>223</v>
      </c>
      <c r="B193" s="35" t="s">
        <v>224</v>
      </c>
      <c r="C193" s="36">
        <v>3482</v>
      </c>
      <c r="D193" s="6"/>
      <c r="E193" s="113">
        <v>133069662</v>
      </c>
      <c r="F193" s="116">
        <f t="shared" si="44"/>
        <v>38216.445146467544</v>
      </c>
      <c r="G193" s="117">
        <v>100662197</v>
      </c>
      <c r="H193" s="117">
        <f t="shared" si="45"/>
        <v>28909.304135554281</v>
      </c>
      <c r="I193" s="7"/>
      <c r="J193" s="10">
        <v>4.3660000000000005</v>
      </c>
      <c r="K193" s="117">
        <v>439491</v>
      </c>
      <c r="L193" s="120">
        <f t="shared" si="43"/>
        <v>126.21797817346352</v>
      </c>
      <c r="M193" s="122">
        <f t="shared" si="46"/>
        <v>1006621.97</v>
      </c>
      <c r="N193" s="116">
        <f t="shared" si="47"/>
        <v>567130.97</v>
      </c>
      <c r="O193" s="123">
        <f t="shared" si="48"/>
        <v>162.87506318207926</v>
      </c>
      <c r="P193" s="5"/>
      <c r="Q193" s="5">
        <f t="shared" si="38"/>
        <v>1</v>
      </c>
      <c r="R193" s="7">
        <f t="shared" si="39"/>
        <v>3482</v>
      </c>
      <c r="S193" s="5">
        <f t="shared" si="40"/>
        <v>1</v>
      </c>
      <c r="T193" s="7">
        <f t="shared" si="41"/>
        <v>3482</v>
      </c>
    </row>
    <row r="194" spans="1:20">
      <c r="A194" s="23" t="s">
        <v>225</v>
      </c>
      <c r="B194" s="35" t="s">
        <v>224</v>
      </c>
      <c r="C194" s="36">
        <v>1913</v>
      </c>
      <c r="D194" s="6"/>
      <c r="E194" s="113">
        <v>112165838</v>
      </c>
      <c r="F194" s="116">
        <f t="shared" si="44"/>
        <v>58633.475169890226</v>
      </c>
      <c r="G194" s="117">
        <v>83794247</v>
      </c>
      <c r="H194" s="117">
        <f t="shared" si="45"/>
        <v>43802.533716675382</v>
      </c>
      <c r="I194" s="7"/>
      <c r="J194" s="10">
        <v>6.5</v>
      </c>
      <c r="K194" s="117">
        <v>544662</v>
      </c>
      <c r="L194" s="120">
        <f t="shared" si="43"/>
        <v>284.71615263983273</v>
      </c>
      <c r="M194" s="122">
        <f t="shared" si="46"/>
        <v>837942.47</v>
      </c>
      <c r="N194" s="116">
        <f t="shared" si="47"/>
        <v>293280.46999999997</v>
      </c>
      <c r="O194" s="123">
        <f t="shared" si="48"/>
        <v>153.30918452692106</v>
      </c>
      <c r="P194" s="5"/>
      <c r="Q194" s="5">
        <f t="shared" si="38"/>
        <v>1</v>
      </c>
      <c r="R194" s="7">
        <f t="shared" si="39"/>
        <v>1913</v>
      </c>
      <c r="S194" s="5">
        <f t="shared" si="40"/>
        <v>1</v>
      </c>
      <c r="T194" s="7">
        <f t="shared" si="41"/>
        <v>1913</v>
      </c>
    </row>
    <row r="195" spans="1:20">
      <c r="A195" s="23" t="s">
        <v>226</v>
      </c>
      <c r="B195" s="35" t="s">
        <v>224</v>
      </c>
      <c r="C195" s="36">
        <v>455</v>
      </c>
      <c r="D195" s="6"/>
      <c r="E195" s="113">
        <v>19079306</v>
      </c>
      <c r="F195" s="116">
        <f t="shared" si="44"/>
        <v>41932.540659340659</v>
      </c>
      <c r="G195" s="117">
        <v>11621097</v>
      </c>
      <c r="H195" s="117">
        <f t="shared" si="45"/>
        <v>25540.872527472526</v>
      </c>
      <c r="I195" s="7"/>
      <c r="J195" s="10">
        <v>1.7540000000000002</v>
      </c>
      <c r="K195" s="117">
        <v>20383</v>
      </c>
      <c r="L195" s="120">
        <f t="shared" si="43"/>
        <v>44.797802197802199</v>
      </c>
      <c r="M195" s="122">
        <f t="shared" si="46"/>
        <v>116210.97</v>
      </c>
      <c r="N195" s="116">
        <f t="shared" si="47"/>
        <v>95827.97</v>
      </c>
      <c r="O195" s="123">
        <f t="shared" si="48"/>
        <v>210.61092307692309</v>
      </c>
      <c r="P195" s="5"/>
      <c r="Q195" s="5">
        <f t="shared" si="38"/>
        <v>1</v>
      </c>
      <c r="R195" s="7">
        <f t="shared" si="39"/>
        <v>455</v>
      </c>
      <c r="S195" s="5">
        <f t="shared" si="40"/>
        <v>1</v>
      </c>
      <c r="T195" s="7">
        <f t="shared" si="41"/>
        <v>455</v>
      </c>
    </row>
    <row r="196" spans="1:20">
      <c r="A196" s="23" t="s">
        <v>227</v>
      </c>
      <c r="B196" s="35" t="s">
        <v>224</v>
      </c>
      <c r="C196" s="36">
        <v>46288</v>
      </c>
      <c r="D196" s="6"/>
      <c r="E196" s="113">
        <v>2942762539</v>
      </c>
      <c r="F196" s="116">
        <f t="shared" si="44"/>
        <v>63575.063493778085</v>
      </c>
      <c r="G196" s="117">
        <v>2194839266</v>
      </c>
      <c r="H196" s="117">
        <f t="shared" si="45"/>
        <v>47417.025276529552</v>
      </c>
      <c r="I196" s="7"/>
      <c r="J196" s="10">
        <v>5.7784000000000004</v>
      </c>
      <c r="K196" s="117">
        <v>12682659</v>
      </c>
      <c r="L196" s="120">
        <f t="shared" si="43"/>
        <v>273.99453422053233</v>
      </c>
      <c r="M196" s="122">
        <f t="shared" si="46"/>
        <v>21948392.66</v>
      </c>
      <c r="N196" s="116">
        <f t="shared" si="47"/>
        <v>9265733.6600000001</v>
      </c>
      <c r="O196" s="123">
        <f t="shared" si="48"/>
        <v>200.17571854476321</v>
      </c>
      <c r="P196" s="5"/>
      <c r="Q196" s="5">
        <f t="shared" si="38"/>
        <v>1</v>
      </c>
      <c r="R196" s="7">
        <f t="shared" si="39"/>
        <v>46288</v>
      </c>
      <c r="S196" s="5">
        <f t="shared" si="40"/>
        <v>1</v>
      </c>
      <c r="T196" s="7">
        <f t="shared" si="41"/>
        <v>46288</v>
      </c>
    </row>
    <row r="197" spans="1:20">
      <c r="A197" s="23" t="s">
        <v>228</v>
      </c>
      <c r="B197" s="35" t="s">
        <v>224</v>
      </c>
      <c r="C197" s="36">
        <v>557</v>
      </c>
      <c r="D197" s="6"/>
      <c r="E197" s="113">
        <v>12814543</v>
      </c>
      <c r="F197" s="116">
        <f t="shared" si="44"/>
        <v>23006.360861759425</v>
      </c>
      <c r="G197" s="117">
        <v>6894312</v>
      </c>
      <c r="H197" s="117">
        <f t="shared" si="45"/>
        <v>12377.579892280071</v>
      </c>
      <c r="I197" s="98" t="s">
        <v>528</v>
      </c>
      <c r="J197" s="10"/>
      <c r="K197" s="117"/>
      <c r="L197" s="120"/>
      <c r="M197" s="122">
        <f t="shared" si="46"/>
        <v>68943.12</v>
      </c>
      <c r="N197" s="116">
        <f t="shared" si="47"/>
        <v>68943.12</v>
      </c>
      <c r="O197" s="123">
        <f t="shared" si="48"/>
        <v>123.7757989228007</v>
      </c>
      <c r="P197" s="5"/>
      <c r="Q197" s="5">
        <f t="shared" si="38"/>
        <v>1</v>
      </c>
      <c r="R197" s="7">
        <f t="shared" si="39"/>
        <v>557</v>
      </c>
      <c r="S197" s="5">
        <f t="shared" si="40"/>
        <v>0</v>
      </c>
      <c r="T197" s="7">
        <f t="shared" si="41"/>
        <v>0</v>
      </c>
    </row>
    <row r="198" spans="1:20">
      <c r="A198" s="23" t="s">
        <v>229</v>
      </c>
      <c r="B198" s="35" t="s">
        <v>230</v>
      </c>
      <c r="C198" s="36">
        <v>619</v>
      </c>
      <c r="D198" s="6"/>
      <c r="E198" s="113">
        <v>1522865253</v>
      </c>
      <c r="F198" s="116">
        <f t="shared" si="44"/>
        <v>2460202.3473344105</v>
      </c>
      <c r="G198" s="117">
        <v>1220716567</v>
      </c>
      <c r="H198" s="117">
        <f t="shared" si="45"/>
        <v>1972078.4604200323</v>
      </c>
      <c r="I198" s="7"/>
      <c r="J198" s="10">
        <v>2.8620000000000001</v>
      </c>
      <c r="K198" s="117">
        <v>3493690</v>
      </c>
      <c r="L198" s="120">
        <f>(K198/C198)</f>
        <v>5644.0872374798064</v>
      </c>
      <c r="M198" s="122">
        <f t="shared" si="46"/>
        <v>12207165.67</v>
      </c>
      <c r="N198" s="116">
        <f t="shared" si="47"/>
        <v>8713475.6699999999</v>
      </c>
      <c r="O198" s="123">
        <f t="shared" si="48"/>
        <v>14076.697366720517</v>
      </c>
      <c r="P198" s="5"/>
      <c r="Q198" s="5">
        <f t="shared" si="38"/>
        <v>1</v>
      </c>
      <c r="R198" s="7">
        <f t="shared" si="39"/>
        <v>619</v>
      </c>
      <c r="S198" s="5">
        <f t="shared" si="40"/>
        <v>1</v>
      </c>
      <c r="T198" s="7">
        <f t="shared" si="41"/>
        <v>619</v>
      </c>
    </row>
    <row r="199" spans="1:20">
      <c r="A199" s="24" t="s">
        <v>582</v>
      </c>
      <c r="B199" s="35" t="s">
        <v>230</v>
      </c>
      <c r="C199" s="36">
        <v>461</v>
      </c>
      <c r="D199" s="6"/>
      <c r="E199" s="113">
        <v>16605255</v>
      </c>
      <c r="F199" s="116">
        <f t="shared" si="44"/>
        <v>36020.075921908894</v>
      </c>
      <c r="G199" s="117">
        <v>16600969</v>
      </c>
      <c r="H199" s="117">
        <f t="shared" si="45"/>
        <v>36010.778741865506</v>
      </c>
      <c r="I199" s="98" t="s">
        <v>528</v>
      </c>
      <c r="J199" s="10"/>
      <c r="K199" s="117"/>
      <c r="L199" s="120"/>
      <c r="M199" s="122">
        <f t="shared" si="46"/>
        <v>166009.69</v>
      </c>
      <c r="N199" s="116">
        <f t="shared" si="47"/>
        <v>166009.69</v>
      </c>
      <c r="O199" s="123">
        <f t="shared" si="48"/>
        <v>360.10778741865511</v>
      </c>
      <c r="P199" s="5"/>
      <c r="Q199" s="5">
        <f t="shared" ref="Q199:Q262" si="49">IF(E199&gt;0,1,0)</f>
        <v>1</v>
      </c>
      <c r="R199" s="7">
        <f t="shared" ref="R199:R262" si="50">IF(E199&gt;0,C199,0)</f>
        <v>461</v>
      </c>
      <c r="S199" s="5">
        <f t="shared" ref="S199:S262" si="51">IF(J199&gt;0,1,0)</f>
        <v>0</v>
      </c>
      <c r="T199" s="7">
        <f t="shared" ref="T199:T262" si="52">IF(J199&gt;0,C199,0)</f>
        <v>0</v>
      </c>
    </row>
    <row r="200" spans="1:20">
      <c r="A200" s="23" t="s">
        <v>446</v>
      </c>
      <c r="B200" s="35" t="s">
        <v>230</v>
      </c>
      <c r="C200" s="36">
        <v>1971</v>
      </c>
      <c r="D200" s="6"/>
      <c r="E200" s="113">
        <v>423787683</v>
      </c>
      <c r="F200" s="116">
        <f t="shared" si="44"/>
        <v>215011.50837138508</v>
      </c>
      <c r="G200" s="117">
        <v>372187257</v>
      </c>
      <c r="H200" s="117">
        <f t="shared" si="45"/>
        <v>188831.68797564687</v>
      </c>
      <c r="I200" s="7"/>
      <c r="J200" s="11">
        <v>1.8890000000000002</v>
      </c>
      <c r="K200" s="117">
        <v>703061</v>
      </c>
      <c r="L200" s="120">
        <f t="shared" ref="L200:L244" si="53">(K200/C200)</f>
        <v>356.70268899036023</v>
      </c>
      <c r="M200" s="122">
        <f t="shared" si="46"/>
        <v>3721872.5700000003</v>
      </c>
      <c r="N200" s="116">
        <f t="shared" si="47"/>
        <v>3018811.5700000003</v>
      </c>
      <c r="O200" s="123">
        <f t="shared" si="48"/>
        <v>1531.6141907661088</v>
      </c>
      <c r="P200" s="5"/>
      <c r="Q200" s="5">
        <f t="shared" si="49"/>
        <v>1</v>
      </c>
      <c r="R200" s="7">
        <f t="shared" si="50"/>
        <v>1971</v>
      </c>
      <c r="S200" s="5">
        <f t="shared" si="51"/>
        <v>1</v>
      </c>
      <c r="T200" s="7">
        <f t="shared" si="52"/>
        <v>1971</v>
      </c>
    </row>
    <row r="201" spans="1:20">
      <c r="A201" s="23" t="s">
        <v>231</v>
      </c>
      <c r="B201" s="35" t="s">
        <v>230</v>
      </c>
      <c r="C201" s="36">
        <v>14766</v>
      </c>
      <c r="D201" s="6"/>
      <c r="E201" s="113">
        <v>1377116977</v>
      </c>
      <c r="F201" s="116">
        <f t="shared" si="44"/>
        <v>93262.696532574832</v>
      </c>
      <c r="G201" s="117">
        <v>993729245</v>
      </c>
      <c r="H201" s="117">
        <f t="shared" si="45"/>
        <v>67298.472504402002</v>
      </c>
      <c r="I201" s="7"/>
      <c r="J201" s="10">
        <v>4.1539000000000001</v>
      </c>
      <c r="K201" s="117">
        <v>4127851</v>
      </c>
      <c r="L201" s="120">
        <f t="shared" si="53"/>
        <v>279.55106325342001</v>
      </c>
      <c r="M201" s="122">
        <f t="shared" si="46"/>
        <v>9937292.4500000011</v>
      </c>
      <c r="N201" s="116">
        <f t="shared" si="47"/>
        <v>5809441.4500000011</v>
      </c>
      <c r="O201" s="123">
        <f t="shared" si="48"/>
        <v>393.43366179060013</v>
      </c>
      <c r="P201" s="5"/>
      <c r="Q201" s="5">
        <f t="shared" si="49"/>
        <v>1</v>
      </c>
      <c r="R201" s="7">
        <f t="shared" si="50"/>
        <v>14766</v>
      </c>
      <c r="S201" s="5">
        <f t="shared" si="51"/>
        <v>1</v>
      </c>
      <c r="T201" s="7">
        <f t="shared" si="52"/>
        <v>14766</v>
      </c>
    </row>
    <row r="202" spans="1:20">
      <c r="A202" s="24" t="s">
        <v>232</v>
      </c>
      <c r="B202" s="37" t="s">
        <v>233</v>
      </c>
      <c r="C202" s="36">
        <v>25903</v>
      </c>
      <c r="D202" s="6"/>
      <c r="E202" s="113">
        <v>4231174387</v>
      </c>
      <c r="F202" s="116">
        <f t="shared" si="44"/>
        <v>163346.8859591553</v>
      </c>
      <c r="G202" s="117">
        <v>3917901391</v>
      </c>
      <c r="H202" s="117">
        <f t="shared" si="45"/>
        <v>151252.80434698684</v>
      </c>
      <c r="I202" s="7"/>
      <c r="J202" s="10">
        <v>2.2270000000000003</v>
      </c>
      <c r="K202" s="117">
        <v>8725166</v>
      </c>
      <c r="L202" s="120">
        <f t="shared" si="53"/>
        <v>336.83997992510518</v>
      </c>
      <c r="M202" s="122">
        <f t="shared" si="46"/>
        <v>39179013.910000004</v>
      </c>
      <c r="N202" s="116">
        <f t="shared" si="47"/>
        <v>30453847.910000004</v>
      </c>
      <c r="O202" s="123">
        <f t="shared" si="48"/>
        <v>1175.6880635447633</v>
      </c>
      <c r="P202" s="5"/>
      <c r="Q202" s="5">
        <f t="shared" si="49"/>
        <v>1</v>
      </c>
      <c r="R202" s="7">
        <f t="shared" si="50"/>
        <v>25903</v>
      </c>
      <c r="S202" s="5">
        <f t="shared" si="51"/>
        <v>1</v>
      </c>
      <c r="T202" s="7">
        <f t="shared" si="52"/>
        <v>25903</v>
      </c>
    </row>
    <row r="203" spans="1:20">
      <c r="A203" s="23" t="s">
        <v>234</v>
      </c>
      <c r="B203" s="37" t="s">
        <v>233</v>
      </c>
      <c r="C203" s="36">
        <v>3317</v>
      </c>
      <c r="D203" s="6"/>
      <c r="E203" s="113">
        <v>1157469532</v>
      </c>
      <c r="F203" s="116">
        <f t="shared" si="44"/>
        <v>348950.71811878204</v>
      </c>
      <c r="G203" s="117">
        <v>1096384787</v>
      </c>
      <c r="H203" s="117">
        <f t="shared" si="45"/>
        <v>330535.05788362981</v>
      </c>
      <c r="I203" s="7"/>
      <c r="J203" s="11">
        <v>3.23</v>
      </c>
      <c r="K203" s="117">
        <v>3541322</v>
      </c>
      <c r="L203" s="120">
        <f t="shared" si="53"/>
        <v>1067.62797708773</v>
      </c>
      <c r="M203" s="122">
        <f t="shared" si="46"/>
        <v>10963847.870000001</v>
      </c>
      <c r="N203" s="116">
        <f t="shared" si="47"/>
        <v>7422525.870000001</v>
      </c>
      <c r="O203" s="123">
        <f t="shared" si="48"/>
        <v>2237.7226017485682</v>
      </c>
      <c r="P203" s="5"/>
      <c r="Q203" s="5">
        <f t="shared" si="49"/>
        <v>1</v>
      </c>
      <c r="R203" s="7">
        <f t="shared" si="50"/>
        <v>3317</v>
      </c>
      <c r="S203" s="5">
        <f t="shared" si="51"/>
        <v>1</v>
      </c>
      <c r="T203" s="7">
        <f t="shared" si="52"/>
        <v>3317</v>
      </c>
    </row>
    <row r="204" spans="1:20">
      <c r="A204" s="23" t="s">
        <v>235</v>
      </c>
      <c r="B204" s="37" t="s">
        <v>233</v>
      </c>
      <c r="C204" s="36">
        <v>5150</v>
      </c>
      <c r="D204" s="6"/>
      <c r="E204" s="113">
        <v>405714265</v>
      </c>
      <c r="F204" s="116">
        <f t="shared" si="44"/>
        <v>78779.468932038828</v>
      </c>
      <c r="G204" s="117">
        <v>328779344</v>
      </c>
      <c r="H204" s="117">
        <f t="shared" si="45"/>
        <v>63840.649320388351</v>
      </c>
      <c r="I204" s="7"/>
      <c r="J204" s="10">
        <v>5</v>
      </c>
      <c r="K204" s="117">
        <v>1643896</v>
      </c>
      <c r="L204" s="120">
        <f t="shared" si="53"/>
        <v>319.20310679611651</v>
      </c>
      <c r="M204" s="122">
        <f t="shared" si="46"/>
        <v>3287793.44</v>
      </c>
      <c r="N204" s="116">
        <f t="shared" si="47"/>
        <v>1643897.44</v>
      </c>
      <c r="O204" s="123">
        <f t="shared" si="48"/>
        <v>319.20338640776697</v>
      </c>
      <c r="P204" s="5"/>
      <c r="Q204" s="5">
        <f t="shared" si="49"/>
        <v>1</v>
      </c>
      <c r="R204" s="7">
        <f t="shared" si="50"/>
        <v>5150</v>
      </c>
      <c r="S204" s="5">
        <f t="shared" si="51"/>
        <v>1</v>
      </c>
      <c r="T204" s="7">
        <f t="shared" si="52"/>
        <v>5150</v>
      </c>
    </row>
    <row r="205" spans="1:20">
      <c r="A205" s="23" t="s">
        <v>236</v>
      </c>
      <c r="B205" s="37" t="s">
        <v>233</v>
      </c>
      <c r="C205" s="36">
        <v>3289</v>
      </c>
      <c r="D205" s="6"/>
      <c r="E205" s="113">
        <v>128429035</v>
      </c>
      <c r="F205" s="116">
        <f t="shared" si="44"/>
        <v>39048.049559136518</v>
      </c>
      <c r="G205" s="117">
        <v>94002889</v>
      </c>
      <c r="H205" s="117">
        <f t="shared" si="45"/>
        <v>28580.993919124354</v>
      </c>
      <c r="I205" s="7"/>
      <c r="J205" s="10">
        <v>8.6999999999999993</v>
      </c>
      <c r="K205" s="117">
        <v>817825</v>
      </c>
      <c r="L205" s="120">
        <f t="shared" si="53"/>
        <v>248.65460626330193</v>
      </c>
      <c r="M205" s="122">
        <f t="shared" si="46"/>
        <v>940028.89</v>
      </c>
      <c r="N205" s="116">
        <f t="shared" si="47"/>
        <v>122203.89000000001</v>
      </c>
      <c r="O205" s="123">
        <f t="shared" si="48"/>
        <v>37.155332927941629</v>
      </c>
      <c r="P205" s="5"/>
      <c r="Q205" s="5">
        <f t="shared" si="49"/>
        <v>1</v>
      </c>
      <c r="R205" s="7">
        <f t="shared" si="50"/>
        <v>3289</v>
      </c>
      <c r="S205" s="5">
        <f t="shared" si="51"/>
        <v>1</v>
      </c>
      <c r="T205" s="7">
        <f t="shared" si="52"/>
        <v>3289</v>
      </c>
    </row>
    <row r="206" spans="1:20">
      <c r="A206" s="23" t="s">
        <v>237</v>
      </c>
      <c r="B206" s="37" t="s">
        <v>233</v>
      </c>
      <c r="C206" s="36">
        <v>42746</v>
      </c>
      <c r="D206" s="6"/>
      <c r="E206" s="113">
        <v>8130487388</v>
      </c>
      <c r="F206" s="116">
        <f t="shared" si="44"/>
        <v>190204.63641042437</v>
      </c>
      <c r="G206" s="117">
        <v>6575149530</v>
      </c>
      <c r="H206" s="117">
        <f t="shared" si="45"/>
        <v>153819.05979506855</v>
      </c>
      <c r="I206" s="7"/>
      <c r="J206" s="10">
        <v>5.8410000000000002</v>
      </c>
      <c r="K206" s="117">
        <v>38405448</v>
      </c>
      <c r="L206" s="120">
        <f t="shared" si="53"/>
        <v>898.45711879474106</v>
      </c>
      <c r="M206" s="122">
        <f t="shared" si="46"/>
        <v>65751495.300000004</v>
      </c>
      <c r="N206" s="116">
        <f t="shared" si="47"/>
        <v>27346047.300000004</v>
      </c>
      <c r="O206" s="123">
        <f t="shared" si="48"/>
        <v>639.73347915594456</v>
      </c>
      <c r="P206" s="5"/>
      <c r="Q206" s="5">
        <f t="shared" si="49"/>
        <v>1</v>
      </c>
      <c r="R206" s="7">
        <f t="shared" si="50"/>
        <v>42746</v>
      </c>
      <c r="S206" s="5">
        <f t="shared" si="51"/>
        <v>1</v>
      </c>
      <c r="T206" s="7">
        <f t="shared" si="52"/>
        <v>42746</v>
      </c>
    </row>
    <row r="207" spans="1:20">
      <c r="A207" s="23" t="s">
        <v>238</v>
      </c>
      <c r="B207" s="37" t="s">
        <v>233</v>
      </c>
      <c r="C207" s="36">
        <v>2535</v>
      </c>
      <c r="D207" s="6"/>
      <c r="E207" s="113">
        <v>85537371</v>
      </c>
      <c r="F207" s="116">
        <f t="shared" si="44"/>
        <v>33742.552662721893</v>
      </c>
      <c r="G207" s="117">
        <v>51989361</v>
      </c>
      <c r="H207" s="117">
        <f t="shared" si="45"/>
        <v>20508.623668639055</v>
      </c>
      <c r="I207" s="7"/>
      <c r="J207" s="10">
        <v>8.6999999999999993</v>
      </c>
      <c r="K207" s="117">
        <v>452307</v>
      </c>
      <c r="L207" s="120">
        <f t="shared" si="53"/>
        <v>178.42485207100592</v>
      </c>
      <c r="M207" s="122">
        <f t="shared" si="46"/>
        <v>519893.61</v>
      </c>
      <c r="N207" s="116">
        <f t="shared" si="47"/>
        <v>67586.609999999986</v>
      </c>
      <c r="O207" s="123">
        <f t="shared" si="48"/>
        <v>26.661384615384609</v>
      </c>
      <c r="P207" s="5"/>
      <c r="Q207" s="5">
        <f t="shared" si="49"/>
        <v>1</v>
      </c>
      <c r="R207" s="7">
        <f t="shared" si="50"/>
        <v>2535</v>
      </c>
      <c r="S207" s="5">
        <f t="shared" si="51"/>
        <v>1</v>
      </c>
      <c r="T207" s="7">
        <f t="shared" si="52"/>
        <v>2535</v>
      </c>
    </row>
    <row r="208" spans="1:20">
      <c r="A208" s="23" t="s">
        <v>239</v>
      </c>
      <c r="B208" s="37" t="s">
        <v>233</v>
      </c>
      <c r="C208" s="36">
        <v>7986</v>
      </c>
      <c r="D208" s="6"/>
      <c r="E208" s="113">
        <v>293331863</v>
      </c>
      <c r="F208" s="116">
        <f t="shared" si="44"/>
        <v>36730.761707988982</v>
      </c>
      <c r="G208" s="117">
        <v>217075682</v>
      </c>
      <c r="H208" s="117">
        <f t="shared" si="45"/>
        <v>27182.028800400702</v>
      </c>
      <c r="I208" s="7"/>
      <c r="J208" s="10">
        <v>8.9</v>
      </c>
      <c r="K208" s="117">
        <v>1931973</v>
      </c>
      <c r="L208" s="120">
        <f t="shared" si="53"/>
        <v>241.91998497370398</v>
      </c>
      <c r="M208" s="122">
        <f t="shared" si="46"/>
        <v>2170756.8199999998</v>
      </c>
      <c r="N208" s="116">
        <f t="shared" si="47"/>
        <v>238783.81999999983</v>
      </c>
      <c r="O208" s="123">
        <f t="shared" si="48"/>
        <v>29.900303030303011</v>
      </c>
      <c r="P208" s="5"/>
      <c r="Q208" s="5">
        <f t="shared" si="49"/>
        <v>1</v>
      </c>
      <c r="R208" s="7">
        <f t="shared" si="50"/>
        <v>7986</v>
      </c>
      <c r="S208" s="5">
        <f t="shared" si="51"/>
        <v>1</v>
      </c>
      <c r="T208" s="7">
        <f t="shared" si="52"/>
        <v>7986</v>
      </c>
    </row>
    <row r="209" spans="1:20">
      <c r="A209" s="23" t="s">
        <v>240</v>
      </c>
      <c r="B209" s="37" t="s">
        <v>233</v>
      </c>
      <c r="C209" s="36">
        <v>915</v>
      </c>
      <c r="D209" s="6"/>
      <c r="E209" s="113">
        <v>418156897</v>
      </c>
      <c r="F209" s="116">
        <f t="shared" si="44"/>
        <v>457002.07322404371</v>
      </c>
      <c r="G209" s="117">
        <v>342292175</v>
      </c>
      <c r="H209" s="117">
        <f t="shared" si="45"/>
        <v>374089.80874316941</v>
      </c>
      <c r="I209" s="7"/>
      <c r="J209" s="10">
        <v>8.59</v>
      </c>
      <c r="K209" s="117">
        <v>2940289</v>
      </c>
      <c r="L209" s="120">
        <f t="shared" si="53"/>
        <v>3213.4306010928963</v>
      </c>
      <c r="M209" s="122">
        <f t="shared" si="46"/>
        <v>3422921.75</v>
      </c>
      <c r="N209" s="116">
        <f t="shared" si="47"/>
        <v>482632.75</v>
      </c>
      <c r="O209" s="123">
        <f t="shared" si="48"/>
        <v>527.46748633879781</v>
      </c>
      <c r="P209" s="5"/>
      <c r="Q209" s="5">
        <f t="shared" si="49"/>
        <v>1</v>
      </c>
      <c r="R209" s="7">
        <f t="shared" si="50"/>
        <v>915</v>
      </c>
      <c r="S209" s="5">
        <f t="shared" si="51"/>
        <v>1</v>
      </c>
      <c r="T209" s="7">
        <f t="shared" si="52"/>
        <v>915</v>
      </c>
    </row>
    <row r="210" spans="1:20">
      <c r="A210" s="23" t="s">
        <v>241</v>
      </c>
      <c r="B210" s="37" t="s">
        <v>233</v>
      </c>
      <c r="C210" s="36">
        <v>230059</v>
      </c>
      <c r="D210" s="6"/>
      <c r="E210" s="113">
        <v>7600307284</v>
      </c>
      <c r="F210" s="116">
        <f t="shared" si="44"/>
        <v>33036.339738936535</v>
      </c>
      <c r="G210" s="117">
        <v>5545202484</v>
      </c>
      <c r="H210" s="117">
        <f t="shared" si="45"/>
        <v>24103.3929731069</v>
      </c>
      <c r="I210" s="7"/>
      <c r="J210" s="10">
        <v>7.5280000000000005</v>
      </c>
      <c r="K210" s="117">
        <v>41744284</v>
      </c>
      <c r="L210" s="120">
        <f t="shared" si="53"/>
        <v>181.45034099948273</v>
      </c>
      <c r="M210" s="122">
        <f t="shared" si="46"/>
        <v>55452024.840000004</v>
      </c>
      <c r="N210" s="116">
        <f t="shared" si="47"/>
        <v>13707740.840000004</v>
      </c>
      <c r="O210" s="123">
        <f t="shared" si="48"/>
        <v>59.583588731586261</v>
      </c>
      <c r="P210" s="5"/>
      <c r="Q210" s="5">
        <f t="shared" si="49"/>
        <v>1</v>
      </c>
      <c r="R210" s="7">
        <f t="shared" si="50"/>
        <v>230059</v>
      </c>
      <c r="S210" s="5">
        <f t="shared" si="51"/>
        <v>1</v>
      </c>
      <c r="T210" s="7">
        <f t="shared" si="52"/>
        <v>230059</v>
      </c>
    </row>
    <row r="211" spans="1:20">
      <c r="A211" s="23" t="s">
        <v>242</v>
      </c>
      <c r="B211" s="37" t="s">
        <v>233</v>
      </c>
      <c r="C211" s="36">
        <v>19655</v>
      </c>
      <c r="D211" s="6"/>
      <c r="E211" s="113">
        <v>722832005</v>
      </c>
      <c r="F211" s="116">
        <f t="shared" si="44"/>
        <v>36775.986008649197</v>
      </c>
      <c r="G211" s="117">
        <v>565255613</v>
      </c>
      <c r="H211" s="117">
        <f t="shared" si="45"/>
        <v>28758.871177817349</v>
      </c>
      <c r="I211" s="7"/>
      <c r="J211" s="10">
        <v>6.48</v>
      </c>
      <c r="K211" s="117">
        <v>3662856</v>
      </c>
      <c r="L211" s="120">
        <f t="shared" si="53"/>
        <v>186.35746629356399</v>
      </c>
      <c r="M211" s="122">
        <f t="shared" si="46"/>
        <v>5652556.1299999999</v>
      </c>
      <c r="N211" s="116">
        <f t="shared" si="47"/>
        <v>1989700.13</v>
      </c>
      <c r="O211" s="123">
        <f t="shared" si="48"/>
        <v>101.2312454846095</v>
      </c>
      <c r="P211" s="5"/>
      <c r="Q211" s="5">
        <f t="shared" si="49"/>
        <v>1</v>
      </c>
      <c r="R211" s="7">
        <f t="shared" si="50"/>
        <v>19655</v>
      </c>
      <c r="S211" s="5">
        <f t="shared" si="51"/>
        <v>1</v>
      </c>
      <c r="T211" s="7">
        <f t="shared" si="52"/>
        <v>19655</v>
      </c>
    </row>
    <row r="212" spans="1:20">
      <c r="A212" s="23" t="s">
        <v>243</v>
      </c>
      <c r="B212" s="37" t="s">
        <v>233</v>
      </c>
      <c r="C212" s="36">
        <v>32300</v>
      </c>
      <c r="D212" s="6"/>
      <c r="E212" s="113">
        <v>1028811289</v>
      </c>
      <c r="F212" s="116">
        <f t="shared" si="44"/>
        <v>31851.742693498451</v>
      </c>
      <c r="G212" s="117">
        <v>692755504</v>
      </c>
      <c r="H212" s="117">
        <f t="shared" si="45"/>
        <v>21447.538823529412</v>
      </c>
      <c r="I212" s="7"/>
      <c r="J212" s="10">
        <v>8.5</v>
      </c>
      <c r="K212" s="117">
        <v>5888421</v>
      </c>
      <c r="L212" s="120">
        <f t="shared" si="53"/>
        <v>182.30405572755419</v>
      </c>
      <c r="M212" s="122">
        <f t="shared" si="46"/>
        <v>6927555.04</v>
      </c>
      <c r="N212" s="116">
        <f t="shared" si="47"/>
        <v>1039134.04</v>
      </c>
      <c r="O212" s="123">
        <f t="shared" si="48"/>
        <v>32.17133250773994</v>
      </c>
      <c r="P212" s="5"/>
      <c r="Q212" s="5">
        <f t="shared" si="49"/>
        <v>1</v>
      </c>
      <c r="R212" s="7">
        <f t="shared" si="50"/>
        <v>32300</v>
      </c>
      <c r="S212" s="5">
        <f t="shared" si="51"/>
        <v>1</v>
      </c>
      <c r="T212" s="7">
        <f t="shared" si="52"/>
        <v>32300</v>
      </c>
    </row>
    <row r="213" spans="1:20">
      <c r="A213" s="23" t="s">
        <v>244</v>
      </c>
      <c r="B213" s="37" t="s">
        <v>233</v>
      </c>
      <c r="C213" s="36">
        <v>33</v>
      </c>
      <c r="D213" s="6"/>
      <c r="E213" s="113">
        <v>222078460</v>
      </c>
      <c r="F213" s="116">
        <f t="shared" si="44"/>
        <v>6729650.3030303027</v>
      </c>
      <c r="G213" s="117">
        <v>198692349</v>
      </c>
      <c r="H213" s="117">
        <f t="shared" si="45"/>
        <v>6020980.2727272725</v>
      </c>
      <c r="I213" s="7"/>
      <c r="J213" s="10">
        <v>8.9612000000000016</v>
      </c>
      <c r="K213" s="117">
        <v>1780521</v>
      </c>
      <c r="L213" s="120">
        <f t="shared" si="53"/>
        <v>53955.181818181816</v>
      </c>
      <c r="M213" s="122">
        <f t="shared" si="46"/>
        <v>1986923.49</v>
      </c>
      <c r="N213" s="116">
        <f t="shared" si="47"/>
        <v>206402.49</v>
      </c>
      <c r="O213" s="123">
        <f t="shared" si="48"/>
        <v>6254.6209090909088</v>
      </c>
      <c r="P213" s="5"/>
      <c r="Q213" s="5">
        <f t="shared" si="49"/>
        <v>1</v>
      </c>
      <c r="R213" s="7">
        <f t="shared" si="50"/>
        <v>33</v>
      </c>
      <c r="S213" s="5">
        <f t="shared" si="51"/>
        <v>1</v>
      </c>
      <c r="T213" s="7">
        <f t="shared" si="52"/>
        <v>33</v>
      </c>
    </row>
    <row r="214" spans="1:20">
      <c r="A214" s="23" t="s">
        <v>245</v>
      </c>
      <c r="B214" s="37" t="s">
        <v>233</v>
      </c>
      <c r="C214" s="36">
        <v>6</v>
      </c>
      <c r="D214" s="6"/>
      <c r="E214" s="113">
        <v>9406182</v>
      </c>
      <c r="F214" s="116">
        <f t="shared" si="44"/>
        <v>1567697</v>
      </c>
      <c r="G214" s="117">
        <v>243645</v>
      </c>
      <c r="H214" s="117">
        <f t="shared" si="45"/>
        <v>40607.5</v>
      </c>
      <c r="I214" s="7"/>
      <c r="J214" s="10">
        <v>10</v>
      </c>
      <c r="K214" s="117">
        <v>2436</v>
      </c>
      <c r="L214" s="120">
        <f t="shared" si="53"/>
        <v>406</v>
      </c>
      <c r="M214" s="122">
        <f t="shared" si="46"/>
        <v>2436.4500000000003</v>
      </c>
      <c r="N214" s="116">
        <f t="shared" si="47"/>
        <v>0.45000000000027285</v>
      </c>
      <c r="O214" s="123">
        <f t="shared" si="48"/>
        <v>7.5000000000045475E-2</v>
      </c>
      <c r="P214" s="5"/>
      <c r="Q214" s="5">
        <f t="shared" si="49"/>
        <v>1</v>
      </c>
      <c r="R214" s="7">
        <f t="shared" si="50"/>
        <v>6</v>
      </c>
      <c r="S214" s="5">
        <f t="shared" si="51"/>
        <v>1</v>
      </c>
      <c r="T214" s="7">
        <f t="shared" si="52"/>
        <v>6</v>
      </c>
    </row>
    <row r="215" spans="1:20">
      <c r="A215" s="23" t="s">
        <v>246</v>
      </c>
      <c r="B215" s="37" t="s">
        <v>233</v>
      </c>
      <c r="C215" s="36">
        <v>10607</v>
      </c>
      <c r="D215" s="6"/>
      <c r="E215" s="113">
        <v>2985121911</v>
      </c>
      <c r="F215" s="116">
        <f t="shared" si="44"/>
        <v>281429.42500235693</v>
      </c>
      <c r="G215" s="117">
        <v>2731835568</v>
      </c>
      <c r="H215" s="117">
        <f t="shared" si="45"/>
        <v>257550.25624587535</v>
      </c>
      <c r="I215" s="7"/>
      <c r="J215" s="10">
        <v>3.6060000000000003</v>
      </c>
      <c r="K215" s="117">
        <v>9850999</v>
      </c>
      <c r="L215" s="120">
        <f t="shared" si="53"/>
        <v>928.72621853492979</v>
      </c>
      <c r="M215" s="122">
        <f t="shared" si="46"/>
        <v>27318355.68</v>
      </c>
      <c r="N215" s="116">
        <f t="shared" si="47"/>
        <v>17467356.68</v>
      </c>
      <c r="O215" s="123">
        <f t="shared" si="48"/>
        <v>1646.7763439238238</v>
      </c>
      <c r="P215" s="5"/>
      <c r="Q215" s="5">
        <f t="shared" si="49"/>
        <v>1</v>
      </c>
      <c r="R215" s="7">
        <f t="shared" si="50"/>
        <v>10607</v>
      </c>
      <c r="S215" s="5">
        <f t="shared" si="51"/>
        <v>1</v>
      </c>
      <c r="T215" s="7">
        <f t="shared" si="52"/>
        <v>10607</v>
      </c>
    </row>
    <row r="216" spans="1:20">
      <c r="A216" s="23" t="s">
        <v>247</v>
      </c>
      <c r="B216" s="37" t="s">
        <v>233</v>
      </c>
      <c r="C216" s="36">
        <v>1115</v>
      </c>
      <c r="D216" s="6"/>
      <c r="E216" s="113">
        <v>751422028</v>
      </c>
      <c r="F216" s="116">
        <f t="shared" si="44"/>
        <v>673921.10134529148</v>
      </c>
      <c r="G216" s="117">
        <v>742514993</v>
      </c>
      <c r="H216" s="117">
        <f t="shared" si="45"/>
        <v>665932.72914798209</v>
      </c>
      <c r="I216" s="7"/>
      <c r="J216" s="10">
        <v>7.9230000000000009</v>
      </c>
      <c r="K216" s="117">
        <v>5882946</v>
      </c>
      <c r="L216" s="120">
        <f t="shared" si="53"/>
        <v>5276.184753363229</v>
      </c>
      <c r="M216" s="122">
        <f t="shared" si="46"/>
        <v>7425149.9299999997</v>
      </c>
      <c r="N216" s="116">
        <f t="shared" si="47"/>
        <v>1542203.9299999997</v>
      </c>
      <c r="O216" s="123">
        <f t="shared" si="48"/>
        <v>1383.1425381165916</v>
      </c>
      <c r="P216" s="5"/>
      <c r="Q216" s="5">
        <f t="shared" si="49"/>
        <v>1</v>
      </c>
      <c r="R216" s="7">
        <f t="shared" si="50"/>
        <v>1115</v>
      </c>
      <c r="S216" s="5">
        <f t="shared" si="51"/>
        <v>1</v>
      </c>
      <c r="T216" s="7">
        <f t="shared" si="52"/>
        <v>1115</v>
      </c>
    </row>
    <row r="217" spans="1:20">
      <c r="A217" s="23" t="s">
        <v>248</v>
      </c>
      <c r="B217" s="37" t="s">
        <v>233</v>
      </c>
      <c r="C217" s="36">
        <v>364001</v>
      </c>
      <c r="D217" s="6"/>
      <c r="E217" s="113">
        <v>22357077887</v>
      </c>
      <c r="F217" s="116">
        <f t="shared" si="44"/>
        <v>61420.374908310689</v>
      </c>
      <c r="G217" s="117">
        <v>15454876272</v>
      </c>
      <c r="H217" s="117">
        <f t="shared" si="45"/>
        <v>42458.33465292678</v>
      </c>
      <c r="I217" s="7"/>
      <c r="J217" s="10">
        <v>8.9949999999999992</v>
      </c>
      <c r="K217" s="117">
        <v>139016612</v>
      </c>
      <c r="L217" s="120">
        <f t="shared" si="53"/>
        <v>381.91272001999994</v>
      </c>
      <c r="M217" s="122">
        <f t="shared" si="46"/>
        <v>154548762.72</v>
      </c>
      <c r="N217" s="116">
        <f t="shared" si="47"/>
        <v>15532150.719999999</v>
      </c>
      <c r="O217" s="123">
        <f t="shared" si="48"/>
        <v>42.670626509267827</v>
      </c>
      <c r="P217" s="5"/>
      <c r="Q217" s="5">
        <f t="shared" si="49"/>
        <v>1</v>
      </c>
      <c r="R217" s="7">
        <f t="shared" si="50"/>
        <v>364001</v>
      </c>
      <c r="S217" s="5">
        <f t="shared" si="51"/>
        <v>1</v>
      </c>
      <c r="T217" s="7">
        <f t="shared" si="52"/>
        <v>364001</v>
      </c>
    </row>
    <row r="218" spans="1:20">
      <c r="A218" s="23" t="s">
        <v>249</v>
      </c>
      <c r="B218" s="37" t="s">
        <v>233</v>
      </c>
      <c r="C218" s="36">
        <v>88158</v>
      </c>
      <c r="D218" s="6"/>
      <c r="E218" s="113">
        <v>11404518963</v>
      </c>
      <c r="F218" s="116">
        <f t="shared" si="44"/>
        <v>129364.53824950657</v>
      </c>
      <c r="G218" s="117">
        <v>9400409276</v>
      </c>
      <c r="H218" s="117">
        <f t="shared" si="45"/>
        <v>106631.38088432133</v>
      </c>
      <c r="I218" s="7"/>
      <c r="J218" s="10">
        <v>7.2990000000000004</v>
      </c>
      <c r="K218" s="117">
        <v>68613587</v>
      </c>
      <c r="L218" s="120">
        <f t="shared" si="53"/>
        <v>778.3024456090202</v>
      </c>
      <c r="M218" s="122">
        <f t="shared" si="46"/>
        <v>94004092.760000005</v>
      </c>
      <c r="N218" s="116">
        <f t="shared" si="47"/>
        <v>25390505.760000005</v>
      </c>
      <c r="O218" s="123">
        <f t="shared" si="48"/>
        <v>288.0113632341932</v>
      </c>
      <c r="P218" s="5"/>
      <c r="Q218" s="5">
        <f t="shared" si="49"/>
        <v>1</v>
      </c>
      <c r="R218" s="7">
        <f t="shared" si="50"/>
        <v>88158</v>
      </c>
      <c r="S218" s="5">
        <f t="shared" si="51"/>
        <v>1</v>
      </c>
      <c r="T218" s="7">
        <f t="shared" si="52"/>
        <v>88158</v>
      </c>
    </row>
    <row r="219" spans="1:20">
      <c r="A219" s="23" t="s">
        <v>459</v>
      </c>
      <c r="B219" s="37" t="s">
        <v>233</v>
      </c>
      <c r="C219" s="36">
        <v>22676</v>
      </c>
      <c r="D219" s="6"/>
      <c r="E219" s="113">
        <v>2094202698</v>
      </c>
      <c r="F219" s="116">
        <f t="shared" si="44"/>
        <v>92353.267683894868</v>
      </c>
      <c r="G219" s="117">
        <v>1730127645</v>
      </c>
      <c r="H219" s="117">
        <f t="shared" si="45"/>
        <v>76297.744090668552</v>
      </c>
      <c r="I219" s="7"/>
      <c r="J219" s="10">
        <v>3.0570000000000004</v>
      </c>
      <c r="K219" s="117">
        <v>5289000</v>
      </c>
      <c r="L219" s="120">
        <f t="shared" si="53"/>
        <v>233.24219439054508</v>
      </c>
      <c r="M219" s="122">
        <f t="shared" si="46"/>
        <v>17301276.449999999</v>
      </c>
      <c r="N219" s="116">
        <f t="shared" si="47"/>
        <v>12012276.449999999</v>
      </c>
      <c r="O219" s="123">
        <f t="shared" si="48"/>
        <v>529.73524651614036</v>
      </c>
      <c r="P219" s="5"/>
      <c r="Q219" s="5">
        <f t="shared" si="49"/>
        <v>1</v>
      </c>
      <c r="R219" s="7">
        <f t="shared" si="50"/>
        <v>22676</v>
      </c>
      <c r="S219" s="5">
        <f t="shared" si="51"/>
        <v>1</v>
      </c>
      <c r="T219" s="7">
        <f t="shared" si="52"/>
        <v>22676</v>
      </c>
    </row>
    <row r="220" spans="1:20">
      <c r="A220" s="23" t="s">
        <v>250</v>
      </c>
      <c r="B220" s="37" t="s">
        <v>233</v>
      </c>
      <c r="C220" s="36">
        <v>10430</v>
      </c>
      <c r="D220" s="6"/>
      <c r="E220" s="113">
        <v>701771711</v>
      </c>
      <c r="F220" s="116">
        <f t="shared" si="44"/>
        <v>67283.960786193667</v>
      </c>
      <c r="G220" s="117">
        <v>440386523</v>
      </c>
      <c r="H220" s="117">
        <f t="shared" si="45"/>
        <v>42223.060690316393</v>
      </c>
      <c r="I220" s="7"/>
      <c r="J220" s="10">
        <v>8</v>
      </c>
      <c r="K220" s="117">
        <v>3523092</v>
      </c>
      <c r="L220" s="120">
        <f t="shared" si="53"/>
        <v>337.78446788111216</v>
      </c>
      <c r="M220" s="122">
        <f t="shared" si="46"/>
        <v>4403865.2300000004</v>
      </c>
      <c r="N220" s="116">
        <f t="shared" si="47"/>
        <v>880773.23000000045</v>
      </c>
      <c r="O220" s="123">
        <f t="shared" si="48"/>
        <v>84.44613902205181</v>
      </c>
      <c r="P220" s="5"/>
      <c r="Q220" s="5">
        <f t="shared" si="49"/>
        <v>1</v>
      </c>
      <c r="R220" s="7">
        <f t="shared" si="50"/>
        <v>10430</v>
      </c>
      <c r="S220" s="5">
        <f t="shared" si="51"/>
        <v>1</v>
      </c>
      <c r="T220" s="7">
        <f t="shared" si="52"/>
        <v>10430</v>
      </c>
    </row>
    <row r="221" spans="1:20">
      <c r="A221" s="23" t="s">
        <v>251</v>
      </c>
      <c r="B221" s="37" t="s">
        <v>233</v>
      </c>
      <c r="C221" s="36">
        <v>13684</v>
      </c>
      <c r="D221" s="6"/>
      <c r="E221" s="113">
        <v>834776746</v>
      </c>
      <c r="F221" s="116">
        <f t="shared" si="44"/>
        <v>61003.854574685764</v>
      </c>
      <c r="G221" s="117">
        <v>651671628</v>
      </c>
      <c r="H221" s="117">
        <f t="shared" si="45"/>
        <v>47622.890090616776</v>
      </c>
      <c r="I221" s="7"/>
      <c r="J221" s="10">
        <v>7.75</v>
      </c>
      <c r="K221" s="117">
        <v>5050455</v>
      </c>
      <c r="L221" s="120">
        <f t="shared" si="53"/>
        <v>369.0773896521485</v>
      </c>
      <c r="M221" s="122">
        <f t="shared" si="46"/>
        <v>6516716.2800000003</v>
      </c>
      <c r="N221" s="116">
        <f t="shared" si="47"/>
        <v>1466261.2800000003</v>
      </c>
      <c r="O221" s="123">
        <f t="shared" si="48"/>
        <v>107.15151125401931</v>
      </c>
      <c r="P221" s="5"/>
      <c r="Q221" s="5">
        <f t="shared" si="49"/>
        <v>1</v>
      </c>
      <c r="R221" s="7">
        <f t="shared" si="50"/>
        <v>13684</v>
      </c>
      <c r="S221" s="5">
        <f t="shared" si="51"/>
        <v>1</v>
      </c>
      <c r="T221" s="7">
        <f t="shared" si="52"/>
        <v>13684</v>
      </c>
    </row>
    <row r="222" spans="1:20">
      <c r="A222" s="23" t="s">
        <v>252</v>
      </c>
      <c r="B222" s="37" t="s">
        <v>233</v>
      </c>
      <c r="C222" s="36">
        <v>6798</v>
      </c>
      <c r="D222" s="6"/>
      <c r="E222" s="113">
        <v>294761491</v>
      </c>
      <c r="F222" s="116">
        <f t="shared" ref="F222:F285" si="54">(E222/C222)</f>
        <v>43360.03103854075</v>
      </c>
      <c r="G222" s="117">
        <v>253259637</v>
      </c>
      <c r="H222" s="117">
        <f t="shared" ref="H222:H285" si="55">(G222/C222)</f>
        <v>37255.021624007059</v>
      </c>
      <c r="I222" s="7"/>
      <c r="J222" s="10">
        <v>5.7642000000000007</v>
      </c>
      <c r="K222" s="117">
        <v>1459839</v>
      </c>
      <c r="L222" s="120">
        <f t="shared" si="53"/>
        <v>214.74536628420122</v>
      </c>
      <c r="M222" s="122">
        <f t="shared" si="46"/>
        <v>2532596.37</v>
      </c>
      <c r="N222" s="116">
        <f t="shared" si="47"/>
        <v>1072757.3700000001</v>
      </c>
      <c r="O222" s="123">
        <f t="shared" si="48"/>
        <v>157.8048499558694</v>
      </c>
      <c r="P222" s="5"/>
      <c r="Q222" s="5">
        <f t="shared" si="49"/>
        <v>1</v>
      </c>
      <c r="R222" s="7">
        <f t="shared" si="50"/>
        <v>6798</v>
      </c>
      <c r="S222" s="5">
        <f t="shared" si="51"/>
        <v>1</v>
      </c>
      <c r="T222" s="7">
        <f t="shared" si="52"/>
        <v>6798</v>
      </c>
    </row>
    <row r="223" spans="1:20">
      <c r="A223" s="23" t="s">
        <v>253</v>
      </c>
      <c r="B223" s="37" t="s">
        <v>233</v>
      </c>
      <c r="C223" s="36">
        <v>59688</v>
      </c>
      <c r="D223" s="6"/>
      <c r="E223" s="113">
        <v>1987080732</v>
      </c>
      <c r="F223" s="116">
        <f t="shared" si="54"/>
        <v>33291.126055488538</v>
      </c>
      <c r="G223" s="117">
        <v>1387724752</v>
      </c>
      <c r="H223" s="117">
        <f t="shared" si="55"/>
        <v>23249.644015547514</v>
      </c>
      <c r="I223" s="7"/>
      <c r="J223" s="10">
        <v>8.5</v>
      </c>
      <c r="K223" s="117">
        <v>11795660</v>
      </c>
      <c r="L223" s="120">
        <f t="shared" si="53"/>
        <v>197.6219675646696</v>
      </c>
      <c r="M223" s="122">
        <f t="shared" ref="M223:M286" si="56">(G223*0.01)</f>
        <v>13877247.52</v>
      </c>
      <c r="N223" s="116">
        <f t="shared" ref="N223:N286" si="57">(M223-K223)</f>
        <v>2081587.5199999996</v>
      </c>
      <c r="O223" s="123">
        <f t="shared" ref="O223:O286" si="58">(N223/C223)</f>
        <v>34.874472590805517</v>
      </c>
      <c r="P223" s="5"/>
      <c r="Q223" s="5">
        <f t="shared" si="49"/>
        <v>1</v>
      </c>
      <c r="R223" s="7">
        <f t="shared" si="50"/>
        <v>59688</v>
      </c>
      <c r="S223" s="5">
        <f t="shared" si="51"/>
        <v>1</v>
      </c>
      <c r="T223" s="7">
        <f t="shared" si="52"/>
        <v>59688</v>
      </c>
    </row>
    <row r="224" spans="1:20">
      <c r="A224" s="23" t="s">
        <v>254</v>
      </c>
      <c r="B224" s="37" t="s">
        <v>233</v>
      </c>
      <c r="C224" s="36">
        <v>40929</v>
      </c>
      <c r="D224" s="6"/>
      <c r="E224" s="113">
        <v>1667907013</v>
      </c>
      <c r="F224" s="116">
        <f t="shared" si="54"/>
        <v>40751.228053458428</v>
      </c>
      <c r="G224" s="117">
        <v>1214806216</v>
      </c>
      <c r="H224" s="117">
        <f t="shared" si="55"/>
        <v>29680.818392826601</v>
      </c>
      <c r="I224" s="7"/>
      <c r="J224" s="10">
        <v>7.5</v>
      </c>
      <c r="K224" s="117">
        <v>9111046</v>
      </c>
      <c r="L224" s="120">
        <f t="shared" si="53"/>
        <v>222.60612279801609</v>
      </c>
      <c r="M224" s="122">
        <f t="shared" si="56"/>
        <v>12148062.16</v>
      </c>
      <c r="N224" s="116">
        <f t="shared" si="57"/>
        <v>3037016.16</v>
      </c>
      <c r="O224" s="123">
        <f t="shared" si="58"/>
        <v>74.202061130249945</v>
      </c>
      <c r="P224" s="5"/>
      <c r="Q224" s="5">
        <f t="shared" si="49"/>
        <v>1</v>
      </c>
      <c r="R224" s="7">
        <f t="shared" si="50"/>
        <v>40929</v>
      </c>
      <c r="S224" s="5">
        <f t="shared" si="51"/>
        <v>1</v>
      </c>
      <c r="T224" s="7">
        <f t="shared" si="52"/>
        <v>40929</v>
      </c>
    </row>
    <row r="225" spans="1:20">
      <c r="A225" s="23" t="s">
        <v>255</v>
      </c>
      <c r="B225" s="37" t="s">
        <v>233</v>
      </c>
      <c r="C225" s="36">
        <v>14795</v>
      </c>
      <c r="D225" s="6"/>
      <c r="E225" s="113">
        <v>552971270</v>
      </c>
      <c r="F225" s="116">
        <f t="shared" si="54"/>
        <v>37375.550523825616</v>
      </c>
      <c r="G225" s="117">
        <v>424316025</v>
      </c>
      <c r="H225" s="117">
        <f t="shared" si="55"/>
        <v>28679.690773910104</v>
      </c>
      <c r="I225" s="7"/>
      <c r="J225" s="10">
        <v>9.8000000000000007</v>
      </c>
      <c r="K225" s="117">
        <v>4158297</v>
      </c>
      <c r="L225" s="120">
        <f t="shared" si="53"/>
        <v>281.06096654275092</v>
      </c>
      <c r="M225" s="122">
        <f t="shared" si="56"/>
        <v>4243160.25</v>
      </c>
      <c r="N225" s="116">
        <f t="shared" si="57"/>
        <v>84863.25</v>
      </c>
      <c r="O225" s="123">
        <f t="shared" si="58"/>
        <v>5.7359411963501179</v>
      </c>
      <c r="P225" s="5"/>
      <c r="Q225" s="5">
        <f t="shared" si="49"/>
        <v>1</v>
      </c>
      <c r="R225" s="7">
        <f t="shared" si="50"/>
        <v>14795</v>
      </c>
      <c r="S225" s="5">
        <f t="shared" si="51"/>
        <v>1</v>
      </c>
      <c r="T225" s="7">
        <f t="shared" si="52"/>
        <v>14795</v>
      </c>
    </row>
    <row r="226" spans="1:20">
      <c r="A226" s="23" t="s">
        <v>256</v>
      </c>
      <c r="B226" s="37" t="s">
        <v>233</v>
      </c>
      <c r="C226" s="36">
        <v>19064</v>
      </c>
      <c r="D226" s="6"/>
      <c r="E226" s="113">
        <v>2685085582</v>
      </c>
      <c r="F226" s="116">
        <f t="shared" si="54"/>
        <v>140845.8656105749</v>
      </c>
      <c r="G226" s="117">
        <v>2068881672</v>
      </c>
      <c r="H226" s="117">
        <f t="shared" si="55"/>
        <v>108522.95803608897</v>
      </c>
      <c r="I226" s="7"/>
      <c r="J226" s="10">
        <v>2.1</v>
      </c>
      <c r="K226" s="117">
        <v>4344651</v>
      </c>
      <c r="L226" s="120">
        <f t="shared" si="53"/>
        <v>227.89818506084768</v>
      </c>
      <c r="M226" s="122">
        <f t="shared" si="56"/>
        <v>20688816.719999999</v>
      </c>
      <c r="N226" s="116">
        <f t="shared" si="57"/>
        <v>16344165.719999999</v>
      </c>
      <c r="O226" s="123">
        <f t="shared" si="58"/>
        <v>857.33139530004189</v>
      </c>
      <c r="P226" s="5"/>
      <c r="Q226" s="5">
        <f t="shared" si="49"/>
        <v>1</v>
      </c>
      <c r="R226" s="7">
        <f t="shared" si="50"/>
        <v>19064</v>
      </c>
      <c r="S226" s="5">
        <f t="shared" si="51"/>
        <v>1</v>
      </c>
      <c r="T226" s="7">
        <f t="shared" si="52"/>
        <v>19064</v>
      </c>
    </row>
    <row r="227" spans="1:20">
      <c r="A227" s="23" t="s">
        <v>257</v>
      </c>
      <c r="B227" s="37" t="s">
        <v>233</v>
      </c>
      <c r="C227" s="36">
        <v>10716</v>
      </c>
      <c r="D227" s="6"/>
      <c r="E227" s="113">
        <v>1165046260</v>
      </c>
      <c r="F227" s="116">
        <f t="shared" si="54"/>
        <v>108720.25569242255</v>
      </c>
      <c r="G227" s="117">
        <v>821961027</v>
      </c>
      <c r="H227" s="117">
        <f t="shared" si="55"/>
        <v>76704.089865621499</v>
      </c>
      <c r="I227" s="7"/>
      <c r="J227" s="10">
        <v>6.3730000000000002</v>
      </c>
      <c r="K227" s="117">
        <v>5238357</v>
      </c>
      <c r="L227" s="120">
        <f t="shared" si="53"/>
        <v>488.83510638297872</v>
      </c>
      <c r="M227" s="122">
        <f t="shared" si="56"/>
        <v>8219610.2700000005</v>
      </c>
      <c r="N227" s="116">
        <f t="shared" si="57"/>
        <v>2981253.2700000005</v>
      </c>
      <c r="O227" s="123">
        <f t="shared" si="58"/>
        <v>278.20579227323634</v>
      </c>
      <c r="P227" s="5"/>
      <c r="Q227" s="5">
        <f t="shared" si="49"/>
        <v>1</v>
      </c>
      <c r="R227" s="7">
        <f t="shared" si="50"/>
        <v>10716</v>
      </c>
      <c r="S227" s="5">
        <f t="shared" si="51"/>
        <v>1</v>
      </c>
      <c r="T227" s="7">
        <f t="shared" si="52"/>
        <v>10716</v>
      </c>
    </row>
    <row r="228" spans="1:20">
      <c r="A228" s="23" t="s">
        <v>258</v>
      </c>
      <c r="B228" s="37" t="s">
        <v>233</v>
      </c>
      <c r="C228" s="36">
        <v>15534</v>
      </c>
      <c r="D228" s="6"/>
      <c r="E228" s="113">
        <v>1981065378</v>
      </c>
      <c r="F228" s="116">
        <f t="shared" si="54"/>
        <v>127530.92429509464</v>
      </c>
      <c r="G228" s="117">
        <v>1812651626</v>
      </c>
      <c r="H228" s="117">
        <f t="shared" si="55"/>
        <v>116689.3025621218</v>
      </c>
      <c r="I228" s="7"/>
      <c r="J228" s="10">
        <v>2.65</v>
      </c>
      <c r="K228" s="117">
        <v>4803526</v>
      </c>
      <c r="L228" s="120">
        <f t="shared" si="53"/>
        <v>309.22659971675034</v>
      </c>
      <c r="M228" s="122">
        <f t="shared" si="56"/>
        <v>18126516.260000002</v>
      </c>
      <c r="N228" s="116">
        <f t="shared" si="57"/>
        <v>13322990.260000002</v>
      </c>
      <c r="O228" s="123">
        <f t="shared" si="58"/>
        <v>857.6664259044677</v>
      </c>
      <c r="P228" s="5"/>
      <c r="Q228" s="5">
        <f t="shared" si="49"/>
        <v>1</v>
      </c>
      <c r="R228" s="7">
        <f t="shared" si="50"/>
        <v>15534</v>
      </c>
      <c r="S228" s="5">
        <f t="shared" si="51"/>
        <v>1</v>
      </c>
      <c r="T228" s="7">
        <f t="shared" si="52"/>
        <v>15534</v>
      </c>
    </row>
    <row r="229" spans="1:20">
      <c r="A229" s="23" t="s">
        <v>259</v>
      </c>
      <c r="B229" s="37" t="s">
        <v>233</v>
      </c>
      <c r="C229" s="36">
        <v>5035</v>
      </c>
      <c r="D229" s="6"/>
      <c r="E229" s="113">
        <v>610027948</v>
      </c>
      <c r="F229" s="116">
        <f t="shared" si="54"/>
        <v>121157.48718967229</v>
      </c>
      <c r="G229" s="117">
        <v>514208023</v>
      </c>
      <c r="H229" s="117">
        <f t="shared" si="55"/>
        <v>102126.71757696127</v>
      </c>
      <c r="I229" s="7"/>
      <c r="J229" s="10">
        <v>5.6030000000000006</v>
      </c>
      <c r="K229" s="117">
        <v>2881107</v>
      </c>
      <c r="L229" s="120">
        <f t="shared" si="53"/>
        <v>572.21588877855015</v>
      </c>
      <c r="M229" s="122">
        <f t="shared" si="56"/>
        <v>5142080.2300000004</v>
      </c>
      <c r="N229" s="116">
        <f t="shared" si="57"/>
        <v>2260973.2300000004</v>
      </c>
      <c r="O229" s="123">
        <f t="shared" si="58"/>
        <v>449.05128699106263</v>
      </c>
      <c r="P229" s="5"/>
      <c r="Q229" s="5">
        <f t="shared" si="49"/>
        <v>1</v>
      </c>
      <c r="R229" s="7">
        <f t="shared" si="50"/>
        <v>5035</v>
      </c>
      <c r="S229" s="5">
        <f t="shared" si="51"/>
        <v>1</v>
      </c>
      <c r="T229" s="7">
        <f t="shared" si="52"/>
        <v>5035</v>
      </c>
    </row>
    <row r="230" spans="1:20">
      <c r="A230" s="23" t="s">
        <v>260</v>
      </c>
      <c r="B230" s="37" t="s">
        <v>233</v>
      </c>
      <c r="C230" s="36">
        <v>14260</v>
      </c>
      <c r="D230" s="6"/>
      <c r="E230" s="113">
        <v>315034622</v>
      </c>
      <c r="F230" s="116">
        <f t="shared" si="54"/>
        <v>22092.189481065918</v>
      </c>
      <c r="G230" s="117">
        <v>242809655</v>
      </c>
      <c r="H230" s="117">
        <f t="shared" si="55"/>
        <v>17027.325035063113</v>
      </c>
      <c r="I230" s="7"/>
      <c r="J230" s="10">
        <v>3.4487000000000001</v>
      </c>
      <c r="K230" s="117">
        <v>837377</v>
      </c>
      <c r="L230" s="120">
        <f t="shared" si="53"/>
        <v>58.722089761570828</v>
      </c>
      <c r="M230" s="122">
        <f t="shared" si="56"/>
        <v>2428096.5500000003</v>
      </c>
      <c r="N230" s="116">
        <f t="shared" si="57"/>
        <v>1590719.5500000003</v>
      </c>
      <c r="O230" s="123">
        <f t="shared" si="58"/>
        <v>111.55116058906033</v>
      </c>
      <c r="P230" s="5"/>
      <c r="Q230" s="5">
        <f t="shared" si="49"/>
        <v>1</v>
      </c>
      <c r="R230" s="7">
        <f t="shared" si="50"/>
        <v>14260</v>
      </c>
      <c r="S230" s="5">
        <f t="shared" si="51"/>
        <v>1</v>
      </c>
      <c r="T230" s="7">
        <f t="shared" si="52"/>
        <v>14260</v>
      </c>
    </row>
    <row r="231" spans="1:20">
      <c r="A231" s="23" t="s">
        <v>261</v>
      </c>
      <c r="B231" s="37" t="s">
        <v>233</v>
      </c>
      <c r="C231" s="36">
        <v>2348</v>
      </c>
      <c r="D231" s="6"/>
      <c r="E231" s="113">
        <v>135931846</v>
      </c>
      <c r="F231" s="116">
        <f t="shared" si="54"/>
        <v>57892.609028960818</v>
      </c>
      <c r="G231" s="117">
        <v>114523579</v>
      </c>
      <c r="H231" s="117">
        <f t="shared" si="55"/>
        <v>48774.948466780239</v>
      </c>
      <c r="I231" s="7"/>
      <c r="J231" s="10">
        <v>4.843</v>
      </c>
      <c r="K231" s="117">
        <v>554637</v>
      </c>
      <c r="L231" s="120">
        <f t="shared" si="53"/>
        <v>236.21678023850086</v>
      </c>
      <c r="M231" s="122">
        <f t="shared" si="56"/>
        <v>1145235.79</v>
      </c>
      <c r="N231" s="116">
        <f t="shared" si="57"/>
        <v>590598.79</v>
      </c>
      <c r="O231" s="123">
        <f t="shared" si="58"/>
        <v>251.53270442930156</v>
      </c>
      <c r="P231" s="5"/>
      <c r="Q231" s="5">
        <f t="shared" si="49"/>
        <v>1</v>
      </c>
      <c r="R231" s="7">
        <f t="shared" si="50"/>
        <v>2348</v>
      </c>
      <c r="S231" s="5">
        <f t="shared" si="51"/>
        <v>1</v>
      </c>
      <c r="T231" s="7">
        <f t="shared" si="52"/>
        <v>2348</v>
      </c>
    </row>
    <row r="232" spans="1:20">
      <c r="A232" s="23" t="s">
        <v>262</v>
      </c>
      <c r="B232" s="37" t="s">
        <v>233</v>
      </c>
      <c r="C232" s="36">
        <v>5927</v>
      </c>
      <c r="D232" s="6"/>
      <c r="E232" s="113">
        <v>265446809</v>
      </c>
      <c r="F232" s="116">
        <f t="shared" si="54"/>
        <v>44786.031550531465</v>
      </c>
      <c r="G232" s="117">
        <v>194007082</v>
      </c>
      <c r="H232" s="117">
        <f t="shared" si="55"/>
        <v>32732.762274337776</v>
      </c>
      <c r="I232" s="7"/>
      <c r="J232" s="11">
        <v>8.4949999999999992</v>
      </c>
      <c r="K232" s="117">
        <v>1648090</v>
      </c>
      <c r="L232" s="120">
        <f t="shared" si="53"/>
        <v>278.06478825712838</v>
      </c>
      <c r="M232" s="122">
        <f t="shared" si="56"/>
        <v>1940070.82</v>
      </c>
      <c r="N232" s="116">
        <f t="shared" si="57"/>
        <v>291980.82000000007</v>
      </c>
      <c r="O232" s="123">
        <f t="shared" si="58"/>
        <v>49.262834486249375</v>
      </c>
      <c r="P232" s="5"/>
      <c r="Q232" s="5">
        <f t="shared" si="49"/>
        <v>1</v>
      </c>
      <c r="R232" s="7">
        <f t="shared" si="50"/>
        <v>5927</v>
      </c>
      <c r="S232" s="5">
        <f t="shared" si="51"/>
        <v>1</v>
      </c>
      <c r="T232" s="7">
        <f t="shared" si="52"/>
        <v>5927</v>
      </c>
    </row>
    <row r="233" spans="1:20">
      <c r="A233" s="23" t="s">
        <v>263</v>
      </c>
      <c r="B233" s="37" t="s">
        <v>264</v>
      </c>
      <c r="C233" s="36">
        <v>6950</v>
      </c>
      <c r="D233" s="6"/>
      <c r="E233" s="113">
        <v>1456524464</v>
      </c>
      <c r="F233" s="116">
        <f t="shared" si="54"/>
        <v>209571.86532374102</v>
      </c>
      <c r="G233" s="117">
        <v>1312791767</v>
      </c>
      <c r="H233" s="117">
        <f t="shared" si="55"/>
        <v>188890.9017266187</v>
      </c>
      <c r="I233" s="7"/>
      <c r="J233" s="10">
        <v>3.1</v>
      </c>
      <c r="K233" s="117">
        <v>4069654</v>
      </c>
      <c r="L233" s="120">
        <f t="shared" si="53"/>
        <v>585.56172661870505</v>
      </c>
      <c r="M233" s="122">
        <f t="shared" si="56"/>
        <v>13127917.67</v>
      </c>
      <c r="N233" s="116">
        <f t="shared" si="57"/>
        <v>9058263.6699999999</v>
      </c>
      <c r="O233" s="123">
        <f t="shared" si="58"/>
        <v>1303.3472906474819</v>
      </c>
      <c r="P233" s="5"/>
      <c r="Q233" s="5">
        <f t="shared" si="49"/>
        <v>1</v>
      </c>
      <c r="R233" s="7">
        <f t="shared" si="50"/>
        <v>6950</v>
      </c>
      <c r="S233" s="5">
        <f t="shared" si="51"/>
        <v>1</v>
      </c>
      <c r="T233" s="7">
        <f t="shared" si="52"/>
        <v>6950</v>
      </c>
    </row>
    <row r="234" spans="1:20">
      <c r="A234" s="23" t="s">
        <v>265</v>
      </c>
      <c r="B234" s="37" t="s">
        <v>264</v>
      </c>
      <c r="C234" s="36">
        <v>799</v>
      </c>
      <c r="D234" s="6"/>
      <c r="E234" s="113">
        <v>375951006</v>
      </c>
      <c r="F234" s="116">
        <f t="shared" si="54"/>
        <v>470526.91614518146</v>
      </c>
      <c r="G234" s="117">
        <v>345994139</v>
      </c>
      <c r="H234" s="117">
        <f t="shared" si="55"/>
        <v>433033.96620775969</v>
      </c>
      <c r="I234" s="7"/>
      <c r="J234" s="10">
        <v>2.9253000000000005</v>
      </c>
      <c r="K234" s="117">
        <v>1012136</v>
      </c>
      <c r="L234" s="120">
        <f t="shared" si="53"/>
        <v>1266.7534418022528</v>
      </c>
      <c r="M234" s="122">
        <f t="shared" si="56"/>
        <v>3459941.39</v>
      </c>
      <c r="N234" s="116">
        <f t="shared" si="57"/>
        <v>2447805.39</v>
      </c>
      <c r="O234" s="123">
        <f t="shared" si="58"/>
        <v>3063.5862202753442</v>
      </c>
      <c r="P234" s="5"/>
      <c r="Q234" s="5">
        <f t="shared" si="49"/>
        <v>1</v>
      </c>
      <c r="R234" s="7">
        <f t="shared" si="50"/>
        <v>799</v>
      </c>
      <c r="S234" s="5">
        <f t="shared" si="51"/>
        <v>1</v>
      </c>
      <c r="T234" s="7">
        <f t="shared" si="52"/>
        <v>799</v>
      </c>
    </row>
    <row r="235" spans="1:20">
      <c r="A235" s="23" t="s">
        <v>266</v>
      </c>
      <c r="B235" s="37" t="s">
        <v>264</v>
      </c>
      <c r="C235" s="36">
        <v>25735</v>
      </c>
      <c r="D235" s="6"/>
      <c r="E235" s="113">
        <v>6199879323</v>
      </c>
      <c r="F235" s="116">
        <f t="shared" si="54"/>
        <v>240912.34983485527</v>
      </c>
      <c r="G235" s="117">
        <v>3363028940</v>
      </c>
      <c r="H235" s="117">
        <f t="shared" si="55"/>
        <v>130679.18943073635</v>
      </c>
      <c r="I235" s="7"/>
      <c r="J235" s="10">
        <v>3.4098000000000002</v>
      </c>
      <c r="K235" s="117">
        <v>11467256</v>
      </c>
      <c r="L235" s="120">
        <f t="shared" si="53"/>
        <v>445.58989702739461</v>
      </c>
      <c r="M235" s="122">
        <f t="shared" si="56"/>
        <v>33630289.399999999</v>
      </c>
      <c r="N235" s="116">
        <f t="shared" si="57"/>
        <v>22163033.399999999</v>
      </c>
      <c r="O235" s="123">
        <f t="shared" si="58"/>
        <v>861.20199727996885</v>
      </c>
      <c r="P235" s="5"/>
      <c r="Q235" s="5">
        <f t="shared" si="49"/>
        <v>1</v>
      </c>
      <c r="R235" s="7">
        <f t="shared" si="50"/>
        <v>25735</v>
      </c>
      <c r="S235" s="5">
        <f t="shared" si="51"/>
        <v>1</v>
      </c>
      <c r="T235" s="7">
        <f t="shared" si="52"/>
        <v>25735</v>
      </c>
    </row>
    <row r="236" spans="1:20">
      <c r="A236" s="23" t="s">
        <v>267</v>
      </c>
      <c r="B236" s="35" t="s">
        <v>264</v>
      </c>
      <c r="C236" s="36">
        <v>186</v>
      </c>
      <c r="D236" s="6"/>
      <c r="E236" s="113">
        <v>32366507</v>
      </c>
      <c r="F236" s="116">
        <f t="shared" si="54"/>
        <v>174013.47849462365</v>
      </c>
      <c r="G236" s="117">
        <v>26289744</v>
      </c>
      <c r="H236" s="117">
        <f t="shared" si="55"/>
        <v>141342.70967741936</v>
      </c>
      <c r="I236" s="7"/>
      <c r="J236" s="11">
        <v>1.67</v>
      </c>
      <c r="K236" s="117">
        <v>43903</v>
      </c>
      <c r="L236" s="120">
        <f t="shared" si="53"/>
        <v>236.03763440860214</v>
      </c>
      <c r="M236" s="122">
        <f t="shared" si="56"/>
        <v>262897.44</v>
      </c>
      <c r="N236" s="116">
        <f t="shared" si="57"/>
        <v>218994.44</v>
      </c>
      <c r="O236" s="123">
        <f t="shared" si="58"/>
        <v>1177.3894623655915</v>
      </c>
      <c r="P236" s="5"/>
      <c r="Q236" s="5">
        <f t="shared" si="49"/>
        <v>1</v>
      </c>
      <c r="R236" s="7">
        <f t="shared" si="50"/>
        <v>186</v>
      </c>
      <c r="S236" s="5">
        <f t="shared" si="51"/>
        <v>1</v>
      </c>
      <c r="T236" s="7">
        <f t="shared" si="52"/>
        <v>186</v>
      </c>
    </row>
    <row r="237" spans="1:20">
      <c r="A237" s="23" t="s">
        <v>449</v>
      </c>
      <c r="B237" s="35" t="s">
        <v>264</v>
      </c>
      <c r="C237" s="36">
        <v>10407</v>
      </c>
      <c r="D237" s="6"/>
      <c r="E237" s="113">
        <v>1344277470</v>
      </c>
      <c r="F237" s="116">
        <f t="shared" si="54"/>
        <v>129170.50735082156</v>
      </c>
      <c r="G237" s="117">
        <v>1079811537</v>
      </c>
      <c r="H237" s="117">
        <f t="shared" si="55"/>
        <v>103758.19515710579</v>
      </c>
      <c r="I237" s="7"/>
      <c r="J237" s="10">
        <v>2.9645000000000001</v>
      </c>
      <c r="K237" s="117">
        <v>3201101</v>
      </c>
      <c r="L237" s="120">
        <f t="shared" si="53"/>
        <v>307.59114057845682</v>
      </c>
      <c r="M237" s="122">
        <f t="shared" si="56"/>
        <v>10798115.370000001</v>
      </c>
      <c r="N237" s="116">
        <f t="shared" si="57"/>
        <v>7597014.370000001</v>
      </c>
      <c r="O237" s="123">
        <f t="shared" si="58"/>
        <v>729.99081099260127</v>
      </c>
      <c r="P237" s="5"/>
      <c r="Q237" s="5">
        <f t="shared" si="49"/>
        <v>1</v>
      </c>
      <c r="R237" s="7">
        <f t="shared" si="50"/>
        <v>10407</v>
      </c>
      <c r="S237" s="5">
        <f t="shared" si="51"/>
        <v>1</v>
      </c>
      <c r="T237" s="7">
        <f t="shared" si="52"/>
        <v>10407</v>
      </c>
    </row>
    <row r="238" spans="1:20">
      <c r="A238" s="23" t="s">
        <v>268</v>
      </c>
      <c r="B238" s="35" t="s">
        <v>269</v>
      </c>
      <c r="C238" s="36">
        <v>1408</v>
      </c>
      <c r="D238" s="6"/>
      <c r="E238" s="113">
        <v>68486588</v>
      </c>
      <c r="F238" s="116">
        <f t="shared" si="54"/>
        <v>48641.04261363636</v>
      </c>
      <c r="G238" s="117">
        <v>39839316</v>
      </c>
      <c r="H238" s="117">
        <f t="shared" si="55"/>
        <v>28294.96875</v>
      </c>
      <c r="I238" s="7"/>
      <c r="J238" s="10">
        <v>2.8940000000000001</v>
      </c>
      <c r="K238" s="117">
        <v>115294</v>
      </c>
      <c r="L238" s="120">
        <f t="shared" si="53"/>
        <v>81.884943181818187</v>
      </c>
      <c r="M238" s="122">
        <f t="shared" si="56"/>
        <v>398393.16000000003</v>
      </c>
      <c r="N238" s="116">
        <f t="shared" si="57"/>
        <v>283099.16000000003</v>
      </c>
      <c r="O238" s="123">
        <f t="shared" si="58"/>
        <v>201.06474431818185</v>
      </c>
      <c r="P238" s="5"/>
      <c r="Q238" s="5">
        <f t="shared" si="49"/>
        <v>1</v>
      </c>
      <c r="R238" s="7">
        <f t="shared" si="50"/>
        <v>1408</v>
      </c>
      <c r="S238" s="5">
        <f t="shared" si="51"/>
        <v>1</v>
      </c>
      <c r="T238" s="7">
        <f t="shared" si="52"/>
        <v>1408</v>
      </c>
    </row>
    <row r="239" spans="1:20">
      <c r="A239" s="23" t="s">
        <v>270</v>
      </c>
      <c r="B239" s="35" t="s">
        <v>269</v>
      </c>
      <c r="C239" s="36">
        <v>10686</v>
      </c>
      <c r="D239" s="6"/>
      <c r="E239" s="113">
        <v>1237611144</v>
      </c>
      <c r="F239" s="116">
        <f t="shared" si="54"/>
        <v>115816.12801796744</v>
      </c>
      <c r="G239" s="117">
        <v>929199399</v>
      </c>
      <c r="H239" s="117">
        <f t="shared" si="55"/>
        <v>86954.838012352615</v>
      </c>
      <c r="I239" s="7"/>
      <c r="J239" s="10">
        <v>6.2185000000000006</v>
      </c>
      <c r="K239" s="117">
        <v>5778226</v>
      </c>
      <c r="L239" s="120">
        <f t="shared" si="53"/>
        <v>540.72861688190153</v>
      </c>
      <c r="M239" s="122">
        <f t="shared" si="56"/>
        <v>9291993.9900000002</v>
      </c>
      <c r="N239" s="116">
        <f t="shared" si="57"/>
        <v>3513767.99</v>
      </c>
      <c r="O239" s="123">
        <f t="shared" si="58"/>
        <v>328.81976324162457</v>
      </c>
      <c r="P239" s="5"/>
      <c r="Q239" s="5">
        <f t="shared" si="49"/>
        <v>1</v>
      </c>
      <c r="R239" s="7">
        <f t="shared" si="50"/>
        <v>10686</v>
      </c>
      <c r="S239" s="5">
        <f t="shared" si="51"/>
        <v>1</v>
      </c>
      <c r="T239" s="7">
        <f t="shared" si="52"/>
        <v>10686</v>
      </c>
    </row>
    <row r="240" spans="1:20">
      <c r="A240" s="23" t="s">
        <v>271</v>
      </c>
      <c r="B240" s="35" t="s">
        <v>269</v>
      </c>
      <c r="C240" s="36">
        <v>2738</v>
      </c>
      <c r="D240" s="6"/>
      <c r="E240" s="113">
        <v>207937362</v>
      </c>
      <c r="F240" s="116">
        <f t="shared" si="54"/>
        <v>75944.982468955437</v>
      </c>
      <c r="G240" s="117">
        <v>46536290</v>
      </c>
      <c r="H240" s="117">
        <f t="shared" si="55"/>
        <v>16996.45361577794</v>
      </c>
      <c r="I240" s="7"/>
      <c r="J240" s="10">
        <v>0.63100000000000001</v>
      </c>
      <c r="K240" s="117">
        <v>29364</v>
      </c>
      <c r="L240" s="120">
        <f t="shared" si="53"/>
        <v>10.724616508400292</v>
      </c>
      <c r="M240" s="122">
        <f t="shared" si="56"/>
        <v>465362.9</v>
      </c>
      <c r="N240" s="116">
        <f t="shared" si="57"/>
        <v>435998.9</v>
      </c>
      <c r="O240" s="123">
        <f t="shared" si="58"/>
        <v>159.23991964937912</v>
      </c>
      <c r="P240" s="5"/>
      <c r="Q240" s="5">
        <f t="shared" si="49"/>
        <v>1</v>
      </c>
      <c r="R240" s="7">
        <f t="shared" si="50"/>
        <v>2738</v>
      </c>
      <c r="S240" s="5">
        <f t="shared" si="51"/>
        <v>1</v>
      </c>
      <c r="T240" s="7">
        <f t="shared" si="52"/>
        <v>2738</v>
      </c>
    </row>
    <row r="241" spans="1:20">
      <c r="A241" s="23" t="s">
        <v>272</v>
      </c>
      <c r="B241" s="35" t="s">
        <v>273</v>
      </c>
      <c r="C241" s="36">
        <v>374</v>
      </c>
      <c r="D241" s="6"/>
      <c r="E241" s="113">
        <v>39047285</v>
      </c>
      <c r="F241" s="116">
        <f t="shared" si="54"/>
        <v>104404.50534759359</v>
      </c>
      <c r="G241" s="117">
        <v>34215524</v>
      </c>
      <c r="H241" s="117">
        <f t="shared" si="55"/>
        <v>91485.358288770047</v>
      </c>
      <c r="I241" s="7"/>
      <c r="J241" s="10">
        <v>2.2999999999999998</v>
      </c>
      <c r="K241" s="117">
        <v>78695</v>
      </c>
      <c r="L241" s="120">
        <f t="shared" si="53"/>
        <v>210.41443850267379</v>
      </c>
      <c r="M241" s="122">
        <f t="shared" si="56"/>
        <v>342155.24</v>
      </c>
      <c r="N241" s="116">
        <f t="shared" si="57"/>
        <v>263460.24</v>
      </c>
      <c r="O241" s="123">
        <f t="shared" si="58"/>
        <v>704.43914438502668</v>
      </c>
      <c r="P241" s="5"/>
      <c r="Q241" s="5">
        <f t="shared" si="49"/>
        <v>1</v>
      </c>
      <c r="R241" s="7">
        <f t="shared" si="50"/>
        <v>374</v>
      </c>
      <c r="S241" s="5">
        <f t="shared" si="51"/>
        <v>1</v>
      </c>
      <c r="T241" s="7">
        <f t="shared" si="52"/>
        <v>374</v>
      </c>
    </row>
    <row r="242" spans="1:20">
      <c r="A242" s="23" t="s">
        <v>274</v>
      </c>
      <c r="B242" s="35" t="s">
        <v>273</v>
      </c>
      <c r="C242" s="36">
        <v>15023</v>
      </c>
      <c r="D242" s="6"/>
      <c r="E242" s="113">
        <v>604218023</v>
      </c>
      <c r="F242" s="116">
        <f t="shared" si="54"/>
        <v>40219.531584903147</v>
      </c>
      <c r="G242" s="117">
        <v>422812770</v>
      </c>
      <c r="H242" s="117">
        <f t="shared" si="55"/>
        <v>28144.363309591958</v>
      </c>
      <c r="I242" s="7"/>
      <c r="J242" s="10">
        <v>6.9990000000000006</v>
      </c>
      <c r="K242" s="117">
        <v>2959266</v>
      </c>
      <c r="L242" s="120">
        <f t="shared" si="53"/>
        <v>196.98236038074953</v>
      </c>
      <c r="M242" s="122">
        <f t="shared" si="56"/>
        <v>4228127.7</v>
      </c>
      <c r="N242" s="116">
        <f t="shared" si="57"/>
        <v>1268861.7000000002</v>
      </c>
      <c r="O242" s="123">
        <f t="shared" si="58"/>
        <v>84.461272715170082</v>
      </c>
      <c r="P242" s="5"/>
      <c r="Q242" s="5">
        <f t="shared" si="49"/>
        <v>1</v>
      </c>
      <c r="R242" s="7">
        <f t="shared" si="50"/>
        <v>15023</v>
      </c>
      <c r="S242" s="5">
        <f t="shared" si="51"/>
        <v>1</v>
      </c>
      <c r="T242" s="7">
        <f t="shared" si="52"/>
        <v>15023</v>
      </c>
    </row>
    <row r="243" spans="1:20">
      <c r="A243" s="23" t="s">
        <v>275</v>
      </c>
      <c r="B243" s="35" t="s">
        <v>273</v>
      </c>
      <c r="C243" s="36">
        <v>11413</v>
      </c>
      <c r="D243" s="6"/>
      <c r="E243" s="113">
        <v>2729285910</v>
      </c>
      <c r="F243" s="116">
        <f t="shared" si="54"/>
        <v>239138.3431174976</v>
      </c>
      <c r="G243" s="117">
        <v>2452438166</v>
      </c>
      <c r="H243" s="117">
        <f t="shared" si="55"/>
        <v>214881.1150442478</v>
      </c>
      <c r="I243" s="7"/>
      <c r="J243" s="10">
        <v>1.75</v>
      </c>
      <c r="K243" s="117">
        <v>4291766</v>
      </c>
      <c r="L243" s="120">
        <f t="shared" si="53"/>
        <v>376.04188206431263</v>
      </c>
      <c r="M243" s="122">
        <f t="shared" si="56"/>
        <v>24524381.66</v>
      </c>
      <c r="N243" s="116">
        <f t="shared" si="57"/>
        <v>20232615.66</v>
      </c>
      <c r="O243" s="123">
        <f t="shared" si="58"/>
        <v>1772.7692683781652</v>
      </c>
      <c r="P243" s="5"/>
      <c r="Q243" s="5">
        <f t="shared" si="49"/>
        <v>1</v>
      </c>
      <c r="R243" s="7">
        <f t="shared" si="50"/>
        <v>11413</v>
      </c>
      <c r="S243" s="5">
        <f t="shared" si="51"/>
        <v>1</v>
      </c>
      <c r="T243" s="7">
        <f t="shared" si="52"/>
        <v>11413</v>
      </c>
    </row>
    <row r="244" spans="1:20">
      <c r="A244" s="23" t="s">
        <v>276</v>
      </c>
      <c r="B244" s="35" t="s">
        <v>273</v>
      </c>
      <c r="C244" s="36">
        <v>20131</v>
      </c>
      <c r="D244" s="6"/>
      <c r="E244" s="113">
        <v>1125373135</v>
      </c>
      <c r="F244" s="116">
        <f t="shared" si="54"/>
        <v>55902.495405096619</v>
      </c>
      <c r="G244" s="117">
        <v>801494995</v>
      </c>
      <c r="H244" s="117">
        <f t="shared" si="55"/>
        <v>39813.968257910688</v>
      </c>
      <c r="I244" s="7"/>
      <c r="J244" s="10">
        <v>4.97</v>
      </c>
      <c r="K244" s="117">
        <v>3983430</v>
      </c>
      <c r="L244" s="120">
        <f t="shared" si="53"/>
        <v>197.875416025036</v>
      </c>
      <c r="M244" s="122">
        <f t="shared" si="56"/>
        <v>8014949.9500000002</v>
      </c>
      <c r="N244" s="116">
        <f t="shared" si="57"/>
        <v>4031519.95</v>
      </c>
      <c r="O244" s="123">
        <f t="shared" si="58"/>
        <v>200.26426655407084</v>
      </c>
      <c r="P244" s="5"/>
      <c r="Q244" s="5">
        <f t="shared" si="49"/>
        <v>1</v>
      </c>
      <c r="R244" s="7">
        <f t="shared" si="50"/>
        <v>20131</v>
      </c>
      <c r="S244" s="5">
        <f t="shared" si="51"/>
        <v>1</v>
      </c>
      <c r="T244" s="7">
        <f t="shared" si="52"/>
        <v>20131</v>
      </c>
    </row>
    <row r="245" spans="1:20">
      <c r="A245" s="23" t="s">
        <v>277</v>
      </c>
      <c r="B245" s="35" t="s">
        <v>273</v>
      </c>
      <c r="C245" s="36">
        <v>549</v>
      </c>
      <c r="D245" s="6"/>
      <c r="E245" s="113">
        <v>12636112</v>
      </c>
      <c r="F245" s="116">
        <f t="shared" si="54"/>
        <v>23016.597449908924</v>
      </c>
      <c r="G245" s="117">
        <v>5194974</v>
      </c>
      <c r="H245" s="117">
        <f t="shared" si="55"/>
        <v>9462.6120218579235</v>
      </c>
      <c r="I245" s="98" t="s">
        <v>528</v>
      </c>
      <c r="J245" s="10"/>
      <c r="K245" s="117"/>
      <c r="L245" s="120"/>
      <c r="M245" s="122">
        <f t="shared" si="56"/>
        <v>51949.74</v>
      </c>
      <c r="N245" s="116">
        <f t="shared" si="57"/>
        <v>51949.74</v>
      </c>
      <c r="O245" s="123">
        <f t="shared" si="58"/>
        <v>94.626120218579231</v>
      </c>
      <c r="P245" s="5"/>
      <c r="Q245" s="5">
        <f t="shared" si="49"/>
        <v>1</v>
      </c>
      <c r="R245" s="7">
        <f t="shared" si="50"/>
        <v>549</v>
      </c>
      <c r="S245" s="5">
        <f t="shared" si="51"/>
        <v>0</v>
      </c>
      <c r="T245" s="7">
        <f t="shared" si="52"/>
        <v>0</v>
      </c>
    </row>
    <row r="246" spans="1:20">
      <c r="A246" s="23" t="s">
        <v>278</v>
      </c>
      <c r="B246" s="35" t="s">
        <v>273</v>
      </c>
      <c r="C246" s="36">
        <v>4076</v>
      </c>
      <c r="D246" s="6"/>
      <c r="E246" s="113">
        <v>282329320</v>
      </c>
      <c r="F246" s="116">
        <f t="shared" si="54"/>
        <v>69266.270853778216</v>
      </c>
      <c r="G246" s="117">
        <v>219759669</v>
      </c>
      <c r="H246" s="117">
        <f t="shared" si="55"/>
        <v>53915.522325809616</v>
      </c>
      <c r="I246" s="7"/>
      <c r="J246" s="10">
        <v>2.8370000000000002</v>
      </c>
      <c r="K246" s="117">
        <v>623458</v>
      </c>
      <c r="L246" s="120">
        <f t="shared" ref="L246:L270" si="59">(K246/C246)</f>
        <v>152.95829244357213</v>
      </c>
      <c r="M246" s="122">
        <f t="shared" si="56"/>
        <v>2197596.69</v>
      </c>
      <c r="N246" s="116">
        <f t="shared" si="57"/>
        <v>1574138.69</v>
      </c>
      <c r="O246" s="123">
        <f t="shared" si="58"/>
        <v>386.19693081452402</v>
      </c>
      <c r="P246" s="5"/>
      <c r="Q246" s="5">
        <f t="shared" si="49"/>
        <v>1</v>
      </c>
      <c r="R246" s="7">
        <f t="shared" si="50"/>
        <v>4076</v>
      </c>
      <c r="S246" s="5">
        <f t="shared" si="51"/>
        <v>1</v>
      </c>
      <c r="T246" s="7">
        <f t="shared" si="52"/>
        <v>4076</v>
      </c>
    </row>
    <row r="247" spans="1:20">
      <c r="A247" s="23" t="s">
        <v>279</v>
      </c>
      <c r="B247" s="35" t="s">
        <v>273</v>
      </c>
      <c r="C247" s="36">
        <v>11914</v>
      </c>
      <c r="D247" s="6"/>
      <c r="E247" s="113">
        <v>587628292</v>
      </c>
      <c r="F247" s="116">
        <f t="shared" si="54"/>
        <v>49322.502266241398</v>
      </c>
      <c r="G247" s="117">
        <v>423642092</v>
      </c>
      <c r="H247" s="117">
        <f t="shared" si="55"/>
        <v>35558.3424542555</v>
      </c>
      <c r="I247" s="7"/>
      <c r="J247" s="10">
        <v>3</v>
      </c>
      <c r="K247" s="117">
        <v>1270926</v>
      </c>
      <c r="L247" s="120">
        <f t="shared" si="59"/>
        <v>106.67500419674333</v>
      </c>
      <c r="M247" s="122">
        <f t="shared" si="56"/>
        <v>4236420.92</v>
      </c>
      <c r="N247" s="116">
        <f t="shared" si="57"/>
        <v>2965494.92</v>
      </c>
      <c r="O247" s="123">
        <f t="shared" si="58"/>
        <v>248.90842034581163</v>
      </c>
      <c r="P247" s="5"/>
      <c r="Q247" s="5">
        <f t="shared" si="49"/>
        <v>1</v>
      </c>
      <c r="R247" s="7">
        <f t="shared" si="50"/>
        <v>11914</v>
      </c>
      <c r="S247" s="5">
        <f t="shared" si="51"/>
        <v>1</v>
      </c>
      <c r="T247" s="7">
        <f t="shared" si="52"/>
        <v>11914</v>
      </c>
    </row>
    <row r="248" spans="1:20">
      <c r="A248" s="23" t="s">
        <v>280</v>
      </c>
      <c r="B248" s="35" t="s">
        <v>273</v>
      </c>
      <c r="C248" s="36">
        <v>723</v>
      </c>
      <c r="D248" s="6"/>
      <c r="E248" s="113">
        <v>82101827</v>
      </c>
      <c r="F248" s="116">
        <f t="shared" si="54"/>
        <v>113557.16044260027</v>
      </c>
      <c r="G248" s="117">
        <v>64063634</v>
      </c>
      <c r="H248" s="117">
        <f t="shared" si="55"/>
        <v>88608.069156293219</v>
      </c>
      <c r="I248" s="9"/>
      <c r="J248" s="10">
        <v>3</v>
      </c>
      <c r="K248" s="117">
        <v>192190</v>
      </c>
      <c r="L248" s="120">
        <f t="shared" si="59"/>
        <v>265.82295988934993</v>
      </c>
      <c r="M248" s="122">
        <f t="shared" si="56"/>
        <v>640636.34</v>
      </c>
      <c r="N248" s="116">
        <f t="shared" si="57"/>
        <v>448446.33999999997</v>
      </c>
      <c r="O248" s="123">
        <f t="shared" si="58"/>
        <v>620.25773167358227</v>
      </c>
      <c r="P248" s="5"/>
      <c r="Q248" s="5">
        <f t="shared" si="49"/>
        <v>1</v>
      </c>
      <c r="R248" s="7">
        <f t="shared" si="50"/>
        <v>723</v>
      </c>
      <c r="S248" s="5">
        <f t="shared" si="51"/>
        <v>1</v>
      </c>
      <c r="T248" s="7">
        <f t="shared" si="52"/>
        <v>723</v>
      </c>
    </row>
    <row r="249" spans="1:20">
      <c r="A249" s="23" t="s">
        <v>281</v>
      </c>
      <c r="B249" s="35" t="s">
        <v>273</v>
      </c>
      <c r="C249" s="36">
        <v>6429</v>
      </c>
      <c r="D249" s="6"/>
      <c r="E249" s="113">
        <v>210465895</v>
      </c>
      <c r="F249" s="116">
        <f t="shared" si="54"/>
        <v>32736.956758438326</v>
      </c>
      <c r="G249" s="117">
        <v>131318249</v>
      </c>
      <c r="H249" s="117">
        <f t="shared" si="55"/>
        <v>20425.921449681133</v>
      </c>
      <c r="I249" s="7"/>
      <c r="J249" s="10">
        <v>3.5</v>
      </c>
      <c r="K249" s="117">
        <v>459613</v>
      </c>
      <c r="L249" s="120">
        <f t="shared" si="59"/>
        <v>71.490589516254474</v>
      </c>
      <c r="M249" s="122">
        <f t="shared" si="56"/>
        <v>1313182.49</v>
      </c>
      <c r="N249" s="116">
        <f t="shared" si="57"/>
        <v>853569.49</v>
      </c>
      <c r="O249" s="123">
        <f t="shared" si="58"/>
        <v>132.76862498055684</v>
      </c>
      <c r="P249" s="5"/>
      <c r="Q249" s="5">
        <f t="shared" si="49"/>
        <v>1</v>
      </c>
      <c r="R249" s="7">
        <f t="shared" si="50"/>
        <v>6429</v>
      </c>
      <c r="S249" s="5">
        <f t="shared" si="51"/>
        <v>1</v>
      </c>
      <c r="T249" s="7">
        <f t="shared" si="52"/>
        <v>6429</v>
      </c>
    </row>
    <row r="250" spans="1:20">
      <c r="A250" s="23" t="s">
        <v>282</v>
      </c>
      <c r="B250" s="35" t="s">
        <v>282</v>
      </c>
      <c r="C250" s="36">
        <v>5379</v>
      </c>
      <c r="D250" s="6"/>
      <c r="E250" s="113">
        <v>257884651</v>
      </c>
      <c r="F250" s="116">
        <f t="shared" si="54"/>
        <v>47942.861312511617</v>
      </c>
      <c r="G250" s="117">
        <v>185283156</v>
      </c>
      <c r="H250" s="117">
        <f t="shared" si="55"/>
        <v>34445.650864472947</v>
      </c>
      <c r="I250" s="7"/>
      <c r="J250" s="11">
        <v>6.6899000000000006</v>
      </c>
      <c r="K250" s="117">
        <v>1239525</v>
      </c>
      <c r="L250" s="120">
        <f t="shared" si="59"/>
        <v>230.43781372002232</v>
      </c>
      <c r="M250" s="122">
        <f t="shared" si="56"/>
        <v>1852831.56</v>
      </c>
      <c r="N250" s="116">
        <f t="shared" si="57"/>
        <v>613306.56000000006</v>
      </c>
      <c r="O250" s="123">
        <f t="shared" si="58"/>
        <v>114.01869492470721</v>
      </c>
      <c r="P250" s="5"/>
      <c r="Q250" s="5">
        <f t="shared" si="49"/>
        <v>1</v>
      </c>
      <c r="R250" s="7">
        <f t="shared" si="50"/>
        <v>5379</v>
      </c>
      <c r="S250" s="5">
        <f t="shared" si="51"/>
        <v>1</v>
      </c>
      <c r="T250" s="7">
        <f t="shared" si="52"/>
        <v>5379</v>
      </c>
    </row>
    <row r="251" spans="1:20">
      <c r="A251" s="23" t="s">
        <v>283</v>
      </c>
      <c r="B251" s="35" t="s">
        <v>284</v>
      </c>
      <c r="C251" s="36">
        <v>28485</v>
      </c>
      <c r="D251" s="6"/>
      <c r="E251" s="113">
        <v>1440238352</v>
      </c>
      <c r="F251" s="116">
        <f t="shared" si="54"/>
        <v>50561.290222924348</v>
      </c>
      <c r="G251" s="117">
        <v>1090478895</v>
      </c>
      <c r="H251" s="117">
        <f t="shared" si="55"/>
        <v>38282.566087414431</v>
      </c>
      <c r="I251" s="7"/>
      <c r="J251" s="10">
        <v>3.7619000000000002</v>
      </c>
      <c r="K251" s="117">
        <v>4102272</v>
      </c>
      <c r="L251" s="120">
        <f t="shared" si="59"/>
        <v>144.01516587677725</v>
      </c>
      <c r="M251" s="122">
        <f t="shared" si="56"/>
        <v>10904788.950000001</v>
      </c>
      <c r="N251" s="116">
        <f t="shared" si="57"/>
        <v>6802516.9500000011</v>
      </c>
      <c r="O251" s="123">
        <f t="shared" si="58"/>
        <v>238.81049499736707</v>
      </c>
      <c r="P251" s="5"/>
      <c r="Q251" s="5">
        <f t="shared" si="49"/>
        <v>1</v>
      </c>
      <c r="R251" s="7">
        <f t="shared" si="50"/>
        <v>28485</v>
      </c>
      <c r="S251" s="5">
        <f t="shared" si="51"/>
        <v>1</v>
      </c>
      <c r="T251" s="7">
        <f t="shared" si="52"/>
        <v>28485</v>
      </c>
    </row>
    <row r="252" spans="1:20">
      <c r="A252" s="23" t="s">
        <v>285</v>
      </c>
      <c r="B252" s="35" t="s">
        <v>284</v>
      </c>
      <c r="C252" s="36">
        <v>23</v>
      </c>
      <c r="D252" s="6"/>
      <c r="E252" s="113">
        <v>4154898564</v>
      </c>
      <c r="F252" s="116">
        <f t="shared" si="54"/>
        <v>180647763.65217391</v>
      </c>
      <c r="G252" s="117">
        <v>3991573634</v>
      </c>
      <c r="H252" s="117">
        <f t="shared" si="55"/>
        <v>173546679.73913044</v>
      </c>
      <c r="I252" s="7"/>
      <c r="J252" s="10">
        <v>0.3931</v>
      </c>
      <c r="K252" s="117">
        <v>1569087</v>
      </c>
      <c r="L252" s="120">
        <f t="shared" si="59"/>
        <v>68221.173913043473</v>
      </c>
      <c r="M252" s="122">
        <f t="shared" si="56"/>
        <v>39915736.340000004</v>
      </c>
      <c r="N252" s="116">
        <f t="shared" si="57"/>
        <v>38346649.340000004</v>
      </c>
      <c r="O252" s="123">
        <f t="shared" si="58"/>
        <v>1667245.6234782611</v>
      </c>
      <c r="P252" s="5"/>
      <c r="Q252" s="5">
        <f t="shared" si="49"/>
        <v>1</v>
      </c>
      <c r="R252" s="7">
        <f t="shared" si="50"/>
        <v>23</v>
      </c>
      <c r="S252" s="5">
        <f t="shared" si="51"/>
        <v>1</v>
      </c>
      <c r="T252" s="7">
        <f t="shared" si="52"/>
        <v>23</v>
      </c>
    </row>
    <row r="253" spans="1:20">
      <c r="A253" s="23" t="s">
        <v>286</v>
      </c>
      <c r="B253" s="35" t="s">
        <v>284</v>
      </c>
      <c r="C253" s="36">
        <v>5956</v>
      </c>
      <c r="D253" s="6"/>
      <c r="E253" s="113">
        <v>451586838</v>
      </c>
      <c r="F253" s="116">
        <f t="shared" si="54"/>
        <v>75820.489926124923</v>
      </c>
      <c r="G253" s="117">
        <v>369003346</v>
      </c>
      <c r="H253" s="117">
        <f t="shared" si="55"/>
        <v>61954.893552719943</v>
      </c>
      <c r="I253" s="7"/>
      <c r="J253" s="10">
        <v>2.6655000000000002</v>
      </c>
      <c r="K253" s="117">
        <v>983578</v>
      </c>
      <c r="L253" s="120">
        <f t="shared" si="59"/>
        <v>165.14069845533916</v>
      </c>
      <c r="M253" s="122">
        <f t="shared" si="56"/>
        <v>3690033.46</v>
      </c>
      <c r="N253" s="116">
        <f t="shared" si="57"/>
        <v>2706455.46</v>
      </c>
      <c r="O253" s="123">
        <f t="shared" si="58"/>
        <v>454.4082370718603</v>
      </c>
      <c r="P253" s="5"/>
      <c r="Q253" s="5">
        <f t="shared" si="49"/>
        <v>1</v>
      </c>
      <c r="R253" s="7">
        <f t="shared" si="50"/>
        <v>5956</v>
      </c>
      <c r="S253" s="5">
        <f t="shared" si="51"/>
        <v>1</v>
      </c>
      <c r="T253" s="7">
        <f t="shared" si="52"/>
        <v>5956</v>
      </c>
    </row>
    <row r="254" spans="1:20">
      <c r="A254" s="23" t="s">
        <v>287</v>
      </c>
      <c r="B254" s="35" t="s">
        <v>284</v>
      </c>
      <c r="C254" s="36">
        <v>2456</v>
      </c>
      <c r="D254" s="6"/>
      <c r="E254" s="113">
        <v>179333029</v>
      </c>
      <c r="F254" s="116">
        <f t="shared" si="54"/>
        <v>73018.334283387623</v>
      </c>
      <c r="G254" s="117">
        <v>136513200</v>
      </c>
      <c r="H254" s="117">
        <f t="shared" si="55"/>
        <v>55583.550488599351</v>
      </c>
      <c r="I254" s="7"/>
      <c r="J254" s="10">
        <v>6.9040000000000008</v>
      </c>
      <c r="K254" s="117">
        <v>942487</v>
      </c>
      <c r="L254" s="120">
        <f t="shared" si="59"/>
        <v>383.74877850162869</v>
      </c>
      <c r="M254" s="122">
        <f t="shared" si="56"/>
        <v>1365132</v>
      </c>
      <c r="N254" s="116">
        <f t="shared" si="57"/>
        <v>422645</v>
      </c>
      <c r="O254" s="123">
        <f t="shared" si="58"/>
        <v>172.08672638436482</v>
      </c>
      <c r="P254" s="5"/>
      <c r="Q254" s="5">
        <f t="shared" si="49"/>
        <v>1</v>
      </c>
      <c r="R254" s="7">
        <f t="shared" si="50"/>
        <v>2456</v>
      </c>
      <c r="S254" s="5">
        <f t="shared" si="51"/>
        <v>1</v>
      </c>
      <c r="T254" s="7">
        <f t="shared" si="52"/>
        <v>2456</v>
      </c>
    </row>
    <row r="255" spans="1:20">
      <c r="A255" s="23" t="s">
        <v>288</v>
      </c>
      <c r="B255" s="35" t="s">
        <v>284</v>
      </c>
      <c r="C255" s="36">
        <v>1906</v>
      </c>
      <c r="D255" s="6"/>
      <c r="E255" s="113">
        <v>200635048</v>
      </c>
      <c r="F255" s="116">
        <f t="shared" si="54"/>
        <v>105264.97796432319</v>
      </c>
      <c r="G255" s="117">
        <v>169706289</v>
      </c>
      <c r="H255" s="117">
        <f t="shared" si="55"/>
        <v>89037.927072402934</v>
      </c>
      <c r="I255" s="7"/>
      <c r="J255" s="10">
        <v>4.0999999999999996</v>
      </c>
      <c r="K255" s="117">
        <v>695795</v>
      </c>
      <c r="L255" s="120">
        <f t="shared" si="59"/>
        <v>365.05508919202521</v>
      </c>
      <c r="M255" s="122">
        <f t="shared" si="56"/>
        <v>1697062.8900000001</v>
      </c>
      <c r="N255" s="116">
        <f t="shared" si="57"/>
        <v>1001267.8900000001</v>
      </c>
      <c r="O255" s="123">
        <f t="shared" si="58"/>
        <v>525.32418153200422</v>
      </c>
      <c r="P255" s="5"/>
      <c r="Q255" s="5">
        <f t="shared" si="49"/>
        <v>1</v>
      </c>
      <c r="R255" s="7">
        <f t="shared" si="50"/>
        <v>1906</v>
      </c>
      <c r="S255" s="5">
        <f t="shared" si="51"/>
        <v>1</v>
      </c>
      <c r="T255" s="7">
        <f t="shared" si="52"/>
        <v>1906</v>
      </c>
    </row>
    <row r="256" spans="1:20">
      <c r="A256" s="23" t="s">
        <v>289</v>
      </c>
      <c r="B256" s="35" t="s">
        <v>284</v>
      </c>
      <c r="C256" s="36">
        <v>16</v>
      </c>
      <c r="D256" s="6"/>
      <c r="E256" s="113">
        <v>1476387136</v>
      </c>
      <c r="F256" s="116">
        <f t="shared" si="54"/>
        <v>92274196</v>
      </c>
      <c r="G256" s="117">
        <v>1427428742</v>
      </c>
      <c r="H256" s="117">
        <f t="shared" si="55"/>
        <v>89214296.375</v>
      </c>
      <c r="I256" s="7"/>
      <c r="J256" s="10">
        <v>0.49780000000000002</v>
      </c>
      <c r="K256" s="117">
        <v>710574</v>
      </c>
      <c r="L256" s="120">
        <f t="shared" si="59"/>
        <v>44410.875</v>
      </c>
      <c r="M256" s="122">
        <f t="shared" si="56"/>
        <v>14274287.42</v>
      </c>
      <c r="N256" s="116">
        <f t="shared" si="57"/>
        <v>13563713.42</v>
      </c>
      <c r="O256" s="123">
        <f t="shared" si="58"/>
        <v>847732.08875</v>
      </c>
      <c r="P256" s="5"/>
      <c r="Q256" s="5">
        <f t="shared" si="49"/>
        <v>1</v>
      </c>
      <c r="R256" s="7">
        <f t="shared" si="50"/>
        <v>16</v>
      </c>
      <c r="S256" s="5">
        <f t="shared" si="51"/>
        <v>1</v>
      </c>
      <c r="T256" s="7">
        <f t="shared" si="52"/>
        <v>16</v>
      </c>
    </row>
    <row r="257" spans="1:20">
      <c r="A257" s="23" t="s">
        <v>290</v>
      </c>
      <c r="B257" s="35" t="s">
        <v>284</v>
      </c>
      <c r="C257" s="36">
        <v>13237</v>
      </c>
      <c r="D257" s="6"/>
      <c r="E257" s="113">
        <v>1791093904</v>
      </c>
      <c r="F257" s="116">
        <f t="shared" si="54"/>
        <v>135309.65505779255</v>
      </c>
      <c r="G257" s="117">
        <v>1526905819</v>
      </c>
      <c r="H257" s="117">
        <f t="shared" si="55"/>
        <v>115351.34992823147</v>
      </c>
      <c r="I257" s="7"/>
      <c r="J257" s="10">
        <v>3.4</v>
      </c>
      <c r="K257" s="117">
        <v>5191479</v>
      </c>
      <c r="L257" s="120">
        <f t="shared" si="59"/>
        <v>392.19453048273778</v>
      </c>
      <c r="M257" s="122">
        <f t="shared" si="56"/>
        <v>15269058.189999999</v>
      </c>
      <c r="N257" s="116">
        <f t="shared" si="57"/>
        <v>10077579.189999999</v>
      </c>
      <c r="O257" s="123">
        <f t="shared" si="58"/>
        <v>761.31896879957685</v>
      </c>
      <c r="P257" s="5"/>
      <c r="Q257" s="5">
        <f t="shared" si="49"/>
        <v>1</v>
      </c>
      <c r="R257" s="7">
        <f t="shared" si="50"/>
        <v>13237</v>
      </c>
      <c r="S257" s="5">
        <f t="shared" si="51"/>
        <v>1</v>
      </c>
      <c r="T257" s="7">
        <f t="shared" si="52"/>
        <v>13237</v>
      </c>
    </row>
    <row r="258" spans="1:20">
      <c r="A258" s="23" t="s">
        <v>291</v>
      </c>
      <c r="B258" s="35" t="s">
        <v>284</v>
      </c>
      <c r="C258" s="36">
        <v>1006</v>
      </c>
      <c r="D258" s="6"/>
      <c r="E258" s="113">
        <v>81056040</v>
      </c>
      <c r="F258" s="116">
        <f t="shared" si="54"/>
        <v>80572.604373757451</v>
      </c>
      <c r="G258" s="117">
        <v>62213552</v>
      </c>
      <c r="H258" s="117">
        <f t="shared" si="55"/>
        <v>61842.497017892645</v>
      </c>
      <c r="I258" s="7"/>
      <c r="J258" s="10">
        <v>4.9245000000000001</v>
      </c>
      <c r="K258" s="117">
        <v>306370</v>
      </c>
      <c r="L258" s="120">
        <f t="shared" si="59"/>
        <v>304.54274353876741</v>
      </c>
      <c r="M258" s="122">
        <f t="shared" si="56"/>
        <v>622135.52</v>
      </c>
      <c r="N258" s="116">
        <f t="shared" si="57"/>
        <v>315765.52</v>
      </c>
      <c r="O258" s="123">
        <f t="shared" si="58"/>
        <v>313.88222664015905</v>
      </c>
      <c r="P258" s="5"/>
      <c r="Q258" s="5">
        <f t="shared" si="49"/>
        <v>1</v>
      </c>
      <c r="R258" s="7">
        <f t="shared" si="50"/>
        <v>1006</v>
      </c>
      <c r="S258" s="5">
        <f t="shared" si="51"/>
        <v>1</v>
      </c>
      <c r="T258" s="7">
        <f t="shared" si="52"/>
        <v>1006</v>
      </c>
    </row>
    <row r="259" spans="1:20">
      <c r="A259" s="23" t="s">
        <v>292</v>
      </c>
      <c r="B259" s="35" t="s">
        <v>284</v>
      </c>
      <c r="C259" s="36">
        <v>25993</v>
      </c>
      <c r="D259" s="6"/>
      <c r="E259" s="113">
        <v>1421216183</v>
      </c>
      <c r="F259" s="116">
        <f t="shared" si="54"/>
        <v>54676.881583503251</v>
      </c>
      <c r="G259" s="117">
        <v>1066679239</v>
      </c>
      <c r="H259" s="117">
        <f t="shared" si="55"/>
        <v>41037.173046589465</v>
      </c>
      <c r="I259" s="7"/>
      <c r="J259" s="10">
        <v>4.6564000000000005</v>
      </c>
      <c r="K259" s="117">
        <v>4966885</v>
      </c>
      <c r="L259" s="120">
        <f t="shared" si="59"/>
        <v>191.08548455353363</v>
      </c>
      <c r="M259" s="122">
        <f t="shared" si="56"/>
        <v>10666792.390000001</v>
      </c>
      <c r="N259" s="116">
        <f t="shared" si="57"/>
        <v>5699907.3900000006</v>
      </c>
      <c r="O259" s="123">
        <f t="shared" si="58"/>
        <v>219.28624591236104</v>
      </c>
      <c r="P259" s="5"/>
      <c r="Q259" s="5">
        <f t="shared" si="49"/>
        <v>1</v>
      </c>
      <c r="R259" s="7">
        <f t="shared" si="50"/>
        <v>25993</v>
      </c>
      <c r="S259" s="5">
        <f t="shared" si="51"/>
        <v>1</v>
      </c>
      <c r="T259" s="7">
        <f t="shared" si="52"/>
        <v>25993</v>
      </c>
    </row>
    <row r="260" spans="1:20">
      <c r="A260" s="23" t="s">
        <v>293</v>
      </c>
      <c r="B260" s="35" t="s">
        <v>284</v>
      </c>
      <c r="C260" s="36">
        <v>188494</v>
      </c>
      <c r="D260" s="6"/>
      <c r="E260" s="113">
        <v>19800396808</v>
      </c>
      <c r="F260" s="116">
        <f t="shared" si="54"/>
        <v>105045.23649559137</v>
      </c>
      <c r="G260" s="117">
        <v>12542643885</v>
      </c>
      <c r="H260" s="117">
        <f t="shared" si="55"/>
        <v>66541.342880940501</v>
      </c>
      <c r="I260" s="7"/>
      <c r="J260" s="10">
        <v>5.6916000000000002</v>
      </c>
      <c r="K260" s="117">
        <v>71387711</v>
      </c>
      <c r="L260" s="120">
        <f t="shared" si="59"/>
        <v>378.72670217619657</v>
      </c>
      <c r="M260" s="122">
        <f t="shared" si="56"/>
        <v>125426438.85000001</v>
      </c>
      <c r="N260" s="116">
        <f t="shared" si="57"/>
        <v>54038727.850000009</v>
      </c>
      <c r="O260" s="123">
        <f t="shared" si="58"/>
        <v>286.68672663320854</v>
      </c>
      <c r="P260" s="5"/>
      <c r="Q260" s="5">
        <f t="shared" si="49"/>
        <v>1</v>
      </c>
      <c r="R260" s="7">
        <f t="shared" si="50"/>
        <v>188494</v>
      </c>
      <c r="S260" s="5">
        <f t="shared" si="51"/>
        <v>1</v>
      </c>
      <c r="T260" s="7">
        <f t="shared" si="52"/>
        <v>188494</v>
      </c>
    </row>
    <row r="261" spans="1:20">
      <c r="A261" s="23" t="s">
        <v>294</v>
      </c>
      <c r="B261" s="35" t="s">
        <v>284</v>
      </c>
      <c r="C261" s="36">
        <v>2256</v>
      </c>
      <c r="D261" s="6"/>
      <c r="E261" s="113">
        <v>368671798</v>
      </c>
      <c r="F261" s="116">
        <f t="shared" si="54"/>
        <v>163418.35017730496</v>
      </c>
      <c r="G261" s="117">
        <v>283646197</v>
      </c>
      <c r="H261" s="117">
        <f t="shared" si="55"/>
        <v>125729.69725177305</v>
      </c>
      <c r="I261" s="7"/>
      <c r="J261" s="10">
        <v>2.4</v>
      </c>
      <c r="K261" s="117">
        <v>680750</v>
      </c>
      <c r="L261" s="120">
        <f t="shared" si="59"/>
        <v>301.7508865248227</v>
      </c>
      <c r="M261" s="122">
        <f t="shared" si="56"/>
        <v>2836461.97</v>
      </c>
      <c r="N261" s="116">
        <f t="shared" si="57"/>
        <v>2155711.9700000002</v>
      </c>
      <c r="O261" s="123">
        <f t="shared" si="58"/>
        <v>955.54608599290793</v>
      </c>
      <c r="P261" s="5"/>
      <c r="Q261" s="5">
        <f t="shared" si="49"/>
        <v>1</v>
      </c>
      <c r="R261" s="7">
        <f t="shared" si="50"/>
        <v>2256</v>
      </c>
      <c r="S261" s="5">
        <f t="shared" si="51"/>
        <v>1</v>
      </c>
      <c r="T261" s="7">
        <f t="shared" si="52"/>
        <v>2256</v>
      </c>
    </row>
    <row r="262" spans="1:20">
      <c r="A262" s="23" t="s">
        <v>295</v>
      </c>
      <c r="B262" s="35" t="s">
        <v>284</v>
      </c>
      <c r="C262" s="36">
        <v>16097</v>
      </c>
      <c r="D262" s="6"/>
      <c r="E262" s="113">
        <v>775272073</v>
      </c>
      <c r="F262" s="116">
        <f t="shared" si="54"/>
        <v>48162.51928930857</v>
      </c>
      <c r="G262" s="117">
        <v>591347820</v>
      </c>
      <c r="H262" s="117">
        <f t="shared" si="55"/>
        <v>36736.523575821579</v>
      </c>
      <c r="I262" s="7"/>
      <c r="J262" s="10">
        <v>4.3040000000000003</v>
      </c>
      <c r="K262" s="117">
        <v>2545161</v>
      </c>
      <c r="L262" s="120">
        <f t="shared" si="59"/>
        <v>158.11399639684413</v>
      </c>
      <c r="M262" s="122">
        <f t="shared" si="56"/>
        <v>5913478.2000000002</v>
      </c>
      <c r="N262" s="116">
        <f t="shared" si="57"/>
        <v>3368317.2</v>
      </c>
      <c r="O262" s="123">
        <f t="shared" si="58"/>
        <v>209.25123936137169</v>
      </c>
      <c r="P262" s="5"/>
      <c r="Q262" s="5">
        <f t="shared" si="49"/>
        <v>1</v>
      </c>
      <c r="R262" s="7">
        <f t="shared" si="50"/>
        <v>16097</v>
      </c>
      <c r="S262" s="5">
        <f t="shared" si="51"/>
        <v>1</v>
      </c>
      <c r="T262" s="7">
        <f t="shared" si="52"/>
        <v>16097</v>
      </c>
    </row>
    <row r="263" spans="1:20">
      <c r="A263" s="23" t="s">
        <v>296</v>
      </c>
      <c r="B263" s="35" t="s">
        <v>284</v>
      </c>
      <c r="C263" s="36">
        <v>24512</v>
      </c>
      <c r="D263" s="6"/>
      <c r="E263" s="113">
        <v>3052523504</v>
      </c>
      <c r="F263" s="116">
        <f t="shared" si="54"/>
        <v>124531.80091383812</v>
      </c>
      <c r="G263" s="117">
        <v>2319333983</v>
      </c>
      <c r="H263" s="117">
        <f t="shared" si="55"/>
        <v>94620.348523172317</v>
      </c>
      <c r="I263" s="7"/>
      <c r="J263" s="10">
        <v>3.8160000000000003</v>
      </c>
      <c r="K263" s="117">
        <v>8850578</v>
      </c>
      <c r="L263" s="120">
        <f t="shared" si="59"/>
        <v>361.07123041775458</v>
      </c>
      <c r="M263" s="122">
        <f t="shared" si="56"/>
        <v>23193339.830000002</v>
      </c>
      <c r="N263" s="116">
        <f t="shared" si="57"/>
        <v>14342761.830000002</v>
      </c>
      <c r="O263" s="123">
        <f t="shared" si="58"/>
        <v>585.13225481396876</v>
      </c>
      <c r="P263" s="5"/>
      <c r="Q263" s="5">
        <f t="shared" ref="Q263:Q326" si="60">IF(E263&gt;0,1,0)</f>
        <v>1</v>
      </c>
      <c r="R263" s="7">
        <f t="shared" ref="R263:R326" si="61">IF(E263&gt;0,C263,0)</f>
        <v>24512</v>
      </c>
      <c r="S263" s="5">
        <f t="shared" ref="S263:S326" si="62">IF(J263&gt;0,1,0)</f>
        <v>1</v>
      </c>
      <c r="T263" s="7">
        <f t="shared" ref="T263:T326" si="63">IF(J263&gt;0,C263,0)</f>
        <v>24512</v>
      </c>
    </row>
    <row r="264" spans="1:20">
      <c r="A264" s="23" t="s">
        <v>297</v>
      </c>
      <c r="B264" s="35" t="s">
        <v>298</v>
      </c>
      <c r="C264" s="36">
        <v>49574</v>
      </c>
      <c r="D264" s="6"/>
      <c r="E264" s="113">
        <v>2359440191</v>
      </c>
      <c r="F264" s="116">
        <f t="shared" si="54"/>
        <v>47594.307318352359</v>
      </c>
      <c r="G264" s="117">
        <v>1631239780</v>
      </c>
      <c r="H264" s="117">
        <f t="shared" si="55"/>
        <v>32905.147456327912</v>
      </c>
      <c r="I264" s="7"/>
      <c r="J264" s="10">
        <v>4.2953000000000001</v>
      </c>
      <c r="K264" s="117">
        <v>7006664</v>
      </c>
      <c r="L264" s="120">
        <f t="shared" si="59"/>
        <v>141.33747528946625</v>
      </c>
      <c r="M264" s="122">
        <f t="shared" si="56"/>
        <v>16312397.800000001</v>
      </c>
      <c r="N264" s="116">
        <f t="shared" si="57"/>
        <v>9305733.8000000007</v>
      </c>
      <c r="O264" s="123">
        <f t="shared" si="58"/>
        <v>187.7139992738129</v>
      </c>
      <c r="P264" s="5"/>
      <c r="Q264" s="5">
        <f t="shared" si="60"/>
        <v>1</v>
      </c>
      <c r="R264" s="7">
        <f t="shared" si="61"/>
        <v>49574</v>
      </c>
      <c r="S264" s="5">
        <f t="shared" si="62"/>
        <v>1</v>
      </c>
      <c r="T264" s="7">
        <f t="shared" si="63"/>
        <v>49574</v>
      </c>
    </row>
    <row r="265" spans="1:20">
      <c r="A265" s="23" t="s">
        <v>546</v>
      </c>
      <c r="B265" s="35" t="s">
        <v>298</v>
      </c>
      <c r="C265" s="36">
        <v>20770</v>
      </c>
      <c r="D265" s="6"/>
      <c r="E265" s="113">
        <v>880286887</v>
      </c>
      <c r="F265" s="116">
        <f t="shared" si="54"/>
        <v>42382.613721714013</v>
      </c>
      <c r="G265" s="117">
        <v>568843883</v>
      </c>
      <c r="H265" s="117">
        <f t="shared" si="55"/>
        <v>27387.765190178143</v>
      </c>
      <c r="I265" s="7"/>
      <c r="J265" s="10">
        <v>4.1790000000000003</v>
      </c>
      <c r="K265" s="117">
        <v>2377198</v>
      </c>
      <c r="L265" s="120">
        <f t="shared" si="59"/>
        <v>114.45344246509389</v>
      </c>
      <c r="M265" s="122">
        <f t="shared" si="56"/>
        <v>5688438.8300000001</v>
      </c>
      <c r="N265" s="116">
        <f t="shared" si="57"/>
        <v>3311240.83</v>
      </c>
      <c r="O265" s="123">
        <f t="shared" si="58"/>
        <v>159.42420943668753</v>
      </c>
      <c r="P265" s="5"/>
      <c r="Q265" s="5">
        <f t="shared" si="60"/>
        <v>1</v>
      </c>
      <c r="R265" s="7">
        <f t="shared" si="61"/>
        <v>20770</v>
      </c>
      <c r="S265" s="5">
        <f t="shared" si="62"/>
        <v>1</v>
      </c>
      <c r="T265" s="7">
        <f t="shared" si="63"/>
        <v>20770</v>
      </c>
    </row>
    <row r="266" spans="1:20">
      <c r="A266" s="23" t="s">
        <v>299</v>
      </c>
      <c r="B266" s="35" t="s">
        <v>300</v>
      </c>
      <c r="C266" s="36">
        <v>2079</v>
      </c>
      <c r="D266" s="6"/>
      <c r="E266" s="113">
        <v>330718976</v>
      </c>
      <c r="F266" s="116">
        <f t="shared" si="54"/>
        <v>159075.98653198653</v>
      </c>
      <c r="G266" s="117">
        <v>305536295</v>
      </c>
      <c r="H266" s="117">
        <f t="shared" si="55"/>
        <v>146963.10485810487</v>
      </c>
      <c r="I266" s="7"/>
      <c r="J266" s="10">
        <v>7.1140000000000008</v>
      </c>
      <c r="K266" s="117">
        <v>2173585</v>
      </c>
      <c r="L266" s="120">
        <f t="shared" si="59"/>
        <v>1045.4954304954306</v>
      </c>
      <c r="M266" s="122">
        <f t="shared" si="56"/>
        <v>3055362.95</v>
      </c>
      <c r="N266" s="116">
        <f t="shared" si="57"/>
        <v>881777.95000000019</v>
      </c>
      <c r="O266" s="123">
        <f t="shared" si="58"/>
        <v>424.13561808561815</v>
      </c>
      <c r="P266" s="5"/>
      <c r="Q266" s="5">
        <f t="shared" si="60"/>
        <v>1</v>
      </c>
      <c r="R266" s="7">
        <f t="shared" si="61"/>
        <v>2079</v>
      </c>
      <c r="S266" s="5">
        <f t="shared" si="62"/>
        <v>1</v>
      </c>
      <c r="T266" s="7">
        <f t="shared" si="63"/>
        <v>2079</v>
      </c>
    </row>
    <row r="267" spans="1:20">
      <c r="A267" s="23" t="s">
        <v>301</v>
      </c>
      <c r="B267" s="35" t="s">
        <v>300</v>
      </c>
      <c r="C267" s="36">
        <v>14885</v>
      </c>
      <c r="D267" s="6"/>
      <c r="E267" s="113">
        <v>354704072</v>
      </c>
      <c r="F267" s="116">
        <f t="shared" si="54"/>
        <v>23829.631978501846</v>
      </c>
      <c r="G267" s="117">
        <v>221846123</v>
      </c>
      <c r="H267" s="117">
        <f t="shared" si="55"/>
        <v>14904.005576083306</v>
      </c>
      <c r="I267" s="7"/>
      <c r="J267" s="10">
        <v>8.2190000000000012</v>
      </c>
      <c r="K267" s="117">
        <v>1823353</v>
      </c>
      <c r="L267" s="120">
        <f t="shared" si="59"/>
        <v>122.49600268726907</v>
      </c>
      <c r="M267" s="122">
        <f t="shared" si="56"/>
        <v>2218461.23</v>
      </c>
      <c r="N267" s="116">
        <f t="shared" si="57"/>
        <v>395108.23</v>
      </c>
      <c r="O267" s="123">
        <f t="shared" si="58"/>
        <v>26.54405307356399</v>
      </c>
      <c r="P267" s="5"/>
      <c r="Q267" s="5">
        <f t="shared" si="60"/>
        <v>1</v>
      </c>
      <c r="R267" s="7">
        <f t="shared" si="61"/>
        <v>14885</v>
      </c>
      <c r="S267" s="5">
        <f t="shared" si="62"/>
        <v>1</v>
      </c>
      <c r="T267" s="7">
        <f t="shared" si="63"/>
        <v>14885</v>
      </c>
    </row>
    <row r="268" spans="1:20">
      <c r="A268" s="23" t="s">
        <v>302</v>
      </c>
      <c r="B268" s="35" t="s">
        <v>300</v>
      </c>
      <c r="C268" s="36">
        <v>74935</v>
      </c>
      <c r="D268" s="6"/>
      <c r="E268" s="113">
        <v>12966712379</v>
      </c>
      <c r="F268" s="116">
        <f t="shared" si="54"/>
        <v>173039.46592380063</v>
      </c>
      <c r="G268" s="117">
        <v>10718600503</v>
      </c>
      <c r="H268" s="117">
        <f t="shared" si="55"/>
        <v>143038.64019483552</v>
      </c>
      <c r="I268" s="7"/>
      <c r="J268" s="10">
        <v>3.15</v>
      </c>
      <c r="K268" s="117">
        <v>33763591</v>
      </c>
      <c r="L268" s="120">
        <f t="shared" si="59"/>
        <v>450.57170881430574</v>
      </c>
      <c r="M268" s="122">
        <f t="shared" si="56"/>
        <v>107186005.03</v>
      </c>
      <c r="N268" s="116">
        <f t="shared" si="57"/>
        <v>73422414.030000001</v>
      </c>
      <c r="O268" s="123">
        <f t="shared" si="58"/>
        <v>979.81469313404955</v>
      </c>
      <c r="P268" s="5"/>
      <c r="Q268" s="5">
        <f t="shared" si="60"/>
        <v>1</v>
      </c>
      <c r="R268" s="7">
        <f t="shared" si="61"/>
        <v>74935</v>
      </c>
      <c r="S268" s="5">
        <f t="shared" si="62"/>
        <v>1</v>
      </c>
      <c r="T268" s="7">
        <f t="shared" si="63"/>
        <v>74935</v>
      </c>
    </row>
    <row r="269" spans="1:20">
      <c r="A269" s="23" t="s">
        <v>303</v>
      </c>
      <c r="B269" s="35" t="s">
        <v>300</v>
      </c>
      <c r="C269" s="36">
        <v>61816</v>
      </c>
      <c r="D269" s="6"/>
      <c r="E269" s="113">
        <v>3523217698</v>
      </c>
      <c r="F269" s="116">
        <f t="shared" si="54"/>
        <v>56995.239064319918</v>
      </c>
      <c r="G269" s="117">
        <v>2735580400</v>
      </c>
      <c r="H269" s="117">
        <f t="shared" si="55"/>
        <v>44253.597774039081</v>
      </c>
      <c r="I269" s="7"/>
      <c r="J269" s="10">
        <v>7.8160000000000007</v>
      </c>
      <c r="K269" s="117">
        <v>21381296</v>
      </c>
      <c r="L269" s="120">
        <f t="shared" si="59"/>
        <v>345.88611362753977</v>
      </c>
      <c r="M269" s="122">
        <f t="shared" si="56"/>
        <v>27355804</v>
      </c>
      <c r="N269" s="116">
        <f t="shared" si="57"/>
        <v>5974508</v>
      </c>
      <c r="O269" s="123">
        <f t="shared" si="58"/>
        <v>96.649864112851049</v>
      </c>
      <c r="P269" s="5"/>
      <c r="Q269" s="5">
        <f t="shared" si="60"/>
        <v>1</v>
      </c>
      <c r="R269" s="7">
        <f t="shared" si="61"/>
        <v>61816</v>
      </c>
      <c r="S269" s="5">
        <f t="shared" si="62"/>
        <v>1</v>
      </c>
      <c r="T269" s="7">
        <f t="shared" si="63"/>
        <v>61816</v>
      </c>
    </row>
    <row r="270" spans="1:20">
      <c r="A270" s="23" t="s">
        <v>304</v>
      </c>
      <c r="B270" s="35" t="s">
        <v>300</v>
      </c>
      <c r="C270" s="36">
        <v>416</v>
      </c>
      <c r="D270" s="6"/>
      <c r="E270" s="113">
        <v>25659295</v>
      </c>
      <c r="F270" s="116">
        <f t="shared" si="54"/>
        <v>61680.997596153844</v>
      </c>
      <c r="G270" s="117">
        <v>20046457</v>
      </c>
      <c r="H270" s="117">
        <f t="shared" si="55"/>
        <v>48188.598557692305</v>
      </c>
      <c r="I270" s="7"/>
      <c r="J270" s="10">
        <v>1.0911999999999999</v>
      </c>
      <c r="K270" s="117">
        <v>21874</v>
      </c>
      <c r="L270" s="120">
        <f t="shared" si="59"/>
        <v>52.581730769230766</v>
      </c>
      <c r="M270" s="122">
        <f t="shared" si="56"/>
        <v>200464.57</v>
      </c>
      <c r="N270" s="116">
        <f t="shared" si="57"/>
        <v>178590.57</v>
      </c>
      <c r="O270" s="123">
        <f t="shared" si="58"/>
        <v>429.3042548076923</v>
      </c>
      <c r="P270" s="5"/>
      <c r="Q270" s="5">
        <f t="shared" si="60"/>
        <v>1</v>
      </c>
      <c r="R270" s="7">
        <f t="shared" si="61"/>
        <v>416</v>
      </c>
      <c r="S270" s="5">
        <f t="shared" si="62"/>
        <v>1</v>
      </c>
      <c r="T270" s="7">
        <f t="shared" si="63"/>
        <v>416</v>
      </c>
    </row>
    <row r="271" spans="1:20">
      <c r="A271" s="23" t="s">
        <v>305</v>
      </c>
      <c r="B271" s="35" t="s">
        <v>300</v>
      </c>
      <c r="C271" s="36">
        <v>164</v>
      </c>
      <c r="D271" s="6"/>
      <c r="E271" s="113">
        <v>4423567</v>
      </c>
      <c r="F271" s="116">
        <f t="shared" si="54"/>
        <v>26972.969512195123</v>
      </c>
      <c r="G271" s="117">
        <v>3372445</v>
      </c>
      <c r="H271" s="117">
        <f t="shared" si="55"/>
        <v>20563.689024390245</v>
      </c>
      <c r="I271" s="98" t="s">
        <v>528</v>
      </c>
      <c r="J271" s="10"/>
      <c r="K271" s="117"/>
      <c r="L271" s="120"/>
      <c r="M271" s="122">
        <f t="shared" si="56"/>
        <v>33724.449999999997</v>
      </c>
      <c r="N271" s="116">
        <f t="shared" si="57"/>
        <v>33724.449999999997</v>
      </c>
      <c r="O271" s="123">
        <f t="shared" si="58"/>
        <v>205.63689024390243</v>
      </c>
      <c r="P271" s="5"/>
      <c r="Q271" s="5">
        <f t="shared" si="60"/>
        <v>1</v>
      </c>
      <c r="R271" s="7">
        <f t="shared" si="61"/>
        <v>164</v>
      </c>
      <c r="S271" s="5">
        <f t="shared" si="62"/>
        <v>0</v>
      </c>
      <c r="T271" s="7">
        <f t="shared" si="63"/>
        <v>0</v>
      </c>
    </row>
    <row r="272" spans="1:20">
      <c r="A272" s="23" t="s">
        <v>306</v>
      </c>
      <c r="B272" s="35" t="s">
        <v>300</v>
      </c>
      <c r="C272" s="36">
        <v>60645</v>
      </c>
      <c r="D272" s="6"/>
      <c r="E272" s="113">
        <v>4823560573</v>
      </c>
      <c r="F272" s="116">
        <f t="shared" si="54"/>
        <v>79537.64651661308</v>
      </c>
      <c r="G272" s="117">
        <v>3759600909</v>
      </c>
      <c r="H272" s="117">
        <f t="shared" si="55"/>
        <v>61993.58412070245</v>
      </c>
      <c r="I272" s="7"/>
      <c r="J272" s="10">
        <v>7.37</v>
      </c>
      <c r="K272" s="117">
        <v>27708258</v>
      </c>
      <c r="L272" s="120">
        <f>(K272/C272)</f>
        <v>456.89270343804105</v>
      </c>
      <c r="M272" s="122">
        <f t="shared" si="56"/>
        <v>37596009.090000004</v>
      </c>
      <c r="N272" s="116">
        <f t="shared" si="57"/>
        <v>9887751.0900000036</v>
      </c>
      <c r="O272" s="123">
        <f t="shared" si="58"/>
        <v>163.04313776898348</v>
      </c>
      <c r="P272" s="5"/>
      <c r="Q272" s="5">
        <f t="shared" si="60"/>
        <v>1</v>
      </c>
      <c r="R272" s="7">
        <f t="shared" si="61"/>
        <v>60645</v>
      </c>
      <c r="S272" s="5">
        <f t="shared" si="62"/>
        <v>1</v>
      </c>
      <c r="T272" s="7">
        <f t="shared" si="63"/>
        <v>60645</v>
      </c>
    </row>
    <row r="273" spans="1:20">
      <c r="A273" s="23" t="s">
        <v>307</v>
      </c>
      <c r="B273" s="35" t="s">
        <v>300</v>
      </c>
      <c r="C273" s="36">
        <v>294</v>
      </c>
      <c r="D273" s="6"/>
      <c r="E273" s="113">
        <v>12750675</v>
      </c>
      <c r="F273" s="116">
        <f t="shared" si="54"/>
        <v>43369.642857142855</v>
      </c>
      <c r="G273" s="117">
        <v>10484436</v>
      </c>
      <c r="H273" s="117">
        <f t="shared" si="55"/>
        <v>35661.34693877551</v>
      </c>
      <c r="I273" s="98" t="s">
        <v>528</v>
      </c>
      <c r="J273" s="10"/>
      <c r="K273" s="117"/>
      <c r="L273" s="120"/>
      <c r="M273" s="122">
        <f t="shared" si="56"/>
        <v>104844.36</v>
      </c>
      <c r="N273" s="116">
        <f t="shared" si="57"/>
        <v>104844.36</v>
      </c>
      <c r="O273" s="123">
        <f t="shared" si="58"/>
        <v>356.61346938775512</v>
      </c>
      <c r="P273" s="5"/>
      <c r="Q273" s="5">
        <f t="shared" si="60"/>
        <v>1</v>
      </c>
      <c r="R273" s="7">
        <f t="shared" si="61"/>
        <v>294</v>
      </c>
      <c r="S273" s="5">
        <f t="shared" si="62"/>
        <v>0</v>
      </c>
      <c r="T273" s="7">
        <f t="shared" si="63"/>
        <v>0</v>
      </c>
    </row>
    <row r="274" spans="1:20">
      <c r="A274" s="23" t="s">
        <v>308</v>
      </c>
      <c r="B274" s="35" t="s">
        <v>300</v>
      </c>
      <c r="C274" s="36">
        <v>227</v>
      </c>
      <c r="D274" s="6"/>
      <c r="E274" s="113">
        <v>94305843</v>
      </c>
      <c r="F274" s="116">
        <f t="shared" si="54"/>
        <v>415444.24229074892</v>
      </c>
      <c r="G274" s="117">
        <v>81293985</v>
      </c>
      <c r="H274" s="117">
        <f t="shared" si="55"/>
        <v>358123.28193832596</v>
      </c>
      <c r="I274" s="9"/>
      <c r="J274" s="10">
        <v>5.8233000000000006</v>
      </c>
      <c r="K274" s="117">
        <v>473399</v>
      </c>
      <c r="L274" s="120">
        <f t="shared" ref="L274:L305" si="64">(K274/C274)</f>
        <v>2085.4581497797358</v>
      </c>
      <c r="M274" s="122">
        <f t="shared" si="56"/>
        <v>812939.85</v>
      </c>
      <c r="N274" s="116">
        <f t="shared" si="57"/>
        <v>339540.85</v>
      </c>
      <c r="O274" s="123">
        <f t="shared" si="58"/>
        <v>1495.7746696035242</v>
      </c>
      <c r="P274" s="5"/>
      <c r="Q274" s="5">
        <f t="shared" si="60"/>
        <v>1</v>
      </c>
      <c r="R274" s="7">
        <f t="shared" si="61"/>
        <v>227</v>
      </c>
      <c r="S274" s="5">
        <f t="shared" si="62"/>
        <v>1</v>
      </c>
      <c r="T274" s="7">
        <f t="shared" si="63"/>
        <v>227</v>
      </c>
    </row>
    <row r="275" spans="1:20">
      <c r="A275" s="23" t="s">
        <v>309</v>
      </c>
      <c r="B275" s="35" t="s">
        <v>300</v>
      </c>
      <c r="C275" s="36">
        <v>28013</v>
      </c>
      <c r="D275" s="6"/>
      <c r="E275" s="113">
        <v>1090427323</v>
      </c>
      <c r="F275" s="116">
        <f t="shared" si="54"/>
        <v>38925.760289865422</v>
      </c>
      <c r="G275" s="117">
        <v>813934257</v>
      </c>
      <c r="H275" s="117">
        <f t="shared" si="55"/>
        <v>29055.590511548209</v>
      </c>
      <c r="I275" s="7"/>
      <c r="J275" s="10">
        <v>5.2992000000000008</v>
      </c>
      <c r="K275" s="117">
        <v>4313200</v>
      </c>
      <c r="L275" s="120">
        <f t="shared" si="64"/>
        <v>153.97137043515511</v>
      </c>
      <c r="M275" s="122">
        <f t="shared" si="56"/>
        <v>8139342.5700000003</v>
      </c>
      <c r="N275" s="116">
        <f t="shared" si="57"/>
        <v>3826142.5700000003</v>
      </c>
      <c r="O275" s="123">
        <f t="shared" si="58"/>
        <v>136.58453468032701</v>
      </c>
      <c r="P275" s="5"/>
      <c r="Q275" s="5">
        <f t="shared" si="60"/>
        <v>1</v>
      </c>
      <c r="R275" s="7">
        <f t="shared" si="61"/>
        <v>28013</v>
      </c>
      <c r="S275" s="5">
        <f t="shared" si="62"/>
        <v>1</v>
      </c>
      <c r="T275" s="7">
        <f t="shared" si="63"/>
        <v>28013</v>
      </c>
    </row>
    <row r="276" spans="1:20">
      <c r="A276" s="23" t="s">
        <v>310</v>
      </c>
      <c r="B276" s="35" t="s">
        <v>300</v>
      </c>
      <c r="C276" s="36">
        <v>707</v>
      </c>
      <c r="D276" s="6"/>
      <c r="E276" s="113">
        <v>486594580</v>
      </c>
      <c r="F276" s="116">
        <f t="shared" si="54"/>
        <v>688252.58840169734</v>
      </c>
      <c r="G276" s="117">
        <v>415062701</v>
      </c>
      <c r="H276" s="117">
        <f t="shared" si="55"/>
        <v>587075.9561527581</v>
      </c>
      <c r="I276" s="9"/>
      <c r="J276" s="11">
        <v>3.7853000000000003</v>
      </c>
      <c r="K276" s="117">
        <v>1571136</v>
      </c>
      <c r="L276" s="120">
        <f t="shared" si="64"/>
        <v>2222.2574257425745</v>
      </c>
      <c r="M276" s="122">
        <f t="shared" si="56"/>
        <v>4150627.0100000002</v>
      </c>
      <c r="N276" s="116">
        <f t="shared" si="57"/>
        <v>2579491.0100000002</v>
      </c>
      <c r="O276" s="123">
        <f t="shared" si="58"/>
        <v>3648.5021357850073</v>
      </c>
      <c r="P276" s="5"/>
      <c r="Q276" s="5">
        <f t="shared" si="60"/>
        <v>1</v>
      </c>
      <c r="R276" s="7">
        <f t="shared" si="61"/>
        <v>707</v>
      </c>
      <c r="S276" s="5">
        <f t="shared" si="62"/>
        <v>1</v>
      </c>
      <c r="T276" s="7">
        <f t="shared" si="63"/>
        <v>707</v>
      </c>
    </row>
    <row r="277" spans="1:20">
      <c r="A277" s="23" t="s">
        <v>311</v>
      </c>
      <c r="B277" s="35" t="s">
        <v>300</v>
      </c>
      <c r="C277" s="36">
        <v>1507</v>
      </c>
      <c r="D277" s="6"/>
      <c r="E277" s="113">
        <v>65991427</v>
      </c>
      <c r="F277" s="116">
        <f t="shared" si="54"/>
        <v>43789.931652289313</v>
      </c>
      <c r="G277" s="117">
        <v>48325307</v>
      </c>
      <c r="H277" s="117">
        <f t="shared" si="55"/>
        <v>32067.224286662244</v>
      </c>
      <c r="I277" s="7"/>
      <c r="J277" s="10">
        <v>5</v>
      </c>
      <c r="K277" s="117">
        <v>241626</v>
      </c>
      <c r="L277" s="120">
        <f t="shared" si="64"/>
        <v>160.33576642335765</v>
      </c>
      <c r="M277" s="122">
        <f t="shared" si="56"/>
        <v>483253.07</v>
      </c>
      <c r="N277" s="116">
        <f t="shared" si="57"/>
        <v>241627.07</v>
      </c>
      <c r="O277" s="123">
        <f t="shared" si="58"/>
        <v>160.33647644326476</v>
      </c>
      <c r="P277" s="5"/>
      <c r="Q277" s="5">
        <f t="shared" si="60"/>
        <v>1</v>
      </c>
      <c r="R277" s="7">
        <f t="shared" si="61"/>
        <v>1507</v>
      </c>
      <c r="S277" s="5">
        <f t="shared" si="62"/>
        <v>1</v>
      </c>
      <c r="T277" s="7">
        <f t="shared" si="63"/>
        <v>1507</v>
      </c>
    </row>
    <row r="278" spans="1:20">
      <c r="A278" s="23" t="s">
        <v>312</v>
      </c>
      <c r="B278" s="35" t="s">
        <v>300</v>
      </c>
      <c r="C278" s="36">
        <v>3885</v>
      </c>
      <c r="D278" s="6"/>
      <c r="E278" s="113">
        <v>1131263386</v>
      </c>
      <c r="F278" s="116">
        <f t="shared" si="54"/>
        <v>291187.48674388672</v>
      </c>
      <c r="G278" s="117">
        <v>1037144177</v>
      </c>
      <c r="H278" s="117">
        <f t="shared" si="55"/>
        <v>266961.17812097812</v>
      </c>
      <c r="I278" s="7"/>
      <c r="J278" s="12">
        <v>3.7762000000000002</v>
      </c>
      <c r="K278" s="117">
        <v>3916463</v>
      </c>
      <c r="L278" s="120">
        <f t="shared" si="64"/>
        <v>1008.0985842985843</v>
      </c>
      <c r="M278" s="122">
        <f t="shared" si="56"/>
        <v>10371441.77</v>
      </c>
      <c r="N278" s="116">
        <f t="shared" si="57"/>
        <v>6454978.7699999996</v>
      </c>
      <c r="O278" s="123">
        <f t="shared" si="58"/>
        <v>1661.5131969111967</v>
      </c>
      <c r="P278" s="5"/>
      <c r="Q278" s="5">
        <f t="shared" si="60"/>
        <v>1</v>
      </c>
      <c r="R278" s="7">
        <f t="shared" si="61"/>
        <v>3885</v>
      </c>
      <c r="S278" s="5">
        <f t="shared" si="62"/>
        <v>1</v>
      </c>
      <c r="T278" s="7">
        <f t="shared" si="63"/>
        <v>3885</v>
      </c>
    </row>
    <row r="279" spans="1:20">
      <c r="A279" s="23" t="s">
        <v>313</v>
      </c>
      <c r="B279" s="35" t="s">
        <v>300</v>
      </c>
      <c r="C279" s="36">
        <v>2050</v>
      </c>
      <c r="D279" s="6"/>
      <c r="E279" s="113">
        <v>179771566</v>
      </c>
      <c r="F279" s="116">
        <f t="shared" si="54"/>
        <v>87693.446829268287</v>
      </c>
      <c r="G279" s="117">
        <v>156366719</v>
      </c>
      <c r="H279" s="117">
        <f t="shared" si="55"/>
        <v>76276.448292682922</v>
      </c>
      <c r="I279" s="7"/>
      <c r="J279" s="10">
        <v>3.7158000000000002</v>
      </c>
      <c r="K279" s="117">
        <v>581027</v>
      </c>
      <c r="L279" s="120">
        <f t="shared" si="64"/>
        <v>283.42780487804879</v>
      </c>
      <c r="M279" s="122">
        <f t="shared" si="56"/>
        <v>1563667.19</v>
      </c>
      <c r="N279" s="116">
        <f t="shared" si="57"/>
        <v>982640.19</v>
      </c>
      <c r="O279" s="123">
        <f t="shared" si="58"/>
        <v>479.33667804878047</v>
      </c>
      <c r="P279" s="5"/>
      <c r="Q279" s="5">
        <f t="shared" si="60"/>
        <v>1</v>
      </c>
      <c r="R279" s="7">
        <f t="shared" si="61"/>
        <v>2050</v>
      </c>
      <c r="S279" s="5">
        <f t="shared" si="62"/>
        <v>1</v>
      </c>
      <c r="T279" s="7">
        <f t="shared" si="63"/>
        <v>2050</v>
      </c>
    </row>
    <row r="280" spans="1:20">
      <c r="A280" s="23" t="s">
        <v>314</v>
      </c>
      <c r="B280" s="35" t="s">
        <v>300</v>
      </c>
      <c r="C280" s="36">
        <v>3363</v>
      </c>
      <c r="D280" s="6"/>
      <c r="E280" s="113">
        <v>621520291</v>
      </c>
      <c r="F280" s="116">
        <f t="shared" si="54"/>
        <v>184811.26702349092</v>
      </c>
      <c r="G280" s="117">
        <v>539160035</v>
      </c>
      <c r="H280" s="117">
        <f t="shared" si="55"/>
        <v>160321.15224501933</v>
      </c>
      <c r="I280" s="7"/>
      <c r="J280" s="10">
        <v>3.7977000000000003</v>
      </c>
      <c r="K280" s="117">
        <v>2047568</v>
      </c>
      <c r="L280" s="120">
        <f t="shared" si="64"/>
        <v>608.85162057686591</v>
      </c>
      <c r="M280" s="122">
        <f t="shared" si="56"/>
        <v>5391600.3500000006</v>
      </c>
      <c r="N280" s="116">
        <f t="shared" si="57"/>
        <v>3344032.3500000006</v>
      </c>
      <c r="O280" s="123">
        <f t="shared" si="58"/>
        <v>994.35990187332754</v>
      </c>
      <c r="P280" s="5"/>
      <c r="Q280" s="5">
        <f t="shared" si="60"/>
        <v>1</v>
      </c>
      <c r="R280" s="7">
        <f t="shared" si="61"/>
        <v>3363</v>
      </c>
      <c r="S280" s="5">
        <f t="shared" si="62"/>
        <v>1</v>
      </c>
      <c r="T280" s="7">
        <f t="shared" si="63"/>
        <v>3363</v>
      </c>
    </row>
    <row r="281" spans="1:20">
      <c r="A281" s="23" t="s">
        <v>315</v>
      </c>
      <c r="B281" s="35" t="s">
        <v>300</v>
      </c>
      <c r="C281" s="36">
        <v>40625</v>
      </c>
      <c r="D281" s="6"/>
      <c r="E281" s="113">
        <v>4615958269</v>
      </c>
      <c r="F281" s="116">
        <f t="shared" si="54"/>
        <v>113623.58816</v>
      </c>
      <c r="G281" s="117">
        <v>3742675333</v>
      </c>
      <c r="H281" s="117">
        <f t="shared" si="55"/>
        <v>92127.392812307691</v>
      </c>
      <c r="I281" s="7"/>
      <c r="J281" s="10">
        <v>2.6195000000000004</v>
      </c>
      <c r="K281" s="117">
        <v>9803938</v>
      </c>
      <c r="L281" s="120">
        <f t="shared" si="64"/>
        <v>241.32770461538462</v>
      </c>
      <c r="M281" s="122">
        <f t="shared" si="56"/>
        <v>37426753.329999998</v>
      </c>
      <c r="N281" s="116">
        <f t="shared" si="57"/>
        <v>27622815.329999998</v>
      </c>
      <c r="O281" s="123">
        <f t="shared" si="58"/>
        <v>679.94622350769225</v>
      </c>
      <c r="P281" s="5"/>
      <c r="Q281" s="5">
        <f t="shared" si="60"/>
        <v>1</v>
      </c>
      <c r="R281" s="7">
        <f t="shared" si="61"/>
        <v>40625</v>
      </c>
      <c r="S281" s="5">
        <f t="shared" si="62"/>
        <v>1</v>
      </c>
      <c r="T281" s="7">
        <f t="shared" si="63"/>
        <v>40625</v>
      </c>
    </row>
    <row r="282" spans="1:20">
      <c r="A282" s="23" t="s">
        <v>316</v>
      </c>
      <c r="B282" s="35" t="s">
        <v>300</v>
      </c>
      <c r="C282" s="36">
        <v>374</v>
      </c>
      <c r="D282" s="6"/>
      <c r="E282" s="113">
        <v>167058833</v>
      </c>
      <c r="F282" s="116">
        <f t="shared" si="54"/>
        <v>446681.371657754</v>
      </c>
      <c r="G282" s="117">
        <v>134574527</v>
      </c>
      <c r="H282" s="117">
        <f t="shared" si="55"/>
        <v>359824.93850267382</v>
      </c>
      <c r="I282" s="7"/>
      <c r="J282" s="10">
        <v>5.2631000000000006</v>
      </c>
      <c r="K282" s="117">
        <v>708279</v>
      </c>
      <c r="L282" s="120">
        <f t="shared" si="64"/>
        <v>1893.7941176470588</v>
      </c>
      <c r="M282" s="122">
        <f t="shared" si="56"/>
        <v>1345745.27</v>
      </c>
      <c r="N282" s="116">
        <f t="shared" si="57"/>
        <v>637466.27</v>
      </c>
      <c r="O282" s="123">
        <f t="shared" si="58"/>
        <v>1704.4552673796793</v>
      </c>
      <c r="P282" s="5"/>
      <c r="Q282" s="5">
        <f t="shared" si="60"/>
        <v>1</v>
      </c>
      <c r="R282" s="7">
        <f t="shared" si="61"/>
        <v>374</v>
      </c>
      <c r="S282" s="5">
        <f t="shared" si="62"/>
        <v>1</v>
      </c>
      <c r="T282" s="7">
        <f t="shared" si="63"/>
        <v>374</v>
      </c>
    </row>
    <row r="283" spans="1:20">
      <c r="A283" s="23" t="s">
        <v>317</v>
      </c>
      <c r="B283" s="35" t="s">
        <v>300</v>
      </c>
      <c r="C283" s="36">
        <v>3457</v>
      </c>
      <c r="D283" s="6"/>
      <c r="E283" s="113">
        <v>205215758</v>
      </c>
      <c r="F283" s="116">
        <f t="shared" si="54"/>
        <v>59362.382991032689</v>
      </c>
      <c r="G283" s="117">
        <v>157092217</v>
      </c>
      <c r="H283" s="117">
        <f t="shared" si="55"/>
        <v>45441.775238646223</v>
      </c>
      <c r="I283" s="7"/>
      <c r="J283" s="10">
        <v>5.3164000000000007</v>
      </c>
      <c r="K283" s="117">
        <v>835165</v>
      </c>
      <c r="L283" s="120">
        <f t="shared" si="64"/>
        <v>241.58663581139717</v>
      </c>
      <c r="M283" s="122">
        <f t="shared" si="56"/>
        <v>1570922.17</v>
      </c>
      <c r="N283" s="116">
        <f t="shared" si="57"/>
        <v>735757.16999999993</v>
      </c>
      <c r="O283" s="123">
        <f t="shared" si="58"/>
        <v>212.83111657506507</v>
      </c>
      <c r="P283" s="5"/>
      <c r="Q283" s="5">
        <f t="shared" si="60"/>
        <v>1</v>
      </c>
      <c r="R283" s="7">
        <f t="shared" si="61"/>
        <v>3457</v>
      </c>
      <c r="S283" s="5">
        <f t="shared" si="62"/>
        <v>1</v>
      </c>
      <c r="T283" s="7">
        <f t="shared" si="63"/>
        <v>3457</v>
      </c>
    </row>
    <row r="284" spans="1:20">
      <c r="A284" s="23" t="s">
        <v>318</v>
      </c>
      <c r="B284" s="35" t="s">
        <v>300</v>
      </c>
      <c r="C284" s="36">
        <v>8718</v>
      </c>
      <c r="D284" s="6"/>
      <c r="E284" s="113">
        <v>373974390</v>
      </c>
      <c r="F284" s="116">
        <f t="shared" si="54"/>
        <v>42896.810048176187</v>
      </c>
      <c r="G284" s="117">
        <v>303592706</v>
      </c>
      <c r="H284" s="117">
        <f t="shared" si="55"/>
        <v>34823.664372562511</v>
      </c>
      <c r="I284" s="7"/>
      <c r="J284" s="10">
        <v>8.3914000000000009</v>
      </c>
      <c r="K284" s="117">
        <v>2547567</v>
      </c>
      <c r="L284" s="120">
        <f t="shared" si="64"/>
        <v>292.21920165175499</v>
      </c>
      <c r="M284" s="122">
        <f t="shared" si="56"/>
        <v>3035927.06</v>
      </c>
      <c r="N284" s="116">
        <f t="shared" si="57"/>
        <v>488360.06000000006</v>
      </c>
      <c r="O284" s="123">
        <f t="shared" si="58"/>
        <v>56.017442073870157</v>
      </c>
      <c r="P284" s="5"/>
      <c r="Q284" s="5">
        <f t="shared" si="60"/>
        <v>1</v>
      </c>
      <c r="R284" s="7">
        <f t="shared" si="61"/>
        <v>8718</v>
      </c>
      <c r="S284" s="5">
        <f t="shared" si="62"/>
        <v>1</v>
      </c>
      <c r="T284" s="7">
        <f t="shared" si="63"/>
        <v>8718</v>
      </c>
    </row>
    <row r="285" spans="1:20">
      <c r="A285" s="24" t="s">
        <v>628</v>
      </c>
      <c r="B285" s="35" t="s">
        <v>300</v>
      </c>
      <c r="C285" s="36">
        <v>35387</v>
      </c>
      <c r="D285" s="6"/>
      <c r="E285" s="113">
        <v>1199068547</v>
      </c>
      <c r="F285" s="116">
        <f t="shared" si="54"/>
        <v>33884.436290163052</v>
      </c>
      <c r="G285" s="117">
        <v>810013121</v>
      </c>
      <c r="H285" s="117">
        <f t="shared" si="55"/>
        <v>22890.132562805549</v>
      </c>
      <c r="I285" s="7"/>
      <c r="J285" s="10">
        <v>8.9472000000000005</v>
      </c>
      <c r="K285" s="117">
        <v>7247349</v>
      </c>
      <c r="L285" s="120">
        <f t="shared" si="64"/>
        <v>204.80258286941532</v>
      </c>
      <c r="M285" s="122">
        <f t="shared" si="56"/>
        <v>8100131.21</v>
      </c>
      <c r="N285" s="116">
        <f t="shared" si="57"/>
        <v>852782.21</v>
      </c>
      <c r="O285" s="123">
        <f t="shared" si="58"/>
        <v>24.098742758640178</v>
      </c>
      <c r="P285" s="5"/>
      <c r="Q285" s="5">
        <f t="shared" si="60"/>
        <v>1</v>
      </c>
      <c r="R285" s="7">
        <f t="shared" si="61"/>
        <v>35387</v>
      </c>
      <c r="S285" s="5">
        <f t="shared" si="62"/>
        <v>1</v>
      </c>
      <c r="T285" s="7">
        <f t="shared" si="63"/>
        <v>35387</v>
      </c>
    </row>
    <row r="286" spans="1:20">
      <c r="A286" s="23" t="s">
        <v>319</v>
      </c>
      <c r="B286" s="35" t="s">
        <v>300</v>
      </c>
      <c r="C286" s="36">
        <v>9496</v>
      </c>
      <c r="D286" s="6"/>
      <c r="E286" s="113">
        <v>593086122</v>
      </c>
      <c r="F286" s="116">
        <f t="shared" ref="F286:F349" si="65">(E286/C286)</f>
        <v>62456.415543386691</v>
      </c>
      <c r="G286" s="117">
        <v>453075158</v>
      </c>
      <c r="H286" s="117">
        <f t="shared" ref="H286:H349" si="66">(G286/C286)</f>
        <v>47712.211246840772</v>
      </c>
      <c r="I286" s="7"/>
      <c r="J286" s="10">
        <v>7.3318000000000003</v>
      </c>
      <c r="K286" s="117">
        <v>3321856</v>
      </c>
      <c r="L286" s="120">
        <f t="shared" si="64"/>
        <v>349.81634372367313</v>
      </c>
      <c r="M286" s="122">
        <f t="shared" si="56"/>
        <v>4530751.58</v>
      </c>
      <c r="N286" s="116">
        <f t="shared" si="57"/>
        <v>1208895.58</v>
      </c>
      <c r="O286" s="123">
        <f t="shared" si="58"/>
        <v>127.30576874473464</v>
      </c>
      <c r="P286" s="5"/>
      <c r="Q286" s="5">
        <f t="shared" si="60"/>
        <v>1</v>
      </c>
      <c r="R286" s="7">
        <f t="shared" si="61"/>
        <v>9496</v>
      </c>
      <c r="S286" s="5">
        <f t="shared" si="62"/>
        <v>1</v>
      </c>
      <c r="T286" s="7">
        <f t="shared" si="63"/>
        <v>9496</v>
      </c>
    </row>
    <row r="287" spans="1:20">
      <c r="A287" s="23" t="s">
        <v>320</v>
      </c>
      <c r="B287" s="35" t="s">
        <v>300</v>
      </c>
      <c r="C287" s="36">
        <v>315</v>
      </c>
      <c r="D287" s="6"/>
      <c r="E287" s="113">
        <v>612320793</v>
      </c>
      <c r="F287" s="116">
        <f t="shared" si="65"/>
        <v>1943875.5333333334</v>
      </c>
      <c r="G287" s="117">
        <v>567792621</v>
      </c>
      <c r="H287" s="117">
        <f t="shared" si="66"/>
        <v>1802516.2571428572</v>
      </c>
      <c r="I287" s="7"/>
      <c r="J287" s="10">
        <v>2.8159000000000001</v>
      </c>
      <c r="K287" s="117">
        <v>1598847</v>
      </c>
      <c r="L287" s="120">
        <f t="shared" si="64"/>
        <v>5075.7047619047617</v>
      </c>
      <c r="M287" s="122">
        <f t="shared" ref="M287:M350" si="67">(G287*0.01)</f>
        <v>5677926.21</v>
      </c>
      <c r="N287" s="116">
        <f t="shared" ref="N287:N350" si="68">(M287-K287)</f>
        <v>4079079.21</v>
      </c>
      <c r="O287" s="123">
        <f t="shared" ref="O287:O350" si="69">(N287/C287)</f>
        <v>12949.45780952381</v>
      </c>
      <c r="P287" s="5"/>
      <c r="Q287" s="5">
        <f t="shared" si="60"/>
        <v>1</v>
      </c>
      <c r="R287" s="7">
        <f t="shared" si="61"/>
        <v>315</v>
      </c>
      <c r="S287" s="5">
        <f t="shared" si="62"/>
        <v>1</v>
      </c>
      <c r="T287" s="7">
        <f t="shared" si="63"/>
        <v>315</v>
      </c>
    </row>
    <row r="288" spans="1:20">
      <c r="A288" s="23" t="s">
        <v>321</v>
      </c>
      <c r="B288" s="35" t="s">
        <v>300</v>
      </c>
      <c r="C288" s="36">
        <v>1386</v>
      </c>
      <c r="D288" s="6"/>
      <c r="E288" s="113">
        <v>148074927</v>
      </c>
      <c r="F288" s="116">
        <f t="shared" si="65"/>
        <v>106836.16666666667</v>
      </c>
      <c r="G288" s="117">
        <v>129942557</v>
      </c>
      <c r="H288" s="117">
        <f t="shared" si="66"/>
        <v>93753.648629148636</v>
      </c>
      <c r="I288" s="7"/>
      <c r="J288" s="10">
        <v>7.99</v>
      </c>
      <c r="K288" s="117">
        <v>1038241</v>
      </c>
      <c r="L288" s="120">
        <f t="shared" si="64"/>
        <v>749.09163059163063</v>
      </c>
      <c r="M288" s="122">
        <f t="shared" si="67"/>
        <v>1299425.57</v>
      </c>
      <c r="N288" s="116">
        <f t="shared" si="68"/>
        <v>261184.57000000007</v>
      </c>
      <c r="O288" s="123">
        <f t="shared" si="69"/>
        <v>188.44485569985574</v>
      </c>
      <c r="P288" s="5"/>
      <c r="Q288" s="5">
        <f t="shared" si="60"/>
        <v>1</v>
      </c>
      <c r="R288" s="7">
        <f t="shared" si="61"/>
        <v>1386</v>
      </c>
      <c r="S288" s="5">
        <f t="shared" si="62"/>
        <v>1</v>
      </c>
      <c r="T288" s="7">
        <f t="shared" si="63"/>
        <v>1386</v>
      </c>
    </row>
    <row r="289" spans="1:20">
      <c r="A289" s="23" t="s">
        <v>322</v>
      </c>
      <c r="B289" s="35" t="s">
        <v>300</v>
      </c>
      <c r="C289" s="36">
        <v>12198</v>
      </c>
      <c r="D289" s="6"/>
      <c r="E289" s="113">
        <v>1264196167</v>
      </c>
      <c r="F289" s="116">
        <f t="shared" si="65"/>
        <v>103639.62674208886</v>
      </c>
      <c r="G289" s="117">
        <v>993256992</v>
      </c>
      <c r="H289" s="117">
        <f t="shared" si="66"/>
        <v>81427.856369896705</v>
      </c>
      <c r="I289" s="7"/>
      <c r="J289" s="10">
        <v>5.6</v>
      </c>
      <c r="K289" s="117">
        <v>5562239</v>
      </c>
      <c r="L289" s="120">
        <f t="shared" si="64"/>
        <v>455.99598294802428</v>
      </c>
      <c r="M289" s="122">
        <f t="shared" si="67"/>
        <v>9932569.9199999999</v>
      </c>
      <c r="N289" s="116">
        <f t="shared" si="68"/>
        <v>4370330.92</v>
      </c>
      <c r="O289" s="123">
        <f t="shared" si="69"/>
        <v>358.28258075094277</v>
      </c>
      <c r="P289" s="5"/>
      <c r="Q289" s="5">
        <f t="shared" si="60"/>
        <v>1</v>
      </c>
      <c r="R289" s="7">
        <f t="shared" si="61"/>
        <v>12198</v>
      </c>
      <c r="S289" s="5">
        <f t="shared" si="62"/>
        <v>1</v>
      </c>
      <c r="T289" s="7">
        <f t="shared" si="63"/>
        <v>12198</v>
      </c>
    </row>
    <row r="290" spans="1:20">
      <c r="A290" s="23" t="s">
        <v>323</v>
      </c>
      <c r="B290" s="35" t="s">
        <v>300</v>
      </c>
      <c r="C290" s="36">
        <v>1635</v>
      </c>
      <c r="D290" s="6"/>
      <c r="E290" s="113">
        <v>491140874</v>
      </c>
      <c r="F290" s="116">
        <f t="shared" si="65"/>
        <v>300391.9718654434</v>
      </c>
      <c r="G290" s="117">
        <v>407304367</v>
      </c>
      <c r="H290" s="117">
        <f t="shared" si="66"/>
        <v>249115.82079510702</v>
      </c>
      <c r="I290" s="7"/>
      <c r="J290" s="10">
        <v>4</v>
      </c>
      <c r="K290" s="117">
        <v>1629217</v>
      </c>
      <c r="L290" s="120">
        <f t="shared" si="64"/>
        <v>996.46299694189599</v>
      </c>
      <c r="M290" s="122">
        <f t="shared" si="67"/>
        <v>4073043.67</v>
      </c>
      <c r="N290" s="116">
        <f t="shared" si="68"/>
        <v>2443826.67</v>
      </c>
      <c r="O290" s="123">
        <f t="shared" si="69"/>
        <v>1494.6952110091743</v>
      </c>
      <c r="P290" s="5"/>
      <c r="Q290" s="5">
        <f t="shared" si="60"/>
        <v>1</v>
      </c>
      <c r="R290" s="7">
        <f t="shared" si="61"/>
        <v>1635</v>
      </c>
      <c r="S290" s="5">
        <f t="shared" si="62"/>
        <v>1</v>
      </c>
      <c r="T290" s="7">
        <f t="shared" si="63"/>
        <v>1635</v>
      </c>
    </row>
    <row r="291" spans="1:20">
      <c r="A291" s="23" t="s">
        <v>324</v>
      </c>
      <c r="B291" s="35" t="s">
        <v>300</v>
      </c>
      <c r="C291" s="36">
        <v>6027</v>
      </c>
      <c r="D291" s="6"/>
      <c r="E291" s="113">
        <v>143672867</v>
      </c>
      <c r="F291" s="116">
        <f t="shared" si="65"/>
        <v>23838.205906752944</v>
      </c>
      <c r="G291" s="117">
        <v>66576699</v>
      </c>
      <c r="H291" s="117">
        <f t="shared" si="66"/>
        <v>11046.407665505227</v>
      </c>
      <c r="I291" s="7"/>
      <c r="J291" s="10">
        <v>7.75</v>
      </c>
      <c r="K291" s="117">
        <v>515969</v>
      </c>
      <c r="L291" s="120">
        <f t="shared" si="64"/>
        <v>85.609590177534429</v>
      </c>
      <c r="M291" s="122">
        <f t="shared" si="67"/>
        <v>665766.99</v>
      </c>
      <c r="N291" s="116">
        <f t="shared" si="68"/>
        <v>149797.99</v>
      </c>
      <c r="O291" s="123">
        <f t="shared" si="69"/>
        <v>24.854486477517835</v>
      </c>
      <c r="P291" s="5"/>
      <c r="Q291" s="5">
        <f t="shared" si="60"/>
        <v>1</v>
      </c>
      <c r="R291" s="7">
        <f t="shared" si="61"/>
        <v>6027</v>
      </c>
      <c r="S291" s="5">
        <f t="shared" si="62"/>
        <v>1</v>
      </c>
      <c r="T291" s="7">
        <f t="shared" si="63"/>
        <v>6027</v>
      </c>
    </row>
    <row r="292" spans="1:20">
      <c r="A292" s="23" t="s">
        <v>300</v>
      </c>
      <c r="B292" s="35" t="s">
        <v>300</v>
      </c>
      <c r="C292" s="36">
        <v>10434</v>
      </c>
      <c r="D292" s="6"/>
      <c r="E292" s="113">
        <v>8152037838</v>
      </c>
      <c r="F292" s="116">
        <f t="shared" si="65"/>
        <v>781295.55664174818</v>
      </c>
      <c r="G292" s="117">
        <v>6974550633</v>
      </c>
      <c r="H292" s="117">
        <f t="shared" si="66"/>
        <v>668444.56900517538</v>
      </c>
      <c r="I292" s="7"/>
      <c r="J292" s="10">
        <v>3.9757000000000002</v>
      </c>
      <c r="K292" s="117">
        <v>27728720</v>
      </c>
      <c r="L292" s="120">
        <f t="shared" si="64"/>
        <v>2657.5349817903011</v>
      </c>
      <c r="M292" s="122">
        <f t="shared" si="67"/>
        <v>69745506.329999998</v>
      </c>
      <c r="N292" s="116">
        <f t="shared" si="68"/>
        <v>42016786.329999998</v>
      </c>
      <c r="O292" s="123">
        <f t="shared" si="69"/>
        <v>4026.9107082614528</v>
      </c>
      <c r="P292" s="5"/>
      <c r="Q292" s="5">
        <f t="shared" si="60"/>
        <v>1</v>
      </c>
      <c r="R292" s="7">
        <f t="shared" si="61"/>
        <v>10434</v>
      </c>
      <c r="S292" s="5">
        <f t="shared" si="62"/>
        <v>1</v>
      </c>
      <c r="T292" s="7">
        <f t="shared" si="63"/>
        <v>10434</v>
      </c>
    </row>
    <row r="293" spans="1:20">
      <c r="A293" s="23" t="s">
        <v>325</v>
      </c>
      <c r="B293" s="35" t="s">
        <v>300</v>
      </c>
      <c r="C293" s="36">
        <v>35463</v>
      </c>
      <c r="D293" s="6"/>
      <c r="E293" s="113">
        <v>4761090820</v>
      </c>
      <c r="F293" s="116">
        <f t="shared" si="65"/>
        <v>134255.16228181485</v>
      </c>
      <c r="G293" s="117">
        <v>4001792222</v>
      </c>
      <c r="H293" s="117">
        <f t="shared" si="66"/>
        <v>112844.15368130164</v>
      </c>
      <c r="I293" s="7"/>
      <c r="J293" s="10">
        <v>5.7765000000000004</v>
      </c>
      <c r="K293" s="117">
        <v>23116352</v>
      </c>
      <c r="L293" s="120">
        <f t="shared" si="64"/>
        <v>651.84423201646791</v>
      </c>
      <c r="M293" s="122">
        <f t="shared" si="67"/>
        <v>40017922.219999999</v>
      </c>
      <c r="N293" s="116">
        <f t="shared" si="68"/>
        <v>16901570.219999999</v>
      </c>
      <c r="O293" s="123">
        <f t="shared" si="69"/>
        <v>476.59730479654849</v>
      </c>
      <c r="P293" s="5"/>
      <c r="Q293" s="5">
        <f t="shared" si="60"/>
        <v>1</v>
      </c>
      <c r="R293" s="7">
        <f t="shared" si="61"/>
        <v>35463</v>
      </c>
      <c r="S293" s="5">
        <f t="shared" si="62"/>
        <v>1</v>
      </c>
      <c r="T293" s="7">
        <f t="shared" si="63"/>
        <v>35463</v>
      </c>
    </row>
    <row r="294" spans="1:20">
      <c r="A294" s="23" t="s">
        <v>326</v>
      </c>
      <c r="B294" s="35" t="s">
        <v>300</v>
      </c>
      <c r="C294" s="36">
        <v>1270</v>
      </c>
      <c r="D294" s="6"/>
      <c r="E294" s="113">
        <v>270899975</v>
      </c>
      <c r="F294" s="116">
        <f t="shared" si="65"/>
        <v>213307.06692913387</v>
      </c>
      <c r="G294" s="117">
        <v>248995892</v>
      </c>
      <c r="H294" s="117">
        <f t="shared" si="66"/>
        <v>196059.75748031496</v>
      </c>
      <c r="I294" s="7"/>
      <c r="J294" s="10">
        <v>6.35</v>
      </c>
      <c r="K294" s="117">
        <v>1581123</v>
      </c>
      <c r="L294" s="120">
        <f t="shared" si="64"/>
        <v>1244.9787401574804</v>
      </c>
      <c r="M294" s="122">
        <f t="shared" si="67"/>
        <v>2489958.92</v>
      </c>
      <c r="N294" s="116">
        <f t="shared" si="68"/>
        <v>908835.91999999993</v>
      </c>
      <c r="O294" s="123">
        <f t="shared" si="69"/>
        <v>715.61883464566927</v>
      </c>
      <c r="P294" s="5"/>
      <c r="Q294" s="5">
        <f t="shared" si="60"/>
        <v>1</v>
      </c>
      <c r="R294" s="7">
        <f t="shared" si="61"/>
        <v>1270</v>
      </c>
      <c r="S294" s="5">
        <f t="shared" si="62"/>
        <v>1</v>
      </c>
      <c r="T294" s="7">
        <f t="shared" si="63"/>
        <v>1270</v>
      </c>
    </row>
    <row r="295" spans="1:20">
      <c r="A295" s="23" t="s">
        <v>327</v>
      </c>
      <c r="B295" s="35" t="s">
        <v>300</v>
      </c>
      <c r="C295" s="36">
        <v>12526</v>
      </c>
      <c r="D295" s="6"/>
      <c r="E295" s="113">
        <v>416734139</v>
      </c>
      <c r="F295" s="116">
        <f t="shared" si="65"/>
        <v>33269.530496567138</v>
      </c>
      <c r="G295" s="117">
        <v>293510488</v>
      </c>
      <c r="H295" s="117">
        <f t="shared" si="66"/>
        <v>23432.100271435414</v>
      </c>
      <c r="I295" s="7"/>
      <c r="J295" s="10">
        <v>4.9999000000000002</v>
      </c>
      <c r="K295" s="117">
        <v>1467523</v>
      </c>
      <c r="L295" s="120">
        <f t="shared" si="64"/>
        <v>117.15815104582468</v>
      </c>
      <c r="M295" s="122">
        <f t="shared" si="67"/>
        <v>2935104.88</v>
      </c>
      <c r="N295" s="116">
        <f t="shared" si="68"/>
        <v>1467581.88</v>
      </c>
      <c r="O295" s="123">
        <f t="shared" si="69"/>
        <v>117.16285166852946</v>
      </c>
      <c r="P295" s="5"/>
      <c r="Q295" s="5">
        <f t="shared" si="60"/>
        <v>1</v>
      </c>
      <c r="R295" s="7">
        <f t="shared" si="61"/>
        <v>12526</v>
      </c>
      <c r="S295" s="5">
        <f t="shared" si="62"/>
        <v>1</v>
      </c>
      <c r="T295" s="7">
        <f t="shared" si="63"/>
        <v>12526</v>
      </c>
    </row>
    <row r="296" spans="1:20">
      <c r="A296" s="23" t="s">
        <v>328</v>
      </c>
      <c r="B296" s="35" t="s">
        <v>300</v>
      </c>
      <c r="C296" s="36">
        <v>31112</v>
      </c>
      <c r="D296" s="6"/>
      <c r="E296" s="113">
        <v>2196308527</v>
      </c>
      <c r="F296" s="116">
        <f t="shared" si="65"/>
        <v>70593.614264592441</v>
      </c>
      <c r="G296" s="117">
        <v>1648806574</v>
      </c>
      <c r="H296" s="117">
        <f t="shared" si="66"/>
        <v>52995.839997428644</v>
      </c>
      <c r="I296" s="9"/>
      <c r="J296" s="10">
        <v>9.5</v>
      </c>
      <c r="K296" s="117">
        <v>15663662</v>
      </c>
      <c r="L296" s="120">
        <f t="shared" si="64"/>
        <v>503.46046541527386</v>
      </c>
      <c r="M296" s="122">
        <f t="shared" si="67"/>
        <v>16488065.74</v>
      </c>
      <c r="N296" s="116">
        <f t="shared" si="68"/>
        <v>824403.74000000022</v>
      </c>
      <c r="O296" s="123">
        <f t="shared" si="69"/>
        <v>26.497934559012606</v>
      </c>
      <c r="P296" s="5"/>
      <c r="Q296" s="5">
        <f t="shared" si="60"/>
        <v>1</v>
      </c>
      <c r="R296" s="7">
        <f t="shared" si="61"/>
        <v>31112</v>
      </c>
      <c r="S296" s="5">
        <f t="shared" si="62"/>
        <v>1</v>
      </c>
      <c r="T296" s="7">
        <f t="shared" si="63"/>
        <v>31112</v>
      </c>
    </row>
    <row r="297" spans="1:20">
      <c r="A297" s="23" t="s">
        <v>329</v>
      </c>
      <c r="B297" s="35" t="s">
        <v>300</v>
      </c>
      <c r="C297" s="36">
        <v>22671</v>
      </c>
      <c r="D297" s="6"/>
      <c r="E297" s="113">
        <v>1191454901</v>
      </c>
      <c r="F297" s="116">
        <f t="shared" si="65"/>
        <v>52554.139693882054</v>
      </c>
      <c r="G297" s="117">
        <v>896041833</v>
      </c>
      <c r="H297" s="117">
        <f t="shared" si="66"/>
        <v>39523.701336509199</v>
      </c>
      <c r="I297" s="7"/>
      <c r="J297" s="10">
        <v>6.29</v>
      </c>
      <c r="K297" s="117">
        <v>5636103</v>
      </c>
      <c r="L297" s="120">
        <f t="shared" si="64"/>
        <v>248.60407569141194</v>
      </c>
      <c r="M297" s="122">
        <f t="shared" si="67"/>
        <v>8960418.3300000001</v>
      </c>
      <c r="N297" s="116">
        <f t="shared" si="68"/>
        <v>3324315.33</v>
      </c>
      <c r="O297" s="123">
        <f t="shared" si="69"/>
        <v>146.63293767368003</v>
      </c>
      <c r="P297" s="5"/>
      <c r="Q297" s="5">
        <f t="shared" si="60"/>
        <v>1</v>
      </c>
      <c r="R297" s="7">
        <f t="shared" si="61"/>
        <v>22671</v>
      </c>
      <c r="S297" s="5">
        <f t="shared" si="62"/>
        <v>1</v>
      </c>
      <c r="T297" s="7">
        <f t="shared" si="63"/>
        <v>22671</v>
      </c>
    </row>
    <row r="298" spans="1:20">
      <c r="A298" s="23" t="s">
        <v>330</v>
      </c>
      <c r="B298" s="35" t="s">
        <v>300</v>
      </c>
      <c r="C298" s="36">
        <v>3827</v>
      </c>
      <c r="D298" s="6"/>
      <c r="E298" s="113">
        <v>91028868</v>
      </c>
      <c r="F298" s="116">
        <f t="shared" si="65"/>
        <v>23785.959759602822</v>
      </c>
      <c r="G298" s="117">
        <v>35366061</v>
      </c>
      <c r="H298" s="117">
        <f t="shared" si="66"/>
        <v>9241.1970211654043</v>
      </c>
      <c r="I298" s="7"/>
      <c r="J298" s="10">
        <v>9.2888999999999999</v>
      </c>
      <c r="K298" s="117">
        <v>328511</v>
      </c>
      <c r="L298" s="120">
        <f t="shared" si="64"/>
        <v>85.840344917690103</v>
      </c>
      <c r="M298" s="122">
        <f t="shared" si="67"/>
        <v>353660.61</v>
      </c>
      <c r="N298" s="116">
        <f t="shared" si="68"/>
        <v>25149.609999999986</v>
      </c>
      <c r="O298" s="123">
        <f t="shared" si="69"/>
        <v>6.5716252939639368</v>
      </c>
      <c r="P298" s="5"/>
      <c r="Q298" s="5">
        <f t="shared" si="60"/>
        <v>1</v>
      </c>
      <c r="R298" s="7">
        <f t="shared" si="61"/>
        <v>3827</v>
      </c>
      <c r="S298" s="5">
        <f t="shared" si="62"/>
        <v>1</v>
      </c>
      <c r="T298" s="7">
        <f t="shared" si="63"/>
        <v>3827</v>
      </c>
    </row>
    <row r="299" spans="1:20">
      <c r="A299" s="23" t="s">
        <v>331</v>
      </c>
      <c r="B299" s="35" t="s">
        <v>300</v>
      </c>
      <c r="C299" s="36">
        <v>696</v>
      </c>
      <c r="D299" s="6"/>
      <c r="E299" s="113">
        <v>192832859</v>
      </c>
      <c r="F299" s="116">
        <f t="shared" si="65"/>
        <v>277058.70545977011</v>
      </c>
      <c r="G299" s="117">
        <v>169278573</v>
      </c>
      <c r="H299" s="117">
        <f t="shared" si="66"/>
        <v>243216.34051724139</v>
      </c>
      <c r="I299" s="7"/>
      <c r="J299" s="10">
        <v>6.25</v>
      </c>
      <c r="K299" s="117">
        <v>1057991</v>
      </c>
      <c r="L299" s="120">
        <f t="shared" si="64"/>
        <v>1520.1020114942528</v>
      </c>
      <c r="M299" s="122">
        <f t="shared" si="67"/>
        <v>1692785.73</v>
      </c>
      <c r="N299" s="116">
        <f t="shared" si="68"/>
        <v>634794.73</v>
      </c>
      <c r="O299" s="123">
        <f t="shared" si="69"/>
        <v>912.06139367816093</v>
      </c>
      <c r="P299" s="5"/>
      <c r="Q299" s="5">
        <f t="shared" si="60"/>
        <v>1</v>
      </c>
      <c r="R299" s="7">
        <f t="shared" si="61"/>
        <v>696</v>
      </c>
      <c r="S299" s="5">
        <f t="shared" si="62"/>
        <v>1</v>
      </c>
      <c r="T299" s="7">
        <f t="shared" si="63"/>
        <v>696</v>
      </c>
    </row>
    <row r="300" spans="1:20">
      <c r="A300" s="23" t="s">
        <v>332</v>
      </c>
      <c r="B300" s="35" t="s">
        <v>300</v>
      </c>
      <c r="C300" s="36">
        <v>5307</v>
      </c>
      <c r="D300" s="6"/>
      <c r="E300" s="113">
        <v>623123015</v>
      </c>
      <c r="F300" s="116">
        <f t="shared" si="65"/>
        <v>117415.30337290371</v>
      </c>
      <c r="G300" s="117">
        <v>487490952</v>
      </c>
      <c r="H300" s="117">
        <f t="shared" si="66"/>
        <v>91858.102882984735</v>
      </c>
      <c r="I300" s="7"/>
      <c r="J300" s="10">
        <v>6.7305000000000001</v>
      </c>
      <c r="K300" s="117">
        <v>3281057</v>
      </c>
      <c r="L300" s="120">
        <f t="shared" si="64"/>
        <v>618.25080082909369</v>
      </c>
      <c r="M300" s="122">
        <f t="shared" si="67"/>
        <v>4874909.5200000005</v>
      </c>
      <c r="N300" s="116">
        <f t="shared" si="68"/>
        <v>1593852.5200000005</v>
      </c>
      <c r="O300" s="123">
        <f t="shared" si="69"/>
        <v>300.33022800075383</v>
      </c>
      <c r="P300" s="5"/>
      <c r="Q300" s="5">
        <f t="shared" si="60"/>
        <v>1</v>
      </c>
      <c r="R300" s="7">
        <f t="shared" si="61"/>
        <v>5307</v>
      </c>
      <c r="S300" s="5">
        <f t="shared" si="62"/>
        <v>1</v>
      </c>
      <c r="T300" s="7">
        <f t="shared" si="63"/>
        <v>5307</v>
      </c>
    </row>
    <row r="301" spans="1:20">
      <c r="A301" s="23" t="s">
        <v>333</v>
      </c>
      <c r="B301" s="35" t="s">
        <v>300</v>
      </c>
      <c r="C301" s="36">
        <v>40749</v>
      </c>
      <c r="D301" s="6"/>
      <c r="E301" s="113">
        <v>3018411416</v>
      </c>
      <c r="F301" s="116">
        <f t="shared" si="65"/>
        <v>74073.263540209577</v>
      </c>
      <c r="G301" s="117">
        <v>2482892525</v>
      </c>
      <c r="H301" s="117">
        <f t="shared" si="66"/>
        <v>60931.373162531592</v>
      </c>
      <c r="I301" s="7"/>
      <c r="J301" s="10">
        <v>2.5</v>
      </c>
      <c r="K301" s="117">
        <v>6207231</v>
      </c>
      <c r="L301" s="120">
        <f t="shared" si="64"/>
        <v>152.32842523742914</v>
      </c>
      <c r="M301" s="122">
        <f t="shared" si="67"/>
        <v>24828925.25</v>
      </c>
      <c r="N301" s="116">
        <f t="shared" si="68"/>
        <v>18621694.25</v>
      </c>
      <c r="O301" s="123">
        <f t="shared" si="69"/>
        <v>456.98530638788679</v>
      </c>
      <c r="P301" s="5"/>
      <c r="Q301" s="5">
        <f t="shared" si="60"/>
        <v>1</v>
      </c>
      <c r="R301" s="7">
        <f t="shared" si="61"/>
        <v>40749</v>
      </c>
      <c r="S301" s="5">
        <f t="shared" si="62"/>
        <v>1</v>
      </c>
      <c r="T301" s="7">
        <f t="shared" si="63"/>
        <v>40749</v>
      </c>
    </row>
    <row r="302" spans="1:20">
      <c r="A302" s="23" t="s">
        <v>334</v>
      </c>
      <c r="B302" s="35" t="s">
        <v>300</v>
      </c>
      <c r="C302" s="36">
        <v>84371</v>
      </c>
      <c r="D302" s="6"/>
      <c r="E302" s="113">
        <v>7341806301</v>
      </c>
      <c r="F302" s="116">
        <f t="shared" si="65"/>
        <v>87018.125908191199</v>
      </c>
      <c r="G302" s="117">
        <v>5377505647</v>
      </c>
      <c r="H302" s="117">
        <f t="shared" si="66"/>
        <v>63736.421839257564</v>
      </c>
      <c r="I302" s="7"/>
      <c r="J302" s="10">
        <v>7.95</v>
      </c>
      <c r="K302" s="117">
        <v>42751169</v>
      </c>
      <c r="L302" s="120">
        <f t="shared" si="64"/>
        <v>506.70454303018812</v>
      </c>
      <c r="M302" s="122">
        <f t="shared" si="67"/>
        <v>53775056.469999999</v>
      </c>
      <c r="N302" s="116">
        <f t="shared" si="68"/>
        <v>11023887.469999999</v>
      </c>
      <c r="O302" s="123">
        <f t="shared" si="69"/>
        <v>130.65967536238753</v>
      </c>
      <c r="P302" s="5"/>
      <c r="Q302" s="5">
        <f t="shared" si="60"/>
        <v>1</v>
      </c>
      <c r="R302" s="7">
        <f t="shared" si="61"/>
        <v>84371</v>
      </c>
      <c r="S302" s="5">
        <f t="shared" si="62"/>
        <v>1</v>
      </c>
      <c r="T302" s="7">
        <f t="shared" si="63"/>
        <v>84371</v>
      </c>
    </row>
    <row r="303" spans="1:20">
      <c r="A303" s="23" t="s">
        <v>335</v>
      </c>
      <c r="B303" s="35" t="s">
        <v>336</v>
      </c>
      <c r="C303" s="36">
        <v>6258</v>
      </c>
      <c r="D303" s="6"/>
      <c r="E303" s="113">
        <v>304361659</v>
      </c>
      <c r="F303" s="116">
        <f t="shared" si="65"/>
        <v>48635.611856823263</v>
      </c>
      <c r="G303" s="117">
        <v>163653797</v>
      </c>
      <c r="H303" s="117">
        <f t="shared" si="66"/>
        <v>26151.134068392457</v>
      </c>
      <c r="I303" s="7"/>
      <c r="J303" s="10">
        <v>7.4</v>
      </c>
      <c r="K303" s="117">
        <v>1211038</v>
      </c>
      <c r="L303" s="120">
        <f t="shared" si="64"/>
        <v>193.51837647810802</v>
      </c>
      <c r="M303" s="122">
        <f t="shared" si="67"/>
        <v>1636537.97</v>
      </c>
      <c r="N303" s="116">
        <f t="shared" si="68"/>
        <v>425499.97</v>
      </c>
      <c r="O303" s="123">
        <f t="shared" si="69"/>
        <v>67.992964205816548</v>
      </c>
      <c r="P303" s="5"/>
      <c r="Q303" s="5">
        <f t="shared" si="60"/>
        <v>1</v>
      </c>
      <c r="R303" s="7">
        <f t="shared" si="61"/>
        <v>6258</v>
      </c>
      <c r="S303" s="5">
        <f t="shared" si="62"/>
        <v>1</v>
      </c>
      <c r="T303" s="7">
        <f t="shared" si="63"/>
        <v>6258</v>
      </c>
    </row>
    <row r="304" spans="1:20">
      <c r="A304" s="23" t="s">
        <v>337</v>
      </c>
      <c r="B304" s="35" t="s">
        <v>336</v>
      </c>
      <c r="C304" s="36">
        <v>16190</v>
      </c>
      <c r="D304" s="6"/>
      <c r="E304" s="113">
        <v>698315385</v>
      </c>
      <c r="F304" s="116">
        <f t="shared" si="65"/>
        <v>43132.512970969736</v>
      </c>
      <c r="G304" s="117">
        <v>483139030</v>
      </c>
      <c r="H304" s="117">
        <f t="shared" si="66"/>
        <v>29841.817788758493</v>
      </c>
      <c r="I304" s="7"/>
      <c r="J304" s="10">
        <v>6.25</v>
      </c>
      <c r="K304" s="117">
        <v>3019618</v>
      </c>
      <c r="L304" s="120">
        <f t="shared" si="64"/>
        <v>186.51130327362569</v>
      </c>
      <c r="M304" s="122">
        <f t="shared" si="67"/>
        <v>4831390.3</v>
      </c>
      <c r="N304" s="116">
        <f t="shared" si="68"/>
        <v>1811772.2999999998</v>
      </c>
      <c r="O304" s="123">
        <f t="shared" si="69"/>
        <v>111.90687461395922</v>
      </c>
      <c r="P304" s="5"/>
      <c r="Q304" s="5">
        <f t="shared" si="60"/>
        <v>1</v>
      </c>
      <c r="R304" s="7">
        <f t="shared" si="61"/>
        <v>16190</v>
      </c>
      <c r="S304" s="5">
        <f t="shared" si="62"/>
        <v>1</v>
      </c>
      <c r="T304" s="7">
        <f t="shared" si="63"/>
        <v>16190</v>
      </c>
    </row>
    <row r="305" spans="1:20">
      <c r="A305" s="23" t="s">
        <v>338</v>
      </c>
      <c r="B305" s="35" t="s">
        <v>336</v>
      </c>
      <c r="C305" s="36">
        <v>3037</v>
      </c>
      <c r="D305" s="6"/>
      <c r="E305" s="113">
        <v>209301025</v>
      </c>
      <c r="F305" s="116">
        <f t="shared" si="65"/>
        <v>68917.031610141581</v>
      </c>
      <c r="G305" s="117">
        <v>167492317</v>
      </c>
      <c r="H305" s="117">
        <f t="shared" si="66"/>
        <v>55150.581824168585</v>
      </c>
      <c r="I305" s="7"/>
      <c r="J305" s="10">
        <v>5.82</v>
      </c>
      <c r="K305" s="117">
        <v>974805</v>
      </c>
      <c r="L305" s="120">
        <f t="shared" si="64"/>
        <v>320.97629239380967</v>
      </c>
      <c r="M305" s="122">
        <f t="shared" si="67"/>
        <v>1674923.17</v>
      </c>
      <c r="N305" s="116">
        <f t="shared" si="68"/>
        <v>700118.16999999993</v>
      </c>
      <c r="O305" s="123">
        <f t="shared" si="69"/>
        <v>230.52952584787616</v>
      </c>
      <c r="P305" s="5"/>
      <c r="Q305" s="5">
        <f t="shared" si="60"/>
        <v>1</v>
      </c>
      <c r="R305" s="7">
        <f t="shared" si="61"/>
        <v>3037</v>
      </c>
      <c r="S305" s="5">
        <f t="shared" si="62"/>
        <v>1</v>
      </c>
      <c r="T305" s="7">
        <f t="shared" si="63"/>
        <v>3037</v>
      </c>
    </row>
    <row r="306" spans="1:20">
      <c r="A306" s="23" t="s">
        <v>339</v>
      </c>
      <c r="B306" s="35" t="s">
        <v>336</v>
      </c>
      <c r="C306" s="36">
        <v>674</v>
      </c>
      <c r="D306" s="6"/>
      <c r="E306" s="113">
        <v>39078949</v>
      </c>
      <c r="F306" s="116">
        <f t="shared" si="65"/>
        <v>57980.636498516324</v>
      </c>
      <c r="G306" s="117">
        <v>21001999</v>
      </c>
      <c r="H306" s="117">
        <f t="shared" si="66"/>
        <v>31160.235905044512</v>
      </c>
      <c r="I306" s="7"/>
      <c r="J306" s="10">
        <v>2.5330000000000004</v>
      </c>
      <c r="K306" s="117">
        <v>53198</v>
      </c>
      <c r="L306" s="120">
        <f t="shared" ref="L306:L337" si="70">(K306/C306)</f>
        <v>78.928783382789319</v>
      </c>
      <c r="M306" s="122">
        <f t="shared" si="67"/>
        <v>210019.99</v>
      </c>
      <c r="N306" s="116">
        <f t="shared" si="68"/>
        <v>156821.99</v>
      </c>
      <c r="O306" s="123">
        <f t="shared" si="69"/>
        <v>232.67357566765577</v>
      </c>
      <c r="P306" s="5"/>
      <c r="Q306" s="5">
        <f t="shared" si="60"/>
        <v>1</v>
      </c>
      <c r="R306" s="7">
        <f t="shared" si="61"/>
        <v>674</v>
      </c>
      <c r="S306" s="5">
        <f t="shared" si="62"/>
        <v>1</v>
      </c>
      <c r="T306" s="7">
        <f t="shared" si="63"/>
        <v>674</v>
      </c>
    </row>
    <row r="307" spans="1:20">
      <c r="A307" s="23" t="s">
        <v>547</v>
      </c>
      <c r="B307" s="35" t="s">
        <v>336</v>
      </c>
      <c r="C307" s="36">
        <v>595</v>
      </c>
      <c r="D307" s="6"/>
      <c r="E307" s="113">
        <v>40827307</v>
      </c>
      <c r="F307" s="116">
        <f t="shared" si="65"/>
        <v>68617.322689075634</v>
      </c>
      <c r="G307" s="117">
        <v>17492476</v>
      </c>
      <c r="H307" s="117">
        <f t="shared" si="66"/>
        <v>29399.119327731092</v>
      </c>
      <c r="I307" s="7"/>
      <c r="J307" s="10">
        <v>3</v>
      </c>
      <c r="K307" s="117">
        <v>52477</v>
      </c>
      <c r="L307" s="120">
        <f t="shared" si="70"/>
        <v>88.196638655462181</v>
      </c>
      <c r="M307" s="122">
        <f t="shared" si="67"/>
        <v>174924.76</v>
      </c>
      <c r="N307" s="116">
        <f t="shared" si="68"/>
        <v>122447.76000000001</v>
      </c>
      <c r="O307" s="123">
        <f t="shared" si="69"/>
        <v>205.79455462184876</v>
      </c>
      <c r="P307" s="5"/>
      <c r="Q307" s="5">
        <f t="shared" si="60"/>
        <v>1</v>
      </c>
      <c r="R307" s="7">
        <f t="shared" si="61"/>
        <v>595</v>
      </c>
      <c r="S307" s="5">
        <f t="shared" si="62"/>
        <v>1</v>
      </c>
      <c r="T307" s="7">
        <f t="shared" si="63"/>
        <v>595</v>
      </c>
    </row>
    <row r="308" spans="1:20">
      <c r="A308" s="23" t="s">
        <v>340</v>
      </c>
      <c r="B308" s="35" t="s">
        <v>336</v>
      </c>
      <c r="C308" s="36">
        <v>11033</v>
      </c>
      <c r="D308" s="6"/>
      <c r="E308" s="113">
        <v>600123534</v>
      </c>
      <c r="F308" s="116">
        <f t="shared" si="65"/>
        <v>54393.504395903197</v>
      </c>
      <c r="G308" s="117">
        <v>384432211</v>
      </c>
      <c r="H308" s="117">
        <f t="shared" si="66"/>
        <v>34843.85126438865</v>
      </c>
      <c r="I308" s="7"/>
      <c r="J308" s="10">
        <v>6.42</v>
      </c>
      <c r="K308" s="117">
        <v>2468054</v>
      </c>
      <c r="L308" s="120">
        <f t="shared" si="70"/>
        <v>223.69745309525968</v>
      </c>
      <c r="M308" s="122">
        <f t="shared" si="67"/>
        <v>3844322.11</v>
      </c>
      <c r="N308" s="116">
        <f t="shared" si="68"/>
        <v>1376268.1099999999</v>
      </c>
      <c r="O308" s="123">
        <f t="shared" si="69"/>
        <v>124.74105954862684</v>
      </c>
      <c r="P308" s="5"/>
      <c r="Q308" s="5">
        <f t="shared" si="60"/>
        <v>1</v>
      </c>
      <c r="R308" s="7">
        <f t="shared" si="61"/>
        <v>11033</v>
      </c>
      <c r="S308" s="5">
        <f t="shared" si="62"/>
        <v>1</v>
      </c>
      <c r="T308" s="7">
        <f t="shared" si="63"/>
        <v>11033</v>
      </c>
    </row>
    <row r="309" spans="1:20">
      <c r="A309" s="23" t="s">
        <v>341</v>
      </c>
      <c r="B309" s="35" t="s">
        <v>342</v>
      </c>
      <c r="C309" s="36">
        <v>4079</v>
      </c>
      <c r="D309" s="6"/>
      <c r="E309" s="113">
        <v>595080310</v>
      </c>
      <c r="F309" s="116">
        <f t="shared" si="65"/>
        <v>145888.77420936504</v>
      </c>
      <c r="G309" s="117">
        <v>471248210</v>
      </c>
      <c r="H309" s="117">
        <f t="shared" si="66"/>
        <v>115530.32851189017</v>
      </c>
      <c r="I309" s="7"/>
      <c r="J309" s="10">
        <v>4.7616000000000005</v>
      </c>
      <c r="K309" s="117">
        <v>2243895</v>
      </c>
      <c r="L309" s="120">
        <f t="shared" si="70"/>
        <v>550.10909536651138</v>
      </c>
      <c r="M309" s="122">
        <f t="shared" si="67"/>
        <v>4712482.1000000006</v>
      </c>
      <c r="N309" s="116">
        <f t="shared" si="68"/>
        <v>2468587.1000000006</v>
      </c>
      <c r="O309" s="123">
        <f t="shared" si="69"/>
        <v>605.19418975239046</v>
      </c>
      <c r="P309" s="5"/>
      <c r="Q309" s="5">
        <f t="shared" si="60"/>
        <v>1</v>
      </c>
      <c r="R309" s="7">
        <f t="shared" si="61"/>
        <v>4079</v>
      </c>
      <c r="S309" s="5">
        <f t="shared" si="62"/>
        <v>1</v>
      </c>
      <c r="T309" s="7">
        <f t="shared" si="63"/>
        <v>4079</v>
      </c>
    </row>
    <row r="310" spans="1:20">
      <c r="A310" s="23" t="s">
        <v>343</v>
      </c>
      <c r="B310" s="35" t="s">
        <v>342</v>
      </c>
      <c r="C310" s="36">
        <v>1751</v>
      </c>
      <c r="D310" s="6"/>
      <c r="E310" s="113">
        <v>300918310</v>
      </c>
      <c r="F310" s="116">
        <f t="shared" si="65"/>
        <v>171855.1170759566</v>
      </c>
      <c r="G310" s="117">
        <v>241525080</v>
      </c>
      <c r="H310" s="117">
        <f t="shared" si="66"/>
        <v>137935.51113649344</v>
      </c>
      <c r="I310" s="7"/>
      <c r="J310" s="10">
        <v>2.4690000000000003</v>
      </c>
      <c r="K310" s="117">
        <v>596325</v>
      </c>
      <c r="L310" s="120">
        <f t="shared" si="70"/>
        <v>340.56253569388923</v>
      </c>
      <c r="M310" s="122">
        <f t="shared" si="67"/>
        <v>2415250.8000000003</v>
      </c>
      <c r="N310" s="116">
        <f t="shared" si="68"/>
        <v>1818925.8000000003</v>
      </c>
      <c r="O310" s="123">
        <f t="shared" si="69"/>
        <v>1038.7925756710454</v>
      </c>
      <c r="P310" s="5"/>
      <c r="Q310" s="5">
        <f t="shared" si="60"/>
        <v>1</v>
      </c>
      <c r="R310" s="7">
        <f t="shared" si="61"/>
        <v>1751</v>
      </c>
      <c r="S310" s="5">
        <f t="shared" si="62"/>
        <v>1</v>
      </c>
      <c r="T310" s="7">
        <f t="shared" si="63"/>
        <v>1751</v>
      </c>
    </row>
    <row r="311" spans="1:20">
      <c r="A311" s="23" t="s">
        <v>344</v>
      </c>
      <c r="B311" s="35" t="s">
        <v>342</v>
      </c>
      <c r="C311" s="36">
        <v>2235</v>
      </c>
      <c r="D311" s="6"/>
      <c r="E311" s="113">
        <v>167878180</v>
      </c>
      <c r="F311" s="116">
        <f t="shared" si="65"/>
        <v>75113.279642058173</v>
      </c>
      <c r="G311" s="117">
        <v>129082190</v>
      </c>
      <c r="H311" s="117">
        <f t="shared" si="66"/>
        <v>57754.894854586128</v>
      </c>
      <c r="I311" s="7"/>
      <c r="J311" s="10">
        <v>4.3499999999999996</v>
      </c>
      <c r="K311" s="117">
        <v>561507</v>
      </c>
      <c r="L311" s="120">
        <f t="shared" si="70"/>
        <v>251.23355704697985</v>
      </c>
      <c r="M311" s="122">
        <f t="shared" si="67"/>
        <v>1290821.9000000001</v>
      </c>
      <c r="N311" s="116">
        <f t="shared" si="68"/>
        <v>729314.90000000014</v>
      </c>
      <c r="O311" s="123">
        <f t="shared" si="69"/>
        <v>326.31539149888147</v>
      </c>
      <c r="P311" s="5"/>
      <c r="Q311" s="5">
        <f t="shared" si="60"/>
        <v>1</v>
      </c>
      <c r="R311" s="7">
        <f t="shared" si="61"/>
        <v>2235</v>
      </c>
      <c r="S311" s="5">
        <f t="shared" si="62"/>
        <v>1</v>
      </c>
      <c r="T311" s="7">
        <f t="shared" si="63"/>
        <v>2235</v>
      </c>
    </row>
    <row r="312" spans="1:20">
      <c r="A312" s="23" t="s">
        <v>345</v>
      </c>
      <c r="B312" s="35" t="s">
        <v>342</v>
      </c>
      <c r="C312" s="36">
        <v>59</v>
      </c>
      <c r="D312" s="6"/>
      <c r="E312" s="113">
        <v>67467770</v>
      </c>
      <c r="F312" s="116">
        <f t="shared" si="65"/>
        <v>1143521.5254237289</v>
      </c>
      <c r="G312" s="117">
        <v>56029870</v>
      </c>
      <c r="H312" s="117">
        <f t="shared" si="66"/>
        <v>949658.81355932204</v>
      </c>
      <c r="I312" s="7"/>
      <c r="J312" s="10">
        <v>1.6848000000000001</v>
      </c>
      <c r="K312" s="117">
        <v>94399</v>
      </c>
      <c r="L312" s="120">
        <f t="shared" si="70"/>
        <v>1599.9830508474577</v>
      </c>
      <c r="M312" s="122">
        <f t="shared" si="67"/>
        <v>560298.69999999995</v>
      </c>
      <c r="N312" s="116">
        <f t="shared" si="68"/>
        <v>465899.69999999995</v>
      </c>
      <c r="O312" s="123">
        <f t="shared" si="69"/>
        <v>7896.6050847457618</v>
      </c>
      <c r="P312" s="5"/>
      <c r="Q312" s="5">
        <f t="shared" si="60"/>
        <v>1</v>
      </c>
      <c r="R312" s="7">
        <f t="shared" si="61"/>
        <v>59</v>
      </c>
      <c r="S312" s="5">
        <f t="shared" si="62"/>
        <v>1</v>
      </c>
      <c r="T312" s="7">
        <f t="shared" si="63"/>
        <v>59</v>
      </c>
    </row>
    <row r="313" spans="1:20">
      <c r="A313" s="23" t="s">
        <v>346</v>
      </c>
      <c r="B313" s="35" t="s">
        <v>342</v>
      </c>
      <c r="C313" s="36">
        <v>109231</v>
      </c>
      <c r="D313" s="6"/>
      <c r="E313" s="113">
        <v>7858986677</v>
      </c>
      <c r="F313" s="116">
        <f t="shared" si="65"/>
        <v>71948.317574681176</v>
      </c>
      <c r="G313" s="117">
        <v>5688425927</v>
      </c>
      <c r="H313" s="117">
        <f t="shared" si="66"/>
        <v>52077.028746418138</v>
      </c>
      <c r="I313" s="7"/>
      <c r="J313" s="10">
        <v>5.5032000000000005</v>
      </c>
      <c r="K313" s="117">
        <v>31304545</v>
      </c>
      <c r="L313" s="120">
        <f t="shared" si="70"/>
        <v>286.59029945711382</v>
      </c>
      <c r="M313" s="122">
        <f t="shared" si="67"/>
        <v>56884259.270000003</v>
      </c>
      <c r="N313" s="116">
        <f t="shared" si="68"/>
        <v>25579714.270000003</v>
      </c>
      <c r="O313" s="123">
        <f t="shared" si="69"/>
        <v>234.17998800706761</v>
      </c>
      <c r="P313" s="5"/>
      <c r="Q313" s="5">
        <f t="shared" si="60"/>
        <v>1</v>
      </c>
      <c r="R313" s="7">
        <f t="shared" si="61"/>
        <v>109231</v>
      </c>
      <c r="S313" s="5">
        <f t="shared" si="62"/>
        <v>1</v>
      </c>
      <c r="T313" s="7">
        <f t="shared" si="63"/>
        <v>109231</v>
      </c>
    </row>
    <row r="314" spans="1:20">
      <c r="A314" s="23" t="s">
        <v>347</v>
      </c>
      <c r="B314" s="35" t="s">
        <v>342</v>
      </c>
      <c r="C314" s="36">
        <v>36574</v>
      </c>
      <c r="D314" s="6"/>
      <c r="E314" s="113">
        <v>2081472090</v>
      </c>
      <c r="F314" s="116">
        <f t="shared" si="65"/>
        <v>56911.250888609393</v>
      </c>
      <c r="G314" s="117">
        <v>1336102960</v>
      </c>
      <c r="H314" s="117">
        <f t="shared" si="66"/>
        <v>36531.496691638866</v>
      </c>
      <c r="I314" s="7"/>
      <c r="J314" s="10">
        <v>4.1166</v>
      </c>
      <c r="K314" s="117">
        <v>5500201</v>
      </c>
      <c r="L314" s="120">
        <f t="shared" si="70"/>
        <v>150.38554710996883</v>
      </c>
      <c r="M314" s="122">
        <f t="shared" si="67"/>
        <v>13361029.6</v>
      </c>
      <c r="N314" s="116">
        <f t="shared" si="68"/>
        <v>7860828.5999999996</v>
      </c>
      <c r="O314" s="123">
        <f t="shared" si="69"/>
        <v>214.92941980641984</v>
      </c>
      <c r="P314" s="5"/>
      <c r="Q314" s="5">
        <f t="shared" si="60"/>
        <v>1</v>
      </c>
      <c r="R314" s="7">
        <f t="shared" si="61"/>
        <v>36574</v>
      </c>
      <c r="S314" s="5">
        <f t="shared" si="62"/>
        <v>1</v>
      </c>
      <c r="T314" s="7">
        <f t="shared" si="63"/>
        <v>36574</v>
      </c>
    </row>
    <row r="315" spans="1:20">
      <c r="A315" s="23" t="s">
        <v>348</v>
      </c>
      <c r="B315" s="35" t="s">
        <v>342</v>
      </c>
      <c r="C315" s="36">
        <v>12525</v>
      </c>
      <c r="D315" s="6"/>
      <c r="E315" s="113">
        <v>651901930</v>
      </c>
      <c r="F315" s="116">
        <f t="shared" si="65"/>
        <v>52048.058283433136</v>
      </c>
      <c r="G315" s="117">
        <v>436182990</v>
      </c>
      <c r="H315" s="117">
        <f t="shared" si="66"/>
        <v>34824.989221556883</v>
      </c>
      <c r="I315" s="7"/>
      <c r="J315" s="10">
        <v>4.3</v>
      </c>
      <c r="K315" s="117">
        <v>1875586</v>
      </c>
      <c r="L315" s="120">
        <f t="shared" si="70"/>
        <v>149.74738522954092</v>
      </c>
      <c r="M315" s="122">
        <f t="shared" si="67"/>
        <v>4361829.9000000004</v>
      </c>
      <c r="N315" s="116">
        <f t="shared" si="68"/>
        <v>2486243.9000000004</v>
      </c>
      <c r="O315" s="123">
        <f t="shared" si="69"/>
        <v>198.50250698602798</v>
      </c>
      <c r="P315" s="5"/>
      <c r="Q315" s="5">
        <f t="shared" si="60"/>
        <v>1</v>
      </c>
      <c r="R315" s="7">
        <f t="shared" si="61"/>
        <v>12525</v>
      </c>
      <c r="S315" s="5">
        <f t="shared" si="62"/>
        <v>1</v>
      </c>
      <c r="T315" s="7">
        <f t="shared" si="63"/>
        <v>12525</v>
      </c>
    </row>
    <row r="316" spans="1:20">
      <c r="A316" s="23" t="s">
        <v>349</v>
      </c>
      <c r="B316" s="35" t="s">
        <v>342</v>
      </c>
      <c r="C316" s="36">
        <v>5113</v>
      </c>
      <c r="D316" s="6"/>
      <c r="E316" s="113">
        <v>569011960</v>
      </c>
      <c r="F316" s="116">
        <f t="shared" si="65"/>
        <v>111287.29904165852</v>
      </c>
      <c r="G316" s="117">
        <v>477208520</v>
      </c>
      <c r="H316" s="117">
        <f t="shared" si="66"/>
        <v>93332.391942108356</v>
      </c>
      <c r="I316" s="7"/>
      <c r="J316" s="10">
        <v>2.5185000000000004</v>
      </c>
      <c r="K316" s="117">
        <v>1201849</v>
      </c>
      <c r="L316" s="120">
        <f t="shared" si="70"/>
        <v>235.05750048894973</v>
      </c>
      <c r="M316" s="122">
        <f t="shared" si="67"/>
        <v>4772085.2</v>
      </c>
      <c r="N316" s="116">
        <f t="shared" si="68"/>
        <v>3570236.2</v>
      </c>
      <c r="O316" s="123">
        <f t="shared" si="69"/>
        <v>698.26641893213377</v>
      </c>
      <c r="P316" s="5"/>
      <c r="Q316" s="5">
        <f t="shared" si="60"/>
        <v>1</v>
      </c>
      <c r="R316" s="7">
        <f t="shared" si="61"/>
        <v>5113</v>
      </c>
      <c r="S316" s="5">
        <f t="shared" si="62"/>
        <v>1</v>
      </c>
      <c r="T316" s="7">
        <f t="shared" si="63"/>
        <v>5113</v>
      </c>
    </row>
    <row r="317" spans="1:20">
      <c r="A317" s="23" t="s">
        <v>350</v>
      </c>
      <c r="B317" s="35" t="s">
        <v>342</v>
      </c>
      <c r="C317" s="36">
        <v>1706</v>
      </c>
      <c r="D317" s="6"/>
      <c r="E317" s="113">
        <v>402238830</v>
      </c>
      <c r="F317" s="116">
        <f t="shared" si="65"/>
        <v>235778.91559202815</v>
      </c>
      <c r="G317" s="117">
        <v>366314950</v>
      </c>
      <c r="H317" s="117">
        <f t="shared" si="66"/>
        <v>214721.54161781946</v>
      </c>
      <c r="I317" s="7"/>
      <c r="J317" s="10">
        <v>1.7129000000000001</v>
      </c>
      <c r="K317" s="117">
        <v>627460</v>
      </c>
      <c r="L317" s="120">
        <f t="shared" si="70"/>
        <v>367.79601406799532</v>
      </c>
      <c r="M317" s="122">
        <f t="shared" si="67"/>
        <v>3663149.5</v>
      </c>
      <c r="N317" s="116">
        <f t="shared" si="68"/>
        <v>3035689.5</v>
      </c>
      <c r="O317" s="123">
        <f t="shared" si="69"/>
        <v>1779.4194021101994</v>
      </c>
      <c r="P317" s="5"/>
      <c r="Q317" s="5">
        <f t="shared" si="60"/>
        <v>1</v>
      </c>
      <c r="R317" s="7">
        <f t="shared" si="61"/>
        <v>1706</v>
      </c>
      <c r="S317" s="5">
        <f t="shared" si="62"/>
        <v>1</v>
      </c>
      <c r="T317" s="7">
        <f t="shared" si="63"/>
        <v>1706</v>
      </c>
    </row>
    <row r="318" spans="1:20">
      <c r="A318" s="23" t="s">
        <v>351</v>
      </c>
      <c r="B318" s="35" t="s">
        <v>342</v>
      </c>
      <c r="C318" s="36">
        <v>4429</v>
      </c>
      <c r="D318" s="6"/>
      <c r="E318" s="113">
        <v>150294650</v>
      </c>
      <c r="F318" s="116">
        <f t="shared" si="65"/>
        <v>33934.217656355839</v>
      </c>
      <c r="G318" s="117">
        <v>99376780</v>
      </c>
      <c r="H318" s="117">
        <f t="shared" si="66"/>
        <v>22437.74666967713</v>
      </c>
      <c r="I318" s="7"/>
      <c r="J318" s="10">
        <v>3.7540000000000004</v>
      </c>
      <c r="K318" s="117">
        <v>373060</v>
      </c>
      <c r="L318" s="120">
        <f t="shared" si="70"/>
        <v>84.231203431925948</v>
      </c>
      <c r="M318" s="122">
        <f t="shared" si="67"/>
        <v>993767.8</v>
      </c>
      <c r="N318" s="116">
        <f t="shared" si="68"/>
        <v>620707.80000000005</v>
      </c>
      <c r="O318" s="123">
        <f t="shared" si="69"/>
        <v>140.14626326484535</v>
      </c>
      <c r="P318" s="5"/>
      <c r="Q318" s="5">
        <f t="shared" si="60"/>
        <v>1</v>
      </c>
      <c r="R318" s="7">
        <f t="shared" si="61"/>
        <v>4429</v>
      </c>
      <c r="S318" s="5">
        <f t="shared" si="62"/>
        <v>1</v>
      </c>
      <c r="T318" s="7">
        <f t="shared" si="63"/>
        <v>4429</v>
      </c>
    </row>
    <row r="319" spans="1:20">
      <c r="A319" s="23" t="s">
        <v>352</v>
      </c>
      <c r="B319" s="35" t="s">
        <v>342</v>
      </c>
      <c r="C319" s="36">
        <v>70214</v>
      </c>
      <c r="D319" s="6"/>
      <c r="E319" s="113">
        <v>3311572504</v>
      </c>
      <c r="F319" s="116">
        <f t="shared" si="65"/>
        <v>47163.991568633035</v>
      </c>
      <c r="G319" s="117">
        <v>2490205334</v>
      </c>
      <c r="H319" s="117">
        <f t="shared" si="66"/>
        <v>35465.937476856467</v>
      </c>
      <c r="I319" s="7"/>
      <c r="J319" s="10">
        <v>3.4</v>
      </c>
      <c r="K319" s="117">
        <v>8466698</v>
      </c>
      <c r="L319" s="120">
        <f t="shared" si="70"/>
        <v>120.58418549007321</v>
      </c>
      <c r="M319" s="122">
        <f t="shared" si="67"/>
        <v>24902053.34</v>
      </c>
      <c r="N319" s="116">
        <f t="shared" si="68"/>
        <v>16435355.34</v>
      </c>
      <c r="O319" s="123">
        <f t="shared" si="69"/>
        <v>234.07518927849148</v>
      </c>
      <c r="P319" s="5"/>
      <c r="Q319" s="5">
        <f t="shared" si="60"/>
        <v>1</v>
      </c>
      <c r="R319" s="7">
        <f t="shared" si="61"/>
        <v>70214</v>
      </c>
      <c r="S319" s="5">
        <f t="shared" si="62"/>
        <v>1</v>
      </c>
      <c r="T319" s="7">
        <f t="shared" si="63"/>
        <v>70214</v>
      </c>
    </row>
    <row r="320" spans="1:20">
      <c r="A320" s="23" t="s">
        <v>353</v>
      </c>
      <c r="B320" s="35" t="s">
        <v>342</v>
      </c>
      <c r="C320" s="36">
        <v>4492</v>
      </c>
      <c r="D320" s="6"/>
      <c r="E320" s="113">
        <v>604364920</v>
      </c>
      <c r="F320" s="116">
        <f t="shared" si="65"/>
        <v>134542.50222617987</v>
      </c>
      <c r="G320" s="117">
        <v>505116170</v>
      </c>
      <c r="H320" s="117">
        <f t="shared" si="66"/>
        <v>112447.94523597507</v>
      </c>
      <c r="I320" s="7"/>
      <c r="J320" s="10">
        <v>2.2000000000000002</v>
      </c>
      <c r="K320" s="117">
        <v>1111255</v>
      </c>
      <c r="L320" s="120">
        <f t="shared" si="70"/>
        <v>247.38535173642029</v>
      </c>
      <c r="M320" s="122">
        <f t="shared" si="67"/>
        <v>5051161.7</v>
      </c>
      <c r="N320" s="116">
        <f t="shared" si="68"/>
        <v>3939906.7</v>
      </c>
      <c r="O320" s="123">
        <f t="shared" si="69"/>
        <v>877.09410062333041</v>
      </c>
      <c r="P320" s="5"/>
      <c r="Q320" s="5">
        <f t="shared" si="60"/>
        <v>1</v>
      </c>
      <c r="R320" s="7">
        <f t="shared" si="61"/>
        <v>4492</v>
      </c>
      <c r="S320" s="5">
        <f t="shared" si="62"/>
        <v>1</v>
      </c>
      <c r="T320" s="7">
        <f t="shared" si="63"/>
        <v>4492</v>
      </c>
    </row>
    <row r="321" spans="1:20">
      <c r="A321" s="23" t="s">
        <v>354</v>
      </c>
      <c r="B321" s="35" t="s">
        <v>342</v>
      </c>
      <c r="C321" s="36">
        <v>1552</v>
      </c>
      <c r="D321" s="6"/>
      <c r="E321" s="113">
        <v>260473660</v>
      </c>
      <c r="F321" s="116">
        <f t="shared" si="65"/>
        <v>167830.96649484537</v>
      </c>
      <c r="G321" s="117">
        <v>233377490</v>
      </c>
      <c r="H321" s="117">
        <f t="shared" si="66"/>
        <v>150372.09407216494</v>
      </c>
      <c r="I321" s="7"/>
      <c r="J321" s="10">
        <v>1</v>
      </c>
      <c r="K321" s="117">
        <v>233377</v>
      </c>
      <c r="L321" s="120">
        <f t="shared" si="70"/>
        <v>150.37177835051546</v>
      </c>
      <c r="M321" s="122">
        <f t="shared" si="67"/>
        <v>2333774.9</v>
      </c>
      <c r="N321" s="116">
        <f t="shared" si="68"/>
        <v>2100397.9</v>
      </c>
      <c r="O321" s="123">
        <f t="shared" si="69"/>
        <v>1353.3491623711341</v>
      </c>
      <c r="P321" s="5"/>
      <c r="Q321" s="5">
        <f t="shared" si="60"/>
        <v>1</v>
      </c>
      <c r="R321" s="7">
        <f t="shared" si="61"/>
        <v>1552</v>
      </c>
      <c r="S321" s="5">
        <f t="shared" si="62"/>
        <v>1</v>
      </c>
      <c r="T321" s="7">
        <f t="shared" si="63"/>
        <v>1552</v>
      </c>
    </row>
    <row r="322" spans="1:20">
      <c r="A322" s="23" t="s">
        <v>355</v>
      </c>
      <c r="B322" s="35" t="s">
        <v>342</v>
      </c>
      <c r="C322" s="36">
        <v>12297</v>
      </c>
      <c r="D322" s="6"/>
      <c r="E322" s="113">
        <v>792367814</v>
      </c>
      <c r="F322" s="116">
        <f t="shared" si="65"/>
        <v>64435.863543953812</v>
      </c>
      <c r="G322" s="117">
        <v>630312038</v>
      </c>
      <c r="H322" s="117">
        <f t="shared" si="66"/>
        <v>51257.382938928196</v>
      </c>
      <c r="I322" s="7"/>
      <c r="J322" s="10">
        <v>4.6500000000000004</v>
      </c>
      <c r="K322" s="117">
        <v>2930950</v>
      </c>
      <c r="L322" s="120">
        <f t="shared" si="70"/>
        <v>238.34675124013987</v>
      </c>
      <c r="M322" s="122">
        <f t="shared" si="67"/>
        <v>6303120.3799999999</v>
      </c>
      <c r="N322" s="116">
        <f t="shared" si="68"/>
        <v>3372170.38</v>
      </c>
      <c r="O322" s="123">
        <f t="shared" si="69"/>
        <v>274.22707814914207</v>
      </c>
      <c r="P322" s="5"/>
      <c r="Q322" s="5">
        <f t="shared" si="60"/>
        <v>1</v>
      </c>
      <c r="R322" s="7">
        <f t="shared" si="61"/>
        <v>12297</v>
      </c>
      <c r="S322" s="5">
        <f t="shared" si="62"/>
        <v>1</v>
      </c>
      <c r="T322" s="7">
        <f t="shared" si="63"/>
        <v>12297</v>
      </c>
    </row>
    <row r="323" spans="1:20">
      <c r="A323" s="23" t="s">
        <v>356</v>
      </c>
      <c r="B323" s="35" t="s">
        <v>342</v>
      </c>
      <c r="C323" s="36">
        <v>46139</v>
      </c>
      <c r="D323" s="6"/>
      <c r="E323" s="113">
        <v>2628024017</v>
      </c>
      <c r="F323" s="116">
        <f t="shared" si="65"/>
        <v>56958.842129218232</v>
      </c>
      <c r="G323" s="117">
        <v>2034746917</v>
      </c>
      <c r="H323" s="117">
        <f t="shared" si="66"/>
        <v>44100.368820303862</v>
      </c>
      <c r="I323" s="7"/>
      <c r="J323" s="10">
        <v>5.0788000000000002</v>
      </c>
      <c r="K323" s="117">
        <v>10334072</v>
      </c>
      <c r="L323" s="120">
        <f t="shared" si="70"/>
        <v>223.97693924879169</v>
      </c>
      <c r="M323" s="122">
        <f t="shared" si="67"/>
        <v>20347469.170000002</v>
      </c>
      <c r="N323" s="116">
        <f t="shared" si="68"/>
        <v>10013397.170000002</v>
      </c>
      <c r="O323" s="123">
        <f t="shared" si="69"/>
        <v>217.02674895424698</v>
      </c>
      <c r="P323" s="5"/>
      <c r="Q323" s="5">
        <f t="shared" si="60"/>
        <v>1</v>
      </c>
      <c r="R323" s="7">
        <f t="shared" si="61"/>
        <v>46139</v>
      </c>
      <c r="S323" s="5">
        <f t="shared" si="62"/>
        <v>1</v>
      </c>
      <c r="T323" s="7">
        <f t="shared" si="63"/>
        <v>46139</v>
      </c>
    </row>
    <row r="324" spans="1:20">
      <c r="A324" s="23" t="s">
        <v>357</v>
      </c>
      <c r="B324" s="35" t="s">
        <v>342</v>
      </c>
      <c r="C324" s="36">
        <v>1533</v>
      </c>
      <c r="D324" s="6"/>
      <c r="E324" s="113">
        <v>203610700</v>
      </c>
      <c r="F324" s="116">
        <f t="shared" si="65"/>
        <v>132818.46053489888</v>
      </c>
      <c r="G324" s="117">
        <v>157138900</v>
      </c>
      <c r="H324" s="117">
        <f t="shared" si="66"/>
        <v>102504.17482061317</v>
      </c>
      <c r="I324" s="7"/>
      <c r="J324" s="10">
        <v>2.2560000000000002</v>
      </c>
      <c r="K324" s="117">
        <v>354505</v>
      </c>
      <c r="L324" s="120">
        <f t="shared" si="70"/>
        <v>231.249184605349</v>
      </c>
      <c r="M324" s="122">
        <f t="shared" si="67"/>
        <v>1571389</v>
      </c>
      <c r="N324" s="116">
        <f t="shared" si="68"/>
        <v>1216884</v>
      </c>
      <c r="O324" s="123">
        <f t="shared" si="69"/>
        <v>793.79256360078273</v>
      </c>
      <c r="P324" s="5"/>
      <c r="Q324" s="5">
        <f t="shared" si="60"/>
        <v>1</v>
      </c>
      <c r="R324" s="7">
        <f t="shared" si="61"/>
        <v>1533</v>
      </c>
      <c r="S324" s="5">
        <f t="shared" si="62"/>
        <v>1</v>
      </c>
      <c r="T324" s="7">
        <f t="shared" si="63"/>
        <v>1533</v>
      </c>
    </row>
    <row r="325" spans="1:20">
      <c r="A325" s="23" t="s">
        <v>358</v>
      </c>
      <c r="B325" s="35" t="s">
        <v>342</v>
      </c>
      <c r="C325" s="36">
        <v>2335</v>
      </c>
      <c r="D325" s="6"/>
      <c r="E325" s="113">
        <v>299906310</v>
      </c>
      <c r="F325" s="116">
        <f t="shared" si="65"/>
        <v>128439.53319057816</v>
      </c>
      <c r="G325" s="117">
        <v>247317100</v>
      </c>
      <c r="H325" s="117">
        <f t="shared" si="66"/>
        <v>105917.38758029978</v>
      </c>
      <c r="I325" s="7"/>
      <c r="J325" s="10">
        <v>1.68</v>
      </c>
      <c r="K325" s="117">
        <v>415492</v>
      </c>
      <c r="L325" s="120">
        <f t="shared" si="70"/>
        <v>177.94089935760172</v>
      </c>
      <c r="M325" s="122">
        <f t="shared" si="67"/>
        <v>2473171</v>
      </c>
      <c r="N325" s="116">
        <f t="shared" si="68"/>
        <v>2057679</v>
      </c>
      <c r="O325" s="123">
        <f t="shared" si="69"/>
        <v>881.23297644539616</v>
      </c>
      <c r="P325" s="5"/>
      <c r="Q325" s="5">
        <f t="shared" si="60"/>
        <v>1</v>
      </c>
      <c r="R325" s="7">
        <f t="shared" si="61"/>
        <v>2335</v>
      </c>
      <c r="S325" s="5">
        <f t="shared" si="62"/>
        <v>1</v>
      </c>
      <c r="T325" s="7">
        <f t="shared" si="63"/>
        <v>2335</v>
      </c>
    </row>
    <row r="326" spans="1:20">
      <c r="A326" s="23" t="s">
        <v>359</v>
      </c>
      <c r="B326" s="35" t="s">
        <v>342</v>
      </c>
      <c r="C326" s="36">
        <v>17383</v>
      </c>
      <c r="D326" s="6"/>
      <c r="E326" s="113">
        <v>1096481000</v>
      </c>
      <c r="F326" s="116">
        <f t="shared" si="65"/>
        <v>63077.777138583675</v>
      </c>
      <c r="G326" s="117">
        <v>765436050</v>
      </c>
      <c r="H326" s="117">
        <f t="shared" si="66"/>
        <v>44033.598918483578</v>
      </c>
      <c r="I326" s="7"/>
      <c r="J326" s="10">
        <v>3.1071000000000004</v>
      </c>
      <c r="K326" s="117">
        <v>2378286</v>
      </c>
      <c r="L326" s="120">
        <f t="shared" si="70"/>
        <v>136.81677501006732</v>
      </c>
      <c r="M326" s="122">
        <f t="shared" si="67"/>
        <v>7654360.5</v>
      </c>
      <c r="N326" s="116">
        <f t="shared" si="68"/>
        <v>5276074.5</v>
      </c>
      <c r="O326" s="123">
        <f t="shared" si="69"/>
        <v>303.51921417476848</v>
      </c>
      <c r="P326" s="5"/>
      <c r="Q326" s="5">
        <f t="shared" si="60"/>
        <v>1</v>
      </c>
      <c r="R326" s="7">
        <f t="shared" si="61"/>
        <v>17383</v>
      </c>
      <c r="S326" s="5">
        <f t="shared" si="62"/>
        <v>1</v>
      </c>
      <c r="T326" s="7">
        <f t="shared" si="63"/>
        <v>17383</v>
      </c>
    </row>
    <row r="327" spans="1:20">
      <c r="A327" s="23" t="s">
        <v>360</v>
      </c>
      <c r="B327" s="35" t="s">
        <v>342</v>
      </c>
      <c r="C327" s="36">
        <v>16299</v>
      </c>
      <c r="D327" s="6"/>
      <c r="E327" s="113">
        <v>952149330</v>
      </c>
      <c r="F327" s="116">
        <f t="shared" si="65"/>
        <v>58417.653230259522</v>
      </c>
      <c r="G327" s="117">
        <v>710386400</v>
      </c>
      <c r="H327" s="117">
        <f t="shared" si="66"/>
        <v>43584.661635683173</v>
      </c>
      <c r="I327" s="7"/>
      <c r="J327" s="10">
        <v>2.9396000000000004</v>
      </c>
      <c r="K327" s="117">
        <v>2088251</v>
      </c>
      <c r="L327" s="120">
        <f t="shared" si="70"/>
        <v>128.12141849193202</v>
      </c>
      <c r="M327" s="122">
        <f t="shared" si="67"/>
        <v>7103864</v>
      </c>
      <c r="N327" s="116">
        <f t="shared" si="68"/>
        <v>5015613</v>
      </c>
      <c r="O327" s="123">
        <f t="shared" si="69"/>
        <v>307.72519786489971</v>
      </c>
      <c r="P327" s="5"/>
      <c r="Q327" s="5">
        <f t="shared" ref="Q327:Q390" si="71">IF(E327&gt;0,1,0)</f>
        <v>1</v>
      </c>
      <c r="R327" s="7">
        <f t="shared" ref="R327:R390" si="72">IF(E327&gt;0,C327,0)</f>
        <v>16299</v>
      </c>
      <c r="S327" s="5">
        <f t="shared" ref="S327:S390" si="73">IF(J327&gt;0,1,0)</f>
        <v>1</v>
      </c>
      <c r="T327" s="7">
        <f t="shared" ref="T327:T390" si="74">IF(J327&gt;0,C327,0)</f>
        <v>16299</v>
      </c>
    </row>
    <row r="328" spans="1:20">
      <c r="A328" s="23" t="s">
        <v>361</v>
      </c>
      <c r="B328" s="35" t="s">
        <v>342</v>
      </c>
      <c r="C328" s="36">
        <v>5794</v>
      </c>
      <c r="D328" s="6"/>
      <c r="E328" s="113">
        <v>427475710</v>
      </c>
      <c r="F328" s="116">
        <f t="shared" si="65"/>
        <v>73779.031756989993</v>
      </c>
      <c r="G328" s="117">
        <v>344893480</v>
      </c>
      <c r="H328" s="117">
        <f t="shared" si="66"/>
        <v>59525.971694856751</v>
      </c>
      <c r="I328" s="7"/>
      <c r="J328" s="10">
        <v>1.5409000000000002</v>
      </c>
      <c r="K328" s="117">
        <v>531446</v>
      </c>
      <c r="L328" s="120">
        <f t="shared" si="70"/>
        <v>91.723507076285813</v>
      </c>
      <c r="M328" s="122">
        <f t="shared" si="67"/>
        <v>3448934.8000000003</v>
      </c>
      <c r="N328" s="116">
        <f t="shared" si="68"/>
        <v>2917488.8000000003</v>
      </c>
      <c r="O328" s="123">
        <f t="shared" si="69"/>
        <v>503.53620987228174</v>
      </c>
      <c r="P328" s="5"/>
      <c r="Q328" s="5">
        <f t="shared" si="71"/>
        <v>1</v>
      </c>
      <c r="R328" s="7">
        <f t="shared" si="72"/>
        <v>5794</v>
      </c>
      <c r="S328" s="5">
        <f t="shared" si="73"/>
        <v>1</v>
      </c>
      <c r="T328" s="7">
        <f t="shared" si="74"/>
        <v>5794</v>
      </c>
    </row>
    <row r="329" spans="1:20">
      <c r="A329" s="24" t="s">
        <v>561</v>
      </c>
      <c r="B329" s="35" t="s">
        <v>342</v>
      </c>
      <c r="C329" s="36">
        <v>9932</v>
      </c>
      <c r="D329" s="6"/>
      <c r="E329" s="113">
        <v>1657778930</v>
      </c>
      <c r="F329" s="116">
        <f t="shared" si="65"/>
        <v>166912.90072492952</v>
      </c>
      <c r="G329" s="117">
        <v>1344937290</v>
      </c>
      <c r="H329" s="117">
        <f t="shared" si="66"/>
        <v>135414.5479258961</v>
      </c>
      <c r="I329" s="7"/>
      <c r="J329" s="10">
        <v>2.8</v>
      </c>
      <c r="K329" s="117">
        <v>3765824</v>
      </c>
      <c r="L329" s="120">
        <f t="shared" si="70"/>
        <v>379.16069271043091</v>
      </c>
      <c r="M329" s="122">
        <f t="shared" si="67"/>
        <v>13449372.9</v>
      </c>
      <c r="N329" s="116">
        <f t="shared" si="68"/>
        <v>9683548.9000000004</v>
      </c>
      <c r="O329" s="123">
        <f t="shared" si="69"/>
        <v>974.98478654853</v>
      </c>
      <c r="P329" s="5"/>
      <c r="Q329" s="5">
        <f t="shared" si="71"/>
        <v>1</v>
      </c>
      <c r="R329" s="7">
        <f t="shared" si="72"/>
        <v>9932</v>
      </c>
      <c r="S329" s="5">
        <f t="shared" si="73"/>
        <v>1</v>
      </c>
      <c r="T329" s="7">
        <f t="shared" si="74"/>
        <v>9932</v>
      </c>
    </row>
    <row r="330" spans="1:20">
      <c r="A330" s="23" t="s">
        <v>548</v>
      </c>
      <c r="B330" s="35" t="s">
        <v>342</v>
      </c>
      <c r="C330" s="36">
        <v>249703</v>
      </c>
      <c r="D330" s="6"/>
      <c r="E330" s="113">
        <v>13554944239</v>
      </c>
      <c r="F330" s="116">
        <f t="shared" si="65"/>
        <v>54284.266664797782</v>
      </c>
      <c r="G330" s="117">
        <v>9387271939</v>
      </c>
      <c r="H330" s="117">
        <f t="shared" si="66"/>
        <v>37593.749129966403</v>
      </c>
      <c r="I330" s="7"/>
      <c r="J330" s="10">
        <v>7.14</v>
      </c>
      <c r="K330" s="117">
        <v>67025121</v>
      </c>
      <c r="L330" s="120">
        <f t="shared" si="70"/>
        <v>268.419366207054</v>
      </c>
      <c r="M330" s="122">
        <f t="shared" si="67"/>
        <v>93872719.390000001</v>
      </c>
      <c r="N330" s="116">
        <f t="shared" si="68"/>
        <v>26847598.390000001</v>
      </c>
      <c r="O330" s="123">
        <f t="shared" si="69"/>
        <v>107.51812509261002</v>
      </c>
      <c r="P330" s="5"/>
      <c r="Q330" s="5">
        <f t="shared" si="71"/>
        <v>1</v>
      </c>
      <c r="R330" s="7">
        <f t="shared" si="72"/>
        <v>249703</v>
      </c>
      <c r="S330" s="5">
        <f t="shared" si="73"/>
        <v>1</v>
      </c>
      <c r="T330" s="7">
        <f t="shared" si="74"/>
        <v>249703</v>
      </c>
    </row>
    <row r="331" spans="1:20">
      <c r="A331" s="23" t="s">
        <v>362</v>
      </c>
      <c r="B331" s="35" t="s">
        <v>342</v>
      </c>
      <c r="C331" s="36">
        <v>21495</v>
      </c>
      <c r="D331" s="6"/>
      <c r="E331" s="113">
        <v>1321741830</v>
      </c>
      <c r="F331" s="116">
        <f t="shared" si="65"/>
        <v>61490.66434054431</v>
      </c>
      <c r="G331" s="117">
        <v>954568010</v>
      </c>
      <c r="H331" s="117">
        <f t="shared" si="66"/>
        <v>44408.839730169806</v>
      </c>
      <c r="I331" s="7"/>
      <c r="J331" s="10">
        <v>4.9454000000000002</v>
      </c>
      <c r="K331" s="117">
        <v>4720720</v>
      </c>
      <c r="L331" s="120">
        <f t="shared" si="70"/>
        <v>219.61944638287974</v>
      </c>
      <c r="M331" s="122">
        <f t="shared" si="67"/>
        <v>9545680.0999999996</v>
      </c>
      <c r="N331" s="116">
        <f t="shared" si="68"/>
        <v>4824960.0999999996</v>
      </c>
      <c r="O331" s="123">
        <f t="shared" si="69"/>
        <v>224.46895091881831</v>
      </c>
      <c r="P331" s="5"/>
      <c r="Q331" s="5">
        <f t="shared" si="71"/>
        <v>1</v>
      </c>
      <c r="R331" s="7">
        <f t="shared" si="72"/>
        <v>21495</v>
      </c>
      <c r="S331" s="5">
        <f t="shared" si="73"/>
        <v>1</v>
      </c>
      <c r="T331" s="7">
        <f t="shared" si="74"/>
        <v>21495</v>
      </c>
    </row>
    <row r="332" spans="1:20">
      <c r="A332" s="23" t="s">
        <v>363</v>
      </c>
      <c r="B332" s="35" t="s">
        <v>342</v>
      </c>
      <c r="C332" s="36">
        <v>7471</v>
      </c>
      <c r="D332" s="6"/>
      <c r="E332" s="113">
        <v>1088483610</v>
      </c>
      <c r="F332" s="116">
        <f t="shared" si="65"/>
        <v>145694.50006692545</v>
      </c>
      <c r="G332" s="117">
        <v>795799340</v>
      </c>
      <c r="H332" s="117">
        <f t="shared" si="66"/>
        <v>106518.45000669254</v>
      </c>
      <c r="I332" s="7"/>
      <c r="J332" s="10">
        <v>2.6272000000000002</v>
      </c>
      <c r="K332" s="117">
        <v>2090724</v>
      </c>
      <c r="L332" s="120">
        <f t="shared" si="70"/>
        <v>279.84526837103465</v>
      </c>
      <c r="M332" s="122">
        <f t="shared" si="67"/>
        <v>7957993.4000000004</v>
      </c>
      <c r="N332" s="116">
        <f t="shared" si="68"/>
        <v>5867269.4000000004</v>
      </c>
      <c r="O332" s="123">
        <f t="shared" si="69"/>
        <v>785.33923169589082</v>
      </c>
      <c r="P332" s="5"/>
      <c r="Q332" s="5">
        <f t="shared" si="71"/>
        <v>1</v>
      </c>
      <c r="R332" s="7">
        <f t="shared" si="72"/>
        <v>7471</v>
      </c>
      <c r="S332" s="5">
        <f t="shared" si="73"/>
        <v>1</v>
      </c>
      <c r="T332" s="7">
        <f t="shared" si="74"/>
        <v>7471</v>
      </c>
    </row>
    <row r="333" spans="1:20">
      <c r="A333" s="23" t="s">
        <v>364</v>
      </c>
      <c r="B333" s="35" t="s">
        <v>365</v>
      </c>
      <c r="C333" s="36">
        <v>11079</v>
      </c>
      <c r="D333" s="6"/>
      <c r="E333" s="113">
        <v>442850533</v>
      </c>
      <c r="F333" s="116">
        <f t="shared" si="65"/>
        <v>39972.067244336133</v>
      </c>
      <c r="G333" s="117">
        <v>316483554</v>
      </c>
      <c r="H333" s="117">
        <f t="shared" si="66"/>
        <v>28566.07581911725</v>
      </c>
      <c r="I333" s="7"/>
      <c r="J333" s="10">
        <v>4.516</v>
      </c>
      <c r="K333" s="117">
        <v>1429239</v>
      </c>
      <c r="L333" s="120">
        <f t="shared" si="70"/>
        <v>129.00433252098566</v>
      </c>
      <c r="M333" s="122">
        <f t="shared" si="67"/>
        <v>3164835.54</v>
      </c>
      <c r="N333" s="116">
        <f t="shared" si="68"/>
        <v>1735596.54</v>
      </c>
      <c r="O333" s="123">
        <f t="shared" si="69"/>
        <v>156.65642567018685</v>
      </c>
      <c r="P333" s="5"/>
      <c r="Q333" s="5">
        <f t="shared" si="71"/>
        <v>1</v>
      </c>
      <c r="R333" s="7">
        <f t="shared" si="72"/>
        <v>11079</v>
      </c>
      <c r="S333" s="5">
        <f t="shared" si="73"/>
        <v>1</v>
      </c>
      <c r="T333" s="7">
        <f t="shared" si="74"/>
        <v>11079</v>
      </c>
    </row>
    <row r="334" spans="1:20">
      <c r="A334" s="23" t="s">
        <v>366</v>
      </c>
      <c r="B334" s="35" t="s">
        <v>365</v>
      </c>
      <c r="C334" s="36">
        <v>15411</v>
      </c>
      <c r="D334" s="6"/>
      <c r="E334" s="113">
        <v>704970956</v>
      </c>
      <c r="F334" s="116">
        <f t="shared" si="65"/>
        <v>45744.660048017649</v>
      </c>
      <c r="G334" s="117">
        <v>428813264</v>
      </c>
      <c r="H334" s="117">
        <f t="shared" si="66"/>
        <v>27825.142041399002</v>
      </c>
      <c r="I334" s="7"/>
      <c r="J334" s="10">
        <v>3</v>
      </c>
      <c r="K334" s="117">
        <v>1286439</v>
      </c>
      <c r="L334" s="120">
        <f t="shared" si="70"/>
        <v>83.475374732334046</v>
      </c>
      <c r="M334" s="122">
        <f t="shared" si="67"/>
        <v>4288132.6399999997</v>
      </c>
      <c r="N334" s="116">
        <f t="shared" si="68"/>
        <v>3001693.6399999997</v>
      </c>
      <c r="O334" s="123">
        <f t="shared" si="69"/>
        <v>194.77604568165594</v>
      </c>
      <c r="P334" s="5"/>
      <c r="Q334" s="5">
        <f t="shared" si="71"/>
        <v>1</v>
      </c>
      <c r="R334" s="7">
        <f t="shared" si="72"/>
        <v>15411</v>
      </c>
      <c r="S334" s="5">
        <f t="shared" si="73"/>
        <v>1</v>
      </c>
      <c r="T334" s="7">
        <f t="shared" si="74"/>
        <v>15411</v>
      </c>
    </row>
    <row r="335" spans="1:20">
      <c r="A335" s="23" t="s">
        <v>367</v>
      </c>
      <c r="B335" s="35" t="s">
        <v>365</v>
      </c>
      <c r="C335" s="36">
        <v>1968</v>
      </c>
      <c r="D335" s="6"/>
      <c r="E335" s="113">
        <v>66234704</v>
      </c>
      <c r="F335" s="116">
        <f t="shared" si="65"/>
        <v>33655.845528455284</v>
      </c>
      <c r="G335" s="117">
        <v>41896590</v>
      </c>
      <c r="H335" s="117">
        <f t="shared" si="66"/>
        <v>21288.917682926829</v>
      </c>
      <c r="I335" s="7"/>
      <c r="J335" s="10">
        <v>6</v>
      </c>
      <c r="K335" s="117">
        <v>251379</v>
      </c>
      <c r="L335" s="120">
        <f t="shared" si="70"/>
        <v>127.73323170731707</v>
      </c>
      <c r="M335" s="122">
        <f t="shared" si="67"/>
        <v>418965.9</v>
      </c>
      <c r="N335" s="116">
        <f t="shared" si="68"/>
        <v>167586.90000000002</v>
      </c>
      <c r="O335" s="123">
        <f t="shared" si="69"/>
        <v>85.155945121951234</v>
      </c>
      <c r="P335" s="5"/>
      <c r="Q335" s="5">
        <f t="shared" si="71"/>
        <v>1</v>
      </c>
      <c r="R335" s="7">
        <f t="shared" si="72"/>
        <v>1968</v>
      </c>
      <c r="S335" s="5">
        <f t="shared" si="73"/>
        <v>1</v>
      </c>
      <c r="T335" s="7">
        <f t="shared" si="74"/>
        <v>1968</v>
      </c>
    </row>
    <row r="336" spans="1:20">
      <c r="A336" s="23" t="s">
        <v>368</v>
      </c>
      <c r="B336" s="35" t="s">
        <v>365</v>
      </c>
      <c r="C336" s="36">
        <v>2916</v>
      </c>
      <c r="D336" s="6"/>
      <c r="E336" s="113">
        <v>110548477</v>
      </c>
      <c r="F336" s="116">
        <f t="shared" si="65"/>
        <v>37911.000342935527</v>
      </c>
      <c r="G336" s="117">
        <v>82730164</v>
      </c>
      <c r="H336" s="117">
        <f t="shared" si="66"/>
        <v>28371.112482853223</v>
      </c>
      <c r="I336" s="7"/>
      <c r="J336" s="10">
        <v>7</v>
      </c>
      <c r="K336" s="117">
        <v>579111</v>
      </c>
      <c r="L336" s="120">
        <f t="shared" si="70"/>
        <v>198.59773662551441</v>
      </c>
      <c r="M336" s="122">
        <f t="shared" si="67"/>
        <v>827301.64</v>
      </c>
      <c r="N336" s="116">
        <f t="shared" si="68"/>
        <v>248190.64</v>
      </c>
      <c r="O336" s="123">
        <f t="shared" si="69"/>
        <v>85.113388203017834</v>
      </c>
      <c r="P336" s="5"/>
      <c r="Q336" s="5">
        <f t="shared" si="71"/>
        <v>1</v>
      </c>
      <c r="R336" s="7">
        <f t="shared" si="72"/>
        <v>2916</v>
      </c>
      <c r="S336" s="5">
        <f t="shared" si="73"/>
        <v>1</v>
      </c>
      <c r="T336" s="7">
        <f t="shared" si="74"/>
        <v>2916</v>
      </c>
    </row>
    <row r="337" spans="1:20">
      <c r="A337" s="23" t="s">
        <v>369</v>
      </c>
      <c r="B337" s="35" t="s">
        <v>365</v>
      </c>
      <c r="C337" s="36">
        <v>2501</v>
      </c>
      <c r="D337" s="6"/>
      <c r="E337" s="113">
        <v>42889124</v>
      </c>
      <c r="F337" s="116">
        <f t="shared" si="65"/>
        <v>17148.790083966414</v>
      </c>
      <c r="G337" s="117">
        <v>23749076</v>
      </c>
      <c r="H337" s="117">
        <f t="shared" si="66"/>
        <v>9495.8320671731308</v>
      </c>
      <c r="I337" s="7"/>
      <c r="J337" s="10">
        <v>7</v>
      </c>
      <c r="K337" s="117">
        <v>166243</v>
      </c>
      <c r="L337" s="120">
        <f t="shared" si="70"/>
        <v>66.470611755297881</v>
      </c>
      <c r="M337" s="122">
        <f t="shared" si="67"/>
        <v>237490.76</v>
      </c>
      <c r="N337" s="116">
        <f t="shared" si="68"/>
        <v>71247.760000000009</v>
      </c>
      <c r="O337" s="123">
        <f t="shared" si="69"/>
        <v>28.48770891643343</v>
      </c>
      <c r="P337" s="5"/>
      <c r="Q337" s="5">
        <f t="shared" si="71"/>
        <v>1</v>
      </c>
      <c r="R337" s="7">
        <f t="shared" si="72"/>
        <v>2501</v>
      </c>
      <c r="S337" s="5">
        <f t="shared" si="73"/>
        <v>1</v>
      </c>
      <c r="T337" s="7">
        <f t="shared" si="74"/>
        <v>2501</v>
      </c>
    </row>
    <row r="338" spans="1:20">
      <c r="A338" s="23" t="s">
        <v>370</v>
      </c>
      <c r="B338" s="35" t="s">
        <v>365</v>
      </c>
      <c r="C338" s="36">
        <v>5735</v>
      </c>
      <c r="D338" s="6"/>
      <c r="E338" s="113">
        <v>126760256</v>
      </c>
      <c r="F338" s="116">
        <f t="shared" si="65"/>
        <v>22102.921708805581</v>
      </c>
      <c r="G338" s="117">
        <v>74629575</v>
      </c>
      <c r="H338" s="117">
        <f t="shared" si="66"/>
        <v>13013.003487358326</v>
      </c>
      <c r="I338" s="7"/>
      <c r="J338" s="10">
        <v>1</v>
      </c>
      <c r="K338" s="117">
        <v>74629</v>
      </c>
      <c r="L338" s="120">
        <f t="shared" ref="L338:L369" si="75">(K338/C338)</f>
        <v>13.012903225806452</v>
      </c>
      <c r="M338" s="122">
        <f t="shared" si="67"/>
        <v>746295.75</v>
      </c>
      <c r="N338" s="116">
        <f t="shared" si="68"/>
        <v>671666.75</v>
      </c>
      <c r="O338" s="123">
        <f t="shared" si="69"/>
        <v>117.11713164777682</v>
      </c>
      <c r="P338" s="5"/>
      <c r="Q338" s="5">
        <f t="shared" si="71"/>
        <v>1</v>
      </c>
      <c r="R338" s="7">
        <f t="shared" si="72"/>
        <v>5735</v>
      </c>
      <c r="S338" s="5">
        <f t="shared" si="73"/>
        <v>1</v>
      </c>
      <c r="T338" s="7">
        <f t="shared" si="74"/>
        <v>5735</v>
      </c>
    </row>
    <row r="339" spans="1:20">
      <c r="A339" s="23" t="s">
        <v>371</v>
      </c>
      <c r="B339" s="35" t="s">
        <v>365</v>
      </c>
      <c r="C339" s="36">
        <v>2977</v>
      </c>
      <c r="D339" s="6"/>
      <c r="E339" s="113">
        <v>130784918</v>
      </c>
      <c r="F339" s="116">
        <f t="shared" si="65"/>
        <v>43931.783003023178</v>
      </c>
      <c r="G339" s="117">
        <v>97886799</v>
      </c>
      <c r="H339" s="117">
        <f t="shared" si="66"/>
        <v>32881.02082633524</v>
      </c>
      <c r="I339" s="7"/>
      <c r="J339" s="10">
        <v>7</v>
      </c>
      <c r="K339" s="117">
        <v>685207</v>
      </c>
      <c r="L339" s="120">
        <f t="shared" si="75"/>
        <v>230.16694659052737</v>
      </c>
      <c r="M339" s="122">
        <f t="shared" si="67"/>
        <v>978867.99</v>
      </c>
      <c r="N339" s="116">
        <f t="shared" si="68"/>
        <v>293660.99</v>
      </c>
      <c r="O339" s="123">
        <f t="shared" si="69"/>
        <v>98.643261672824991</v>
      </c>
      <c r="P339" s="5"/>
      <c r="Q339" s="5">
        <f t="shared" si="71"/>
        <v>1</v>
      </c>
      <c r="R339" s="7">
        <f t="shared" si="72"/>
        <v>2977</v>
      </c>
      <c r="S339" s="5">
        <f t="shared" si="73"/>
        <v>1</v>
      </c>
      <c r="T339" s="7">
        <f t="shared" si="74"/>
        <v>2977</v>
      </c>
    </row>
    <row r="340" spans="1:20">
      <c r="A340" s="23" t="s">
        <v>372</v>
      </c>
      <c r="B340" s="35" t="s">
        <v>365</v>
      </c>
      <c r="C340" s="36">
        <v>13434</v>
      </c>
      <c r="D340" s="6"/>
      <c r="E340" s="113">
        <v>458531437</v>
      </c>
      <c r="F340" s="116">
        <f t="shared" si="65"/>
        <v>34132.15996724728</v>
      </c>
      <c r="G340" s="117">
        <v>323944881</v>
      </c>
      <c r="H340" s="117">
        <f t="shared" si="66"/>
        <v>24113.806833407773</v>
      </c>
      <c r="I340" s="7"/>
      <c r="J340" s="10">
        <v>6.99</v>
      </c>
      <c r="K340" s="117">
        <v>2264374</v>
      </c>
      <c r="L340" s="120">
        <f t="shared" si="75"/>
        <v>168.55545630489803</v>
      </c>
      <c r="M340" s="122">
        <f t="shared" si="67"/>
        <v>3239448.81</v>
      </c>
      <c r="N340" s="116">
        <f t="shared" si="68"/>
        <v>975074.81</v>
      </c>
      <c r="O340" s="123">
        <f t="shared" si="69"/>
        <v>72.5826120291797</v>
      </c>
      <c r="P340" s="5"/>
      <c r="Q340" s="5">
        <f t="shared" si="71"/>
        <v>1</v>
      </c>
      <c r="R340" s="7">
        <f t="shared" si="72"/>
        <v>13434</v>
      </c>
      <c r="S340" s="5">
        <f t="shared" si="73"/>
        <v>1</v>
      </c>
      <c r="T340" s="7">
        <f t="shared" si="74"/>
        <v>13434</v>
      </c>
    </row>
    <row r="341" spans="1:20">
      <c r="A341" s="23" t="s">
        <v>373</v>
      </c>
      <c r="B341" s="35" t="s">
        <v>365</v>
      </c>
      <c r="C341" s="36">
        <v>244</v>
      </c>
      <c r="D341" s="6"/>
      <c r="E341" s="113">
        <v>13115340</v>
      </c>
      <c r="F341" s="116">
        <f t="shared" si="65"/>
        <v>53751.393442622953</v>
      </c>
      <c r="G341" s="117">
        <v>11162064</v>
      </c>
      <c r="H341" s="117">
        <f t="shared" si="66"/>
        <v>45746.163934426229</v>
      </c>
      <c r="I341" s="9"/>
      <c r="J341" s="10">
        <v>6.0798000000000005</v>
      </c>
      <c r="K341" s="117">
        <v>67863</v>
      </c>
      <c r="L341" s="120">
        <f t="shared" si="75"/>
        <v>278.12704918032784</v>
      </c>
      <c r="M341" s="122">
        <f t="shared" si="67"/>
        <v>111620.64</v>
      </c>
      <c r="N341" s="116">
        <f t="shared" si="68"/>
        <v>43757.64</v>
      </c>
      <c r="O341" s="123">
        <f t="shared" si="69"/>
        <v>179.33459016393442</v>
      </c>
      <c r="P341" s="5"/>
      <c r="Q341" s="5">
        <f t="shared" si="71"/>
        <v>1</v>
      </c>
      <c r="R341" s="7">
        <f t="shared" si="72"/>
        <v>244</v>
      </c>
      <c r="S341" s="5">
        <f t="shared" si="73"/>
        <v>1</v>
      </c>
      <c r="T341" s="7">
        <f t="shared" si="74"/>
        <v>244</v>
      </c>
    </row>
    <row r="342" spans="1:20">
      <c r="A342" s="23" t="s">
        <v>374</v>
      </c>
      <c r="B342" s="35" t="s">
        <v>365</v>
      </c>
      <c r="C342" s="36">
        <v>266</v>
      </c>
      <c r="D342" s="6"/>
      <c r="E342" s="113">
        <v>10247970</v>
      </c>
      <c r="F342" s="116">
        <f t="shared" si="65"/>
        <v>38526.203007518794</v>
      </c>
      <c r="G342" s="117">
        <v>7540559</v>
      </c>
      <c r="H342" s="117">
        <f t="shared" si="66"/>
        <v>28347.966165413534</v>
      </c>
      <c r="I342" s="7"/>
      <c r="J342" s="10">
        <v>0.5</v>
      </c>
      <c r="K342" s="117">
        <v>3770</v>
      </c>
      <c r="L342" s="120">
        <f t="shared" si="75"/>
        <v>14.172932330827068</v>
      </c>
      <c r="M342" s="122">
        <f t="shared" si="67"/>
        <v>75405.59</v>
      </c>
      <c r="N342" s="116">
        <f t="shared" si="68"/>
        <v>71635.59</v>
      </c>
      <c r="O342" s="123">
        <f t="shared" si="69"/>
        <v>269.30672932330828</v>
      </c>
      <c r="P342" s="5"/>
      <c r="Q342" s="5">
        <f t="shared" si="71"/>
        <v>1</v>
      </c>
      <c r="R342" s="7">
        <f t="shared" si="72"/>
        <v>266</v>
      </c>
      <c r="S342" s="5">
        <f t="shared" si="73"/>
        <v>1</v>
      </c>
      <c r="T342" s="7">
        <f t="shared" si="74"/>
        <v>266</v>
      </c>
    </row>
    <row r="343" spans="1:20">
      <c r="A343" s="23" t="s">
        <v>375</v>
      </c>
      <c r="B343" s="35" t="s">
        <v>365</v>
      </c>
      <c r="C343" s="36">
        <v>3920</v>
      </c>
      <c r="D343" s="6"/>
      <c r="E343" s="113">
        <v>135650076</v>
      </c>
      <c r="F343" s="116">
        <f t="shared" si="65"/>
        <v>34604.611224489796</v>
      </c>
      <c r="G343" s="117">
        <v>95750608</v>
      </c>
      <c r="H343" s="117">
        <f t="shared" si="66"/>
        <v>24426.175510204081</v>
      </c>
      <c r="I343" s="7"/>
      <c r="J343" s="10">
        <v>7.0580000000000007</v>
      </c>
      <c r="K343" s="117">
        <v>675807</v>
      </c>
      <c r="L343" s="120">
        <f t="shared" si="75"/>
        <v>172.39974489795918</v>
      </c>
      <c r="M343" s="122">
        <f t="shared" si="67"/>
        <v>957506.08000000007</v>
      </c>
      <c r="N343" s="116">
        <f t="shared" si="68"/>
        <v>281699.08000000007</v>
      </c>
      <c r="O343" s="123">
        <f t="shared" si="69"/>
        <v>71.862010204081656</v>
      </c>
      <c r="P343" s="5"/>
      <c r="Q343" s="5">
        <f t="shared" si="71"/>
        <v>1</v>
      </c>
      <c r="R343" s="7">
        <f t="shared" si="72"/>
        <v>3920</v>
      </c>
      <c r="S343" s="5">
        <f t="shared" si="73"/>
        <v>1</v>
      </c>
      <c r="T343" s="7">
        <f t="shared" si="74"/>
        <v>3920</v>
      </c>
    </row>
    <row r="344" spans="1:20">
      <c r="A344" s="23" t="s">
        <v>376</v>
      </c>
      <c r="B344" s="35" t="s">
        <v>365</v>
      </c>
      <c r="C344" s="36">
        <v>1309</v>
      </c>
      <c r="D344" s="6"/>
      <c r="E344" s="113">
        <v>50074922</v>
      </c>
      <c r="F344" s="116">
        <f t="shared" si="65"/>
        <v>38254.333078686017</v>
      </c>
      <c r="G344" s="117">
        <v>37368136</v>
      </c>
      <c r="H344" s="117">
        <f t="shared" si="66"/>
        <v>28547.086325439268</v>
      </c>
      <c r="I344" s="7"/>
      <c r="J344" s="11">
        <v>6.6480000000000006</v>
      </c>
      <c r="K344" s="117">
        <v>248423</v>
      </c>
      <c r="L344" s="120">
        <f t="shared" si="75"/>
        <v>189.7807486631016</v>
      </c>
      <c r="M344" s="122">
        <f t="shared" si="67"/>
        <v>373681.36</v>
      </c>
      <c r="N344" s="116">
        <f t="shared" si="68"/>
        <v>125258.35999999999</v>
      </c>
      <c r="O344" s="123">
        <f t="shared" si="69"/>
        <v>95.690114591291049</v>
      </c>
      <c r="P344" s="5"/>
      <c r="Q344" s="5">
        <f t="shared" si="71"/>
        <v>1</v>
      </c>
      <c r="R344" s="7">
        <f t="shared" si="72"/>
        <v>1309</v>
      </c>
      <c r="S344" s="5">
        <f t="shared" si="73"/>
        <v>1</v>
      </c>
      <c r="T344" s="7">
        <f t="shared" si="74"/>
        <v>1309</v>
      </c>
    </row>
    <row r="345" spans="1:20">
      <c r="A345" s="23" t="s">
        <v>377</v>
      </c>
      <c r="B345" s="35" t="s">
        <v>365</v>
      </c>
      <c r="C345" s="36">
        <v>10593</v>
      </c>
      <c r="D345" s="6"/>
      <c r="E345" s="113">
        <v>479843059</v>
      </c>
      <c r="F345" s="116">
        <f t="shared" si="65"/>
        <v>45298.126970640988</v>
      </c>
      <c r="G345" s="117">
        <v>341065897</v>
      </c>
      <c r="H345" s="117">
        <f t="shared" si="66"/>
        <v>32197.290380439914</v>
      </c>
      <c r="I345" s="7"/>
      <c r="J345" s="10">
        <v>8.19</v>
      </c>
      <c r="K345" s="117">
        <v>2793329</v>
      </c>
      <c r="L345" s="120">
        <f t="shared" si="75"/>
        <v>263.6957424714434</v>
      </c>
      <c r="M345" s="122">
        <f t="shared" si="67"/>
        <v>3410658.97</v>
      </c>
      <c r="N345" s="116">
        <f t="shared" si="68"/>
        <v>617329.9700000002</v>
      </c>
      <c r="O345" s="123">
        <f t="shared" si="69"/>
        <v>58.277161332955743</v>
      </c>
      <c r="P345" s="5"/>
      <c r="Q345" s="5">
        <f t="shared" si="71"/>
        <v>1</v>
      </c>
      <c r="R345" s="7">
        <f t="shared" si="72"/>
        <v>10593</v>
      </c>
      <c r="S345" s="5">
        <f t="shared" si="73"/>
        <v>1</v>
      </c>
      <c r="T345" s="7">
        <f t="shared" si="74"/>
        <v>10593</v>
      </c>
    </row>
    <row r="346" spans="1:20">
      <c r="A346" s="23" t="s">
        <v>378</v>
      </c>
      <c r="B346" s="35" t="s">
        <v>365</v>
      </c>
      <c r="C346" s="36">
        <v>82706</v>
      </c>
      <c r="D346" s="6"/>
      <c r="E346" s="113">
        <v>4653789210</v>
      </c>
      <c r="F346" s="116">
        <f t="shared" si="65"/>
        <v>56269.064034048315</v>
      </c>
      <c r="G346" s="117">
        <v>3130240450</v>
      </c>
      <c r="H346" s="117">
        <f t="shared" si="66"/>
        <v>37847.803665997628</v>
      </c>
      <c r="I346" s="7"/>
      <c r="J346" s="10">
        <v>2.9950000000000001</v>
      </c>
      <c r="K346" s="117">
        <v>9375070</v>
      </c>
      <c r="L346" s="120">
        <f t="shared" si="75"/>
        <v>113.35417019321451</v>
      </c>
      <c r="M346" s="122">
        <f t="shared" si="67"/>
        <v>31302404.5</v>
      </c>
      <c r="N346" s="116">
        <f t="shared" si="68"/>
        <v>21927334.5</v>
      </c>
      <c r="O346" s="123">
        <f t="shared" si="69"/>
        <v>265.1238664667618</v>
      </c>
      <c r="P346" s="5"/>
      <c r="Q346" s="5">
        <f t="shared" si="71"/>
        <v>1</v>
      </c>
      <c r="R346" s="7">
        <f t="shared" si="72"/>
        <v>82706</v>
      </c>
      <c r="S346" s="5">
        <f t="shared" si="73"/>
        <v>1</v>
      </c>
      <c r="T346" s="7">
        <f t="shared" si="74"/>
        <v>82706</v>
      </c>
    </row>
    <row r="347" spans="1:20">
      <c r="A347" s="23" t="s">
        <v>379</v>
      </c>
      <c r="B347" s="35" t="s">
        <v>365</v>
      </c>
      <c r="C347" s="36">
        <v>3231</v>
      </c>
      <c r="D347" s="6"/>
      <c r="E347" s="113">
        <v>126666268</v>
      </c>
      <c r="F347" s="116">
        <f t="shared" si="65"/>
        <v>39203.425564840603</v>
      </c>
      <c r="G347" s="117">
        <v>97869833</v>
      </c>
      <c r="H347" s="117">
        <f t="shared" si="66"/>
        <v>30290.879913339522</v>
      </c>
      <c r="I347" s="7"/>
      <c r="J347" s="10">
        <v>8.5</v>
      </c>
      <c r="K347" s="117">
        <v>831893</v>
      </c>
      <c r="L347" s="120">
        <f t="shared" si="75"/>
        <v>257.4722995976478</v>
      </c>
      <c r="M347" s="122">
        <f t="shared" si="67"/>
        <v>978698.33000000007</v>
      </c>
      <c r="N347" s="116">
        <f t="shared" si="68"/>
        <v>146805.33000000007</v>
      </c>
      <c r="O347" s="123">
        <f t="shared" si="69"/>
        <v>45.436499535747473</v>
      </c>
      <c r="P347" s="5"/>
      <c r="Q347" s="5">
        <f t="shared" si="71"/>
        <v>1</v>
      </c>
      <c r="R347" s="7">
        <f t="shared" si="72"/>
        <v>3231</v>
      </c>
      <c r="S347" s="5">
        <f t="shared" si="73"/>
        <v>1</v>
      </c>
      <c r="T347" s="7">
        <f t="shared" si="74"/>
        <v>3231</v>
      </c>
    </row>
    <row r="348" spans="1:20">
      <c r="A348" s="23" t="s">
        <v>380</v>
      </c>
      <c r="B348" s="35" t="s">
        <v>365</v>
      </c>
      <c r="C348" s="36">
        <v>1517</v>
      </c>
      <c r="D348" s="6"/>
      <c r="E348" s="113">
        <v>37936479</v>
      </c>
      <c r="F348" s="116">
        <f t="shared" si="65"/>
        <v>25007.566908371788</v>
      </c>
      <c r="G348" s="117">
        <v>25043175</v>
      </c>
      <c r="H348" s="117">
        <f t="shared" si="66"/>
        <v>16508.355306526038</v>
      </c>
      <c r="I348" s="7"/>
      <c r="J348" s="10">
        <v>5.5</v>
      </c>
      <c r="K348" s="117">
        <v>137737</v>
      </c>
      <c r="L348" s="120">
        <f t="shared" si="75"/>
        <v>90.795649307844428</v>
      </c>
      <c r="M348" s="122">
        <f t="shared" si="67"/>
        <v>250431.75</v>
      </c>
      <c r="N348" s="116">
        <f t="shared" si="68"/>
        <v>112694.75</v>
      </c>
      <c r="O348" s="123">
        <f t="shared" si="69"/>
        <v>74.287903757415947</v>
      </c>
      <c r="P348" s="5"/>
      <c r="Q348" s="5">
        <f t="shared" si="71"/>
        <v>1</v>
      </c>
      <c r="R348" s="7">
        <f t="shared" si="72"/>
        <v>1517</v>
      </c>
      <c r="S348" s="5">
        <f t="shared" si="73"/>
        <v>1</v>
      </c>
      <c r="T348" s="7">
        <f t="shared" si="74"/>
        <v>1517</v>
      </c>
    </row>
    <row r="349" spans="1:20">
      <c r="A349" s="23" t="s">
        <v>381</v>
      </c>
      <c r="B349" s="35" t="s">
        <v>365</v>
      </c>
      <c r="C349" s="36">
        <v>26561</v>
      </c>
      <c r="D349" s="6"/>
      <c r="E349" s="113">
        <v>1359254687</v>
      </c>
      <c r="F349" s="116">
        <f t="shared" si="65"/>
        <v>51174.83103045819</v>
      </c>
      <c r="G349" s="117">
        <v>949968797</v>
      </c>
      <c r="H349" s="117">
        <f t="shared" si="66"/>
        <v>35765.550882873387</v>
      </c>
      <c r="I349" s="7"/>
      <c r="J349" s="10">
        <v>6.75</v>
      </c>
      <c r="K349" s="117">
        <v>6412289</v>
      </c>
      <c r="L349" s="120">
        <f t="shared" si="75"/>
        <v>241.41745416211739</v>
      </c>
      <c r="M349" s="122">
        <f t="shared" si="67"/>
        <v>9499687.9700000007</v>
      </c>
      <c r="N349" s="116">
        <f t="shared" si="68"/>
        <v>3087398.9700000007</v>
      </c>
      <c r="O349" s="123">
        <f t="shared" si="69"/>
        <v>116.23805466661649</v>
      </c>
      <c r="P349" s="5"/>
      <c r="Q349" s="5">
        <f t="shared" si="71"/>
        <v>1</v>
      </c>
      <c r="R349" s="7">
        <f t="shared" si="72"/>
        <v>26561</v>
      </c>
      <c r="S349" s="5">
        <f t="shared" si="73"/>
        <v>1</v>
      </c>
      <c r="T349" s="7">
        <f t="shared" si="74"/>
        <v>26561</v>
      </c>
    </row>
    <row r="350" spans="1:20">
      <c r="A350" s="23" t="s">
        <v>382</v>
      </c>
      <c r="B350" s="35" t="s">
        <v>383</v>
      </c>
      <c r="C350" s="36">
        <v>1790</v>
      </c>
      <c r="D350" s="6"/>
      <c r="E350" s="113">
        <v>80074781</v>
      </c>
      <c r="F350" s="116">
        <f t="shared" ref="F350:F410" si="76">(E350/C350)</f>
        <v>44734.514525139668</v>
      </c>
      <c r="G350" s="117">
        <v>48570167</v>
      </c>
      <c r="H350" s="117">
        <f t="shared" ref="H350:H410" si="77">(G350/C350)</f>
        <v>27134.171508379888</v>
      </c>
      <c r="I350" s="9"/>
      <c r="J350" s="10">
        <v>8.25</v>
      </c>
      <c r="K350" s="117">
        <v>400703</v>
      </c>
      <c r="L350" s="120">
        <f t="shared" si="75"/>
        <v>223.8564245810056</v>
      </c>
      <c r="M350" s="122">
        <f t="shared" si="67"/>
        <v>485701.67</v>
      </c>
      <c r="N350" s="116">
        <f t="shared" si="68"/>
        <v>84998.669999999984</v>
      </c>
      <c r="O350" s="123">
        <f t="shared" si="69"/>
        <v>47.485290502793283</v>
      </c>
      <c r="P350" s="5"/>
      <c r="Q350" s="5">
        <f t="shared" si="71"/>
        <v>1</v>
      </c>
      <c r="R350" s="7">
        <f t="shared" si="72"/>
        <v>1790</v>
      </c>
      <c r="S350" s="5">
        <f t="shared" si="73"/>
        <v>1</v>
      </c>
      <c r="T350" s="7">
        <f t="shared" si="74"/>
        <v>1790</v>
      </c>
    </row>
    <row r="351" spans="1:20">
      <c r="A351" s="23" t="s">
        <v>384</v>
      </c>
      <c r="B351" s="35" t="s">
        <v>383</v>
      </c>
      <c r="C351" s="36">
        <v>1475</v>
      </c>
      <c r="D351" s="6"/>
      <c r="E351" s="113">
        <v>68789978</v>
      </c>
      <c r="F351" s="116">
        <f t="shared" si="76"/>
        <v>46637.273220338982</v>
      </c>
      <c r="G351" s="117">
        <v>30095541</v>
      </c>
      <c r="H351" s="117">
        <f t="shared" si="77"/>
        <v>20403.75661016949</v>
      </c>
      <c r="I351" s="9"/>
      <c r="J351" s="10">
        <v>8</v>
      </c>
      <c r="K351" s="117">
        <v>240764</v>
      </c>
      <c r="L351" s="120">
        <f t="shared" si="75"/>
        <v>163.22983050847458</v>
      </c>
      <c r="M351" s="122">
        <f t="shared" ref="M351:M410" si="78">(G351*0.01)</f>
        <v>300955.41000000003</v>
      </c>
      <c r="N351" s="116">
        <f t="shared" ref="N351:N410" si="79">(M351-K351)</f>
        <v>60191.410000000033</v>
      </c>
      <c r="O351" s="123">
        <f t="shared" ref="O351:O410" si="80">(N351/C351)</f>
        <v>40.807735593220364</v>
      </c>
      <c r="P351" s="5"/>
      <c r="Q351" s="5">
        <f t="shared" si="71"/>
        <v>1</v>
      </c>
      <c r="R351" s="7">
        <f t="shared" si="72"/>
        <v>1475</v>
      </c>
      <c r="S351" s="5">
        <f t="shared" si="73"/>
        <v>1</v>
      </c>
      <c r="T351" s="7">
        <f t="shared" si="74"/>
        <v>1475</v>
      </c>
    </row>
    <row r="352" spans="1:20">
      <c r="A352" s="23" t="s">
        <v>385</v>
      </c>
      <c r="B352" s="35" t="s">
        <v>383</v>
      </c>
      <c r="C352" s="36">
        <v>10037</v>
      </c>
      <c r="D352" s="6"/>
      <c r="E352" s="113">
        <v>499117782</v>
      </c>
      <c r="F352" s="116">
        <f t="shared" si="76"/>
        <v>49727.785394042046</v>
      </c>
      <c r="G352" s="117">
        <v>257569265</v>
      </c>
      <c r="H352" s="117">
        <f t="shared" si="77"/>
        <v>25661.977184417654</v>
      </c>
      <c r="I352" s="9"/>
      <c r="J352" s="10">
        <v>7.3</v>
      </c>
      <c r="K352" s="117">
        <v>1880255</v>
      </c>
      <c r="L352" s="120">
        <f t="shared" si="75"/>
        <v>187.33237023014846</v>
      </c>
      <c r="M352" s="122">
        <f t="shared" si="78"/>
        <v>2575692.65</v>
      </c>
      <c r="N352" s="116">
        <f t="shared" si="79"/>
        <v>695437.64999999991</v>
      </c>
      <c r="O352" s="123">
        <f t="shared" si="80"/>
        <v>69.287401614028084</v>
      </c>
      <c r="P352" s="5"/>
      <c r="Q352" s="5">
        <f t="shared" si="71"/>
        <v>1</v>
      </c>
      <c r="R352" s="7">
        <f t="shared" si="72"/>
        <v>10037</v>
      </c>
      <c r="S352" s="5">
        <f t="shared" si="73"/>
        <v>1</v>
      </c>
      <c r="T352" s="7">
        <f t="shared" si="74"/>
        <v>10037</v>
      </c>
    </row>
    <row r="353" spans="1:20">
      <c r="A353" s="23" t="s">
        <v>386</v>
      </c>
      <c r="B353" s="35" t="s">
        <v>383</v>
      </c>
      <c r="C353" s="36">
        <v>792</v>
      </c>
      <c r="D353" s="6"/>
      <c r="E353" s="113">
        <v>26333199</v>
      </c>
      <c r="F353" s="116">
        <f t="shared" si="76"/>
        <v>33248.98863636364</v>
      </c>
      <c r="G353" s="117">
        <v>17358532</v>
      </c>
      <c r="H353" s="117">
        <f t="shared" si="77"/>
        <v>21917.338383838385</v>
      </c>
      <c r="I353" s="7"/>
      <c r="J353" s="10">
        <v>6.2890000000000006</v>
      </c>
      <c r="K353" s="117">
        <v>109167</v>
      </c>
      <c r="L353" s="120">
        <f t="shared" si="75"/>
        <v>137.83712121212122</v>
      </c>
      <c r="M353" s="122">
        <f t="shared" si="78"/>
        <v>173585.32</v>
      </c>
      <c r="N353" s="116">
        <f t="shared" si="79"/>
        <v>64418.320000000007</v>
      </c>
      <c r="O353" s="123">
        <f t="shared" si="80"/>
        <v>81.336262626262638</v>
      </c>
      <c r="P353" s="5"/>
      <c r="Q353" s="5">
        <f t="shared" si="71"/>
        <v>1</v>
      </c>
      <c r="R353" s="7">
        <f t="shared" si="72"/>
        <v>792</v>
      </c>
      <c r="S353" s="5">
        <f t="shared" si="73"/>
        <v>1</v>
      </c>
      <c r="T353" s="7">
        <f t="shared" si="74"/>
        <v>792</v>
      </c>
    </row>
    <row r="354" spans="1:20">
      <c r="A354" s="23" t="s">
        <v>387</v>
      </c>
      <c r="B354" s="35" t="s">
        <v>383</v>
      </c>
      <c r="C354" s="36">
        <v>581</v>
      </c>
      <c r="D354" s="6"/>
      <c r="E354" s="113">
        <v>34702097</v>
      </c>
      <c r="F354" s="116">
        <f t="shared" si="76"/>
        <v>59728.222030981065</v>
      </c>
      <c r="G354" s="117">
        <v>25628313</v>
      </c>
      <c r="H354" s="117">
        <f t="shared" si="77"/>
        <v>44110.693631669536</v>
      </c>
      <c r="I354" s="7"/>
      <c r="J354" s="10">
        <v>7</v>
      </c>
      <c r="K354" s="117">
        <v>179398</v>
      </c>
      <c r="L354" s="120">
        <f t="shared" si="75"/>
        <v>308.77452667814111</v>
      </c>
      <c r="M354" s="122">
        <f t="shared" si="78"/>
        <v>256283.13</v>
      </c>
      <c r="N354" s="116">
        <f t="shared" si="79"/>
        <v>76885.13</v>
      </c>
      <c r="O354" s="123">
        <f t="shared" si="80"/>
        <v>132.33240963855422</v>
      </c>
      <c r="P354" s="5"/>
      <c r="Q354" s="5">
        <f t="shared" si="71"/>
        <v>1</v>
      </c>
      <c r="R354" s="7">
        <f t="shared" si="72"/>
        <v>581</v>
      </c>
      <c r="S354" s="5">
        <f t="shared" si="73"/>
        <v>1</v>
      </c>
      <c r="T354" s="7">
        <f t="shared" si="74"/>
        <v>581</v>
      </c>
    </row>
    <row r="355" spans="1:20">
      <c r="A355" s="23" t="s">
        <v>390</v>
      </c>
      <c r="B355" s="35" t="s">
        <v>391</v>
      </c>
      <c r="C355" s="36">
        <v>5736</v>
      </c>
      <c r="D355" s="6"/>
      <c r="E355" s="113">
        <v>685185958</v>
      </c>
      <c r="F355" s="116">
        <f t="shared" si="76"/>
        <v>119453.61889818689</v>
      </c>
      <c r="G355" s="117">
        <v>427856879</v>
      </c>
      <c r="H355" s="117">
        <f t="shared" si="77"/>
        <v>74591.506101813109</v>
      </c>
      <c r="I355" s="7"/>
      <c r="J355" s="10">
        <v>1.83</v>
      </c>
      <c r="K355" s="117">
        <v>782978</v>
      </c>
      <c r="L355" s="120">
        <f t="shared" si="75"/>
        <v>136.50244072524407</v>
      </c>
      <c r="M355" s="122">
        <f t="shared" si="78"/>
        <v>4278568.79</v>
      </c>
      <c r="N355" s="116">
        <f t="shared" si="79"/>
        <v>3495590.79</v>
      </c>
      <c r="O355" s="123">
        <f t="shared" si="80"/>
        <v>609.41262029288703</v>
      </c>
      <c r="P355" s="5"/>
      <c r="Q355" s="5">
        <f t="shared" si="71"/>
        <v>1</v>
      </c>
      <c r="R355" s="7">
        <f t="shared" si="72"/>
        <v>5736</v>
      </c>
      <c r="S355" s="5">
        <f t="shared" si="73"/>
        <v>1</v>
      </c>
      <c r="T355" s="7">
        <f t="shared" si="74"/>
        <v>5736</v>
      </c>
    </row>
    <row r="356" spans="1:20">
      <c r="A356" s="23" t="s">
        <v>392</v>
      </c>
      <c r="B356" s="35" t="s">
        <v>391</v>
      </c>
      <c r="C356" s="36">
        <v>574</v>
      </c>
      <c r="D356" s="6"/>
      <c r="E356" s="113">
        <v>43706331</v>
      </c>
      <c r="F356" s="116">
        <f t="shared" si="76"/>
        <v>76143.433797909413</v>
      </c>
      <c r="G356" s="117">
        <v>33049996</v>
      </c>
      <c r="H356" s="117">
        <f t="shared" si="77"/>
        <v>57578.390243902439</v>
      </c>
      <c r="I356" s="7"/>
      <c r="J356" s="10">
        <v>2</v>
      </c>
      <c r="K356" s="117">
        <v>66099</v>
      </c>
      <c r="L356" s="120">
        <f t="shared" si="75"/>
        <v>115.15505226480836</v>
      </c>
      <c r="M356" s="122">
        <f t="shared" si="78"/>
        <v>330499.96000000002</v>
      </c>
      <c r="N356" s="116">
        <f t="shared" si="79"/>
        <v>264400.96000000002</v>
      </c>
      <c r="O356" s="123">
        <f t="shared" si="80"/>
        <v>460.62885017421604</v>
      </c>
      <c r="P356" s="5"/>
      <c r="Q356" s="5">
        <f t="shared" si="71"/>
        <v>1</v>
      </c>
      <c r="R356" s="7">
        <f t="shared" si="72"/>
        <v>574</v>
      </c>
      <c r="S356" s="5">
        <f t="shared" si="73"/>
        <v>1</v>
      </c>
      <c r="T356" s="7">
        <f t="shared" si="74"/>
        <v>574</v>
      </c>
    </row>
    <row r="357" spans="1:20">
      <c r="A357" s="23" t="s">
        <v>393</v>
      </c>
      <c r="B357" s="35" t="s">
        <v>391</v>
      </c>
      <c r="C357" s="36">
        <v>7179</v>
      </c>
      <c r="D357" s="6"/>
      <c r="E357" s="113">
        <v>317385070</v>
      </c>
      <c r="F357" s="116">
        <f t="shared" si="76"/>
        <v>44210.206156846354</v>
      </c>
      <c r="G357" s="117">
        <v>214615465</v>
      </c>
      <c r="H357" s="117">
        <f t="shared" si="77"/>
        <v>29894.896921576823</v>
      </c>
      <c r="I357" s="7"/>
      <c r="J357" s="10">
        <v>2.75</v>
      </c>
      <c r="K357" s="117">
        <v>590192</v>
      </c>
      <c r="L357" s="120">
        <f t="shared" si="75"/>
        <v>82.210892882016992</v>
      </c>
      <c r="M357" s="122">
        <f t="shared" si="78"/>
        <v>2146154.65</v>
      </c>
      <c r="N357" s="116">
        <f t="shared" si="79"/>
        <v>1555962.65</v>
      </c>
      <c r="O357" s="123">
        <f t="shared" si="80"/>
        <v>216.7380763337512</v>
      </c>
      <c r="P357" s="5"/>
      <c r="Q357" s="5">
        <f t="shared" si="71"/>
        <v>1</v>
      </c>
      <c r="R357" s="7">
        <f t="shared" si="72"/>
        <v>7179</v>
      </c>
      <c r="S357" s="5">
        <f t="shared" si="73"/>
        <v>1</v>
      </c>
      <c r="T357" s="7">
        <f t="shared" si="74"/>
        <v>7179</v>
      </c>
    </row>
    <row r="358" spans="1:20">
      <c r="A358" s="23" t="s">
        <v>394</v>
      </c>
      <c r="B358" s="35" t="s">
        <v>395</v>
      </c>
      <c r="C358" s="36">
        <v>25234</v>
      </c>
      <c r="D358" s="6"/>
      <c r="E358" s="113">
        <v>1266130978</v>
      </c>
      <c r="F358" s="116">
        <f t="shared" si="76"/>
        <v>50175.595545692318</v>
      </c>
      <c r="G358" s="117">
        <v>921048663</v>
      </c>
      <c r="H358" s="117">
        <f t="shared" si="77"/>
        <v>36500.303677577875</v>
      </c>
      <c r="I358" s="7"/>
      <c r="J358" s="10">
        <v>4.55</v>
      </c>
      <c r="K358" s="117">
        <v>4190771</v>
      </c>
      <c r="L358" s="120">
        <f t="shared" si="75"/>
        <v>166.07636522152652</v>
      </c>
      <c r="M358" s="122">
        <f t="shared" si="78"/>
        <v>9210486.6300000008</v>
      </c>
      <c r="N358" s="116">
        <f t="shared" si="79"/>
        <v>5019715.6300000008</v>
      </c>
      <c r="O358" s="123">
        <f t="shared" si="80"/>
        <v>198.92667155425224</v>
      </c>
      <c r="P358" s="5"/>
      <c r="Q358" s="5">
        <f t="shared" si="71"/>
        <v>1</v>
      </c>
      <c r="R358" s="7">
        <f t="shared" si="72"/>
        <v>25234</v>
      </c>
      <c r="S358" s="5">
        <f t="shared" si="73"/>
        <v>1</v>
      </c>
      <c r="T358" s="7">
        <f t="shared" si="74"/>
        <v>25234</v>
      </c>
    </row>
    <row r="359" spans="1:20">
      <c r="A359" s="23" t="s">
        <v>395</v>
      </c>
      <c r="B359" s="35" t="s">
        <v>395</v>
      </c>
      <c r="C359" s="36">
        <v>53657</v>
      </c>
      <c r="D359" s="6"/>
      <c r="E359" s="113">
        <v>6034056704</v>
      </c>
      <c r="F359" s="116">
        <f t="shared" si="76"/>
        <v>112456.09527181915</v>
      </c>
      <c r="G359" s="117">
        <v>4209069772</v>
      </c>
      <c r="H359" s="117">
        <f t="shared" si="77"/>
        <v>78444.001192761425</v>
      </c>
      <c r="I359" s="7"/>
      <c r="J359" s="10">
        <v>2.4925999999999999</v>
      </c>
      <c r="K359" s="117">
        <v>10491527</v>
      </c>
      <c r="L359" s="120">
        <f t="shared" si="75"/>
        <v>195.529511526921</v>
      </c>
      <c r="M359" s="122">
        <f t="shared" si="78"/>
        <v>42090697.719999999</v>
      </c>
      <c r="N359" s="116">
        <f t="shared" si="79"/>
        <v>31599170.719999999</v>
      </c>
      <c r="O359" s="123">
        <f t="shared" si="80"/>
        <v>588.91050040069331</v>
      </c>
      <c r="P359" s="5"/>
      <c r="Q359" s="5">
        <f t="shared" si="71"/>
        <v>1</v>
      </c>
      <c r="R359" s="7">
        <f t="shared" si="72"/>
        <v>53657</v>
      </c>
      <c r="S359" s="5">
        <f t="shared" si="73"/>
        <v>1</v>
      </c>
      <c r="T359" s="7">
        <f t="shared" si="74"/>
        <v>53657</v>
      </c>
    </row>
    <row r="360" spans="1:20">
      <c r="A360" s="23" t="s">
        <v>396</v>
      </c>
      <c r="B360" s="35" t="s">
        <v>395</v>
      </c>
      <c r="C360" s="36">
        <v>18151</v>
      </c>
      <c r="D360" s="6"/>
      <c r="E360" s="113">
        <v>1995770016</v>
      </c>
      <c r="F360" s="116">
        <f t="shared" si="76"/>
        <v>109953.72243953501</v>
      </c>
      <c r="G360" s="117">
        <v>1532754601</v>
      </c>
      <c r="H360" s="117">
        <f t="shared" si="77"/>
        <v>84444.636714230626</v>
      </c>
      <c r="I360" s="7"/>
      <c r="J360" s="10">
        <v>3.4060000000000001</v>
      </c>
      <c r="K360" s="117">
        <v>5220562</v>
      </c>
      <c r="L360" s="120">
        <f t="shared" si="75"/>
        <v>287.61842322737039</v>
      </c>
      <c r="M360" s="122">
        <f t="shared" si="78"/>
        <v>15327546.01</v>
      </c>
      <c r="N360" s="116">
        <f t="shared" si="79"/>
        <v>10106984.01</v>
      </c>
      <c r="O360" s="123">
        <f t="shared" si="80"/>
        <v>556.82794391493576</v>
      </c>
      <c r="P360" s="5"/>
      <c r="Q360" s="5">
        <f t="shared" si="71"/>
        <v>1</v>
      </c>
      <c r="R360" s="7">
        <f t="shared" si="72"/>
        <v>18151</v>
      </c>
      <c r="S360" s="5">
        <f t="shared" si="73"/>
        <v>1</v>
      </c>
      <c r="T360" s="7">
        <f t="shared" si="74"/>
        <v>18151</v>
      </c>
    </row>
    <row r="361" spans="1:20">
      <c r="A361" s="23" t="s">
        <v>397</v>
      </c>
      <c r="B361" s="35" t="s">
        <v>360</v>
      </c>
      <c r="C361" s="36">
        <v>42001</v>
      </c>
      <c r="D361" s="6"/>
      <c r="E361" s="113">
        <v>2468216619</v>
      </c>
      <c r="F361" s="116">
        <f t="shared" si="76"/>
        <v>58765.66317468632</v>
      </c>
      <c r="G361" s="117">
        <v>2120030259</v>
      </c>
      <c r="H361" s="117">
        <f t="shared" si="77"/>
        <v>50475.70912597319</v>
      </c>
      <c r="I361" s="7"/>
      <c r="J361" s="10">
        <v>4.6399999999999997</v>
      </c>
      <c r="K361" s="117">
        <v>9836940</v>
      </c>
      <c r="L361" s="120">
        <f t="shared" si="75"/>
        <v>234.20728077902908</v>
      </c>
      <c r="M361" s="122">
        <f t="shared" si="78"/>
        <v>21200302.59</v>
      </c>
      <c r="N361" s="116">
        <f t="shared" si="79"/>
        <v>11363362.59</v>
      </c>
      <c r="O361" s="123">
        <f t="shared" si="80"/>
        <v>270.54981048070283</v>
      </c>
      <c r="P361" s="5"/>
      <c r="Q361" s="5">
        <f t="shared" si="71"/>
        <v>1</v>
      </c>
      <c r="R361" s="7">
        <f t="shared" si="72"/>
        <v>42001</v>
      </c>
      <c r="S361" s="5">
        <f t="shared" si="73"/>
        <v>1</v>
      </c>
      <c r="T361" s="7">
        <f t="shared" si="74"/>
        <v>42001</v>
      </c>
    </row>
    <row r="362" spans="1:20">
      <c r="A362" s="23" t="s">
        <v>398</v>
      </c>
      <c r="B362" s="35" t="s">
        <v>360</v>
      </c>
      <c r="C362" s="36">
        <v>23851</v>
      </c>
      <c r="D362" s="6"/>
      <c r="E362" s="113">
        <v>1030844992</v>
      </c>
      <c r="F362" s="116">
        <f t="shared" si="76"/>
        <v>43220.200075468536</v>
      </c>
      <c r="G362" s="117">
        <v>828999660</v>
      </c>
      <c r="H362" s="117">
        <f t="shared" si="77"/>
        <v>34757.438262546646</v>
      </c>
      <c r="I362" s="7"/>
      <c r="J362" s="10">
        <v>3.75</v>
      </c>
      <c r="K362" s="117">
        <v>3108748</v>
      </c>
      <c r="L362" s="120">
        <f t="shared" si="75"/>
        <v>130.34036308750157</v>
      </c>
      <c r="M362" s="122">
        <f t="shared" si="78"/>
        <v>8289996.6000000006</v>
      </c>
      <c r="N362" s="116">
        <f t="shared" si="79"/>
        <v>5181248.6000000006</v>
      </c>
      <c r="O362" s="123">
        <f t="shared" si="80"/>
        <v>217.23401953796488</v>
      </c>
      <c r="P362" s="5"/>
      <c r="Q362" s="5">
        <f t="shared" si="71"/>
        <v>1</v>
      </c>
      <c r="R362" s="7">
        <f t="shared" si="72"/>
        <v>23851</v>
      </c>
      <c r="S362" s="5">
        <f t="shared" si="73"/>
        <v>1</v>
      </c>
      <c r="T362" s="7">
        <f t="shared" si="74"/>
        <v>23851</v>
      </c>
    </row>
    <row r="363" spans="1:20">
      <c r="A363" s="23" t="s">
        <v>399</v>
      </c>
      <c r="B363" s="35" t="s">
        <v>360</v>
      </c>
      <c r="C363" s="36">
        <v>12359</v>
      </c>
      <c r="D363" s="6"/>
      <c r="E363" s="113">
        <v>1444874635</v>
      </c>
      <c r="F363" s="116">
        <f t="shared" si="76"/>
        <v>116908.70094667854</v>
      </c>
      <c r="G363" s="117">
        <v>1275426474</v>
      </c>
      <c r="H363" s="117">
        <f t="shared" si="77"/>
        <v>103198.19354316693</v>
      </c>
      <c r="I363" s="7"/>
      <c r="J363" s="10">
        <v>3.7648000000000001</v>
      </c>
      <c r="K363" s="117">
        <v>4801725</v>
      </c>
      <c r="L363" s="120">
        <f t="shared" si="75"/>
        <v>388.52051136823366</v>
      </c>
      <c r="M363" s="122">
        <f t="shared" si="78"/>
        <v>12754264.74</v>
      </c>
      <c r="N363" s="116">
        <f t="shared" si="79"/>
        <v>7952539.7400000002</v>
      </c>
      <c r="O363" s="123">
        <f t="shared" si="80"/>
        <v>643.46142406343552</v>
      </c>
      <c r="P363" s="5"/>
      <c r="Q363" s="5">
        <f t="shared" si="71"/>
        <v>1</v>
      </c>
      <c r="R363" s="7">
        <f t="shared" si="72"/>
        <v>12359</v>
      </c>
      <c r="S363" s="5">
        <f t="shared" si="73"/>
        <v>1</v>
      </c>
      <c r="T363" s="7">
        <f t="shared" si="74"/>
        <v>12359</v>
      </c>
    </row>
    <row r="364" spans="1:20">
      <c r="A364" s="23" t="s">
        <v>400</v>
      </c>
      <c r="B364" s="35" t="s">
        <v>360</v>
      </c>
      <c r="C364" s="36">
        <v>13764</v>
      </c>
      <c r="D364" s="6"/>
      <c r="E364" s="113">
        <v>864275237</v>
      </c>
      <c r="F364" s="116">
        <f t="shared" si="76"/>
        <v>62792.446745132227</v>
      </c>
      <c r="G364" s="117">
        <v>696819173</v>
      </c>
      <c r="H364" s="117">
        <f t="shared" si="77"/>
        <v>50626.21134844522</v>
      </c>
      <c r="I364" s="7"/>
      <c r="J364" s="10">
        <v>4.9800000000000004</v>
      </c>
      <c r="K364" s="117">
        <v>3470159</v>
      </c>
      <c r="L364" s="120">
        <f t="shared" si="75"/>
        <v>252.11849752978785</v>
      </c>
      <c r="M364" s="122">
        <f t="shared" si="78"/>
        <v>6968191.7300000004</v>
      </c>
      <c r="N364" s="116">
        <f t="shared" si="79"/>
        <v>3498032.7300000004</v>
      </c>
      <c r="O364" s="123">
        <f t="shared" si="80"/>
        <v>254.14361595466437</v>
      </c>
      <c r="P364" s="5"/>
      <c r="Q364" s="5">
        <f t="shared" si="71"/>
        <v>1</v>
      </c>
      <c r="R364" s="7">
        <f t="shared" si="72"/>
        <v>13764</v>
      </c>
      <c r="S364" s="5">
        <f t="shared" si="73"/>
        <v>1</v>
      </c>
      <c r="T364" s="7">
        <f t="shared" si="74"/>
        <v>13764</v>
      </c>
    </row>
    <row r="365" spans="1:20">
      <c r="A365" s="23" t="s">
        <v>401</v>
      </c>
      <c r="B365" s="35" t="s">
        <v>360</v>
      </c>
      <c r="C365" s="36">
        <v>27165</v>
      </c>
      <c r="D365" s="6"/>
      <c r="E365" s="113">
        <v>1433684212</v>
      </c>
      <c r="F365" s="116">
        <f t="shared" si="76"/>
        <v>52776.889821461438</v>
      </c>
      <c r="G365" s="117">
        <v>1128282209</v>
      </c>
      <c r="H365" s="117">
        <f t="shared" si="77"/>
        <v>41534.408577213326</v>
      </c>
      <c r="I365" s="7"/>
      <c r="J365" s="10">
        <v>5.335</v>
      </c>
      <c r="K365" s="117">
        <v>6019385</v>
      </c>
      <c r="L365" s="120">
        <f t="shared" si="75"/>
        <v>221.58604822381741</v>
      </c>
      <c r="M365" s="122">
        <f t="shared" si="78"/>
        <v>11282822.09</v>
      </c>
      <c r="N365" s="116">
        <f t="shared" si="79"/>
        <v>5263437.09</v>
      </c>
      <c r="O365" s="123">
        <f t="shared" si="80"/>
        <v>193.75803754831585</v>
      </c>
      <c r="P365" s="5"/>
      <c r="Q365" s="5">
        <f t="shared" si="71"/>
        <v>1</v>
      </c>
      <c r="R365" s="7">
        <f t="shared" si="72"/>
        <v>27165</v>
      </c>
      <c r="S365" s="5">
        <f t="shared" si="73"/>
        <v>1</v>
      </c>
      <c r="T365" s="7">
        <f t="shared" si="74"/>
        <v>27165</v>
      </c>
    </row>
    <row r="366" spans="1:20">
      <c r="A366" s="23" t="s">
        <v>402</v>
      </c>
      <c r="B366" s="35" t="s">
        <v>360</v>
      </c>
      <c r="C366" s="36">
        <v>40435</v>
      </c>
      <c r="D366" s="6"/>
      <c r="E366" s="113">
        <v>1827969385</v>
      </c>
      <c r="F366" s="116">
        <f t="shared" si="76"/>
        <v>45207.601953752936</v>
      </c>
      <c r="G366" s="117">
        <v>1330245755</v>
      </c>
      <c r="H366" s="117">
        <f t="shared" si="77"/>
        <v>32898.374057128727</v>
      </c>
      <c r="I366" s="7"/>
      <c r="J366" s="10">
        <v>6.625</v>
      </c>
      <c r="K366" s="117">
        <v>8812878</v>
      </c>
      <c r="L366" s="120">
        <f t="shared" si="75"/>
        <v>217.95172499072586</v>
      </c>
      <c r="M366" s="122">
        <f t="shared" si="78"/>
        <v>13302457.550000001</v>
      </c>
      <c r="N366" s="116">
        <f t="shared" si="79"/>
        <v>4489579.5500000007</v>
      </c>
      <c r="O366" s="123">
        <f t="shared" si="80"/>
        <v>111.03201558056141</v>
      </c>
      <c r="P366" s="5"/>
      <c r="Q366" s="5">
        <f t="shared" si="71"/>
        <v>1</v>
      </c>
      <c r="R366" s="7">
        <f t="shared" si="72"/>
        <v>40435</v>
      </c>
      <c r="S366" s="5">
        <f t="shared" si="73"/>
        <v>1</v>
      </c>
      <c r="T366" s="7">
        <f t="shared" si="74"/>
        <v>40435</v>
      </c>
    </row>
    <row r="367" spans="1:20">
      <c r="A367" s="23" t="s">
        <v>403</v>
      </c>
      <c r="B367" s="35" t="s">
        <v>360</v>
      </c>
      <c r="C367" s="36">
        <v>31864</v>
      </c>
      <c r="D367" s="6"/>
      <c r="E367" s="113">
        <v>1544585130</v>
      </c>
      <c r="F367" s="116">
        <f t="shared" si="76"/>
        <v>48474.301092141599</v>
      </c>
      <c r="G367" s="117">
        <v>1184740270</v>
      </c>
      <c r="H367" s="117">
        <f t="shared" si="77"/>
        <v>37181.153339191565</v>
      </c>
      <c r="I367" s="7"/>
      <c r="J367" s="10">
        <v>3.7708000000000004</v>
      </c>
      <c r="K367" s="117">
        <v>4467418</v>
      </c>
      <c r="L367" s="120">
        <f t="shared" si="75"/>
        <v>140.20267386392166</v>
      </c>
      <c r="M367" s="122">
        <f t="shared" si="78"/>
        <v>11847402.700000001</v>
      </c>
      <c r="N367" s="116">
        <f t="shared" si="79"/>
        <v>7379984.7000000011</v>
      </c>
      <c r="O367" s="123">
        <f t="shared" si="80"/>
        <v>231.60885952799401</v>
      </c>
      <c r="P367" s="5"/>
      <c r="Q367" s="5">
        <f t="shared" si="71"/>
        <v>1</v>
      </c>
      <c r="R367" s="7">
        <f t="shared" si="72"/>
        <v>31864</v>
      </c>
      <c r="S367" s="5">
        <f t="shared" si="73"/>
        <v>1</v>
      </c>
      <c r="T367" s="7">
        <f t="shared" si="74"/>
        <v>31864</v>
      </c>
    </row>
    <row r="368" spans="1:20">
      <c r="A368" s="23" t="s">
        <v>388</v>
      </c>
      <c r="B368" s="35" t="s">
        <v>551</v>
      </c>
      <c r="C368" s="36">
        <v>523</v>
      </c>
      <c r="D368" s="6"/>
      <c r="E368" s="113">
        <v>21797661</v>
      </c>
      <c r="F368" s="116">
        <f t="shared" si="76"/>
        <v>41678.128107074568</v>
      </c>
      <c r="G368" s="117">
        <v>12957767</v>
      </c>
      <c r="H368" s="117">
        <f t="shared" si="77"/>
        <v>24775.845124282983</v>
      </c>
      <c r="I368" s="7"/>
      <c r="J368" s="10">
        <v>8</v>
      </c>
      <c r="K368" s="117">
        <v>103662</v>
      </c>
      <c r="L368" s="120">
        <f t="shared" si="75"/>
        <v>198.20650095602295</v>
      </c>
      <c r="M368" s="122">
        <f t="shared" si="78"/>
        <v>129577.67</v>
      </c>
      <c r="N368" s="116">
        <f t="shared" si="79"/>
        <v>25915.67</v>
      </c>
      <c r="O368" s="123">
        <f t="shared" si="80"/>
        <v>49.551950286806878</v>
      </c>
      <c r="P368" s="5"/>
      <c r="Q368" s="5">
        <f t="shared" si="71"/>
        <v>1</v>
      </c>
      <c r="R368" s="7">
        <f t="shared" si="72"/>
        <v>523</v>
      </c>
      <c r="S368" s="5">
        <f t="shared" si="73"/>
        <v>1</v>
      </c>
      <c r="T368" s="7">
        <f t="shared" si="74"/>
        <v>523</v>
      </c>
    </row>
    <row r="369" spans="1:20">
      <c r="A369" s="23" t="s">
        <v>549</v>
      </c>
      <c r="B369" s="35" t="s">
        <v>551</v>
      </c>
      <c r="C369" s="36">
        <v>12847</v>
      </c>
      <c r="D369" s="6"/>
      <c r="E369" s="113">
        <v>1073357289</v>
      </c>
      <c r="F369" s="116">
        <f t="shared" si="76"/>
        <v>83549.255779559433</v>
      </c>
      <c r="G369" s="117">
        <v>699229953</v>
      </c>
      <c r="H369" s="117">
        <f t="shared" si="77"/>
        <v>54427.489141433798</v>
      </c>
      <c r="I369" s="7"/>
      <c r="J369" s="10">
        <v>6.8</v>
      </c>
      <c r="K369" s="117">
        <v>4754763</v>
      </c>
      <c r="L369" s="120">
        <f t="shared" si="75"/>
        <v>370.10687319996885</v>
      </c>
      <c r="M369" s="122">
        <f t="shared" si="78"/>
        <v>6992299.5300000003</v>
      </c>
      <c r="N369" s="116">
        <f t="shared" si="79"/>
        <v>2237536.5300000003</v>
      </c>
      <c r="O369" s="123">
        <f t="shared" si="80"/>
        <v>174.16801821436914</v>
      </c>
      <c r="P369" s="5"/>
      <c r="Q369" s="5">
        <f t="shared" si="71"/>
        <v>1</v>
      </c>
      <c r="R369" s="7">
        <f t="shared" si="72"/>
        <v>12847</v>
      </c>
      <c r="S369" s="5">
        <f t="shared" si="73"/>
        <v>1</v>
      </c>
      <c r="T369" s="7">
        <f t="shared" si="74"/>
        <v>12847</v>
      </c>
    </row>
    <row r="370" spans="1:20">
      <c r="A370" s="23" t="s">
        <v>550</v>
      </c>
      <c r="B370" s="35" t="s">
        <v>551</v>
      </c>
      <c r="C370" s="36">
        <v>4861</v>
      </c>
      <c r="D370" s="6"/>
      <c r="E370" s="113">
        <v>528591215</v>
      </c>
      <c r="F370" s="116">
        <f t="shared" si="76"/>
        <v>108741.24974285126</v>
      </c>
      <c r="G370" s="117">
        <v>448600211</v>
      </c>
      <c r="H370" s="117">
        <f t="shared" si="77"/>
        <v>92285.581361859702</v>
      </c>
      <c r="I370" s="7"/>
      <c r="J370" s="10">
        <v>2.2999999999999998</v>
      </c>
      <c r="K370" s="117">
        <v>1031780</v>
      </c>
      <c r="L370" s="120">
        <f t="shared" ref="L370:L375" si="81">(K370/C370)</f>
        <v>212.25673729685249</v>
      </c>
      <c r="M370" s="122">
        <f t="shared" si="78"/>
        <v>4486002.1100000003</v>
      </c>
      <c r="N370" s="116">
        <f t="shared" si="79"/>
        <v>3454222.1100000003</v>
      </c>
      <c r="O370" s="123">
        <f t="shared" si="80"/>
        <v>710.59907632174452</v>
      </c>
      <c r="P370" s="5"/>
      <c r="Q370" s="5">
        <f t="shared" si="71"/>
        <v>1</v>
      </c>
      <c r="R370" s="7">
        <f t="shared" si="72"/>
        <v>4861</v>
      </c>
      <c r="S370" s="5">
        <f t="shared" si="73"/>
        <v>1</v>
      </c>
      <c r="T370" s="7">
        <f t="shared" si="74"/>
        <v>4861</v>
      </c>
    </row>
    <row r="371" spans="1:20">
      <c r="A371" s="23" t="s">
        <v>389</v>
      </c>
      <c r="B371" s="35" t="s">
        <v>552</v>
      </c>
      <c r="C371" s="36">
        <v>38013</v>
      </c>
      <c r="D371" s="6"/>
      <c r="E371" s="113">
        <v>1758271180</v>
      </c>
      <c r="F371" s="116">
        <f t="shared" si="76"/>
        <v>46254.470312787729</v>
      </c>
      <c r="G371" s="117">
        <v>1086792046</v>
      </c>
      <c r="H371" s="117">
        <f t="shared" si="77"/>
        <v>28590.009891352958</v>
      </c>
      <c r="I371" s="7"/>
      <c r="J371" s="10">
        <v>7.3305000000000007</v>
      </c>
      <c r="K371" s="117">
        <v>7966729</v>
      </c>
      <c r="L371" s="120">
        <f t="shared" si="81"/>
        <v>209.57906505669112</v>
      </c>
      <c r="M371" s="122">
        <f t="shared" si="78"/>
        <v>10867920.460000001</v>
      </c>
      <c r="N371" s="116">
        <f t="shared" si="79"/>
        <v>2901191.4600000009</v>
      </c>
      <c r="O371" s="123">
        <f t="shared" si="80"/>
        <v>76.321033856838469</v>
      </c>
      <c r="P371" s="5"/>
      <c r="Q371" s="5">
        <f t="shared" si="71"/>
        <v>1</v>
      </c>
      <c r="R371" s="7">
        <f t="shared" si="72"/>
        <v>38013</v>
      </c>
      <c r="S371" s="5">
        <f t="shared" si="73"/>
        <v>1</v>
      </c>
      <c r="T371" s="7">
        <f t="shared" si="74"/>
        <v>38013</v>
      </c>
    </row>
    <row r="372" spans="1:20">
      <c r="A372" s="23" t="s">
        <v>553</v>
      </c>
      <c r="B372" s="35" t="s">
        <v>552</v>
      </c>
      <c r="C372" s="36">
        <v>92493</v>
      </c>
      <c r="D372" s="6"/>
      <c r="E372" s="113">
        <v>4052406491</v>
      </c>
      <c r="F372" s="116">
        <f t="shared" si="76"/>
        <v>43813.115489820848</v>
      </c>
      <c r="G372" s="117">
        <v>3044946476</v>
      </c>
      <c r="H372" s="117">
        <f t="shared" si="77"/>
        <v>32920.831587255248</v>
      </c>
      <c r="I372" s="7"/>
      <c r="J372" s="10">
        <v>4.2733000000000008</v>
      </c>
      <c r="K372" s="117">
        <v>13011969</v>
      </c>
      <c r="L372" s="120">
        <f t="shared" si="81"/>
        <v>140.68058123317439</v>
      </c>
      <c r="M372" s="122">
        <f t="shared" si="78"/>
        <v>30449464.760000002</v>
      </c>
      <c r="N372" s="116">
        <f t="shared" si="79"/>
        <v>17437495.760000002</v>
      </c>
      <c r="O372" s="123">
        <f t="shared" si="80"/>
        <v>188.52773463937814</v>
      </c>
      <c r="P372" s="5"/>
      <c r="Q372" s="5">
        <f t="shared" si="71"/>
        <v>1</v>
      </c>
      <c r="R372" s="7">
        <f t="shared" si="72"/>
        <v>92493</v>
      </c>
      <c r="S372" s="5">
        <f t="shared" si="73"/>
        <v>1</v>
      </c>
      <c r="T372" s="7">
        <f t="shared" si="74"/>
        <v>92493</v>
      </c>
    </row>
    <row r="373" spans="1:20">
      <c r="A373" s="23" t="s">
        <v>554</v>
      </c>
      <c r="B373" s="35" t="s">
        <v>552</v>
      </c>
      <c r="C373" s="36">
        <v>602</v>
      </c>
      <c r="D373" s="6"/>
      <c r="E373" s="113">
        <v>35208846</v>
      </c>
      <c r="F373" s="116">
        <f t="shared" si="76"/>
        <v>58486.455149501664</v>
      </c>
      <c r="G373" s="117">
        <v>28147609</v>
      </c>
      <c r="H373" s="117">
        <f t="shared" si="77"/>
        <v>46756.825581395351</v>
      </c>
      <c r="I373" s="7"/>
      <c r="J373" s="10">
        <v>0.91</v>
      </c>
      <c r="K373" s="117">
        <v>25614</v>
      </c>
      <c r="L373" s="120">
        <f t="shared" si="81"/>
        <v>42.548172757475086</v>
      </c>
      <c r="M373" s="122">
        <f t="shared" si="78"/>
        <v>281476.09000000003</v>
      </c>
      <c r="N373" s="116">
        <f t="shared" si="79"/>
        <v>255862.09000000003</v>
      </c>
      <c r="O373" s="123">
        <f t="shared" si="80"/>
        <v>425.02008305647843</v>
      </c>
      <c r="P373" s="5"/>
      <c r="Q373" s="5">
        <f t="shared" si="71"/>
        <v>1</v>
      </c>
      <c r="R373" s="7">
        <f t="shared" si="72"/>
        <v>602</v>
      </c>
      <c r="S373" s="5">
        <f t="shared" si="73"/>
        <v>1</v>
      </c>
      <c r="T373" s="7">
        <f t="shared" si="74"/>
        <v>602</v>
      </c>
    </row>
    <row r="374" spans="1:20">
      <c r="A374" s="23" t="s">
        <v>404</v>
      </c>
      <c r="B374" s="35" t="s">
        <v>405</v>
      </c>
      <c r="C374" s="36">
        <v>2061</v>
      </c>
      <c r="D374" s="6"/>
      <c r="E374" s="113">
        <v>89074196</v>
      </c>
      <c r="F374" s="116">
        <f t="shared" si="76"/>
        <v>43218.920912178553</v>
      </c>
      <c r="G374" s="117">
        <v>64824136</v>
      </c>
      <c r="H374" s="117">
        <f t="shared" si="77"/>
        <v>31452.758854924792</v>
      </c>
      <c r="I374" s="7"/>
      <c r="J374" s="10">
        <v>2</v>
      </c>
      <c r="K374" s="117">
        <v>129648</v>
      </c>
      <c r="L374" s="120">
        <f t="shared" si="81"/>
        <v>62.90538573508006</v>
      </c>
      <c r="M374" s="122">
        <f t="shared" si="78"/>
        <v>648241.36</v>
      </c>
      <c r="N374" s="116">
        <f t="shared" si="79"/>
        <v>518593.36</v>
      </c>
      <c r="O374" s="123">
        <f t="shared" si="80"/>
        <v>251.62220281416788</v>
      </c>
      <c r="P374" s="5"/>
      <c r="Q374" s="5">
        <f t="shared" si="71"/>
        <v>1</v>
      </c>
      <c r="R374" s="7">
        <f t="shared" si="72"/>
        <v>2061</v>
      </c>
      <c r="S374" s="5">
        <f t="shared" si="73"/>
        <v>1</v>
      </c>
      <c r="T374" s="7">
        <f t="shared" si="74"/>
        <v>2061</v>
      </c>
    </row>
    <row r="375" spans="1:20">
      <c r="A375" s="23" t="s">
        <v>406</v>
      </c>
      <c r="B375" s="35" t="s">
        <v>405</v>
      </c>
      <c r="C375" s="36">
        <v>907</v>
      </c>
      <c r="D375" s="6"/>
      <c r="E375" s="113">
        <v>15295554</v>
      </c>
      <c r="F375" s="116">
        <f t="shared" si="76"/>
        <v>16863.896361631752</v>
      </c>
      <c r="G375" s="117">
        <v>7852419</v>
      </c>
      <c r="H375" s="117">
        <f t="shared" si="77"/>
        <v>8657.5733186328562</v>
      </c>
      <c r="I375" s="7"/>
      <c r="J375" s="10">
        <v>0.82600000000000007</v>
      </c>
      <c r="K375" s="117">
        <v>6486</v>
      </c>
      <c r="L375" s="120">
        <f t="shared" si="81"/>
        <v>7.1510474090407934</v>
      </c>
      <c r="M375" s="122">
        <f t="shared" si="78"/>
        <v>78524.19</v>
      </c>
      <c r="N375" s="116">
        <f t="shared" si="79"/>
        <v>72038.19</v>
      </c>
      <c r="O375" s="123">
        <f t="shared" si="80"/>
        <v>79.424685777287763</v>
      </c>
      <c r="P375" s="5"/>
      <c r="Q375" s="5">
        <f t="shared" si="71"/>
        <v>1</v>
      </c>
      <c r="R375" s="7">
        <f t="shared" si="72"/>
        <v>907</v>
      </c>
      <c r="S375" s="5">
        <f t="shared" si="73"/>
        <v>1</v>
      </c>
      <c r="T375" s="7">
        <f t="shared" si="74"/>
        <v>907</v>
      </c>
    </row>
    <row r="376" spans="1:20">
      <c r="A376" s="23" t="s">
        <v>407</v>
      </c>
      <c r="B376" s="35" t="s">
        <v>405</v>
      </c>
      <c r="C376" s="36">
        <v>658</v>
      </c>
      <c r="D376" s="6"/>
      <c r="E376" s="113">
        <v>13587211</v>
      </c>
      <c r="F376" s="116">
        <f t="shared" si="76"/>
        <v>20649.256838905774</v>
      </c>
      <c r="G376" s="117">
        <v>6746711</v>
      </c>
      <c r="H376" s="117">
        <f t="shared" si="77"/>
        <v>10253.360182370821</v>
      </c>
      <c r="I376" s="98" t="s">
        <v>528</v>
      </c>
      <c r="J376" s="10"/>
      <c r="K376" s="117"/>
      <c r="L376" s="120"/>
      <c r="M376" s="122">
        <f t="shared" si="78"/>
        <v>67467.11</v>
      </c>
      <c r="N376" s="116">
        <f t="shared" si="79"/>
        <v>67467.11</v>
      </c>
      <c r="O376" s="123">
        <f t="shared" si="80"/>
        <v>102.53360182370821</v>
      </c>
      <c r="P376" s="5"/>
      <c r="Q376" s="5">
        <f t="shared" si="71"/>
        <v>1</v>
      </c>
      <c r="R376" s="7">
        <f t="shared" si="72"/>
        <v>658</v>
      </c>
      <c r="S376" s="5">
        <f t="shared" si="73"/>
        <v>0</v>
      </c>
      <c r="T376" s="7">
        <f t="shared" si="74"/>
        <v>0</v>
      </c>
    </row>
    <row r="377" spans="1:20">
      <c r="A377" s="23" t="s">
        <v>408</v>
      </c>
      <c r="B377" s="35" t="s">
        <v>405</v>
      </c>
      <c r="C377" s="36">
        <v>802</v>
      </c>
      <c r="D377" s="6"/>
      <c r="E377" s="113">
        <v>15047640</v>
      </c>
      <c r="F377" s="116">
        <f t="shared" si="76"/>
        <v>18762.643391521196</v>
      </c>
      <c r="G377" s="117">
        <v>9825999</v>
      </c>
      <c r="H377" s="117">
        <f t="shared" si="77"/>
        <v>12251.869077306734</v>
      </c>
      <c r="I377" s="7"/>
      <c r="J377" s="10">
        <v>4.8420000000000005</v>
      </c>
      <c r="K377" s="117">
        <v>47577</v>
      </c>
      <c r="L377" s="120">
        <f t="shared" ref="L377:L382" si="82">(K377/C377)</f>
        <v>59.322942643391521</v>
      </c>
      <c r="M377" s="122">
        <f t="shared" si="78"/>
        <v>98259.99</v>
      </c>
      <c r="N377" s="116">
        <f t="shared" si="79"/>
        <v>50682.990000000005</v>
      </c>
      <c r="O377" s="123">
        <f t="shared" si="80"/>
        <v>63.19574812967582</v>
      </c>
      <c r="P377" s="5"/>
      <c r="Q377" s="5">
        <f t="shared" si="71"/>
        <v>1</v>
      </c>
      <c r="R377" s="7">
        <f t="shared" si="72"/>
        <v>802</v>
      </c>
      <c r="S377" s="5">
        <f t="shared" si="73"/>
        <v>1</v>
      </c>
      <c r="T377" s="7">
        <f t="shared" si="74"/>
        <v>802</v>
      </c>
    </row>
    <row r="378" spans="1:20">
      <c r="A378" s="23" t="s">
        <v>409</v>
      </c>
      <c r="B378" s="35" t="s">
        <v>405</v>
      </c>
      <c r="C378" s="36">
        <v>3929</v>
      </c>
      <c r="D378" s="6"/>
      <c r="E378" s="113">
        <v>107147784</v>
      </c>
      <c r="F378" s="116">
        <f t="shared" si="76"/>
        <v>27271.006362942226</v>
      </c>
      <c r="G378" s="117">
        <v>83278067</v>
      </c>
      <c r="H378" s="117">
        <f t="shared" si="77"/>
        <v>21195.741155510306</v>
      </c>
      <c r="I378" s="7"/>
      <c r="J378" s="10">
        <v>4.79</v>
      </c>
      <c r="K378" s="117">
        <v>398901</v>
      </c>
      <c r="L378" s="120">
        <f t="shared" si="82"/>
        <v>101.52736065156529</v>
      </c>
      <c r="M378" s="122">
        <f t="shared" si="78"/>
        <v>832780.67</v>
      </c>
      <c r="N378" s="116">
        <f t="shared" si="79"/>
        <v>433879.67000000004</v>
      </c>
      <c r="O378" s="123">
        <f t="shared" si="80"/>
        <v>110.4300509035378</v>
      </c>
      <c r="P378" s="5"/>
      <c r="Q378" s="5">
        <f t="shared" si="71"/>
        <v>1</v>
      </c>
      <c r="R378" s="7">
        <f t="shared" si="72"/>
        <v>3929</v>
      </c>
      <c r="S378" s="5">
        <f t="shared" si="73"/>
        <v>1</v>
      </c>
      <c r="T378" s="7">
        <f t="shared" si="74"/>
        <v>3929</v>
      </c>
    </row>
    <row r="379" spans="1:20">
      <c r="A379" s="23" t="s">
        <v>410</v>
      </c>
      <c r="B379" s="35" t="s">
        <v>411</v>
      </c>
      <c r="C379" s="36">
        <v>688</v>
      </c>
      <c r="D379" s="6"/>
      <c r="E379" s="113">
        <v>25548468</v>
      </c>
      <c r="F379" s="116">
        <f t="shared" si="76"/>
        <v>37134.401162790695</v>
      </c>
      <c r="G379" s="117">
        <v>13929443</v>
      </c>
      <c r="H379" s="117">
        <f t="shared" si="77"/>
        <v>20246.283430232557</v>
      </c>
      <c r="I379" s="9"/>
      <c r="J379" s="10">
        <v>4.25</v>
      </c>
      <c r="K379" s="117">
        <v>59200</v>
      </c>
      <c r="L379" s="120">
        <f t="shared" si="82"/>
        <v>86.04651162790698</v>
      </c>
      <c r="M379" s="122">
        <f t="shared" si="78"/>
        <v>139294.43</v>
      </c>
      <c r="N379" s="116">
        <f t="shared" si="79"/>
        <v>80094.429999999993</v>
      </c>
      <c r="O379" s="123">
        <f t="shared" si="80"/>
        <v>116.41632267441859</v>
      </c>
      <c r="P379" s="5"/>
      <c r="Q379" s="5">
        <f t="shared" si="71"/>
        <v>1</v>
      </c>
      <c r="R379" s="7">
        <f t="shared" si="72"/>
        <v>688</v>
      </c>
      <c r="S379" s="5">
        <f t="shared" si="73"/>
        <v>1</v>
      </c>
      <c r="T379" s="7">
        <f t="shared" si="74"/>
        <v>688</v>
      </c>
    </row>
    <row r="380" spans="1:20">
      <c r="A380" s="23" t="s">
        <v>412</v>
      </c>
      <c r="B380" s="35" t="s">
        <v>411</v>
      </c>
      <c r="C380" s="36">
        <v>6480</v>
      </c>
      <c r="D380" s="6"/>
      <c r="E380" s="113">
        <v>154947559</v>
      </c>
      <c r="F380" s="116">
        <f t="shared" si="76"/>
        <v>23911.660339506172</v>
      </c>
      <c r="G380" s="117">
        <v>92217168</v>
      </c>
      <c r="H380" s="117">
        <f t="shared" si="77"/>
        <v>14231.044444444444</v>
      </c>
      <c r="I380" s="7"/>
      <c r="J380" s="10">
        <v>5.5</v>
      </c>
      <c r="K380" s="117">
        <v>507194</v>
      </c>
      <c r="L380" s="120">
        <f t="shared" si="82"/>
        <v>78.270679012345681</v>
      </c>
      <c r="M380" s="122">
        <f t="shared" si="78"/>
        <v>922171.68</v>
      </c>
      <c r="N380" s="116">
        <f t="shared" si="79"/>
        <v>414977.68000000005</v>
      </c>
      <c r="O380" s="123">
        <f t="shared" si="80"/>
        <v>64.039765432098775</v>
      </c>
      <c r="P380" s="5"/>
      <c r="Q380" s="5">
        <f t="shared" si="71"/>
        <v>1</v>
      </c>
      <c r="R380" s="7">
        <f t="shared" si="72"/>
        <v>6480</v>
      </c>
      <c r="S380" s="5">
        <f t="shared" si="73"/>
        <v>1</v>
      </c>
      <c r="T380" s="7">
        <f t="shared" si="74"/>
        <v>6480</v>
      </c>
    </row>
    <row r="381" spans="1:20">
      <c r="A381" s="23" t="s">
        <v>413</v>
      </c>
      <c r="B381" s="35" t="s">
        <v>414</v>
      </c>
      <c r="C381" s="36">
        <v>6847</v>
      </c>
      <c r="D381" s="6"/>
      <c r="E381" s="113">
        <v>290310456</v>
      </c>
      <c r="F381" s="116">
        <f t="shared" si="76"/>
        <v>42399.65766028918</v>
      </c>
      <c r="G381" s="117">
        <v>170311645</v>
      </c>
      <c r="H381" s="117">
        <f t="shared" si="77"/>
        <v>24873.907550752156</v>
      </c>
      <c r="I381" s="7"/>
      <c r="J381" s="10">
        <v>4.7300000000000004</v>
      </c>
      <c r="K381" s="117">
        <v>805574</v>
      </c>
      <c r="L381" s="120">
        <f t="shared" si="82"/>
        <v>117.65357090696655</v>
      </c>
      <c r="M381" s="122">
        <f t="shared" si="78"/>
        <v>1703116.45</v>
      </c>
      <c r="N381" s="116">
        <f t="shared" si="79"/>
        <v>897542.45</v>
      </c>
      <c r="O381" s="123">
        <f t="shared" si="80"/>
        <v>131.08550460055497</v>
      </c>
      <c r="P381" s="5"/>
      <c r="Q381" s="5">
        <f t="shared" si="71"/>
        <v>1</v>
      </c>
      <c r="R381" s="7">
        <f t="shared" si="72"/>
        <v>6847</v>
      </c>
      <c r="S381" s="5">
        <f t="shared" si="73"/>
        <v>1</v>
      </c>
      <c r="T381" s="7">
        <f t="shared" si="74"/>
        <v>6847</v>
      </c>
    </row>
    <row r="382" spans="1:20">
      <c r="A382" s="23" t="s">
        <v>415</v>
      </c>
      <c r="B382" s="35" t="s">
        <v>416</v>
      </c>
      <c r="C382" s="36">
        <v>1907</v>
      </c>
      <c r="D382" s="6"/>
      <c r="E382" s="113">
        <v>51854284</v>
      </c>
      <c r="F382" s="116">
        <f t="shared" si="76"/>
        <v>27191.54902988988</v>
      </c>
      <c r="G382" s="117">
        <v>23836030</v>
      </c>
      <c r="H382" s="117">
        <f t="shared" si="77"/>
        <v>12499.229155742003</v>
      </c>
      <c r="I382" s="7"/>
      <c r="J382" s="11">
        <v>2.4500000000000002</v>
      </c>
      <c r="K382" s="117">
        <v>58398</v>
      </c>
      <c r="L382" s="120">
        <f t="shared" si="82"/>
        <v>30.622968012585211</v>
      </c>
      <c r="M382" s="122">
        <f t="shared" si="78"/>
        <v>238360.30000000002</v>
      </c>
      <c r="N382" s="116">
        <f t="shared" si="79"/>
        <v>179962.30000000002</v>
      </c>
      <c r="O382" s="123">
        <f t="shared" si="80"/>
        <v>94.369323544834828</v>
      </c>
      <c r="P382" s="5"/>
      <c r="Q382" s="5">
        <f t="shared" si="71"/>
        <v>1</v>
      </c>
      <c r="R382" s="7">
        <f t="shared" si="72"/>
        <v>1907</v>
      </c>
      <c r="S382" s="5">
        <f t="shared" si="73"/>
        <v>1</v>
      </c>
      <c r="T382" s="7">
        <f t="shared" si="74"/>
        <v>1907</v>
      </c>
    </row>
    <row r="383" spans="1:20">
      <c r="A383" s="23" t="s">
        <v>417</v>
      </c>
      <c r="B383" s="35" t="s">
        <v>416</v>
      </c>
      <c r="C383" s="36">
        <v>183</v>
      </c>
      <c r="D383" s="6"/>
      <c r="E383" s="113">
        <v>3654190</v>
      </c>
      <c r="F383" s="116">
        <f t="shared" si="76"/>
        <v>19968.251366120217</v>
      </c>
      <c r="G383" s="117">
        <v>1812137</v>
      </c>
      <c r="H383" s="117">
        <f t="shared" si="77"/>
        <v>9902.3879781420765</v>
      </c>
      <c r="I383" s="98" t="s">
        <v>528</v>
      </c>
      <c r="J383" s="10"/>
      <c r="K383" s="117"/>
      <c r="L383" s="120"/>
      <c r="M383" s="122">
        <f t="shared" si="78"/>
        <v>18121.37</v>
      </c>
      <c r="N383" s="116">
        <f t="shared" si="79"/>
        <v>18121.37</v>
      </c>
      <c r="O383" s="123">
        <f t="shared" si="80"/>
        <v>99.02387978142076</v>
      </c>
      <c r="P383" s="5"/>
      <c r="Q383" s="5">
        <f t="shared" si="71"/>
        <v>1</v>
      </c>
      <c r="R383" s="7">
        <f t="shared" si="72"/>
        <v>183</v>
      </c>
      <c r="S383" s="5">
        <f t="shared" si="73"/>
        <v>0</v>
      </c>
      <c r="T383" s="7">
        <f t="shared" si="74"/>
        <v>0</v>
      </c>
    </row>
    <row r="384" spans="1:20">
      <c r="A384" s="23" t="s">
        <v>418</v>
      </c>
      <c r="B384" s="35" t="s">
        <v>416</v>
      </c>
      <c r="C384" s="36">
        <v>180</v>
      </c>
      <c r="D384" s="6"/>
      <c r="E384" s="113">
        <v>5072113</v>
      </c>
      <c r="F384" s="116">
        <f t="shared" si="76"/>
        <v>28178.405555555557</v>
      </c>
      <c r="G384" s="117">
        <v>3173120</v>
      </c>
      <c r="H384" s="117">
        <f t="shared" si="77"/>
        <v>17628.444444444445</v>
      </c>
      <c r="I384" s="7"/>
      <c r="J384" s="10">
        <v>1</v>
      </c>
      <c r="K384" s="117">
        <v>3173</v>
      </c>
      <c r="L384" s="120">
        <f t="shared" ref="L384:L400" si="83">(K384/C384)</f>
        <v>17.627777777777776</v>
      </c>
      <c r="M384" s="122">
        <f t="shared" si="78"/>
        <v>31731.200000000001</v>
      </c>
      <c r="N384" s="116">
        <f t="shared" si="79"/>
        <v>28558.2</v>
      </c>
      <c r="O384" s="123">
        <f t="shared" si="80"/>
        <v>158.65666666666667</v>
      </c>
      <c r="P384" s="5"/>
      <c r="Q384" s="5">
        <f t="shared" si="71"/>
        <v>1</v>
      </c>
      <c r="R384" s="7">
        <f t="shared" si="72"/>
        <v>180</v>
      </c>
      <c r="S384" s="5">
        <f t="shared" si="73"/>
        <v>1</v>
      </c>
      <c r="T384" s="7">
        <f t="shared" si="74"/>
        <v>180</v>
      </c>
    </row>
    <row r="385" spans="1:20">
      <c r="A385" s="23" t="s">
        <v>419</v>
      </c>
      <c r="B385" s="35" t="s">
        <v>420</v>
      </c>
      <c r="C385" s="36">
        <v>64842</v>
      </c>
      <c r="D385" s="6"/>
      <c r="E385" s="113">
        <v>3742173368</v>
      </c>
      <c r="F385" s="116">
        <f t="shared" si="76"/>
        <v>57712.182967829496</v>
      </c>
      <c r="G385" s="117">
        <v>2618001498</v>
      </c>
      <c r="H385" s="117">
        <f t="shared" si="77"/>
        <v>40375.088646247801</v>
      </c>
      <c r="I385" s="7"/>
      <c r="J385" s="10">
        <v>5.6266999999999996</v>
      </c>
      <c r="K385" s="117">
        <v>14730709</v>
      </c>
      <c r="L385" s="120">
        <f t="shared" si="83"/>
        <v>227.17851084173839</v>
      </c>
      <c r="M385" s="122">
        <f t="shared" si="78"/>
        <v>26180014.98</v>
      </c>
      <c r="N385" s="116">
        <f t="shared" si="79"/>
        <v>11449305.98</v>
      </c>
      <c r="O385" s="123">
        <f t="shared" si="80"/>
        <v>176.57237562073965</v>
      </c>
      <c r="P385" s="5"/>
      <c r="Q385" s="5">
        <f t="shared" si="71"/>
        <v>1</v>
      </c>
      <c r="R385" s="7">
        <f t="shared" si="72"/>
        <v>64842</v>
      </c>
      <c r="S385" s="5">
        <f t="shared" si="73"/>
        <v>1</v>
      </c>
      <c r="T385" s="7">
        <f t="shared" si="74"/>
        <v>64842</v>
      </c>
    </row>
    <row r="386" spans="1:20">
      <c r="A386" s="23" t="s">
        <v>421</v>
      </c>
      <c r="B386" s="35" t="s">
        <v>420</v>
      </c>
      <c r="C386" s="36">
        <v>4359</v>
      </c>
      <c r="D386" s="6"/>
      <c r="E386" s="113">
        <v>770318173</v>
      </c>
      <c r="F386" s="116">
        <f t="shared" si="76"/>
        <v>176719.01192934159</v>
      </c>
      <c r="G386" s="117">
        <v>694718313</v>
      </c>
      <c r="H386" s="117">
        <f t="shared" si="77"/>
        <v>159375.61665519615</v>
      </c>
      <c r="I386" s="9"/>
      <c r="J386" s="10">
        <v>3.6823100000000002</v>
      </c>
      <c r="K386" s="117">
        <v>2558168</v>
      </c>
      <c r="L386" s="120">
        <f t="shared" si="83"/>
        <v>586.87038311539345</v>
      </c>
      <c r="M386" s="122">
        <f t="shared" si="78"/>
        <v>6947183.1299999999</v>
      </c>
      <c r="N386" s="116">
        <f t="shared" si="79"/>
        <v>4389015.13</v>
      </c>
      <c r="O386" s="123">
        <f t="shared" si="80"/>
        <v>1006.885783436568</v>
      </c>
      <c r="P386" s="5"/>
      <c r="Q386" s="5">
        <f t="shared" si="71"/>
        <v>1</v>
      </c>
      <c r="R386" s="7">
        <f t="shared" si="72"/>
        <v>4359</v>
      </c>
      <c r="S386" s="5">
        <f t="shared" si="73"/>
        <v>1</v>
      </c>
      <c r="T386" s="7">
        <f t="shared" si="74"/>
        <v>4359</v>
      </c>
    </row>
    <row r="387" spans="1:20">
      <c r="A387" s="23" t="s">
        <v>462</v>
      </c>
      <c r="B387" s="35" t="s">
        <v>420</v>
      </c>
      <c r="C387" s="36">
        <v>16082</v>
      </c>
      <c r="D387" s="6"/>
      <c r="E387" s="113">
        <v>962114608</v>
      </c>
      <c r="F387" s="116">
        <f t="shared" si="76"/>
        <v>59825.55702027111</v>
      </c>
      <c r="G387" s="117">
        <v>759197638</v>
      </c>
      <c r="H387" s="117">
        <f t="shared" si="77"/>
        <v>47207.911826887204</v>
      </c>
      <c r="I387" s="7"/>
      <c r="J387" s="10">
        <v>2.5074000000000001</v>
      </c>
      <c r="K387" s="117">
        <v>1903612</v>
      </c>
      <c r="L387" s="120">
        <f t="shared" si="83"/>
        <v>118.36910831986071</v>
      </c>
      <c r="M387" s="122">
        <f t="shared" si="78"/>
        <v>7591976.3799999999</v>
      </c>
      <c r="N387" s="116">
        <f t="shared" si="79"/>
        <v>5688364.3799999999</v>
      </c>
      <c r="O387" s="123">
        <f t="shared" si="80"/>
        <v>353.71000994901129</v>
      </c>
      <c r="P387" s="5"/>
      <c r="Q387" s="5">
        <f t="shared" si="71"/>
        <v>1</v>
      </c>
      <c r="R387" s="7">
        <f t="shared" si="72"/>
        <v>16082</v>
      </c>
      <c r="S387" s="5">
        <f t="shared" si="73"/>
        <v>1</v>
      </c>
      <c r="T387" s="7">
        <f t="shared" si="74"/>
        <v>16082</v>
      </c>
    </row>
    <row r="388" spans="1:20">
      <c r="A388" s="23" t="s">
        <v>463</v>
      </c>
      <c r="B388" s="35" t="s">
        <v>420</v>
      </c>
      <c r="C388" s="36">
        <v>22078</v>
      </c>
      <c r="D388" s="6"/>
      <c r="E388" s="113">
        <v>1092569712</v>
      </c>
      <c r="F388" s="116">
        <f t="shared" si="76"/>
        <v>49486.806413624421</v>
      </c>
      <c r="G388" s="117">
        <v>728762194</v>
      </c>
      <c r="H388" s="117">
        <f t="shared" si="77"/>
        <v>33008.524051091583</v>
      </c>
      <c r="I388" s="7"/>
      <c r="J388" s="10">
        <v>5.7870000000000008</v>
      </c>
      <c r="K388" s="117">
        <v>4217346</v>
      </c>
      <c r="L388" s="120">
        <f t="shared" si="83"/>
        <v>191.02029169308815</v>
      </c>
      <c r="M388" s="122">
        <f t="shared" si="78"/>
        <v>7287621.9400000004</v>
      </c>
      <c r="N388" s="116">
        <f t="shared" si="79"/>
        <v>3070275.9400000004</v>
      </c>
      <c r="O388" s="123">
        <f t="shared" si="80"/>
        <v>139.06494881782771</v>
      </c>
      <c r="P388" s="5"/>
      <c r="Q388" s="5">
        <f t="shared" si="71"/>
        <v>1</v>
      </c>
      <c r="R388" s="7">
        <f t="shared" si="72"/>
        <v>22078</v>
      </c>
      <c r="S388" s="5">
        <f t="shared" si="73"/>
        <v>1</v>
      </c>
      <c r="T388" s="7">
        <f t="shared" si="74"/>
        <v>22078</v>
      </c>
    </row>
    <row r="389" spans="1:20">
      <c r="A389" s="23" t="s">
        <v>422</v>
      </c>
      <c r="B389" s="35" t="s">
        <v>420</v>
      </c>
      <c r="C389" s="36">
        <v>71599</v>
      </c>
      <c r="D389" s="6"/>
      <c r="E389" s="113">
        <v>2235509452</v>
      </c>
      <c r="F389" s="116">
        <f t="shared" si="76"/>
        <v>31222.635120602245</v>
      </c>
      <c r="G389" s="117">
        <v>1510495262</v>
      </c>
      <c r="H389" s="117">
        <f t="shared" si="77"/>
        <v>21096.597187111551</v>
      </c>
      <c r="I389" s="7"/>
      <c r="J389" s="11">
        <v>4.1980000000000004</v>
      </c>
      <c r="K389" s="117">
        <v>6341059</v>
      </c>
      <c r="L389" s="120">
        <f t="shared" si="83"/>
        <v>88.563513456891855</v>
      </c>
      <c r="M389" s="122">
        <f t="shared" si="78"/>
        <v>15104952.620000001</v>
      </c>
      <c r="N389" s="116">
        <f t="shared" si="79"/>
        <v>8763893.620000001</v>
      </c>
      <c r="O389" s="123">
        <f t="shared" si="80"/>
        <v>122.40245841422367</v>
      </c>
      <c r="P389" s="5"/>
      <c r="Q389" s="5">
        <f t="shared" si="71"/>
        <v>1</v>
      </c>
      <c r="R389" s="7">
        <f t="shared" si="72"/>
        <v>71599</v>
      </c>
      <c r="S389" s="5">
        <f t="shared" si="73"/>
        <v>1</v>
      </c>
      <c r="T389" s="7">
        <f t="shared" si="74"/>
        <v>71599</v>
      </c>
    </row>
    <row r="390" spans="1:20">
      <c r="A390" s="23" t="s">
        <v>423</v>
      </c>
      <c r="B390" s="35" t="s">
        <v>420</v>
      </c>
      <c r="C390" s="36">
        <v>19031</v>
      </c>
      <c r="D390" s="6"/>
      <c r="E390" s="113">
        <v>694658101</v>
      </c>
      <c r="F390" s="116">
        <f t="shared" si="76"/>
        <v>36501.397772056116</v>
      </c>
      <c r="G390" s="117">
        <v>469587134</v>
      </c>
      <c r="H390" s="117">
        <f t="shared" si="77"/>
        <v>24674.853344543113</v>
      </c>
      <c r="I390" s="7"/>
      <c r="J390" s="10">
        <v>5.95</v>
      </c>
      <c r="K390" s="117">
        <v>2794043</v>
      </c>
      <c r="L390" s="120">
        <f t="shared" si="83"/>
        <v>146.8153538962745</v>
      </c>
      <c r="M390" s="122">
        <f t="shared" si="78"/>
        <v>4695871.34</v>
      </c>
      <c r="N390" s="116">
        <f t="shared" si="79"/>
        <v>1901828.3399999999</v>
      </c>
      <c r="O390" s="123">
        <f t="shared" si="80"/>
        <v>99.933179549156634</v>
      </c>
      <c r="P390" s="5"/>
      <c r="Q390" s="5">
        <f t="shared" si="71"/>
        <v>1</v>
      </c>
      <c r="R390" s="7">
        <f t="shared" si="72"/>
        <v>19031</v>
      </c>
      <c r="S390" s="5">
        <f t="shared" si="73"/>
        <v>1</v>
      </c>
      <c r="T390" s="7">
        <f t="shared" si="74"/>
        <v>19031</v>
      </c>
    </row>
    <row r="391" spans="1:20">
      <c r="A391" s="23" t="s">
        <v>424</v>
      </c>
      <c r="B391" s="35" t="s">
        <v>420</v>
      </c>
      <c r="C391" s="36">
        <v>12180</v>
      </c>
      <c r="D391" s="6"/>
      <c r="E391" s="113">
        <v>473096030</v>
      </c>
      <c r="F391" s="116">
        <f t="shared" si="76"/>
        <v>38842.038587848932</v>
      </c>
      <c r="G391" s="117">
        <v>342398194</v>
      </c>
      <c r="H391" s="117">
        <f t="shared" si="77"/>
        <v>28111.510180623973</v>
      </c>
      <c r="I391" s="7"/>
      <c r="J391" s="10">
        <v>4.75</v>
      </c>
      <c r="K391" s="117">
        <v>1626391</v>
      </c>
      <c r="L391" s="120">
        <f t="shared" si="83"/>
        <v>133.52963875205253</v>
      </c>
      <c r="M391" s="122">
        <f t="shared" si="78"/>
        <v>3423981.94</v>
      </c>
      <c r="N391" s="116">
        <f t="shared" si="79"/>
        <v>1797590.94</v>
      </c>
      <c r="O391" s="123">
        <f t="shared" si="80"/>
        <v>147.58546305418719</v>
      </c>
      <c r="P391" s="5"/>
      <c r="Q391" s="5">
        <f t="shared" ref="Q391:Q410" si="84">IF(E391&gt;0,1,0)</f>
        <v>1</v>
      </c>
      <c r="R391" s="7">
        <f t="shared" ref="R391:R410" si="85">IF(E391&gt;0,C391,0)</f>
        <v>12180</v>
      </c>
      <c r="S391" s="5">
        <f t="shared" ref="S391:S410" si="86">IF(J391&gt;0,1,0)</f>
        <v>1</v>
      </c>
      <c r="T391" s="7">
        <f t="shared" ref="T391:T410" si="87">IF(J391&gt;0,C391,0)</f>
        <v>12180</v>
      </c>
    </row>
    <row r="392" spans="1:20">
      <c r="A392" s="23" t="s">
        <v>425</v>
      </c>
      <c r="B392" s="35" t="s">
        <v>420</v>
      </c>
      <c r="C392" s="36">
        <v>2759</v>
      </c>
      <c r="D392" s="6"/>
      <c r="E392" s="113">
        <v>88098258</v>
      </c>
      <c r="F392" s="116">
        <f t="shared" si="76"/>
        <v>31931.227981152591</v>
      </c>
      <c r="G392" s="117">
        <v>56041888</v>
      </c>
      <c r="H392" s="117">
        <f t="shared" si="77"/>
        <v>20312.391446176152</v>
      </c>
      <c r="I392" s="7"/>
      <c r="J392" s="10">
        <v>5.2</v>
      </c>
      <c r="K392" s="117">
        <v>291417</v>
      </c>
      <c r="L392" s="120">
        <f t="shared" si="83"/>
        <v>105.62413918086263</v>
      </c>
      <c r="M392" s="122">
        <f t="shared" si="78"/>
        <v>560418.88</v>
      </c>
      <c r="N392" s="116">
        <f t="shared" si="79"/>
        <v>269001.88</v>
      </c>
      <c r="O392" s="123">
        <f t="shared" si="80"/>
        <v>97.499775280898874</v>
      </c>
      <c r="P392" s="5"/>
      <c r="Q392" s="5">
        <f t="shared" si="84"/>
        <v>1</v>
      </c>
      <c r="R392" s="7">
        <f t="shared" si="85"/>
        <v>2759</v>
      </c>
      <c r="S392" s="5">
        <f t="shared" si="86"/>
        <v>1</v>
      </c>
      <c r="T392" s="7">
        <f t="shared" si="87"/>
        <v>2759</v>
      </c>
    </row>
    <row r="393" spans="1:20">
      <c r="A393" s="23" t="s">
        <v>426</v>
      </c>
      <c r="B393" s="35" t="s">
        <v>420</v>
      </c>
      <c r="C393" s="36">
        <v>20167</v>
      </c>
      <c r="D393" s="6"/>
      <c r="E393" s="113">
        <v>1852528092</v>
      </c>
      <c r="F393" s="116">
        <f t="shared" si="76"/>
        <v>91859.378787127484</v>
      </c>
      <c r="G393" s="117">
        <v>1481012647</v>
      </c>
      <c r="H393" s="117">
        <f t="shared" si="77"/>
        <v>73437.429811077498</v>
      </c>
      <c r="I393" s="7"/>
      <c r="J393" s="10">
        <v>4.5999999999999996</v>
      </c>
      <c r="K393" s="117">
        <v>6812658</v>
      </c>
      <c r="L393" s="120">
        <f t="shared" si="83"/>
        <v>337.81216839391084</v>
      </c>
      <c r="M393" s="122">
        <f t="shared" si="78"/>
        <v>14810126.470000001</v>
      </c>
      <c r="N393" s="116">
        <f t="shared" si="79"/>
        <v>7997468.4700000007</v>
      </c>
      <c r="O393" s="123">
        <f t="shared" si="80"/>
        <v>396.56212971686421</v>
      </c>
      <c r="P393" s="5"/>
      <c r="Q393" s="5">
        <f t="shared" si="84"/>
        <v>1</v>
      </c>
      <c r="R393" s="7">
        <f t="shared" si="85"/>
        <v>20167</v>
      </c>
      <c r="S393" s="5">
        <f t="shared" si="86"/>
        <v>1</v>
      </c>
      <c r="T393" s="7">
        <f t="shared" si="87"/>
        <v>20167</v>
      </c>
    </row>
    <row r="394" spans="1:20">
      <c r="A394" s="23" t="s">
        <v>427</v>
      </c>
      <c r="B394" s="35" t="s">
        <v>420</v>
      </c>
      <c r="C394" s="36">
        <v>1426</v>
      </c>
      <c r="D394" s="6"/>
      <c r="E394" s="113">
        <v>66612111</v>
      </c>
      <c r="F394" s="116">
        <f t="shared" si="76"/>
        <v>46712.560308555403</v>
      </c>
      <c r="G394" s="117">
        <v>45971687</v>
      </c>
      <c r="H394" s="117">
        <f t="shared" si="77"/>
        <v>32238.209677419356</v>
      </c>
      <c r="I394" s="7"/>
      <c r="J394" s="10">
        <v>4.5016000000000007</v>
      </c>
      <c r="K394" s="117">
        <v>206946</v>
      </c>
      <c r="L394" s="120">
        <f t="shared" si="83"/>
        <v>145.12342215988781</v>
      </c>
      <c r="M394" s="122">
        <f t="shared" si="78"/>
        <v>459716.87</v>
      </c>
      <c r="N394" s="116">
        <f t="shared" si="79"/>
        <v>252770.87</v>
      </c>
      <c r="O394" s="123">
        <f t="shared" si="80"/>
        <v>177.25867461430576</v>
      </c>
      <c r="P394" s="5"/>
      <c r="Q394" s="5">
        <f t="shared" si="84"/>
        <v>1</v>
      </c>
      <c r="R394" s="7">
        <f t="shared" si="85"/>
        <v>1426</v>
      </c>
      <c r="S394" s="5">
        <f t="shared" si="86"/>
        <v>1</v>
      </c>
      <c r="T394" s="7">
        <f t="shared" si="87"/>
        <v>1426</v>
      </c>
    </row>
    <row r="395" spans="1:20">
      <c r="A395" s="23" t="s">
        <v>428</v>
      </c>
      <c r="B395" s="35" t="s">
        <v>420</v>
      </c>
      <c r="C395" s="36">
        <v>6646</v>
      </c>
      <c r="D395" s="6"/>
      <c r="E395" s="113">
        <v>394226289</v>
      </c>
      <c r="F395" s="116">
        <f t="shared" si="76"/>
        <v>59317.828618718027</v>
      </c>
      <c r="G395" s="117">
        <v>299985865</v>
      </c>
      <c r="H395" s="117">
        <f t="shared" si="77"/>
        <v>45137.806951549806</v>
      </c>
      <c r="I395" s="7"/>
      <c r="J395" s="10">
        <v>5.3794000000000004</v>
      </c>
      <c r="K395" s="117">
        <v>1613743</v>
      </c>
      <c r="L395" s="120">
        <f t="shared" si="83"/>
        <v>242.81417393921154</v>
      </c>
      <c r="M395" s="122">
        <f t="shared" si="78"/>
        <v>2999858.65</v>
      </c>
      <c r="N395" s="116">
        <f t="shared" si="79"/>
        <v>1386115.65</v>
      </c>
      <c r="O395" s="123">
        <f t="shared" si="80"/>
        <v>208.56389557628648</v>
      </c>
      <c r="P395" s="5"/>
      <c r="Q395" s="5">
        <f t="shared" si="84"/>
        <v>1</v>
      </c>
      <c r="R395" s="7">
        <f t="shared" si="85"/>
        <v>6646</v>
      </c>
      <c r="S395" s="5">
        <f t="shared" si="86"/>
        <v>1</v>
      </c>
      <c r="T395" s="7">
        <f t="shared" si="87"/>
        <v>6646</v>
      </c>
    </row>
    <row r="396" spans="1:20">
      <c r="A396" s="23" t="s">
        <v>429</v>
      </c>
      <c r="B396" s="35" t="s">
        <v>420</v>
      </c>
      <c r="C396" s="36">
        <v>36943</v>
      </c>
      <c r="D396" s="6"/>
      <c r="E396" s="113">
        <v>2568410404</v>
      </c>
      <c r="F396" s="116">
        <f t="shared" si="76"/>
        <v>69523.601331781392</v>
      </c>
      <c r="G396" s="117">
        <v>1987214883</v>
      </c>
      <c r="H396" s="117">
        <f t="shared" si="77"/>
        <v>53791.378150123164</v>
      </c>
      <c r="I396" s="7"/>
      <c r="J396" s="10">
        <v>2.5827100000000001</v>
      </c>
      <c r="K396" s="117">
        <v>5132379</v>
      </c>
      <c r="L396" s="120">
        <f t="shared" si="83"/>
        <v>138.92696857320738</v>
      </c>
      <c r="M396" s="122">
        <f t="shared" si="78"/>
        <v>19872148.830000002</v>
      </c>
      <c r="N396" s="116">
        <f t="shared" si="79"/>
        <v>14739769.830000002</v>
      </c>
      <c r="O396" s="123">
        <f t="shared" si="80"/>
        <v>398.98681292802428</v>
      </c>
      <c r="P396" s="5"/>
      <c r="Q396" s="5">
        <f t="shared" si="84"/>
        <v>1</v>
      </c>
      <c r="R396" s="7">
        <f t="shared" si="85"/>
        <v>36943</v>
      </c>
      <c r="S396" s="5">
        <f t="shared" si="86"/>
        <v>1</v>
      </c>
      <c r="T396" s="7">
        <f t="shared" si="87"/>
        <v>36943</v>
      </c>
    </row>
    <row r="397" spans="1:20">
      <c r="A397" s="23" t="s">
        <v>430</v>
      </c>
      <c r="B397" s="35" t="s">
        <v>420</v>
      </c>
      <c r="C397" s="36">
        <v>2611</v>
      </c>
      <c r="D397" s="6"/>
      <c r="E397" s="113">
        <v>58859450</v>
      </c>
      <c r="F397" s="116">
        <f t="shared" si="76"/>
        <v>22542.876292608194</v>
      </c>
      <c r="G397" s="117">
        <v>34092766</v>
      </c>
      <c r="H397" s="117">
        <f t="shared" si="77"/>
        <v>13057.35963232478</v>
      </c>
      <c r="I397" s="7"/>
      <c r="J397" s="10">
        <v>5.2755999999999998</v>
      </c>
      <c r="K397" s="117">
        <v>179859</v>
      </c>
      <c r="L397" s="120">
        <f t="shared" si="83"/>
        <v>68.88510149368058</v>
      </c>
      <c r="M397" s="122">
        <f t="shared" si="78"/>
        <v>340927.66000000003</v>
      </c>
      <c r="N397" s="116">
        <f t="shared" si="79"/>
        <v>161068.66000000003</v>
      </c>
      <c r="O397" s="123">
        <f t="shared" si="80"/>
        <v>61.688494829567226</v>
      </c>
      <c r="P397" s="5"/>
      <c r="Q397" s="5">
        <f t="shared" si="84"/>
        <v>1</v>
      </c>
      <c r="R397" s="7">
        <f t="shared" si="85"/>
        <v>2611</v>
      </c>
      <c r="S397" s="5">
        <f t="shared" si="86"/>
        <v>1</v>
      </c>
      <c r="T397" s="7">
        <f t="shared" si="87"/>
        <v>2611</v>
      </c>
    </row>
    <row r="398" spans="1:20">
      <c r="A398" s="23" t="s">
        <v>431</v>
      </c>
      <c r="B398" s="35" t="s">
        <v>420</v>
      </c>
      <c r="C398" s="36">
        <v>2587</v>
      </c>
      <c r="D398" s="6"/>
      <c r="E398" s="113">
        <v>422205554</v>
      </c>
      <c r="F398" s="116">
        <f t="shared" si="76"/>
        <v>163202.76536528798</v>
      </c>
      <c r="G398" s="117">
        <v>357929417</v>
      </c>
      <c r="H398" s="117">
        <f t="shared" si="77"/>
        <v>138356.94511016621</v>
      </c>
      <c r="I398" s="7"/>
      <c r="J398" s="10">
        <v>4.3780000000000001</v>
      </c>
      <c r="K398" s="117">
        <v>1567014</v>
      </c>
      <c r="L398" s="120">
        <f t="shared" si="83"/>
        <v>605.72632392732896</v>
      </c>
      <c r="M398" s="122">
        <f t="shared" si="78"/>
        <v>3579294.17</v>
      </c>
      <c r="N398" s="116">
        <f t="shared" si="79"/>
        <v>2012280.17</v>
      </c>
      <c r="O398" s="123">
        <f t="shared" si="80"/>
        <v>777.84312717433318</v>
      </c>
      <c r="P398" s="5"/>
      <c r="Q398" s="5">
        <f t="shared" si="84"/>
        <v>1</v>
      </c>
      <c r="R398" s="7">
        <f t="shared" si="85"/>
        <v>2587</v>
      </c>
      <c r="S398" s="5">
        <f t="shared" si="86"/>
        <v>1</v>
      </c>
      <c r="T398" s="7">
        <f t="shared" si="87"/>
        <v>2587</v>
      </c>
    </row>
    <row r="399" spans="1:20">
      <c r="A399" s="23" t="s">
        <v>432</v>
      </c>
      <c r="B399" s="35" t="s">
        <v>420</v>
      </c>
      <c r="C399" s="36">
        <v>47443</v>
      </c>
      <c r="D399" s="6"/>
      <c r="E399" s="113">
        <v>2073377137</v>
      </c>
      <c r="F399" s="116">
        <f t="shared" si="76"/>
        <v>43702.487975043739</v>
      </c>
      <c r="G399" s="117">
        <v>1500194429</v>
      </c>
      <c r="H399" s="117">
        <f t="shared" si="77"/>
        <v>31620.985793478489</v>
      </c>
      <c r="I399" s="7"/>
      <c r="J399" s="10">
        <v>4.4851200000000002</v>
      </c>
      <c r="K399" s="117">
        <v>6728522</v>
      </c>
      <c r="L399" s="120">
        <f t="shared" si="83"/>
        <v>141.82328267605337</v>
      </c>
      <c r="M399" s="122">
        <f t="shared" si="78"/>
        <v>15001944.290000001</v>
      </c>
      <c r="N399" s="116">
        <f t="shared" si="79"/>
        <v>8273422.290000001</v>
      </c>
      <c r="O399" s="123">
        <f t="shared" si="80"/>
        <v>174.38657525873154</v>
      </c>
      <c r="P399" s="5"/>
      <c r="Q399" s="5">
        <f t="shared" si="84"/>
        <v>1</v>
      </c>
      <c r="R399" s="7">
        <f t="shared" si="85"/>
        <v>47443</v>
      </c>
      <c r="S399" s="5">
        <f t="shared" si="86"/>
        <v>1</v>
      </c>
      <c r="T399" s="7">
        <f t="shared" si="87"/>
        <v>47443</v>
      </c>
    </row>
    <row r="400" spans="1:20">
      <c r="A400" s="23" t="s">
        <v>433</v>
      </c>
      <c r="B400" s="35" t="s">
        <v>420</v>
      </c>
      <c r="C400" s="36">
        <v>13305</v>
      </c>
      <c r="D400" s="6"/>
      <c r="E400" s="113">
        <v>509392010</v>
      </c>
      <c r="F400" s="116">
        <f t="shared" si="76"/>
        <v>38285.757985719654</v>
      </c>
      <c r="G400" s="117">
        <v>391417918</v>
      </c>
      <c r="H400" s="117">
        <f t="shared" si="77"/>
        <v>29418.858925216085</v>
      </c>
      <c r="I400" s="7"/>
      <c r="J400" s="10">
        <v>4.5446</v>
      </c>
      <c r="K400" s="117">
        <v>1778837</v>
      </c>
      <c r="L400" s="120">
        <f t="shared" si="83"/>
        <v>133.6968808718527</v>
      </c>
      <c r="M400" s="122">
        <f t="shared" si="78"/>
        <v>3914179.18</v>
      </c>
      <c r="N400" s="116">
        <f t="shared" si="79"/>
        <v>2135342.1800000002</v>
      </c>
      <c r="O400" s="123">
        <f t="shared" si="80"/>
        <v>160.49170838030815</v>
      </c>
      <c r="P400" s="5"/>
      <c r="Q400" s="5">
        <f t="shared" si="84"/>
        <v>1</v>
      </c>
      <c r="R400" s="7">
        <f t="shared" si="85"/>
        <v>13305</v>
      </c>
      <c r="S400" s="5">
        <f t="shared" si="86"/>
        <v>1</v>
      </c>
      <c r="T400" s="7">
        <f t="shared" si="87"/>
        <v>13305</v>
      </c>
    </row>
    <row r="401" spans="1:20">
      <c r="A401" s="23" t="s">
        <v>435</v>
      </c>
      <c r="B401" s="35" t="s">
        <v>434</v>
      </c>
      <c r="C401" s="36">
        <v>411</v>
      </c>
      <c r="D401" s="6"/>
      <c r="E401" s="113">
        <v>74690058</v>
      </c>
      <c r="F401" s="116">
        <f t="shared" si="76"/>
        <v>181727.63503649636</v>
      </c>
      <c r="G401" s="117">
        <v>42218850</v>
      </c>
      <c r="H401" s="117">
        <f t="shared" si="77"/>
        <v>102722.26277372263</v>
      </c>
      <c r="I401" s="98" t="s">
        <v>528</v>
      </c>
      <c r="J401" s="10"/>
      <c r="K401" s="117"/>
      <c r="L401" s="120"/>
      <c r="M401" s="122">
        <f t="shared" si="78"/>
        <v>422188.5</v>
      </c>
      <c r="N401" s="116">
        <f t="shared" si="79"/>
        <v>422188.5</v>
      </c>
      <c r="O401" s="123">
        <f t="shared" si="80"/>
        <v>1027.2226277372263</v>
      </c>
      <c r="P401" s="5"/>
      <c r="Q401" s="5">
        <f t="shared" si="84"/>
        <v>1</v>
      </c>
      <c r="R401" s="7">
        <f t="shared" si="85"/>
        <v>411</v>
      </c>
      <c r="S401" s="5">
        <f t="shared" si="86"/>
        <v>0</v>
      </c>
      <c r="T401" s="7">
        <f t="shared" si="87"/>
        <v>0</v>
      </c>
    </row>
    <row r="402" spans="1:20">
      <c r="A402" s="23" t="s">
        <v>555</v>
      </c>
      <c r="B402" s="35" t="s">
        <v>434</v>
      </c>
      <c r="C402" s="36">
        <v>270</v>
      </c>
      <c r="D402" s="6"/>
      <c r="E402" s="113">
        <v>62775840</v>
      </c>
      <c r="F402" s="116">
        <f t="shared" si="76"/>
        <v>232503.11111111112</v>
      </c>
      <c r="G402" s="117">
        <v>19347732</v>
      </c>
      <c r="H402" s="117">
        <f t="shared" si="77"/>
        <v>71658.266666666663</v>
      </c>
      <c r="I402" s="7"/>
      <c r="J402" s="10">
        <v>4</v>
      </c>
      <c r="K402" s="117">
        <v>77390</v>
      </c>
      <c r="L402" s="120">
        <f>(K402/C402)</f>
        <v>286.62962962962962</v>
      </c>
      <c r="M402" s="122">
        <f t="shared" si="78"/>
        <v>193477.32</v>
      </c>
      <c r="N402" s="116">
        <f t="shared" si="79"/>
        <v>116087.32</v>
      </c>
      <c r="O402" s="123">
        <f t="shared" si="80"/>
        <v>429.95303703703706</v>
      </c>
      <c r="P402" s="5"/>
      <c r="Q402" s="5">
        <f t="shared" si="84"/>
        <v>1</v>
      </c>
      <c r="R402" s="7">
        <f t="shared" si="85"/>
        <v>270</v>
      </c>
      <c r="S402" s="5">
        <f t="shared" si="86"/>
        <v>1</v>
      </c>
      <c r="T402" s="7">
        <f t="shared" si="87"/>
        <v>270</v>
      </c>
    </row>
    <row r="403" spans="1:20">
      <c r="A403" s="23" t="s">
        <v>436</v>
      </c>
      <c r="B403" s="35" t="s">
        <v>437</v>
      </c>
      <c r="C403" s="36">
        <v>5097</v>
      </c>
      <c r="D403" s="6"/>
      <c r="E403" s="113">
        <v>205492427</v>
      </c>
      <c r="F403" s="116">
        <f t="shared" si="76"/>
        <v>40316.348244065135</v>
      </c>
      <c r="G403" s="117">
        <v>136284015</v>
      </c>
      <c r="H403" s="117">
        <f t="shared" si="77"/>
        <v>26738.084167157151</v>
      </c>
      <c r="I403" s="7"/>
      <c r="J403" s="10">
        <v>4.5</v>
      </c>
      <c r="K403" s="117">
        <v>613278</v>
      </c>
      <c r="L403" s="120">
        <f>(K403/C403)</f>
        <v>120.32136550912301</v>
      </c>
      <c r="M403" s="122">
        <f t="shared" si="78"/>
        <v>1362840.1500000001</v>
      </c>
      <c r="N403" s="116">
        <f t="shared" si="79"/>
        <v>749562.15000000014</v>
      </c>
      <c r="O403" s="123">
        <f t="shared" si="80"/>
        <v>147.05947616244853</v>
      </c>
      <c r="P403" s="5"/>
      <c r="Q403" s="5">
        <f t="shared" si="84"/>
        <v>1</v>
      </c>
      <c r="R403" s="7">
        <f t="shared" si="85"/>
        <v>5097</v>
      </c>
      <c r="S403" s="5">
        <f t="shared" si="86"/>
        <v>1</v>
      </c>
      <c r="T403" s="7">
        <f t="shared" si="87"/>
        <v>5097</v>
      </c>
    </row>
    <row r="404" spans="1:20">
      <c r="A404" s="23" t="s">
        <v>438</v>
      </c>
      <c r="B404" s="35" t="s">
        <v>437</v>
      </c>
      <c r="C404" s="36">
        <v>1188</v>
      </c>
      <c r="D404" s="6"/>
      <c r="E404" s="113">
        <v>42704156</v>
      </c>
      <c r="F404" s="116">
        <f t="shared" si="76"/>
        <v>35946.259259259263</v>
      </c>
      <c r="G404" s="117">
        <v>29917198</v>
      </c>
      <c r="H404" s="117">
        <f t="shared" si="77"/>
        <v>25182.8265993266</v>
      </c>
      <c r="I404" s="7"/>
      <c r="J404" s="10">
        <v>3.93</v>
      </c>
      <c r="K404" s="117">
        <v>117574</v>
      </c>
      <c r="L404" s="120">
        <f>(K404/C404)</f>
        <v>98.968013468013467</v>
      </c>
      <c r="M404" s="122">
        <f t="shared" si="78"/>
        <v>299171.98</v>
      </c>
      <c r="N404" s="116">
        <f t="shared" si="79"/>
        <v>181597.97999999998</v>
      </c>
      <c r="O404" s="123">
        <f t="shared" si="80"/>
        <v>152.86025252525252</v>
      </c>
      <c r="P404" s="5"/>
      <c r="Q404" s="5">
        <f t="shared" si="84"/>
        <v>1</v>
      </c>
      <c r="R404" s="7">
        <f t="shared" si="85"/>
        <v>1188</v>
      </c>
      <c r="S404" s="5">
        <f t="shared" si="86"/>
        <v>1</v>
      </c>
      <c r="T404" s="7">
        <f t="shared" si="87"/>
        <v>1188</v>
      </c>
    </row>
    <row r="405" spans="1:20">
      <c r="A405" s="23" t="s">
        <v>439</v>
      </c>
      <c r="B405" s="35" t="s">
        <v>437</v>
      </c>
      <c r="C405" s="36">
        <v>659</v>
      </c>
      <c r="D405" s="6"/>
      <c r="E405" s="113">
        <v>13367084</v>
      </c>
      <c r="F405" s="116">
        <f t="shared" si="76"/>
        <v>20283.890743550834</v>
      </c>
      <c r="G405" s="117">
        <v>6052232</v>
      </c>
      <c r="H405" s="117">
        <f t="shared" si="77"/>
        <v>9183.9635811836124</v>
      </c>
      <c r="I405" s="98" t="s">
        <v>528</v>
      </c>
      <c r="J405" s="10"/>
      <c r="K405" s="117"/>
      <c r="L405" s="120"/>
      <c r="M405" s="122">
        <f t="shared" si="78"/>
        <v>60522.32</v>
      </c>
      <c r="N405" s="116">
        <f t="shared" si="79"/>
        <v>60522.32</v>
      </c>
      <c r="O405" s="123">
        <f t="shared" si="80"/>
        <v>91.839635811836118</v>
      </c>
      <c r="P405" s="5"/>
      <c r="Q405" s="5">
        <f t="shared" si="84"/>
        <v>1</v>
      </c>
      <c r="R405" s="7">
        <f t="shared" si="85"/>
        <v>659</v>
      </c>
      <c r="S405" s="5">
        <f t="shared" si="86"/>
        <v>0</v>
      </c>
      <c r="T405" s="7">
        <f t="shared" si="87"/>
        <v>0</v>
      </c>
    </row>
    <row r="406" spans="1:20">
      <c r="A406" s="23" t="s">
        <v>440</v>
      </c>
      <c r="B406" s="35" t="s">
        <v>441</v>
      </c>
      <c r="C406" s="36">
        <v>312</v>
      </c>
      <c r="D406" s="6"/>
      <c r="E406" s="113">
        <v>7384127</v>
      </c>
      <c r="F406" s="116">
        <f t="shared" si="76"/>
        <v>23667.073717948719</v>
      </c>
      <c r="G406" s="117">
        <v>3410090</v>
      </c>
      <c r="H406" s="117">
        <f t="shared" si="77"/>
        <v>10929.775641025641</v>
      </c>
      <c r="I406" s="98" t="s">
        <v>528</v>
      </c>
      <c r="J406" s="10"/>
      <c r="K406" s="117"/>
      <c r="L406" s="120"/>
      <c r="M406" s="122">
        <f t="shared" si="78"/>
        <v>34100.9</v>
      </c>
      <c r="N406" s="116">
        <f t="shared" si="79"/>
        <v>34100.9</v>
      </c>
      <c r="O406" s="123">
        <f t="shared" si="80"/>
        <v>109.29775641025641</v>
      </c>
      <c r="P406" s="5"/>
      <c r="Q406" s="5">
        <f t="shared" si="84"/>
        <v>1</v>
      </c>
      <c r="R406" s="7">
        <f t="shared" si="85"/>
        <v>312</v>
      </c>
      <c r="S406" s="5">
        <f t="shared" si="86"/>
        <v>0</v>
      </c>
      <c r="T406" s="7">
        <f t="shared" si="87"/>
        <v>0</v>
      </c>
    </row>
    <row r="407" spans="1:20">
      <c r="A407" s="23" t="s">
        <v>442</v>
      </c>
      <c r="B407" s="35" t="s">
        <v>441</v>
      </c>
      <c r="C407" s="36">
        <v>3545</v>
      </c>
      <c r="D407" s="6"/>
      <c r="E407" s="113">
        <v>169222901</v>
      </c>
      <c r="F407" s="116">
        <f t="shared" si="76"/>
        <v>47735.656135401972</v>
      </c>
      <c r="G407" s="117">
        <v>109373476</v>
      </c>
      <c r="H407" s="117">
        <f t="shared" si="77"/>
        <v>30852.884626234132</v>
      </c>
      <c r="I407" s="7"/>
      <c r="J407" s="11">
        <v>6</v>
      </c>
      <c r="K407" s="117">
        <v>656240</v>
      </c>
      <c r="L407" s="120">
        <f>(K407/C407)</f>
        <v>185.11706629055007</v>
      </c>
      <c r="M407" s="122">
        <f t="shared" si="78"/>
        <v>1093734.76</v>
      </c>
      <c r="N407" s="116">
        <f t="shared" si="79"/>
        <v>437494.76</v>
      </c>
      <c r="O407" s="123">
        <f t="shared" si="80"/>
        <v>123.41177997179126</v>
      </c>
      <c r="P407" s="5"/>
      <c r="Q407" s="5">
        <f t="shared" si="84"/>
        <v>1</v>
      </c>
      <c r="R407" s="7">
        <f t="shared" si="85"/>
        <v>3545</v>
      </c>
      <c r="S407" s="5">
        <f t="shared" si="86"/>
        <v>1</v>
      </c>
      <c r="T407" s="7">
        <f t="shared" si="87"/>
        <v>3545</v>
      </c>
    </row>
    <row r="408" spans="1:20">
      <c r="A408" s="23" t="s">
        <v>443</v>
      </c>
      <c r="B408" s="35" t="s">
        <v>441</v>
      </c>
      <c r="C408" s="36">
        <v>250</v>
      </c>
      <c r="D408" s="6"/>
      <c r="E408" s="113">
        <v>6242296</v>
      </c>
      <c r="F408" s="116">
        <f t="shared" si="76"/>
        <v>24969.184000000001</v>
      </c>
      <c r="G408" s="117">
        <v>4019443</v>
      </c>
      <c r="H408" s="117">
        <f t="shared" si="77"/>
        <v>16077.772000000001</v>
      </c>
      <c r="I408" s="98" t="s">
        <v>528</v>
      </c>
      <c r="J408" s="11"/>
      <c r="K408" s="117"/>
      <c r="L408" s="120"/>
      <c r="M408" s="122">
        <f t="shared" si="78"/>
        <v>40194.43</v>
      </c>
      <c r="N408" s="116">
        <f t="shared" si="79"/>
        <v>40194.43</v>
      </c>
      <c r="O408" s="123">
        <f t="shared" si="80"/>
        <v>160.77771999999999</v>
      </c>
      <c r="P408" s="5"/>
      <c r="Q408" s="5">
        <f t="shared" si="84"/>
        <v>1</v>
      </c>
      <c r="R408" s="7">
        <f t="shared" si="85"/>
        <v>250</v>
      </c>
      <c r="S408" s="5">
        <f t="shared" si="86"/>
        <v>0</v>
      </c>
      <c r="T408" s="7">
        <f t="shared" si="87"/>
        <v>0</v>
      </c>
    </row>
    <row r="409" spans="1:20">
      <c r="A409" s="23" t="s">
        <v>444</v>
      </c>
      <c r="B409" s="35" t="s">
        <v>441</v>
      </c>
      <c r="C409" s="36">
        <v>758</v>
      </c>
      <c r="D409" s="6"/>
      <c r="E409" s="113">
        <v>21034511</v>
      </c>
      <c r="F409" s="116">
        <f t="shared" si="76"/>
        <v>27750.014511873353</v>
      </c>
      <c r="G409" s="117">
        <v>9132028</v>
      </c>
      <c r="H409" s="117">
        <f t="shared" si="77"/>
        <v>12047.530343007915</v>
      </c>
      <c r="I409" s="9"/>
      <c r="J409" s="11">
        <v>2.6918000000000002</v>
      </c>
      <c r="K409" s="117">
        <v>24581</v>
      </c>
      <c r="L409" s="120">
        <f>(K409/C409)</f>
        <v>32.428759894459105</v>
      </c>
      <c r="M409" s="122">
        <f t="shared" si="78"/>
        <v>91320.28</v>
      </c>
      <c r="N409" s="116">
        <f t="shared" si="79"/>
        <v>66739.28</v>
      </c>
      <c r="O409" s="123">
        <f t="shared" si="80"/>
        <v>88.046543535620046</v>
      </c>
      <c r="P409" s="5"/>
      <c r="Q409" s="5">
        <f t="shared" si="84"/>
        <v>1</v>
      </c>
      <c r="R409" s="7">
        <f t="shared" si="85"/>
        <v>758</v>
      </c>
      <c r="S409" s="5">
        <f t="shared" si="86"/>
        <v>1</v>
      </c>
      <c r="T409" s="7">
        <f t="shared" si="87"/>
        <v>758</v>
      </c>
    </row>
    <row r="410" spans="1:20">
      <c r="A410" s="23" t="s">
        <v>445</v>
      </c>
      <c r="B410" s="35" t="s">
        <v>441</v>
      </c>
      <c r="C410" s="36">
        <v>405</v>
      </c>
      <c r="D410" s="6"/>
      <c r="E410" s="113">
        <v>6515434</v>
      </c>
      <c r="F410" s="116">
        <f t="shared" si="76"/>
        <v>16087.491358024692</v>
      </c>
      <c r="G410" s="117">
        <v>2662846</v>
      </c>
      <c r="H410" s="117">
        <f t="shared" si="77"/>
        <v>6574.9283950617282</v>
      </c>
      <c r="I410" s="98" t="s">
        <v>528</v>
      </c>
      <c r="J410" s="11"/>
      <c r="K410" s="117"/>
      <c r="L410" s="120"/>
      <c r="M410" s="122">
        <f t="shared" si="78"/>
        <v>26628.46</v>
      </c>
      <c r="N410" s="116">
        <f t="shared" si="79"/>
        <v>26628.46</v>
      </c>
      <c r="O410" s="123">
        <f t="shared" si="80"/>
        <v>65.749283950617283</v>
      </c>
      <c r="P410" s="5"/>
      <c r="Q410" s="5">
        <f t="shared" si="84"/>
        <v>1</v>
      </c>
      <c r="R410" s="7">
        <f t="shared" si="85"/>
        <v>405</v>
      </c>
      <c r="S410" s="5">
        <f t="shared" si="86"/>
        <v>0</v>
      </c>
      <c r="T410" s="7">
        <f t="shared" si="87"/>
        <v>0</v>
      </c>
    </row>
    <row r="411" spans="1:20">
      <c r="A411" s="70" t="s">
        <v>451</v>
      </c>
      <c r="B411" s="71"/>
      <c r="C411" s="72">
        <f>SUM(C6:C410)</f>
        <v>8102284</v>
      </c>
      <c r="D411" s="73"/>
      <c r="E411" s="73">
        <f>SUM(E6:E410)</f>
        <v>545506844663</v>
      </c>
      <c r="F411" s="74">
        <f>(E411/R411)</f>
        <v>74205.584388238742</v>
      </c>
      <c r="G411" s="75">
        <f>SUM(G6:G410)</f>
        <v>409326719158</v>
      </c>
      <c r="H411" s="76">
        <f>(G411/R411)</f>
        <v>55680.929942509414</v>
      </c>
      <c r="I411" s="71"/>
      <c r="J411" s="77"/>
      <c r="K411" s="78">
        <f>SUM(K6:K410)</f>
        <v>1968232113</v>
      </c>
      <c r="L411" s="79">
        <f>(K411/T411)</f>
        <v>270.20689023192358</v>
      </c>
      <c r="M411" s="79">
        <f>SUM(M6:M410)</f>
        <v>4079998979.5300002</v>
      </c>
      <c r="N411" s="78">
        <f>SUM(N6:N410)</f>
        <v>2116950889.5300012</v>
      </c>
      <c r="O411" s="80">
        <f>(N411/R411)</f>
        <v>287.96994834376727</v>
      </c>
      <c r="P411" s="20"/>
      <c r="Q411" s="20">
        <f>SUM(Q6:Q410)</f>
        <v>403</v>
      </c>
      <c r="R411" s="21">
        <f>SUM(R6:R410)</f>
        <v>7351291</v>
      </c>
      <c r="S411" s="20">
        <f>SUM(S6:S410)</f>
        <v>372</v>
      </c>
      <c r="T411" s="21">
        <f>SUM(T6:T410)</f>
        <v>7284167</v>
      </c>
    </row>
    <row r="412" spans="1:20">
      <c r="A412" s="27" t="s">
        <v>453</v>
      </c>
      <c r="B412" s="13"/>
      <c r="C412" s="60">
        <f>(S411)</f>
        <v>372</v>
      </c>
      <c r="D412" s="14"/>
      <c r="E412" s="14"/>
      <c r="F412" s="16"/>
      <c r="G412" s="16"/>
      <c r="H412" s="16"/>
      <c r="I412" s="16"/>
      <c r="J412" s="14"/>
      <c r="K412" s="17"/>
      <c r="L412" s="17"/>
      <c r="M412" s="2"/>
      <c r="N412" s="2"/>
      <c r="O412" s="63"/>
      <c r="P412" s="2"/>
      <c r="Q412" s="2"/>
      <c r="R412" s="2"/>
      <c r="S412" s="2"/>
      <c r="T412" s="2"/>
    </row>
    <row r="413" spans="1:20">
      <c r="A413" s="22"/>
      <c r="B413" s="16"/>
      <c r="C413" s="16"/>
      <c r="D413" s="16"/>
      <c r="E413" s="16"/>
      <c r="F413" s="16"/>
      <c r="G413" s="16"/>
      <c r="H413" s="16"/>
      <c r="I413" s="16"/>
      <c r="J413" s="17"/>
      <c r="K413" s="17"/>
      <c r="L413" s="17"/>
      <c r="M413" s="2"/>
      <c r="N413" s="2"/>
      <c r="O413" s="63"/>
      <c r="P413" s="2"/>
      <c r="Q413" s="2"/>
      <c r="R413" s="2"/>
      <c r="S413" s="2"/>
      <c r="T413" s="2"/>
    </row>
    <row r="414" spans="1:20">
      <c r="A414" s="28" t="s">
        <v>498</v>
      </c>
      <c r="B414" s="25"/>
      <c r="C414" s="25"/>
      <c r="D414" s="25"/>
      <c r="E414" s="25"/>
      <c r="F414" s="25"/>
      <c r="G414" s="25"/>
      <c r="H414" s="25"/>
      <c r="I414" s="25"/>
      <c r="J414" s="26"/>
      <c r="K414" s="26"/>
      <c r="L414" s="26"/>
      <c r="M414" s="1"/>
      <c r="N414" s="1"/>
      <c r="O414" s="64"/>
      <c r="P414" s="1"/>
      <c r="Q414" s="1"/>
      <c r="R414" s="1"/>
      <c r="S414" s="1"/>
      <c r="T414" s="1"/>
    </row>
    <row r="415" spans="1:20">
      <c r="A415" s="96" t="s">
        <v>566</v>
      </c>
      <c r="B415" s="25"/>
      <c r="C415" s="25"/>
      <c r="D415" s="25"/>
      <c r="E415" s="25"/>
      <c r="F415" s="25"/>
      <c r="G415" s="25"/>
      <c r="H415" s="25"/>
      <c r="I415" s="25"/>
      <c r="J415" s="26"/>
      <c r="K415" s="26"/>
      <c r="L415" s="26"/>
      <c r="M415" s="1"/>
      <c r="N415" s="1"/>
      <c r="O415" s="64"/>
      <c r="P415" s="1"/>
      <c r="Q415" s="1"/>
      <c r="R415" s="1"/>
      <c r="S415" s="1"/>
      <c r="T415" s="1"/>
    </row>
    <row r="416" spans="1:20">
      <c r="A416" s="96" t="s">
        <v>570</v>
      </c>
      <c r="B416" s="25"/>
      <c r="C416" s="25"/>
      <c r="D416" s="25"/>
      <c r="E416" s="25"/>
      <c r="F416" s="25"/>
      <c r="G416" s="25"/>
      <c r="H416" s="25"/>
      <c r="I416" s="25"/>
      <c r="J416" s="26"/>
      <c r="K416" s="26"/>
      <c r="L416" s="26"/>
      <c r="M416" s="1"/>
      <c r="N416" s="1"/>
      <c r="O416" s="64"/>
      <c r="P416" s="1"/>
      <c r="Q416" s="1"/>
      <c r="R416" s="1"/>
      <c r="S416" s="1"/>
      <c r="T416" s="1"/>
    </row>
    <row r="417" spans="1:20">
      <c r="A417" s="96" t="s">
        <v>571</v>
      </c>
      <c r="B417" s="25"/>
      <c r="C417" s="25"/>
      <c r="D417" s="25"/>
      <c r="E417" s="25"/>
      <c r="F417" s="25"/>
      <c r="G417" s="25"/>
      <c r="H417" s="25"/>
      <c r="I417" s="25"/>
      <c r="J417" s="26"/>
      <c r="K417" s="26"/>
      <c r="L417" s="26"/>
      <c r="M417" s="1"/>
      <c r="N417" s="1"/>
      <c r="O417" s="64"/>
      <c r="P417" s="1"/>
      <c r="Q417" s="1"/>
      <c r="R417" s="1"/>
      <c r="S417" s="1"/>
      <c r="T417" s="1"/>
    </row>
    <row r="418" spans="1:20">
      <c r="A418" s="96" t="s">
        <v>572</v>
      </c>
      <c r="B418" s="25"/>
      <c r="C418" s="25"/>
      <c r="D418" s="25"/>
      <c r="E418" s="25"/>
      <c r="F418" s="25"/>
      <c r="G418" s="25"/>
      <c r="H418" s="25"/>
      <c r="I418" s="25"/>
      <c r="J418" s="26"/>
      <c r="K418" s="26"/>
      <c r="L418" s="26"/>
      <c r="M418" s="1"/>
      <c r="N418" s="1"/>
      <c r="O418" s="64"/>
      <c r="P418" s="1"/>
      <c r="Q418" s="1"/>
      <c r="R418" s="1"/>
      <c r="S418" s="1"/>
      <c r="T418" s="1"/>
    </row>
    <row r="419" spans="1:20">
      <c r="A419" s="29" t="s">
        <v>505</v>
      </c>
      <c r="B419" s="25"/>
      <c r="C419" s="25"/>
      <c r="D419" s="25"/>
      <c r="E419" s="25"/>
      <c r="F419" s="25"/>
      <c r="G419" s="25"/>
      <c r="H419" s="25"/>
      <c r="I419" s="25"/>
      <c r="J419" s="26"/>
      <c r="K419" s="26"/>
      <c r="L419" s="26"/>
      <c r="M419" s="1"/>
      <c r="N419" s="1"/>
      <c r="O419" s="64"/>
      <c r="P419" s="1"/>
      <c r="Q419" s="1"/>
      <c r="R419" s="1"/>
      <c r="S419" s="1"/>
      <c r="T419" s="1"/>
    </row>
    <row r="420" spans="1:20">
      <c r="A420" s="29"/>
      <c r="B420" s="25"/>
      <c r="C420" s="25"/>
      <c r="D420" s="25"/>
      <c r="E420" s="25"/>
      <c r="F420" s="25"/>
      <c r="G420" s="25"/>
      <c r="H420" s="25"/>
      <c r="I420" s="25"/>
      <c r="J420" s="26"/>
      <c r="K420" s="26"/>
      <c r="L420" s="26"/>
      <c r="M420" s="1"/>
      <c r="N420" s="1"/>
      <c r="O420" s="64"/>
      <c r="P420" s="1"/>
      <c r="Q420" s="1"/>
      <c r="R420" s="1"/>
      <c r="S420" s="1"/>
      <c r="T420" s="1"/>
    </row>
    <row r="421" spans="1:20">
      <c r="A421" s="96" t="s">
        <v>579</v>
      </c>
      <c r="B421" s="25"/>
      <c r="C421" s="25"/>
      <c r="D421" s="25"/>
      <c r="E421" s="25"/>
      <c r="F421" s="25"/>
      <c r="G421" s="25"/>
      <c r="H421" s="25"/>
      <c r="I421" s="25"/>
      <c r="J421" s="26"/>
      <c r="K421" s="26"/>
      <c r="L421" s="26"/>
      <c r="M421" s="1"/>
      <c r="N421" s="1"/>
      <c r="O421" s="64"/>
      <c r="P421" s="1"/>
      <c r="Q421" s="1"/>
      <c r="R421" s="1"/>
      <c r="S421" s="1"/>
      <c r="T421" s="1"/>
    </row>
    <row r="422" spans="1:20">
      <c r="A422" s="28" t="s">
        <v>460</v>
      </c>
      <c r="B422" s="25"/>
      <c r="C422" s="25"/>
      <c r="D422" s="25"/>
      <c r="E422" s="25"/>
      <c r="F422" s="25"/>
      <c r="G422" s="25"/>
      <c r="H422" s="25"/>
      <c r="I422" s="25"/>
      <c r="J422" s="26"/>
      <c r="K422" s="26"/>
      <c r="L422" s="26"/>
      <c r="M422" s="1"/>
      <c r="N422" s="1"/>
      <c r="O422" s="64"/>
      <c r="P422" s="1"/>
      <c r="Q422" s="1"/>
      <c r="R422" s="1"/>
      <c r="S422" s="1"/>
      <c r="T422" s="1"/>
    </row>
    <row r="423" spans="1:20" ht="13.5" thickBot="1">
      <c r="A423" s="30" t="s">
        <v>484</v>
      </c>
      <c r="B423" s="31"/>
      <c r="C423" s="31"/>
      <c r="D423" s="31"/>
      <c r="E423" s="31"/>
      <c r="F423" s="31"/>
      <c r="G423" s="31"/>
      <c r="H423" s="31"/>
      <c r="I423" s="31"/>
      <c r="J423" s="32"/>
      <c r="K423" s="32"/>
      <c r="L423" s="32"/>
      <c r="M423" s="31"/>
      <c r="N423" s="31"/>
      <c r="O423" s="81"/>
      <c r="P423" s="1"/>
      <c r="Q423" s="1"/>
      <c r="R423" s="1"/>
      <c r="S423" s="1"/>
      <c r="T423" s="1"/>
    </row>
    <row r="424" spans="1:20">
      <c r="A424" s="4"/>
      <c r="B424" s="1"/>
      <c r="C424" s="1"/>
      <c r="D424" s="1"/>
      <c r="E424" s="1"/>
      <c r="F424" s="1"/>
      <c r="G424" s="1"/>
      <c r="H424" s="1"/>
      <c r="I424" s="1"/>
      <c r="J424" s="3"/>
      <c r="K424" s="3"/>
      <c r="L424" s="3"/>
      <c r="M424" s="1"/>
      <c r="N424" s="1"/>
      <c r="O424" s="1"/>
      <c r="P424" s="1"/>
      <c r="Q424" s="1"/>
      <c r="R424" s="1"/>
      <c r="S424" s="1"/>
      <c r="T424" s="1"/>
    </row>
    <row r="425" spans="1:20">
      <c r="A425" s="4"/>
      <c r="B425" s="1"/>
      <c r="C425" s="1"/>
      <c r="D425" s="1"/>
      <c r="E425" s="1"/>
      <c r="F425" s="1"/>
      <c r="G425" s="1"/>
      <c r="H425" s="1"/>
      <c r="I425" s="1"/>
      <c r="J425" s="3"/>
      <c r="K425" s="3"/>
      <c r="L425" s="3"/>
      <c r="M425" s="1"/>
      <c r="N425" s="1"/>
      <c r="O425" s="1"/>
      <c r="P425" s="1"/>
      <c r="Q425" s="1"/>
      <c r="R425" s="1"/>
      <c r="S425" s="1"/>
      <c r="T425" s="1"/>
    </row>
    <row r="426" spans="1:20">
      <c r="A426" s="2"/>
      <c r="B426" s="2"/>
      <c r="C426" s="2"/>
      <c r="D426" s="2"/>
      <c r="E426" s="2"/>
      <c r="F426" s="2"/>
      <c r="G426" s="2"/>
      <c r="H426" s="2"/>
      <c r="I426" s="2"/>
      <c r="J426" s="2"/>
      <c r="K426" s="2"/>
      <c r="L426" s="2"/>
      <c r="M426" s="2"/>
      <c r="N426" s="2"/>
      <c r="O426" s="2"/>
      <c r="P426" s="2"/>
      <c r="Q426" s="2"/>
      <c r="R426" s="2"/>
      <c r="S426" s="2"/>
      <c r="T426"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rowBreaks count="1" manualBreakCount="1">
    <brk id="412" max="14" man="1"/>
  </rowBreaks>
  <ignoredErrors>
    <ignoredError sqref="L411 F41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T425"/>
  <sheetViews>
    <sheetView workbookViewId="0">
      <selection activeCell="C6" sqref="C6"/>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7" t="s">
        <v>461</v>
      </c>
      <c r="B1" s="198"/>
      <c r="C1" s="198"/>
      <c r="D1" s="198"/>
      <c r="E1" s="198"/>
      <c r="F1" s="198"/>
      <c r="G1" s="198"/>
      <c r="H1" s="198"/>
      <c r="I1" s="198"/>
      <c r="J1" s="198"/>
      <c r="K1" s="198"/>
      <c r="L1" s="198"/>
      <c r="M1" s="198"/>
      <c r="N1" s="198"/>
      <c r="O1" s="199"/>
    </row>
    <row r="2" spans="1:20" ht="18">
      <c r="A2" s="41"/>
      <c r="B2" s="42"/>
      <c r="C2" s="43"/>
      <c r="D2" s="200" t="s">
        <v>483</v>
      </c>
      <c r="E2" s="201"/>
      <c r="F2" s="201"/>
      <c r="G2" s="201"/>
      <c r="H2" s="202"/>
      <c r="I2" s="44"/>
      <c r="J2" s="61" t="s">
        <v>456</v>
      </c>
      <c r="K2" s="45"/>
      <c r="L2" s="68"/>
      <c r="M2" s="201" t="s">
        <v>503</v>
      </c>
      <c r="N2" s="201"/>
      <c r="O2" s="203"/>
    </row>
    <row r="3" spans="1:20" ht="12.75" customHeight="1">
      <c r="A3" s="46"/>
      <c r="B3" s="47"/>
      <c r="C3" s="48">
        <v>2000</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94" t="s">
        <v>574</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6098</v>
      </c>
      <c r="D6" s="18"/>
      <c r="E6" s="18">
        <v>379613680</v>
      </c>
      <c r="F6" s="38">
        <f t="shared" ref="F6:F37" si="0">(E6/C6)</f>
        <v>62252.161364381762</v>
      </c>
      <c r="G6" s="18">
        <v>232409660</v>
      </c>
      <c r="H6" s="39">
        <f t="shared" ref="H6:H37" si="1">(G6/C6)</f>
        <v>38112.440144309607</v>
      </c>
      <c r="I6" s="15"/>
      <c r="J6" s="17">
        <v>5.9</v>
      </c>
      <c r="K6" s="40">
        <v>1371216</v>
      </c>
      <c r="L6" s="84">
        <f t="shared" ref="L6:L14" si="2">(K6/C6)</f>
        <v>224.863233847163</v>
      </c>
      <c r="M6" s="65">
        <f>(G6*0.01)</f>
        <v>2324096.6</v>
      </c>
      <c r="N6" s="83">
        <f>(M6-K6)</f>
        <v>952880.60000000009</v>
      </c>
      <c r="O6" s="62">
        <f>(N6/C6)</f>
        <v>156.2611675959331</v>
      </c>
      <c r="P6" s="5"/>
      <c r="Q6" s="5">
        <f>IF(E6&gt;0,1,0)</f>
        <v>1</v>
      </c>
      <c r="R6" s="7">
        <f>IF(E6&gt;0,C6,0)</f>
        <v>6098</v>
      </c>
      <c r="S6" s="5">
        <f>IF(J6&gt;0,1,0)</f>
        <v>1</v>
      </c>
      <c r="T6" s="7">
        <f>IF(J6&gt;0,C6,0)</f>
        <v>6098</v>
      </c>
    </row>
    <row r="7" spans="1:20">
      <c r="A7" s="23" t="s">
        <v>9</v>
      </c>
      <c r="B7" s="35" t="s">
        <v>8</v>
      </c>
      <c r="C7" s="36">
        <v>1289</v>
      </c>
      <c r="D7" s="6"/>
      <c r="E7" s="113">
        <v>32809654</v>
      </c>
      <c r="F7" s="116">
        <f t="shared" si="0"/>
        <v>25453.571761055082</v>
      </c>
      <c r="G7" s="113">
        <v>18933384</v>
      </c>
      <c r="H7" s="117">
        <f t="shared" si="1"/>
        <v>14688.428238944918</v>
      </c>
      <c r="I7" s="7"/>
      <c r="J7" s="10">
        <v>4</v>
      </c>
      <c r="K7" s="117">
        <v>75733</v>
      </c>
      <c r="L7" s="120">
        <f t="shared" si="2"/>
        <v>58.753297129557794</v>
      </c>
      <c r="M7" s="122">
        <f>(G7*0.01)</f>
        <v>189333.84</v>
      </c>
      <c r="N7" s="116">
        <f>(M7-K7)</f>
        <v>113600.84</v>
      </c>
      <c r="O7" s="123">
        <f>(N7/C7)</f>
        <v>88.130985259891389</v>
      </c>
      <c r="P7" s="5"/>
      <c r="Q7" s="5">
        <f t="shared" ref="Q7:Q70" si="3">IF(E7&gt;0,1,0)</f>
        <v>1</v>
      </c>
      <c r="R7" s="7">
        <f t="shared" ref="R7:R70" si="4">IF(E7&gt;0,C7,0)</f>
        <v>1289</v>
      </c>
      <c r="S7" s="5">
        <f t="shared" ref="S7:S70" si="5">IF(J7&gt;0,1,0)</f>
        <v>1</v>
      </c>
      <c r="T7" s="7">
        <f t="shared" ref="T7:T70" si="6">IF(J7&gt;0,C7,0)</f>
        <v>1289</v>
      </c>
    </row>
    <row r="8" spans="1:20">
      <c r="A8" s="23" t="s">
        <v>10</v>
      </c>
      <c r="B8" s="35" t="s">
        <v>8</v>
      </c>
      <c r="C8" s="36">
        <v>95447</v>
      </c>
      <c r="D8" s="6"/>
      <c r="E8" s="113">
        <v>6221260827</v>
      </c>
      <c r="F8" s="116">
        <f t="shared" si="0"/>
        <v>65180.265770532336</v>
      </c>
      <c r="G8" s="113">
        <v>2521712589</v>
      </c>
      <c r="H8" s="117">
        <f t="shared" si="1"/>
        <v>26420.029849026159</v>
      </c>
      <c r="I8" s="7"/>
      <c r="J8" s="10">
        <v>4.9416000000000002</v>
      </c>
      <c r="K8" s="117">
        <v>12461294</v>
      </c>
      <c r="L8" s="120">
        <f t="shared" si="2"/>
        <v>130.55720976039058</v>
      </c>
      <c r="M8" s="122">
        <f t="shared" ref="M8:M71" si="7">(G8*0.01)</f>
        <v>25217125.890000001</v>
      </c>
      <c r="N8" s="116">
        <f t="shared" ref="N8:N71" si="8">(M8-K8)</f>
        <v>12755831.890000001</v>
      </c>
      <c r="O8" s="123">
        <f t="shared" ref="O8:O71" si="9">(N8/C8)</f>
        <v>133.64308872987104</v>
      </c>
      <c r="P8" s="5"/>
      <c r="Q8" s="5">
        <f t="shared" si="3"/>
        <v>1</v>
      </c>
      <c r="R8" s="7">
        <f t="shared" si="4"/>
        <v>95447</v>
      </c>
      <c r="S8" s="5">
        <f t="shared" si="5"/>
        <v>1</v>
      </c>
      <c r="T8" s="7">
        <f t="shared" si="6"/>
        <v>95447</v>
      </c>
    </row>
    <row r="9" spans="1:20">
      <c r="A9" s="23" t="s">
        <v>11</v>
      </c>
      <c r="B9" s="35" t="s">
        <v>8</v>
      </c>
      <c r="C9" s="36">
        <v>1415</v>
      </c>
      <c r="D9" s="6"/>
      <c r="E9" s="113">
        <v>54508676</v>
      </c>
      <c r="F9" s="116">
        <f t="shared" si="0"/>
        <v>38522.032508833923</v>
      </c>
      <c r="G9" s="117">
        <v>25776941</v>
      </c>
      <c r="H9" s="117">
        <f t="shared" si="1"/>
        <v>18216.919434628977</v>
      </c>
      <c r="I9" s="7"/>
      <c r="J9" s="10">
        <v>5.4184999999999999</v>
      </c>
      <c r="K9" s="117">
        <v>139672</v>
      </c>
      <c r="L9" s="120">
        <f t="shared" si="2"/>
        <v>98.708127208480562</v>
      </c>
      <c r="M9" s="122">
        <f t="shared" si="7"/>
        <v>257769.41</v>
      </c>
      <c r="N9" s="116">
        <f t="shared" si="8"/>
        <v>118097.41</v>
      </c>
      <c r="O9" s="123">
        <f t="shared" si="9"/>
        <v>83.461067137809195</v>
      </c>
      <c r="P9" s="5"/>
      <c r="Q9" s="5">
        <f t="shared" si="3"/>
        <v>1</v>
      </c>
      <c r="R9" s="7">
        <f t="shared" si="4"/>
        <v>1415</v>
      </c>
      <c r="S9" s="5">
        <f t="shared" si="5"/>
        <v>1</v>
      </c>
      <c r="T9" s="7">
        <f t="shared" si="6"/>
        <v>1415</v>
      </c>
    </row>
    <row r="10" spans="1:20">
      <c r="A10" s="23" t="s">
        <v>12</v>
      </c>
      <c r="B10" s="35" t="s">
        <v>8</v>
      </c>
      <c r="C10" s="36">
        <v>3863</v>
      </c>
      <c r="D10" s="6"/>
      <c r="E10" s="113">
        <v>152009898</v>
      </c>
      <c r="F10" s="116">
        <f t="shared" si="0"/>
        <v>39350.219518508929</v>
      </c>
      <c r="G10" s="117">
        <v>86898762</v>
      </c>
      <c r="H10" s="117">
        <f t="shared" si="1"/>
        <v>22495.149365777892</v>
      </c>
      <c r="I10" s="7"/>
      <c r="J10" s="10">
        <v>6.25</v>
      </c>
      <c r="K10" s="117">
        <v>543117</v>
      </c>
      <c r="L10" s="120">
        <f t="shared" si="2"/>
        <v>140.59461558374321</v>
      </c>
      <c r="M10" s="122">
        <f t="shared" si="7"/>
        <v>868987.62</v>
      </c>
      <c r="N10" s="116">
        <f t="shared" si="8"/>
        <v>325870.62</v>
      </c>
      <c r="O10" s="123">
        <f t="shared" si="9"/>
        <v>84.35687807403572</v>
      </c>
      <c r="P10" s="5"/>
      <c r="Q10" s="5">
        <f t="shared" si="3"/>
        <v>1</v>
      </c>
      <c r="R10" s="7">
        <f t="shared" si="4"/>
        <v>3863</v>
      </c>
      <c r="S10" s="5">
        <f t="shared" si="5"/>
        <v>1</v>
      </c>
      <c r="T10" s="7">
        <f t="shared" si="6"/>
        <v>3863</v>
      </c>
    </row>
    <row r="11" spans="1:20">
      <c r="A11" s="23" t="s">
        <v>559</v>
      </c>
      <c r="B11" s="35" t="s">
        <v>8</v>
      </c>
      <c r="C11" s="36">
        <v>143</v>
      </c>
      <c r="D11" s="6"/>
      <c r="E11" s="113">
        <v>5737571</v>
      </c>
      <c r="F11" s="116">
        <f t="shared" si="0"/>
        <v>40122.874125874128</v>
      </c>
      <c r="G11" s="117">
        <v>3105321</v>
      </c>
      <c r="H11" s="117">
        <f t="shared" si="1"/>
        <v>21715.53146853147</v>
      </c>
      <c r="I11" s="7"/>
      <c r="J11" s="10">
        <v>4</v>
      </c>
      <c r="K11" s="117">
        <v>12421</v>
      </c>
      <c r="L11" s="120">
        <f t="shared" si="2"/>
        <v>86.860139860139867</v>
      </c>
      <c r="M11" s="122">
        <f t="shared" si="7"/>
        <v>31053.21</v>
      </c>
      <c r="N11" s="116">
        <f t="shared" si="8"/>
        <v>18632.21</v>
      </c>
      <c r="O11" s="123">
        <f t="shared" si="9"/>
        <v>130.29517482517483</v>
      </c>
      <c r="P11" s="5"/>
      <c r="Q11" s="5">
        <f t="shared" si="3"/>
        <v>1</v>
      </c>
      <c r="R11" s="7">
        <f t="shared" si="4"/>
        <v>143</v>
      </c>
      <c r="S11" s="5">
        <f t="shared" si="5"/>
        <v>1</v>
      </c>
      <c r="T11" s="7">
        <f t="shared" si="6"/>
        <v>143</v>
      </c>
    </row>
    <row r="12" spans="1:20">
      <c r="A12" s="23" t="s">
        <v>13</v>
      </c>
      <c r="B12" s="35" t="s">
        <v>8</v>
      </c>
      <c r="C12" s="36">
        <v>653</v>
      </c>
      <c r="D12" s="6"/>
      <c r="E12" s="113">
        <v>21038456</v>
      </c>
      <c r="F12" s="116">
        <f t="shared" si="0"/>
        <v>32218.156202143949</v>
      </c>
      <c r="G12" s="117">
        <v>12662896</v>
      </c>
      <c r="H12" s="117">
        <f t="shared" si="1"/>
        <v>19391.877488514547</v>
      </c>
      <c r="I12" s="7"/>
      <c r="J12" s="10">
        <v>6</v>
      </c>
      <c r="K12" s="117">
        <v>75977</v>
      </c>
      <c r="L12" s="120">
        <f t="shared" si="2"/>
        <v>116.35068912710567</v>
      </c>
      <c r="M12" s="122">
        <f t="shared" si="7"/>
        <v>126628.96</v>
      </c>
      <c r="N12" s="116">
        <f t="shared" si="8"/>
        <v>50651.960000000006</v>
      </c>
      <c r="O12" s="123">
        <f t="shared" si="9"/>
        <v>77.568085758039828</v>
      </c>
      <c r="P12" s="5"/>
      <c r="Q12" s="5">
        <f t="shared" si="3"/>
        <v>1</v>
      </c>
      <c r="R12" s="7">
        <f t="shared" si="4"/>
        <v>653</v>
      </c>
      <c r="S12" s="5">
        <f t="shared" si="5"/>
        <v>1</v>
      </c>
      <c r="T12" s="7">
        <f t="shared" si="6"/>
        <v>653</v>
      </c>
    </row>
    <row r="13" spans="1:20">
      <c r="A13" s="23" t="s">
        <v>14</v>
      </c>
      <c r="B13" s="35" t="s">
        <v>8</v>
      </c>
      <c r="C13" s="36">
        <v>3316</v>
      </c>
      <c r="D13" s="6"/>
      <c r="E13" s="113">
        <v>197076700</v>
      </c>
      <c r="F13" s="116">
        <f t="shared" si="0"/>
        <v>59432.056694813029</v>
      </c>
      <c r="G13" s="117">
        <v>114876920</v>
      </c>
      <c r="H13" s="117">
        <f t="shared" si="1"/>
        <v>34643.22074788902</v>
      </c>
      <c r="I13" s="7"/>
      <c r="J13" s="10">
        <v>3.18</v>
      </c>
      <c r="K13" s="117">
        <v>365308</v>
      </c>
      <c r="L13" s="120">
        <f t="shared" si="2"/>
        <v>110.16525934861279</v>
      </c>
      <c r="M13" s="122">
        <f t="shared" si="7"/>
        <v>1148769.2</v>
      </c>
      <c r="N13" s="116">
        <f t="shared" si="8"/>
        <v>783461.2</v>
      </c>
      <c r="O13" s="123">
        <f t="shared" si="9"/>
        <v>236.26694813027743</v>
      </c>
      <c r="P13" s="5"/>
      <c r="Q13" s="5">
        <f t="shared" si="3"/>
        <v>1</v>
      </c>
      <c r="R13" s="7">
        <f t="shared" si="4"/>
        <v>3316</v>
      </c>
      <c r="S13" s="5">
        <f t="shared" si="5"/>
        <v>1</v>
      </c>
      <c r="T13" s="7">
        <f t="shared" si="6"/>
        <v>3316</v>
      </c>
    </row>
    <row r="14" spans="1:20">
      <c r="A14" s="23" t="s">
        <v>15</v>
      </c>
      <c r="B14" s="35" t="s">
        <v>8</v>
      </c>
      <c r="C14" s="36">
        <v>821</v>
      </c>
      <c r="D14" s="6"/>
      <c r="E14" s="113">
        <v>24735030</v>
      </c>
      <c r="F14" s="116">
        <f t="shared" si="0"/>
        <v>30127.929354445798</v>
      </c>
      <c r="G14" s="117">
        <v>12597605</v>
      </c>
      <c r="H14" s="117">
        <f t="shared" si="1"/>
        <v>15344.220462850182</v>
      </c>
      <c r="I14" s="7"/>
      <c r="J14" s="10">
        <v>5.0313999999999997</v>
      </c>
      <c r="K14" s="117">
        <v>63383</v>
      </c>
      <c r="L14" s="120">
        <f t="shared" si="2"/>
        <v>77.202192448233859</v>
      </c>
      <c r="M14" s="122">
        <f t="shared" si="7"/>
        <v>125976.05</v>
      </c>
      <c r="N14" s="116">
        <f t="shared" si="8"/>
        <v>62593.05</v>
      </c>
      <c r="O14" s="123">
        <f t="shared" si="9"/>
        <v>76.240012180267968</v>
      </c>
      <c r="P14" s="5"/>
      <c r="Q14" s="5">
        <f t="shared" si="3"/>
        <v>1</v>
      </c>
      <c r="R14" s="7">
        <f t="shared" si="4"/>
        <v>821</v>
      </c>
      <c r="S14" s="5">
        <f t="shared" si="5"/>
        <v>1</v>
      </c>
      <c r="T14" s="7">
        <f t="shared" si="6"/>
        <v>821</v>
      </c>
    </row>
    <row r="15" spans="1:20">
      <c r="A15" s="23" t="s">
        <v>544</v>
      </c>
      <c r="B15" s="35" t="s">
        <v>16</v>
      </c>
      <c r="C15" s="36">
        <v>473</v>
      </c>
      <c r="D15" s="6"/>
      <c r="E15" s="113">
        <v>10006151</v>
      </c>
      <c r="F15" s="116">
        <f t="shared" si="0"/>
        <v>21154.653276955603</v>
      </c>
      <c r="G15" s="117">
        <v>5882946</v>
      </c>
      <c r="H15" s="117">
        <f t="shared" si="1"/>
        <v>12437.517970401692</v>
      </c>
      <c r="I15" s="98" t="s">
        <v>528</v>
      </c>
      <c r="J15" s="10"/>
      <c r="K15" s="117"/>
      <c r="L15" s="120"/>
      <c r="M15" s="122">
        <f t="shared" si="7"/>
        <v>58829.46</v>
      </c>
      <c r="N15" s="116">
        <f t="shared" si="8"/>
        <v>58829.46</v>
      </c>
      <c r="O15" s="123">
        <f t="shared" si="9"/>
        <v>124.37517970401692</v>
      </c>
      <c r="P15" s="5"/>
      <c r="Q15" s="5">
        <f t="shared" si="3"/>
        <v>1</v>
      </c>
      <c r="R15" s="7">
        <f t="shared" si="4"/>
        <v>473</v>
      </c>
      <c r="S15" s="5">
        <f t="shared" si="5"/>
        <v>0</v>
      </c>
      <c r="T15" s="7">
        <f t="shared" si="6"/>
        <v>0</v>
      </c>
    </row>
    <row r="16" spans="1:20">
      <c r="A16" s="23" t="s">
        <v>17</v>
      </c>
      <c r="B16" s="35" t="s">
        <v>16</v>
      </c>
      <c r="C16" s="36">
        <v>4459</v>
      </c>
      <c r="D16" s="6"/>
      <c r="E16" s="113">
        <v>147477689</v>
      </c>
      <c r="F16" s="116">
        <f t="shared" si="0"/>
        <v>33074.162143978472</v>
      </c>
      <c r="G16" s="117">
        <v>86803840</v>
      </c>
      <c r="H16" s="117">
        <f t="shared" si="1"/>
        <v>19467.1092173133</v>
      </c>
      <c r="I16" s="7"/>
      <c r="J16" s="10">
        <v>3.65</v>
      </c>
      <c r="K16" s="117">
        <v>316834</v>
      </c>
      <c r="L16" s="120">
        <f>(K16/C16)</f>
        <v>71.054945054945051</v>
      </c>
      <c r="M16" s="122">
        <f t="shared" si="7"/>
        <v>868038.4</v>
      </c>
      <c r="N16" s="116">
        <f t="shared" si="8"/>
        <v>551204.4</v>
      </c>
      <c r="O16" s="123">
        <f t="shared" si="9"/>
        <v>123.61614711818794</v>
      </c>
      <c r="P16" s="5"/>
      <c r="Q16" s="5">
        <f t="shared" si="3"/>
        <v>1</v>
      </c>
      <c r="R16" s="7">
        <f t="shared" si="4"/>
        <v>4459</v>
      </c>
      <c r="S16" s="5">
        <f t="shared" si="5"/>
        <v>1</v>
      </c>
      <c r="T16" s="7">
        <f t="shared" si="6"/>
        <v>4459</v>
      </c>
    </row>
    <row r="17" spans="1:20">
      <c r="A17" s="23" t="s">
        <v>18</v>
      </c>
      <c r="B17" s="35" t="s">
        <v>19</v>
      </c>
      <c r="C17" s="36">
        <v>14233</v>
      </c>
      <c r="D17" s="6"/>
      <c r="E17" s="113">
        <v>362507300</v>
      </c>
      <c r="F17" s="116">
        <f t="shared" si="0"/>
        <v>25469.493430759503</v>
      </c>
      <c r="G17" s="117">
        <v>267966773</v>
      </c>
      <c r="H17" s="117">
        <f t="shared" si="1"/>
        <v>18827.146279772362</v>
      </c>
      <c r="I17" s="98" t="s">
        <v>528</v>
      </c>
      <c r="J17" s="10"/>
      <c r="K17" s="117"/>
      <c r="L17" s="120"/>
      <c r="M17" s="122">
        <f t="shared" si="7"/>
        <v>2679667.73</v>
      </c>
      <c r="N17" s="116">
        <f t="shared" si="8"/>
        <v>2679667.73</v>
      </c>
      <c r="O17" s="123">
        <f t="shared" si="9"/>
        <v>188.27146279772359</v>
      </c>
      <c r="P17" s="5"/>
      <c r="Q17" s="5">
        <f t="shared" si="3"/>
        <v>1</v>
      </c>
      <c r="R17" s="7">
        <f t="shared" si="4"/>
        <v>14233</v>
      </c>
      <c r="S17" s="5">
        <f t="shared" si="5"/>
        <v>0</v>
      </c>
      <c r="T17" s="7">
        <f t="shared" si="6"/>
        <v>0</v>
      </c>
    </row>
    <row r="18" spans="1:20">
      <c r="A18" s="23" t="s">
        <v>20</v>
      </c>
      <c r="B18" s="35" t="s">
        <v>19</v>
      </c>
      <c r="C18" s="36">
        <v>5367</v>
      </c>
      <c r="D18" s="6"/>
      <c r="E18" s="113">
        <v>124148425</v>
      </c>
      <c r="F18" s="116">
        <f t="shared" si="0"/>
        <v>23131.810136016396</v>
      </c>
      <c r="G18" s="117">
        <v>68866285</v>
      </c>
      <c r="H18" s="117">
        <f t="shared" si="1"/>
        <v>12831.430035401529</v>
      </c>
      <c r="I18" s="98" t="s">
        <v>528</v>
      </c>
      <c r="J18" s="10"/>
      <c r="K18" s="117"/>
      <c r="L18" s="120"/>
      <c r="M18" s="122">
        <f t="shared" si="7"/>
        <v>688662.85</v>
      </c>
      <c r="N18" s="116">
        <f t="shared" si="8"/>
        <v>688662.85</v>
      </c>
      <c r="O18" s="123">
        <f t="shared" si="9"/>
        <v>128.31430035401527</v>
      </c>
      <c r="P18" s="5"/>
      <c r="Q18" s="5">
        <f t="shared" si="3"/>
        <v>1</v>
      </c>
      <c r="R18" s="7">
        <f t="shared" si="4"/>
        <v>5367</v>
      </c>
      <c r="S18" s="5">
        <f t="shared" si="5"/>
        <v>0</v>
      </c>
      <c r="T18" s="7">
        <f t="shared" si="6"/>
        <v>0</v>
      </c>
    </row>
    <row r="19" spans="1:20">
      <c r="A19" s="23" t="s">
        <v>21</v>
      </c>
      <c r="B19" s="35" t="s">
        <v>19</v>
      </c>
      <c r="C19" s="36">
        <v>12451</v>
      </c>
      <c r="D19" s="6"/>
      <c r="E19" s="113">
        <v>590019348</v>
      </c>
      <c r="F19" s="116">
        <f t="shared" si="0"/>
        <v>47387.306079832946</v>
      </c>
      <c r="G19" s="117">
        <v>369180663</v>
      </c>
      <c r="H19" s="117">
        <f t="shared" si="1"/>
        <v>29650.683720183119</v>
      </c>
      <c r="I19" s="7"/>
      <c r="J19" s="10">
        <v>4</v>
      </c>
      <c r="K19" s="117">
        <v>1476722</v>
      </c>
      <c r="L19" s="120">
        <f>(K19/C19)</f>
        <v>118.6026825154606</v>
      </c>
      <c r="M19" s="122">
        <f t="shared" si="7"/>
        <v>3691806.63</v>
      </c>
      <c r="N19" s="116">
        <f t="shared" si="8"/>
        <v>2215084.63</v>
      </c>
      <c r="O19" s="123">
        <f t="shared" si="9"/>
        <v>177.90415468637056</v>
      </c>
      <c r="P19" s="5"/>
      <c r="Q19" s="5">
        <f t="shared" si="3"/>
        <v>1</v>
      </c>
      <c r="R19" s="7">
        <f t="shared" si="4"/>
        <v>12451</v>
      </c>
      <c r="S19" s="5">
        <f t="shared" si="5"/>
        <v>1</v>
      </c>
      <c r="T19" s="7">
        <f t="shared" si="6"/>
        <v>12451</v>
      </c>
    </row>
    <row r="20" spans="1:20">
      <c r="A20" s="23" t="s">
        <v>22</v>
      </c>
      <c r="B20" s="35" t="s">
        <v>19</v>
      </c>
      <c r="C20" s="36">
        <v>1017</v>
      </c>
      <c r="D20" s="6"/>
      <c r="E20" s="113">
        <v>107847319</v>
      </c>
      <c r="F20" s="116">
        <f t="shared" si="0"/>
        <v>106044.56145526057</v>
      </c>
      <c r="G20" s="117">
        <v>86778257</v>
      </c>
      <c r="H20" s="117">
        <f t="shared" si="1"/>
        <v>85327.686332350044</v>
      </c>
      <c r="I20" s="7"/>
      <c r="J20" s="11">
        <v>4.91</v>
      </c>
      <c r="K20" s="117">
        <v>426081</v>
      </c>
      <c r="L20" s="120">
        <f>(K20/C20)</f>
        <v>418.95870206489673</v>
      </c>
      <c r="M20" s="122">
        <f t="shared" si="7"/>
        <v>867782.57000000007</v>
      </c>
      <c r="N20" s="116">
        <f t="shared" si="8"/>
        <v>441701.57000000007</v>
      </c>
      <c r="O20" s="123">
        <f t="shared" si="9"/>
        <v>434.31816125860382</v>
      </c>
      <c r="P20" s="5"/>
      <c r="Q20" s="5">
        <f t="shared" si="3"/>
        <v>1</v>
      </c>
      <c r="R20" s="7">
        <f t="shared" si="4"/>
        <v>1017</v>
      </c>
      <c r="S20" s="5">
        <f t="shared" si="5"/>
        <v>1</v>
      </c>
      <c r="T20" s="7">
        <f t="shared" si="6"/>
        <v>1017</v>
      </c>
    </row>
    <row r="21" spans="1:20">
      <c r="A21" s="23" t="s">
        <v>23</v>
      </c>
      <c r="B21" s="35" t="s">
        <v>19</v>
      </c>
      <c r="C21" s="36">
        <v>36417</v>
      </c>
      <c r="D21" s="6"/>
      <c r="E21" s="113">
        <v>1844592146</v>
      </c>
      <c r="F21" s="116">
        <f t="shared" si="0"/>
        <v>50651.952275036383</v>
      </c>
      <c r="G21" s="117">
        <v>1218948971</v>
      </c>
      <c r="H21" s="117">
        <f t="shared" si="1"/>
        <v>33471.976576873436</v>
      </c>
      <c r="I21" s="7"/>
      <c r="J21" s="10">
        <v>5</v>
      </c>
      <c r="K21" s="117">
        <v>6094744</v>
      </c>
      <c r="L21" s="120">
        <f>(K21/C21)</f>
        <v>167.35985940632122</v>
      </c>
      <c r="M21" s="122">
        <f t="shared" si="7"/>
        <v>12189489.710000001</v>
      </c>
      <c r="N21" s="116">
        <f t="shared" si="8"/>
        <v>6094745.7100000009</v>
      </c>
      <c r="O21" s="123">
        <f t="shared" si="9"/>
        <v>167.35990636241317</v>
      </c>
      <c r="P21" s="5"/>
      <c r="Q21" s="5">
        <f t="shared" si="3"/>
        <v>1</v>
      </c>
      <c r="R21" s="7">
        <f t="shared" si="4"/>
        <v>36417</v>
      </c>
      <c r="S21" s="5">
        <f t="shared" si="5"/>
        <v>1</v>
      </c>
      <c r="T21" s="7">
        <f t="shared" si="6"/>
        <v>36417</v>
      </c>
    </row>
    <row r="22" spans="1:20">
      <c r="A22" s="23" t="s">
        <v>24</v>
      </c>
      <c r="B22" s="35" t="s">
        <v>19</v>
      </c>
      <c r="C22" s="36">
        <v>7671</v>
      </c>
      <c r="D22" s="6"/>
      <c r="E22" s="113">
        <v>1149252509</v>
      </c>
      <c r="F22" s="116">
        <f t="shared" si="0"/>
        <v>149817.82153565375</v>
      </c>
      <c r="G22" s="117">
        <v>1044961796</v>
      </c>
      <c r="H22" s="117">
        <f t="shared" si="1"/>
        <v>136222.3694433581</v>
      </c>
      <c r="I22" s="98" t="s">
        <v>528</v>
      </c>
      <c r="J22" s="12"/>
      <c r="K22" s="117"/>
      <c r="L22" s="120"/>
      <c r="M22" s="122">
        <f t="shared" si="7"/>
        <v>10449617.960000001</v>
      </c>
      <c r="N22" s="116">
        <f t="shared" si="8"/>
        <v>10449617.960000001</v>
      </c>
      <c r="O22" s="123">
        <f t="shared" si="9"/>
        <v>1362.2236944335812</v>
      </c>
      <c r="P22" s="5"/>
      <c r="Q22" s="5">
        <f t="shared" si="3"/>
        <v>1</v>
      </c>
      <c r="R22" s="7">
        <f t="shared" si="4"/>
        <v>7671</v>
      </c>
      <c r="S22" s="5">
        <f t="shared" si="5"/>
        <v>0</v>
      </c>
      <c r="T22" s="7">
        <f t="shared" si="6"/>
        <v>0</v>
      </c>
    </row>
    <row r="23" spans="1:20">
      <c r="A23" s="23" t="s">
        <v>25</v>
      </c>
      <c r="B23" s="35" t="s">
        <v>19</v>
      </c>
      <c r="C23" s="36">
        <v>4623</v>
      </c>
      <c r="D23" s="6"/>
      <c r="E23" s="113">
        <v>143055291</v>
      </c>
      <c r="F23" s="116">
        <f t="shared" si="0"/>
        <v>30944.255029201817</v>
      </c>
      <c r="G23" s="117">
        <v>105078818</v>
      </c>
      <c r="H23" s="117">
        <f t="shared" si="1"/>
        <v>22729.573437162016</v>
      </c>
      <c r="I23" s="98" t="s">
        <v>528</v>
      </c>
      <c r="J23" s="12"/>
      <c r="K23" s="117"/>
      <c r="L23" s="120"/>
      <c r="M23" s="122">
        <f t="shared" si="7"/>
        <v>1050788.18</v>
      </c>
      <c r="N23" s="116">
        <f t="shared" si="8"/>
        <v>1050788.18</v>
      </c>
      <c r="O23" s="123">
        <f t="shared" si="9"/>
        <v>227.29573437162014</v>
      </c>
      <c r="P23" s="5"/>
      <c r="Q23" s="5">
        <f t="shared" si="3"/>
        <v>1</v>
      </c>
      <c r="R23" s="7">
        <f t="shared" si="4"/>
        <v>4623</v>
      </c>
      <c r="S23" s="5">
        <f t="shared" si="5"/>
        <v>0</v>
      </c>
      <c r="T23" s="7">
        <f t="shared" si="6"/>
        <v>0</v>
      </c>
    </row>
    <row r="24" spans="1:20">
      <c r="A24" s="23" t="s">
        <v>26</v>
      </c>
      <c r="B24" s="35" t="s">
        <v>19</v>
      </c>
      <c r="C24" s="36">
        <v>8810</v>
      </c>
      <c r="D24" s="6"/>
      <c r="E24" s="113">
        <v>160818470</v>
      </c>
      <c r="F24" s="116">
        <f t="shared" si="0"/>
        <v>18254.082860385926</v>
      </c>
      <c r="G24" s="117">
        <v>85698808</v>
      </c>
      <c r="H24" s="117">
        <f t="shared" si="1"/>
        <v>9727.4469920544834</v>
      </c>
      <c r="I24" s="98" t="s">
        <v>528</v>
      </c>
      <c r="J24" s="10"/>
      <c r="K24" s="117"/>
      <c r="L24" s="120"/>
      <c r="M24" s="122">
        <f t="shared" si="7"/>
        <v>856988.08000000007</v>
      </c>
      <c r="N24" s="116">
        <f t="shared" si="8"/>
        <v>856988.08000000007</v>
      </c>
      <c r="O24" s="123">
        <f t="shared" si="9"/>
        <v>97.274469920544846</v>
      </c>
      <c r="P24" s="5"/>
      <c r="Q24" s="5">
        <f t="shared" si="3"/>
        <v>1</v>
      </c>
      <c r="R24" s="7">
        <f t="shared" si="4"/>
        <v>8810</v>
      </c>
      <c r="S24" s="5">
        <f t="shared" si="5"/>
        <v>0</v>
      </c>
      <c r="T24" s="7">
        <f t="shared" si="6"/>
        <v>0</v>
      </c>
    </row>
    <row r="25" spans="1:20">
      <c r="A25" s="23" t="s">
        <v>27</v>
      </c>
      <c r="B25" s="35" t="s">
        <v>28</v>
      </c>
      <c r="C25" s="36">
        <v>352</v>
      </c>
      <c r="D25" s="6"/>
      <c r="E25" s="113">
        <v>6814539</v>
      </c>
      <c r="F25" s="116">
        <f t="shared" si="0"/>
        <v>19359.485795454544</v>
      </c>
      <c r="G25" s="117">
        <v>3171450</v>
      </c>
      <c r="H25" s="117">
        <f t="shared" si="1"/>
        <v>9009.801136363636</v>
      </c>
      <c r="I25" s="7"/>
      <c r="J25" s="10">
        <v>0.53500000000000003</v>
      </c>
      <c r="K25" s="117">
        <v>1696</v>
      </c>
      <c r="L25" s="120">
        <f t="shared" ref="L25:L38" si="10">(K25/C25)</f>
        <v>4.8181818181818183</v>
      </c>
      <c r="M25" s="122">
        <f t="shared" si="7"/>
        <v>31714.5</v>
      </c>
      <c r="N25" s="116">
        <f t="shared" si="8"/>
        <v>30018.5</v>
      </c>
      <c r="O25" s="123">
        <f t="shared" si="9"/>
        <v>85.279829545454547</v>
      </c>
      <c r="P25" s="5"/>
      <c r="Q25" s="5">
        <f t="shared" si="3"/>
        <v>1</v>
      </c>
      <c r="R25" s="7">
        <f t="shared" si="4"/>
        <v>352</v>
      </c>
      <c r="S25" s="5">
        <f t="shared" si="5"/>
        <v>1</v>
      </c>
      <c r="T25" s="7">
        <f t="shared" si="6"/>
        <v>352</v>
      </c>
    </row>
    <row r="26" spans="1:20">
      <c r="A26" s="23" t="s">
        <v>29</v>
      </c>
      <c r="B26" s="35" t="s">
        <v>28</v>
      </c>
      <c r="C26" s="36">
        <v>431</v>
      </c>
      <c r="D26" s="6"/>
      <c r="E26" s="113">
        <v>5748845</v>
      </c>
      <c r="F26" s="116">
        <f t="shared" si="0"/>
        <v>13338.387470997679</v>
      </c>
      <c r="G26" s="117">
        <v>2686762</v>
      </c>
      <c r="H26" s="117">
        <f t="shared" si="1"/>
        <v>6233.7865429234334</v>
      </c>
      <c r="I26" s="7"/>
      <c r="J26" s="10">
        <v>0.57669999999999999</v>
      </c>
      <c r="K26" s="117">
        <v>1549</v>
      </c>
      <c r="L26" s="120">
        <f t="shared" si="10"/>
        <v>3.5939675174013921</v>
      </c>
      <c r="M26" s="122">
        <f t="shared" si="7"/>
        <v>26867.62</v>
      </c>
      <c r="N26" s="116">
        <f t="shared" si="8"/>
        <v>25318.62</v>
      </c>
      <c r="O26" s="123">
        <f t="shared" si="9"/>
        <v>58.743897911832946</v>
      </c>
      <c r="P26" s="5"/>
      <c r="Q26" s="5">
        <f t="shared" si="3"/>
        <v>1</v>
      </c>
      <c r="R26" s="7">
        <f t="shared" si="4"/>
        <v>431</v>
      </c>
      <c r="S26" s="5">
        <f t="shared" si="5"/>
        <v>1</v>
      </c>
      <c r="T26" s="7">
        <f t="shared" si="6"/>
        <v>431</v>
      </c>
    </row>
    <row r="27" spans="1:20">
      <c r="A27" s="23" t="s">
        <v>30</v>
      </c>
      <c r="B27" s="35" t="s">
        <v>28</v>
      </c>
      <c r="C27" s="36">
        <v>656</v>
      </c>
      <c r="D27" s="6"/>
      <c r="E27" s="113">
        <v>14576212</v>
      </c>
      <c r="F27" s="116">
        <f t="shared" si="0"/>
        <v>22219.835365853658</v>
      </c>
      <c r="G27" s="117">
        <v>8575661</v>
      </c>
      <c r="H27" s="117">
        <f t="shared" si="1"/>
        <v>13072.653963414634</v>
      </c>
      <c r="I27" s="7"/>
      <c r="J27" s="11">
        <v>1.843</v>
      </c>
      <c r="K27" s="117">
        <v>15804</v>
      </c>
      <c r="L27" s="120">
        <f t="shared" si="10"/>
        <v>24.091463414634145</v>
      </c>
      <c r="M27" s="122">
        <f t="shared" si="7"/>
        <v>85756.61</v>
      </c>
      <c r="N27" s="116">
        <f t="shared" si="8"/>
        <v>69952.61</v>
      </c>
      <c r="O27" s="123">
        <f t="shared" si="9"/>
        <v>106.6350762195122</v>
      </c>
      <c r="P27" s="5"/>
      <c r="Q27" s="5">
        <f t="shared" si="3"/>
        <v>1</v>
      </c>
      <c r="R27" s="7">
        <f t="shared" si="4"/>
        <v>656</v>
      </c>
      <c r="S27" s="5">
        <f t="shared" si="5"/>
        <v>1</v>
      </c>
      <c r="T27" s="7">
        <f t="shared" si="6"/>
        <v>656</v>
      </c>
    </row>
    <row r="28" spans="1:20">
      <c r="A28" s="23" t="s">
        <v>31</v>
      </c>
      <c r="B28" s="35" t="s">
        <v>28</v>
      </c>
      <c r="C28" s="36">
        <v>5593</v>
      </c>
      <c r="D28" s="6"/>
      <c r="E28" s="113">
        <v>223900925</v>
      </c>
      <c r="F28" s="116">
        <f t="shared" si="0"/>
        <v>40032.348471303412</v>
      </c>
      <c r="G28" s="117">
        <v>122075497</v>
      </c>
      <c r="H28" s="117">
        <f t="shared" si="1"/>
        <v>21826.478991596639</v>
      </c>
      <c r="I28" s="7"/>
      <c r="J28" s="11">
        <v>4</v>
      </c>
      <c r="K28" s="117">
        <v>488301</v>
      </c>
      <c r="L28" s="120">
        <f t="shared" si="10"/>
        <v>87.3057393170034</v>
      </c>
      <c r="M28" s="122">
        <f t="shared" si="7"/>
        <v>1220754.97</v>
      </c>
      <c r="N28" s="116">
        <f t="shared" si="8"/>
        <v>732453.97</v>
      </c>
      <c r="O28" s="123">
        <f t="shared" si="9"/>
        <v>130.95905059896299</v>
      </c>
      <c r="P28" s="5"/>
      <c r="Q28" s="5">
        <f t="shared" si="3"/>
        <v>1</v>
      </c>
      <c r="R28" s="7">
        <f t="shared" si="4"/>
        <v>5593</v>
      </c>
      <c r="S28" s="5">
        <f t="shared" si="5"/>
        <v>1</v>
      </c>
      <c r="T28" s="7">
        <f t="shared" si="6"/>
        <v>5593</v>
      </c>
    </row>
    <row r="29" spans="1:20">
      <c r="A29" s="23" t="s">
        <v>32</v>
      </c>
      <c r="B29" s="35" t="s">
        <v>33</v>
      </c>
      <c r="C29" s="36">
        <v>8829</v>
      </c>
      <c r="D29" s="6"/>
      <c r="E29" s="113">
        <v>483223476</v>
      </c>
      <c r="F29" s="116">
        <f t="shared" si="0"/>
        <v>54731.393815834184</v>
      </c>
      <c r="G29" s="117">
        <v>404218846</v>
      </c>
      <c r="H29" s="117">
        <f t="shared" si="1"/>
        <v>45783.083701438445</v>
      </c>
      <c r="I29" s="7"/>
      <c r="J29" s="11">
        <v>2.0004</v>
      </c>
      <c r="K29" s="117">
        <v>808599</v>
      </c>
      <c r="L29" s="120">
        <f t="shared" si="10"/>
        <v>91.584437648657826</v>
      </c>
      <c r="M29" s="122">
        <f t="shared" si="7"/>
        <v>4042188.46</v>
      </c>
      <c r="N29" s="116">
        <f t="shared" si="8"/>
        <v>3233589.46</v>
      </c>
      <c r="O29" s="123">
        <f t="shared" si="9"/>
        <v>366.24639936572657</v>
      </c>
      <c r="P29" s="5"/>
      <c r="Q29" s="5">
        <f t="shared" si="3"/>
        <v>1</v>
      </c>
      <c r="R29" s="7">
        <f t="shared" si="4"/>
        <v>8829</v>
      </c>
      <c r="S29" s="5">
        <f t="shared" si="5"/>
        <v>1</v>
      </c>
      <c r="T29" s="7">
        <f t="shared" si="6"/>
        <v>8829</v>
      </c>
    </row>
    <row r="30" spans="1:20">
      <c r="A30" s="23" t="s">
        <v>34</v>
      </c>
      <c r="B30" s="35" t="s">
        <v>33</v>
      </c>
      <c r="C30" s="36">
        <v>16412</v>
      </c>
      <c r="D30" s="6"/>
      <c r="E30" s="113">
        <v>655909029</v>
      </c>
      <c r="F30" s="116">
        <f t="shared" si="0"/>
        <v>39965.210151108942</v>
      </c>
      <c r="G30" s="117">
        <v>385531725</v>
      </c>
      <c r="H30" s="117">
        <f t="shared" si="1"/>
        <v>23490.843590056058</v>
      </c>
      <c r="I30" s="7"/>
      <c r="J30" s="10">
        <v>4.1321000000000003</v>
      </c>
      <c r="K30" s="117">
        <v>1593055</v>
      </c>
      <c r="L30" s="120">
        <f t="shared" si="10"/>
        <v>97.066475749451627</v>
      </c>
      <c r="M30" s="122">
        <f t="shared" si="7"/>
        <v>3855317.25</v>
      </c>
      <c r="N30" s="116">
        <f t="shared" si="8"/>
        <v>2262262.25</v>
      </c>
      <c r="O30" s="123">
        <f t="shared" si="9"/>
        <v>137.84196015110894</v>
      </c>
      <c r="P30" s="5"/>
      <c r="Q30" s="5">
        <f t="shared" si="3"/>
        <v>1</v>
      </c>
      <c r="R30" s="7">
        <f t="shared" si="4"/>
        <v>16412</v>
      </c>
      <c r="S30" s="5">
        <f t="shared" si="5"/>
        <v>1</v>
      </c>
      <c r="T30" s="7">
        <f t="shared" si="6"/>
        <v>16412</v>
      </c>
    </row>
    <row r="31" spans="1:20">
      <c r="A31" s="23" t="s">
        <v>35</v>
      </c>
      <c r="B31" s="35" t="s">
        <v>33</v>
      </c>
      <c r="C31" s="36">
        <v>12482</v>
      </c>
      <c r="D31" s="6"/>
      <c r="E31" s="113">
        <v>1198673608</v>
      </c>
      <c r="F31" s="116">
        <f t="shared" si="0"/>
        <v>96032.174971959626</v>
      </c>
      <c r="G31" s="117">
        <v>929397074</v>
      </c>
      <c r="H31" s="117">
        <f t="shared" si="1"/>
        <v>74458.98686107996</v>
      </c>
      <c r="I31" s="7"/>
      <c r="J31" s="10">
        <v>5.1173999999999999</v>
      </c>
      <c r="K31" s="117">
        <v>4756096</v>
      </c>
      <c r="L31" s="120">
        <f t="shared" si="10"/>
        <v>381.03637237622178</v>
      </c>
      <c r="M31" s="122">
        <f t="shared" si="7"/>
        <v>9293970.7400000002</v>
      </c>
      <c r="N31" s="116">
        <f t="shared" si="8"/>
        <v>4537874.74</v>
      </c>
      <c r="O31" s="123">
        <f t="shared" si="9"/>
        <v>363.55349623457784</v>
      </c>
      <c r="P31" s="5"/>
      <c r="Q31" s="5">
        <f t="shared" si="3"/>
        <v>1</v>
      </c>
      <c r="R31" s="7">
        <f t="shared" si="4"/>
        <v>12482</v>
      </c>
      <c r="S31" s="5">
        <f t="shared" si="5"/>
        <v>1</v>
      </c>
      <c r="T31" s="7">
        <f t="shared" si="6"/>
        <v>12482</v>
      </c>
    </row>
    <row r="32" spans="1:20">
      <c r="A32" s="23" t="s">
        <v>36</v>
      </c>
      <c r="B32" s="35" t="s">
        <v>33</v>
      </c>
      <c r="C32" s="36">
        <v>2944</v>
      </c>
      <c r="D32" s="6"/>
      <c r="E32" s="113">
        <v>221691726</v>
      </c>
      <c r="F32" s="116">
        <f t="shared" si="0"/>
        <v>75302.896059782608</v>
      </c>
      <c r="G32" s="117">
        <v>172747936</v>
      </c>
      <c r="H32" s="117">
        <f t="shared" si="1"/>
        <v>58677.967391304344</v>
      </c>
      <c r="I32" s="7"/>
      <c r="J32" s="10">
        <v>4.8451000000000004</v>
      </c>
      <c r="K32" s="117">
        <v>836981</v>
      </c>
      <c r="L32" s="120">
        <f t="shared" si="10"/>
        <v>284.3006114130435</v>
      </c>
      <c r="M32" s="122">
        <f t="shared" si="7"/>
        <v>1727479.36</v>
      </c>
      <c r="N32" s="116">
        <f t="shared" si="8"/>
        <v>890498.3600000001</v>
      </c>
      <c r="O32" s="123">
        <f t="shared" si="9"/>
        <v>302.47906250000005</v>
      </c>
      <c r="P32" s="5"/>
      <c r="Q32" s="5">
        <f t="shared" si="3"/>
        <v>1</v>
      </c>
      <c r="R32" s="7">
        <f t="shared" si="4"/>
        <v>2944</v>
      </c>
      <c r="S32" s="5">
        <f t="shared" si="5"/>
        <v>1</v>
      </c>
      <c r="T32" s="7">
        <f t="shared" si="6"/>
        <v>2944</v>
      </c>
    </row>
    <row r="33" spans="1:20">
      <c r="A33" s="23" t="s">
        <v>37</v>
      </c>
      <c r="B33" s="35" t="s">
        <v>33</v>
      </c>
      <c r="C33" s="36">
        <v>8152</v>
      </c>
      <c r="D33" s="6"/>
      <c r="E33" s="113">
        <v>496592115</v>
      </c>
      <c r="F33" s="116">
        <f t="shared" si="0"/>
        <v>60916.598994111875</v>
      </c>
      <c r="G33" s="117">
        <v>398991324</v>
      </c>
      <c r="H33" s="117">
        <f t="shared" si="1"/>
        <v>48943.979882237487</v>
      </c>
      <c r="I33" s="7"/>
      <c r="J33" s="10">
        <v>4.6399999999999997</v>
      </c>
      <c r="K33" s="117">
        <v>1851319</v>
      </c>
      <c r="L33" s="120">
        <f t="shared" si="10"/>
        <v>227.09997546614329</v>
      </c>
      <c r="M33" s="122">
        <f t="shared" si="7"/>
        <v>3989913.24</v>
      </c>
      <c r="N33" s="116">
        <f t="shared" si="8"/>
        <v>2138594.2400000002</v>
      </c>
      <c r="O33" s="123">
        <f t="shared" si="9"/>
        <v>262.33982335623165</v>
      </c>
      <c r="P33" s="5"/>
      <c r="Q33" s="5">
        <f t="shared" si="3"/>
        <v>1</v>
      </c>
      <c r="R33" s="7">
        <f t="shared" si="4"/>
        <v>8152</v>
      </c>
      <c r="S33" s="5">
        <f t="shared" si="5"/>
        <v>1</v>
      </c>
      <c r="T33" s="7">
        <f t="shared" si="6"/>
        <v>8152</v>
      </c>
    </row>
    <row r="34" spans="1:20">
      <c r="A34" s="23" t="s">
        <v>38</v>
      </c>
      <c r="B34" s="35" t="s">
        <v>33</v>
      </c>
      <c r="C34" s="36">
        <v>2622</v>
      </c>
      <c r="D34" s="6"/>
      <c r="E34" s="113">
        <v>166307432</v>
      </c>
      <c r="F34" s="116">
        <f t="shared" si="0"/>
        <v>63427.700991609461</v>
      </c>
      <c r="G34" s="117">
        <v>124177652</v>
      </c>
      <c r="H34" s="117">
        <f t="shared" si="1"/>
        <v>47359.897787948132</v>
      </c>
      <c r="I34" s="7"/>
      <c r="J34" s="10">
        <v>1.6212</v>
      </c>
      <c r="K34" s="117">
        <v>201316</v>
      </c>
      <c r="L34" s="120">
        <f t="shared" si="10"/>
        <v>76.779557589626236</v>
      </c>
      <c r="M34" s="122">
        <f t="shared" si="7"/>
        <v>1241776.52</v>
      </c>
      <c r="N34" s="116">
        <f t="shared" si="8"/>
        <v>1040460.52</v>
      </c>
      <c r="O34" s="123">
        <f t="shared" si="9"/>
        <v>396.81942028985509</v>
      </c>
      <c r="P34" s="5"/>
      <c r="Q34" s="5">
        <f t="shared" si="3"/>
        <v>1</v>
      </c>
      <c r="R34" s="7">
        <f t="shared" si="4"/>
        <v>2622</v>
      </c>
      <c r="S34" s="5">
        <f t="shared" si="5"/>
        <v>1</v>
      </c>
      <c r="T34" s="7">
        <f t="shared" si="6"/>
        <v>2622</v>
      </c>
    </row>
    <row r="35" spans="1:20">
      <c r="A35" s="23" t="s">
        <v>39</v>
      </c>
      <c r="B35" s="35" t="s">
        <v>33</v>
      </c>
      <c r="C35" s="36">
        <v>71382</v>
      </c>
      <c r="D35" s="6"/>
      <c r="E35" s="113">
        <v>3524167786</v>
      </c>
      <c r="F35" s="116">
        <f t="shared" si="0"/>
        <v>49370.538595164049</v>
      </c>
      <c r="G35" s="117">
        <v>2433868651</v>
      </c>
      <c r="H35" s="117">
        <f t="shared" si="1"/>
        <v>34096.391961558933</v>
      </c>
      <c r="I35" s="7"/>
      <c r="J35" s="10">
        <v>4.5228000000000002</v>
      </c>
      <c r="K35" s="117">
        <v>11007901</v>
      </c>
      <c r="L35" s="120">
        <f t="shared" si="10"/>
        <v>154.21115967610882</v>
      </c>
      <c r="M35" s="122">
        <f t="shared" si="7"/>
        <v>24338686.510000002</v>
      </c>
      <c r="N35" s="116">
        <f t="shared" si="8"/>
        <v>13330785.510000002</v>
      </c>
      <c r="O35" s="123">
        <f t="shared" si="9"/>
        <v>186.75275993948057</v>
      </c>
      <c r="P35" s="5"/>
      <c r="Q35" s="5">
        <f t="shared" si="3"/>
        <v>1</v>
      </c>
      <c r="R35" s="7">
        <f t="shared" si="4"/>
        <v>71382</v>
      </c>
      <c r="S35" s="5">
        <f t="shared" si="5"/>
        <v>1</v>
      </c>
      <c r="T35" s="7">
        <f t="shared" si="6"/>
        <v>71382</v>
      </c>
    </row>
    <row r="36" spans="1:20">
      <c r="A36" s="23" t="s">
        <v>40</v>
      </c>
      <c r="B36" s="35" t="s">
        <v>33</v>
      </c>
      <c r="C36" s="36">
        <v>3335</v>
      </c>
      <c r="D36" s="6"/>
      <c r="E36" s="113">
        <v>227099921</v>
      </c>
      <c r="F36" s="116">
        <f t="shared" si="0"/>
        <v>68095.928335832083</v>
      </c>
      <c r="G36" s="117">
        <v>174008071</v>
      </c>
      <c r="H36" s="117">
        <f t="shared" si="1"/>
        <v>52176.333133433283</v>
      </c>
      <c r="I36" s="7"/>
      <c r="J36" s="10">
        <v>4.2887000000000004</v>
      </c>
      <c r="K36" s="117">
        <v>746268</v>
      </c>
      <c r="L36" s="120">
        <f t="shared" si="10"/>
        <v>223.76851574212893</v>
      </c>
      <c r="M36" s="122">
        <f t="shared" si="7"/>
        <v>1740080.71</v>
      </c>
      <c r="N36" s="116">
        <f t="shared" si="8"/>
        <v>993812.71</v>
      </c>
      <c r="O36" s="123">
        <f t="shared" si="9"/>
        <v>297.99481559220391</v>
      </c>
      <c r="P36" s="5"/>
      <c r="Q36" s="5">
        <f t="shared" si="3"/>
        <v>1</v>
      </c>
      <c r="R36" s="7">
        <f t="shared" si="4"/>
        <v>3335</v>
      </c>
      <c r="S36" s="5">
        <f t="shared" si="5"/>
        <v>1</v>
      </c>
      <c r="T36" s="7">
        <f t="shared" si="6"/>
        <v>3335</v>
      </c>
    </row>
    <row r="37" spans="1:20">
      <c r="A37" s="23" t="s">
        <v>41</v>
      </c>
      <c r="B37" s="35" t="s">
        <v>33</v>
      </c>
      <c r="C37" s="36">
        <v>706</v>
      </c>
      <c r="D37" s="6"/>
      <c r="E37" s="113">
        <v>43777311</v>
      </c>
      <c r="F37" s="116">
        <f t="shared" si="0"/>
        <v>62007.522662889518</v>
      </c>
      <c r="G37" s="117">
        <v>33611541</v>
      </c>
      <c r="H37" s="117">
        <f t="shared" si="1"/>
        <v>47608.415014164304</v>
      </c>
      <c r="I37" s="7"/>
      <c r="J37" s="10">
        <v>4.1765999999999996</v>
      </c>
      <c r="K37" s="117">
        <v>140381</v>
      </c>
      <c r="L37" s="120">
        <f t="shared" si="10"/>
        <v>198.83994334277619</v>
      </c>
      <c r="M37" s="122">
        <f t="shared" si="7"/>
        <v>336115.41000000003</v>
      </c>
      <c r="N37" s="116">
        <f t="shared" si="8"/>
        <v>195734.41000000003</v>
      </c>
      <c r="O37" s="123">
        <f t="shared" si="9"/>
        <v>277.24420679886691</v>
      </c>
      <c r="P37" s="5"/>
      <c r="Q37" s="5">
        <f t="shared" si="3"/>
        <v>1</v>
      </c>
      <c r="R37" s="7">
        <f t="shared" si="4"/>
        <v>706</v>
      </c>
      <c r="S37" s="5">
        <f t="shared" si="5"/>
        <v>1</v>
      </c>
      <c r="T37" s="7">
        <f t="shared" si="6"/>
        <v>706</v>
      </c>
    </row>
    <row r="38" spans="1:20">
      <c r="A38" s="23" t="s">
        <v>42</v>
      </c>
      <c r="B38" s="35" t="s">
        <v>33</v>
      </c>
      <c r="C38" s="36">
        <v>79413</v>
      </c>
      <c r="D38" s="6"/>
      <c r="E38" s="113">
        <v>2704056204</v>
      </c>
      <c r="F38" s="116">
        <f t="shared" ref="F38:F69" si="11">(E38/C38)</f>
        <v>34050.548449246344</v>
      </c>
      <c r="G38" s="117">
        <v>1906280333</v>
      </c>
      <c r="H38" s="117">
        <f t="shared" ref="H38:H69" si="12">(G38/C38)</f>
        <v>24004.638195257703</v>
      </c>
      <c r="I38" s="7"/>
      <c r="J38" s="10">
        <v>7.6562999999999999</v>
      </c>
      <c r="K38" s="117">
        <v>14595054</v>
      </c>
      <c r="L38" s="120">
        <f t="shared" si="10"/>
        <v>183.78670998451136</v>
      </c>
      <c r="M38" s="122">
        <f t="shared" si="7"/>
        <v>19062803.330000002</v>
      </c>
      <c r="N38" s="116">
        <f t="shared" si="8"/>
        <v>4467749.3300000019</v>
      </c>
      <c r="O38" s="123">
        <f t="shared" si="9"/>
        <v>56.259671968065703</v>
      </c>
      <c r="P38" s="5"/>
      <c r="Q38" s="5">
        <f t="shared" si="3"/>
        <v>1</v>
      </c>
      <c r="R38" s="7">
        <f t="shared" si="4"/>
        <v>79413</v>
      </c>
      <c r="S38" s="5">
        <f t="shared" si="5"/>
        <v>1</v>
      </c>
      <c r="T38" s="7">
        <f t="shared" si="6"/>
        <v>79413</v>
      </c>
    </row>
    <row r="39" spans="1:20">
      <c r="A39" s="23" t="s">
        <v>43</v>
      </c>
      <c r="B39" s="35" t="s">
        <v>33</v>
      </c>
      <c r="C39" s="36">
        <v>794</v>
      </c>
      <c r="D39" s="6"/>
      <c r="E39" s="113">
        <v>34471302</v>
      </c>
      <c r="F39" s="116">
        <f t="shared" si="11"/>
        <v>43414.738035264483</v>
      </c>
      <c r="G39" s="117">
        <v>28572122</v>
      </c>
      <c r="H39" s="117">
        <f t="shared" si="12"/>
        <v>35985.040302267</v>
      </c>
      <c r="I39" s="98" t="s">
        <v>528</v>
      </c>
      <c r="J39" s="10"/>
      <c r="K39" s="117"/>
      <c r="L39" s="120"/>
      <c r="M39" s="122">
        <f t="shared" si="7"/>
        <v>285721.22000000003</v>
      </c>
      <c r="N39" s="116">
        <f t="shared" si="8"/>
        <v>285721.22000000003</v>
      </c>
      <c r="O39" s="123">
        <f t="shared" si="9"/>
        <v>359.85040302267004</v>
      </c>
      <c r="P39" s="5"/>
      <c r="Q39" s="5">
        <f t="shared" si="3"/>
        <v>1</v>
      </c>
      <c r="R39" s="7">
        <f t="shared" si="4"/>
        <v>794</v>
      </c>
      <c r="S39" s="5">
        <f t="shared" si="5"/>
        <v>0</v>
      </c>
      <c r="T39" s="7">
        <f t="shared" si="6"/>
        <v>0</v>
      </c>
    </row>
    <row r="40" spans="1:20">
      <c r="A40" s="23" t="s">
        <v>44</v>
      </c>
      <c r="B40" s="35" t="s">
        <v>33</v>
      </c>
      <c r="C40" s="36">
        <v>20170</v>
      </c>
      <c r="D40" s="6"/>
      <c r="E40" s="113">
        <v>943599604</v>
      </c>
      <c r="F40" s="116">
        <f t="shared" si="11"/>
        <v>46782.330391670796</v>
      </c>
      <c r="G40" s="117">
        <v>640335374</v>
      </c>
      <c r="H40" s="117">
        <f t="shared" si="12"/>
        <v>31746.919881011403</v>
      </c>
      <c r="I40" s="7"/>
      <c r="J40" s="10">
        <v>5.7</v>
      </c>
      <c r="K40" s="117">
        <v>3649911</v>
      </c>
      <c r="L40" s="120">
        <f>(K40/C40)</f>
        <v>180.95741199801685</v>
      </c>
      <c r="M40" s="122">
        <f t="shared" si="7"/>
        <v>6403353.7400000002</v>
      </c>
      <c r="N40" s="116">
        <f t="shared" si="8"/>
        <v>2753442.74</v>
      </c>
      <c r="O40" s="123">
        <f t="shared" si="9"/>
        <v>136.5117868120972</v>
      </c>
      <c r="P40" s="5"/>
      <c r="Q40" s="5">
        <f t="shared" si="3"/>
        <v>1</v>
      </c>
      <c r="R40" s="7">
        <f t="shared" si="4"/>
        <v>20170</v>
      </c>
      <c r="S40" s="5">
        <f t="shared" si="5"/>
        <v>1</v>
      </c>
      <c r="T40" s="7">
        <f t="shared" si="6"/>
        <v>20170</v>
      </c>
    </row>
    <row r="41" spans="1:20">
      <c r="A41" s="23" t="s">
        <v>45</v>
      </c>
      <c r="B41" s="35" t="s">
        <v>33</v>
      </c>
      <c r="C41" s="36">
        <v>9577</v>
      </c>
      <c r="D41" s="6"/>
      <c r="E41" s="113">
        <v>526652574</v>
      </c>
      <c r="F41" s="116">
        <f t="shared" si="11"/>
        <v>54991.393338206122</v>
      </c>
      <c r="G41" s="117">
        <v>387328794</v>
      </c>
      <c r="H41" s="117">
        <f t="shared" si="12"/>
        <v>40443.645609272215</v>
      </c>
      <c r="I41" s="7"/>
      <c r="J41" s="10">
        <v>6.2686999999999999</v>
      </c>
      <c r="K41" s="121">
        <v>2428048</v>
      </c>
      <c r="L41" s="120">
        <f>(K41/C41)</f>
        <v>253.52908008771013</v>
      </c>
      <c r="M41" s="122">
        <f t="shared" si="7"/>
        <v>3873287.94</v>
      </c>
      <c r="N41" s="116">
        <f t="shared" si="8"/>
        <v>1445239.94</v>
      </c>
      <c r="O41" s="123">
        <f t="shared" si="9"/>
        <v>150.907376005012</v>
      </c>
      <c r="P41" s="5"/>
      <c r="Q41" s="5">
        <f t="shared" si="3"/>
        <v>1</v>
      </c>
      <c r="R41" s="7">
        <f t="shared" si="4"/>
        <v>9577</v>
      </c>
      <c r="S41" s="5">
        <f t="shared" si="5"/>
        <v>1</v>
      </c>
      <c r="T41" s="7">
        <f t="shared" si="6"/>
        <v>9577</v>
      </c>
    </row>
    <row r="42" spans="1:20">
      <c r="A42" s="23" t="s">
        <v>46</v>
      </c>
      <c r="B42" s="35" t="s">
        <v>33</v>
      </c>
      <c r="C42" s="36">
        <v>40670</v>
      </c>
      <c r="D42" s="6"/>
      <c r="E42" s="113">
        <v>1633233253</v>
      </c>
      <c r="F42" s="116">
        <f t="shared" si="11"/>
        <v>40158.181780181949</v>
      </c>
      <c r="G42" s="117">
        <v>1068472805</v>
      </c>
      <c r="H42" s="117">
        <f t="shared" si="12"/>
        <v>26271.768010818785</v>
      </c>
      <c r="I42" s="7"/>
      <c r="J42" s="10">
        <v>7.0312999999999999</v>
      </c>
      <c r="K42" s="117">
        <v>7512752</v>
      </c>
      <c r="L42" s="120">
        <f>(K42/C42)</f>
        <v>184.72466191295794</v>
      </c>
      <c r="M42" s="122">
        <f t="shared" si="7"/>
        <v>10684728.050000001</v>
      </c>
      <c r="N42" s="116">
        <f t="shared" si="8"/>
        <v>3171976.0500000007</v>
      </c>
      <c r="O42" s="123">
        <f t="shared" si="9"/>
        <v>77.993018195229922</v>
      </c>
      <c r="P42" s="5"/>
      <c r="Q42" s="5">
        <f t="shared" si="3"/>
        <v>1</v>
      </c>
      <c r="R42" s="7">
        <f t="shared" si="4"/>
        <v>40670</v>
      </c>
      <c r="S42" s="5">
        <f t="shared" si="5"/>
        <v>1</v>
      </c>
      <c r="T42" s="7">
        <f t="shared" si="6"/>
        <v>40670</v>
      </c>
    </row>
    <row r="43" spans="1:20">
      <c r="A43" s="23" t="s">
        <v>47</v>
      </c>
      <c r="B43" s="35" t="s">
        <v>33</v>
      </c>
      <c r="C43" s="36">
        <v>9824</v>
      </c>
      <c r="D43" s="6"/>
      <c r="E43" s="113">
        <v>613961336</v>
      </c>
      <c r="F43" s="116">
        <f t="shared" si="11"/>
        <v>62496.064332247559</v>
      </c>
      <c r="G43" s="117">
        <v>455628856</v>
      </c>
      <c r="H43" s="117">
        <f t="shared" si="12"/>
        <v>46379.158794788273</v>
      </c>
      <c r="I43" s="98" t="s">
        <v>528</v>
      </c>
      <c r="J43" s="10"/>
      <c r="K43" s="117"/>
      <c r="L43" s="120"/>
      <c r="M43" s="122">
        <f t="shared" si="7"/>
        <v>4556288.5600000005</v>
      </c>
      <c r="N43" s="116">
        <f t="shared" si="8"/>
        <v>4556288.5600000005</v>
      </c>
      <c r="O43" s="123">
        <f t="shared" si="9"/>
        <v>463.79158794788282</v>
      </c>
      <c r="P43" s="5"/>
      <c r="Q43" s="5">
        <f t="shared" si="3"/>
        <v>1</v>
      </c>
      <c r="R43" s="7">
        <f t="shared" si="4"/>
        <v>9824</v>
      </c>
      <c r="S43" s="5">
        <f t="shared" si="5"/>
        <v>0</v>
      </c>
      <c r="T43" s="7">
        <f t="shared" si="6"/>
        <v>0</v>
      </c>
    </row>
    <row r="44" spans="1:20">
      <c r="A44" s="23" t="s">
        <v>48</v>
      </c>
      <c r="B44" s="35" t="s">
        <v>49</v>
      </c>
      <c r="C44" s="36">
        <v>43566</v>
      </c>
      <c r="D44" s="6"/>
      <c r="E44" s="113">
        <v>2178363145</v>
      </c>
      <c r="F44" s="116">
        <f t="shared" si="11"/>
        <v>50001.449410090434</v>
      </c>
      <c r="G44" s="117">
        <v>1662544647</v>
      </c>
      <c r="H44" s="117">
        <f t="shared" si="12"/>
        <v>38161.516939815454</v>
      </c>
      <c r="I44" s="7"/>
      <c r="J44" s="11">
        <v>5.3901000000000003</v>
      </c>
      <c r="K44" s="117">
        <v>8961281</v>
      </c>
      <c r="L44" s="120">
        <f t="shared" ref="L44:L72" si="13">(K44/C44)</f>
        <v>205.69437175779277</v>
      </c>
      <c r="M44" s="122">
        <f t="shared" si="7"/>
        <v>16625446.470000001</v>
      </c>
      <c r="N44" s="116">
        <f t="shared" si="8"/>
        <v>7664165.4700000007</v>
      </c>
      <c r="O44" s="123">
        <f t="shared" si="9"/>
        <v>175.92079764036177</v>
      </c>
      <c r="P44" s="5"/>
      <c r="Q44" s="5">
        <f t="shared" si="3"/>
        <v>1</v>
      </c>
      <c r="R44" s="7">
        <f t="shared" si="4"/>
        <v>43566</v>
      </c>
      <c r="S44" s="5">
        <f t="shared" si="5"/>
        <v>1</v>
      </c>
      <c r="T44" s="7">
        <f t="shared" si="6"/>
        <v>43566</v>
      </c>
    </row>
    <row r="45" spans="1:20">
      <c r="A45" s="23" t="s">
        <v>50</v>
      </c>
      <c r="B45" s="35" t="s">
        <v>49</v>
      </c>
      <c r="C45" s="36">
        <v>27939</v>
      </c>
      <c r="D45" s="6"/>
      <c r="E45" s="113">
        <v>1410466052</v>
      </c>
      <c r="F45" s="116">
        <f t="shared" si="11"/>
        <v>50483.770070510756</v>
      </c>
      <c r="G45" s="117">
        <v>1092896606</v>
      </c>
      <c r="H45" s="117">
        <f t="shared" si="12"/>
        <v>39117.241347220734</v>
      </c>
      <c r="I45" s="7"/>
      <c r="J45" s="10">
        <v>6.2690000000000001</v>
      </c>
      <c r="K45" s="117">
        <v>6851368</v>
      </c>
      <c r="L45" s="120">
        <f t="shared" si="13"/>
        <v>245.22595654819429</v>
      </c>
      <c r="M45" s="122">
        <f t="shared" si="7"/>
        <v>10928966.060000001</v>
      </c>
      <c r="N45" s="116">
        <f t="shared" si="8"/>
        <v>4077598.0600000005</v>
      </c>
      <c r="O45" s="123">
        <f t="shared" si="9"/>
        <v>145.94645692401303</v>
      </c>
      <c r="P45" s="5"/>
      <c r="Q45" s="5">
        <f t="shared" si="3"/>
        <v>1</v>
      </c>
      <c r="R45" s="7">
        <f t="shared" si="4"/>
        <v>27939</v>
      </c>
      <c r="S45" s="5">
        <f t="shared" si="5"/>
        <v>1</v>
      </c>
      <c r="T45" s="7">
        <f t="shared" si="6"/>
        <v>27939</v>
      </c>
    </row>
    <row r="46" spans="1:20">
      <c r="A46" s="23" t="s">
        <v>51</v>
      </c>
      <c r="B46" s="35" t="s">
        <v>49</v>
      </c>
      <c r="C46" s="36">
        <v>117549</v>
      </c>
      <c r="D46" s="6"/>
      <c r="E46" s="113">
        <v>6128710740</v>
      </c>
      <c r="F46" s="116">
        <f t="shared" si="11"/>
        <v>52137.497894495064</v>
      </c>
      <c r="G46" s="117">
        <v>5176018454</v>
      </c>
      <c r="H46" s="117">
        <f t="shared" si="12"/>
        <v>44032.858246348333</v>
      </c>
      <c r="I46" s="7"/>
      <c r="J46" s="10">
        <v>4.4949000000000003</v>
      </c>
      <c r="K46" s="117">
        <v>23265685</v>
      </c>
      <c r="L46" s="120">
        <f t="shared" si="13"/>
        <v>197.92329156351821</v>
      </c>
      <c r="M46" s="122">
        <f t="shared" si="7"/>
        <v>51760184.539999999</v>
      </c>
      <c r="N46" s="116">
        <f t="shared" si="8"/>
        <v>28494499.539999999</v>
      </c>
      <c r="O46" s="123">
        <f t="shared" si="9"/>
        <v>242.40529089996511</v>
      </c>
      <c r="P46" s="5"/>
      <c r="Q46" s="5">
        <f t="shared" si="3"/>
        <v>1</v>
      </c>
      <c r="R46" s="7">
        <f t="shared" si="4"/>
        <v>117549</v>
      </c>
      <c r="S46" s="5">
        <f t="shared" si="5"/>
        <v>1</v>
      </c>
      <c r="T46" s="7">
        <f t="shared" si="6"/>
        <v>117549</v>
      </c>
    </row>
    <row r="47" spans="1:20">
      <c r="A47" s="23" t="s">
        <v>464</v>
      </c>
      <c r="B47" s="35" t="s">
        <v>49</v>
      </c>
      <c r="C47" s="36">
        <v>20061</v>
      </c>
      <c r="D47" s="6"/>
      <c r="E47" s="113">
        <v>1381845456</v>
      </c>
      <c r="F47" s="116">
        <f t="shared" si="11"/>
        <v>68882.182144459395</v>
      </c>
      <c r="G47" s="117">
        <v>1090431507</v>
      </c>
      <c r="H47" s="117">
        <f t="shared" si="12"/>
        <v>54355.790189920743</v>
      </c>
      <c r="I47" s="7"/>
      <c r="J47" s="10">
        <v>5.83</v>
      </c>
      <c r="K47" s="117">
        <v>6357215</v>
      </c>
      <c r="L47" s="120">
        <f t="shared" si="13"/>
        <v>316.89422262100595</v>
      </c>
      <c r="M47" s="122">
        <f t="shared" si="7"/>
        <v>10904315.07</v>
      </c>
      <c r="N47" s="116">
        <f t="shared" si="8"/>
        <v>4547100.07</v>
      </c>
      <c r="O47" s="123">
        <f t="shared" si="9"/>
        <v>226.6636792782015</v>
      </c>
      <c r="P47" s="5"/>
      <c r="Q47" s="5">
        <f t="shared" si="3"/>
        <v>1</v>
      </c>
      <c r="R47" s="7">
        <f t="shared" si="4"/>
        <v>20061</v>
      </c>
      <c r="S47" s="5">
        <f t="shared" si="5"/>
        <v>1</v>
      </c>
      <c r="T47" s="7">
        <f t="shared" si="6"/>
        <v>20061</v>
      </c>
    </row>
    <row r="48" spans="1:20">
      <c r="A48" s="23" t="s">
        <v>52</v>
      </c>
      <c r="B48" s="35" t="s">
        <v>49</v>
      </c>
      <c r="C48" s="36">
        <v>75720</v>
      </c>
      <c r="D48" s="6"/>
      <c r="E48" s="113">
        <v>4282472598</v>
      </c>
      <c r="F48" s="116">
        <f t="shared" si="11"/>
        <v>56556.690412044372</v>
      </c>
      <c r="G48" s="117">
        <v>3325785392</v>
      </c>
      <c r="H48" s="117">
        <f t="shared" si="12"/>
        <v>43922.152562070791</v>
      </c>
      <c r="I48" s="7"/>
      <c r="J48" s="11">
        <v>6.0088999999999997</v>
      </c>
      <c r="K48" s="117">
        <v>19984311</v>
      </c>
      <c r="L48" s="120">
        <f t="shared" si="13"/>
        <v>263.92381141045956</v>
      </c>
      <c r="M48" s="122">
        <f t="shared" si="7"/>
        <v>33257853.920000002</v>
      </c>
      <c r="N48" s="116">
        <f t="shared" si="8"/>
        <v>13273542.920000002</v>
      </c>
      <c r="O48" s="123">
        <f t="shared" si="9"/>
        <v>175.2977142102483</v>
      </c>
      <c r="P48" s="5"/>
      <c r="Q48" s="5">
        <f t="shared" si="3"/>
        <v>1</v>
      </c>
      <c r="R48" s="7">
        <f t="shared" si="4"/>
        <v>75720</v>
      </c>
      <c r="S48" s="5">
        <f t="shared" si="5"/>
        <v>1</v>
      </c>
      <c r="T48" s="7">
        <f t="shared" si="6"/>
        <v>75720</v>
      </c>
    </row>
    <row r="49" spans="1:20">
      <c r="A49" s="23" t="s">
        <v>53</v>
      </c>
      <c r="B49" s="35" t="s">
        <v>49</v>
      </c>
      <c r="C49" s="36">
        <v>64583</v>
      </c>
      <c r="D49" s="6"/>
      <c r="E49" s="113">
        <v>3929097350</v>
      </c>
      <c r="F49" s="116">
        <f t="shared" si="11"/>
        <v>60837.950389421363</v>
      </c>
      <c r="G49" s="117">
        <v>3218705612</v>
      </c>
      <c r="H49" s="117">
        <f t="shared" si="12"/>
        <v>49838.279609185083</v>
      </c>
      <c r="I49" s="7"/>
      <c r="J49" s="10">
        <v>6.2278000000000002</v>
      </c>
      <c r="K49" s="117">
        <v>20045454</v>
      </c>
      <c r="L49" s="120">
        <f t="shared" si="13"/>
        <v>310.38282520167849</v>
      </c>
      <c r="M49" s="122">
        <f t="shared" si="7"/>
        <v>32187056.120000001</v>
      </c>
      <c r="N49" s="116">
        <f t="shared" si="8"/>
        <v>12141602.120000001</v>
      </c>
      <c r="O49" s="123">
        <f t="shared" si="9"/>
        <v>187.99997089017236</v>
      </c>
      <c r="P49" s="5"/>
      <c r="Q49" s="5">
        <f t="shared" si="3"/>
        <v>1</v>
      </c>
      <c r="R49" s="7">
        <f t="shared" si="4"/>
        <v>64583</v>
      </c>
      <c r="S49" s="5">
        <f t="shared" si="5"/>
        <v>1</v>
      </c>
      <c r="T49" s="7">
        <f t="shared" si="6"/>
        <v>64583</v>
      </c>
    </row>
    <row r="50" spans="1:20">
      <c r="A50" s="23" t="s">
        <v>54</v>
      </c>
      <c r="B50" s="35" t="s">
        <v>49</v>
      </c>
      <c r="C50" s="36">
        <v>152397</v>
      </c>
      <c r="D50" s="6"/>
      <c r="E50" s="113">
        <v>16232434181</v>
      </c>
      <c r="F50" s="116">
        <f t="shared" si="11"/>
        <v>106514.13204328169</v>
      </c>
      <c r="G50" s="117">
        <v>12990243185</v>
      </c>
      <c r="H50" s="117">
        <f t="shared" si="12"/>
        <v>85239.494117338269</v>
      </c>
      <c r="I50" s="7"/>
      <c r="J50" s="10">
        <v>5.5663999999999998</v>
      </c>
      <c r="K50" s="117">
        <v>72308889</v>
      </c>
      <c r="L50" s="120">
        <f t="shared" si="13"/>
        <v>474.47711569125374</v>
      </c>
      <c r="M50" s="122">
        <f t="shared" si="7"/>
        <v>129902431.85000001</v>
      </c>
      <c r="N50" s="116">
        <f t="shared" si="8"/>
        <v>57593542.850000009</v>
      </c>
      <c r="O50" s="123">
        <f t="shared" si="9"/>
        <v>377.91782548212899</v>
      </c>
      <c r="P50" s="5"/>
      <c r="Q50" s="5">
        <f t="shared" si="3"/>
        <v>1</v>
      </c>
      <c r="R50" s="7">
        <f t="shared" si="4"/>
        <v>152397</v>
      </c>
      <c r="S50" s="5">
        <f t="shared" si="5"/>
        <v>1</v>
      </c>
      <c r="T50" s="7">
        <f t="shared" si="6"/>
        <v>152397</v>
      </c>
    </row>
    <row r="51" spans="1:20">
      <c r="A51" s="23" t="s">
        <v>465</v>
      </c>
      <c r="B51" s="35" t="s">
        <v>49</v>
      </c>
      <c r="C51" s="36">
        <v>34282</v>
      </c>
      <c r="D51" s="6"/>
      <c r="E51" s="113">
        <v>1865430870</v>
      </c>
      <c r="F51" s="116">
        <f t="shared" si="11"/>
        <v>54414.295256986174</v>
      </c>
      <c r="G51" s="117">
        <v>1538682675</v>
      </c>
      <c r="H51" s="117">
        <f t="shared" si="12"/>
        <v>44883.107024094279</v>
      </c>
      <c r="I51" s="7"/>
      <c r="J51" s="10">
        <v>6.9870000000000001</v>
      </c>
      <c r="K51" s="117">
        <v>10750775</v>
      </c>
      <c r="L51" s="120">
        <f t="shared" si="13"/>
        <v>313.59824397643081</v>
      </c>
      <c r="M51" s="122">
        <f t="shared" si="7"/>
        <v>15386826.75</v>
      </c>
      <c r="N51" s="116">
        <f t="shared" si="8"/>
        <v>4636051.75</v>
      </c>
      <c r="O51" s="123">
        <f t="shared" si="9"/>
        <v>135.232826264512</v>
      </c>
      <c r="P51" s="5"/>
      <c r="Q51" s="5">
        <f t="shared" si="3"/>
        <v>1</v>
      </c>
      <c r="R51" s="7">
        <f t="shared" si="4"/>
        <v>34282</v>
      </c>
      <c r="S51" s="5">
        <f t="shared" si="5"/>
        <v>1</v>
      </c>
      <c r="T51" s="7">
        <f t="shared" si="6"/>
        <v>34282</v>
      </c>
    </row>
    <row r="52" spans="1:20">
      <c r="A52" s="23" t="s">
        <v>55</v>
      </c>
      <c r="B52" s="35" t="s">
        <v>49</v>
      </c>
      <c r="C52" s="36">
        <v>2163</v>
      </c>
      <c r="D52" s="6"/>
      <c r="E52" s="113">
        <v>519079821</v>
      </c>
      <c r="F52" s="116">
        <f t="shared" si="11"/>
        <v>239981.4244105409</v>
      </c>
      <c r="G52" s="117">
        <v>477828201</v>
      </c>
      <c r="H52" s="117">
        <f t="shared" si="12"/>
        <v>220909.94036061026</v>
      </c>
      <c r="I52" s="7"/>
      <c r="J52" s="10">
        <v>3.96</v>
      </c>
      <c r="K52" s="117">
        <v>1892199</v>
      </c>
      <c r="L52" s="120">
        <f t="shared" si="13"/>
        <v>874.8030513176144</v>
      </c>
      <c r="M52" s="122">
        <f t="shared" si="7"/>
        <v>4778282.01</v>
      </c>
      <c r="N52" s="116">
        <f t="shared" si="8"/>
        <v>2886083.01</v>
      </c>
      <c r="O52" s="123">
        <f t="shared" si="9"/>
        <v>1334.2963522884882</v>
      </c>
      <c r="P52" s="5"/>
      <c r="Q52" s="5">
        <f t="shared" si="3"/>
        <v>1</v>
      </c>
      <c r="R52" s="7">
        <f t="shared" si="4"/>
        <v>2163</v>
      </c>
      <c r="S52" s="5">
        <f t="shared" si="5"/>
        <v>1</v>
      </c>
      <c r="T52" s="7">
        <f t="shared" si="6"/>
        <v>2163</v>
      </c>
    </row>
    <row r="53" spans="1:20">
      <c r="A53" s="23" t="s">
        <v>56</v>
      </c>
      <c r="B53" s="35" t="s">
        <v>49</v>
      </c>
      <c r="C53" s="36">
        <v>139357</v>
      </c>
      <c r="D53" s="6"/>
      <c r="E53" s="113">
        <v>7769704449</v>
      </c>
      <c r="F53" s="116">
        <f t="shared" si="11"/>
        <v>55753.95888975796</v>
      </c>
      <c r="G53" s="117">
        <v>6034624941</v>
      </c>
      <c r="H53" s="117">
        <f t="shared" si="12"/>
        <v>43303.349964479719</v>
      </c>
      <c r="I53" s="7"/>
      <c r="J53" s="10">
        <v>6.2999000000000001</v>
      </c>
      <c r="K53" s="117">
        <v>38017533</v>
      </c>
      <c r="L53" s="120">
        <f t="shared" si="13"/>
        <v>272.80676966352604</v>
      </c>
      <c r="M53" s="122">
        <f t="shared" si="7"/>
        <v>60346249.410000004</v>
      </c>
      <c r="N53" s="116">
        <f t="shared" si="8"/>
        <v>22328716.410000004</v>
      </c>
      <c r="O53" s="123">
        <f t="shared" si="9"/>
        <v>160.22672998127115</v>
      </c>
      <c r="P53" s="5"/>
      <c r="Q53" s="5">
        <f t="shared" si="3"/>
        <v>1</v>
      </c>
      <c r="R53" s="7">
        <f t="shared" si="4"/>
        <v>139357</v>
      </c>
      <c r="S53" s="5">
        <f t="shared" si="5"/>
        <v>1</v>
      </c>
      <c r="T53" s="7">
        <f t="shared" si="6"/>
        <v>139357</v>
      </c>
    </row>
    <row r="54" spans="1:20">
      <c r="A54" s="23" t="s">
        <v>57</v>
      </c>
      <c r="B54" s="35" t="s">
        <v>49</v>
      </c>
      <c r="C54" s="36">
        <v>31705</v>
      </c>
      <c r="D54" s="6"/>
      <c r="E54" s="113">
        <v>900778947</v>
      </c>
      <c r="F54" s="116">
        <f t="shared" si="11"/>
        <v>28411.25838195868</v>
      </c>
      <c r="G54" s="117">
        <v>654456594</v>
      </c>
      <c r="H54" s="117">
        <f t="shared" si="12"/>
        <v>20642.062576880617</v>
      </c>
      <c r="I54" s="7"/>
      <c r="J54" s="10">
        <v>4.95</v>
      </c>
      <c r="K54" s="117">
        <v>3239560</v>
      </c>
      <c r="L54" s="120">
        <f t="shared" si="13"/>
        <v>102.17820533038953</v>
      </c>
      <c r="M54" s="122">
        <f t="shared" si="7"/>
        <v>6544565.9400000004</v>
      </c>
      <c r="N54" s="116">
        <f t="shared" si="8"/>
        <v>3305005.9400000004</v>
      </c>
      <c r="O54" s="123">
        <f t="shared" si="9"/>
        <v>104.24242043841667</v>
      </c>
      <c r="P54" s="5"/>
      <c r="Q54" s="5">
        <f t="shared" si="3"/>
        <v>1</v>
      </c>
      <c r="R54" s="7">
        <f t="shared" si="4"/>
        <v>31705</v>
      </c>
      <c r="S54" s="5">
        <f t="shared" si="5"/>
        <v>1</v>
      </c>
      <c r="T54" s="7">
        <f t="shared" si="6"/>
        <v>31705</v>
      </c>
    </row>
    <row r="55" spans="1:20">
      <c r="A55" s="24" t="s">
        <v>560</v>
      </c>
      <c r="B55" s="35" t="s">
        <v>49</v>
      </c>
      <c r="C55" s="36">
        <v>2563</v>
      </c>
      <c r="D55" s="6"/>
      <c r="E55" s="113">
        <v>573209850</v>
      </c>
      <c r="F55" s="116">
        <f t="shared" si="11"/>
        <v>223648.01014436208</v>
      </c>
      <c r="G55" s="117">
        <v>526839586</v>
      </c>
      <c r="H55" s="117">
        <f t="shared" si="12"/>
        <v>205555.82754584472</v>
      </c>
      <c r="I55" s="7"/>
      <c r="J55" s="10">
        <v>3.85</v>
      </c>
      <c r="K55" s="117">
        <v>2028332</v>
      </c>
      <c r="L55" s="120">
        <f t="shared" si="13"/>
        <v>791.3897776043699</v>
      </c>
      <c r="M55" s="122">
        <f t="shared" si="7"/>
        <v>5268395.8600000003</v>
      </c>
      <c r="N55" s="116">
        <f t="shared" si="8"/>
        <v>3240063.8600000003</v>
      </c>
      <c r="O55" s="123">
        <f t="shared" si="9"/>
        <v>1264.1684978540775</v>
      </c>
      <c r="P55" s="5"/>
      <c r="Q55" s="5">
        <f t="shared" si="3"/>
        <v>1</v>
      </c>
      <c r="R55" s="7">
        <f t="shared" si="4"/>
        <v>2563</v>
      </c>
      <c r="S55" s="5">
        <f t="shared" si="5"/>
        <v>1</v>
      </c>
      <c r="T55" s="7">
        <f t="shared" si="6"/>
        <v>2563</v>
      </c>
    </row>
    <row r="56" spans="1:20">
      <c r="A56" s="23" t="s">
        <v>58</v>
      </c>
      <c r="B56" s="35" t="s">
        <v>49</v>
      </c>
      <c r="C56" s="36">
        <v>57585</v>
      </c>
      <c r="D56" s="6"/>
      <c r="E56" s="113">
        <v>1704883900</v>
      </c>
      <c r="F56" s="116">
        <f t="shared" si="11"/>
        <v>29606.388816532082</v>
      </c>
      <c r="G56" s="117">
        <v>1342531189</v>
      </c>
      <c r="H56" s="117">
        <f t="shared" si="12"/>
        <v>23313.904471650603</v>
      </c>
      <c r="I56" s="7"/>
      <c r="J56" s="10">
        <v>5.6</v>
      </c>
      <c r="K56" s="117">
        <v>7518174</v>
      </c>
      <c r="L56" s="120">
        <f t="shared" si="13"/>
        <v>130.55785360771034</v>
      </c>
      <c r="M56" s="122">
        <f t="shared" si="7"/>
        <v>13425311.890000001</v>
      </c>
      <c r="N56" s="116">
        <f t="shared" si="8"/>
        <v>5907137.8900000006</v>
      </c>
      <c r="O56" s="123">
        <f t="shared" si="9"/>
        <v>102.58119110879571</v>
      </c>
      <c r="P56" s="5"/>
      <c r="Q56" s="5">
        <f t="shared" si="3"/>
        <v>1</v>
      </c>
      <c r="R56" s="7">
        <f t="shared" si="4"/>
        <v>57585</v>
      </c>
      <c r="S56" s="5">
        <f t="shared" si="5"/>
        <v>1</v>
      </c>
      <c r="T56" s="7">
        <f t="shared" si="6"/>
        <v>57585</v>
      </c>
    </row>
    <row r="57" spans="1:20">
      <c r="A57" s="23" t="s">
        <v>59</v>
      </c>
      <c r="B57" s="35" t="s">
        <v>49</v>
      </c>
      <c r="C57" s="36">
        <v>38</v>
      </c>
      <c r="D57" s="6"/>
      <c r="E57" s="113">
        <v>3078948</v>
      </c>
      <c r="F57" s="116">
        <f t="shared" si="11"/>
        <v>81024.947368421053</v>
      </c>
      <c r="G57" s="117">
        <v>2424998</v>
      </c>
      <c r="H57" s="117">
        <f t="shared" si="12"/>
        <v>63815.73684210526</v>
      </c>
      <c r="I57" s="7"/>
      <c r="J57" s="10">
        <v>3.1</v>
      </c>
      <c r="K57" s="117">
        <v>7517</v>
      </c>
      <c r="L57" s="120">
        <f t="shared" si="13"/>
        <v>197.81578947368422</v>
      </c>
      <c r="M57" s="122">
        <f t="shared" si="7"/>
        <v>24249.98</v>
      </c>
      <c r="N57" s="116">
        <f t="shared" si="8"/>
        <v>16732.98</v>
      </c>
      <c r="O57" s="123">
        <f t="shared" si="9"/>
        <v>440.34157894736842</v>
      </c>
      <c r="P57" s="5"/>
      <c r="Q57" s="5">
        <f t="shared" si="3"/>
        <v>1</v>
      </c>
      <c r="R57" s="7">
        <f t="shared" si="4"/>
        <v>38</v>
      </c>
      <c r="S57" s="5">
        <f t="shared" si="5"/>
        <v>1</v>
      </c>
      <c r="T57" s="7">
        <f t="shared" si="6"/>
        <v>38</v>
      </c>
    </row>
    <row r="58" spans="1:20">
      <c r="A58" s="23" t="s">
        <v>60</v>
      </c>
      <c r="B58" s="35" t="s">
        <v>49</v>
      </c>
      <c r="C58" s="36">
        <v>10767</v>
      </c>
      <c r="D58" s="6"/>
      <c r="E58" s="113">
        <v>1113730383</v>
      </c>
      <c r="F58" s="116">
        <f t="shared" si="11"/>
        <v>103439.24797993871</v>
      </c>
      <c r="G58" s="117">
        <v>943123436</v>
      </c>
      <c r="H58" s="117">
        <f t="shared" si="12"/>
        <v>87593.892077644661</v>
      </c>
      <c r="I58" s="7"/>
      <c r="J58" s="10">
        <v>4.0224000000000002</v>
      </c>
      <c r="K58" s="117">
        <v>3793619</v>
      </c>
      <c r="L58" s="120">
        <f t="shared" si="13"/>
        <v>352.33760564688401</v>
      </c>
      <c r="M58" s="122">
        <f t="shared" si="7"/>
        <v>9431234.3599999994</v>
      </c>
      <c r="N58" s="116">
        <f t="shared" si="8"/>
        <v>5637615.3599999994</v>
      </c>
      <c r="O58" s="123">
        <f t="shared" si="9"/>
        <v>523.60131512956252</v>
      </c>
      <c r="P58" s="5"/>
      <c r="Q58" s="5">
        <f t="shared" si="3"/>
        <v>1</v>
      </c>
      <c r="R58" s="7">
        <f t="shared" si="4"/>
        <v>10767</v>
      </c>
      <c r="S58" s="5">
        <f t="shared" si="5"/>
        <v>1</v>
      </c>
      <c r="T58" s="7">
        <f t="shared" si="6"/>
        <v>10767</v>
      </c>
    </row>
    <row r="59" spans="1:20">
      <c r="A59" s="23" t="s">
        <v>61</v>
      </c>
      <c r="B59" s="35" t="s">
        <v>49</v>
      </c>
      <c r="C59" s="36">
        <v>53909</v>
      </c>
      <c r="D59" s="6"/>
      <c r="E59" s="113">
        <v>2029408893</v>
      </c>
      <c r="F59" s="116">
        <f t="shared" si="11"/>
        <v>37645.085106382976</v>
      </c>
      <c r="G59" s="117">
        <v>1540126684</v>
      </c>
      <c r="H59" s="117">
        <f t="shared" si="12"/>
        <v>28569.008588547367</v>
      </c>
      <c r="I59" s="7"/>
      <c r="J59" s="10">
        <v>7.0728</v>
      </c>
      <c r="K59" s="117">
        <v>10893008</v>
      </c>
      <c r="L59" s="120">
        <f t="shared" si="13"/>
        <v>202.06288374853921</v>
      </c>
      <c r="M59" s="122">
        <f t="shared" si="7"/>
        <v>15401266.84</v>
      </c>
      <c r="N59" s="116">
        <f t="shared" si="8"/>
        <v>4508258.84</v>
      </c>
      <c r="O59" s="123">
        <f t="shared" si="9"/>
        <v>83.627202136934457</v>
      </c>
      <c r="P59" s="5"/>
      <c r="Q59" s="5">
        <f t="shared" si="3"/>
        <v>1</v>
      </c>
      <c r="R59" s="7">
        <f t="shared" si="4"/>
        <v>53909</v>
      </c>
      <c r="S59" s="5">
        <f t="shared" si="5"/>
        <v>1</v>
      </c>
      <c r="T59" s="7">
        <f t="shared" si="6"/>
        <v>53909</v>
      </c>
    </row>
    <row r="60" spans="1:20">
      <c r="A60" s="23" t="s">
        <v>62</v>
      </c>
      <c r="B60" s="35" t="s">
        <v>49</v>
      </c>
      <c r="C60" s="36">
        <v>72739</v>
      </c>
      <c r="D60" s="6"/>
      <c r="E60" s="113">
        <v>3116266730</v>
      </c>
      <c r="F60" s="116">
        <f t="shared" si="11"/>
        <v>42841.759303812258</v>
      </c>
      <c r="G60" s="117">
        <v>2464577699</v>
      </c>
      <c r="H60" s="117">
        <f t="shared" si="12"/>
        <v>33882.479811380414</v>
      </c>
      <c r="I60" s="7"/>
      <c r="J60" s="10">
        <v>6.9226000000000001</v>
      </c>
      <c r="K60" s="117">
        <v>17061285</v>
      </c>
      <c r="L60" s="120">
        <f t="shared" si="13"/>
        <v>234.55484678095658</v>
      </c>
      <c r="M60" s="122">
        <f t="shared" si="7"/>
        <v>24645776.990000002</v>
      </c>
      <c r="N60" s="116">
        <f t="shared" si="8"/>
        <v>7584491.9900000021</v>
      </c>
      <c r="O60" s="123">
        <f t="shared" si="9"/>
        <v>104.26995133284761</v>
      </c>
      <c r="P60" s="5"/>
      <c r="Q60" s="5">
        <f t="shared" si="3"/>
        <v>1</v>
      </c>
      <c r="R60" s="7">
        <f t="shared" si="4"/>
        <v>72739</v>
      </c>
      <c r="S60" s="5">
        <f t="shared" si="5"/>
        <v>1</v>
      </c>
      <c r="T60" s="7">
        <f t="shared" si="6"/>
        <v>72739</v>
      </c>
    </row>
    <row r="61" spans="1:20">
      <c r="A61" s="23" t="s">
        <v>63</v>
      </c>
      <c r="B61" s="35" t="s">
        <v>49</v>
      </c>
      <c r="C61" s="36">
        <v>32264</v>
      </c>
      <c r="D61" s="6"/>
      <c r="E61" s="113">
        <v>850753545</v>
      </c>
      <c r="F61" s="116">
        <f t="shared" si="11"/>
        <v>26368.508089511532</v>
      </c>
      <c r="G61" s="117">
        <v>621309967</v>
      </c>
      <c r="H61" s="117">
        <f t="shared" si="12"/>
        <v>19257.065676915448</v>
      </c>
      <c r="I61" s="7"/>
      <c r="J61" s="10">
        <v>5.8409000000000004</v>
      </c>
      <c r="K61" s="117">
        <v>3629009</v>
      </c>
      <c r="L61" s="120">
        <f t="shared" si="13"/>
        <v>112.4785829407389</v>
      </c>
      <c r="M61" s="122">
        <f t="shared" si="7"/>
        <v>6213099.6699999999</v>
      </c>
      <c r="N61" s="116">
        <f t="shared" si="8"/>
        <v>2584090.67</v>
      </c>
      <c r="O61" s="123">
        <f t="shared" si="9"/>
        <v>80.092073828415565</v>
      </c>
      <c r="P61" s="5"/>
      <c r="Q61" s="5">
        <f t="shared" si="3"/>
        <v>1</v>
      </c>
      <c r="R61" s="7">
        <f t="shared" si="4"/>
        <v>32264</v>
      </c>
      <c r="S61" s="5">
        <f t="shared" si="5"/>
        <v>1</v>
      </c>
      <c r="T61" s="7">
        <f t="shared" si="6"/>
        <v>32264</v>
      </c>
    </row>
    <row r="62" spans="1:20">
      <c r="A62" s="23" t="s">
        <v>64</v>
      </c>
      <c r="B62" s="35" t="s">
        <v>49</v>
      </c>
      <c r="C62" s="36">
        <v>30966</v>
      </c>
      <c r="D62" s="6"/>
      <c r="E62" s="113">
        <v>1690690333</v>
      </c>
      <c r="F62" s="116">
        <f t="shared" si="11"/>
        <v>54598.279823031713</v>
      </c>
      <c r="G62" s="117">
        <v>1340321837</v>
      </c>
      <c r="H62" s="117">
        <f t="shared" si="12"/>
        <v>43283.660692372279</v>
      </c>
      <c r="I62" s="7"/>
      <c r="J62" s="10">
        <v>5.2126000000000001</v>
      </c>
      <c r="K62" s="117">
        <v>6986561</v>
      </c>
      <c r="L62" s="120">
        <f t="shared" si="13"/>
        <v>225.62039010527675</v>
      </c>
      <c r="M62" s="122">
        <f t="shared" si="7"/>
        <v>13403218.370000001</v>
      </c>
      <c r="N62" s="116">
        <f t="shared" si="8"/>
        <v>6416657.370000001</v>
      </c>
      <c r="O62" s="123">
        <f t="shared" si="9"/>
        <v>207.21621681844607</v>
      </c>
      <c r="P62" s="5"/>
      <c r="Q62" s="5">
        <f t="shared" si="3"/>
        <v>1</v>
      </c>
      <c r="R62" s="7">
        <f t="shared" si="4"/>
        <v>30966</v>
      </c>
      <c r="S62" s="5">
        <f t="shared" si="5"/>
        <v>1</v>
      </c>
      <c r="T62" s="7">
        <f t="shared" si="6"/>
        <v>30966</v>
      </c>
    </row>
    <row r="63" spans="1:20">
      <c r="A63" s="23" t="s">
        <v>65</v>
      </c>
      <c r="B63" s="35" t="s">
        <v>49</v>
      </c>
      <c r="C63" s="36">
        <v>13835</v>
      </c>
      <c r="D63" s="6"/>
      <c r="E63" s="113">
        <v>1250501407</v>
      </c>
      <c r="F63" s="116">
        <f t="shared" si="11"/>
        <v>90386.802096132989</v>
      </c>
      <c r="G63" s="117">
        <v>1049093687</v>
      </c>
      <c r="H63" s="117">
        <f t="shared" si="12"/>
        <v>75828.961835923386</v>
      </c>
      <c r="I63" s="7"/>
      <c r="J63" s="10">
        <v>4.0999999999999996</v>
      </c>
      <c r="K63" s="117">
        <v>4301284</v>
      </c>
      <c r="L63" s="120">
        <f t="shared" si="13"/>
        <v>310.89873509215755</v>
      </c>
      <c r="M63" s="122">
        <f t="shared" si="7"/>
        <v>10490936.870000001</v>
      </c>
      <c r="N63" s="116">
        <f t="shared" si="8"/>
        <v>6189652.870000001</v>
      </c>
      <c r="O63" s="123">
        <f t="shared" si="9"/>
        <v>447.39088326707633</v>
      </c>
      <c r="P63" s="5"/>
      <c r="Q63" s="5">
        <f t="shared" si="3"/>
        <v>1</v>
      </c>
      <c r="R63" s="7">
        <f t="shared" si="4"/>
        <v>13835</v>
      </c>
      <c r="S63" s="5">
        <f t="shared" si="5"/>
        <v>1</v>
      </c>
      <c r="T63" s="7">
        <f t="shared" si="6"/>
        <v>13835</v>
      </c>
    </row>
    <row r="64" spans="1:20">
      <c r="A64" s="23" t="s">
        <v>66</v>
      </c>
      <c r="B64" s="35" t="s">
        <v>49</v>
      </c>
      <c r="C64" s="36">
        <v>6299</v>
      </c>
      <c r="D64" s="6"/>
      <c r="E64" s="113">
        <v>282925381</v>
      </c>
      <c r="F64" s="116">
        <f t="shared" si="11"/>
        <v>44915.92014605493</v>
      </c>
      <c r="G64" s="117">
        <v>257782984</v>
      </c>
      <c r="H64" s="117">
        <f t="shared" si="12"/>
        <v>40924.429909509447</v>
      </c>
      <c r="I64" s="7"/>
      <c r="J64" s="10">
        <v>8.25</v>
      </c>
      <c r="K64" s="117">
        <v>2126709</v>
      </c>
      <c r="L64" s="120">
        <f t="shared" si="13"/>
        <v>337.62644864264166</v>
      </c>
      <c r="M64" s="122">
        <f t="shared" si="7"/>
        <v>2577829.84</v>
      </c>
      <c r="N64" s="116">
        <f t="shared" si="8"/>
        <v>451120.83999999985</v>
      </c>
      <c r="O64" s="123">
        <f t="shared" si="9"/>
        <v>71.617850452452743</v>
      </c>
      <c r="P64" s="5"/>
      <c r="Q64" s="5">
        <f t="shared" si="3"/>
        <v>1</v>
      </c>
      <c r="R64" s="7">
        <f t="shared" si="4"/>
        <v>6299</v>
      </c>
      <c r="S64" s="5">
        <f t="shared" si="5"/>
        <v>1</v>
      </c>
      <c r="T64" s="7">
        <f t="shared" si="6"/>
        <v>6299</v>
      </c>
    </row>
    <row r="65" spans="1:20">
      <c r="A65" s="23" t="s">
        <v>67</v>
      </c>
      <c r="B65" s="35" t="s">
        <v>49</v>
      </c>
      <c r="C65" s="36">
        <v>137427</v>
      </c>
      <c r="D65" s="6"/>
      <c r="E65" s="113">
        <v>6855447486</v>
      </c>
      <c r="F65" s="116">
        <f t="shared" si="11"/>
        <v>49884.283918007379</v>
      </c>
      <c r="G65" s="117">
        <v>5433717846</v>
      </c>
      <c r="H65" s="117">
        <f t="shared" si="12"/>
        <v>39538.939553362878</v>
      </c>
      <c r="I65" s="7"/>
      <c r="J65" s="10">
        <v>3.9034</v>
      </c>
      <c r="K65" s="117">
        <v>21209974</v>
      </c>
      <c r="L65" s="120">
        <f t="shared" si="13"/>
        <v>154.336294905659</v>
      </c>
      <c r="M65" s="122">
        <f t="shared" si="7"/>
        <v>54337178.460000001</v>
      </c>
      <c r="N65" s="116">
        <f t="shared" si="8"/>
        <v>33127204.460000001</v>
      </c>
      <c r="O65" s="123">
        <f t="shared" si="9"/>
        <v>241.05310062796977</v>
      </c>
      <c r="P65" s="5"/>
      <c r="Q65" s="5">
        <f t="shared" si="3"/>
        <v>1</v>
      </c>
      <c r="R65" s="7">
        <f t="shared" si="4"/>
        <v>137427</v>
      </c>
      <c r="S65" s="5">
        <f t="shared" si="5"/>
        <v>1</v>
      </c>
      <c r="T65" s="7">
        <f t="shared" si="6"/>
        <v>137427</v>
      </c>
    </row>
    <row r="66" spans="1:20">
      <c r="A66" s="23" t="s">
        <v>68</v>
      </c>
      <c r="B66" s="35" t="s">
        <v>49</v>
      </c>
      <c r="C66" s="36">
        <v>82934</v>
      </c>
      <c r="D66" s="6"/>
      <c r="E66" s="113">
        <v>5679578066</v>
      </c>
      <c r="F66" s="116">
        <f t="shared" si="11"/>
        <v>68483.107844792248</v>
      </c>
      <c r="G66" s="117">
        <v>4678355882</v>
      </c>
      <c r="H66" s="117">
        <f t="shared" si="12"/>
        <v>56410.590131912126</v>
      </c>
      <c r="I66" s="7"/>
      <c r="J66" s="10">
        <v>3.835</v>
      </c>
      <c r="K66" s="117">
        <v>17941494</v>
      </c>
      <c r="L66" s="120">
        <f t="shared" si="13"/>
        <v>216.33460341958667</v>
      </c>
      <c r="M66" s="122">
        <f t="shared" si="7"/>
        <v>46783558.82</v>
      </c>
      <c r="N66" s="116">
        <f t="shared" si="8"/>
        <v>28842064.82</v>
      </c>
      <c r="O66" s="123">
        <f t="shared" si="9"/>
        <v>347.77129789953455</v>
      </c>
      <c r="P66" s="5"/>
      <c r="Q66" s="5">
        <f t="shared" si="3"/>
        <v>1</v>
      </c>
      <c r="R66" s="7">
        <f t="shared" si="4"/>
        <v>82934</v>
      </c>
      <c r="S66" s="5">
        <f t="shared" si="5"/>
        <v>1</v>
      </c>
      <c r="T66" s="7">
        <f t="shared" si="6"/>
        <v>82934</v>
      </c>
    </row>
    <row r="67" spans="1:20">
      <c r="A67" s="23" t="s">
        <v>69</v>
      </c>
      <c r="B67" s="35" t="s">
        <v>49</v>
      </c>
      <c r="C67" s="36">
        <v>78191</v>
      </c>
      <c r="D67" s="6"/>
      <c r="E67" s="113">
        <v>6484462149</v>
      </c>
      <c r="F67" s="116">
        <f t="shared" si="11"/>
        <v>82931.055351638934</v>
      </c>
      <c r="G67" s="117">
        <v>5400214133</v>
      </c>
      <c r="H67" s="117">
        <f t="shared" si="12"/>
        <v>69064.395301249504</v>
      </c>
      <c r="I67" s="7"/>
      <c r="J67" s="10">
        <v>4.5999999999999996</v>
      </c>
      <c r="K67" s="117">
        <v>24840985</v>
      </c>
      <c r="L67" s="120">
        <f t="shared" si="13"/>
        <v>317.69621823483521</v>
      </c>
      <c r="M67" s="122">
        <f t="shared" si="7"/>
        <v>54002141.329999998</v>
      </c>
      <c r="N67" s="116">
        <f t="shared" si="8"/>
        <v>29161156.329999998</v>
      </c>
      <c r="O67" s="123">
        <f t="shared" si="9"/>
        <v>372.94773477765983</v>
      </c>
      <c r="P67" s="5"/>
      <c r="Q67" s="5">
        <f t="shared" si="3"/>
        <v>1</v>
      </c>
      <c r="R67" s="7">
        <f t="shared" si="4"/>
        <v>78191</v>
      </c>
      <c r="S67" s="5">
        <f t="shared" si="5"/>
        <v>1</v>
      </c>
      <c r="T67" s="7">
        <f t="shared" si="6"/>
        <v>78191</v>
      </c>
    </row>
    <row r="68" spans="1:20">
      <c r="A68" s="23" t="s">
        <v>70</v>
      </c>
      <c r="B68" s="35" t="s">
        <v>49</v>
      </c>
      <c r="C68" s="36">
        <v>1392</v>
      </c>
      <c r="D68" s="6"/>
      <c r="E68" s="113">
        <v>115463834</v>
      </c>
      <c r="F68" s="116">
        <f t="shared" si="11"/>
        <v>82948.156609195401</v>
      </c>
      <c r="G68" s="117">
        <v>101416274</v>
      </c>
      <c r="H68" s="117">
        <f t="shared" si="12"/>
        <v>72856.518678160923</v>
      </c>
      <c r="I68" s="7"/>
      <c r="J68" s="10">
        <v>6.5</v>
      </c>
      <c r="K68" s="117">
        <v>659205</v>
      </c>
      <c r="L68" s="120">
        <f t="shared" si="13"/>
        <v>473.56681034482756</v>
      </c>
      <c r="M68" s="122">
        <f t="shared" si="7"/>
        <v>1014162.74</v>
      </c>
      <c r="N68" s="116">
        <f t="shared" si="8"/>
        <v>354957.74</v>
      </c>
      <c r="O68" s="123">
        <f t="shared" si="9"/>
        <v>254.9983764367816</v>
      </c>
      <c r="P68" s="5"/>
      <c r="Q68" s="5">
        <f t="shared" si="3"/>
        <v>1</v>
      </c>
      <c r="R68" s="7">
        <f t="shared" si="4"/>
        <v>1392</v>
      </c>
      <c r="S68" s="5">
        <f t="shared" si="5"/>
        <v>1</v>
      </c>
      <c r="T68" s="7">
        <f t="shared" si="6"/>
        <v>1392</v>
      </c>
    </row>
    <row r="69" spans="1:20">
      <c r="A69" s="23" t="s">
        <v>71</v>
      </c>
      <c r="B69" s="35" t="s">
        <v>49</v>
      </c>
      <c r="C69" s="36">
        <v>85779</v>
      </c>
      <c r="D69" s="6"/>
      <c r="E69" s="113">
        <v>4311101600</v>
      </c>
      <c r="F69" s="116">
        <f t="shared" si="11"/>
        <v>50258.240361860131</v>
      </c>
      <c r="G69" s="117">
        <v>3304128876</v>
      </c>
      <c r="H69" s="117">
        <f t="shared" si="12"/>
        <v>38519.088308327213</v>
      </c>
      <c r="I69" s="7"/>
      <c r="J69" s="10">
        <v>6.3</v>
      </c>
      <c r="K69" s="117">
        <v>20816011</v>
      </c>
      <c r="L69" s="120">
        <f t="shared" si="13"/>
        <v>242.6702456312151</v>
      </c>
      <c r="M69" s="122">
        <f t="shared" si="7"/>
        <v>33041288.760000002</v>
      </c>
      <c r="N69" s="116">
        <f t="shared" si="8"/>
        <v>12225277.760000002</v>
      </c>
      <c r="O69" s="123">
        <f t="shared" si="9"/>
        <v>142.52063745205706</v>
      </c>
      <c r="P69" s="5"/>
      <c r="Q69" s="5">
        <f t="shared" si="3"/>
        <v>1</v>
      </c>
      <c r="R69" s="7">
        <f t="shared" si="4"/>
        <v>85779</v>
      </c>
      <c r="S69" s="5">
        <f t="shared" si="5"/>
        <v>1</v>
      </c>
      <c r="T69" s="7">
        <f t="shared" si="6"/>
        <v>85779</v>
      </c>
    </row>
    <row r="70" spans="1:20">
      <c r="A70" s="23" t="s">
        <v>72</v>
      </c>
      <c r="B70" s="35" t="s">
        <v>49</v>
      </c>
      <c r="C70" s="36">
        <v>55588</v>
      </c>
      <c r="D70" s="6"/>
      <c r="E70" s="113">
        <v>2511795159</v>
      </c>
      <c r="F70" s="116">
        <f t="shared" ref="F70:F91" si="14">(E70/C70)</f>
        <v>45185.924282219181</v>
      </c>
      <c r="G70" s="117">
        <v>1892588459</v>
      </c>
      <c r="H70" s="117">
        <f t="shared" ref="H70:H91" si="15">(G70/C70)</f>
        <v>34046.708983953373</v>
      </c>
      <c r="I70" s="7"/>
      <c r="J70" s="10">
        <v>6.5766999999999998</v>
      </c>
      <c r="K70" s="117">
        <v>12446986</v>
      </c>
      <c r="L70" s="120">
        <f t="shared" si="13"/>
        <v>223.91498165071599</v>
      </c>
      <c r="M70" s="122">
        <f t="shared" si="7"/>
        <v>18925884.59</v>
      </c>
      <c r="N70" s="116">
        <f t="shared" si="8"/>
        <v>6478898.5899999999</v>
      </c>
      <c r="O70" s="123">
        <f t="shared" si="9"/>
        <v>116.55210818881773</v>
      </c>
      <c r="P70" s="5"/>
      <c r="Q70" s="5">
        <f t="shared" si="3"/>
        <v>1</v>
      </c>
      <c r="R70" s="7">
        <f t="shared" si="4"/>
        <v>55588</v>
      </c>
      <c r="S70" s="5">
        <f t="shared" si="5"/>
        <v>1</v>
      </c>
      <c r="T70" s="7">
        <f t="shared" si="6"/>
        <v>55588</v>
      </c>
    </row>
    <row r="71" spans="1:20">
      <c r="A71" s="23" t="s">
        <v>73</v>
      </c>
      <c r="B71" s="35" t="s">
        <v>49</v>
      </c>
      <c r="C71" s="36">
        <v>49286</v>
      </c>
      <c r="D71" s="6"/>
      <c r="E71" s="113">
        <v>3779796308</v>
      </c>
      <c r="F71" s="116">
        <f t="shared" si="14"/>
        <v>76691.074706813291</v>
      </c>
      <c r="G71" s="117">
        <v>3345551482</v>
      </c>
      <c r="H71" s="117">
        <f t="shared" si="15"/>
        <v>67880.361197906095</v>
      </c>
      <c r="I71" s="7"/>
      <c r="J71" s="10">
        <v>1.5235000000000001</v>
      </c>
      <c r="K71" s="117">
        <v>5096947</v>
      </c>
      <c r="L71" s="120">
        <f t="shared" si="13"/>
        <v>103.41571643062939</v>
      </c>
      <c r="M71" s="122">
        <f t="shared" si="7"/>
        <v>33455514.82</v>
      </c>
      <c r="N71" s="116">
        <f t="shared" si="8"/>
        <v>28358567.82</v>
      </c>
      <c r="O71" s="123">
        <f t="shared" si="9"/>
        <v>575.38789554843163</v>
      </c>
      <c r="P71" s="5"/>
      <c r="Q71" s="5">
        <f t="shared" ref="Q71:Q134" si="16">IF(E71&gt;0,1,0)</f>
        <v>1</v>
      </c>
      <c r="R71" s="7">
        <f t="shared" ref="R71:R134" si="17">IF(E71&gt;0,C71,0)</f>
        <v>49286</v>
      </c>
      <c r="S71" s="5">
        <f t="shared" ref="S71:S134" si="18">IF(J71&gt;0,1,0)</f>
        <v>1</v>
      </c>
      <c r="T71" s="7">
        <f t="shared" ref="T71:T134" si="19">IF(J71&gt;0,C71,0)</f>
        <v>49286</v>
      </c>
    </row>
    <row r="72" spans="1:20">
      <c r="A72" s="23" t="s">
        <v>74</v>
      </c>
      <c r="B72" s="35" t="s">
        <v>49</v>
      </c>
      <c r="C72" s="36">
        <v>12697</v>
      </c>
      <c r="D72" s="6"/>
      <c r="E72" s="113">
        <v>589859542</v>
      </c>
      <c r="F72" s="116">
        <f t="shared" si="14"/>
        <v>46456.607230054346</v>
      </c>
      <c r="G72" s="117">
        <v>438930276</v>
      </c>
      <c r="H72" s="117">
        <f t="shared" si="15"/>
        <v>34569.605103567774</v>
      </c>
      <c r="I72" s="7"/>
      <c r="J72" s="10">
        <v>6.9329999999999998</v>
      </c>
      <c r="K72" s="117">
        <v>3043103</v>
      </c>
      <c r="L72" s="120">
        <f t="shared" si="13"/>
        <v>239.67102465149247</v>
      </c>
      <c r="M72" s="122">
        <f t="shared" ref="M72:M135" si="20">(G72*0.01)</f>
        <v>4389302.76</v>
      </c>
      <c r="N72" s="116">
        <f t="shared" ref="N72:N135" si="21">(M72-K72)</f>
        <v>1346199.7599999998</v>
      </c>
      <c r="O72" s="123">
        <f t="shared" ref="O72:O135" si="22">(N72/C72)</f>
        <v>106.02502638418522</v>
      </c>
      <c r="P72" s="5"/>
      <c r="Q72" s="5">
        <f t="shared" si="16"/>
        <v>1</v>
      </c>
      <c r="R72" s="7">
        <f t="shared" si="17"/>
        <v>12697</v>
      </c>
      <c r="S72" s="5">
        <f t="shared" si="18"/>
        <v>1</v>
      </c>
      <c r="T72" s="7">
        <f t="shared" si="19"/>
        <v>12697</v>
      </c>
    </row>
    <row r="73" spans="1:20">
      <c r="A73" s="23" t="s">
        <v>75</v>
      </c>
      <c r="B73" s="35" t="s">
        <v>76</v>
      </c>
      <c r="C73" s="36">
        <v>506</v>
      </c>
      <c r="D73" s="6"/>
      <c r="E73" s="113">
        <v>8032230</v>
      </c>
      <c r="F73" s="116">
        <f t="shared" si="14"/>
        <v>15873.97233201581</v>
      </c>
      <c r="G73" s="117">
        <v>3883732</v>
      </c>
      <c r="H73" s="117">
        <f t="shared" si="15"/>
        <v>7675.359683794466</v>
      </c>
      <c r="I73" s="98" t="s">
        <v>528</v>
      </c>
      <c r="J73" s="10"/>
      <c r="K73" s="117"/>
      <c r="L73" s="120"/>
      <c r="M73" s="122">
        <f t="shared" si="20"/>
        <v>38837.32</v>
      </c>
      <c r="N73" s="116">
        <f t="shared" si="21"/>
        <v>38837.32</v>
      </c>
      <c r="O73" s="123">
        <f t="shared" si="22"/>
        <v>76.75359683794467</v>
      </c>
      <c r="P73" s="5"/>
      <c r="Q73" s="5">
        <f t="shared" si="16"/>
        <v>1</v>
      </c>
      <c r="R73" s="7">
        <f t="shared" si="17"/>
        <v>506</v>
      </c>
      <c r="S73" s="5">
        <f t="shared" si="18"/>
        <v>0</v>
      </c>
      <c r="T73" s="7">
        <f t="shared" si="19"/>
        <v>0</v>
      </c>
    </row>
    <row r="74" spans="1:20">
      <c r="A74" s="23" t="s">
        <v>77</v>
      </c>
      <c r="B74" s="35" t="s">
        <v>76</v>
      </c>
      <c r="C74" s="36">
        <v>2444</v>
      </c>
      <c r="D74" s="6"/>
      <c r="E74" s="113">
        <v>73167510</v>
      </c>
      <c r="F74" s="116">
        <f t="shared" si="14"/>
        <v>29937.606382978724</v>
      </c>
      <c r="G74" s="117">
        <v>43945828</v>
      </c>
      <c r="H74" s="117">
        <f t="shared" si="15"/>
        <v>17981.108019639934</v>
      </c>
      <c r="I74" s="7"/>
      <c r="J74" s="10">
        <v>1.5</v>
      </c>
      <c r="K74" s="117">
        <v>65918</v>
      </c>
      <c r="L74" s="120">
        <f t="shared" ref="L74:L80" si="23">(K74/C74)</f>
        <v>26.971358428805239</v>
      </c>
      <c r="M74" s="122">
        <f t="shared" si="20"/>
        <v>439458.28</v>
      </c>
      <c r="N74" s="116">
        <f t="shared" si="21"/>
        <v>373540.28</v>
      </c>
      <c r="O74" s="123">
        <f t="shared" si="22"/>
        <v>152.83972176759411</v>
      </c>
      <c r="P74" s="5"/>
      <c r="Q74" s="5">
        <f t="shared" si="16"/>
        <v>1</v>
      </c>
      <c r="R74" s="7">
        <f t="shared" si="17"/>
        <v>2444</v>
      </c>
      <c r="S74" s="5">
        <f t="shared" si="18"/>
        <v>1</v>
      </c>
      <c r="T74" s="7">
        <f t="shared" si="19"/>
        <v>2444</v>
      </c>
    </row>
    <row r="75" spans="1:20">
      <c r="A75" s="23" t="s">
        <v>78</v>
      </c>
      <c r="B75" s="35" t="s">
        <v>79</v>
      </c>
      <c r="C75" s="36">
        <v>14344</v>
      </c>
      <c r="D75" s="6"/>
      <c r="E75" s="113">
        <v>1814511921</v>
      </c>
      <c r="F75" s="116">
        <f t="shared" si="14"/>
        <v>126499.71563022866</v>
      </c>
      <c r="G75" s="117">
        <v>1414669289</v>
      </c>
      <c r="H75" s="117">
        <f t="shared" si="15"/>
        <v>98624.462423312885</v>
      </c>
      <c r="I75" s="7"/>
      <c r="J75" s="10">
        <v>2.7418999999999998</v>
      </c>
      <c r="K75" s="117">
        <v>3878881</v>
      </c>
      <c r="L75" s="120">
        <f t="shared" si="23"/>
        <v>270.41836307863917</v>
      </c>
      <c r="M75" s="122">
        <f t="shared" si="20"/>
        <v>14146692.890000001</v>
      </c>
      <c r="N75" s="116">
        <f t="shared" si="21"/>
        <v>10267811.890000001</v>
      </c>
      <c r="O75" s="123">
        <f t="shared" si="22"/>
        <v>715.82626115448977</v>
      </c>
      <c r="P75" s="5"/>
      <c r="Q75" s="5">
        <f t="shared" si="16"/>
        <v>1</v>
      </c>
      <c r="R75" s="7">
        <f t="shared" si="17"/>
        <v>14344</v>
      </c>
      <c r="S75" s="5">
        <f t="shared" si="18"/>
        <v>1</v>
      </c>
      <c r="T75" s="7">
        <f t="shared" si="19"/>
        <v>14344</v>
      </c>
    </row>
    <row r="76" spans="1:20">
      <c r="A76" s="23" t="s">
        <v>80</v>
      </c>
      <c r="B76" s="35" t="s">
        <v>81</v>
      </c>
      <c r="C76" s="36">
        <v>3485</v>
      </c>
      <c r="D76" s="6"/>
      <c r="E76" s="113">
        <v>301947913</v>
      </c>
      <c r="F76" s="116">
        <f t="shared" si="14"/>
        <v>86642.155810616925</v>
      </c>
      <c r="G76" s="117">
        <v>245174647</v>
      </c>
      <c r="H76" s="117">
        <f t="shared" si="15"/>
        <v>70351.40516499283</v>
      </c>
      <c r="I76" s="7"/>
      <c r="J76" s="10">
        <v>6</v>
      </c>
      <c r="K76" s="117">
        <v>1471047</v>
      </c>
      <c r="L76" s="120">
        <f t="shared" si="23"/>
        <v>422.10817790530848</v>
      </c>
      <c r="M76" s="122">
        <f t="shared" si="20"/>
        <v>2451746.4700000002</v>
      </c>
      <c r="N76" s="116">
        <f t="shared" si="21"/>
        <v>980699.4700000002</v>
      </c>
      <c r="O76" s="123">
        <f t="shared" si="22"/>
        <v>281.40587374461984</v>
      </c>
      <c r="P76" s="5"/>
      <c r="Q76" s="5">
        <f t="shared" si="16"/>
        <v>1</v>
      </c>
      <c r="R76" s="7">
        <f t="shared" si="17"/>
        <v>3485</v>
      </c>
      <c r="S76" s="5">
        <f t="shared" si="18"/>
        <v>1</v>
      </c>
      <c r="T76" s="7">
        <f t="shared" si="19"/>
        <v>3485</v>
      </c>
    </row>
    <row r="77" spans="1:20">
      <c r="A77" s="23" t="s">
        <v>82</v>
      </c>
      <c r="B77" s="35" t="s">
        <v>81</v>
      </c>
      <c r="C77" s="36">
        <v>6789</v>
      </c>
      <c r="D77" s="6"/>
      <c r="E77" s="113">
        <v>389274547</v>
      </c>
      <c r="F77" s="116">
        <f t="shared" si="14"/>
        <v>57339.011194579463</v>
      </c>
      <c r="G77" s="117">
        <v>235967530</v>
      </c>
      <c r="H77" s="117">
        <f t="shared" si="15"/>
        <v>34757.33244955074</v>
      </c>
      <c r="I77" s="7"/>
      <c r="J77" s="11">
        <v>6.2659000000000002</v>
      </c>
      <c r="K77" s="117">
        <v>1478548</v>
      </c>
      <c r="L77" s="120">
        <f t="shared" si="23"/>
        <v>217.78583001914862</v>
      </c>
      <c r="M77" s="122">
        <f t="shared" si="20"/>
        <v>2359675.3000000003</v>
      </c>
      <c r="N77" s="116">
        <f t="shared" si="21"/>
        <v>881127.30000000028</v>
      </c>
      <c r="O77" s="123">
        <f t="shared" si="22"/>
        <v>129.78749447635886</v>
      </c>
      <c r="P77" s="5"/>
      <c r="Q77" s="5">
        <f t="shared" si="16"/>
        <v>1</v>
      </c>
      <c r="R77" s="7">
        <f t="shared" si="17"/>
        <v>6789</v>
      </c>
      <c r="S77" s="5">
        <f t="shared" si="18"/>
        <v>1</v>
      </c>
      <c r="T77" s="7">
        <f t="shared" si="19"/>
        <v>6789</v>
      </c>
    </row>
    <row r="78" spans="1:20">
      <c r="A78" s="23" t="s">
        <v>83</v>
      </c>
      <c r="B78" s="35" t="s">
        <v>84</v>
      </c>
      <c r="C78" s="36">
        <v>5378</v>
      </c>
      <c r="D78" s="6"/>
      <c r="E78" s="113">
        <v>246150814</v>
      </c>
      <c r="F78" s="116">
        <f t="shared" si="14"/>
        <v>45769.95425808851</v>
      </c>
      <c r="G78" s="117">
        <v>174030316</v>
      </c>
      <c r="H78" s="117">
        <f t="shared" si="15"/>
        <v>32359.671997024918</v>
      </c>
      <c r="I78" s="7"/>
      <c r="J78" s="10">
        <v>2.6110000000000002</v>
      </c>
      <c r="K78" s="117">
        <v>454393</v>
      </c>
      <c r="L78" s="120">
        <f t="shared" si="23"/>
        <v>84.491074748977312</v>
      </c>
      <c r="M78" s="122">
        <f t="shared" si="20"/>
        <v>1740303.1600000001</v>
      </c>
      <c r="N78" s="116">
        <f t="shared" si="21"/>
        <v>1285910.1600000001</v>
      </c>
      <c r="O78" s="123">
        <f t="shared" si="22"/>
        <v>239.10564522127189</v>
      </c>
      <c r="P78" s="5"/>
      <c r="Q78" s="5">
        <f t="shared" si="16"/>
        <v>1</v>
      </c>
      <c r="R78" s="7">
        <f t="shared" si="17"/>
        <v>5378</v>
      </c>
      <c r="S78" s="5">
        <f t="shared" si="18"/>
        <v>1</v>
      </c>
      <c r="T78" s="7">
        <f t="shared" si="19"/>
        <v>5378</v>
      </c>
    </row>
    <row r="79" spans="1:20">
      <c r="A79" s="23" t="s">
        <v>85</v>
      </c>
      <c r="B79" s="35" t="s">
        <v>84</v>
      </c>
      <c r="C79" s="36">
        <v>1345</v>
      </c>
      <c r="D79" s="6"/>
      <c r="E79" s="113">
        <v>56456727</v>
      </c>
      <c r="F79" s="116">
        <f t="shared" si="14"/>
        <v>41975.261710037172</v>
      </c>
      <c r="G79" s="117">
        <v>34817758</v>
      </c>
      <c r="H79" s="117">
        <f t="shared" si="15"/>
        <v>25886.808921933087</v>
      </c>
      <c r="I79" s="7"/>
      <c r="J79" s="10">
        <v>2</v>
      </c>
      <c r="K79" s="117">
        <v>69635</v>
      </c>
      <c r="L79" s="120">
        <f t="shared" si="23"/>
        <v>51.773234200743495</v>
      </c>
      <c r="M79" s="122">
        <f t="shared" si="20"/>
        <v>348177.58</v>
      </c>
      <c r="N79" s="116">
        <f t="shared" si="21"/>
        <v>278542.58</v>
      </c>
      <c r="O79" s="123">
        <f t="shared" si="22"/>
        <v>207.09485501858737</v>
      </c>
      <c r="P79" s="5"/>
      <c r="Q79" s="5">
        <f t="shared" si="16"/>
        <v>1</v>
      </c>
      <c r="R79" s="7">
        <f t="shared" si="17"/>
        <v>1345</v>
      </c>
      <c r="S79" s="5">
        <f t="shared" si="18"/>
        <v>1</v>
      </c>
      <c r="T79" s="7">
        <f t="shared" si="19"/>
        <v>1345</v>
      </c>
    </row>
    <row r="80" spans="1:20">
      <c r="A80" s="23" t="s">
        <v>86</v>
      </c>
      <c r="B80" s="35" t="s">
        <v>84</v>
      </c>
      <c r="C80" s="36">
        <v>9081</v>
      </c>
      <c r="D80" s="6"/>
      <c r="E80" s="113">
        <v>489318844</v>
      </c>
      <c r="F80" s="116">
        <f t="shared" si="14"/>
        <v>53883.80618874573</v>
      </c>
      <c r="G80" s="117">
        <v>338615952</v>
      </c>
      <c r="H80" s="117">
        <f t="shared" si="15"/>
        <v>37288.399074991743</v>
      </c>
      <c r="I80" s="7"/>
      <c r="J80" s="10">
        <v>5</v>
      </c>
      <c r="K80" s="117">
        <v>1693079</v>
      </c>
      <c r="L80" s="120">
        <f t="shared" si="23"/>
        <v>186.44191168373527</v>
      </c>
      <c r="M80" s="122">
        <f t="shared" si="20"/>
        <v>3386159.52</v>
      </c>
      <c r="N80" s="116">
        <f t="shared" si="21"/>
        <v>1693080.52</v>
      </c>
      <c r="O80" s="123">
        <f t="shared" si="22"/>
        <v>186.44207906618215</v>
      </c>
      <c r="P80" s="5"/>
      <c r="Q80" s="5">
        <f t="shared" si="16"/>
        <v>1</v>
      </c>
      <c r="R80" s="7">
        <f t="shared" si="17"/>
        <v>9081</v>
      </c>
      <c r="S80" s="5">
        <f t="shared" si="18"/>
        <v>1</v>
      </c>
      <c r="T80" s="7">
        <f t="shared" si="19"/>
        <v>9081</v>
      </c>
    </row>
    <row r="81" spans="1:20">
      <c r="A81" s="23" t="s">
        <v>87</v>
      </c>
      <c r="B81" s="35" t="s">
        <v>84</v>
      </c>
      <c r="C81" s="36">
        <v>580</v>
      </c>
      <c r="D81" s="6"/>
      <c r="E81" s="113">
        <v>18453769</v>
      </c>
      <c r="F81" s="116">
        <f t="shared" si="14"/>
        <v>31816.843103448275</v>
      </c>
      <c r="G81" s="117">
        <v>5631584</v>
      </c>
      <c r="H81" s="117">
        <f t="shared" si="15"/>
        <v>9709.627586206896</v>
      </c>
      <c r="I81" s="98" t="s">
        <v>528</v>
      </c>
      <c r="J81" s="10"/>
      <c r="K81" s="117"/>
      <c r="L81" s="120"/>
      <c r="M81" s="122">
        <f t="shared" si="20"/>
        <v>56315.840000000004</v>
      </c>
      <c r="N81" s="116">
        <f t="shared" si="21"/>
        <v>56315.840000000004</v>
      </c>
      <c r="O81" s="123">
        <f t="shared" si="22"/>
        <v>97.096275862068978</v>
      </c>
      <c r="P81" s="5"/>
      <c r="Q81" s="5">
        <f t="shared" si="16"/>
        <v>1</v>
      </c>
      <c r="R81" s="7">
        <f t="shared" si="17"/>
        <v>580</v>
      </c>
      <c r="S81" s="5">
        <f t="shared" si="18"/>
        <v>0</v>
      </c>
      <c r="T81" s="7">
        <f t="shared" si="19"/>
        <v>0</v>
      </c>
    </row>
    <row r="82" spans="1:20">
      <c r="A82" s="23" t="s">
        <v>88</v>
      </c>
      <c r="B82" s="35" t="s">
        <v>89</v>
      </c>
      <c r="C82" s="36">
        <v>479</v>
      </c>
      <c r="D82" s="6"/>
      <c r="E82" s="113">
        <v>42461366</v>
      </c>
      <c r="F82" s="116">
        <f t="shared" si="14"/>
        <v>88645.858037578291</v>
      </c>
      <c r="G82" s="117">
        <v>30408197</v>
      </c>
      <c r="H82" s="117">
        <f t="shared" si="15"/>
        <v>63482.665970772439</v>
      </c>
      <c r="I82" s="7"/>
      <c r="J82" s="10">
        <v>5.5682</v>
      </c>
      <c r="K82" s="117">
        <v>169318</v>
      </c>
      <c r="L82" s="120">
        <f>(K82/C82)</f>
        <v>353.48225469728601</v>
      </c>
      <c r="M82" s="122">
        <f t="shared" si="20"/>
        <v>304081.97000000003</v>
      </c>
      <c r="N82" s="116">
        <f t="shared" si="21"/>
        <v>134763.97000000003</v>
      </c>
      <c r="O82" s="123">
        <f t="shared" si="22"/>
        <v>281.34440501043849</v>
      </c>
      <c r="P82" s="5"/>
      <c r="Q82" s="5">
        <f t="shared" si="16"/>
        <v>1</v>
      </c>
      <c r="R82" s="7">
        <f t="shared" si="17"/>
        <v>479</v>
      </c>
      <c r="S82" s="5">
        <f t="shared" si="18"/>
        <v>1</v>
      </c>
      <c r="T82" s="7">
        <f t="shared" si="19"/>
        <v>479</v>
      </c>
    </row>
    <row r="83" spans="1:20">
      <c r="A83" s="23" t="s">
        <v>90</v>
      </c>
      <c r="B83" s="35" t="s">
        <v>89</v>
      </c>
      <c r="C83" s="36">
        <v>14879</v>
      </c>
      <c r="D83" s="6"/>
      <c r="E83" s="113">
        <v>4249436113</v>
      </c>
      <c r="F83" s="116">
        <f t="shared" si="14"/>
        <v>285599.5774581625</v>
      </c>
      <c r="G83" s="117">
        <v>3874706433</v>
      </c>
      <c r="H83" s="117">
        <f t="shared" si="15"/>
        <v>260414.43867195377</v>
      </c>
      <c r="I83" s="7"/>
      <c r="J83" s="10">
        <v>1.5086999999999999</v>
      </c>
      <c r="K83" s="117">
        <v>5845769</v>
      </c>
      <c r="L83" s="120">
        <f>(K83/C83)</f>
        <v>392.8872236037368</v>
      </c>
      <c r="M83" s="122">
        <f t="shared" si="20"/>
        <v>38747064.329999998</v>
      </c>
      <c r="N83" s="116">
        <f t="shared" si="21"/>
        <v>32901295.329999998</v>
      </c>
      <c r="O83" s="123">
        <f t="shared" si="22"/>
        <v>2211.2571631158007</v>
      </c>
      <c r="P83" s="5"/>
      <c r="Q83" s="5">
        <f t="shared" si="16"/>
        <v>1</v>
      </c>
      <c r="R83" s="7">
        <f t="shared" si="17"/>
        <v>14879</v>
      </c>
      <c r="S83" s="5">
        <f t="shared" si="18"/>
        <v>1</v>
      </c>
      <c r="T83" s="7">
        <f t="shared" si="19"/>
        <v>14879</v>
      </c>
    </row>
    <row r="84" spans="1:20">
      <c r="A84" s="23" t="s">
        <v>91</v>
      </c>
      <c r="B84" s="35" t="s">
        <v>89</v>
      </c>
      <c r="C84" s="36">
        <v>20976</v>
      </c>
      <c r="D84" s="6"/>
      <c r="E84" s="113">
        <v>8289950418</v>
      </c>
      <c r="F84" s="116">
        <f t="shared" si="14"/>
        <v>395211.21367276891</v>
      </c>
      <c r="G84" s="117">
        <v>6806066692</v>
      </c>
      <c r="H84" s="117">
        <f t="shared" si="15"/>
        <v>324469.23588863463</v>
      </c>
      <c r="I84" s="7"/>
      <c r="J84" s="10">
        <v>1.306</v>
      </c>
      <c r="K84" s="117">
        <v>8888723</v>
      </c>
      <c r="L84" s="120">
        <f>(K84/C84)</f>
        <v>423.75681731502669</v>
      </c>
      <c r="M84" s="122">
        <f t="shared" si="20"/>
        <v>68060666.920000002</v>
      </c>
      <c r="N84" s="116">
        <f t="shared" si="21"/>
        <v>59171943.920000002</v>
      </c>
      <c r="O84" s="123">
        <f t="shared" si="22"/>
        <v>2820.9355415713198</v>
      </c>
      <c r="P84" s="5"/>
      <c r="Q84" s="5">
        <f t="shared" si="16"/>
        <v>1</v>
      </c>
      <c r="R84" s="7">
        <f t="shared" si="17"/>
        <v>20976</v>
      </c>
      <c r="S84" s="5">
        <f t="shared" si="18"/>
        <v>1</v>
      </c>
      <c r="T84" s="7">
        <f t="shared" si="19"/>
        <v>20976</v>
      </c>
    </row>
    <row r="85" spans="1:20">
      <c r="A85" s="23" t="s">
        <v>92</v>
      </c>
      <c r="B85" s="35" t="s">
        <v>93</v>
      </c>
      <c r="C85" s="36">
        <v>409</v>
      </c>
      <c r="D85" s="6"/>
      <c r="E85" s="113">
        <v>16411427</v>
      </c>
      <c r="F85" s="116">
        <f t="shared" si="14"/>
        <v>40125.738386308069</v>
      </c>
      <c r="G85" s="117">
        <v>7563494</v>
      </c>
      <c r="H85" s="117">
        <f t="shared" si="15"/>
        <v>18492.650366748167</v>
      </c>
      <c r="I85" s="98" t="s">
        <v>528</v>
      </c>
      <c r="J85" s="11"/>
      <c r="K85" s="117"/>
      <c r="L85" s="120"/>
      <c r="M85" s="122">
        <f t="shared" si="20"/>
        <v>75634.94</v>
      </c>
      <c r="N85" s="116">
        <f t="shared" si="21"/>
        <v>75634.94</v>
      </c>
      <c r="O85" s="123">
        <f t="shared" si="22"/>
        <v>184.92650366748165</v>
      </c>
      <c r="P85" s="5"/>
      <c r="Q85" s="5">
        <f t="shared" si="16"/>
        <v>1</v>
      </c>
      <c r="R85" s="7">
        <f t="shared" si="17"/>
        <v>409</v>
      </c>
      <c r="S85" s="5">
        <f t="shared" si="18"/>
        <v>0</v>
      </c>
      <c r="T85" s="7">
        <f t="shared" si="19"/>
        <v>0</v>
      </c>
    </row>
    <row r="86" spans="1:20">
      <c r="A86" s="23" t="s">
        <v>94</v>
      </c>
      <c r="B86" s="35" t="s">
        <v>93</v>
      </c>
      <c r="C86" s="36">
        <v>9980</v>
      </c>
      <c r="D86" s="6"/>
      <c r="E86" s="113">
        <v>649524438</v>
      </c>
      <c r="F86" s="116">
        <f t="shared" si="14"/>
        <v>65082.60901803607</v>
      </c>
      <c r="G86" s="117">
        <v>386468867</v>
      </c>
      <c r="H86" s="117">
        <f t="shared" si="15"/>
        <v>38724.335370741486</v>
      </c>
      <c r="I86" s="7"/>
      <c r="J86" s="10">
        <v>3.55</v>
      </c>
      <c r="K86" s="117">
        <v>1371964</v>
      </c>
      <c r="L86" s="120">
        <f t="shared" ref="L86:L91" si="24">(K86/C86)</f>
        <v>137.47134268537073</v>
      </c>
      <c r="M86" s="122">
        <f t="shared" si="20"/>
        <v>3864688.67</v>
      </c>
      <c r="N86" s="116">
        <f t="shared" si="21"/>
        <v>2492724.67</v>
      </c>
      <c r="O86" s="123">
        <f t="shared" si="22"/>
        <v>249.77201102204407</v>
      </c>
      <c r="P86" s="5"/>
      <c r="Q86" s="5">
        <f t="shared" si="16"/>
        <v>1</v>
      </c>
      <c r="R86" s="7">
        <f t="shared" si="17"/>
        <v>9980</v>
      </c>
      <c r="S86" s="5">
        <f t="shared" si="18"/>
        <v>1</v>
      </c>
      <c r="T86" s="7">
        <f t="shared" si="19"/>
        <v>9980</v>
      </c>
    </row>
    <row r="87" spans="1:20">
      <c r="A87" s="23" t="s">
        <v>95</v>
      </c>
      <c r="B87" s="35" t="s">
        <v>468</v>
      </c>
      <c r="C87" s="36">
        <v>6604</v>
      </c>
      <c r="D87" s="6"/>
      <c r="E87" s="113">
        <v>227846616</v>
      </c>
      <c r="F87" s="116">
        <f t="shared" si="14"/>
        <v>34501.304663840099</v>
      </c>
      <c r="G87" s="117">
        <v>128421384</v>
      </c>
      <c r="H87" s="117">
        <f t="shared" si="15"/>
        <v>19446</v>
      </c>
      <c r="I87" s="7"/>
      <c r="J87" s="10">
        <v>8.8615999999999993</v>
      </c>
      <c r="K87" s="117">
        <v>1138018</v>
      </c>
      <c r="L87" s="120">
        <f t="shared" si="24"/>
        <v>172.32253179890975</v>
      </c>
      <c r="M87" s="122">
        <f t="shared" si="20"/>
        <v>1284213.8400000001</v>
      </c>
      <c r="N87" s="116">
        <f t="shared" si="21"/>
        <v>146195.84000000008</v>
      </c>
      <c r="O87" s="123">
        <f t="shared" si="22"/>
        <v>22.137468201090261</v>
      </c>
      <c r="P87" s="5"/>
      <c r="Q87" s="5">
        <f t="shared" si="16"/>
        <v>1</v>
      </c>
      <c r="R87" s="7">
        <f t="shared" si="17"/>
        <v>6604</v>
      </c>
      <c r="S87" s="5">
        <f t="shared" si="18"/>
        <v>1</v>
      </c>
      <c r="T87" s="7">
        <f t="shared" si="19"/>
        <v>6604</v>
      </c>
    </row>
    <row r="88" spans="1:20">
      <c r="A88" s="23" t="s">
        <v>96</v>
      </c>
      <c r="B88" s="35" t="s">
        <v>97</v>
      </c>
      <c r="C88" s="36">
        <v>1775</v>
      </c>
      <c r="D88" s="6"/>
      <c r="E88" s="113">
        <v>48313681</v>
      </c>
      <c r="F88" s="116">
        <f t="shared" si="14"/>
        <v>27218.975211267607</v>
      </c>
      <c r="G88" s="117">
        <v>16555638</v>
      </c>
      <c r="H88" s="117">
        <f t="shared" si="15"/>
        <v>9327.1200000000008</v>
      </c>
      <c r="I88" s="8"/>
      <c r="J88" s="10">
        <v>4.9253999999999998</v>
      </c>
      <c r="K88" s="117">
        <v>81543</v>
      </c>
      <c r="L88" s="120">
        <f t="shared" si="24"/>
        <v>45.939718309859153</v>
      </c>
      <c r="M88" s="122">
        <f t="shared" si="20"/>
        <v>165556.38</v>
      </c>
      <c r="N88" s="116">
        <f t="shared" si="21"/>
        <v>84013.38</v>
      </c>
      <c r="O88" s="123">
        <f t="shared" si="22"/>
        <v>47.331481690140848</v>
      </c>
      <c r="P88" s="5"/>
      <c r="Q88" s="5">
        <f t="shared" si="16"/>
        <v>1</v>
      </c>
      <c r="R88" s="7">
        <f t="shared" si="17"/>
        <v>1775</v>
      </c>
      <c r="S88" s="5">
        <f t="shared" si="18"/>
        <v>1</v>
      </c>
      <c r="T88" s="7">
        <f t="shared" si="19"/>
        <v>1775</v>
      </c>
    </row>
    <row r="89" spans="1:20">
      <c r="A89" s="23" t="s">
        <v>98</v>
      </c>
      <c r="B89" s="35" t="s">
        <v>97</v>
      </c>
      <c r="C89" s="36">
        <v>206</v>
      </c>
      <c r="D89" s="6"/>
      <c r="E89" s="113">
        <v>11116073</v>
      </c>
      <c r="F89" s="116">
        <f t="shared" si="14"/>
        <v>53961.519417475727</v>
      </c>
      <c r="G89" s="117">
        <v>8996435</v>
      </c>
      <c r="H89" s="117">
        <f t="shared" si="15"/>
        <v>43672.014563106794</v>
      </c>
      <c r="I89" s="8"/>
      <c r="J89" s="10">
        <v>3</v>
      </c>
      <c r="K89" s="117">
        <v>26989</v>
      </c>
      <c r="L89" s="120">
        <f t="shared" si="24"/>
        <v>131.01456310679612</v>
      </c>
      <c r="M89" s="122">
        <f t="shared" si="20"/>
        <v>89964.35</v>
      </c>
      <c r="N89" s="116">
        <f t="shared" si="21"/>
        <v>62975.350000000006</v>
      </c>
      <c r="O89" s="123">
        <f t="shared" si="22"/>
        <v>305.70558252427185</v>
      </c>
      <c r="P89" s="5"/>
      <c r="Q89" s="5">
        <f t="shared" si="16"/>
        <v>1</v>
      </c>
      <c r="R89" s="7">
        <f t="shared" si="17"/>
        <v>206</v>
      </c>
      <c r="S89" s="5">
        <f t="shared" si="18"/>
        <v>1</v>
      </c>
      <c r="T89" s="7">
        <f t="shared" si="19"/>
        <v>206</v>
      </c>
    </row>
    <row r="90" spans="1:20">
      <c r="A90" s="23" t="s">
        <v>99</v>
      </c>
      <c r="B90" s="35" t="s">
        <v>100</v>
      </c>
      <c r="C90" s="36">
        <v>13368</v>
      </c>
      <c r="D90" s="6"/>
      <c r="E90" s="113">
        <v>941619839</v>
      </c>
      <c r="F90" s="116">
        <f t="shared" si="14"/>
        <v>70438.34821962897</v>
      </c>
      <c r="G90" s="117">
        <v>684685246</v>
      </c>
      <c r="H90" s="117">
        <f t="shared" si="15"/>
        <v>51218.22606223818</v>
      </c>
      <c r="I90" s="9"/>
      <c r="J90" s="11">
        <v>3.1720999999999999</v>
      </c>
      <c r="K90" s="117">
        <v>2171890</v>
      </c>
      <c r="L90" s="120">
        <f t="shared" si="24"/>
        <v>162.46932974266906</v>
      </c>
      <c r="M90" s="122">
        <f t="shared" si="20"/>
        <v>6846852.46</v>
      </c>
      <c r="N90" s="116">
        <f t="shared" si="21"/>
        <v>4674962.46</v>
      </c>
      <c r="O90" s="123">
        <f t="shared" si="22"/>
        <v>349.71293087971276</v>
      </c>
      <c r="P90" s="5"/>
      <c r="Q90" s="5">
        <f t="shared" si="16"/>
        <v>1</v>
      </c>
      <c r="R90" s="7">
        <f t="shared" si="17"/>
        <v>13368</v>
      </c>
      <c r="S90" s="5">
        <f t="shared" si="18"/>
        <v>1</v>
      </c>
      <c r="T90" s="7">
        <f t="shared" si="19"/>
        <v>13368</v>
      </c>
    </row>
    <row r="91" spans="1:20">
      <c r="A91" s="23" t="s">
        <v>101</v>
      </c>
      <c r="B91" s="35" t="s">
        <v>100</v>
      </c>
      <c r="C91" s="36">
        <v>1634</v>
      </c>
      <c r="D91" s="6"/>
      <c r="E91" s="113">
        <v>70477390</v>
      </c>
      <c r="F91" s="116">
        <f t="shared" si="14"/>
        <v>43131.817625459</v>
      </c>
      <c r="G91" s="117">
        <v>46467090</v>
      </c>
      <c r="H91" s="117">
        <f t="shared" si="15"/>
        <v>28437.63157894737</v>
      </c>
      <c r="I91" s="9"/>
      <c r="J91" s="10">
        <v>2</v>
      </c>
      <c r="K91" s="117">
        <v>92934</v>
      </c>
      <c r="L91" s="120">
        <f t="shared" si="24"/>
        <v>56.875152998776009</v>
      </c>
      <c r="M91" s="122">
        <f t="shared" si="20"/>
        <v>464670.9</v>
      </c>
      <c r="N91" s="116">
        <f t="shared" si="21"/>
        <v>371736.9</v>
      </c>
      <c r="O91" s="123">
        <f t="shared" si="22"/>
        <v>227.50116279069769</v>
      </c>
      <c r="P91" s="5"/>
      <c r="Q91" s="5">
        <f t="shared" si="16"/>
        <v>1</v>
      </c>
      <c r="R91" s="7">
        <f t="shared" si="17"/>
        <v>1634</v>
      </c>
      <c r="S91" s="5">
        <f t="shared" si="18"/>
        <v>1</v>
      </c>
      <c r="T91" s="7">
        <f t="shared" si="19"/>
        <v>1634</v>
      </c>
    </row>
    <row r="92" spans="1:20">
      <c r="A92" s="23" t="s">
        <v>102</v>
      </c>
      <c r="B92" s="35" t="s">
        <v>100</v>
      </c>
      <c r="C92" s="36">
        <v>735617</v>
      </c>
      <c r="D92" s="36" t="s">
        <v>516</v>
      </c>
      <c r="E92" s="113"/>
      <c r="F92" s="116"/>
      <c r="G92" s="117"/>
      <c r="H92" s="117"/>
      <c r="I92" s="9"/>
      <c r="J92" s="10"/>
      <c r="K92" s="117"/>
      <c r="L92" s="120"/>
      <c r="M92" s="122">
        <f t="shared" si="20"/>
        <v>0</v>
      </c>
      <c r="N92" s="116">
        <f t="shared" si="21"/>
        <v>0</v>
      </c>
      <c r="O92" s="123">
        <f t="shared" si="22"/>
        <v>0</v>
      </c>
      <c r="P92" s="5"/>
      <c r="Q92" s="5">
        <f t="shared" si="16"/>
        <v>0</v>
      </c>
      <c r="R92" s="7">
        <f t="shared" si="17"/>
        <v>0</v>
      </c>
      <c r="S92" s="5">
        <f t="shared" si="18"/>
        <v>0</v>
      </c>
      <c r="T92" s="7">
        <f t="shared" si="19"/>
        <v>0</v>
      </c>
    </row>
    <row r="93" spans="1:20">
      <c r="A93" s="23" t="s">
        <v>103</v>
      </c>
      <c r="B93" s="35" t="s">
        <v>100</v>
      </c>
      <c r="C93" s="36">
        <v>20990</v>
      </c>
      <c r="D93" s="6"/>
      <c r="E93" s="113">
        <v>1582653075</v>
      </c>
      <c r="F93" s="116">
        <f t="shared" ref="F93:F156" si="25">(E93/C93)</f>
        <v>75400.337065269181</v>
      </c>
      <c r="G93" s="117">
        <v>1180664399</v>
      </c>
      <c r="H93" s="117">
        <f t="shared" ref="H93:H156" si="26">(G93/C93)</f>
        <v>56248.899428299192</v>
      </c>
      <c r="I93" s="9"/>
      <c r="J93" s="10">
        <v>3.9070999999999998</v>
      </c>
      <c r="K93" s="117">
        <v>4612973</v>
      </c>
      <c r="L93" s="120">
        <f t="shared" ref="L93:L99" si="27">(K93/C93)</f>
        <v>219.77003334921392</v>
      </c>
      <c r="M93" s="122">
        <f t="shared" si="20"/>
        <v>11806643.99</v>
      </c>
      <c r="N93" s="116">
        <f t="shared" si="21"/>
        <v>7193670.9900000002</v>
      </c>
      <c r="O93" s="123">
        <f t="shared" si="22"/>
        <v>342.71896093377802</v>
      </c>
      <c r="P93" s="5"/>
      <c r="Q93" s="5">
        <f t="shared" si="16"/>
        <v>1</v>
      </c>
      <c r="R93" s="7">
        <f t="shared" si="17"/>
        <v>20990</v>
      </c>
      <c r="S93" s="5">
        <f t="shared" si="18"/>
        <v>1</v>
      </c>
      <c r="T93" s="7">
        <f t="shared" si="19"/>
        <v>20990</v>
      </c>
    </row>
    <row r="94" spans="1:20">
      <c r="A94" s="23" t="s">
        <v>104</v>
      </c>
      <c r="B94" s="35" t="s">
        <v>100</v>
      </c>
      <c r="C94" s="36">
        <v>7270</v>
      </c>
      <c r="D94" s="6"/>
      <c r="E94" s="113">
        <v>501114653</v>
      </c>
      <c r="F94" s="116">
        <f t="shared" si="25"/>
        <v>68929.113204951864</v>
      </c>
      <c r="G94" s="117">
        <v>363186818</v>
      </c>
      <c r="H94" s="117">
        <f t="shared" si="26"/>
        <v>49956.921320495188</v>
      </c>
      <c r="I94" s="9"/>
      <c r="J94" s="10">
        <v>2.7421000000000002</v>
      </c>
      <c r="K94" s="117">
        <v>995894</v>
      </c>
      <c r="L94" s="120">
        <f t="shared" si="27"/>
        <v>136.98679504814305</v>
      </c>
      <c r="M94" s="122">
        <f t="shared" si="20"/>
        <v>3631868.18</v>
      </c>
      <c r="N94" s="116">
        <f t="shared" si="21"/>
        <v>2635974.1800000002</v>
      </c>
      <c r="O94" s="123">
        <f t="shared" si="22"/>
        <v>362.58241815680884</v>
      </c>
      <c r="P94" s="5"/>
      <c r="Q94" s="5">
        <f t="shared" si="16"/>
        <v>1</v>
      </c>
      <c r="R94" s="7">
        <f t="shared" si="17"/>
        <v>7270</v>
      </c>
      <c r="S94" s="5">
        <f t="shared" si="18"/>
        <v>1</v>
      </c>
      <c r="T94" s="7">
        <f t="shared" si="19"/>
        <v>7270</v>
      </c>
    </row>
    <row r="95" spans="1:20">
      <c r="A95" s="23" t="s">
        <v>105</v>
      </c>
      <c r="B95" s="35" t="s">
        <v>106</v>
      </c>
      <c r="C95" s="36">
        <v>1714</v>
      </c>
      <c r="D95" s="6"/>
      <c r="E95" s="113">
        <v>44168310</v>
      </c>
      <c r="F95" s="116">
        <f t="shared" si="25"/>
        <v>25769.142357059511</v>
      </c>
      <c r="G95" s="117">
        <v>26129404</v>
      </c>
      <c r="H95" s="117">
        <f t="shared" si="26"/>
        <v>15244.693115519252</v>
      </c>
      <c r="I95" s="7"/>
      <c r="J95" s="10">
        <v>1.0309999999999999</v>
      </c>
      <c r="K95" s="117">
        <v>26939</v>
      </c>
      <c r="L95" s="120">
        <f t="shared" si="27"/>
        <v>15.717036172695449</v>
      </c>
      <c r="M95" s="122">
        <f t="shared" si="20"/>
        <v>261294.04</v>
      </c>
      <c r="N95" s="116">
        <f t="shared" si="21"/>
        <v>234355.04</v>
      </c>
      <c r="O95" s="123">
        <f t="shared" si="22"/>
        <v>136.72989498249709</v>
      </c>
      <c r="P95" s="5"/>
      <c r="Q95" s="5">
        <f t="shared" si="16"/>
        <v>1</v>
      </c>
      <c r="R95" s="7">
        <f t="shared" si="17"/>
        <v>1714</v>
      </c>
      <c r="S95" s="5">
        <f t="shared" si="18"/>
        <v>1</v>
      </c>
      <c r="T95" s="7">
        <f t="shared" si="19"/>
        <v>1714</v>
      </c>
    </row>
    <row r="96" spans="1:20">
      <c r="A96" s="23" t="s">
        <v>107</v>
      </c>
      <c r="B96" s="35" t="s">
        <v>106</v>
      </c>
      <c r="C96" s="36">
        <v>56255</v>
      </c>
      <c r="D96" s="6"/>
      <c r="E96" s="113">
        <v>3228015090</v>
      </c>
      <c r="F96" s="116">
        <f t="shared" si="25"/>
        <v>57381.834325837706</v>
      </c>
      <c r="G96" s="117">
        <v>2033693102</v>
      </c>
      <c r="H96" s="117">
        <f t="shared" si="26"/>
        <v>36151.330583948096</v>
      </c>
      <c r="I96" s="7"/>
      <c r="J96" s="10">
        <v>5.0570000000000004</v>
      </c>
      <c r="K96" s="117">
        <v>10284386</v>
      </c>
      <c r="L96" s="120">
        <f t="shared" si="27"/>
        <v>182.81727846413654</v>
      </c>
      <c r="M96" s="122">
        <f t="shared" si="20"/>
        <v>20336931.02</v>
      </c>
      <c r="N96" s="116">
        <f t="shared" si="21"/>
        <v>10052545.02</v>
      </c>
      <c r="O96" s="123">
        <f t="shared" si="22"/>
        <v>178.69602737534441</v>
      </c>
      <c r="P96" s="5"/>
      <c r="Q96" s="5">
        <f t="shared" si="16"/>
        <v>1</v>
      </c>
      <c r="R96" s="7">
        <f t="shared" si="17"/>
        <v>56255</v>
      </c>
      <c r="S96" s="5">
        <f t="shared" si="18"/>
        <v>1</v>
      </c>
      <c r="T96" s="7">
        <f t="shared" si="19"/>
        <v>56255</v>
      </c>
    </row>
    <row r="97" spans="1:20">
      <c r="A97" s="23" t="s">
        <v>108</v>
      </c>
      <c r="B97" s="35" t="s">
        <v>109</v>
      </c>
      <c r="C97" s="36">
        <v>547</v>
      </c>
      <c r="D97" s="6"/>
      <c r="E97" s="113">
        <v>21708765</v>
      </c>
      <c r="F97" s="116">
        <f t="shared" si="25"/>
        <v>39686.956124314442</v>
      </c>
      <c r="G97" s="117">
        <v>18492380</v>
      </c>
      <c r="H97" s="117">
        <f t="shared" si="26"/>
        <v>33806.910420475317</v>
      </c>
      <c r="I97" s="7"/>
      <c r="J97" s="10">
        <v>2.7</v>
      </c>
      <c r="K97" s="117">
        <v>49929</v>
      </c>
      <c r="L97" s="120">
        <f t="shared" si="27"/>
        <v>91.277879341864718</v>
      </c>
      <c r="M97" s="122">
        <f t="shared" si="20"/>
        <v>184923.80000000002</v>
      </c>
      <c r="N97" s="116">
        <f t="shared" si="21"/>
        <v>134994.80000000002</v>
      </c>
      <c r="O97" s="123">
        <f t="shared" si="22"/>
        <v>246.79122486288853</v>
      </c>
      <c r="P97" s="5"/>
      <c r="Q97" s="5">
        <f t="shared" si="16"/>
        <v>1</v>
      </c>
      <c r="R97" s="7">
        <f t="shared" si="17"/>
        <v>547</v>
      </c>
      <c r="S97" s="5">
        <f t="shared" si="18"/>
        <v>1</v>
      </c>
      <c r="T97" s="7">
        <f t="shared" si="19"/>
        <v>547</v>
      </c>
    </row>
    <row r="98" spans="1:20">
      <c r="A98" s="23" t="s">
        <v>110</v>
      </c>
      <c r="B98" s="35" t="s">
        <v>109</v>
      </c>
      <c r="C98" s="36">
        <v>2122</v>
      </c>
      <c r="D98" s="6"/>
      <c r="E98" s="113">
        <v>116611230</v>
      </c>
      <c r="F98" s="116">
        <f t="shared" si="25"/>
        <v>54953.454288407163</v>
      </c>
      <c r="G98" s="117">
        <v>60917898</v>
      </c>
      <c r="H98" s="117">
        <f t="shared" si="26"/>
        <v>28707.774740810557</v>
      </c>
      <c r="I98" s="7"/>
      <c r="J98" s="10">
        <v>4.9000000000000004</v>
      </c>
      <c r="K98" s="117">
        <v>298497</v>
      </c>
      <c r="L98" s="120">
        <f t="shared" si="27"/>
        <v>140.66776625824693</v>
      </c>
      <c r="M98" s="122">
        <f t="shared" si="20"/>
        <v>609178.98</v>
      </c>
      <c r="N98" s="116">
        <f t="shared" si="21"/>
        <v>310681.98</v>
      </c>
      <c r="O98" s="123">
        <f t="shared" si="22"/>
        <v>146.40998114985862</v>
      </c>
      <c r="P98" s="5"/>
      <c r="Q98" s="5">
        <f t="shared" si="16"/>
        <v>1</v>
      </c>
      <c r="R98" s="7">
        <f t="shared" si="17"/>
        <v>2122</v>
      </c>
      <c r="S98" s="5">
        <f t="shared" si="18"/>
        <v>1</v>
      </c>
      <c r="T98" s="7">
        <f t="shared" si="19"/>
        <v>2122</v>
      </c>
    </row>
    <row r="99" spans="1:20">
      <c r="A99" s="23" t="s">
        <v>447</v>
      </c>
      <c r="B99" s="35" t="s">
        <v>109</v>
      </c>
      <c r="C99" s="36">
        <v>32732</v>
      </c>
      <c r="D99" s="6"/>
      <c r="E99" s="113">
        <v>2004880957</v>
      </c>
      <c r="F99" s="116">
        <f t="shared" si="25"/>
        <v>61251.404038861052</v>
      </c>
      <c r="G99" s="117">
        <v>1594214203</v>
      </c>
      <c r="H99" s="117">
        <f t="shared" si="26"/>
        <v>48705.06547109862</v>
      </c>
      <c r="I99" s="7"/>
      <c r="J99" s="10">
        <v>3.15</v>
      </c>
      <c r="K99" s="117">
        <v>5021774</v>
      </c>
      <c r="L99" s="120">
        <f t="shared" si="27"/>
        <v>153.42093364291824</v>
      </c>
      <c r="M99" s="122">
        <f t="shared" si="20"/>
        <v>15942142.030000001</v>
      </c>
      <c r="N99" s="116">
        <f t="shared" si="21"/>
        <v>10920368.030000001</v>
      </c>
      <c r="O99" s="123">
        <f t="shared" si="22"/>
        <v>333.62972106806797</v>
      </c>
      <c r="P99" s="5"/>
      <c r="Q99" s="5">
        <f t="shared" si="16"/>
        <v>1</v>
      </c>
      <c r="R99" s="7">
        <f t="shared" si="17"/>
        <v>32732</v>
      </c>
      <c r="S99" s="5">
        <f t="shared" si="18"/>
        <v>1</v>
      </c>
      <c r="T99" s="7">
        <f t="shared" si="19"/>
        <v>32732</v>
      </c>
    </row>
    <row r="100" spans="1:20">
      <c r="A100" s="23" t="s">
        <v>111</v>
      </c>
      <c r="B100" s="35" t="s">
        <v>557</v>
      </c>
      <c r="C100" s="36">
        <v>6</v>
      </c>
      <c r="D100" s="6"/>
      <c r="E100" s="113">
        <v>10490476</v>
      </c>
      <c r="F100" s="116">
        <f t="shared" si="25"/>
        <v>1748412.6666666667</v>
      </c>
      <c r="G100" s="117">
        <v>2290418</v>
      </c>
      <c r="H100" s="117">
        <f t="shared" si="26"/>
        <v>381736.33333333331</v>
      </c>
      <c r="I100" s="98" t="s">
        <v>528</v>
      </c>
      <c r="J100" s="10"/>
      <c r="K100" s="117"/>
      <c r="L100" s="120"/>
      <c r="M100" s="122">
        <f t="shared" si="20"/>
        <v>22904.18</v>
      </c>
      <c r="N100" s="116">
        <f t="shared" si="21"/>
        <v>22904.18</v>
      </c>
      <c r="O100" s="123">
        <f t="shared" si="22"/>
        <v>3817.3633333333332</v>
      </c>
      <c r="P100" s="5"/>
      <c r="Q100" s="5">
        <f t="shared" si="16"/>
        <v>1</v>
      </c>
      <c r="R100" s="7">
        <f t="shared" si="17"/>
        <v>6</v>
      </c>
      <c r="S100" s="5">
        <f t="shared" si="18"/>
        <v>0</v>
      </c>
      <c r="T100" s="7">
        <f t="shared" si="19"/>
        <v>0</v>
      </c>
    </row>
    <row r="101" spans="1:20">
      <c r="A101" s="23" t="s">
        <v>112</v>
      </c>
      <c r="B101" s="35" t="s">
        <v>113</v>
      </c>
      <c r="C101" s="36">
        <v>4954</v>
      </c>
      <c r="D101" s="6"/>
      <c r="E101" s="113">
        <v>328141631</v>
      </c>
      <c r="F101" s="116">
        <f t="shared" si="25"/>
        <v>66237.713161081949</v>
      </c>
      <c r="G101" s="117">
        <v>264542747</v>
      </c>
      <c r="H101" s="117">
        <f t="shared" si="26"/>
        <v>53399.827815906341</v>
      </c>
      <c r="I101" s="7"/>
      <c r="J101" s="10">
        <v>2.6678000000000002</v>
      </c>
      <c r="K101" s="117">
        <v>705747</v>
      </c>
      <c r="L101" s="120">
        <f t="shared" ref="L101:L109" si="28">(K101/C101)</f>
        <v>142.46003229713364</v>
      </c>
      <c r="M101" s="122">
        <f t="shared" si="20"/>
        <v>2645427.4700000002</v>
      </c>
      <c r="N101" s="116">
        <f t="shared" si="21"/>
        <v>1939680.4700000002</v>
      </c>
      <c r="O101" s="123">
        <f t="shared" si="22"/>
        <v>391.53824586192979</v>
      </c>
      <c r="P101" s="5"/>
      <c r="Q101" s="5">
        <f t="shared" si="16"/>
        <v>1</v>
      </c>
      <c r="R101" s="7">
        <f t="shared" si="17"/>
        <v>4954</v>
      </c>
      <c r="S101" s="5">
        <f t="shared" si="18"/>
        <v>1</v>
      </c>
      <c r="T101" s="7">
        <f t="shared" si="19"/>
        <v>4954</v>
      </c>
    </row>
    <row r="102" spans="1:20">
      <c r="A102" s="23" t="s">
        <v>114</v>
      </c>
      <c r="B102" s="35" t="s">
        <v>115</v>
      </c>
      <c r="C102" s="36">
        <v>2334</v>
      </c>
      <c r="D102" s="6"/>
      <c r="E102" s="113">
        <v>129918871</v>
      </c>
      <c r="F102" s="116">
        <f t="shared" si="25"/>
        <v>55663.612253641819</v>
      </c>
      <c r="G102" s="117">
        <v>80613086</v>
      </c>
      <c r="H102" s="117">
        <f t="shared" si="26"/>
        <v>34538.597257926303</v>
      </c>
      <c r="I102" s="7"/>
      <c r="J102" s="10">
        <v>8.75</v>
      </c>
      <c r="K102" s="117">
        <v>705364</v>
      </c>
      <c r="L102" s="120">
        <f t="shared" si="28"/>
        <v>302.21251071122538</v>
      </c>
      <c r="M102" s="122">
        <f t="shared" si="20"/>
        <v>806130.86</v>
      </c>
      <c r="N102" s="116">
        <f t="shared" si="21"/>
        <v>100766.85999999999</v>
      </c>
      <c r="O102" s="123">
        <f t="shared" si="22"/>
        <v>43.173461868037698</v>
      </c>
      <c r="P102" s="5"/>
      <c r="Q102" s="5">
        <f t="shared" si="16"/>
        <v>1</v>
      </c>
      <c r="R102" s="7">
        <f t="shared" si="17"/>
        <v>2334</v>
      </c>
      <c r="S102" s="5">
        <f t="shared" si="18"/>
        <v>1</v>
      </c>
      <c r="T102" s="7">
        <f t="shared" si="19"/>
        <v>2334</v>
      </c>
    </row>
    <row r="103" spans="1:20">
      <c r="A103" s="23" t="s">
        <v>116</v>
      </c>
      <c r="B103" s="35" t="s">
        <v>115</v>
      </c>
      <c r="C103" s="36">
        <v>1303</v>
      </c>
      <c r="D103" s="6"/>
      <c r="E103" s="113">
        <v>59907938</v>
      </c>
      <c r="F103" s="116">
        <f t="shared" si="25"/>
        <v>45976.928626247121</v>
      </c>
      <c r="G103" s="117">
        <v>36755769</v>
      </c>
      <c r="H103" s="117">
        <f t="shared" si="26"/>
        <v>28208.571757482732</v>
      </c>
      <c r="I103" s="7"/>
      <c r="J103" s="11">
        <v>8</v>
      </c>
      <c r="K103" s="117">
        <v>294046</v>
      </c>
      <c r="L103" s="120">
        <f t="shared" si="28"/>
        <v>225.66845740598617</v>
      </c>
      <c r="M103" s="122">
        <f t="shared" si="20"/>
        <v>367557.69</v>
      </c>
      <c r="N103" s="116">
        <f t="shared" si="21"/>
        <v>73511.69</v>
      </c>
      <c r="O103" s="123">
        <f t="shared" si="22"/>
        <v>56.417260168841139</v>
      </c>
      <c r="P103" s="5"/>
      <c r="Q103" s="5">
        <f t="shared" si="16"/>
        <v>1</v>
      </c>
      <c r="R103" s="7">
        <f t="shared" si="17"/>
        <v>1303</v>
      </c>
      <c r="S103" s="5">
        <f t="shared" si="18"/>
        <v>1</v>
      </c>
      <c r="T103" s="7">
        <f t="shared" si="19"/>
        <v>1303</v>
      </c>
    </row>
    <row r="104" spans="1:20">
      <c r="A104" s="23" t="s">
        <v>117</v>
      </c>
      <c r="B104" s="35" t="s">
        <v>118</v>
      </c>
      <c r="C104" s="36">
        <v>3287</v>
      </c>
      <c r="D104" s="6"/>
      <c r="E104" s="113">
        <v>185692790</v>
      </c>
      <c r="F104" s="116">
        <f t="shared" si="25"/>
        <v>56493.09096440523</v>
      </c>
      <c r="G104" s="117">
        <v>27836196</v>
      </c>
      <c r="H104" s="117">
        <f t="shared" si="26"/>
        <v>8468.5719501064796</v>
      </c>
      <c r="I104" s="7"/>
      <c r="J104" s="10">
        <v>0.98609999999999998</v>
      </c>
      <c r="K104" s="117">
        <v>27449</v>
      </c>
      <c r="L104" s="120">
        <f t="shared" si="28"/>
        <v>8.3507757833891088</v>
      </c>
      <c r="M104" s="122">
        <f t="shared" si="20"/>
        <v>278361.96000000002</v>
      </c>
      <c r="N104" s="116">
        <f t="shared" si="21"/>
        <v>250912.96000000002</v>
      </c>
      <c r="O104" s="123">
        <f t="shared" si="22"/>
        <v>76.334943717675699</v>
      </c>
      <c r="P104" s="5"/>
      <c r="Q104" s="5">
        <f t="shared" si="16"/>
        <v>1</v>
      </c>
      <c r="R104" s="7">
        <f t="shared" si="17"/>
        <v>3287</v>
      </c>
      <c r="S104" s="5">
        <f t="shared" si="18"/>
        <v>1</v>
      </c>
      <c r="T104" s="7">
        <f t="shared" si="19"/>
        <v>3287</v>
      </c>
    </row>
    <row r="105" spans="1:20">
      <c r="A105" s="23" t="s">
        <v>119</v>
      </c>
      <c r="B105" s="35" t="s">
        <v>118</v>
      </c>
      <c r="C105" s="36">
        <v>619</v>
      </c>
      <c r="D105" s="6"/>
      <c r="E105" s="113">
        <v>12279356</v>
      </c>
      <c r="F105" s="116">
        <f t="shared" si="25"/>
        <v>19837.40872374798</v>
      </c>
      <c r="G105" s="117">
        <v>5843344</v>
      </c>
      <c r="H105" s="117">
        <f t="shared" si="26"/>
        <v>9439.9741518578357</v>
      </c>
      <c r="I105" s="7"/>
      <c r="J105" s="10">
        <v>2</v>
      </c>
      <c r="K105" s="117">
        <v>11686</v>
      </c>
      <c r="L105" s="120">
        <f t="shared" si="28"/>
        <v>18.878836833602584</v>
      </c>
      <c r="M105" s="122">
        <f t="shared" si="20"/>
        <v>58433.440000000002</v>
      </c>
      <c r="N105" s="116">
        <f t="shared" si="21"/>
        <v>46747.44</v>
      </c>
      <c r="O105" s="123">
        <f t="shared" si="22"/>
        <v>75.520904684975775</v>
      </c>
      <c r="P105" s="5"/>
      <c r="Q105" s="5">
        <f t="shared" si="16"/>
        <v>1</v>
      </c>
      <c r="R105" s="7">
        <f t="shared" si="17"/>
        <v>619</v>
      </c>
      <c r="S105" s="5">
        <f t="shared" si="18"/>
        <v>1</v>
      </c>
      <c r="T105" s="7">
        <f t="shared" si="19"/>
        <v>619</v>
      </c>
    </row>
    <row r="106" spans="1:20">
      <c r="A106" s="23" t="s">
        <v>120</v>
      </c>
      <c r="B106" s="35" t="s">
        <v>118</v>
      </c>
      <c r="C106" s="36">
        <v>1709</v>
      </c>
      <c r="D106" s="6"/>
      <c r="E106" s="113">
        <v>18471440</v>
      </c>
      <c r="F106" s="116">
        <f t="shared" si="25"/>
        <v>10808.332358104155</v>
      </c>
      <c r="G106" s="117">
        <v>6806160</v>
      </c>
      <c r="H106" s="117">
        <f t="shared" si="26"/>
        <v>3982.5394967817438</v>
      </c>
      <c r="I106" s="7"/>
      <c r="J106" s="10">
        <v>2</v>
      </c>
      <c r="K106" s="117">
        <v>13612</v>
      </c>
      <c r="L106" s="120">
        <f t="shared" si="28"/>
        <v>7.9648917495611471</v>
      </c>
      <c r="M106" s="122">
        <f t="shared" si="20"/>
        <v>68061.600000000006</v>
      </c>
      <c r="N106" s="116">
        <f t="shared" si="21"/>
        <v>54449.600000000006</v>
      </c>
      <c r="O106" s="123">
        <f t="shared" si="22"/>
        <v>31.860503218256294</v>
      </c>
      <c r="P106" s="5"/>
      <c r="Q106" s="5">
        <f t="shared" si="16"/>
        <v>1</v>
      </c>
      <c r="R106" s="7">
        <f t="shared" si="17"/>
        <v>1709</v>
      </c>
      <c r="S106" s="5">
        <f t="shared" si="18"/>
        <v>1</v>
      </c>
      <c r="T106" s="7">
        <f t="shared" si="19"/>
        <v>1709</v>
      </c>
    </row>
    <row r="107" spans="1:20">
      <c r="A107" s="23" t="s">
        <v>121</v>
      </c>
      <c r="B107" s="35" t="s">
        <v>118</v>
      </c>
      <c r="C107" s="36">
        <v>1713</v>
      </c>
      <c r="D107" s="6"/>
      <c r="E107" s="113">
        <v>54338179</v>
      </c>
      <c r="F107" s="116">
        <f t="shared" si="25"/>
        <v>31721.061879743142</v>
      </c>
      <c r="G107" s="117">
        <v>37538202</v>
      </c>
      <c r="H107" s="117">
        <f t="shared" si="26"/>
        <v>21913.71978984238</v>
      </c>
      <c r="I107" s="7"/>
      <c r="J107" s="10">
        <v>1.1020000000000001</v>
      </c>
      <c r="K107" s="117">
        <v>41367</v>
      </c>
      <c r="L107" s="120">
        <f t="shared" si="28"/>
        <v>24.148861646234675</v>
      </c>
      <c r="M107" s="122">
        <f t="shared" si="20"/>
        <v>375382.02</v>
      </c>
      <c r="N107" s="116">
        <f t="shared" si="21"/>
        <v>334015.02</v>
      </c>
      <c r="O107" s="123">
        <f t="shared" si="22"/>
        <v>194.98833625218916</v>
      </c>
      <c r="P107" s="5"/>
      <c r="Q107" s="5">
        <f t="shared" si="16"/>
        <v>1</v>
      </c>
      <c r="R107" s="7">
        <f t="shared" si="17"/>
        <v>1713</v>
      </c>
      <c r="S107" s="5">
        <f t="shared" si="18"/>
        <v>1</v>
      </c>
      <c r="T107" s="7">
        <f t="shared" si="19"/>
        <v>1713</v>
      </c>
    </row>
    <row r="108" spans="1:20">
      <c r="A108" s="23" t="s">
        <v>122</v>
      </c>
      <c r="B108" s="35" t="s">
        <v>118</v>
      </c>
      <c r="C108" s="36">
        <v>1446</v>
      </c>
      <c r="D108" s="6"/>
      <c r="E108" s="113">
        <v>23405973</v>
      </c>
      <c r="F108" s="116">
        <f t="shared" si="25"/>
        <v>16186.703319502074</v>
      </c>
      <c r="G108" s="117">
        <v>12160995</v>
      </c>
      <c r="H108" s="117">
        <f t="shared" si="26"/>
        <v>8410.0933609958502</v>
      </c>
      <c r="I108" s="7"/>
      <c r="J108" s="10">
        <v>5</v>
      </c>
      <c r="K108" s="117">
        <v>60804</v>
      </c>
      <c r="L108" s="120">
        <f t="shared" si="28"/>
        <v>42.049792531120332</v>
      </c>
      <c r="M108" s="122">
        <f t="shared" si="20"/>
        <v>121609.95</v>
      </c>
      <c r="N108" s="116">
        <f t="shared" si="21"/>
        <v>60805.95</v>
      </c>
      <c r="O108" s="123">
        <f t="shared" si="22"/>
        <v>42.051141078838171</v>
      </c>
      <c r="P108" s="5"/>
      <c r="Q108" s="5">
        <f t="shared" si="16"/>
        <v>1</v>
      </c>
      <c r="R108" s="7">
        <f t="shared" si="17"/>
        <v>1446</v>
      </c>
      <c r="S108" s="5">
        <f t="shared" si="18"/>
        <v>1</v>
      </c>
      <c r="T108" s="7">
        <f t="shared" si="19"/>
        <v>1446</v>
      </c>
    </row>
    <row r="109" spans="1:20">
      <c r="A109" s="23" t="s">
        <v>123</v>
      </c>
      <c r="B109" s="35" t="s">
        <v>118</v>
      </c>
      <c r="C109" s="36">
        <v>6982</v>
      </c>
      <c r="D109" s="6"/>
      <c r="E109" s="113">
        <v>253363784</v>
      </c>
      <c r="F109" s="116">
        <f t="shared" si="25"/>
        <v>36288.138642222861</v>
      </c>
      <c r="G109" s="117">
        <v>156590662</v>
      </c>
      <c r="H109" s="117">
        <f t="shared" si="26"/>
        <v>22427.765969636206</v>
      </c>
      <c r="I109" s="7"/>
      <c r="J109" s="10">
        <v>2.5</v>
      </c>
      <c r="K109" s="117">
        <v>391476</v>
      </c>
      <c r="L109" s="120">
        <f t="shared" si="28"/>
        <v>56.069321111429389</v>
      </c>
      <c r="M109" s="122">
        <f t="shared" si="20"/>
        <v>1565906.62</v>
      </c>
      <c r="N109" s="116">
        <f t="shared" si="21"/>
        <v>1174430.6200000001</v>
      </c>
      <c r="O109" s="123">
        <f t="shared" si="22"/>
        <v>168.2083385849327</v>
      </c>
      <c r="P109" s="5"/>
      <c r="Q109" s="5">
        <f t="shared" si="16"/>
        <v>1</v>
      </c>
      <c r="R109" s="7">
        <f t="shared" si="17"/>
        <v>6982</v>
      </c>
      <c r="S109" s="5">
        <f t="shared" si="18"/>
        <v>1</v>
      </c>
      <c r="T109" s="7">
        <f t="shared" si="19"/>
        <v>6982</v>
      </c>
    </row>
    <row r="110" spans="1:20">
      <c r="A110" s="23" t="s">
        <v>124</v>
      </c>
      <c r="B110" s="35" t="s">
        <v>125</v>
      </c>
      <c r="C110" s="36">
        <v>349</v>
      </c>
      <c r="D110" s="6"/>
      <c r="E110" s="113">
        <v>18746097</v>
      </c>
      <c r="F110" s="116">
        <f t="shared" si="25"/>
        <v>53713.744985673351</v>
      </c>
      <c r="G110" s="117">
        <v>5389745</v>
      </c>
      <c r="H110" s="117">
        <f t="shared" si="26"/>
        <v>15443.39541547278</v>
      </c>
      <c r="I110" s="98" t="s">
        <v>528</v>
      </c>
      <c r="J110" s="10"/>
      <c r="K110" s="117"/>
      <c r="L110" s="120"/>
      <c r="M110" s="122">
        <f t="shared" si="20"/>
        <v>53897.450000000004</v>
      </c>
      <c r="N110" s="116">
        <f t="shared" si="21"/>
        <v>53897.450000000004</v>
      </c>
      <c r="O110" s="123">
        <f t="shared" si="22"/>
        <v>154.43395415472781</v>
      </c>
      <c r="P110" s="5"/>
      <c r="Q110" s="5">
        <f t="shared" si="16"/>
        <v>1</v>
      </c>
      <c r="R110" s="7">
        <f t="shared" si="17"/>
        <v>349</v>
      </c>
      <c r="S110" s="5">
        <f t="shared" si="18"/>
        <v>0</v>
      </c>
      <c r="T110" s="7">
        <f t="shared" si="19"/>
        <v>0</v>
      </c>
    </row>
    <row r="111" spans="1:20">
      <c r="A111" s="23" t="s">
        <v>126</v>
      </c>
      <c r="B111" s="35" t="s">
        <v>125</v>
      </c>
      <c r="C111" s="36">
        <v>1617</v>
      </c>
      <c r="D111" s="6"/>
      <c r="E111" s="113">
        <v>47719478</v>
      </c>
      <c r="F111" s="116">
        <f t="shared" si="25"/>
        <v>29511.118119975265</v>
      </c>
      <c r="G111" s="117">
        <v>27302247</v>
      </c>
      <c r="H111" s="117">
        <f t="shared" si="26"/>
        <v>16884.506493506495</v>
      </c>
      <c r="I111" s="98" t="s">
        <v>528</v>
      </c>
      <c r="J111" s="10"/>
      <c r="K111" s="117"/>
      <c r="L111" s="120"/>
      <c r="M111" s="122">
        <f t="shared" si="20"/>
        <v>273022.47000000003</v>
      </c>
      <c r="N111" s="116">
        <f t="shared" si="21"/>
        <v>273022.47000000003</v>
      </c>
      <c r="O111" s="123">
        <f t="shared" si="22"/>
        <v>168.84506493506495</v>
      </c>
      <c r="P111" s="5"/>
      <c r="Q111" s="5">
        <f t="shared" si="16"/>
        <v>1</v>
      </c>
      <c r="R111" s="7">
        <f t="shared" si="17"/>
        <v>1617</v>
      </c>
      <c r="S111" s="5">
        <f t="shared" si="18"/>
        <v>0</v>
      </c>
      <c r="T111" s="7">
        <f t="shared" si="19"/>
        <v>0</v>
      </c>
    </row>
    <row r="112" spans="1:20">
      <c r="A112" s="23" t="s">
        <v>127</v>
      </c>
      <c r="B112" s="35" t="s">
        <v>128</v>
      </c>
      <c r="C112" s="36">
        <v>737</v>
      </c>
      <c r="D112" s="6"/>
      <c r="E112" s="113">
        <v>25436066</v>
      </c>
      <c r="F112" s="116">
        <f t="shared" si="25"/>
        <v>34512.979647218453</v>
      </c>
      <c r="G112" s="117">
        <v>17504300</v>
      </c>
      <c r="H112" s="117">
        <f t="shared" si="26"/>
        <v>23750.746268656716</v>
      </c>
      <c r="I112" s="7"/>
      <c r="J112" s="11">
        <v>2</v>
      </c>
      <c r="K112" s="117">
        <v>35008</v>
      </c>
      <c r="L112" s="120">
        <f t="shared" ref="L112:L131" si="29">(K112/C112)</f>
        <v>47.500678426051557</v>
      </c>
      <c r="M112" s="122">
        <f t="shared" si="20"/>
        <v>175043</v>
      </c>
      <c r="N112" s="116">
        <f t="shared" si="21"/>
        <v>140035</v>
      </c>
      <c r="O112" s="123">
        <f t="shared" si="22"/>
        <v>190.00678426051562</v>
      </c>
      <c r="P112" s="5"/>
      <c r="Q112" s="5">
        <f t="shared" si="16"/>
        <v>1</v>
      </c>
      <c r="R112" s="7">
        <f t="shared" si="17"/>
        <v>737</v>
      </c>
      <c r="S112" s="5">
        <f t="shared" si="18"/>
        <v>1</v>
      </c>
      <c r="T112" s="7">
        <f t="shared" si="19"/>
        <v>737</v>
      </c>
    </row>
    <row r="113" spans="1:20">
      <c r="A113" s="23" t="s">
        <v>129</v>
      </c>
      <c r="B113" s="35" t="s">
        <v>130</v>
      </c>
      <c r="C113" s="36">
        <v>1635</v>
      </c>
      <c r="D113" s="6"/>
      <c r="E113" s="113">
        <v>46653239</v>
      </c>
      <c r="F113" s="116">
        <f t="shared" si="25"/>
        <v>28534.09113149847</v>
      </c>
      <c r="G113" s="117">
        <v>24854721</v>
      </c>
      <c r="H113" s="117">
        <f t="shared" si="26"/>
        <v>15201.664220183486</v>
      </c>
      <c r="I113" s="7"/>
      <c r="J113" s="11">
        <v>4.2729999999999997</v>
      </c>
      <c r="K113" s="117">
        <v>106204</v>
      </c>
      <c r="L113" s="120">
        <f t="shared" si="29"/>
        <v>64.956574923547407</v>
      </c>
      <c r="M113" s="122">
        <f t="shared" si="20"/>
        <v>248547.21</v>
      </c>
      <c r="N113" s="116">
        <f t="shared" si="21"/>
        <v>142343.21</v>
      </c>
      <c r="O113" s="123">
        <f t="shared" si="22"/>
        <v>87.060067278287462</v>
      </c>
      <c r="P113" s="5"/>
      <c r="Q113" s="5">
        <f t="shared" si="16"/>
        <v>1</v>
      </c>
      <c r="R113" s="7">
        <f t="shared" si="17"/>
        <v>1635</v>
      </c>
      <c r="S113" s="5">
        <f t="shared" si="18"/>
        <v>1</v>
      </c>
      <c r="T113" s="7">
        <f t="shared" si="19"/>
        <v>1635</v>
      </c>
    </row>
    <row r="114" spans="1:20">
      <c r="A114" s="23" t="s">
        <v>545</v>
      </c>
      <c r="B114" s="35" t="s">
        <v>131</v>
      </c>
      <c r="C114" s="36">
        <v>3644</v>
      </c>
      <c r="D114" s="6"/>
      <c r="E114" s="113">
        <v>300942037</v>
      </c>
      <c r="F114" s="116">
        <f t="shared" si="25"/>
        <v>82585.630351262356</v>
      </c>
      <c r="G114" s="117">
        <v>233418877</v>
      </c>
      <c r="H114" s="117">
        <f t="shared" si="26"/>
        <v>64055.674259055981</v>
      </c>
      <c r="I114" s="7"/>
      <c r="J114" s="10">
        <v>6.17</v>
      </c>
      <c r="K114" s="117">
        <v>1440194</v>
      </c>
      <c r="L114" s="120">
        <f t="shared" si="29"/>
        <v>395.22338090010976</v>
      </c>
      <c r="M114" s="122">
        <f t="shared" si="20"/>
        <v>2334188.77</v>
      </c>
      <c r="N114" s="116">
        <f t="shared" si="21"/>
        <v>893994.77</v>
      </c>
      <c r="O114" s="123">
        <f t="shared" si="22"/>
        <v>245.33336169045006</v>
      </c>
      <c r="P114" s="5"/>
      <c r="Q114" s="5">
        <f t="shared" si="16"/>
        <v>1</v>
      </c>
      <c r="R114" s="7">
        <f t="shared" si="17"/>
        <v>3644</v>
      </c>
      <c r="S114" s="5">
        <f t="shared" si="18"/>
        <v>1</v>
      </c>
      <c r="T114" s="7">
        <f t="shared" si="19"/>
        <v>3644</v>
      </c>
    </row>
    <row r="115" spans="1:20">
      <c r="A115" s="23" t="s">
        <v>132</v>
      </c>
      <c r="B115" s="35" t="s">
        <v>131</v>
      </c>
      <c r="C115" s="36">
        <v>1722</v>
      </c>
      <c r="D115" s="6"/>
      <c r="E115" s="113">
        <v>60515663</v>
      </c>
      <c r="F115" s="116">
        <f t="shared" si="25"/>
        <v>35142.661440185831</v>
      </c>
      <c r="G115" s="117">
        <v>31502290</v>
      </c>
      <c r="H115" s="117">
        <f t="shared" si="26"/>
        <v>18294.012775842046</v>
      </c>
      <c r="I115" s="7"/>
      <c r="J115" s="10">
        <v>2.11</v>
      </c>
      <c r="K115" s="117">
        <v>66469</v>
      </c>
      <c r="L115" s="120">
        <f t="shared" si="29"/>
        <v>38.599883855981417</v>
      </c>
      <c r="M115" s="122">
        <f t="shared" si="20"/>
        <v>315022.90000000002</v>
      </c>
      <c r="N115" s="116">
        <f t="shared" si="21"/>
        <v>248553.90000000002</v>
      </c>
      <c r="O115" s="123">
        <f t="shared" si="22"/>
        <v>144.34024390243903</v>
      </c>
      <c r="P115" s="5"/>
      <c r="Q115" s="5">
        <f t="shared" si="16"/>
        <v>1</v>
      </c>
      <c r="R115" s="7">
        <f t="shared" si="17"/>
        <v>1722</v>
      </c>
      <c r="S115" s="5">
        <f t="shared" si="18"/>
        <v>1</v>
      </c>
      <c r="T115" s="7">
        <f t="shared" si="19"/>
        <v>1722</v>
      </c>
    </row>
    <row r="116" spans="1:20">
      <c r="A116" s="23" t="s">
        <v>133</v>
      </c>
      <c r="B116" s="35" t="s">
        <v>134</v>
      </c>
      <c r="C116" s="36">
        <v>1780</v>
      </c>
      <c r="D116" s="6"/>
      <c r="E116" s="113">
        <v>70983838</v>
      </c>
      <c r="F116" s="116">
        <f t="shared" si="25"/>
        <v>39878.560674157306</v>
      </c>
      <c r="G116" s="117">
        <v>27434077</v>
      </c>
      <c r="H116" s="117">
        <f t="shared" si="26"/>
        <v>15412.402808988763</v>
      </c>
      <c r="I116" s="7"/>
      <c r="J116" s="10">
        <v>4.7469999999999999</v>
      </c>
      <c r="K116" s="117">
        <v>130229</v>
      </c>
      <c r="L116" s="120">
        <f t="shared" si="29"/>
        <v>73.162359550561803</v>
      </c>
      <c r="M116" s="122">
        <f t="shared" si="20"/>
        <v>274340.77</v>
      </c>
      <c r="N116" s="116">
        <f t="shared" si="21"/>
        <v>144111.77000000002</v>
      </c>
      <c r="O116" s="123">
        <f t="shared" si="22"/>
        <v>80.961668539325856</v>
      </c>
      <c r="P116" s="5"/>
      <c r="Q116" s="5">
        <f t="shared" si="16"/>
        <v>1</v>
      </c>
      <c r="R116" s="7">
        <f t="shared" si="17"/>
        <v>1780</v>
      </c>
      <c r="S116" s="5">
        <f t="shared" si="18"/>
        <v>1</v>
      </c>
      <c r="T116" s="7">
        <f t="shared" si="19"/>
        <v>1780</v>
      </c>
    </row>
    <row r="117" spans="1:20">
      <c r="A117" s="23" t="s">
        <v>135</v>
      </c>
      <c r="B117" s="35" t="s">
        <v>134</v>
      </c>
      <c r="C117" s="36">
        <v>833</v>
      </c>
      <c r="D117" s="6"/>
      <c r="E117" s="113">
        <v>14820922</v>
      </c>
      <c r="F117" s="116">
        <f t="shared" si="25"/>
        <v>17792.223289315727</v>
      </c>
      <c r="G117" s="117">
        <v>8860906</v>
      </c>
      <c r="H117" s="117">
        <f t="shared" si="26"/>
        <v>10637.342136854742</v>
      </c>
      <c r="I117" s="7"/>
      <c r="J117" s="10">
        <v>1.4601999999999999</v>
      </c>
      <c r="K117" s="117">
        <v>12938</v>
      </c>
      <c r="L117" s="120">
        <f t="shared" si="29"/>
        <v>15.531812725090036</v>
      </c>
      <c r="M117" s="122">
        <f t="shared" si="20"/>
        <v>88609.06</v>
      </c>
      <c r="N117" s="116">
        <f t="shared" si="21"/>
        <v>75671.06</v>
      </c>
      <c r="O117" s="123">
        <f t="shared" si="22"/>
        <v>90.841608643457377</v>
      </c>
      <c r="P117" s="5"/>
      <c r="Q117" s="5">
        <f t="shared" si="16"/>
        <v>1</v>
      </c>
      <c r="R117" s="7">
        <f t="shared" si="17"/>
        <v>833</v>
      </c>
      <c r="S117" s="5">
        <f t="shared" si="18"/>
        <v>1</v>
      </c>
      <c r="T117" s="7">
        <f t="shared" si="19"/>
        <v>833</v>
      </c>
    </row>
    <row r="118" spans="1:20">
      <c r="A118" s="23" t="s">
        <v>136</v>
      </c>
      <c r="B118" s="35" t="s">
        <v>134</v>
      </c>
      <c r="C118" s="36">
        <v>819</v>
      </c>
      <c r="D118" s="6"/>
      <c r="E118" s="113">
        <v>18623479</v>
      </c>
      <c r="F118" s="116">
        <f t="shared" si="25"/>
        <v>22739.290598290598</v>
      </c>
      <c r="G118" s="117">
        <v>9080434</v>
      </c>
      <c r="H118" s="117">
        <f t="shared" si="26"/>
        <v>11087.221001221002</v>
      </c>
      <c r="I118" s="7"/>
      <c r="J118" s="10">
        <v>3.8</v>
      </c>
      <c r="K118" s="117">
        <v>34505</v>
      </c>
      <c r="L118" s="120">
        <f t="shared" si="29"/>
        <v>42.130647130647134</v>
      </c>
      <c r="M118" s="122">
        <f t="shared" si="20"/>
        <v>90804.34</v>
      </c>
      <c r="N118" s="116">
        <f t="shared" si="21"/>
        <v>56299.34</v>
      </c>
      <c r="O118" s="123">
        <f t="shared" si="22"/>
        <v>68.741562881562871</v>
      </c>
      <c r="P118" s="5"/>
      <c r="Q118" s="5">
        <f t="shared" si="16"/>
        <v>1</v>
      </c>
      <c r="R118" s="7">
        <f t="shared" si="17"/>
        <v>819</v>
      </c>
      <c r="S118" s="5">
        <f t="shared" si="18"/>
        <v>1</v>
      </c>
      <c r="T118" s="7">
        <f t="shared" si="19"/>
        <v>819</v>
      </c>
    </row>
    <row r="119" spans="1:20">
      <c r="A119" s="23" t="s">
        <v>137</v>
      </c>
      <c r="B119" s="35" t="s">
        <v>138</v>
      </c>
      <c r="C119" s="36">
        <v>2892</v>
      </c>
      <c r="D119" s="6"/>
      <c r="E119" s="113">
        <v>41576379</v>
      </c>
      <c r="F119" s="116">
        <f t="shared" si="25"/>
        <v>14376.341286307053</v>
      </c>
      <c r="G119" s="117">
        <v>18218901</v>
      </c>
      <c r="H119" s="117">
        <f t="shared" si="26"/>
        <v>6299.7582987551868</v>
      </c>
      <c r="I119" s="7"/>
      <c r="J119" s="10">
        <v>6</v>
      </c>
      <c r="K119" s="117">
        <v>109313</v>
      </c>
      <c r="L119" s="120">
        <f t="shared" si="29"/>
        <v>37.798409405255882</v>
      </c>
      <c r="M119" s="122">
        <f t="shared" si="20"/>
        <v>182189.01</v>
      </c>
      <c r="N119" s="116">
        <f t="shared" si="21"/>
        <v>72876.010000000009</v>
      </c>
      <c r="O119" s="123">
        <f t="shared" si="22"/>
        <v>25.199173582295991</v>
      </c>
      <c r="P119" s="5"/>
      <c r="Q119" s="5">
        <f t="shared" si="16"/>
        <v>1</v>
      </c>
      <c r="R119" s="7">
        <f t="shared" si="17"/>
        <v>2892</v>
      </c>
      <c r="S119" s="5">
        <f t="shared" si="18"/>
        <v>1</v>
      </c>
      <c r="T119" s="7">
        <f t="shared" si="19"/>
        <v>2892</v>
      </c>
    </row>
    <row r="120" spans="1:20">
      <c r="A120" s="23" t="s">
        <v>139</v>
      </c>
      <c r="B120" s="35" t="s">
        <v>138</v>
      </c>
      <c r="C120" s="36">
        <v>4368</v>
      </c>
      <c r="D120" s="6"/>
      <c r="E120" s="113">
        <v>138655674</v>
      </c>
      <c r="F120" s="116">
        <f t="shared" si="25"/>
        <v>31743.515109890111</v>
      </c>
      <c r="G120" s="117">
        <v>63923954</v>
      </c>
      <c r="H120" s="117">
        <f t="shared" si="26"/>
        <v>14634.604853479854</v>
      </c>
      <c r="I120" s="7"/>
      <c r="J120" s="10">
        <v>5.0199999999999996</v>
      </c>
      <c r="K120" s="117">
        <v>320898</v>
      </c>
      <c r="L120" s="120">
        <f t="shared" si="29"/>
        <v>73.465659340659343</v>
      </c>
      <c r="M120" s="122">
        <f t="shared" si="20"/>
        <v>639239.54</v>
      </c>
      <c r="N120" s="116">
        <f t="shared" si="21"/>
        <v>318341.54000000004</v>
      </c>
      <c r="O120" s="123">
        <f t="shared" si="22"/>
        <v>72.880389194139198</v>
      </c>
      <c r="P120" s="5"/>
      <c r="Q120" s="5">
        <f t="shared" si="16"/>
        <v>1</v>
      </c>
      <c r="R120" s="7">
        <f t="shared" si="17"/>
        <v>4368</v>
      </c>
      <c r="S120" s="5">
        <f t="shared" si="18"/>
        <v>1</v>
      </c>
      <c r="T120" s="7">
        <f t="shared" si="19"/>
        <v>4368</v>
      </c>
    </row>
    <row r="121" spans="1:20">
      <c r="A121" s="23" t="s">
        <v>140</v>
      </c>
      <c r="B121" s="35" t="s">
        <v>138</v>
      </c>
      <c r="C121" s="36">
        <v>1641</v>
      </c>
      <c r="D121" s="6"/>
      <c r="E121" s="113">
        <v>35019115</v>
      </c>
      <c r="F121" s="116">
        <f t="shared" si="25"/>
        <v>21340.106642291285</v>
      </c>
      <c r="G121" s="117">
        <v>15024874</v>
      </c>
      <c r="H121" s="117">
        <f t="shared" si="26"/>
        <v>9155.9256550883601</v>
      </c>
      <c r="I121" s="7"/>
      <c r="J121" s="10">
        <v>9.1120000000000001</v>
      </c>
      <c r="K121" s="117">
        <v>136906</v>
      </c>
      <c r="L121" s="120">
        <f t="shared" si="29"/>
        <v>83.428397318708107</v>
      </c>
      <c r="M121" s="122">
        <f t="shared" si="20"/>
        <v>150248.74</v>
      </c>
      <c r="N121" s="116">
        <f t="shared" si="21"/>
        <v>13342.739999999991</v>
      </c>
      <c r="O121" s="123">
        <f t="shared" si="22"/>
        <v>8.1308592321754976</v>
      </c>
      <c r="P121" s="5"/>
      <c r="Q121" s="5">
        <f t="shared" si="16"/>
        <v>1</v>
      </c>
      <c r="R121" s="7">
        <f t="shared" si="17"/>
        <v>1641</v>
      </c>
      <c r="S121" s="5">
        <f t="shared" si="18"/>
        <v>1</v>
      </c>
      <c r="T121" s="7">
        <f t="shared" si="19"/>
        <v>1641</v>
      </c>
    </row>
    <row r="122" spans="1:20">
      <c r="A122" s="23" t="s">
        <v>141</v>
      </c>
      <c r="B122" s="35" t="s">
        <v>142</v>
      </c>
      <c r="C122" s="36">
        <v>6460</v>
      </c>
      <c r="D122" s="6"/>
      <c r="E122" s="113">
        <v>289665703</v>
      </c>
      <c r="F122" s="116">
        <f t="shared" si="25"/>
        <v>44839.892105263156</v>
      </c>
      <c r="G122" s="117">
        <v>160607353</v>
      </c>
      <c r="H122" s="117">
        <f t="shared" si="26"/>
        <v>24861.819349845202</v>
      </c>
      <c r="I122" s="7"/>
      <c r="J122" s="10">
        <v>5.6341000000000001</v>
      </c>
      <c r="K122" s="117">
        <v>904877</v>
      </c>
      <c r="L122" s="120">
        <f t="shared" si="29"/>
        <v>140.07383900928792</v>
      </c>
      <c r="M122" s="122">
        <f t="shared" si="20"/>
        <v>1606073.53</v>
      </c>
      <c r="N122" s="116">
        <f t="shared" si="21"/>
        <v>701196.53</v>
      </c>
      <c r="O122" s="123">
        <f t="shared" si="22"/>
        <v>108.54435448916409</v>
      </c>
      <c r="P122" s="5"/>
      <c r="Q122" s="5">
        <f t="shared" si="16"/>
        <v>1</v>
      </c>
      <c r="R122" s="7">
        <f t="shared" si="17"/>
        <v>6460</v>
      </c>
      <c r="S122" s="5">
        <f t="shared" si="18"/>
        <v>1</v>
      </c>
      <c r="T122" s="7">
        <f t="shared" si="19"/>
        <v>6460</v>
      </c>
    </row>
    <row r="123" spans="1:20">
      <c r="A123" s="23" t="s">
        <v>558</v>
      </c>
      <c r="B123" s="35" t="s">
        <v>142</v>
      </c>
      <c r="C123" s="36">
        <v>4210</v>
      </c>
      <c r="D123" s="6"/>
      <c r="E123" s="113">
        <v>170770190</v>
      </c>
      <c r="F123" s="116">
        <f t="shared" si="25"/>
        <v>40562.990498812353</v>
      </c>
      <c r="G123" s="117">
        <v>106352080</v>
      </c>
      <c r="H123" s="117">
        <f t="shared" si="26"/>
        <v>25261.776722090261</v>
      </c>
      <c r="I123" s="7"/>
      <c r="J123" s="10">
        <v>3</v>
      </c>
      <c r="K123" s="117">
        <v>319056</v>
      </c>
      <c r="L123" s="120">
        <f t="shared" si="29"/>
        <v>75.785273159144893</v>
      </c>
      <c r="M123" s="122">
        <f t="shared" si="20"/>
        <v>1063520.8</v>
      </c>
      <c r="N123" s="116">
        <f t="shared" si="21"/>
        <v>744464.8</v>
      </c>
      <c r="O123" s="123">
        <f t="shared" si="22"/>
        <v>176.83249406175773</v>
      </c>
      <c r="P123" s="5"/>
      <c r="Q123" s="5">
        <f t="shared" si="16"/>
        <v>1</v>
      </c>
      <c r="R123" s="7">
        <f t="shared" si="17"/>
        <v>4210</v>
      </c>
      <c r="S123" s="5">
        <f t="shared" si="18"/>
        <v>1</v>
      </c>
      <c r="T123" s="7">
        <f t="shared" si="19"/>
        <v>4210</v>
      </c>
    </row>
    <row r="124" spans="1:20">
      <c r="A124" s="23" t="s">
        <v>143</v>
      </c>
      <c r="B124" s="35" t="s">
        <v>144</v>
      </c>
      <c r="C124" s="36">
        <v>7264</v>
      </c>
      <c r="D124" s="6"/>
      <c r="E124" s="113">
        <v>423091833</v>
      </c>
      <c r="F124" s="116">
        <f t="shared" si="25"/>
        <v>58245.021062775333</v>
      </c>
      <c r="G124" s="117">
        <v>225996802</v>
      </c>
      <c r="H124" s="117">
        <f t="shared" si="26"/>
        <v>31111.894548458149</v>
      </c>
      <c r="I124" s="7"/>
      <c r="J124" s="10">
        <v>8</v>
      </c>
      <c r="K124" s="117">
        <v>1807974</v>
      </c>
      <c r="L124" s="120">
        <f t="shared" si="29"/>
        <v>248.89509911894274</v>
      </c>
      <c r="M124" s="122">
        <f t="shared" si="20"/>
        <v>2259968.02</v>
      </c>
      <c r="N124" s="116">
        <f t="shared" si="21"/>
        <v>451994.02</v>
      </c>
      <c r="O124" s="123">
        <f t="shared" si="22"/>
        <v>62.223846365638771</v>
      </c>
      <c r="P124" s="5"/>
      <c r="Q124" s="5">
        <f t="shared" si="16"/>
        <v>1</v>
      </c>
      <c r="R124" s="7">
        <f t="shared" si="17"/>
        <v>7264</v>
      </c>
      <c r="S124" s="5">
        <f t="shared" si="18"/>
        <v>1</v>
      </c>
      <c r="T124" s="7">
        <f t="shared" si="19"/>
        <v>7264</v>
      </c>
    </row>
    <row r="125" spans="1:20">
      <c r="A125" s="23" t="s">
        <v>145</v>
      </c>
      <c r="B125" s="35" t="s">
        <v>144</v>
      </c>
      <c r="C125" s="36">
        <v>12</v>
      </c>
      <c r="D125" s="6"/>
      <c r="E125" s="113">
        <v>19697759</v>
      </c>
      <c r="F125" s="116">
        <f t="shared" si="25"/>
        <v>1641479.9166666667</v>
      </c>
      <c r="G125" s="117">
        <v>18659267</v>
      </c>
      <c r="H125" s="117">
        <f t="shared" si="26"/>
        <v>1554938.9166666667</v>
      </c>
      <c r="I125" s="7"/>
      <c r="J125" s="10">
        <v>1.1499999999999999</v>
      </c>
      <c r="K125" s="117">
        <v>21458</v>
      </c>
      <c r="L125" s="120">
        <f t="shared" si="29"/>
        <v>1788.1666666666667</v>
      </c>
      <c r="M125" s="122">
        <f t="shared" si="20"/>
        <v>186592.67</v>
      </c>
      <c r="N125" s="116">
        <f t="shared" si="21"/>
        <v>165134.67000000001</v>
      </c>
      <c r="O125" s="123">
        <f t="shared" si="22"/>
        <v>13761.222500000002</v>
      </c>
      <c r="P125" s="5"/>
      <c r="Q125" s="5">
        <f t="shared" si="16"/>
        <v>1</v>
      </c>
      <c r="R125" s="7">
        <f t="shared" si="17"/>
        <v>12</v>
      </c>
      <c r="S125" s="5">
        <f t="shared" si="18"/>
        <v>1</v>
      </c>
      <c r="T125" s="7">
        <f t="shared" si="19"/>
        <v>12</v>
      </c>
    </row>
    <row r="126" spans="1:20">
      <c r="A126" s="23" t="s">
        <v>146</v>
      </c>
      <c r="B126" s="35" t="s">
        <v>147</v>
      </c>
      <c r="C126" s="36">
        <v>8542</v>
      </c>
      <c r="D126" s="6"/>
      <c r="E126" s="113">
        <v>240855214</v>
      </c>
      <c r="F126" s="116">
        <f t="shared" si="25"/>
        <v>28196.583235776165</v>
      </c>
      <c r="G126" s="117">
        <v>149393981</v>
      </c>
      <c r="H126" s="117">
        <f t="shared" si="26"/>
        <v>17489.344532896277</v>
      </c>
      <c r="I126" s="7"/>
      <c r="J126" s="10">
        <v>8.25</v>
      </c>
      <c r="K126" s="117">
        <v>1232500</v>
      </c>
      <c r="L126" s="120">
        <f t="shared" si="29"/>
        <v>144.28705221259659</v>
      </c>
      <c r="M126" s="122">
        <f t="shared" si="20"/>
        <v>1493939.81</v>
      </c>
      <c r="N126" s="116">
        <f t="shared" si="21"/>
        <v>261439.81000000006</v>
      </c>
      <c r="O126" s="123">
        <f t="shared" si="22"/>
        <v>30.606393116366196</v>
      </c>
      <c r="P126" s="5"/>
      <c r="Q126" s="5">
        <f t="shared" si="16"/>
        <v>1</v>
      </c>
      <c r="R126" s="7">
        <f t="shared" si="17"/>
        <v>8542</v>
      </c>
      <c r="S126" s="5">
        <f t="shared" si="18"/>
        <v>1</v>
      </c>
      <c r="T126" s="7">
        <f t="shared" si="19"/>
        <v>8542</v>
      </c>
    </row>
    <row r="127" spans="1:20">
      <c r="A127" s="23" t="s">
        <v>148</v>
      </c>
      <c r="B127" s="35" t="s">
        <v>147</v>
      </c>
      <c r="C127" s="36">
        <v>1668</v>
      </c>
      <c r="D127" s="6"/>
      <c r="E127" s="113">
        <v>106607760</v>
      </c>
      <c r="F127" s="116">
        <f t="shared" si="25"/>
        <v>63913.525179856115</v>
      </c>
      <c r="G127" s="117">
        <v>70824561</v>
      </c>
      <c r="H127" s="117">
        <f t="shared" si="26"/>
        <v>42460.767985611514</v>
      </c>
      <c r="I127" s="7"/>
      <c r="J127" s="10">
        <v>5.2</v>
      </c>
      <c r="K127" s="117">
        <v>368287</v>
      </c>
      <c r="L127" s="120">
        <f t="shared" si="29"/>
        <v>220.79556354916068</v>
      </c>
      <c r="M127" s="122">
        <f t="shared" si="20"/>
        <v>708245.61</v>
      </c>
      <c r="N127" s="116">
        <f t="shared" si="21"/>
        <v>339958.61</v>
      </c>
      <c r="O127" s="123">
        <f t="shared" si="22"/>
        <v>203.81211630695444</v>
      </c>
      <c r="P127" s="5"/>
      <c r="Q127" s="5">
        <f t="shared" si="16"/>
        <v>1</v>
      </c>
      <c r="R127" s="7">
        <f t="shared" si="17"/>
        <v>1668</v>
      </c>
      <c r="S127" s="5">
        <f t="shared" si="18"/>
        <v>1</v>
      </c>
      <c r="T127" s="7">
        <f t="shared" si="19"/>
        <v>1668</v>
      </c>
    </row>
    <row r="128" spans="1:20">
      <c r="A128" s="23" t="s">
        <v>149</v>
      </c>
      <c r="B128" s="35" t="s">
        <v>147</v>
      </c>
      <c r="C128" s="36">
        <v>9667</v>
      </c>
      <c r="D128" s="6"/>
      <c r="E128" s="113">
        <v>444337979</v>
      </c>
      <c r="F128" s="116">
        <f t="shared" si="25"/>
        <v>45964.412847832835</v>
      </c>
      <c r="G128" s="117">
        <v>312695718</v>
      </c>
      <c r="H128" s="117">
        <f t="shared" si="26"/>
        <v>32346.717492500258</v>
      </c>
      <c r="I128" s="7"/>
      <c r="J128" s="10">
        <v>6.5</v>
      </c>
      <c r="K128" s="117">
        <v>2032522</v>
      </c>
      <c r="L128" s="120">
        <f t="shared" si="29"/>
        <v>210.25364642598532</v>
      </c>
      <c r="M128" s="122">
        <f t="shared" si="20"/>
        <v>3126957.18</v>
      </c>
      <c r="N128" s="116">
        <f t="shared" si="21"/>
        <v>1094435.1800000002</v>
      </c>
      <c r="O128" s="123">
        <f t="shared" si="22"/>
        <v>113.21352849901729</v>
      </c>
      <c r="P128" s="5"/>
      <c r="Q128" s="5">
        <f t="shared" si="16"/>
        <v>1</v>
      </c>
      <c r="R128" s="7">
        <f t="shared" si="17"/>
        <v>9667</v>
      </c>
      <c r="S128" s="5">
        <f t="shared" si="18"/>
        <v>1</v>
      </c>
      <c r="T128" s="7">
        <f t="shared" si="19"/>
        <v>9667</v>
      </c>
    </row>
    <row r="129" spans="1:20">
      <c r="A129" s="23" t="s">
        <v>150</v>
      </c>
      <c r="B129" s="35" t="s">
        <v>151</v>
      </c>
      <c r="C129" s="36">
        <v>29915</v>
      </c>
      <c r="D129" s="6"/>
      <c r="E129" s="113">
        <v>1447383198</v>
      </c>
      <c r="F129" s="116">
        <f t="shared" si="25"/>
        <v>48383.192311549392</v>
      </c>
      <c r="G129" s="117">
        <v>1079739673</v>
      </c>
      <c r="H129" s="117">
        <f t="shared" si="26"/>
        <v>36093.587598194885</v>
      </c>
      <c r="I129" s="7"/>
      <c r="J129" s="10">
        <v>4.7</v>
      </c>
      <c r="K129" s="117">
        <v>5074776</v>
      </c>
      <c r="L129" s="120">
        <f t="shared" si="29"/>
        <v>169.63984623098779</v>
      </c>
      <c r="M129" s="122">
        <f t="shared" si="20"/>
        <v>10797396.73</v>
      </c>
      <c r="N129" s="116">
        <f t="shared" si="21"/>
        <v>5722620.7300000004</v>
      </c>
      <c r="O129" s="123">
        <f t="shared" si="22"/>
        <v>191.29602975096108</v>
      </c>
      <c r="P129" s="5"/>
      <c r="Q129" s="5">
        <f t="shared" si="16"/>
        <v>1</v>
      </c>
      <c r="R129" s="7">
        <f t="shared" si="17"/>
        <v>29915</v>
      </c>
      <c r="S129" s="5">
        <f t="shared" si="18"/>
        <v>1</v>
      </c>
      <c r="T129" s="7">
        <f t="shared" si="19"/>
        <v>29915</v>
      </c>
    </row>
    <row r="130" spans="1:20">
      <c r="A130" s="23" t="s">
        <v>152</v>
      </c>
      <c r="B130" s="35" t="s">
        <v>151</v>
      </c>
      <c r="C130" s="36">
        <v>303447</v>
      </c>
      <c r="D130" s="6"/>
      <c r="E130" s="113">
        <v>20679562666</v>
      </c>
      <c r="F130" s="116">
        <f t="shared" si="25"/>
        <v>68148.845320599648</v>
      </c>
      <c r="G130" s="117">
        <v>13841328668</v>
      </c>
      <c r="H130" s="117">
        <f t="shared" si="26"/>
        <v>45613.661258803018</v>
      </c>
      <c r="I130" s="7"/>
      <c r="J130" s="10">
        <v>6.5389999999999997</v>
      </c>
      <c r="K130" s="117">
        <v>90508448</v>
      </c>
      <c r="L130" s="120">
        <f t="shared" si="29"/>
        <v>298.26773044386664</v>
      </c>
      <c r="M130" s="122">
        <f t="shared" si="20"/>
        <v>138413286.68000001</v>
      </c>
      <c r="N130" s="116">
        <f t="shared" si="21"/>
        <v>47904838.680000007</v>
      </c>
      <c r="O130" s="123">
        <f t="shared" si="22"/>
        <v>157.86888214416359</v>
      </c>
      <c r="P130" s="5"/>
      <c r="Q130" s="5">
        <f t="shared" si="16"/>
        <v>1</v>
      </c>
      <c r="R130" s="7">
        <f t="shared" si="17"/>
        <v>303447</v>
      </c>
      <c r="S130" s="5">
        <f t="shared" si="18"/>
        <v>1</v>
      </c>
      <c r="T130" s="7">
        <f t="shared" si="19"/>
        <v>303447</v>
      </c>
    </row>
    <row r="131" spans="1:20">
      <c r="A131" s="23" t="s">
        <v>153</v>
      </c>
      <c r="B131" s="35" t="s">
        <v>151</v>
      </c>
      <c r="C131" s="36">
        <v>20918</v>
      </c>
      <c r="D131" s="6"/>
      <c r="E131" s="113">
        <v>1213723916</v>
      </c>
      <c r="F131" s="116">
        <f t="shared" si="25"/>
        <v>58022.942728750357</v>
      </c>
      <c r="G131" s="117">
        <v>977155149</v>
      </c>
      <c r="H131" s="117">
        <f t="shared" si="26"/>
        <v>46713.603069127064</v>
      </c>
      <c r="I131" s="7"/>
      <c r="J131" s="10">
        <v>4.91</v>
      </c>
      <c r="K131" s="117">
        <v>4797831</v>
      </c>
      <c r="L131" s="120">
        <f t="shared" si="29"/>
        <v>229.36375370494312</v>
      </c>
      <c r="M131" s="122">
        <f t="shared" si="20"/>
        <v>9771551.4900000002</v>
      </c>
      <c r="N131" s="116">
        <f t="shared" si="21"/>
        <v>4973720.49</v>
      </c>
      <c r="O131" s="123">
        <f t="shared" si="22"/>
        <v>237.77227698632757</v>
      </c>
      <c r="P131" s="5"/>
      <c r="Q131" s="5">
        <f t="shared" si="16"/>
        <v>1</v>
      </c>
      <c r="R131" s="7">
        <f t="shared" si="17"/>
        <v>20918</v>
      </c>
      <c r="S131" s="5">
        <f t="shared" si="18"/>
        <v>1</v>
      </c>
      <c r="T131" s="7">
        <f t="shared" si="19"/>
        <v>20918</v>
      </c>
    </row>
    <row r="132" spans="1:20">
      <c r="A132" s="23" t="s">
        <v>154</v>
      </c>
      <c r="B132" s="35" t="s">
        <v>155</v>
      </c>
      <c r="C132" s="36">
        <v>4078</v>
      </c>
      <c r="D132" s="6"/>
      <c r="E132" s="113">
        <v>94887783</v>
      </c>
      <c r="F132" s="116">
        <f t="shared" si="25"/>
        <v>23268.215546836684</v>
      </c>
      <c r="G132" s="117">
        <v>55956477</v>
      </c>
      <c r="H132" s="117">
        <f t="shared" si="26"/>
        <v>13721.549043648847</v>
      </c>
      <c r="I132" s="98" t="s">
        <v>528</v>
      </c>
      <c r="J132" s="10"/>
      <c r="K132" s="117"/>
      <c r="L132" s="120"/>
      <c r="M132" s="122">
        <f t="shared" si="20"/>
        <v>559564.77</v>
      </c>
      <c r="N132" s="116">
        <f t="shared" si="21"/>
        <v>559564.77</v>
      </c>
      <c r="O132" s="123">
        <f t="shared" si="22"/>
        <v>137.21549043648847</v>
      </c>
      <c r="P132" s="5"/>
      <c r="Q132" s="5">
        <f t="shared" si="16"/>
        <v>1</v>
      </c>
      <c r="R132" s="7">
        <f t="shared" si="17"/>
        <v>4078</v>
      </c>
      <c r="S132" s="5">
        <f t="shared" si="18"/>
        <v>0</v>
      </c>
      <c r="T132" s="7">
        <f t="shared" si="19"/>
        <v>0</v>
      </c>
    </row>
    <row r="133" spans="1:20">
      <c r="A133" s="23" t="s">
        <v>156</v>
      </c>
      <c r="B133" s="35" t="s">
        <v>155</v>
      </c>
      <c r="C133" s="36">
        <v>356</v>
      </c>
      <c r="D133" s="6"/>
      <c r="E133" s="113">
        <v>6627724</v>
      </c>
      <c r="F133" s="116">
        <f t="shared" si="25"/>
        <v>18617.20224719101</v>
      </c>
      <c r="G133" s="117">
        <v>3027385</v>
      </c>
      <c r="H133" s="117">
        <f t="shared" si="26"/>
        <v>8503.8904494382023</v>
      </c>
      <c r="I133" s="7"/>
      <c r="J133" s="10">
        <v>0.79</v>
      </c>
      <c r="K133" s="117">
        <v>2391</v>
      </c>
      <c r="L133" s="120">
        <f>(K133/C133)</f>
        <v>6.7162921348314608</v>
      </c>
      <c r="M133" s="122">
        <f t="shared" si="20"/>
        <v>30273.850000000002</v>
      </c>
      <c r="N133" s="116">
        <f t="shared" si="21"/>
        <v>27882.850000000002</v>
      </c>
      <c r="O133" s="123">
        <f t="shared" si="22"/>
        <v>78.322612359550561</v>
      </c>
      <c r="P133" s="5"/>
      <c r="Q133" s="5">
        <f t="shared" si="16"/>
        <v>1</v>
      </c>
      <c r="R133" s="7">
        <f t="shared" si="17"/>
        <v>356</v>
      </c>
      <c r="S133" s="5">
        <f t="shared" si="18"/>
        <v>1</v>
      </c>
      <c r="T133" s="7">
        <f t="shared" si="19"/>
        <v>356</v>
      </c>
    </row>
    <row r="134" spans="1:20">
      <c r="A134" s="23" t="s">
        <v>157</v>
      </c>
      <c r="B134" s="35" t="s">
        <v>155</v>
      </c>
      <c r="C134" s="36">
        <v>213</v>
      </c>
      <c r="D134" s="6"/>
      <c r="E134" s="113">
        <v>2753016</v>
      </c>
      <c r="F134" s="116">
        <f t="shared" si="25"/>
        <v>12924.957746478873</v>
      </c>
      <c r="G134" s="117">
        <v>1111973</v>
      </c>
      <c r="H134" s="117">
        <f t="shared" si="26"/>
        <v>5220.5305164319252</v>
      </c>
      <c r="I134" s="7"/>
      <c r="J134" s="12">
        <v>1.6798</v>
      </c>
      <c r="K134" s="117">
        <v>1867</v>
      </c>
      <c r="L134" s="120">
        <f>(K134/C134)</f>
        <v>8.7652582159624419</v>
      </c>
      <c r="M134" s="122">
        <f t="shared" si="20"/>
        <v>11119.73</v>
      </c>
      <c r="N134" s="116">
        <f t="shared" si="21"/>
        <v>9252.73</v>
      </c>
      <c r="O134" s="123">
        <f t="shared" si="22"/>
        <v>43.440046948356809</v>
      </c>
      <c r="P134" s="5"/>
      <c r="Q134" s="5">
        <f t="shared" si="16"/>
        <v>1</v>
      </c>
      <c r="R134" s="7">
        <f t="shared" si="17"/>
        <v>213</v>
      </c>
      <c r="S134" s="5">
        <f t="shared" si="18"/>
        <v>1</v>
      </c>
      <c r="T134" s="7">
        <f t="shared" si="19"/>
        <v>213</v>
      </c>
    </row>
    <row r="135" spans="1:20">
      <c r="A135" s="23" t="s">
        <v>158</v>
      </c>
      <c r="B135" s="35" t="s">
        <v>155</v>
      </c>
      <c r="C135" s="36">
        <v>457</v>
      </c>
      <c r="D135" s="6"/>
      <c r="E135" s="113">
        <v>15583572</v>
      </c>
      <c r="F135" s="116">
        <f t="shared" si="25"/>
        <v>34099.719912472647</v>
      </c>
      <c r="G135" s="117">
        <v>8814421</v>
      </c>
      <c r="H135" s="117">
        <f t="shared" si="26"/>
        <v>19287.573304157548</v>
      </c>
      <c r="I135" s="98" t="s">
        <v>528</v>
      </c>
      <c r="J135" s="10"/>
      <c r="K135" s="117"/>
      <c r="L135" s="120"/>
      <c r="M135" s="122">
        <f t="shared" si="20"/>
        <v>88144.21</v>
      </c>
      <c r="N135" s="116">
        <f t="shared" si="21"/>
        <v>88144.21</v>
      </c>
      <c r="O135" s="123">
        <f t="shared" si="22"/>
        <v>192.8757330415755</v>
      </c>
      <c r="P135" s="5"/>
      <c r="Q135" s="5">
        <f t="shared" ref="Q135:Q198" si="30">IF(E135&gt;0,1,0)</f>
        <v>1</v>
      </c>
      <c r="R135" s="7">
        <f t="shared" ref="R135:R198" si="31">IF(E135&gt;0,C135,0)</f>
        <v>457</v>
      </c>
      <c r="S135" s="5">
        <f t="shared" ref="S135:S198" si="32">IF(J135&gt;0,1,0)</f>
        <v>0</v>
      </c>
      <c r="T135" s="7">
        <f t="shared" ref="T135:T198" si="33">IF(J135&gt;0,C135,0)</f>
        <v>0</v>
      </c>
    </row>
    <row r="136" spans="1:20">
      <c r="A136" s="23" t="s">
        <v>159</v>
      </c>
      <c r="B136" s="35" t="s">
        <v>155</v>
      </c>
      <c r="C136" s="36">
        <v>221</v>
      </c>
      <c r="D136" s="6"/>
      <c r="E136" s="113">
        <v>7287028</v>
      </c>
      <c r="F136" s="116">
        <f t="shared" si="25"/>
        <v>32972.977375565613</v>
      </c>
      <c r="G136" s="117">
        <v>2270045</v>
      </c>
      <c r="H136" s="117">
        <f t="shared" si="26"/>
        <v>10271.696832579186</v>
      </c>
      <c r="I136" s="98" t="s">
        <v>528</v>
      </c>
      <c r="J136" s="10"/>
      <c r="K136" s="117"/>
      <c r="L136" s="120"/>
      <c r="M136" s="122">
        <f t="shared" ref="M136:M199" si="34">(G136*0.01)</f>
        <v>22700.45</v>
      </c>
      <c r="N136" s="116">
        <f t="shared" ref="N136:N199" si="35">(M136-K136)</f>
        <v>22700.45</v>
      </c>
      <c r="O136" s="123">
        <f t="shared" ref="O136:O199" si="36">(N136/C136)</f>
        <v>102.71696832579185</v>
      </c>
      <c r="P136" s="5"/>
      <c r="Q136" s="5">
        <f t="shared" si="30"/>
        <v>1</v>
      </c>
      <c r="R136" s="7">
        <f t="shared" si="31"/>
        <v>221</v>
      </c>
      <c r="S136" s="5">
        <f t="shared" si="32"/>
        <v>0</v>
      </c>
      <c r="T136" s="7">
        <f t="shared" si="33"/>
        <v>0</v>
      </c>
    </row>
    <row r="137" spans="1:20">
      <c r="A137" s="23" t="s">
        <v>160</v>
      </c>
      <c r="B137" s="35" t="s">
        <v>161</v>
      </c>
      <c r="C137" s="36">
        <v>3813</v>
      </c>
      <c r="D137" s="6"/>
      <c r="E137" s="113">
        <v>59684483</v>
      </c>
      <c r="F137" s="116">
        <f t="shared" si="25"/>
        <v>15652.893522161028</v>
      </c>
      <c r="G137" s="117">
        <v>33497535</v>
      </c>
      <c r="H137" s="117">
        <f t="shared" si="26"/>
        <v>8785.0865460267505</v>
      </c>
      <c r="I137" s="7"/>
      <c r="J137" s="11">
        <v>5.75</v>
      </c>
      <c r="K137" s="117">
        <v>192610</v>
      </c>
      <c r="L137" s="120">
        <f t="shared" ref="L137:L142" si="37">(K137/C137)</f>
        <v>50.514030946761082</v>
      </c>
      <c r="M137" s="122">
        <f t="shared" si="34"/>
        <v>334975.35000000003</v>
      </c>
      <c r="N137" s="116">
        <f t="shared" si="35"/>
        <v>142365.35000000003</v>
      </c>
      <c r="O137" s="123">
        <f t="shared" si="36"/>
        <v>37.336834513506432</v>
      </c>
      <c r="P137" s="5"/>
      <c r="Q137" s="5">
        <f t="shared" si="30"/>
        <v>1</v>
      </c>
      <c r="R137" s="7">
        <f t="shared" si="31"/>
        <v>3813</v>
      </c>
      <c r="S137" s="5">
        <f t="shared" si="32"/>
        <v>1</v>
      </c>
      <c r="T137" s="7">
        <f t="shared" si="33"/>
        <v>3813</v>
      </c>
    </row>
    <row r="138" spans="1:20">
      <c r="A138" s="23" t="s">
        <v>162</v>
      </c>
      <c r="B138" s="35" t="s">
        <v>161</v>
      </c>
      <c r="C138" s="36">
        <v>3448</v>
      </c>
      <c r="D138" s="6"/>
      <c r="E138" s="113">
        <v>1300427044</v>
      </c>
      <c r="F138" s="116">
        <f t="shared" si="25"/>
        <v>377154.01508120651</v>
      </c>
      <c r="G138" s="117">
        <v>1187723680</v>
      </c>
      <c r="H138" s="117">
        <f t="shared" si="26"/>
        <v>344467.4245939675</v>
      </c>
      <c r="I138" s="7"/>
      <c r="J138" s="11">
        <v>1.4279999999999999</v>
      </c>
      <c r="K138" s="117">
        <v>1696069</v>
      </c>
      <c r="L138" s="120">
        <f t="shared" si="37"/>
        <v>491.89936194895591</v>
      </c>
      <c r="M138" s="122">
        <f t="shared" si="34"/>
        <v>11877236.800000001</v>
      </c>
      <c r="N138" s="116">
        <f t="shared" si="35"/>
        <v>10181167.800000001</v>
      </c>
      <c r="O138" s="123">
        <f t="shared" si="36"/>
        <v>2952.7748839907194</v>
      </c>
      <c r="P138" s="5"/>
      <c r="Q138" s="5">
        <f t="shared" si="30"/>
        <v>1</v>
      </c>
      <c r="R138" s="7">
        <f t="shared" si="31"/>
        <v>3448</v>
      </c>
      <c r="S138" s="5">
        <f t="shared" si="32"/>
        <v>1</v>
      </c>
      <c r="T138" s="7">
        <f t="shared" si="33"/>
        <v>3448</v>
      </c>
    </row>
    <row r="139" spans="1:20">
      <c r="A139" s="23" t="s">
        <v>163</v>
      </c>
      <c r="B139" s="35" t="s">
        <v>161</v>
      </c>
      <c r="C139" s="36">
        <v>140</v>
      </c>
      <c r="D139" s="6"/>
      <c r="E139" s="113">
        <v>161171190</v>
      </c>
      <c r="F139" s="116">
        <f t="shared" si="25"/>
        <v>1151222.7857142857</v>
      </c>
      <c r="G139" s="117">
        <v>159248170</v>
      </c>
      <c r="H139" s="117">
        <f t="shared" si="26"/>
        <v>1137486.9285714286</v>
      </c>
      <c r="I139" s="7"/>
      <c r="J139" s="10">
        <v>1.6793</v>
      </c>
      <c r="K139" s="117">
        <v>267425</v>
      </c>
      <c r="L139" s="120">
        <f t="shared" si="37"/>
        <v>1910.1785714285713</v>
      </c>
      <c r="M139" s="122">
        <f t="shared" si="34"/>
        <v>1592481.7</v>
      </c>
      <c r="N139" s="116">
        <f t="shared" si="35"/>
        <v>1325056.7</v>
      </c>
      <c r="O139" s="123">
        <f t="shared" si="36"/>
        <v>9464.6907142857144</v>
      </c>
      <c r="P139" s="5"/>
      <c r="Q139" s="5">
        <f t="shared" si="30"/>
        <v>1</v>
      </c>
      <c r="R139" s="7">
        <f t="shared" si="31"/>
        <v>140</v>
      </c>
      <c r="S139" s="5">
        <f t="shared" si="32"/>
        <v>1</v>
      </c>
      <c r="T139" s="7">
        <f t="shared" si="33"/>
        <v>140</v>
      </c>
    </row>
    <row r="140" spans="1:20">
      <c r="A140" s="23" t="s">
        <v>164</v>
      </c>
      <c r="B140" s="35" t="s">
        <v>161</v>
      </c>
      <c r="C140" s="36">
        <v>16181</v>
      </c>
      <c r="D140" s="6"/>
      <c r="E140" s="113">
        <v>700318732</v>
      </c>
      <c r="F140" s="116">
        <f t="shared" si="25"/>
        <v>43280.312218033498</v>
      </c>
      <c r="G140" s="117">
        <v>508508759</v>
      </c>
      <c r="H140" s="117">
        <f t="shared" si="26"/>
        <v>31426.287559483346</v>
      </c>
      <c r="I140" s="7"/>
      <c r="J140" s="10">
        <v>5</v>
      </c>
      <c r="K140" s="117">
        <v>2542543</v>
      </c>
      <c r="L140" s="120">
        <f t="shared" si="37"/>
        <v>157.13138866571904</v>
      </c>
      <c r="M140" s="122">
        <f t="shared" si="34"/>
        <v>5085087.59</v>
      </c>
      <c r="N140" s="116">
        <f t="shared" si="35"/>
        <v>2542544.59</v>
      </c>
      <c r="O140" s="123">
        <f t="shared" si="36"/>
        <v>157.13148692911437</v>
      </c>
      <c r="P140" s="5"/>
      <c r="Q140" s="5">
        <f t="shared" si="30"/>
        <v>1</v>
      </c>
      <c r="R140" s="7">
        <f t="shared" si="31"/>
        <v>16181</v>
      </c>
      <c r="S140" s="5">
        <f t="shared" si="32"/>
        <v>1</v>
      </c>
      <c r="T140" s="7">
        <f t="shared" si="33"/>
        <v>16181</v>
      </c>
    </row>
    <row r="141" spans="1:20">
      <c r="A141" s="23" t="s">
        <v>165</v>
      </c>
      <c r="B141" s="35" t="s">
        <v>161</v>
      </c>
      <c r="C141" s="36">
        <v>17705</v>
      </c>
      <c r="D141" s="6"/>
      <c r="E141" s="113">
        <v>1789735577</v>
      </c>
      <c r="F141" s="116">
        <f t="shared" si="25"/>
        <v>101086.4488562553</v>
      </c>
      <c r="G141" s="117">
        <v>1392693446</v>
      </c>
      <c r="H141" s="117">
        <f t="shared" si="26"/>
        <v>78661.024908218023</v>
      </c>
      <c r="I141" s="7"/>
      <c r="J141" s="10">
        <v>2.1425000000000001</v>
      </c>
      <c r="K141" s="117">
        <v>2983845</v>
      </c>
      <c r="L141" s="120">
        <f t="shared" si="37"/>
        <v>168.53120587404689</v>
      </c>
      <c r="M141" s="122">
        <f t="shared" si="34"/>
        <v>13926934.460000001</v>
      </c>
      <c r="N141" s="116">
        <f t="shared" si="35"/>
        <v>10943089.460000001</v>
      </c>
      <c r="O141" s="123">
        <f t="shared" si="36"/>
        <v>618.07904320813338</v>
      </c>
      <c r="P141" s="5"/>
      <c r="Q141" s="5">
        <f t="shared" si="30"/>
        <v>1</v>
      </c>
      <c r="R141" s="7">
        <f t="shared" si="31"/>
        <v>17705</v>
      </c>
      <c r="S141" s="5">
        <f t="shared" si="32"/>
        <v>1</v>
      </c>
      <c r="T141" s="7">
        <f t="shared" si="33"/>
        <v>17705</v>
      </c>
    </row>
    <row r="142" spans="1:20">
      <c r="A142" s="23" t="s">
        <v>166</v>
      </c>
      <c r="B142" s="35" t="s">
        <v>167</v>
      </c>
      <c r="C142" s="36">
        <v>466</v>
      </c>
      <c r="D142" s="6"/>
      <c r="E142" s="113">
        <v>8353454</v>
      </c>
      <c r="F142" s="116">
        <f t="shared" si="25"/>
        <v>17925.8669527897</v>
      </c>
      <c r="G142" s="117">
        <v>3862189</v>
      </c>
      <c r="H142" s="117">
        <f t="shared" si="26"/>
        <v>8287.9592274678107</v>
      </c>
      <c r="I142" s="7"/>
      <c r="J142" s="10">
        <v>0.99299999999999999</v>
      </c>
      <c r="K142" s="117">
        <v>3835</v>
      </c>
      <c r="L142" s="120">
        <f t="shared" si="37"/>
        <v>8.2296137339055786</v>
      </c>
      <c r="M142" s="122">
        <f t="shared" si="34"/>
        <v>38621.89</v>
      </c>
      <c r="N142" s="116">
        <f t="shared" si="35"/>
        <v>34786.89</v>
      </c>
      <c r="O142" s="123">
        <f t="shared" si="36"/>
        <v>74.649978540772537</v>
      </c>
      <c r="P142" s="5"/>
      <c r="Q142" s="5">
        <f t="shared" si="30"/>
        <v>1</v>
      </c>
      <c r="R142" s="7">
        <f t="shared" si="31"/>
        <v>466</v>
      </c>
      <c r="S142" s="5">
        <f t="shared" si="32"/>
        <v>1</v>
      </c>
      <c r="T142" s="7">
        <f t="shared" si="33"/>
        <v>466</v>
      </c>
    </row>
    <row r="143" spans="1:20">
      <c r="A143" s="23" t="s">
        <v>168</v>
      </c>
      <c r="B143" s="35" t="s">
        <v>167</v>
      </c>
      <c r="C143" s="36">
        <v>106</v>
      </c>
      <c r="D143" s="6"/>
      <c r="E143" s="113">
        <v>1733184</v>
      </c>
      <c r="F143" s="116">
        <f t="shared" si="25"/>
        <v>16350.792452830188</v>
      </c>
      <c r="G143" s="117">
        <v>933797</v>
      </c>
      <c r="H143" s="117">
        <f t="shared" si="26"/>
        <v>8809.4056603773588</v>
      </c>
      <c r="I143" s="98" t="s">
        <v>528</v>
      </c>
      <c r="J143" s="10"/>
      <c r="K143" s="117"/>
      <c r="L143" s="120"/>
      <c r="M143" s="122">
        <f t="shared" si="34"/>
        <v>9337.9699999999993</v>
      </c>
      <c r="N143" s="116">
        <f t="shared" si="35"/>
        <v>9337.9699999999993</v>
      </c>
      <c r="O143" s="123">
        <f t="shared" si="36"/>
        <v>88.094056603773581</v>
      </c>
      <c r="P143" s="5"/>
      <c r="Q143" s="5">
        <f t="shared" si="30"/>
        <v>1</v>
      </c>
      <c r="R143" s="7">
        <f t="shared" si="31"/>
        <v>106</v>
      </c>
      <c r="S143" s="5">
        <f t="shared" si="32"/>
        <v>0</v>
      </c>
      <c r="T143" s="7">
        <f t="shared" si="33"/>
        <v>0</v>
      </c>
    </row>
    <row r="144" spans="1:20">
      <c r="A144" s="23" t="s">
        <v>169</v>
      </c>
      <c r="B144" s="35" t="s">
        <v>167</v>
      </c>
      <c r="C144" s="36">
        <v>212</v>
      </c>
      <c r="D144" s="6"/>
      <c r="E144" s="113">
        <v>5193462</v>
      </c>
      <c r="F144" s="116">
        <f t="shared" si="25"/>
        <v>24497.462264150945</v>
      </c>
      <c r="G144" s="117">
        <v>2988114</v>
      </c>
      <c r="H144" s="117">
        <f t="shared" si="26"/>
        <v>14094.877358490567</v>
      </c>
      <c r="I144" s="7"/>
      <c r="J144" s="10">
        <v>2</v>
      </c>
      <c r="K144" s="117">
        <v>5976</v>
      </c>
      <c r="L144" s="120">
        <f>(K144/C144)</f>
        <v>28.188679245283019</v>
      </c>
      <c r="M144" s="122">
        <f t="shared" si="34"/>
        <v>29881.14</v>
      </c>
      <c r="N144" s="116">
        <f t="shared" si="35"/>
        <v>23905.14</v>
      </c>
      <c r="O144" s="123">
        <f t="shared" si="36"/>
        <v>112.76009433962264</v>
      </c>
      <c r="P144" s="5"/>
      <c r="Q144" s="5">
        <f t="shared" si="30"/>
        <v>1</v>
      </c>
      <c r="R144" s="7">
        <f t="shared" si="31"/>
        <v>212</v>
      </c>
      <c r="S144" s="5">
        <f t="shared" si="32"/>
        <v>1</v>
      </c>
      <c r="T144" s="7">
        <f t="shared" si="33"/>
        <v>212</v>
      </c>
    </row>
    <row r="145" spans="1:20">
      <c r="A145" s="23" t="s">
        <v>170</v>
      </c>
      <c r="B145" s="35" t="s">
        <v>167</v>
      </c>
      <c r="C145" s="36">
        <v>869</v>
      </c>
      <c r="D145" s="6"/>
      <c r="E145" s="113">
        <v>20896963</v>
      </c>
      <c r="F145" s="116">
        <f t="shared" si="25"/>
        <v>24047.138089758344</v>
      </c>
      <c r="G145" s="117">
        <v>11031174</v>
      </c>
      <c r="H145" s="117">
        <f t="shared" si="26"/>
        <v>12694.101265822785</v>
      </c>
      <c r="I145" s="7"/>
      <c r="J145" s="12">
        <v>3</v>
      </c>
      <c r="K145" s="117">
        <v>33093</v>
      </c>
      <c r="L145" s="120">
        <f>(K145/C145)</f>
        <v>38.081703107019564</v>
      </c>
      <c r="M145" s="122">
        <f t="shared" si="34"/>
        <v>110311.74</v>
      </c>
      <c r="N145" s="116">
        <f t="shared" si="35"/>
        <v>77218.740000000005</v>
      </c>
      <c r="O145" s="123">
        <f t="shared" si="36"/>
        <v>88.859309551208298</v>
      </c>
      <c r="P145" s="5"/>
      <c r="Q145" s="5">
        <f t="shared" si="30"/>
        <v>1</v>
      </c>
      <c r="R145" s="7">
        <f t="shared" si="31"/>
        <v>869</v>
      </c>
      <c r="S145" s="5">
        <f t="shared" si="32"/>
        <v>1</v>
      </c>
      <c r="T145" s="7">
        <f t="shared" si="33"/>
        <v>869</v>
      </c>
    </row>
    <row r="146" spans="1:20">
      <c r="A146" s="23" t="s">
        <v>171</v>
      </c>
      <c r="B146" s="35" t="s">
        <v>167</v>
      </c>
      <c r="C146" s="36">
        <v>2402</v>
      </c>
      <c r="D146" s="6"/>
      <c r="E146" s="113">
        <v>74116409</v>
      </c>
      <c r="F146" s="116">
        <f t="shared" si="25"/>
        <v>30856.123646960867</v>
      </c>
      <c r="G146" s="117">
        <v>40660471</v>
      </c>
      <c r="H146" s="117">
        <f t="shared" si="26"/>
        <v>16927.756452955869</v>
      </c>
      <c r="I146" s="7"/>
      <c r="J146" s="10">
        <v>4</v>
      </c>
      <c r="K146" s="117">
        <v>162641</v>
      </c>
      <c r="L146" s="120">
        <f>(K146/C146)</f>
        <v>67.710657785179023</v>
      </c>
      <c r="M146" s="122">
        <f t="shared" si="34"/>
        <v>406604.71</v>
      </c>
      <c r="N146" s="116">
        <f t="shared" si="35"/>
        <v>243963.71000000002</v>
      </c>
      <c r="O146" s="123">
        <f t="shared" si="36"/>
        <v>101.56690674437969</v>
      </c>
      <c r="P146" s="5"/>
      <c r="Q146" s="5">
        <f t="shared" si="30"/>
        <v>1</v>
      </c>
      <c r="R146" s="7">
        <f t="shared" si="31"/>
        <v>2402</v>
      </c>
      <c r="S146" s="5">
        <f t="shared" si="32"/>
        <v>1</v>
      </c>
      <c r="T146" s="7">
        <f t="shared" si="33"/>
        <v>2402</v>
      </c>
    </row>
    <row r="147" spans="1:20">
      <c r="A147" s="23" t="s">
        <v>172</v>
      </c>
      <c r="B147" s="35" t="s">
        <v>167</v>
      </c>
      <c r="C147" s="36">
        <v>792</v>
      </c>
      <c r="D147" s="6"/>
      <c r="E147" s="113">
        <v>12504216</v>
      </c>
      <c r="F147" s="116">
        <f t="shared" si="25"/>
        <v>15788.151515151516</v>
      </c>
      <c r="G147" s="117">
        <v>5187317</v>
      </c>
      <c r="H147" s="117">
        <f t="shared" si="26"/>
        <v>6549.6426767676767</v>
      </c>
      <c r="I147" s="98" t="s">
        <v>528</v>
      </c>
      <c r="J147" s="10"/>
      <c r="K147" s="117"/>
      <c r="L147" s="120"/>
      <c r="M147" s="122">
        <f t="shared" si="34"/>
        <v>51873.17</v>
      </c>
      <c r="N147" s="116">
        <f t="shared" si="35"/>
        <v>51873.17</v>
      </c>
      <c r="O147" s="123">
        <f t="shared" si="36"/>
        <v>65.496426767676766</v>
      </c>
      <c r="P147" s="5"/>
      <c r="Q147" s="5">
        <f t="shared" si="30"/>
        <v>1</v>
      </c>
      <c r="R147" s="7">
        <f t="shared" si="31"/>
        <v>792</v>
      </c>
      <c r="S147" s="5">
        <f t="shared" si="32"/>
        <v>0</v>
      </c>
      <c r="T147" s="7">
        <f t="shared" si="33"/>
        <v>0</v>
      </c>
    </row>
    <row r="148" spans="1:20">
      <c r="A148" s="23" t="s">
        <v>173</v>
      </c>
      <c r="B148" s="35" t="s">
        <v>167</v>
      </c>
      <c r="C148" s="36">
        <v>735</v>
      </c>
      <c r="D148" s="6"/>
      <c r="E148" s="113">
        <v>16688752</v>
      </c>
      <c r="F148" s="116">
        <f t="shared" si="25"/>
        <v>22705.785034013606</v>
      </c>
      <c r="G148" s="117">
        <v>8493217</v>
      </c>
      <c r="H148" s="117">
        <f t="shared" si="26"/>
        <v>11555.397278911565</v>
      </c>
      <c r="I148" s="7"/>
      <c r="J148" s="10">
        <v>1</v>
      </c>
      <c r="K148" s="117">
        <v>8493</v>
      </c>
      <c r="L148" s="120">
        <f>(K148/C148)</f>
        <v>11.555102040816326</v>
      </c>
      <c r="M148" s="122">
        <f t="shared" si="34"/>
        <v>84932.17</v>
      </c>
      <c r="N148" s="116">
        <f t="shared" si="35"/>
        <v>76439.17</v>
      </c>
      <c r="O148" s="123">
        <f t="shared" si="36"/>
        <v>103.99887074829931</v>
      </c>
      <c r="P148" s="5"/>
      <c r="Q148" s="5">
        <f t="shared" si="30"/>
        <v>1</v>
      </c>
      <c r="R148" s="7">
        <f t="shared" si="31"/>
        <v>735</v>
      </c>
      <c r="S148" s="5">
        <f t="shared" si="32"/>
        <v>1</v>
      </c>
      <c r="T148" s="7">
        <f t="shared" si="33"/>
        <v>735</v>
      </c>
    </row>
    <row r="149" spans="1:20">
      <c r="A149" s="23" t="s">
        <v>174</v>
      </c>
      <c r="B149" s="35" t="s">
        <v>167</v>
      </c>
      <c r="C149" s="36">
        <v>281</v>
      </c>
      <c r="D149" s="6"/>
      <c r="E149" s="113">
        <v>4846601</v>
      </c>
      <c r="F149" s="116">
        <f t="shared" si="25"/>
        <v>17247.690391459073</v>
      </c>
      <c r="G149" s="117">
        <v>2274952</v>
      </c>
      <c r="H149" s="117">
        <f t="shared" si="26"/>
        <v>8095.9145907473312</v>
      </c>
      <c r="I149" s="7"/>
      <c r="J149" s="11">
        <v>4</v>
      </c>
      <c r="K149" s="117">
        <v>9099</v>
      </c>
      <c r="L149" s="120">
        <f>(K149/C149)</f>
        <v>32.380782918149464</v>
      </c>
      <c r="M149" s="122">
        <f t="shared" si="34"/>
        <v>22749.52</v>
      </c>
      <c r="N149" s="116">
        <f t="shared" si="35"/>
        <v>13650.52</v>
      </c>
      <c r="O149" s="123">
        <f t="shared" si="36"/>
        <v>48.578362989323843</v>
      </c>
      <c r="P149" s="5"/>
      <c r="Q149" s="5">
        <f t="shared" si="30"/>
        <v>1</v>
      </c>
      <c r="R149" s="7">
        <f t="shared" si="31"/>
        <v>281</v>
      </c>
      <c r="S149" s="5">
        <f t="shared" si="32"/>
        <v>1</v>
      </c>
      <c r="T149" s="7">
        <f t="shared" si="33"/>
        <v>281</v>
      </c>
    </row>
    <row r="150" spans="1:20">
      <c r="A150" s="23" t="s">
        <v>175</v>
      </c>
      <c r="B150" s="35" t="s">
        <v>167</v>
      </c>
      <c r="C150" s="36">
        <v>2007</v>
      </c>
      <c r="D150" s="6"/>
      <c r="E150" s="113">
        <v>34303919</v>
      </c>
      <c r="F150" s="116">
        <f t="shared" si="25"/>
        <v>17092.137020428501</v>
      </c>
      <c r="G150" s="117">
        <v>7821129</v>
      </c>
      <c r="H150" s="117">
        <f t="shared" si="26"/>
        <v>3896.9252615844543</v>
      </c>
      <c r="I150" s="98" t="s">
        <v>528</v>
      </c>
      <c r="J150" s="10"/>
      <c r="K150" s="117"/>
      <c r="L150" s="120"/>
      <c r="M150" s="122">
        <f t="shared" si="34"/>
        <v>78211.290000000008</v>
      </c>
      <c r="N150" s="116">
        <f t="shared" si="35"/>
        <v>78211.290000000008</v>
      </c>
      <c r="O150" s="123">
        <f t="shared" si="36"/>
        <v>38.969252615844546</v>
      </c>
      <c r="P150" s="5"/>
      <c r="Q150" s="5">
        <f t="shared" si="30"/>
        <v>1</v>
      </c>
      <c r="R150" s="7">
        <f t="shared" si="31"/>
        <v>2007</v>
      </c>
      <c r="S150" s="5">
        <f t="shared" si="32"/>
        <v>0</v>
      </c>
      <c r="T150" s="7">
        <f t="shared" si="33"/>
        <v>0</v>
      </c>
    </row>
    <row r="151" spans="1:20">
      <c r="A151" s="23" t="s">
        <v>176</v>
      </c>
      <c r="B151" s="35" t="s">
        <v>167</v>
      </c>
      <c r="C151" s="36">
        <v>6230</v>
      </c>
      <c r="D151" s="6"/>
      <c r="E151" s="113">
        <v>233332591</v>
      </c>
      <c r="F151" s="116">
        <f t="shared" si="25"/>
        <v>37453.064365971106</v>
      </c>
      <c r="G151" s="117">
        <v>126358519</v>
      </c>
      <c r="H151" s="117">
        <f t="shared" si="26"/>
        <v>20282.266292134831</v>
      </c>
      <c r="I151" s="7"/>
      <c r="J151" s="10">
        <v>2.11</v>
      </c>
      <c r="K151" s="117">
        <v>266616</v>
      </c>
      <c r="L151" s="120">
        <f t="shared" ref="L151:L195" si="38">(K151/C151)</f>
        <v>42.795505617977526</v>
      </c>
      <c r="M151" s="122">
        <f t="shared" si="34"/>
        <v>1263585.19</v>
      </c>
      <c r="N151" s="116">
        <f t="shared" si="35"/>
        <v>996969.19</v>
      </c>
      <c r="O151" s="123">
        <f t="shared" si="36"/>
        <v>160.02715730337079</v>
      </c>
      <c r="P151" s="5"/>
      <c r="Q151" s="5">
        <f t="shared" si="30"/>
        <v>1</v>
      </c>
      <c r="R151" s="7">
        <f t="shared" si="31"/>
        <v>6230</v>
      </c>
      <c r="S151" s="5">
        <f t="shared" si="32"/>
        <v>1</v>
      </c>
      <c r="T151" s="7">
        <f t="shared" si="33"/>
        <v>6230</v>
      </c>
    </row>
    <row r="152" spans="1:20">
      <c r="A152" s="23" t="s">
        <v>177</v>
      </c>
      <c r="B152" s="35" t="s">
        <v>167</v>
      </c>
      <c r="C152" s="36">
        <v>1919</v>
      </c>
      <c r="D152" s="6"/>
      <c r="E152" s="113">
        <v>41715449</v>
      </c>
      <c r="F152" s="116">
        <f t="shared" si="25"/>
        <v>21738.118290776445</v>
      </c>
      <c r="G152" s="117">
        <v>20963787</v>
      </c>
      <c r="H152" s="117">
        <f t="shared" si="26"/>
        <v>10924.328817092235</v>
      </c>
      <c r="I152" s="7"/>
      <c r="J152" s="11">
        <v>0.63900000000000001</v>
      </c>
      <c r="K152" s="117">
        <v>13395</v>
      </c>
      <c r="L152" s="120">
        <f t="shared" si="38"/>
        <v>6.9801980198019802</v>
      </c>
      <c r="M152" s="122">
        <f t="shared" si="34"/>
        <v>209637.87</v>
      </c>
      <c r="N152" s="116">
        <f t="shared" si="35"/>
        <v>196242.87</v>
      </c>
      <c r="O152" s="123">
        <f t="shared" si="36"/>
        <v>102.26309015112037</v>
      </c>
      <c r="P152" s="5"/>
      <c r="Q152" s="5">
        <f t="shared" si="30"/>
        <v>1</v>
      </c>
      <c r="R152" s="7">
        <f t="shared" si="31"/>
        <v>1919</v>
      </c>
      <c r="S152" s="5">
        <f t="shared" si="32"/>
        <v>1</v>
      </c>
      <c r="T152" s="7">
        <f t="shared" si="33"/>
        <v>1919</v>
      </c>
    </row>
    <row r="153" spans="1:20">
      <c r="A153" s="23" t="s">
        <v>178</v>
      </c>
      <c r="B153" s="35" t="s">
        <v>179</v>
      </c>
      <c r="C153" s="36">
        <v>2533</v>
      </c>
      <c r="D153" s="6"/>
      <c r="E153" s="113">
        <v>84429884</v>
      </c>
      <c r="F153" s="116">
        <f t="shared" si="25"/>
        <v>33331.971575207266</v>
      </c>
      <c r="G153" s="117">
        <v>52000236</v>
      </c>
      <c r="H153" s="117">
        <f t="shared" si="26"/>
        <v>20529.110146071853</v>
      </c>
      <c r="I153" s="7"/>
      <c r="J153" s="10">
        <v>9.0325000000000006</v>
      </c>
      <c r="K153" s="117">
        <v>469692</v>
      </c>
      <c r="L153" s="120">
        <f t="shared" si="38"/>
        <v>185.42913541255427</v>
      </c>
      <c r="M153" s="122">
        <f t="shared" si="34"/>
        <v>520002.36</v>
      </c>
      <c r="N153" s="116">
        <f t="shared" si="35"/>
        <v>50310.359999999986</v>
      </c>
      <c r="O153" s="123">
        <f t="shared" si="36"/>
        <v>19.861966048164227</v>
      </c>
      <c r="P153" s="5"/>
      <c r="Q153" s="5">
        <f t="shared" si="30"/>
        <v>1</v>
      </c>
      <c r="R153" s="7">
        <f t="shared" si="31"/>
        <v>2533</v>
      </c>
      <c r="S153" s="5">
        <f t="shared" si="32"/>
        <v>1</v>
      </c>
      <c r="T153" s="7">
        <f t="shared" si="33"/>
        <v>2533</v>
      </c>
    </row>
    <row r="154" spans="1:20">
      <c r="A154" s="23" t="s">
        <v>180</v>
      </c>
      <c r="B154" s="35" t="s">
        <v>181</v>
      </c>
      <c r="C154" s="36">
        <v>988</v>
      </c>
      <c r="D154" s="6"/>
      <c r="E154" s="113">
        <v>24127551</v>
      </c>
      <c r="F154" s="116">
        <f t="shared" si="25"/>
        <v>24420.59817813765</v>
      </c>
      <c r="G154" s="117">
        <v>11921990</v>
      </c>
      <c r="H154" s="117">
        <f t="shared" si="26"/>
        <v>12066.791497975708</v>
      </c>
      <c r="I154" s="7"/>
      <c r="J154" s="10">
        <v>2</v>
      </c>
      <c r="K154" s="117">
        <v>23843</v>
      </c>
      <c r="L154" s="120">
        <f t="shared" si="38"/>
        <v>24.132591093117409</v>
      </c>
      <c r="M154" s="122">
        <f t="shared" si="34"/>
        <v>119219.90000000001</v>
      </c>
      <c r="N154" s="116">
        <f t="shared" si="35"/>
        <v>95376.900000000009</v>
      </c>
      <c r="O154" s="123">
        <f t="shared" si="36"/>
        <v>96.535323886639688</v>
      </c>
      <c r="P154" s="5"/>
      <c r="Q154" s="5">
        <f t="shared" si="30"/>
        <v>1</v>
      </c>
      <c r="R154" s="7">
        <f t="shared" si="31"/>
        <v>988</v>
      </c>
      <c r="S154" s="5">
        <f t="shared" si="32"/>
        <v>1</v>
      </c>
      <c r="T154" s="7">
        <f t="shared" si="33"/>
        <v>988</v>
      </c>
    </row>
    <row r="155" spans="1:20">
      <c r="A155" s="23" t="s">
        <v>182</v>
      </c>
      <c r="B155" s="35" t="s">
        <v>183</v>
      </c>
      <c r="C155" s="36">
        <v>1298</v>
      </c>
      <c r="D155" s="6"/>
      <c r="E155" s="113">
        <v>31104136</v>
      </c>
      <c r="F155" s="116">
        <f t="shared" si="25"/>
        <v>23963.124807395994</v>
      </c>
      <c r="G155" s="117">
        <v>20213011</v>
      </c>
      <c r="H155" s="117">
        <f t="shared" si="26"/>
        <v>15572.427580893682</v>
      </c>
      <c r="I155" s="7"/>
      <c r="J155" s="10">
        <v>2.25</v>
      </c>
      <c r="K155" s="117">
        <v>45479</v>
      </c>
      <c r="L155" s="120">
        <f t="shared" si="38"/>
        <v>35.037750385208014</v>
      </c>
      <c r="M155" s="122">
        <f t="shared" si="34"/>
        <v>202130.11000000002</v>
      </c>
      <c r="N155" s="116">
        <f t="shared" si="35"/>
        <v>156651.11000000002</v>
      </c>
      <c r="O155" s="123">
        <f t="shared" si="36"/>
        <v>120.68652542372882</v>
      </c>
      <c r="P155" s="5"/>
      <c r="Q155" s="5">
        <f t="shared" si="30"/>
        <v>1</v>
      </c>
      <c r="R155" s="7">
        <f t="shared" si="31"/>
        <v>1298</v>
      </c>
      <c r="S155" s="5">
        <f t="shared" si="32"/>
        <v>1</v>
      </c>
      <c r="T155" s="7">
        <f t="shared" si="33"/>
        <v>1298</v>
      </c>
    </row>
    <row r="156" spans="1:20">
      <c r="A156" s="23" t="s">
        <v>184</v>
      </c>
      <c r="B156" s="35" t="s">
        <v>183</v>
      </c>
      <c r="C156" s="36">
        <v>9338</v>
      </c>
      <c r="D156" s="6"/>
      <c r="E156" s="113">
        <v>555811722</v>
      </c>
      <c r="F156" s="116">
        <f t="shared" si="25"/>
        <v>59521.495180980935</v>
      </c>
      <c r="G156" s="117">
        <v>450515205</v>
      </c>
      <c r="H156" s="117">
        <f t="shared" si="26"/>
        <v>48245.363568215893</v>
      </c>
      <c r="I156" s="7"/>
      <c r="J156" s="10">
        <v>3.7290000000000001</v>
      </c>
      <c r="K156" s="117">
        <v>1679971</v>
      </c>
      <c r="L156" s="120">
        <f t="shared" si="38"/>
        <v>179.90693938744914</v>
      </c>
      <c r="M156" s="122">
        <f t="shared" si="34"/>
        <v>4505152.05</v>
      </c>
      <c r="N156" s="116">
        <f t="shared" si="35"/>
        <v>2825181.05</v>
      </c>
      <c r="O156" s="123">
        <f t="shared" si="36"/>
        <v>302.54669629470976</v>
      </c>
      <c r="P156" s="5"/>
      <c r="Q156" s="5">
        <f t="shared" si="30"/>
        <v>1</v>
      </c>
      <c r="R156" s="7">
        <f t="shared" si="31"/>
        <v>9338</v>
      </c>
      <c r="S156" s="5">
        <f t="shared" si="32"/>
        <v>1</v>
      </c>
      <c r="T156" s="7">
        <f t="shared" si="33"/>
        <v>9338</v>
      </c>
    </row>
    <row r="157" spans="1:20">
      <c r="A157" s="23" t="s">
        <v>185</v>
      </c>
      <c r="B157" s="35" t="s">
        <v>183</v>
      </c>
      <c r="C157" s="36">
        <v>15106</v>
      </c>
      <c r="D157" s="6"/>
      <c r="E157" s="113">
        <v>622994730</v>
      </c>
      <c r="F157" s="116">
        <f t="shared" ref="F157:F220" si="39">(E157/C157)</f>
        <v>41241.541771481534</v>
      </c>
      <c r="G157" s="117">
        <v>433283049</v>
      </c>
      <c r="H157" s="117">
        <f t="shared" ref="H157:H220" si="40">(G157/C157)</f>
        <v>28682.84449887462</v>
      </c>
      <c r="I157" s="7"/>
      <c r="J157" s="10">
        <v>5.2374000000000001</v>
      </c>
      <c r="K157" s="117">
        <v>2269276</v>
      </c>
      <c r="L157" s="120">
        <f t="shared" si="38"/>
        <v>150.22348735601747</v>
      </c>
      <c r="M157" s="122">
        <f t="shared" si="34"/>
        <v>4332830.49</v>
      </c>
      <c r="N157" s="116">
        <f t="shared" si="35"/>
        <v>2063554.4900000002</v>
      </c>
      <c r="O157" s="123">
        <f t="shared" si="36"/>
        <v>136.60495763272874</v>
      </c>
      <c r="P157" s="5"/>
      <c r="Q157" s="5">
        <f t="shared" si="30"/>
        <v>1</v>
      </c>
      <c r="R157" s="7">
        <f t="shared" si="31"/>
        <v>15106</v>
      </c>
      <c r="S157" s="5">
        <f t="shared" si="32"/>
        <v>1</v>
      </c>
      <c r="T157" s="7">
        <f t="shared" si="33"/>
        <v>15106</v>
      </c>
    </row>
    <row r="158" spans="1:20">
      <c r="A158" s="23" t="s">
        <v>186</v>
      </c>
      <c r="B158" s="35" t="s">
        <v>183</v>
      </c>
      <c r="C158" s="36">
        <v>3186</v>
      </c>
      <c r="D158" s="6"/>
      <c r="E158" s="113">
        <v>107147158</v>
      </c>
      <c r="F158" s="116">
        <f t="shared" si="39"/>
        <v>33630.620841180164</v>
      </c>
      <c r="G158" s="117">
        <v>73186052</v>
      </c>
      <c r="H158" s="117">
        <f t="shared" si="40"/>
        <v>22971.139987445073</v>
      </c>
      <c r="I158" s="7"/>
      <c r="J158" s="10">
        <v>3.89</v>
      </c>
      <c r="K158" s="117">
        <v>284693</v>
      </c>
      <c r="L158" s="120">
        <f t="shared" si="38"/>
        <v>89.357501569365979</v>
      </c>
      <c r="M158" s="122">
        <f t="shared" si="34"/>
        <v>731860.52</v>
      </c>
      <c r="N158" s="116">
        <f t="shared" si="35"/>
        <v>447167.52</v>
      </c>
      <c r="O158" s="123">
        <f t="shared" si="36"/>
        <v>140.35389830508475</v>
      </c>
      <c r="P158" s="5"/>
      <c r="Q158" s="5">
        <f t="shared" si="30"/>
        <v>1</v>
      </c>
      <c r="R158" s="7">
        <f t="shared" si="31"/>
        <v>3186</v>
      </c>
      <c r="S158" s="5">
        <f t="shared" si="32"/>
        <v>1</v>
      </c>
      <c r="T158" s="7">
        <f t="shared" si="33"/>
        <v>3186</v>
      </c>
    </row>
    <row r="159" spans="1:20">
      <c r="A159" s="23" t="s">
        <v>187</v>
      </c>
      <c r="B159" s="35" t="s">
        <v>183</v>
      </c>
      <c r="C159" s="36">
        <v>2394</v>
      </c>
      <c r="D159" s="6"/>
      <c r="E159" s="113">
        <v>94309822</v>
      </c>
      <c r="F159" s="116">
        <f t="shared" si="39"/>
        <v>39394.244778613196</v>
      </c>
      <c r="G159" s="117">
        <v>72831822</v>
      </c>
      <c r="H159" s="117">
        <f t="shared" si="40"/>
        <v>30422.649122807019</v>
      </c>
      <c r="I159" s="7"/>
      <c r="J159" s="10">
        <v>6</v>
      </c>
      <c r="K159" s="117">
        <v>436990</v>
      </c>
      <c r="L159" s="120">
        <f t="shared" si="38"/>
        <v>182.53550543024227</v>
      </c>
      <c r="M159" s="122">
        <f t="shared" si="34"/>
        <v>728318.22</v>
      </c>
      <c r="N159" s="116">
        <f t="shared" si="35"/>
        <v>291328.21999999997</v>
      </c>
      <c r="O159" s="123">
        <f t="shared" si="36"/>
        <v>121.69098579782789</v>
      </c>
      <c r="P159" s="5"/>
      <c r="Q159" s="5">
        <f t="shared" si="30"/>
        <v>1</v>
      </c>
      <c r="R159" s="7">
        <f t="shared" si="31"/>
        <v>2394</v>
      </c>
      <c r="S159" s="5">
        <f t="shared" si="32"/>
        <v>1</v>
      </c>
      <c r="T159" s="7">
        <f t="shared" si="33"/>
        <v>2394</v>
      </c>
    </row>
    <row r="160" spans="1:20">
      <c r="A160" s="23" t="s">
        <v>188</v>
      </c>
      <c r="B160" s="35" t="s">
        <v>183</v>
      </c>
      <c r="C160" s="36">
        <v>956</v>
      </c>
      <c r="D160" s="6"/>
      <c r="E160" s="113">
        <v>58027145</v>
      </c>
      <c r="F160" s="116">
        <f t="shared" si="39"/>
        <v>60697.850418410038</v>
      </c>
      <c r="G160" s="117">
        <v>45524670</v>
      </c>
      <c r="H160" s="117">
        <f t="shared" si="40"/>
        <v>47619.947698744771</v>
      </c>
      <c r="I160" s="7"/>
      <c r="J160" s="10">
        <v>5.4450000000000003</v>
      </c>
      <c r="K160" s="117">
        <v>247881</v>
      </c>
      <c r="L160" s="120">
        <f t="shared" si="38"/>
        <v>259.28974895397488</v>
      </c>
      <c r="M160" s="122">
        <f t="shared" si="34"/>
        <v>455246.7</v>
      </c>
      <c r="N160" s="116">
        <f t="shared" si="35"/>
        <v>207365.7</v>
      </c>
      <c r="O160" s="123">
        <f t="shared" si="36"/>
        <v>216.90972803347282</v>
      </c>
      <c r="P160" s="5"/>
      <c r="Q160" s="5">
        <f t="shared" si="30"/>
        <v>1</v>
      </c>
      <c r="R160" s="7">
        <f t="shared" si="31"/>
        <v>956</v>
      </c>
      <c r="S160" s="5">
        <f t="shared" si="32"/>
        <v>1</v>
      </c>
      <c r="T160" s="7">
        <f t="shared" si="33"/>
        <v>956</v>
      </c>
    </row>
    <row r="161" spans="1:20">
      <c r="A161" s="23" t="s">
        <v>189</v>
      </c>
      <c r="B161" s="35" t="s">
        <v>183</v>
      </c>
      <c r="C161" s="36">
        <v>11828</v>
      </c>
      <c r="D161" s="6"/>
      <c r="E161" s="113">
        <v>636770875</v>
      </c>
      <c r="F161" s="116">
        <f t="shared" si="39"/>
        <v>53835.887301318908</v>
      </c>
      <c r="G161" s="117">
        <v>442501638</v>
      </c>
      <c r="H161" s="117">
        <f t="shared" si="40"/>
        <v>37411.36608048698</v>
      </c>
      <c r="I161" s="7"/>
      <c r="J161" s="10">
        <v>2.72</v>
      </c>
      <c r="K161" s="117">
        <v>1203604</v>
      </c>
      <c r="L161" s="120">
        <f t="shared" si="38"/>
        <v>101.7588772404464</v>
      </c>
      <c r="M161" s="122">
        <f t="shared" si="34"/>
        <v>4425016.38</v>
      </c>
      <c r="N161" s="116">
        <f t="shared" si="35"/>
        <v>3221412.38</v>
      </c>
      <c r="O161" s="123">
        <f t="shared" si="36"/>
        <v>272.35478356442337</v>
      </c>
      <c r="P161" s="5"/>
      <c r="Q161" s="5">
        <f t="shared" si="30"/>
        <v>1</v>
      </c>
      <c r="R161" s="7">
        <f t="shared" si="31"/>
        <v>11828</v>
      </c>
      <c r="S161" s="5">
        <f t="shared" si="32"/>
        <v>1</v>
      </c>
      <c r="T161" s="7">
        <f t="shared" si="33"/>
        <v>11828</v>
      </c>
    </row>
    <row r="162" spans="1:20">
      <c r="A162" s="23" t="s">
        <v>190</v>
      </c>
      <c r="B162" s="35" t="s">
        <v>183</v>
      </c>
      <c r="C162" s="36">
        <v>15956</v>
      </c>
      <c r="D162" s="6"/>
      <c r="E162" s="113">
        <v>921705364</v>
      </c>
      <c r="F162" s="116">
        <f t="shared" si="39"/>
        <v>57765.440210579094</v>
      </c>
      <c r="G162" s="117">
        <v>641873683</v>
      </c>
      <c r="H162" s="117">
        <f t="shared" si="40"/>
        <v>40227.731448984705</v>
      </c>
      <c r="I162" s="7"/>
      <c r="J162" s="10">
        <v>4.5</v>
      </c>
      <c r="K162" s="117">
        <v>2888431</v>
      </c>
      <c r="L162" s="120">
        <f t="shared" si="38"/>
        <v>181.02475557783904</v>
      </c>
      <c r="M162" s="122">
        <f t="shared" si="34"/>
        <v>6418736.8300000001</v>
      </c>
      <c r="N162" s="116">
        <f t="shared" si="35"/>
        <v>3530305.83</v>
      </c>
      <c r="O162" s="123">
        <f t="shared" si="36"/>
        <v>221.25255891200803</v>
      </c>
      <c r="P162" s="5"/>
      <c r="Q162" s="5">
        <f t="shared" si="30"/>
        <v>1</v>
      </c>
      <c r="R162" s="7">
        <f t="shared" si="31"/>
        <v>15956</v>
      </c>
      <c r="S162" s="5">
        <f t="shared" si="32"/>
        <v>1</v>
      </c>
      <c r="T162" s="7">
        <f t="shared" si="33"/>
        <v>15956</v>
      </c>
    </row>
    <row r="163" spans="1:20">
      <c r="A163" s="23" t="s">
        <v>191</v>
      </c>
      <c r="B163" s="35" t="s">
        <v>183</v>
      </c>
      <c r="C163" s="36">
        <v>2687</v>
      </c>
      <c r="D163" s="6"/>
      <c r="E163" s="113">
        <v>56143227</v>
      </c>
      <c r="F163" s="116">
        <f t="shared" si="39"/>
        <v>20894.390398213622</v>
      </c>
      <c r="G163" s="117">
        <v>38227445</v>
      </c>
      <c r="H163" s="117">
        <f t="shared" si="40"/>
        <v>14226.812430219576</v>
      </c>
      <c r="I163" s="7"/>
      <c r="J163" s="10">
        <v>5.99</v>
      </c>
      <c r="K163" s="117">
        <v>228982</v>
      </c>
      <c r="L163" s="120">
        <f t="shared" si="38"/>
        <v>85.218459248232236</v>
      </c>
      <c r="M163" s="122">
        <f t="shared" si="34"/>
        <v>382274.45</v>
      </c>
      <c r="N163" s="116">
        <f t="shared" si="35"/>
        <v>153292.45000000001</v>
      </c>
      <c r="O163" s="123">
        <f t="shared" si="36"/>
        <v>57.04966505396353</v>
      </c>
      <c r="P163" s="5"/>
      <c r="Q163" s="5">
        <f t="shared" si="30"/>
        <v>1</v>
      </c>
      <c r="R163" s="7">
        <f t="shared" si="31"/>
        <v>2687</v>
      </c>
      <c r="S163" s="5">
        <f t="shared" si="32"/>
        <v>1</v>
      </c>
      <c r="T163" s="7">
        <f t="shared" si="33"/>
        <v>2687</v>
      </c>
    </row>
    <row r="164" spans="1:20">
      <c r="A164" s="23" t="s">
        <v>192</v>
      </c>
      <c r="B164" s="35" t="s">
        <v>183</v>
      </c>
      <c r="C164" s="36">
        <v>5435</v>
      </c>
      <c r="D164" s="6"/>
      <c r="E164" s="113">
        <v>175544077</v>
      </c>
      <c r="F164" s="116">
        <f t="shared" si="39"/>
        <v>32298.818215271389</v>
      </c>
      <c r="G164" s="117">
        <v>134843550</v>
      </c>
      <c r="H164" s="117">
        <f t="shared" si="40"/>
        <v>24810.220791168354</v>
      </c>
      <c r="I164" s="7"/>
      <c r="J164" s="10">
        <v>3.39</v>
      </c>
      <c r="K164" s="117">
        <v>457119</v>
      </c>
      <c r="L164" s="120">
        <f t="shared" si="38"/>
        <v>84.106531738730453</v>
      </c>
      <c r="M164" s="122">
        <f t="shared" si="34"/>
        <v>1348435.5</v>
      </c>
      <c r="N164" s="116">
        <f t="shared" si="35"/>
        <v>891316.5</v>
      </c>
      <c r="O164" s="123">
        <f t="shared" si="36"/>
        <v>163.99567617295307</v>
      </c>
      <c r="P164" s="5"/>
      <c r="Q164" s="5">
        <f t="shared" si="30"/>
        <v>1</v>
      </c>
      <c r="R164" s="7">
        <f t="shared" si="31"/>
        <v>5435</v>
      </c>
      <c r="S164" s="5">
        <f t="shared" si="32"/>
        <v>1</v>
      </c>
      <c r="T164" s="7">
        <f t="shared" si="33"/>
        <v>5435</v>
      </c>
    </row>
    <row r="165" spans="1:20">
      <c r="A165" s="23" t="s">
        <v>193</v>
      </c>
      <c r="B165" s="35" t="s">
        <v>183</v>
      </c>
      <c r="C165" s="36">
        <v>882</v>
      </c>
      <c r="D165" s="6"/>
      <c r="E165" s="113">
        <v>40893123</v>
      </c>
      <c r="F165" s="116">
        <f t="shared" si="39"/>
        <v>46364.085034013602</v>
      </c>
      <c r="G165" s="117">
        <v>28047622</v>
      </c>
      <c r="H165" s="117">
        <f t="shared" si="40"/>
        <v>31800.024943310658</v>
      </c>
      <c r="I165" s="7"/>
      <c r="J165" s="10">
        <v>2.99</v>
      </c>
      <c r="K165" s="117">
        <v>83862</v>
      </c>
      <c r="L165" s="120">
        <f t="shared" si="38"/>
        <v>95.08163265306122</v>
      </c>
      <c r="M165" s="122">
        <f t="shared" si="34"/>
        <v>280476.22000000003</v>
      </c>
      <c r="N165" s="116">
        <f t="shared" si="35"/>
        <v>196614.22000000003</v>
      </c>
      <c r="O165" s="123">
        <f t="shared" si="36"/>
        <v>222.9186167800454</v>
      </c>
      <c r="P165" s="5"/>
      <c r="Q165" s="5">
        <f t="shared" si="30"/>
        <v>1</v>
      </c>
      <c r="R165" s="7">
        <f t="shared" si="31"/>
        <v>882</v>
      </c>
      <c r="S165" s="5">
        <f t="shared" si="32"/>
        <v>1</v>
      </c>
      <c r="T165" s="7">
        <f t="shared" si="33"/>
        <v>882</v>
      </c>
    </row>
    <row r="166" spans="1:20">
      <c r="A166" s="23" t="s">
        <v>194</v>
      </c>
      <c r="B166" s="35" t="s">
        <v>183</v>
      </c>
      <c r="C166" s="36">
        <v>9418</v>
      </c>
      <c r="D166" s="6"/>
      <c r="E166" s="113">
        <v>585392896</v>
      </c>
      <c r="F166" s="116">
        <f t="shared" si="39"/>
        <v>62156.816309195157</v>
      </c>
      <c r="G166" s="117">
        <v>451506464</v>
      </c>
      <c r="H166" s="117">
        <f t="shared" si="40"/>
        <v>47940.801019324696</v>
      </c>
      <c r="I166" s="7"/>
      <c r="J166" s="10">
        <v>6.181</v>
      </c>
      <c r="K166" s="117">
        <v>2790761</v>
      </c>
      <c r="L166" s="120">
        <f t="shared" si="38"/>
        <v>296.32204289658102</v>
      </c>
      <c r="M166" s="122">
        <f t="shared" si="34"/>
        <v>4515064.6399999997</v>
      </c>
      <c r="N166" s="116">
        <f t="shared" si="35"/>
        <v>1724303.6399999997</v>
      </c>
      <c r="O166" s="123">
        <f t="shared" si="36"/>
        <v>183.08596729666593</v>
      </c>
      <c r="P166" s="5"/>
      <c r="Q166" s="5">
        <f t="shared" si="30"/>
        <v>1</v>
      </c>
      <c r="R166" s="7">
        <f t="shared" si="31"/>
        <v>9418</v>
      </c>
      <c r="S166" s="5">
        <f t="shared" si="32"/>
        <v>1</v>
      </c>
      <c r="T166" s="7">
        <f t="shared" si="33"/>
        <v>9418</v>
      </c>
    </row>
    <row r="167" spans="1:20">
      <c r="A167" s="23" t="s">
        <v>195</v>
      </c>
      <c r="B167" s="35" t="s">
        <v>183</v>
      </c>
      <c r="C167" s="36">
        <v>9700</v>
      </c>
      <c r="D167" s="6"/>
      <c r="E167" s="113">
        <v>513512252</v>
      </c>
      <c r="F167" s="116">
        <f t="shared" si="39"/>
        <v>52939.407422680415</v>
      </c>
      <c r="G167" s="117">
        <v>303940979</v>
      </c>
      <c r="H167" s="117">
        <f t="shared" si="40"/>
        <v>31334.121546391754</v>
      </c>
      <c r="I167" s="7"/>
      <c r="J167" s="10">
        <v>4.42</v>
      </c>
      <c r="K167" s="117">
        <v>1343419</v>
      </c>
      <c r="L167" s="120">
        <f t="shared" si="38"/>
        <v>138.49680412371134</v>
      </c>
      <c r="M167" s="122">
        <f t="shared" si="34"/>
        <v>3039409.79</v>
      </c>
      <c r="N167" s="116">
        <f t="shared" si="35"/>
        <v>1695990.79</v>
      </c>
      <c r="O167" s="123">
        <f t="shared" si="36"/>
        <v>174.84441134020619</v>
      </c>
      <c r="P167" s="5"/>
      <c r="Q167" s="5">
        <f t="shared" si="30"/>
        <v>1</v>
      </c>
      <c r="R167" s="7">
        <f t="shared" si="31"/>
        <v>9700</v>
      </c>
      <c r="S167" s="5">
        <f t="shared" si="32"/>
        <v>1</v>
      </c>
      <c r="T167" s="7">
        <f t="shared" si="33"/>
        <v>9700</v>
      </c>
    </row>
    <row r="168" spans="1:20">
      <c r="A168" s="23" t="s">
        <v>196</v>
      </c>
      <c r="B168" s="35" t="s">
        <v>183</v>
      </c>
      <c r="C168" s="36">
        <v>2214</v>
      </c>
      <c r="D168" s="6"/>
      <c r="E168" s="113">
        <v>85477223</v>
      </c>
      <c r="F168" s="116">
        <f t="shared" si="39"/>
        <v>38607.598464317976</v>
      </c>
      <c r="G168" s="117">
        <v>62307320</v>
      </c>
      <c r="H168" s="117">
        <f t="shared" si="40"/>
        <v>28142.420957542909</v>
      </c>
      <c r="I168" s="7"/>
      <c r="J168" s="10">
        <v>5.5140000000000002</v>
      </c>
      <c r="K168" s="117">
        <v>343562</v>
      </c>
      <c r="L168" s="120">
        <f t="shared" si="38"/>
        <v>155.17705510388438</v>
      </c>
      <c r="M168" s="122">
        <f t="shared" si="34"/>
        <v>623073.20000000007</v>
      </c>
      <c r="N168" s="116">
        <f t="shared" si="35"/>
        <v>279511.20000000007</v>
      </c>
      <c r="O168" s="123">
        <f t="shared" si="36"/>
        <v>126.24715447154475</v>
      </c>
      <c r="P168" s="5"/>
      <c r="Q168" s="5">
        <f t="shared" si="30"/>
        <v>1</v>
      </c>
      <c r="R168" s="7">
        <f t="shared" si="31"/>
        <v>2214</v>
      </c>
      <c r="S168" s="5">
        <f t="shared" si="32"/>
        <v>1</v>
      </c>
      <c r="T168" s="7">
        <f t="shared" si="33"/>
        <v>2214</v>
      </c>
    </row>
    <row r="169" spans="1:20">
      <c r="A169" s="23" t="s">
        <v>448</v>
      </c>
      <c r="B169" s="35" t="s">
        <v>198</v>
      </c>
      <c r="C169" s="36">
        <v>32797</v>
      </c>
      <c r="D169" s="6"/>
      <c r="E169" s="113">
        <v>3915414990</v>
      </c>
      <c r="F169" s="116">
        <f t="shared" si="39"/>
        <v>119383.32743848523</v>
      </c>
      <c r="G169" s="117">
        <v>3507462900</v>
      </c>
      <c r="H169" s="117">
        <f t="shared" si="40"/>
        <v>106944.62603286887</v>
      </c>
      <c r="I169" s="7"/>
      <c r="J169" s="10">
        <v>1.22</v>
      </c>
      <c r="K169" s="117">
        <v>4279104</v>
      </c>
      <c r="L169" s="120">
        <f t="shared" si="38"/>
        <v>130.47242125804189</v>
      </c>
      <c r="M169" s="122">
        <f t="shared" si="34"/>
        <v>35074629</v>
      </c>
      <c r="N169" s="116">
        <f t="shared" si="35"/>
        <v>30795525</v>
      </c>
      <c r="O169" s="123">
        <f t="shared" si="36"/>
        <v>938.9738390706467</v>
      </c>
      <c r="P169" s="5"/>
      <c r="Q169" s="5">
        <f t="shared" si="30"/>
        <v>1</v>
      </c>
      <c r="R169" s="7">
        <f t="shared" si="31"/>
        <v>32797</v>
      </c>
      <c r="S169" s="5">
        <f t="shared" si="32"/>
        <v>1</v>
      </c>
      <c r="T169" s="7">
        <f t="shared" si="33"/>
        <v>32797</v>
      </c>
    </row>
    <row r="170" spans="1:20">
      <c r="A170" s="23" t="s">
        <v>197</v>
      </c>
      <c r="B170" s="35" t="s">
        <v>198</v>
      </c>
      <c r="C170" s="36">
        <v>102286</v>
      </c>
      <c r="D170" s="6"/>
      <c r="E170" s="113">
        <v>5443654860</v>
      </c>
      <c r="F170" s="116">
        <f t="shared" si="39"/>
        <v>53219.940754355433</v>
      </c>
      <c r="G170" s="117">
        <v>4237777910</v>
      </c>
      <c r="H170" s="117">
        <f t="shared" si="40"/>
        <v>41430.673894765656</v>
      </c>
      <c r="I170" s="7"/>
      <c r="J170" s="10">
        <v>6.7786999999999997</v>
      </c>
      <c r="K170" s="117">
        <v>28726625</v>
      </c>
      <c r="L170" s="120">
        <f t="shared" si="38"/>
        <v>280.84610797176543</v>
      </c>
      <c r="M170" s="122">
        <f t="shared" si="34"/>
        <v>42377779.100000001</v>
      </c>
      <c r="N170" s="116">
        <f t="shared" si="35"/>
        <v>13651154.100000001</v>
      </c>
      <c r="O170" s="123">
        <f t="shared" si="36"/>
        <v>133.46063097589115</v>
      </c>
      <c r="P170" s="5"/>
      <c r="Q170" s="5">
        <f t="shared" si="30"/>
        <v>1</v>
      </c>
      <c r="R170" s="7">
        <f t="shared" si="31"/>
        <v>102286</v>
      </c>
      <c r="S170" s="5">
        <f t="shared" si="32"/>
        <v>1</v>
      </c>
      <c r="T170" s="7">
        <f t="shared" si="33"/>
        <v>102286</v>
      </c>
    </row>
    <row r="171" spans="1:20">
      <c r="A171" s="23" t="s">
        <v>199</v>
      </c>
      <c r="B171" s="35" t="s">
        <v>198</v>
      </c>
      <c r="C171" s="36">
        <v>48208</v>
      </c>
      <c r="D171" s="6"/>
      <c r="E171" s="113">
        <v>2914149084</v>
      </c>
      <c r="F171" s="116">
        <f t="shared" si="39"/>
        <v>60449.491453700633</v>
      </c>
      <c r="G171" s="117">
        <v>2077963694</v>
      </c>
      <c r="H171" s="117">
        <f t="shared" si="40"/>
        <v>43104.125746764024</v>
      </c>
      <c r="I171" s="7"/>
      <c r="J171" s="10">
        <v>5.7816000000000001</v>
      </c>
      <c r="K171" s="117">
        <v>12013954</v>
      </c>
      <c r="L171" s="120">
        <f t="shared" si="38"/>
        <v>249.21079488881514</v>
      </c>
      <c r="M171" s="122">
        <f t="shared" si="34"/>
        <v>20779636.940000001</v>
      </c>
      <c r="N171" s="116">
        <f t="shared" si="35"/>
        <v>8765682.9400000013</v>
      </c>
      <c r="O171" s="123">
        <f t="shared" si="36"/>
        <v>181.83046257882512</v>
      </c>
      <c r="P171" s="5"/>
      <c r="Q171" s="5">
        <f t="shared" si="30"/>
        <v>1</v>
      </c>
      <c r="R171" s="7">
        <f t="shared" si="31"/>
        <v>48208</v>
      </c>
      <c r="S171" s="5">
        <f t="shared" si="32"/>
        <v>1</v>
      </c>
      <c r="T171" s="7">
        <f t="shared" si="33"/>
        <v>48208</v>
      </c>
    </row>
    <row r="172" spans="1:20">
      <c r="A172" s="23" t="s">
        <v>200</v>
      </c>
      <c r="B172" s="35" t="s">
        <v>198</v>
      </c>
      <c r="C172" s="36">
        <v>6561</v>
      </c>
      <c r="D172" s="6"/>
      <c r="E172" s="113">
        <v>1494074830</v>
      </c>
      <c r="F172" s="116">
        <f t="shared" si="39"/>
        <v>227720.59594573997</v>
      </c>
      <c r="G172" s="117">
        <v>1387116900</v>
      </c>
      <c r="H172" s="117">
        <f t="shared" si="40"/>
        <v>211418.51851851851</v>
      </c>
      <c r="I172" s="7"/>
      <c r="J172" s="10">
        <v>1.0961000000000001</v>
      </c>
      <c r="K172" s="117">
        <v>1520418</v>
      </c>
      <c r="L172" s="120">
        <f t="shared" si="38"/>
        <v>231.73571101966164</v>
      </c>
      <c r="M172" s="122">
        <f t="shared" si="34"/>
        <v>13871169</v>
      </c>
      <c r="N172" s="116">
        <f t="shared" si="35"/>
        <v>12350751</v>
      </c>
      <c r="O172" s="123">
        <f t="shared" si="36"/>
        <v>1882.4494741655235</v>
      </c>
      <c r="P172" s="5"/>
      <c r="Q172" s="5">
        <f t="shared" si="30"/>
        <v>1</v>
      </c>
      <c r="R172" s="7">
        <f t="shared" si="31"/>
        <v>6561</v>
      </c>
      <c r="S172" s="5">
        <f t="shared" si="32"/>
        <v>1</v>
      </c>
      <c r="T172" s="7">
        <f t="shared" si="33"/>
        <v>6561</v>
      </c>
    </row>
    <row r="173" spans="1:20">
      <c r="A173" s="23" t="s">
        <v>201</v>
      </c>
      <c r="B173" s="35" t="s">
        <v>198</v>
      </c>
      <c r="C173" s="36">
        <v>6064</v>
      </c>
      <c r="D173" s="6"/>
      <c r="E173" s="113">
        <v>2887991340</v>
      </c>
      <c r="F173" s="116">
        <f t="shared" si="39"/>
        <v>476251.87005277042</v>
      </c>
      <c r="G173" s="117">
        <v>2682897770</v>
      </c>
      <c r="H173" s="117">
        <f t="shared" si="40"/>
        <v>442430.37104221637</v>
      </c>
      <c r="I173" s="7"/>
      <c r="J173" s="10">
        <v>2.0569999999999999</v>
      </c>
      <c r="K173" s="117">
        <v>5518720</v>
      </c>
      <c r="L173" s="120">
        <f t="shared" si="38"/>
        <v>910.07915567282316</v>
      </c>
      <c r="M173" s="122">
        <f t="shared" si="34"/>
        <v>26828977.699999999</v>
      </c>
      <c r="N173" s="116">
        <f t="shared" si="35"/>
        <v>21310257.699999999</v>
      </c>
      <c r="O173" s="123">
        <f t="shared" si="36"/>
        <v>3514.2245547493403</v>
      </c>
      <c r="P173" s="5"/>
      <c r="Q173" s="5">
        <f t="shared" si="30"/>
        <v>1</v>
      </c>
      <c r="R173" s="7">
        <f t="shared" si="31"/>
        <v>6064</v>
      </c>
      <c r="S173" s="5">
        <f t="shared" si="32"/>
        <v>1</v>
      </c>
      <c r="T173" s="7">
        <f t="shared" si="33"/>
        <v>6064</v>
      </c>
    </row>
    <row r="174" spans="1:20">
      <c r="A174" s="23" t="s">
        <v>202</v>
      </c>
      <c r="B174" s="35" t="s">
        <v>203</v>
      </c>
      <c r="C174" s="36">
        <v>150624</v>
      </c>
      <c r="D174" s="6"/>
      <c r="E174" s="113">
        <v>10653602993</v>
      </c>
      <c r="F174" s="116">
        <f t="shared" si="39"/>
        <v>70729.784051678347</v>
      </c>
      <c r="G174" s="117">
        <v>5558878984</v>
      </c>
      <c r="H174" s="117">
        <f t="shared" si="40"/>
        <v>36905.665657531339</v>
      </c>
      <c r="I174" s="7"/>
      <c r="J174" s="10">
        <v>3.2</v>
      </c>
      <c r="K174" s="117">
        <v>17788412</v>
      </c>
      <c r="L174" s="120">
        <f t="shared" si="38"/>
        <v>118.09812513278096</v>
      </c>
      <c r="M174" s="122">
        <f t="shared" si="34"/>
        <v>55588789.840000004</v>
      </c>
      <c r="N174" s="116">
        <f t="shared" si="35"/>
        <v>37800377.840000004</v>
      </c>
      <c r="O174" s="123">
        <f t="shared" si="36"/>
        <v>250.95853144253243</v>
      </c>
      <c r="P174" s="5"/>
      <c r="Q174" s="5">
        <f t="shared" si="30"/>
        <v>1</v>
      </c>
      <c r="R174" s="7">
        <f t="shared" si="31"/>
        <v>150624</v>
      </c>
      <c r="S174" s="5">
        <f t="shared" si="32"/>
        <v>1</v>
      </c>
      <c r="T174" s="7">
        <f t="shared" si="33"/>
        <v>150624</v>
      </c>
    </row>
    <row r="175" spans="1:20">
      <c r="A175" s="23" t="s">
        <v>204</v>
      </c>
      <c r="B175" s="35" t="s">
        <v>205</v>
      </c>
      <c r="C175" s="36">
        <v>964</v>
      </c>
      <c r="D175" s="6"/>
      <c r="E175" s="113">
        <v>28461459</v>
      </c>
      <c r="F175" s="116">
        <f t="shared" si="39"/>
        <v>29524.335062240665</v>
      </c>
      <c r="G175" s="117">
        <v>16629843</v>
      </c>
      <c r="H175" s="117">
        <f t="shared" si="40"/>
        <v>17250.874481327803</v>
      </c>
      <c r="I175" s="7"/>
      <c r="J175" s="10">
        <v>3.1757</v>
      </c>
      <c r="K175" s="117">
        <v>52811</v>
      </c>
      <c r="L175" s="120">
        <f t="shared" si="38"/>
        <v>54.783195020746888</v>
      </c>
      <c r="M175" s="122">
        <f t="shared" si="34"/>
        <v>166298.43</v>
      </c>
      <c r="N175" s="116">
        <f t="shared" si="35"/>
        <v>113487.43</v>
      </c>
      <c r="O175" s="123">
        <f t="shared" si="36"/>
        <v>117.72554979253111</v>
      </c>
      <c r="P175" s="5"/>
      <c r="Q175" s="5">
        <f t="shared" si="30"/>
        <v>1</v>
      </c>
      <c r="R175" s="7">
        <f t="shared" si="31"/>
        <v>964</v>
      </c>
      <c r="S175" s="5">
        <f t="shared" si="32"/>
        <v>1</v>
      </c>
      <c r="T175" s="7">
        <f t="shared" si="33"/>
        <v>964</v>
      </c>
    </row>
    <row r="176" spans="1:20">
      <c r="A176" s="23" t="s">
        <v>206</v>
      </c>
      <c r="B176" s="35" t="s">
        <v>205</v>
      </c>
      <c r="C176" s="36">
        <v>790</v>
      </c>
      <c r="D176" s="6"/>
      <c r="E176" s="113">
        <v>82436604</v>
      </c>
      <c r="F176" s="116">
        <f t="shared" si="39"/>
        <v>104350.13164556962</v>
      </c>
      <c r="G176" s="117">
        <v>69318360</v>
      </c>
      <c r="H176" s="117">
        <f t="shared" si="40"/>
        <v>87744.759493670892</v>
      </c>
      <c r="I176" s="7"/>
      <c r="J176" s="10">
        <v>2.2018</v>
      </c>
      <c r="K176" s="117">
        <v>152625</v>
      </c>
      <c r="L176" s="120">
        <f t="shared" si="38"/>
        <v>193.19620253164558</v>
      </c>
      <c r="M176" s="122">
        <f t="shared" si="34"/>
        <v>693183.6</v>
      </c>
      <c r="N176" s="116">
        <f t="shared" si="35"/>
        <v>540558.6</v>
      </c>
      <c r="O176" s="123">
        <f t="shared" si="36"/>
        <v>684.25139240506326</v>
      </c>
      <c r="P176" s="5"/>
      <c r="Q176" s="5">
        <f t="shared" si="30"/>
        <v>1</v>
      </c>
      <c r="R176" s="7">
        <f t="shared" si="31"/>
        <v>790</v>
      </c>
      <c r="S176" s="5">
        <f t="shared" si="32"/>
        <v>1</v>
      </c>
      <c r="T176" s="7">
        <f t="shared" si="33"/>
        <v>790</v>
      </c>
    </row>
    <row r="177" spans="1:20">
      <c r="A177" s="23" t="s">
        <v>207</v>
      </c>
      <c r="B177" s="35" t="s">
        <v>205</v>
      </c>
      <c r="C177" s="36">
        <v>1993</v>
      </c>
      <c r="D177" s="6"/>
      <c r="E177" s="113">
        <v>101252489</v>
      </c>
      <c r="F177" s="116">
        <f t="shared" si="39"/>
        <v>50804.058705469142</v>
      </c>
      <c r="G177" s="117">
        <v>79079206</v>
      </c>
      <c r="H177" s="117">
        <f t="shared" si="40"/>
        <v>39678.477671851477</v>
      </c>
      <c r="I177" s="7"/>
      <c r="J177" s="10">
        <v>4.9406999999999996</v>
      </c>
      <c r="K177" s="117">
        <v>390706</v>
      </c>
      <c r="L177" s="120">
        <f t="shared" si="38"/>
        <v>196.03913697942801</v>
      </c>
      <c r="M177" s="122">
        <f t="shared" si="34"/>
        <v>790792.06</v>
      </c>
      <c r="N177" s="116">
        <f t="shared" si="35"/>
        <v>400086.06000000006</v>
      </c>
      <c r="O177" s="123">
        <f t="shared" si="36"/>
        <v>200.74563973908684</v>
      </c>
      <c r="P177" s="5"/>
      <c r="Q177" s="5">
        <f t="shared" si="30"/>
        <v>1</v>
      </c>
      <c r="R177" s="7">
        <f t="shared" si="31"/>
        <v>1993</v>
      </c>
      <c r="S177" s="5">
        <f t="shared" si="32"/>
        <v>1</v>
      </c>
      <c r="T177" s="7">
        <f t="shared" si="33"/>
        <v>1993</v>
      </c>
    </row>
    <row r="178" spans="1:20">
      <c r="A178" s="23" t="s">
        <v>208</v>
      </c>
      <c r="B178" s="35" t="s">
        <v>205</v>
      </c>
      <c r="C178" s="36">
        <v>1491</v>
      </c>
      <c r="D178" s="6"/>
      <c r="E178" s="113">
        <v>53577799</v>
      </c>
      <c r="F178" s="116">
        <f t="shared" si="39"/>
        <v>35934.137491616362</v>
      </c>
      <c r="G178" s="117">
        <v>40123226</v>
      </c>
      <c r="H178" s="117">
        <f t="shared" si="40"/>
        <v>26910.279007377598</v>
      </c>
      <c r="I178" s="7"/>
      <c r="J178" s="10">
        <v>4</v>
      </c>
      <c r="K178" s="117">
        <v>160492</v>
      </c>
      <c r="L178" s="120">
        <f t="shared" si="38"/>
        <v>107.64050972501677</v>
      </c>
      <c r="M178" s="122">
        <f t="shared" si="34"/>
        <v>401232.26</v>
      </c>
      <c r="N178" s="116">
        <f t="shared" si="35"/>
        <v>240740.26</v>
      </c>
      <c r="O178" s="123">
        <f t="shared" si="36"/>
        <v>161.46228034875924</v>
      </c>
      <c r="P178" s="5"/>
      <c r="Q178" s="5">
        <f t="shared" si="30"/>
        <v>1</v>
      </c>
      <c r="R178" s="7">
        <f t="shared" si="31"/>
        <v>1491</v>
      </c>
      <c r="S178" s="5">
        <f t="shared" si="32"/>
        <v>1</v>
      </c>
      <c r="T178" s="7">
        <f t="shared" si="33"/>
        <v>1491</v>
      </c>
    </row>
    <row r="179" spans="1:20">
      <c r="A179" s="23" t="s">
        <v>209</v>
      </c>
      <c r="B179" s="35" t="s">
        <v>205</v>
      </c>
      <c r="C179" s="36">
        <v>121</v>
      </c>
      <c r="D179" s="6"/>
      <c r="E179" s="113">
        <v>3895016</v>
      </c>
      <c r="F179" s="116">
        <f t="shared" si="39"/>
        <v>32190.214876033056</v>
      </c>
      <c r="G179" s="117">
        <v>2322917</v>
      </c>
      <c r="H179" s="117">
        <f t="shared" si="40"/>
        <v>19197.661157024795</v>
      </c>
      <c r="I179" s="7"/>
      <c r="J179" s="10">
        <v>3</v>
      </c>
      <c r="K179" s="117">
        <v>6968</v>
      </c>
      <c r="L179" s="120">
        <f t="shared" si="38"/>
        <v>57.586776859504134</v>
      </c>
      <c r="M179" s="122">
        <f t="shared" si="34"/>
        <v>23229.170000000002</v>
      </c>
      <c r="N179" s="116">
        <f t="shared" si="35"/>
        <v>16261.170000000002</v>
      </c>
      <c r="O179" s="123">
        <f t="shared" si="36"/>
        <v>134.38983471074383</v>
      </c>
      <c r="P179" s="5"/>
      <c r="Q179" s="5">
        <f t="shared" si="30"/>
        <v>1</v>
      </c>
      <c r="R179" s="7">
        <f t="shared" si="31"/>
        <v>121</v>
      </c>
      <c r="S179" s="5">
        <f t="shared" si="32"/>
        <v>1</v>
      </c>
      <c r="T179" s="7">
        <f t="shared" si="33"/>
        <v>121</v>
      </c>
    </row>
    <row r="180" spans="1:20">
      <c r="A180" s="23" t="s">
        <v>210</v>
      </c>
      <c r="B180" s="35" t="s">
        <v>205</v>
      </c>
      <c r="C180" s="36">
        <v>2297</v>
      </c>
      <c r="D180" s="6"/>
      <c r="E180" s="113">
        <v>78374856</v>
      </c>
      <c r="F180" s="116">
        <f t="shared" si="39"/>
        <v>34120.529386155853</v>
      </c>
      <c r="G180" s="117">
        <v>53840971</v>
      </c>
      <c r="H180" s="117">
        <f t="shared" si="40"/>
        <v>23439.691336525902</v>
      </c>
      <c r="I180" s="7"/>
      <c r="J180" s="10">
        <v>3.4106000000000001</v>
      </c>
      <c r="K180" s="117">
        <v>183630</v>
      </c>
      <c r="L180" s="120">
        <f t="shared" si="38"/>
        <v>79.943404440574668</v>
      </c>
      <c r="M180" s="122">
        <f t="shared" si="34"/>
        <v>538409.71</v>
      </c>
      <c r="N180" s="116">
        <f t="shared" si="35"/>
        <v>354779.70999999996</v>
      </c>
      <c r="O180" s="123">
        <f t="shared" si="36"/>
        <v>154.45350892468434</v>
      </c>
      <c r="P180" s="5"/>
      <c r="Q180" s="5">
        <f t="shared" si="30"/>
        <v>1</v>
      </c>
      <c r="R180" s="7">
        <f t="shared" si="31"/>
        <v>2297</v>
      </c>
      <c r="S180" s="5">
        <f t="shared" si="32"/>
        <v>1</v>
      </c>
      <c r="T180" s="7">
        <f t="shared" si="33"/>
        <v>2297</v>
      </c>
    </row>
    <row r="181" spans="1:20">
      <c r="A181" s="23" t="s">
        <v>211</v>
      </c>
      <c r="B181" s="35" t="s">
        <v>205</v>
      </c>
      <c r="C181" s="36">
        <v>629</v>
      </c>
      <c r="D181" s="6"/>
      <c r="E181" s="113">
        <v>33679293</v>
      </c>
      <c r="F181" s="116">
        <f t="shared" si="39"/>
        <v>53544.186009538949</v>
      </c>
      <c r="G181" s="117">
        <v>26053783</v>
      </c>
      <c r="H181" s="117">
        <f t="shared" si="40"/>
        <v>41420.958664546903</v>
      </c>
      <c r="I181" s="7"/>
      <c r="J181" s="10">
        <v>1.9510000000000001</v>
      </c>
      <c r="K181" s="117">
        <v>50830</v>
      </c>
      <c r="L181" s="120">
        <f t="shared" si="38"/>
        <v>80.810810810810807</v>
      </c>
      <c r="M181" s="122">
        <f t="shared" si="34"/>
        <v>260537.83000000002</v>
      </c>
      <c r="N181" s="116">
        <f t="shared" si="35"/>
        <v>209707.83000000002</v>
      </c>
      <c r="O181" s="123">
        <f t="shared" si="36"/>
        <v>333.39877583465824</v>
      </c>
      <c r="P181" s="5"/>
      <c r="Q181" s="5">
        <f t="shared" si="30"/>
        <v>1</v>
      </c>
      <c r="R181" s="7">
        <f t="shared" si="31"/>
        <v>629</v>
      </c>
      <c r="S181" s="5">
        <f t="shared" si="32"/>
        <v>1</v>
      </c>
      <c r="T181" s="7">
        <f t="shared" si="33"/>
        <v>629</v>
      </c>
    </row>
    <row r="182" spans="1:20">
      <c r="A182" s="23" t="s">
        <v>212</v>
      </c>
      <c r="B182" s="35" t="s">
        <v>213</v>
      </c>
      <c r="C182" s="36">
        <v>845</v>
      </c>
      <c r="D182" s="6"/>
      <c r="E182" s="113">
        <v>25794944</v>
      </c>
      <c r="F182" s="116">
        <f t="shared" si="39"/>
        <v>30526.560946745562</v>
      </c>
      <c r="G182" s="117">
        <v>11017791</v>
      </c>
      <c r="H182" s="117">
        <f t="shared" si="40"/>
        <v>13038.805917159763</v>
      </c>
      <c r="I182" s="7"/>
      <c r="J182" s="10">
        <v>3</v>
      </c>
      <c r="K182" s="117">
        <v>33053</v>
      </c>
      <c r="L182" s="120">
        <f t="shared" si="38"/>
        <v>39.115976331360947</v>
      </c>
      <c r="M182" s="122">
        <f t="shared" si="34"/>
        <v>110177.91</v>
      </c>
      <c r="N182" s="116">
        <f t="shared" si="35"/>
        <v>77124.91</v>
      </c>
      <c r="O182" s="123">
        <f t="shared" si="36"/>
        <v>91.272082840236692</v>
      </c>
      <c r="P182" s="5"/>
      <c r="Q182" s="5">
        <f t="shared" si="30"/>
        <v>1</v>
      </c>
      <c r="R182" s="7">
        <f t="shared" si="31"/>
        <v>845</v>
      </c>
      <c r="S182" s="5">
        <f t="shared" si="32"/>
        <v>1</v>
      </c>
      <c r="T182" s="7">
        <f t="shared" si="33"/>
        <v>845</v>
      </c>
    </row>
    <row r="183" spans="1:20">
      <c r="A183" s="23" t="s">
        <v>214</v>
      </c>
      <c r="B183" s="35" t="s">
        <v>215</v>
      </c>
      <c r="C183" s="36">
        <v>837</v>
      </c>
      <c r="D183" s="6"/>
      <c r="E183" s="113">
        <v>15815923</v>
      </c>
      <c r="F183" s="116">
        <f t="shared" si="39"/>
        <v>18895.965352449224</v>
      </c>
      <c r="G183" s="117">
        <v>8509671</v>
      </c>
      <c r="H183" s="117">
        <f t="shared" si="40"/>
        <v>10166.870967741936</v>
      </c>
      <c r="I183" s="7"/>
      <c r="J183" s="10">
        <v>9.85</v>
      </c>
      <c r="K183" s="117">
        <v>83820</v>
      </c>
      <c r="L183" s="120">
        <f t="shared" si="38"/>
        <v>100.14336917562724</v>
      </c>
      <c r="M183" s="122">
        <f t="shared" si="34"/>
        <v>85096.71</v>
      </c>
      <c r="N183" s="116">
        <f t="shared" si="35"/>
        <v>1276.7100000000064</v>
      </c>
      <c r="O183" s="123">
        <f t="shared" si="36"/>
        <v>1.5253405017921224</v>
      </c>
      <c r="P183" s="5"/>
      <c r="Q183" s="5">
        <f t="shared" si="30"/>
        <v>1</v>
      </c>
      <c r="R183" s="7">
        <f t="shared" si="31"/>
        <v>837</v>
      </c>
      <c r="S183" s="5">
        <f t="shared" si="32"/>
        <v>1</v>
      </c>
      <c r="T183" s="7">
        <f t="shared" si="33"/>
        <v>837</v>
      </c>
    </row>
    <row r="184" spans="1:20">
      <c r="A184" s="23" t="s">
        <v>198</v>
      </c>
      <c r="B184" s="35" t="s">
        <v>215</v>
      </c>
      <c r="C184" s="36">
        <v>352</v>
      </c>
      <c r="D184" s="6"/>
      <c r="E184" s="113">
        <v>6385159</v>
      </c>
      <c r="F184" s="116">
        <f t="shared" si="39"/>
        <v>18139.65625</v>
      </c>
      <c r="G184" s="117">
        <v>3659254</v>
      </c>
      <c r="H184" s="117">
        <f t="shared" si="40"/>
        <v>10395.607954545454</v>
      </c>
      <c r="I184" s="7"/>
      <c r="J184" s="10">
        <v>6.67</v>
      </c>
      <c r="K184" s="117">
        <v>24407</v>
      </c>
      <c r="L184" s="120">
        <f t="shared" si="38"/>
        <v>69.338068181818187</v>
      </c>
      <c r="M184" s="122">
        <f t="shared" si="34"/>
        <v>36592.54</v>
      </c>
      <c r="N184" s="116">
        <f t="shared" si="35"/>
        <v>12185.54</v>
      </c>
      <c r="O184" s="123">
        <f t="shared" si="36"/>
        <v>34.618011363636363</v>
      </c>
      <c r="P184" s="5"/>
      <c r="Q184" s="5">
        <f t="shared" si="30"/>
        <v>1</v>
      </c>
      <c r="R184" s="7">
        <f t="shared" si="31"/>
        <v>352</v>
      </c>
      <c r="S184" s="5">
        <f t="shared" si="32"/>
        <v>1</v>
      </c>
      <c r="T184" s="7">
        <f t="shared" si="33"/>
        <v>352</v>
      </c>
    </row>
    <row r="185" spans="1:20">
      <c r="A185" s="23" t="s">
        <v>215</v>
      </c>
      <c r="B185" s="35" t="s">
        <v>215</v>
      </c>
      <c r="C185" s="36">
        <v>3061</v>
      </c>
      <c r="D185" s="6"/>
      <c r="E185" s="113">
        <v>99093038</v>
      </c>
      <c r="F185" s="116">
        <f t="shared" si="39"/>
        <v>32372.766416203856</v>
      </c>
      <c r="G185" s="117">
        <v>64531011</v>
      </c>
      <c r="H185" s="117">
        <f t="shared" si="40"/>
        <v>21081.676249591637</v>
      </c>
      <c r="I185" s="7"/>
      <c r="J185" s="10">
        <v>6</v>
      </c>
      <c r="K185" s="117">
        <v>387186</v>
      </c>
      <c r="L185" s="120">
        <f t="shared" si="38"/>
        <v>126.49003593596863</v>
      </c>
      <c r="M185" s="122">
        <f t="shared" si="34"/>
        <v>645310.11</v>
      </c>
      <c r="N185" s="116">
        <f t="shared" si="35"/>
        <v>258124.11</v>
      </c>
      <c r="O185" s="123">
        <f t="shared" si="36"/>
        <v>84.32672655994773</v>
      </c>
      <c r="P185" s="5"/>
      <c r="Q185" s="5">
        <f t="shared" si="30"/>
        <v>1</v>
      </c>
      <c r="R185" s="7">
        <f t="shared" si="31"/>
        <v>3061</v>
      </c>
      <c r="S185" s="5">
        <f t="shared" si="32"/>
        <v>1</v>
      </c>
      <c r="T185" s="7">
        <f t="shared" si="33"/>
        <v>3061</v>
      </c>
    </row>
    <row r="186" spans="1:20">
      <c r="A186" s="23" t="s">
        <v>216</v>
      </c>
      <c r="B186" s="35" t="s">
        <v>217</v>
      </c>
      <c r="C186" s="36">
        <v>1814</v>
      </c>
      <c r="D186" s="6"/>
      <c r="E186" s="113">
        <v>338107430</v>
      </c>
      <c r="F186" s="116">
        <f t="shared" si="39"/>
        <v>186387.7783902977</v>
      </c>
      <c r="G186" s="117">
        <v>290068936</v>
      </c>
      <c r="H186" s="117">
        <f t="shared" si="40"/>
        <v>159905.69790518191</v>
      </c>
      <c r="I186" s="7"/>
      <c r="J186" s="10">
        <v>2</v>
      </c>
      <c r="K186" s="117">
        <v>580137</v>
      </c>
      <c r="L186" s="120">
        <f t="shared" si="38"/>
        <v>319.8109151047409</v>
      </c>
      <c r="M186" s="122">
        <f t="shared" si="34"/>
        <v>2900689.36</v>
      </c>
      <c r="N186" s="116">
        <f t="shared" si="35"/>
        <v>2320552.36</v>
      </c>
      <c r="O186" s="123">
        <f t="shared" si="36"/>
        <v>1279.2460639470783</v>
      </c>
      <c r="P186" s="5"/>
      <c r="Q186" s="5">
        <f t="shared" si="30"/>
        <v>1</v>
      </c>
      <c r="R186" s="7">
        <f t="shared" si="31"/>
        <v>1814</v>
      </c>
      <c r="S186" s="5">
        <f t="shared" si="32"/>
        <v>1</v>
      </c>
      <c r="T186" s="7">
        <f t="shared" si="33"/>
        <v>1814</v>
      </c>
    </row>
    <row r="187" spans="1:20">
      <c r="A187" s="23" t="s">
        <v>218</v>
      </c>
      <c r="B187" s="35" t="s">
        <v>217</v>
      </c>
      <c r="C187" s="36">
        <v>49504</v>
      </c>
      <c r="D187" s="6"/>
      <c r="E187" s="113">
        <v>2324915545</v>
      </c>
      <c r="F187" s="116">
        <f t="shared" si="39"/>
        <v>46964.195721557851</v>
      </c>
      <c r="G187" s="117">
        <v>1727870941</v>
      </c>
      <c r="H187" s="117">
        <f t="shared" si="40"/>
        <v>34903.663158532647</v>
      </c>
      <c r="I187" s="7"/>
      <c r="J187" s="10">
        <v>3.95</v>
      </c>
      <c r="K187" s="117">
        <v>6825090</v>
      </c>
      <c r="L187" s="120">
        <f t="shared" si="38"/>
        <v>137.86946509372979</v>
      </c>
      <c r="M187" s="122">
        <f t="shared" si="34"/>
        <v>17278709.41</v>
      </c>
      <c r="N187" s="116">
        <f t="shared" si="35"/>
        <v>10453619.41</v>
      </c>
      <c r="O187" s="123">
        <f t="shared" si="36"/>
        <v>211.16716649159665</v>
      </c>
      <c r="P187" s="5"/>
      <c r="Q187" s="5">
        <f t="shared" si="30"/>
        <v>1</v>
      </c>
      <c r="R187" s="7">
        <f t="shared" si="31"/>
        <v>49504</v>
      </c>
      <c r="S187" s="5">
        <f t="shared" si="32"/>
        <v>1</v>
      </c>
      <c r="T187" s="7">
        <f t="shared" si="33"/>
        <v>49504</v>
      </c>
    </row>
    <row r="188" spans="1:20">
      <c r="A188" s="23" t="s">
        <v>219</v>
      </c>
      <c r="B188" s="35" t="s">
        <v>217</v>
      </c>
      <c r="C188" s="36">
        <v>1482</v>
      </c>
      <c r="D188" s="6"/>
      <c r="E188" s="113">
        <v>222220461</v>
      </c>
      <c r="F188" s="116">
        <f t="shared" si="39"/>
        <v>149946.32995951417</v>
      </c>
      <c r="G188" s="117">
        <v>191576956</v>
      </c>
      <c r="H188" s="117">
        <f t="shared" si="40"/>
        <v>129269.20107962213</v>
      </c>
      <c r="I188" s="7"/>
      <c r="J188" s="10">
        <v>2.6819999999999999</v>
      </c>
      <c r="K188" s="117">
        <v>513809</v>
      </c>
      <c r="L188" s="120">
        <f t="shared" si="38"/>
        <v>346.69973009446693</v>
      </c>
      <c r="M188" s="122">
        <f t="shared" si="34"/>
        <v>1915769.56</v>
      </c>
      <c r="N188" s="116">
        <f t="shared" si="35"/>
        <v>1401960.56</v>
      </c>
      <c r="O188" s="123">
        <f t="shared" si="36"/>
        <v>945.99228070175445</v>
      </c>
      <c r="P188" s="5"/>
      <c r="Q188" s="5">
        <f t="shared" si="30"/>
        <v>1</v>
      </c>
      <c r="R188" s="7">
        <f t="shared" si="31"/>
        <v>1482</v>
      </c>
      <c r="S188" s="5">
        <f t="shared" si="32"/>
        <v>1</v>
      </c>
      <c r="T188" s="7">
        <f t="shared" si="33"/>
        <v>1482</v>
      </c>
    </row>
    <row r="189" spans="1:20">
      <c r="A189" s="23" t="s">
        <v>220</v>
      </c>
      <c r="B189" s="35" t="s">
        <v>217</v>
      </c>
      <c r="C189" s="36">
        <v>4966</v>
      </c>
      <c r="D189" s="6"/>
      <c r="E189" s="113">
        <v>678592161</v>
      </c>
      <c r="F189" s="116">
        <f t="shared" si="39"/>
        <v>136647.63612565445</v>
      </c>
      <c r="G189" s="117">
        <v>586549509</v>
      </c>
      <c r="H189" s="117">
        <f t="shared" si="40"/>
        <v>118113.07068062827</v>
      </c>
      <c r="I189" s="7"/>
      <c r="J189" s="10">
        <v>2.25</v>
      </c>
      <c r="K189" s="117">
        <v>1319736</v>
      </c>
      <c r="L189" s="120">
        <f t="shared" si="38"/>
        <v>265.75432944019332</v>
      </c>
      <c r="M189" s="122">
        <f t="shared" si="34"/>
        <v>5865495.0899999999</v>
      </c>
      <c r="N189" s="116">
        <f t="shared" si="35"/>
        <v>4545759.09</v>
      </c>
      <c r="O189" s="123">
        <f t="shared" si="36"/>
        <v>915.3763773660894</v>
      </c>
      <c r="P189" s="5"/>
      <c r="Q189" s="5">
        <f t="shared" si="30"/>
        <v>1</v>
      </c>
      <c r="R189" s="7">
        <f t="shared" si="31"/>
        <v>4966</v>
      </c>
      <c r="S189" s="5">
        <f t="shared" si="32"/>
        <v>1</v>
      </c>
      <c r="T189" s="7">
        <f t="shared" si="33"/>
        <v>4966</v>
      </c>
    </row>
    <row r="190" spans="1:20">
      <c r="A190" s="23" t="s">
        <v>452</v>
      </c>
      <c r="B190" s="37" t="s">
        <v>217</v>
      </c>
      <c r="C190" s="36">
        <v>2591</v>
      </c>
      <c r="D190" s="6"/>
      <c r="E190" s="113">
        <v>840202830</v>
      </c>
      <c r="F190" s="116">
        <f t="shared" si="39"/>
        <v>324277.43342338863</v>
      </c>
      <c r="G190" s="117">
        <v>751201373</v>
      </c>
      <c r="H190" s="117">
        <f t="shared" si="40"/>
        <v>289927.19915090699</v>
      </c>
      <c r="I190" s="7"/>
      <c r="J190" s="10">
        <v>2.5470999999999999</v>
      </c>
      <c r="K190" s="117">
        <v>1913385</v>
      </c>
      <c r="L190" s="120">
        <f t="shared" si="38"/>
        <v>738.47356233114624</v>
      </c>
      <c r="M190" s="122">
        <f t="shared" si="34"/>
        <v>7512013.7300000004</v>
      </c>
      <c r="N190" s="116">
        <f t="shared" si="35"/>
        <v>5598628.7300000004</v>
      </c>
      <c r="O190" s="123">
        <f t="shared" si="36"/>
        <v>2160.7984291779239</v>
      </c>
      <c r="P190" s="5"/>
      <c r="Q190" s="5">
        <f t="shared" si="30"/>
        <v>1</v>
      </c>
      <c r="R190" s="7">
        <f t="shared" si="31"/>
        <v>2591</v>
      </c>
      <c r="S190" s="5">
        <f t="shared" si="32"/>
        <v>1</v>
      </c>
      <c r="T190" s="7">
        <f t="shared" si="33"/>
        <v>2591</v>
      </c>
    </row>
    <row r="191" spans="1:20">
      <c r="A191" s="23" t="s">
        <v>221</v>
      </c>
      <c r="B191" s="35" t="s">
        <v>217</v>
      </c>
      <c r="C191" s="36">
        <v>12571</v>
      </c>
      <c r="D191" s="6"/>
      <c r="E191" s="113">
        <v>470151372</v>
      </c>
      <c r="F191" s="116">
        <f t="shared" si="39"/>
        <v>37399.679579985685</v>
      </c>
      <c r="G191" s="117">
        <v>337331411</v>
      </c>
      <c r="H191" s="117">
        <f t="shared" si="40"/>
        <v>26834.095219155199</v>
      </c>
      <c r="I191" s="7"/>
      <c r="J191" s="10">
        <v>4.1645000000000003</v>
      </c>
      <c r="K191" s="117">
        <v>1404816</v>
      </c>
      <c r="L191" s="120">
        <f t="shared" si="38"/>
        <v>111.7505369501233</v>
      </c>
      <c r="M191" s="122">
        <f t="shared" si="34"/>
        <v>3373314.11</v>
      </c>
      <c r="N191" s="116">
        <f t="shared" si="35"/>
        <v>1968498.1099999999</v>
      </c>
      <c r="O191" s="123">
        <f t="shared" si="36"/>
        <v>156.59041524142867</v>
      </c>
      <c r="P191" s="5"/>
      <c r="Q191" s="5">
        <f t="shared" si="30"/>
        <v>1</v>
      </c>
      <c r="R191" s="7">
        <f t="shared" si="31"/>
        <v>12571</v>
      </c>
      <c r="S191" s="5">
        <f t="shared" si="32"/>
        <v>1</v>
      </c>
      <c r="T191" s="7">
        <f t="shared" si="33"/>
        <v>12571</v>
      </c>
    </row>
    <row r="192" spans="1:20">
      <c r="A192" s="23" t="s">
        <v>223</v>
      </c>
      <c r="B192" s="35" t="s">
        <v>224</v>
      </c>
      <c r="C192" s="36">
        <v>3478</v>
      </c>
      <c r="D192" s="6"/>
      <c r="E192" s="113">
        <v>127327322</v>
      </c>
      <c r="F192" s="116">
        <f t="shared" si="39"/>
        <v>36609.350776308223</v>
      </c>
      <c r="G192" s="117">
        <v>95614065</v>
      </c>
      <c r="H192" s="117">
        <f t="shared" si="40"/>
        <v>27491.105520414032</v>
      </c>
      <c r="I192" s="7"/>
      <c r="J192" s="10">
        <v>4.5570000000000004</v>
      </c>
      <c r="K192" s="117">
        <v>435713</v>
      </c>
      <c r="L192" s="120">
        <f t="shared" si="38"/>
        <v>125.27688326624497</v>
      </c>
      <c r="M192" s="122">
        <f t="shared" si="34"/>
        <v>956140.65</v>
      </c>
      <c r="N192" s="116">
        <f t="shared" si="35"/>
        <v>520427.65</v>
      </c>
      <c r="O192" s="123">
        <f t="shared" si="36"/>
        <v>149.63417193789536</v>
      </c>
      <c r="P192" s="5"/>
      <c r="Q192" s="5">
        <f t="shared" si="30"/>
        <v>1</v>
      </c>
      <c r="R192" s="7">
        <f t="shared" si="31"/>
        <v>3478</v>
      </c>
      <c r="S192" s="5">
        <f t="shared" si="32"/>
        <v>1</v>
      </c>
      <c r="T192" s="7">
        <f t="shared" si="33"/>
        <v>3478</v>
      </c>
    </row>
    <row r="193" spans="1:20">
      <c r="A193" s="23" t="s">
        <v>225</v>
      </c>
      <c r="B193" s="35" t="s">
        <v>224</v>
      </c>
      <c r="C193" s="36">
        <v>1898</v>
      </c>
      <c r="D193" s="6"/>
      <c r="E193" s="113">
        <v>104446060</v>
      </c>
      <c r="F193" s="116">
        <f t="shared" si="39"/>
        <v>55029.536354056901</v>
      </c>
      <c r="G193" s="117">
        <v>76562115</v>
      </c>
      <c r="H193" s="117">
        <f t="shared" si="40"/>
        <v>40338.311380400424</v>
      </c>
      <c r="I193" s="7"/>
      <c r="J193" s="10">
        <v>6.5</v>
      </c>
      <c r="K193" s="117">
        <v>497653</v>
      </c>
      <c r="L193" s="120">
        <f t="shared" si="38"/>
        <v>262.19863013698631</v>
      </c>
      <c r="M193" s="122">
        <f t="shared" si="34"/>
        <v>765621.15</v>
      </c>
      <c r="N193" s="116">
        <f t="shared" si="35"/>
        <v>267968.15000000002</v>
      </c>
      <c r="O193" s="123">
        <f t="shared" si="36"/>
        <v>141.18448366701793</v>
      </c>
      <c r="P193" s="5"/>
      <c r="Q193" s="5">
        <f t="shared" si="30"/>
        <v>1</v>
      </c>
      <c r="R193" s="7">
        <f t="shared" si="31"/>
        <v>1898</v>
      </c>
      <c r="S193" s="5">
        <f t="shared" si="32"/>
        <v>1</v>
      </c>
      <c r="T193" s="7">
        <f t="shared" si="33"/>
        <v>1898</v>
      </c>
    </row>
    <row r="194" spans="1:20">
      <c r="A194" s="23" t="s">
        <v>226</v>
      </c>
      <c r="B194" s="35" t="s">
        <v>224</v>
      </c>
      <c r="C194" s="36">
        <v>453</v>
      </c>
      <c r="D194" s="6"/>
      <c r="E194" s="113">
        <v>17876251</v>
      </c>
      <c r="F194" s="116">
        <f t="shared" si="39"/>
        <v>39461.922737306842</v>
      </c>
      <c r="G194" s="117">
        <v>10584734</v>
      </c>
      <c r="H194" s="117">
        <f t="shared" si="40"/>
        <v>23365.8587196468</v>
      </c>
      <c r="I194" s="7"/>
      <c r="J194" s="10">
        <v>1.8987000000000001</v>
      </c>
      <c r="K194" s="117">
        <v>20097</v>
      </c>
      <c r="L194" s="120">
        <f t="shared" si="38"/>
        <v>44.364238410596023</v>
      </c>
      <c r="M194" s="122">
        <f t="shared" si="34"/>
        <v>105847.34</v>
      </c>
      <c r="N194" s="116">
        <f t="shared" si="35"/>
        <v>85750.34</v>
      </c>
      <c r="O194" s="123">
        <f t="shared" si="36"/>
        <v>189.29434878587196</v>
      </c>
      <c r="P194" s="5"/>
      <c r="Q194" s="5">
        <f t="shared" si="30"/>
        <v>1</v>
      </c>
      <c r="R194" s="7">
        <f t="shared" si="31"/>
        <v>453</v>
      </c>
      <c r="S194" s="5">
        <f t="shared" si="32"/>
        <v>1</v>
      </c>
      <c r="T194" s="7">
        <f t="shared" si="33"/>
        <v>453</v>
      </c>
    </row>
    <row r="195" spans="1:20">
      <c r="A195" s="23" t="s">
        <v>227</v>
      </c>
      <c r="B195" s="35" t="s">
        <v>224</v>
      </c>
      <c r="C195" s="36">
        <v>45943</v>
      </c>
      <c r="D195" s="6"/>
      <c r="E195" s="113">
        <v>2722589600</v>
      </c>
      <c r="F195" s="116">
        <f t="shared" si="39"/>
        <v>59260.161504472933</v>
      </c>
      <c r="G195" s="117">
        <v>2026300739</v>
      </c>
      <c r="H195" s="117">
        <f t="shared" si="40"/>
        <v>44104.667501033888</v>
      </c>
      <c r="I195" s="7"/>
      <c r="J195" s="10">
        <v>5.8368000000000002</v>
      </c>
      <c r="K195" s="117">
        <v>11827112</v>
      </c>
      <c r="L195" s="120">
        <f t="shared" si="38"/>
        <v>257.43011993121911</v>
      </c>
      <c r="M195" s="122">
        <f t="shared" si="34"/>
        <v>20263007.390000001</v>
      </c>
      <c r="N195" s="116">
        <f t="shared" si="35"/>
        <v>8435895.3900000006</v>
      </c>
      <c r="O195" s="123">
        <f t="shared" si="36"/>
        <v>183.61655507911979</v>
      </c>
      <c r="P195" s="5"/>
      <c r="Q195" s="5">
        <f t="shared" si="30"/>
        <v>1</v>
      </c>
      <c r="R195" s="7">
        <f t="shared" si="31"/>
        <v>45943</v>
      </c>
      <c r="S195" s="5">
        <f t="shared" si="32"/>
        <v>1</v>
      </c>
      <c r="T195" s="7">
        <f t="shared" si="33"/>
        <v>45943</v>
      </c>
    </row>
    <row r="196" spans="1:20">
      <c r="A196" s="23" t="s">
        <v>228</v>
      </c>
      <c r="B196" s="35" t="s">
        <v>224</v>
      </c>
      <c r="C196" s="36">
        <v>571</v>
      </c>
      <c r="D196" s="6"/>
      <c r="E196" s="113">
        <v>12376614</v>
      </c>
      <c r="F196" s="116">
        <f t="shared" si="39"/>
        <v>21675.330998248686</v>
      </c>
      <c r="G196" s="117">
        <v>6545132</v>
      </c>
      <c r="H196" s="117">
        <f t="shared" si="40"/>
        <v>11462.577933450088</v>
      </c>
      <c r="I196" s="98" t="s">
        <v>528</v>
      </c>
      <c r="J196" s="10"/>
      <c r="K196" s="117"/>
      <c r="L196" s="120"/>
      <c r="M196" s="122">
        <f t="shared" si="34"/>
        <v>65451.32</v>
      </c>
      <c r="N196" s="116">
        <f t="shared" si="35"/>
        <v>65451.32</v>
      </c>
      <c r="O196" s="123">
        <f t="shared" si="36"/>
        <v>114.62577933450088</v>
      </c>
      <c r="P196" s="5"/>
      <c r="Q196" s="5">
        <f t="shared" si="30"/>
        <v>1</v>
      </c>
      <c r="R196" s="7">
        <f t="shared" si="31"/>
        <v>571</v>
      </c>
      <c r="S196" s="5">
        <f t="shared" si="32"/>
        <v>0</v>
      </c>
      <c r="T196" s="7">
        <f t="shared" si="33"/>
        <v>0</v>
      </c>
    </row>
    <row r="197" spans="1:20">
      <c r="A197" s="23" t="s">
        <v>229</v>
      </c>
      <c r="B197" s="35" t="s">
        <v>230</v>
      </c>
      <c r="C197" s="36">
        <v>620</v>
      </c>
      <c r="D197" s="6"/>
      <c r="E197" s="113">
        <v>1404379135</v>
      </c>
      <c r="F197" s="116">
        <f t="shared" si="39"/>
        <v>2265127.6370967743</v>
      </c>
      <c r="G197" s="117">
        <v>1118405451</v>
      </c>
      <c r="H197" s="117">
        <f t="shared" si="40"/>
        <v>1803879.7596774194</v>
      </c>
      <c r="I197" s="7"/>
      <c r="J197" s="10">
        <v>4.6150000000000002</v>
      </c>
      <c r="K197" s="117">
        <v>5161441</v>
      </c>
      <c r="L197" s="120">
        <f>(K197/C197)</f>
        <v>8324.9048387096773</v>
      </c>
      <c r="M197" s="122">
        <f t="shared" si="34"/>
        <v>11184054.51</v>
      </c>
      <c r="N197" s="116">
        <f t="shared" si="35"/>
        <v>6022613.5099999998</v>
      </c>
      <c r="O197" s="123">
        <f t="shared" si="36"/>
        <v>9713.8927580645159</v>
      </c>
      <c r="P197" s="5"/>
      <c r="Q197" s="5">
        <f t="shared" si="30"/>
        <v>1</v>
      </c>
      <c r="R197" s="7">
        <f t="shared" si="31"/>
        <v>620</v>
      </c>
      <c r="S197" s="5">
        <f t="shared" si="32"/>
        <v>1</v>
      </c>
      <c r="T197" s="7">
        <f t="shared" si="33"/>
        <v>620</v>
      </c>
    </row>
    <row r="198" spans="1:20">
      <c r="A198" s="24" t="s">
        <v>582</v>
      </c>
      <c r="B198" s="35" t="s">
        <v>230</v>
      </c>
      <c r="C198" s="36">
        <v>463</v>
      </c>
      <c r="D198" s="6"/>
      <c r="E198" s="113">
        <v>16478679</v>
      </c>
      <c r="F198" s="116">
        <f t="shared" si="39"/>
        <v>35591.099352051839</v>
      </c>
      <c r="G198" s="117">
        <v>16474393</v>
      </c>
      <c r="H198" s="117">
        <f t="shared" si="40"/>
        <v>35581.842332613393</v>
      </c>
      <c r="I198" s="98" t="s">
        <v>528</v>
      </c>
      <c r="J198" s="10"/>
      <c r="K198" s="117"/>
      <c r="L198" s="120"/>
      <c r="M198" s="122">
        <f t="shared" si="34"/>
        <v>164743.93</v>
      </c>
      <c r="N198" s="116">
        <f t="shared" si="35"/>
        <v>164743.93</v>
      </c>
      <c r="O198" s="123">
        <f t="shared" si="36"/>
        <v>355.81842332613388</v>
      </c>
      <c r="P198" s="5"/>
      <c r="Q198" s="5">
        <f t="shared" si="30"/>
        <v>1</v>
      </c>
      <c r="R198" s="7">
        <f t="shared" si="31"/>
        <v>463</v>
      </c>
      <c r="S198" s="5">
        <f t="shared" si="32"/>
        <v>0</v>
      </c>
      <c r="T198" s="7">
        <f t="shared" si="33"/>
        <v>0</v>
      </c>
    </row>
    <row r="199" spans="1:20">
      <c r="A199" s="23" t="s">
        <v>446</v>
      </c>
      <c r="B199" s="35" t="s">
        <v>230</v>
      </c>
      <c r="C199" s="36">
        <v>1946</v>
      </c>
      <c r="D199" s="6"/>
      <c r="E199" s="113">
        <v>363790978</v>
      </c>
      <c r="F199" s="116">
        <f t="shared" si="39"/>
        <v>186942.94861253854</v>
      </c>
      <c r="G199" s="117">
        <v>332871823</v>
      </c>
      <c r="H199" s="117">
        <f t="shared" si="40"/>
        <v>171054.37975334018</v>
      </c>
      <c r="I199" s="7"/>
      <c r="J199" s="11">
        <v>1.899</v>
      </c>
      <c r="K199" s="117">
        <v>632123</v>
      </c>
      <c r="L199" s="120">
        <f t="shared" ref="L199:L242" si="41">(K199/C199)</f>
        <v>324.83196300102776</v>
      </c>
      <c r="M199" s="122">
        <f t="shared" si="34"/>
        <v>3328718.23</v>
      </c>
      <c r="N199" s="116">
        <f t="shared" si="35"/>
        <v>2696595.23</v>
      </c>
      <c r="O199" s="123">
        <f t="shared" si="36"/>
        <v>1385.711834532374</v>
      </c>
      <c r="P199" s="5"/>
      <c r="Q199" s="5">
        <f t="shared" ref="Q199:Q262" si="42">IF(E199&gt;0,1,0)</f>
        <v>1</v>
      </c>
      <c r="R199" s="7">
        <f t="shared" ref="R199:R262" si="43">IF(E199&gt;0,C199,0)</f>
        <v>1946</v>
      </c>
      <c r="S199" s="5">
        <f t="shared" ref="S199:S262" si="44">IF(J199&gt;0,1,0)</f>
        <v>1</v>
      </c>
      <c r="T199" s="7">
        <f t="shared" ref="T199:T262" si="45">IF(J199&gt;0,C199,0)</f>
        <v>1946</v>
      </c>
    </row>
    <row r="200" spans="1:20">
      <c r="A200" s="23" t="s">
        <v>231</v>
      </c>
      <c r="B200" s="35" t="s">
        <v>230</v>
      </c>
      <c r="C200" s="36">
        <v>14633</v>
      </c>
      <c r="D200" s="6"/>
      <c r="E200" s="113">
        <v>1308325200</v>
      </c>
      <c r="F200" s="116">
        <f t="shared" si="39"/>
        <v>89409.225722681615</v>
      </c>
      <c r="G200" s="117">
        <v>941146982</v>
      </c>
      <c r="H200" s="117">
        <f t="shared" si="40"/>
        <v>64316.748581972257</v>
      </c>
      <c r="I200" s="7"/>
      <c r="J200" s="10">
        <v>4.0133999999999999</v>
      </c>
      <c r="K200" s="117">
        <v>3777199</v>
      </c>
      <c r="L200" s="120">
        <f t="shared" si="41"/>
        <v>258.12881842410991</v>
      </c>
      <c r="M200" s="122">
        <f t="shared" ref="M200:M263" si="46">(G200*0.01)</f>
        <v>9411469.8200000003</v>
      </c>
      <c r="N200" s="116">
        <f t="shared" ref="N200:N263" si="47">(M200-K200)</f>
        <v>5634270.8200000003</v>
      </c>
      <c r="O200" s="123">
        <f t="shared" ref="O200:O263" si="48">(N200/C200)</f>
        <v>385.03866739561266</v>
      </c>
      <c r="P200" s="5"/>
      <c r="Q200" s="5">
        <f t="shared" si="42"/>
        <v>1</v>
      </c>
      <c r="R200" s="7">
        <f t="shared" si="43"/>
        <v>14633</v>
      </c>
      <c r="S200" s="5">
        <f t="shared" si="44"/>
        <v>1</v>
      </c>
      <c r="T200" s="7">
        <f t="shared" si="45"/>
        <v>14633</v>
      </c>
    </row>
    <row r="201" spans="1:20">
      <c r="A201" s="24" t="s">
        <v>232</v>
      </c>
      <c r="B201" s="37" t="s">
        <v>233</v>
      </c>
      <c r="C201" s="36">
        <v>25267</v>
      </c>
      <c r="D201" s="6"/>
      <c r="E201" s="113">
        <v>3785464387</v>
      </c>
      <c r="F201" s="116">
        <f t="shared" si="39"/>
        <v>149818.51375311671</v>
      </c>
      <c r="G201" s="117">
        <v>3511807256</v>
      </c>
      <c r="H201" s="117">
        <f t="shared" si="40"/>
        <v>138987.89947362171</v>
      </c>
      <c r="I201" s="7"/>
      <c r="J201" s="10">
        <v>2.2269999999999999</v>
      </c>
      <c r="K201" s="117">
        <v>7820794</v>
      </c>
      <c r="L201" s="120">
        <f t="shared" si="41"/>
        <v>309.52602208414135</v>
      </c>
      <c r="M201" s="122">
        <f t="shared" si="46"/>
        <v>35118072.560000002</v>
      </c>
      <c r="N201" s="116">
        <f t="shared" si="47"/>
        <v>27297278.560000002</v>
      </c>
      <c r="O201" s="123">
        <f t="shared" si="48"/>
        <v>1080.352972652076</v>
      </c>
      <c r="P201" s="5"/>
      <c r="Q201" s="5">
        <f t="shared" si="42"/>
        <v>1</v>
      </c>
      <c r="R201" s="7">
        <f t="shared" si="43"/>
        <v>25267</v>
      </c>
      <c r="S201" s="5">
        <f t="shared" si="44"/>
        <v>1</v>
      </c>
      <c r="T201" s="7">
        <f t="shared" si="45"/>
        <v>25267</v>
      </c>
    </row>
    <row r="202" spans="1:20">
      <c r="A202" s="23" t="s">
        <v>234</v>
      </c>
      <c r="B202" s="37" t="s">
        <v>233</v>
      </c>
      <c r="C202" s="36">
        <v>3305</v>
      </c>
      <c r="D202" s="6"/>
      <c r="E202" s="113">
        <v>1111130408</v>
      </c>
      <c r="F202" s="116">
        <f t="shared" si="39"/>
        <v>336196.7951588502</v>
      </c>
      <c r="G202" s="117">
        <v>1054479606</v>
      </c>
      <c r="H202" s="117">
        <f t="shared" si="40"/>
        <v>319055.85658093798</v>
      </c>
      <c r="I202" s="7"/>
      <c r="J202" s="11">
        <v>3.11</v>
      </c>
      <c r="K202" s="117">
        <v>3279431</v>
      </c>
      <c r="L202" s="120">
        <f t="shared" si="41"/>
        <v>992.26354009077158</v>
      </c>
      <c r="M202" s="122">
        <f t="shared" si="46"/>
        <v>10544796.060000001</v>
      </c>
      <c r="N202" s="116">
        <f t="shared" si="47"/>
        <v>7265365.0600000005</v>
      </c>
      <c r="O202" s="123">
        <f t="shared" si="48"/>
        <v>2198.2950257186085</v>
      </c>
      <c r="P202" s="5"/>
      <c r="Q202" s="5">
        <f t="shared" si="42"/>
        <v>1</v>
      </c>
      <c r="R202" s="7">
        <f t="shared" si="43"/>
        <v>3305</v>
      </c>
      <c r="S202" s="5">
        <f t="shared" si="44"/>
        <v>1</v>
      </c>
      <c r="T202" s="7">
        <f t="shared" si="45"/>
        <v>3305</v>
      </c>
    </row>
    <row r="203" spans="1:20">
      <c r="A203" s="23" t="s">
        <v>235</v>
      </c>
      <c r="B203" s="37" t="s">
        <v>233</v>
      </c>
      <c r="C203" s="36">
        <v>5146</v>
      </c>
      <c r="D203" s="6"/>
      <c r="E203" s="113">
        <v>357786333</v>
      </c>
      <c r="F203" s="116">
        <f t="shared" si="39"/>
        <v>69527.075981344737</v>
      </c>
      <c r="G203" s="117">
        <v>296432897</v>
      </c>
      <c r="H203" s="117">
        <f t="shared" si="40"/>
        <v>57604.527205596583</v>
      </c>
      <c r="I203" s="7"/>
      <c r="J203" s="10">
        <v>5</v>
      </c>
      <c r="K203" s="117">
        <v>1482164</v>
      </c>
      <c r="L203" s="120">
        <f t="shared" si="41"/>
        <v>288.02254178002335</v>
      </c>
      <c r="M203" s="122">
        <f t="shared" si="46"/>
        <v>2964328.97</v>
      </c>
      <c r="N203" s="116">
        <f t="shared" si="47"/>
        <v>1482164.9700000002</v>
      </c>
      <c r="O203" s="123">
        <f t="shared" si="48"/>
        <v>288.02273027594254</v>
      </c>
      <c r="P203" s="5"/>
      <c r="Q203" s="5">
        <f t="shared" si="42"/>
        <v>1</v>
      </c>
      <c r="R203" s="7">
        <f t="shared" si="43"/>
        <v>5146</v>
      </c>
      <c r="S203" s="5">
        <f t="shared" si="44"/>
        <v>1</v>
      </c>
      <c r="T203" s="7">
        <f t="shared" si="45"/>
        <v>5146</v>
      </c>
    </row>
    <row r="204" spans="1:20">
      <c r="A204" s="23" t="s">
        <v>236</v>
      </c>
      <c r="B204" s="37" t="s">
        <v>233</v>
      </c>
      <c r="C204" s="36">
        <v>3269</v>
      </c>
      <c r="D204" s="6"/>
      <c r="E204" s="113">
        <v>113792506</v>
      </c>
      <c r="F204" s="116">
        <f t="shared" si="39"/>
        <v>34809.576628938514</v>
      </c>
      <c r="G204" s="117">
        <v>85836886</v>
      </c>
      <c r="H204" s="117">
        <f t="shared" si="40"/>
        <v>26257.842153563783</v>
      </c>
      <c r="I204" s="7"/>
      <c r="J204" s="10">
        <v>8.9</v>
      </c>
      <c r="K204" s="117">
        <v>763948</v>
      </c>
      <c r="L204" s="120">
        <f t="shared" si="41"/>
        <v>233.69470786173142</v>
      </c>
      <c r="M204" s="122">
        <f t="shared" si="46"/>
        <v>858368.86</v>
      </c>
      <c r="N204" s="116">
        <f t="shared" si="47"/>
        <v>94420.859999999986</v>
      </c>
      <c r="O204" s="123">
        <f t="shared" si="48"/>
        <v>28.883713673906389</v>
      </c>
      <c r="P204" s="5"/>
      <c r="Q204" s="5">
        <f t="shared" si="42"/>
        <v>1</v>
      </c>
      <c r="R204" s="7">
        <f t="shared" si="43"/>
        <v>3269</v>
      </c>
      <c r="S204" s="5">
        <f t="shared" si="44"/>
        <v>1</v>
      </c>
      <c r="T204" s="7">
        <f t="shared" si="45"/>
        <v>3269</v>
      </c>
    </row>
    <row r="205" spans="1:20">
      <c r="A205" s="23" t="s">
        <v>237</v>
      </c>
      <c r="B205" s="37" t="s">
        <v>233</v>
      </c>
      <c r="C205" s="36">
        <v>42249</v>
      </c>
      <c r="D205" s="6"/>
      <c r="E205" s="113">
        <v>7024823882</v>
      </c>
      <c r="F205" s="116">
        <f t="shared" si="39"/>
        <v>166271.95630665813</v>
      </c>
      <c r="G205" s="117">
        <v>5856864273</v>
      </c>
      <c r="H205" s="117">
        <f t="shared" si="40"/>
        <v>138627.28758077114</v>
      </c>
      <c r="I205" s="7"/>
      <c r="J205" s="10">
        <v>5.5</v>
      </c>
      <c r="K205" s="117">
        <v>32212753</v>
      </c>
      <c r="L205" s="120">
        <f t="shared" si="41"/>
        <v>762.45006982413781</v>
      </c>
      <c r="M205" s="122">
        <f t="shared" si="46"/>
        <v>58568642.730000004</v>
      </c>
      <c r="N205" s="116">
        <f t="shared" si="47"/>
        <v>26355889.730000004</v>
      </c>
      <c r="O205" s="123">
        <f t="shared" si="48"/>
        <v>623.82280598357363</v>
      </c>
      <c r="P205" s="5"/>
      <c r="Q205" s="5">
        <f t="shared" si="42"/>
        <v>1</v>
      </c>
      <c r="R205" s="7">
        <f t="shared" si="43"/>
        <v>42249</v>
      </c>
      <c r="S205" s="5">
        <f t="shared" si="44"/>
        <v>1</v>
      </c>
      <c r="T205" s="7">
        <f t="shared" si="45"/>
        <v>42249</v>
      </c>
    </row>
    <row r="206" spans="1:20">
      <c r="A206" s="23" t="s">
        <v>238</v>
      </c>
      <c r="B206" s="37" t="s">
        <v>233</v>
      </c>
      <c r="C206" s="36">
        <v>2505</v>
      </c>
      <c r="D206" s="6"/>
      <c r="E206" s="113">
        <v>74345674</v>
      </c>
      <c r="F206" s="116">
        <f t="shared" si="39"/>
        <v>29678.911776447105</v>
      </c>
      <c r="G206" s="117">
        <v>47864928</v>
      </c>
      <c r="H206" s="117">
        <f t="shared" si="40"/>
        <v>19107.755688622754</v>
      </c>
      <c r="I206" s="7"/>
      <c r="J206" s="10">
        <v>7.7</v>
      </c>
      <c r="K206" s="117">
        <v>368559</v>
      </c>
      <c r="L206" s="120">
        <f t="shared" si="41"/>
        <v>147.12934131736526</v>
      </c>
      <c r="M206" s="122">
        <f t="shared" si="46"/>
        <v>478649.28</v>
      </c>
      <c r="N206" s="116">
        <f t="shared" si="47"/>
        <v>110090.28000000003</v>
      </c>
      <c r="O206" s="123">
        <f t="shared" si="48"/>
        <v>43.948215568862288</v>
      </c>
      <c r="P206" s="5"/>
      <c r="Q206" s="5">
        <f t="shared" si="42"/>
        <v>1</v>
      </c>
      <c r="R206" s="7">
        <f t="shared" si="43"/>
        <v>2505</v>
      </c>
      <c r="S206" s="5">
        <f t="shared" si="44"/>
        <v>1</v>
      </c>
      <c r="T206" s="7">
        <f t="shared" si="45"/>
        <v>2505</v>
      </c>
    </row>
    <row r="207" spans="1:20">
      <c r="A207" s="23" t="s">
        <v>239</v>
      </c>
      <c r="B207" s="37" t="s">
        <v>233</v>
      </c>
      <c r="C207" s="36">
        <v>7843</v>
      </c>
      <c r="D207" s="6"/>
      <c r="E207" s="113">
        <v>252193786</v>
      </c>
      <c r="F207" s="116">
        <f t="shared" si="39"/>
        <v>32155.270432232563</v>
      </c>
      <c r="G207" s="117">
        <v>186167324</v>
      </c>
      <c r="H207" s="117">
        <f t="shared" si="40"/>
        <v>23736.749203111056</v>
      </c>
      <c r="I207" s="7"/>
      <c r="J207" s="10">
        <v>8.4</v>
      </c>
      <c r="K207" s="117">
        <v>1563805</v>
      </c>
      <c r="L207" s="120">
        <f t="shared" si="41"/>
        <v>199.38862680096901</v>
      </c>
      <c r="M207" s="122">
        <f t="shared" si="46"/>
        <v>1861673.24</v>
      </c>
      <c r="N207" s="116">
        <f t="shared" si="47"/>
        <v>297868.24</v>
      </c>
      <c r="O207" s="123">
        <f t="shared" si="48"/>
        <v>37.97886523014153</v>
      </c>
      <c r="P207" s="5"/>
      <c r="Q207" s="5">
        <f t="shared" si="42"/>
        <v>1</v>
      </c>
      <c r="R207" s="7">
        <f t="shared" si="43"/>
        <v>7843</v>
      </c>
      <c r="S207" s="5">
        <f t="shared" si="44"/>
        <v>1</v>
      </c>
      <c r="T207" s="7">
        <f t="shared" si="45"/>
        <v>7843</v>
      </c>
    </row>
    <row r="208" spans="1:20">
      <c r="A208" s="23" t="s">
        <v>240</v>
      </c>
      <c r="B208" s="37" t="s">
        <v>233</v>
      </c>
      <c r="C208" s="36">
        <v>919</v>
      </c>
      <c r="D208" s="6"/>
      <c r="E208" s="113">
        <v>296572454</v>
      </c>
      <c r="F208" s="116">
        <f t="shared" si="39"/>
        <v>322712.13710554951</v>
      </c>
      <c r="G208" s="117">
        <v>269794258</v>
      </c>
      <c r="H208" s="117">
        <f t="shared" si="40"/>
        <v>293573.7301414581</v>
      </c>
      <c r="I208" s="7"/>
      <c r="J208" s="10">
        <v>8.59</v>
      </c>
      <c r="K208" s="117">
        <v>2317532</v>
      </c>
      <c r="L208" s="120">
        <f t="shared" si="41"/>
        <v>2521.7976060935798</v>
      </c>
      <c r="M208" s="122">
        <f t="shared" si="46"/>
        <v>2697942.58</v>
      </c>
      <c r="N208" s="116">
        <f t="shared" si="47"/>
        <v>380410.58000000007</v>
      </c>
      <c r="O208" s="123">
        <f t="shared" si="48"/>
        <v>413.93969532100118</v>
      </c>
      <c r="P208" s="5"/>
      <c r="Q208" s="5">
        <f t="shared" si="42"/>
        <v>1</v>
      </c>
      <c r="R208" s="7">
        <f t="shared" si="43"/>
        <v>919</v>
      </c>
      <c r="S208" s="5">
        <f t="shared" si="44"/>
        <v>1</v>
      </c>
      <c r="T208" s="7">
        <f t="shared" si="45"/>
        <v>919</v>
      </c>
    </row>
    <row r="209" spans="1:20">
      <c r="A209" s="23" t="s">
        <v>241</v>
      </c>
      <c r="B209" s="37" t="s">
        <v>233</v>
      </c>
      <c r="C209" s="36">
        <v>226419</v>
      </c>
      <c r="D209" s="6"/>
      <c r="E209" s="113">
        <v>7143881710</v>
      </c>
      <c r="F209" s="116">
        <f t="shared" si="39"/>
        <v>31551.59995406746</v>
      </c>
      <c r="G209" s="117">
        <v>5261073715</v>
      </c>
      <c r="H209" s="117">
        <f t="shared" si="40"/>
        <v>23236.008086777169</v>
      </c>
      <c r="I209" s="7"/>
      <c r="J209" s="10">
        <v>7.5279999999999996</v>
      </c>
      <c r="K209" s="117">
        <v>39605362</v>
      </c>
      <c r="L209" s="120">
        <f t="shared" si="41"/>
        <v>174.92066478519911</v>
      </c>
      <c r="M209" s="122">
        <f t="shared" si="46"/>
        <v>52610737.149999999</v>
      </c>
      <c r="N209" s="116">
        <f t="shared" si="47"/>
        <v>13005375.149999999</v>
      </c>
      <c r="O209" s="123">
        <f t="shared" si="48"/>
        <v>57.439416082572571</v>
      </c>
      <c r="P209" s="5"/>
      <c r="Q209" s="5">
        <f t="shared" si="42"/>
        <v>1</v>
      </c>
      <c r="R209" s="7">
        <f t="shared" si="43"/>
        <v>226419</v>
      </c>
      <c r="S209" s="5">
        <f t="shared" si="44"/>
        <v>1</v>
      </c>
      <c r="T209" s="7">
        <f t="shared" si="45"/>
        <v>226419</v>
      </c>
    </row>
    <row r="210" spans="1:20">
      <c r="A210" s="23" t="s">
        <v>242</v>
      </c>
      <c r="B210" s="37" t="s">
        <v>233</v>
      </c>
      <c r="C210" s="36">
        <v>19297</v>
      </c>
      <c r="D210" s="6"/>
      <c r="E210" s="113">
        <v>638635039</v>
      </c>
      <c r="F210" s="116">
        <f t="shared" si="39"/>
        <v>33095.042700937971</v>
      </c>
      <c r="G210" s="117">
        <v>501942162</v>
      </c>
      <c r="H210" s="117">
        <f t="shared" si="40"/>
        <v>26011.409130952998</v>
      </c>
      <c r="I210" s="7"/>
      <c r="J210" s="10">
        <v>6.9119999999999999</v>
      </c>
      <c r="K210" s="117">
        <v>3469424</v>
      </c>
      <c r="L210" s="120">
        <f t="shared" si="41"/>
        <v>179.79084831839145</v>
      </c>
      <c r="M210" s="122">
        <f t="shared" si="46"/>
        <v>5019421.62</v>
      </c>
      <c r="N210" s="116">
        <f t="shared" si="47"/>
        <v>1549997.62</v>
      </c>
      <c r="O210" s="123">
        <f t="shared" si="48"/>
        <v>80.323242991138528</v>
      </c>
      <c r="P210" s="5"/>
      <c r="Q210" s="5">
        <f t="shared" si="42"/>
        <v>1</v>
      </c>
      <c r="R210" s="7">
        <f t="shared" si="43"/>
        <v>19297</v>
      </c>
      <c r="S210" s="5">
        <f t="shared" si="44"/>
        <v>1</v>
      </c>
      <c r="T210" s="7">
        <f t="shared" si="45"/>
        <v>19297</v>
      </c>
    </row>
    <row r="211" spans="1:20">
      <c r="A211" s="23" t="s">
        <v>243</v>
      </c>
      <c r="B211" s="37" t="s">
        <v>233</v>
      </c>
      <c r="C211" s="36">
        <v>31909</v>
      </c>
      <c r="D211" s="6"/>
      <c r="E211" s="113">
        <v>945943537</v>
      </c>
      <c r="F211" s="116">
        <f t="shared" si="39"/>
        <v>29645.038609796607</v>
      </c>
      <c r="G211" s="117">
        <v>624126466</v>
      </c>
      <c r="H211" s="117">
        <f t="shared" si="40"/>
        <v>19559.574602776647</v>
      </c>
      <c r="I211" s="7"/>
      <c r="J211" s="10">
        <v>8.5</v>
      </c>
      <c r="K211" s="117">
        <v>5305074</v>
      </c>
      <c r="L211" s="120">
        <f t="shared" si="41"/>
        <v>166.25635400670657</v>
      </c>
      <c r="M211" s="122">
        <f t="shared" si="46"/>
        <v>6241264.6600000001</v>
      </c>
      <c r="N211" s="116">
        <f t="shared" si="47"/>
        <v>936190.66000000015</v>
      </c>
      <c r="O211" s="123">
        <f t="shared" si="48"/>
        <v>29.339392021059894</v>
      </c>
      <c r="P211" s="5"/>
      <c r="Q211" s="5">
        <f t="shared" si="42"/>
        <v>1</v>
      </c>
      <c r="R211" s="7">
        <f t="shared" si="43"/>
        <v>31909</v>
      </c>
      <c r="S211" s="5">
        <f t="shared" si="44"/>
        <v>1</v>
      </c>
      <c r="T211" s="7">
        <f t="shared" si="45"/>
        <v>31909</v>
      </c>
    </row>
    <row r="212" spans="1:20">
      <c r="A212" s="23" t="s">
        <v>244</v>
      </c>
      <c r="B212" s="37" t="s">
        <v>233</v>
      </c>
      <c r="C212" s="36">
        <v>33</v>
      </c>
      <c r="D212" s="6"/>
      <c r="E212" s="113">
        <v>159393159</v>
      </c>
      <c r="F212" s="116">
        <f t="shared" si="39"/>
        <v>4830095.7272727275</v>
      </c>
      <c r="G212" s="117">
        <v>147080699</v>
      </c>
      <c r="H212" s="117">
        <f t="shared" si="40"/>
        <v>4456990.8787878789</v>
      </c>
      <c r="I212" s="7"/>
      <c r="J212" s="10">
        <v>9.6611999999999991</v>
      </c>
      <c r="K212" s="117">
        <v>1420976</v>
      </c>
      <c r="L212" s="120">
        <f t="shared" si="41"/>
        <v>43059.878787878784</v>
      </c>
      <c r="M212" s="122">
        <f t="shared" si="46"/>
        <v>1470806.99</v>
      </c>
      <c r="N212" s="116">
        <f t="shared" si="47"/>
        <v>49830.989999999991</v>
      </c>
      <c r="O212" s="123">
        <f t="shared" si="48"/>
        <v>1510.0299999999997</v>
      </c>
      <c r="P212" s="5"/>
      <c r="Q212" s="5">
        <f t="shared" si="42"/>
        <v>1</v>
      </c>
      <c r="R212" s="7">
        <f t="shared" si="43"/>
        <v>33</v>
      </c>
      <c r="S212" s="5">
        <f t="shared" si="44"/>
        <v>1</v>
      </c>
      <c r="T212" s="7">
        <f t="shared" si="45"/>
        <v>33</v>
      </c>
    </row>
    <row r="213" spans="1:20">
      <c r="A213" s="23" t="s">
        <v>245</v>
      </c>
      <c r="B213" s="37" t="s">
        <v>233</v>
      </c>
      <c r="C213" s="36">
        <v>6</v>
      </c>
      <c r="D213" s="6"/>
      <c r="E213" s="113">
        <v>9367019</v>
      </c>
      <c r="F213" s="116">
        <f t="shared" si="39"/>
        <v>1561169.8333333333</v>
      </c>
      <c r="G213" s="117">
        <v>236614</v>
      </c>
      <c r="H213" s="117">
        <f t="shared" si="40"/>
        <v>39435.666666666664</v>
      </c>
      <c r="I213" s="7"/>
      <c r="J213" s="10">
        <v>9.2263000000000002</v>
      </c>
      <c r="K213" s="117">
        <v>2183</v>
      </c>
      <c r="L213" s="120">
        <f t="shared" si="41"/>
        <v>363.83333333333331</v>
      </c>
      <c r="M213" s="122">
        <f t="shared" si="46"/>
        <v>2366.14</v>
      </c>
      <c r="N213" s="116">
        <f t="shared" si="47"/>
        <v>183.13999999999987</v>
      </c>
      <c r="O213" s="123">
        <f t="shared" si="48"/>
        <v>30.523333333333312</v>
      </c>
      <c r="P213" s="5"/>
      <c r="Q213" s="5">
        <f t="shared" si="42"/>
        <v>1</v>
      </c>
      <c r="R213" s="7">
        <f t="shared" si="43"/>
        <v>6</v>
      </c>
      <c r="S213" s="5">
        <f t="shared" si="44"/>
        <v>1</v>
      </c>
      <c r="T213" s="7">
        <f t="shared" si="45"/>
        <v>6</v>
      </c>
    </row>
    <row r="214" spans="1:20">
      <c r="A214" s="23" t="s">
        <v>246</v>
      </c>
      <c r="B214" s="37" t="s">
        <v>233</v>
      </c>
      <c r="C214" s="36">
        <v>10507</v>
      </c>
      <c r="D214" s="6"/>
      <c r="E214" s="113">
        <v>2668789591</v>
      </c>
      <c r="F214" s="116">
        <f t="shared" si="39"/>
        <v>254001.1031693157</v>
      </c>
      <c r="G214" s="117">
        <v>2497269588</v>
      </c>
      <c r="H214" s="117">
        <f t="shared" si="40"/>
        <v>237676.74769201485</v>
      </c>
      <c r="I214" s="7"/>
      <c r="J214" s="10">
        <v>3.6059999999999999</v>
      </c>
      <c r="K214" s="117">
        <v>9005154</v>
      </c>
      <c r="L214" s="120">
        <f t="shared" si="41"/>
        <v>857.06233939278582</v>
      </c>
      <c r="M214" s="122">
        <f t="shared" si="46"/>
        <v>24972695.879999999</v>
      </c>
      <c r="N214" s="116">
        <f t="shared" si="47"/>
        <v>15967541.879999999</v>
      </c>
      <c r="O214" s="123">
        <f t="shared" si="48"/>
        <v>1519.7051375273627</v>
      </c>
      <c r="P214" s="5"/>
      <c r="Q214" s="5">
        <f t="shared" si="42"/>
        <v>1</v>
      </c>
      <c r="R214" s="7">
        <f t="shared" si="43"/>
        <v>10507</v>
      </c>
      <c r="S214" s="5">
        <f t="shared" si="44"/>
        <v>1</v>
      </c>
      <c r="T214" s="7">
        <f t="shared" si="45"/>
        <v>10507</v>
      </c>
    </row>
    <row r="215" spans="1:20">
      <c r="A215" s="23" t="s">
        <v>247</v>
      </c>
      <c r="B215" s="37" t="s">
        <v>233</v>
      </c>
      <c r="C215" s="36">
        <v>1098</v>
      </c>
      <c r="D215" s="6"/>
      <c r="E215" s="113">
        <v>716641439</v>
      </c>
      <c r="F215" s="116">
        <f t="shared" si="39"/>
        <v>652678.90619307838</v>
      </c>
      <c r="G215" s="117">
        <v>707929224</v>
      </c>
      <c r="H215" s="117">
        <f t="shared" si="40"/>
        <v>644744.28415300546</v>
      </c>
      <c r="I215" s="7"/>
      <c r="J215" s="10">
        <v>7.923</v>
      </c>
      <c r="K215" s="117">
        <v>5608923</v>
      </c>
      <c r="L215" s="120">
        <f t="shared" si="41"/>
        <v>5108.3087431693993</v>
      </c>
      <c r="M215" s="122">
        <f t="shared" si="46"/>
        <v>7079292.2400000002</v>
      </c>
      <c r="N215" s="116">
        <f t="shared" si="47"/>
        <v>1470369.2400000002</v>
      </c>
      <c r="O215" s="123">
        <f t="shared" si="48"/>
        <v>1339.134098360656</v>
      </c>
      <c r="P215" s="5"/>
      <c r="Q215" s="5">
        <f t="shared" si="42"/>
        <v>1</v>
      </c>
      <c r="R215" s="7">
        <f t="shared" si="43"/>
        <v>1098</v>
      </c>
      <c r="S215" s="5">
        <f t="shared" si="44"/>
        <v>1</v>
      </c>
      <c r="T215" s="7">
        <f t="shared" si="45"/>
        <v>1098</v>
      </c>
    </row>
    <row r="216" spans="1:20">
      <c r="A216" s="23" t="s">
        <v>248</v>
      </c>
      <c r="B216" s="37" t="s">
        <v>233</v>
      </c>
      <c r="C216" s="36">
        <v>362470</v>
      </c>
      <c r="D216" s="6"/>
      <c r="E216" s="113">
        <v>20332735380</v>
      </c>
      <c r="F216" s="116">
        <f t="shared" si="39"/>
        <v>56094.946836979609</v>
      </c>
      <c r="G216" s="117">
        <v>14056500093</v>
      </c>
      <c r="H216" s="117">
        <f t="shared" si="40"/>
        <v>38779.76134024885</v>
      </c>
      <c r="I216" s="7"/>
      <c r="J216" s="10">
        <v>9.4949999999999992</v>
      </c>
      <c r="K216" s="117">
        <v>133466468</v>
      </c>
      <c r="L216" s="120">
        <f t="shared" si="41"/>
        <v>368.21383286892706</v>
      </c>
      <c r="M216" s="122">
        <f t="shared" si="46"/>
        <v>140565000.93000001</v>
      </c>
      <c r="N216" s="116">
        <f t="shared" si="47"/>
        <v>7098532.9300000072</v>
      </c>
      <c r="O216" s="123">
        <f t="shared" si="48"/>
        <v>19.583780533561416</v>
      </c>
      <c r="P216" s="5"/>
      <c r="Q216" s="5">
        <f t="shared" si="42"/>
        <v>1</v>
      </c>
      <c r="R216" s="7">
        <f t="shared" si="43"/>
        <v>362470</v>
      </c>
      <c r="S216" s="5">
        <f t="shared" si="44"/>
        <v>1</v>
      </c>
      <c r="T216" s="7">
        <f t="shared" si="45"/>
        <v>362470</v>
      </c>
    </row>
    <row r="217" spans="1:20">
      <c r="A217" s="23" t="s">
        <v>249</v>
      </c>
      <c r="B217" s="37" t="s">
        <v>233</v>
      </c>
      <c r="C217" s="36">
        <v>87933</v>
      </c>
      <c r="D217" s="6"/>
      <c r="E217" s="113">
        <v>9885453241</v>
      </c>
      <c r="F217" s="116">
        <f t="shared" si="39"/>
        <v>112420.28864021471</v>
      </c>
      <c r="G217" s="117">
        <v>8351970940</v>
      </c>
      <c r="H217" s="117">
        <f t="shared" si="40"/>
        <v>94981.075819089529</v>
      </c>
      <c r="I217" s="7"/>
      <c r="J217" s="10">
        <v>8.5549999999999997</v>
      </c>
      <c r="K217" s="117">
        <v>71451111</v>
      </c>
      <c r="L217" s="120">
        <f t="shared" si="41"/>
        <v>812.5630991777831</v>
      </c>
      <c r="M217" s="122">
        <f t="shared" si="46"/>
        <v>83519709.400000006</v>
      </c>
      <c r="N217" s="116">
        <f t="shared" si="47"/>
        <v>12068598.400000006</v>
      </c>
      <c r="O217" s="123">
        <f t="shared" si="48"/>
        <v>137.24765901311233</v>
      </c>
      <c r="P217" s="5"/>
      <c r="Q217" s="5">
        <f t="shared" si="42"/>
        <v>1</v>
      </c>
      <c r="R217" s="7">
        <f t="shared" si="43"/>
        <v>87933</v>
      </c>
      <c r="S217" s="5">
        <f t="shared" si="44"/>
        <v>1</v>
      </c>
      <c r="T217" s="7">
        <f t="shared" si="45"/>
        <v>87933</v>
      </c>
    </row>
    <row r="218" spans="1:20">
      <c r="A218" s="23" t="s">
        <v>250</v>
      </c>
      <c r="B218" s="37" t="s">
        <v>233</v>
      </c>
      <c r="C218" s="36">
        <v>10380</v>
      </c>
      <c r="D218" s="6"/>
      <c r="E218" s="113">
        <v>616969156</v>
      </c>
      <c r="F218" s="116">
        <f t="shared" si="39"/>
        <v>59438.261657032752</v>
      </c>
      <c r="G218" s="117">
        <v>407850989</v>
      </c>
      <c r="H218" s="117">
        <f t="shared" si="40"/>
        <v>39292.002793834297</v>
      </c>
      <c r="I218" s="7"/>
      <c r="J218" s="10">
        <v>8.8778000000000006</v>
      </c>
      <c r="K218" s="117">
        <v>3620819</v>
      </c>
      <c r="L218" s="120">
        <f t="shared" si="41"/>
        <v>348.82649325626204</v>
      </c>
      <c r="M218" s="122">
        <f t="shared" si="46"/>
        <v>4078509.89</v>
      </c>
      <c r="N218" s="116">
        <f t="shared" si="47"/>
        <v>457690.89000000013</v>
      </c>
      <c r="O218" s="123">
        <f t="shared" si="48"/>
        <v>44.093534682080936</v>
      </c>
      <c r="P218" s="5"/>
      <c r="Q218" s="5">
        <f t="shared" si="42"/>
        <v>1</v>
      </c>
      <c r="R218" s="7">
        <f t="shared" si="43"/>
        <v>10380</v>
      </c>
      <c r="S218" s="5">
        <f t="shared" si="44"/>
        <v>1</v>
      </c>
      <c r="T218" s="7">
        <f t="shared" si="45"/>
        <v>10380</v>
      </c>
    </row>
    <row r="219" spans="1:20">
      <c r="A219" s="23" t="s">
        <v>251</v>
      </c>
      <c r="B219" s="37" t="s">
        <v>233</v>
      </c>
      <c r="C219" s="36">
        <v>13712</v>
      </c>
      <c r="D219" s="6"/>
      <c r="E219" s="113">
        <v>771767403</v>
      </c>
      <c r="F219" s="116">
        <f t="shared" si="39"/>
        <v>56284.087149941653</v>
      </c>
      <c r="G219" s="117">
        <v>614264136</v>
      </c>
      <c r="H219" s="117">
        <f t="shared" si="40"/>
        <v>44797.559509918319</v>
      </c>
      <c r="I219" s="7"/>
      <c r="J219" s="10">
        <v>8.0380000000000003</v>
      </c>
      <c r="K219" s="117">
        <v>4937455</v>
      </c>
      <c r="L219" s="120">
        <f t="shared" si="41"/>
        <v>360.08277421236875</v>
      </c>
      <c r="M219" s="122">
        <f t="shared" si="46"/>
        <v>6142641.3600000003</v>
      </c>
      <c r="N219" s="116">
        <f t="shared" si="47"/>
        <v>1205186.3600000003</v>
      </c>
      <c r="O219" s="123">
        <f t="shared" si="48"/>
        <v>87.892820886814491</v>
      </c>
      <c r="P219" s="5"/>
      <c r="Q219" s="5">
        <f t="shared" si="42"/>
        <v>1</v>
      </c>
      <c r="R219" s="7">
        <f t="shared" si="43"/>
        <v>13712</v>
      </c>
      <c r="S219" s="5">
        <f t="shared" si="44"/>
        <v>1</v>
      </c>
      <c r="T219" s="7">
        <f t="shared" si="45"/>
        <v>13712</v>
      </c>
    </row>
    <row r="220" spans="1:20">
      <c r="A220" s="23" t="s">
        <v>252</v>
      </c>
      <c r="B220" s="37" t="s">
        <v>233</v>
      </c>
      <c r="C220" s="36">
        <v>6733</v>
      </c>
      <c r="D220" s="6"/>
      <c r="E220" s="113">
        <v>278286560</v>
      </c>
      <c r="F220" s="116">
        <f t="shared" si="39"/>
        <v>41331.733254121493</v>
      </c>
      <c r="G220" s="117">
        <v>248705294</v>
      </c>
      <c r="H220" s="117">
        <f t="shared" si="40"/>
        <v>36938.258428635083</v>
      </c>
      <c r="I220" s="7"/>
      <c r="J220" s="10">
        <v>5.7838000000000003</v>
      </c>
      <c r="K220" s="117">
        <v>1438461</v>
      </c>
      <c r="L220" s="120">
        <f t="shared" si="41"/>
        <v>213.64339818802912</v>
      </c>
      <c r="M220" s="122">
        <f t="shared" si="46"/>
        <v>2487052.94</v>
      </c>
      <c r="N220" s="116">
        <f t="shared" si="47"/>
        <v>1048591.94</v>
      </c>
      <c r="O220" s="123">
        <f t="shared" si="48"/>
        <v>155.73918609832168</v>
      </c>
      <c r="P220" s="5"/>
      <c r="Q220" s="5">
        <f t="shared" si="42"/>
        <v>1</v>
      </c>
      <c r="R220" s="7">
        <f t="shared" si="43"/>
        <v>6733</v>
      </c>
      <c r="S220" s="5">
        <f t="shared" si="44"/>
        <v>1</v>
      </c>
      <c r="T220" s="7">
        <f t="shared" si="45"/>
        <v>6733</v>
      </c>
    </row>
    <row r="221" spans="1:20">
      <c r="A221" s="23" t="s">
        <v>253</v>
      </c>
      <c r="B221" s="37" t="s">
        <v>233</v>
      </c>
      <c r="C221" s="36">
        <v>59880</v>
      </c>
      <c r="D221" s="6"/>
      <c r="E221" s="113">
        <v>1834690406</v>
      </c>
      <c r="F221" s="116">
        <f t="shared" ref="F221:F284" si="49">(E221/C221)</f>
        <v>30639.452338009352</v>
      </c>
      <c r="G221" s="117">
        <v>1308414502</v>
      </c>
      <c r="H221" s="117">
        <f t="shared" ref="H221:H284" si="50">(G221/C221)</f>
        <v>21850.609585838345</v>
      </c>
      <c r="I221" s="7"/>
      <c r="J221" s="10">
        <v>8.7010000000000005</v>
      </c>
      <c r="K221" s="117">
        <v>11384514</v>
      </c>
      <c r="L221" s="120">
        <f t="shared" si="41"/>
        <v>190.12214428857715</v>
      </c>
      <c r="M221" s="122">
        <f t="shared" si="46"/>
        <v>13084145.02</v>
      </c>
      <c r="N221" s="116">
        <f t="shared" si="47"/>
        <v>1699631.0199999996</v>
      </c>
      <c r="O221" s="123">
        <f t="shared" si="48"/>
        <v>28.383951569806271</v>
      </c>
      <c r="P221" s="5"/>
      <c r="Q221" s="5">
        <f t="shared" si="42"/>
        <v>1</v>
      </c>
      <c r="R221" s="7">
        <f t="shared" si="43"/>
        <v>59880</v>
      </c>
      <c r="S221" s="5">
        <f t="shared" si="44"/>
        <v>1</v>
      </c>
      <c r="T221" s="7">
        <f t="shared" si="45"/>
        <v>59880</v>
      </c>
    </row>
    <row r="222" spans="1:20">
      <c r="A222" s="23" t="s">
        <v>254</v>
      </c>
      <c r="B222" s="37" t="s">
        <v>233</v>
      </c>
      <c r="C222" s="36">
        <v>40786</v>
      </c>
      <c r="D222" s="6"/>
      <c r="E222" s="113">
        <v>1534662364</v>
      </c>
      <c r="F222" s="116">
        <f t="shared" si="49"/>
        <v>37627.184916392878</v>
      </c>
      <c r="G222" s="117">
        <v>1132115900</v>
      </c>
      <c r="H222" s="117">
        <f t="shared" si="50"/>
        <v>27757.463345265533</v>
      </c>
      <c r="I222" s="7"/>
      <c r="J222" s="10">
        <v>8.3960000000000008</v>
      </c>
      <c r="K222" s="117">
        <v>9505245</v>
      </c>
      <c r="L222" s="120">
        <f t="shared" si="41"/>
        <v>233.0516598832933</v>
      </c>
      <c r="M222" s="122">
        <f t="shared" si="46"/>
        <v>11321159</v>
      </c>
      <c r="N222" s="116">
        <f t="shared" si="47"/>
        <v>1815914</v>
      </c>
      <c r="O222" s="123">
        <f t="shared" si="48"/>
        <v>44.522973569362037</v>
      </c>
      <c r="P222" s="5"/>
      <c r="Q222" s="5">
        <f t="shared" si="42"/>
        <v>1</v>
      </c>
      <c r="R222" s="7">
        <f t="shared" si="43"/>
        <v>40786</v>
      </c>
      <c r="S222" s="5">
        <f t="shared" si="44"/>
        <v>1</v>
      </c>
      <c r="T222" s="7">
        <f t="shared" si="45"/>
        <v>40786</v>
      </c>
    </row>
    <row r="223" spans="1:20">
      <c r="A223" s="23" t="s">
        <v>255</v>
      </c>
      <c r="B223" s="37" t="s">
        <v>233</v>
      </c>
      <c r="C223" s="36">
        <v>14951</v>
      </c>
      <c r="D223" s="6"/>
      <c r="E223" s="113">
        <v>523622418</v>
      </c>
      <c r="F223" s="116">
        <f t="shared" si="49"/>
        <v>35022.568256303923</v>
      </c>
      <c r="G223" s="117">
        <v>402644525</v>
      </c>
      <c r="H223" s="117">
        <f t="shared" si="50"/>
        <v>26930.942746304594</v>
      </c>
      <c r="I223" s="7"/>
      <c r="J223" s="10">
        <v>9.8000000000000007</v>
      </c>
      <c r="K223" s="117">
        <v>3945916</v>
      </c>
      <c r="L223" s="120">
        <f t="shared" si="41"/>
        <v>263.92321583840544</v>
      </c>
      <c r="M223" s="122">
        <f t="shared" si="46"/>
        <v>4026445.25</v>
      </c>
      <c r="N223" s="116">
        <f t="shared" si="47"/>
        <v>80529.25</v>
      </c>
      <c r="O223" s="123">
        <f t="shared" si="48"/>
        <v>5.3862116246404925</v>
      </c>
      <c r="P223" s="5"/>
      <c r="Q223" s="5">
        <f t="shared" si="42"/>
        <v>1</v>
      </c>
      <c r="R223" s="7">
        <f t="shared" si="43"/>
        <v>14951</v>
      </c>
      <c r="S223" s="5">
        <f t="shared" si="44"/>
        <v>1</v>
      </c>
      <c r="T223" s="7">
        <f t="shared" si="45"/>
        <v>14951</v>
      </c>
    </row>
    <row r="224" spans="1:20">
      <c r="A224" s="23" t="s">
        <v>256</v>
      </c>
      <c r="B224" s="37" t="s">
        <v>233</v>
      </c>
      <c r="C224" s="36">
        <v>19055</v>
      </c>
      <c r="D224" s="6"/>
      <c r="E224" s="113">
        <v>2247224977</v>
      </c>
      <c r="F224" s="116">
        <f t="shared" si="49"/>
        <v>117933.61201784309</v>
      </c>
      <c r="G224" s="117">
        <v>1878968504</v>
      </c>
      <c r="H224" s="117">
        <f t="shared" si="50"/>
        <v>98607.636001049599</v>
      </c>
      <c r="I224" s="7"/>
      <c r="J224" s="10">
        <v>2.1</v>
      </c>
      <c r="K224" s="117">
        <v>3945833</v>
      </c>
      <c r="L224" s="120">
        <f t="shared" si="41"/>
        <v>207.07599055366046</v>
      </c>
      <c r="M224" s="122">
        <f t="shared" si="46"/>
        <v>18789685.039999999</v>
      </c>
      <c r="N224" s="116">
        <f t="shared" si="47"/>
        <v>14843852.039999999</v>
      </c>
      <c r="O224" s="123">
        <f t="shared" si="48"/>
        <v>779.00036945683541</v>
      </c>
      <c r="P224" s="5"/>
      <c r="Q224" s="5">
        <f t="shared" si="42"/>
        <v>1</v>
      </c>
      <c r="R224" s="7">
        <f t="shared" si="43"/>
        <v>19055</v>
      </c>
      <c r="S224" s="5">
        <f t="shared" si="44"/>
        <v>1</v>
      </c>
      <c r="T224" s="7">
        <f t="shared" si="45"/>
        <v>19055</v>
      </c>
    </row>
    <row r="225" spans="1:20">
      <c r="A225" s="23" t="s">
        <v>257</v>
      </c>
      <c r="B225" s="37" t="s">
        <v>233</v>
      </c>
      <c r="C225" s="36">
        <v>10741</v>
      </c>
      <c r="D225" s="6"/>
      <c r="E225" s="113">
        <v>1056463117</v>
      </c>
      <c r="F225" s="116">
        <f t="shared" si="49"/>
        <v>98357.985010706645</v>
      </c>
      <c r="G225" s="117">
        <v>781697952</v>
      </c>
      <c r="H225" s="117">
        <f t="shared" si="50"/>
        <v>72777.018154734193</v>
      </c>
      <c r="I225" s="7"/>
      <c r="J225" s="10">
        <v>6.3730000000000002</v>
      </c>
      <c r="K225" s="117">
        <v>4981761</v>
      </c>
      <c r="L225" s="120">
        <f t="shared" si="41"/>
        <v>463.80793222232569</v>
      </c>
      <c r="M225" s="122">
        <f t="shared" si="46"/>
        <v>7816979.5200000005</v>
      </c>
      <c r="N225" s="116">
        <f t="shared" si="47"/>
        <v>2835218.5200000005</v>
      </c>
      <c r="O225" s="123">
        <f t="shared" si="48"/>
        <v>263.96224932501633</v>
      </c>
      <c r="P225" s="5"/>
      <c r="Q225" s="5">
        <f t="shared" si="42"/>
        <v>1</v>
      </c>
      <c r="R225" s="7">
        <f t="shared" si="43"/>
        <v>10741</v>
      </c>
      <c r="S225" s="5">
        <f t="shared" si="44"/>
        <v>1</v>
      </c>
      <c r="T225" s="7">
        <f t="shared" si="45"/>
        <v>10741</v>
      </c>
    </row>
    <row r="226" spans="1:20">
      <c r="A226" s="23" t="s">
        <v>258</v>
      </c>
      <c r="B226" s="37" t="s">
        <v>233</v>
      </c>
      <c r="C226" s="36">
        <v>15315</v>
      </c>
      <c r="D226" s="6"/>
      <c r="E226" s="113">
        <v>1818012412</v>
      </c>
      <c r="F226" s="116">
        <f t="shared" si="49"/>
        <v>118707.96030035912</v>
      </c>
      <c r="G226" s="117">
        <v>1688047247</v>
      </c>
      <c r="H226" s="117">
        <f t="shared" si="50"/>
        <v>110221.82481227555</v>
      </c>
      <c r="I226" s="7"/>
      <c r="J226" s="10">
        <v>2.5</v>
      </c>
      <c r="K226" s="117">
        <v>4220118</v>
      </c>
      <c r="L226" s="120">
        <f t="shared" si="41"/>
        <v>275.5545543584721</v>
      </c>
      <c r="M226" s="122">
        <f t="shared" si="46"/>
        <v>16880472.469999999</v>
      </c>
      <c r="N226" s="116">
        <f t="shared" si="47"/>
        <v>12660354.469999999</v>
      </c>
      <c r="O226" s="123">
        <f t="shared" si="48"/>
        <v>826.66369376428327</v>
      </c>
      <c r="P226" s="5"/>
      <c r="Q226" s="5">
        <f t="shared" si="42"/>
        <v>1</v>
      </c>
      <c r="R226" s="7">
        <f t="shared" si="43"/>
        <v>15315</v>
      </c>
      <c r="S226" s="5">
        <f t="shared" si="44"/>
        <v>1</v>
      </c>
      <c r="T226" s="7">
        <f t="shared" si="45"/>
        <v>15315</v>
      </c>
    </row>
    <row r="227" spans="1:20">
      <c r="A227" s="23" t="s">
        <v>259</v>
      </c>
      <c r="B227" s="37" t="s">
        <v>233</v>
      </c>
      <c r="C227" s="36">
        <v>4909</v>
      </c>
      <c r="D227" s="6"/>
      <c r="E227" s="113">
        <v>530160416</v>
      </c>
      <c r="F227" s="116">
        <f t="shared" si="49"/>
        <v>107997.64025259727</v>
      </c>
      <c r="G227" s="117">
        <v>470100036</v>
      </c>
      <c r="H227" s="117">
        <f t="shared" si="50"/>
        <v>95762.891831330213</v>
      </c>
      <c r="I227" s="7"/>
      <c r="J227" s="10">
        <v>5.6029999999999998</v>
      </c>
      <c r="K227" s="117">
        <v>2633970</v>
      </c>
      <c r="L227" s="120">
        <f t="shared" si="41"/>
        <v>536.55938072927279</v>
      </c>
      <c r="M227" s="122">
        <f t="shared" si="46"/>
        <v>4701000.3600000003</v>
      </c>
      <c r="N227" s="116">
        <f t="shared" si="47"/>
        <v>2067030.3600000003</v>
      </c>
      <c r="O227" s="123">
        <f t="shared" si="48"/>
        <v>421.06953758402938</v>
      </c>
      <c r="P227" s="5"/>
      <c r="Q227" s="5">
        <f t="shared" si="42"/>
        <v>1</v>
      </c>
      <c r="R227" s="7">
        <f t="shared" si="43"/>
        <v>4909</v>
      </c>
      <c r="S227" s="5">
        <f t="shared" si="44"/>
        <v>1</v>
      </c>
      <c r="T227" s="7">
        <f t="shared" si="45"/>
        <v>4909</v>
      </c>
    </row>
    <row r="228" spans="1:20">
      <c r="A228" s="23" t="s">
        <v>260</v>
      </c>
      <c r="B228" s="37" t="s">
        <v>233</v>
      </c>
      <c r="C228" s="36">
        <v>14226</v>
      </c>
      <c r="D228" s="6"/>
      <c r="E228" s="113">
        <v>293469708</v>
      </c>
      <c r="F228" s="116">
        <f t="shared" si="49"/>
        <v>20629.109236609027</v>
      </c>
      <c r="G228" s="117">
        <v>229173400</v>
      </c>
      <c r="H228" s="117">
        <f t="shared" si="50"/>
        <v>16109.475608041614</v>
      </c>
      <c r="I228" s="7"/>
      <c r="J228" s="10">
        <v>3.44</v>
      </c>
      <c r="K228" s="117">
        <v>788356</v>
      </c>
      <c r="L228" s="120">
        <f t="shared" si="41"/>
        <v>55.416561225924362</v>
      </c>
      <c r="M228" s="122">
        <f t="shared" si="46"/>
        <v>2291734</v>
      </c>
      <c r="N228" s="116">
        <f t="shared" si="47"/>
        <v>1503378</v>
      </c>
      <c r="O228" s="123">
        <f t="shared" si="48"/>
        <v>105.67819485449178</v>
      </c>
      <c r="P228" s="5"/>
      <c r="Q228" s="5">
        <f t="shared" si="42"/>
        <v>1</v>
      </c>
      <c r="R228" s="7">
        <f t="shared" si="43"/>
        <v>14226</v>
      </c>
      <c r="S228" s="5">
        <f t="shared" si="44"/>
        <v>1</v>
      </c>
      <c r="T228" s="7">
        <f t="shared" si="45"/>
        <v>14226</v>
      </c>
    </row>
    <row r="229" spans="1:20">
      <c r="A229" s="23" t="s">
        <v>261</v>
      </c>
      <c r="B229" s="37" t="s">
        <v>233</v>
      </c>
      <c r="C229" s="36">
        <v>2348</v>
      </c>
      <c r="D229" s="6"/>
      <c r="E229" s="113">
        <v>116074579</v>
      </c>
      <c r="F229" s="116">
        <f t="shared" si="49"/>
        <v>49435.510647359457</v>
      </c>
      <c r="G229" s="117">
        <v>94145221</v>
      </c>
      <c r="H229" s="117">
        <f t="shared" si="50"/>
        <v>40095.920357751274</v>
      </c>
      <c r="I229" s="7"/>
      <c r="J229" s="10">
        <v>4.843</v>
      </c>
      <c r="K229" s="117">
        <v>455945</v>
      </c>
      <c r="L229" s="120">
        <f t="shared" si="41"/>
        <v>194.18441226575808</v>
      </c>
      <c r="M229" s="122">
        <f t="shared" si="46"/>
        <v>941452.21</v>
      </c>
      <c r="N229" s="116">
        <f t="shared" si="47"/>
        <v>485507.20999999996</v>
      </c>
      <c r="O229" s="123">
        <f t="shared" si="48"/>
        <v>206.77479131175468</v>
      </c>
      <c r="P229" s="5"/>
      <c r="Q229" s="5">
        <f t="shared" si="42"/>
        <v>1</v>
      </c>
      <c r="R229" s="7">
        <f t="shared" si="43"/>
        <v>2348</v>
      </c>
      <c r="S229" s="5">
        <f t="shared" si="44"/>
        <v>1</v>
      </c>
      <c r="T229" s="7">
        <f t="shared" si="45"/>
        <v>2348</v>
      </c>
    </row>
    <row r="230" spans="1:20">
      <c r="A230" s="23" t="s">
        <v>262</v>
      </c>
      <c r="B230" s="37" t="s">
        <v>233</v>
      </c>
      <c r="C230" s="36">
        <v>5863</v>
      </c>
      <c r="D230" s="6"/>
      <c r="E230" s="113">
        <v>251714801</v>
      </c>
      <c r="F230" s="116">
        <f t="shared" si="49"/>
        <v>42932.764966740579</v>
      </c>
      <c r="G230" s="117">
        <v>186548995</v>
      </c>
      <c r="H230" s="117">
        <f t="shared" si="50"/>
        <v>31818.010404229917</v>
      </c>
      <c r="I230" s="7"/>
      <c r="J230" s="10">
        <v>8.4949999999999992</v>
      </c>
      <c r="K230" s="117">
        <v>1584733</v>
      </c>
      <c r="L230" s="120">
        <f t="shared" si="41"/>
        <v>270.29387685485244</v>
      </c>
      <c r="M230" s="122">
        <f t="shared" si="46"/>
        <v>1865489.95</v>
      </c>
      <c r="N230" s="116">
        <f t="shared" si="47"/>
        <v>280756.94999999995</v>
      </c>
      <c r="O230" s="123">
        <f t="shared" si="48"/>
        <v>47.886227187446693</v>
      </c>
      <c r="P230" s="5"/>
      <c r="Q230" s="5">
        <f t="shared" si="42"/>
        <v>1</v>
      </c>
      <c r="R230" s="7">
        <f t="shared" si="43"/>
        <v>5863</v>
      </c>
      <c r="S230" s="5">
        <f t="shared" si="44"/>
        <v>1</v>
      </c>
      <c r="T230" s="7">
        <f t="shared" si="45"/>
        <v>5863</v>
      </c>
    </row>
    <row r="231" spans="1:20">
      <c r="A231" s="23" t="s">
        <v>263</v>
      </c>
      <c r="B231" s="37" t="s">
        <v>264</v>
      </c>
      <c r="C231" s="36">
        <v>6846</v>
      </c>
      <c r="D231" s="6"/>
      <c r="E231" s="113">
        <v>1314580706</v>
      </c>
      <c r="F231" s="116">
        <f t="shared" si="49"/>
        <v>192021.72158924921</v>
      </c>
      <c r="G231" s="117">
        <v>1189969887</v>
      </c>
      <c r="H231" s="117">
        <f t="shared" si="50"/>
        <v>173819.73225241018</v>
      </c>
      <c r="I231" s="7"/>
      <c r="J231" s="11">
        <v>3.1107</v>
      </c>
      <c r="K231" s="117">
        <v>3701639</v>
      </c>
      <c r="L231" s="120">
        <f t="shared" si="41"/>
        <v>540.70099328074787</v>
      </c>
      <c r="M231" s="122">
        <f t="shared" si="46"/>
        <v>11899698.870000001</v>
      </c>
      <c r="N231" s="116">
        <f t="shared" si="47"/>
        <v>8198059.870000001</v>
      </c>
      <c r="O231" s="123">
        <f t="shared" si="48"/>
        <v>1197.496329243354</v>
      </c>
      <c r="P231" s="5"/>
      <c r="Q231" s="5">
        <f t="shared" si="42"/>
        <v>1</v>
      </c>
      <c r="R231" s="7">
        <f t="shared" si="43"/>
        <v>6846</v>
      </c>
      <c r="S231" s="5">
        <f t="shared" si="44"/>
        <v>1</v>
      </c>
      <c r="T231" s="7">
        <f t="shared" si="45"/>
        <v>6846</v>
      </c>
    </row>
    <row r="232" spans="1:20">
      <c r="A232" s="23" t="s">
        <v>265</v>
      </c>
      <c r="B232" s="37" t="s">
        <v>264</v>
      </c>
      <c r="C232" s="36">
        <v>788</v>
      </c>
      <c r="D232" s="6"/>
      <c r="E232" s="113">
        <v>306472578</v>
      </c>
      <c r="F232" s="116">
        <f t="shared" si="49"/>
        <v>388924.59137055837</v>
      </c>
      <c r="G232" s="117">
        <v>284209850</v>
      </c>
      <c r="H232" s="117">
        <f t="shared" si="50"/>
        <v>360672.39847715735</v>
      </c>
      <c r="I232" s="7"/>
      <c r="J232" s="10">
        <v>2.9790000000000001</v>
      </c>
      <c r="K232" s="117">
        <v>846661</v>
      </c>
      <c r="L232" s="120">
        <f t="shared" si="41"/>
        <v>1074.4428934010152</v>
      </c>
      <c r="M232" s="122">
        <f t="shared" si="46"/>
        <v>2842098.5</v>
      </c>
      <c r="N232" s="116">
        <f t="shared" si="47"/>
        <v>1995437.5</v>
      </c>
      <c r="O232" s="123">
        <f t="shared" si="48"/>
        <v>2532.2810913705584</v>
      </c>
      <c r="P232" s="5"/>
      <c r="Q232" s="5">
        <f t="shared" si="42"/>
        <v>1</v>
      </c>
      <c r="R232" s="7">
        <f t="shared" si="43"/>
        <v>788</v>
      </c>
      <c r="S232" s="5">
        <f t="shared" si="44"/>
        <v>1</v>
      </c>
      <c r="T232" s="7">
        <f t="shared" si="45"/>
        <v>788</v>
      </c>
    </row>
    <row r="233" spans="1:20">
      <c r="A233" s="23" t="s">
        <v>266</v>
      </c>
      <c r="B233" s="37" t="s">
        <v>264</v>
      </c>
      <c r="C233" s="36">
        <v>25478</v>
      </c>
      <c r="D233" s="6"/>
      <c r="E233" s="113">
        <v>6081539104</v>
      </c>
      <c r="F233" s="116">
        <f t="shared" si="49"/>
        <v>238697.66480885469</v>
      </c>
      <c r="G233" s="117">
        <v>2994470900</v>
      </c>
      <c r="H233" s="117">
        <f t="shared" si="50"/>
        <v>117531.63121124107</v>
      </c>
      <c r="I233" s="7"/>
      <c r="J233" s="10">
        <v>3.6246</v>
      </c>
      <c r="K233" s="117">
        <v>10853759</v>
      </c>
      <c r="L233" s="120">
        <f t="shared" si="41"/>
        <v>426.00514169087057</v>
      </c>
      <c r="M233" s="122">
        <f t="shared" si="46"/>
        <v>29944709</v>
      </c>
      <c r="N233" s="116">
        <f t="shared" si="47"/>
        <v>19090950</v>
      </c>
      <c r="O233" s="123">
        <f t="shared" si="48"/>
        <v>749.31117042154017</v>
      </c>
      <c r="P233" s="5"/>
      <c r="Q233" s="5">
        <f t="shared" si="42"/>
        <v>1</v>
      </c>
      <c r="R233" s="7">
        <f t="shared" si="43"/>
        <v>25478</v>
      </c>
      <c r="S233" s="5">
        <f t="shared" si="44"/>
        <v>1</v>
      </c>
      <c r="T233" s="7">
        <f t="shared" si="45"/>
        <v>25478</v>
      </c>
    </row>
    <row r="234" spans="1:20">
      <c r="A234" s="23" t="s">
        <v>267</v>
      </c>
      <c r="B234" s="37" t="s">
        <v>264</v>
      </c>
      <c r="C234" s="36">
        <v>186</v>
      </c>
      <c r="D234" s="6"/>
      <c r="E234" s="113">
        <v>30956723</v>
      </c>
      <c r="F234" s="116">
        <f t="shared" si="49"/>
        <v>166433.99462365592</v>
      </c>
      <c r="G234" s="117">
        <v>24933105</v>
      </c>
      <c r="H234" s="117">
        <f t="shared" si="50"/>
        <v>134048.95161290321</v>
      </c>
      <c r="I234" s="7"/>
      <c r="J234" s="10">
        <v>1.7195</v>
      </c>
      <c r="K234" s="117">
        <v>42872</v>
      </c>
      <c r="L234" s="120">
        <f t="shared" si="41"/>
        <v>230.49462365591398</v>
      </c>
      <c r="M234" s="122">
        <f t="shared" si="46"/>
        <v>249331.05000000002</v>
      </c>
      <c r="N234" s="116">
        <f t="shared" si="47"/>
        <v>206459.05000000002</v>
      </c>
      <c r="O234" s="123">
        <f t="shared" si="48"/>
        <v>1109.9948924731184</v>
      </c>
      <c r="P234" s="5"/>
      <c r="Q234" s="5">
        <f t="shared" si="42"/>
        <v>1</v>
      </c>
      <c r="R234" s="7">
        <f t="shared" si="43"/>
        <v>186</v>
      </c>
      <c r="S234" s="5">
        <f t="shared" si="44"/>
        <v>1</v>
      </c>
      <c r="T234" s="7">
        <f t="shared" si="45"/>
        <v>186</v>
      </c>
    </row>
    <row r="235" spans="1:20">
      <c r="A235" s="23" t="s">
        <v>449</v>
      </c>
      <c r="B235" s="35" t="s">
        <v>264</v>
      </c>
      <c r="C235" s="36">
        <v>10255</v>
      </c>
      <c r="D235" s="6"/>
      <c r="E235" s="113">
        <v>1198434793</v>
      </c>
      <c r="F235" s="116">
        <f t="shared" si="49"/>
        <v>116863.46104339347</v>
      </c>
      <c r="G235" s="117">
        <v>972495513</v>
      </c>
      <c r="H235" s="117">
        <f t="shared" si="50"/>
        <v>94831.351828376399</v>
      </c>
      <c r="I235" s="7"/>
      <c r="J235" s="11">
        <v>2.9645000000000001</v>
      </c>
      <c r="K235" s="117">
        <v>2882962</v>
      </c>
      <c r="L235" s="120">
        <f t="shared" si="41"/>
        <v>281.12745002437833</v>
      </c>
      <c r="M235" s="122">
        <f t="shared" si="46"/>
        <v>9724955.1300000008</v>
      </c>
      <c r="N235" s="116">
        <f t="shared" si="47"/>
        <v>6841993.1300000008</v>
      </c>
      <c r="O235" s="123">
        <f t="shared" si="48"/>
        <v>667.18606825938571</v>
      </c>
      <c r="P235" s="5"/>
      <c r="Q235" s="5">
        <f t="shared" si="42"/>
        <v>1</v>
      </c>
      <c r="R235" s="7">
        <f t="shared" si="43"/>
        <v>10255</v>
      </c>
      <c r="S235" s="5">
        <f t="shared" si="44"/>
        <v>1</v>
      </c>
      <c r="T235" s="7">
        <f t="shared" si="45"/>
        <v>10255</v>
      </c>
    </row>
    <row r="236" spans="1:20">
      <c r="A236" s="23" t="s">
        <v>268</v>
      </c>
      <c r="B236" s="35" t="s">
        <v>269</v>
      </c>
      <c r="C236" s="36">
        <v>962</v>
      </c>
      <c r="D236" s="6"/>
      <c r="E236" s="113">
        <v>65041230</v>
      </c>
      <c r="F236" s="116">
        <f t="shared" si="49"/>
        <v>67610.426195426189</v>
      </c>
      <c r="G236" s="117">
        <v>37776579</v>
      </c>
      <c r="H236" s="117">
        <f t="shared" si="50"/>
        <v>39268.793139293142</v>
      </c>
      <c r="I236" s="7"/>
      <c r="J236" s="10">
        <v>3</v>
      </c>
      <c r="K236" s="117">
        <v>113329</v>
      </c>
      <c r="L236" s="120">
        <f t="shared" si="41"/>
        <v>117.80561330561331</v>
      </c>
      <c r="M236" s="122">
        <f t="shared" si="46"/>
        <v>377765.79</v>
      </c>
      <c r="N236" s="116">
        <f t="shared" si="47"/>
        <v>264436.78999999998</v>
      </c>
      <c r="O236" s="123">
        <f t="shared" si="48"/>
        <v>274.88231808731808</v>
      </c>
      <c r="P236" s="5"/>
      <c r="Q236" s="5">
        <f t="shared" si="42"/>
        <v>1</v>
      </c>
      <c r="R236" s="7">
        <f t="shared" si="43"/>
        <v>962</v>
      </c>
      <c r="S236" s="5">
        <f t="shared" si="44"/>
        <v>1</v>
      </c>
      <c r="T236" s="7">
        <f t="shared" si="45"/>
        <v>962</v>
      </c>
    </row>
    <row r="237" spans="1:20">
      <c r="A237" s="23" t="s">
        <v>270</v>
      </c>
      <c r="B237" s="35" t="s">
        <v>269</v>
      </c>
      <c r="C237" s="36">
        <v>10549</v>
      </c>
      <c r="D237" s="6"/>
      <c r="E237" s="113">
        <v>1111946384</v>
      </c>
      <c r="F237" s="116">
        <f t="shared" si="49"/>
        <v>105407.75277277466</v>
      </c>
      <c r="G237" s="117">
        <v>844465350</v>
      </c>
      <c r="H237" s="117">
        <f t="shared" si="50"/>
        <v>80051.696843302678</v>
      </c>
      <c r="I237" s="7"/>
      <c r="J237" s="10">
        <v>6.6210000000000004</v>
      </c>
      <c r="K237" s="117">
        <v>5591205</v>
      </c>
      <c r="L237" s="120">
        <f t="shared" si="41"/>
        <v>530.02227699307991</v>
      </c>
      <c r="M237" s="122">
        <f t="shared" si="46"/>
        <v>8444653.5</v>
      </c>
      <c r="N237" s="116">
        <f t="shared" si="47"/>
        <v>2853448.5</v>
      </c>
      <c r="O237" s="123">
        <f t="shared" si="48"/>
        <v>270.49469143994691</v>
      </c>
      <c r="P237" s="5"/>
      <c r="Q237" s="5">
        <f t="shared" si="42"/>
        <v>1</v>
      </c>
      <c r="R237" s="7">
        <f t="shared" si="43"/>
        <v>10549</v>
      </c>
      <c r="S237" s="5">
        <f t="shared" si="44"/>
        <v>1</v>
      </c>
      <c r="T237" s="7">
        <f t="shared" si="45"/>
        <v>10549</v>
      </c>
    </row>
    <row r="238" spans="1:20">
      <c r="A238" s="23" t="s">
        <v>271</v>
      </c>
      <c r="B238" s="35" t="s">
        <v>269</v>
      </c>
      <c r="C238" s="36">
        <v>2702</v>
      </c>
      <c r="D238" s="6"/>
      <c r="E238" s="113">
        <v>199486580</v>
      </c>
      <c r="F238" s="116">
        <f t="shared" si="49"/>
        <v>73829.230199851954</v>
      </c>
      <c r="G238" s="117">
        <v>41887076</v>
      </c>
      <c r="H238" s="117">
        <f t="shared" si="50"/>
        <v>15502.248704663212</v>
      </c>
      <c r="I238" s="7"/>
      <c r="J238" s="10">
        <v>0.68149999999999999</v>
      </c>
      <c r="K238" s="117">
        <v>28546</v>
      </c>
      <c r="L238" s="120">
        <f t="shared" si="41"/>
        <v>10.564766839378239</v>
      </c>
      <c r="M238" s="122">
        <f t="shared" si="46"/>
        <v>418870.76</v>
      </c>
      <c r="N238" s="116">
        <f t="shared" si="47"/>
        <v>390324.76</v>
      </c>
      <c r="O238" s="123">
        <f t="shared" si="48"/>
        <v>144.45772020725389</v>
      </c>
      <c r="P238" s="5"/>
      <c r="Q238" s="5">
        <f t="shared" si="42"/>
        <v>1</v>
      </c>
      <c r="R238" s="7">
        <f t="shared" si="43"/>
        <v>2702</v>
      </c>
      <c r="S238" s="5">
        <f t="shared" si="44"/>
        <v>1</v>
      </c>
      <c r="T238" s="7">
        <f t="shared" si="45"/>
        <v>2702</v>
      </c>
    </row>
    <row r="239" spans="1:20">
      <c r="A239" s="23" t="s">
        <v>272</v>
      </c>
      <c r="B239" s="35" t="s">
        <v>273</v>
      </c>
      <c r="C239" s="36">
        <v>377</v>
      </c>
      <c r="D239" s="6"/>
      <c r="E239" s="113">
        <v>34603277</v>
      </c>
      <c r="F239" s="116">
        <f t="shared" si="49"/>
        <v>91785.880636604779</v>
      </c>
      <c r="G239" s="117">
        <v>29895720</v>
      </c>
      <c r="H239" s="117">
        <f t="shared" si="50"/>
        <v>79298.992042440324</v>
      </c>
      <c r="I239" s="7"/>
      <c r="J239" s="10">
        <v>2.2999999999999998</v>
      </c>
      <c r="K239" s="117">
        <v>68760</v>
      </c>
      <c r="L239" s="120">
        <f t="shared" si="41"/>
        <v>182.38726790450929</v>
      </c>
      <c r="M239" s="122">
        <f t="shared" si="46"/>
        <v>298957.2</v>
      </c>
      <c r="N239" s="116">
        <f t="shared" si="47"/>
        <v>230197.2</v>
      </c>
      <c r="O239" s="123">
        <f t="shared" si="48"/>
        <v>610.60265251989392</v>
      </c>
      <c r="P239" s="5"/>
      <c r="Q239" s="5">
        <f t="shared" si="42"/>
        <v>1</v>
      </c>
      <c r="R239" s="7">
        <f t="shared" si="43"/>
        <v>377</v>
      </c>
      <c r="S239" s="5">
        <f t="shared" si="44"/>
        <v>1</v>
      </c>
      <c r="T239" s="7">
        <f t="shared" si="45"/>
        <v>377</v>
      </c>
    </row>
    <row r="240" spans="1:20">
      <c r="A240" s="23" t="s">
        <v>274</v>
      </c>
      <c r="B240" s="35" t="s">
        <v>273</v>
      </c>
      <c r="C240" s="36">
        <v>14766</v>
      </c>
      <c r="D240" s="6"/>
      <c r="E240" s="113">
        <v>563187965</v>
      </c>
      <c r="F240" s="116">
        <f t="shared" si="49"/>
        <v>38140.861777055397</v>
      </c>
      <c r="G240" s="117">
        <v>386015472</v>
      </c>
      <c r="H240" s="117">
        <f t="shared" si="50"/>
        <v>26142.182852498983</v>
      </c>
      <c r="I240" s="7"/>
      <c r="J240" s="10">
        <v>6.99</v>
      </c>
      <c r="K240" s="117">
        <v>2698248</v>
      </c>
      <c r="L240" s="120">
        <f t="shared" si="41"/>
        <v>182.73384802925639</v>
      </c>
      <c r="M240" s="122">
        <f t="shared" si="46"/>
        <v>3860154.72</v>
      </c>
      <c r="N240" s="116">
        <f t="shared" si="47"/>
        <v>1161906.7200000002</v>
      </c>
      <c r="O240" s="123">
        <f t="shared" si="48"/>
        <v>78.687980495733456</v>
      </c>
      <c r="P240" s="5"/>
      <c r="Q240" s="5">
        <f t="shared" si="42"/>
        <v>1</v>
      </c>
      <c r="R240" s="7">
        <f t="shared" si="43"/>
        <v>14766</v>
      </c>
      <c r="S240" s="5">
        <f t="shared" si="44"/>
        <v>1</v>
      </c>
      <c r="T240" s="7">
        <f t="shared" si="45"/>
        <v>14766</v>
      </c>
    </row>
    <row r="241" spans="1:20">
      <c r="A241" s="23" t="s">
        <v>275</v>
      </c>
      <c r="B241" s="35" t="s">
        <v>273</v>
      </c>
      <c r="C241" s="36">
        <v>11119</v>
      </c>
      <c r="D241" s="6"/>
      <c r="E241" s="113">
        <v>2449582628</v>
      </c>
      <c r="F241" s="116">
        <f t="shared" si="49"/>
        <v>220306.01924633511</v>
      </c>
      <c r="G241" s="117">
        <v>2190708044</v>
      </c>
      <c r="H241" s="117">
        <f t="shared" si="50"/>
        <v>197023.83703570464</v>
      </c>
      <c r="I241" s="7"/>
      <c r="J241" s="10">
        <v>1.75</v>
      </c>
      <c r="K241" s="117">
        <v>3833739</v>
      </c>
      <c r="L241" s="120">
        <f t="shared" si="41"/>
        <v>344.79170788739992</v>
      </c>
      <c r="M241" s="122">
        <f t="shared" si="46"/>
        <v>21907080.440000001</v>
      </c>
      <c r="N241" s="116">
        <f t="shared" si="47"/>
        <v>18073341.440000001</v>
      </c>
      <c r="O241" s="123">
        <f t="shared" si="48"/>
        <v>1625.4466624696468</v>
      </c>
      <c r="P241" s="5"/>
      <c r="Q241" s="5">
        <f t="shared" si="42"/>
        <v>1</v>
      </c>
      <c r="R241" s="7">
        <f t="shared" si="43"/>
        <v>11119</v>
      </c>
      <c r="S241" s="5">
        <f t="shared" si="44"/>
        <v>1</v>
      </c>
      <c r="T241" s="7">
        <f t="shared" si="45"/>
        <v>11119</v>
      </c>
    </row>
    <row r="242" spans="1:20">
      <c r="A242" s="23" t="s">
        <v>276</v>
      </c>
      <c r="B242" s="35" t="s">
        <v>273</v>
      </c>
      <c r="C242" s="36">
        <v>19973</v>
      </c>
      <c r="D242" s="6"/>
      <c r="E242" s="113">
        <v>1068183530</v>
      </c>
      <c r="F242" s="116">
        <f t="shared" si="49"/>
        <v>53481.376358083413</v>
      </c>
      <c r="G242" s="117">
        <v>754237271</v>
      </c>
      <c r="H242" s="117">
        <f t="shared" si="50"/>
        <v>37762.843388574576</v>
      </c>
      <c r="I242" s="7"/>
      <c r="J242" s="10">
        <v>4.97</v>
      </c>
      <c r="K242" s="117">
        <v>3748559</v>
      </c>
      <c r="L242" s="120">
        <f t="shared" si="41"/>
        <v>187.6813197817053</v>
      </c>
      <c r="M242" s="122">
        <f t="shared" si="46"/>
        <v>7542372.71</v>
      </c>
      <c r="N242" s="116">
        <f t="shared" si="47"/>
        <v>3793813.71</v>
      </c>
      <c r="O242" s="123">
        <f t="shared" si="48"/>
        <v>189.94711410404045</v>
      </c>
      <c r="P242" s="5"/>
      <c r="Q242" s="5">
        <f t="shared" si="42"/>
        <v>1</v>
      </c>
      <c r="R242" s="7">
        <f t="shared" si="43"/>
        <v>19973</v>
      </c>
      <c r="S242" s="5">
        <f t="shared" si="44"/>
        <v>1</v>
      </c>
      <c r="T242" s="7">
        <f t="shared" si="45"/>
        <v>19973</v>
      </c>
    </row>
    <row r="243" spans="1:20">
      <c r="A243" s="23" t="s">
        <v>277</v>
      </c>
      <c r="B243" s="35" t="s">
        <v>273</v>
      </c>
      <c r="C243" s="36">
        <v>549</v>
      </c>
      <c r="D243" s="6"/>
      <c r="E243" s="113">
        <v>12261186</v>
      </c>
      <c r="F243" s="116">
        <f t="shared" si="49"/>
        <v>22333.672131147541</v>
      </c>
      <c r="G243" s="117">
        <v>4941830</v>
      </c>
      <c r="H243" s="117">
        <f t="shared" si="50"/>
        <v>9001.5118397085607</v>
      </c>
      <c r="I243" s="98" t="s">
        <v>528</v>
      </c>
      <c r="J243" s="10"/>
      <c r="K243" s="117"/>
      <c r="L243" s="120"/>
      <c r="M243" s="122">
        <f t="shared" si="46"/>
        <v>49418.3</v>
      </c>
      <c r="N243" s="116">
        <f t="shared" si="47"/>
        <v>49418.3</v>
      </c>
      <c r="O243" s="123">
        <f t="shared" si="48"/>
        <v>90.015118397085615</v>
      </c>
      <c r="P243" s="5"/>
      <c r="Q243" s="5">
        <f t="shared" si="42"/>
        <v>1</v>
      </c>
      <c r="R243" s="7">
        <f t="shared" si="43"/>
        <v>549</v>
      </c>
      <c r="S243" s="5">
        <f t="shared" si="44"/>
        <v>0</v>
      </c>
      <c r="T243" s="7">
        <f t="shared" si="45"/>
        <v>0</v>
      </c>
    </row>
    <row r="244" spans="1:20">
      <c r="A244" s="23" t="s">
        <v>278</v>
      </c>
      <c r="B244" s="35" t="s">
        <v>273</v>
      </c>
      <c r="C244" s="36">
        <v>4055</v>
      </c>
      <c r="D244" s="6"/>
      <c r="E244" s="113">
        <v>273639927</v>
      </c>
      <c r="F244" s="116">
        <f t="shared" si="49"/>
        <v>67482.102836004939</v>
      </c>
      <c r="G244" s="117">
        <v>213252193</v>
      </c>
      <c r="H244" s="117">
        <f t="shared" si="50"/>
        <v>52589.936621454995</v>
      </c>
      <c r="I244" s="7"/>
      <c r="J244" s="10">
        <v>2.8370000000000002</v>
      </c>
      <c r="K244" s="117">
        <v>604996</v>
      </c>
      <c r="L244" s="120">
        <f t="shared" ref="L244:L268" si="51">(K244/C244)</f>
        <v>149.19753390875462</v>
      </c>
      <c r="M244" s="122">
        <f t="shared" si="46"/>
        <v>2132521.9300000002</v>
      </c>
      <c r="N244" s="116">
        <f t="shared" si="47"/>
        <v>1527525.9300000002</v>
      </c>
      <c r="O244" s="123">
        <f t="shared" si="48"/>
        <v>376.70183230579534</v>
      </c>
      <c r="P244" s="5"/>
      <c r="Q244" s="5">
        <f t="shared" si="42"/>
        <v>1</v>
      </c>
      <c r="R244" s="7">
        <f t="shared" si="43"/>
        <v>4055</v>
      </c>
      <c r="S244" s="5">
        <f t="shared" si="44"/>
        <v>1</v>
      </c>
      <c r="T244" s="7">
        <f t="shared" si="45"/>
        <v>4055</v>
      </c>
    </row>
    <row r="245" spans="1:20">
      <c r="A245" s="23" t="s">
        <v>279</v>
      </c>
      <c r="B245" s="35" t="s">
        <v>273</v>
      </c>
      <c r="C245" s="36">
        <v>11684</v>
      </c>
      <c r="D245" s="6"/>
      <c r="E245" s="113">
        <v>542763961</v>
      </c>
      <c r="F245" s="116">
        <f t="shared" si="49"/>
        <v>46453.608438890791</v>
      </c>
      <c r="G245" s="117">
        <v>385500541</v>
      </c>
      <c r="H245" s="117">
        <f t="shared" si="50"/>
        <v>32993.884029441972</v>
      </c>
      <c r="I245" s="7"/>
      <c r="J245" s="10">
        <v>3</v>
      </c>
      <c r="K245" s="117">
        <v>1156501</v>
      </c>
      <c r="L245" s="120">
        <f t="shared" si="51"/>
        <v>98.981598767545364</v>
      </c>
      <c r="M245" s="122">
        <f t="shared" si="46"/>
        <v>3855005.41</v>
      </c>
      <c r="N245" s="116">
        <f t="shared" si="47"/>
        <v>2698504.41</v>
      </c>
      <c r="O245" s="123">
        <f t="shared" si="48"/>
        <v>230.95724152687438</v>
      </c>
      <c r="P245" s="5"/>
      <c r="Q245" s="5">
        <f t="shared" si="42"/>
        <v>1</v>
      </c>
      <c r="R245" s="7">
        <f t="shared" si="43"/>
        <v>11684</v>
      </c>
      <c r="S245" s="5">
        <f t="shared" si="44"/>
        <v>1</v>
      </c>
      <c r="T245" s="7">
        <f t="shared" si="45"/>
        <v>11684</v>
      </c>
    </row>
    <row r="246" spans="1:20">
      <c r="A246" s="23" t="s">
        <v>280</v>
      </c>
      <c r="B246" s="35" t="s">
        <v>273</v>
      </c>
      <c r="C246" s="36">
        <v>718</v>
      </c>
      <c r="D246" s="6"/>
      <c r="E246" s="113">
        <v>79602514</v>
      </c>
      <c r="F246" s="116">
        <f t="shared" si="49"/>
        <v>110867.01114206128</v>
      </c>
      <c r="G246" s="117">
        <v>61833707</v>
      </c>
      <c r="H246" s="117">
        <f t="shared" si="50"/>
        <v>86119.369080779943</v>
      </c>
      <c r="I246" s="7"/>
      <c r="J246" s="10">
        <v>3</v>
      </c>
      <c r="K246" s="117">
        <v>185501</v>
      </c>
      <c r="L246" s="120">
        <f t="shared" si="51"/>
        <v>258.35793871866298</v>
      </c>
      <c r="M246" s="122">
        <f t="shared" si="46"/>
        <v>618337.07000000007</v>
      </c>
      <c r="N246" s="116">
        <f t="shared" si="47"/>
        <v>432836.07000000007</v>
      </c>
      <c r="O246" s="123">
        <f t="shared" si="48"/>
        <v>602.83575208913658</v>
      </c>
      <c r="P246" s="5"/>
      <c r="Q246" s="5">
        <f t="shared" si="42"/>
        <v>1</v>
      </c>
      <c r="R246" s="7">
        <f t="shared" si="43"/>
        <v>718</v>
      </c>
      <c r="S246" s="5">
        <f t="shared" si="44"/>
        <v>1</v>
      </c>
      <c r="T246" s="7">
        <f t="shared" si="45"/>
        <v>718</v>
      </c>
    </row>
    <row r="247" spans="1:20">
      <c r="A247" s="23" t="s">
        <v>281</v>
      </c>
      <c r="B247" s="35" t="s">
        <v>273</v>
      </c>
      <c r="C247" s="36">
        <v>6408</v>
      </c>
      <c r="D247" s="6"/>
      <c r="E247" s="113">
        <v>198340053</v>
      </c>
      <c r="F247" s="116">
        <f t="shared" si="49"/>
        <v>30951.943352059927</v>
      </c>
      <c r="G247" s="117">
        <v>122221406</v>
      </c>
      <c r="H247" s="117">
        <f t="shared" si="50"/>
        <v>19073.253121098627</v>
      </c>
      <c r="I247" s="9"/>
      <c r="J247" s="10">
        <v>3</v>
      </c>
      <c r="K247" s="117">
        <v>366664</v>
      </c>
      <c r="L247" s="120">
        <f t="shared" si="51"/>
        <v>57.219725343320846</v>
      </c>
      <c r="M247" s="122">
        <f t="shared" si="46"/>
        <v>1222214.06</v>
      </c>
      <c r="N247" s="116">
        <f t="shared" si="47"/>
        <v>855550.06</v>
      </c>
      <c r="O247" s="123">
        <f t="shared" si="48"/>
        <v>133.51280586766543</v>
      </c>
      <c r="P247" s="5"/>
      <c r="Q247" s="5">
        <f t="shared" si="42"/>
        <v>1</v>
      </c>
      <c r="R247" s="7">
        <f t="shared" si="43"/>
        <v>6408</v>
      </c>
      <c r="S247" s="5">
        <f t="shared" si="44"/>
        <v>1</v>
      </c>
      <c r="T247" s="7">
        <f t="shared" si="45"/>
        <v>6408</v>
      </c>
    </row>
    <row r="248" spans="1:20">
      <c r="A248" s="23" t="s">
        <v>282</v>
      </c>
      <c r="B248" s="35" t="s">
        <v>282</v>
      </c>
      <c r="C248" s="36">
        <v>5376</v>
      </c>
      <c r="D248" s="6"/>
      <c r="E248" s="113">
        <v>256578228</v>
      </c>
      <c r="F248" s="116">
        <f t="shared" si="49"/>
        <v>47726.604910714283</v>
      </c>
      <c r="G248" s="117">
        <v>183489400</v>
      </c>
      <c r="H248" s="117">
        <f t="shared" si="50"/>
        <v>34131.212797619046</v>
      </c>
      <c r="I248" s="7"/>
      <c r="J248" s="10">
        <v>5.9398999999999997</v>
      </c>
      <c r="K248" s="117">
        <v>1089908</v>
      </c>
      <c r="L248" s="120">
        <f t="shared" si="51"/>
        <v>202.7358630952381</v>
      </c>
      <c r="M248" s="122">
        <f t="shared" si="46"/>
        <v>1834894</v>
      </c>
      <c r="N248" s="116">
        <f t="shared" si="47"/>
        <v>744986</v>
      </c>
      <c r="O248" s="123">
        <f t="shared" si="48"/>
        <v>138.57626488095238</v>
      </c>
      <c r="P248" s="5"/>
      <c r="Q248" s="5">
        <f t="shared" si="42"/>
        <v>1</v>
      </c>
      <c r="R248" s="7">
        <f t="shared" si="43"/>
        <v>5376</v>
      </c>
      <c r="S248" s="5">
        <f t="shared" si="44"/>
        <v>1</v>
      </c>
      <c r="T248" s="7">
        <f t="shared" si="45"/>
        <v>5376</v>
      </c>
    </row>
    <row r="249" spans="1:20">
      <c r="A249" s="23" t="s">
        <v>283</v>
      </c>
      <c r="B249" s="35" t="s">
        <v>284</v>
      </c>
      <c r="C249" s="36">
        <v>26642</v>
      </c>
      <c r="D249" s="6"/>
      <c r="E249" s="113">
        <v>1272866457</v>
      </c>
      <c r="F249" s="116">
        <f t="shared" si="49"/>
        <v>47776.685571653783</v>
      </c>
      <c r="G249" s="117">
        <v>970140576</v>
      </c>
      <c r="H249" s="117">
        <f t="shared" si="50"/>
        <v>36413.954507919829</v>
      </c>
      <c r="I249" s="7"/>
      <c r="J249" s="11">
        <v>3.7618999999999998</v>
      </c>
      <c r="K249" s="117">
        <v>3649571</v>
      </c>
      <c r="L249" s="120">
        <f t="shared" si="51"/>
        <v>136.98562420238721</v>
      </c>
      <c r="M249" s="122">
        <f t="shared" si="46"/>
        <v>9701405.7599999998</v>
      </c>
      <c r="N249" s="116">
        <f t="shared" si="47"/>
        <v>6051834.7599999998</v>
      </c>
      <c r="O249" s="123">
        <f t="shared" si="48"/>
        <v>227.15392087681104</v>
      </c>
      <c r="P249" s="5"/>
      <c r="Q249" s="5">
        <f t="shared" si="42"/>
        <v>1</v>
      </c>
      <c r="R249" s="7">
        <f t="shared" si="43"/>
        <v>26642</v>
      </c>
      <c r="S249" s="5">
        <f t="shared" si="44"/>
        <v>1</v>
      </c>
      <c r="T249" s="7">
        <f t="shared" si="45"/>
        <v>26642</v>
      </c>
    </row>
    <row r="250" spans="1:20">
      <c r="A250" s="23" t="s">
        <v>285</v>
      </c>
      <c r="B250" s="35" t="s">
        <v>284</v>
      </c>
      <c r="C250" s="36">
        <v>23</v>
      </c>
      <c r="D250" s="6"/>
      <c r="E250" s="113">
        <v>4055551278</v>
      </c>
      <c r="F250" s="116">
        <f t="shared" si="49"/>
        <v>176328316.43478259</v>
      </c>
      <c r="G250" s="117">
        <v>3893727526</v>
      </c>
      <c r="H250" s="117">
        <f t="shared" si="50"/>
        <v>169292501.13043478</v>
      </c>
      <c r="I250" s="7"/>
      <c r="J250" s="10">
        <v>0.3211</v>
      </c>
      <c r="K250" s="117">
        <v>1250275</v>
      </c>
      <c r="L250" s="120">
        <f t="shared" si="51"/>
        <v>54359.782608695656</v>
      </c>
      <c r="M250" s="122">
        <f t="shared" si="46"/>
        <v>38937275.259999998</v>
      </c>
      <c r="N250" s="116">
        <f t="shared" si="47"/>
        <v>37687000.259999998</v>
      </c>
      <c r="O250" s="123">
        <f t="shared" si="48"/>
        <v>1638565.228695652</v>
      </c>
      <c r="P250" s="5"/>
      <c r="Q250" s="5">
        <f t="shared" si="42"/>
        <v>1</v>
      </c>
      <c r="R250" s="7">
        <f t="shared" si="43"/>
        <v>23</v>
      </c>
      <c r="S250" s="5">
        <f t="shared" si="44"/>
        <v>1</v>
      </c>
      <c r="T250" s="7">
        <f t="shared" si="45"/>
        <v>23</v>
      </c>
    </row>
    <row r="251" spans="1:20">
      <c r="A251" s="23" t="s">
        <v>286</v>
      </c>
      <c r="B251" s="35" t="s">
        <v>284</v>
      </c>
      <c r="C251" s="36">
        <v>5531</v>
      </c>
      <c r="D251" s="6"/>
      <c r="E251" s="113">
        <v>372148412</v>
      </c>
      <c r="F251" s="116">
        <f t="shared" si="49"/>
        <v>67284.109925872355</v>
      </c>
      <c r="G251" s="117">
        <v>311427241</v>
      </c>
      <c r="H251" s="117">
        <f t="shared" si="50"/>
        <v>56305.774905080456</v>
      </c>
      <c r="I251" s="7"/>
      <c r="J251" s="10">
        <v>2.8220000000000001</v>
      </c>
      <c r="K251" s="117">
        <v>878847</v>
      </c>
      <c r="L251" s="120">
        <f t="shared" si="51"/>
        <v>158.89477490508045</v>
      </c>
      <c r="M251" s="122">
        <f t="shared" si="46"/>
        <v>3114272.41</v>
      </c>
      <c r="N251" s="116">
        <f t="shared" si="47"/>
        <v>2235425.41</v>
      </c>
      <c r="O251" s="123">
        <f t="shared" si="48"/>
        <v>404.16297414572415</v>
      </c>
      <c r="P251" s="5"/>
      <c r="Q251" s="5">
        <f t="shared" si="42"/>
        <v>1</v>
      </c>
      <c r="R251" s="7">
        <f t="shared" si="43"/>
        <v>5531</v>
      </c>
      <c r="S251" s="5">
        <f t="shared" si="44"/>
        <v>1</v>
      </c>
      <c r="T251" s="7">
        <f t="shared" si="45"/>
        <v>5531</v>
      </c>
    </row>
    <row r="252" spans="1:20">
      <c r="A252" s="23" t="s">
        <v>287</v>
      </c>
      <c r="B252" s="35" t="s">
        <v>284</v>
      </c>
      <c r="C252" s="36">
        <v>2432</v>
      </c>
      <c r="D252" s="6"/>
      <c r="E252" s="113">
        <v>119720349</v>
      </c>
      <c r="F252" s="116">
        <f t="shared" si="49"/>
        <v>49227.1171875</v>
      </c>
      <c r="G252" s="117">
        <v>82273825</v>
      </c>
      <c r="H252" s="117">
        <f t="shared" si="50"/>
        <v>33829.69777960526</v>
      </c>
      <c r="I252" s="7"/>
      <c r="J252" s="10">
        <v>6.9039999999999999</v>
      </c>
      <c r="K252" s="117">
        <v>568018</v>
      </c>
      <c r="L252" s="120">
        <f t="shared" si="51"/>
        <v>233.56003289473685</v>
      </c>
      <c r="M252" s="122">
        <f t="shared" si="46"/>
        <v>822738.25</v>
      </c>
      <c r="N252" s="116">
        <f t="shared" si="47"/>
        <v>254720.25</v>
      </c>
      <c r="O252" s="123">
        <f t="shared" si="48"/>
        <v>104.73694490131579</v>
      </c>
      <c r="P252" s="5"/>
      <c r="Q252" s="5">
        <f t="shared" si="42"/>
        <v>1</v>
      </c>
      <c r="R252" s="7">
        <f t="shared" si="43"/>
        <v>2432</v>
      </c>
      <c r="S252" s="5">
        <f t="shared" si="44"/>
        <v>1</v>
      </c>
      <c r="T252" s="7">
        <f t="shared" si="45"/>
        <v>2432</v>
      </c>
    </row>
    <row r="253" spans="1:20">
      <c r="A253" s="23" t="s">
        <v>288</v>
      </c>
      <c r="B253" s="35" t="s">
        <v>284</v>
      </c>
      <c r="C253" s="36">
        <v>1901</v>
      </c>
      <c r="D253" s="6"/>
      <c r="E253" s="113">
        <v>183297770</v>
      </c>
      <c r="F253" s="116">
        <f t="shared" si="49"/>
        <v>96421.762230405046</v>
      </c>
      <c r="G253" s="117">
        <v>158072943</v>
      </c>
      <c r="H253" s="117">
        <f t="shared" si="50"/>
        <v>83152.521304576541</v>
      </c>
      <c r="I253" s="7"/>
      <c r="J253" s="10">
        <v>3.9</v>
      </c>
      <c r="K253" s="117">
        <v>616484</v>
      </c>
      <c r="L253" s="120">
        <f t="shared" si="51"/>
        <v>324.29458179905311</v>
      </c>
      <c r="M253" s="122">
        <f t="shared" si="46"/>
        <v>1580729.43</v>
      </c>
      <c r="N253" s="116">
        <f t="shared" si="47"/>
        <v>964245.42999999993</v>
      </c>
      <c r="O253" s="123">
        <f t="shared" si="48"/>
        <v>507.23063124671222</v>
      </c>
      <c r="P253" s="5"/>
      <c r="Q253" s="5">
        <f t="shared" si="42"/>
        <v>1</v>
      </c>
      <c r="R253" s="7">
        <f t="shared" si="43"/>
        <v>1901</v>
      </c>
      <c r="S253" s="5">
        <f t="shared" si="44"/>
        <v>1</v>
      </c>
      <c r="T253" s="7">
        <f t="shared" si="45"/>
        <v>1901</v>
      </c>
    </row>
    <row r="254" spans="1:20">
      <c r="A254" s="23" t="s">
        <v>289</v>
      </c>
      <c r="B254" s="35" t="s">
        <v>284</v>
      </c>
      <c r="C254" s="36">
        <v>16</v>
      </c>
      <c r="D254" s="6"/>
      <c r="E254" s="113">
        <v>1501435289</v>
      </c>
      <c r="F254" s="116">
        <f t="shared" si="49"/>
        <v>93839705.5625</v>
      </c>
      <c r="G254" s="117">
        <v>1452541746</v>
      </c>
      <c r="H254" s="117">
        <f t="shared" si="50"/>
        <v>90783859.125</v>
      </c>
      <c r="I254" s="7"/>
      <c r="J254" s="10">
        <v>0.36449999999999999</v>
      </c>
      <c r="K254" s="117">
        <v>529451</v>
      </c>
      <c r="L254" s="120">
        <f t="shared" si="51"/>
        <v>33090.6875</v>
      </c>
      <c r="M254" s="122">
        <f t="shared" si="46"/>
        <v>14525417.460000001</v>
      </c>
      <c r="N254" s="116">
        <f t="shared" si="47"/>
        <v>13995966.460000001</v>
      </c>
      <c r="O254" s="123">
        <f t="shared" si="48"/>
        <v>874747.90375000006</v>
      </c>
      <c r="P254" s="5"/>
      <c r="Q254" s="5">
        <f t="shared" si="42"/>
        <v>1</v>
      </c>
      <c r="R254" s="7">
        <f t="shared" si="43"/>
        <v>16</v>
      </c>
      <c r="S254" s="5">
        <f t="shared" si="44"/>
        <v>1</v>
      </c>
      <c r="T254" s="7">
        <f t="shared" si="45"/>
        <v>16</v>
      </c>
    </row>
    <row r="255" spans="1:20">
      <c r="A255" s="23" t="s">
        <v>290</v>
      </c>
      <c r="B255" s="35" t="s">
        <v>284</v>
      </c>
      <c r="C255" s="36">
        <v>12019</v>
      </c>
      <c r="D255" s="6"/>
      <c r="E255" s="113">
        <v>1640621012</v>
      </c>
      <c r="F255" s="116">
        <f t="shared" si="49"/>
        <v>136502.28904234961</v>
      </c>
      <c r="G255" s="117">
        <v>1413572632</v>
      </c>
      <c r="H255" s="117">
        <f t="shared" si="50"/>
        <v>117611.50112322156</v>
      </c>
      <c r="I255" s="7"/>
      <c r="J255" s="10">
        <v>3.4</v>
      </c>
      <c r="K255" s="117">
        <v>4806146</v>
      </c>
      <c r="L255" s="120">
        <f t="shared" si="51"/>
        <v>399.87902487727763</v>
      </c>
      <c r="M255" s="122">
        <f t="shared" si="46"/>
        <v>14135726.32</v>
      </c>
      <c r="N255" s="116">
        <f t="shared" si="47"/>
        <v>9329580.3200000003</v>
      </c>
      <c r="O255" s="123">
        <f t="shared" si="48"/>
        <v>776.23598635493806</v>
      </c>
      <c r="P255" s="5"/>
      <c r="Q255" s="5">
        <f t="shared" si="42"/>
        <v>1</v>
      </c>
      <c r="R255" s="7">
        <f t="shared" si="43"/>
        <v>12019</v>
      </c>
      <c r="S255" s="5">
        <f t="shared" si="44"/>
        <v>1</v>
      </c>
      <c r="T255" s="7">
        <f t="shared" si="45"/>
        <v>12019</v>
      </c>
    </row>
    <row r="256" spans="1:20">
      <c r="A256" s="23" t="s">
        <v>291</v>
      </c>
      <c r="B256" s="35" t="s">
        <v>284</v>
      </c>
      <c r="C256" s="36">
        <v>936</v>
      </c>
      <c r="D256" s="6"/>
      <c r="E256" s="113">
        <v>56911179</v>
      </c>
      <c r="F256" s="116">
        <f t="shared" si="49"/>
        <v>60802.541666666664</v>
      </c>
      <c r="G256" s="117">
        <v>40393042</v>
      </c>
      <c r="H256" s="117">
        <f t="shared" si="50"/>
        <v>43154.959401709399</v>
      </c>
      <c r="I256" s="7"/>
      <c r="J256" s="10">
        <v>3.9245000000000001</v>
      </c>
      <c r="K256" s="117">
        <v>158522</v>
      </c>
      <c r="L256" s="120">
        <f t="shared" si="51"/>
        <v>169.36111111111111</v>
      </c>
      <c r="M256" s="122">
        <f t="shared" si="46"/>
        <v>403930.42</v>
      </c>
      <c r="N256" s="116">
        <f t="shared" si="47"/>
        <v>245408.41999999998</v>
      </c>
      <c r="O256" s="123">
        <f t="shared" si="48"/>
        <v>262.18848290598288</v>
      </c>
      <c r="P256" s="5"/>
      <c r="Q256" s="5">
        <f t="shared" si="42"/>
        <v>1</v>
      </c>
      <c r="R256" s="7">
        <f t="shared" si="43"/>
        <v>936</v>
      </c>
      <c r="S256" s="5">
        <f t="shared" si="44"/>
        <v>1</v>
      </c>
      <c r="T256" s="7">
        <f t="shared" si="45"/>
        <v>936</v>
      </c>
    </row>
    <row r="257" spans="1:20">
      <c r="A257" s="23" t="s">
        <v>292</v>
      </c>
      <c r="B257" s="35" t="s">
        <v>284</v>
      </c>
      <c r="C257" s="36">
        <v>24391</v>
      </c>
      <c r="D257" s="6"/>
      <c r="E257" s="113">
        <v>1270332633</v>
      </c>
      <c r="F257" s="116">
        <f t="shared" si="49"/>
        <v>52082.023410274283</v>
      </c>
      <c r="G257" s="117">
        <v>957393607</v>
      </c>
      <c r="H257" s="117">
        <f t="shared" si="50"/>
        <v>39251.921077446597</v>
      </c>
      <c r="I257" s="7"/>
      <c r="J257" s="10">
        <v>4.7386999999999997</v>
      </c>
      <c r="K257" s="117">
        <v>4536801</v>
      </c>
      <c r="L257" s="120">
        <f t="shared" si="51"/>
        <v>186.00307490467796</v>
      </c>
      <c r="M257" s="122">
        <f t="shared" si="46"/>
        <v>9573936.0700000003</v>
      </c>
      <c r="N257" s="116">
        <f t="shared" si="47"/>
        <v>5037135.07</v>
      </c>
      <c r="O257" s="123">
        <f t="shared" si="48"/>
        <v>206.51613586978806</v>
      </c>
      <c r="P257" s="5"/>
      <c r="Q257" s="5">
        <f t="shared" si="42"/>
        <v>1</v>
      </c>
      <c r="R257" s="7">
        <f t="shared" si="43"/>
        <v>24391</v>
      </c>
      <c r="S257" s="5">
        <f t="shared" si="44"/>
        <v>1</v>
      </c>
      <c r="T257" s="7">
        <f t="shared" si="45"/>
        <v>24391</v>
      </c>
    </row>
    <row r="258" spans="1:20">
      <c r="A258" s="23" t="s">
        <v>293</v>
      </c>
      <c r="B258" s="35" t="s">
        <v>284</v>
      </c>
      <c r="C258" s="36">
        <v>185951</v>
      </c>
      <c r="D258" s="6"/>
      <c r="E258" s="113">
        <v>17957891224</v>
      </c>
      <c r="F258" s="116">
        <f t="shared" si="49"/>
        <v>96573.243617942368</v>
      </c>
      <c r="G258" s="117">
        <v>11365903185</v>
      </c>
      <c r="H258" s="117">
        <f t="shared" si="50"/>
        <v>61123.108695301453</v>
      </c>
      <c r="I258" s="7"/>
      <c r="J258" s="10">
        <v>6.0666000000000002</v>
      </c>
      <c r="K258" s="117">
        <v>68952388</v>
      </c>
      <c r="L258" s="120">
        <f t="shared" si="51"/>
        <v>370.80944980129175</v>
      </c>
      <c r="M258" s="122">
        <f t="shared" si="46"/>
        <v>113659031.85000001</v>
      </c>
      <c r="N258" s="116">
        <f t="shared" si="47"/>
        <v>44706643.850000009</v>
      </c>
      <c r="O258" s="123">
        <f t="shared" si="48"/>
        <v>240.42163715172282</v>
      </c>
      <c r="P258" s="5"/>
      <c r="Q258" s="5">
        <f t="shared" si="42"/>
        <v>1</v>
      </c>
      <c r="R258" s="7">
        <f t="shared" si="43"/>
        <v>185951</v>
      </c>
      <c r="S258" s="5">
        <f t="shared" si="44"/>
        <v>1</v>
      </c>
      <c r="T258" s="7">
        <f t="shared" si="45"/>
        <v>185951</v>
      </c>
    </row>
    <row r="259" spans="1:20">
      <c r="A259" s="23" t="s">
        <v>294</v>
      </c>
      <c r="B259" s="35" t="s">
        <v>284</v>
      </c>
      <c r="C259" s="36">
        <v>1897</v>
      </c>
      <c r="D259" s="6"/>
      <c r="E259" s="113">
        <v>277094024</v>
      </c>
      <c r="F259" s="116">
        <f t="shared" si="49"/>
        <v>146069.59620453347</v>
      </c>
      <c r="G259" s="117">
        <v>218398826</v>
      </c>
      <c r="H259" s="117">
        <f t="shared" si="50"/>
        <v>115128.53241960991</v>
      </c>
      <c r="I259" s="7"/>
      <c r="J259" s="10">
        <v>2.4</v>
      </c>
      <c r="K259" s="117">
        <v>524157</v>
      </c>
      <c r="L259" s="120">
        <f t="shared" si="51"/>
        <v>276.30838165524511</v>
      </c>
      <c r="M259" s="122">
        <f t="shared" si="46"/>
        <v>2183988.2600000002</v>
      </c>
      <c r="N259" s="116">
        <f t="shared" si="47"/>
        <v>1659831.2600000002</v>
      </c>
      <c r="O259" s="123">
        <f t="shared" si="48"/>
        <v>874.97694254085411</v>
      </c>
      <c r="P259" s="5"/>
      <c r="Q259" s="5">
        <f t="shared" si="42"/>
        <v>1</v>
      </c>
      <c r="R259" s="7">
        <f t="shared" si="43"/>
        <v>1897</v>
      </c>
      <c r="S259" s="5">
        <f t="shared" si="44"/>
        <v>1</v>
      </c>
      <c r="T259" s="7">
        <f t="shared" si="45"/>
        <v>1897</v>
      </c>
    </row>
    <row r="260" spans="1:20">
      <c r="A260" s="23" t="s">
        <v>295</v>
      </c>
      <c r="B260" s="35" t="s">
        <v>284</v>
      </c>
      <c r="C260" s="36">
        <v>14351</v>
      </c>
      <c r="D260" s="6"/>
      <c r="E260" s="113">
        <v>622576590</v>
      </c>
      <c r="F260" s="116">
        <f t="shared" si="49"/>
        <v>43382.105079785382</v>
      </c>
      <c r="G260" s="117">
        <v>471116231</v>
      </c>
      <c r="H260" s="117">
        <f t="shared" si="50"/>
        <v>32828.111699533132</v>
      </c>
      <c r="I260" s="7"/>
      <c r="J260" s="10">
        <v>4.3040000000000003</v>
      </c>
      <c r="K260" s="117">
        <v>2027684</v>
      </c>
      <c r="L260" s="120">
        <f t="shared" si="51"/>
        <v>141.29217476134068</v>
      </c>
      <c r="M260" s="122">
        <f t="shared" si="46"/>
        <v>4711162.3100000005</v>
      </c>
      <c r="N260" s="116">
        <f t="shared" si="47"/>
        <v>2683478.3100000005</v>
      </c>
      <c r="O260" s="123">
        <f t="shared" si="48"/>
        <v>186.98894223399071</v>
      </c>
      <c r="P260" s="5"/>
      <c r="Q260" s="5">
        <f t="shared" si="42"/>
        <v>1</v>
      </c>
      <c r="R260" s="7">
        <f t="shared" si="43"/>
        <v>14351</v>
      </c>
      <c r="S260" s="5">
        <f t="shared" si="44"/>
        <v>1</v>
      </c>
      <c r="T260" s="7">
        <f t="shared" si="45"/>
        <v>14351</v>
      </c>
    </row>
    <row r="261" spans="1:20">
      <c r="A261" s="23" t="s">
        <v>296</v>
      </c>
      <c r="B261" s="35" t="s">
        <v>284</v>
      </c>
      <c r="C261" s="36">
        <v>24090</v>
      </c>
      <c r="D261" s="6"/>
      <c r="E261" s="113">
        <v>2721433388</v>
      </c>
      <c r="F261" s="116">
        <f t="shared" si="49"/>
        <v>112969.42249896223</v>
      </c>
      <c r="G261" s="117">
        <v>2135018036</v>
      </c>
      <c r="H261" s="117">
        <f t="shared" si="50"/>
        <v>88626.734578663352</v>
      </c>
      <c r="I261" s="7"/>
      <c r="J261" s="10">
        <v>3.8159999999999998</v>
      </c>
      <c r="K261" s="117">
        <v>8147228</v>
      </c>
      <c r="L261" s="120">
        <f t="shared" si="51"/>
        <v>338.19958488999583</v>
      </c>
      <c r="M261" s="122">
        <f t="shared" si="46"/>
        <v>21350180.359999999</v>
      </c>
      <c r="N261" s="116">
        <f t="shared" si="47"/>
        <v>13202952.359999999</v>
      </c>
      <c r="O261" s="123">
        <f t="shared" si="48"/>
        <v>548.06776089663754</v>
      </c>
      <c r="P261" s="5"/>
      <c r="Q261" s="5">
        <f t="shared" si="42"/>
        <v>1</v>
      </c>
      <c r="R261" s="7">
        <f t="shared" si="43"/>
        <v>24090</v>
      </c>
      <c r="S261" s="5">
        <f t="shared" si="44"/>
        <v>1</v>
      </c>
      <c r="T261" s="7">
        <f t="shared" si="45"/>
        <v>24090</v>
      </c>
    </row>
    <row r="262" spans="1:20">
      <c r="A262" s="23" t="s">
        <v>297</v>
      </c>
      <c r="B262" s="35" t="s">
        <v>298</v>
      </c>
      <c r="C262" s="36">
        <v>47814</v>
      </c>
      <c r="D262" s="6"/>
      <c r="E262" s="113">
        <v>2107895369</v>
      </c>
      <c r="F262" s="116">
        <f t="shared" si="49"/>
        <v>44085.317459321537</v>
      </c>
      <c r="G262" s="117">
        <v>1462358007</v>
      </c>
      <c r="H262" s="117">
        <f t="shared" si="50"/>
        <v>30584.305998243191</v>
      </c>
      <c r="I262" s="7"/>
      <c r="J262" s="10">
        <v>4.2949999999999999</v>
      </c>
      <c r="K262" s="117">
        <v>6280827</v>
      </c>
      <c r="L262" s="120">
        <f t="shared" si="51"/>
        <v>131.3595808758941</v>
      </c>
      <c r="M262" s="122">
        <f t="shared" si="46"/>
        <v>14623580.07</v>
      </c>
      <c r="N262" s="116">
        <f t="shared" si="47"/>
        <v>8342753.0700000003</v>
      </c>
      <c r="O262" s="123">
        <f t="shared" si="48"/>
        <v>174.48347910653783</v>
      </c>
      <c r="P262" s="5"/>
      <c r="Q262" s="5">
        <f t="shared" si="42"/>
        <v>1</v>
      </c>
      <c r="R262" s="7">
        <f t="shared" si="43"/>
        <v>47814</v>
      </c>
      <c r="S262" s="5">
        <f t="shared" si="44"/>
        <v>1</v>
      </c>
      <c r="T262" s="7">
        <f t="shared" si="45"/>
        <v>47814</v>
      </c>
    </row>
    <row r="263" spans="1:20">
      <c r="A263" s="23" t="s">
        <v>546</v>
      </c>
      <c r="B263" s="35" t="s">
        <v>298</v>
      </c>
      <c r="C263" s="36">
        <v>20074</v>
      </c>
      <c r="D263" s="6"/>
      <c r="E263" s="113">
        <v>712478504</v>
      </c>
      <c r="F263" s="116">
        <f t="shared" si="49"/>
        <v>35492.602570489187</v>
      </c>
      <c r="G263" s="117">
        <v>503169919</v>
      </c>
      <c r="H263" s="117">
        <f t="shared" si="50"/>
        <v>25065.752665138985</v>
      </c>
      <c r="I263" s="7"/>
      <c r="J263" s="10">
        <v>4.1790000000000003</v>
      </c>
      <c r="K263" s="117">
        <v>2102747</v>
      </c>
      <c r="L263" s="120">
        <f t="shared" si="51"/>
        <v>104.7497758294311</v>
      </c>
      <c r="M263" s="122">
        <f t="shared" si="46"/>
        <v>5031699.1900000004</v>
      </c>
      <c r="N263" s="116">
        <f t="shared" si="47"/>
        <v>2928952.1900000004</v>
      </c>
      <c r="O263" s="123">
        <f t="shared" si="48"/>
        <v>145.90775082195879</v>
      </c>
      <c r="P263" s="5"/>
      <c r="Q263" s="5">
        <f t="shared" ref="Q263:Q326" si="52">IF(E263&gt;0,1,0)</f>
        <v>1</v>
      </c>
      <c r="R263" s="7">
        <f t="shared" ref="R263:R326" si="53">IF(E263&gt;0,C263,0)</f>
        <v>20074</v>
      </c>
      <c r="S263" s="5">
        <f t="shared" ref="S263:S326" si="54">IF(J263&gt;0,1,0)</f>
        <v>1</v>
      </c>
      <c r="T263" s="7">
        <f t="shared" ref="T263:T326" si="55">IF(J263&gt;0,C263,0)</f>
        <v>20074</v>
      </c>
    </row>
    <row r="264" spans="1:20">
      <c r="A264" s="23" t="s">
        <v>299</v>
      </c>
      <c r="B264" s="35" t="s">
        <v>300</v>
      </c>
      <c r="C264" s="36">
        <v>2005</v>
      </c>
      <c r="D264" s="6"/>
      <c r="E264" s="113">
        <v>314750197</v>
      </c>
      <c r="F264" s="116">
        <f t="shared" si="49"/>
        <v>156982.64189526186</v>
      </c>
      <c r="G264" s="117">
        <v>292926633</v>
      </c>
      <c r="H264" s="117">
        <f t="shared" si="50"/>
        <v>146098.07132169575</v>
      </c>
      <c r="I264" s="7"/>
      <c r="J264" s="10">
        <v>7.3491999999999997</v>
      </c>
      <c r="K264" s="117">
        <v>2152776</v>
      </c>
      <c r="L264" s="120">
        <f t="shared" si="51"/>
        <v>1073.7037406483792</v>
      </c>
      <c r="M264" s="122">
        <f t="shared" ref="M264:M327" si="56">(G264*0.01)</f>
        <v>2929266.33</v>
      </c>
      <c r="N264" s="116">
        <f t="shared" ref="N264:N327" si="57">(M264-K264)</f>
        <v>776490.33000000007</v>
      </c>
      <c r="O264" s="123">
        <f t="shared" ref="O264:O327" si="58">(N264/C264)</f>
        <v>387.27697256857857</v>
      </c>
      <c r="P264" s="5"/>
      <c r="Q264" s="5">
        <f t="shared" si="52"/>
        <v>1</v>
      </c>
      <c r="R264" s="7">
        <f t="shared" si="53"/>
        <v>2005</v>
      </c>
      <c r="S264" s="5">
        <f t="shared" si="54"/>
        <v>1</v>
      </c>
      <c r="T264" s="7">
        <f t="shared" si="55"/>
        <v>2005</v>
      </c>
    </row>
    <row r="265" spans="1:20">
      <c r="A265" s="23" t="s">
        <v>301</v>
      </c>
      <c r="B265" s="35" t="s">
        <v>300</v>
      </c>
      <c r="C265" s="36">
        <v>14906</v>
      </c>
      <c r="D265" s="6"/>
      <c r="E265" s="113">
        <v>350611899</v>
      </c>
      <c r="F265" s="116">
        <f t="shared" si="49"/>
        <v>23521.528176573192</v>
      </c>
      <c r="G265" s="117">
        <v>222470992</v>
      </c>
      <c r="H265" s="117">
        <f t="shared" si="50"/>
        <v>14924.929021870388</v>
      </c>
      <c r="I265" s="7"/>
      <c r="J265" s="10">
        <v>8.98</v>
      </c>
      <c r="K265" s="117">
        <v>1997789</v>
      </c>
      <c r="L265" s="120">
        <f t="shared" si="51"/>
        <v>134.02582852542599</v>
      </c>
      <c r="M265" s="122">
        <f t="shared" si="56"/>
        <v>2224709.92</v>
      </c>
      <c r="N265" s="116">
        <f t="shared" si="57"/>
        <v>226920.91999999993</v>
      </c>
      <c r="O265" s="123">
        <f t="shared" si="58"/>
        <v>15.223461693277869</v>
      </c>
      <c r="P265" s="5"/>
      <c r="Q265" s="5">
        <f t="shared" si="52"/>
        <v>1</v>
      </c>
      <c r="R265" s="7">
        <f t="shared" si="53"/>
        <v>14906</v>
      </c>
      <c r="S265" s="5">
        <f t="shared" si="54"/>
        <v>1</v>
      </c>
      <c r="T265" s="7">
        <f t="shared" si="55"/>
        <v>14906</v>
      </c>
    </row>
    <row r="266" spans="1:20">
      <c r="A266" s="23" t="s">
        <v>302</v>
      </c>
      <c r="B266" s="35" t="s">
        <v>300</v>
      </c>
      <c r="C266" s="36">
        <v>74764</v>
      </c>
      <c r="D266" s="6"/>
      <c r="E266" s="113">
        <v>11543701808</v>
      </c>
      <c r="F266" s="116">
        <f t="shared" si="49"/>
        <v>154401.87534107323</v>
      </c>
      <c r="G266" s="117">
        <v>9734592978</v>
      </c>
      <c r="H266" s="117">
        <f t="shared" si="50"/>
        <v>130204.28251564925</v>
      </c>
      <c r="I266" s="7"/>
      <c r="J266" s="10">
        <v>3.6251000000000002</v>
      </c>
      <c r="K266" s="117">
        <v>35288873</v>
      </c>
      <c r="L266" s="120">
        <f t="shared" si="51"/>
        <v>472.00354448665132</v>
      </c>
      <c r="M266" s="122">
        <f t="shared" si="56"/>
        <v>97345929.780000001</v>
      </c>
      <c r="N266" s="116">
        <f t="shared" si="57"/>
        <v>62057056.780000001</v>
      </c>
      <c r="O266" s="123">
        <f t="shared" si="58"/>
        <v>830.03928066984111</v>
      </c>
      <c r="P266" s="5"/>
      <c r="Q266" s="5">
        <f t="shared" si="52"/>
        <v>1</v>
      </c>
      <c r="R266" s="7">
        <f t="shared" si="53"/>
        <v>74764</v>
      </c>
      <c r="S266" s="5">
        <f t="shared" si="54"/>
        <v>1</v>
      </c>
      <c r="T266" s="7">
        <f t="shared" si="55"/>
        <v>74764</v>
      </c>
    </row>
    <row r="267" spans="1:20">
      <c r="A267" s="23" t="s">
        <v>303</v>
      </c>
      <c r="B267" s="35" t="s">
        <v>300</v>
      </c>
      <c r="C267" s="36">
        <v>60389</v>
      </c>
      <c r="D267" s="6"/>
      <c r="E267" s="113">
        <v>3254183938</v>
      </c>
      <c r="F267" s="116">
        <f t="shared" si="49"/>
        <v>53887.031379887063</v>
      </c>
      <c r="G267" s="117">
        <v>2544999347</v>
      </c>
      <c r="H267" s="117">
        <f t="shared" si="50"/>
        <v>42143.425905380122</v>
      </c>
      <c r="I267" s="7"/>
      <c r="J267" s="10">
        <v>8.2272999999999996</v>
      </c>
      <c r="K267" s="117">
        <v>20938473</v>
      </c>
      <c r="L267" s="120">
        <f t="shared" si="51"/>
        <v>346.72660583881168</v>
      </c>
      <c r="M267" s="122">
        <f t="shared" si="56"/>
        <v>25449993.469999999</v>
      </c>
      <c r="N267" s="116">
        <f t="shared" si="57"/>
        <v>4511520.4699999988</v>
      </c>
      <c r="O267" s="123">
        <f t="shared" si="58"/>
        <v>74.707653214989463</v>
      </c>
      <c r="P267" s="5"/>
      <c r="Q267" s="5">
        <f t="shared" si="52"/>
        <v>1</v>
      </c>
      <c r="R267" s="7">
        <f t="shared" si="53"/>
        <v>60389</v>
      </c>
      <c r="S267" s="5">
        <f t="shared" si="54"/>
        <v>1</v>
      </c>
      <c r="T267" s="7">
        <f t="shared" si="55"/>
        <v>60389</v>
      </c>
    </row>
    <row r="268" spans="1:20">
      <c r="A268" s="23" t="s">
        <v>304</v>
      </c>
      <c r="B268" s="35" t="s">
        <v>300</v>
      </c>
      <c r="C268" s="36">
        <v>411</v>
      </c>
      <c r="D268" s="6"/>
      <c r="E268" s="113">
        <v>21062883</v>
      </c>
      <c r="F268" s="116">
        <f t="shared" si="49"/>
        <v>51247.890510948906</v>
      </c>
      <c r="G268" s="117">
        <v>16772743</v>
      </c>
      <c r="H268" s="117">
        <f t="shared" si="50"/>
        <v>40809.593673965937</v>
      </c>
      <c r="I268" s="7"/>
      <c r="J268" s="10">
        <v>1.2791999999999999</v>
      </c>
      <c r="K268" s="117">
        <v>21455</v>
      </c>
      <c r="L268" s="120">
        <f t="shared" si="51"/>
        <v>52.201946472019465</v>
      </c>
      <c r="M268" s="122">
        <f t="shared" si="56"/>
        <v>167727.43</v>
      </c>
      <c r="N268" s="116">
        <f t="shared" si="57"/>
        <v>146272.43</v>
      </c>
      <c r="O268" s="123">
        <f t="shared" si="58"/>
        <v>355.89399026763988</v>
      </c>
      <c r="P268" s="5"/>
      <c r="Q268" s="5">
        <f t="shared" si="52"/>
        <v>1</v>
      </c>
      <c r="R268" s="7">
        <f t="shared" si="53"/>
        <v>411</v>
      </c>
      <c r="S268" s="5">
        <f t="shared" si="54"/>
        <v>1</v>
      </c>
      <c r="T268" s="7">
        <f t="shared" si="55"/>
        <v>411</v>
      </c>
    </row>
    <row r="269" spans="1:20">
      <c r="A269" s="23" t="s">
        <v>305</v>
      </c>
      <c r="B269" s="35" t="s">
        <v>300</v>
      </c>
      <c r="C269" s="36">
        <v>167</v>
      </c>
      <c r="D269" s="6"/>
      <c r="E269" s="113">
        <v>4471423</v>
      </c>
      <c r="F269" s="116">
        <f t="shared" si="49"/>
        <v>26774.988023952097</v>
      </c>
      <c r="G269" s="117">
        <v>3391444</v>
      </c>
      <c r="H269" s="117">
        <f t="shared" si="50"/>
        <v>20308.047904191615</v>
      </c>
      <c r="I269" s="98" t="s">
        <v>528</v>
      </c>
      <c r="J269" s="10"/>
      <c r="K269" s="117"/>
      <c r="L269" s="120"/>
      <c r="M269" s="122">
        <f t="shared" si="56"/>
        <v>33914.44</v>
      </c>
      <c r="N269" s="116">
        <f t="shared" si="57"/>
        <v>33914.44</v>
      </c>
      <c r="O269" s="123">
        <f t="shared" si="58"/>
        <v>203.08047904191619</v>
      </c>
      <c r="P269" s="5"/>
      <c r="Q269" s="5">
        <f t="shared" si="52"/>
        <v>1</v>
      </c>
      <c r="R269" s="7">
        <f t="shared" si="53"/>
        <v>167</v>
      </c>
      <c r="S269" s="5">
        <f t="shared" si="54"/>
        <v>0</v>
      </c>
      <c r="T269" s="7">
        <f t="shared" si="55"/>
        <v>0</v>
      </c>
    </row>
    <row r="270" spans="1:20">
      <c r="A270" s="23" t="s">
        <v>306</v>
      </c>
      <c r="B270" s="35" t="s">
        <v>300</v>
      </c>
      <c r="C270" s="36">
        <v>60020</v>
      </c>
      <c r="D270" s="6"/>
      <c r="E270" s="113">
        <v>4232043541</v>
      </c>
      <c r="F270" s="116">
        <f t="shared" si="49"/>
        <v>70510.555498167276</v>
      </c>
      <c r="G270" s="117">
        <v>3391989243</v>
      </c>
      <c r="H270" s="117">
        <f t="shared" si="50"/>
        <v>56514.315944685106</v>
      </c>
      <c r="I270" s="7"/>
      <c r="J270" s="10">
        <v>7.95</v>
      </c>
      <c r="K270" s="117">
        <v>26966314</v>
      </c>
      <c r="L270" s="120">
        <f>(K270/C270)</f>
        <v>449.28880373208932</v>
      </c>
      <c r="M270" s="122">
        <f t="shared" si="56"/>
        <v>33919892.43</v>
      </c>
      <c r="N270" s="116">
        <f t="shared" si="57"/>
        <v>6953578.4299999997</v>
      </c>
      <c r="O270" s="123">
        <f t="shared" si="58"/>
        <v>115.85435571476174</v>
      </c>
      <c r="P270" s="5"/>
      <c r="Q270" s="5">
        <f t="shared" si="52"/>
        <v>1</v>
      </c>
      <c r="R270" s="7">
        <f t="shared" si="53"/>
        <v>60020</v>
      </c>
      <c r="S270" s="5">
        <f t="shared" si="54"/>
        <v>1</v>
      </c>
      <c r="T270" s="7">
        <f t="shared" si="55"/>
        <v>60020</v>
      </c>
    </row>
    <row r="271" spans="1:20">
      <c r="A271" s="23" t="s">
        <v>307</v>
      </c>
      <c r="B271" s="35" t="s">
        <v>300</v>
      </c>
      <c r="C271" s="36">
        <v>276</v>
      </c>
      <c r="D271" s="6"/>
      <c r="E271" s="113">
        <v>11967466</v>
      </c>
      <c r="F271" s="116">
        <f t="shared" si="49"/>
        <v>43360.384057971016</v>
      </c>
      <c r="G271" s="117">
        <v>9991849</v>
      </c>
      <c r="H271" s="117">
        <f t="shared" si="50"/>
        <v>36202.35144927536</v>
      </c>
      <c r="I271" s="98" t="s">
        <v>528</v>
      </c>
      <c r="J271" s="10"/>
      <c r="K271" s="117"/>
      <c r="L271" s="120"/>
      <c r="M271" s="122">
        <f t="shared" si="56"/>
        <v>99918.49</v>
      </c>
      <c r="N271" s="116">
        <f t="shared" si="57"/>
        <v>99918.49</v>
      </c>
      <c r="O271" s="123">
        <f t="shared" si="58"/>
        <v>362.02351449275363</v>
      </c>
      <c r="P271" s="5"/>
      <c r="Q271" s="5">
        <f t="shared" si="52"/>
        <v>1</v>
      </c>
      <c r="R271" s="7">
        <f t="shared" si="53"/>
        <v>276</v>
      </c>
      <c r="S271" s="5">
        <f t="shared" si="54"/>
        <v>0</v>
      </c>
      <c r="T271" s="7">
        <f t="shared" si="55"/>
        <v>0</v>
      </c>
    </row>
    <row r="272" spans="1:20">
      <c r="A272" s="23" t="s">
        <v>308</v>
      </c>
      <c r="B272" s="35" t="s">
        <v>300</v>
      </c>
      <c r="C272" s="36">
        <v>230</v>
      </c>
      <c r="D272" s="6"/>
      <c r="E272" s="113">
        <v>91767370</v>
      </c>
      <c r="F272" s="116">
        <f t="shared" si="49"/>
        <v>398988.5652173913</v>
      </c>
      <c r="G272" s="117">
        <v>77770943</v>
      </c>
      <c r="H272" s="117">
        <f t="shared" si="50"/>
        <v>338134.53478260868</v>
      </c>
      <c r="I272" s="9"/>
      <c r="J272" s="10">
        <v>5.9119000000000002</v>
      </c>
      <c r="K272" s="117">
        <v>459774</v>
      </c>
      <c r="L272" s="120">
        <f t="shared" ref="L272:L303" si="59">(K272/C272)</f>
        <v>1999.0173913043479</v>
      </c>
      <c r="M272" s="122">
        <f t="shared" si="56"/>
        <v>777709.43</v>
      </c>
      <c r="N272" s="116">
        <f t="shared" si="57"/>
        <v>317935.43000000005</v>
      </c>
      <c r="O272" s="123">
        <f t="shared" si="58"/>
        <v>1382.3279565217395</v>
      </c>
      <c r="P272" s="5"/>
      <c r="Q272" s="5">
        <f t="shared" si="52"/>
        <v>1</v>
      </c>
      <c r="R272" s="7">
        <f t="shared" si="53"/>
        <v>230</v>
      </c>
      <c r="S272" s="5">
        <f t="shared" si="54"/>
        <v>1</v>
      </c>
      <c r="T272" s="7">
        <f t="shared" si="55"/>
        <v>230</v>
      </c>
    </row>
    <row r="273" spans="1:20">
      <c r="A273" s="23" t="s">
        <v>309</v>
      </c>
      <c r="B273" s="35" t="s">
        <v>300</v>
      </c>
      <c r="C273" s="36">
        <v>27569</v>
      </c>
      <c r="D273" s="6"/>
      <c r="E273" s="113">
        <v>975187033</v>
      </c>
      <c r="F273" s="116">
        <f t="shared" si="49"/>
        <v>35372.593601508939</v>
      </c>
      <c r="G273" s="117">
        <v>736702524</v>
      </c>
      <c r="H273" s="117">
        <f t="shared" si="50"/>
        <v>26722.134426348435</v>
      </c>
      <c r="I273" s="9"/>
      <c r="J273" s="10">
        <v>6.0179999999999998</v>
      </c>
      <c r="K273" s="117">
        <v>4433475</v>
      </c>
      <c r="L273" s="120">
        <f t="shared" si="59"/>
        <v>160.81377634299395</v>
      </c>
      <c r="M273" s="122">
        <f t="shared" si="56"/>
        <v>7367025.2400000002</v>
      </c>
      <c r="N273" s="116">
        <f t="shared" si="57"/>
        <v>2933550.24</v>
      </c>
      <c r="O273" s="123">
        <f t="shared" si="58"/>
        <v>106.40756792049041</v>
      </c>
      <c r="P273" s="5"/>
      <c r="Q273" s="5">
        <f t="shared" si="52"/>
        <v>1</v>
      </c>
      <c r="R273" s="7">
        <f t="shared" si="53"/>
        <v>27569</v>
      </c>
      <c r="S273" s="5">
        <f t="shared" si="54"/>
        <v>1</v>
      </c>
      <c r="T273" s="7">
        <f t="shared" si="55"/>
        <v>27569</v>
      </c>
    </row>
    <row r="274" spans="1:20">
      <c r="A274" s="23" t="s">
        <v>310</v>
      </c>
      <c r="B274" s="35" t="s">
        <v>300</v>
      </c>
      <c r="C274" s="36">
        <v>716</v>
      </c>
      <c r="D274" s="6"/>
      <c r="E274" s="113">
        <v>421090994</v>
      </c>
      <c r="F274" s="116">
        <f t="shared" si="49"/>
        <v>588115.91340782121</v>
      </c>
      <c r="G274" s="117">
        <v>372223201</v>
      </c>
      <c r="H274" s="117">
        <f t="shared" si="50"/>
        <v>519864.80586592178</v>
      </c>
      <c r="I274" s="7"/>
      <c r="J274" s="10">
        <v>3.7852999999999999</v>
      </c>
      <c r="K274" s="117">
        <v>1408976</v>
      </c>
      <c r="L274" s="120">
        <f t="shared" si="59"/>
        <v>1967.8435754189943</v>
      </c>
      <c r="M274" s="122">
        <f t="shared" si="56"/>
        <v>3722232.0100000002</v>
      </c>
      <c r="N274" s="116">
        <f t="shared" si="57"/>
        <v>2313256.0100000002</v>
      </c>
      <c r="O274" s="123">
        <f t="shared" si="58"/>
        <v>3230.8044832402238</v>
      </c>
      <c r="P274" s="5"/>
      <c r="Q274" s="5">
        <f t="shared" si="52"/>
        <v>1</v>
      </c>
      <c r="R274" s="7">
        <f t="shared" si="53"/>
        <v>716</v>
      </c>
      <c r="S274" s="5">
        <f t="shared" si="54"/>
        <v>1</v>
      </c>
      <c r="T274" s="7">
        <f t="shared" si="55"/>
        <v>716</v>
      </c>
    </row>
    <row r="275" spans="1:20">
      <c r="A275" s="23" t="s">
        <v>311</v>
      </c>
      <c r="B275" s="35" t="s">
        <v>300</v>
      </c>
      <c r="C275" s="36">
        <v>1454</v>
      </c>
      <c r="D275" s="6"/>
      <c r="E275" s="113">
        <v>60484350</v>
      </c>
      <c r="F275" s="116">
        <f t="shared" si="49"/>
        <v>41598.590096286105</v>
      </c>
      <c r="G275" s="117">
        <v>43478171</v>
      </c>
      <c r="H275" s="117">
        <f t="shared" si="50"/>
        <v>29902.455983493812</v>
      </c>
      <c r="I275" s="9"/>
      <c r="J275" s="11">
        <v>5</v>
      </c>
      <c r="K275" s="117">
        <v>217390</v>
      </c>
      <c r="L275" s="120">
        <f t="shared" si="59"/>
        <v>149.51169188445667</v>
      </c>
      <c r="M275" s="122">
        <f t="shared" si="56"/>
        <v>434781.71</v>
      </c>
      <c r="N275" s="116">
        <f t="shared" si="57"/>
        <v>217391.71000000002</v>
      </c>
      <c r="O275" s="123">
        <f t="shared" si="58"/>
        <v>149.51286795048145</v>
      </c>
      <c r="P275" s="5"/>
      <c r="Q275" s="5">
        <f t="shared" si="52"/>
        <v>1</v>
      </c>
      <c r="R275" s="7">
        <f t="shared" si="53"/>
        <v>1454</v>
      </c>
      <c r="S275" s="5">
        <f t="shared" si="54"/>
        <v>1</v>
      </c>
      <c r="T275" s="7">
        <f t="shared" si="55"/>
        <v>1454</v>
      </c>
    </row>
    <row r="276" spans="1:20">
      <c r="A276" s="23" t="s">
        <v>312</v>
      </c>
      <c r="B276" s="35" t="s">
        <v>300</v>
      </c>
      <c r="C276" s="36">
        <v>3775</v>
      </c>
      <c r="D276" s="6"/>
      <c r="E276" s="113">
        <v>934201563</v>
      </c>
      <c r="F276" s="116">
        <f t="shared" si="49"/>
        <v>247470.61271523178</v>
      </c>
      <c r="G276" s="117">
        <v>858637171</v>
      </c>
      <c r="H276" s="117">
        <f t="shared" si="50"/>
        <v>227453.55523178808</v>
      </c>
      <c r="I276" s="7"/>
      <c r="J276" s="10">
        <v>4</v>
      </c>
      <c r="K276" s="117">
        <v>3434548</v>
      </c>
      <c r="L276" s="120">
        <f t="shared" si="59"/>
        <v>909.8140397350993</v>
      </c>
      <c r="M276" s="122">
        <f t="shared" si="56"/>
        <v>8586371.7100000009</v>
      </c>
      <c r="N276" s="116">
        <f t="shared" si="57"/>
        <v>5151823.7100000009</v>
      </c>
      <c r="O276" s="123">
        <f t="shared" si="58"/>
        <v>1364.7215125827818</v>
      </c>
      <c r="P276" s="5"/>
      <c r="Q276" s="5">
        <f t="shared" si="52"/>
        <v>1</v>
      </c>
      <c r="R276" s="7">
        <f t="shared" si="53"/>
        <v>3775</v>
      </c>
      <c r="S276" s="5">
        <f t="shared" si="54"/>
        <v>1</v>
      </c>
      <c r="T276" s="7">
        <f t="shared" si="55"/>
        <v>3775</v>
      </c>
    </row>
    <row r="277" spans="1:20">
      <c r="A277" s="23" t="s">
        <v>313</v>
      </c>
      <c r="B277" s="35" t="s">
        <v>300</v>
      </c>
      <c r="C277" s="36">
        <v>2015</v>
      </c>
      <c r="D277" s="6"/>
      <c r="E277" s="113">
        <v>174493052</v>
      </c>
      <c r="F277" s="116">
        <f t="shared" si="49"/>
        <v>86597.04813895782</v>
      </c>
      <c r="G277" s="117">
        <v>153957535</v>
      </c>
      <c r="H277" s="117">
        <f t="shared" si="50"/>
        <v>76405.724565756827</v>
      </c>
      <c r="I277" s="7"/>
      <c r="J277" s="12">
        <v>3.7652000000000001</v>
      </c>
      <c r="K277" s="117">
        <v>579680</v>
      </c>
      <c r="L277" s="120">
        <f t="shared" si="59"/>
        <v>287.68238213399502</v>
      </c>
      <c r="M277" s="122">
        <f t="shared" si="56"/>
        <v>1539575.35</v>
      </c>
      <c r="N277" s="116">
        <f t="shared" si="57"/>
        <v>959895.35000000009</v>
      </c>
      <c r="O277" s="123">
        <f t="shared" si="58"/>
        <v>476.37486352357325</v>
      </c>
      <c r="P277" s="5"/>
      <c r="Q277" s="5">
        <f t="shared" si="52"/>
        <v>1</v>
      </c>
      <c r="R277" s="7">
        <f t="shared" si="53"/>
        <v>2015</v>
      </c>
      <c r="S277" s="5">
        <f t="shared" si="54"/>
        <v>1</v>
      </c>
      <c r="T277" s="7">
        <f t="shared" si="55"/>
        <v>2015</v>
      </c>
    </row>
    <row r="278" spans="1:20">
      <c r="A278" s="23" t="s">
        <v>314</v>
      </c>
      <c r="B278" s="35" t="s">
        <v>300</v>
      </c>
      <c r="C278" s="36">
        <v>3262</v>
      </c>
      <c r="D278" s="6"/>
      <c r="E278" s="113">
        <v>548091555</v>
      </c>
      <c r="F278" s="116">
        <f t="shared" si="49"/>
        <v>168023.16217044758</v>
      </c>
      <c r="G278" s="117">
        <v>481312087</v>
      </c>
      <c r="H278" s="117">
        <f t="shared" si="50"/>
        <v>147551.2222562845</v>
      </c>
      <c r="I278" s="7"/>
      <c r="J278" s="10">
        <v>3.8607999999999998</v>
      </c>
      <c r="K278" s="117">
        <v>1858249</v>
      </c>
      <c r="L278" s="120">
        <f t="shared" si="59"/>
        <v>569.66554261189458</v>
      </c>
      <c r="M278" s="122">
        <f t="shared" si="56"/>
        <v>4813120.87</v>
      </c>
      <c r="N278" s="116">
        <f t="shared" si="57"/>
        <v>2954871.87</v>
      </c>
      <c r="O278" s="123">
        <f t="shared" si="58"/>
        <v>905.84667995095037</v>
      </c>
      <c r="P278" s="5"/>
      <c r="Q278" s="5">
        <f t="shared" si="52"/>
        <v>1</v>
      </c>
      <c r="R278" s="7">
        <f t="shared" si="53"/>
        <v>3262</v>
      </c>
      <c r="S278" s="5">
        <f t="shared" si="54"/>
        <v>1</v>
      </c>
      <c r="T278" s="7">
        <f t="shared" si="55"/>
        <v>3262</v>
      </c>
    </row>
    <row r="279" spans="1:20">
      <c r="A279" s="23" t="s">
        <v>315</v>
      </c>
      <c r="B279" s="35" t="s">
        <v>300</v>
      </c>
      <c r="C279" s="36">
        <v>39328</v>
      </c>
      <c r="D279" s="6"/>
      <c r="E279" s="113">
        <v>4083011729</v>
      </c>
      <c r="F279" s="116">
        <f t="shared" si="49"/>
        <v>103819.46015561432</v>
      </c>
      <c r="G279" s="117">
        <v>3348493701</v>
      </c>
      <c r="H279" s="117">
        <f t="shared" si="50"/>
        <v>85142.740566517488</v>
      </c>
      <c r="I279" s="7"/>
      <c r="J279" s="10">
        <v>2.8347000000000002</v>
      </c>
      <c r="K279" s="117">
        <v>9491975</v>
      </c>
      <c r="L279" s="120">
        <f t="shared" si="59"/>
        <v>241.35412428803906</v>
      </c>
      <c r="M279" s="122">
        <f t="shared" si="56"/>
        <v>33484937.010000002</v>
      </c>
      <c r="N279" s="116">
        <f t="shared" si="57"/>
        <v>23992962.010000002</v>
      </c>
      <c r="O279" s="123">
        <f t="shared" si="58"/>
        <v>610.07328137713591</v>
      </c>
      <c r="P279" s="5"/>
      <c r="Q279" s="5">
        <f t="shared" si="52"/>
        <v>1</v>
      </c>
      <c r="R279" s="7">
        <f t="shared" si="53"/>
        <v>39328</v>
      </c>
      <c r="S279" s="5">
        <f t="shared" si="54"/>
        <v>1</v>
      </c>
      <c r="T279" s="7">
        <f t="shared" si="55"/>
        <v>39328</v>
      </c>
    </row>
    <row r="280" spans="1:20">
      <c r="A280" s="23" t="s">
        <v>316</v>
      </c>
      <c r="B280" s="35" t="s">
        <v>300</v>
      </c>
      <c r="C280" s="36">
        <v>368</v>
      </c>
      <c r="D280" s="6"/>
      <c r="E280" s="113">
        <v>123765516</v>
      </c>
      <c r="F280" s="116">
        <f t="shared" si="49"/>
        <v>336319.33695652173</v>
      </c>
      <c r="G280" s="117">
        <v>108053985</v>
      </c>
      <c r="H280" s="117">
        <f t="shared" si="50"/>
        <v>293624.95923913043</v>
      </c>
      <c r="I280" s="7"/>
      <c r="J280" s="10">
        <v>5.59</v>
      </c>
      <c r="K280" s="117">
        <v>604021</v>
      </c>
      <c r="L280" s="120">
        <f t="shared" si="59"/>
        <v>1641.3614130434783</v>
      </c>
      <c r="M280" s="122">
        <f t="shared" si="56"/>
        <v>1080539.8500000001</v>
      </c>
      <c r="N280" s="116">
        <f t="shared" si="57"/>
        <v>476518.85000000009</v>
      </c>
      <c r="O280" s="123">
        <f t="shared" si="58"/>
        <v>1294.8881793478263</v>
      </c>
      <c r="P280" s="5"/>
      <c r="Q280" s="5">
        <f t="shared" si="52"/>
        <v>1</v>
      </c>
      <c r="R280" s="7">
        <f t="shared" si="53"/>
        <v>368</v>
      </c>
      <c r="S280" s="5">
        <f t="shared" si="54"/>
        <v>1</v>
      </c>
      <c r="T280" s="7">
        <f t="shared" si="55"/>
        <v>368</v>
      </c>
    </row>
    <row r="281" spans="1:20">
      <c r="A281" s="23" t="s">
        <v>317</v>
      </c>
      <c r="B281" s="35" t="s">
        <v>300</v>
      </c>
      <c r="C281" s="36">
        <v>3451</v>
      </c>
      <c r="D281" s="6"/>
      <c r="E281" s="113">
        <v>190365384</v>
      </c>
      <c r="F281" s="116">
        <f t="shared" si="49"/>
        <v>55162.383077368875</v>
      </c>
      <c r="G281" s="117">
        <v>149538531</v>
      </c>
      <c r="H281" s="117">
        <f t="shared" si="50"/>
        <v>43331.941756012748</v>
      </c>
      <c r="I281" s="7"/>
      <c r="J281" s="10">
        <v>5.3163999999999998</v>
      </c>
      <c r="K281" s="117">
        <v>795006</v>
      </c>
      <c r="L281" s="120">
        <f t="shared" si="59"/>
        <v>230.36974789915968</v>
      </c>
      <c r="M281" s="122">
        <f t="shared" si="56"/>
        <v>1495385.31</v>
      </c>
      <c r="N281" s="116">
        <f t="shared" si="57"/>
        <v>700379.31</v>
      </c>
      <c r="O281" s="123">
        <f t="shared" si="58"/>
        <v>202.94966966096786</v>
      </c>
      <c r="P281" s="5"/>
      <c r="Q281" s="5">
        <f t="shared" si="52"/>
        <v>1</v>
      </c>
      <c r="R281" s="7">
        <f t="shared" si="53"/>
        <v>3451</v>
      </c>
      <c r="S281" s="5">
        <f t="shared" si="54"/>
        <v>1</v>
      </c>
      <c r="T281" s="7">
        <f t="shared" si="55"/>
        <v>3451</v>
      </c>
    </row>
    <row r="282" spans="1:20">
      <c r="A282" s="23" t="s">
        <v>318</v>
      </c>
      <c r="B282" s="35" t="s">
        <v>300</v>
      </c>
      <c r="C282" s="36">
        <v>8721</v>
      </c>
      <c r="D282" s="6"/>
      <c r="E282" s="113">
        <v>356057153</v>
      </c>
      <c r="F282" s="116">
        <f t="shared" si="49"/>
        <v>40827.560256851277</v>
      </c>
      <c r="G282" s="117">
        <v>287602811</v>
      </c>
      <c r="H282" s="117">
        <f t="shared" si="50"/>
        <v>32978.191835798651</v>
      </c>
      <c r="I282" s="7"/>
      <c r="J282" s="10">
        <v>8.3914000000000009</v>
      </c>
      <c r="K282" s="117">
        <v>2413390</v>
      </c>
      <c r="L282" s="120">
        <f t="shared" si="59"/>
        <v>276.73317280128424</v>
      </c>
      <c r="M282" s="122">
        <f t="shared" si="56"/>
        <v>2876028.11</v>
      </c>
      <c r="N282" s="116">
        <f t="shared" si="57"/>
        <v>462638.10999999987</v>
      </c>
      <c r="O282" s="123">
        <f t="shared" si="58"/>
        <v>53.048745556702201</v>
      </c>
      <c r="P282" s="5"/>
      <c r="Q282" s="5">
        <f t="shared" si="52"/>
        <v>1</v>
      </c>
      <c r="R282" s="7">
        <f t="shared" si="53"/>
        <v>8721</v>
      </c>
      <c r="S282" s="5">
        <f t="shared" si="54"/>
        <v>1</v>
      </c>
      <c r="T282" s="7">
        <f t="shared" si="55"/>
        <v>8721</v>
      </c>
    </row>
    <row r="283" spans="1:20">
      <c r="A283" s="24" t="s">
        <v>628</v>
      </c>
      <c r="B283" s="35" t="s">
        <v>300</v>
      </c>
      <c r="C283" s="36">
        <v>35133</v>
      </c>
      <c r="D283" s="6"/>
      <c r="E283" s="113">
        <v>1100703818</v>
      </c>
      <c r="F283" s="116">
        <f t="shared" si="49"/>
        <v>31329.627928158712</v>
      </c>
      <c r="G283" s="117">
        <v>754950964</v>
      </c>
      <c r="H283" s="117">
        <f t="shared" si="50"/>
        <v>21488.37173028207</v>
      </c>
      <c r="I283" s="7"/>
      <c r="J283" s="10">
        <v>8.9472000000000005</v>
      </c>
      <c r="K283" s="117">
        <v>6754697</v>
      </c>
      <c r="L283" s="120">
        <f t="shared" si="59"/>
        <v>192.2607519995446</v>
      </c>
      <c r="M283" s="122">
        <f t="shared" si="56"/>
        <v>7549509.6400000006</v>
      </c>
      <c r="N283" s="116">
        <f t="shared" si="57"/>
        <v>794812.6400000006</v>
      </c>
      <c r="O283" s="123">
        <f t="shared" si="58"/>
        <v>22.622965303276139</v>
      </c>
      <c r="P283" s="5"/>
      <c r="Q283" s="5">
        <f t="shared" si="52"/>
        <v>1</v>
      </c>
      <c r="R283" s="7">
        <f t="shared" si="53"/>
        <v>35133</v>
      </c>
      <c r="S283" s="5">
        <f t="shared" si="54"/>
        <v>1</v>
      </c>
      <c r="T283" s="7">
        <f t="shared" si="55"/>
        <v>35133</v>
      </c>
    </row>
    <row r="284" spans="1:20">
      <c r="A284" s="23" t="s">
        <v>319</v>
      </c>
      <c r="B284" s="35" t="s">
        <v>300</v>
      </c>
      <c r="C284" s="36">
        <v>9404</v>
      </c>
      <c r="D284" s="6"/>
      <c r="E284" s="113">
        <v>534571631</v>
      </c>
      <c r="F284" s="116">
        <f t="shared" si="49"/>
        <v>56845.133028498509</v>
      </c>
      <c r="G284" s="117">
        <v>418595161</v>
      </c>
      <c r="H284" s="117">
        <f t="shared" si="50"/>
        <v>44512.458634623566</v>
      </c>
      <c r="I284" s="7"/>
      <c r="J284" s="10">
        <v>6.3318000000000003</v>
      </c>
      <c r="K284" s="117">
        <v>2650460</v>
      </c>
      <c r="L284" s="120">
        <f t="shared" si="59"/>
        <v>281.84389621437685</v>
      </c>
      <c r="M284" s="122">
        <f t="shared" si="56"/>
        <v>4185951.61</v>
      </c>
      <c r="N284" s="116">
        <f t="shared" si="57"/>
        <v>1535491.6099999999</v>
      </c>
      <c r="O284" s="123">
        <f t="shared" si="58"/>
        <v>163.28069013185876</v>
      </c>
      <c r="P284" s="5"/>
      <c r="Q284" s="5">
        <f t="shared" si="52"/>
        <v>1</v>
      </c>
      <c r="R284" s="7">
        <f t="shared" si="53"/>
        <v>9404</v>
      </c>
      <c r="S284" s="5">
        <f t="shared" si="54"/>
        <v>1</v>
      </c>
      <c r="T284" s="7">
        <f t="shared" si="55"/>
        <v>9404</v>
      </c>
    </row>
    <row r="285" spans="1:20">
      <c r="A285" s="23" t="s">
        <v>320</v>
      </c>
      <c r="B285" s="35" t="s">
        <v>300</v>
      </c>
      <c r="C285" s="36">
        <v>321</v>
      </c>
      <c r="D285" s="6"/>
      <c r="E285" s="113">
        <v>546347529</v>
      </c>
      <c r="F285" s="116">
        <f t="shared" ref="F285:F348" si="60">(E285/C285)</f>
        <v>1702017.2242990655</v>
      </c>
      <c r="G285" s="117">
        <v>514492766</v>
      </c>
      <c r="H285" s="117">
        <f t="shared" ref="H285:H348" si="61">(G285/C285)</f>
        <v>1602781.2024922119</v>
      </c>
      <c r="I285" s="7"/>
      <c r="J285" s="10">
        <v>2.8159000000000001</v>
      </c>
      <c r="K285" s="117">
        <v>1448760</v>
      </c>
      <c r="L285" s="120">
        <f t="shared" si="59"/>
        <v>4513.2710280373831</v>
      </c>
      <c r="M285" s="122">
        <f t="shared" si="56"/>
        <v>5144927.66</v>
      </c>
      <c r="N285" s="116">
        <f t="shared" si="57"/>
        <v>3696167.66</v>
      </c>
      <c r="O285" s="123">
        <f t="shared" si="58"/>
        <v>11514.540996884736</v>
      </c>
      <c r="P285" s="5"/>
      <c r="Q285" s="5">
        <f t="shared" si="52"/>
        <v>1</v>
      </c>
      <c r="R285" s="7">
        <f t="shared" si="53"/>
        <v>321</v>
      </c>
      <c r="S285" s="5">
        <f t="shared" si="54"/>
        <v>1</v>
      </c>
      <c r="T285" s="7">
        <f t="shared" si="55"/>
        <v>321</v>
      </c>
    </row>
    <row r="286" spans="1:20">
      <c r="A286" s="23" t="s">
        <v>321</v>
      </c>
      <c r="B286" s="35" t="s">
        <v>300</v>
      </c>
      <c r="C286" s="36">
        <v>1283</v>
      </c>
      <c r="D286" s="6"/>
      <c r="E286" s="113">
        <v>141219451</v>
      </c>
      <c r="F286" s="116">
        <f t="shared" si="60"/>
        <v>110069.72018706157</v>
      </c>
      <c r="G286" s="117">
        <v>123396792</v>
      </c>
      <c r="H286" s="117">
        <f t="shared" si="61"/>
        <v>96178.325798908802</v>
      </c>
      <c r="I286" s="7"/>
      <c r="J286" s="10">
        <v>7.99</v>
      </c>
      <c r="K286" s="117">
        <v>985940</v>
      </c>
      <c r="L286" s="120">
        <f t="shared" si="59"/>
        <v>768.46453624318008</v>
      </c>
      <c r="M286" s="122">
        <f t="shared" si="56"/>
        <v>1233967.92</v>
      </c>
      <c r="N286" s="116">
        <f t="shared" si="57"/>
        <v>248027.91999999993</v>
      </c>
      <c r="O286" s="123">
        <f t="shared" si="58"/>
        <v>193.31872174590796</v>
      </c>
      <c r="P286" s="5"/>
      <c r="Q286" s="5">
        <f t="shared" si="52"/>
        <v>1</v>
      </c>
      <c r="R286" s="7">
        <f t="shared" si="53"/>
        <v>1283</v>
      </c>
      <c r="S286" s="5">
        <f t="shared" si="54"/>
        <v>1</v>
      </c>
      <c r="T286" s="7">
        <f t="shared" si="55"/>
        <v>1283</v>
      </c>
    </row>
    <row r="287" spans="1:20">
      <c r="A287" s="23" t="s">
        <v>322</v>
      </c>
      <c r="B287" s="35" t="s">
        <v>300</v>
      </c>
      <c r="C287" s="36">
        <v>12064</v>
      </c>
      <c r="D287" s="6"/>
      <c r="E287" s="113">
        <v>1135988754</v>
      </c>
      <c r="F287" s="116">
        <f t="shared" si="60"/>
        <v>94163.524038461532</v>
      </c>
      <c r="G287" s="117">
        <v>901383853</v>
      </c>
      <c r="H287" s="117">
        <f t="shared" si="61"/>
        <v>74716.831316312993</v>
      </c>
      <c r="I287" s="7"/>
      <c r="J287" s="10">
        <v>5.75</v>
      </c>
      <c r="K287" s="117">
        <v>5182957</v>
      </c>
      <c r="L287" s="120">
        <f t="shared" si="59"/>
        <v>429.6217672413793</v>
      </c>
      <c r="M287" s="122">
        <f t="shared" si="56"/>
        <v>9013838.5299999993</v>
      </c>
      <c r="N287" s="116">
        <f t="shared" si="57"/>
        <v>3830881.5299999993</v>
      </c>
      <c r="O287" s="123">
        <f t="shared" si="58"/>
        <v>317.54654592175063</v>
      </c>
      <c r="P287" s="5"/>
      <c r="Q287" s="5">
        <f t="shared" si="52"/>
        <v>1</v>
      </c>
      <c r="R287" s="7">
        <f t="shared" si="53"/>
        <v>12064</v>
      </c>
      <c r="S287" s="5">
        <f t="shared" si="54"/>
        <v>1</v>
      </c>
      <c r="T287" s="7">
        <f t="shared" si="55"/>
        <v>12064</v>
      </c>
    </row>
    <row r="288" spans="1:20">
      <c r="A288" s="23" t="s">
        <v>323</v>
      </c>
      <c r="B288" s="35" t="s">
        <v>300</v>
      </c>
      <c r="C288" s="36">
        <v>1636</v>
      </c>
      <c r="D288" s="6"/>
      <c r="E288" s="113">
        <v>422128857</v>
      </c>
      <c r="F288" s="116">
        <f t="shared" si="60"/>
        <v>258024.97371638141</v>
      </c>
      <c r="G288" s="117">
        <v>360007548</v>
      </c>
      <c r="H288" s="117">
        <f t="shared" si="61"/>
        <v>220053.51344743275</v>
      </c>
      <c r="I288" s="7"/>
      <c r="J288" s="10">
        <v>4.4004000000000003</v>
      </c>
      <c r="K288" s="117">
        <v>1584177</v>
      </c>
      <c r="L288" s="120">
        <f t="shared" si="59"/>
        <v>968.32334963325184</v>
      </c>
      <c r="M288" s="122">
        <f t="shared" si="56"/>
        <v>3600075.48</v>
      </c>
      <c r="N288" s="116">
        <f t="shared" si="57"/>
        <v>2015898.48</v>
      </c>
      <c r="O288" s="123">
        <f t="shared" si="58"/>
        <v>1232.2117848410758</v>
      </c>
      <c r="P288" s="5"/>
      <c r="Q288" s="5">
        <f t="shared" si="52"/>
        <v>1</v>
      </c>
      <c r="R288" s="7">
        <f t="shared" si="53"/>
        <v>1636</v>
      </c>
      <c r="S288" s="5">
        <f t="shared" si="54"/>
        <v>1</v>
      </c>
      <c r="T288" s="7">
        <f t="shared" si="55"/>
        <v>1636</v>
      </c>
    </row>
    <row r="289" spans="1:20">
      <c r="A289" s="23" t="s">
        <v>324</v>
      </c>
      <c r="B289" s="35" t="s">
        <v>300</v>
      </c>
      <c r="C289" s="36">
        <v>5985</v>
      </c>
      <c r="D289" s="6"/>
      <c r="E289" s="113">
        <v>137695298</v>
      </c>
      <c r="F289" s="116">
        <f t="shared" si="60"/>
        <v>23006.733166248956</v>
      </c>
      <c r="G289" s="117">
        <v>62713890</v>
      </c>
      <c r="H289" s="117">
        <f t="shared" si="61"/>
        <v>10478.511278195489</v>
      </c>
      <c r="I289" s="7"/>
      <c r="J289" s="10">
        <v>7.75</v>
      </c>
      <c r="K289" s="117">
        <v>486032</v>
      </c>
      <c r="L289" s="120">
        <f t="shared" si="59"/>
        <v>81.20835421888053</v>
      </c>
      <c r="M289" s="122">
        <f t="shared" si="56"/>
        <v>627138.9</v>
      </c>
      <c r="N289" s="116">
        <f t="shared" si="57"/>
        <v>141106.90000000002</v>
      </c>
      <c r="O289" s="123">
        <f t="shared" si="58"/>
        <v>23.576758563074357</v>
      </c>
      <c r="P289" s="5"/>
      <c r="Q289" s="5">
        <f t="shared" si="52"/>
        <v>1</v>
      </c>
      <c r="R289" s="7">
        <f t="shared" si="53"/>
        <v>5985</v>
      </c>
      <c r="S289" s="5">
        <f t="shared" si="54"/>
        <v>1</v>
      </c>
      <c r="T289" s="7">
        <f t="shared" si="55"/>
        <v>5985</v>
      </c>
    </row>
    <row r="290" spans="1:20">
      <c r="A290" s="23" t="s">
        <v>300</v>
      </c>
      <c r="B290" s="35" t="s">
        <v>300</v>
      </c>
      <c r="C290" s="36">
        <v>9676</v>
      </c>
      <c r="D290" s="6"/>
      <c r="E290" s="113">
        <v>6854754512</v>
      </c>
      <c r="F290" s="116">
        <f t="shared" si="60"/>
        <v>708428.53575857787</v>
      </c>
      <c r="G290" s="117">
        <v>6030344117</v>
      </c>
      <c r="H290" s="117">
        <f t="shared" si="61"/>
        <v>623226.96537825547</v>
      </c>
      <c r="I290" s="7"/>
      <c r="J290" s="10">
        <v>4.5058999999999996</v>
      </c>
      <c r="K290" s="117">
        <v>27172127</v>
      </c>
      <c r="L290" s="120">
        <f t="shared" si="59"/>
        <v>2808.1983257544439</v>
      </c>
      <c r="M290" s="122">
        <f t="shared" si="56"/>
        <v>60303441.170000002</v>
      </c>
      <c r="N290" s="116">
        <f t="shared" si="57"/>
        <v>33131314.170000002</v>
      </c>
      <c r="O290" s="123">
        <f t="shared" si="58"/>
        <v>3424.0713280281111</v>
      </c>
      <c r="P290" s="5"/>
      <c r="Q290" s="5">
        <f t="shared" si="52"/>
        <v>1</v>
      </c>
      <c r="R290" s="7">
        <f t="shared" si="53"/>
        <v>9676</v>
      </c>
      <c r="S290" s="5">
        <f t="shared" si="54"/>
        <v>1</v>
      </c>
      <c r="T290" s="7">
        <f t="shared" si="55"/>
        <v>9676</v>
      </c>
    </row>
    <row r="291" spans="1:20">
      <c r="A291" s="23" t="s">
        <v>325</v>
      </c>
      <c r="B291" s="35" t="s">
        <v>300</v>
      </c>
      <c r="C291" s="36">
        <v>35058</v>
      </c>
      <c r="D291" s="6"/>
      <c r="E291" s="113">
        <v>4405597699</v>
      </c>
      <c r="F291" s="116">
        <f t="shared" si="60"/>
        <v>125665.9735010554</v>
      </c>
      <c r="G291" s="117">
        <v>3710644175</v>
      </c>
      <c r="H291" s="117">
        <f t="shared" si="61"/>
        <v>105843.00801528896</v>
      </c>
      <c r="I291" s="7"/>
      <c r="J291" s="10">
        <v>5.1748000000000003</v>
      </c>
      <c r="K291" s="117">
        <v>19201841</v>
      </c>
      <c r="L291" s="120">
        <f t="shared" si="59"/>
        <v>547.71638427748303</v>
      </c>
      <c r="M291" s="122">
        <f t="shared" si="56"/>
        <v>37106441.75</v>
      </c>
      <c r="N291" s="116">
        <f t="shared" si="57"/>
        <v>17904600.75</v>
      </c>
      <c r="O291" s="123">
        <f t="shared" si="58"/>
        <v>510.71369587540647</v>
      </c>
      <c r="P291" s="5"/>
      <c r="Q291" s="5">
        <f t="shared" si="52"/>
        <v>1</v>
      </c>
      <c r="R291" s="7">
        <f t="shared" si="53"/>
        <v>35058</v>
      </c>
      <c r="S291" s="5">
        <f t="shared" si="54"/>
        <v>1</v>
      </c>
      <c r="T291" s="7">
        <f t="shared" si="55"/>
        <v>35058</v>
      </c>
    </row>
    <row r="292" spans="1:20">
      <c r="A292" s="23" t="s">
        <v>326</v>
      </c>
      <c r="B292" s="35" t="s">
        <v>300</v>
      </c>
      <c r="C292" s="36">
        <v>1269</v>
      </c>
      <c r="D292" s="6"/>
      <c r="E292" s="113">
        <v>203440120</v>
      </c>
      <c r="F292" s="116">
        <f t="shared" si="60"/>
        <v>160315.30338849488</v>
      </c>
      <c r="G292" s="117">
        <v>188261250</v>
      </c>
      <c r="H292" s="117">
        <f t="shared" si="61"/>
        <v>148354.01891252954</v>
      </c>
      <c r="I292" s="7"/>
      <c r="J292" s="10">
        <v>6.35</v>
      </c>
      <c r="K292" s="117">
        <v>1195458</v>
      </c>
      <c r="L292" s="120">
        <f t="shared" si="59"/>
        <v>942.04728132387709</v>
      </c>
      <c r="M292" s="122">
        <f t="shared" si="56"/>
        <v>1882612.5</v>
      </c>
      <c r="N292" s="116">
        <f t="shared" si="57"/>
        <v>687154.5</v>
      </c>
      <c r="O292" s="123">
        <f t="shared" si="58"/>
        <v>541.49290780141848</v>
      </c>
      <c r="P292" s="5"/>
      <c r="Q292" s="5">
        <f t="shared" si="52"/>
        <v>1</v>
      </c>
      <c r="R292" s="7">
        <f t="shared" si="53"/>
        <v>1269</v>
      </c>
      <c r="S292" s="5">
        <f t="shared" si="54"/>
        <v>1</v>
      </c>
      <c r="T292" s="7">
        <f t="shared" si="55"/>
        <v>1269</v>
      </c>
    </row>
    <row r="293" spans="1:20">
      <c r="A293" s="23" t="s">
        <v>327</v>
      </c>
      <c r="B293" s="35" t="s">
        <v>300</v>
      </c>
      <c r="C293" s="36">
        <v>11699</v>
      </c>
      <c r="D293" s="6"/>
      <c r="E293" s="113">
        <v>335887085</v>
      </c>
      <c r="F293" s="116">
        <f t="shared" si="60"/>
        <v>28710.751773655869</v>
      </c>
      <c r="G293" s="117">
        <v>238855055</v>
      </c>
      <c r="H293" s="117">
        <f t="shared" si="61"/>
        <v>20416.706983502863</v>
      </c>
      <c r="I293" s="7"/>
      <c r="J293" s="10">
        <v>5.4619</v>
      </c>
      <c r="K293" s="117">
        <v>1304602</v>
      </c>
      <c r="L293" s="120">
        <f t="shared" si="59"/>
        <v>111.51397555346611</v>
      </c>
      <c r="M293" s="122">
        <f t="shared" si="56"/>
        <v>2388550.5500000003</v>
      </c>
      <c r="N293" s="116">
        <f t="shared" si="57"/>
        <v>1083948.5500000003</v>
      </c>
      <c r="O293" s="123">
        <f t="shared" si="58"/>
        <v>92.653094281562545</v>
      </c>
      <c r="P293" s="5"/>
      <c r="Q293" s="5">
        <f t="shared" si="52"/>
        <v>1</v>
      </c>
      <c r="R293" s="7">
        <f t="shared" si="53"/>
        <v>11699</v>
      </c>
      <c r="S293" s="5">
        <f t="shared" si="54"/>
        <v>1</v>
      </c>
      <c r="T293" s="7">
        <f t="shared" si="55"/>
        <v>11699</v>
      </c>
    </row>
    <row r="294" spans="1:20">
      <c r="A294" s="23" t="s">
        <v>328</v>
      </c>
      <c r="B294" s="35" t="s">
        <v>300</v>
      </c>
      <c r="C294" s="36">
        <v>29884</v>
      </c>
      <c r="D294" s="6"/>
      <c r="E294" s="113">
        <v>2072270350</v>
      </c>
      <c r="F294" s="116">
        <f t="shared" si="60"/>
        <v>69343.807723196354</v>
      </c>
      <c r="G294" s="117">
        <v>1547679550</v>
      </c>
      <c r="H294" s="117">
        <f t="shared" si="61"/>
        <v>51789.571342524425</v>
      </c>
      <c r="I294" s="7"/>
      <c r="J294" s="10">
        <v>9.5</v>
      </c>
      <c r="K294" s="117">
        <v>14702955</v>
      </c>
      <c r="L294" s="120">
        <f t="shared" si="59"/>
        <v>492.00090349350825</v>
      </c>
      <c r="M294" s="122">
        <f t="shared" si="56"/>
        <v>15476795.5</v>
      </c>
      <c r="N294" s="116">
        <f t="shared" si="57"/>
        <v>773840.5</v>
      </c>
      <c r="O294" s="123">
        <f t="shared" si="58"/>
        <v>25.894809931736045</v>
      </c>
      <c r="P294" s="5"/>
      <c r="Q294" s="5">
        <f t="shared" si="52"/>
        <v>1</v>
      </c>
      <c r="R294" s="7">
        <f t="shared" si="53"/>
        <v>29884</v>
      </c>
      <c r="S294" s="5">
        <f t="shared" si="54"/>
        <v>1</v>
      </c>
      <c r="T294" s="7">
        <f t="shared" si="55"/>
        <v>29884</v>
      </c>
    </row>
    <row r="295" spans="1:20">
      <c r="A295" s="23" t="s">
        <v>329</v>
      </c>
      <c r="B295" s="35" t="s">
        <v>300</v>
      </c>
      <c r="C295" s="36">
        <v>21523</v>
      </c>
      <c r="D295" s="6"/>
      <c r="E295" s="113">
        <v>1025863605</v>
      </c>
      <c r="F295" s="116">
        <f t="shared" si="60"/>
        <v>47663.597314500767</v>
      </c>
      <c r="G295" s="117">
        <v>773420783</v>
      </c>
      <c r="H295" s="117">
        <f t="shared" si="61"/>
        <v>35934.617990057151</v>
      </c>
      <c r="I295" s="9"/>
      <c r="J295" s="10">
        <v>6.4710000000000001</v>
      </c>
      <c r="K295" s="117">
        <v>5004805</v>
      </c>
      <c r="L295" s="120">
        <f t="shared" si="59"/>
        <v>232.53287181155042</v>
      </c>
      <c r="M295" s="122">
        <f t="shared" si="56"/>
        <v>7734207.8300000001</v>
      </c>
      <c r="N295" s="116">
        <f t="shared" si="57"/>
        <v>2729402.83</v>
      </c>
      <c r="O295" s="123">
        <f t="shared" si="58"/>
        <v>126.81330808902105</v>
      </c>
      <c r="P295" s="5"/>
      <c r="Q295" s="5">
        <f t="shared" si="52"/>
        <v>1</v>
      </c>
      <c r="R295" s="7">
        <f t="shared" si="53"/>
        <v>21523</v>
      </c>
      <c r="S295" s="5">
        <f t="shared" si="54"/>
        <v>1</v>
      </c>
      <c r="T295" s="7">
        <f t="shared" si="55"/>
        <v>21523</v>
      </c>
    </row>
    <row r="296" spans="1:20">
      <c r="A296" s="23" t="s">
        <v>330</v>
      </c>
      <c r="B296" s="35" t="s">
        <v>300</v>
      </c>
      <c r="C296" s="36">
        <v>3859</v>
      </c>
      <c r="D296" s="6"/>
      <c r="E296" s="113">
        <v>80842031</v>
      </c>
      <c r="F296" s="116">
        <f t="shared" si="60"/>
        <v>20948.958538481471</v>
      </c>
      <c r="G296" s="117">
        <v>32868080</v>
      </c>
      <c r="H296" s="117">
        <f t="shared" si="61"/>
        <v>8517.2531743975123</v>
      </c>
      <c r="I296" s="7"/>
      <c r="J296" s="10">
        <v>9.2888999999999999</v>
      </c>
      <c r="K296" s="117">
        <v>305308</v>
      </c>
      <c r="L296" s="120">
        <f t="shared" si="59"/>
        <v>79.115833117387922</v>
      </c>
      <c r="M296" s="122">
        <f t="shared" si="56"/>
        <v>328680.8</v>
      </c>
      <c r="N296" s="116">
        <f t="shared" si="57"/>
        <v>23372.799999999988</v>
      </c>
      <c r="O296" s="123">
        <f t="shared" si="58"/>
        <v>6.0566986265871954</v>
      </c>
      <c r="P296" s="5"/>
      <c r="Q296" s="5">
        <f t="shared" si="52"/>
        <v>1</v>
      </c>
      <c r="R296" s="7">
        <f t="shared" si="53"/>
        <v>3859</v>
      </c>
      <c r="S296" s="5">
        <f t="shared" si="54"/>
        <v>1</v>
      </c>
      <c r="T296" s="7">
        <f t="shared" si="55"/>
        <v>3859</v>
      </c>
    </row>
    <row r="297" spans="1:20">
      <c r="A297" s="23" t="s">
        <v>331</v>
      </c>
      <c r="B297" s="35" t="s">
        <v>300</v>
      </c>
      <c r="C297" s="36">
        <v>1531</v>
      </c>
      <c r="D297" s="6"/>
      <c r="E297" s="113">
        <v>183494380</v>
      </c>
      <c r="F297" s="116">
        <f t="shared" si="60"/>
        <v>119852.6322664925</v>
      </c>
      <c r="G297" s="117">
        <v>161745613</v>
      </c>
      <c r="H297" s="117">
        <f t="shared" si="61"/>
        <v>105647.03657740039</v>
      </c>
      <c r="I297" s="7"/>
      <c r="J297" s="10">
        <v>6.25</v>
      </c>
      <c r="K297" s="117">
        <v>1010910</v>
      </c>
      <c r="L297" s="120">
        <f t="shared" si="59"/>
        <v>660.2939255388635</v>
      </c>
      <c r="M297" s="122">
        <f t="shared" si="56"/>
        <v>1617456.1300000001</v>
      </c>
      <c r="N297" s="116">
        <f t="shared" si="57"/>
        <v>606546.13000000012</v>
      </c>
      <c r="O297" s="123">
        <f t="shared" si="58"/>
        <v>396.17644023514049</v>
      </c>
      <c r="P297" s="5"/>
      <c r="Q297" s="5">
        <f t="shared" si="52"/>
        <v>1</v>
      </c>
      <c r="R297" s="7">
        <f t="shared" si="53"/>
        <v>1531</v>
      </c>
      <c r="S297" s="5">
        <f t="shared" si="54"/>
        <v>1</v>
      </c>
      <c r="T297" s="7">
        <f t="shared" si="55"/>
        <v>1531</v>
      </c>
    </row>
    <row r="298" spans="1:20">
      <c r="A298" s="23" t="s">
        <v>332</v>
      </c>
      <c r="B298" s="35" t="s">
        <v>300</v>
      </c>
      <c r="C298" s="36">
        <v>5273</v>
      </c>
      <c r="D298" s="6"/>
      <c r="E298" s="113">
        <v>544941557</v>
      </c>
      <c r="F298" s="116">
        <f t="shared" si="60"/>
        <v>103345.63948416461</v>
      </c>
      <c r="G298" s="117">
        <v>441936119</v>
      </c>
      <c r="H298" s="117">
        <f t="shared" si="61"/>
        <v>83811.135786080034</v>
      </c>
      <c r="I298" s="7"/>
      <c r="J298" s="10">
        <v>6.7305000000000001</v>
      </c>
      <c r="K298" s="117">
        <v>2974451</v>
      </c>
      <c r="L298" s="120">
        <f t="shared" si="59"/>
        <v>564.0908401289588</v>
      </c>
      <c r="M298" s="122">
        <f t="shared" si="56"/>
        <v>4419361.1900000004</v>
      </c>
      <c r="N298" s="116">
        <f t="shared" si="57"/>
        <v>1444910.1900000004</v>
      </c>
      <c r="O298" s="123">
        <f t="shared" si="58"/>
        <v>274.02051773184155</v>
      </c>
      <c r="P298" s="5"/>
      <c r="Q298" s="5">
        <f t="shared" si="52"/>
        <v>1</v>
      </c>
      <c r="R298" s="7">
        <f t="shared" si="53"/>
        <v>5273</v>
      </c>
      <c r="S298" s="5">
        <f t="shared" si="54"/>
        <v>1</v>
      </c>
      <c r="T298" s="7">
        <f t="shared" si="55"/>
        <v>5273</v>
      </c>
    </row>
    <row r="299" spans="1:20">
      <c r="A299" s="23" t="s">
        <v>333</v>
      </c>
      <c r="B299" s="35" t="s">
        <v>300</v>
      </c>
      <c r="C299" s="36">
        <v>38216</v>
      </c>
      <c r="D299" s="6"/>
      <c r="E299" s="113">
        <v>2608741511</v>
      </c>
      <c r="F299" s="116">
        <f t="shared" si="60"/>
        <v>68263.070729537372</v>
      </c>
      <c r="G299" s="117">
        <v>2202770643</v>
      </c>
      <c r="H299" s="117">
        <f t="shared" si="61"/>
        <v>57640.010545321333</v>
      </c>
      <c r="I299" s="7"/>
      <c r="J299" s="10">
        <v>2.5</v>
      </c>
      <c r="K299" s="117">
        <v>5506926</v>
      </c>
      <c r="L299" s="120">
        <f t="shared" si="59"/>
        <v>144.10001046682018</v>
      </c>
      <c r="M299" s="122">
        <f t="shared" si="56"/>
        <v>22027706.43</v>
      </c>
      <c r="N299" s="116">
        <f t="shared" si="57"/>
        <v>16520780.43</v>
      </c>
      <c r="O299" s="123">
        <f t="shared" si="58"/>
        <v>432.30009498639311</v>
      </c>
      <c r="P299" s="5"/>
      <c r="Q299" s="5">
        <f t="shared" si="52"/>
        <v>1</v>
      </c>
      <c r="R299" s="7">
        <f t="shared" si="53"/>
        <v>38216</v>
      </c>
      <c r="S299" s="5">
        <f t="shared" si="54"/>
        <v>1</v>
      </c>
      <c r="T299" s="7">
        <f t="shared" si="55"/>
        <v>38216</v>
      </c>
    </row>
    <row r="300" spans="1:20">
      <c r="A300" s="23" t="s">
        <v>334</v>
      </c>
      <c r="B300" s="35" t="s">
        <v>300</v>
      </c>
      <c r="C300" s="36">
        <v>82103</v>
      </c>
      <c r="D300" s="6"/>
      <c r="E300" s="113">
        <v>6478377109</v>
      </c>
      <c r="F300" s="116">
        <f t="shared" si="60"/>
        <v>78905.485901854991</v>
      </c>
      <c r="G300" s="117">
        <v>4731150889</v>
      </c>
      <c r="H300" s="117">
        <f t="shared" si="61"/>
        <v>57624.579966627287</v>
      </c>
      <c r="I300" s="7"/>
      <c r="J300" s="10">
        <v>8.9636999999999993</v>
      </c>
      <c r="K300" s="117">
        <v>42408617</v>
      </c>
      <c r="L300" s="120">
        <f t="shared" si="59"/>
        <v>516.52944472187369</v>
      </c>
      <c r="M300" s="122">
        <f t="shared" si="56"/>
        <v>47311508.890000001</v>
      </c>
      <c r="N300" s="116">
        <f t="shared" si="57"/>
        <v>4902891.8900000006</v>
      </c>
      <c r="O300" s="123">
        <f t="shared" si="58"/>
        <v>59.716354944399114</v>
      </c>
      <c r="P300" s="5"/>
      <c r="Q300" s="5">
        <f t="shared" si="52"/>
        <v>1</v>
      </c>
      <c r="R300" s="7">
        <f t="shared" si="53"/>
        <v>82103</v>
      </c>
      <c r="S300" s="5">
        <f t="shared" si="54"/>
        <v>1</v>
      </c>
      <c r="T300" s="7">
        <f t="shared" si="55"/>
        <v>82103</v>
      </c>
    </row>
    <row r="301" spans="1:20">
      <c r="A301" s="23" t="s">
        <v>335</v>
      </c>
      <c r="B301" s="35" t="s">
        <v>336</v>
      </c>
      <c r="C301" s="36">
        <v>6188</v>
      </c>
      <c r="D301" s="6"/>
      <c r="E301" s="113">
        <v>279712656</v>
      </c>
      <c r="F301" s="116">
        <f t="shared" si="60"/>
        <v>45202.43309631545</v>
      </c>
      <c r="G301" s="117">
        <v>155514200</v>
      </c>
      <c r="H301" s="117">
        <f t="shared" si="61"/>
        <v>25131.57724628313</v>
      </c>
      <c r="I301" s="7"/>
      <c r="J301" s="10">
        <v>7.4</v>
      </c>
      <c r="K301" s="117">
        <v>1150805</v>
      </c>
      <c r="L301" s="120">
        <f t="shared" si="59"/>
        <v>185.97365869424692</v>
      </c>
      <c r="M301" s="122">
        <f t="shared" si="56"/>
        <v>1555142</v>
      </c>
      <c r="N301" s="116">
        <f t="shared" si="57"/>
        <v>404337</v>
      </c>
      <c r="O301" s="123">
        <f t="shared" si="58"/>
        <v>65.342113768584355</v>
      </c>
      <c r="P301" s="5"/>
      <c r="Q301" s="5">
        <f t="shared" si="52"/>
        <v>1</v>
      </c>
      <c r="R301" s="7">
        <f t="shared" si="53"/>
        <v>6188</v>
      </c>
      <c r="S301" s="5">
        <f t="shared" si="54"/>
        <v>1</v>
      </c>
      <c r="T301" s="7">
        <f t="shared" si="55"/>
        <v>6188</v>
      </c>
    </row>
    <row r="302" spans="1:20">
      <c r="A302" s="23" t="s">
        <v>337</v>
      </c>
      <c r="B302" s="35" t="s">
        <v>336</v>
      </c>
      <c r="C302" s="36">
        <v>16117</v>
      </c>
      <c r="D302" s="6"/>
      <c r="E302" s="113">
        <v>643780776</v>
      </c>
      <c r="F302" s="116">
        <f t="shared" si="60"/>
        <v>39944.206490041572</v>
      </c>
      <c r="G302" s="117">
        <v>451362863</v>
      </c>
      <c r="H302" s="117">
        <f t="shared" si="61"/>
        <v>28005.389526586834</v>
      </c>
      <c r="I302" s="7"/>
      <c r="J302" s="10">
        <v>6.25</v>
      </c>
      <c r="K302" s="117">
        <v>2821017</v>
      </c>
      <c r="L302" s="120">
        <f t="shared" si="59"/>
        <v>175.03362908729912</v>
      </c>
      <c r="M302" s="122">
        <f t="shared" si="56"/>
        <v>4513628.63</v>
      </c>
      <c r="N302" s="116">
        <f t="shared" si="57"/>
        <v>1692611.63</v>
      </c>
      <c r="O302" s="123">
        <f t="shared" si="58"/>
        <v>105.0202661785692</v>
      </c>
      <c r="P302" s="5"/>
      <c r="Q302" s="5">
        <f t="shared" si="52"/>
        <v>1</v>
      </c>
      <c r="R302" s="7">
        <f t="shared" si="53"/>
        <v>16117</v>
      </c>
      <c r="S302" s="5">
        <f t="shared" si="54"/>
        <v>1</v>
      </c>
      <c r="T302" s="7">
        <f t="shared" si="55"/>
        <v>16117</v>
      </c>
    </row>
    <row r="303" spans="1:20">
      <c r="A303" s="23" t="s">
        <v>338</v>
      </c>
      <c r="B303" s="35" t="s">
        <v>336</v>
      </c>
      <c r="C303" s="36">
        <v>3021</v>
      </c>
      <c r="D303" s="6"/>
      <c r="E303" s="113">
        <v>189960622</v>
      </c>
      <c r="F303" s="116">
        <f t="shared" si="60"/>
        <v>62880.047004303211</v>
      </c>
      <c r="G303" s="117">
        <v>153105611</v>
      </c>
      <c r="H303" s="117">
        <f t="shared" si="61"/>
        <v>50680.440582588548</v>
      </c>
      <c r="I303" s="7"/>
      <c r="J303" s="10">
        <v>5.82</v>
      </c>
      <c r="K303" s="117">
        <v>891074</v>
      </c>
      <c r="L303" s="120">
        <f t="shared" si="59"/>
        <v>294.95994703740485</v>
      </c>
      <c r="M303" s="122">
        <f t="shared" si="56"/>
        <v>1531056.11</v>
      </c>
      <c r="N303" s="116">
        <f t="shared" si="57"/>
        <v>639982.1100000001</v>
      </c>
      <c r="O303" s="123">
        <f t="shared" si="58"/>
        <v>211.84445878848067</v>
      </c>
      <c r="P303" s="5"/>
      <c r="Q303" s="5">
        <f t="shared" si="52"/>
        <v>1</v>
      </c>
      <c r="R303" s="7">
        <f t="shared" si="53"/>
        <v>3021</v>
      </c>
      <c r="S303" s="5">
        <f t="shared" si="54"/>
        <v>1</v>
      </c>
      <c r="T303" s="7">
        <f t="shared" si="55"/>
        <v>3021</v>
      </c>
    </row>
    <row r="304" spans="1:20">
      <c r="A304" s="23" t="s">
        <v>339</v>
      </c>
      <c r="B304" s="35" t="s">
        <v>336</v>
      </c>
      <c r="C304" s="36">
        <v>655</v>
      </c>
      <c r="D304" s="6"/>
      <c r="E304" s="113">
        <v>34004608</v>
      </c>
      <c r="F304" s="116">
        <f t="shared" si="60"/>
        <v>51915.432061068699</v>
      </c>
      <c r="G304" s="117">
        <v>17991564</v>
      </c>
      <c r="H304" s="117">
        <f t="shared" si="61"/>
        <v>27468.036641221373</v>
      </c>
      <c r="I304" s="7"/>
      <c r="J304" s="10">
        <v>2.5329999999999999</v>
      </c>
      <c r="K304" s="117">
        <v>45572</v>
      </c>
      <c r="L304" s="120">
        <f t="shared" ref="L304:L335" si="62">(K304/C304)</f>
        <v>69.575572519083963</v>
      </c>
      <c r="M304" s="122">
        <f t="shared" si="56"/>
        <v>179915.64</v>
      </c>
      <c r="N304" s="116">
        <f t="shared" si="57"/>
        <v>134343.64000000001</v>
      </c>
      <c r="O304" s="123">
        <f t="shared" si="58"/>
        <v>205.10479389312979</v>
      </c>
      <c r="P304" s="5"/>
      <c r="Q304" s="5">
        <f t="shared" si="52"/>
        <v>1</v>
      </c>
      <c r="R304" s="7">
        <f t="shared" si="53"/>
        <v>655</v>
      </c>
      <c r="S304" s="5">
        <f t="shared" si="54"/>
        <v>1</v>
      </c>
      <c r="T304" s="7">
        <f t="shared" si="55"/>
        <v>655</v>
      </c>
    </row>
    <row r="305" spans="1:20">
      <c r="A305" s="23" t="s">
        <v>547</v>
      </c>
      <c r="B305" s="35" t="s">
        <v>336</v>
      </c>
      <c r="C305" s="36">
        <v>595</v>
      </c>
      <c r="D305" s="6"/>
      <c r="E305" s="113">
        <v>35697049</v>
      </c>
      <c r="F305" s="116">
        <f t="shared" si="60"/>
        <v>59995.040336134451</v>
      </c>
      <c r="G305" s="117">
        <v>13428501</v>
      </c>
      <c r="H305" s="117">
        <f t="shared" si="61"/>
        <v>22568.909243697479</v>
      </c>
      <c r="I305" s="7"/>
      <c r="J305" s="10">
        <v>2.9649999999999999</v>
      </c>
      <c r="K305" s="117">
        <v>39815</v>
      </c>
      <c r="L305" s="120">
        <f t="shared" si="62"/>
        <v>66.915966386554615</v>
      </c>
      <c r="M305" s="122">
        <f t="shared" si="56"/>
        <v>134285.01</v>
      </c>
      <c r="N305" s="116">
        <f t="shared" si="57"/>
        <v>94470.010000000009</v>
      </c>
      <c r="O305" s="123">
        <f t="shared" si="58"/>
        <v>158.77312605042019</v>
      </c>
      <c r="P305" s="5"/>
      <c r="Q305" s="5">
        <f t="shared" si="52"/>
        <v>1</v>
      </c>
      <c r="R305" s="7">
        <f t="shared" si="53"/>
        <v>595</v>
      </c>
      <c r="S305" s="5">
        <f t="shared" si="54"/>
        <v>1</v>
      </c>
      <c r="T305" s="7">
        <f t="shared" si="55"/>
        <v>595</v>
      </c>
    </row>
    <row r="306" spans="1:20">
      <c r="A306" s="23" t="s">
        <v>340</v>
      </c>
      <c r="B306" s="35" t="s">
        <v>336</v>
      </c>
      <c r="C306" s="36">
        <v>10833</v>
      </c>
      <c r="D306" s="6"/>
      <c r="E306" s="113">
        <v>546906905</v>
      </c>
      <c r="F306" s="116">
        <f t="shared" si="60"/>
        <v>50485.267700544631</v>
      </c>
      <c r="G306" s="117">
        <v>350809021</v>
      </c>
      <c r="H306" s="117">
        <f t="shared" si="61"/>
        <v>32383.36758054094</v>
      </c>
      <c r="I306" s="7"/>
      <c r="J306" s="10">
        <v>6.42</v>
      </c>
      <c r="K306" s="117">
        <v>2252193</v>
      </c>
      <c r="L306" s="120">
        <f t="shared" si="62"/>
        <v>207.90113541955137</v>
      </c>
      <c r="M306" s="122">
        <f t="shared" si="56"/>
        <v>3508090.21</v>
      </c>
      <c r="N306" s="116">
        <f t="shared" si="57"/>
        <v>1255897.21</v>
      </c>
      <c r="O306" s="123">
        <f t="shared" si="58"/>
        <v>115.93254038585802</v>
      </c>
      <c r="P306" s="5"/>
      <c r="Q306" s="5">
        <f t="shared" si="52"/>
        <v>1</v>
      </c>
      <c r="R306" s="7">
        <f t="shared" si="53"/>
        <v>10833</v>
      </c>
      <c r="S306" s="5">
        <f t="shared" si="54"/>
        <v>1</v>
      </c>
      <c r="T306" s="7">
        <f t="shared" si="55"/>
        <v>10833</v>
      </c>
    </row>
    <row r="307" spans="1:20">
      <c r="A307" s="23" t="s">
        <v>341</v>
      </c>
      <c r="B307" s="35" t="s">
        <v>342</v>
      </c>
      <c r="C307" s="36">
        <v>4067</v>
      </c>
      <c r="D307" s="6"/>
      <c r="E307" s="113">
        <v>517132490</v>
      </c>
      <c r="F307" s="116">
        <f t="shared" si="60"/>
        <v>127153.30464716007</v>
      </c>
      <c r="G307" s="117">
        <v>425735860</v>
      </c>
      <c r="H307" s="117">
        <f t="shared" si="61"/>
        <v>104680.56552741579</v>
      </c>
      <c r="I307" s="7"/>
      <c r="J307" s="10">
        <v>4.5549999999999997</v>
      </c>
      <c r="K307" s="117">
        <v>1939226</v>
      </c>
      <c r="L307" s="120">
        <f t="shared" si="62"/>
        <v>476.81976887140399</v>
      </c>
      <c r="M307" s="122">
        <f t="shared" si="56"/>
        <v>4257358.5999999996</v>
      </c>
      <c r="N307" s="116">
        <f t="shared" si="57"/>
        <v>2318132.5999999996</v>
      </c>
      <c r="O307" s="123">
        <f t="shared" si="58"/>
        <v>569.98588640275375</v>
      </c>
      <c r="P307" s="5"/>
      <c r="Q307" s="5">
        <f t="shared" si="52"/>
        <v>1</v>
      </c>
      <c r="R307" s="7">
        <f t="shared" si="53"/>
        <v>4067</v>
      </c>
      <c r="S307" s="5">
        <f t="shared" si="54"/>
        <v>1</v>
      </c>
      <c r="T307" s="7">
        <f t="shared" si="55"/>
        <v>4067</v>
      </c>
    </row>
    <row r="308" spans="1:20">
      <c r="A308" s="23" t="s">
        <v>343</v>
      </c>
      <c r="B308" s="35" t="s">
        <v>342</v>
      </c>
      <c r="C308" s="36">
        <v>1632</v>
      </c>
      <c r="D308" s="6"/>
      <c r="E308" s="113">
        <v>252696750</v>
      </c>
      <c r="F308" s="116">
        <f t="shared" si="60"/>
        <v>154838.69485294117</v>
      </c>
      <c r="G308" s="117">
        <v>214213920</v>
      </c>
      <c r="H308" s="117">
        <f t="shared" si="61"/>
        <v>131258.5294117647</v>
      </c>
      <c r="I308" s="7"/>
      <c r="J308" s="10">
        <v>2.4689999999999999</v>
      </c>
      <c r="K308" s="117">
        <v>528894</v>
      </c>
      <c r="L308" s="120">
        <f t="shared" si="62"/>
        <v>324.07720588235293</v>
      </c>
      <c r="M308" s="122">
        <f t="shared" si="56"/>
        <v>2142139.2000000002</v>
      </c>
      <c r="N308" s="116">
        <f t="shared" si="57"/>
        <v>1613245.2000000002</v>
      </c>
      <c r="O308" s="123">
        <f t="shared" si="58"/>
        <v>988.50808823529428</v>
      </c>
      <c r="P308" s="5"/>
      <c r="Q308" s="5">
        <f t="shared" si="52"/>
        <v>1</v>
      </c>
      <c r="R308" s="7">
        <f t="shared" si="53"/>
        <v>1632</v>
      </c>
      <c r="S308" s="5">
        <f t="shared" si="54"/>
        <v>1</v>
      </c>
      <c r="T308" s="7">
        <f t="shared" si="55"/>
        <v>1632</v>
      </c>
    </row>
    <row r="309" spans="1:20">
      <c r="A309" s="23" t="s">
        <v>344</v>
      </c>
      <c r="B309" s="35" t="s">
        <v>342</v>
      </c>
      <c r="C309" s="36">
        <v>2243</v>
      </c>
      <c r="D309" s="6"/>
      <c r="E309" s="113">
        <v>149891610</v>
      </c>
      <c r="F309" s="116">
        <f t="shared" si="60"/>
        <v>66826.397681676332</v>
      </c>
      <c r="G309" s="117">
        <v>117768240</v>
      </c>
      <c r="H309" s="117">
        <f t="shared" si="61"/>
        <v>52504.788230049038</v>
      </c>
      <c r="I309" s="7"/>
      <c r="J309" s="10">
        <v>4.3499999999999996</v>
      </c>
      <c r="K309" s="117">
        <v>512291</v>
      </c>
      <c r="L309" s="120">
        <f t="shared" si="62"/>
        <v>228.39545251894785</v>
      </c>
      <c r="M309" s="122">
        <f t="shared" si="56"/>
        <v>1177682.4000000001</v>
      </c>
      <c r="N309" s="116">
        <f t="shared" si="57"/>
        <v>665391.40000000014</v>
      </c>
      <c r="O309" s="123">
        <f t="shared" si="58"/>
        <v>296.65242978154265</v>
      </c>
      <c r="P309" s="5"/>
      <c r="Q309" s="5">
        <f t="shared" si="52"/>
        <v>1</v>
      </c>
      <c r="R309" s="7">
        <f t="shared" si="53"/>
        <v>2243</v>
      </c>
      <c r="S309" s="5">
        <f t="shared" si="54"/>
        <v>1</v>
      </c>
      <c r="T309" s="7">
        <f t="shared" si="55"/>
        <v>2243</v>
      </c>
    </row>
    <row r="310" spans="1:20">
      <c r="A310" s="23" t="s">
        <v>345</v>
      </c>
      <c r="B310" s="35" t="s">
        <v>342</v>
      </c>
      <c r="C310" s="36">
        <v>75</v>
      </c>
      <c r="D310" s="6"/>
      <c r="E310" s="113">
        <v>54826710</v>
      </c>
      <c r="F310" s="116">
        <f t="shared" si="60"/>
        <v>731022.8</v>
      </c>
      <c r="G310" s="117">
        <v>48744010</v>
      </c>
      <c r="H310" s="117">
        <f t="shared" si="61"/>
        <v>649920.1333333333</v>
      </c>
      <c r="I310" s="7"/>
      <c r="J310" s="10">
        <v>2.427</v>
      </c>
      <c r="K310" s="117">
        <v>118301</v>
      </c>
      <c r="L310" s="120">
        <f t="shared" si="62"/>
        <v>1577.3466666666666</v>
      </c>
      <c r="M310" s="122">
        <f t="shared" si="56"/>
        <v>487440.10000000003</v>
      </c>
      <c r="N310" s="116">
        <f t="shared" si="57"/>
        <v>369139.10000000003</v>
      </c>
      <c r="O310" s="123">
        <f t="shared" si="58"/>
        <v>4921.8546666666671</v>
      </c>
      <c r="P310" s="5"/>
      <c r="Q310" s="5">
        <f t="shared" si="52"/>
        <v>1</v>
      </c>
      <c r="R310" s="7">
        <f t="shared" si="53"/>
        <v>75</v>
      </c>
      <c r="S310" s="5">
        <f t="shared" si="54"/>
        <v>1</v>
      </c>
      <c r="T310" s="7">
        <f t="shared" si="55"/>
        <v>75</v>
      </c>
    </row>
    <row r="311" spans="1:20">
      <c r="A311" s="23" t="s">
        <v>346</v>
      </c>
      <c r="B311" s="35" t="s">
        <v>342</v>
      </c>
      <c r="C311" s="36">
        <v>108789</v>
      </c>
      <c r="D311" s="6"/>
      <c r="E311" s="113">
        <v>7108110272</v>
      </c>
      <c r="F311" s="116">
        <f t="shared" si="60"/>
        <v>65338.501797056684</v>
      </c>
      <c r="G311" s="117">
        <v>5208787437</v>
      </c>
      <c r="H311" s="117">
        <f t="shared" si="61"/>
        <v>47879.725312301794</v>
      </c>
      <c r="I311" s="7"/>
      <c r="J311" s="10">
        <v>5.5031999999999996</v>
      </c>
      <c r="K311" s="117">
        <v>28664999</v>
      </c>
      <c r="L311" s="120">
        <f t="shared" si="62"/>
        <v>263.49170412449786</v>
      </c>
      <c r="M311" s="122">
        <f t="shared" si="56"/>
        <v>52087874.370000005</v>
      </c>
      <c r="N311" s="116">
        <f t="shared" si="57"/>
        <v>23422875.370000005</v>
      </c>
      <c r="O311" s="123">
        <f t="shared" si="58"/>
        <v>215.30554899852012</v>
      </c>
      <c r="P311" s="5"/>
      <c r="Q311" s="5">
        <f t="shared" si="52"/>
        <v>1</v>
      </c>
      <c r="R311" s="7">
        <f t="shared" si="53"/>
        <v>108789</v>
      </c>
      <c r="S311" s="5">
        <f t="shared" si="54"/>
        <v>1</v>
      </c>
      <c r="T311" s="7">
        <f t="shared" si="55"/>
        <v>108789</v>
      </c>
    </row>
    <row r="312" spans="1:20">
      <c r="A312" s="23" t="s">
        <v>347</v>
      </c>
      <c r="B312" s="35" t="s">
        <v>342</v>
      </c>
      <c r="C312" s="36">
        <v>35691</v>
      </c>
      <c r="D312" s="6"/>
      <c r="E312" s="113">
        <v>1915150160</v>
      </c>
      <c r="F312" s="116">
        <f t="shared" si="60"/>
        <v>53659.190272057378</v>
      </c>
      <c r="G312" s="117">
        <v>1239683120</v>
      </c>
      <c r="H312" s="117">
        <f t="shared" si="61"/>
        <v>34733.773780504889</v>
      </c>
      <c r="I312" s="7"/>
      <c r="J312" s="10">
        <v>4.1166</v>
      </c>
      <c r="K312" s="117">
        <v>5103279</v>
      </c>
      <c r="L312" s="120">
        <f t="shared" si="62"/>
        <v>142.98503824493571</v>
      </c>
      <c r="M312" s="122">
        <f t="shared" si="56"/>
        <v>12396831.200000001</v>
      </c>
      <c r="N312" s="116">
        <f t="shared" si="57"/>
        <v>7293552.2000000011</v>
      </c>
      <c r="O312" s="123">
        <f t="shared" si="58"/>
        <v>204.35269956011322</v>
      </c>
      <c r="P312" s="5"/>
      <c r="Q312" s="5">
        <f t="shared" si="52"/>
        <v>1</v>
      </c>
      <c r="R312" s="7">
        <f t="shared" si="53"/>
        <v>35691</v>
      </c>
      <c r="S312" s="5">
        <f t="shared" si="54"/>
        <v>1</v>
      </c>
      <c r="T312" s="7">
        <f t="shared" si="55"/>
        <v>35691</v>
      </c>
    </row>
    <row r="313" spans="1:20">
      <c r="A313" s="23" t="s">
        <v>348</v>
      </c>
      <c r="B313" s="35" t="s">
        <v>342</v>
      </c>
      <c r="C313" s="36">
        <v>12527</v>
      </c>
      <c r="D313" s="6"/>
      <c r="E313" s="113">
        <v>582198220</v>
      </c>
      <c r="F313" s="116">
        <f t="shared" si="60"/>
        <v>46475.470583539558</v>
      </c>
      <c r="G313" s="117">
        <v>398037350</v>
      </c>
      <c r="H313" s="117">
        <f t="shared" si="61"/>
        <v>31774.355392352518</v>
      </c>
      <c r="I313" s="7"/>
      <c r="J313" s="10">
        <v>4.3</v>
      </c>
      <c r="K313" s="117">
        <v>1711560</v>
      </c>
      <c r="L313" s="120">
        <f t="shared" si="62"/>
        <v>136.62967989143451</v>
      </c>
      <c r="M313" s="122">
        <f t="shared" si="56"/>
        <v>3980373.5</v>
      </c>
      <c r="N313" s="116">
        <f t="shared" si="57"/>
        <v>2268813.5</v>
      </c>
      <c r="O313" s="123">
        <f t="shared" si="58"/>
        <v>181.11387403209068</v>
      </c>
      <c r="P313" s="5"/>
      <c r="Q313" s="5">
        <f t="shared" si="52"/>
        <v>1</v>
      </c>
      <c r="R313" s="7">
        <f t="shared" si="53"/>
        <v>12527</v>
      </c>
      <c r="S313" s="5">
        <f t="shared" si="54"/>
        <v>1</v>
      </c>
      <c r="T313" s="7">
        <f t="shared" si="55"/>
        <v>12527</v>
      </c>
    </row>
    <row r="314" spans="1:20">
      <c r="A314" s="23" t="s">
        <v>349</v>
      </c>
      <c r="B314" s="35" t="s">
        <v>342</v>
      </c>
      <c r="C314" s="36">
        <v>5127</v>
      </c>
      <c r="D314" s="6"/>
      <c r="E314" s="113">
        <v>474604890</v>
      </c>
      <c r="F314" s="116">
        <f t="shared" si="60"/>
        <v>92569.707431246337</v>
      </c>
      <c r="G314" s="117">
        <v>407869190</v>
      </c>
      <c r="H314" s="117">
        <f t="shared" si="61"/>
        <v>79553.187048956504</v>
      </c>
      <c r="I314" s="7"/>
      <c r="J314" s="10">
        <v>2.5185</v>
      </c>
      <c r="K314" s="117">
        <v>1027218</v>
      </c>
      <c r="L314" s="120">
        <f t="shared" si="62"/>
        <v>200.35459332943242</v>
      </c>
      <c r="M314" s="122">
        <f t="shared" si="56"/>
        <v>4078691.9</v>
      </c>
      <c r="N314" s="116">
        <f t="shared" si="57"/>
        <v>3051473.9</v>
      </c>
      <c r="O314" s="123">
        <f t="shared" si="58"/>
        <v>595.17727716013258</v>
      </c>
      <c r="P314" s="5"/>
      <c r="Q314" s="5">
        <f t="shared" si="52"/>
        <v>1</v>
      </c>
      <c r="R314" s="7">
        <f t="shared" si="53"/>
        <v>5127</v>
      </c>
      <c r="S314" s="5">
        <f t="shared" si="54"/>
        <v>1</v>
      </c>
      <c r="T314" s="7">
        <f t="shared" si="55"/>
        <v>5127</v>
      </c>
    </row>
    <row r="315" spans="1:20">
      <c r="A315" s="23" t="s">
        <v>350</v>
      </c>
      <c r="B315" s="35" t="s">
        <v>342</v>
      </c>
      <c r="C315" s="36">
        <v>1705</v>
      </c>
      <c r="D315" s="6"/>
      <c r="E315" s="113">
        <v>332590870</v>
      </c>
      <c r="F315" s="116">
        <f t="shared" si="60"/>
        <v>195067.95894428153</v>
      </c>
      <c r="G315" s="117">
        <v>305532590</v>
      </c>
      <c r="H315" s="117">
        <f t="shared" si="61"/>
        <v>179198</v>
      </c>
      <c r="I315" s="7"/>
      <c r="J315" s="10">
        <v>1.7129000000000001</v>
      </c>
      <c r="K315" s="117">
        <v>523346</v>
      </c>
      <c r="L315" s="120">
        <f t="shared" si="62"/>
        <v>306.94780058651025</v>
      </c>
      <c r="M315" s="122">
        <f t="shared" si="56"/>
        <v>3055325.9</v>
      </c>
      <c r="N315" s="116">
        <f t="shared" si="57"/>
        <v>2531979.9</v>
      </c>
      <c r="O315" s="123">
        <f t="shared" si="58"/>
        <v>1485.0321994134897</v>
      </c>
      <c r="P315" s="5"/>
      <c r="Q315" s="5">
        <f t="shared" si="52"/>
        <v>1</v>
      </c>
      <c r="R315" s="7">
        <f t="shared" si="53"/>
        <v>1705</v>
      </c>
      <c r="S315" s="5">
        <f t="shared" si="54"/>
        <v>1</v>
      </c>
      <c r="T315" s="7">
        <f t="shared" si="55"/>
        <v>1705</v>
      </c>
    </row>
    <row r="316" spans="1:20">
      <c r="A316" s="23" t="s">
        <v>351</v>
      </c>
      <c r="B316" s="35" t="s">
        <v>342</v>
      </c>
      <c r="C316" s="36">
        <v>4400</v>
      </c>
      <c r="D316" s="6"/>
      <c r="E316" s="113">
        <v>139217230</v>
      </c>
      <c r="F316" s="116">
        <f t="shared" si="60"/>
        <v>31640.279545454545</v>
      </c>
      <c r="G316" s="117">
        <v>92557420</v>
      </c>
      <c r="H316" s="117">
        <f t="shared" si="61"/>
        <v>21035.777272727271</v>
      </c>
      <c r="I316" s="7"/>
      <c r="J316" s="10">
        <v>3.754</v>
      </c>
      <c r="K316" s="117">
        <v>347460</v>
      </c>
      <c r="L316" s="120">
        <f t="shared" si="62"/>
        <v>78.968181818181819</v>
      </c>
      <c r="M316" s="122">
        <f t="shared" si="56"/>
        <v>925574.20000000007</v>
      </c>
      <c r="N316" s="116">
        <f t="shared" si="57"/>
        <v>578114.20000000007</v>
      </c>
      <c r="O316" s="123">
        <f t="shared" si="58"/>
        <v>131.38959090909091</v>
      </c>
      <c r="P316" s="5"/>
      <c r="Q316" s="5">
        <f t="shared" si="52"/>
        <v>1</v>
      </c>
      <c r="R316" s="7">
        <f t="shared" si="53"/>
        <v>4400</v>
      </c>
      <c r="S316" s="5">
        <f t="shared" si="54"/>
        <v>1</v>
      </c>
      <c r="T316" s="7">
        <f t="shared" si="55"/>
        <v>4400</v>
      </c>
    </row>
    <row r="317" spans="1:20">
      <c r="A317" s="23" t="s">
        <v>352</v>
      </c>
      <c r="B317" s="35" t="s">
        <v>342</v>
      </c>
      <c r="C317" s="36">
        <v>69371</v>
      </c>
      <c r="D317" s="6"/>
      <c r="E317" s="113">
        <v>2902319614</v>
      </c>
      <c r="F317" s="116">
        <f t="shared" si="60"/>
        <v>41837.649940176729</v>
      </c>
      <c r="G317" s="117">
        <v>2180222554</v>
      </c>
      <c r="H317" s="117">
        <f t="shared" si="61"/>
        <v>31428.443499445013</v>
      </c>
      <c r="I317" s="7"/>
      <c r="J317" s="10">
        <v>3.4</v>
      </c>
      <c r="K317" s="117">
        <v>7412756</v>
      </c>
      <c r="L317" s="120">
        <f t="shared" si="62"/>
        <v>106.85669804385118</v>
      </c>
      <c r="M317" s="122">
        <f t="shared" si="56"/>
        <v>21802225.539999999</v>
      </c>
      <c r="N317" s="116">
        <f t="shared" si="57"/>
        <v>14389469.539999999</v>
      </c>
      <c r="O317" s="123">
        <f t="shared" si="58"/>
        <v>207.42773695059893</v>
      </c>
      <c r="P317" s="5"/>
      <c r="Q317" s="5">
        <f t="shared" si="52"/>
        <v>1</v>
      </c>
      <c r="R317" s="7">
        <f t="shared" si="53"/>
        <v>69371</v>
      </c>
      <c r="S317" s="5">
        <f t="shared" si="54"/>
        <v>1</v>
      </c>
      <c r="T317" s="7">
        <f t="shared" si="55"/>
        <v>69371</v>
      </c>
    </row>
    <row r="318" spans="1:20">
      <c r="A318" s="23" t="s">
        <v>353</v>
      </c>
      <c r="B318" s="35" t="s">
        <v>342</v>
      </c>
      <c r="C318" s="36">
        <v>4511</v>
      </c>
      <c r="D318" s="6"/>
      <c r="E318" s="113">
        <v>530085940</v>
      </c>
      <c r="F318" s="116">
        <f t="shared" si="60"/>
        <v>117509.62979383729</v>
      </c>
      <c r="G318" s="117">
        <v>452700750</v>
      </c>
      <c r="H318" s="117">
        <f t="shared" si="61"/>
        <v>100354.85479937929</v>
      </c>
      <c r="I318" s="7"/>
      <c r="J318" s="10">
        <v>2.2000000000000002</v>
      </c>
      <c r="K318" s="117">
        <v>995941</v>
      </c>
      <c r="L318" s="120">
        <f t="shared" si="62"/>
        <v>220.78053646641544</v>
      </c>
      <c r="M318" s="122">
        <f t="shared" si="56"/>
        <v>4527007.5</v>
      </c>
      <c r="N318" s="116">
        <f t="shared" si="57"/>
        <v>3531066.5</v>
      </c>
      <c r="O318" s="123">
        <f t="shared" si="58"/>
        <v>782.76801152737755</v>
      </c>
      <c r="P318" s="5"/>
      <c r="Q318" s="5">
        <f t="shared" si="52"/>
        <v>1</v>
      </c>
      <c r="R318" s="7">
        <f t="shared" si="53"/>
        <v>4511</v>
      </c>
      <c r="S318" s="5">
        <f t="shared" si="54"/>
        <v>1</v>
      </c>
      <c r="T318" s="7">
        <f t="shared" si="55"/>
        <v>4511</v>
      </c>
    </row>
    <row r="319" spans="1:20">
      <c r="A319" s="23" t="s">
        <v>354</v>
      </c>
      <c r="B319" s="35" t="s">
        <v>342</v>
      </c>
      <c r="C319" s="36">
        <v>1474</v>
      </c>
      <c r="D319" s="6"/>
      <c r="E319" s="113">
        <v>208307230</v>
      </c>
      <c r="F319" s="116">
        <f t="shared" si="60"/>
        <v>141321.05156037991</v>
      </c>
      <c r="G319" s="117">
        <v>191742100</v>
      </c>
      <c r="H319" s="117">
        <f t="shared" si="61"/>
        <v>130082.83582089552</v>
      </c>
      <c r="I319" s="7"/>
      <c r="J319" s="10">
        <v>1</v>
      </c>
      <c r="K319" s="117">
        <v>191742</v>
      </c>
      <c r="L319" s="120">
        <f t="shared" si="62"/>
        <v>130.08276797829038</v>
      </c>
      <c r="M319" s="122">
        <f t="shared" si="56"/>
        <v>1917421</v>
      </c>
      <c r="N319" s="116">
        <f t="shared" si="57"/>
        <v>1725679</v>
      </c>
      <c r="O319" s="123">
        <f t="shared" si="58"/>
        <v>1170.7455902306649</v>
      </c>
      <c r="P319" s="5"/>
      <c r="Q319" s="5">
        <f t="shared" si="52"/>
        <v>1</v>
      </c>
      <c r="R319" s="7">
        <f t="shared" si="53"/>
        <v>1474</v>
      </c>
      <c r="S319" s="5">
        <f t="shared" si="54"/>
        <v>1</v>
      </c>
      <c r="T319" s="7">
        <f t="shared" si="55"/>
        <v>1474</v>
      </c>
    </row>
    <row r="320" spans="1:20">
      <c r="A320" s="23" t="s">
        <v>355</v>
      </c>
      <c r="B320" s="35" t="s">
        <v>342</v>
      </c>
      <c r="C320" s="36">
        <v>11910</v>
      </c>
      <c r="D320" s="6"/>
      <c r="E320" s="113">
        <v>690418391</v>
      </c>
      <c r="F320" s="116">
        <f t="shared" si="60"/>
        <v>57969.638203190596</v>
      </c>
      <c r="G320" s="117">
        <v>545292385</v>
      </c>
      <c r="H320" s="117">
        <f t="shared" si="61"/>
        <v>45784.415197313181</v>
      </c>
      <c r="I320" s="7"/>
      <c r="J320" s="10">
        <v>4.6500000000000004</v>
      </c>
      <c r="K320" s="117">
        <v>2535609</v>
      </c>
      <c r="L320" s="120">
        <f t="shared" si="62"/>
        <v>212.89748110831235</v>
      </c>
      <c r="M320" s="122">
        <f t="shared" si="56"/>
        <v>5452923.8500000006</v>
      </c>
      <c r="N320" s="116">
        <f t="shared" si="57"/>
        <v>2917314.8500000006</v>
      </c>
      <c r="O320" s="123">
        <f t="shared" si="58"/>
        <v>244.94667086481954</v>
      </c>
      <c r="P320" s="5"/>
      <c r="Q320" s="5">
        <f t="shared" si="52"/>
        <v>1</v>
      </c>
      <c r="R320" s="7">
        <f t="shared" si="53"/>
        <v>11910</v>
      </c>
      <c r="S320" s="5">
        <f t="shared" si="54"/>
        <v>1</v>
      </c>
      <c r="T320" s="7">
        <f t="shared" si="55"/>
        <v>11910</v>
      </c>
    </row>
    <row r="321" spans="1:20">
      <c r="A321" s="23" t="s">
        <v>356</v>
      </c>
      <c r="B321" s="35" t="s">
        <v>342</v>
      </c>
      <c r="C321" s="36">
        <v>45658</v>
      </c>
      <c r="D321" s="6"/>
      <c r="E321" s="113">
        <v>2409055107</v>
      </c>
      <c r="F321" s="116">
        <f t="shared" si="60"/>
        <v>52763.044964737834</v>
      </c>
      <c r="G321" s="117">
        <v>1875354048</v>
      </c>
      <c r="H321" s="117">
        <f t="shared" si="61"/>
        <v>41073.942091199788</v>
      </c>
      <c r="I321" s="7"/>
      <c r="J321" s="10">
        <v>5.0788000000000002</v>
      </c>
      <c r="K321" s="117">
        <v>9524548</v>
      </c>
      <c r="L321" s="120">
        <f t="shared" si="62"/>
        <v>208.60633404879758</v>
      </c>
      <c r="M321" s="122">
        <f t="shared" si="56"/>
        <v>18753540.48</v>
      </c>
      <c r="N321" s="116">
        <f t="shared" si="57"/>
        <v>9228992.4800000004</v>
      </c>
      <c r="O321" s="123">
        <f t="shared" si="58"/>
        <v>202.13308686320033</v>
      </c>
      <c r="P321" s="5"/>
      <c r="Q321" s="5">
        <f t="shared" si="52"/>
        <v>1</v>
      </c>
      <c r="R321" s="7">
        <f t="shared" si="53"/>
        <v>45658</v>
      </c>
      <c r="S321" s="5">
        <f t="shared" si="54"/>
        <v>1</v>
      </c>
      <c r="T321" s="7">
        <f t="shared" si="55"/>
        <v>45658</v>
      </c>
    </row>
    <row r="322" spans="1:20">
      <c r="A322" s="23" t="s">
        <v>357</v>
      </c>
      <c r="B322" s="35" t="s">
        <v>342</v>
      </c>
      <c r="C322" s="36">
        <v>1539</v>
      </c>
      <c r="D322" s="6"/>
      <c r="E322" s="113">
        <v>176943630</v>
      </c>
      <c r="F322" s="116">
        <f t="shared" si="60"/>
        <v>114973.11890838206</v>
      </c>
      <c r="G322" s="117">
        <v>141750230</v>
      </c>
      <c r="H322" s="117">
        <f t="shared" si="61"/>
        <v>92105.412605588048</v>
      </c>
      <c r="I322" s="7"/>
      <c r="J322" s="10">
        <v>2.2559999999999998</v>
      </c>
      <c r="K322" s="117">
        <v>319788</v>
      </c>
      <c r="L322" s="120">
        <f t="shared" si="62"/>
        <v>207.78947368421052</v>
      </c>
      <c r="M322" s="122">
        <f t="shared" si="56"/>
        <v>1417502.3</v>
      </c>
      <c r="N322" s="116">
        <f t="shared" si="57"/>
        <v>1097714.3</v>
      </c>
      <c r="O322" s="123">
        <f t="shared" si="58"/>
        <v>713.26465237166997</v>
      </c>
      <c r="P322" s="5"/>
      <c r="Q322" s="5">
        <f t="shared" si="52"/>
        <v>1</v>
      </c>
      <c r="R322" s="7">
        <f t="shared" si="53"/>
        <v>1539</v>
      </c>
      <c r="S322" s="5">
        <f t="shared" si="54"/>
        <v>1</v>
      </c>
      <c r="T322" s="7">
        <f t="shared" si="55"/>
        <v>1539</v>
      </c>
    </row>
    <row r="323" spans="1:20">
      <c r="A323" s="23" t="s">
        <v>358</v>
      </c>
      <c r="B323" s="35" t="s">
        <v>342</v>
      </c>
      <c r="C323" s="36">
        <v>2338</v>
      </c>
      <c r="D323" s="6"/>
      <c r="E323" s="113">
        <v>252400010</v>
      </c>
      <c r="F323" s="116">
        <f t="shared" si="60"/>
        <v>107955.52181351582</v>
      </c>
      <c r="G323" s="117">
        <v>215154610</v>
      </c>
      <c r="H323" s="117">
        <f t="shared" si="61"/>
        <v>92025.068434559449</v>
      </c>
      <c r="I323" s="7"/>
      <c r="J323" s="10">
        <v>1.68</v>
      </c>
      <c r="K323" s="117">
        <v>361459</v>
      </c>
      <c r="L323" s="120">
        <f t="shared" si="62"/>
        <v>154.60179640718562</v>
      </c>
      <c r="M323" s="122">
        <f t="shared" si="56"/>
        <v>2151546.1</v>
      </c>
      <c r="N323" s="116">
        <f t="shared" si="57"/>
        <v>1790087.1</v>
      </c>
      <c r="O323" s="123">
        <f t="shared" si="58"/>
        <v>765.64888793840896</v>
      </c>
      <c r="P323" s="5"/>
      <c r="Q323" s="5">
        <f t="shared" si="52"/>
        <v>1</v>
      </c>
      <c r="R323" s="7">
        <f t="shared" si="53"/>
        <v>2338</v>
      </c>
      <c r="S323" s="5">
        <f t="shared" si="54"/>
        <v>1</v>
      </c>
      <c r="T323" s="7">
        <f t="shared" si="55"/>
        <v>2338</v>
      </c>
    </row>
    <row r="324" spans="1:20">
      <c r="A324" s="23" t="s">
        <v>359</v>
      </c>
      <c r="B324" s="35" t="s">
        <v>342</v>
      </c>
      <c r="C324" s="36">
        <v>17203</v>
      </c>
      <c r="D324" s="6"/>
      <c r="E324" s="113">
        <v>999490507</v>
      </c>
      <c r="F324" s="116">
        <f t="shared" si="60"/>
        <v>58099.77951520084</v>
      </c>
      <c r="G324" s="117">
        <v>702419597</v>
      </c>
      <c r="H324" s="117">
        <f t="shared" si="61"/>
        <v>40831.226937162122</v>
      </c>
      <c r="I324" s="7"/>
      <c r="J324" s="10">
        <v>3.3429000000000002</v>
      </c>
      <c r="K324" s="117">
        <v>2348118</v>
      </c>
      <c r="L324" s="120">
        <f t="shared" si="62"/>
        <v>136.49468116026276</v>
      </c>
      <c r="M324" s="122">
        <f t="shared" si="56"/>
        <v>7024195.9699999997</v>
      </c>
      <c r="N324" s="116">
        <f t="shared" si="57"/>
        <v>4676077.97</v>
      </c>
      <c r="O324" s="123">
        <f t="shared" si="58"/>
        <v>271.81758821135844</v>
      </c>
      <c r="P324" s="5"/>
      <c r="Q324" s="5">
        <f t="shared" si="52"/>
        <v>1</v>
      </c>
      <c r="R324" s="7">
        <f t="shared" si="53"/>
        <v>17203</v>
      </c>
      <c r="S324" s="5">
        <f t="shared" si="54"/>
        <v>1</v>
      </c>
      <c r="T324" s="7">
        <f t="shared" si="55"/>
        <v>17203</v>
      </c>
    </row>
    <row r="325" spans="1:20">
      <c r="A325" s="23" t="s">
        <v>360</v>
      </c>
      <c r="B325" s="35" t="s">
        <v>342</v>
      </c>
      <c r="C325" s="36">
        <v>10890</v>
      </c>
      <c r="D325" s="6"/>
      <c r="E325" s="113">
        <v>831808435</v>
      </c>
      <c r="F325" s="116">
        <f t="shared" si="60"/>
        <v>76382.776400367307</v>
      </c>
      <c r="G325" s="117">
        <v>625757890</v>
      </c>
      <c r="H325" s="117">
        <f t="shared" si="61"/>
        <v>57461.697887970615</v>
      </c>
      <c r="I325" s="7"/>
      <c r="J325" s="10">
        <v>3.21</v>
      </c>
      <c r="K325" s="117">
        <v>2008682</v>
      </c>
      <c r="L325" s="120">
        <f t="shared" si="62"/>
        <v>184.45197428833794</v>
      </c>
      <c r="M325" s="122">
        <f t="shared" si="56"/>
        <v>6257578.9000000004</v>
      </c>
      <c r="N325" s="116">
        <f t="shared" si="57"/>
        <v>4248896.9000000004</v>
      </c>
      <c r="O325" s="123">
        <f t="shared" si="58"/>
        <v>390.16500459136824</v>
      </c>
      <c r="P325" s="5"/>
      <c r="Q325" s="5">
        <f t="shared" si="52"/>
        <v>1</v>
      </c>
      <c r="R325" s="7">
        <f t="shared" si="53"/>
        <v>10890</v>
      </c>
      <c r="S325" s="5">
        <f t="shared" si="54"/>
        <v>1</v>
      </c>
      <c r="T325" s="7">
        <f t="shared" si="55"/>
        <v>10890</v>
      </c>
    </row>
    <row r="326" spans="1:20">
      <c r="A326" s="23" t="s">
        <v>361</v>
      </c>
      <c r="B326" s="35" t="s">
        <v>342</v>
      </c>
      <c r="C326" s="36">
        <v>5778</v>
      </c>
      <c r="D326" s="6"/>
      <c r="E326" s="113">
        <v>395308240</v>
      </c>
      <c r="F326" s="116">
        <f t="shared" si="60"/>
        <v>68416.102457597779</v>
      </c>
      <c r="G326" s="117">
        <v>323202240</v>
      </c>
      <c r="H326" s="117">
        <f t="shared" si="61"/>
        <v>55936.697819314642</v>
      </c>
      <c r="I326" s="7"/>
      <c r="J326" s="10">
        <v>1.5408999999999999</v>
      </c>
      <c r="K326" s="117">
        <v>498022</v>
      </c>
      <c r="L326" s="120">
        <f t="shared" si="62"/>
        <v>86.192800276912422</v>
      </c>
      <c r="M326" s="122">
        <f t="shared" si="56"/>
        <v>3232022.4</v>
      </c>
      <c r="N326" s="116">
        <f t="shared" si="57"/>
        <v>2734000.4</v>
      </c>
      <c r="O326" s="123">
        <f t="shared" si="58"/>
        <v>473.17417791623399</v>
      </c>
      <c r="P326" s="5"/>
      <c r="Q326" s="5">
        <f t="shared" si="52"/>
        <v>1</v>
      </c>
      <c r="R326" s="7">
        <f t="shared" si="53"/>
        <v>5778</v>
      </c>
      <c r="S326" s="5">
        <f t="shared" si="54"/>
        <v>1</v>
      </c>
      <c r="T326" s="7">
        <f t="shared" si="55"/>
        <v>5778</v>
      </c>
    </row>
    <row r="327" spans="1:20">
      <c r="A327" s="24" t="s">
        <v>561</v>
      </c>
      <c r="B327" s="35" t="s">
        <v>342</v>
      </c>
      <c r="C327" s="36">
        <v>9929</v>
      </c>
      <c r="D327" s="6"/>
      <c r="E327" s="113">
        <v>1460657150</v>
      </c>
      <c r="F327" s="116">
        <f t="shared" si="60"/>
        <v>147110.19740155101</v>
      </c>
      <c r="G327" s="117">
        <v>1218198330</v>
      </c>
      <c r="H327" s="117">
        <f t="shared" si="61"/>
        <v>122690.93866451808</v>
      </c>
      <c r="I327" s="7"/>
      <c r="J327" s="10">
        <v>2.9458000000000002</v>
      </c>
      <c r="K327" s="117">
        <v>3588568</v>
      </c>
      <c r="L327" s="120">
        <f t="shared" si="62"/>
        <v>361.42290260852047</v>
      </c>
      <c r="M327" s="122">
        <f t="shared" si="56"/>
        <v>12181983.300000001</v>
      </c>
      <c r="N327" s="116">
        <f t="shared" si="57"/>
        <v>8593415.3000000007</v>
      </c>
      <c r="O327" s="123">
        <f t="shared" si="58"/>
        <v>865.48648403666039</v>
      </c>
      <c r="P327" s="5"/>
      <c r="Q327" s="5">
        <f t="shared" ref="Q327:Q390" si="63">IF(E327&gt;0,1,0)</f>
        <v>1</v>
      </c>
      <c r="R327" s="7">
        <f t="shared" ref="R327:R390" si="64">IF(E327&gt;0,C327,0)</f>
        <v>9929</v>
      </c>
      <c r="S327" s="5">
        <f t="shared" ref="S327:S390" si="65">IF(J327&gt;0,1,0)</f>
        <v>1</v>
      </c>
      <c r="T327" s="7">
        <f t="shared" ref="T327:T390" si="66">IF(J327&gt;0,C327,0)</f>
        <v>9929</v>
      </c>
    </row>
    <row r="328" spans="1:20">
      <c r="A328" s="23" t="s">
        <v>548</v>
      </c>
      <c r="B328" s="35" t="s">
        <v>342</v>
      </c>
      <c r="C328" s="36">
        <v>248232</v>
      </c>
      <c r="D328" s="6"/>
      <c r="E328" s="113">
        <v>12260853116</v>
      </c>
      <c r="F328" s="116">
        <f t="shared" si="60"/>
        <v>49392.717764027198</v>
      </c>
      <c r="G328" s="117">
        <v>8449822813</v>
      </c>
      <c r="H328" s="117">
        <f t="shared" si="61"/>
        <v>34040.022289632281</v>
      </c>
      <c r="I328" s="7"/>
      <c r="J328" s="10">
        <v>7.2903000000000002</v>
      </c>
      <c r="K328" s="117">
        <v>61601743</v>
      </c>
      <c r="L328" s="120">
        <f t="shared" si="62"/>
        <v>248.16197347642529</v>
      </c>
      <c r="M328" s="122">
        <f t="shared" ref="M328:M391" si="67">(G328*0.01)</f>
        <v>84498228.129999995</v>
      </c>
      <c r="N328" s="116">
        <f t="shared" ref="N328:N391" si="68">(M328-K328)</f>
        <v>22896485.129999995</v>
      </c>
      <c r="O328" s="123">
        <f t="shared" ref="O328:O391" si="69">(N328/C328)</f>
        <v>92.2382494198975</v>
      </c>
      <c r="P328" s="5"/>
      <c r="Q328" s="5">
        <f t="shared" si="63"/>
        <v>1</v>
      </c>
      <c r="R328" s="7">
        <f t="shared" si="64"/>
        <v>248232</v>
      </c>
      <c r="S328" s="5">
        <f t="shared" si="65"/>
        <v>1</v>
      </c>
      <c r="T328" s="7">
        <f t="shared" si="66"/>
        <v>248232</v>
      </c>
    </row>
    <row r="329" spans="1:20">
      <c r="A329" s="23" t="s">
        <v>362</v>
      </c>
      <c r="B329" s="35" t="s">
        <v>342</v>
      </c>
      <c r="C329" s="36">
        <v>21003</v>
      </c>
      <c r="D329" s="6"/>
      <c r="E329" s="113">
        <v>1205917660</v>
      </c>
      <c r="F329" s="116">
        <f t="shared" si="60"/>
        <v>57416.448126458126</v>
      </c>
      <c r="G329" s="117">
        <v>877356590</v>
      </c>
      <c r="H329" s="117">
        <f t="shared" si="61"/>
        <v>41772.917678426893</v>
      </c>
      <c r="I329" s="7"/>
      <c r="J329" s="10">
        <v>4.9454000000000002</v>
      </c>
      <c r="K329" s="117">
        <v>4338879</v>
      </c>
      <c r="L329" s="120">
        <f t="shared" si="62"/>
        <v>206.58377374660762</v>
      </c>
      <c r="M329" s="122">
        <f t="shared" si="67"/>
        <v>8773565.9000000004</v>
      </c>
      <c r="N329" s="116">
        <f t="shared" si="68"/>
        <v>4434686.9000000004</v>
      </c>
      <c r="O329" s="123">
        <f t="shared" si="69"/>
        <v>211.14540303766131</v>
      </c>
      <c r="P329" s="5"/>
      <c r="Q329" s="5">
        <f t="shared" si="63"/>
        <v>1</v>
      </c>
      <c r="R329" s="7">
        <f t="shared" si="64"/>
        <v>21003</v>
      </c>
      <c r="S329" s="5">
        <f t="shared" si="65"/>
        <v>1</v>
      </c>
      <c r="T329" s="7">
        <f t="shared" si="66"/>
        <v>21003</v>
      </c>
    </row>
    <row r="330" spans="1:20">
      <c r="A330" s="23" t="s">
        <v>363</v>
      </c>
      <c r="B330" s="35" t="s">
        <v>342</v>
      </c>
      <c r="C330" s="36">
        <v>7450</v>
      </c>
      <c r="D330" s="6"/>
      <c r="E330" s="113">
        <v>968767990</v>
      </c>
      <c r="F330" s="116">
        <f t="shared" si="60"/>
        <v>130035.97181208053</v>
      </c>
      <c r="G330" s="117">
        <v>722706700</v>
      </c>
      <c r="H330" s="117">
        <f t="shared" si="61"/>
        <v>97007.61073825504</v>
      </c>
      <c r="I330" s="7"/>
      <c r="J330" s="10">
        <v>2.2271999999999998</v>
      </c>
      <c r="K330" s="117">
        <v>1609612</v>
      </c>
      <c r="L330" s="120">
        <f t="shared" si="62"/>
        <v>216.05530201342282</v>
      </c>
      <c r="M330" s="122">
        <f t="shared" si="67"/>
        <v>7227067</v>
      </c>
      <c r="N330" s="116">
        <f t="shared" si="68"/>
        <v>5617455</v>
      </c>
      <c r="O330" s="123">
        <f t="shared" si="69"/>
        <v>754.02080536912752</v>
      </c>
      <c r="P330" s="5"/>
      <c r="Q330" s="5">
        <f t="shared" si="63"/>
        <v>1</v>
      </c>
      <c r="R330" s="7">
        <f t="shared" si="64"/>
        <v>7450</v>
      </c>
      <c r="S330" s="5">
        <f t="shared" si="65"/>
        <v>1</v>
      </c>
      <c r="T330" s="7">
        <f t="shared" si="66"/>
        <v>7450</v>
      </c>
    </row>
    <row r="331" spans="1:20">
      <c r="A331" s="23" t="s">
        <v>364</v>
      </c>
      <c r="B331" s="35" t="s">
        <v>365</v>
      </c>
      <c r="C331" s="36">
        <v>11032</v>
      </c>
      <c r="D331" s="6"/>
      <c r="E331" s="113">
        <v>396922555</v>
      </c>
      <c r="F331" s="116">
        <f t="shared" si="60"/>
        <v>35979.201867295138</v>
      </c>
      <c r="G331" s="117">
        <v>282276775</v>
      </c>
      <c r="H331" s="117">
        <f t="shared" si="61"/>
        <v>25587.089829586657</v>
      </c>
      <c r="I331" s="7"/>
      <c r="J331" s="10">
        <v>4.516</v>
      </c>
      <c r="K331" s="117">
        <v>1274761</v>
      </c>
      <c r="L331" s="120">
        <f t="shared" si="62"/>
        <v>115.55121464829587</v>
      </c>
      <c r="M331" s="122">
        <f t="shared" si="67"/>
        <v>2822767.75</v>
      </c>
      <c r="N331" s="116">
        <f t="shared" si="68"/>
        <v>1548006.75</v>
      </c>
      <c r="O331" s="123">
        <f t="shared" si="69"/>
        <v>140.31968364757071</v>
      </c>
      <c r="P331" s="5"/>
      <c r="Q331" s="5">
        <f t="shared" si="63"/>
        <v>1</v>
      </c>
      <c r="R331" s="7">
        <f t="shared" si="64"/>
        <v>11032</v>
      </c>
      <c r="S331" s="5">
        <f t="shared" si="65"/>
        <v>1</v>
      </c>
      <c r="T331" s="7">
        <f t="shared" si="66"/>
        <v>11032</v>
      </c>
    </row>
    <row r="332" spans="1:20">
      <c r="A332" s="23" t="s">
        <v>366</v>
      </c>
      <c r="B332" s="35" t="s">
        <v>365</v>
      </c>
      <c r="C332" s="36">
        <v>15340</v>
      </c>
      <c r="D332" s="6"/>
      <c r="E332" s="113">
        <v>562107789</v>
      </c>
      <c r="F332" s="116">
        <f t="shared" si="60"/>
        <v>36643.271773142114</v>
      </c>
      <c r="G332" s="117">
        <v>316286059</v>
      </c>
      <c r="H332" s="117">
        <f t="shared" si="61"/>
        <v>20618.387157757497</v>
      </c>
      <c r="I332" s="7"/>
      <c r="J332" s="10">
        <v>2.04</v>
      </c>
      <c r="K332" s="117">
        <v>645223</v>
      </c>
      <c r="L332" s="120">
        <f t="shared" si="62"/>
        <v>42.061473272490218</v>
      </c>
      <c r="M332" s="122">
        <f t="shared" si="67"/>
        <v>3162860.59</v>
      </c>
      <c r="N332" s="116">
        <f t="shared" si="68"/>
        <v>2517637.59</v>
      </c>
      <c r="O332" s="123">
        <f t="shared" si="69"/>
        <v>164.12239830508474</v>
      </c>
      <c r="P332" s="5"/>
      <c r="Q332" s="5">
        <f t="shared" si="63"/>
        <v>1</v>
      </c>
      <c r="R332" s="7">
        <f t="shared" si="64"/>
        <v>15340</v>
      </c>
      <c r="S332" s="5">
        <f t="shared" si="65"/>
        <v>1</v>
      </c>
      <c r="T332" s="7">
        <f t="shared" si="66"/>
        <v>15340</v>
      </c>
    </row>
    <row r="333" spans="1:20">
      <c r="A333" s="23" t="s">
        <v>367</v>
      </c>
      <c r="B333" s="35" t="s">
        <v>365</v>
      </c>
      <c r="C333" s="36">
        <v>1924</v>
      </c>
      <c r="D333" s="6"/>
      <c r="E333" s="113">
        <v>59667764</v>
      </c>
      <c r="F333" s="116">
        <f t="shared" si="60"/>
        <v>31012.35135135135</v>
      </c>
      <c r="G333" s="117">
        <v>37205579</v>
      </c>
      <c r="H333" s="117">
        <f t="shared" si="61"/>
        <v>19337.619022869021</v>
      </c>
      <c r="I333" s="7"/>
      <c r="J333" s="10">
        <v>6</v>
      </c>
      <c r="K333" s="117">
        <v>223233</v>
      </c>
      <c r="L333" s="120">
        <f t="shared" si="62"/>
        <v>116.02546777546777</v>
      </c>
      <c r="M333" s="122">
        <f t="shared" si="67"/>
        <v>372055.79</v>
      </c>
      <c r="N333" s="116">
        <f t="shared" si="68"/>
        <v>148822.78999999998</v>
      </c>
      <c r="O333" s="123">
        <f t="shared" si="69"/>
        <v>77.350722453222446</v>
      </c>
      <c r="P333" s="5"/>
      <c r="Q333" s="5">
        <f t="shared" si="63"/>
        <v>1</v>
      </c>
      <c r="R333" s="7">
        <f t="shared" si="64"/>
        <v>1924</v>
      </c>
      <c r="S333" s="5">
        <f t="shared" si="65"/>
        <v>1</v>
      </c>
      <c r="T333" s="7">
        <f t="shared" si="66"/>
        <v>1924</v>
      </c>
    </row>
    <row r="334" spans="1:20">
      <c r="A334" s="23" t="s">
        <v>368</v>
      </c>
      <c r="B334" s="35" t="s">
        <v>365</v>
      </c>
      <c r="C334" s="36">
        <v>2912</v>
      </c>
      <c r="D334" s="6"/>
      <c r="E334" s="113">
        <v>101657204</v>
      </c>
      <c r="F334" s="116">
        <f t="shared" si="60"/>
        <v>34909.754120879123</v>
      </c>
      <c r="G334" s="117">
        <v>76798031</v>
      </c>
      <c r="H334" s="117">
        <f t="shared" si="61"/>
        <v>26372.950206043955</v>
      </c>
      <c r="I334" s="7"/>
      <c r="J334" s="10">
        <v>7</v>
      </c>
      <c r="K334" s="117">
        <v>537586</v>
      </c>
      <c r="L334" s="120">
        <f t="shared" si="62"/>
        <v>184.61057692307693</v>
      </c>
      <c r="M334" s="122">
        <f t="shared" si="67"/>
        <v>767980.31</v>
      </c>
      <c r="N334" s="116">
        <f t="shared" si="68"/>
        <v>230394.31000000006</v>
      </c>
      <c r="O334" s="123">
        <f t="shared" si="69"/>
        <v>79.118925137362652</v>
      </c>
      <c r="P334" s="5"/>
      <c r="Q334" s="5">
        <f t="shared" si="63"/>
        <v>1</v>
      </c>
      <c r="R334" s="7">
        <f t="shared" si="64"/>
        <v>2912</v>
      </c>
      <c r="S334" s="5">
        <f t="shared" si="65"/>
        <v>1</v>
      </c>
      <c r="T334" s="7">
        <f t="shared" si="66"/>
        <v>2912</v>
      </c>
    </row>
    <row r="335" spans="1:20">
      <c r="A335" s="23" t="s">
        <v>369</v>
      </c>
      <c r="B335" s="35" t="s">
        <v>365</v>
      </c>
      <c r="C335" s="36">
        <v>2496</v>
      </c>
      <c r="D335" s="6"/>
      <c r="E335" s="113">
        <v>40199379</v>
      </c>
      <c r="F335" s="116">
        <f t="shared" si="60"/>
        <v>16105.520432692309</v>
      </c>
      <c r="G335" s="117">
        <v>22169920</v>
      </c>
      <c r="H335" s="117">
        <f t="shared" si="61"/>
        <v>8882.1794871794864</v>
      </c>
      <c r="I335" s="7"/>
      <c r="J335" s="10">
        <v>7</v>
      </c>
      <c r="K335" s="117">
        <v>155189</v>
      </c>
      <c r="L335" s="120">
        <f t="shared" si="62"/>
        <v>62.175080128205131</v>
      </c>
      <c r="M335" s="122">
        <f t="shared" si="67"/>
        <v>221699.20000000001</v>
      </c>
      <c r="N335" s="116">
        <f t="shared" si="68"/>
        <v>66510.200000000012</v>
      </c>
      <c r="O335" s="123">
        <f t="shared" si="69"/>
        <v>26.646714743589747</v>
      </c>
      <c r="P335" s="5"/>
      <c r="Q335" s="5">
        <f t="shared" si="63"/>
        <v>1</v>
      </c>
      <c r="R335" s="7">
        <f t="shared" si="64"/>
        <v>2496</v>
      </c>
      <c r="S335" s="5">
        <f t="shared" si="65"/>
        <v>1</v>
      </c>
      <c r="T335" s="7">
        <f t="shared" si="66"/>
        <v>2496</v>
      </c>
    </row>
    <row r="336" spans="1:20">
      <c r="A336" s="23" t="s">
        <v>370</v>
      </c>
      <c r="B336" s="35" t="s">
        <v>365</v>
      </c>
      <c r="C336" s="36">
        <v>5691</v>
      </c>
      <c r="D336" s="6"/>
      <c r="E336" s="113">
        <v>119767531</v>
      </c>
      <c r="F336" s="116">
        <f t="shared" si="60"/>
        <v>21045.076612194694</v>
      </c>
      <c r="G336" s="117">
        <v>68681576</v>
      </c>
      <c r="H336" s="117">
        <f t="shared" si="61"/>
        <v>12068.45475311896</v>
      </c>
      <c r="I336" s="98" t="s">
        <v>528</v>
      </c>
      <c r="J336" s="10"/>
      <c r="K336" s="117"/>
      <c r="L336" s="120"/>
      <c r="M336" s="122">
        <f t="shared" si="67"/>
        <v>686815.76</v>
      </c>
      <c r="N336" s="116">
        <f t="shared" si="68"/>
        <v>686815.76</v>
      </c>
      <c r="O336" s="123">
        <f t="shared" si="69"/>
        <v>120.68454753118959</v>
      </c>
      <c r="P336" s="5"/>
      <c r="Q336" s="5">
        <f t="shared" si="63"/>
        <v>1</v>
      </c>
      <c r="R336" s="7">
        <f t="shared" si="64"/>
        <v>5691</v>
      </c>
      <c r="S336" s="5">
        <f t="shared" si="65"/>
        <v>0</v>
      </c>
      <c r="T336" s="7">
        <f t="shared" si="66"/>
        <v>0</v>
      </c>
    </row>
    <row r="337" spans="1:20">
      <c r="A337" s="23" t="s">
        <v>371</v>
      </c>
      <c r="B337" s="35" t="s">
        <v>365</v>
      </c>
      <c r="C337" s="36">
        <v>2975</v>
      </c>
      <c r="D337" s="6"/>
      <c r="E337" s="113">
        <v>126650988</v>
      </c>
      <c r="F337" s="116">
        <f t="shared" si="60"/>
        <v>42571.760672268909</v>
      </c>
      <c r="G337" s="117">
        <v>95377485</v>
      </c>
      <c r="H337" s="117">
        <f t="shared" si="61"/>
        <v>32059.658823529411</v>
      </c>
      <c r="I337" s="7"/>
      <c r="J337" s="10">
        <v>7</v>
      </c>
      <c r="K337" s="117">
        <v>667642</v>
      </c>
      <c r="L337" s="120">
        <f t="shared" ref="L337:L374" si="70">(K337/C337)</f>
        <v>224.41747899159665</v>
      </c>
      <c r="M337" s="122">
        <f t="shared" si="67"/>
        <v>953774.85</v>
      </c>
      <c r="N337" s="116">
        <f t="shared" si="68"/>
        <v>286132.84999999998</v>
      </c>
      <c r="O337" s="123">
        <f t="shared" si="69"/>
        <v>96.179109243697468</v>
      </c>
      <c r="P337" s="5"/>
      <c r="Q337" s="5">
        <f t="shared" si="63"/>
        <v>1</v>
      </c>
      <c r="R337" s="7">
        <f t="shared" si="64"/>
        <v>2975</v>
      </c>
      <c r="S337" s="5">
        <f t="shared" si="65"/>
        <v>1</v>
      </c>
      <c r="T337" s="7">
        <f t="shared" si="66"/>
        <v>2975</v>
      </c>
    </row>
    <row r="338" spans="1:20">
      <c r="A338" s="23" t="s">
        <v>372</v>
      </c>
      <c r="B338" s="35" t="s">
        <v>365</v>
      </c>
      <c r="C338" s="36">
        <v>13174</v>
      </c>
      <c r="D338" s="6"/>
      <c r="E338" s="113">
        <v>419224569</v>
      </c>
      <c r="F338" s="116">
        <f t="shared" si="60"/>
        <v>31822.116972825261</v>
      </c>
      <c r="G338" s="117">
        <v>292734371</v>
      </c>
      <c r="H338" s="117">
        <f t="shared" si="61"/>
        <v>22220.614164262941</v>
      </c>
      <c r="I338" s="7"/>
      <c r="J338" s="10">
        <v>6.99</v>
      </c>
      <c r="K338" s="117">
        <v>2046213</v>
      </c>
      <c r="L338" s="120">
        <f t="shared" si="70"/>
        <v>155.32207378169122</v>
      </c>
      <c r="M338" s="122">
        <f t="shared" si="67"/>
        <v>2927343.71</v>
      </c>
      <c r="N338" s="116">
        <f t="shared" si="68"/>
        <v>881130.71</v>
      </c>
      <c r="O338" s="123">
        <f t="shared" si="69"/>
        <v>66.884067860938202</v>
      </c>
      <c r="P338" s="5"/>
      <c r="Q338" s="5">
        <f t="shared" si="63"/>
        <v>1</v>
      </c>
      <c r="R338" s="7">
        <f t="shared" si="64"/>
        <v>13174</v>
      </c>
      <c r="S338" s="5">
        <f t="shared" si="65"/>
        <v>1</v>
      </c>
      <c r="T338" s="7">
        <f t="shared" si="66"/>
        <v>13174</v>
      </c>
    </row>
    <row r="339" spans="1:20">
      <c r="A339" s="23" t="s">
        <v>373</v>
      </c>
      <c r="B339" s="35" t="s">
        <v>365</v>
      </c>
      <c r="C339" s="36">
        <v>244</v>
      </c>
      <c r="D339" s="6"/>
      <c r="E339" s="113">
        <v>12720820</v>
      </c>
      <c r="F339" s="116">
        <f t="shared" si="60"/>
        <v>52134.508196721312</v>
      </c>
      <c r="G339" s="117">
        <v>10915939</v>
      </c>
      <c r="H339" s="117">
        <f t="shared" si="61"/>
        <v>44737.454918032789</v>
      </c>
      <c r="I339" s="7"/>
      <c r="J339" s="10">
        <v>6.2060000000000004</v>
      </c>
      <c r="K339" s="117">
        <v>67744</v>
      </c>
      <c r="L339" s="120">
        <f t="shared" si="70"/>
        <v>277.63934426229508</v>
      </c>
      <c r="M339" s="122">
        <f t="shared" si="67"/>
        <v>109159.39</v>
      </c>
      <c r="N339" s="116">
        <f t="shared" si="68"/>
        <v>41415.39</v>
      </c>
      <c r="O339" s="123">
        <f t="shared" si="69"/>
        <v>169.73520491803279</v>
      </c>
      <c r="P339" s="5"/>
      <c r="Q339" s="5">
        <f t="shared" si="63"/>
        <v>1</v>
      </c>
      <c r="R339" s="7">
        <f t="shared" si="64"/>
        <v>244</v>
      </c>
      <c r="S339" s="5">
        <f t="shared" si="65"/>
        <v>1</v>
      </c>
      <c r="T339" s="7">
        <f t="shared" si="66"/>
        <v>244</v>
      </c>
    </row>
    <row r="340" spans="1:20">
      <c r="A340" s="23" t="s">
        <v>374</v>
      </c>
      <c r="B340" s="35" t="s">
        <v>365</v>
      </c>
      <c r="C340" s="36">
        <v>266</v>
      </c>
      <c r="D340" s="6"/>
      <c r="E340" s="113">
        <v>9711330</v>
      </c>
      <c r="F340" s="116">
        <f t="shared" si="60"/>
        <v>36508.759398496244</v>
      </c>
      <c r="G340" s="117">
        <v>7347810</v>
      </c>
      <c r="H340" s="117">
        <f t="shared" si="61"/>
        <v>27623.345864661653</v>
      </c>
      <c r="I340" s="9"/>
      <c r="J340" s="10">
        <v>0.5</v>
      </c>
      <c r="K340" s="117">
        <v>3673</v>
      </c>
      <c r="L340" s="120">
        <f t="shared" si="70"/>
        <v>13.808270676691729</v>
      </c>
      <c r="M340" s="122">
        <f t="shared" si="67"/>
        <v>73478.100000000006</v>
      </c>
      <c r="N340" s="116">
        <f t="shared" si="68"/>
        <v>69805.100000000006</v>
      </c>
      <c r="O340" s="123">
        <f t="shared" si="69"/>
        <v>262.42518796992482</v>
      </c>
      <c r="P340" s="5"/>
      <c r="Q340" s="5">
        <f t="shared" si="63"/>
        <v>1</v>
      </c>
      <c r="R340" s="7">
        <f t="shared" si="64"/>
        <v>266</v>
      </c>
      <c r="S340" s="5">
        <f t="shared" si="65"/>
        <v>1</v>
      </c>
      <c r="T340" s="7">
        <f t="shared" si="66"/>
        <v>266</v>
      </c>
    </row>
    <row r="341" spans="1:20">
      <c r="A341" s="23" t="s">
        <v>375</v>
      </c>
      <c r="B341" s="35" t="s">
        <v>365</v>
      </c>
      <c r="C341" s="36">
        <v>3890</v>
      </c>
      <c r="D341" s="6"/>
      <c r="E341" s="113">
        <v>125508583</v>
      </c>
      <c r="F341" s="116">
        <f t="shared" si="60"/>
        <v>32264.417223650387</v>
      </c>
      <c r="G341" s="117">
        <v>90873165</v>
      </c>
      <c r="H341" s="117">
        <f t="shared" si="61"/>
        <v>23360.710796915166</v>
      </c>
      <c r="I341" s="7"/>
      <c r="J341" s="10">
        <v>7.0579999999999998</v>
      </c>
      <c r="K341" s="117">
        <v>641382</v>
      </c>
      <c r="L341" s="120">
        <f t="shared" si="70"/>
        <v>164.8796915167095</v>
      </c>
      <c r="M341" s="122">
        <f t="shared" si="67"/>
        <v>908731.65</v>
      </c>
      <c r="N341" s="116">
        <f t="shared" si="68"/>
        <v>267349.65000000002</v>
      </c>
      <c r="O341" s="123">
        <f t="shared" si="69"/>
        <v>68.727416452442171</v>
      </c>
      <c r="P341" s="5"/>
      <c r="Q341" s="5">
        <f t="shared" si="63"/>
        <v>1</v>
      </c>
      <c r="R341" s="7">
        <f t="shared" si="64"/>
        <v>3890</v>
      </c>
      <c r="S341" s="5">
        <f t="shared" si="65"/>
        <v>1</v>
      </c>
      <c r="T341" s="7">
        <f t="shared" si="66"/>
        <v>3890</v>
      </c>
    </row>
    <row r="342" spans="1:20">
      <c r="A342" s="23" t="s">
        <v>376</v>
      </c>
      <c r="B342" s="35" t="s">
        <v>365</v>
      </c>
      <c r="C342" s="36">
        <v>1304</v>
      </c>
      <c r="D342" s="6"/>
      <c r="E342" s="113">
        <v>46566640</v>
      </c>
      <c r="F342" s="116">
        <f t="shared" si="60"/>
        <v>35710.613496932514</v>
      </c>
      <c r="G342" s="117">
        <v>34986145</v>
      </c>
      <c r="H342" s="117">
        <f t="shared" si="61"/>
        <v>26829.865797546012</v>
      </c>
      <c r="I342" s="7"/>
      <c r="J342" s="10">
        <v>6.6479999999999997</v>
      </c>
      <c r="K342" s="117">
        <v>232587</v>
      </c>
      <c r="L342" s="120">
        <f t="shared" si="70"/>
        <v>178.36426380368098</v>
      </c>
      <c r="M342" s="122">
        <f t="shared" si="67"/>
        <v>349861.45</v>
      </c>
      <c r="N342" s="116">
        <f t="shared" si="68"/>
        <v>117274.45000000001</v>
      </c>
      <c r="O342" s="123">
        <f t="shared" si="69"/>
        <v>89.934394171779147</v>
      </c>
      <c r="P342" s="5"/>
      <c r="Q342" s="5">
        <f t="shared" si="63"/>
        <v>1</v>
      </c>
      <c r="R342" s="7">
        <f t="shared" si="64"/>
        <v>1304</v>
      </c>
      <c r="S342" s="5">
        <f t="shared" si="65"/>
        <v>1</v>
      </c>
      <c r="T342" s="7">
        <f t="shared" si="66"/>
        <v>1304</v>
      </c>
    </row>
    <row r="343" spans="1:20">
      <c r="A343" s="23" t="s">
        <v>377</v>
      </c>
      <c r="B343" s="35" t="s">
        <v>365</v>
      </c>
      <c r="C343" s="36">
        <v>10194</v>
      </c>
      <c r="D343" s="6"/>
      <c r="E343" s="113">
        <v>443673380</v>
      </c>
      <c r="F343" s="116">
        <f t="shared" si="60"/>
        <v>43522.991956052581</v>
      </c>
      <c r="G343" s="117">
        <v>314774861</v>
      </c>
      <c r="H343" s="117">
        <f t="shared" si="61"/>
        <v>30878.444280949578</v>
      </c>
      <c r="I343" s="7"/>
      <c r="J343" s="11">
        <v>7.65</v>
      </c>
      <c r="K343" s="117">
        <v>2408027</v>
      </c>
      <c r="L343" s="120">
        <f t="shared" si="70"/>
        <v>236.22003139101432</v>
      </c>
      <c r="M343" s="122">
        <f t="shared" si="67"/>
        <v>3147748.61</v>
      </c>
      <c r="N343" s="116">
        <f t="shared" si="68"/>
        <v>739721.60999999987</v>
      </c>
      <c r="O343" s="123">
        <f t="shared" si="69"/>
        <v>72.564411418481441</v>
      </c>
      <c r="P343" s="5"/>
      <c r="Q343" s="5">
        <f t="shared" si="63"/>
        <v>1</v>
      </c>
      <c r="R343" s="7">
        <f t="shared" si="64"/>
        <v>10194</v>
      </c>
      <c r="S343" s="5">
        <f t="shared" si="65"/>
        <v>1</v>
      </c>
      <c r="T343" s="7">
        <f t="shared" si="66"/>
        <v>10194</v>
      </c>
    </row>
    <row r="344" spans="1:20">
      <c r="A344" s="23" t="s">
        <v>378</v>
      </c>
      <c r="B344" s="35" t="s">
        <v>365</v>
      </c>
      <c r="C344" s="36">
        <v>78452</v>
      </c>
      <c r="D344" s="6"/>
      <c r="E344" s="113">
        <v>4171623443</v>
      </c>
      <c r="F344" s="116">
        <f t="shared" si="60"/>
        <v>53174.214079946971</v>
      </c>
      <c r="G344" s="117">
        <v>2739885355</v>
      </c>
      <c r="H344" s="117">
        <f t="shared" si="61"/>
        <v>34924.353171365932</v>
      </c>
      <c r="I344" s="7"/>
      <c r="J344" s="10">
        <v>2.9950000000000001</v>
      </c>
      <c r="K344" s="117">
        <v>8205956</v>
      </c>
      <c r="L344" s="120">
        <f t="shared" si="70"/>
        <v>104.59842961301177</v>
      </c>
      <c r="M344" s="122">
        <f t="shared" si="67"/>
        <v>27398853.550000001</v>
      </c>
      <c r="N344" s="116">
        <f t="shared" si="68"/>
        <v>19192897.550000001</v>
      </c>
      <c r="O344" s="123">
        <f t="shared" si="69"/>
        <v>244.64510210064753</v>
      </c>
      <c r="P344" s="5"/>
      <c r="Q344" s="5">
        <f t="shared" si="63"/>
        <v>1</v>
      </c>
      <c r="R344" s="7">
        <f t="shared" si="64"/>
        <v>78452</v>
      </c>
      <c r="S344" s="5">
        <f t="shared" si="65"/>
        <v>1</v>
      </c>
      <c r="T344" s="7">
        <f t="shared" si="66"/>
        <v>78452</v>
      </c>
    </row>
    <row r="345" spans="1:20">
      <c r="A345" s="23" t="s">
        <v>379</v>
      </c>
      <c r="B345" s="35" t="s">
        <v>365</v>
      </c>
      <c r="C345" s="36">
        <v>3230</v>
      </c>
      <c r="D345" s="6"/>
      <c r="E345" s="113">
        <v>118504137</v>
      </c>
      <c r="F345" s="116">
        <f t="shared" si="60"/>
        <v>36688.587306501548</v>
      </c>
      <c r="G345" s="117">
        <v>91125663</v>
      </c>
      <c r="H345" s="117">
        <f t="shared" si="61"/>
        <v>28212.279566563466</v>
      </c>
      <c r="I345" s="7"/>
      <c r="J345" s="10">
        <v>8.5</v>
      </c>
      <c r="K345" s="117">
        <v>774568</v>
      </c>
      <c r="L345" s="120">
        <f t="shared" si="70"/>
        <v>239.80433436532508</v>
      </c>
      <c r="M345" s="122">
        <f t="shared" si="67"/>
        <v>911256.63</v>
      </c>
      <c r="N345" s="116">
        <f t="shared" si="68"/>
        <v>136688.63</v>
      </c>
      <c r="O345" s="123">
        <f t="shared" si="69"/>
        <v>42.3184613003096</v>
      </c>
      <c r="P345" s="5"/>
      <c r="Q345" s="5">
        <f t="shared" si="63"/>
        <v>1</v>
      </c>
      <c r="R345" s="7">
        <f t="shared" si="64"/>
        <v>3230</v>
      </c>
      <c r="S345" s="5">
        <f t="shared" si="65"/>
        <v>1</v>
      </c>
      <c r="T345" s="7">
        <f t="shared" si="66"/>
        <v>3230</v>
      </c>
    </row>
    <row r="346" spans="1:20">
      <c r="A346" s="23" t="s">
        <v>380</v>
      </c>
      <c r="B346" s="35" t="s">
        <v>365</v>
      </c>
      <c r="C346" s="36">
        <v>1516</v>
      </c>
      <c r="D346" s="6"/>
      <c r="E346" s="113">
        <v>34045569</v>
      </c>
      <c r="F346" s="116">
        <f t="shared" si="60"/>
        <v>22457.499340369392</v>
      </c>
      <c r="G346" s="117">
        <v>22703000</v>
      </c>
      <c r="H346" s="117">
        <f t="shared" si="61"/>
        <v>14975.593667546174</v>
      </c>
      <c r="I346" s="7"/>
      <c r="J346" s="10">
        <v>5.5</v>
      </c>
      <c r="K346" s="117">
        <v>124866</v>
      </c>
      <c r="L346" s="120">
        <f t="shared" si="70"/>
        <v>82.365435356200521</v>
      </c>
      <c r="M346" s="122">
        <f t="shared" si="67"/>
        <v>227030</v>
      </c>
      <c r="N346" s="116">
        <f t="shared" si="68"/>
        <v>102164</v>
      </c>
      <c r="O346" s="123">
        <f t="shared" si="69"/>
        <v>67.390501319261219</v>
      </c>
      <c r="P346" s="5"/>
      <c r="Q346" s="5">
        <f t="shared" si="63"/>
        <v>1</v>
      </c>
      <c r="R346" s="7">
        <f t="shared" si="64"/>
        <v>1516</v>
      </c>
      <c r="S346" s="5">
        <f t="shared" si="65"/>
        <v>1</v>
      </c>
      <c r="T346" s="7">
        <f t="shared" si="66"/>
        <v>1516</v>
      </c>
    </row>
    <row r="347" spans="1:20">
      <c r="A347" s="23" t="s">
        <v>381</v>
      </c>
      <c r="B347" s="35" t="s">
        <v>365</v>
      </c>
      <c r="C347" s="36">
        <v>26487</v>
      </c>
      <c r="D347" s="6"/>
      <c r="E347" s="113">
        <v>1271271223</v>
      </c>
      <c r="F347" s="116">
        <f t="shared" si="60"/>
        <v>47996.044210367349</v>
      </c>
      <c r="G347" s="117">
        <v>882320706</v>
      </c>
      <c r="H347" s="117">
        <f t="shared" si="61"/>
        <v>33311.462453278968</v>
      </c>
      <c r="I347" s="7"/>
      <c r="J347" s="10">
        <v>6.75</v>
      </c>
      <c r="K347" s="117">
        <v>5955664</v>
      </c>
      <c r="L347" s="120">
        <f t="shared" si="70"/>
        <v>224.85234265866274</v>
      </c>
      <c r="M347" s="122">
        <f t="shared" si="67"/>
        <v>8823207.0600000005</v>
      </c>
      <c r="N347" s="116">
        <f t="shared" si="68"/>
        <v>2867543.0600000005</v>
      </c>
      <c r="O347" s="123">
        <f t="shared" si="69"/>
        <v>108.26228187412696</v>
      </c>
      <c r="P347" s="5"/>
      <c r="Q347" s="5">
        <f t="shared" si="63"/>
        <v>1</v>
      </c>
      <c r="R347" s="7">
        <f t="shared" si="64"/>
        <v>26487</v>
      </c>
      <c r="S347" s="5">
        <f t="shared" si="65"/>
        <v>1</v>
      </c>
      <c r="T347" s="7">
        <f t="shared" si="66"/>
        <v>26487</v>
      </c>
    </row>
    <row r="348" spans="1:20">
      <c r="A348" s="23" t="s">
        <v>382</v>
      </c>
      <c r="B348" s="35" t="s">
        <v>383</v>
      </c>
      <c r="C348" s="36">
        <v>1776</v>
      </c>
      <c r="D348" s="6"/>
      <c r="E348" s="113">
        <v>79391436</v>
      </c>
      <c r="F348" s="116">
        <f t="shared" si="60"/>
        <v>44702.385135135133</v>
      </c>
      <c r="G348" s="117">
        <v>48492129</v>
      </c>
      <c r="H348" s="117">
        <f t="shared" si="61"/>
        <v>27304.12668918919</v>
      </c>
      <c r="I348" s="7"/>
      <c r="J348" s="10">
        <v>8.25</v>
      </c>
      <c r="K348" s="117">
        <v>400060</v>
      </c>
      <c r="L348" s="120">
        <f t="shared" si="70"/>
        <v>225.25900900900902</v>
      </c>
      <c r="M348" s="122">
        <f t="shared" si="67"/>
        <v>484921.29000000004</v>
      </c>
      <c r="N348" s="116">
        <f t="shared" si="68"/>
        <v>84861.290000000037</v>
      </c>
      <c r="O348" s="123">
        <f t="shared" si="69"/>
        <v>47.782257882882902</v>
      </c>
      <c r="P348" s="5"/>
      <c r="Q348" s="5">
        <f t="shared" si="63"/>
        <v>1</v>
      </c>
      <c r="R348" s="7">
        <f t="shared" si="64"/>
        <v>1776</v>
      </c>
      <c r="S348" s="5">
        <f t="shared" si="65"/>
        <v>1</v>
      </c>
      <c r="T348" s="7">
        <f t="shared" si="66"/>
        <v>1776</v>
      </c>
    </row>
    <row r="349" spans="1:20">
      <c r="A349" s="23" t="s">
        <v>384</v>
      </c>
      <c r="B349" s="35" t="s">
        <v>383</v>
      </c>
      <c r="C349" s="36">
        <v>1475</v>
      </c>
      <c r="D349" s="6"/>
      <c r="E349" s="113">
        <v>65220327</v>
      </c>
      <c r="F349" s="116">
        <f t="shared" ref="F349:F409" si="71">(E349/C349)</f>
        <v>44217.17084745763</v>
      </c>
      <c r="G349" s="117">
        <v>28233588</v>
      </c>
      <c r="H349" s="117">
        <f t="shared" ref="H349:H409" si="72">(G349/C349)</f>
        <v>19141.415593220339</v>
      </c>
      <c r="I349" s="9"/>
      <c r="J349" s="10">
        <v>7.5</v>
      </c>
      <c r="K349" s="117">
        <v>211751</v>
      </c>
      <c r="L349" s="120">
        <f t="shared" si="70"/>
        <v>143.56</v>
      </c>
      <c r="M349" s="122">
        <f t="shared" si="67"/>
        <v>282335.88</v>
      </c>
      <c r="N349" s="116">
        <f t="shared" si="68"/>
        <v>70584.88</v>
      </c>
      <c r="O349" s="123">
        <f t="shared" si="69"/>
        <v>47.85415593220339</v>
      </c>
      <c r="P349" s="5"/>
      <c r="Q349" s="5">
        <f t="shared" si="63"/>
        <v>1</v>
      </c>
      <c r="R349" s="7">
        <f t="shared" si="64"/>
        <v>1475</v>
      </c>
      <c r="S349" s="5">
        <f t="shared" si="65"/>
        <v>1</v>
      </c>
      <c r="T349" s="7">
        <f t="shared" si="66"/>
        <v>1475</v>
      </c>
    </row>
    <row r="350" spans="1:20">
      <c r="A350" s="23" t="s">
        <v>385</v>
      </c>
      <c r="B350" s="35" t="s">
        <v>383</v>
      </c>
      <c r="C350" s="36">
        <v>10033</v>
      </c>
      <c r="D350" s="6"/>
      <c r="E350" s="113">
        <v>475452501</v>
      </c>
      <c r="F350" s="116">
        <f t="shared" si="71"/>
        <v>47388.86683942988</v>
      </c>
      <c r="G350" s="117">
        <v>242983691</v>
      </c>
      <c r="H350" s="117">
        <f t="shared" si="72"/>
        <v>24218.448220871127</v>
      </c>
      <c r="I350" s="9"/>
      <c r="J350" s="10">
        <v>6.907</v>
      </c>
      <c r="K350" s="117">
        <v>1678288</v>
      </c>
      <c r="L350" s="120">
        <f t="shared" si="70"/>
        <v>167.27678660420611</v>
      </c>
      <c r="M350" s="122">
        <f t="shared" si="67"/>
        <v>2429836.91</v>
      </c>
      <c r="N350" s="116">
        <f t="shared" si="68"/>
        <v>751548.91000000015</v>
      </c>
      <c r="O350" s="123">
        <f t="shared" si="69"/>
        <v>74.90769560450515</v>
      </c>
      <c r="P350" s="5"/>
      <c r="Q350" s="5">
        <f t="shared" si="63"/>
        <v>1</v>
      </c>
      <c r="R350" s="7">
        <f t="shared" si="64"/>
        <v>10033</v>
      </c>
      <c r="S350" s="5">
        <f t="shared" si="65"/>
        <v>1</v>
      </c>
      <c r="T350" s="7">
        <f t="shared" si="66"/>
        <v>10033</v>
      </c>
    </row>
    <row r="351" spans="1:20">
      <c r="A351" s="23" t="s">
        <v>386</v>
      </c>
      <c r="B351" s="35" t="s">
        <v>383</v>
      </c>
      <c r="C351" s="36">
        <v>789</v>
      </c>
      <c r="D351" s="6"/>
      <c r="E351" s="113">
        <v>25906579</v>
      </c>
      <c r="F351" s="116">
        <f t="shared" si="71"/>
        <v>32834.700887198989</v>
      </c>
      <c r="G351" s="117">
        <v>16950297</v>
      </c>
      <c r="H351" s="117">
        <f t="shared" si="72"/>
        <v>21483.266159695817</v>
      </c>
      <c r="I351" s="9"/>
      <c r="J351" s="10">
        <v>5.2889999999999997</v>
      </c>
      <c r="K351" s="117">
        <v>89650</v>
      </c>
      <c r="L351" s="120">
        <f t="shared" si="70"/>
        <v>113.62484157160964</v>
      </c>
      <c r="M351" s="122">
        <f t="shared" si="67"/>
        <v>169502.97</v>
      </c>
      <c r="N351" s="116">
        <f t="shared" si="68"/>
        <v>79852.97</v>
      </c>
      <c r="O351" s="123">
        <f t="shared" si="69"/>
        <v>101.20782002534854</v>
      </c>
      <c r="P351" s="5"/>
      <c r="Q351" s="5">
        <f t="shared" si="63"/>
        <v>1</v>
      </c>
      <c r="R351" s="7">
        <f t="shared" si="64"/>
        <v>789</v>
      </c>
      <c r="S351" s="5">
        <f t="shared" si="65"/>
        <v>1</v>
      </c>
      <c r="T351" s="7">
        <f t="shared" si="66"/>
        <v>789</v>
      </c>
    </row>
    <row r="352" spans="1:20">
      <c r="A352" s="23" t="s">
        <v>387</v>
      </c>
      <c r="B352" s="35" t="s">
        <v>383</v>
      </c>
      <c r="C352" s="36">
        <v>586</v>
      </c>
      <c r="D352" s="6"/>
      <c r="E352" s="113">
        <v>33608383</v>
      </c>
      <c r="F352" s="116">
        <f t="shared" si="71"/>
        <v>57352.189419795221</v>
      </c>
      <c r="G352" s="117">
        <v>24403160</v>
      </c>
      <c r="H352" s="117">
        <f t="shared" si="72"/>
        <v>41643.617747440272</v>
      </c>
      <c r="I352" s="7"/>
      <c r="J352" s="10">
        <v>5</v>
      </c>
      <c r="K352" s="117">
        <v>122015</v>
      </c>
      <c r="L352" s="120">
        <f t="shared" si="70"/>
        <v>208.21672354948805</v>
      </c>
      <c r="M352" s="122">
        <f t="shared" si="67"/>
        <v>244031.6</v>
      </c>
      <c r="N352" s="116">
        <f t="shared" si="68"/>
        <v>122016.6</v>
      </c>
      <c r="O352" s="123">
        <f t="shared" si="69"/>
        <v>208.21945392491469</v>
      </c>
      <c r="P352" s="5"/>
      <c r="Q352" s="5">
        <f t="shared" si="63"/>
        <v>1</v>
      </c>
      <c r="R352" s="7">
        <f t="shared" si="64"/>
        <v>586</v>
      </c>
      <c r="S352" s="5">
        <f t="shared" si="65"/>
        <v>1</v>
      </c>
      <c r="T352" s="7">
        <f t="shared" si="66"/>
        <v>586</v>
      </c>
    </row>
    <row r="353" spans="1:20">
      <c r="A353" s="23" t="s">
        <v>390</v>
      </c>
      <c r="B353" s="35" t="s">
        <v>391</v>
      </c>
      <c r="C353" s="36">
        <v>5665</v>
      </c>
      <c r="D353" s="6"/>
      <c r="E353" s="113">
        <v>662802094</v>
      </c>
      <c r="F353" s="116">
        <f t="shared" si="71"/>
        <v>116999.48702559576</v>
      </c>
      <c r="G353" s="117">
        <v>403470615</v>
      </c>
      <c r="H353" s="117">
        <f t="shared" si="72"/>
        <v>71221.644307149167</v>
      </c>
      <c r="I353" s="7"/>
      <c r="J353" s="10">
        <v>1.83</v>
      </c>
      <c r="K353" s="117">
        <v>738351</v>
      </c>
      <c r="L353" s="120">
        <f t="shared" si="70"/>
        <v>130.33556928508384</v>
      </c>
      <c r="M353" s="122">
        <f t="shared" si="67"/>
        <v>4034706.15</v>
      </c>
      <c r="N353" s="116">
        <f t="shared" si="68"/>
        <v>3296355.15</v>
      </c>
      <c r="O353" s="123">
        <f t="shared" si="69"/>
        <v>581.88087378640773</v>
      </c>
      <c r="P353" s="5"/>
      <c r="Q353" s="5">
        <f t="shared" si="63"/>
        <v>1</v>
      </c>
      <c r="R353" s="7">
        <f t="shared" si="64"/>
        <v>5665</v>
      </c>
      <c r="S353" s="5">
        <f t="shared" si="65"/>
        <v>1</v>
      </c>
      <c r="T353" s="7">
        <f t="shared" si="66"/>
        <v>5665</v>
      </c>
    </row>
    <row r="354" spans="1:20">
      <c r="A354" s="23" t="s">
        <v>392</v>
      </c>
      <c r="B354" s="35" t="s">
        <v>391</v>
      </c>
      <c r="C354" s="36">
        <v>579</v>
      </c>
      <c r="D354" s="6"/>
      <c r="E354" s="113">
        <v>36261061</v>
      </c>
      <c r="F354" s="116">
        <f t="shared" si="71"/>
        <v>62627.048359240071</v>
      </c>
      <c r="G354" s="117">
        <v>26608974</v>
      </c>
      <c r="H354" s="117">
        <f t="shared" si="72"/>
        <v>45956.777202072539</v>
      </c>
      <c r="I354" s="7"/>
      <c r="J354" s="10">
        <v>2</v>
      </c>
      <c r="K354" s="117">
        <v>53217</v>
      </c>
      <c r="L354" s="120">
        <f t="shared" si="70"/>
        <v>91.911917098445599</v>
      </c>
      <c r="M354" s="122">
        <f t="shared" si="67"/>
        <v>266089.74</v>
      </c>
      <c r="N354" s="116">
        <f t="shared" si="68"/>
        <v>212872.74</v>
      </c>
      <c r="O354" s="123">
        <f t="shared" si="69"/>
        <v>367.65585492227979</v>
      </c>
      <c r="P354" s="5"/>
      <c r="Q354" s="5">
        <f t="shared" si="63"/>
        <v>1</v>
      </c>
      <c r="R354" s="7">
        <f t="shared" si="64"/>
        <v>579</v>
      </c>
      <c r="S354" s="5">
        <f t="shared" si="65"/>
        <v>1</v>
      </c>
      <c r="T354" s="7">
        <f t="shared" si="66"/>
        <v>579</v>
      </c>
    </row>
    <row r="355" spans="1:20">
      <c r="A355" s="23" t="s">
        <v>393</v>
      </c>
      <c r="B355" s="35" t="s">
        <v>391</v>
      </c>
      <c r="C355" s="36">
        <v>7045</v>
      </c>
      <c r="D355" s="6"/>
      <c r="E355" s="113">
        <v>303914672</v>
      </c>
      <c r="F355" s="116">
        <f t="shared" si="71"/>
        <v>43139.059190915541</v>
      </c>
      <c r="G355" s="117">
        <v>200964218</v>
      </c>
      <c r="H355" s="117">
        <f t="shared" si="72"/>
        <v>28525.793896380412</v>
      </c>
      <c r="I355" s="7"/>
      <c r="J355" s="10">
        <v>2.75</v>
      </c>
      <c r="K355" s="117">
        <v>552651</v>
      </c>
      <c r="L355" s="120">
        <f t="shared" si="70"/>
        <v>78.445848119233503</v>
      </c>
      <c r="M355" s="122">
        <f t="shared" si="67"/>
        <v>2009642.18</v>
      </c>
      <c r="N355" s="116">
        <f t="shared" si="68"/>
        <v>1456991.18</v>
      </c>
      <c r="O355" s="123">
        <f t="shared" si="69"/>
        <v>206.8120908445706</v>
      </c>
      <c r="P355" s="5"/>
      <c r="Q355" s="5">
        <f t="shared" si="63"/>
        <v>1</v>
      </c>
      <c r="R355" s="7">
        <f t="shared" si="64"/>
        <v>7045</v>
      </c>
      <c r="S355" s="5">
        <f t="shared" si="65"/>
        <v>1</v>
      </c>
      <c r="T355" s="7">
        <f t="shared" si="66"/>
        <v>7045</v>
      </c>
    </row>
    <row r="356" spans="1:20">
      <c r="A356" s="23" t="s">
        <v>452</v>
      </c>
      <c r="B356" s="37" t="s">
        <v>395</v>
      </c>
      <c r="C356" s="36">
        <v>5012</v>
      </c>
      <c r="D356" s="6"/>
      <c r="E356" s="113">
        <v>2378464942</v>
      </c>
      <c r="F356" s="116">
        <f t="shared" si="71"/>
        <v>474554.0586592179</v>
      </c>
      <c r="G356" s="117">
        <v>2217976668</v>
      </c>
      <c r="H356" s="117">
        <f t="shared" si="72"/>
        <v>442533.25379090186</v>
      </c>
      <c r="I356" s="7"/>
      <c r="J356" s="10">
        <v>2.3220000000000001</v>
      </c>
      <c r="K356" s="117">
        <v>5150141</v>
      </c>
      <c r="L356" s="120">
        <f t="shared" si="70"/>
        <v>1027.5620510774143</v>
      </c>
      <c r="M356" s="122">
        <f t="shared" si="67"/>
        <v>22179766.68</v>
      </c>
      <c r="N356" s="116">
        <f t="shared" si="68"/>
        <v>17029625.68</v>
      </c>
      <c r="O356" s="123">
        <f t="shared" si="69"/>
        <v>3397.7704868316041</v>
      </c>
      <c r="P356" s="5"/>
      <c r="Q356" s="5">
        <f t="shared" si="63"/>
        <v>1</v>
      </c>
      <c r="R356" s="7">
        <f t="shared" si="64"/>
        <v>5012</v>
      </c>
      <c r="S356" s="5">
        <f t="shared" si="65"/>
        <v>1</v>
      </c>
      <c r="T356" s="7">
        <f t="shared" si="66"/>
        <v>5012</v>
      </c>
    </row>
    <row r="357" spans="1:20">
      <c r="A357" s="23" t="s">
        <v>394</v>
      </c>
      <c r="B357" s="35" t="s">
        <v>395</v>
      </c>
      <c r="C357" s="36">
        <v>22797</v>
      </c>
      <c r="D357" s="6"/>
      <c r="E357" s="113">
        <v>1077890626</v>
      </c>
      <c r="F357" s="116">
        <f t="shared" si="71"/>
        <v>47282.125981488789</v>
      </c>
      <c r="G357" s="117">
        <v>778094745</v>
      </c>
      <c r="H357" s="117">
        <f t="shared" si="72"/>
        <v>34131.453480721146</v>
      </c>
      <c r="I357" s="7"/>
      <c r="J357" s="10">
        <v>4.6500000000000004</v>
      </c>
      <c r="K357" s="117">
        <v>3618140</v>
      </c>
      <c r="L357" s="120">
        <f t="shared" si="70"/>
        <v>158.7112339342896</v>
      </c>
      <c r="M357" s="122">
        <f t="shared" si="67"/>
        <v>7780947.4500000002</v>
      </c>
      <c r="N357" s="116">
        <f t="shared" si="68"/>
        <v>4162807.45</v>
      </c>
      <c r="O357" s="123">
        <f t="shared" si="69"/>
        <v>182.60330087292189</v>
      </c>
      <c r="P357" s="5"/>
      <c r="Q357" s="5">
        <f t="shared" si="63"/>
        <v>1</v>
      </c>
      <c r="R357" s="7">
        <f t="shared" si="64"/>
        <v>22797</v>
      </c>
      <c r="S357" s="5">
        <f t="shared" si="65"/>
        <v>1</v>
      </c>
      <c r="T357" s="7">
        <f t="shared" si="66"/>
        <v>22797</v>
      </c>
    </row>
    <row r="358" spans="1:20">
      <c r="A358" s="23" t="s">
        <v>395</v>
      </c>
      <c r="B358" s="35" t="s">
        <v>395</v>
      </c>
      <c r="C358" s="36">
        <v>52715</v>
      </c>
      <c r="D358" s="6"/>
      <c r="E358" s="113">
        <v>5382145937</v>
      </c>
      <c r="F358" s="116">
        <f t="shared" si="71"/>
        <v>102098.94597363179</v>
      </c>
      <c r="G358" s="117">
        <v>3776718779</v>
      </c>
      <c r="H358" s="117">
        <f t="shared" si="72"/>
        <v>71644.100901071797</v>
      </c>
      <c r="I358" s="7"/>
      <c r="J358" s="10">
        <v>2.4925999999999999</v>
      </c>
      <c r="K358" s="117">
        <v>9413849</v>
      </c>
      <c r="L358" s="120">
        <f t="shared" si="70"/>
        <v>178.58008157071043</v>
      </c>
      <c r="M358" s="122">
        <f t="shared" si="67"/>
        <v>37767187.789999999</v>
      </c>
      <c r="N358" s="116">
        <f t="shared" si="68"/>
        <v>28353338.789999999</v>
      </c>
      <c r="O358" s="123">
        <f t="shared" si="69"/>
        <v>537.86092744000757</v>
      </c>
      <c r="P358" s="5"/>
      <c r="Q358" s="5">
        <f t="shared" si="63"/>
        <v>1</v>
      </c>
      <c r="R358" s="7">
        <f t="shared" si="64"/>
        <v>52715</v>
      </c>
      <c r="S358" s="5">
        <f t="shared" si="65"/>
        <v>1</v>
      </c>
      <c r="T358" s="7">
        <f t="shared" si="66"/>
        <v>52715</v>
      </c>
    </row>
    <row r="359" spans="1:20">
      <c r="A359" s="23" t="s">
        <v>396</v>
      </c>
      <c r="B359" s="35" t="s">
        <v>395</v>
      </c>
      <c r="C359" s="36">
        <v>17764</v>
      </c>
      <c r="D359" s="6"/>
      <c r="E359" s="113">
        <v>1818026599</v>
      </c>
      <c r="F359" s="116">
        <f t="shared" si="71"/>
        <v>102343.31226075208</v>
      </c>
      <c r="G359" s="117">
        <v>1399431907</v>
      </c>
      <c r="H359" s="117">
        <f t="shared" si="72"/>
        <v>78779.098570141854</v>
      </c>
      <c r="I359" s="7"/>
      <c r="J359" s="10">
        <v>3.4060000000000001</v>
      </c>
      <c r="K359" s="117">
        <v>4766465</v>
      </c>
      <c r="L359" s="120">
        <f t="shared" si="70"/>
        <v>268.32160549425805</v>
      </c>
      <c r="M359" s="122">
        <f t="shared" si="67"/>
        <v>13994319.07</v>
      </c>
      <c r="N359" s="116">
        <f t="shared" si="68"/>
        <v>9227854.0700000003</v>
      </c>
      <c r="O359" s="123">
        <f t="shared" si="69"/>
        <v>519.46938020716061</v>
      </c>
      <c r="P359" s="5"/>
      <c r="Q359" s="5">
        <f t="shared" si="63"/>
        <v>1</v>
      </c>
      <c r="R359" s="7">
        <f t="shared" si="64"/>
        <v>17764</v>
      </c>
      <c r="S359" s="5">
        <f t="shared" si="65"/>
        <v>1</v>
      </c>
      <c r="T359" s="7">
        <f t="shared" si="66"/>
        <v>17764</v>
      </c>
    </row>
    <row r="360" spans="1:20">
      <c r="A360" s="23" t="s">
        <v>397</v>
      </c>
      <c r="B360" s="35" t="s">
        <v>360</v>
      </c>
      <c r="C360" s="36">
        <v>41200</v>
      </c>
      <c r="D360" s="6"/>
      <c r="E360" s="113">
        <v>2297540040</v>
      </c>
      <c r="F360" s="116">
        <f t="shared" si="71"/>
        <v>55765.534951456313</v>
      </c>
      <c r="G360" s="117">
        <v>1992835652</v>
      </c>
      <c r="H360" s="117">
        <f t="shared" si="72"/>
        <v>48369.797378640775</v>
      </c>
      <c r="I360" s="7"/>
      <c r="J360" s="10">
        <v>4.6399999999999997</v>
      </c>
      <c r="K360" s="117">
        <v>9246757</v>
      </c>
      <c r="L360" s="120">
        <f t="shared" si="70"/>
        <v>224.4358495145631</v>
      </c>
      <c r="M360" s="122">
        <f t="shared" si="67"/>
        <v>19928356.52</v>
      </c>
      <c r="N360" s="116">
        <f t="shared" si="68"/>
        <v>10681599.52</v>
      </c>
      <c r="O360" s="123">
        <f t="shared" si="69"/>
        <v>259.26212427184464</v>
      </c>
      <c r="P360" s="5"/>
      <c r="Q360" s="5">
        <f t="shared" si="63"/>
        <v>1</v>
      </c>
      <c r="R360" s="7">
        <f t="shared" si="64"/>
        <v>41200</v>
      </c>
      <c r="S360" s="5">
        <f t="shared" si="65"/>
        <v>1</v>
      </c>
      <c r="T360" s="7">
        <f t="shared" si="66"/>
        <v>41200</v>
      </c>
    </row>
    <row r="361" spans="1:20">
      <c r="A361" s="23" t="s">
        <v>398</v>
      </c>
      <c r="B361" s="35" t="s">
        <v>360</v>
      </c>
      <c r="C361" s="36">
        <v>23438</v>
      </c>
      <c r="D361" s="6"/>
      <c r="E361" s="113">
        <v>958524304</v>
      </c>
      <c r="F361" s="116">
        <f t="shared" si="71"/>
        <v>40896.164519156926</v>
      </c>
      <c r="G361" s="117">
        <v>773999564</v>
      </c>
      <c r="H361" s="117">
        <f t="shared" si="72"/>
        <v>33023.276900759447</v>
      </c>
      <c r="I361" s="7"/>
      <c r="J361" s="10">
        <v>4.8</v>
      </c>
      <c r="K361" s="117">
        <v>3715197</v>
      </c>
      <c r="L361" s="120">
        <f t="shared" si="70"/>
        <v>158.5116904172711</v>
      </c>
      <c r="M361" s="122">
        <f t="shared" si="67"/>
        <v>7739995.6400000006</v>
      </c>
      <c r="N361" s="116">
        <f t="shared" si="68"/>
        <v>4024798.6400000006</v>
      </c>
      <c r="O361" s="123">
        <f t="shared" si="69"/>
        <v>171.72107859032343</v>
      </c>
      <c r="P361" s="5"/>
      <c r="Q361" s="5">
        <f t="shared" si="63"/>
        <v>1</v>
      </c>
      <c r="R361" s="7">
        <f t="shared" si="64"/>
        <v>23438</v>
      </c>
      <c r="S361" s="5">
        <f t="shared" si="65"/>
        <v>1</v>
      </c>
      <c r="T361" s="7">
        <f t="shared" si="66"/>
        <v>23438</v>
      </c>
    </row>
    <row r="362" spans="1:20">
      <c r="A362" s="23" t="s">
        <v>399</v>
      </c>
      <c r="B362" s="35" t="s">
        <v>360</v>
      </c>
      <c r="C362" s="36">
        <v>11458</v>
      </c>
      <c r="D362" s="6"/>
      <c r="E362" s="113">
        <v>1276311108</v>
      </c>
      <c r="F362" s="116">
        <f t="shared" si="71"/>
        <v>111390.39169139466</v>
      </c>
      <c r="G362" s="117">
        <v>1130889142</v>
      </c>
      <c r="H362" s="117">
        <f t="shared" si="72"/>
        <v>98698.650898935244</v>
      </c>
      <c r="I362" s="7"/>
      <c r="J362" s="10">
        <v>3.7648000000000001</v>
      </c>
      <c r="K362" s="117">
        <v>4257571</v>
      </c>
      <c r="L362" s="120">
        <f t="shared" si="70"/>
        <v>371.58064234595918</v>
      </c>
      <c r="M362" s="122">
        <f t="shared" si="67"/>
        <v>11308891.42</v>
      </c>
      <c r="N362" s="116">
        <f t="shared" si="68"/>
        <v>7051320.4199999999</v>
      </c>
      <c r="O362" s="123">
        <f t="shared" si="69"/>
        <v>615.40586664339321</v>
      </c>
      <c r="P362" s="5"/>
      <c r="Q362" s="5">
        <f t="shared" si="63"/>
        <v>1</v>
      </c>
      <c r="R362" s="7">
        <f t="shared" si="64"/>
        <v>11458</v>
      </c>
      <c r="S362" s="5">
        <f t="shared" si="65"/>
        <v>1</v>
      </c>
      <c r="T362" s="7">
        <f t="shared" si="66"/>
        <v>11458</v>
      </c>
    </row>
    <row r="363" spans="1:20">
      <c r="A363" s="23" t="s">
        <v>400</v>
      </c>
      <c r="B363" s="35" t="s">
        <v>360</v>
      </c>
      <c r="C363" s="36">
        <v>13745</v>
      </c>
      <c r="D363" s="6"/>
      <c r="E363" s="113">
        <v>805256781</v>
      </c>
      <c r="F363" s="116">
        <f t="shared" si="71"/>
        <v>58585.433321207711</v>
      </c>
      <c r="G363" s="117">
        <v>658387245</v>
      </c>
      <c r="H363" s="117">
        <f t="shared" si="72"/>
        <v>47900.126955256455</v>
      </c>
      <c r="I363" s="7"/>
      <c r="J363" s="10">
        <v>5</v>
      </c>
      <c r="K363" s="117">
        <v>3291936</v>
      </c>
      <c r="L363" s="120">
        <f t="shared" si="70"/>
        <v>239.50061840669335</v>
      </c>
      <c r="M363" s="122">
        <f t="shared" si="67"/>
        <v>6583872.4500000002</v>
      </c>
      <c r="N363" s="116">
        <f t="shared" si="68"/>
        <v>3291936.45</v>
      </c>
      <c r="O363" s="123">
        <f t="shared" si="69"/>
        <v>239.50065114587125</v>
      </c>
      <c r="P363" s="5"/>
      <c r="Q363" s="5">
        <f t="shared" si="63"/>
        <v>1</v>
      </c>
      <c r="R363" s="7">
        <f t="shared" si="64"/>
        <v>13745</v>
      </c>
      <c r="S363" s="5">
        <f t="shared" si="65"/>
        <v>1</v>
      </c>
      <c r="T363" s="7">
        <f t="shared" si="66"/>
        <v>13745</v>
      </c>
    </row>
    <row r="364" spans="1:20">
      <c r="A364" s="23" t="s">
        <v>401</v>
      </c>
      <c r="B364" s="35" t="s">
        <v>360</v>
      </c>
      <c r="C364" s="36">
        <v>26316</v>
      </c>
      <c r="D364" s="6"/>
      <c r="E364" s="113">
        <v>1268272025</v>
      </c>
      <c r="F364" s="116">
        <f t="shared" si="71"/>
        <v>48193.95139838881</v>
      </c>
      <c r="G364" s="117">
        <v>1020945514</v>
      </c>
      <c r="H364" s="117">
        <f t="shared" si="72"/>
        <v>38795.619167046665</v>
      </c>
      <c r="I364" s="7"/>
      <c r="J364" s="10">
        <v>5.335</v>
      </c>
      <c r="K364" s="117">
        <v>5446744</v>
      </c>
      <c r="L364" s="120">
        <f t="shared" si="70"/>
        <v>206.97461620307038</v>
      </c>
      <c r="M364" s="122">
        <f t="shared" si="67"/>
        <v>10209455.140000001</v>
      </c>
      <c r="N364" s="116">
        <f t="shared" si="68"/>
        <v>4762711.1400000006</v>
      </c>
      <c r="O364" s="123">
        <f t="shared" si="69"/>
        <v>180.98157546739628</v>
      </c>
      <c r="P364" s="5"/>
      <c r="Q364" s="5">
        <f t="shared" si="63"/>
        <v>1</v>
      </c>
      <c r="R364" s="7">
        <f t="shared" si="64"/>
        <v>26316</v>
      </c>
      <c r="S364" s="5">
        <f t="shared" si="65"/>
        <v>1</v>
      </c>
      <c r="T364" s="7">
        <f t="shared" si="66"/>
        <v>26316</v>
      </c>
    </row>
    <row r="365" spans="1:20">
      <c r="A365" s="23" t="s">
        <v>402</v>
      </c>
      <c r="B365" s="35" t="s">
        <v>360</v>
      </c>
      <c r="C365" s="36">
        <v>38291</v>
      </c>
      <c r="D365" s="6"/>
      <c r="E365" s="113">
        <v>1617122825</v>
      </c>
      <c r="F365" s="116">
        <f t="shared" si="71"/>
        <v>42232.452142801179</v>
      </c>
      <c r="G365" s="117">
        <v>1190476717</v>
      </c>
      <c r="H365" s="117">
        <f t="shared" si="72"/>
        <v>31090.248805202267</v>
      </c>
      <c r="I365" s="7"/>
      <c r="J365" s="10">
        <v>6.75</v>
      </c>
      <c r="K365" s="117">
        <v>8035717</v>
      </c>
      <c r="L365" s="120">
        <f t="shared" si="70"/>
        <v>209.85915750437439</v>
      </c>
      <c r="M365" s="122">
        <f t="shared" si="67"/>
        <v>11904767.17</v>
      </c>
      <c r="N365" s="116">
        <f t="shared" si="68"/>
        <v>3869050.17</v>
      </c>
      <c r="O365" s="123">
        <f t="shared" si="69"/>
        <v>101.04333054764827</v>
      </c>
      <c r="P365" s="5"/>
      <c r="Q365" s="5">
        <f t="shared" si="63"/>
        <v>1</v>
      </c>
      <c r="R365" s="7">
        <f t="shared" si="64"/>
        <v>38291</v>
      </c>
      <c r="S365" s="5">
        <f t="shared" si="65"/>
        <v>1</v>
      </c>
      <c r="T365" s="7">
        <f t="shared" si="66"/>
        <v>38291</v>
      </c>
    </row>
    <row r="366" spans="1:20">
      <c r="A366" s="23" t="s">
        <v>403</v>
      </c>
      <c r="B366" s="35" t="s">
        <v>360</v>
      </c>
      <c r="C366" s="36">
        <v>30860</v>
      </c>
      <c r="D366" s="6"/>
      <c r="E366" s="113">
        <v>1364957645</v>
      </c>
      <c r="F366" s="116">
        <f t="shared" si="71"/>
        <v>44230.643065456905</v>
      </c>
      <c r="G366" s="117">
        <v>1065390346</v>
      </c>
      <c r="H366" s="117">
        <f t="shared" si="72"/>
        <v>34523.342384964359</v>
      </c>
      <c r="I366" s="7"/>
      <c r="J366" s="10">
        <v>3.54</v>
      </c>
      <c r="K366" s="117">
        <v>3771481</v>
      </c>
      <c r="L366" s="120">
        <f t="shared" si="70"/>
        <v>122.21260531432274</v>
      </c>
      <c r="M366" s="122">
        <f t="shared" si="67"/>
        <v>10653903.460000001</v>
      </c>
      <c r="N366" s="116">
        <f t="shared" si="68"/>
        <v>6882422.4600000009</v>
      </c>
      <c r="O366" s="123">
        <f t="shared" si="69"/>
        <v>223.02081853532084</v>
      </c>
      <c r="P366" s="5"/>
      <c r="Q366" s="5">
        <f t="shared" si="63"/>
        <v>1</v>
      </c>
      <c r="R366" s="7">
        <f t="shared" si="64"/>
        <v>30860</v>
      </c>
      <c r="S366" s="5">
        <f t="shared" si="65"/>
        <v>1</v>
      </c>
      <c r="T366" s="7">
        <f t="shared" si="66"/>
        <v>30860</v>
      </c>
    </row>
    <row r="367" spans="1:20">
      <c r="A367" s="23" t="s">
        <v>388</v>
      </c>
      <c r="B367" s="35" t="s">
        <v>551</v>
      </c>
      <c r="C367" s="36">
        <v>521</v>
      </c>
      <c r="D367" s="6"/>
      <c r="E367" s="113">
        <v>20648782</v>
      </c>
      <c r="F367" s="116">
        <f t="shared" si="71"/>
        <v>39632.978886756238</v>
      </c>
      <c r="G367" s="117">
        <v>12306104</v>
      </c>
      <c r="H367" s="117">
        <f t="shared" si="72"/>
        <v>23620.161228406909</v>
      </c>
      <c r="I367" s="7"/>
      <c r="J367" s="10">
        <v>8</v>
      </c>
      <c r="K367" s="117">
        <v>98448</v>
      </c>
      <c r="L367" s="120">
        <f t="shared" si="70"/>
        <v>188.95969289827255</v>
      </c>
      <c r="M367" s="122">
        <f t="shared" si="67"/>
        <v>123061.04000000001</v>
      </c>
      <c r="N367" s="116">
        <f t="shared" si="68"/>
        <v>24613.040000000008</v>
      </c>
      <c r="O367" s="123">
        <f t="shared" si="69"/>
        <v>47.241919385796564</v>
      </c>
      <c r="P367" s="5"/>
      <c r="Q367" s="5">
        <f t="shared" si="63"/>
        <v>1</v>
      </c>
      <c r="R367" s="7">
        <f t="shared" si="64"/>
        <v>521</v>
      </c>
      <c r="S367" s="5">
        <f t="shared" si="65"/>
        <v>1</v>
      </c>
      <c r="T367" s="7">
        <f t="shared" si="66"/>
        <v>521</v>
      </c>
    </row>
    <row r="368" spans="1:20">
      <c r="A368" s="23" t="s">
        <v>549</v>
      </c>
      <c r="B368" s="35" t="s">
        <v>551</v>
      </c>
      <c r="C368" s="36">
        <v>11592</v>
      </c>
      <c r="D368" s="6"/>
      <c r="E368" s="113">
        <v>930079612</v>
      </c>
      <c r="F368" s="116">
        <f t="shared" si="71"/>
        <v>80234.611111111109</v>
      </c>
      <c r="G368" s="117">
        <v>585354784</v>
      </c>
      <c r="H368" s="117">
        <f t="shared" si="72"/>
        <v>50496.444444444445</v>
      </c>
      <c r="I368" s="7"/>
      <c r="J368" s="10">
        <v>7</v>
      </c>
      <c r="K368" s="117">
        <v>4097483</v>
      </c>
      <c r="L368" s="120">
        <f t="shared" si="70"/>
        <v>353.47506901311249</v>
      </c>
      <c r="M368" s="122">
        <f t="shared" si="67"/>
        <v>5853547.8399999999</v>
      </c>
      <c r="N368" s="116">
        <f t="shared" si="68"/>
        <v>1756064.8399999999</v>
      </c>
      <c r="O368" s="123">
        <f t="shared" si="69"/>
        <v>151.48937543133195</v>
      </c>
      <c r="P368" s="5"/>
      <c r="Q368" s="5">
        <f t="shared" si="63"/>
        <v>1</v>
      </c>
      <c r="R368" s="7">
        <f t="shared" si="64"/>
        <v>11592</v>
      </c>
      <c r="S368" s="5">
        <f t="shared" si="65"/>
        <v>1</v>
      </c>
      <c r="T368" s="7">
        <f t="shared" si="66"/>
        <v>11592</v>
      </c>
    </row>
    <row r="369" spans="1:20">
      <c r="A369" s="23" t="s">
        <v>550</v>
      </c>
      <c r="B369" s="35" t="s">
        <v>551</v>
      </c>
      <c r="C369" s="36">
        <v>4683</v>
      </c>
      <c r="D369" s="6"/>
      <c r="E369" s="113">
        <v>424463151</v>
      </c>
      <c r="F369" s="116">
        <f t="shared" si="71"/>
        <v>90639.152466367712</v>
      </c>
      <c r="G369" s="117">
        <v>361667014</v>
      </c>
      <c r="H369" s="117">
        <f t="shared" si="72"/>
        <v>77229.770232756782</v>
      </c>
      <c r="I369" s="7"/>
      <c r="J369" s="10">
        <v>2.2000000000000002</v>
      </c>
      <c r="K369" s="117">
        <v>795667</v>
      </c>
      <c r="L369" s="120">
        <f t="shared" si="70"/>
        <v>169.9054025197523</v>
      </c>
      <c r="M369" s="122">
        <f t="shared" si="67"/>
        <v>3616670.14</v>
      </c>
      <c r="N369" s="116">
        <f t="shared" si="68"/>
        <v>2821003.14</v>
      </c>
      <c r="O369" s="123">
        <f t="shared" si="69"/>
        <v>602.39229980781556</v>
      </c>
      <c r="P369" s="5"/>
      <c r="Q369" s="5">
        <f t="shared" si="63"/>
        <v>1</v>
      </c>
      <c r="R369" s="7">
        <f t="shared" si="64"/>
        <v>4683</v>
      </c>
      <c r="S369" s="5">
        <f t="shared" si="65"/>
        <v>1</v>
      </c>
      <c r="T369" s="7">
        <f t="shared" si="66"/>
        <v>4683</v>
      </c>
    </row>
    <row r="370" spans="1:20">
      <c r="A370" s="23" t="s">
        <v>389</v>
      </c>
      <c r="B370" s="35" t="s">
        <v>552</v>
      </c>
      <c r="C370" s="36">
        <v>37516</v>
      </c>
      <c r="D370" s="6"/>
      <c r="E370" s="113">
        <v>1709442886</v>
      </c>
      <c r="F370" s="116">
        <f t="shared" si="71"/>
        <v>45565.702260368911</v>
      </c>
      <c r="G370" s="117">
        <v>1060887527</v>
      </c>
      <c r="H370" s="117">
        <f t="shared" si="72"/>
        <v>28278.26865870562</v>
      </c>
      <c r="I370" s="7"/>
      <c r="J370" s="10">
        <v>7.3304999999999998</v>
      </c>
      <c r="K370" s="117">
        <v>7776836</v>
      </c>
      <c r="L370" s="120">
        <f t="shared" si="70"/>
        <v>207.29384795820451</v>
      </c>
      <c r="M370" s="122">
        <f t="shared" si="67"/>
        <v>10608875.27</v>
      </c>
      <c r="N370" s="116">
        <f t="shared" si="68"/>
        <v>2832039.2699999996</v>
      </c>
      <c r="O370" s="123">
        <f t="shared" si="69"/>
        <v>75.488838628851681</v>
      </c>
      <c r="P370" s="5"/>
      <c r="Q370" s="5">
        <f t="shared" si="63"/>
        <v>1</v>
      </c>
      <c r="R370" s="7">
        <f t="shared" si="64"/>
        <v>37516</v>
      </c>
      <c r="S370" s="5">
        <f t="shared" si="65"/>
        <v>1</v>
      </c>
      <c r="T370" s="7">
        <f t="shared" si="66"/>
        <v>37516</v>
      </c>
    </row>
    <row r="371" spans="1:20">
      <c r="A371" s="23" t="s">
        <v>553</v>
      </c>
      <c r="B371" s="35" t="s">
        <v>552</v>
      </c>
      <c r="C371" s="36">
        <v>88769</v>
      </c>
      <c r="D371" s="6"/>
      <c r="E371" s="113">
        <v>3779056159</v>
      </c>
      <c r="F371" s="116">
        <f t="shared" si="71"/>
        <v>42571.800504680687</v>
      </c>
      <c r="G371" s="117">
        <v>2826177546</v>
      </c>
      <c r="H371" s="117">
        <f t="shared" si="72"/>
        <v>31837.438137187532</v>
      </c>
      <c r="I371" s="7"/>
      <c r="J371" s="10">
        <v>3.94</v>
      </c>
      <c r="K371" s="117">
        <v>11135139</v>
      </c>
      <c r="L371" s="120">
        <f t="shared" si="70"/>
        <v>125.43950027599725</v>
      </c>
      <c r="M371" s="122">
        <f t="shared" si="67"/>
        <v>28261775.460000001</v>
      </c>
      <c r="N371" s="116">
        <f t="shared" si="68"/>
        <v>17126636.460000001</v>
      </c>
      <c r="O371" s="123">
        <f t="shared" si="69"/>
        <v>192.93488109587807</v>
      </c>
      <c r="P371" s="5"/>
      <c r="Q371" s="5">
        <f t="shared" si="63"/>
        <v>1</v>
      </c>
      <c r="R371" s="7">
        <f t="shared" si="64"/>
        <v>88769</v>
      </c>
      <c r="S371" s="5">
        <f t="shared" si="65"/>
        <v>1</v>
      </c>
      <c r="T371" s="7">
        <f t="shared" si="66"/>
        <v>88769</v>
      </c>
    </row>
    <row r="372" spans="1:20">
      <c r="A372" s="23" t="s">
        <v>554</v>
      </c>
      <c r="B372" s="35" t="s">
        <v>552</v>
      </c>
      <c r="C372" s="36">
        <v>604</v>
      </c>
      <c r="D372" s="6"/>
      <c r="E372" s="113">
        <v>32024978</v>
      </c>
      <c r="F372" s="116">
        <f t="shared" si="71"/>
        <v>53021.486754966885</v>
      </c>
      <c r="G372" s="117">
        <v>26217348</v>
      </c>
      <c r="H372" s="117">
        <f t="shared" si="72"/>
        <v>43406.205298013243</v>
      </c>
      <c r="I372" s="7"/>
      <c r="J372" s="10">
        <v>0.97</v>
      </c>
      <c r="K372" s="117">
        <v>25430</v>
      </c>
      <c r="L372" s="120">
        <f t="shared" si="70"/>
        <v>42.102649006622514</v>
      </c>
      <c r="M372" s="122">
        <f t="shared" si="67"/>
        <v>262173.48</v>
      </c>
      <c r="N372" s="116">
        <f t="shared" si="68"/>
        <v>236743.47999999998</v>
      </c>
      <c r="O372" s="123">
        <f t="shared" si="69"/>
        <v>391.95940397350989</v>
      </c>
      <c r="P372" s="5"/>
      <c r="Q372" s="5">
        <f t="shared" si="63"/>
        <v>1</v>
      </c>
      <c r="R372" s="7">
        <f t="shared" si="64"/>
        <v>604</v>
      </c>
      <c r="S372" s="5">
        <f t="shared" si="65"/>
        <v>1</v>
      </c>
      <c r="T372" s="7">
        <f t="shared" si="66"/>
        <v>604</v>
      </c>
    </row>
    <row r="373" spans="1:20">
      <c r="A373" s="23" t="s">
        <v>404</v>
      </c>
      <c r="B373" s="35" t="s">
        <v>405</v>
      </c>
      <c r="C373" s="36">
        <v>2050</v>
      </c>
      <c r="D373" s="6"/>
      <c r="E373" s="113">
        <v>79702706</v>
      </c>
      <c r="F373" s="116">
        <f t="shared" si="71"/>
        <v>38879.368780487806</v>
      </c>
      <c r="G373" s="117">
        <v>56283743</v>
      </c>
      <c r="H373" s="117">
        <f t="shared" si="72"/>
        <v>27455.484390243902</v>
      </c>
      <c r="I373" s="7"/>
      <c r="J373" s="10">
        <v>1.899</v>
      </c>
      <c r="K373" s="117">
        <v>106882</v>
      </c>
      <c r="L373" s="120">
        <f t="shared" si="70"/>
        <v>52.137560975609759</v>
      </c>
      <c r="M373" s="122">
        <f t="shared" si="67"/>
        <v>562837.43000000005</v>
      </c>
      <c r="N373" s="116">
        <f t="shared" si="68"/>
        <v>455955.43000000005</v>
      </c>
      <c r="O373" s="123">
        <f t="shared" si="69"/>
        <v>222.4172829268293</v>
      </c>
      <c r="P373" s="5"/>
      <c r="Q373" s="5">
        <f t="shared" si="63"/>
        <v>1</v>
      </c>
      <c r="R373" s="7">
        <f t="shared" si="64"/>
        <v>2050</v>
      </c>
      <c r="S373" s="5">
        <f t="shared" si="65"/>
        <v>1</v>
      </c>
      <c r="T373" s="7">
        <f t="shared" si="66"/>
        <v>2050</v>
      </c>
    </row>
    <row r="374" spans="1:20">
      <c r="A374" s="23" t="s">
        <v>406</v>
      </c>
      <c r="B374" s="35" t="s">
        <v>405</v>
      </c>
      <c r="C374" s="36">
        <v>910</v>
      </c>
      <c r="D374" s="6"/>
      <c r="E374" s="113">
        <v>13513989</v>
      </c>
      <c r="F374" s="116">
        <f t="shared" si="71"/>
        <v>14850.537362637362</v>
      </c>
      <c r="G374" s="117">
        <v>7332459</v>
      </c>
      <c r="H374" s="117">
        <f t="shared" si="72"/>
        <v>8057.6472527472524</v>
      </c>
      <c r="I374" s="7"/>
      <c r="J374" s="10">
        <v>0.88600000000000001</v>
      </c>
      <c r="K374" s="117">
        <v>6496</v>
      </c>
      <c r="L374" s="120">
        <f t="shared" si="70"/>
        <v>7.1384615384615389</v>
      </c>
      <c r="M374" s="122">
        <f t="shared" si="67"/>
        <v>73324.59</v>
      </c>
      <c r="N374" s="116">
        <f t="shared" si="68"/>
        <v>66828.59</v>
      </c>
      <c r="O374" s="123">
        <f t="shared" si="69"/>
        <v>73.438010989010991</v>
      </c>
      <c r="P374" s="5"/>
      <c r="Q374" s="5">
        <f t="shared" si="63"/>
        <v>1</v>
      </c>
      <c r="R374" s="7">
        <f t="shared" si="64"/>
        <v>910</v>
      </c>
      <c r="S374" s="5">
        <f t="shared" si="65"/>
        <v>1</v>
      </c>
      <c r="T374" s="7">
        <f t="shared" si="66"/>
        <v>910</v>
      </c>
    </row>
    <row r="375" spans="1:20">
      <c r="A375" s="23" t="s">
        <v>407</v>
      </c>
      <c r="B375" s="35" t="s">
        <v>405</v>
      </c>
      <c r="C375" s="36">
        <v>647</v>
      </c>
      <c r="D375" s="6"/>
      <c r="E375" s="113">
        <v>12143577</v>
      </c>
      <c r="F375" s="116">
        <f t="shared" si="71"/>
        <v>18769.052550231838</v>
      </c>
      <c r="G375" s="117">
        <v>6573198</v>
      </c>
      <c r="H375" s="117">
        <f t="shared" si="72"/>
        <v>10159.50231839258</v>
      </c>
      <c r="I375" s="98" t="s">
        <v>528</v>
      </c>
      <c r="J375" s="10"/>
      <c r="K375" s="117"/>
      <c r="L375" s="120"/>
      <c r="M375" s="122">
        <f t="shared" si="67"/>
        <v>65731.98</v>
      </c>
      <c r="N375" s="116">
        <f t="shared" si="68"/>
        <v>65731.98</v>
      </c>
      <c r="O375" s="123">
        <f t="shared" si="69"/>
        <v>101.5950231839258</v>
      </c>
      <c r="P375" s="5"/>
      <c r="Q375" s="5">
        <f t="shared" si="63"/>
        <v>1</v>
      </c>
      <c r="R375" s="7">
        <f t="shared" si="64"/>
        <v>647</v>
      </c>
      <c r="S375" s="5">
        <f t="shared" si="65"/>
        <v>0</v>
      </c>
      <c r="T375" s="7">
        <f t="shared" si="66"/>
        <v>0</v>
      </c>
    </row>
    <row r="376" spans="1:20">
      <c r="A376" s="23" t="s">
        <v>408</v>
      </c>
      <c r="B376" s="35" t="s">
        <v>405</v>
      </c>
      <c r="C376" s="36">
        <v>805</v>
      </c>
      <c r="D376" s="6"/>
      <c r="E376" s="113">
        <v>13991632</v>
      </c>
      <c r="F376" s="116">
        <f t="shared" si="71"/>
        <v>17380.909316770187</v>
      </c>
      <c r="G376" s="117">
        <v>9267531</v>
      </c>
      <c r="H376" s="117">
        <f t="shared" si="72"/>
        <v>11512.460869565217</v>
      </c>
      <c r="I376" s="7"/>
      <c r="J376" s="10">
        <v>5.0720000000000001</v>
      </c>
      <c r="K376" s="117">
        <v>47004</v>
      </c>
      <c r="L376" s="120">
        <f t="shared" ref="L376:L381" si="73">(K376/C376)</f>
        <v>58.390062111801242</v>
      </c>
      <c r="M376" s="122">
        <f t="shared" si="67"/>
        <v>92675.31</v>
      </c>
      <c r="N376" s="116">
        <f t="shared" si="68"/>
        <v>45671.31</v>
      </c>
      <c r="O376" s="123">
        <f t="shared" si="69"/>
        <v>56.734546583850928</v>
      </c>
      <c r="P376" s="5"/>
      <c r="Q376" s="5">
        <f t="shared" si="63"/>
        <v>1</v>
      </c>
      <c r="R376" s="7">
        <f t="shared" si="64"/>
        <v>805</v>
      </c>
      <c r="S376" s="5">
        <f t="shared" si="65"/>
        <v>1</v>
      </c>
      <c r="T376" s="7">
        <f t="shared" si="66"/>
        <v>805</v>
      </c>
    </row>
    <row r="377" spans="1:20">
      <c r="A377" s="23" t="s">
        <v>409</v>
      </c>
      <c r="B377" s="35" t="s">
        <v>405</v>
      </c>
      <c r="C377" s="36">
        <v>3924</v>
      </c>
      <c r="D377" s="6"/>
      <c r="E377" s="113">
        <v>102161296</v>
      </c>
      <c r="F377" s="116">
        <f t="shared" si="71"/>
        <v>26034.98878695209</v>
      </c>
      <c r="G377" s="117">
        <v>81432990</v>
      </c>
      <c r="H377" s="117">
        <f t="shared" si="72"/>
        <v>20752.545871559632</v>
      </c>
      <c r="I377" s="7"/>
      <c r="J377" s="10">
        <v>4.79</v>
      </c>
      <c r="K377" s="117">
        <v>390064</v>
      </c>
      <c r="L377" s="120">
        <f t="shared" si="73"/>
        <v>99.404689092762482</v>
      </c>
      <c r="M377" s="122">
        <f t="shared" si="67"/>
        <v>814329.9</v>
      </c>
      <c r="N377" s="116">
        <f t="shared" si="68"/>
        <v>424265.9</v>
      </c>
      <c r="O377" s="123">
        <f t="shared" si="69"/>
        <v>108.12076962283385</v>
      </c>
      <c r="P377" s="5"/>
      <c r="Q377" s="5">
        <f t="shared" si="63"/>
        <v>1</v>
      </c>
      <c r="R377" s="7">
        <f t="shared" si="64"/>
        <v>3924</v>
      </c>
      <c r="S377" s="5">
        <f t="shared" si="65"/>
        <v>1</v>
      </c>
      <c r="T377" s="7">
        <f t="shared" si="66"/>
        <v>3924</v>
      </c>
    </row>
    <row r="378" spans="1:20">
      <c r="A378" s="23" t="s">
        <v>410</v>
      </c>
      <c r="B378" s="35" t="s">
        <v>411</v>
      </c>
      <c r="C378" s="36">
        <v>695</v>
      </c>
      <c r="D378" s="6"/>
      <c r="E378" s="113">
        <v>21837858</v>
      </c>
      <c r="F378" s="116">
        <f t="shared" si="71"/>
        <v>31421.378417266187</v>
      </c>
      <c r="G378" s="117">
        <v>13034380</v>
      </c>
      <c r="H378" s="117">
        <f t="shared" si="72"/>
        <v>18754.503597122301</v>
      </c>
      <c r="I378" s="9"/>
      <c r="J378" s="10">
        <v>4.25</v>
      </c>
      <c r="K378" s="117">
        <v>55396</v>
      </c>
      <c r="L378" s="120">
        <f t="shared" si="73"/>
        <v>79.706474820143882</v>
      </c>
      <c r="M378" s="122">
        <f t="shared" si="67"/>
        <v>130343.8</v>
      </c>
      <c r="N378" s="116">
        <f t="shared" si="68"/>
        <v>74947.8</v>
      </c>
      <c r="O378" s="123">
        <f t="shared" si="69"/>
        <v>107.83856115107915</v>
      </c>
      <c r="P378" s="5"/>
      <c r="Q378" s="5">
        <f t="shared" si="63"/>
        <v>1</v>
      </c>
      <c r="R378" s="7">
        <f t="shared" si="64"/>
        <v>695</v>
      </c>
      <c r="S378" s="5">
        <f t="shared" si="65"/>
        <v>1</v>
      </c>
      <c r="T378" s="7">
        <f t="shared" si="66"/>
        <v>695</v>
      </c>
    </row>
    <row r="379" spans="1:20">
      <c r="A379" s="23" t="s">
        <v>412</v>
      </c>
      <c r="B379" s="35" t="s">
        <v>411</v>
      </c>
      <c r="C379" s="36">
        <v>6480</v>
      </c>
      <c r="D379" s="6"/>
      <c r="E379" s="113">
        <v>146905073</v>
      </c>
      <c r="F379" s="116">
        <f t="shared" si="71"/>
        <v>22670.535956790125</v>
      </c>
      <c r="G379" s="117">
        <v>88420949</v>
      </c>
      <c r="H379" s="117">
        <f t="shared" si="72"/>
        <v>13645.208179012345</v>
      </c>
      <c r="I379" s="7"/>
      <c r="J379" s="10">
        <v>4.7</v>
      </c>
      <c r="K379" s="117">
        <v>415578</v>
      </c>
      <c r="L379" s="120">
        <f t="shared" si="73"/>
        <v>64.132407407407413</v>
      </c>
      <c r="M379" s="122">
        <f t="shared" si="67"/>
        <v>884209.49</v>
      </c>
      <c r="N379" s="116">
        <f t="shared" si="68"/>
        <v>468631.49</v>
      </c>
      <c r="O379" s="123">
        <f t="shared" si="69"/>
        <v>72.319674382716045</v>
      </c>
      <c r="P379" s="5"/>
      <c r="Q379" s="5">
        <f t="shared" si="63"/>
        <v>1</v>
      </c>
      <c r="R379" s="7">
        <f t="shared" si="64"/>
        <v>6480</v>
      </c>
      <c r="S379" s="5">
        <f t="shared" si="65"/>
        <v>1</v>
      </c>
      <c r="T379" s="7">
        <f t="shared" si="66"/>
        <v>6480</v>
      </c>
    </row>
    <row r="380" spans="1:20">
      <c r="A380" s="23" t="s">
        <v>413</v>
      </c>
      <c r="B380" s="35" t="s">
        <v>414</v>
      </c>
      <c r="C380" s="36">
        <v>6847</v>
      </c>
      <c r="D380" s="6"/>
      <c r="E380" s="113">
        <v>276167446</v>
      </c>
      <c r="F380" s="116">
        <f t="shared" si="71"/>
        <v>40334.080035051848</v>
      </c>
      <c r="G380" s="117">
        <v>161574170</v>
      </c>
      <c r="H380" s="117">
        <f t="shared" si="72"/>
        <v>23597.804878048781</v>
      </c>
      <c r="I380" s="7"/>
      <c r="J380" s="10">
        <v>4.7300000000000004</v>
      </c>
      <c r="K380" s="117">
        <v>764245</v>
      </c>
      <c r="L380" s="120">
        <f t="shared" si="73"/>
        <v>111.6174967138893</v>
      </c>
      <c r="M380" s="122">
        <f t="shared" si="67"/>
        <v>1615741.7</v>
      </c>
      <c r="N380" s="116">
        <f t="shared" si="68"/>
        <v>851496.7</v>
      </c>
      <c r="O380" s="123">
        <f t="shared" si="69"/>
        <v>124.3605520665985</v>
      </c>
      <c r="P380" s="5"/>
      <c r="Q380" s="5">
        <f t="shared" si="63"/>
        <v>1</v>
      </c>
      <c r="R380" s="7">
        <f t="shared" si="64"/>
        <v>6847</v>
      </c>
      <c r="S380" s="5">
        <f t="shared" si="65"/>
        <v>1</v>
      </c>
      <c r="T380" s="7">
        <f t="shared" si="66"/>
        <v>6847</v>
      </c>
    </row>
    <row r="381" spans="1:20">
      <c r="A381" s="23" t="s">
        <v>415</v>
      </c>
      <c r="B381" s="35" t="s">
        <v>416</v>
      </c>
      <c r="C381" s="36">
        <v>1927</v>
      </c>
      <c r="D381" s="6"/>
      <c r="E381" s="113">
        <v>50845605</v>
      </c>
      <c r="F381" s="116">
        <f t="shared" si="71"/>
        <v>26385.887389724961</v>
      </c>
      <c r="G381" s="117">
        <v>23256269</v>
      </c>
      <c r="H381" s="117">
        <f t="shared" si="72"/>
        <v>12068.639854696419</v>
      </c>
      <c r="I381" s="7"/>
      <c r="J381" s="11">
        <v>2.4500000000000002</v>
      </c>
      <c r="K381" s="117">
        <v>56977</v>
      </c>
      <c r="L381" s="120">
        <f t="shared" si="73"/>
        <v>29.56772184743124</v>
      </c>
      <c r="M381" s="122">
        <f t="shared" si="67"/>
        <v>232562.69</v>
      </c>
      <c r="N381" s="116">
        <f t="shared" si="68"/>
        <v>175585.69</v>
      </c>
      <c r="O381" s="123">
        <f t="shared" si="69"/>
        <v>91.118676699532955</v>
      </c>
      <c r="P381" s="5"/>
      <c r="Q381" s="5">
        <f t="shared" si="63"/>
        <v>1</v>
      </c>
      <c r="R381" s="7">
        <f t="shared" si="64"/>
        <v>1927</v>
      </c>
      <c r="S381" s="5">
        <f t="shared" si="65"/>
        <v>1</v>
      </c>
      <c r="T381" s="7">
        <f t="shared" si="66"/>
        <v>1927</v>
      </c>
    </row>
    <row r="382" spans="1:20">
      <c r="A382" s="23" t="s">
        <v>417</v>
      </c>
      <c r="B382" s="35" t="s">
        <v>416</v>
      </c>
      <c r="C382" s="36">
        <v>187</v>
      </c>
      <c r="D382" s="6"/>
      <c r="E382" s="113">
        <v>3379274</v>
      </c>
      <c r="F382" s="116">
        <f t="shared" si="71"/>
        <v>18070.98395721925</v>
      </c>
      <c r="G382" s="117">
        <v>1629625</v>
      </c>
      <c r="H382" s="117">
        <f t="shared" si="72"/>
        <v>8714.5721925133694</v>
      </c>
      <c r="I382" s="98" t="s">
        <v>528</v>
      </c>
      <c r="J382" s="10"/>
      <c r="K382" s="117"/>
      <c r="L382" s="120"/>
      <c r="M382" s="122">
        <f t="shared" si="67"/>
        <v>16296.25</v>
      </c>
      <c r="N382" s="116">
        <f t="shared" si="68"/>
        <v>16296.25</v>
      </c>
      <c r="O382" s="123">
        <f t="shared" si="69"/>
        <v>87.145721925133685</v>
      </c>
      <c r="P382" s="5"/>
      <c r="Q382" s="5">
        <f t="shared" si="63"/>
        <v>1</v>
      </c>
      <c r="R382" s="7">
        <f t="shared" si="64"/>
        <v>187</v>
      </c>
      <c r="S382" s="5">
        <f t="shared" si="65"/>
        <v>0</v>
      </c>
      <c r="T382" s="7">
        <f t="shared" si="66"/>
        <v>0</v>
      </c>
    </row>
    <row r="383" spans="1:20">
      <c r="A383" s="23" t="s">
        <v>418</v>
      </c>
      <c r="B383" s="35" t="s">
        <v>416</v>
      </c>
      <c r="C383" s="36">
        <v>193</v>
      </c>
      <c r="D383" s="6"/>
      <c r="E383" s="113">
        <v>4948292</v>
      </c>
      <c r="F383" s="116">
        <f t="shared" si="71"/>
        <v>25638.818652849743</v>
      </c>
      <c r="G383" s="117">
        <v>3112725</v>
      </c>
      <c r="H383" s="117">
        <f t="shared" si="72"/>
        <v>16128.108808290155</v>
      </c>
      <c r="I383" s="7"/>
      <c r="J383" s="10">
        <v>1</v>
      </c>
      <c r="K383" s="117">
        <v>3112</v>
      </c>
      <c r="L383" s="120">
        <f t="shared" ref="L383:L399" si="74">(K383/C383)</f>
        <v>16.124352331606218</v>
      </c>
      <c r="M383" s="122">
        <f t="shared" si="67"/>
        <v>31127.25</v>
      </c>
      <c r="N383" s="116">
        <f t="shared" si="68"/>
        <v>28015.25</v>
      </c>
      <c r="O383" s="123">
        <f t="shared" si="69"/>
        <v>145.15673575129534</v>
      </c>
      <c r="P383" s="5"/>
      <c r="Q383" s="5">
        <f t="shared" si="63"/>
        <v>1</v>
      </c>
      <c r="R383" s="7">
        <f t="shared" si="64"/>
        <v>193</v>
      </c>
      <c r="S383" s="5">
        <f t="shared" si="65"/>
        <v>1</v>
      </c>
      <c r="T383" s="7">
        <f t="shared" si="66"/>
        <v>193</v>
      </c>
    </row>
    <row r="384" spans="1:20">
      <c r="A384" s="23" t="s">
        <v>419</v>
      </c>
      <c r="B384" s="35" t="s">
        <v>420</v>
      </c>
      <c r="C384" s="36">
        <v>64112</v>
      </c>
      <c r="D384" s="6"/>
      <c r="E384" s="113">
        <v>3552523259</v>
      </c>
      <c r="F384" s="116">
        <f t="shared" si="71"/>
        <v>55411.206310831047</v>
      </c>
      <c r="G384" s="117">
        <v>2507901101</v>
      </c>
      <c r="H384" s="117">
        <f t="shared" si="72"/>
        <v>39117.499079735462</v>
      </c>
      <c r="I384" s="7"/>
      <c r="J384" s="10">
        <v>5.8056999999999999</v>
      </c>
      <c r="K384" s="117">
        <v>14560121</v>
      </c>
      <c r="L384" s="120">
        <f t="shared" si="74"/>
        <v>227.10445782380833</v>
      </c>
      <c r="M384" s="122">
        <f t="shared" si="67"/>
        <v>25079011.010000002</v>
      </c>
      <c r="N384" s="116">
        <f t="shared" si="68"/>
        <v>10518890.010000002</v>
      </c>
      <c r="O384" s="123">
        <f t="shared" si="69"/>
        <v>164.07053297354631</v>
      </c>
      <c r="P384" s="5"/>
      <c r="Q384" s="5">
        <f t="shared" si="63"/>
        <v>1</v>
      </c>
      <c r="R384" s="7">
        <f t="shared" si="64"/>
        <v>64112</v>
      </c>
      <c r="S384" s="5">
        <f t="shared" si="65"/>
        <v>1</v>
      </c>
      <c r="T384" s="7">
        <f t="shared" si="66"/>
        <v>64112</v>
      </c>
    </row>
    <row r="385" spans="1:20">
      <c r="A385" s="23" t="s">
        <v>421</v>
      </c>
      <c r="B385" s="35" t="s">
        <v>420</v>
      </c>
      <c r="C385" s="36">
        <v>4299</v>
      </c>
      <c r="D385" s="6"/>
      <c r="E385" s="113">
        <v>712095374</v>
      </c>
      <c r="F385" s="116">
        <f t="shared" si="71"/>
        <v>165642.09676668994</v>
      </c>
      <c r="G385" s="117">
        <v>647318422</v>
      </c>
      <c r="H385" s="117">
        <f t="shared" si="72"/>
        <v>150574.18515933939</v>
      </c>
      <c r="I385" s="9"/>
      <c r="J385" s="10">
        <v>3.9458000000000002</v>
      </c>
      <c r="K385" s="117">
        <v>2554189</v>
      </c>
      <c r="L385" s="120">
        <f t="shared" si="74"/>
        <v>594.13561293324028</v>
      </c>
      <c r="M385" s="122">
        <f t="shared" si="67"/>
        <v>6473184.2199999997</v>
      </c>
      <c r="N385" s="116">
        <f t="shared" si="68"/>
        <v>3918995.2199999997</v>
      </c>
      <c r="O385" s="123">
        <f t="shared" si="69"/>
        <v>911.60623866015351</v>
      </c>
      <c r="P385" s="5"/>
      <c r="Q385" s="5">
        <f t="shared" si="63"/>
        <v>1</v>
      </c>
      <c r="R385" s="7">
        <f t="shared" si="64"/>
        <v>4299</v>
      </c>
      <c r="S385" s="5">
        <f t="shared" si="65"/>
        <v>1</v>
      </c>
      <c r="T385" s="7">
        <f t="shared" si="66"/>
        <v>4299</v>
      </c>
    </row>
    <row r="386" spans="1:20">
      <c r="A386" s="23" t="s">
        <v>462</v>
      </c>
      <c r="B386" s="35" t="s">
        <v>420</v>
      </c>
      <c r="C386" s="36">
        <v>15559</v>
      </c>
      <c r="D386" s="6"/>
      <c r="E386" s="113">
        <v>863050157</v>
      </c>
      <c r="F386" s="116">
        <f t="shared" si="71"/>
        <v>55469.513272061187</v>
      </c>
      <c r="G386" s="117">
        <v>678747539</v>
      </c>
      <c r="H386" s="117">
        <f t="shared" si="72"/>
        <v>43624.110739764765</v>
      </c>
      <c r="I386" s="7"/>
      <c r="J386" s="10">
        <v>2.5876000000000001</v>
      </c>
      <c r="K386" s="117">
        <v>1756327</v>
      </c>
      <c r="L386" s="120">
        <f t="shared" si="74"/>
        <v>112.88174047175268</v>
      </c>
      <c r="M386" s="122">
        <f t="shared" si="67"/>
        <v>6787475.3900000006</v>
      </c>
      <c r="N386" s="116">
        <f t="shared" si="68"/>
        <v>5031148.3900000006</v>
      </c>
      <c r="O386" s="123">
        <f t="shared" si="69"/>
        <v>323.35936692589502</v>
      </c>
      <c r="P386" s="5"/>
      <c r="Q386" s="5">
        <f t="shared" si="63"/>
        <v>1</v>
      </c>
      <c r="R386" s="7">
        <f t="shared" si="64"/>
        <v>15559</v>
      </c>
      <c r="S386" s="5">
        <f t="shared" si="65"/>
        <v>1</v>
      </c>
      <c r="T386" s="7">
        <f t="shared" si="66"/>
        <v>15559</v>
      </c>
    </row>
    <row r="387" spans="1:20">
      <c r="A387" s="23" t="s">
        <v>463</v>
      </c>
      <c r="B387" s="35" t="s">
        <v>420</v>
      </c>
      <c r="C387" s="36">
        <v>20904</v>
      </c>
      <c r="D387" s="6"/>
      <c r="E387" s="113">
        <v>1039164729</v>
      </c>
      <c r="F387" s="116">
        <f t="shared" si="71"/>
        <v>49711.286308840412</v>
      </c>
      <c r="G387" s="117">
        <v>684496628</v>
      </c>
      <c r="H387" s="117">
        <f t="shared" si="72"/>
        <v>32744.767891312669</v>
      </c>
      <c r="I387" s="7"/>
      <c r="J387" s="10">
        <v>5.7869999999999999</v>
      </c>
      <c r="K387" s="117">
        <v>3961181</v>
      </c>
      <c r="L387" s="120">
        <f t="shared" si="74"/>
        <v>189.49392460773058</v>
      </c>
      <c r="M387" s="122">
        <f t="shared" si="67"/>
        <v>6844966.2800000003</v>
      </c>
      <c r="N387" s="116">
        <f t="shared" si="68"/>
        <v>2883785.2800000003</v>
      </c>
      <c r="O387" s="123">
        <f t="shared" si="69"/>
        <v>137.9537543053961</v>
      </c>
      <c r="P387" s="5"/>
      <c r="Q387" s="5">
        <f t="shared" si="63"/>
        <v>1</v>
      </c>
      <c r="R387" s="7">
        <f t="shared" si="64"/>
        <v>20904</v>
      </c>
      <c r="S387" s="5">
        <f t="shared" si="65"/>
        <v>1</v>
      </c>
      <c r="T387" s="7">
        <f t="shared" si="66"/>
        <v>20904</v>
      </c>
    </row>
    <row r="388" spans="1:20">
      <c r="A388" s="23" t="s">
        <v>422</v>
      </c>
      <c r="B388" s="35" t="s">
        <v>420</v>
      </c>
      <c r="C388" s="36">
        <v>69543</v>
      </c>
      <c r="D388" s="6"/>
      <c r="E388" s="113">
        <v>2088522125</v>
      </c>
      <c r="F388" s="116">
        <f t="shared" si="71"/>
        <v>30032.097047869662</v>
      </c>
      <c r="G388" s="117">
        <v>1451687171</v>
      </c>
      <c r="H388" s="117">
        <f t="shared" si="72"/>
        <v>20874.669930834159</v>
      </c>
      <c r="I388" s="7"/>
      <c r="J388" s="11">
        <v>4.1980000000000004</v>
      </c>
      <c r="K388" s="117">
        <v>6094182</v>
      </c>
      <c r="L388" s="120">
        <f t="shared" si="74"/>
        <v>87.631853673266903</v>
      </c>
      <c r="M388" s="122">
        <f t="shared" si="67"/>
        <v>14516871.710000001</v>
      </c>
      <c r="N388" s="116">
        <f t="shared" si="68"/>
        <v>8422689.7100000009</v>
      </c>
      <c r="O388" s="123">
        <f t="shared" si="69"/>
        <v>121.11484563507472</v>
      </c>
      <c r="P388" s="5"/>
      <c r="Q388" s="5">
        <f t="shared" si="63"/>
        <v>1</v>
      </c>
      <c r="R388" s="7">
        <f t="shared" si="64"/>
        <v>69543</v>
      </c>
      <c r="S388" s="5">
        <f t="shared" si="65"/>
        <v>1</v>
      </c>
      <c r="T388" s="7">
        <f t="shared" si="66"/>
        <v>69543</v>
      </c>
    </row>
    <row r="389" spans="1:20">
      <c r="A389" s="23" t="s">
        <v>423</v>
      </c>
      <c r="B389" s="35" t="s">
        <v>420</v>
      </c>
      <c r="C389" s="36">
        <v>18668</v>
      </c>
      <c r="D389" s="6"/>
      <c r="E389" s="113">
        <v>632205431</v>
      </c>
      <c r="F389" s="116">
        <f t="shared" si="71"/>
        <v>33865.729108635096</v>
      </c>
      <c r="G389" s="117">
        <v>445014583</v>
      </c>
      <c r="H389" s="117">
        <f t="shared" si="72"/>
        <v>23838.364206128135</v>
      </c>
      <c r="I389" s="7"/>
      <c r="J389" s="10">
        <v>5.95</v>
      </c>
      <c r="K389" s="117">
        <v>2647836</v>
      </c>
      <c r="L389" s="120">
        <f t="shared" si="74"/>
        <v>141.83822584101136</v>
      </c>
      <c r="M389" s="122">
        <f t="shared" si="67"/>
        <v>4450145.83</v>
      </c>
      <c r="N389" s="116">
        <f t="shared" si="68"/>
        <v>1802309.83</v>
      </c>
      <c r="O389" s="123">
        <f t="shared" si="69"/>
        <v>96.545416220269985</v>
      </c>
      <c r="P389" s="5"/>
      <c r="Q389" s="5">
        <f t="shared" si="63"/>
        <v>1</v>
      </c>
      <c r="R389" s="7">
        <f t="shared" si="64"/>
        <v>18668</v>
      </c>
      <c r="S389" s="5">
        <f t="shared" si="65"/>
        <v>1</v>
      </c>
      <c r="T389" s="7">
        <f t="shared" si="66"/>
        <v>18668</v>
      </c>
    </row>
    <row r="390" spans="1:20">
      <c r="A390" s="23" t="s">
        <v>424</v>
      </c>
      <c r="B390" s="35" t="s">
        <v>420</v>
      </c>
      <c r="C390" s="36">
        <v>12119</v>
      </c>
      <c r="D390" s="6"/>
      <c r="E390" s="113">
        <v>456695039</v>
      </c>
      <c r="F390" s="116">
        <f t="shared" si="71"/>
        <v>37684.218087300935</v>
      </c>
      <c r="G390" s="117">
        <v>328460953</v>
      </c>
      <c r="H390" s="117">
        <f t="shared" si="72"/>
        <v>27102.974915422066</v>
      </c>
      <c r="I390" s="7"/>
      <c r="J390" s="10">
        <v>5.09</v>
      </c>
      <c r="K390" s="117">
        <v>1671866</v>
      </c>
      <c r="L390" s="120">
        <f t="shared" si="74"/>
        <v>137.95412162719697</v>
      </c>
      <c r="M390" s="122">
        <f t="shared" si="67"/>
        <v>3284609.5300000003</v>
      </c>
      <c r="N390" s="116">
        <f t="shared" si="68"/>
        <v>1612743.5300000003</v>
      </c>
      <c r="O390" s="123">
        <f t="shared" si="69"/>
        <v>133.0756275270237</v>
      </c>
      <c r="P390" s="5"/>
      <c r="Q390" s="5">
        <f t="shared" si="63"/>
        <v>1</v>
      </c>
      <c r="R390" s="7">
        <f t="shared" si="64"/>
        <v>12119</v>
      </c>
      <c r="S390" s="5">
        <f t="shared" si="65"/>
        <v>1</v>
      </c>
      <c r="T390" s="7">
        <f t="shared" si="66"/>
        <v>12119</v>
      </c>
    </row>
    <row r="391" spans="1:20">
      <c r="A391" s="23" t="s">
        <v>425</v>
      </c>
      <c r="B391" s="35" t="s">
        <v>420</v>
      </c>
      <c r="C391" s="36">
        <v>2743</v>
      </c>
      <c r="D391" s="6"/>
      <c r="E391" s="113">
        <v>81328885</v>
      </c>
      <c r="F391" s="116">
        <f t="shared" si="71"/>
        <v>29649.611738971929</v>
      </c>
      <c r="G391" s="117">
        <v>52866998</v>
      </c>
      <c r="H391" s="117">
        <f t="shared" si="72"/>
        <v>19273.422530076557</v>
      </c>
      <c r="I391" s="7"/>
      <c r="J391" s="10">
        <v>5.2</v>
      </c>
      <c r="K391" s="117">
        <v>274908</v>
      </c>
      <c r="L391" s="120">
        <f t="shared" si="74"/>
        <v>100.22165512212905</v>
      </c>
      <c r="M391" s="122">
        <f t="shared" si="67"/>
        <v>528669.98</v>
      </c>
      <c r="N391" s="116">
        <f t="shared" si="68"/>
        <v>253761.97999999998</v>
      </c>
      <c r="O391" s="123">
        <f t="shared" si="69"/>
        <v>92.512570178636523</v>
      </c>
      <c r="P391" s="5"/>
      <c r="Q391" s="5">
        <f t="shared" ref="Q391:Q409" si="75">IF(E391&gt;0,1,0)</f>
        <v>1</v>
      </c>
      <c r="R391" s="7">
        <f t="shared" ref="R391:R409" si="76">IF(E391&gt;0,C391,0)</f>
        <v>2743</v>
      </c>
      <c r="S391" s="5">
        <f t="shared" ref="S391:S409" si="77">IF(J391&gt;0,1,0)</f>
        <v>1</v>
      </c>
      <c r="T391" s="7">
        <f t="shared" ref="T391:T409" si="78">IF(J391&gt;0,C391,0)</f>
        <v>2743</v>
      </c>
    </row>
    <row r="392" spans="1:20">
      <c r="A392" s="23" t="s">
        <v>426</v>
      </c>
      <c r="B392" s="35" t="s">
        <v>420</v>
      </c>
      <c r="C392" s="36">
        <v>20048</v>
      </c>
      <c r="D392" s="6"/>
      <c r="E392" s="113">
        <v>1685072424</v>
      </c>
      <c r="F392" s="116">
        <f t="shared" si="71"/>
        <v>84051.896648044698</v>
      </c>
      <c r="G392" s="117">
        <v>1347109719</v>
      </c>
      <c r="H392" s="117">
        <f t="shared" si="72"/>
        <v>67194.219822426181</v>
      </c>
      <c r="I392" s="7"/>
      <c r="J392" s="10">
        <v>4.99</v>
      </c>
      <c r="K392" s="117">
        <v>6722077</v>
      </c>
      <c r="L392" s="120">
        <f t="shared" si="74"/>
        <v>335.29913208300081</v>
      </c>
      <c r="M392" s="122">
        <f t="shared" ref="M392:M409" si="79">(G392*0.01)</f>
        <v>13471097.189999999</v>
      </c>
      <c r="N392" s="116">
        <f t="shared" ref="N392:N409" si="80">(M392-K392)</f>
        <v>6749020.1899999995</v>
      </c>
      <c r="O392" s="123">
        <f t="shared" ref="O392:O409" si="81">(N392/C392)</f>
        <v>336.64306614126093</v>
      </c>
      <c r="P392" s="5"/>
      <c r="Q392" s="5">
        <f t="shared" si="75"/>
        <v>1</v>
      </c>
      <c r="R392" s="7">
        <f t="shared" si="76"/>
        <v>20048</v>
      </c>
      <c r="S392" s="5">
        <f t="shared" si="77"/>
        <v>1</v>
      </c>
      <c r="T392" s="7">
        <f t="shared" si="78"/>
        <v>20048</v>
      </c>
    </row>
    <row r="393" spans="1:20">
      <c r="A393" s="23" t="s">
        <v>427</v>
      </c>
      <c r="B393" s="35" t="s">
        <v>420</v>
      </c>
      <c r="C393" s="36">
        <v>1378</v>
      </c>
      <c r="D393" s="6"/>
      <c r="E393" s="113">
        <v>62205996</v>
      </c>
      <c r="F393" s="116">
        <f t="shared" si="71"/>
        <v>45142.232220609578</v>
      </c>
      <c r="G393" s="117">
        <v>42729686</v>
      </c>
      <c r="H393" s="117">
        <f t="shared" si="72"/>
        <v>31008.480406386068</v>
      </c>
      <c r="I393" s="7"/>
      <c r="J393" s="10">
        <v>4.9596999999999998</v>
      </c>
      <c r="K393" s="117">
        <v>211926</v>
      </c>
      <c r="L393" s="120">
        <f t="shared" si="74"/>
        <v>153.79245283018867</v>
      </c>
      <c r="M393" s="122">
        <f t="shared" si="79"/>
        <v>427296.86</v>
      </c>
      <c r="N393" s="116">
        <f t="shared" si="80"/>
        <v>215370.86</v>
      </c>
      <c r="O393" s="123">
        <f t="shared" si="81"/>
        <v>156.29235123367198</v>
      </c>
      <c r="P393" s="5"/>
      <c r="Q393" s="5">
        <f t="shared" si="75"/>
        <v>1</v>
      </c>
      <c r="R393" s="7">
        <f t="shared" si="76"/>
        <v>1378</v>
      </c>
      <c r="S393" s="5">
        <f t="shared" si="77"/>
        <v>1</v>
      </c>
      <c r="T393" s="7">
        <f t="shared" si="78"/>
        <v>1378</v>
      </c>
    </row>
    <row r="394" spans="1:20">
      <c r="A394" s="23" t="s">
        <v>428</v>
      </c>
      <c r="B394" s="35" t="s">
        <v>420</v>
      </c>
      <c r="C394" s="36">
        <v>6604</v>
      </c>
      <c r="D394" s="6"/>
      <c r="E394" s="113">
        <v>366025891</v>
      </c>
      <c r="F394" s="116">
        <f t="shared" si="71"/>
        <v>55424.877498485766</v>
      </c>
      <c r="G394" s="117">
        <v>283415646</v>
      </c>
      <c r="H394" s="117">
        <f t="shared" si="72"/>
        <v>42915.754996971533</v>
      </c>
      <c r="I394" s="7"/>
      <c r="J394" s="10">
        <v>5.3794000000000004</v>
      </c>
      <c r="K394" s="117">
        <v>1524606</v>
      </c>
      <c r="L394" s="120">
        <f t="shared" si="74"/>
        <v>230.8609933373713</v>
      </c>
      <c r="M394" s="122">
        <f t="shared" si="79"/>
        <v>2834156.46</v>
      </c>
      <c r="N394" s="116">
        <f t="shared" si="80"/>
        <v>1309550.46</v>
      </c>
      <c r="O394" s="123">
        <f t="shared" si="81"/>
        <v>198.29655663234402</v>
      </c>
      <c r="P394" s="5"/>
      <c r="Q394" s="5">
        <f t="shared" si="75"/>
        <v>1</v>
      </c>
      <c r="R394" s="7">
        <f t="shared" si="76"/>
        <v>6604</v>
      </c>
      <c r="S394" s="5">
        <f t="shared" si="77"/>
        <v>1</v>
      </c>
      <c r="T394" s="7">
        <f t="shared" si="78"/>
        <v>6604</v>
      </c>
    </row>
    <row r="395" spans="1:20">
      <c r="A395" s="23" t="s">
        <v>429</v>
      </c>
      <c r="B395" s="35" t="s">
        <v>420</v>
      </c>
      <c r="C395" s="36">
        <v>36301</v>
      </c>
      <c r="D395" s="6"/>
      <c r="E395" s="113">
        <v>2376136876</v>
      </c>
      <c r="F395" s="116">
        <f t="shared" si="71"/>
        <v>65456.512933528</v>
      </c>
      <c r="G395" s="117">
        <v>1839616295</v>
      </c>
      <c r="H395" s="117">
        <f t="shared" si="72"/>
        <v>50676.738795074518</v>
      </c>
      <c r="I395" s="7"/>
      <c r="J395" s="10">
        <v>2.7082999999999999</v>
      </c>
      <c r="K395" s="117">
        <v>4982232</v>
      </c>
      <c r="L395" s="120">
        <f t="shared" si="74"/>
        <v>137.24778931709869</v>
      </c>
      <c r="M395" s="122">
        <f t="shared" si="79"/>
        <v>18396162.949999999</v>
      </c>
      <c r="N395" s="116">
        <f t="shared" si="80"/>
        <v>13413930.949999999</v>
      </c>
      <c r="O395" s="123">
        <f t="shared" si="81"/>
        <v>369.51959863364641</v>
      </c>
      <c r="P395" s="5"/>
      <c r="Q395" s="5">
        <f t="shared" si="75"/>
        <v>1</v>
      </c>
      <c r="R395" s="7">
        <f t="shared" si="76"/>
        <v>36301</v>
      </c>
      <c r="S395" s="5">
        <f t="shared" si="77"/>
        <v>1</v>
      </c>
      <c r="T395" s="7">
        <f t="shared" si="78"/>
        <v>36301</v>
      </c>
    </row>
    <row r="396" spans="1:20">
      <c r="A396" s="23" t="s">
        <v>430</v>
      </c>
      <c r="B396" s="35" t="s">
        <v>420</v>
      </c>
      <c r="C396" s="36">
        <v>2596</v>
      </c>
      <c r="D396" s="6"/>
      <c r="E396" s="113">
        <v>56205956</v>
      </c>
      <c r="F396" s="116">
        <f t="shared" si="71"/>
        <v>21650.984591679506</v>
      </c>
      <c r="G396" s="117">
        <v>32289685</v>
      </c>
      <c r="H396" s="117">
        <f t="shared" si="72"/>
        <v>12438.245377503852</v>
      </c>
      <c r="I396" s="7"/>
      <c r="J396" s="10">
        <v>5.2755999999999998</v>
      </c>
      <c r="K396" s="117">
        <v>170347</v>
      </c>
      <c r="L396" s="120">
        <f t="shared" si="74"/>
        <v>65.619029275808941</v>
      </c>
      <c r="M396" s="122">
        <f t="shared" si="79"/>
        <v>322896.85000000003</v>
      </c>
      <c r="N396" s="116">
        <f t="shared" si="80"/>
        <v>152549.85000000003</v>
      </c>
      <c r="O396" s="123">
        <f t="shared" si="81"/>
        <v>58.7634244992296</v>
      </c>
      <c r="P396" s="5"/>
      <c r="Q396" s="5">
        <f t="shared" si="75"/>
        <v>1</v>
      </c>
      <c r="R396" s="7">
        <f t="shared" si="76"/>
        <v>2596</v>
      </c>
      <c r="S396" s="5">
        <f t="shared" si="77"/>
        <v>1</v>
      </c>
      <c r="T396" s="7">
        <f t="shared" si="78"/>
        <v>2596</v>
      </c>
    </row>
    <row r="397" spans="1:20">
      <c r="A397" s="23" t="s">
        <v>431</v>
      </c>
      <c r="B397" s="35" t="s">
        <v>420</v>
      </c>
      <c r="C397" s="36">
        <v>2513</v>
      </c>
      <c r="D397" s="6"/>
      <c r="E397" s="113">
        <v>352668791</v>
      </c>
      <c r="F397" s="116">
        <f t="shared" si="71"/>
        <v>140337.76004775168</v>
      </c>
      <c r="G397" s="117">
        <v>303680146</v>
      </c>
      <c r="H397" s="117">
        <f t="shared" si="72"/>
        <v>120843.6713091922</v>
      </c>
      <c r="I397" s="7"/>
      <c r="J397" s="10">
        <v>4.8780000000000001</v>
      </c>
      <c r="K397" s="117">
        <v>1481351</v>
      </c>
      <c r="L397" s="120">
        <f t="shared" si="74"/>
        <v>589.47512932749703</v>
      </c>
      <c r="M397" s="122">
        <f t="shared" si="79"/>
        <v>3036801.46</v>
      </c>
      <c r="N397" s="116">
        <f t="shared" si="80"/>
        <v>1555450.46</v>
      </c>
      <c r="O397" s="123">
        <f t="shared" si="81"/>
        <v>618.96158376442497</v>
      </c>
      <c r="P397" s="5"/>
      <c r="Q397" s="5">
        <f t="shared" si="75"/>
        <v>1</v>
      </c>
      <c r="R397" s="7">
        <f t="shared" si="76"/>
        <v>2513</v>
      </c>
      <c r="S397" s="5">
        <f t="shared" si="77"/>
        <v>1</v>
      </c>
      <c r="T397" s="7">
        <f t="shared" si="78"/>
        <v>2513</v>
      </c>
    </row>
    <row r="398" spans="1:20">
      <c r="A398" s="23" t="s">
        <v>432</v>
      </c>
      <c r="B398" s="35" t="s">
        <v>420</v>
      </c>
      <c r="C398" s="36">
        <v>45823</v>
      </c>
      <c r="D398" s="6"/>
      <c r="E398" s="113">
        <v>1871427370</v>
      </c>
      <c r="F398" s="116">
        <f t="shared" si="71"/>
        <v>40840.350260786065</v>
      </c>
      <c r="G398" s="117">
        <v>1347679411</v>
      </c>
      <c r="H398" s="117">
        <f t="shared" si="72"/>
        <v>29410.545162909457</v>
      </c>
      <c r="I398" s="7"/>
      <c r="J398" s="10">
        <v>4.4851000000000001</v>
      </c>
      <c r="K398" s="117">
        <v>6044476</v>
      </c>
      <c r="L398" s="120">
        <f t="shared" si="74"/>
        <v>131.90921589594745</v>
      </c>
      <c r="M398" s="122">
        <f t="shared" si="79"/>
        <v>13476794.109999999</v>
      </c>
      <c r="N398" s="116">
        <f t="shared" si="80"/>
        <v>7432318.1099999994</v>
      </c>
      <c r="O398" s="123">
        <f t="shared" si="81"/>
        <v>162.19623573314709</v>
      </c>
      <c r="P398" s="5"/>
      <c r="Q398" s="5">
        <f t="shared" si="75"/>
        <v>1</v>
      </c>
      <c r="R398" s="7">
        <f t="shared" si="76"/>
        <v>45823</v>
      </c>
      <c r="S398" s="5">
        <f t="shared" si="77"/>
        <v>1</v>
      </c>
      <c r="T398" s="7">
        <f t="shared" si="78"/>
        <v>45823</v>
      </c>
    </row>
    <row r="399" spans="1:20">
      <c r="A399" s="23" t="s">
        <v>433</v>
      </c>
      <c r="B399" s="35" t="s">
        <v>420</v>
      </c>
      <c r="C399" s="36">
        <v>13177</v>
      </c>
      <c r="D399" s="6"/>
      <c r="E399" s="113">
        <v>491220297</v>
      </c>
      <c r="F399" s="116">
        <f t="shared" si="71"/>
        <v>37278.614024436516</v>
      </c>
      <c r="G399" s="117">
        <v>380724815</v>
      </c>
      <c r="H399" s="117">
        <f t="shared" si="72"/>
        <v>28893.133110723229</v>
      </c>
      <c r="I399" s="7"/>
      <c r="J399" s="10">
        <v>4.5970000000000004</v>
      </c>
      <c r="K399" s="117">
        <v>1750191</v>
      </c>
      <c r="L399" s="120">
        <f t="shared" si="74"/>
        <v>132.82165895120286</v>
      </c>
      <c r="M399" s="122">
        <f t="shared" si="79"/>
        <v>3807248.15</v>
      </c>
      <c r="N399" s="116">
        <f t="shared" si="80"/>
        <v>2057057.15</v>
      </c>
      <c r="O399" s="123">
        <f t="shared" si="81"/>
        <v>156.10967215602943</v>
      </c>
      <c r="P399" s="5"/>
      <c r="Q399" s="5">
        <f t="shared" si="75"/>
        <v>1</v>
      </c>
      <c r="R399" s="7">
        <f t="shared" si="76"/>
        <v>13177</v>
      </c>
      <c r="S399" s="5">
        <f t="shared" si="77"/>
        <v>1</v>
      </c>
      <c r="T399" s="7">
        <f t="shared" si="78"/>
        <v>13177</v>
      </c>
    </row>
    <row r="400" spans="1:20">
      <c r="A400" s="23" t="s">
        <v>435</v>
      </c>
      <c r="B400" s="35" t="s">
        <v>434</v>
      </c>
      <c r="C400" s="36">
        <v>426</v>
      </c>
      <c r="D400" s="6"/>
      <c r="E400" s="113">
        <v>60415989</v>
      </c>
      <c r="F400" s="116">
        <f t="shared" si="71"/>
        <v>141821.57042253521</v>
      </c>
      <c r="G400" s="117">
        <v>36292802</v>
      </c>
      <c r="H400" s="117">
        <f t="shared" si="72"/>
        <v>85194.370892018778</v>
      </c>
      <c r="I400" s="98" t="s">
        <v>528</v>
      </c>
      <c r="J400" s="10"/>
      <c r="K400" s="117"/>
      <c r="L400" s="120"/>
      <c r="M400" s="122">
        <f t="shared" si="79"/>
        <v>362928.02</v>
      </c>
      <c r="N400" s="116">
        <f t="shared" si="80"/>
        <v>362928.02</v>
      </c>
      <c r="O400" s="123">
        <f t="shared" si="81"/>
        <v>851.94370892018787</v>
      </c>
      <c r="P400" s="5"/>
      <c r="Q400" s="5">
        <f t="shared" si="75"/>
        <v>1</v>
      </c>
      <c r="R400" s="7">
        <f t="shared" si="76"/>
        <v>426</v>
      </c>
      <c r="S400" s="5">
        <f t="shared" si="77"/>
        <v>0</v>
      </c>
      <c r="T400" s="7">
        <f t="shared" si="78"/>
        <v>0</v>
      </c>
    </row>
    <row r="401" spans="1:20">
      <c r="A401" s="23" t="s">
        <v>555</v>
      </c>
      <c r="B401" s="35" t="s">
        <v>434</v>
      </c>
      <c r="C401" s="36">
        <v>272</v>
      </c>
      <c r="D401" s="6"/>
      <c r="E401" s="113">
        <v>58141819</v>
      </c>
      <c r="F401" s="116">
        <f t="shared" si="71"/>
        <v>213756.6875</v>
      </c>
      <c r="G401" s="117">
        <v>15526960</v>
      </c>
      <c r="H401" s="117">
        <f t="shared" si="72"/>
        <v>57084.411764705881</v>
      </c>
      <c r="I401" s="7"/>
      <c r="J401" s="10">
        <v>4</v>
      </c>
      <c r="K401" s="117">
        <v>62107</v>
      </c>
      <c r="L401" s="120">
        <f>(K401/C401)</f>
        <v>228.33455882352942</v>
      </c>
      <c r="M401" s="122">
        <f t="shared" si="79"/>
        <v>155269.6</v>
      </c>
      <c r="N401" s="116">
        <f t="shared" si="80"/>
        <v>93162.6</v>
      </c>
      <c r="O401" s="123">
        <f t="shared" si="81"/>
        <v>342.50955882352946</v>
      </c>
      <c r="P401" s="5"/>
      <c r="Q401" s="5">
        <f t="shared" si="75"/>
        <v>1</v>
      </c>
      <c r="R401" s="7">
        <f t="shared" si="76"/>
        <v>272</v>
      </c>
      <c r="S401" s="5">
        <f t="shared" si="77"/>
        <v>1</v>
      </c>
      <c r="T401" s="7">
        <f t="shared" si="78"/>
        <v>272</v>
      </c>
    </row>
    <row r="402" spans="1:20">
      <c r="A402" s="23" t="s">
        <v>436</v>
      </c>
      <c r="B402" s="35" t="s">
        <v>437</v>
      </c>
      <c r="C402" s="36">
        <v>5089</v>
      </c>
      <c r="D402" s="6"/>
      <c r="E402" s="113">
        <v>200202402</v>
      </c>
      <c r="F402" s="116">
        <f t="shared" si="71"/>
        <v>39340.224405580666</v>
      </c>
      <c r="G402" s="117">
        <v>129356152</v>
      </c>
      <c r="H402" s="117">
        <f t="shared" si="72"/>
        <v>25418.776183926115</v>
      </c>
      <c r="I402" s="7"/>
      <c r="J402" s="10">
        <v>4.5</v>
      </c>
      <c r="K402" s="117">
        <v>582102</v>
      </c>
      <c r="L402" s="120">
        <f>(K402/C402)</f>
        <v>114.38435842012183</v>
      </c>
      <c r="M402" s="122">
        <f t="shared" si="79"/>
        <v>1293561.52</v>
      </c>
      <c r="N402" s="116">
        <f t="shared" si="80"/>
        <v>711459.52</v>
      </c>
      <c r="O402" s="123">
        <f t="shared" si="81"/>
        <v>139.80340341913933</v>
      </c>
      <c r="P402" s="5"/>
      <c r="Q402" s="5">
        <f t="shared" si="75"/>
        <v>1</v>
      </c>
      <c r="R402" s="7">
        <f t="shared" si="76"/>
        <v>5089</v>
      </c>
      <c r="S402" s="5">
        <f t="shared" si="77"/>
        <v>1</v>
      </c>
      <c r="T402" s="7">
        <f t="shared" si="78"/>
        <v>5089</v>
      </c>
    </row>
    <row r="403" spans="1:20">
      <c r="A403" s="23" t="s">
        <v>438</v>
      </c>
      <c r="B403" s="35" t="s">
        <v>437</v>
      </c>
      <c r="C403" s="36">
        <v>1190</v>
      </c>
      <c r="D403" s="6"/>
      <c r="E403" s="113">
        <v>39179912</v>
      </c>
      <c r="F403" s="116">
        <f t="shared" si="71"/>
        <v>32924.295798319326</v>
      </c>
      <c r="G403" s="117">
        <v>26533984</v>
      </c>
      <c r="H403" s="117">
        <f t="shared" si="72"/>
        <v>22297.465546218489</v>
      </c>
      <c r="I403" s="7"/>
      <c r="J403" s="10">
        <v>3.93</v>
      </c>
      <c r="K403" s="117">
        <v>104278</v>
      </c>
      <c r="L403" s="120">
        <f>(K403/C403)</f>
        <v>87.628571428571433</v>
      </c>
      <c r="M403" s="122">
        <f t="shared" si="79"/>
        <v>265339.84000000003</v>
      </c>
      <c r="N403" s="116">
        <f t="shared" si="80"/>
        <v>161061.84000000003</v>
      </c>
      <c r="O403" s="123">
        <f t="shared" si="81"/>
        <v>135.34608403361347</v>
      </c>
      <c r="P403" s="5"/>
      <c r="Q403" s="5">
        <f t="shared" si="75"/>
        <v>1</v>
      </c>
      <c r="R403" s="7">
        <f t="shared" si="76"/>
        <v>1190</v>
      </c>
      <c r="S403" s="5">
        <f t="shared" si="77"/>
        <v>1</v>
      </c>
      <c r="T403" s="7">
        <f t="shared" si="78"/>
        <v>1190</v>
      </c>
    </row>
    <row r="404" spans="1:20">
      <c r="A404" s="23" t="s">
        <v>439</v>
      </c>
      <c r="B404" s="35" t="s">
        <v>437</v>
      </c>
      <c r="C404" s="36">
        <v>656</v>
      </c>
      <c r="D404" s="6"/>
      <c r="E404" s="113">
        <v>13097487</v>
      </c>
      <c r="F404" s="116">
        <f t="shared" si="71"/>
        <v>19965.681402439026</v>
      </c>
      <c r="G404" s="117">
        <v>5704715</v>
      </c>
      <c r="H404" s="117">
        <f t="shared" si="72"/>
        <v>8696.2118902439033</v>
      </c>
      <c r="I404" s="98" t="s">
        <v>528</v>
      </c>
      <c r="J404" s="10"/>
      <c r="K404" s="117"/>
      <c r="L404" s="120"/>
      <c r="M404" s="122">
        <f t="shared" si="79"/>
        <v>57047.15</v>
      </c>
      <c r="N404" s="116">
        <f t="shared" si="80"/>
        <v>57047.15</v>
      </c>
      <c r="O404" s="123">
        <f t="shared" si="81"/>
        <v>86.96211890243903</v>
      </c>
      <c r="P404" s="5"/>
      <c r="Q404" s="5">
        <f t="shared" si="75"/>
        <v>1</v>
      </c>
      <c r="R404" s="7">
        <f t="shared" si="76"/>
        <v>656</v>
      </c>
      <c r="S404" s="5">
        <f t="shared" si="77"/>
        <v>0</v>
      </c>
      <c r="T404" s="7">
        <f t="shared" si="78"/>
        <v>0</v>
      </c>
    </row>
    <row r="405" spans="1:20">
      <c r="A405" s="23" t="s">
        <v>440</v>
      </c>
      <c r="B405" s="35" t="s">
        <v>441</v>
      </c>
      <c r="C405" s="36">
        <v>218</v>
      </c>
      <c r="D405" s="6"/>
      <c r="E405" s="113">
        <v>5854797</v>
      </c>
      <c r="F405" s="116">
        <f t="shared" si="71"/>
        <v>26856.866972477063</v>
      </c>
      <c r="G405" s="117">
        <v>2053676</v>
      </c>
      <c r="H405" s="117">
        <f t="shared" si="72"/>
        <v>9420.5321100917427</v>
      </c>
      <c r="I405" s="98" t="s">
        <v>528</v>
      </c>
      <c r="J405" s="10"/>
      <c r="K405" s="117"/>
      <c r="L405" s="120"/>
      <c r="M405" s="122">
        <f t="shared" si="79"/>
        <v>20536.760000000002</v>
      </c>
      <c r="N405" s="116">
        <f t="shared" si="80"/>
        <v>20536.760000000002</v>
      </c>
      <c r="O405" s="123">
        <f t="shared" si="81"/>
        <v>94.205321100917445</v>
      </c>
      <c r="P405" s="5"/>
      <c r="Q405" s="5">
        <f t="shared" si="75"/>
        <v>1</v>
      </c>
      <c r="R405" s="7">
        <f t="shared" si="76"/>
        <v>218</v>
      </c>
      <c r="S405" s="5">
        <f t="shared" si="77"/>
        <v>0</v>
      </c>
      <c r="T405" s="7">
        <f t="shared" si="78"/>
        <v>0</v>
      </c>
    </row>
    <row r="406" spans="1:20">
      <c r="A406" s="23" t="s">
        <v>442</v>
      </c>
      <c r="B406" s="35" t="s">
        <v>441</v>
      </c>
      <c r="C406" s="36">
        <v>3592</v>
      </c>
      <c r="D406" s="6"/>
      <c r="E406" s="113">
        <v>162668360</v>
      </c>
      <c r="F406" s="116">
        <f t="shared" si="71"/>
        <v>45286.291759465479</v>
      </c>
      <c r="G406" s="117">
        <v>103385918</v>
      </c>
      <c r="H406" s="117">
        <f t="shared" si="72"/>
        <v>28782.271158129177</v>
      </c>
      <c r="I406" s="7"/>
      <c r="J406" s="11">
        <v>5.54</v>
      </c>
      <c r="K406" s="117">
        <v>572757</v>
      </c>
      <c r="L406" s="120">
        <f>(K406/C406)</f>
        <v>159.45350779510022</v>
      </c>
      <c r="M406" s="122">
        <f t="shared" si="79"/>
        <v>1033859.18</v>
      </c>
      <c r="N406" s="116">
        <f t="shared" si="80"/>
        <v>461102.18000000005</v>
      </c>
      <c r="O406" s="123">
        <f t="shared" si="81"/>
        <v>128.36920378619155</v>
      </c>
      <c r="P406" s="5"/>
      <c r="Q406" s="5">
        <f t="shared" si="75"/>
        <v>1</v>
      </c>
      <c r="R406" s="7">
        <f t="shared" si="76"/>
        <v>3592</v>
      </c>
      <c r="S406" s="5">
        <f t="shared" si="77"/>
        <v>1</v>
      </c>
      <c r="T406" s="7">
        <f t="shared" si="78"/>
        <v>3592</v>
      </c>
    </row>
    <row r="407" spans="1:20">
      <c r="A407" s="23" t="s">
        <v>443</v>
      </c>
      <c r="B407" s="35" t="s">
        <v>441</v>
      </c>
      <c r="C407" s="36">
        <v>250</v>
      </c>
      <c r="D407" s="6"/>
      <c r="E407" s="113">
        <v>6220989</v>
      </c>
      <c r="F407" s="116">
        <f t="shared" si="71"/>
        <v>24883.955999999998</v>
      </c>
      <c r="G407" s="117">
        <v>4035376</v>
      </c>
      <c r="H407" s="117">
        <f t="shared" si="72"/>
        <v>16141.504000000001</v>
      </c>
      <c r="I407" s="98" t="s">
        <v>528</v>
      </c>
      <c r="J407" s="11"/>
      <c r="K407" s="117"/>
      <c r="L407" s="120"/>
      <c r="M407" s="122">
        <f t="shared" si="79"/>
        <v>40353.760000000002</v>
      </c>
      <c r="N407" s="116">
        <f t="shared" si="80"/>
        <v>40353.760000000002</v>
      </c>
      <c r="O407" s="123">
        <f t="shared" si="81"/>
        <v>161.41504</v>
      </c>
      <c r="P407" s="5"/>
      <c r="Q407" s="5">
        <f t="shared" si="75"/>
        <v>1</v>
      </c>
      <c r="R407" s="7">
        <f t="shared" si="76"/>
        <v>250</v>
      </c>
      <c r="S407" s="5">
        <f t="shared" si="77"/>
        <v>0</v>
      </c>
      <c r="T407" s="7">
        <f t="shared" si="78"/>
        <v>0</v>
      </c>
    </row>
    <row r="408" spans="1:20">
      <c r="A408" s="23" t="s">
        <v>444</v>
      </c>
      <c r="B408" s="35" t="s">
        <v>441</v>
      </c>
      <c r="C408" s="36">
        <v>743</v>
      </c>
      <c r="D408" s="6"/>
      <c r="E408" s="113">
        <v>20218122</v>
      </c>
      <c r="F408" s="116">
        <f t="shared" si="71"/>
        <v>27211.469717362044</v>
      </c>
      <c r="G408" s="117">
        <v>8376332</v>
      </c>
      <c r="H408" s="117">
        <f t="shared" si="72"/>
        <v>11273.663526244953</v>
      </c>
      <c r="I408" s="9"/>
      <c r="J408" s="11">
        <v>2.86</v>
      </c>
      <c r="K408" s="117">
        <v>23956</v>
      </c>
      <c r="L408" s="120">
        <f>(K408/C408)</f>
        <v>32.242261103633915</v>
      </c>
      <c r="M408" s="122">
        <f t="shared" si="79"/>
        <v>83763.320000000007</v>
      </c>
      <c r="N408" s="116">
        <f t="shared" si="80"/>
        <v>59807.320000000007</v>
      </c>
      <c r="O408" s="123">
        <f t="shared" si="81"/>
        <v>80.494374158815617</v>
      </c>
      <c r="P408" s="5"/>
      <c r="Q408" s="5">
        <f t="shared" si="75"/>
        <v>1</v>
      </c>
      <c r="R408" s="7">
        <f t="shared" si="76"/>
        <v>743</v>
      </c>
      <c r="S408" s="5">
        <f t="shared" si="77"/>
        <v>1</v>
      </c>
      <c r="T408" s="7">
        <f t="shared" si="78"/>
        <v>743</v>
      </c>
    </row>
    <row r="409" spans="1:20">
      <c r="A409" s="23" t="s">
        <v>445</v>
      </c>
      <c r="B409" s="35" t="s">
        <v>441</v>
      </c>
      <c r="C409" s="36">
        <v>398</v>
      </c>
      <c r="D409" s="6"/>
      <c r="E409" s="113">
        <v>6317349</v>
      </c>
      <c r="F409" s="116">
        <f t="shared" si="71"/>
        <v>15872.736180904523</v>
      </c>
      <c r="G409" s="117">
        <v>2533263</v>
      </c>
      <c r="H409" s="117">
        <f t="shared" si="72"/>
        <v>6364.9824120603016</v>
      </c>
      <c r="I409" s="98" t="s">
        <v>528</v>
      </c>
      <c r="J409" s="11"/>
      <c r="K409" s="117"/>
      <c r="L409" s="120"/>
      <c r="M409" s="122">
        <f t="shared" si="79"/>
        <v>25332.63</v>
      </c>
      <c r="N409" s="116">
        <f t="shared" si="80"/>
        <v>25332.63</v>
      </c>
      <c r="O409" s="123">
        <f t="shared" si="81"/>
        <v>63.649824120603014</v>
      </c>
      <c r="P409" s="5"/>
      <c r="Q409" s="5">
        <f t="shared" si="75"/>
        <v>1</v>
      </c>
      <c r="R409" s="7">
        <f t="shared" si="76"/>
        <v>398</v>
      </c>
      <c r="S409" s="5">
        <f t="shared" si="77"/>
        <v>0</v>
      </c>
      <c r="T409" s="7">
        <f t="shared" si="78"/>
        <v>0</v>
      </c>
    </row>
    <row r="410" spans="1:20">
      <c r="A410" s="70" t="s">
        <v>451</v>
      </c>
      <c r="B410" s="71"/>
      <c r="C410" s="72">
        <f>SUM(C6:C409)</f>
        <v>7906766</v>
      </c>
      <c r="D410" s="73"/>
      <c r="E410" s="73">
        <f>SUM(E6:E409)</f>
        <v>483313901096</v>
      </c>
      <c r="F410" s="74">
        <f>(E410/R410)</f>
        <v>67396.996087516804</v>
      </c>
      <c r="G410" s="75">
        <f>SUM(G6:G409)</f>
        <v>364623726751</v>
      </c>
      <c r="H410" s="76">
        <f>(G410/R410)</f>
        <v>50845.928142198689</v>
      </c>
      <c r="I410" s="71"/>
      <c r="J410" s="77"/>
      <c r="K410" s="78">
        <f>SUM(K6:K409)</f>
        <v>1826740080</v>
      </c>
      <c r="L410" s="79">
        <f>(K410/T410)</f>
        <v>257.36972977405304</v>
      </c>
      <c r="M410" s="79">
        <f>SUM(M6:M409)</f>
        <v>3646237267.5100017</v>
      </c>
      <c r="N410" s="78">
        <f>SUM(N6:N409)</f>
        <v>1819497187.5100014</v>
      </c>
      <c r="O410" s="80">
        <f>(N410/R410)</f>
        <v>253.72463847983099</v>
      </c>
      <c r="P410" s="20"/>
      <c r="Q410" s="20">
        <f>SUM(Q6:Q409)</f>
        <v>403</v>
      </c>
      <c r="R410" s="21">
        <f>SUM(R6:R409)</f>
        <v>7171149</v>
      </c>
      <c r="S410" s="20">
        <f>SUM(S6:S409)</f>
        <v>370</v>
      </c>
      <c r="T410" s="21">
        <f>SUM(T6:T409)</f>
        <v>7097727</v>
      </c>
    </row>
    <row r="411" spans="1:20">
      <c r="A411" s="27" t="s">
        <v>453</v>
      </c>
      <c r="B411" s="13"/>
      <c r="C411" s="60">
        <f>(S410)-1</f>
        <v>369</v>
      </c>
      <c r="D411" s="14"/>
      <c r="E411" s="14"/>
      <c r="F411" s="16"/>
      <c r="G411" s="16"/>
      <c r="H411" s="16"/>
      <c r="I411" s="16"/>
      <c r="J411" s="14"/>
      <c r="K411" s="17"/>
      <c r="L411" s="17"/>
      <c r="M411" s="2"/>
      <c r="N411" s="2"/>
      <c r="O411" s="63"/>
      <c r="P411" s="2"/>
      <c r="Q411" s="2"/>
      <c r="R411" s="2"/>
      <c r="S411" s="2"/>
      <c r="T411" s="2"/>
    </row>
    <row r="412" spans="1:20">
      <c r="A412" s="22"/>
      <c r="B412" s="16"/>
      <c r="C412" s="16"/>
      <c r="D412" s="16"/>
      <c r="E412" s="16"/>
      <c r="F412" s="16"/>
      <c r="G412" s="16"/>
      <c r="H412" s="16"/>
      <c r="I412" s="16"/>
      <c r="J412" s="17"/>
      <c r="K412" s="17"/>
      <c r="L412" s="17"/>
      <c r="M412" s="2"/>
      <c r="N412" s="2"/>
      <c r="O412" s="63"/>
      <c r="P412" s="2"/>
      <c r="Q412" s="2"/>
      <c r="R412" s="2"/>
      <c r="S412" s="2"/>
      <c r="T412" s="2"/>
    </row>
    <row r="413" spans="1:20">
      <c r="A413" s="28" t="s">
        <v>498</v>
      </c>
      <c r="B413" s="25"/>
      <c r="C413" s="25"/>
      <c r="D413" s="25"/>
      <c r="E413" s="25"/>
      <c r="F413" s="25"/>
      <c r="G413" s="25"/>
      <c r="H413" s="25"/>
      <c r="I413" s="25"/>
      <c r="J413" s="26"/>
      <c r="K413" s="26"/>
      <c r="L413" s="26"/>
      <c r="M413" s="1"/>
      <c r="N413" s="1"/>
      <c r="O413" s="64"/>
      <c r="P413" s="1"/>
      <c r="Q413" s="1"/>
      <c r="R413" s="1"/>
      <c r="S413" s="1"/>
      <c r="T413" s="1"/>
    </row>
    <row r="414" spans="1:20">
      <c r="A414" s="96" t="s">
        <v>566</v>
      </c>
      <c r="B414" s="25"/>
      <c r="C414" s="25"/>
      <c r="D414" s="25"/>
      <c r="E414" s="25"/>
      <c r="F414" s="25"/>
      <c r="G414" s="25"/>
      <c r="H414" s="25"/>
      <c r="I414" s="25"/>
      <c r="J414" s="26"/>
      <c r="K414" s="26"/>
      <c r="L414" s="26"/>
      <c r="M414" s="1"/>
      <c r="N414" s="1"/>
      <c r="O414" s="64"/>
      <c r="P414" s="1"/>
      <c r="Q414" s="1"/>
      <c r="R414" s="1"/>
      <c r="S414" s="1"/>
      <c r="T414" s="1"/>
    </row>
    <row r="415" spans="1:20">
      <c r="A415" s="96" t="s">
        <v>570</v>
      </c>
      <c r="B415" s="25"/>
      <c r="C415" s="25"/>
      <c r="D415" s="25"/>
      <c r="E415" s="25"/>
      <c r="F415" s="25"/>
      <c r="G415" s="25"/>
      <c r="H415" s="25"/>
      <c r="I415" s="25"/>
      <c r="J415" s="26"/>
      <c r="K415" s="26"/>
      <c r="L415" s="26"/>
      <c r="M415" s="1"/>
      <c r="N415" s="1"/>
      <c r="O415" s="64"/>
      <c r="P415" s="1"/>
      <c r="Q415" s="1"/>
      <c r="R415" s="1"/>
      <c r="S415" s="1"/>
      <c r="T415" s="1"/>
    </row>
    <row r="416" spans="1:20">
      <c r="A416" s="96" t="s">
        <v>571</v>
      </c>
      <c r="B416" s="25"/>
      <c r="C416" s="25"/>
      <c r="D416" s="25"/>
      <c r="E416" s="25"/>
      <c r="F416" s="25"/>
      <c r="G416" s="25"/>
      <c r="H416" s="25"/>
      <c r="I416" s="25"/>
      <c r="J416" s="26"/>
      <c r="K416" s="26"/>
      <c r="L416" s="26"/>
      <c r="M416" s="1"/>
      <c r="N416" s="1"/>
      <c r="O416" s="64"/>
      <c r="P416" s="1"/>
      <c r="Q416" s="1"/>
      <c r="R416" s="1"/>
      <c r="S416" s="1"/>
      <c r="T416" s="1"/>
    </row>
    <row r="417" spans="1:20">
      <c r="A417" s="96" t="s">
        <v>572</v>
      </c>
      <c r="B417" s="25"/>
      <c r="C417" s="25"/>
      <c r="D417" s="25"/>
      <c r="E417" s="25"/>
      <c r="F417" s="25"/>
      <c r="G417" s="25"/>
      <c r="H417" s="25"/>
      <c r="I417" s="25"/>
      <c r="J417" s="26"/>
      <c r="K417" s="26"/>
      <c r="L417" s="26"/>
      <c r="M417" s="1"/>
      <c r="N417" s="1"/>
      <c r="O417" s="64"/>
      <c r="P417" s="1"/>
      <c r="Q417" s="1"/>
      <c r="R417" s="1"/>
      <c r="S417" s="1"/>
      <c r="T417" s="1"/>
    </row>
    <row r="418" spans="1:20">
      <c r="A418" s="29" t="s">
        <v>505</v>
      </c>
      <c r="B418" s="25"/>
      <c r="C418" s="25"/>
      <c r="D418" s="25"/>
      <c r="E418" s="25"/>
      <c r="F418" s="25"/>
      <c r="G418" s="25"/>
      <c r="H418" s="25"/>
      <c r="I418" s="25"/>
      <c r="J418" s="26"/>
      <c r="K418" s="26"/>
      <c r="L418" s="26"/>
      <c r="M418" s="1"/>
      <c r="N418" s="1"/>
      <c r="O418" s="64"/>
      <c r="P418" s="1"/>
      <c r="Q418" s="1"/>
      <c r="R418" s="1"/>
      <c r="S418" s="1"/>
      <c r="T418" s="1"/>
    </row>
    <row r="419" spans="1:20">
      <c r="A419" s="29"/>
      <c r="B419" s="25"/>
      <c r="C419" s="25"/>
      <c r="D419" s="25"/>
      <c r="E419" s="25"/>
      <c r="F419" s="25"/>
      <c r="G419" s="25"/>
      <c r="H419" s="25"/>
      <c r="I419" s="25"/>
      <c r="J419" s="26"/>
      <c r="K419" s="26"/>
      <c r="L419" s="26"/>
      <c r="M419" s="1"/>
      <c r="N419" s="1"/>
      <c r="O419" s="64"/>
      <c r="P419" s="1"/>
      <c r="Q419" s="1"/>
      <c r="R419" s="1"/>
      <c r="S419" s="1"/>
      <c r="T419" s="1"/>
    </row>
    <row r="420" spans="1:20">
      <c r="A420" s="96" t="s">
        <v>579</v>
      </c>
      <c r="B420" s="25"/>
      <c r="C420" s="25"/>
      <c r="D420" s="25"/>
      <c r="E420" s="25"/>
      <c r="F420" s="25"/>
      <c r="G420" s="25"/>
      <c r="H420" s="25"/>
      <c r="I420" s="25"/>
      <c r="J420" s="26"/>
      <c r="K420" s="26"/>
      <c r="L420" s="26"/>
      <c r="M420" s="1"/>
      <c r="N420" s="1"/>
      <c r="O420" s="64"/>
      <c r="P420" s="1"/>
      <c r="Q420" s="1"/>
      <c r="R420" s="1"/>
      <c r="S420" s="1"/>
      <c r="T420" s="1"/>
    </row>
    <row r="421" spans="1:20">
      <c r="A421" s="28" t="s">
        <v>469</v>
      </c>
      <c r="B421" s="25"/>
      <c r="C421" s="25"/>
      <c r="D421" s="25"/>
      <c r="E421" s="25"/>
      <c r="F421" s="25"/>
      <c r="G421" s="25"/>
      <c r="H421" s="25"/>
      <c r="I421" s="25"/>
      <c r="J421" s="26"/>
      <c r="K421" s="26"/>
      <c r="L421" s="26"/>
      <c r="M421" s="1"/>
      <c r="N421" s="1"/>
      <c r="O421" s="64"/>
      <c r="P421" s="1"/>
      <c r="Q421" s="1"/>
      <c r="R421" s="1"/>
      <c r="S421" s="1"/>
      <c r="T421" s="1"/>
    </row>
    <row r="422" spans="1:20" ht="13.5" thickBot="1">
      <c r="A422" s="30" t="s">
        <v>485</v>
      </c>
      <c r="B422" s="31"/>
      <c r="C422" s="31"/>
      <c r="D422" s="31"/>
      <c r="E422" s="31"/>
      <c r="F422" s="31"/>
      <c r="G422" s="31"/>
      <c r="H422" s="31"/>
      <c r="I422" s="31"/>
      <c r="J422" s="32"/>
      <c r="K422" s="32"/>
      <c r="L422" s="32"/>
      <c r="M422" s="31"/>
      <c r="N422" s="31"/>
      <c r="O422" s="81"/>
      <c r="P422" s="1"/>
      <c r="Q422" s="1"/>
      <c r="R422" s="1"/>
      <c r="S422" s="1"/>
      <c r="T422" s="1"/>
    </row>
    <row r="423" spans="1:20">
      <c r="A423" s="4"/>
      <c r="B423" s="1"/>
      <c r="C423" s="1"/>
      <c r="D423" s="1"/>
      <c r="E423" s="1"/>
      <c r="F423" s="1"/>
      <c r="G423" s="1"/>
      <c r="H423" s="1"/>
      <c r="I423" s="1"/>
      <c r="J423" s="3"/>
      <c r="K423" s="3"/>
      <c r="L423" s="3"/>
      <c r="M423" s="1"/>
      <c r="N423" s="1"/>
      <c r="O423" s="1"/>
      <c r="P423" s="1"/>
      <c r="Q423" s="1"/>
      <c r="R423" s="1"/>
      <c r="S423" s="1"/>
      <c r="T423" s="1"/>
    </row>
    <row r="424" spans="1:20">
      <c r="A424" s="4"/>
      <c r="B424" s="1"/>
      <c r="C424" s="1"/>
      <c r="D424" s="1"/>
      <c r="E424" s="1"/>
      <c r="F424" s="1"/>
      <c r="G424" s="1"/>
      <c r="H424" s="1"/>
      <c r="I424" s="1"/>
      <c r="J424" s="3"/>
      <c r="K424" s="3"/>
      <c r="L424" s="3"/>
      <c r="M424" s="1"/>
      <c r="N424" s="1"/>
      <c r="O424" s="1"/>
      <c r="P424" s="1"/>
      <c r="Q424" s="1"/>
      <c r="R424" s="1"/>
      <c r="S424" s="1"/>
      <c r="T424" s="1"/>
    </row>
    <row r="425" spans="1:20">
      <c r="A425" s="2"/>
      <c r="B425" s="2"/>
      <c r="C425" s="2"/>
      <c r="D425" s="2"/>
      <c r="E425" s="2"/>
      <c r="F425" s="2"/>
      <c r="G425" s="2"/>
      <c r="H425" s="2"/>
      <c r="I425" s="2"/>
      <c r="J425" s="2"/>
      <c r="K425" s="2"/>
      <c r="L425" s="2"/>
      <c r="M425" s="2"/>
      <c r="N425" s="2"/>
      <c r="O425" s="2"/>
      <c r="P425" s="2"/>
      <c r="Q425" s="2"/>
      <c r="R425" s="2"/>
      <c r="S425" s="2"/>
      <c r="T425"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rowBreaks count="1" manualBreakCount="1">
    <brk id="411" max="14" man="1"/>
  </rowBreaks>
  <ignoredErrors>
    <ignoredError sqref="L410 F410"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T421"/>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7" t="s">
        <v>466</v>
      </c>
      <c r="B1" s="198"/>
      <c r="C1" s="198"/>
      <c r="D1" s="198"/>
      <c r="E1" s="198"/>
      <c r="F1" s="198"/>
      <c r="G1" s="198"/>
      <c r="H1" s="198"/>
      <c r="I1" s="198"/>
      <c r="J1" s="198"/>
      <c r="K1" s="198"/>
      <c r="L1" s="198"/>
      <c r="M1" s="198"/>
      <c r="N1" s="198"/>
      <c r="O1" s="199"/>
    </row>
    <row r="2" spans="1:20" ht="18">
      <c r="A2" s="41"/>
      <c r="B2" s="42"/>
      <c r="C2" s="43"/>
      <c r="D2" s="200" t="s">
        <v>483</v>
      </c>
      <c r="E2" s="201"/>
      <c r="F2" s="201"/>
      <c r="G2" s="201"/>
      <c r="H2" s="202"/>
      <c r="I2" s="44"/>
      <c r="J2" s="61" t="s">
        <v>456</v>
      </c>
      <c r="K2" s="45"/>
      <c r="L2" s="68"/>
      <c r="M2" s="201" t="s">
        <v>503</v>
      </c>
      <c r="N2" s="201"/>
      <c r="O2" s="203"/>
    </row>
    <row r="3" spans="1:20" ht="12.75" customHeight="1">
      <c r="A3" s="46"/>
      <c r="B3" s="47"/>
      <c r="C3" s="48">
        <v>1999</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6305</v>
      </c>
      <c r="D6" s="18"/>
      <c r="E6" s="18">
        <v>355086013</v>
      </c>
      <c r="F6" s="38">
        <f t="shared" ref="F6:F37" si="0">(E6/C6)</f>
        <v>56318.162252180809</v>
      </c>
      <c r="G6" s="18">
        <v>212985108</v>
      </c>
      <c r="H6" s="39">
        <f t="shared" ref="H6:H37" si="1">(G6/C6)</f>
        <v>33780.35019825535</v>
      </c>
      <c r="I6" s="15"/>
      <c r="J6" s="17">
        <v>5.5</v>
      </c>
      <c r="K6" s="40">
        <v>1171418</v>
      </c>
      <c r="L6" s="84">
        <f t="shared" ref="L6:L14" si="2">(K6/C6)</f>
        <v>185.7919111816019</v>
      </c>
      <c r="M6" s="65">
        <f t="shared" ref="M6:M69" si="3">(G6*0.01)</f>
        <v>2129851.08</v>
      </c>
      <c r="N6" s="83">
        <f t="shared" ref="N6:N69" si="4">(M6-K6)</f>
        <v>958433.08000000007</v>
      </c>
      <c r="O6" s="62">
        <f t="shared" ref="O6:O69" si="5">(N6/C6)</f>
        <v>152.01159080095164</v>
      </c>
      <c r="P6" s="5"/>
      <c r="Q6" s="5">
        <f>IF(E6&gt;0,1,0)</f>
        <v>1</v>
      </c>
      <c r="R6" s="7">
        <f>IF(E6&gt;0,C6,0)</f>
        <v>6305</v>
      </c>
      <c r="S6" s="5">
        <f>IF(J6&gt;0,1,0)</f>
        <v>1</v>
      </c>
      <c r="T6" s="7">
        <f>IF(J6&gt;0,C6,0)</f>
        <v>6305</v>
      </c>
    </row>
    <row r="7" spans="1:20">
      <c r="A7" s="23" t="s">
        <v>9</v>
      </c>
      <c r="B7" s="35" t="s">
        <v>8</v>
      </c>
      <c r="C7" s="36">
        <v>1452</v>
      </c>
      <c r="D7" s="6"/>
      <c r="E7" s="113">
        <v>32083261</v>
      </c>
      <c r="F7" s="116">
        <f t="shared" si="0"/>
        <v>22095.909779614325</v>
      </c>
      <c r="G7" s="113">
        <v>18445171</v>
      </c>
      <c r="H7" s="117">
        <f t="shared" si="1"/>
        <v>12703.285812672177</v>
      </c>
      <c r="I7" s="7"/>
      <c r="J7" s="10">
        <v>4</v>
      </c>
      <c r="K7" s="117">
        <v>73780</v>
      </c>
      <c r="L7" s="120">
        <f t="shared" si="2"/>
        <v>50.812672176308538</v>
      </c>
      <c r="M7" s="122">
        <f t="shared" si="3"/>
        <v>184451.71</v>
      </c>
      <c r="N7" s="116">
        <f t="shared" si="4"/>
        <v>110671.70999999999</v>
      </c>
      <c r="O7" s="123">
        <f t="shared" si="5"/>
        <v>76.220185950413224</v>
      </c>
      <c r="P7" s="5"/>
      <c r="Q7" s="5">
        <f t="shared" ref="Q7:Q70" si="6">IF(E7&gt;0,1,0)</f>
        <v>1</v>
      </c>
      <c r="R7" s="7">
        <f t="shared" ref="R7:R70" si="7">IF(E7&gt;0,C7,0)</f>
        <v>1452</v>
      </c>
      <c r="S7" s="5">
        <f t="shared" ref="S7:S70" si="8">IF(J7&gt;0,1,0)</f>
        <v>1</v>
      </c>
      <c r="T7" s="7">
        <f t="shared" ref="T7:T70" si="9">IF(J7&gt;0,C7,0)</f>
        <v>1452</v>
      </c>
    </row>
    <row r="8" spans="1:20">
      <c r="A8" s="23" t="s">
        <v>10</v>
      </c>
      <c r="B8" s="35" t="s">
        <v>8</v>
      </c>
      <c r="C8" s="36">
        <v>101405</v>
      </c>
      <c r="D8" s="6"/>
      <c r="E8" s="113">
        <v>6117881236</v>
      </c>
      <c r="F8" s="116">
        <f t="shared" si="0"/>
        <v>60331.159568068637</v>
      </c>
      <c r="G8" s="113">
        <v>2390448252</v>
      </c>
      <c r="H8" s="117">
        <f t="shared" si="1"/>
        <v>23573.277964597408</v>
      </c>
      <c r="I8" s="7"/>
      <c r="J8" s="10">
        <v>4.9416000000000002</v>
      </c>
      <c r="K8" s="117">
        <v>11812639</v>
      </c>
      <c r="L8" s="120">
        <f t="shared" si="2"/>
        <v>116.48970958039544</v>
      </c>
      <c r="M8" s="122">
        <f t="shared" si="3"/>
        <v>23904482.52</v>
      </c>
      <c r="N8" s="116">
        <f t="shared" si="4"/>
        <v>12091843.52</v>
      </c>
      <c r="O8" s="123">
        <f t="shared" si="5"/>
        <v>119.24307006557862</v>
      </c>
      <c r="P8" s="5"/>
      <c r="Q8" s="5">
        <f t="shared" si="6"/>
        <v>1</v>
      </c>
      <c r="R8" s="7">
        <f t="shared" si="7"/>
        <v>101405</v>
      </c>
      <c r="S8" s="5">
        <f t="shared" si="8"/>
        <v>1</v>
      </c>
      <c r="T8" s="7">
        <f t="shared" si="9"/>
        <v>101405</v>
      </c>
    </row>
    <row r="9" spans="1:20">
      <c r="A9" s="23" t="s">
        <v>11</v>
      </c>
      <c r="B9" s="35" t="s">
        <v>8</v>
      </c>
      <c r="C9" s="36">
        <v>1394</v>
      </c>
      <c r="D9" s="6"/>
      <c r="E9" s="113">
        <v>53617525</v>
      </c>
      <c r="F9" s="116">
        <f t="shared" si="0"/>
        <v>38463.073888091822</v>
      </c>
      <c r="G9" s="117">
        <v>25175865</v>
      </c>
      <c r="H9" s="117">
        <f t="shared" si="1"/>
        <v>18060.161406025825</v>
      </c>
      <c r="I9" s="7"/>
      <c r="J9" s="10">
        <v>5.4184999999999999</v>
      </c>
      <c r="K9" s="117">
        <v>136415</v>
      </c>
      <c r="L9" s="120">
        <f t="shared" si="2"/>
        <v>97.85868005738881</v>
      </c>
      <c r="M9" s="122">
        <f t="shared" si="3"/>
        <v>251758.65</v>
      </c>
      <c r="N9" s="116">
        <f t="shared" si="4"/>
        <v>115343.65</v>
      </c>
      <c r="O9" s="123">
        <f t="shared" si="5"/>
        <v>82.742934002869433</v>
      </c>
      <c r="P9" s="5"/>
      <c r="Q9" s="5">
        <f t="shared" si="6"/>
        <v>1</v>
      </c>
      <c r="R9" s="7">
        <f t="shared" si="7"/>
        <v>1394</v>
      </c>
      <c r="S9" s="5">
        <f t="shared" si="8"/>
        <v>1</v>
      </c>
      <c r="T9" s="7">
        <f t="shared" si="9"/>
        <v>1394</v>
      </c>
    </row>
    <row r="10" spans="1:20">
      <c r="A10" s="23" t="s">
        <v>12</v>
      </c>
      <c r="B10" s="35" t="s">
        <v>8</v>
      </c>
      <c r="C10" s="36">
        <v>3944</v>
      </c>
      <c r="D10" s="6"/>
      <c r="E10" s="113">
        <v>139416747</v>
      </c>
      <c r="F10" s="116">
        <f t="shared" si="0"/>
        <v>35349.073782961459</v>
      </c>
      <c r="G10" s="117">
        <v>78889508</v>
      </c>
      <c r="H10" s="117">
        <f t="shared" si="1"/>
        <v>20002.410750507101</v>
      </c>
      <c r="I10" s="7"/>
      <c r="J10" s="10">
        <v>6.25</v>
      </c>
      <c r="K10" s="117">
        <v>493059</v>
      </c>
      <c r="L10" s="120">
        <f t="shared" si="2"/>
        <v>125.01495943204868</v>
      </c>
      <c r="M10" s="122">
        <f t="shared" si="3"/>
        <v>788895.08000000007</v>
      </c>
      <c r="N10" s="116">
        <f t="shared" si="4"/>
        <v>295836.08000000007</v>
      </c>
      <c r="O10" s="123">
        <f t="shared" si="5"/>
        <v>75.009148073022331</v>
      </c>
      <c r="P10" s="5"/>
      <c r="Q10" s="5">
        <f t="shared" si="6"/>
        <v>1</v>
      </c>
      <c r="R10" s="7">
        <f t="shared" si="7"/>
        <v>3944</v>
      </c>
      <c r="S10" s="5">
        <f t="shared" si="8"/>
        <v>1</v>
      </c>
      <c r="T10" s="7">
        <f t="shared" si="9"/>
        <v>3944</v>
      </c>
    </row>
    <row r="11" spans="1:20">
      <c r="A11" s="23" t="s">
        <v>559</v>
      </c>
      <c r="B11" s="35" t="s">
        <v>8</v>
      </c>
      <c r="C11" s="36">
        <v>150</v>
      </c>
      <c r="D11" s="6"/>
      <c r="E11" s="113">
        <v>5465318</v>
      </c>
      <c r="F11" s="116">
        <f t="shared" si="0"/>
        <v>36435.453333333331</v>
      </c>
      <c r="G11" s="117">
        <v>3017238</v>
      </c>
      <c r="H11" s="117">
        <f t="shared" si="1"/>
        <v>20114.919999999998</v>
      </c>
      <c r="I11" s="7"/>
      <c r="J11" s="10">
        <v>4.1310000000000002</v>
      </c>
      <c r="K11" s="117">
        <v>12464</v>
      </c>
      <c r="L11" s="120">
        <f t="shared" si="2"/>
        <v>83.093333333333334</v>
      </c>
      <c r="M11" s="122">
        <f t="shared" si="3"/>
        <v>30172.38</v>
      </c>
      <c r="N11" s="116">
        <f t="shared" si="4"/>
        <v>17708.38</v>
      </c>
      <c r="O11" s="123">
        <f t="shared" si="5"/>
        <v>118.05586666666667</v>
      </c>
      <c r="P11" s="5"/>
      <c r="Q11" s="5">
        <f t="shared" si="6"/>
        <v>1</v>
      </c>
      <c r="R11" s="7">
        <f t="shared" si="7"/>
        <v>150</v>
      </c>
      <c r="S11" s="5">
        <f t="shared" si="8"/>
        <v>1</v>
      </c>
      <c r="T11" s="7">
        <f t="shared" si="9"/>
        <v>150</v>
      </c>
    </row>
    <row r="12" spans="1:20">
      <c r="A12" s="23" t="s">
        <v>13</v>
      </c>
      <c r="B12" s="35" t="s">
        <v>8</v>
      </c>
      <c r="C12" s="36">
        <v>644</v>
      </c>
      <c r="D12" s="6"/>
      <c r="E12" s="113">
        <v>20104609</v>
      </c>
      <c r="F12" s="116">
        <f t="shared" si="0"/>
        <v>31218.33695652174</v>
      </c>
      <c r="G12" s="117">
        <v>11894869</v>
      </c>
      <c r="H12" s="117">
        <f t="shared" si="1"/>
        <v>18470.293478260868</v>
      </c>
      <c r="I12" s="7"/>
      <c r="J12" s="10">
        <v>6</v>
      </c>
      <c r="K12" s="117">
        <v>71369</v>
      </c>
      <c r="L12" s="120">
        <f t="shared" si="2"/>
        <v>110.82142857142857</v>
      </c>
      <c r="M12" s="122">
        <f t="shared" si="3"/>
        <v>118948.69</v>
      </c>
      <c r="N12" s="116">
        <f t="shared" si="4"/>
        <v>47579.69</v>
      </c>
      <c r="O12" s="123">
        <f t="shared" si="5"/>
        <v>73.881506211180124</v>
      </c>
      <c r="P12" s="5"/>
      <c r="Q12" s="5">
        <f t="shared" si="6"/>
        <v>1</v>
      </c>
      <c r="R12" s="7">
        <f t="shared" si="7"/>
        <v>644</v>
      </c>
      <c r="S12" s="5">
        <f t="shared" si="8"/>
        <v>1</v>
      </c>
      <c r="T12" s="7">
        <f t="shared" si="9"/>
        <v>644</v>
      </c>
    </row>
    <row r="13" spans="1:20">
      <c r="A13" s="23" t="s">
        <v>14</v>
      </c>
      <c r="B13" s="35" t="s">
        <v>8</v>
      </c>
      <c r="C13" s="36">
        <v>2601</v>
      </c>
      <c r="D13" s="6"/>
      <c r="E13" s="113">
        <v>138063506</v>
      </c>
      <c r="F13" s="116">
        <f t="shared" si="0"/>
        <v>53080.932718185315</v>
      </c>
      <c r="G13" s="117">
        <v>57016977</v>
      </c>
      <c r="H13" s="117">
        <f t="shared" si="1"/>
        <v>21921.175317185698</v>
      </c>
      <c r="I13" s="7"/>
      <c r="J13" s="10">
        <v>3.18</v>
      </c>
      <c r="K13" s="117">
        <v>181313</v>
      </c>
      <c r="L13" s="120">
        <f t="shared" si="2"/>
        <v>69.708958093041133</v>
      </c>
      <c r="M13" s="122">
        <f t="shared" si="3"/>
        <v>570169.77</v>
      </c>
      <c r="N13" s="116">
        <f t="shared" si="4"/>
        <v>388856.77</v>
      </c>
      <c r="O13" s="123">
        <f t="shared" si="5"/>
        <v>149.50279507881584</v>
      </c>
      <c r="P13" s="5"/>
      <c r="Q13" s="5">
        <f t="shared" si="6"/>
        <v>1</v>
      </c>
      <c r="R13" s="7">
        <f t="shared" si="7"/>
        <v>2601</v>
      </c>
      <c r="S13" s="5">
        <f t="shared" si="8"/>
        <v>1</v>
      </c>
      <c r="T13" s="7">
        <f t="shared" si="9"/>
        <v>2601</v>
      </c>
    </row>
    <row r="14" spans="1:20">
      <c r="A14" s="23" t="s">
        <v>15</v>
      </c>
      <c r="B14" s="35" t="s">
        <v>8</v>
      </c>
      <c r="C14" s="36">
        <v>1049</v>
      </c>
      <c r="D14" s="6"/>
      <c r="E14" s="113">
        <v>22628609</v>
      </c>
      <c r="F14" s="116">
        <f t="shared" si="0"/>
        <v>21571.600571973308</v>
      </c>
      <c r="G14" s="117">
        <v>10536834</v>
      </c>
      <c r="H14" s="117">
        <f t="shared" si="1"/>
        <v>10044.64632983794</v>
      </c>
      <c r="I14" s="7"/>
      <c r="J14" s="10">
        <v>5.0313999999999997</v>
      </c>
      <c r="K14" s="117">
        <v>53015</v>
      </c>
      <c r="L14" s="120">
        <f t="shared" si="2"/>
        <v>50.538608198284081</v>
      </c>
      <c r="M14" s="122">
        <f t="shared" si="3"/>
        <v>105368.34</v>
      </c>
      <c r="N14" s="116">
        <f t="shared" si="4"/>
        <v>52353.34</v>
      </c>
      <c r="O14" s="123">
        <f t="shared" si="5"/>
        <v>49.907855100095325</v>
      </c>
      <c r="P14" s="5"/>
      <c r="Q14" s="5">
        <f t="shared" si="6"/>
        <v>1</v>
      </c>
      <c r="R14" s="7">
        <f t="shared" si="7"/>
        <v>1049</v>
      </c>
      <c r="S14" s="5">
        <f t="shared" si="8"/>
        <v>1</v>
      </c>
      <c r="T14" s="7">
        <f t="shared" si="9"/>
        <v>1049</v>
      </c>
    </row>
    <row r="15" spans="1:20">
      <c r="A15" s="23" t="s">
        <v>544</v>
      </c>
      <c r="B15" s="35" t="s">
        <v>16</v>
      </c>
      <c r="C15" s="36">
        <v>467</v>
      </c>
      <c r="D15" s="6"/>
      <c r="E15" s="113">
        <v>10022920</v>
      </c>
      <c r="F15" s="116">
        <f t="shared" si="0"/>
        <v>21462.355460385439</v>
      </c>
      <c r="G15" s="117">
        <v>5941601</v>
      </c>
      <c r="H15" s="117">
        <f t="shared" si="1"/>
        <v>12722.914346895075</v>
      </c>
      <c r="I15" s="98" t="s">
        <v>528</v>
      </c>
      <c r="J15" s="10"/>
      <c r="K15" s="117"/>
      <c r="L15" s="120"/>
      <c r="M15" s="122">
        <f t="shared" si="3"/>
        <v>59416.01</v>
      </c>
      <c r="N15" s="116">
        <f t="shared" si="4"/>
        <v>59416.01</v>
      </c>
      <c r="O15" s="123">
        <f t="shared" si="5"/>
        <v>127.22914346895075</v>
      </c>
      <c r="P15" s="5"/>
      <c r="Q15" s="5">
        <f t="shared" si="6"/>
        <v>1</v>
      </c>
      <c r="R15" s="7">
        <f t="shared" si="7"/>
        <v>467</v>
      </c>
      <c r="S15" s="5">
        <f t="shared" si="8"/>
        <v>0</v>
      </c>
      <c r="T15" s="7">
        <f t="shared" si="9"/>
        <v>0</v>
      </c>
    </row>
    <row r="16" spans="1:20">
      <c r="A16" s="23" t="s">
        <v>17</v>
      </c>
      <c r="B16" s="35" t="s">
        <v>16</v>
      </c>
      <c r="C16" s="36">
        <v>4417</v>
      </c>
      <c r="D16" s="6"/>
      <c r="E16" s="113">
        <v>142151394</v>
      </c>
      <c r="F16" s="116">
        <f t="shared" si="0"/>
        <v>32182.792393026943</v>
      </c>
      <c r="G16" s="117">
        <v>82675583</v>
      </c>
      <c r="H16" s="117">
        <f t="shared" si="1"/>
        <v>18717.587276431968</v>
      </c>
      <c r="I16" s="7"/>
      <c r="J16" s="10">
        <v>3.65</v>
      </c>
      <c r="K16" s="117">
        <v>301765</v>
      </c>
      <c r="L16" s="120">
        <f>(K16/C16)</f>
        <v>68.318994792845828</v>
      </c>
      <c r="M16" s="122">
        <f t="shared" si="3"/>
        <v>826755.83000000007</v>
      </c>
      <c r="N16" s="116">
        <f t="shared" si="4"/>
        <v>524990.83000000007</v>
      </c>
      <c r="O16" s="123">
        <f t="shared" si="5"/>
        <v>118.85687797147386</v>
      </c>
      <c r="P16" s="5"/>
      <c r="Q16" s="5">
        <f t="shared" si="6"/>
        <v>1</v>
      </c>
      <c r="R16" s="7">
        <f t="shared" si="7"/>
        <v>4417</v>
      </c>
      <c r="S16" s="5">
        <f t="shared" si="8"/>
        <v>1</v>
      </c>
      <c r="T16" s="7">
        <f t="shared" si="9"/>
        <v>4417</v>
      </c>
    </row>
    <row r="17" spans="1:20">
      <c r="A17" s="23" t="s">
        <v>18</v>
      </c>
      <c r="B17" s="35" t="s">
        <v>19</v>
      </c>
      <c r="C17" s="36">
        <v>14418</v>
      </c>
      <c r="D17" s="6"/>
      <c r="E17" s="113">
        <v>356324291</v>
      </c>
      <c r="F17" s="116">
        <f t="shared" si="0"/>
        <v>24713.850117908169</v>
      </c>
      <c r="G17" s="117">
        <v>257751145</v>
      </c>
      <c r="H17" s="117">
        <f t="shared" si="1"/>
        <v>17877.038770980718</v>
      </c>
      <c r="I17" s="98" t="s">
        <v>528</v>
      </c>
      <c r="J17" s="10"/>
      <c r="K17" s="117"/>
      <c r="L17" s="120"/>
      <c r="M17" s="122">
        <f t="shared" si="3"/>
        <v>2577511.4500000002</v>
      </c>
      <c r="N17" s="116">
        <f t="shared" si="4"/>
        <v>2577511.4500000002</v>
      </c>
      <c r="O17" s="123">
        <f t="shared" si="5"/>
        <v>178.77038770980721</v>
      </c>
      <c r="P17" s="5"/>
      <c r="Q17" s="5">
        <f t="shared" si="6"/>
        <v>1</v>
      </c>
      <c r="R17" s="7">
        <f t="shared" si="7"/>
        <v>14418</v>
      </c>
      <c r="S17" s="5">
        <f t="shared" si="8"/>
        <v>0</v>
      </c>
      <c r="T17" s="7">
        <f t="shared" si="9"/>
        <v>0</v>
      </c>
    </row>
    <row r="18" spans="1:20">
      <c r="A18" s="23" t="s">
        <v>20</v>
      </c>
      <c r="B18" s="35" t="s">
        <v>19</v>
      </c>
      <c r="C18" s="36">
        <v>3255</v>
      </c>
      <c r="D18" s="6"/>
      <c r="E18" s="113">
        <v>118965334</v>
      </c>
      <c r="F18" s="116">
        <f t="shared" si="0"/>
        <v>36548.489708141322</v>
      </c>
      <c r="G18" s="117">
        <v>63976141</v>
      </c>
      <c r="H18" s="117">
        <f t="shared" si="1"/>
        <v>19654.72841781874</v>
      </c>
      <c r="I18" s="98" t="s">
        <v>528</v>
      </c>
      <c r="J18" s="10"/>
      <c r="K18" s="117"/>
      <c r="L18" s="120"/>
      <c r="M18" s="122">
        <f t="shared" si="3"/>
        <v>639761.41</v>
      </c>
      <c r="N18" s="116">
        <f t="shared" si="4"/>
        <v>639761.41</v>
      </c>
      <c r="O18" s="123">
        <f t="shared" si="5"/>
        <v>196.54728417818743</v>
      </c>
      <c r="P18" s="5"/>
      <c r="Q18" s="5">
        <f t="shared" si="6"/>
        <v>1</v>
      </c>
      <c r="R18" s="7">
        <f t="shared" si="7"/>
        <v>3255</v>
      </c>
      <c r="S18" s="5">
        <f t="shared" si="8"/>
        <v>0</v>
      </c>
      <c r="T18" s="7">
        <f t="shared" si="9"/>
        <v>0</v>
      </c>
    </row>
    <row r="19" spans="1:20">
      <c r="A19" s="23" t="s">
        <v>21</v>
      </c>
      <c r="B19" s="35" t="s">
        <v>19</v>
      </c>
      <c r="C19" s="36">
        <v>12796</v>
      </c>
      <c r="D19" s="6"/>
      <c r="E19" s="113">
        <v>559566078</v>
      </c>
      <c r="F19" s="116">
        <f t="shared" si="0"/>
        <v>43729.765395436072</v>
      </c>
      <c r="G19" s="117">
        <v>334847089</v>
      </c>
      <c r="H19" s="117">
        <f t="shared" si="1"/>
        <v>26168.106361362927</v>
      </c>
      <c r="I19" s="7"/>
      <c r="J19" s="10">
        <v>4</v>
      </c>
      <c r="K19" s="117">
        <v>1339388</v>
      </c>
      <c r="L19" s="120">
        <f>(K19/C19)</f>
        <v>104.67239762425758</v>
      </c>
      <c r="M19" s="122">
        <f t="shared" si="3"/>
        <v>3348470.89</v>
      </c>
      <c r="N19" s="116">
        <f t="shared" si="4"/>
        <v>2009082.8900000001</v>
      </c>
      <c r="O19" s="123">
        <f t="shared" si="5"/>
        <v>157.00866598937168</v>
      </c>
      <c r="P19" s="5"/>
      <c r="Q19" s="5">
        <f t="shared" si="6"/>
        <v>1</v>
      </c>
      <c r="R19" s="7">
        <f t="shared" si="7"/>
        <v>12796</v>
      </c>
      <c r="S19" s="5">
        <f t="shared" si="8"/>
        <v>1</v>
      </c>
      <c r="T19" s="7">
        <f t="shared" si="9"/>
        <v>12796</v>
      </c>
    </row>
    <row r="20" spans="1:20">
      <c r="A20" s="23" t="s">
        <v>22</v>
      </c>
      <c r="B20" s="35" t="s">
        <v>19</v>
      </c>
      <c r="C20" s="36">
        <v>1042</v>
      </c>
      <c r="D20" s="6"/>
      <c r="E20" s="113">
        <v>100909634</v>
      </c>
      <c r="F20" s="116">
        <f t="shared" si="0"/>
        <v>96842.259117082533</v>
      </c>
      <c r="G20" s="117">
        <v>79843363</v>
      </c>
      <c r="H20" s="117">
        <f t="shared" si="1"/>
        <v>76625.108445297505</v>
      </c>
      <c r="I20" s="7"/>
      <c r="J20" s="11">
        <v>4.3099999999999996</v>
      </c>
      <c r="K20" s="117">
        <v>344124</v>
      </c>
      <c r="L20" s="120">
        <f>(K20/C20)</f>
        <v>330.25335892514397</v>
      </c>
      <c r="M20" s="122">
        <f t="shared" si="3"/>
        <v>798433.63</v>
      </c>
      <c r="N20" s="116">
        <f t="shared" si="4"/>
        <v>454309.63</v>
      </c>
      <c r="O20" s="123">
        <f t="shared" si="5"/>
        <v>435.99772552783111</v>
      </c>
      <c r="P20" s="5"/>
      <c r="Q20" s="5">
        <f t="shared" si="6"/>
        <v>1</v>
      </c>
      <c r="R20" s="7">
        <f t="shared" si="7"/>
        <v>1042</v>
      </c>
      <c r="S20" s="5">
        <f t="shared" si="8"/>
        <v>1</v>
      </c>
      <c r="T20" s="7">
        <f t="shared" si="9"/>
        <v>1042</v>
      </c>
    </row>
    <row r="21" spans="1:20">
      <c r="A21" s="23" t="s">
        <v>23</v>
      </c>
      <c r="B21" s="35" t="s">
        <v>19</v>
      </c>
      <c r="C21" s="36">
        <v>37777</v>
      </c>
      <c r="D21" s="6"/>
      <c r="E21" s="113">
        <v>1790066864</v>
      </c>
      <c r="F21" s="116">
        <f t="shared" si="0"/>
        <v>47385.098446144482</v>
      </c>
      <c r="G21" s="117">
        <v>1143776584</v>
      </c>
      <c r="H21" s="117">
        <f t="shared" si="1"/>
        <v>30277.062339518754</v>
      </c>
      <c r="I21" s="7"/>
      <c r="J21" s="10">
        <v>5</v>
      </c>
      <c r="K21" s="117">
        <v>5718882</v>
      </c>
      <c r="L21" s="120">
        <f>(K21/C21)</f>
        <v>151.38528734415121</v>
      </c>
      <c r="M21" s="122">
        <f t="shared" si="3"/>
        <v>11437765.84</v>
      </c>
      <c r="N21" s="116">
        <f t="shared" si="4"/>
        <v>5718883.8399999999</v>
      </c>
      <c r="O21" s="123">
        <f t="shared" si="5"/>
        <v>151.38533605103635</v>
      </c>
      <c r="P21" s="5"/>
      <c r="Q21" s="5">
        <f t="shared" si="6"/>
        <v>1</v>
      </c>
      <c r="R21" s="7">
        <f t="shared" si="7"/>
        <v>37777</v>
      </c>
      <c r="S21" s="5">
        <f t="shared" si="8"/>
        <v>1</v>
      </c>
      <c r="T21" s="7">
        <f t="shared" si="9"/>
        <v>37777</v>
      </c>
    </row>
    <row r="22" spans="1:20">
      <c r="A22" s="23" t="s">
        <v>24</v>
      </c>
      <c r="B22" s="35" t="s">
        <v>19</v>
      </c>
      <c r="C22" s="36">
        <v>5174</v>
      </c>
      <c r="D22" s="6"/>
      <c r="E22" s="113">
        <v>1070824481</v>
      </c>
      <c r="F22" s="116">
        <f t="shared" si="0"/>
        <v>206962.59779667569</v>
      </c>
      <c r="G22" s="117">
        <v>968669418</v>
      </c>
      <c r="H22" s="117">
        <f t="shared" si="1"/>
        <v>187218.67375338229</v>
      </c>
      <c r="I22" s="98" t="s">
        <v>528</v>
      </c>
      <c r="J22" s="12"/>
      <c r="K22" s="117"/>
      <c r="L22" s="120"/>
      <c r="M22" s="122">
        <f t="shared" si="3"/>
        <v>9686694.1799999997</v>
      </c>
      <c r="N22" s="116">
        <f t="shared" si="4"/>
        <v>9686694.1799999997</v>
      </c>
      <c r="O22" s="123">
        <f t="shared" si="5"/>
        <v>1872.1867375338229</v>
      </c>
      <c r="P22" s="5"/>
      <c r="Q22" s="5">
        <f t="shared" si="6"/>
        <v>1</v>
      </c>
      <c r="R22" s="7">
        <f t="shared" si="7"/>
        <v>5174</v>
      </c>
      <c r="S22" s="5">
        <f t="shared" si="8"/>
        <v>0</v>
      </c>
      <c r="T22" s="7">
        <f t="shared" si="9"/>
        <v>0</v>
      </c>
    </row>
    <row r="23" spans="1:20">
      <c r="A23" s="23" t="s">
        <v>25</v>
      </c>
      <c r="B23" s="35" t="s">
        <v>19</v>
      </c>
      <c r="C23" s="36">
        <v>5084</v>
      </c>
      <c r="D23" s="6"/>
      <c r="E23" s="113">
        <v>139412945</v>
      </c>
      <c r="F23" s="116">
        <f t="shared" si="0"/>
        <v>27421.901062155783</v>
      </c>
      <c r="G23" s="117">
        <v>100522358</v>
      </c>
      <c r="H23" s="117">
        <f t="shared" si="1"/>
        <v>19772.297010228165</v>
      </c>
      <c r="I23" s="98" t="s">
        <v>528</v>
      </c>
      <c r="J23" s="12"/>
      <c r="K23" s="117"/>
      <c r="L23" s="120"/>
      <c r="M23" s="122">
        <f t="shared" si="3"/>
        <v>1005223.5800000001</v>
      </c>
      <c r="N23" s="116">
        <f t="shared" si="4"/>
        <v>1005223.5800000001</v>
      </c>
      <c r="O23" s="123">
        <f t="shared" si="5"/>
        <v>197.72297010228169</v>
      </c>
      <c r="P23" s="5"/>
      <c r="Q23" s="5">
        <f t="shared" si="6"/>
        <v>1</v>
      </c>
      <c r="R23" s="7">
        <f t="shared" si="7"/>
        <v>5084</v>
      </c>
      <c r="S23" s="5">
        <f t="shared" si="8"/>
        <v>0</v>
      </c>
      <c r="T23" s="7">
        <f t="shared" si="9"/>
        <v>0</v>
      </c>
    </row>
    <row r="24" spans="1:20">
      <c r="A24" s="23" t="s">
        <v>26</v>
      </c>
      <c r="B24" s="35" t="s">
        <v>19</v>
      </c>
      <c r="C24" s="36">
        <v>9359</v>
      </c>
      <c r="D24" s="6"/>
      <c r="E24" s="113">
        <v>155788337</v>
      </c>
      <c r="F24" s="116">
        <f t="shared" si="0"/>
        <v>16645.831499091782</v>
      </c>
      <c r="G24" s="117">
        <v>79008964</v>
      </c>
      <c r="H24" s="117">
        <f t="shared" si="1"/>
        <v>8442.0305588203864</v>
      </c>
      <c r="I24" s="98" t="s">
        <v>528</v>
      </c>
      <c r="J24" s="10"/>
      <c r="K24" s="117"/>
      <c r="L24" s="120"/>
      <c r="M24" s="122">
        <f t="shared" si="3"/>
        <v>790089.64</v>
      </c>
      <c r="N24" s="116">
        <f t="shared" si="4"/>
        <v>790089.64</v>
      </c>
      <c r="O24" s="123">
        <f t="shared" si="5"/>
        <v>84.420305588203874</v>
      </c>
      <c r="P24" s="5"/>
      <c r="Q24" s="5">
        <f t="shared" si="6"/>
        <v>1</v>
      </c>
      <c r="R24" s="7">
        <f t="shared" si="7"/>
        <v>9359</v>
      </c>
      <c r="S24" s="5">
        <f t="shared" si="8"/>
        <v>0</v>
      </c>
      <c r="T24" s="7">
        <f t="shared" si="9"/>
        <v>0</v>
      </c>
    </row>
    <row r="25" spans="1:20">
      <c r="A25" s="23" t="s">
        <v>27</v>
      </c>
      <c r="B25" s="35" t="s">
        <v>28</v>
      </c>
      <c r="C25" s="36">
        <v>344</v>
      </c>
      <c r="D25" s="6"/>
      <c r="E25" s="113">
        <v>6987096</v>
      </c>
      <c r="F25" s="116">
        <f t="shared" si="0"/>
        <v>20311.325581395347</v>
      </c>
      <c r="G25" s="117">
        <v>3151808</v>
      </c>
      <c r="H25" s="117">
        <f t="shared" si="1"/>
        <v>9162.2325581395344</v>
      </c>
      <c r="I25" s="7"/>
      <c r="J25" s="10">
        <v>0.55000000000000004</v>
      </c>
      <c r="K25" s="117">
        <v>1733</v>
      </c>
      <c r="L25" s="120">
        <f t="shared" ref="L25:L38" si="10">(K25/C25)</f>
        <v>5.0377906976744189</v>
      </c>
      <c r="M25" s="122">
        <f t="shared" si="3"/>
        <v>31518.080000000002</v>
      </c>
      <c r="N25" s="116">
        <f t="shared" si="4"/>
        <v>29785.08</v>
      </c>
      <c r="O25" s="123">
        <f t="shared" si="5"/>
        <v>86.584534883720934</v>
      </c>
      <c r="P25" s="5"/>
      <c r="Q25" s="5">
        <f t="shared" si="6"/>
        <v>1</v>
      </c>
      <c r="R25" s="7">
        <f t="shared" si="7"/>
        <v>344</v>
      </c>
      <c r="S25" s="5">
        <f t="shared" si="8"/>
        <v>1</v>
      </c>
      <c r="T25" s="7">
        <f t="shared" si="9"/>
        <v>344</v>
      </c>
    </row>
    <row r="26" spans="1:20">
      <c r="A26" s="23" t="s">
        <v>29</v>
      </c>
      <c r="B26" s="35" t="s">
        <v>28</v>
      </c>
      <c r="C26" s="36">
        <v>315</v>
      </c>
      <c r="D26" s="6"/>
      <c r="E26" s="113">
        <v>5489290</v>
      </c>
      <c r="F26" s="116">
        <f t="shared" si="0"/>
        <v>17426.317460317459</v>
      </c>
      <c r="G26" s="117">
        <v>2572575</v>
      </c>
      <c r="H26" s="117">
        <f t="shared" si="1"/>
        <v>8166.9047619047615</v>
      </c>
      <c r="I26" s="7"/>
      <c r="J26" s="10">
        <v>0.59770000000000001</v>
      </c>
      <c r="K26" s="117">
        <v>1537</v>
      </c>
      <c r="L26" s="120">
        <f t="shared" si="10"/>
        <v>4.8793650793650798</v>
      </c>
      <c r="M26" s="122">
        <f t="shared" si="3"/>
        <v>25725.75</v>
      </c>
      <c r="N26" s="116">
        <f t="shared" si="4"/>
        <v>24188.75</v>
      </c>
      <c r="O26" s="123">
        <f t="shared" si="5"/>
        <v>76.789682539682545</v>
      </c>
      <c r="P26" s="5"/>
      <c r="Q26" s="5">
        <f t="shared" si="6"/>
        <v>1</v>
      </c>
      <c r="R26" s="7">
        <f t="shared" si="7"/>
        <v>315</v>
      </c>
      <c r="S26" s="5">
        <f t="shared" si="8"/>
        <v>1</v>
      </c>
      <c r="T26" s="7">
        <f t="shared" si="9"/>
        <v>315</v>
      </c>
    </row>
    <row r="27" spans="1:20">
      <c r="A27" s="23" t="s">
        <v>30</v>
      </c>
      <c r="B27" s="35" t="s">
        <v>28</v>
      </c>
      <c r="C27" s="36">
        <v>712</v>
      </c>
      <c r="D27" s="6"/>
      <c r="E27" s="113">
        <v>13103720</v>
      </c>
      <c r="F27" s="116">
        <f t="shared" si="0"/>
        <v>18404.101123595505</v>
      </c>
      <c r="G27" s="117">
        <v>7257580</v>
      </c>
      <c r="H27" s="117">
        <f t="shared" si="1"/>
        <v>10193.230337078652</v>
      </c>
      <c r="I27" s="7"/>
      <c r="J27" s="11">
        <v>1.994</v>
      </c>
      <c r="K27" s="117">
        <v>14471</v>
      </c>
      <c r="L27" s="120">
        <f t="shared" si="10"/>
        <v>20.32443820224719</v>
      </c>
      <c r="M27" s="122">
        <f t="shared" si="3"/>
        <v>72575.8</v>
      </c>
      <c r="N27" s="116">
        <f t="shared" si="4"/>
        <v>58104.800000000003</v>
      </c>
      <c r="O27" s="123">
        <f t="shared" si="5"/>
        <v>81.607865168539334</v>
      </c>
      <c r="P27" s="5"/>
      <c r="Q27" s="5">
        <f t="shared" si="6"/>
        <v>1</v>
      </c>
      <c r="R27" s="7">
        <f t="shared" si="7"/>
        <v>712</v>
      </c>
      <c r="S27" s="5">
        <f t="shared" si="8"/>
        <v>1</v>
      </c>
      <c r="T27" s="7">
        <f t="shared" si="9"/>
        <v>712</v>
      </c>
    </row>
    <row r="28" spans="1:20">
      <c r="A28" s="23" t="s">
        <v>31</v>
      </c>
      <c r="B28" s="35" t="s">
        <v>28</v>
      </c>
      <c r="C28" s="36">
        <v>5185</v>
      </c>
      <c r="D28" s="6"/>
      <c r="E28" s="113">
        <v>218219204</v>
      </c>
      <c r="F28" s="116">
        <f t="shared" si="0"/>
        <v>42086.635294117645</v>
      </c>
      <c r="G28" s="117">
        <v>117745537</v>
      </c>
      <c r="H28" s="117">
        <f t="shared" si="1"/>
        <v>22708.87888138862</v>
      </c>
      <c r="I28" s="7"/>
      <c r="J28" s="11">
        <v>4</v>
      </c>
      <c r="K28" s="117">
        <v>470982</v>
      </c>
      <c r="L28" s="120">
        <f t="shared" si="10"/>
        <v>90.835486981677917</v>
      </c>
      <c r="M28" s="122">
        <f t="shared" si="3"/>
        <v>1177455.3700000001</v>
      </c>
      <c r="N28" s="116">
        <f t="shared" si="4"/>
        <v>706473.37000000011</v>
      </c>
      <c r="O28" s="123">
        <f t="shared" si="5"/>
        <v>136.25330183220831</v>
      </c>
      <c r="P28" s="5"/>
      <c r="Q28" s="5">
        <f t="shared" si="6"/>
        <v>1</v>
      </c>
      <c r="R28" s="7">
        <f t="shared" si="7"/>
        <v>5185</v>
      </c>
      <c r="S28" s="5">
        <f t="shared" si="8"/>
        <v>1</v>
      </c>
      <c r="T28" s="7">
        <f t="shared" si="9"/>
        <v>5185</v>
      </c>
    </row>
    <row r="29" spans="1:20">
      <c r="A29" s="23" t="s">
        <v>32</v>
      </c>
      <c r="B29" s="35" t="s">
        <v>33</v>
      </c>
      <c r="C29" s="36">
        <v>8900</v>
      </c>
      <c r="D29" s="6"/>
      <c r="E29" s="113">
        <v>456172172</v>
      </c>
      <c r="F29" s="116">
        <f t="shared" si="0"/>
        <v>51255.300224719103</v>
      </c>
      <c r="G29" s="117">
        <v>385136672</v>
      </c>
      <c r="H29" s="117">
        <f t="shared" si="1"/>
        <v>43273.783370786514</v>
      </c>
      <c r="I29" s="7"/>
      <c r="J29" s="11">
        <v>1.6738999999999999</v>
      </c>
      <c r="K29" s="117">
        <v>644680</v>
      </c>
      <c r="L29" s="120">
        <f t="shared" si="10"/>
        <v>72.435955056179779</v>
      </c>
      <c r="M29" s="122">
        <f t="shared" si="3"/>
        <v>3851366.72</v>
      </c>
      <c r="N29" s="116">
        <f t="shared" si="4"/>
        <v>3206686.7200000002</v>
      </c>
      <c r="O29" s="123">
        <f t="shared" si="5"/>
        <v>360.3018786516854</v>
      </c>
      <c r="P29" s="5"/>
      <c r="Q29" s="5">
        <f t="shared" si="6"/>
        <v>1</v>
      </c>
      <c r="R29" s="7">
        <f t="shared" si="7"/>
        <v>8900</v>
      </c>
      <c r="S29" s="5">
        <f t="shared" si="8"/>
        <v>1</v>
      </c>
      <c r="T29" s="7">
        <f t="shared" si="9"/>
        <v>8900</v>
      </c>
    </row>
    <row r="30" spans="1:20">
      <c r="A30" s="23" t="s">
        <v>34</v>
      </c>
      <c r="B30" s="35" t="s">
        <v>33</v>
      </c>
      <c r="C30" s="36">
        <v>18118</v>
      </c>
      <c r="D30" s="6"/>
      <c r="E30" s="113">
        <v>618774522</v>
      </c>
      <c r="F30" s="116">
        <f t="shared" si="0"/>
        <v>34152.473893365714</v>
      </c>
      <c r="G30" s="117">
        <v>363942298</v>
      </c>
      <c r="H30" s="117">
        <f t="shared" si="1"/>
        <v>20087.332928579315</v>
      </c>
      <c r="I30" s="7"/>
      <c r="J30" s="10">
        <v>4.1321000000000003</v>
      </c>
      <c r="K30" s="117">
        <v>1503845</v>
      </c>
      <c r="L30" s="120">
        <f t="shared" si="10"/>
        <v>83.002814880229607</v>
      </c>
      <c r="M30" s="122">
        <f t="shared" si="3"/>
        <v>3639422.98</v>
      </c>
      <c r="N30" s="116">
        <f t="shared" si="4"/>
        <v>2135577.98</v>
      </c>
      <c r="O30" s="123">
        <f t="shared" si="5"/>
        <v>117.87051440556353</v>
      </c>
      <c r="P30" s="5"/>
      <c r="Q30" s="5">
        <f t="shared" si="6"/>
        <v>1</v>
      </c>
      <c r="R30" s="7">
        <f t="shared" si="7"/>
        <v>18118</v>
      </c>
      <c r="S30" s="5">
        <f t="shared" si="8"/>
        <v>1</v>
      </c>
      <c r="T30" s="7">
        <f t="shared" si="9"/>
        <v>18118</v>
      </c>
    </row>
    <row r="31" spans="1:20">
      <c r="A31" s="23" t="s">
        <v>35</v>
      </c>
      <c r="B31" s="35" t="s">
        <v>33</v>
      </c>
      <c r="C31" s="36">
        <v>12759</v>
      </c>
      <c r="D31" s="6"/>
      <c r="E31" s="113">
        <v>1103881902</v>
      </c>
      <c r="F31" s="116">
        <f t="shared" si="0"/>
        <v>86517.901246179172</v>
      </c>
      <c r="G31" s="117">
        <v>862242626</v>
      </c>
      <c r="H31" s="117">
        <f t="shared" si="1"/>
        <v>67579.169684144523</v>
      </c>
      <c r="I31" s="7"/>
      <c r="J31" s="10">
        <v>5.1173999999999999</v>
      </c>
      <c r="K31" s="117">
        <v>4412440</v>
      </c>
      <c r="L31" s="120">
        <f t="shared" si="10"/>
        <v>345.82961047104004</v>
      </c>
      <c r="M31" s="122">
        <f t="shared" si="3"/>
        <v>8622426.2599999998</v>
      </c>
      <c r="N31" s="116">
        <f t="shared" si="4"/>
        <v>4209986.26</v>
      </c>
      <c r="O31" s="123">
        <f t="shared" si="5"/>
        <v>329.96208637040519</v>
      </c>
      <c r="P31" s="5"/>
      <c r="Q31" s="5">
        <f t="shared" si="6"/>
        <v>1</v>
      </c>
      <c r="R31" s="7">
        <f t="shared" si="7"/>
        <v>12759</v>
      </c>
      <c r="S31" s="5">
        <f t="shared" si="8"/>
        <v>1</v>
      </c>
      <c r="T31" s="7">
        <f t="shared" si="9"/>
        <v>12759</v>
      </c>
    </row>
    <row r="32" spans="1:20">
      <c r="A32" s="23" t="s">
        <v>36</v>
      </c>
      <c r="B32" s="35" t="s">
        <v>33</v>
      </c>
      <c r="C32" s="36">
        <v>2969</v>
      </c>
      <c r="D32" s="6"/>
      <c r="E32" s="113">
        <v>210579598</v>
      </c>
      <c r="F32" s="116">
        <f t="shared" si="0"/>
        <v>70926.102391377572</v>
      </c>
      <c r="G32" s="117">
        <v>165439868</v>
      </c>
      <c r="H32" s="117">
        <f t="shared" si="1"/>
        <v>55722.421017177498</v>
      </c>
      <c r="I32" s="7"/>
      <c r="J32" s="10">
        <v>4.8451000000000004</v>
      </c>
      <c r="K32" s="117">
        <v>801572</v>
      </c>
      <c r="L32" s="120">
        <f t="shared" si="10"/>
        <v>269.98046480296398</v>
      </c>
      <c r="M32" s="122">
        <f t="shared" si="3"/>
        <v>1654398.68</v>
      </c>
      <c r="N32" s="116">
        <f t="shared" si="4"/>
        <v>852826.67999999993</v>
      </c>
      <c r="O32" s="123">
        <f t="shared" si="5"/>
        <v>287.24374536881101</v>
      </c>
      <c r="P32" s="5"/>
      <c r="Q32" s="5">
        <f t="shared" si="6"/>
        <v>1</v>
      </c>
      <c r="R32" s="7">
        <f t="shared" si="7"/>
        <v>2969</v>
      </c>
      <c r="S32" s="5">
        <f t="shared" si="8"/>
        <v>1</v>
      </c>
      <c r="T32" s="7">
        <f t="shared" si="9"/>
        <v>2969</v>
      </c>
    </row>
    <row r="33" spans="1:20">
      <c r="A33" s="23" t="s">
        <v>37</v>
      </c>
      <c r="B33" s="35" t="s">
        <v>33</v>
      </c>
      <c r="C33" s="36">
        <v>8024</v>
      </c>
      <c r="D33" s="6"/>
      <c r="E33" s="113">
        <v>469570140</v>
      </c>
      <c r="F33" s="116">
        <f t="shared" si="0"/>
        <v>58520.705383848457</v>
      </c>
      <c r="G33" s="117">
        <v>376489080</v>
      </c>
      <c r="H33" s="117">
        <f t="shared" si="1"/>
        <v>46920.373878364902</v>
      </c>
      <c r="I33" s="7"/>
      <c r="J33" s="10">
        <v>4.3289999999999997</v>
      </c>
      <c r="K33" s="117">
        <v>1629821</v>
      </c>
      <c r="L33" s="120">
        <f t="shared" si="10"/>
        <v>203.11827018943171</v>
      </c>
      <c r="M33" s="122">
        <f t="shared" si="3"/>
        <v>3764890.8000000003</v>
      </c>
      <c r="N33" s="116">
        <f t="shared" si="4"/>
        <v>2135069.8000000003</v>
      </c>
      <c r="O33" s="123">
        <f t="shared" si="5"/>
        <v>266.08546859421739</v>
      </c>
      <c r="P33" s="5"/>
      <c r="Q33" s="5">
        <f t="shared" si="6"/>
        <v>1</v>
      </c>
      <c r="R33" s="7">
        <f t="shared" si="7"/>
        <v>8024</v>
      </c>
      <c r="S33" s="5">
        <f t="shared" si="8"/>
        <v>1</v>
      </c>
      <c r="T33" s="7">
        <f t="shared" si="9"/>
        <v>8024</v>
      </c>
    </row>
    <row r="34" spans="1:20">
      <c r="A34" s="23" t="s">
        <v>38</v>
      </c>
      <c r="B34" s="35" t="s">
        <v>33</v>
      </c>
      <c r="C34" s="36">
        <v>2544</v>
      </c>
      <c r="D34" s="6"/>
      <c r="E34" s="113">
        <v>156811488</v>
      </c>
      <c r="F34" s="116">
        <f t="shared" si="0"/>
        <v>61639.735849056604</v>
      </c>
      <c r="G34" s="117">
        <v>120076068</v>
      </c>
      <c r="H34" s="117">
        <f t="shared" si="1"/>
        <v>47199.712264150941</v>
      </c>
      <c r="I34" s="7"/>
      <c r="J34" s="10">
        <v>1.5</v>
      </c>
      <c r="K34" s="117">
        <v>180114</v>
      </c>
      <c r="L34" s="120">
        <f t="shared" si="10"/>
        <v>70.799528301886795</v>
      </c>
      <c r="M34" s="122">
        <f t="shared" si="3"/>
        <v>1200760.68</v>
      </c>
      <c r="N34" s="116">
        <f t="shared" si="4"/>
        <v>1020646.6799999999</v>
      </c>
      <c r="O34" s="123">
        <f t="shared" si="5"/>
        <v>401.19759433962264</v>
      </c>
      <c r="P34" s="5"/>
      <c r="Q34" s="5">
        <f t="shared" si="6"/>
        <v>1</v>
      </c>
      <c r="R34" s="7">
        <f t="shared" si="7"/>
        <v>2544</v>
      </c>
      <c r="S34" s="5">
        <f t="shared" si="8"/>
        <v>1</v>
      </c>
      <c r="T34" s="7">
        <f t="shared" si="9"/>
        <v>2544</v>
      </c>
    </row>
    <row r="35" spans="1:20">
      <c r="A35" s="23" t="s">
        <v>39</v>
      </c>
      <c r="B35" s="35" t="s">
        <v>33</v>
      </c>
      <c r="C35" s="36">
        <v>70685</v>
      </c>
      <c r="D35" s="6"/>
      <c r="E35" s="113">
        <v>3309457900</v>
      </c>
      <c r="F35" s="116">
        <f t="shared" si="0"/>
        <v>46819.804767631038</v>
      </c>
      <c r="G35" s="117">
        <v>2276817099</v>
      </c>
      <c r="H35" s="117">
        <f t="shared" si="1"/>
        <v>32210.753328145998</v>
      </c>
      <c r="I35" s="7"/>
      <c r="J35" s="10">
        <v>4.5228000000000002</v>
      </c>
      <c r="K35" s="117">
        <v>10297588</v>
      </c>
      <c r="L35" s="120">
        <f t="shared" si="10"/>
        <v>145.6827898422579</v>
      </c>
      <c r="M35" s="122">
        <f t="shared" si="3"/>
        <v>22768170.990000002</v>
      </c>
      <c r="N35" s="116">
        <f t="shared" si="4"/>
        <v>12470582.990000002</v>
      </c>
      <c r="O35" s="123">
        <f t="shared" si="5"/>
        <v>176.42474343920213</v>
      </c>
      <c r="P35" s="5"/>
      <c r="Q35" s="5">
        <f t="shared" si="6"/>
        <v>1</v>
      </c>
      <c r="R35" s="7">
        <f t="shared" si="7"/>
        <v>70685</v>
      </c>
      <c r="S35" s="5">
        <f t="shared" si="8"/>
        <v>1</v>
      </c>
      <c r="T35" s="7">
        <f t="shared" si="9"/>
        <v>70685</v>
      </c>
    </row>
    <row r="36" spans="1:20">
      <c r="A36" s="23" t="s">
        <v>40</v>
      </c>
      <c r="B36" s="35" t="s">
        <v>33</v>
      </c>
      <c r="C36" s="36">
        <v>3283</v>
      </c>
      <c r="D36" s="6"/>
      <c r="E36" s="113">
        <v>215891604</v>
      </c>
      <c r="F36" s="116">
        <f t="shared" si="0"/>
        <v>65760.464209564423</v>
      </c>
      <c r="G36" s="117">
        <v>166942444</v>
      </c>
      <c r="H36" s="117">
        <f t="shared" si="1"/>
        <v>50850.576911361561</v>
      </c>
      <c r="I36" s="7"/>
      <c r="J36" s="10">
        <v>3.9866999999999999</v>
      </c>
      <c r="K36" s="117">
        <v>665549</v>
      </c>
      <c r="L36" s="120">
        <f t="shared" si="10"/>
        <v>202.72586049345111</v>
      </c>
      <c r="M36" s="122">
        <f t="shared" si="3"/>
        <v>1669424.44</v>
      </c>
      <c r="N36" s="116">
        <f t="shared" si="4"/>
        <v>1003875.44</v>
      </c>
      <c r="O36" s="123">
        <f t="shared" si="5"/>
        <v>305.77990862016446</v>
      </c>
      <c r="P36" s="5"/>
      <c r="Q36" s="5">
        <f t="shared" si="6"/>
        <v>1</v>
      </c>
      <c r="R36" s="7">
        <f t="shared" si="7"/>
        <v>3283</v>
      </c>
      <c r="S36" s="5">
        <f t="shared" si="8"/>
        <v>1</v>
      </c>
      <c r="T36" s="7">
        <f t="shared" si="9"/>
        <v>3283</v>
      </c>
    </row>
    <row r="37" spans="1:20">
      <c r="A37" s="23" t="s">
        <v>41</v>
      </c>
      <c r="B37" s="35" t="s">
        <v>33</v>
      </c>
      <c r="C37" s="36">
        <v>620</v>
      </c>
      <c r="D37" s="6"/>
      <c r="E37" s="113">
        <v>41374293</v>
      </c>
      <c r="F37" s="116">
        <f t="shared" si="0"/>
        <v>66732.730645161297</v>
      </c>
      <c r="G37" s="117">
        <v>32591393</v>
      </c>
      <c r="H37" s="117">
        <f t="shared" si="1"/>
        <v>52566.762903225805</v>
      </c>
      <c r="I37" s="7"/>
      <c r="J37" s="10">
        <v>4.0643000000000002</v>
      </c>
      <c r="K37" s="117">
        <v>132461</v>
      </c>
      <c r="L37" s="120">
        <f t="shared" si="10"/>
        <v>213.6467741935484</v>
      </c>
      <c r="M37" s="122">
        <f t="shared" si="3"/>
        <v>325913.93</v>
      </c>
      <c r="N37" s="116">
        <f t="shared" si="4"/>
        <v>193452.93</v>
      </c>
      <c r="O37" s="123">
        <f t="shared" si="5"/>
        <v>312.02085483870968</v>
      </c>
      <c r="P37" s="5"/>
      <c r="Q37" s="5">
        <f t="shared" si="6"/>
        <v>1</v>
      </c>
      <c r="R37" s="7">
        <f t="shared" si="7"/>
        <v>620</v>
      </c>
      <c r="S37" s="5">
        <f t="shared" si="8"/>
        <v>1</v>
      </c>
      <c r="T37" s="7">
        <f t="shared" si="9"/>
        <v>620</v>
      </c>
    </row>
    <row r="38" spans="1:20">
      <c r="A38" s="23" t="s">
        <v>42</v>
      </c>
      <c r="B38" s="35" t="s">
        <v>33</v>
      </c>
      <c r="C38" s="36">
        <v>79131</v>
      </c>
      <c r="D38" s="6"/>
      <c r="E38" s="113">
        <v>2596656273</v>
      </c>
      <c r="F38" s="116">
        <f t="shared" ref="F38:F69" si="11">(E38/C38)</f>
        <v>32814.652576107976</v>
      </c>
      <c r="G38" s="117">
        <v>1827260105</v>
      </c>
      <c r="H38" s="117">
        <f t="shared" ref="H38:H69" si="12">(G38/C38)</f>
        <v>23091.58363978719</v>
      </c>
      <c r="I38" s="7"/>
      <c r="J38" s="10">
        <v>7.1741999999999999</v>
      </c>
      <c r="K38" s="117">
        <v>13109129</v>
      </c>
      <c r="L38" s="120">
        <f t="shared" si="10"/>
        <v>165.6636337212976</v>
      </c>
      <c r="M38" s="122">
        <f t="shared" si="3"/>
        <v>18272601.050000001</v>
      </c>
      <c r="N38" s="116">
        <f t="shared" si="4"/>
        <v>5163472.0500000007</v>
      </c>
      <c r="O38" s="123">
        <f t="shared" si="5"/>
        <v>65.252202676574299</v>
      </c>
      <c r="P38" s="5"/>
      <c r="Q38" s="5">
        <f t="shared" si="6"/>
        <v>1</v>
      </c>
      <c r="R38" s="7">
        <f t="shared" si="7"/>
        <v>79131</v>
      </c>
      <c r="S38" s="5">
        <f t="shared" si="8"/>
        <v>1</v>
      </c>
      <c r="T38" s="7">
        <f t="shared" si="9"/>
        <v>79131</v>
      </c>
    </row>
    <row r="39" spans="1:20">
      <c r="A39" s="23" t="s">
        <v>43</v>
      </c>
      <c r="B39" s="35" t="s">
        <v>33</v>
      </c>
      <c r="C39" s="36">
        <v>569</v>
      </c>
      <c r="D39" s="6"/>
      <c r="E39" s="113">
        <v>33059339</v>
      </c>
      <c r="F39" s="116">
        <f t="shared" si="11"/>
        <v>58100.771528998244</v>
      </c>
      <c r="G39" s="117">
        <v>26985439</v>
      </c>
      <c r="H39" s="117">
        <f t="shared" si="12"/>
        <v>47426.079086115991</v>
      </c>
      <c r="I39" s="98" t="s">
        <v>528</v>
      </c>
      <c r="J39" s="10"/>
      <c r="K39" s="117"/>
      <c r="L39" s="120"/>
      <c r="M39" s="122">
        <f t="shared" si="3"/>
        <v>269854.39</v>
      </c>
      <c r="N39" s="116">
        <f t="shared" si="4"/>
        <v>269854.39</v>
      </c>
      <c r="O39" s="123">
        <f t="shared" si="5"/>
        <v>474.26079086115993</v>
      </c>
      <c r="P39" s="5"/>
      <c r="Q39" s="5">
        <f t="shared" si="6"/>
        <v>1</v>
      </c>
      <c r="R39" s="7">
        <f t="shared" si="7"/>
        <v>569</v>
      </c>
      <c r="S39" s="5">
        <f t="shared" si="8"/>
        <v>0</v>
      </c>
      <c r="T39" s="7">
        <f t="shared" si="9"/>
        <v>0</v>
      </c>
    </row>
    <row r="40" spans="1:20">
      <c r="A40" s="23" t="s">
        <v>44</v>
      </c>
      <c r="B40" s="35" t="s">
        <v>33</v>
      </c>
      <c r="C40" s="36">
        <v>19904</v>
      </c>
      <c r="D40" s="6"/>
      <c r="E40" s="113">
        <v>884382888</v>
      </c>
      <c r="F40" s="116">
        <f t="shared" si="11"/>
        <v>44432.420016077172</v>
      </c>
      <c r="G40" s="117">
        <v>600001148</v>
      </c>
      <c r="H40" s="117">
        <f t="shared" si="12"/>
        <v>30144.752210610932</v>
      </c>
      <c r="I40" s="7"/>
      <c r="J40" s="10">
        <v>5.5590000000000002</v>
      </c>
      <c r="K40" s="117">
        <v>3335406</v>
      </c>
      <c r="L40" s="120">
        <f>(K40/C40)</f>
        <v>167.57465836012861</v>
      </c>
      <c r="M40" s="122">
        <f t="shared" si="3"/>
        <v>6000011.4800000004</v>
      </c>
      <c r="N40" s="116">
        <f t="shared" si="4"/>
        <v>2664605.4800000004</v>
      </c>
      <c r="O40" s="123">
        <f t="shared" si="5"/>
        <v>133.87286374598074</v>
      </c>
      <c r="P40" s="5"/>
      <c r="Q40" s="5">
        <f t="shared" si="6"/>
        <v>1</v>
      </c>
      <c r="R40" s="7">
        <f t="shared" si="7"/>
        <v>19904</v>
      </c>
      <c r="S40" s="5">
        <f t="shared" si="8"/>
        <v>1</v>
      </c>
      <c r="T40" s="7">
        <f t="shared" si="9"/>
        <v>19904</v>
      </c>
    </row>
    <row r="41" spans="1:20">
      <c r="A41" s="23" t="s">
        <v>45</v>
      </c>
      <c r="B41" s="35" t="s">
        <v>33</v>
      </c>
      <c r="C41" s="36">
        <v>10275</v>
      </c>
      <c r="D41" s="6"/>
      <c r="E41" s="113">
        <v>496987443</v>
      </c>
      <c r="F41" s="116">
        <f t="shared" si="11"/>
        <v>48368.607591240878</v>
      </c>
      <c r="G41" s="117">
        <v>368990033</v>
      </c>
      <c r="H41" s="117">
        <f t="shared" si="12"/>
        <v>35911.438734793184</v>
      </c>
      <c r="I41" s="7"/>
      <c r="J41" s="10">
        <v>6.1395</v>
      </c>
      <c r="K41" s="121">
        <v>2265414</v>
      </c>
      <c r="L41" s="120">
        <f>(K41/C41)</f>
        <v>220.47824817518247</v>
      </c>
      <c r="M41" s="122">
        <f t="shared" si="3"/>
        <v>3689900.33</v>
      </c>
      <c r="N41" s="116">
        <f t="shared" si="4"/>
        <v>1424486.33</v>
      </c>
      <c r="O41" s="123">
        <f t="shared" si="5"/>
        <v>138.63613917274941</v>
      </c>
      <c r="P41" s="5"/>
      <c r="Q41" s="5">
        <f t="shared" si="6"/>
        <v>1</v>
      </c>
      <c r="R41" s="7">
        <f t="shared" si="7"/>
        <v>10275</v>
      </c>
      <c r="S41" s="5">
        <f t="shared" si="8"/>
        <v>1</v>
      </c>
      <c r="T41" s="7">
        <f t="shared" si="9"/>
        <v>10275</v>
      </c>
    </row>
    <row r="42" spans="1:20">
      <c r="A42" s="23" t="s">
        <v>46</v>
      </c>
      <c r="B42" s="35" t="s">
        <v>33</v>
      </c>
      <c r="C42" s="36">
        <v>41885</v>
      </c>
      <c r="D42" s="6"/>
      <c r="E42" s="113">
        <v>1549118275</v>
      </c>
      <c r="F42" s="116">
        <f t="shared" si="11"/>
        <v>36985.037006088096</v>
      </c>
      <c r="G42" s="117">
        <v>1016969154</v>
      </c>
      <c r="H42" s="117">
        <f t="shared" si="12"/>
        <v>24280.032326608572</v>
      </c>
      <c r="I42" s="7"/>
      <c r="J42" s="10">
        <v>5.7735000000000003</v>
      </c>
      <c r="K42" s="117">
        <v>5871471</v>
      </c>
      <c r="L42" s="120">
        <f>(K42/C42)</f>
        <v>140.18075683418886</v>
      </c>
      <c r="M42" s="122">
        <f t="shared" si="3"/>
        <v>10169691.540000001</v>
      </c>
      <c r="N42" s="116">
        <f t="shared" si="4"/>
        <v>4298220.540000001</v>
      </c>
      <c r="O42" s="123">
        <f t="shared" si="5"/>
        <v>102.61956643189689</v>
      </c>
      <c r="P42" s="5"/>
      <c r="Q42" s="5">
        <f t="shared" si="6"/>
        <v>1</v>
      </c>
      <c r="R42" s="7">
        <f t="shared" si="7"/>
        <v>41885</v>
      </c>
      <c r="S42" s="5">
        <f t="shared" si="8"/>
        <v>1</v>
      </c>
      <c r="T42" s="7">
        <f t="shared" si="9"/>
        <v>41885</v>
      </c>
    </row>
    <row r="43" spans="1:20">
      <c r="A43" s="23" t="s">
        <v>47</v>
      </c>
      <c r="B43" s="35" t="s">
        <v>33</v>
      </c>
      <c r="C43" s="36">
        <v>9810</v>
      </c>
      <c r="D43" s="6"/>
      <c r="E43" s="113">
        <v>578662532</v>
      </c>
      <c r="F43" s="116">
        <f t="shared" si="11"/>
        <v>58987.006320081549</v>
      </c>
      <c r="G43" s="117">
        <v>429425592</v>
      </c>
      <c r="H43" s="117">
        <f t="shared" si="12"/>
        <v>43774.270336391441</v>
      </c>
      <c r="I43" s="98" t="s">
        <v>528</v>
      </c>
      <c r="J43" s="10"/>
      <c r="K43" s="117"/>
      <c r="L43" s="120"/>
      <c r="M43" s="122">
        <f t="shared" si="3"/>
        <v>4294255.92</v>
      </c>
      <c r="N43" s="116">
        <f t="shared" si="4"/>
        <v>4294255.92</v>
      </c>
      <c r="O43" s="123">
        <f t="shared" si="5"/>
        <v>437.74270336391436</v>
      </c>
      <c r="P43" s="5"/>
      <c r="Q43" s="5">
        <f t="shared" si="6"/>
        <v>1</v>
      </c>
      <c r="R43" s="7">
        <f t="shared" si="7"/>
        <v>9810</v>
      </c>
      <c r="S43" s="5">
        <f t="shared" si="8"/>
        <v>0</v>
      </c>
      <c r="T43" s="7">
        <f t="shared" si="9"/>
        <v>0</v>
      </c>
    </row>
    <row r="44" spans="1:20">
      <c r="A44" s="23" t="s">
        <v>48</v>
      </c>
      <c r="B44" s="35" t="s">
        <v>49</v>
      </c>
      <c r="C44" s="36">
        <v>39554</v>
      </c>
      <c r="D44" s="6"/>
      <c r="E44" s="113">
        <v>1992165564</v>
      </c>
      <c r="F44" s="116">
        <f t="shared" si="11"/>
        <v>50365.716842797192</v>
      </c>
      <c r="G44" s="117">
        <v>1496229106</v>
      </c>
      <c r="H44" s="117">
        <f t="shared" si="12"/>
        <v>37827.504323203721</v>
      </c>
      <c r="I44" s="7"/>
      <c r="J44" s="11">
        <v>5.3901000000000003</v>
      </c>
      <c r="K44" s="117">
        <v>8064824</v>
      </c>
      <c r="L44" s="120">
        <f t="shared" ref="L44:L72" si="13">(K44/C44)</f>
        <v>203.89401830409062</v>
      </c>
      <c r="M44" s="122">
        <f t="shared" si="3"/>
        <v>14962291.060000001</v>
      </c>
      <c r="N44" s="116">
        <f t="shared" si="4"/>
        <v>6897467.0600000005</v>
      </c>
      <c r="O44" s="123">
        <f t="shared" si="5"/>
        <v>174.38102492794661</v>
      </c>
      <c r="P44" s="5"/>
      <c r="Q44" s="5">
        <f t="shared" si="6"/>
        <v>1</v>
      </c>
      <c r="R44" s="7">
        <f t="shared" si="7"/>
        <v>39554</v>
      </c>
      <c r="S44" s="5">
        <f t="shared" si="8"/>
        <v>1</v>
      </c>
      <c r="T44" s="7">
        <f t="shared" si="9"/>
        <v>39554</v>
      </c>
    </row>
    <row r="45" spans="1:20">
      <c r="A45" s="23" t="s">
        <v>50</v>
      </c>
      <c r="B45" s="35" t="s">
        <v>49</v>
      </c>
      <c r="C45" s="36">
        <v>28730</v>
      </c>
      <c r="D45" s="6"/>
      <c r="E45" s="113">
        <v>1359965384</v>
      </c>
      <c r="F45" s="116">
        <f t="shared" si="11"/>
        <v>47336.073233553776</v>
      </c>
      <c r="G45" s="117">
        <v>1050669098</v>
      </c>
      <c r="H45" s="117">
        <f t="shared" si="12"/>
        <v>36570.452419074136</v>
      </c>
      <c r="I45" s="7"/>
      <c r="J45" s="10">
        <v>6.282</v>
      </c>
      <c r="K45" s="117">
        <v>6600303</v>
      </c>
      <c r="L45" s="120">
        <f t="shared" si="13"/>
        <v>229.73557257222416</v>
      </c>
      <c r="M45" s="122">
        <f t="shared" si="3"/>
        <v>10506690.98</v>
      </c>
      <c r="N45" s="116">
        <f t="shared" si="4"/>
        <v>3906387.9800000004</v>
      </c>
      <c r="O45" s="123">
        <f t="shared" si="5"/>
        <v>135.96895161851725</v>
      </c>
      <c r="P45" s="5"/>
      <c r="Q45" s="5">
        <f t="shared" si="6"/>
        <v>1</v>
      </c>
      <c r="R45" s="7">
        <f t="shared" si="7"/>
        <v>28730</v>
      </c>
      <c r="S45" s="5">
        <f t="shared" si="8"/>
        <v>1</v>
      </c>
      <c r="T45" s="7">
        <f t="shared" si="9"/>
        <v>28730</v>
      </c>
    </row>
    <row r="46" spans="1:20">
      <c r="A46" s="23" t="s">
        <v>51</v>
      </c>
      <c r="B46" s="35" t="s">
        <v>49</v>
      </c>
      <c r="C46" s="36">
        <v>111724</v>
      </c>
      <c r="D46" s="6"/>
      <c r="E46" s="113">
        <v>5614061524</v>
      </c>
      <c r="F46" s="116">
        <f t="shared" si="11"/>
        <v>50249.378146145857</v>
      </c>
      <c r="G46" s="117">
        <v>4753792889</v>
      </c>
      <c r="H46" s="117">
        <f t="shared" si="12"/>
        <v>42549.43332676954</v>
      </c>
      <c r="I46" s="7"/>
      <c r="J46" s="10">
        <v>4.0237999999999996</v>
      </c>
      <c r="K46" s="117">
        <v>19128311</v>
      </c>
      <c r="L46" s="120">
        <f t="shared" si="13"/>
        <v>171.21040242024989</v>
      </c>
      <c r="M46" s="122">
        <f t="shared" si="3"/>
        <v>47537928.890000001</v>
      </c>
      <c r="N46" s="116">
        <f t="shared" si="4"/>
        <v>28409617.890000001</v>
      </c>
      <c r="O46" s="123">
        <f t="shared" si="5"/>
        <v>254.2839308474455</v>
      </c>
      <c r="P46" s="5"/>
      <c r="Q46" s="5">
        <f t="shared" si="6"/>
        <v>1</v>
      </c>
      <c r="R46" s="7">
        <f t="shared" si="7"/>
        <v>111724</v>
      </c>
      <c r="S46" s="5">
        <f t="shared" si="8"/>
        <v>1</v>
      </c>
      <c r="T46" s="7">
        <f t="shared" si="9"/>
        <v>111724</v>
      </c>
    </row>
    <row r="47" spans="1:20">
      <c r="A47" s="23" t="s">
        <v>464</v>
      </c>
      <c r="B47" s="35" t="s">
        <v>49</v>
      </c>
      <c r="C47" s="36">
        <v>18480</v>
      </c>
      <c r="D47" s="6"/>
      <c r="E47" s="113">
        <v>1277449025</v>
      </c>
      <c r="F47" s="116">
        <f t="shared" si="11"/>
        <v>69126.029491341993</v>
      </c>
      <c r="G47" s="117">
        <v>1006729184</v>
      </c>
      <c r="H47" s="117">
        <f t="shared" si="12"/>
        <v>54476.687445887444</v>
      </c>
      <c r="I47" s="7"/>
      <c r="J47" s="10">
        <v>6.1</v>
      </c>
      <c r="K47" s="117">
        <v>6141048</v>
      </c>
      <c r="L47" s="120">
        <f t="shared" si="13"/>
        <v>332.3077922077922</v>
      </c>
      <c r="M47" s="122">
        <f t="shared" si="3"/>
        <v>10067291.84</v>
      </c>
      <c r="N47" s="116">
        <f t="shared" si="4"/>
        <v>3926243.84</v>
      </c>
      <c r="O47" s="123">
        <f t="shared" si="5"/>
        <v>212.45908225108224</v>
      </c>
      <c r="P47" s="5"/>
      <c r="Q47" s="5">
        <f t="shared" si="6"/>
        <v>1</v>
      </c>
      <c r="R47" s="7">
        <f t="shared" si="7"/>
        <v>18480</v>
      </c>
      <c r="S47" s="5">
        <f t="shared" si="8"/>
        <v>1</v>
      </c>
      <c r="T47" s="7">
        <f t="shared" si="9"/>
        <v>18480</v>
      </c>
    </row>
    <row r="48" spans="1:20">
      <c r="A48" s="23" t="s">
        <v>52</v>
      </c>
      <c r="B48" s="35" t="s">
        <v>49</v>
      </c>
      <c r="C48" s="36">
        <v>67529</v>
      </c>
      <c r="D48" s="6"/>
      <c r="E48" s="113">
        <v>3832102657</v>
      </c>
      <c r="F48" s="116">
        <f t="shared" si="11"/>
        <v>56747.510802766221</v>
      </c>
      <c r="G48" s="117">
        <v>2952669591</v>
      </c>
      <c r="H48" s="117">
        <f t="shared" si="12"/>
        <v>43724.467873061942</v>
      </c>
      <c r="I48" s="7"/>
      <c r="J48" s="11">
        <v>6.0088999999999997</v>
      </c>
      <c r="K48" s="117">
        <v>17742296</v>
      </c>
      <c r="L48" s="120">
        <f t="shared" si="13"/>
        <v>262.73595048053431</v>
      </c>
      <c r="M48" s="122">
        <f t="shared" si="3"/>
        <v>29526695.91</v>
      </c>
      <c r="N48" s="116">
        <f t="shared" si="4"/>
        <v>11784399.91</v>
      </c>
      <c r="O48" s="123">
        <f t="shared" si="5"/>
        <v>174.50872825008514</v>
      </c>
      <c r="P48" s="5"/>
      <c r="Q48" s="5">
        <f t="shared" si="6"/>
        <v>1</v>
      </c>
      <c r="R48" s="7">
        <f t="shared" si="7"/>
        <v>67529</v>
      </c>
      <c r="S48" s="5">
        <f t="shared" si="8"/>
        <v>1</v>
      </c>
      <c r="T48" s="7">
        <f t="shared" si="9"/>
        <v>67529</v>
      </c>
    </row>
    <row r="49" spans="1:20">
      <c r="A49" s="23" t="s">
        <v>53</v>
      </c>
      <c r="B49" s="35" t="s">
        <v>49</v>
      </c>
      <c r="C49" s="36">
        <v>51269</v>
      </c>
      <c r="D49" s="6"/>
      <c r="E49" s="113">
        <v>3673135003</v>
      </c>
      <c r="F49" s="116">
        <f t="shared" si="11"/>
        <v>71644.366049659642</v>
      </c>
      <c r="G49" s="117">
        <v>3009665077</v>
      </c>
      <c r="H49" s="117">
        <f t="shared" si="12"/>
        <v>58703.409019095358</v>
      </c>
      <c r="I49" s="7"/>
      <c r="J49" s="10">
        <v>6.2278000000000002</v>
      </c>
      <c r="K49" s="117">
        <v>18743592</v>
      </c>
      <c r="L49" s="120">
        <f t="shared" si="13"/>
        <v>365.59308744075366</v>
      </c>
      <c r="M49" s="122">
        <f t="shared" si="3"/>
        <v>30096650.77</v>
      </c>
      <c r="N49" s="116">
        <f t="shared" si="4"/>
        <v>11353058.77</v>
      </c>
      <c r="O49" s="123">
        <f t="shared" si="5"/>
        <v>221.44100275019991</v>
      </c>
      <c r="P49" s="5"/>
      <c r="Q49" s="5">
        <f t="shared" si="6"/>
        <v>1</v>
      </c>
      <c r="R49" s="7">
        <f t="shared" si="7"/>
        <v>51269</v>
      </c>
      <c r="S49" s="5">
        <f t="shared" si="8"/>
        <v>1</v>
      </c>
      <c r="T49" s="7">
        <f t="shared" si="9"/>
        <v>51269</v>
      </c>
    </row>
    <row r="50" spans="1:20">
      <c r="A50" s="23" t="s">
        <v>54</v>
      </c>
      <c r="B50" s="35" t="s">
        <v>49</v>
      </c>
      <c r="C50" s="36">
        <v>148971</v>
      </c>
      <c r="D50" s="6"/>
      <c r="E50" s="113">
        <v>14843844579</v>
      </c>
      <c r="F50" s="116">
        <f t="shared" si="11"/>
        <v>99642.511488813252</v>
      </c>
      <c r="G50" s="117">
        <v>11976404917</v>
      </c>
      <c r="H50" s="117">
        <f t="shared" si="12"/>
        <v>80394.203683938482</v>
      </c>
      <c r="I50" s="7"/>
      <c r="J50" s="10">
        <v>5.5663999999999998</v>
      </c>
      <c r="K50" s="117">
        <v>66665460</v>
      </c>
      <c r="L50" s="120">
        <f t="shared" si="13"/>
        <v>447.50629317115414</v>
      </c>
      <c r="M50" s="122">
        <f t="shared" si="3"/>
        <v>119764049.17</v>
      </c>
      <c r="N50" s="116">
        <f t="shared" si="4"/>
        <v>53098589.170000002</v>
      </c>
      <c r="O50" s="123">
        <f t="shared" si="5"/>
        <v>356.43574366823071</v>
      </c>
      <c r="P50" s="5"/>
      <c r="Q50" s="5">
        <f t="shared" si="6"/>
        <v>1</v>
      </c>
      <c r="R50" s="7">
        <f t="shared" si="7"/>
        <v>148971</v>
      </c>
      <c r="S50" s="5">
        <f t="shared" si="8"/>
        <v>1</v>
      </c>
      <c r="T50" s="7">
        <f t="shared" si="9"/>
        <v>148971</v>
      </c>
    </row>
    <row r="51" spans="1:20">
      <c r="A51" s="23" t="s">
        <v>465</v>
      </c>
      <c r="B51" s="35" t="s">
        <v>49</v>
      </c>
      <c r="C51" s="36">
        <v>31504</v>
      </c>
      <c r="D51" s="6"/>
      <c r="E51" s="113">
        <v>1759607290</v>
      </c>
      <c r="F51" s="116">
        <f t="shared" si="11"/>
        <v>55853.456386490601</v>
      </c>
      <c r="G51" s="117">
        <v>1453427435</v>
      </c>
      <c r="H51" s="117">
        <f t="shared" si="12"/>
        <v>46134.695118080243</v>
      </c>
      <c r="I51" s="7"/>
      <c r="J51" s="10">
        <v>6.9870000000000001</v>
      </c>
      <c r="K51" s="117">
        <v>10155097</v>
      </c>
      <c r="L51" s="120">
        <f t="shared" si="13"/>
        <v>322.3430992889792</v>
      </c>
      <c r="M51" s="122">
        <f t="shared" si="3"/>
        <v>14534274.35</v>
      </c>
      <c r="N51" s="116">
        <f t="shared" si="4"/>
        <v>4379177.3499999996</v>
      </c>
      <c r="O51" s="123">
        <f t="shared" si="5"/>
        <v>139.00385189182325</v>
      </c>
      <c r="P51" s="5"/>
      <c r="Q51" s="5">
        <f t="shared" si="6"/>
        <v>1</v>
      </c>
      <c r="R51" s="7">
        <f t="shared" si="7"/>
        <v>31504</v>
      </c>
      <c r="S51" s="5">
        <f t="shared" si="8"/>
        <v>1</v>
      </c>
      <c r="T51" s="7">
        <f t="shared" si="9"/>
        <v>31504</v>
      </c>
    </row>
    <row r="52" spans="1:20">
      <c r="A52" s="23" t="s">
        <v>55</v>
      </c>
      <c r="B52" s="35" t="s">
        <v>49</v>
      </c>
      <c r="C52" s="36">
        <v>1756</v>
      </c>
      <c r="D52" s="6"/>
      <c r="E52" s="113">
        <v>466219495</v>
      </c>
      <c r="F52" s="116">
        <f t="shared" si="11"/>
        <v>265500.85136674257</v>
      </c>
      <c r="G52" s="117">
        <v>431310255</v>
      </c>
      <c r="H52" s="117">
        <f t="shared" si="12"/>
        <v>245620.87414578587</v>
      </c>
      <c r="I52" s="7"/>
      <c r="J52" s="10">
        <v>4.2140000000000004</v>
      </c>
      <c r="K52" s="117">
        <v>1817541</v>
      </c>
      <c r="L52" s="120">
        <f t="shared" si="13"/>
        <v>1035.0461275626424</v>
      </c>
      <c r="M52" s="122">
        <f t="shared" si="3"/>
        <v>4313102.55</v>
      </c>
      <c r="N52" s="116">
        <f t="shared" si="4"/>
        <v>2495561.5499999998</v>
      </c>
      <c r="O52" s="123">
        <f t="shared" si="5"/>
        <v>1421.1626138952163</v>
      </c>
      <c r="P52" s="5"/>
      <c r="Q52" s="5">
        <f t="shared" si="6"/>
        <v>1</v>
      </c>
      <c r="R52" s="7">
        <f t="shared" si="7"/>
        <v>1756</v>
      </c>
      <c r="S52" s="5">
        <f t="shared" si="8"/>
        <v>1</v>
      </c>
      <c r="T52" s="7">
        <f t="shared" si="9"/>
        <v>1756</v>
      </c>
    </row>
    <row r="53" spans="1:20">
      <c r="A53" s="23" t="s">
        <v>56</v>
      </c>
      <c r="B53" s="35" t="s">
        <v>49</v>
      </c>
      <c r="C53" s="36">
        <v>127660</v>
      </c>
      <c r="D53" s="6"/>
      <c r="E53" s="113">
        <v>7326032118</v>
      </c>
      <c r="F53" s="116">
        <f t="shared" si="11"/>
        <v>57387.060300798999</v>
      </c>
      <c r="G53" s="117">
        <v>5668617482</v>
      </c>
      <c r="H53" s="117">
        <f t="shared" si="12"/>
        <v>44404.022262259125</v>
      </c>
      <c r="I53" s="7"/>
      <c r="J53" s="10">
        <v>6.2999000000000001</v>
      </c>
      <c r="K53" s="117">
        <v>35711723</v>
      </c>
      <c r="L53" s="120">
        <f t="shared" si="13"/>
        <v>279.74089769700765</v>
      </c>
      <c r="M53" s="122">
        <f t="shared" si="3"/>
        <v>56686174.82</v>
      </c>
      <c r="N53" s="116">
        <f t="shared" si="4"/>
        <v>20974451.82</v>
      </c>
      <c r="O53" s="123">
        <f t="shared" si="5"/>
        <v>164.29932492558359</v>
      </c>
      <c r="P53" s="5"/>
      <c r="Q53" s="5">
        <f t="shared" si="6"/>
        <v>1</v>
      </c>
      <c r="R53" s="7">
        <f t="shared" si="7"/>
        <v>127660</v>
      </c>
      <c r="S53" s="5">
        <f t="shared" si="8"/>
        <v>1</v>
      </c>
      <c r="T53" s="7">
        <f t="shared" si="9"/>
        <v>127660</v>
      </c>
    </row>
    <row r="54" spans="1:20">
      <c r="A54" s="23" t="s">
        <v>57</v>
      </c>
      <c r="B54" s="35" t="s">
        <v>49</v>
      </c>
      <c r="C54" s="36">
        <v>27870</v>
      </c>
      <c r="D54" s="6"/>
      <c r="E54" s="113">
        <v>874303670</v>
      </c>
      <c r="F54" s="116">
        <f t="shared" si="11"/>
        <v>31370.781126659491</v>
      </c>
      <c r="G54" s="117">
        <v>643251082</v>
      </c>
      <c r="H54" s="117">
        <f t="shared" si="12"/>
        <v>23080.411984212416</v>
      </c>
      <c r="I54" s="7"/>
      <c r="J54" s="10">
        <v>4.95</v>
      </c>
      <c r="K54" s="117">
        <v>3184092</v>
      </c>
      <c r="L54" s="120">
        <f t="shared" si="13"/>
        <v>114.24800861141011</v>
      </c>
      <c r="M54" s="122">
        <f t="shared" si="3"/>
        <v>6432510.8200000003</v>
      </c>
      <c r="N54" s="116">
        <f t="shared" si="4"/>
        <v>3248418.8200000003</v>
      </c>
      <c r="O54" s="123">
        <f t="shared" si="5"/>
        <v>116.55611123071404</v>
      </c>
      <c r="P54" s="5"/>
      <c r="Q54" s="5">
        <f t="shared" si="6"/>
        <v>1</v>
      </c>
      <c r="R54" s="7">
        <f t="shared" si="7"/>
        <v>27870</v>
      </c>
      <c r="S54" s="5">
        <f t="shared" si="8"/>
        <v>1</v>
      </c>
      <c r="T54" s="7">
        <f t="shared" si="9"/>
        <v>27870</v>
      </c>
    </row>
    <row r="55" spans="1:20">
      <c r="A55" s="24" t="s">
        <v>560</v>
      </c>
      <c r="B55" s="35" t="s">
        <v>49</v>
      </c>
      <c r="C55" s="36">
        <v>3798</v>
      </c>
      <c r="D55" s="6"/>
      <c r="E55" s="113">
        <v>513009211</v>
      </c>
      <c r="F55" s="116">
        <f t="shared" si="11"/>
        <v>135073.51527119536</v>
      </c>
      <c r="G55" s="117">
        <v>472430527</v>
      </c>
      <c r="H55" s="117">
        <f t="shared" si="12"/>
        <v>124389.29094260136</v>
      </c>
      <c r="I55" s="7"/>
      <c r="J55" s="10">
        <v>3.85</v>
      </c>
      <c r="K55" s="117">
        <v>1818857</v>
      </c>
      <c r="L55" s="120">
        <f t="shared" si="13"/>
        <v>478.89863085834651</v>
      </c>
      <c r="M55" s="122">
        <f t="shared" si="3"/>
        <v>4724305.2700000005</v>
      </c>
      <c r="N55" s="116">
        <f t="shared" si="4"/>
        <v>2905448.2700000005</v>
      </c>
      <c r="O55" s="123">
        <f t="shared" si="5"/>
        <v>764.99427856766727</v>
      </c>
      <c r="P55" s="5"/>
      <c r="Q55" s="5">
        <f t="shared" si="6"/>
        <v>1</v>
      </c>
      <c r="R55" s="7">
        <f t="shared" si="7"/>
        <v>3798</v>
      </c>
      <c r="S55" s="5">
        <f t="shared" si="8"/>
        <v>1</v>
      </c>
      <c r="T55" s="7">
        <f t="shared" si="9"/>
        <v>3798</v>
      </c>
    </row>
    <row r="56" spans="1:20">
      <c r="A56" s="23" t="s">
        <v>58</v>
      </c>
      <c r="B56" s="35" t="s">
        <v>49</v>
      </c>
      <c r="C56" s="36">
        <v>50596</v>
      </c>
      <c r="D56" s="6"/>
      <c r="E56" s="113">
        <v>1612555211</v>
      </c>
      <c r="F56" s="116">
        <f t="shared" si="11"/>
        <v>31871.199521701321</v>
      </c>
      <c r="G56" s="117">
        <v>1256063202</v>
      </c>
      <c r="H56" s="117">
        <f t="shared" si="12"/>
        <v>24825.345916673254</v>
      </c>
      <c r="I56" s="7"/>
      <c r="J56" s="10">
        <v>5.6</v>
      </c>
      <c r="K56" s="117">
        <v>7033953</v>
      </c>
      <c r="L56" s="120">
        <f t="shared" si="13"/>
        <v>139.02191872875326</v>
      </c>
      <c r="M56" s="122">
        <f t="shared" si="3"/>
        <v>12560632.02</v>
      </c>
      <c r="N56" s="116">
        <f t="shared" si="4"/>
        <v>5526679.0199999996</v>
      </c>
      <c r="O56" s="123">
        <f t="shared" si="5"/>
        <v>109.23154043797928</v>
      </c>
      <c r="P56" s="5"/>
      <c r="Q56" s="5">
        <f t="shared" si="6"/>
        <v>1</v>
      </c>
      <c r="R56" s="7">
        <f t="shared" si="7"/>
        <v>50596</v>
      </c>
      <c r="S56" s="5">
        <f t="shared" si="8"/>
        <v>1</v>
      </c>
      <c r="T56" s="7">
        <f t="shared" si="9"/>
        <v>50596</v>
      </c>
    </row>
    <row r="57" spans="1:20">
      <c r="A57" s="23" t="s">
        <v>59</v>
      </c>
      <c r="B57" s="35" t="s">
        <v>49</v>
      </c>
      <c r="C57" s="36">
        <v>35</v>
      </c>
      <c r="D57" s="6"/>
      <c r="E57" s="113">
        <v>2699203</v>
      </c>
      <c r="F57" s="116">
        <f t="shared" si="11"/>
        <v>77120.085714285713</v>
      </c>
      <c r="G57" s="117">
        <v>2284673</v>
      </c>
      <c r="H57" s="117">
        <f t="shared" si="12"/>
        <v>65276.37142857143</v>
      </c>
      <c r="I57" s="7"/>
      <c r="J57" s="10">
        <v>3.1</v>
      </c>
      <c r="K57" s="117">
        <v>7082</v>
      </c>
      <c r="L57" s="120">
        <f t="shared" si="13"/>
        <v>202.34285714285716</v>
      </c>
      <c r="M57" s="122">
        <f t="shared" si="3"/>
        <v>22846.73</v>
      </c>
      <c r="N57" s="116">
        <f t="shared" si="4"/>
        <v>15764.73</v>
      </c>
      <c r="O57" s="123">
        <f t="shared" si="5"/>
        <v>450.42085714285713</v>
      </c>
      <c r="P57" s="5"/>
      <c r="Q57" s="5">
        <f t="shared" si="6"/>
        <v>1</v>
      </c>
      <c r="R57" s="7">
        <f t="shared" si="7"/>
        <v>35</v>
      </c>
      <c r="S57" s="5">
        <f t="shared" si="8"/>
        <v>1</v>
      </c>
      <c r="T57" s="7">
        <f t="shared" si="9"/>
        <v>35</v>
      </c>
    </row>
    <row r="58" spans="1:20">
      <c r="A58" s="23" t="s">
        <v>60</v>
      </c>
      <c r="B58" s="35" t="s">
        <v>49</v>
      </c>
      <c r="C58" s="36">
        <v>10645</v>
      </c>
      <c r="D58" s="6"/>
      <c r="E58" s="113">
        <v>999399134</v>
      </c>
      <c r="F58" s="116">
        <f t="shared" si="11"/>
        <v>93884.371441991549</v>
      </c>
      <c r="G58" s="117">
        <v>875169575</v>
      </c>
      <c r="H58" s="117">
        <f t="shared" si="12"/>
        <v>82214.145138562701</v>
      </c>
      <c r="I58" s="7"/>
      <c r="J58" s="10">
        <v>3.9113000000000002</v>
      </c>
      <c r="K58" s="117">
        <v>3423050</v>
      </c>
      <c r="L58" s="120">
        <f t="shared" si="13"/>
        <v>321.56411460779708</v>
      </c>
      <c r="M58" s="122">
        <f t="shared" si="3"/>
        <v>8751695.75</v>
      </c>
      <c r="N58" s="116">
        <f t="shared" si="4"/>
        <v>5328645.75</v>
      </c>
      <c r="O58" s="123">
        <f t="shared" si="5"/>
        <v>500.57733677782994</v>
      </c>
      <c r="P58" s="5"/>
      <c r="Q58" s="5">
        <f t="shared" si="6"/>
        <v>1</v>
      </c>
      <c r="R58" s="7">
        <f t="shared" si="7"/>
        <v>10645</v>
      </c>
      <c r="S58" s="5">
        <f t="shared" si="8"/>
        <v>1</v>
      </c>
      <c r="T58" s="7">
        <f t="shared" si="9"/>
        <v>10645</v>
      </c>
    </row>
    <row r="59" spans="1:20">
      <c r="A59" s="23" t="s">
        <v>61</v>
      </c>
      <c r="B59" s="35" t="s">
        <v>49</v>
      </c>
      <c r="C59" s="36">
        <v>50727</v>
      </c>
      <c r="D59" s="6"/>
      <c r="E59" s="113">
        <v>1963831896</v>
      </c>
      <c r="F59" s="116">
        <f t="shared" si="11"/>
        <v>38713.740138387839</v>
      </c>
      <c r="G59" s="117">
        <v>1493057937</v>
      </c>
      <c r="H59" s="117">
        <f t="shared" si="12"/>
        <v>29433.200011828019</v>
      </c>
      <c r="I59" s="7"/>
      <c r="J59" s="10">
        <v>7.0880999999999998</v>
      </c>
      <c r="K59" s="117">
        <v>10582943</v>
      </c>
      <c r="L59" s="120">
        <f t="shared" si="13"/>
        <v>208.62544601494272</v>
      </c>
      <c r="M59" s="122">
        <f t="shared" si="3"/>
        <v>14930579.370000001</v>
      </c>
      <c r="N59" s="116">
        <f t="shared" si="4"/>
        <v>4347636.370000001</v>
      </c>
      <c r="O59" s="123">
        <f t="shared" si="5"/>
        <v>85.706554103337496</v>
      </c>
      <c r="P59" s="5"/>
      <c r="Q59" s="5">
        <f t="shared" si="6"/>
        <v>1</v>
      </c>
      <c r="R59" s="7">
        <f t="shared" si="7"/>
        <v>50727</v>
      </c>
      <c r="S59" s="5">
        <f t="shared" si="8"/>
        <v>1</v>
      </c>
      <c r="T59" s="7">
        <f t="shared" si="9"/>
        <v>50727</v>
      </c>
    </row>
    <row r="60" spans="1:20">
      <c r="A60" s="23" t="s">
        <v>62</v>
      </c>
      <c r="B60" s="35" t="s">
        <v>49</v>
      </c>
      <c r="C60" s="36">
        <v>54583</v>
      </c>
      <c r="D60" s="6"/>
      <c r="E60" s="113">
        <v>2598543452</v>
      </c>
      <c r="F60" s="116">
        <f t="shared" si="11"/>
        <v>47607.193668358283</v>
      </c>
      <c r="G60" s="117">
        <v>2039132692</v>
      </c>
      <c r="H60" s="117">
        <f t="shared" si="12"/>
        <v>37358.384332118061</v>
      </c>
      <c r="I60" s="7"/>
      <c r="J60" s="10">
        <v>6.9226000000000001</v>
      </c>
      <c r="K60" s="117">
        <v>14116099</v>
      </c>
      <c r="L60" s="120">
        <f t="shared" si="13"/>
        <v>258.61713353974682</v>
      </c>
      <c r="M60" s="122">
        <f t="shared" si="3"/>
        <v>20391326.920000002</v>
      </c>
      <c r="N60" s="116">
        <f t="shared" si="4"/>
        <v>6275227.9200000018</v>
      </c>
      <c r="O60" s="123">
        <f t="shared" si="5"/>
        <v>114.96670978143381</v>
      </c>
      <c r="P60" s="5"/>
      <c r="Q60" s="5">
        <f t="shared" si="6"/>
        <v>1</v>
      </c>
      <c r="R60" s="7">
        <f t="shared" si="7"/>
        <v>54583</v>
      </c>
      <c r="S60" s="5">
        <f t="shared" si="8"/>
        <v>1</v>
      </c>
      <c r="T60" s="7">
        <f t="shared" si="9"/>
        <v>54583</v>
      </c>
    </row>
    <row r="61" spans="1:20">
      <c r="A61" s="23" t="s">
        <v>63</v>
      </c>
      <c r="B61" s="35" t="s">
        <v>49</v>
      </c>
      <c r="C61" s="36">
        <v>29903</v>
      </c>
      <c r="D61" s="6"/>
      <c r="E61" s="113">
        <v>796200769</v>
      </c>
      <c r="F61" s="116">
        <f t="shared" si="11"/>
        <v>26626.116744139385</v>
      </c>
      <c r="G61" s="117">
        <v>577393306</v>
      </c>
      <c r="H61" s="117">
        <f t="shared" si="12"/>
        <v>19308.875564324651</v>
      </c>
      <c r="I61" s="7"/>
      <c r="J61" s="10">
        <v>5.0365000000000002</v>
      </c>
      <c r="K61" s="117">
        <v>2908041</v>
      </c>
      <c r="L61" s="120">
        <f t="shared" si="13"/>
        <v>97.249138882386376</v>
      </c>
      <c r="M61" s="122">
        <f t="shared" si="3"/>
        <v>5773933.0600000005</v>
      </c>
      <c r="N61" s="116">
        <f t="shared" si="4"/>
        <v>2865892.0600000005</v>
      </c>
      <c r="O61" s="123">
        <f t="shared" si="5"/>
        <v>95.839616760860139</v>
      </c>
      <c r="P61" s="5"/>
      <c r="Q61" s="5">
        <f t="shared" si="6"/>
        <v>1</v>
      </c>
      <c r="R61" s="7">
        <f t="shared" si="7"/>
        <v>29903</v>
      </c>
      <c r="S61" s="5">
        <f t="shared" si="8"/>
        <v>1</v>
      </c>
      <c r="T61" s="7">
        <f t="shared" si="9"/>
        <v>29903</v>
      </c>
    </row>
    <row r="62" spans="1:20">
      <c r="A62" s="23" t="s">
        <v>64</v>
      </c>
      <c r="B62" s="35" t="s">
        <v>49</v>
      </c>
      <c r="C62" s="36">
        <v>28236</v>
      </c>
      <c r="D62" s="6"/>
      <c r="E62" s="113">
        <v>1573841477</v>
      </c>
      <c r="F62" s="116">
        <f t="shared" si="11"/>
        <v>55738.825506445675</v>
      </c>
      <c r="G62" s="117">
        <v>1254543491</v>
      </c>
      <c r="H62" s="117">
        <f t="shared" si="12"/>
        <v>44430.637873636493</v>
      </c>
      <c r="I62" s="7"/>
      <c r="J62" s="10">
        <v>5.2058999999999997</v>
      </c>
      <c r="K62" s="117">
        <v>6531027</v>
      </c>
      <c r="L62" s="120">
        <f t="shared" si="13"/>
        <v>231.30142371440715</v>
      </c>
      <c r="M62" s="122">
        <f t="shared" si="3"/>
        <v>12545434.91</v>
      </c>
      <c r="N62" s="116">
        <f t="shared" si="4"/>
        <v>6014407.9100000001</v>
      </c>
      <c r="O62" s="123">
        <f t="shared" si="5"/>
        <v>213.00495502195778</v>
      </c>
      <c r="P62" s="5"/>
      <c r="Q62" s="5">
        <f t="shared" si="6"/>
        <v>1</v>
      </c>
      <c r="R62" s="7">
        <f t="shared" si="7"/>
        <v>28236</v>
      </c>
      <c r="S62" s="5">
        <f t="shared" si="8"/>
        <v>1</v>
      </c>
      <c r="T62" s="7">
        <f t="shared" si="9"/>
        <v>28236</v>
      </c>
    </row>
    <row r="63" spans="1:20">
      <c r="A63" s="23" t="s">
        <v>65</v>
      </c>
      <c r="B63" s="35" t="s">
        <v>49</v>
      </c>
      <c r="C63" s="36">
        <v>13219</v>
      </c>
      <c r="D63" s="6"/>
      <c r="E63" s="113">
        <v>1125957784</v>
      </c>
      <c r="F63" s="116">
        <f t="shared" si="11"/>
        <v>85177.228534684924</v>
      </c>
      <c r="G63" s="117">
        <v>938314724</v>
      </c>
      <c r="H63" s="117">
        <f t="shared" si="12"/>
        <v>70982.277328088356</v>
      </c>
      <c r="I63" s="7"/>
      <c r="J63" s="10">
        <v>4.0999999999999996</v>
      </c>
      <c r="K63" s="117">
        <v>3847090</v>
      </c>
      <c r="L63" s="120">
        <f t="shared" si="13"/>
        <v>291.02730917618578</v>
      </c>
      <c r="M63" s="122">
        <f t="shared" si="3"/>
        <v>9383147.2400000002</v>
      </c>
      <c r="N63" s="116">
        <f t="shared" si="4"/>
        <v>5536057.2400000002</v>
      </c>
      <c r="O63" s="123">
        <f t="shared" si="5"/>
        <v>418.79546410469783</v>
      </c>
      <c r="P63" s="5"/>
      <c r="Q63" s="5">
        <f t="shared" si="6"/>
        <v>1</v>
      </c>
      <c r="R63" s="7">
        <f t="shared" si="7"/>
        <v>13219</v>
      </c>
      <c r="S63" s="5">
        <f t="shared" si="8"/>
        <v>1</v>
      </c>
      <c r="T63" s="7">
        <f t="shared" si="9"/>
        <v>13219</v>
      </c>
    </row>
    <row r="64" spans="1:20">
      <c r="A64" s="23" t="s">
        <v>66</v>
      </c>
      <c r="B64" s="35" t="s">
        <v>49</v>
      </c>
      <c r="C64" s="36">
        <v>4784</v>
      </c>
      <c r="D64" s="6"/>
      <c r="E64" s="113">
        <v>252515005</v>
      </c>
      <c r="F64" s="116">
        <f t="shared" si="11"/>
        <v>52783.236831103677</v>
      </c>
      <c r="G64" s="117">
        <v>228692888</v>
      </c>
      <c r="H64" s="117">
        <f t="shared" si="12"/>
        <v>47803.697324414716</v>
      </c>
      <c r="I64" s="7"/>
      <c r="J64" s="10">
        <v>8.25</v>
      </c>
      <c r="K64" s="117">
        <v>1886716</v>
      </c>
      <c r="L64" s="120">
        <f t="shared" si="13"/>
        <v>394.38043478260869</v>
      </c>
      <c r="M64" s="122">
        <f t="shared" si="3"/>
        <v>2286928.88</v>
      </c>
      <c r="N64" s="116">
        <f t="shared" si="4"/>
        <v>400212.87999999989</v>
      </c>
      <c r="O64" s="123">
        <f t="shared" si="5"/>
        <v>83.656538461538432</v>
      </c>
      <c r="P64" s="5"/>
      <c r="Q64" s="5">
        <f t="shared" si="6"/>
        <v>1</v>
      </c>
      <c r="R64" s="7">
        <f t="shared" si="7"/>
        <v>4784</v>
      </c>
      <c r="S64" s="5">
        <f t="shared" si="8"/>
        <v>1</v>
      </c>
      <c r="T64" s="7">
        <f t="shared" si="9"/>
        <v>4784</v>
      </c>
    </row>
    <row r="65" spans="1:20">
      <c r="A65" s="23" t="s">
        <v>67</v>
      </c>
      <c r="B65" s="35" t="s">
        <v>49</v>
      </c>
      <c r="C65" s="36">
        <v>120091</v>
      </c>
      <c r="D65" s="6"/>
      <c r="E65" s="113">
        <v>6289968753</v>
      </c>
      <c r="F65" s="116">
        <f t="shared" si="11"/>
        <v>52376.687287140587</v>
      </c>
      <c r="G65" s="117">
        <v>4980982703</v>
      </c>
      <c r="H65" s="117">
        <f t="shared" si="12"/>
        <v>41476.736000199846</v>
      </c>
      <c r="I65" s="7"/>
      <c r="J65" s="10">
        <v>3.9034</v>
      </c>
      <c r="K65" s="117">
        <v>19442767</v>
      </c>
      <c r="L65" s="120">
        <f t="shared" si="13"/>
        <v>161.90028395133692</v>
      </c>
      <c r="M65" s="122">
        <f t="shared" si="3"/>
        <v>49809827.030000001</v>
      </c>
      <c r="N65" s="116">
        <f t="shared" si="4"/>
        <v>30367060.030000001</v>
      </c>
      <c r="O65" s="123">
        <f t="shared" si="5"/>
        <v>252.86707605066158</v>
      </c>
      <c r="P65" s="5"/>
      <c r="Q65" s="5">
        <f t="shared" si="6"/>
        <v>1</v>
      </c>
      <c r="R65" s="7">
        <f t="shared" si="7"/>
        <v>120091</v>
      </c>
      <c r="S65" s="5">
        <f t="shared" si="8"/>
        <v>1</v>
      </c>
      <c r="T65" s="7">
        <f t="shared" si="9"/>
        <v>120091</v>
      </c>
    </row>
    <row r="66" spans="1:20">
      <c r="A66" s="23" t="s">
        <v>68</v>
      </c>
      <c r="B66" s="35" t="s">
        <v>49</v>
      </c>
      <c r="C66" s="36">
        <v>80434</v>
      </c>
      <c r="D66" s="6"/>
      <c r="E66" s="113">
        <v>5348120741</v>
      </c>
      <c r="F66" s="116">
        <f t="shared" si="11"/>
        <v>66490.796690454285</v>
      </c>
      <c r="G66" s="117">
        <v>4407060115</v>
      </c>
      <c r="H66" s="117">
        <f t="shared" si="12"/>
        <v>54791.010207126339</v>
      </c>
      <c r="I66" s="7"/>
      <c r="J66" s="10">
        <v>3.75</v>
      </c>
      <c r="K66" s="117">
        <v>16526475</v>
      </c>
      <c r="L66" s="120">
        <f t="shared" si="13"/>
        <v>205.46628291518513</v>
      </c>
      <c r="M66" s="122">
        <f t="shared" si="3"/>
        <v>44070601.149999999</v>
      </c>
      <c r="N66" s="116">
        <f t="shared" si="4"/>
        <v>27544126.149999999</v>
      </c>
      <c r="O66" s="123">
        <f t="shared" si="5"/>
        <v>342.44381915607823</v>
      </c>
      <c r="P66" s="5"/>
      <c r="Q66" s="5">
        <f t="shared" si="6"/>
        <v>1</v>
      </c>
      <c r="R66" s="7">
        <f t="shared" si="7"/>
        <v>80434</v>
      </c>
      <c r="S66" s="5">
        <f t="shared" si="8"/>
        <v>1</v>
      </c>
      <c r="T66" s="7">
        <f t="shared" si="9"/>
        <v>80434</v>
      </c>
    </row>
    <row r="67" spans="1:20">
      <c r="A67" s="23" t="s">
        <v>69</v>
      </c>
      <c r="B67" s="35" t="s">
        <v>49</v>
      </c>
      <c r="C67" s="36">
        <v>74403</v>
      </c>
      <c r="D67" s="6"/>
      <c r="E67" s="113">
        <v>5721671996</v>
      </c>
      <c r="F67" s="116">
        <f t="shared" si="11"/>
        <v>76901.092644113814</v>
      </c>
      <c r="G67" s="117">
        <v>4786907462</v>
      </c>
      <c r="H67" s="117">
        <f t="shared" si="12"/>
        <v>64337.559802696131</v>
      </c>
      <c r="I67" s="7"/>
      <c r="J67" s="10">
        <v>4.7811000000000003</v>
      </c>
      <c r="K67" s="117">
        <v>22886683</v>
      </c>
      <c r="L67" s="120">
        <f t="shared" si="13"/>
        <v>307.60430358990902</v>
      </c>
      <c r="M67" s="122">
        <f t="shared" si="3"/>
        <v>47869074.619999997</v>
      </c>
      <c r="N67" s="116">
        <f t="shared" si="4"/>
        <v>24982391.619999997</v>
      </c>
      <c r="O67" s="123">
        <f t="shared" si="5"/>
        <v>335.77129443705223</v>
      </c>
      <c r="P67" s="5"/>
      <c r="Q67" s="5">
        <f t="shared" si="6"/>
        <v>1</v>
      </c>
      <c r="R67" s="7">
        <f t="shared" si="7"/>
        <v>74403</v>
      </c>
      <c r="S67" s="5">
        <f t="shared" si="8"/>
        <v>1</v>
      </c>
      <c r="T67" s="7">
        <f t="shared" si="9"/>
        <v>74403</v>
      </c>
    </row>
    <row r="68" spans="1:20">
      <c r="A68" s="23" t="s">
        <v>70</v>
      </c>
      <c r="B68" s="35" t="s">
        <v>49</v>
      </c>
      <c r="C68" s="36">
        <v>616</v>
      </c>
      <c r="D68" s="6"/>
      <c r="E68" s="113">
        <v>106214028</v>
      </c>
      <c r="F68" s="116">
        <f t="shared" si="11"/>
        <v>172425.37012987013</v>
      </c>
      <c r="G68" s="117">
        <v>96310568</v>
      </c>
      <c r="H68" s="117">
        <f t="shared" si="12"/>
        <v>156348.32467532466</v>
      </c>
      <c r="I68" s="7"/>
      <c r="J68" s="10">
        <v>5.8</v>
      </c>
      <c r="K68" s="117">
        <v>558601</v>
      </c>
      <c r="L68" s="120">
        <f t="shared" si="13"/>
        <v>906.81980519480521</v>
      </c>
      <c r="M68" s="122">
        <f t="shared" si="3"/>
        <v>963105.68</v>
      </c>
      <c r="N68" s="116">
        <f t="shared" si="4"/>
        <v>404504.68000000005</v>
      </c>
      <c r="O68" s="123">
        <f t="shared" si="5"/>
        <v>656.6634415584416</v>
      </c>
      <c r="P68" s="5"/>
      <c r="Q68" s="5">
        <f t="shared" si="6"/>
        <v>1</v>
      </c>
      <c r="R68" s="7">
        <f t="shared" si="7"/>
        <v>616</v>
      </c>
      <c r="S68" s="5">
        <f t="shared" si="8"/>
        <v>1</v>
      </c>
      <c r="T68" s="7">
        <f t="shared" si="9"/>
        <v>616</v>
      </c>
    </row>
    <row r="69" spans="1:20">
      <c r="A69" s="23" t="s">
        <v>71</v>
      </c>
      <c r="B69" s="35" t="s">
        <v>49</v>
      </c>
      <c r="C69" s="36">
        <v>78413</v>
      </c>
      <c r="D69" s="6"/>
      <c r="E69" s="113">
        <v>3942694125</v>
      </c>
      <c r="F69" s="116">
        <f t="shared" si="11"/>
        <v>50281.128448088966</v>
      </c>
      <c r="G69" s="117">
        <v>3016958413</v>
      </c>
      <c r="H69" s="117">
        <f t="shared" si="12"/>
        <v>38475.23258898397</v>
      </c>
      <c r="I69" s="7"/>
      <c r="J69" s="10">
        <v>6.3250000000000002</v>
      </c>
      <c r="K69" s="117">
        <v>19082261</v>
      </c>
      <c r="L69" s="120">
        <f t="shared" si="13"/>
        <v>243.35583385408032</v>
      </c>
      <c r="M69" s="122">
        <f t="shared" si="3"/>
        <v>30169584.129999999</v>
      </c>
      <c r="N69" s="116">
        <f t="shared" si="4"/>
        <v>11087323.129999999</v>
      </c>
      <c r="O69" s="123">
        <f t="shared" si="5"/>
        <v>141.39649203575937</v>
      </c>
      <c r="P69" s="5"/>
      <c r="Q69" s="5">
        <f t="shared" si="6"/>
        <v>1</v>
      </c>
      <c r="R69" s="7">
        <f t="shared" si="7"/>
        <v>78413</v>
      </c>
      <c r="S69" s="5">
        <f t="shared" si="8"/>
        <v>1</v>
      </c>
      <c r="T69" s="7">
        <f t="shared" si="9"/>
        <v>78413</v>
      </c>
    </row>
    <row r="70" spans="1:20">
      <c r="A70" s="23" t="s">
        <v>72</v>
      </c>
      <c r="B70" s="35" t="s">
        <v>49</v>
      </c>
      <c r="C70" s="36">
        <v>52413</v>
      </c>
      <c r="D70" s="6"/>
      <c r="E70" s="113">
        <v>2402691127</v>
      </c>
      <c r="F70" s="116">
        <f t="shared" ref="F70:F91" si="14">(E70/C70)</f>
        <v>45841.51120905119</v>
      </c>
      <c r="G70" s="117">
        <v>1803482319</v>
      </c>
      <c r="H70" s="117">
        <f t="shared" ref="H70:H91" si="15">(G70/C70)</f>
        <v>34409.0649075611</v>
      </c>
      <c r="I70" s="7"/>
      <c r="J70" s="10">
        <v>5.49</v>
      </c>
      <c r="K70" s="117">
        <v>9901117</v>
      </c>
      <c r="L70" s="120">
        <f t="shared" si="13"/>
        <v>188.90574857382711</v>
      </c>
      <c r="M70" s="122">
        <f t="shared" ref="M70:M133" si="16">(G70*0.01)</f>
        <v>18034823.190000001</v>
      </c>
      <c r="N70" s="116">
        <f t="shared" ref="N70:N133" si="17">(M70-K70)</f>
        <v>8133706.1900000013</v>
      </c>
      <c r="O70" s="123">
        <f t="shared" ref="O70:O133" si="18">(N70/C70)</f>
        <v>155.18490050178394</v>
      </c>
      <c r="P70" s="5"/>
      <c r="Q70" s="5">
        <f t="shared" si="6"/>
        <v>1</v>
      </c>
      <c r="R70" s="7">
        <f t="shared" si="7"/>
        <v>52413</v>
      </c>
      <c r="S70" s="5">
        <f t="shared" si="8"/>
        <v>1</v>
      </c>
      <c r="T70" s="7">
        <f t="shared" si="9"/>
        <v>52413</v>
      </c>
    </row>
    <row r="71" spans="1:20">
      <c r="A71" s="23" t="s">
        <v>73</v>
      </c>
      <c r="B71" s="35" t="s">
        <v>49</v>
      </c>
      <c r="C71" s="36">
        <v>42522</v>
      </c>
      <c r="D71" s="6"/>
      <c r="E71" s="113">
        <v>3231992564</v>
      </c>
      <c r="F71" s="116">
        <f t="shared" si="14"/>
        <v>76007.538779925686</v>
      </c>
      <c r="G71" s="117">
        <v>2858125852</v>
      </c>
      <c r="H71" s="117">
        <f t="shared" si="15"/>
        <v>67215.226282865347</v>
      </c>
      <c r="I71" s="7"/>
      <c r="J71" s="10">
        <v>1.5235000000000001</v>
      </c>
      <c r="K71" s="117">
        <v>4354354</v>
      </c>
      <c r="L71" s="120">
        <f t="shared" si="13"/>
        <v>102.40237994449932</v>
      </c>
      <c r="M71" s="122">
        <f t="shared" si="16"/>
        <v>28581258.52</v>
      </c>
      <c r="N71" s="116">
        <f t="shared" si="17"/>
        <v>24226904.52</v>
      </c>
      <c r="O71" s="123">
        <f t="shared" si="18"/>
        <v>569.74988288415409</v>
      </c>
      <c r="P71" s="5"/>
      <c r="Q71" s="5">
        <f t="shared" ref="Q71:Q134" si="19">IF(E71&gt;0,1,0)</f>
        <v>1</v>
      </c>
      <c r="R71" s="7">
        <f t="shared" ref="R71:R134" si="20">IF(E71&gt;0,C71,0)</f>
        <v>42522</v>
      </c>
      <c r="S71" s="5">
        <f t="shared" ref="S71:S134" si="21">IF(J71&gt;0,1,0)</f>
        <v>1</v>
      </c>
      <c r="T71" s="7">
        <f t="shared" ref="T71:T134" si="22">IF(J71&gt;0,C71,0)</f>
        <v>42522</v>
      </c>
    </row>
    <row r="72" spans="1:20">
      <c r="A72" s="23" t="s">
        <v>74</v>
      </c>
      <c r="B72" s="35" t="s">
        <v>49</v>
      </c>
      <c r="C72" s="36">
        <v>11795</v>
      </c>
      <c r="D72" s="6"/>
      <c r="E72" s="113">
        <v>531409114</v>
      </c>
      <c r="F72" s="116">
        <f t="shared" si="14"/>
        <v>45053.761254768971</v>
      </c>
      <c r="G72" s="117">
        <v>402487533</v>
      </c>
      <c r="H72" s="117">
        <f t="shared" si="15"/>
        <v>34123.572106824926</v>
      </c>
      <c r="I72" s="7"/>
      <c r="J72" s="10">
        <v>6.6363000000000003</v>
      </c>
      <c r="K72" s="117">
        <v>2671028</v>
      </c>
      <c r="L72" s="120">
        <f t="shared" si="13"/>
        <v>226.45426027977956</v>
      </c>
      <c r="M72" s="122">
        <f t="shared" si="16"/>
        <v>4024875.33</v>
      </c>
      <c r="N72" s="116">
        <f t="shared" si="17"/>
        <v>1353847.33</v>
      </c>
      <c r="O72" s="123">
        <f t="shared" si="18"/>
        <v>114.7814607884697</v>
      </c>
      <c r="P72" s="5"/>
      <c r="Q72" s="5">
        <f t="shared" si="19"/>
        <v>1</v>
      </c>
      <c r="R72" s="7">
        <f t="shared" si="20"/>
        <v>11795</v>
      </c>
      <c r="S72" s="5">
        <f t="shared" si="21"/>
        <v>1</v>
      </c>
      <c r="T72" s="7">
        <f t="shared" si="22"/>
        <v>11795</v>
      </c>
    </row>
    <row r="73" spans="1:20">
      <c r="A73" s="23" t="s">
        <v>75</v>
      </c>
      <c r="B73" s="35" t="s">
        <v>76</v>
      </c>
      <c r="C73" s="36">
        <v>633</v>
      </c>
      <c r="D73" s="6"/>
      <c r="E73" s="113">
        <v>7973930</v>
      </c>
      <c r="F73" s="116">
        <f t="shared" si="14"/>
        <v>12597.045813586097</v>
      </c>
      <c r="G73" s="117">
        <v>3764662</v>
      </c>
      <c r="H73" s="117">
        <f t="shared" si="15"/>
        <v>5947.333333333333</v>
      </c>
      <c r="I73" s="98" t="s">
        <v>528</v>
      </c>
      <c r="J73" s="10"/>
      <c r="K73" s="117"/>
      <c r="L73" s="120"/>
      <c r="M73" s="122">
        <f t="shared" si="16"/>
        <v>37646.620000000003</v>
      </c>
      <c r="N73" s="116">
        <f t="shared" si="17"/>
        <v>37646.620000000003</v>
      </c>
      <c r="O73" s="123">
        <f t="shared" si="18"/>
        <v>59.473333333333336</v>
      </c>
      <c r="P73" s="5"/>
      <c r="Q73" s="5">
        <f t="shared" si="19"/>
        <v>1</v>
      </c>
      <c r="R73" s="7">
        <f t="shared" si="20"/>
        <v>633</v>
      </c>
      <c r="S73" s="5">
        <f t="shared" si="21"/>
        <v>0</v>
      </c>
      <c r="T73" s="7">
        <f t="shared" si="22"/>
        <v>0</v>
      </c>
    </row>
    <row r="74" spans="1:20">
      <c r="A74" s="23" t="s">
        <v>77</v>
      </c>
      <c r="B74" s="35" t="s">
        <v>76</v>
      </c>
      <c r="C74" s="36">
        <v>2492</v>
      </c>
      <c r="D74" s="6"/>
      <c r="E74" s="113">
        <v>71523651</v>
      </c>
      <c r="F74" s="116">
        <f t="shared" si="14"/>
        <v>28701.304574638845</v>
      </c>
      <c r="G74" s="117">
        <v>42808790</v>
      </c>
      <c r="H74" s="117">
        <f t="shared" si="15"/>
        <v>17178.487158908509</v>
      </c>
      <c r="I74" s="9"/>
      <c r="J74" s="10">
        <v>1.5</v>
      </c>
      <c r="K74" s="117">
        <v>64213</v>
      </c>
      <c r="L74" s="120">
        <f t="shared" ref="L74:L80" si="23">(K74/C74)</f>
        <v>25.76765650080257</v>
      </c>
      <c r="M74" s="122">
        <f t="shared" si="16"/>
        <v>428087.9</v>
      </c>
      <c r="N74" s="116">
        <f t="shared" si="17"/>
        <v>363874.9</v>
      </c>
      <c r="O74" s="123">
        <f t="shared" si="18"/>
        <v>146.01721508828251</v>
      </c>
      <c r="P74" s="5"/>
      <c r="Q74" s="5">
        <f t="shared" si="19"/>
        <v>1</v>
      </c>
      <c r="R74" s="7">
        <f t="shared" si="20"/>
        <v>2492</v>
      </c>
      <c r="S74" s="5">
        <f t="shared" si="21"/>
        <v>1</v>
      </c>
      <c r="T74" s="7">
        <f t="shared" si="22"/>
        <v>2492</v>
      </c>
    </row>
    <row r="75" spans="1:20">
      <c r="A75" s="23" t="s">
        <v>78</v>
      </c>
      <c r="B75" s="35" t="s">
        <v>79</v>
      </c>
      <c r="C75" s="36">
        <v>13646</v>
      </c>
      <c r="D75" s="6"/>
      <c r="E75" s="113">
        <v>1570778403</v>
      </c>
      <c r="F75" s="116">
        <f t="shared" si="14"/>
        <v>115109.07247545068</v>
      </c>
      <c r="G75" s="117">
        <v>1248108846</v>
      </c>
      <c r="H75" s="117">
        <f t="shared" si="15"/>
        <v>91463.347940788502</v>
      </c>
      <c r="I75" s="7"/>
      <c r="J75" s="10">
        <v>2.9565000000000001</v>
      </c>
      <c r="K75" s="117">
        <v>3690033</v>
      </c>
      <c r="L75" s="120">
        <f t="shared" si="23"/>
        <v>270.41132932727538</v>
      </c>
      <c r="M75" s="122">
        <f t="shared" si="16"/>
        <v>12481088.460000001</v>
      </c>
      <c r="N75" s="116">
        <f t="shared" si="17"/>
        <v>8791055.4600000009</v>
      </c>
      <c r="O75" s="123">
        <f t="shared" si="18"/>
        <v>644.22215008060982</v>
      </c>
      <c r="P75" s="5"/>
      <c r="Q75" s="5">
        <f t="shared" si="19"/>
        <v>1</v>
      </c>
      <c r="R75" s="7">
        <f t="shared" si="20"/>
        <v>13646</v>
      </c>
      <c r="S75" s="5">
        <f t="shared" si="21"/>
        <v>1</v>
      </c>
      <c r="T75" s="7">
        <f t="shared" si="22"/>
        <v>13646</v>
      </c>
    </row>
    <row r="76" spans="1:20">
      <c r="A76" s="23" t="s">
        <v>80</v>
      </c>
      <c r="B76" s="35" t="s">
        <v>81</v>
      </c>
      <c r="C76" s="36">
        <v>4375</v>
      </c>
      <c r="D76" s="6"/>
      <c r="E76" s="113">
        <v>287101078</v>
      </c>
      <c r="F76" s="116">
        <f t="shared" si="14"/>
        <v>65623.103542857149</v>
      </c>
      <c r="G76" s="117">
        <v>232062021</v>
      </c>
      <c r="H76" s="117">
        <f t="shared" si="15"/>
        <v>53042.747657142856</v>
      </c>
      <c r="I76" s="7"/>
      <c r="J76" s="10">
        <v>5.5</v>
      </c>
      <c r="K76" s="117">
        <v>1276341</v>
      </c>
      <c r="L76" s="120">
        <f t="shared" si="23"/>
        <v>291.73508571428573</v>
      </c>
      <c r="M76" s="122">
        <f t="shared" si="16"/>
        <v>2320620.21</v>
      </c>
      <c r="N76" s="116">
        <f t="shared" si="17"/>
        <v>1044279.21</v>
      </c>
      <c r="O76" s="123">
        <f t="shared" si="18"/>
        <v>238.69239085714284</v>
      </c>
      <c r="P76" s="5"/>
      <c r="Q76" s="5">
        <f t="shared" si="19"/>
        <v>1</v>
      </c>
      <c r="R76" s="7">
        <f t="shared" si="20"/>
        <v>4375</v>
      </c>
      <c r="S76" s="5">
        <f t="shared" si="21"/>
        <v>1</v>
      </c>
      <c r="T76" s="7">
        <f t="shared" si="22"/>
        <v>4375</v>
      </c>
    </row>
    <row r="77" spans="1:20">
      <c r="A77" s="23" t="s">
        <v>82</v>
      </c>
      <c r="B77" s="35" t="s">
        <v>81</v>
      </c>
      <c r="C77" s="36">
        <v>6956</v>
      </c>
      <c r="D77" s="6"/>
      <c r="E77" s="113">
        <v>372490119</v>
      </c>
      <c r="F77" s="116">
        <f t="shared" si="14"/>
        <v>53549.470816561239</v>
      </c>
      <c r="G77" s="117">
        <v>226000925</v>
      </c>
      <c r="H77" s="117">
        <f t="shared" si="15"/>
        <v>32490.069723979297</v>
      </c>
      <c r="I77" s="7"/>
      <c r="J77" s="10">
        <v>6.3917999999999999</v>
      </c>
      <c r="K77" s="117">
        <v>1444552</v>
      </c>
      <c r="L77" s="120">
        <f t="shared" si="23"/>
        <v>207.66992524439334</v>
      </c>
      <c r="M77" s="122">
        <f t="shared" si="16"/>
        <v>2260009.25</v>
      </c>
      <c r="N77" s="116">
        <f t="shared" si="17"/>
        <v>815457.25</v>
      </c>
      <c r="O77" s="123">
        <f t="shared" si="18"/>
        <v>117.23077199539965</v>
      </c>
      <c r="P77" s="5"/>
      <c r="Q77" s="5">
        <f t="shared" si="19"/>
        <v>1</v>
      </c>
      <c r="R77" s="7">
        <f t="shared" si="20"/>
        <v>6956</v>
      </c>
      <c r="S77" s="5">
        <f t="shared" si="21"/>
        <v>1</v>
      </c>
      <c r="T77" s="7">
        <f t="shared" si="22"/>
        <v>6956</v>
      </c>
    </row>
    <row r="78" spans="1:20">
      <c r="A78" s="23" t="s">
        <v>83</v>
      </c>
      <c r="B78" s="35" t="s">
        <v>84</v>
      </c>
      <c r="C78" s="36">
        <v>5350</v>
      </c>
      <c r="D78" s="6"/>
      <c r="E78" s="113">
        <v>236422722</v>
      </c>
      <c r="F78" s="116">
        <f t="shared" si="14"/>
        <v>44191.162990654208</v>
      </c>
      <c r="G78" s="117">
        <v>168402157</v>
      </c>
      <c r="H78" s="117">
        <f t="shared" si="15"/>
        <v>31477.038691588787</v>
      </c>
      <c r="I78" s="7"/>
      <c r="J78" s="11">
        <v>2.6110000000000002</v>
      </c>
      <c r="K78" s="117">
        <v>439698</v>
      </c>
      <c r="L78" s="120">
        <f t="shared" si="23"/>
        <v>82.186542056074771</v>
      </c>
      <c r="M78" s="122">
        <f t="shared" si="16"/>
        <v>1684021.57</v>
      </c>
      <c r="N78" s="116">
        <f t="shared" si="17"/>
        <v>1244323.57</v>
      </c>
      <c r="O78" s="123">
        <f t="shared" si="18"/>
        <v>232.5838448598131</v>
      </c>
      <c r="P78" s="5"/>
      <c r="Q78" s="5">
        <f t="shared" si="19"/>
        <v>1</v>
      </c>
      <c r="R78" s="7">
        <f t="shared" si="20"/>
        <v>5350</v>
      </c>
      <c r="S78" s="5">
        <f t="shared" si="21"/>
        <v>1</v>
      </c>
      <c r="T78" s="7">
        <f t="shared" si="22"/>
        <v>5350</v>
      </c>
    </row>
    <row r="79" spans="1:20">
      <c r="A79" s="23" t="s">
        <v>85</v>
      </c>
      <c r="B79" s="35" t="s">
        <v>84</v>
      </c>
      <c r="C79" s="36">
        <v>1359</v>
      </c>
      <c r="D79" s="6"/>
      <c r="E79" s="113">
        <v>55000728</v>
      </c>
      <c r="F79" s="116">
        <f t="shared" si="14"/>
        <v>40471.470198675495</v>
      </c>
      <c r="G79" s="117">
        <v>33611659</v>
      </c>
      <c r="H79" s="117">
        <f t="shared" si="15"/>
        <v>24732.640912435614</v>
      </c>
      <c r="I79" s="7"/>
      <c r="J79" s="10">
        <v>2</v>
      </c>
      <c r="K79" s="117">
        <v>67223</v>
      </c>
      <c r="L79" s="120">
        <f t="shared" si="23"/>
        <v>49.465047829286242</v>
      </c>
      <c r="M79" s="122">
        <f t="shared" si="16"/>
        <v>336116.59</v>
      </c>
      <c r="N79" s="116">
        <f t="shared" si="17"/>
        <v>268893.59000000003</v>
      </c>
      <c r="O79" s="123">
        <f t="shared" si="18"/>
        <v>197.86136129506991</v>
      </c>
      <c r="P79" s="5"/>
      <c r="Q79" s="5">
        <f t="shared" si="19"/>
        <v>1</v>
      </c>
      <c r="R79" s="7">
        <f t="shared" si="20"/>
        <v>1359</v>
      </c>
      <c r="S79" s="5">
        <f t="shared" si="21"/>
        <v>1</v>
      </c>
      <c r="T79" s="7">
        <f t="shared" si="22"/>
        <v>1359</v>
      </c>
    </row>
    <row r="80" spans="1:20">
      <c r="A80" s="23" t="s">
        <v>86</v>
      </c>
      <c r="B80" s="35" t="s">
        <v>84</v>
      </c>
      <c r="C80" s="36">
        <v>9802</v>
      </c>
      <c r="D80" s="6"/>
      <c r="E80" s="113">
        <v>470812475</v>
      </c>
      <c r="F80" s="116">
        <f t="shared" si="14"/>
        <v>48032.28677820853</v>
      </c>
      <c r="G80" s="117">
        <v>326496923</v>
      </c>
      <c r="H80" s="117">
        <f t="shared" si="15"/>
        <v>33309.214752091408</v>
      </c>
      <c r="I80" s="7"/>
      <c r="J80" s="10">
        <v>4.843</v>
      </c>
      <c r="K80" s="117">
        <v>1581224</v>
      </c>
      <c r="L80" s="120">
        <f t="shared" si="23"/>
        <v>161.31646602734136</v>
      </c>
      <c r="M80" s="122">
        <f t="shared" si="16"/>
        <v>3264969.23</v>
      </c>
      <c r="N80" s="116">
        <f t="shared" si="17"/>
        <v>1683745.23</v>
      </c>
      <c r="O80" s="123">
        <f t="shared" si="18"/>
        <v>171.77568149357273</v>
      </c>
      <c r="P80" s="5"/>
      <c r="Q80" s="5">
        <f t="shared" si="19"/>
        <v>1</v>
      </c>
      <c r="R80" s="7">
        <f t="shared" si="20"/>
        <v>9802</v>
      </c>
      <c r="S80" s="5">
        <f t="shared" si="21"/>
        <v>1</v>
      </c>
      <c r="T80" s="7">
        <f t="shared" si="22"/>
        <v>9802</v>
      </c>
    </row>
    <row r="81" spans="1:20">
      <c r="A81" s="23" t="s">
        <v>87</v>
      </c>
      <c r="B81" s="35" t="s">
        <v>84</v>
      </c>
      <c r="C81" s="36">
        <v>673</v>
      </c>
      <c r="D81" s="6"/>
      <c r="E81" s="113">
        <v>16992693</v>
      </c>
      <c r="F81" s="116">
        <f t="shared" si="14"/>
        <v>25249.172362555721</v>
      </c>
      <c r="G81" s="117">
        <v>5550930</v>
      </c>
      <c r="H81" s="117">
        <f t="shared" si="15"/>
        <v>8248.0386329866269</v>
      </c>
      <c r="I81" s="98" t="s">
        <v>528</v>
      </c>
      <c r="J81" s="10"/>
      <c r="K81" s="117"/>
      <c r="L81" s="120"/>
      <c r="M81" s="122">
        <f t="shared" si="16"/>
        <v>55509.3</v>
      </c>
      <c r="N81" s="116">
        <f t="shared" si="17"/>
        <v>55509.3</v>
      </c>
      <c r="O81" s="123">
        <f t="shared" si="18"/>
        <v>82.480386329866278</v>
      </c>
      <c r="P81" s="5"/>
      <c r="Q81" s="5">
        <f t="shared" si="19"/>
        <v>1</v>
      </c>
      <c r="R81" s="7">
        <f t="shared" si="20"/>
        <v>673</v>
      </c>
      <c r="S81" s="5">
        <f t="shared" si="21"/>
        <v>0</v>
      </c>
      <c r="T81" s="7">
        <f t="shared" si="22"/>
        <v>0</v>
      </c>
    </row>
    <row r="82" spans="1:20">
      <c r="A82" s="23" t="s">
        <v>88</v>
      </c>
      <c r="B82" s="35" t="s">
        <v>89</v>
      </c>
      <c r="C82" s="36">
        <v>584</v>
      </c>
      <c r="D82" s="6"/>
      <c r="E82" s="113">
        <v>41259879</v>
      </c>
      <c r="F82" s="116">
        <f t="shared" si="14"/>
        <v>70650.477739726033</v>
      </c>
      <c r="G82" s="117">
        <v>29819662</v>
      </c>
      <c r="H82" s="117">
        <f t="shared" si="15"/>
        <v>51061.065068493153</v>
      </c>
      <c r="I82" s="9"/>
      <c r="J82" s="10">
        <v>5.6875999999999998</v>
      </c>
      <c r="K82" s="117">
        <v>169602</v>
      </c>
      <c r="L82" s="120">
        <f>(K82/C82)</f>
        <v>290.41438356164383</v>
      </c>
      <c r="M82" s="122">
        <f t="shared" si="16"/>
        <v>298196.62</v>
      </c>
      <c r="N82" s="116">
        <f t="shared" si="17"/>
        <v>128594.62</v>
      </c>
      <c r="O82" s="123">
        <f t="shared" si="18"/>
        <v>220.19626712328767</v>
      </c>
      <c r="P82" s="5"/>
      <c r="Q82" s="5">
        <f t="shared" si="19"/>
        <v>1</v>
      </c>
      <c r="R82" s="7">
        <f t="shared" si="20"/>
        <v>584</v>
      </c>
      <c r="S82" s="5">
        <f t="shared" si="21"/>
        <v>1</v>
      </c>
      <c r="T82" s="7">
        <f t="shared" si="22"/>
        <v>584</v>
      </c>
    </row>
    <row r="83" spans="1:20">
      <c r="A83" s="23" t="s">
        <v>90</v>
      </c>
      <c r="B83" s="35" t="s">
        <v>89</v>
      </c>
      <c r="C83" s="36">
        <v>12408</v>
      </c>
      <c r="D83" s="6"/>
      <c r="E83" s="113">
        <v>3771474462</v>
      </c>
      <c r="F83" s="116">
        <f t="shared" si="14"/>
        <v>303955.0662475822</v>
      </c>
      <c r="G83" s="117">
        <v>3466113897</v>
      </c>
      <c r="H83" s="117">
        <f t="shared" si="15"/>
        <v>279345.09163442941</v>
      </c>
      <c r="I83" s="7"/>
      <c r="J83" s="10">
        <v>1.65</v>
      </c>
      <c r="K83" s="117">
        <v>5719087</v>
      </c>
      <c r="L83" s="120">
        <f>(K83/C83)</f>
        <v>460.91932624113474</v>
      </c>
      <c r="M83" s="122">
        <f t="shared" si="16"/>
        <v>34661138.969999999</v>
      </c>
      <c r="N83" s="116">
        <f t="shared" si="17"/>
        <v>28942051.969999999</v>
      </c>
      <c r="O83" s="123">
        <f t="shared" si="18"/>
        <v>2332.531590103159</v>
      </c>
      <c r="P83" s="5"/>
      <c r="Q83" s="5">
        <f t="shared" si="19"/>
        <v>1</v>
      </c>
      <c r="R83" s="7">
        <f t="shared" si="20"/>
        <v>12408</v>
      </c>
      <c r="S83" s="5">
        <f t="shared" si="21"/>
        <v>1</v>
      </c>
      <c r="T83" s="7">
        <f t="shared" si="22"/>
        <v>12408</v>
      </c>
    </row>
    <row r="84" spans="1:20">
      <c r="A84" s="23" t="s">
        <v>91</v>
      </c>
      <c r="B84" s="35" t="s">
        <v>89</v>
      </c>
      <c r="C84" s="36">
        <v>21087</v>
      </c>
      <c r="D84" s="6"/>
      <c r="E84" s="113">
        <v>7132841028</v>
      </c>
      <c r="F84" s="116">
        <f t="shared" si="14"/>
        <v>338257.74306444731</v>
      </c>
      <c r="G84" s="117">
        <v>5966815878</v>
      </c>
      <c r="H84" s="117">
        <f t="shared" si="15"/>
        <v>282961.81903542468</v>
      </c>
      <c r="I84" s="7"/>
      <c r="J84" s="10">
        <v>1.18</v>
      </c>
      <c r="K84" s="117">
        <v>7040842</v>
      </c>
      <c r="L84" s="120">
        <f>(K84/C84)</f>
        <v>333.89491155688341</v>
      </c>
      <c r="M84" s="122">
        <f t="shared" si="16"/>
        <v>59668158.780000001</v>
      </c>
      <c r="N84" s="116">
        <f t="shared" si="17"/>
        <v>52627316.780000001</v>
      </c>
      <c r="O84" s="123">
        <f t="shared" si="18"/>
        <v>2495.7232787973635</v>
      </c>
      <c r="P84" s="5"/>
      <c r="Q84" s="5">
        <f t="shared" si="19"/>
        <v>1</v>
      </c>
      <c r="R84" s="7">
        <f t="shared" si="20"/>
        <v>21087</v>
      </c>
      <c r="S84" s="5">
        <f t="shared" si="21"/>
        <v>1</v>
      </c>
      <c r="T84" s="7">
        <f t="shared" si="22"/>
        <v>21087</v>
      </c>
    </row>
    <row r="85" spans="1:20">
      <c r="A85" s="23" t="s">
        <v>92</v>
      </c>
      <c r="B85" s="35" t="s">
        <v>93</v>
      </c>
      <c r="C85" s="36">
        <v>567</v>
      </c>
      <c r="D85" s="6"/>
      <c r="E85" s="113">
        <v>15732110</v>
      </c>
      <c r="F85" s="116">
        <f t="shared" si="14"/>
        <v>27746.225749559082</v>
      </c>
      <c r="G85" s="117">
        <v>7113572</v>
      </c>
      <c r="H85" s="117">
        <f t="shared" si="15"/>
        <v>12545.982363315698</v>
      </c>
      <c r="I85" s="98" t="s">
        <v>528</v>
      </c>
      <c r="J85" s="10"/>
      <c r="K85" s="117"/>
      <c r="L85" s="120"/>
      <c r="M85" s="122">
        <f t="shared" si="16"/>
        <v>71135.72</v>
      </c>
      <c r="N85" s="116">
        <f t="shared" si="17"/>
        <v>71135.72</v>
      </c>
      <c r="O85" s="123">
        <f t="shared" si="18"/>
        <v>125.45982363315697</v>
      </c>
      <c r="P85" s="5"/>
      <c r="Q85" s="5">
        <f t="shared" si="19"/>
        <v>1</v>
      </c>
      <c r="R85" s="7">
        <f t="shared" si="20"/>
        <v>567</v>
      </c>
      <c r="S85" s="5">
        <f t="shared" si="21"/>
        <v>0</v>
      </c>
      <c r="T85" s="7">
        <f t="shared" si="22"/>
        <v>0</v>
      </c>
    </row>
    <row r="86" spans="1:20">
      <c r="A86" s="23" t="s">
        <v>94</v>
      </c>
      <c r="B86" s="35" t="s">
        <v>93</v>
      </c>
      <c r="C86" s="36">
        <v>10352</v>
      </c>
      <c r="D86" s="6"/>
      <c r="E86" s="113">
        <v>545624865</v>
      </c>
      <c r="F86" s="116">
        <f t="shared" si="14"/>
        <v>52707.193295981451</v>
      </c>
      <c r="G86" s="117">
        <v>335225821</v>
      </c>
      <c r="H86" s="117">
        <f t="shared" si="15"/>
        <v>32382.710683925812</v>
      </c>
      <c r="I86" s="9"/>
      <c r="J86" s="11">
        <v>3.6269999999999998</v>
      </c>
      <c r="K86" s="117">
        <v>1215864</v>
      </c>
      <c r="L86" s="120">
        <f t="shared" ref="L86:L91" si="24">(K86/C86)</f>
        <v>117.45208655332303</v>
      </c>
      <c r="M86" s="122">
        <f t="shared" si="16"/>
        <v>3352258.21</v>
      </c>
      <c r="N86" s="116">
        <f t="shared" si="17"/>
        <v>2136394.21</v>
      </c>
      <c r="O86" s="123">
        <f t="shared" si="18"/>
        <v>206.37502028593508</v>
      </c>
      <c r="P86" s="5"/>
      <c r="Q86" s="5">
        <f t="shared" si="19"/>
        <v>1</v>
      </c>
      <c r="R86" s="7">
        <f t="shared" si="20"/>
        <v>10352</v>
      </c>
      <c r="S86" s="5">
        <f t="shared" si="21"/>
        <v>1</v>
      </c>
      <c r="T86" s="7">
        <f t="shared" si="22"/>
        <v>10352</v>
      </c>
    </row>
    <row r="87" spans="1:20">
      <c r="A87" s="23" t="s">
        <v>95</v>
      </c>
      <c r="B87" s="35" t="s">
        <v>468</v>
      </c>
      <c r="C87" s="36">
        <v>6498</v>
      </c>
      <c r="D87" s="6"/>
      <c r="E87" s="113">
        <v>226369692</v>
      </c>
      <c r="F87" s="116">
        <f t="shared" si="14"/>
        <v>34836.825484764544</v>
      </c>
      <c r="G87" s="117">
        <v>125552996</v>
      </c>
      <c r="H87" s="117">
        <f t="shared" si="15"/>
        <v>19321.790704832256</v>
      </c>
      <c r="I87" s="7"/>
      <c r="J87" s="10">
        <v>8.6287000000000003</v>
      </c>
      <c r="K87" s="117">
        <v>1083359</v>
      </c>
      <c r="L87" s="120">
        <f t="shared" si="24"/>
        <v>166.72191443521083</v>
      </c>
      <c r="M87" s="122">
        <f t="shared" si="16"/>
        <v>1255529.96</v>
      </c>
      <c r="N87" s="116">
        <f t="shared" si="17"/>
        <v>172170.95999999996</v>
      </c>
      <c r="O87" s="123">
        <f t="shared" si="18"/>
        <v>26.495992613111721</v>
      </c>
      <c r="P87" s="5"/>
      <c r="Q87" s="5">
        <f t="shared" si="19"/>
        <v>1</v>
      </c>
      <c r="R87" s="7">
        <f t="shared" si="20"/>
        <v>6498</v>
      </c>
      <c r="S87" s="5">
        <f t="shared" si="21"/>
        <v>1</v>
      </c>
      <c r="T87" s="7">
        <f t="shared" si="22"/>
        <v>6498</v>
      </c>
    </row>
    <row r="88" spans="1:20">
      <c r="A88" s="23" t="s">
        <v>96</v>
      </c>
      <c r="B88" s="35" t="s">
        <v>97</v>
      </c>
      <c r="C88" s="36">
        <v>2069</v>
      </c>
      <c r="D88" s="6"/>
      <c r="E88" s="113">
        <v>47921613</v>
      </c>
      <c r="F88" s="116">
        <f t="shared" si="14"/>
        <v>23161.726921217978</v>
      </c>
      <c r="G88" s="117">
        <v>16273585</v>
      </c>
      <c r="H88" s="117">
        <f t="shared" si="15"/>
        <v>7865.4349927501207</v>
      </c>
      <c r="I88" s="7"/>
      <c r="J88" s="10">
        <v>4.9602000000000004</v>
      </c>
      <c r="K88" s="117">
        <v>80720</v>
      </c>
      <c r="L88" s="120">
        <f t="shared" si="24"/>
        <v>39.014016433059446</v>
      </c>
      <c r="M88" s="122">
        <f t="shared" si="16"/>
        <v>162735.85</v>
      </c>
      <c r="N88" s="116">
        <f t="shared" si="17"/>
        <v>82015.850000000006</v>
      </c>
      <c r="O88" s="123">
        <f t="shared" si="18"/>
        <v>39.640333494441762</v>
      </c>
      <c r="P88" s="5"/>
      <c r="Q88" s="5">
        <f t="shared" si="19"/>
        <v>1</v>
      </c>
      <c r="R88" s="7">
        <f t="shared" si="20"/>
        <v>2069</v>
      </c>
      <c r="S88" s="5">
        <f t="shared" si="21"/>
        <v>1</v>
      </c>
      <c r="T88" s="7">
        <f t="shared" si="22"/>
        <v>2069</v>
      </c>
    </row>
    <row r="89" spans="1:20">
      <c r="A89" s="23" t="s">
        <v>98</v>
      </c>
      <c r="B89" s="35" t="s">
        <v>97</v>
      </c>
      <c r="C89" s="36">
        <v>220</v>
      </c>
      <c r="D89" s="6"/>
      <c r="E89" s="113">
        <v>10652315</v>
      </c>
      <c r="F89" s="116">
        <f t="shared" si="14"/>
        <v>48419.61363636364</v>
      </c>
      <c r="G89" s="117">
        <v>8550054</v>
      </c>
      <c r="H89" s="117">
        <f t="shared" si="15"/>
        <v>38863.881818181821</v>
      </c>
      <c r="I89" s="8"/>
      <c r="J89" s="10">
        <v>3</v>
      </c>
      <c r="K89" s="117">
        <v>25650</v>
      </c>
      <c r="L89" s="120">
        <f t="shared" si="24"/>
        <v>116.59090909090909</v>
      </c>
      <c r="M89" s="122">
        <f t="shared" si="16"/>
        <v>85500.540000000008</v>
      </c>
      <c r="N89" s="116">
        <f t="shared" si="17"/>
        <v>59850.540000000008</v>
      </c>
      <c r="O89" s="123">
        <f t="shared" si="18"/>
        <v>272.04790909090912</v>
      </c>
      <c r="P89" s="5"/>
      <c r="Q89" s="5">
        <f t="shared" si="19"/>
        <v>1</v>
      </c>
      <c r="R89" s="7">
        <f t="shared" si="20"/>
        <v>220</v>
      </c>
      <c r="S89" s="5">
        <f t="shared" si="21"/>
        <v>1</v>
      </c>
      <c r="T89" s="7">
        <f t="shared" si="22"/>
        <v>220</v>
      </c>
    </row>
    <row r="90" spans="1:20">
      <c r="A90" s="23" t="s">
        <v>99</v>
      </c>
      <c r="B90" s="35" t="s">
        <v>100</v>
      </c>
      <c r="C90" s="36">
        <v>13619</v>
      </c>
      <c r="D90" s="6"/>
      <c r="E90" s="113">
        <v>810693668</v>
      </c>
      <c r="F90" s="116">
        <f t="shared" si="14"/>
        <v>59526.666275056908</v>
      </c>
      <c r="G90" s="117">
        <v>617472577</v>
      </c>
      <c r="H90" s="117">
        <f t="shared" si="15"/>
        <v>45339.054042147</v>
      </c>
      <c r="I90" s="8"/>
      <c r="J90" s="10">
        <v>3.1720999999999999</v>
      </c>
      <c r="K90" s="117">
        <v>1958684</v>
      </c>
      <c r="L90" s="120">
        <f t="shared" si="24"/>
        <v>143.8199574124385</v>
      </c>
      <c r="M90" s="122">
        <f t="shared" si="16"/>
        <v>6174725.7700000005</v>
      </c>
      <c r="N90" s="116">
        <f t="shared" si="17"/>
        <v>4216041.7700000005</v>
      </c>
      <c r="O90" s="123">
        <f t="shared" si="18"/>
        <v>309.57058300903151</v>
      </c>
      <c r="P90" s="5"/>
      <c r="Q90" s="5">
        <f t="shared" si="19"/>
        <v>1</v>
      </c>
      <c r="R90" s="7">
        <f t="shared" si="20"/>
        <v>13619</v>
      </c>
      <c r="S90" s="5">
        <f t="shared" si="21"/>
        <v>1</v>
      </c>
      <c r="T90" s="7">
        <f t="shared" si="22"/>
        <v>13619</v>
      </c>
    </row>
    <row r="91" spans="1:20">
      <c r="A91" s="23" t="s">
        <v>101</v>
      </c>
      <c r="B91" s="35" t="s">
        <v>100</v>
      </c>
      <c r="C91" s="36">
        <v>1590</v>
      </c>
      <c r="D91" s="6"/>
      <c r="E91" s="113">
        <v>59881728</v>
      </c>
      <c r="F91" s="116">
        <f t="shared" si="14"/>
        <v>37661.464150943393</v>
      </c>
      <c r="G91" s="117">
        <v>37080950</v>
      </c>
      <c r="H91" s="117">
        <f t="shared" si="15"/>
        <v>23321.352201257861</v>
      </c>
      <c r="I91" s="9"/>
      <c r="J91" s="11">
        <v>1.7085999999999999</v>
      </c>
      <c r="K91" s="117">
        <v>63356</v>
      </c>
      <c r="L91" s="120">
        <f t="shared" si="24"/>
        <v>39.846540880503142</v>
      </c>
      <c r="M91" s="122">
        <f t="shared" si="16"/>
        <v>370809.5</v>
      </c>
      <c r="N91" s="116">
        <f t="shared" si="17"/>
        <v>307453.5</v>
      </c>
      <c r="O91" s="123">
        <f t="shared" si="18"/>
        <v>193.36698113207547</v>
      </c>
      <c r="P91" s="5"/>
      <c r="Q91" s="5">
        <f t="shared" si="19"/>
        <v>1</v>
      </c>
      <c r="R91" s="7">
        <f t="shared" si="20"/>
        <v>1590</v>
      </c>
      <c r="S91" s="5">
        <f t="shared" si="21"/>
        <v>1</v>
      </c>
      <c r="T91" s="7">
        <f t="shared" si="22"/>
        <v>1590</v>
      </c>
    </row>
    <row r="92" spans="1:20">
      <c r="A92" s="23" t="s">
        <v>102</v>
      </c>
      <c r="B92" s="35" t="s">
        <v>100</v>
      </c>
      <c r="C92" s="36">
        <v>719072</v>
      </c>
      <c r="D92" s="36" t="s">
        <v>517</v>
      </c>
      <c r="E92" s="113"/>
      <c r="F92" s="116"/>
      <c r="G92" s="117"/>
      <c r="H92" s="117"/>
      <c r="I92" s="9"/>
      <c r="J92" s="10"/>
      <c r="K92" s="117"/>
      <c r="L92" s="120"/>
      <c r="M92" s="122">
        <f t="shared" si="16"/>
        <v>0</v>
      </c>
      <c r="N92" s="116">
        <f t="shared" si="17"/>
        <v>0</v>
      </c>
      <c r="O92" s="123">
        <f t="shared" si="18"/>
        <v>0</v>
      </c>
      <c r="P92" s="5"/>
      <c r="Q92" s="5">
        <f t="shared" si="19"/>
        <v>0</v>
      </c>
      <c r="R92" s="7">
        <f t="shared" si="20"/>
        <v>0</v>
      </c>
      <c r="S92" s="5">
        <f t="shared" si="21"/>
        <v>0</v>
      </c>
      <c r="T92" s="7">
        <f t="shared" si="22"/>
        <v>0</v>
      </c>
    </row>
    <row r="93" spans="1:20">
      <c r="A93" s="23" t="s">
        <v>103</v>
      </c>
      <c r="B93" s="35" t="s">
        <v>100</v>
      </c>
      <c r="C93" s="36">
        <v>21050</v>
      </c>
      <c r="D93" s="6"/>
      <c r="E93" s="113">
        <v>1276838372</v>
      </c>
      <c r="F93" s="116">
        <f t="shared" ref="F93:F156" si="25">(E93/C93)</f>
        <v>60657.404845605699</v>
      </c>
      <c r="G93" s="117">
        <v>991731737</v>
      </c>
      <c r="H93" s="117">
        <f t="shared" ref="H93:H156" si="26">(G93/C93)</f>
        <v>47113.146650831353</v>
      </c>
      <c r="I93" s="9"/>
      <c r="J93" s="10">
        <v>3.9070999999999998</v>
      </c>
      <c r="K93" s="117">
        <v>3874795</v>
      </c>
      <c r="L93" s="120">
        <f t="shared" ref="L93:L98" si="27">(K93/C93)</f>
        <v>184.07577197149644</v>
      </c>
      <c r="M93" s="122">
        <f t="shared" si="16"/>
        <v>9917317.370000001</v>
      </c>
      <c r="N93" s="116">
        <f t="shared" si="17"/>
        <v>6042522.370000001</v>
      </c>
      <c r="O93" s="123">
        <f t="shared" si="18"/>
        <v>287.05569453681716</v>
      </c>
      <c r="P93" s="5"/>
      <c r="Q93" s="5">
        <f t="shared" si="19"/>
        <v>1</v>
      </c>
      <c r="R93" s="7">
        <f t="shared" si="20"/>
        <v>21050</v>
      </c>
      <c r="S93" s="5">
        <f t="shared" si="21"/>
        <v>1</v>
      </c>
      <c r="T93" s="7">
        <f t="shared" si="22"/>
        <v>21050</v>
      </c>
    </row>
    <row r="94" spans="1:20">
      <c r="A94" s="23" t="s">
        <v>104</v>
      </c>
      <c r="B94" s="35" t="s">
        <v>100</v>
      </c>
      <c r="C94" s="36">
        <v>7515</v>
      </c>
      <c r="D94" s="6"/>
      <c r="E94" s="113">
        <v>413596173</v>
      </c>
      <c r="F94" s="116">
        <f t="shared" si="25"/>
        <v>55036.084231536923</v>
      </c>
      <c r="G94" s="117">
        <v>313147192</v>
      </c>
      <c r="H94" s="117">
        <f t="shared" si="26"/>
        <v>41669.619693945446</v>
      </c>
      <c r="I94" s="9"/>
      <c r="J94" s="10">
        <v>3.1021000000000001</v>
      </c>
      <c r="K94" s="117">
        <v>971413</v>
      </c>
      <c r="L94" s="120">
        <f t="shared" si="27"/>
        <v>129.26320691949434</v>
      </c>
      <c r="M94" s="122">
        <f t="shared" si="16"/>
        <v>3131471.92</v>
      </c>
      <c r="N94" s="116">
        <f t="shared" si="17"/>
        <v>2160058.92</v>
      </c>
      <c r="O94" s="123">
        <f t="shared" si="18"/>
        <v>287.43299001996007</v>
      </c>
      <c r="P94" s="5"/>
      <c r="Q94" s="5">
        <f t="shared" si="19"/>
        <v>1</v>
      </c>
      <c r="R94" s="7">
        <f t="shared" si="20"/>
        <v>7515</v>
      </c>
      <c r="S94" s="5">
        <f t="shared" si="21"/>
        <v>1</v>
      </c>
      <c r="T94" s="7">
        <f t="shared" si="22"/>
        <v>7515</v>
      </c>
    </row>
    <row r="95" spans="1:20">
      <c r="A95" s="23" t="s">
        <v>105</v>
      </c>
      <c r="B95" s="35" t="s">
        <v>106</v>
      </c>
      <c r="C95" s="36">
        <v>1909</v>
      </c>
      <c r="D95" s="6"/>
      <c r="E95" s="113">
        <v>39885620</v>
      </c>
      <c r="F95" s="116">
        <f t="shared" si="25"/>
        <v>20893.462545835515</v>
      </c>
      <c r="G95" s="117">
        <v>22696375</v>
      </c>
      <c r="H95" s="117">
        <f t="shared" si="26"/>
        <v>11889.143530644316</v>
      </c>
      <c r="I95" s="9"/>
      <c r="J95" s="10">
        <v>1.0860000000000001</v>
      </c>
      <c r="K95" s="117">
        <v>24648</v>
      </c>
      <c r="L95" s="120">
        <f t="shared" si="27"/>
        <v>12.911471974855946</v>
      </c>
      <c r="M95" s="122">
        <f t="shared" si="16"/>
        <v>226963.75</v>
      </c>
      <c r="N95" s="116">
        <f t="shared" si="17"/>
        <v>202315.75</v>
      </c>
      <c r="O95" s="123">
        <f t="shared" si="18"/>
        <v>105.97996333158721</v>
      </c>
      <c r="P95" s="5"/>
      <c r="Q95" s="5">
        <f t="shared" si="19"/>
        <v>1</v>
      </c>
      <c r="R95" s="7">
        <f t="shared" si="20"/>
        <v>1909</v>
      </c>
      <c r="S95" s="5">
        <f t="shared" si="21"/>
        <v>1</v>
      </c>
      <c r="T95" s="7">
        <f t="shared" si="22"/>
        <v>1909</v>
      </c>
    </row>
    <row r="96" spans="1:20">
      <c r="A96" s="23" t="s">
        <v>107</v>
      </c>
      <c r="B96" s="35" t="s">
        <v>106</v>
      </c>
      <c r="C96" s="36">
        <v>60994</v>
      </c>
      <c r="D96" s="6"/>
      <c r="E96" s="113">
        <v>2848196790</v>
      </c>
      <c r="F96" s="116">
        <f t="shared" si="25"/>
        <v>46696.343738728399</v>
      </c>
      <c r="G96" s="117">
        <v>1847013784</v>
      </c>
      <c r="H96" s="117">
        <f t="shared" si="26"/>
        <v>30281.893038659542</v>
      </c>
      <c r="I96" s="7"/>
      <c r="J96" s="10">
        <v>5.0570000000000004</v>
      </c>
      <c r="K96" s="117">
        <v>9340348</v>
      </c>
      <c r="L96" s="120">
        <f t="shared" si="27"/>
        <v>153.13552152670755</v>
      </c>
      <c r="M96" s="122">
        <f t="shared" si="16"/>
        <v>18470137.84</v>
      </c>
      <c r="N96" s="116">
        <f t="shared" si="17"/>
        <v>9129789.8399999999</v>
      </c>
      <c r="O96" s="123">
        <f t="shared" si="18"/>
        <v>149.68340885988786</v>
      </c>
      <c r="P96" s="5"/>
      <c r="Q96" s="5">
        <f t="shared" si="19"/>
        <v>1</v>
      </c>
      <c r="R96" s="7">
        <f t="shared" si="20"/>
        <v>60994</v>
      </c>
      <c r="S96" s="5">
        <f t="shared" si="21"/>
        <v>1</v>
      </c>
      <c r="T96" s="7">
        <f t="shared" si="22"/>
        <v>60994</v>
      </c>
    </row>
    <row r="97" spans="1:20">
      <c r="A97" s="23" t="s">
        <v>108</v>
      </c>
      <c r="B97" s="35" t="s">
        <v>109</v>
      </c>
      <c r="C97" s="36">
        <v>322</v>
      </c>
      <c r="D97" s="6"/>
      <c r="E97" s="113">
        <v>20780074</v>
      </c>
      <c r="F97" s="116">
        <f t="shared" si="25"/>
        <v>64534.391304347824</v>
      </c>
      <c r="G97" s="117">
        <v>17651638</v>
      </c>
      <c r="H97" s="117">
        <f t="shared" si="26"/>
        <v>54818.751552795031</v>
      </c>
      <c r="I97" s="7"/>
      <c r="J97" s="10">
        <v>2.7</v>
      </c>
      <c r="K97" s="117">
        <v>47659</v>
      </c>
      <c r="L97" s="120">
        <f t="shared" si="27"/>
        <v>148.00931677018633</v>
      </c>
      <c r="M97" s="122">
        <f t="shared" si="16"/>
        <v>176516.38</v>
      </c>
      <c r="N97" s="116">
        <f t="shared" si="17"/>
        <v>128857.38</v>
      </c>
      <c r="O97" s="123">
        <f t="shared" si="18"/>
        <v>400.17819875776399</v>
      </c>
      <c r="P97" s="5"/>
      <c r="Q97" s="5">
        <f t="shared" si="19"/>
        <v>1</v>
      </c>
      <c r="R97" s="7">
        <f t="shared" si="20"/>
        <v>322</v>
      </c>
      <c r="S97" s="5">
        <f t="shared" si="21"/>
        <v>1</v>
      </c>
      <c r="T97" s="7">
        <f t="shared" si="22"/>
        <v>322</v>
      </c>
    </row>
    <row r="98" spans="1:20">
      <c r="A98" s="23" t="s">
        <v>110</v>
      </c>
      <c r="B98" s="35" t="s">
        <v>109</v>
      </c>
      <c r="C98" s="36">
        <v>2075</v>
      </c>
      <c r="D98" s="6"/>
      <c r="E98" s="113">
        <v>112479868</v>
      </c>
      <c r="F98" s="116">
        <f t="shared" si="25"/>
        <v>54207.165301204819</v>
      </c>
      <c r="G98" s="117">
        <v>56557853</v>
      </c>
      <c r="H98" s="117">
        <f t="shared" si="26"/>
        <v>27256.796626506024</v>
      </c>
      <c r="I98" s="7"/>
      <c r="J98" s="10">
        <v>4.46</v>
      </c>
      <c r="K98" s="117">
        <v>252248</v>
      </c>
      <c r="L98" s="120">
        <f t="shared" si="27"/>
        <v>121.56530120481928</v>
      </c>
      <c r="M98" s="122">
        <f t="shared" si="16"/>
        <v>565578.53</v>
      </c>
      <c r="N98" s="116">
        <f t="shared" si="17"/>
        <v>313330.53000000003</v>
      </c>
      <c r="O98" s="123">
        <f t="shared" si="18"/>
        <v>151.00266506024099</v>
      </c>
      <c r="P98" s="5"/>
      <c r="Q98" s="5">
        <f t="shared" si="19"/>
        <v>1</v>
      </c>
      <c r="R98" s="7">
        <f t="shared" si="20"/>
        <v>2075</v>
      </c>
      <c r="S98" s="5">
        <f t="shared" si="21"/>
        <v>1</v>
      </c>
      <c r="T98" s="7">
        <f t="shared" si="22"/>
        <v>2075</v>
      </c>
    </row>
    <row r="99" spans="1:20">
      <c r="A99" s="23" t="s">
        <v>111</v>
      </c>
      <c r="B99" s="35" t="s">
        <v>557</v>
      </c>
      <c r="C99" s="36">
        <v>31</v>
      </c>
      <c r="D99" s="6"/>
      <c r="E99" s="113">
        <v>12468574</v>
      </c>
      <c r="F99" s="116">
        <f t="shared" si="25"/>
        <v>402212.06451612903</v>
      </c>
      <c r="G99" s="117">
        <v>6334056</v>
      </c>
      <c r="H99" s="117">
        <f t="shared" si="26"/>
        <v>204324.38709677418</v>
      </c>
      <c r="I99" s="98" t="s">
        <v>528</v>
      </c>
      <c r="J99" s="10"/>
      <c r="K99" s="117"/>
      <c r="L99" s="120"/>
      <c r="M99" s="122">
        <f t="shared" si="16"/>
        <v>63340.560000000005</v>
      </c>
      <c r="N99" s="116">
        <f t="shared" si="17"/>
        <v>63340.560000000005</v>
      </c>
      <c r="O99" s="123">
        <f t="shared" si="18"/>
        <v>2043.2438709677422</v>
      </c>
      <c r="P99" s="5"/>
      <c r="Q99" s="5">
        <f t="shared" si="19"/>
        <v>1</v>
      </c>
      <c r="R99" s="7">
        <f t="shared" si="20"/>
        <v>31</v>
      </c>
      <c r="S99" s="5">
        <f t="shared" si="21"/>
        <v>0</v>
      </c>
      <c r="T99" s="7">
        <f t="shared" si="22"/>
        <v>0</v>
      </c>
    </row>
    <row r="100" spans="1:20">
      <c r="A100" s="23" t="s">
        <v>112</v>
      </c>
      <c r="B100" s="35" t="s">
        <v>113</v>
      </c>
      <c r="C100" s="36">
        <v>4541</v>
      </c>
      <c r="D100" s="6"/>
      <c r="E100" s="113">
        <v>310020243</v>
      </c>
      <c r="F100" s="116">
        <f t="shared" si="25"/>
        <v>68271.359392204366</v>
      </c>
      <c r="G100" s="117">
        <v>250675090</v>
      </c>
      <c r="H100" s="117">
        <f t="shared" si="26"/>
        <v>55202.618365998678</v>
      </c>
      <c r="I100" s="7"/>
      <c r="J100" s="10">
        <v>2.7578999999999998</v>
      </c>
      <c r="K100" s="117">
        <v>691336</v>
      </c>
      <c r="L100" s="120">
        <f t="shared" ref="L100:L108" si="28">(K100/C100)</f>
        <v>152.24311825589078</v>
      </c>
      <c r="M100" s="122">
        <f t="shared" si="16"/>
        <v>2506750.9</v>
      </c>
      <c r="N100" s="116">
        <f t="shared" si="17"/>
        <v>1815414.9</v>
      </c>
      <c r="O100" s="123">
        <f t="shared" si="18"/>
        <v>399.78306540409602</v>
      </c>
      <c r="P100" s="5"/>
      <c r="Q100" s="5">
        <f t="shared" si="19"/>
        <v>1</v>
      </c>
      <c r="R100" s="7">
        <f t="shared" si="20"/>
        <v>4541</v>
      </c>
      <c r="S100" s="5">
        <f t="shared" si="21"/>
        <v>1</v>
      </c>
      <c r="T100" s="7">
        <f t="shared" si="22"/>
        <v>4541</v>
      </c>
    </row>
    <row r="101" spans="1:20">
      <c r="A101" s="23" t="s">
        <v>114</v>
      </c>
      <c r="B101" s="35" t="s">
        <v>115</v>
      </c>
      <c r="C101" s="36">
        <v>2852</v>
      </c>
      <c r="D101" s="6"/>
      <c r="E101" s="113">
        <v>121079349</v>
      </c>
      <c r="F101" s="116">
        <f t="shared" si="25"/>
        <v>42454.189691444597</v>
      </c>
      <c r="G101" s="117">
        <v>71793028</v>
      </c>
      <c r="H101" s="117">
        <f t="shared" si="26"/>
        <v>25172.870967741936</v>
      </c>
      <c r="I101" s="9"/>
      <c r="J101" s="10">
        <v>9</v>
      </c>
      <c r="K101" s="117">
        <v>646137</v>
      </c>
      <c r="L101" s="120">
        <f t="shared" si="28"/>
        <v>226.55575035063114</v>
      </c>
      <c r="M101" s="122">
        <f t="shared" si="16"/>
        <v>717930.28</v>
      </c>
      <c r="N101" s="116">
        <f t="shared" si="17"/>
        <v>71793.280000000028</v>
      </c>
      <c r="O101" s="123">
        <f t="shared" si="18"/>
        <v>25.172959326788227</v>
      </c>
      <c r="P101" s="5"/>
      <c r="Q101" s="5">
        <f t="shared" si="19"/>
        <v>1</v>
      </c>
      <c r="R101" s="7">
        <f t="shared" si="20"/>
        <v>2852</v>
      </c>
      <c r="S101" s="5">
        <f t="shared" si="21"/>
        <v>1</v>
      </c>
      <c r="T101" s="7">
        <f t="shared" si="22"/>
        <v>2852</v>
      </c>
    </row>
    <row r="102" spans="1:20">
      <c r="A102" s="23" t="s">
        <v>116</v>
      </c>
      <c r="B102" s="35" t="s">
        <v>115</v>
      </c>
      <c r="C102" s="36">
        <v>1412</v>
      </c>
      <c r="D102" s="6"/>
      <c r="E102" s="113">
        <v>57473431</v>
      </c>
      <c r="F102" s="116">
        <f t="shared" si="25"/>
        <v>40703.563031161473</v>
      </c>
      <c r="G102" s="117">
        <v>34075874</v>
      </c>
      <c r="H102" s="117">
        <f t="shared" si="26"/>
        <v>24133.055240793201</v>
      </c>
      <c r="I102" s="7"/>
      <c r="J102" s="10">
        <v>8.1446000000000005</v>
      </c>
      <c r="K102" s="117">
        <v>277534</v>
      </c>
      <c r="L102" s="120">
        <f t="shared" si="28"/>
        <v>196.55382436260624</v>
      </c>
      <c r="M102" s="122">
        <f t="shared" si="16"/>
        <v>340758.74</v>
      </c>
      <c r="N102" s="116">
        <f t="shared" si="17"/>
        <v>63224.739999999991</v>
      </c>
      <c r="O102" s="123">
        <f t="shared" si="18"/>
        <v>44.776728045325775</v>
      </c>
      <c r="P102" s="5"/>
      <c r="Q102" s="5">
        <f t="shared" si="19"/>
        <v>1</v>
      </c>
      <c r="R102" s="7">
        <f t="shared" si="20"/>
        <v>1412</v>
      </c>
      <c r="S102" s="5">
        <f t="shared" si="21"/>
        <v>1</v>
      </c>
      <c r="T102" s="7">
        <f t="shared" si="22"/>
        <v>1412</v>
      </c>
    </row>
    <row r="103" spans="1:20">
      <c r="A103" s="23" t="s">
        <v>117</v>
      </c>
      <c r="B103" s="35" t="s">
        <v>118</v>
      </c>
      <c r="C103" s="36">
        <v>3922</v>
      </c>
      <c r="D103" s="6"/>
      <c r="E103" s="113">
        <v>186038877</v>
      </c>
      <c r="F103" s="116">
        <f t="shared" si="25"/>
        <v>47434.695818459972</v>
      </c>
      <c r="G103" s="117">
        <v>27592537</v>
      </c>
      <c r="H103" s="117">
        <f t="shared" si="26"/>
        <v>7035.3230494645586</v>
      </c>
      <c r="I103" s="7"/>
      <c r="J103" s="10">
        <v>0.99690000000000001</v>
      </c>
      <c r="K103" s="117">
        <v>27507</v>
      </c>
      <c r="L103" s="120">
        <f t="shared" si="28"/>
        <v>7.0135135135135132</v>
      </c>
      <c r="M103" s="122">
        <f t="shared" si="16"/>
        <v>275925.37</v>
      </c>
      <c r="N103" s="116">
        <f t="shared" si="17"/>
        <v>248418.37</v>
      </c>
      <c r="O103" s="123">
        <f t="shared" si="18"/>
        <v>63.339716981132071</v>
      </c>
      <c r="P103" s="5"/>
      <c r="Q103" s="5">
        <f t="shared" si="19"/>
        <v>1</v>
      </c>
      <c r="R103" s="7">
        <f t="shared" si="20"/>
        <v>3922</v>
      </c>
      <c r="S103" s="5">
        <f t="shared" si="21"/>
        <v>1</v>
      </c>
      <c r="T103" s="7">
        <f t="shared" si="22"/>
        <v>3922</v>
      </c>
    </row>
    <row r="104" spans="1:20">
      <c r="A104" s="23" t="s">
        <v>119</v>
      </c>
      <c r="B104" s="35" t="s">
        <v>118</v>
      </c>
      <c r="C104" s="36">
        <v>626</v>
      </c>
      <c r="D104" s="6"/>
      <c r="E104" s="113">
        <v>11974514</v>
      </c>
      <c r="F104" s="116">
        <f t="shared" si="25"/>
        <v>19128.61661341853</v>
      </c>
      <c r="G104" s="117">
        <v>5501672</v>
      </c>
      <c r="H104" s="117">
        <f t="shared" si="26"/>
        <v>8788.6134185303508</v>
      </c>
      <c r="I104" s="7"/>
      <c r="J104" s="11">
        <v>2</v>
      </c>
      <c r="K104" s="117">
        <v>11003</v>
      </c>
      <c r="L104" s="120">
        <f t="shared" si="28"/>
        <v>17.576677316293928</v>
      </c>
      <c r="M104" s="122">
        <f t="shared" si="16"/>
        <v>55016.72</v>
      </c>
      <c r="N104" s="116">
        <f t="shared" si="17"/>
        <v>44013.72</v>
      </c>
      <c r="O104" s="123">
        <f t="shared" si="18"/>
        <v>70.30945686900958</v>
      </c>
      <c r="P104" s="5"/>
      <c r="Q104" s="5">
        <f t="shared" si="19"/>
        <v>1</v>
      </c>
      <c r="R104" s="7">
        <f t="shared" si="20"/>
        <v>626</v>
      </c>
      <c r="S104" s="5">
        <f t="shared" si="21"/>
        <v>1</v>
      </c>
      <c r="T104" s="7">
        <f t="shared" si="22"/>
        <v>626</v>
      </c>
    </row>
    <row r="105" spans="1:20">
      <c r="A105" s="23" t="s">
        <v>120</v>
      </c>
      <c r="B105" s="35" t="s">
        <v>118</v>
      </c>
      <c r="C105" s="36">
        <v>2874</v>
      </c>
      <c r="D105" s="6"/>
      <c r="E105" s="113">
        <v>18071429</v>
      </c>
      <c r="F105" s="116">
        <f t="shared" si="25"/>
        <v>6287.9015309672932</v>
      </c>
      <c r="G105" s="117">
        <v>6450571</v>
      </c>
      <c r="H105" s="117">
        <f t="shared" si="26"/>
        <v>2244.4575504523314</v>
      </c>
      <c r="I105" s="7"/>
      <c r="J105" s="10">
        <v>2</v>
      </c>
      <c r="K105" s="117">
        <v>12901</v>
      </c>
      <c r="L105" s="120">
        <f t="shared" si="28"/>
        <v>4.4888656924147528</v>
      </c>
      <c r="M105" s="122">
        <f t="shared" si="16"/>
        <v>64505.71</v>
      </c>
      <c r="N105" s="116">
        <f t="shared" si="17"/>
        <v>51604.71</v>
      </c>
      <c r="O105" s="123">
        <f t="shared" si="18"/>
        <v>17.955709812108559</v>
      </c>
      <c r="P105" s="5"/>
      <c r="Q105" s="5">
        <f t="shared" si="19"/>
        <v>1</v>
      </c>
      <c r="R105" s="7">
        <f t="shared" si="20"/>
        <v>2874</v>
      </c>
      <c r="S105" s="5">
        <f t="shared" si="21"/>
        <v>1</v>
      </c>
      <c r="T105" s="7">
        <f t="shared" si="22"/>
        <v>2874</v>
      </c>
    </row>
    <row r="106" spans="1:20">
      <c r="A106" s="23" t="s">
        <v>121</v>
      </c>
      <c r="B106" s="35" t="s">
        <v>118</v>
      </c>
      <c r="C106" s="36">
        <v>1816</v>
      </c>
      <c r="D106" s="6"/>
      <c r="E106" s="113">
        <v>52211259</v>
      </c>
      <c r="F106" s="116">
        <f t="shared" si="25"/>
        <v>28750.693281938326</v>
      </c>
      <c r="G106" s="117">
        <v>35122277</v>
      </c>
      <c r="H106" s="117">
        <f t="shared" si="26"/>
        <v>19340.460903083702</v>
      </c>
      <c r="I106" s="7"/>
      <c r="J106" s="10">
        <v>1.1020000000000001</v>
      </c>
      <c r="K106" s="117">
        <v>38704</v>
      </c>
      <c r="L106" s="120">
        <f t="shared" si="28"/>
        <v>21.312775330396477</v>
      </c>
      <c r="M106" s="122">
        <f t="shared" si="16"/>
        <v>351222.77</v>
      </c>
      <c r="N106" s="116">
        <f t="shared" si="17"/>
        <v>312518.77</v>
      </c>
      <c r="O106" s="123">
        <f t="shared" si="18"/>
        <v>172.09183370044053</v>
      </c>
      <c r="P106" s="5"/>
      <c r="Q106" s="5">
        <f t="shared" si="19"/>
        <v>1</v>
      </c>
      <c r="R106" s="7">
        <f t="shared" si="20"/>
        <v>1816</v>
      </c>
      <c r="S106" s="5">
        <f t="shared" si="21"/>
        <v>1</v>
      </c>
      <c r="T106" s="7">
        <f t="shared" si="22"/>
        <v>1816</v>
      </c>
    </row>
    <row r="107" spans="1:20">
      <c r="A107" s="23" t="s">
        <v>122</v>
      </c>
      <c r="B107" s="35" t="s">
        <v>118</v>
      </c>
      <c r="C107" s="36">
        <v>1335</v>
      </c>
      <c r="D107" s="6"/>
      <c r="E107" s="113">
        <v>17564134</v>
      </c>
      <c r="F107" s="116">
        <f t="shared" si="25"/>
        <v>13156.65468164794</v>
      </c>
      <c r="G107" s="117">
        <v>10189540</v>
      </c>
      <c r="H107" s="117">
        <f t="shared" si="26"/>
        <v>7632.6142322097376</v>
      </c>
      <c r="I107" s="7"/>
      <c r="J107" s="10">
        <v>5</v>
      </c>
      <c r="K107" s="117">
        <v>50947</v>
      </c>
      <c r="L107" s="120">
        <f t="shared" si="28"/>
        <v>38.162546816479399</v>
      </c>
      <c r="M107" s="122">
        <f t="shared" si="16"/>
        <v>101895.40000000001</v>
      </c>
      <c r="N107" s="116">
        <f t="shared" si="17"/>
        <v>50948.400000000009</v>
      </c>
      <c r="O107" s="123">
        <f t="shared" si="18"/>
        <v>38.163595505617984</v>
      </c>
      <c r="P107" s="5"/>
      <c r="Q107" s="5">
        <f t="shared" si="19"/>
        <v>1</v>
      </c>
      <c r="R107" s="7">
        <f t="shared" si="20"/>
        <v>1335</v>
      </c>
      <c r="S107" s="5">
        <f t="shared" si="21"/>
        <v>1</v>
      </c>
      <c r="T107" s="7">
        <f t="shared" si="22"/>
        <v>1335</v>
      </c>
    </row>
    <row r="108" spans="1:20">
      <c r="A108" s="23" t="s">
        <v>123</v>
      </c>
      <c r="B108" s="35" t="s">
        <v>118</v>
      </c>
      <c r="C108" s="36">
        <v>7951</v>
      </c>
      <c r="D108" s="6"/>
      <c r="E108" s="113">
        <v>244923977</v>
      </c>
      <c r="F108" s="116">
        <f t="shared" si="25"/>
        <v>30804.172682681423</v>
      </c>
      <c r="G108" s="117">
        <v>147811476</v>
      </c>
      <c r="H108" s="117">
        <f t="shared" si="26"/>
        <v>18590.300088039239</v>
      </c>
      <c r="I108" s="7"/>
      <c r="J108" s="10">
        <v>2</v>
      </c>
      <c r="K108" s="117">
        <v>295622</v>
      </c>
      <c r="L108" s="120">
        <f t="shared" si="28"/>
        <v>37.180480442711605</v>
      </c>
      <c r="M108" s="122">
        <f t="shared" si="16"/>
        <v>1478114.76</v>
      </c>
      <c r="N108" s="116">
        <f t="shared" si="17"/>
        <v>1182492.76</v>
      </c>
      <c r="O108" s="123">
        <f t="shared" si="18"/>
        <v>148.7225204376808</v>
      </c>
      <c r="P108" s="5"/>
      <c r="Q108" s="5">
        <f t="shared" si="19"/>
        <v>1</v>
      </c>
      <c r="R108" s="7">
        <f t="shared" si="20"/>
        <v>7951</v>
      </c>
      <c r="S108" s="5">
        <f t="shared" si="21"/>
        <v>1</v>
      </c>
      <c r="T108" s="7">
        <f t="shared" si="22"/>
        <v>7951</v>
      </c>
    </row>
    <row r="109" spans="1:20">
      <c r="A109" s="23" t="s">
        <v>124</v>
      </c>
      <c r="B109" s="35" t="s">
        <v>125</v>
      </c>
      <c r="C109" s="36">
        <v>269</v>
      </c>
      <c r="D109" s="6"/>
      <c r="E109" s="113">
        <v>14418473</v>
      </c>
      <c r="F109" s="116">
        <f t="shared" si="25"/>
        <v>53600.271375464683</v>
      </c>
      <c r="G109" s="117">
        <v>4533873</v>
      </c>
      <c r="H109" s="117">
        <f t="shared" si="26"/>
        <v>16854.546468401488</v>
      </c>
      <c r="I109" s="98" t="s">
        <v>528</v>
      </c>
      <c r="J109" s="10"/>
      <c r="K109" s="117"/>
      <c r="L109" s="120"/>
      <c r="M109" s="122">
        <f t="shared" si="16"/>
        <v>45338.73</v>
      </c>
      <c r="N109" s="116">
        <f t="shared" si="17"/>
        <v>45338.73</v>
      </c>
      <c r="O109" s="123">
        <f t="shared" si="18"/>
        <v>168.54546468401489</v>
      </c>
      <c r="P109" s="5"/>
      <c r="Q109" s="5">
        <f t="shared" si="19"/>
        <v>1</v>
      </c>
      <c r="R109" s="7">
        <f t="shared" si="20"/>
        <v>269</v>
      </c>
      <c r="S109" s="5">
        <f t="shared" si="21"/>
        <v>0</v>
      </c>
      <c r="T109" s="7">
        <f t="shared" si="22"/>
        <v>0</v>
      </c>
    </row>
    <row r="110" spans="1:20">
      <c r="A110" s="23" t="s">
        <v>126</v>
      </c>
      <c r="B110" s="35" t="s">
        <v>125</v>
      </c>
      <c r="C110" s="36">
        <v>1374</v>
      </c>
      <c r="D110" s="6"/>
      <c r="E110" s="113">
        <v>44582345</v>
      </c>
      <c r="F110" s="116">
        <f t="shared" si="25"/>
        <v>32447.12154294032</v>
      </c>
      <c r="G110" s="117">
        <v>25075634</v>
      </c>
      <c r="H110" s="117">
        <f t="shared" si="26"/>
        <v>18250.097525473073</v>
      </c>
      <c r="I110" s="98" t="s">
        <v>528</v>
      </c>
      <c r="J110" s="10"/>
      <c r="K110" s="117"/>
      <c r="L110" s="120"/>
      <c r="M110" s="122">
        <f t="shared" si="16"/>
        <v>250756.34</v>
      </c>
      <c r="N110" s="116">
        <f t="shared" si="17"/>
        <v>250756.34</v>
      </c>
      <c r="O110" s="123">
        <f t="shared" si="18"/>
        <v>182.50097525473072</v>
      </c>
      <c r="P110" s="5"/>
      <c r="Q110" s="5">
        <f t="shared" si="19"/>
        <v>1</v>
      </c>
      <c r="R110" s="7">
        <f t="shared" si="20"/>
        <v>1374</v>
      </c>
      <c r="S110" s="5">
        <f t="shared" si="21"/>
        <v>0</v>
      </c>
      <c r="T110" s="7">
        <f t="shared" si="22"/>
        <v>0</v>
      </c>
    </row>
    <row r="111" spans="1:20">
      <c r="A111" s="23" t="s">
        <v>127</v>
      </c>
      <c r="B111" s="35" t="s">
        <v>128</v>
      </c>
      <c r="C111" s="36">
        <v>702</v>
      </c>
      <c r="D111" s="6"/>
      <c r="E111" s="113">
        <v>23569412</v>
      </c>
      <c r="F111" s="116">
        <f t="shared" si="25"/>
        <v>33574.660968660966</v>
      </c>
      <c r="G111" s="117">
        <v>16117064</v>
      </c>
      <c r="H111" s="117">
        <f t="shared" si="26"/>
        <v>22958.780626780626</v>
      </c>
      <c r="I111" s="9"/>
      <c r="J111" s="10">
        <v>2</v>
      </c>
      <c r="K111" s="117">
        <v>32233</v>
      </c>
      <c r="L111" s="120">
        <f t="shared" ref="L111:L130" si="29">(K111/C111)</f>
        <v>45.915954415954417</v>
      </c>
      <c r="M111" s="122">
        <f t="shared" si="16"/>
        <v>161170.64000000001</v>
      </c>
      <c r="N111" s="116">
        <f t="shared" si="17"/>
        <v>128937.64000000001</v>
      </c>
      <c r="O111" s="123">
        <f t="shared" si="18"/>
        <v>183.67185185185187</v>
      </c>
      <c r="P111" s="5"/>
      <c r="Q111" s="5">
        <f t="shared" si="19"/>
        <v>1</v>
      </c>
      <c r="R111" s="7">
        <f t="shared" si="20"/>
        <v>702</v>
      </c>
      <c r="S111" s="5">
        <f t="shared" si="21"/>
        <v>1</v>
      </c>
      <c r="T111" s="7">
        <f t="shared" si="22"/>
        <v>702</v>
      </c>
    </row>
    <row r="112" spans="1:20">
      <c r="A112" s="23" t="s">
        <v>129</v>
      </c>
      <c r="B112" s="35" t="s">
        <v>130</v>
      </c>
      <c r="C112" s="36">
        <v>1478</v>
      </c>
      <c r="D112" s="6"/>
      <c r="E112" s="113">
        <v>45512361</v>
      </c>
      <c r="F112" s="116">
        <f t="shared" si="25"/>
        <v>30793.207713125845</v>
      </c>
      <c r="G112" s="117">
        <v>24481363</v>
      </c>
      <c r="H112" s="117">
        <f t="shared" si="26"/>
        <v>16563.845060893098</v>
      </c>
      <c r="I112" s="9"/>
      <c r="J112" s="10">
        <v>4.1719999999999997</v>
      </c>
      <c r="K112" s="117">
        <v>102136</v>
      </c>
      <c r="L112" s="120">
        <f t="shared" si="29"/>
        <v>69.104194857916099</v>
      </c>
      <c r="M112" s="122">
        <f t="shared" si="16"/>
        <v>244813.63</v>
      </c>
      <c r="N112" s="116">
        <f t="shared" si="17"/>
        <v>142677.63</v>
      </c>
      <c r="O112" s="123">
        <f t="shared" si="18"/>
        <v>96.534255751014882</v>
      </c>
      <c r="P112" s="5"/>
      <c r="Q112" s="5">
        <f t="shared" si="19"/>
        <v>1</v>
      </c>
      <c r="R112" s="7">
        <f t="shared" si="20"/>
        <v>1478</v>
      </c>
      <c r="S112" s="5">
        <f t="shared" si="21"/>
        <v>1</v>
      </c>
      <c r="T112" s="7">
        <f t="shared" si="22"/>
        <v>1478</v>
      </c>
    </row>
    <row r="113" spans="1:20">
      <c r="A113" s="23" t="s">
        <v>545</v>
      </c>
      <c r="B113" s="35" t="s">
        <v>131</v>
      </c>
      <c r="C113" s="36">
        <v>4098</v>
      </c>
      <c r="D113" s="6"/>
      <c r="E113" s="113">
        <v>336937987</v>
      </c>
      <c r="F113" s="116">
        <f t="shared" si="25"/>
        <v>82220.104197169348</v>
      </c>
      <c r="G113" s="117">
        <v>269718530</v>
      </c>
      <c r="H113" s="117">
        <f t="shared" si="26"/>
        <v>65817.113225963883</v>
      </c>
      <c r="I113" s="7"/>
      <c r="J113" s="11">
        <v>5.2408000000000001</v>
      </c>
      <c r="K113" s="117">
        <v>1413540</v>
      </c>
      <c r="L113" s="120">
        <f t="shared" si="29"/>
        <v>344.93411420204978</v>
      </c>
      <c r="M113" s="122">
        <f t="shared" si="16"/>
        <v>2697185.3000000003</v>
      </c>
      <c r="N113" s="116">
        <f t="shared" si="17"/>
        <v>1283645.3000000003</v>
      </c>
      <c r="O113" s="123">
        <f t="shared" si="18"/>
        <v>313.23701805758913</v>
      </c>
      <c r="P113" s="5"/>
      <c r="Q113" s="5">
        <f t="shared" si="19"/>
        <v>1</v>
      </c>
      <c r="R113" s="7">
        <f t="shared" si="20"/>
        <v>4098</v>
      </c>
      <c r="S113" s="5">
        <f t="shared" si="21"/>
        <v>1</v>
      </c>
      <c r="T113" s="7">
        <f t="shared" si="22"/>
        <v>4098</v>
      </c>
    </row>
    <row r="114" spans="1:20">
      <c r="A114" s="23" t="s">
        <v>132</v>
      </c>
      <c r="B114" s="35" t="s">
        <v>131</v>
      </c>
      <c r="C114" s="36">
        <v>1978</v>
      </c>
      <c r="D114" s="6"/>
      <c r="E114" s="113">
        <v>55826519</v>
      </c>
      <c r="F114" s="116">
        <f t="shared" si="25"/>
        <v>28223.720424671385</v>
      </c>
      <c r="G114" s="117">
        <v>27933330</v>
      </c>
      <c r="H114" s="117">
        <f t="shared" si="26"/>
        <v>14122.00707785642</v>
      </c>
      <c r="I114" s="7"/>
      <c r="J114" s="11">
        <v>2.11</v>
      </c>
      <c r="K114" s="117">
        <v>58939</v>
      </c>
      <c r="L114" s="120">
        <f t="shared" si="29"/>
        <v>29.797269969666331</v>
      </c>
      <c r="M114" s="122">
        <f t="shared" si="16"/>
        <v>279333.3</v>
      </c>
      <c r="N114" s="116">
        <f t="shared" si="17"/>
        <v>220394.3</v>
      </c>
      <c r="O114" s="123">
        <f t="shared" si="18"/>
        <v>111.42280080889788</v>
      </c>
      <c r="P114" s="5"/>
      <c r="Q114" s="5">
        <f t="shared" si="19"/>
        <v>1</v>
      </c>
      <c r="R114" s="7">
        <f t="shared" si="20"/>
        <v>1978</v>
      </c>
      <c r="S114" s="5">
        <f t="shared" si="21"/>
        <v>1</v>
      </c>
      <c r="T114" s="7">
        <f t="shared" si="22"/>
        <v>1978</v>
      </c>
    </row>
    <row r="115" spans="1:20">
      <c r="A115" s="23" t="s">
        <v>133</v>
      </c>
      <c r="B115" s="35" t="s">
        <v>134</v>
      </c>
      <c r="C115" s="36">
        <v>2120</v>
      </c>
      <c r="D115" s="6"/>
      <c r="E115" s="113">
        <v>70836170</v>
      </c>
      <c r="F115" s="116">
        <f t="shared" si="25"/>
        <v>33413.287735849059</v>
      </c>
      <c r="G115" s="117">
        <v>41046433</v>
      </c>
      <c r="H115" s="117">
        <f t="shared" si="26"/>
        <v>19361.525000000001</v>
      </c>
      <c r="I115" s="7"/>
      <c r="J115" s="10">
        <v>4.7469999999999999</v>
      </c>
      <c r="K115" s="117">
        <v>194847</v>
      </c>
      <c r="L115" s="120">
        <f t="shared" si="29"/>
        <v>91.908962264150944</v>
      </c>
      <c r="M115" s="122">
        <f t="shared" si="16"/>
        <v>410464.33</v>
      </c>
      <c r="N115" s="116">
        <f t="shared" si="17"/>
        <v>215617.33000000002</v>
      </c>
      <c r="O115" s="123">
        <f t="shared" si="18"/>
        <v>101.70628773584906</v>
      </c>
      <c r="P115" s="5"/>
      <c r="Q115" s="5">
        <f t="shared" si="19"/>
        <v>1</v>
      </c>
      <c r="R115" s="7">
        <f t="shared" si="20"/>
        <v>2120</v>
      </c>
      <c r="S115" s="5">
        <f t="shared" si="21"/>
        <v>1</v>
      </c>
      <c r="T115" s="7">
        <f t="shared" si="22"/>
        <v>2120</v>
      </c>
    </row>
    <row r="116" spans="1:20">
      <c r="A116" s="23" t="s">
        <v>135</v>
      </c>
      <c r="B116" s="35" t="s">
        <v>134</v>
      </c>
      <c r="C116" s="36">
        <v>817</v>
      </c>
      <c r="D116" s="6"/>
      <c r="E116" s="113">
        <v>14634365</v>
      </c>
      <c r="F116" s="116">
        <f t="shared" si="25"/>
        <v>17912.319461444309</v>
      </c>
      <c r="G116" s="117">
        <v>9029462</v>
      </c>
      <c r="H116" s="117">
        <f t="shared" si="26"/>
        <v>11051.973072215422</v>
      </c>
      <c r="I116" s="7"/>
      <c r="J116" s="10">
        <v>1.4087000000000001</v>
      </c>
      <c r="K116" s="117">
        <v>12719</v>
      </c>
      <c r="L116" s="120">
        <f t="shared" si="29"/>
        <v>15.567931456548347</v>
      </c>
      <c r="M116" s="122">
        <f t="shared" si="16"/>
        <v>90294.62</v>
      </c>
      <c r="N116" s="116">
        <f t="shared" si="17"/>
        <v>77575.62</v>
      </c>
      <c r="O116" s="123">
        <f t="shared" si="18"/>
        <v>94.951799265605871</v>
      </c>
      <c r="P116" s="5"/>
      <c r="Q116" s="5">
        <f t="shared" si="19"/>
        <v>1</v>
      </c>
      <c r="R116" s="7">
        <f t="shared" si="20"/>
        <v>817</v>
      </c>
      <c r="S116" s="5">
        <f t="shared" si="21"/>
        <v>1</v>
      </c>
      <c r="T116" s="7">
        <f t="shared" si="22"/>
        <v>817</v>
      </c>
    </row>
    <row r="117" spans="1:20">
      <c r="A117" s="23" t="s">
        <v>136</v>
      </c>
      <c r="B117" s="35" t="s">
        <v>134</v>
      </c>
      <c r="C117" s="36">
        <v>829</v>
      </c>
      <c r="D117" s="6"/>
      <c r="E117" s="113">
        <v>17989808</v>
      </c>
      <c r="F117" s="116">
        <f t="shared" si="25"/>
        <v>21700.612786489746</v>
      </c>
      <c r="G117" s="117">
        <v>8746713</v>
      </c>
      <c r="H117" s="117">
        <f t="shared" si="26"/>
        <v>10550.920386007238</v>
      </c>
      <c r="I117" s="7"/>
      <c r="J117" s="10">
        <v>3.5230000000000001</v>
      </c>
      <c r="K117" s="117">
        <v>30814</v>
      </c>
      <c r="L117" s="120">
        <f t="shared" si="29"/>
        <v>37.170084439083233</v>
      </c>
      <c r="M117" s="122">
        <f t="shared" si="16"/>
        <v>87467.13</v>
      </c>
      <c r="N117" s="116">
        <f t="shared" si="17"/>
        <v>56653.130000000005</v>
      </c>
      <c r="O117" s="123">
        <f t="shared" si="18"/>
        <v>68.339119420989149</v>
      </c>
      <c r="P117" s="5"/>
      <c r="Q117" s="5">
        <f t="shared" si="19"/>
        <v>1</v>
      </c>
      <c r="R117" s="7">
        <f t="shared" si="20"/>
        <v>829</v>
      </c>
      <c r="S117" s="5">
        <f t="shared" si="21"/>
        <v>1</v>
      </c>
      <c r="T117" s="7">
        <f t="shared" si="22"/>
        <v>829</v>
      </c>
    </row>
    <row r="118" spans="1:20">
      <c r="A118" s="23" t="s">
        <v>137</v>
      </c>
      <c r="B118" s="35" t="s">
        <v>138</v>
      </c>
      <c r="C118" s="36">
        <v>1800</v>
      </c>
      <c r="D118" s="6"/>
      <c r="E118" s="113">
        <v>41165367</v>
      </c>
      <c r="F118" s="116">
        <f t="shared" si="25"/>
        <v>22869.648333333334</v>
      </c>
      <c r="G118" s="117">
        <v>17349547</v>
      </c>
      <c r="H118" s="117">
        <f t="shared" si="26"/>
        <v>9638.6372222222217</v>
      </c>
      <c r="I118" s="7"/>
      <c r="J118" s="10">
        <v>6</v>
      </c>
      <c r="K118" s="117">
        <v>104097</v>
      </c>
      <c r="L118" s="120">
        <f t="shared" si="29"/>
        <v>57.831666666666663</v>
      </c>
      <c r="M118" s="122">
        <f t="shared" si="16"/>
        <v>173495.47</v>
      </c>
      <c r="N118" s="116">
        <f t="shared" si="17"/>
        <v>69398.47</v>
      </c>
      <c r="O118" s="123">
        <f t="shared" si="18"/>
        <v>38.554705555555557</v>
      </c>
      <c r="P118" s="5"/>
      <c r="Q118" s="5">
        <f t="shared" si="19"/>
        <v>1</v>
      </c>
      <c r="R118" s="7">
        <f t="shared" si="20"/>
        <v>1800</v>
      </c>
      <c r="S118" s="5">
        <f t="shared" si="21"/>
        <v>1</v>
      </c>
      <c r="T118" s="7">
        <f t="shared" si="22"/>
        <v>1800</v>
      </c>
    </row>
    <row r="119" spans="1:20">
      <c r="A119" s="23" t="s">
        <v>139</v>
      </c>
      <c r="B119" s="35" t="s">
        <v>138</v>
      </c>
      <c r="C119" s="36">
        <v>3560</v>
      </c>
      <c r="D119" s="6"/>
      <c r="E119" s="113">
        <v>134629919</v>
      </c>
      <c r="F119" s="116">
        <f t="shared" si="25"/>
        <v>37817.392977528092</v>
      </c>
      <c r="G119" s="117">
        <v>62724893</v>
      </c>
      <c r="H119" s="117">
        <f t="shared" si="26"/>
        <v>17619.351966292135</v>
      </c>
      <c r="I119" s="7"/>
      <c r="J119" s="10">
        <v>5.0199999999999996</v>
      </c>
      <c r="K119" s="117">
        <v>314878</v>
      </c>
      <c r="L119" s="120">
        <f t="shared" si="29"/>
        <v>88.448876404494385</v>
      </c>
      <c r="M119" s="122">
        <f t="shared" si="16"/>
        <v>627248.93000000005</v>
      </c>
      <c r="N119" s="116">
        <f t="shared" si="17"/>
        <v>312370.93000000005</v>
      </c>
      <c r="O119" s="123">
        <f t="shared" si="18"/>
        <v>87.744643258426976</v>
      </c>
      <c r="P119" s="5"/>
      <c r="Q119" s="5">
        <f t="shared" si="19"/>
        <v>1</v>
      </c>
      <c r="R119" s="7">
        <f t="shared" si="20"/>
        <v>3560</v>
      </c>
      <c r="S119" s="5">
        <f t="shared" si="21"/>
        <v>1</v>
      </c>
      <c r="T119" s="7">
        <f t="shared" si="22"/>
        <v>3560</v>
      </c>
    </row>
    <row r="120" spans="1:20">
      <c r="A120" s="23" t="s">
        <v>140</v>
      </c>
      <c r="B120" s="35" t="s">
        <v>138</v>
      </c>
      <c r="C120" s="36">
        <v>1241</v>
      </c>
      <c r="D120" s="6"/>
      <c r="E120" s="113">
        <v>32788425</v>
      </c>
      <c r="F120" s="116">
        <f t="shared" si="25"/>
        <v>26420.970991136179</v>
      </c>
      <c r="G120" s="117">
        <v>14309708</v>
      </c>
      <c r="H120" s="117">
        <f t="shared" si="26"/>
        <v>11530.788074133763</v>
      </c>
      <c r="I120" s="7"/>
      <c r="J120" s="10">
        <v>9.1120000000000001</v>
      </c>
      <c r="K120" s="117">
        <v>130390</v>
      </c>
      <c r="L120" s="120">
        <f t="shared" si="29"/>
        <v>105.06849315068493</v>
      </c>
      <c r="M120" s="122">
        <f t="shared" si="16"/>
        <v>143097.08000000002</v>
      </c>
      <c r="N120" s="116">
        <f t="shared" si="17"/>
        <v>12707.080000000016</v>
      </c>
      <c r="O120" s="123">
        <f t="shared" si="18"/>
        <v>10.239387590652713</v>
      </c>
      <c r="P120" s="5"/>
      <c r="Q120" s="5">
        <f t="shared" si="19"/>
        <v>1</v>
      </c>
      <c r="R120" s="7">
        <f t="shared" si="20"/>
        <v>1241</v>
      </c>
      <c r="S120" s="5">
        <f t="shared" si="21"/>
        <v>1</v>
      </c>
      <c r="T120" s="7">
        <f t="shared" si="22"/>
        <v>1241</v>
      </c>
    </row>
    <row r="121" spans="1:20">
      <c r="A121" s="23" t="s">
        <v>141</v>
      </c>
      <c r="B121" s="35" t="s">
        <v>142</v>
      </c>
      <c r="C121" s="36">
        <v>6364</v>
      </c>
      <c r="D121" s="6"/>
      <c r="E121" s="113">
        <v>278163769</v>
      </c>
      <c r="F121" s="116">
        <f t="shared" si="25"/>
        <v>43708.951759899435</v>
      </c>
      <c r="G121" s="117">
        <v>157977759</v>
      </c>
      <c r="H121" s="117">
        <f t="shared" si="26"/>
        <v>24823.657919547455</v>
      </c>
      <c r="I121" s="7"/>
      <c r="J121" s="10">
        <v>5.2271000000000001</v>
      </c>
      <c r="K121" s="117">
        <v>825765</v>
      </c>
      <c r="L121" s="120">
        <f t="shared" si="29"/>
        <v>129.75565681961029</v>
      </c>
      <c r="M121" s="122">
        <f t="shared" si="16"/>
        <v>1579777.59</v>
      </c>
      <c r="N121" s="116">
        <f t="shared" si="17"/>
        <v>754012.59000000008</v>
      </c>
      <c r="O121" s="123">
        <f t="shared" si="18"/>
        <v>118.48092237586425</v>
      </c>
      <c r="P121" s="5"/>
      <c r="Q121" s="5">
        <f t="shared" si="19"/>
        <v>1</v>
      </c>
      <c r="R121" s="7">
        <f t="shared" si="20"/>
        <v>6364</v>
      </c>
      <c r="S121" s="5">
        <f t="shared" si="21"/>
        <v>1</v>
      </c>
      <c r="T121" s="7">
        <f t="shared" si="22"/>
        <v>6364</v>
      </c>
    </row>
    <row r="122" spans="1:20">
      <c r="A122" s="23" t="s">
        <v>558</v>
      </c>
      <c r="B122" s="35" t="s">
        <v>142</v>
      </c>
      <c r="C122" s="36">
        <v>3185</v>
      </c>
      <c r="D122" s="6"/>
      <c r="E122" s="113">
        <v>165505760</v>
      </c>
      <c r="F122" s="116">
        <f t="shared" si="25"/>
        <v>51964.131868131866</v>
      </c>
      <c r="G122" s="117">
        <v>102536740</v>
      </c>
      <c r="H122" s="117">
        <f t="shared" si="26"/>
        <v>32193.638932496076</v>
      </c>
      <c r="I122" s="7"/>
      <c r="J122" s="10">
        <v>3</v>
      </c>
      <c r="K122" s="117">
        <v>307610</v>
      </c>
      <c r="L122" s="120">
        <f t="shared" si="29"/>
        <v>96.580847723704863</v>
      </c>
      <c r="M122" s="122">
        <f t="shared" si="16"/>
        <v>1025367.4</v>
      </c>
      <c r="N122" s="116">
        <f t="shared" si="17"/>
        <v>717757.4</v>
      </c>
      <c r="O122" s="123">
        <f t="shared" si="18"/>
        <v>225.35554160125591</v>
      </c>
      <c r="P122" s="5"/>
      <c r="Q122" s="5">
        <f t="shared" si="19"/>
        <v>1</v>
      </c>
      <c r="R122" s="7">
        <f t="shared" si="20"/>
        <v>3185</v>
      </c>
      <c r="S122" s="5">
        <f t="shared" si="21"/>
        <v>1</v>
      </c>
      <c r="T122" s="7">
        <f t="shared" si="22"/>
        <v>3185</v>
      </c>
    </row>
    <row r="123" spans="1:20">
      <c r="A123" s="23" t="s">
        <v>143</v>
      </c>
      <c r="B123" s="35" t="s">
        <v>144</v>
      </c>
      <c r="C123" s="36">
        <v>7839</v>
      </c>
      <c r="D123" s="6"/>
      <c r="E123" s="113">
        <v>425097802</v>
      </c>
      <c r="F123" s="116">
        <f t="shared" si="25"/>
        <v>54228.575328485778</v>
      </c>
      <c r="G123" s="117">
        <v>224602537</v>
      </c>
      <c r="H123" s="117">
        <f t="shared" si="26"/>
        <v>28651.937364459751</v>
      </c>
      <c r="I123" s="7"/>
      <c r="J123" s="10">
        <v>8</v>
      </c>
      <c r="K123" s="117">
        <v>1796820</v>
      </c>
      <c r="L123" s="120">
        <f t="shared" si="29"/>
        <v>229.21546115575967</v>
      </c>
      <c r="M123" s="122">
        <f t="shared" si="16"/>
        <v>2246025.37</v>
      </c>
      <c r="N123" s="116">
        <f t="shared" si="17"/>
        <v>449205.37000000011</v>
      </c>
      <c r="O123" s="123">
        <f t="shared" si="18"/>
        <v>57.303912488837874</v>
      </c>
      <c r="P123" s="5"/>
      <c r="Q123" s="5">
        <f t="shared" si="19"/>
        <v>1</v>
      </c>
      <c r="R123" s="7">
        <f t="shared" si="20"/>
        <v>7839</v>
      </c>
      <c r="S123" s="5">
        <f t="shared" si="21"/>
        <v>1</v>
      </c>
      <c r="T123" s="7">
        <f t="shared" si="22"/>
        <v>7839</v>
      </c>
    </row>
    <row r="124" spans="1:20">
      <c r="A124" s="23" t="s">
        <v>145</v>
      </c>
      <c r="B124" s="35" t="s">
        <v>144</v>
      </c>
      <c r="C124" s="36">
        <v>15</v>
      </c>
      <c r="D124" s="6"/>
      <c r="E124" s="113">
        <v>18681612</v>
      </c>
      <c r="F124" s="116">
        <f t="shared" si="25"/>
        <v>1245440.8</v>
      </c>
      <c r="G124" s="117">
        <v>18643394</v>
      </c>
      <c r="H124" s="117">
        <f t="shared" si="26"/>
        <v>1242892.9333333333</v>
      </c>
      <c r="I124" s="7"/>
      <c r="J124" s="10">
        <v>1.05</v>
      </c>
      <c r="K124" s="117">
        <v>19575</v>
      </c>
      <c r="L124" s="120">
        <f t="shared" si="29"/>
        <v>1305</v>
      </c>
      <c r="M124" s="122">
        <f t="shared" si="16"/>
        <v>186433.94</v>
      </c>
      <c r="N124" s="116">
        <f t="shared" si="17"/>
        <v>166858.94</v>
      </c>
      <c r="O124" s="123">
        <f t="shared" si="18"/>
        <v>11123.929333333333</v>
      </c>
      <c r="P124" s="5"/>
      <c r="Q124" s="5">
        <f t="shared" si="19"/>
        <v>1</v>
      </c>
      <c r="R124" s="7">
        <f t="shared" si="20"/>
        <v>15</v>
      </c>
      <c r="S124" s="5">
        <f t="shared" si="21"/>
        <v>1</v>
      </c>
      <c r="T124" s="7">
        <f t="shared" si="22"/>
        <v>15</v>
      </c>
    </row>
    <row r="125" spans="1:20">
      <c r="A125" s="23" t="s">
        <v>146</v>
      </c>
      <c r="B125" s="35" t="s">
        <v>147</v>
      </c>
      <c r="C125" s="36">
        <v>8162</v>
      </c>
      <c r="D125" s="6"/>
      <c r="E125" s="113">
        <v>229858874</v>
      </c>
      <c r="F125" s="116">
        <f t="shared" si="25"/>
        <v>28162.077186963979</v>
      </c>
      <c r="G125" s="117">
        <v>146849387</v>
      </c>
      <c r="H125" s="117">
        <f t="shared" si="26"/>
        <v>17991.838642489587</v>
      </c>
      <c r="I125" s="7"/>
      <c r="J125" s="10">
        <v>9</v>
      </c>
      <c r="K125" s="117">
        <v>1321644</v>
      </c>
      <c r="L125" s="120">
        <f t="shared" si="29"/>
        <v>161.92648860573388</v>
      </c>
      <c r="M125" s="122">
        <f t="shared" si="16"/>
        <v>1468493.87</v>
      </c>
      <c r="N125" s="116">
        <f t="shared" si="17"/>
        <v>146849.87000000011</v>
      </c>
      <c r="O125" s="123">
        <f t="shared" si="18"/>
        <v>17.991897819161984</v>
      </c>
      <c r="P125" s="5"/>
      <c r="Q125" s="5">
        <f t="shared" si="19"/>
        <v>1</v>
      </c>
      <c r="R125" s="7">
        <f t="shared" si="20"/>
        <v>8162</v>
      </c>
      <c r="S125" s="5">
        <f t="shared" si="21"/>
        <v>1</v>
      </c>
      <c r="T125" s="7">
        <f t="shared" si="22"/>
        <v>8162</v>
      </c>
    </row>
    <row r="126" spans="1:20">
      <c r="A126" s="23" t="s">
        <v>148</v>
      </c>
      <c r="B126" s="35" t="s">
        <v>147</v>
      </c>
      <c r="C126" s="36">
        <v>1412</v>
      </c>
      <c r="D126" s="6"/>
      <c r="E126" s="113">
        <v>97281633</v>
      </c>
      <c r="F126" s="116">
        <f t="shared" si="25"/>
        <v>68896.340651558072</v>
      </c>
      <c r="G126" s="117">
        <v>62423991</v>
      </c>
      <c r="H126" s="117">
        <f t="shared" si="26"/>
        <v>44209.625354107651</v>
      </c>
      <c r="I126" s="7"/>
      <c r="J126" s="10">
        <v>4.8</v>
      </c>
      <c r="K126" s="117">
        <v>299635</v>
      </c>
      <c r="L126" s="120">
        <f t="shared" si="29"/>
        <v>212.20609065155807</v>
      </c>
      <c r="M126" s="122">
        <f t="shared" si="16"/>
        <v>624239.91</v>
      </c>
      <c r="N126" s="116">
        <f t="shared" si="17"/>
        <v>324604.91000000003</v>
      </c>
      <c r="O126" s="123">
        <f t="shared" si="18"/>
        <v>229.89016288951845</v>
      </c>
      <c r="P126" s="5"/>
      <c r="Q126" s="5">
        <f t="shared" si="19"/>
        <v>1</v>
      </c>
      <c r="R126" s="7">
        <f t="shared" si="20"/>
        <v>1412</v>
      </c>
      <c r="S126" s="5">
        <f t="shared" si="21"/>
        <v>1</v>
      </c>
      <c r="T126" s="7">
        <f t="shared" si="22"/>
        <v>1412</v>
      </c>
    </row>
    <row r="127" spans="1:20">
      <c r="A127" s="23" t="s">
        <v>149</v>
      </c>
      <c r="B127" s="35" t="s">
        <v>147</v>
      </c>
      <c r="C127" s="36">
        <v>8856</v>
      </c>
      <c r="D127" s="6"/>
      <c r="E127" s="113">
        <v>425780823</v>
      </c>
      <c r="F127" s="116">
        <f t="shared" si="25"/>
        <v>48078.232046070458</v>
      </c>
      <c r="G127" s="117">
        <v>302718385</v>
      </c>
      <c r="H127" s="117">
        <f t="shared" si="26"/>
        <v>34182.292795844623</v>
      </c>
      <c r="I127" s="7"/>
      <c r="J127" s="10">
        <v>6.5</v>
      </c>
      <c r="K127" s="117">
        <v>1967669</v>
      </c>
      <c r="L127" s="120">
        <f t="shared" si="29"/>
        <v>222.18484643179764</v>
      </c>
      <c r="M127" s="122">
        <f t="shared" si="16"/>
        <v>3027183.85</v>
      </c>
      <c r="N127" s="116">
        <f t="shared" si="17"/>
        <v>1059514.8500000001</v>
      </c>
      <c r="O127" s="123">
        <f t="shared" si="18"/>
        <v>119.63808152664861</v>
      </c>
      <c r="P127" s="5"/>
      <c r="Q127" s="5">
        <f t="shared" si="19"/>
        <v>1</v>
      </c>
      <c r="R127" s="7">
        <f t="shared" si="20"/>
        <v>8856</v>
      </c>
      <c r="S127" s="5">
        <f t="shared" si="21"/>
        <v>1</v>
      </c>
      <c r="T127" s="7">
        <f t="shared" si="22"/>
        <v>8856</v>
      </c>
    </row>
    <row r="128" spans="1:20">
      <c r="A128" s="23" t="s">
        <v>150</v>
      </c>
      <c r="B128" s="35" t="s">
        <v>151</v>
      </c>
      <c r="C128" s="36">
        <v>28371</v>
      </c>
      <c r="D128" s="6"/>
      <c r="E128" s="113">
        <v>1383788479</v>
      </c>
      <c r="F128" s="116">
        <f t="shared" si="25"/>
        <v>48774.751647809382</v>
      </c>
      <c r="G128" s="117">
        <v>1018824805</v>
      </c>
      <c r="H128" s="117">
        <f t="shared" si="26"/>
        <v>35910.78231292517</v>
      </c>
      <c r="I128" s="7"/>
      <c r="J128" s="10">
        <v>4.7</v>
      </c>
      <c r="K128" s="117">
        <v>4788476</v>
      </c>
      <c r="L128" s="120">
        <f t="shared" si="29"/>
        <v>168.78065630397236</v>
      </c>
      <c r="M128" s="122">
        <f t="shared" si="16"/>
        <v>10188248.050000001</v>
      </c>
      <c r="N128" s="116">
        <f t="shared" si="17"/>
        <v>5399772.0500000007</v>
      </c>
      <c r="O128" s="123">
        <f t="shared" si="18"/>
        <v>190.32716682527936</v>
      </c>
      <c r="P128" s="5"/>
      <c r="Q128" s="5">
        <f t="shared" si="19"/>
        <v>1</v>
      </c>
      <c r="R128" s="7">
        <f t="shared" si="20"/>
        <v>28371</v>
      </c>
      <c r="S128" s="5">
        <f t="shared" si="21"/>
        <v>1</v>
      </c>
      <c r="T128" s="7">
        <f t="shared" si="22"/>
        <v>28371</v>
      </c>
    </row>
    <row r="129" spans="1:20">
      <c r="A129" s="23" t="s">
        <v>152</v>
      </c>
      <c r="B129" s="35" t="s">
        <v>151</v>
      </c>
      <c r="C129" s="36">
        <v>297505</v>
      </c>
      <c r="D129" s="6"/>
      <c r="E129" s="113">
        <v>19097022582</v>
      </c>
      <c r="F129" s="116">
        <f t="shared" si="25"/>
        <v>64190.593711030066</v>
      </c>
      <c r="G129" s="117">
        <v>12760470425</v>
      </c>
      <c r="H129" s="117">
        <f t="shared" si="26"/>
        <v>42891.616695517725</v>
      </c>
      <c r="I129" s="7"/>
      <c r="J129" s="10">
        <v>6.5389999999999997</v>
      </c>
      <c r="K129" s="117">
        <v>83440716</v>
      </c>
      <c r="L129" s="120">
        <f t="shared" si="29"/>
        <v>280.46828120535787</v>
      </c>
      <c r="M129" s="122">
        <f t="shared" si="16"/>
        <v>127604704.25</v>
      </c>
      <c r="N129" s="116">
        <f t="shared" si="17"/>
        <v>44163988.25</v>
      </c>
      <c r="O129" s="123">
        <f t="shared" si="18"/>
        <v>148.44788574981933</v>
      </c>
      <c r="P129" s="5"/>
      <c r="Q129" s="5">
        <f t="shared" si="19"/>
        <v>1</v>
      </c>
      <c r="R129" s="7">
        <f t="shared" si="20"/>
        <v>297505</v>
      </c>
      <c r="S129" s="5">
        <f t="shared" si="21"/>
        <v>1</v>
      </c>
      <c r="T129" s="7">
        <f t="shared" si="22"/>
        <v>297505</v>
      </c>
    </row>
    <row r="130" spans="1:20">
      <c r="A130" s="23" t="s">
        <v>153</v>
      </c>
      <c r="B130" s="35" t="s">
        <v>151</v>
      </c>
      <c r="C130" s="36">
        <v>20574</v>
      </c>
      <c r="D130" s="6"/>
      <c r="E130" s="113">
        <v>1077503283</v>
      </c>
      <c r="F130" s="116">
        <f t="shared" si="25"/>
        <v>52372.085301837273</v>
      </c>
      <c r="G130" s="117">
        <v>873921395</v>
      </c>
      <c r="H130" s="117">
        <f t="shared" si="26"/>
        <v>42476.980412170698</v>
      </c>
      <c r="I130" s="7"/>
      <c r="J130" s="10">
        <v>4.91</v>
      </c>
      <c r="K130" s="117">
        <v>4290954</v>
      </c>
      <c r="L130" s="120">
        <f t="shared" si="29"/>
        <v>208.56197142023913</v>
      </c>
      <c r="M130" s="122">
        <f t="shared" si="16"/>
        <v>8739213.9499999993</v>
      </c>
      <c r="N130" s="116">
        <f t="shared" si="17"/>
        <v>4448259.9499999993</v>
      </c>
      <c r="O130" s="123">
        <f t="shared" si="18"/>
        <v>216.20783270146782</v>
      </c>
      <c r="P130" s="5"/>
      <c r="Q130" s="5">
        <f t="shared" si="19"/>
        <v>1</v>
      </c>
      <c r="R130" s="7">
        <f t="shared" si="20"/>
        <v>20574</v>
      </c>
      <c r="S130" s="5">
        <f t="shared" si="21"/>
        <v>1</v>
      </c>
      <c r="T130" s="7">
        <f t="shared" si="22"/>
        <v>20574</v>
      </c>
    </row>
    <row r="131" spans="1:20">
      <c r="A131" s="23" t="s">
        <v>154</v>
      </c>
      <c r="B131" s="35" t="s">
        <v>155</v>
      </c>
      <c r="C131" s="36">
        <v>2831</v>
      </c>
      <c r="D131" s="6"/>
      <c r="E131" s="113">
        <v>93895099</v>
      </c>
      <c r="F131" s="116">
        <f t="shared" si="25"/>
        <v>33166.760508654188</v>
      </c>
      <c r="G131" s="117">
        <v>55119450</v>
      </c>
      <c r="H131" s="117">
        <f t="shared" si="26"/>
        <v>19469.957612151182</v>
      </c>
      <c r="I131" s="98" t="s">
        <v>528</v>
      </c>
      <c r="J131" s="10"/>
      <c r="K131" s="117"/>
      <c r="L131" s="120"/>
      <c r="M131" s="122">
        <f t="shared" si="16"/>
        <v>551194.5</v>
      </c>
      <c r="N131" s="116">
        <f t="shared" si="17"/>
        <v>551194.5</v>
      </c>
      <c r="O131" s="123">
        <f t="shared" si="18"/>
        <v>194.69957612151183</v>
      </c>
      <c r="P131" s="5"/>
      <c r="Q131" s="5">
        <f t="shared" si="19"/>
        <v>1</v>
      </c>
      <c r="R131" s="7">
        <f t="shared" si="20"/>
        <v>2831</v>
      </c>
      <c r="S131" s="5">
        <f t="shared" si="21"/>
        <v>0</v>
      </c>
      <c r="T131" s="7">
        <f t="shared" si="22"/>
        <v>0</v>
      </c>
    </row>
    <row r="132" spans="1:20">
      <c r="A132" s="23" t="s">
        <v>156</v>
      </c>
      <c r="B132" s="35" t="s">
        <v>155</v>
      </c>
      <c r="C132" s="36">
        <v>365</v>
      </c>
      <c r="D132" s="6"/>
      <c r="E132" s="113">
        <v>6759645</v>
      </c>
      <c r="F132" s="116">
        <f t="shared" si="25"/>
        <v>18519.575342465752</v>
      </c>
      <c r="G132" s="117">
        <v>2898133</v>
      </c>
      <c r="H132" s="117">
        <f t="shared" si="26"/>
        <v>7940.0904109589037</v>
      </c>
      <c r="I132" s="7"/>
      <c r="J132" s="10">
        <v>0.82</v>
      </c>
      <c r="K132" s="117">
        <v>2376</v>
      </c>
      <c r="L132" s="120">
        <f>(K132/C132)</f>
        <v>6.5095890410958903</v>
      </c>
      <c r="M132" s="122">
        <f t="shared" si="16"/>
        <v>28981.33</v>
      </c>
      <c r="N132" s="116">
        <f t="shared" si="17"/>
        <v>26605.33</v>
      </c>
      <c r="O132" s="123">
        <f t="shared" si="18"/>
        <v>72.891315068493157</v>
      </c>
      <c r="P132" s="5"/>
      <c r="Q132" s="5">
        <f t="shared" si="19"/>
        <v>1</v>
      </c>
      <c r="R132" s="7">
        <f t="shared" si="20"/>
        <v>365</v>
      </c>
      <c r="S132" s="5">
        <f t="shared" si="21"/>
        <v>1</v>
      </c>
      <c r="T132" s="7">
        <f t="shared" si="22"/>
        <v>365</v>
      </c>
    </row>
    <row r="133" spans="1:20">
      <c r="A133" s="23" t="s">
        <v>157</v>
      </c>
      <c r="B133" s="35" t="s">
        <v>155</v>
      </c>
      <c r="C133" s="36">
        <v>249</v>
      </c>
      <c r="D133" s="6"/>
      <c r="E133" s="113">
        <v>2751922</v>
      </c>
      <c r="F133" s="116">
        <f t="shared" si="25"/>
        <v>11051.895582329318</v>
      </c>
      <c r="G133" s="117">
        <v>1097041</v>
      </c>
      <c r="H133" s="117">
        <f t="shared" si="26"/>
        <v>4405.7871485943779</v>
      </c>
      <c r="I133" s="9"/>
      <c r="J133" s="10">
        <v>1.7</v>
      </c>
      <c r="K133" s="117">
        <v>1864</v>
      </c>
      <c r="L133" s="120">
        <f>(K133/C133)</f>
        <v>7.4859437751004014</v>
      </c>
      <c r="M133" s="122">
        <f t="shared" si="16"/>
        <v>10970.41</v>
      </c>
      <c r="N133" s="116">
        <f t="shared" si="17"/>
        <v>9106.41</v>
      </c>
      <c r="O133" s="123">
        <f t="shared" si="18"/>
        <v>36.571927710843376</v>
      </c>
      <c r="P133" s="5"/>
      <c r="Q133" s="5">
        <f t="shared" si="19"/>
        <v>1</v>
      </c>
      <c r="R133" s="7">
        <f t="shared" si="20"/>
        <v>249</v>
      </c>
      <c r="S133" s="5">
        <f t="shared" si="21"/>
        <v>1</v>
      </c>
      <c r="T133" s="7">
        <f t="shared" si="22"/>
        <v>249</v>
      </c>
    </row>
    <row r="134" spans="1:20">
      <c r="A134" s="23" t="s">
        <v>158</v>
      </c>
      <c r="B134" s="35" t="s">
        <v>155</v>
      </c>
      <c r="C134" s="36">
        <v>467</v>
      </c>
      <c r="D134" s="6"/>
      <c r="E134" s="113">
        <v>16082086</v>
      </c>
      <c r="F134" s="116">
        <f t="shared" si="25"/>
        <v>34437.014989293362</v>
      </c>
      <c r="G134" s="117">
        <v>9010644</v>
      </c>
      <c r="H134" s="117">
        <f t="shared" si="26"/>
        <v>19294.740899357603</v>
      </c>
      <c r="I134" s="98" t="s">
        <v>528</v>
      </c>
      <c r="J134" s="10"/>
      <c r="K134" s="117"/>
      <c r="L134" s="120"/>
      <c r="M134" s="122">
        <f t="shared" ref="M134:M197" si="30">(G134*0.01)</f>
        <v>90106.44</v>
      </c>
      <c r="N134" s="116">
        <f t="shared" ref="N134:N197" si="31">(M134-K134)</f>
        <v>90106.44</v>
      </c>
      <c r="O134" s="123">
        <f t="shared" ref="O134:O197" si="32">(N134/C134)</f>
        <v>192.94740899357603</v>
      </c>
      <c r="P134" s="5"/>
      <c r="Q134" s="5">
        <f t="shared" si="19"/>
        <v>1</v>
      </c>
      <c r="R134" s="7">
        <f t="shared" si="20"/>
        <v>467</v>
      </c>
      <c r="S134" s="5">
        <f t="shared" si="21"/>
        <v>0</v>
      </c>
      <c r="T134" s="7">
        <f t="shared" si="22"/>
        <v>0</v>
      </c>
    </row>
    <row r="135" spans="1:20">
      <c r="A135" s="23" t="s">
        <v>159</v>
      </c>
      <c r="B135" s="35" t="s">
        <v>155</v>
      </c>
      <c r="C135" s="36">
        <v>324</v>
      </c>
      <c r="D135" s="6"/>
      <c r="E135" s="113">
        <v>8036711</v>
      </c>
      <c r="F135" s="116">
        <f t="shared" si="25"/>
        <v>24804.663580246914</v>
      </c>
      <c r="G135" s="117">
        <v>2878236</v>
      </c>
      <c r="H135" s="117">
        <f t="shared" si="26"/>
        <v>8883.4444444444453</v>
      </c>
      <c r="I135" s="98" t="s">
        <v>528</v>
      </c>
      <c r="J135" s="12"/>
      <c r="K135" s="117"/>
      <c r="L135" s="120"/>
      <c r="M135" s="122">
        <f t="shared" si="30"/>
        <v>28782.36</v>
      </c>
      <c r="N135" s="116">
        <f t="shared" si="31"/>
        <v>28782.36</v>
      </c>
      <c r="O135" s="123">
        <f t="shared" si="32"/>
        <v>88.834444444444443</v>
      </c>
      <c r="P135" s="5"/>
      <c r="Q135" s="5">
        <f t="shared" ref="Q135:Q198" si="33">IF(E135&gt;0,1,0)</f>
        <v>1</v>
      </c>
      <c r="R135" s="7">
        <f t="shared" ref="R135:R198" si="34">IF(E135&gt;0,C135,0)</f>
        <v>324</v>
      </c>
      <c r="S135" s="5">
        <f t="shared" ref="S135:S198" si="35">IF(J135&gt;0,1,0)</f>
        <v>0</v>
      </c>
      <c r="T135" s="7">
        <f t="shared" ref="T135:T198" si="36">IF(J135&gt;0,C135,0)</f>
        <v>0</v>
      </c>
    </row>
    <row r="136" spans="1:20">
      <c r="A136" s="23" t="s">
        <v>160</v>
      </c>
      <c r="B136" s="35" t="s">
        <v>161</v>
      </c>
      <c r="C136" s="36">
        <v>2600</v>
      </c>
      <c r="D136" s="6"/>
      <c r="E136" s="113">
        <v>53726788</v>
      </c>
      <c r="F136" s="116">
        <f t="shared" si="25"/>
        <v>20664.149230769232</v>
      </c>
      <c r="G136" s="117">
        <v>31398811</v>
      </c>
      <c r="H136" s="117">
        <f t="shared" si="26"/>
        <v>12076.46576923077</v>
      </c>
      <c r="I136" s="9"/>
      <c r="J136" s="10">
        <v>5.75</v>
      </c>
      <c r="K136" s="117">
        <v>180543</v>
      </c>
      <c r="L136" s="120">
        <f t="shared" ref="L136:L141" si="37">(K136/C136)</f>
        <v>69.439615384615379</v>
      </c>
      <c r="M136" s="122">
        <f t="shared" si="30"/>
        <v>313988.11</v>
      </c>
      <c r="N136" s="116">
        <f t="shared" si="31"/>
        <v>133445.10999999999</v>
      </c>
      <c r="O136" s="123">
        <f t="shared" si="32"/>
        <v>51.3250423076923</v>
      </c>
      <c r="P136" s="5"/>
      <c r="Q136" s="5">
        <f t="shared" si="33"/>
        <v>1</v>
      </c>
      <c r="R136" s="7">
        <f t="shared" si="34"/>
        <v>2600</v>
      </c>
      <c r="S136" s="5">
        <f t="shared" si="35"/>
        <v>1</v>
      </c>
      <c r="T136" s="7">
        <f t="shared" si="36"/>
        <v>2600</v>
      </c>
    </row>
    <row r="137" spans="1:20">
      <c r="A137" s="23" t="s">
        <v>162</v>
      </c>
      <c r="B137" s="35" t="s">
        <v>161</v>
      </c>
      <c r="C137" s="36">
        <v>2790</v>
      </c>
      <c r="D137" s="6"/>
      <c r="E137" s="113">
        <v>1155346898</v>
      </c>
      <c r="F137" s="116">
        <f t="shared" si="25"/>
        <v>414102.83082437277</v>
      </c>
      <c r="G137" s="117">
        <v>1068000832</v>
      </c>
      <c r="H137" s="117">
        <f t="shared" si="26"/>
        <v>382795.99713261647</v>
      </c>
      <c r="I137" s="9"/>
      <c r="J137" s="10">
        <v>1.389</v>
      </c>
      <c r="K137" s="117">
        <v>1483453</v>
      </c>
      <c r="L137" s="120">
        <f t="shared" si="37"/>
        <v>531.70358422939069</v>
      </c>
      <c r="M137" s="122">
        <f t="shared" si="30"/>
        <v>10680008.32</v>
      </c>
      <c r="N137" s="116">
        <f t="shared" si="31"/>
        <v>9196555.3200000003</v>
      </c>
      <c r="O137" s="123">
        <f t="shared" si="32"/>
        <v>3296.2563870967742</v>
      </c>
      <c r="P137" s="5"/>
      <c r="Q137" s="5">
        <f t="shared" si="33"/>
        <v>1</v>
      </c>
      <c r="R137" s="7">
        <f t="shared" si="34"/>
        <v>2790</v>
      </c>
      <c r="S137" s="5">
        <f t="shared" si="35"/>
        <v>1</v>
      </c>
      <c r="T137" s="7">
        <f t="shared" si="36"/>
        <v>2790</v>
      </c>
    </row>
    <row r="138" spans="1:20">
      <c r="A138" s="23" t="s">
        <v>163</v>
      </c>
      <c r="B138" s="35" t="s">
        <v>161</v>
      </c>
      <c r="C138" s="36">
        <v>150</v>
      </c>
      <c r="D138" s="6"/>
      <c r="E138" s="113">
        <v>112333678</v>
      </c>
      <c r="F138" s="116">
        <f t="shared" si="25"/>
        <v>748891.18666666665</v>
      </c>
      <c r="G138" s="117">
        <v>110566088</v>
      </c>
      <c r="H138" s="117">
        <f t="shared" si="26"/>
        <v>737107.2533333333</v>
      </c>
      <c r="I138" s="7"/>
      <c r="J138" s="11">
        <v>2.1998000000000002</v>
      </c>
      <c r="K138" s="117">
        <v>243223</v>
      </c>
      <c r="L138" s="120">
        <f t="shared" si="37"/>
        <v>1621.4866666666667</v>
      </c>
      <c r="M138" s="122">
        <f t="shared" si="30"/>
        <v>1105660.8800000001</v>
      </c>
      <c r="N138" s="116">
        <f t="shared" si="31"/>
        <v>862437.88000000012</v>
      </c>
      <c r="O138" s="123">
        <f t="shared" si="32"/>
        <v>5749.5858666666672</v>
      </c>
      <c r="P138" s="5"/>
      <c r="Q138" s="5">
        <f t="shared" si="33"/>
        <v>1</v>
      </c>
      <c r="R138" s="7">
        <f t="shared" si="34"/>
        <v>150</v>
      </c>
      <c r="S138" s="5">
        <f t="shared" si="35"/>
        <v>1</v>
      </c>
      <c r="T138" s="7">
        <f t="shared" si="36"/>
        <v>150</v>
      </c>
    </row>
    <row r="139" spans="1:20">
      <c r="A139" s="23" t="s">
        <v>164</v>
      </c>
      <c r="B139" s="35" t="s">
        <v>161</v>
      </c>
      <c r="C139" s="36">
        <v>15707</v>
      </c>
      <c r="D139" s="6"/>
      <c r="E139" s="113">
        <v>672166361</v>
      </c>
      <c r="F139" s="116">
        <f t="shared" si="25"/>
        <v>42794.063856879096</v>
      </c>
      <c r="G139" s="117">
        <v>484360012</v>
      </c>
      <c r="H139" s="117">
        <f t="shared" si="26"/>
        <v>30837.207105112371</v>
      </c>
      <c r="I139" s="7"/>
      <c r="J139" s="11">
        <v>5</v>
      </c>
      <c r="K139" s="117">
        <v>2421800</v>
      </c>
      <c r="L139" s="120">
        <f t="shared" si="37"/>
        <v>154.18603170560897</v>
      </c>
      <c r="M139" s="122">
        <f t="shared" si="30"/>
        <v>4843600.12</v>
      </c>
      <c r="N139" s="116">
        <f t="shared" si="31"/>
        <v>2421800.12</v>
      </c>
      <c r="O139" s="123">
        <f t="shared" si="32"/>
        <v>154.18603934551476</v>
      </c>
      <c r="P139" s="5"/>
      <c r="Q139" s="5">
        <f t="shared" si="33"/>
        <v>1</v>
      </c>
      <c r="R139" s="7">
        <f t="shared" si="34"/>
        <v>15707</v>
      </c>
      <c r="S139" s="5">
        <f t="shared" si="35"/>
        <v>1</v>
      </c>
      <c r="T139" s="7">
        <f t="shared" si="36"/>
        <v>15707</v>
      </c>
    </row>
    <row r="140" spans="1:20">
      <c r="A140" s="23" t="s">
        <v>165</v>
      </c>
      <c r="B140" s="35" t="s">
        <v>161</v>
      </c>
      <c r="C140" s="36">
        <v>17907</v>
      </c>
      <c r="D140" s="6"/>
      <c r="E140" s="113">
        <v>1734819147</v>
      </c>
      <c r="F140" s="116">
        <f t="shared" si="25"/>
        <v>96879.384989110404</v>
      </c>
      <c r="G140" s="117">
        <v>1346007543</v>
      </c>
      <c r="H140" s="117">
        <f t="shared" si="26"/>
        <v>75166.557379795617</v>
      </c>
      <c r="I140" s="7"/>
      <c r="J140" s="10">
        <v>2.1425000000000001</v>
      </c>
      <c r="K140" s="117">
        <v>2883821</v>
      </c>
      <c r="L140" s="120">
        <f t="shared" si="37"/>
        <v>161.04434020215558</v>
      </c>
      <c r="M140" s="122">
        <f t="shared" si="30"/>
        <v>13460075.43</v>
      </c>
      <c r="N140" s="116">
        <f t="shared" si="31"/>
        <v>10576254.43</v>
      </c>
      <c r="O140" s="123">
        <f t="shared" si="32"/>
        <v>590.6212335958005</v>
      </c>
      <c r="P140" s="5"/>
      <c r="Q140" s="5">
        <f t="shared" si="33"/>
        <v>1</v>
      </c>
      <c r="R140" s="7">
        <f t="shared" si="34"/>
        <v>17907</v>
      </c>
      <c r="S140" s="5">
        <f t="shared" si="35"/>
        <v>1</v>
      </c>
      <c r="T140" s="7">
        <f t="shared" si="36"/>
        <v>17907</v>
      </c>
    </row>
    <row r="141" spans="1:20">
      <c r="A141" s="23" t="s">
        <v>166</v>
      </c>
      <c r="B141" s="35" t="s">
        <v>167</v>
      </c>
      <c r="C141" s="36">
        <v>589</v>
      </c>
      <c r="D141" s="6"/>
      <c r="E141" s="113">
        <v>8384192</v>
      </c>
      <c r="F141" s="116">
        <f t="shared" si="25"/>
        <v>14234.621392190153</v>
      </c>
      <c r="G141" s="117">
        <v>3874577</v>
      </c>
      <c r="H141" s="117">
        <f t="shared" si="26"/>
        <v>6578.2292020373516</v>
      </c>
      <c r="I141" s="7"/>
      <c r="J141" s="10">
        <v>0.99299999999999999</v>
      </c>
      <c r="K141" s="117">
        <v>3847</v>
      </c>
      <c r="L141" s="120">
        <f t="shared" si="37"/>
        <v>6.5314091680814936</v>
      </c>
      <c r="M141" s="122">
        <f t="shared" si="30"/>
        <v>38745.770000000004</v>
      </c>
      <c r="N141" s="116">
        <f t="shared" si="31"/>
        <v>34898.770000000004</v>
      </c>
      <c r="O141" s="123">
        <f t="shared" si="32"/>
        <v>59.25088285229203</v>
      </c>
      <c r="P141" s="5"/>
      <c r="Q141" s="5">
        <f t="shared" si="33"/>
        <v>1</v>
      </c>
      <c r="R141" s="7">
        <f t="shared" si="34"/>
        <v>589</v>
      </c>
      <c r="S141" s="5">
        <f t="shared" si="35"/>
        <v>1</v>
      </c>
      <c r="T141" s="7">
        <f t="shared" si="36"/>
        <v>589</v>
      </c>
    </row>
    <row r="142" spans="1:20">
      <c r="A142" s="23" t="s">
        <v>168</v>
      </c>
      <c r="B142" s="35" t="s">
        <v>167</v>
      </c>
      <c r="C142" s="36">
        <v>111</v>
      </c>
      <c r="D142" s="6"/>
      <c r="E142" s="113">
        <v>1730137</v>
      </c>
      <c r="F142" s="116">
        <f t="shared" si="25"/>
        <v>15586.819819819821</v>
      </c>
      <c r="G142" s="117">
        <v>937451</v>
      </c>
      <c r="H142" s="117">
        <f t="shared" si="26"/>
        <v>8445.5045045045044</v>
      </c>
      <c r="I142" s="98" t="s">
        <v>528</v>
      </c>
      <c r="J142" s="10"/>
      <c r="K142" s="117"/>
      <c r="L142" s="120"/>
      <c r="M142" s="122">
        <f t="shared" si="30"/>
        <v>9374.51</v>
      </c>
      <c r="N142" s="116">
        <f t="shared" si="31"/>
        <v>9374.51</v>
      </c>
      <c r="O142" s="123">
        <f t="shared" si="32"/>
        <v>84.455045045045054</v>
      </c>
      <c r="P142" s="5"/>
      <c r="Q142" s="5">
        <f t="shared" si="33"/>
        <v>1</v>
      </c>
      <c r="R142" s="7">
        <f t="shared" si="34"/>
        <v>111</v>
      </c>
      <c r="S142" s="5">
        <f t="shared" si="35"/>
        <v>0</v>
      </c>
      <c r="T142" s="7">
        <f t="shared" si="36"/>
        <v>0</v>
      </c>
    </row>
    <row r="143" spans="1:20">
      <c r="A143" s="23" t="s">
        <v>169</v>
      </c>
      <c r="B143" s="35" t="s">
        <v>167</v>
      </c>
      <c r="C143" s="36">
        <v>248</v>
      </c>
      <c r="D143" s="6"/>
      <c r="E143" s="113">
        <v>5091483</v>
      </c>
      <c r="F143" s="116">
        <f t="shared" si="25"/>
        <v>20530.173387096773</v>
      </c>
      <c r="G143" s="117">
        <v>2931051</v>
      </c>
      <c r="H143" s="117">
        <f t="shared" si="26"/>
        <v>11818.754032258064</v>
      </c>
      <c r="I143" s="7"/>
      <c r="J143" s="10">
        <v>2</v>
      </c>
      <c r="K143" s="117">
        <v>5862</v>
      </c>
      <c r="L143" s="120">
        <f>(K143/C143)</f>
        <v>23.637096774193548</v>
      </c>
      <c r="M143" s="122">
        <f t="shared" si="30"/>
        <v>29310.510000000002</v>
      </c>
      <c r="N143" s="116">
        <f t="shared" si="31"/>
        <v>23448.510000000002</v>
      </c>
      <c r="O143" s="123">
        <f t="shared" si="32"/>
        <v>94.550443548387108</v>
      </c>
      <c r="P143" s="5"/>
      <c r="Q143" s="5">
        <f t="shared" si="33"/>
        <v>1</v>
      </c>
      <c r="R143" s="7">
        <f t="shared" si="34"/>
        <v>248</v>
      </c>
      <c r="S143" s="5">
        <f t="shared" si="35"/>
        <v>1</v>
      </c>
      <c r="T143" s="7">
        <f t="shared" si="36"/>
        <v>248</v>
      </c>
    </row>
    <row r="144" spans="1:20">
      <c r="A144" s="23" t="s">
        <v>170</v>
      </c>
      <c r="B144" s="35" t="s">
        <v>167</v>
      </c>
      <c r="C144" s="36">
        <v>1165</v>
      </c>
      <c r="D144" s="6"/>
      <c r="E144" s="113">
        <v>20153831</v>
      </c>
      <c r="F144" s="116">
        <f t="shared" si="25"/>
        <v>17299.425751072962</v>
      </c>
      <c r="G144" s="117">
        <v>10599456</v>
      </c>
      <c r="H144" s="117">
        <f t="shared" si="26"/>
        <v>9098.2454935622318</v>
      </c>
      <c r="I144" s="9"/>
      <c r="J144" s="10">
        <v>3</v>
      </c>
      <c r="K144" s="117">
        <v>31798</v>
      </c>
      <c r="L144" s="120">
        <f>(K144/C144)</f>
        <v>27.29442060085837</v>
      </c>
      <c r="M144" s="122">
        <f t="shared" si="30"/>
        <v>105994.56</v>
      </c>
      <c r="N144" s="116">
        <f t="shared" si="31"/>
        <v>74196.56</v>
      </c>
      <c r="O144" s="123">
        <f t="shared" si="32"/>
        <v>63.688034334763948</v>
      </c>
      <c r="P144" s="5"/>
      <c r="Q144" s="5">
        <f t="shared" si="33"/>
        <v>1</v>
      </c>
      <c r="R144" s="7">
        <f t="shared" si="34"/>
        <v>1165</v>
      </c>
      <c r="S144" s="5">
        <f t="shared" si="35"/>
        <v>1</v>
      </c>
      <c r="T144" s="7">
        <f t="shared" si="36"/>
        <v>1165</v>
      </c>
    </row>
    <row r="145" spans="1:20">
      <c r="A145" s="23" t="s">
        <v>171</v>
      </c>
      <c r="B145" s="35" t="s">
        <v>167</v>
      </c>
      <c r="C145" s="36">
        <v>2695</v>
      </c>
      <c r="D145" s="6"/>
      <c r="E145" s="113">
        <v>71970939</v>
      </c>
      <c r="F145" s="116">
        <f t="shared" si="25"/>
        <v>26705.357699443415</v>
      </c>
      <c r="G145" s="117">
        <v>39978184</v>
      </c>
      <c r="H145" s="117">
        <f t="shared" si="26"/>
        <v>14834.205565862709</v>
      </c>
      <c r="I145" s="7"/>
      <c r="J145" s="10">
        <v>4</v>
      </c>
      <c r="K145" s="117">
        <v>159912</v>
      </c>
      <c r="L145" s="120">
        <f>(K145/C145)</f>
        <v>59.336549165120594</v>
      </c>
      <c r="M145" s="122">
        <f t="shared" si="30"/>
        <v>399781.84</v>
      </c>
      <c r="N145" s="116">
        <f t="shared" si="31"/>
        <v>239869.84000000003</v>
      </c>
      <c r="O145" s="123">
        <f t="shared" si="32"/>
        <v>89.005506493506502</v>
      </c>
      <c r="P145" s="5"/>
      <c r="Q145" s="5">
        <f t="shared" si="33"/>
        <v>1</v>
      </c>
      <c r="R145" s="7">
        <f t="shared" si="34"/>
        <v>2695</v>
      </c>
      <c r="S145" s="5">
        <f t="shared" si="35"/>
        <v>1</v>
      </c>
      <c r="T145" s="7">
        <f t="shared" si="36"/>
        <v>2695</v>
      </c>
    </row>
    <row r="146" spans="1:20">
      <c r="A146" s="23" t="s">
        <v>172</v>
      </c>
      <c r="B146" s="35" t="s">
        <v>167</v>
      </c>
      <c r="C146" s="36">
        <v>729</v>
      </c>
      <c r="D146" s="6"/>
      <c r="E146" s="113">
        <v>12075726</v>
      </c>
      <c r="F146" s="116">
        <f t="shared" si="25"/>
        <v>16564.781893004114</v>
      </c>
      <c r="G146" s="117">
        <v>4865166</v>
      </c>
      <c r="H146" s="117">
        <f t="shared" si="26"/>
        <v>6673.7530864197533</v>
      </c>
      <c r="I146" s="98" t="s">
        <v>528</v>
      </c>
      <c r="J146" s="12"/>
      <c r="K146" s="117"/>
      <c r="L146" s="120"/>
      <c r="M146" s="122">
        <f t="shared" si="30"/>
        <v>48651.66</v>
      </c>
      <c r="N146" s="116">
        <f t="shared" si="31"/>
        <v>48651.66</v>
      </c>
      <c r="O146" s="123">
        <f t="shared" si="32"/>
        <v>66.737530864197538</v>
      </c>
      <c r="P146" s="5"/>
      <c r="Q146" s="5">
        <f t="shared" si="33"/>
        <v>1</v>
      </c>
      <c r="R146" s="7">
        <f t="shared" si="34"/>
        <v>729</v>
      </c>
      <c r="S146" s="5">
        <f t="shared" si="35"/>
        <v>0</v>
      </c>
      <c r="T146" s="7">
        <f t="shared" si="36"/>
        <v>0</v>
      </c>
    </row>
    <row r="147" spans="1:20">
      <c r="A147" s="23" t="s">
        <v>173</v>
      </c>
      <c r="B147" s="35" t="s">
        <v>167</v>
      </c>
      <c r="C147" s="36">
        <v>667</v>
      </c>
      <c r="D147" s="6"/>
      <c r="E147" s="113">
        <v>16145334</v>
      </c>
      <c r="F147" s="116">
        <f t="shared" si="25"/>
        <v>24205.898050974512</v>
      </c>
      <c r="G147" s="117">
        <v>8087704</v>
      </c>
      <c r="H147" s="117">
        <f t="shared" si="26"/>
        <v>12125.493253373314</v>
      </c>
      <c r="I147" s="7"/>
      <c r="J147" s="10">
        <v>1</v>
      </c>
      <c r="K147" s="117">
        <v>8087</v>
      </c>
      <c r="L147" s="120">
        <f>(K147/C147)</f>
        <v>12.124437781109446</v>
      </c>
      <c r="M147" s="122">
        <f t="shared" si="30"/>
        <v>80877.040000000008</v>
      </c>
      <c r="N147" s="116">
        <f t="shared" si="31"/>
        <v>72790.040000000008</v>
      </c>
      <c r="O147" s="123">
        <f t="shared" si="32"/>
        <v>109.1304947526237</v>
      </c>
      <c r="P147" s="5"/>
      <c r="Q147" s="5">
        <f t="shared" si="33"/>
        <v>1</v>
      </c>
      <c r="R147" s="7">
        <f t="shared" si="34"/>
        <v>667</v>
      </c>
      <c r="S147" s="5">
        <f t="shared" si="35"/>
        <v>1</v>
      </c>
      <c r="T147" s="7">
        <f t="shared" si="36"/>
        <v>667</v>
      </c>
    </row>
    <row r="148" spans="1:20">
      <c r="A148" s="23" t="s">
        <v>174</v>
      </c>
      <c r="B148" s="35" t="s">
        <v>167</v>
      </c>
      <c r="C148" s="36">
        <v>334</v>
      </c>
      <c r="D148" s="6"/>
      <c r="E148" s="113">
        <v>4671724</v>
      </c>
      <c r="F148" s="116">
        <f t="shared" si="25"/>
        <v>13987.197604790419</v>
      </c>
      <c r="G148" s="117">
        <v>2120042</v>
      </c>
      <c r="H148" s="117">
        <f t="shared" si="26"/>
        <v>6347.4311377245513</v>
      </c>
      <c r="I148" s="9"/>
      <c r="J148" s="10">
        <v>4</v>
      </c>
      <c r="K148" s="117">
        <v>8480</v>
      </c>
      <c r="L148" s="120">
        <f>(K148/C148)</f>
        <v>25.389221556886227</v>
      </c>
      <c r="M148" s="122">
        <f t="shared" si="30"/>
        <v>21200.420000000002</v>
      </c>
      <c r="N148" s="116">
        <f t="shared" si="31"/>
        <v>12720.420000000002</v>
      </c>
      <c r="O148" s="123">
        <f t="shared" si="32"/>
        <v>38.085089820359286</v>
      </c>
      <c r="P148" s="5"/>
      <c r="Q148" s="5">
        <f t="shared" si="33"/>
        <v>1</v>
      </c>
      <c r="R148" s="7">
        <f t="shared" si="34"/>
        <v>334</v>
      </c>
      <c r="S148" s="5">
        <f t="shared" si="35"/>
        <v>1</v>
      </c>
      <c r="T148" s="7">
        <f t="shared" si="36"/>
        <v>334</v>
      </c>
    </row>
    <row r="149" spans="1:20">
      <c r="A149" s="23" t="s">
        <v>175</v>
      </c>
      <c r="B149" s="35" t="s">
        <v>167</v>
      </c>
      <c r="C149" s="36">
        <v>2174</v>
      </c>
      <c r="D149" s="6"/>
      <c r="E149" s="113">
        <v>33607320</v>
      </c>
      <c r="F149" s="116">
        <f t="shared" si="25"/>
        <v>15458.748850045999</v>
      </c>
      <c r="G149" s="117">
        <v>7537906</v>
      </c>
      <c r="H149" s="117">
        <f t="shared" si="26"/>
        <v>3467.2980680772771</v>
      </c>
      <c r="I149" s="98" t="s">
        <v>528</v>
      </c>
      <c r="J149" s="10"/>
      <c r="K149" s="117"/>
      <c r="L149" s="120"/>
      <c r="M149" s="122">
        <f t="shared" si="30"/>
        <v>75379.06</v>
      </c>
      <c r="N149" s="116">
        <f t="shared" si="31"/>
        <v>75379.06</v>
      </c>
      <c r="O149" s="123">
        <f t="shared" si="32"/>
        <v>34.672980680772767</v>
      </c>
      <c r="P149" s="5"/>
      <c r="Q149" s="5">
        <f t="shared" si="33"/>
        <v>1</v>
      </c>
      <c r="R149" s="7">
        <f t="shared" si="34"/>
        <v>2174</v>
      </c>
      <c r="S149" s="5">
        <f t="shared" si="35"/>
        <v>0</v>
      </c>
      <c r="T149" s="7">
        <f t="shared" si="36"/>
        <v>0</v>
      </c>
    </row>
    <row r="150" spans="1:20">
      <c r="A150" s="23" t="s">
        <v>176</v>
      </c>
      <c r="B150" s="35" t="s">
        <v>167</v>
      </c>
      <c r="C150" s="36">
        <v>6672</v>
      </c>
      <c r="D150" s="6"/>
      <c r="E150" s="113">
        <v>223229310</v>
      </c>
      <c r="F150" s="116">
        <f t="shared" si="25"/>
        <v>33457.630395683453</v>
      </c>
      <c r="G150" s="117">
        <v>122447374</v>
      </c>
      <c r="H150" s="117">
        <f t="shared" si="26"/>
        <v>18352.424160671464</v>
      </c>
      <c r="I150" s="7"/>
      <c r="J150" s="11">
        <v>2.11</v>
      </c>
      <c r="K150" s="117">
        <v>258363</v>
      </c>
      <c r="L150" s="120">
        <f t="shared" ref="L150:L193" si="38">(K150/C150)</f>
        <v>38.723471223021583</v>
      </c>
      <c r="M150" s="122">
        <f t="shared" si="30"/>
        <v>1224473.74</v>
      </c>
      <c r="N150" s="116">
        <f t="shared" si="31"/>
        <v>966110.74</v>
      </c>
      <c r="O150" s="123">
        <f t="shared" si="32"/>
        <v>144.80077038369305</v>
      </c>
      <c r="P150" s="5"/>
      <c r="Q150" s="5">
        <f t="shared" si="33"/>
        <v>1</v>
      </c>
      <c r="R150" s="7">
        <f t="shared" si="34"/>
        <v>6672</v>
      </c>
      <c r="S150" s="5">
        <f t="shared" si="35"/>
        <v>1</v>
      </c>
      <c r="T150" s="7">
        <f t="shared" si="36"/>
        <v>6672</v>
      </c>
    </row>
    <row r="151" spans="1:20">
      <c r="A151" s="23" t="s">
        <v>177</v>
      </c>
      <c r="B151" s="35" t="s">
        <v>167</v>
      </c>
      <c r="C151" s="36">
        <v>2254</v>
      </c>
      <c r="D151" s="6"/>
      <c r="E151" s="113">
        <v>40257844</v>
      </c>
      <c r="F151" s="116">
        <f t="shared" si="25"/>
        <v>17860.622892635314</v>
      </c>
      <c r="G151" s="117">
        <v>20114062</v>
      </c>
      <c r="H151" s="117">
        <f t="shared" si="26"/>
        <v>8923.7187222715165</v>
      </c>
      <c r="I151" s="9"/>
      <c r="J151" s="10">
        <v>0.66500000000000004</v>
      </c>
      <c r="K151" s="117">
        <v>13375</v>
      </c>
      <c r="L151" s="120">
        <f t="shared" si="38"/>
        <v>5.9338952972493342</v>
      </c>
      <c r="M151" s="122">
        <f t="shared" si="30"/>
        <v>201140.62</v>
      </c>
      <c r="N151" s="116">
        <f t="shared" si="31"/>
        <v>187765.62</v>
      </c>
      <c r="O151" s="123">
        <f t="shared" si="32"/>
        <v>83.303291925465842</v>
      </c>
      <c r="P151" s="5"/>
      <c r="Q151" s="5">
        <f t="shared" si="33"/>
        <v>1</v>
      </c>
      <c r="R151" s="7">
        <f t="shared" si="34"/>
        <v>2254</v>
      </c>
      <c r="S151" s="5">
        <f t="shared" si="35"/>
        <v>1</v>
      </c>
      <c r="T151" s="7">
        <f t="shared" si="36"/>
        <v>2254</v>
      </c>
    </row>
    <row r="152" spans="1:20">
      <c r="A152" s="23" t="s">
        <v>178</v>
      </c>
      <c r="B152" s="35" t="s">
        <v>179</v>
      </c>
      <c r="C152" s="36">
        <v>2920</v>
      </c>
      <c r="D152" s="6"/>
      <c r="E152" s="113">
        <v>81788567</v>
      </c>
      <c r="F152" s="116">
        <f t="shared" si="25"/>
        <v>28009.783219178084</v>
      </c>
      <c r="G152" s="117">
        <v>49951037</v>
      </c>
      <c r="H152" s="117">
        <f t="shared" si="26"/>
        <v>17106.519520547947</v>
      </c>
      <c r="I152" s="7"/>
      <c r="J152" s="10">
        <v>9.2482000000000006</v>
      </c>
      <c r="K152" s="117">
        <v>461957</v>
      </c>
      <c r="L152" s="120">
        <f t="shared" si="38"/>
        <v>158.20445205479453</v>
      </c>
      <c r="M152" s="122">
        <f t="shared" si="30"/>
        <v>499510.37</v>
      </c>
      <c r="N152" s="116">
        <f t="shared" si="31"/>
        <v>37553.369999999995</v>
      </c>
      <c r="O152" s="123">
        <f t="shared" si="32"/>
        <v>12.860743150684931</v>
      </c>
      <c r="P152" s="5"/>
      <c r="Q152" s="5">
        <f t="shared" si="33"/>
        <v>1</v>
      </c>
      <c r="R152" s="7">
        <f t="shared" si="34"/>
        <v>2920</v>
      </c>
      <c r="S152" s="5">
        <f t="shared" si="35"/>
        <v>1</v>
      </c>
      <c r="T152" s="7">
        <f t="shared" si="36"/>
        <v>2920</v>
      </c>
    </row>
    <row r="153" spans="1:20">
      <c r="A153" s="23" t="s">
        <v>180</v>
      </c>
      <c r="B153" s="35" t="s">
        <v>181</v>
      </c>
      <c r="C153" s="36">
        <v>958</v>
      </c>
      <c r="D153" s="6"/>
      <c r="E153" s="113">
        <v>22898055</v>
      </c>
      <c r="F153" s="116">
        <f t="shared" si="25"/>
        <v>23901.936325678496</v>
      </c>
      <c r="G153" s="117">
        <v>11448601</v>
      </c>
      <c r="H153" s="117">
        <f t="shared" si="26"/>
        <v>11950.522964509395</v>
      </c>
      <c r="I153" s="7"/>
      <c r="J153" s="11">
        <v>2</v>
      </c>
      <c r="K153" s="117">
        <v>22897</v>
      </c>
      <c r="L153" s="120">
        <f t="shared" si="38"/>
        <v>23.900835073068894</v>
      </c>
      <c r="M153" s="122">
        <f t="shared" si="30"/>
        <v>114486.01000000001</v>
      </c>
      <c r="N153" s="116">
        <f t="shared" si="31"/>
        <v>91589.010000000009</v>
      </c>
      <c r="O153" s="123">
        <f t="shared" si="32"/>
        <v>95.604394572025058</v>
      </c>
      <c r="P153" s="5"/>
      <c r="Q153" s="5">
        <f t="shared" si="33"/>
        <v>1</v>
      </c>
      <c r="R153" s="7">
        <f t="shared" si="34"/>
        <v>958</v>
      </c>
      <c r="S153" s="5">
        <f t="shared" si="35"/>
        <v>1</v>
      </c>
      <c r="T153" s="7">
        <f t="shared" si="36"/>
        <v>958</v>
      </c>
    </row>
    <row r="154" spans="1:20">
      <c r="A154" s="23" t="s">
        <v>182</v>
      </c>
      <c r="B154" s="35" t="s">
        <v>183</v>
      </c>
      <c r="C154" s="36">
        <v>1304</v>
      </c>
      <c r="D154" s="6"/>
      <c r="E154" s="113">
        <v>28156284</v>
      </c>
      <c r="F154" s="116">
        <f t="shared" si="25"/>
        <v>21592.242331288344</v>
      </c>
      <c r="G154" s="117">
        <v>17871306</v>
      </c>
      <c r="H154" s="117">
        <f t="shared" si="26"/>
        <v>13704.989263803682</v>
      </c>
      <c r="I154" s="7"/>
      <c r="J154" s="10">
        <v>2.25</v>
      </c>
      <c r="K154" s="117">
        <v>40210</v>
      </c>
      <c r="L154" s="120">
        <f t="shared" si="38"/>
        <v>30.835889570552148</v>
      </c>
      <c r="M154" s="122">
        <f t="shared" si="30"/>
        <v>178713.06</v>
      </c>
      <c r="N154" s="116">
        <f t="shared" si="31"/>
        <v>138503.06</v>
      </c>
      <c r="O154" s="123">
        <f t="shared" si="32"/>
        <v>106.21400306748465</v>
      </c>
      <c r="P154" s="5"/>
      <c r="Q154" s="5">
        <f t="shared" si="33"/>
        <v>1</v>
      </c>
      <c r="R154" s="7">
        <f t="shared" si="34"/>
        <v>1304</v>
      </c>
      <c r="S154" s="5">
        <f t="shared" si="35"/>
        <v>1</v>
      </c>
      <c r="T154" s="7">
        <f t="shared" si="36"/>
        <v>1304</v>
      </c>
    </row>
    <row r="155" spans="1:20">
      <c r="A155" s="23" t="s">
        <v>184</v>
      </c>
      <c r="B155" s="35" t="s">
        <v>183</v>
      </c>
      <c r="C155" s="36">
        <v>8861</v>
      </c>
      <c r="D155" s="6"/>
      <c r="E155" s="113">
        <v>445757718</v>
      </c>
      <c r="F155" s="116">
        <f t="shared" si="25"/>
        <v>50305.577022909376</v>
      </c>
      <c r="G155" s="117">
        <v>356980751</v>
      </c>
      <c r="H155" s="117">
        <f t="shared" si="26"/>
        <v>40286.734115788284</v>
      </c>
      <c r="I155" s="7"/>
      <c r="J155" s="10">
        <v>3.4790000000000001</v>
      </c>
      <c r="K155" s="117">
        <v>1241935</v>
      </c>
      <c r="L155" s="120">
        <f t="shared" si="38"/>
        <v>140.1574314411466</v>
      </c>
      <c r="M155" s="122">
        <f t="shared" si="30"/>
        <v>3569807.5100000002</v>
      </c>
      <c r="N155" s="116">
        <f t="shared" si="31"/>
        <v>2327872.5100000002</v>
      </c>
      <c r="O155" s="123">
        <f t="shared" si="32"/>
        <v>262.70990971673626</v>
      </c>
      <c r="P155" s="5"/>
      <c r="Q155" s="5">
        <f t="shared" si="33"/>
        <v>1</v>
      </c>
      <c r="R155" s="7">
        <f t="shared" si="34"/>
        <v>8861</v>
      </c>
      <c r="S155" s="5">
        <f t="shared" si="35"/>
        <v>1</v>
      </c>
      <c r="T155" s="7">
        <f t="shared" si="36"/>
        <v>8861</v>
      </c>
    </row>
    <row r="156" spans="1:20">
      <c r="A156" s="23" t="s">
        <v>185</v>
      </c>
      <c r="B156" s="35" t="s">
        <v>183</v>
      </c>
      <c r="C156" s="36">
        <v>15046</v>
      </c>
      <c r="D156" s="6"/>
      <c r="E156" s="113">
        <v>588842720</v>
      </c>
      <c r="F156" s="116">
        <f t="shared" si="25"/>
        <v>39136.163764455669</v>
      </c>
      <c r="G156" s="117">
        <v>406617718</v>
      </c>
      <c r="H156" s="117">
        <f t="shared" si="26"/>
        <v>27024.971288049979</v>
      </c>
      <c r="I156" s="7"/>
      <c r="J156" s="10">
        <v>5.2374000000000001</v>
      </c>
      <c r="K156" s="117">
        <v>2129619</v>
      </c>
      <c r="L156" s="120">
        <f t="shared" si="38"/>
        <v>141.54054233683371</v>
      </c>
      <c r="M156" s="122">
        <f t="shared" si="30"/>
        <v>4066177.18</v>
      </c>
      <c r="N156" s="116">
        <f t="shared" si="31"/>
        <v>1936558.1800000002</v>
      </c>
      <c r="O156" s="123">
        <f t="shared" si="32"/>
        <v>128.70917054366609</v>
      </c>
      <c r="P156" s="5"/>
      <c r="Q156" s="5">
        <f t="shared" si="33"/>
        <v>1</v>
      </c>
      <c r="R156" s="7">
        <f t="shared" si="34"/>
        <v>15046</v>
      </c>
      <c r="S156" s="5">
        <f t="shared" si="35"/>
        <v>1</v>
      </c>
      <c r="T156" s="7">
        <f t="shared" si="36"/>
        <v>15046</v>
      </c>
    </row>
    <row r="157" spans="1:20">
      <c r="A157" s="23" t="s">
        <v>186</v>
      </c>
      <c r="B157" s="35" t="s">
        <v>183</v>
      </c>
      <c r="C157" s="36">
        <v>3043</v>
      </c>
      <c r="D157" s="6"/>
      <c r="E157" s="113">
        <v>99914406</v>
      </c>
      <c r="F157" s="116">
        <f t="shared" ref="F157:F220" si="39">(E157/C157)</f>
        <v>32834.178770949722</v>
      </c>
      <c r="G157" s="117">
        <v>68171966</v>
      </c>
      <c r="H157" s="117">
        <f t="shared" ref="H157:H220" si="40">(G157/C157)</f>
        <v>22402.880709825829</v>
      </c>
      <c r="I157" s="7"/>
      <c r="J157" s="10">
        <v>3.89</v>
      </c>
      <c r="K157" s="117">
        <v>265188</v>
      </c>
      <c r="L157" s="120">
        <f t="shared" si="38"/>
        <v>87.146894511994745</v>
      </c>
      <c r="M157" s="122">
        <f t="shared" si="30"/>
        <v>681719.66</v>
      </c>
      <c r="N157" s="116">
        <f t="shared" si="31"/>
        <v>416531.66000000003</v>
      </c>
      <c r="O157" s="123">
        <f t="shared" si="32"/>
        <v>136.88191258626355</v>
      </c>
      <c r="P157" s="5"/>
      <c r="Q157" s="5">
        <f t="shared" si="33"/>
        <v>1</v>
      </c>
      <c r="R157" s="7">
        <f t="shared" si="34"/>
        <v>3043</v>
      </c>
      <c r="S157" s="5">
        <f t="shared" si="35"/>
        <v>1</v>
      </c>
      <c r="T157" s="7">
        <f t="shared" si="36"/>
        <v>3043</v>
      </c>
    </row>
    <row r="158" spans="1:20">
      <c r="A158" s="23" t="s">
        <v>187</v>
      </c>
      <c r="B158" s="35" t="s">
        <v>183</v>
      </c>
      <c r="C158" s="36">
        <v>2555</v>
      </c>
      <c r="D158" s="6"/>
      <c r="E158" s="113">
        <v>79674697</v>
      </c>
      <c r="F158" s="116">
        <f t="shared" si="39"/>
        <v>31183.834442270057</v>
      </c>
      <c r="G158" s="117">
        <v>59983904</v>
      </c>
      <c r="H158" s="117">
        <f t="shared" si="40"/>
        <v>23477.066144814089</v>
      </c>
      <c r="I158" s="7"/>
      <c r="J158" s="10">
        <v>6</v>
      </c>
      <c r="K158" s="117">
        <v>359903</v>
      </c>
      <c r="L158" s="120">
        <f t="shared" si="38"/>
        <v>140.86223091976515</v>
      </c>
      <c r="M158" s="122">
        <f t="shared" si="30"/>
        <v>599839.04</v>
      </c>
      <c r="N158" s="116">
        <f t="shared" si="31"/>
        <v>239936.04000000004</v>
      </c>
      <c r="O158" s="123">
        <f t="shared" si="32"/>
        <v>93.908430528375746</v>
      </c>
      <c r="P158" s="5"/>
      <c r="Q158" s="5">
        <f t="shared" si="33"/>
        <v>1</v>
      </c>
      <c r="R158" s="7">
        <f t="shared" si="34"/>
        <v>2555</v>
      </c>
      <c r="S158" s="5">
        <f t="shared" si="35"/>
        <v>1</v>
      </c>
      <c r="T158" s="7">
        <f t="shared" si="36"/>
        <v>2555</v>
      </c>
    </row>
    <row r="159" spans="1:20">
      <c r="A159" s="23" t="s">
        <v>188</v>
      </c>
      <c r="B159" s="35" t="s">
        <v>183</v>
      </c>
      <c r="C159" s="36">
        <v>825</v>
      </c>
      <c r="D159" s="6"/>
      <c r="E159" s="113">
        <v>53894872</v>
      </c>
      <c r="F159" s="116">
        <f t="shared" si="39"/>
        <v>65327.117575757577</v>
      </c>
      <c r="G159" s="117">
        <v>41336322</v>
      </c>
      <c r="H159" s="117">
        <f t="shared" si="40"/>
        <v>50104.632727272729</v>
      </c>
      <c r="I159" s="7"/>
      <c r="J159" s="10">
        <v>5.4450000000000003</v>
      </c>
      <c r="K159" s="117">
        <v>225076</v>
      </c>
      <c r="L159" s="120">
        <f t="shared" si="38"/>
        <v>272.81939393939393</v>
      </c>
      <c r="M159" s="122">
        <f t="shared" si="30"/>
        <v>413363.22000000003</v>
      </c>
      <c r="N159" s="116">
        <f t="shared" si="31"/>
        <v>188287.22000000003</v>
      </c>
      <c r="O159" s="123">
        <f t="shared" si="32"/>
        <v>228.22693333333336</v>
      </c>
      <c r="P159" s="5"/>
      <c r="Q159" s="5">
        <f t="shared" si="33"/>
        <v>1</v>
      </c>
      <c r="R159" s="7">
        <f t="shared" si="34"/>
        <v>825</v>
      </c>
      <c r="S159" s="5">
        <f t="shared" si="35"/>
        <v>1</v>
      </c>
      <c r="T159" s="7">
        <f t="shared" si="36"/>
        <v>825</v>
      </c>
    </row>
    <row r="160" spans="1:20">
      <c r="A160" s="23" t="s">
        <v>189</v>
      </c>
      <c r="B160" s="35" t="s">
        <v>183</v>
      </c>
      <c r="C160" s="36">
        <v>13067</v>
      </c>
      <c r="D160" s="6"/>
      <c r="E160" s="113">
        <v>567725882</v>
      </c>
      <c r="F160" s="116">
        <f t="shared" si="39"/>
        <v>43447.300987219714</v>
      </c>
      <c r="G160" s="117">
        <v>398312767</v>
      </c>
      <c r="H160" s="117">
        <f t="shared" si="40"/>
        <v>30482.342312696106</v>
      </c>
      <c r="I160" s="7"/>
      <c r="J160" s="10">
        <v>2.72</v>
      </c>
      <c r="K160" s="117">
        <v>1083410</v>
      </c>
      <c r="L160" s="120">
        <f t="shared" si="38"/>
        <v>82.911915512359386</v>
      </c>
      <c r="M160" s="122">
        <f t="shared" si="30"/>
        <v>3983127.67</v>
      </c>
      <c r="N160" s="116">
        <f t="shared" si="31"/>
        <v>2899717.67</v>
      </c>
      <c r="O160" s="123">
        <f t="shared" si="32"/>
        <v>221.91150761460167</v>
      </c>
      <c r="P160" s="5"/>
      <c r="Q160" s="5">
        <f t="shared" si="33"/>
        <v>1</v>
      </c>
      <c r="R160" s="7">
        <f t="shared" si="34"/>
        <v>13067</v>
      </c>
      <c r="S160" s="5">
        <f t="shared" si="35"/>
        <v>1</v>
      </c>
      <c r="T160" s="7">
        <f t="shared" si="36"/>
        <v>13067</v>
      </c>
    </row>
    <row r="161" spans="1:20">
      <c r="A161" s="23" t="s">
        <v>190</v>
      </c>
      <c r="B161" s="35" t="s">
        <v>183</v>
      </c>
      <c r="C161" s="36">
        <v>15624</v>
      </c>
      <c r="D161" s="6"/>
      <c r="E161" s="113">
        <v>883925222</v>
      </c>
      <c r="F161" s="116">
        <f t="shared" si="39"/>
        <v>56574.834997439837</v>
      </c>
      <c r="G161" s="117">
        <v>599516262</v>
      </c>
      <c r="H161" s="117">
        <f t="shared" si="40"/>
        <v>38371.496543778805</v>
      </c>
      <c r="I161" s="7"/>
      <c r="J161" s="10">
        <v>4.5</v>
      </c>
      <c r="K161" s="117">
        <v>2697823</v>
      </c>
      <c r="L161" s="120">
        <f t="shared" si="38"/>
        <v>172.67172299027138</v>
      </c>
      <c r="M161" s="122">
        <f t="shared" si="30"/>
        <v>5995162.6200000001</v>
      </c>
      <c r="N161" s="116">
        <f t="shared" si="31"/>
        <v>3297339.62</v>
      </c>
      <c r="O161" s="123">
        <f t="shared" si="32"/>
        <v>211.04324244751666</v>
      </c>
      <c r="P161" s="5"/>
      <c r="Q161" s="5">
        <f t="shared" si="33"/>
        <v>1</v>
      </c>
      <c r="R161" s="7">
        <f t="shared" si="34"/>
        <v>15624</v>
      </c>
      <c r="S161" s="5">
        <f t="shared" si="35"/>
        <v>1</v>
      </c>
      <c r="T161" s="7">
        <f t="shared" si="36"/>
        <v>15624</v>
      </c>
    </row>
    <row r="162" spans="1:20">
      <c r="A162" s="23" t="s">
        <v>191</v>
      </c>
      <c r="B162" s="35" t="s">
        <v>183</v>
      </c>
      <c r="C162" s="36">
        <v>2614</v>
      </c>
      <c r="D162" s="6"/>
      <c r="E162" s="113">
        <v>51079856</v>
      </c>
      <c r="F162" s="116">
        <f t="shared" si="39"/>
        <v>19540.878347360369</v>
      </c>
      <c r="G162" s="117">
        <v>34006378</v>
      </c>
      <c r="H162" s="117">
        <f t="shared" si="40"/>
        <v>13009.325937260903</v>
      </c>
      <c r="I162" s="7"/>
      <c r="J162" s="10">
        <v>5.3520000000000003</v>
      </c>
      <c r="K162" s="117">
        <v>182002</v>
      </c>
      <c r="L162" s="120">
        <f t="shared" si="38"/>
        <v>69.625860749808723</v>
      </c>
      <c r="M162" s="122">
        <f t="shared" si="30"/>
        <v>340063.78</v>
      </c>
      <c r="N162" s="116">
        <f t="shared" si="31"/>
        <v>158061.78000000003</v>
      </c>
      <c r="O162" s="123">
        <f t="shared" si="32"/>
        <v>60.467398622800317</v>
      </c>
      <c r="P162" s="5"/>
      <c r="Q162" s="5">
        <f t="shared" si="33"/>
        <v>1</v>
      </c>
      <c r="R162" s="7">
        <f t="shared" si="34"/>
        <v>2614</v>
      </c>
      <c r="S162" s="5">
        <f t="shared" si="35"/>
        <v>1</v>
      </c>
      <c r="T162" s="7">
        <f t="shared" si="36"/>
        <v>2614</v>
      </c>
    </row>
    <row r="163" spans="1:20">
      <c r="A163" s="23" t="s">
        <v>192</v>
      </c>
      <c r="B163" s="35" t="s">
        <v>183</v>
      </c>
      <c r="C163" s="36">
        <v>3902</v>
      </c>
      <c r="D163" s="6"/>
      <c r="E163" s="113">
        <v>146149776</v>
      </c>
      <c r="F163" s="116">
        <f t="shared" si="39"/>
        <v>37455.093798052279</v>
      </c>
      <c r="G163" s="117">
        <v>111897723</v>
      </c>
      <c r="H163" s="117">
        <f t="shared" si="40"/>
        <v>28677.017683239363</v>
      </c>
      <c r="I163" s="7"/>
      <c r="J163" s="10">
        <v>3.39</v>
      </c>
      <c r="K163" s="117">
        <v>379333</v>
      </c>
      <c r="L163" s="120">
        <f t="shared" si="38"/>
        <v>97.215017939518191</v>
      </c>
      <c r="M163" s="122">
        <f t="shared" si="30"/>
        <v>1118977.23</v>
      </c>
      <c r="N163" s="116">
        <f t="shared" si="31"/>
        <v>739644.23</v>
      </c>
      <c r="O163" s="123">
        <f t="shared" si="32"/>
        <v>189.55515889287545</v>
      </c>
      <c r="P163" s="5"/>
      <c r="Q163" s="5">
        <f t="shared" si="33"/>
        <v>1</v>
      </c>
      <c r="R163" s="7">
        <f t="shared" si="34"/>
        <v>3902</v>
      </c>
      <c r="S163" s="5">
        <f t="shared" si="35"/>
        <v>1</v>
      </c>
      <c r="T163" s="7">
        <f t="shared" si="36"/>
        <v>3902</v>
      </c>
    </row>
    <row r="164" spans="1:20">
      <c r="A164" s="23" t="s">
        <v>193</v>
      </c>
      <c r="B164" s="35" t="s">
        <v>183</v>
      </c>
      <c r="C164" s="36">
        <v>1199</v>
      </c>
      <c r="D164" s="6"/>
      <c r="E164" s="113">
        <v>37364960</v>
      </c>
      <c r="F164" s="116">
        <f t="shared" si="39"/>
        <v>31163.436196830691</v>
      </c>
      <c r="G164" s="117">
        <v>25114500</v>
      </c>
      <c r="H164" s="117">
        <f t="shared" si="40"/>
        <v>20946.205170975813</v>
      </c>
      <c r="I164" s="7"/>
      <c r="J164" s="10">
        <v>2.99</v>
      </c>
      <c r="K164" s="117">
        <v>75092</v>
      </c>
      <c r="L164" s="120">
        <f t="shared" si="38"/>
        <v>62.628857381150958</v>
      </c>
      <c r="M164" s="122">
        <f t="shared" si="30"/>
        <v>251145</v>
      </c>
      <c r="N164" s="116">
        <f t="shared" si="31"/>
        <v>176053</v>
      </c>
      <c r="O164" s="123">
        <f t="shared" si="32"/>
        <v>146.83319432860716</v>
      </c>
      <c r="P164" s="5"/>
      <c r="Q164" s="5">
        <f t="shared" si="33"/>
        <v>1</v>
      </c>
      <c r="R164" s="7">
        <f t="shared" si="34"/>
        <v>1199</v>
      </c>
      <c r="S164" s="5">
        <f t="shared" si="35"/>
        <v>1</v>
      </c>
      <c r="T164" s="7">
        <f t="shared" si="36"/>
        <v>1199</v>
      </c>
    </row>
    <row r="165" spans="1:20">
      <c r="A165" s="23" t="s">
        <v>194</v>
      </c>
      <c r="B165" s="35" t="s">
        <v>183</v>
      </c>
      <c r="C165" s="36">
        <v>9064</v>
      </c>
      <c r="D165" s="6"/>
      <c r="E165" s="113">
        <v>513959585</v>
      </c>
      <c r="F165" s="116">
        <f t="shared" si="39"/>
        <v>56703.396403353931</v>
      </c>
      <c r="G165" s="117">
        <v>399211424</v>
      </c>
      <c r="H165" s="117">
        <f t="shared" si="40"/>
        <v>44043.625772285966</v>
      </c>
      <c r="I165" s="7"/>
      <c r="J165" s="10">
        <v>6.181</v>
      </c>
      <c r="K165" s="117">
        <v>2467525</v>
      </c>
      <c r="L165" s="120">
        <f t="shared" si="38"/>
        <v>272.23356134157103</v>
      </c>
      <c r="M165" s="122">
        <f t="shared" si="30"/>
        <v>3992114.24</v>
      </c>
      <c r="N165" s="116">
        <f t="shared" si="31"/>
        <v>1524589.2400000002</v>
      </c>
      <c r="O165" s="123">
        <f t="shared" si="32"/>
        <v>168.20269638128863</v>
      </c>
      <c r="P165" s="5"/>
      <c r="Q165" s="5">
        <f t="shared" si="33"/>
        <v>1</v>
      </c>
      <c r="R165" s="7">
        <f t="shared" si="34"/>
        <v>9064</v>
      </c>
      <c r="S165" s="5">
        <f t="shared" si="35"/>
        <v>1</v>
      </c>
      <c r="T165" s="7">
        <f t="shared" si="36"/>
        <v>9064</v>
      </c>
    </row>
    <row r="166" spans="1:20">
      <c r="A166" s="23" t="s">
        <v>195</v>
      </c>
      <c r="B166" s="35" t="s">
        <v>183</v>
      </c>
      <c r="C166" s="36">
        <v>8646</v>
      </c>
      <c r="D166" s="6"/>
      <c r="E166" s="113">
        <v>485251434</v>
      </c>
      <c r="F166" s="116">
        <f t="shared" si="39"/>
        <v>56124.385149201946</v>
      </c>
      <c r="G166" s="117">
        <v>277816262</v>
      </c>
      <c r="H166" s="117">
        <f t="shared" si="40"/>
        <v>32132.345824658802</v>
      </c>
      <c r="I166" s="7"/>
      <c r="J166" s="10">
        <v>4.42</v>
      </c>
      <c r="K166" s="117">
        <v>1227947</v>
      </c>
      <c r="L166" s="120">
        <f t="shared" si="38"/>
        <v>142.02486699051585</v>
      </c>
      <c r="M166" s="122">
        <f t="shared" si="30"/>
        <v>2778162.62</v>
      </c>
      <c r="N166" s="116">
        <f t="shared" si="31"/>
        <v>1550215.62</v>
      </c>
      <c r="O166" s="123">
        <f t="shared" si="32"/>
        <v>179.29859125607217</v>
      </c>
      <c r="P166" s="5"/>
      <c r="Q166" s="5">
        <f t="shared" si="33"/>
        <v>1</v>
      </c>
      <c r="R166" s="7">
        <f t="shared" si="34"/>
        <v>8646</v>
      </c>
      <c r="S166" s="5">
        <f t="shared" si="35"/>
        <v>1</v>
      </c>
      <c r="T166" s="7">
        <f t="shared" si="36"/>
        <v>8646</v>
      </c>
    </row>
    <row r="167" spans="1:20">
      <c r="A167" s="23" t="s">
        <v>196</v>
      </c>
      <c r="B167" s="35" t="s">
        <v>183</v>
      </c>
      <c r="C167" s="36">
        <v>2513</v>
      </c>
      <c r="D167" s="6"/>
      <c r="E167" s="113">
        <v>81868154</v>
      </c>
      <c r="F167" s="116">
        <f t="shared" si="39"/>
        <v>32577.856744926383</v>
      </c>
      <c r="G167" s="117">
        <v>59056806</v>
      </c>
      <c r="H167" s="117">
        <f t="shared" si="40"/>
        <v>23500.519697572621</v>
      </c>
      <c r="I167" s="7"/>
      <c r="J167" s="10">
        <v>5.5140000000000002</v>
      </c>
      <c r="K167" s="117">
        <v>325639</v>
      </c>
      <c r="L167" s="120">
        <f t="shared" si="38"/>
        <v>129.5817747711898</v>
      </c>
      <c r="M167" s="122">
        <f t="shared" si="30"/>
        <v>590568.06000000006</v>
      </c>
      <c r="N167" s="116">
        <f t="shared" si="31"/>
        <v>264929.06000000006</v>
      </c>
      <c r="O167" s="123">
        <f t="shared" si="32"/>
        <v>105.42342220453644</v>
      </c>
      <c r="P167" s="5"/>
      <c r="Q167" s="5">
        <f t="shared" si="33"/>
        <v>1</v>
      </c>
      <c r="R167" s="7">
        <f t="shared" si="34"/>
        <v>2513</v>
      </c>
      <c r="S167" s="5">
        <f t="shared" si="35"/>
        <v>1</v>
      </c>
      <c r="T167" s="7">
        <f t="shared" si="36"/>
        <v>2513</v>
      </c>
    </row>
    <row r="168" spans="1:20">
      <c r="A168" s="23" t="s">
        <v>197</v>
      </c>
      <c r="B168" s="35" t="s">
        <v>198</v>
      </c>
      <c r="C168" s="36">
        <v>96760</v>
      </c>
      <c r="D168" s="6"/>
      <c r="E168" s="113">
        <v>5022882600</v>
      </c>
      <c r="F168" s="116">
        <f t="shared" si="39"/>
        <v>51910.733774286899</v>
      </c>
      <c r="G168" s="117">
        <v>3932343640</v>
      </c>
      <c r="H168" s="117">
        <f t="shared" si="40"/>
        <v>40640.178172798674</v>
      </c>
      <c r="I168" s="7"/>
      <c r="J168" s="10">
        <v>6.8478000000000003</v>
      </c>
      <c r="K168" s="117">
        <v>26927902</v>
      </c>
      <c r="L168" s="120">
        <f t="shared" si="38"/>
        <v>278.29580405126086</v>
      </c>
      <c r="M168" s="122">
        <f t="shared" si="30"/>
        <v>39323436.399999999</v>
      </c>
      <c r="N168" s="116">
        <f t="shared" si="31"/>
        <v>12395534.399999999</v>
      </c>
      <c r="O168" s="123">
        <f t="shared" si="32"/>
        <v>128.1059776767259</v>
      </c>
      <c r="P168" s="5"/>
      <c r="Q168" s="5">
        <f t="shared" si="33"/>
        <v>1</v>
      </c>
      <c r="R168" s="7">
        <f t="shared" si="34"/>
        <v>96760</v>
      </c>
      <c r="S168" s="5">
        <f t="shared" si="35"/>
        <v>1</v>
      </c>
      <c r="T168" s="7">
        <f t="shared" si="36"/>
        <v>96760</v>
      </c>
    </row>
    <row r="169" spans="1:20">
      <c r="A169" s="23" t="s">
        <v>199</v>
      </c>
      <c r="B169" s="35" t="s">
        <v>198</v>
      </c>
      <c r="C169" s="36">
        <v>47068</v>
      </c>
      <c r="D169" s="6"/>
      <c r="E169" s="113">
        <v>2683306640</v>
      </c>
      <c r="F169" s="116">
        <f t="shared" si="39"/>
        <v>57009.149315883406</v>
      </c>
      <c r="G169" s="117">
        <v>1939417640</v>
      </c>
      <c r="H169" s="117">
        <f t="shared" si="40"/>
        <v>41204.589954958785</v>
      </c>
      <c r="I169" s="7"/>
      <c r="J169" s="10">
        <v>5.7816000000000001</v>
      </c>
      <c r="K169" s="117">
        <v>11212937</v>
      </c>
      <c r="L169" s="120">
        <f t="shared" si="38"/>
        <v>238.22845670094333</v>
      </c>
      <c r="M169" s="122">
        <f t="shared" si="30"/>
        <v>19394176.400000002</v>
      </c>
      <c r="N169" s="116">
        <f t="shared" si="31"/>
        <v>8181239.4000000022</v>
      </c>
      <c r="O169" s="123">
        <f t="shared" si="32"/>
        <v>173.81744284864456</v>
      </c>
      <c r="P169" s="5"/>
      <c r="Q169" s="5">
        <f t="shared" si="33"/>
        <v>1</v>
      </c>
      <c r="R169" s="7">
        <f t="shared" si="34"/>
        <v>47068</v>
      </c>
      <c r="S169" s="5">
        <f t="shared" si="35"/>
        <v>1</v>
      </c>
      <c r="T169" s="7">
        <f t="shared" si="36"/>
        <v>47068</v>
      </c>
    </row>
    <row r="170" spans="1:20">
      <c r="A170" s="23" t="s">
        <v>200</v>
      </c>
      <c r="B170" s="35" t="s">
        <v>198</v>
      </c>
      <c r="C170" s="36">
        <v>6107</v>
      </c>
      <c r="D170" s="6"/>
      <c r="E170" s="113">
        <v>1382508420</v>
      </c>
      <c r="F170" s="116">
        <f t="shared" si="39"/>
        <v>226380.94317995742</v>
      </c>
      <c r="G170" s="117">
        <v>1289215850</v>
      </c>
      <c r="H170" s="117">
        <f t="shared" si="40"/>
        <v>211104.60946454888</v>
      </c>
      <c r="I170" s="7"/>
      <c r="J170" s="10">
        <v>1.0961000000000001</v>
      </c>
      <c r="K170" s="117">
        <v>1413109</v>
      </c>
      <c r="L170" s="120">
        <f t="shared" si="38"/>
        <v>231.39168167676436</v>
      </c>
      <c r="M170" s="122">
        <f t="shared" si="30"/>
        <v>12892158.5</v>
      </c>
      <c r="N170" s="116">
        <f t="shared" si="31"/>
        <v>11479049.5</v>
      </c>
      <c r="O170" s="123">
        <f t="shared" si="32"/>
        <v>1879.6544129687245</v>
      </c>
      <c r="P170" s="5"/>
      <c r="Q170" s="5">
        <f t="shared" si="33"/>
        <v>1</v>
      </c>
      <c r="R170" s="7">
        <f t="shared" si="34"/>
        <v>6107</v>
      </c>
      <c r="S170" s="5">
        <f t="shared" si="35"/>
        <v>1</v>
      </c>
      <c r="T170" s="7">
        <f t="shared" si="36"/>
        <v>6107</v>
      </c>
    </row>
    <row r="171" spans="1:20">
      <c r="A171" s="23" t="s">
        <v>201</v>
      </c>
      <c r="B171" s="35" t="s">
        <v>198</v>
      </c>
      <c r="C171" s="36">
        <v>6012</v>
      </c>
      <c r="D171" s="6"/>
      <c r="E171" s="113">
        <v>2549040640</v>
      </c>
      <c r="F171" s="116">
        <f t="shared" si="39"/>
        <v>423992.12242182303</v>
      </c>
      <c r="G171" s="117">
        <v>2393659200</v>
      </c>
      <c r="H171" s="117">
        <f t="shared" si="40"/>
        <v>398146.90618762473</v>
      </c>
      <c r="I171" s="7"/>
      <c r="J171" s="10">
        <v>1.9543999999999999</v>
      </c>
      <c r="K171" s="117">
        <v>4678167</v>
      </c>
      <c r="L171" s="120">
        <f t="shared" si="38"/>
        <v>778.13822355289426</v>
      </c>
      <c r="M171" s="122">
        <f t="shared" si="30"/>
        <v>23936592</v>
      </c>
      <c r="N171" s="116">
        <f t="shared" si="31"/>
        <v>19258425</v>
      </c>
      <c r="O171" s="123">
        <f t="shared" si="32"/>
        <v>3203.3308383233534</v>
      </c>
      <c r="P171" s="5"/>
      <c r="Q171" s="5">
        <f t="shared" si="33"/>
        <v>1</v>
      </c>
      <c r="R171" s="7">
        <f t="shared" si="34"/>
        <v>6012</v>
      </c>
      <c r="S171" s="5">
        <f t="shared" si="35"/>
        <v>1</v>
      </c>
      <c r="T171" s="7">
        <f t="shared" si="36"/>
        <v>6012</v>
      </c>
    </row>
    <row r="172" spans="1:20">
      <c r="A172" s="23" t="s">
        <v>202</v>
      </c>
      <c r="B172" s="35" t="s">
        <v>203</v>
      </c>
      <c r="C172" s="36">
        <v>145610</v>
      </c>
      <c r="D172" s="6"/>
      <c r="E172" s="113">
        <v>10283317231</v>
      </c>
      <c r="F172" s="116">
        <f t="shared" si="39"/>
        <v>70622.32834970126</v>
      </c>
      <c r="G172" s="117">
        <v>5217865210</v>
      </c>
      <c r="H172" s="117">
        <f t="shared" si="40"/>
        <v>35834.525169974593</v>
      </c>
      <c r="I172" s="7"/>
      <c r="J172" s="10">
        <v>3.2</v>
      </c>
      <c r="K172" s="117">
        <v>16697168</v>
      </c>
      <c r="L172" s="120">
        <f t="shared" si="38"/>
        <v>114.67047592885105</v>
      </c>
      <c r="M172" s="122">
        <f t="shared" si="30"/>
        <v>52178652.100000001</v>
      </c>
      <c r="N172" s="116">
        <f t="shared" si="31"/>
        <v>35481484.100000001</v>
      </c>
      <c r="O172" s="123">
        <f t="shared" si="32"/>
        <v>243.67477577089485</v>
      </c>
      <c r="P172" s="5"/>
      <c r="Q172" s="5">
        <f t="shared" si="33"/>
        <v>1</v>
      </c>
      <c r="R172" s="7">
        <f t="shared" si="34"/>
        <v>145610</v>
      </c>
      <c r="S172" s="5">
        <f t="shared" si="35"/>
        <v>1</v>
      </c>
      <c r="T172" s="7">
        <f t="shared" si="36"/>
        <v>145610</v>
      </c>
    </row>
    <row r="173" spans="1:20">
      <c r="A173" s="23" t="s">
        <v>204</v>
      </c>
      <c r="B173" s="35" t="s">
        <v>205</v>
      </c>
      <c r="C173" s="36">
        <v>930</v>
      </c>
      <c r="D173" s="6"/>
      <c r="E173" s="113">
        <v>27151420</v>
      </c>
      <c r="F173" s="116">
        <f t="shared" si="39"/>
        <v>29195.075268817203</v>
      </c>
      <c r="G173" s="117">
        <v>16137300</v>
      </c>
      <c r="H173" s="117">
        <f t="shared" si="40"/>
        <v>17351.935483870966</v>
      </c>
      <c r="I173" s="7"/>
      <c r="J173" s="10">
        <v>3.2</v>
      </c>
      <c r="K173" s="117">
        <v>51639</v>
      </c>
      <c r="L173" s="120">
        <f t="shared" si="38"/>
        <v>55.525806451612901</v>
      </c>
      <c r="M173" s="122">
        <f t="shared" si="30"/>
        <v>161373</v>
      </c>
      <c r="N173" s="116">
        <f t="shared" si="31"/>
        <v>109734</v>
      </c>
      <c r="O173" s="123">
        <f t="shared" si="32"/>
        <v>117.99354838709678</v>
      </c>
      <c r="P173" s="5"/>
      <c r="Q173" s="5">
        <f t="shared" si="33"/>
        <v>1</v>
      </c>
      <c r="R173" s="7">
        <f t="shared" si="34"/>
        <v>930</v>
      </c>
      <c r="S173" s="5">
        <f t="shared" si="35"/>
        <v>1</v>
      </c>
      <c r="T173" s="7">
        <f t="shared" si="36"/>
        <v>930</v>
      </c>
    </row>
    <row r="174" spans="1:20">
      <c r="A174" s="23" t="s">
        <v>206</v>
      </c>
      <c r="B174" s="35" t="s">
        <v>205</v>
      </c>
      <c r="C174" s="36">
        <v>769</v>
      </c>
      <c r="D174" s="6"/>
      <c r="E174" s="113">
        <v>73363416</v>
      </c>
      <c r="F174" s="116">
        <f t="shared" si="39"/>
        <v>95401.061118335507</v>
      </c>
      <c r="G174" s="117">
        <v>62784621</v>
      </c>
      <c r="H174" s="117">
        <f t="shared" si="40"/>
        <v>81644.500650195056</v>
      </c>
      <c r="I174" s="7"/>
      <c r="J174" s="10">
        <v>2.4</v>
      </c>
      <c r="K174" s="117">
        <v>150683</v>
      </c>
      <c r="L174" s="120">
        <f t="shared" si="38"/>
        <v>195.94668400520155</v>
      </c>
      <c r="M174" s="122">
        <f t="shared" si="30"/>
        <v>627846.21</v>
      </c>
      <c r="N174" s="116">
        <f t="shared" si="31"/>
        <v>477163.20999999996</v>
      </c>
      <c r="O174" s="123">
        <f t="shared" si="32"/>
        <v>620.49832249674898</v>
      </c>
      <c r="P174" s="5"/>
      <c r="Q174" s="5">
        <f t="shared" si="33"/>
        <v>1</v>
      </c>
      <c r="R174" s="7">
        <f t="shared" si="34"/>
        <v>769</v>
      </c>
      <c r="S174" s="5">
        <f t="shared" si="35"/>
        <v>1</v>
      </c>
      <c r="T174" s="7">
        <f t="shared" si="36"/>
        <v>769</v>
      </c>
    </row>
    <row r="175" spans="1:20">
      <c r="A175" s="23" t="s">
        <v>207</v>
      </c>
      <c r="B175" s="35" t="s">
        <v>205</v>
      </c>
      <c r="C175" s="36">
        <v>2038</v>
      </c>
      <c r="D175" s="6"/>
      <c r="E175" s="113">
        <v>94488905</v>
      </c>
      <c r="F175" s="116">
        <f t="shared" si="39"/>
        <v>46363.545142296367</v>
      </c>
      <c r="G175" s="117">
        <v>72925852</v>
      </c>
      <c r="H175" s="117">
        <f t="shared" si="40"/>
        <v>35783.048086359173</v>
      </c>
      <c r="I175" s="7"/>
      <c r="J175" s="10">
        <v>4.9406999999999996</v>
      </c>
      <c r="K175" s="117">
        <v>360304</v>
      </c>
      <c r="L175" s="120">
        <f t="shared" si="38"/>
        <v>176.79293424926399</v>
      </c>
      <c r="M175" s="122">
        <f t="shared" si="30"/>
        <v>729258.52</v>
      </c>
      <c r="N175" s="116">
        <f t="shared" si="31"/>
        <v>368954.52</v>
      </c>
      <c r="O175" s="123">
        <f t="shared" si="32"/>
        <v>181.03754661432779</v>
      </c>
      <c r="P175" s="5"/>
      <c r="Q175" s="5">
        <f t="shared" si="33"/>
        <v>1</v>
      </c>
      <c r="R175" s="7">
        <f t="shared" si="34"/>
        <v>2038</v>
      </c>
      <c r="S175" s="5">
        <f t="shared" si="35"/>
        <v>1</v>
      </c>
      <c r="T175" s="7">
        <f t="shared" si="36"/>
        <v>2038</v>
      </c>
    </row>
    <row r="176" spans="1:20">
      <c r="A176" s="23" t="s">
        <v>208</v>
      </c>
      <c r="B176" s="35" t="s">
        <v>205</v>
      </c>
      <c r="C176" s="36">
        <v>1363</v>
      </c>
      <c r="D176" s="6"/>
      <c r="E176" s="113">
        <v>51797707</v>
      </c>
      <c r="F176" s="116">
        <f t="shared" si="39"/>
        <v>38002.719735876744</v>
      </c>
      <c r="G176" s="117">
        <v>38605490</v>
      </c>
      <c r="H176" s="117">
        <f t="shared" si="40"/>
        <v>28323.910491562729</v>
      </c>
      <c r="I176" s="7"/>
      <c r="J176" s="10">
        <v>4</v>
      </c>
      <c r="K176" s="117">
        <v>154421</v>
      </c>
      <c r="L176" s="120">
        <f t="shared" si="38"/>
        <v>113.2949376375642</v>
      </c>
      <c r="M176" s="122">
        <f t="shared" si="30"/>
        <v>386054.9</v>
      </c>
      <c r="N176" s="116">
        <f t="shared" si="31"/>
        <v>231633.90000000002</v>
      </c>
      <c r="O176" s="123">
        <f t="shared" si="32"/>
        <v>169.94416727806311</v>
      </c>
      <c r="P176" s="5"/>
      <c r="Q176" s="5">
        <f t="shared" si="33"/>
        <v>1</v>
      </c>
      <c r="R176" s="7">
        <f t="shared" si="34"/>
        <v>1363</v>
      </c>
      <c r="S176" s="5">
        <f t="shared" si="35"/>
        <v>1</v>
      </c>
      <c r="T176" s="7">
        <f t="shared" si="36"/>
        <v>1363</v>
      </c>
    </row>
    <row r="177" spans="1:20">
      <c r="A177" s="23" t="s">
        <v>209</v>
      </c>
      <c r="B177" s="35" t="s">
        <v>205</v>
      </c>
      <c r="C177" s="36">
        <v>136</v>
      </c>
      <c r="D177" s="6"/>
      <c r="E177" s="113">
        <v>3811034</v>
      </c>
      <c r="F177" s="116">
        <f t="shared" si="39"/>
        <v>28022.308823529413</v>
      </c>
      <c r="G177" s="117">
        <v>2362740</v>
      </c>
      <c r="H177" s="117">
        <f t="shared" si="40"/>
        <v>17373.088235294119</v>
      </c>
      <c r="I177" s="7"/>
      <c r="J177" s="10">
        <v>3</v>
      </c>
      <c r="K177" s="117">
        <v>7088</v>
      </c>
      <c r="L177" s="120">
        <f t="shared" si="38"/>
        <v>52.117647058823529</v>
      </c>
      <c r="M177" s="122">
        <f t="shared" si="30"/>
        <v>23627.4</v>
      </c>
      <c r="N177" s="116">
        <f t="shared" si="31"/>
        <v>16539.400000000001</v>
      </c>
      <c r="O177" s="123">
        <f t="shared" si="32"/>
        <v>121.61323529411766</v>
      </c>
      <c r="P177" s="5"/>
      <c r="Q177" s="5">
        <f t="shared" si="33"/>
        <v>1</v>
      </c>
      <c r="R177" s="7">
        <f t="shared" si="34"/>
        <v>136</v>
      </c>
      <c r="S177" s="5">
        <f t="shared" si="35"/>
        <v>1</v>
      </c>
      <c r="T177" s="7">
        <f t="shared" si="36"/>
        <v>136</v>
      </c>
    </row>
    <row r="178" spans="1:20">
      <c r="A178" s="23" t="s">
        <v>210</v>
      </c>
      <c r="B178" s="35" t="s">
        <v>205</v>
      </c>
      <c r="C178" s="36">
        <v>2374</v>
      </c>
      <c r="D178" s="6"/>
      <c r="E178" s="113">
        <v>74257706</v>
      </c>
      <c r="F178" s="116">
        <f t="shared" si="39"/>
        <v>31279.572872788543</v>
      </c>
      <c r="G178" s="117">
        <v>50680689</v>
      </c>
      <c r="H178" s="117">
        <f t="shared" si="40"/>
        <v>21348.226200505476</v>
      </c>
      <c r="I178" s="7"/>
      <c r="J178" s="10">
        <v>3.4016000000000002</v>
      </c>
      <c r="K178" s="117">
        <v>172395</v>
      </c>
      <c r="L178" s="120">
        <f t="shared" si="38"/>
        <v>72.617944397641111</v>
      </c>
      <c r="M178" s="122">
        <f t="shared" si="30"/>
        <v>506806.89</v>
      </c>
      <c r="N178" s="116">
        <f t="shared" si="31"/>
        <v>334411.89</v>
      </c>
      <c r="O178" s="123">
        <f t="shared" si="32"/>
        <v>140.86431760741365</v>
      </c>
      <c r="P178" s="5"/>
      <c r="Q178" s="5">
        <f t="shared" si="33"/>
        <v>1</v>
      </c>
      <c r="R178" s="7">
        <f t="shared" si="34"/>
        <v>2374</v>
      </c>
      <c r="S178" s="5">
        <f t="shared" si="35"/>
        <v>1</v>
      </c>
      <c r="T178" s="7">
        <f t="shared" si="36"/>
        <v>2374</v>
      </c>
    </row>
    <row r="179" spans="1:20">
      <c r="A179" s="23" t="s">
        <v>211</v>
      </c>
      <c r="B179" s="35" t="s">
        <v>205</v>
      </c>
      <c r="C179" s="36">
        <v>623</v>
      </c>
      <c r="D179" s="6"/>
      <c r="E179" s="113">
        <v>32337923</v>
      </c>
      <c r="F179" s="116">
        <f t="shared" si="39"/>
        <v>51906.778491171746</v>
      </c>
      <c r="G179" s="117">
        <v>25083790</v>
      </c>
      <c r="H179" s="117">
        <f t="shared" si="40"/>
        <v>40262.905296950237</v>
      </c>
      <c r="I179" s="7"/>
      <c r="J179" s="10">
        <v>1.9510000000000001</v>
      </c>
      <c r="K179" s="117">
        <v>48938</v>
      </c>
      <c r="L179" s="120">
        <f t="shared" si="38"/>
        <v>78.552166934189401</v>
      </c>
      <c r="M179" s="122">
        <f t="shared" si="30"/>
        <v>250837.9</v>
      </c>
      <c r="N179" s="116">
        <f t="shared" si="31"/>
        <v>201899.9</v>
      </c>
      <c r="O179" s="123">
        <f t="shared" si="32"/>
        <v>324.07688603531301</v>
      </c>
      <c r="P179" s="5"/>
      <c r="Q179" s="5">
        <f t="shared" si="33"/>
        <v>1</v>
      </c>
      <c r="R179" s="7">
        <f t="shared" si="34"/>
        <v>623</v>
      </c>
      <c r="S179" s="5">
        <f t="shared" si="35"/>
        <v>1</v>
      </c>
      <c r="T179" s="7">
        <f t="shared" si="36"/>
        <v>623</v>
      </c>
    </row>
    <row r="180" spans="1:20">
      <c r="A180" s="23" t="s">
        <v>212</v>
      </c>
      <c r="B180" s="35" t="s">
        <v>213</v>
      </c>
      <c r="C180" s="36">
        <v>1165</v>
      </c>
      <c r="D180" s="6"/>
      <c r="E180" s="113">
        <v>25845046</v>
      </c>
      <c r="F180" s="116">
        <f t="shared" si="39"/>
        <v>22184.588841201716</v>
      </c>
      <c r="G180" s="117">
        <v>11204448</v>
      </c>
      <c r="H180" s="117">
        <f t="shared" si="40"/>
        <v>9617.5519313304721</v>
      </c>
      <c r="I180" s="7"/>
      <c r="J180" s="10">
        <v>3</v>
      </c>
      <c r="K180" s="117">
        <v>33613</v>
      </c>
      <c r="L180" s="120">
        <f t="shared" si="38"/>
        <v>28.852360515021459</v>
      </c>
      <c r="M180" s="122">
        <f t="shared" si="30"/>
        <v>112044.48</v>
      </c>
      <c r="N180" s="116">
        <f t="shared" si="31"/>
        <v>78431.48</v>
      </c>
      <c r="O180" s="123">
        <f t="shared" si="32"/>
        <v>67.323158798283259</v>
      </c>
      <c r="P180" s="5"/>
      <c r="Q180" s="5">
        <f t="shared" si="33"/>
        <v>1</v>
      </c>
      <c r="R180" s="7">
        <f t="shared" si="34"/>
        <v>1165</v>
      </c>
      <c r="S180" s="5">
        <f t="shared" si="35"/>
        <v>1</v>
      </c>
      <c r="T180" s="7">
        <f t="shared" si="36"/>
        <v>1165</v>
      </c>
    </row>
    <row r="181" spans="1:20">
      <c r="A181" s="23" t="s">
        <v>214</v>
      </c>
      <c r="B181" s="35" t="s">
        <v>215</v>
      </c>
      <c r="C181" s="36">
        <v>992</v>
      </c>
      <c r="D181" s="6"/>
      <c r="E181" s="113">
        <v>15717254</v>
      </c>
      <c r="F181" s="116">
        <f t="shared" si="39"/>
        <v>15844.006048387097</v>
      </c>
      <c r="G181" s="117">
        <v>8529104</v>
      </c>
      <c r="H181" s="117">
        <f t="shared" si="40"/>
        <v>8597.8870967741932</v>
      </c>
      <c r="I181" s="7"/>
      <c r="J181" s="10">
        <v>9.85</v>
      </c>
      <c r="K181" s="117">
        <v>84011</v>
      </c>
      <c r="L181" s="120">
        <f t="shared" si="38"/>
        <v>84.688508064516128</v>
      </c>
      <c r="M181" s="122">
        <f t="shared" si="30"/>
        <v>85291.040000000008</v>
      </c>
      <c r="N181" s="116">
        <f t="shared" si="31"/>
        <v>1280.0400000000081</v>
      </c>
      <c r="O181" s="123">
        <f t="shared" si="32"/>
        <v>1.2903629032258146</v>
      </c>
      <c r="P181" s="5"/>
      <c r="Q181" s="5">
        <f t="shared" si="33"/>
        <v>1</v>
      </c>
      <c r="R181" s="7">
        <f t="shared" si="34"/>
        <v>992</v>
      </c>
      <c r="S181" s="5">
        <f t="shared" si="35"/>
        <v>1</v>
      </c>
      <c r="T181" s="7">
        <f t="shared" si="36"/>
        <v>992</v>
      </c>
    </row>
    <row r="182" spans="1:20">
      <c r="A182" s="23" t="s">
        <v>198</v>
      </c>
      <c r="B182" s="35" t="s">
        <v>215</v>
      </c>
      <c r="C182" s="36">
        <v>346</v>
      </c>
      <c r="D182" s="6"/>
      <c r="E182" s="113">
        <v>5756704</v>
      </c>
      <c r="F182" s="116">
        <f t="shared" si="39"/>
        <v>16637.872832369943</v>
      </c>
      <c r="G182" s="117">
        <v>2871627</v>
      </c>
      <c r="H182" s="117">
        <f t="shared" si="40"/>
        <v>8299.5</v>
      </c>
      <c r="I182" s="7"/>
      <c r="J182" s="10">
        <v>6.67</v>
      </c>
      <c r="K182" s="117">
        <v>19153</v>
      </c>
      <c r="L182" s="120">
        <f t="shared" si="38"/>
        <v>55.355491329479769</v>
      </c>
      <c r="M182" s="122">
        <f t="shared" si="30"/>
        <v>28716.27</v>
      </c>
      <c r="N182" s="116">
        <f t="shared" si="31"/>
        <v>9563.27</v>
      </c>
      <c r="O182" s="123">
        <f t="shared" si="32"/>
        <v>27.639508670520232</v>
      </c>
      <c r="P182" s="5"/>
      <c r="Q182" s="5">
        <f t="shared" si="33"/>
        <v>1</v>
      </c>
      <c r="R182" s="7">
        <f t="shared" si="34"/>
        <v>346</v>
      </c>
      <c r="S182" s="5">
        <f t="shared" si="35"/>
        <v>1</v>
      </c>
      <c r="T182" s="7">
        <f t="shared" si="36"/>
        <v>346</v>
      </c>
    </row>
    <row r="183" spans="1:20">
      <c r="A183" s="23" t="s">
        <v>215</v>
      </c>
      <c r="B183" s="35" t="s">
        <v>215</v>
      </c>
      <c r="C183" s="36">
        <v>3406</v>
      </c>
      <c r="D183" s="6"/>
      <c r="E183" s="113">
        <v>96355168</v>
      </c>
      <c r="F183" s="116">
        <f t="shared" si="39"/>
        <v>28289.832061068701</v>
      </c>
      <c r="G183" s="117">
        <v>61591056</v>
      </c>
      <c r="H183" s="117">
        <f t="shared" si="40"/>
        <v>18083.105108631826</v>
      </c>
      <c r="I183" s="7"/>
      <c r="J183" s="10">
        <v>6</v>
      </c>
      <c r="K183" s="117">
        <v>369546</v>
      </c>
      <c r="L183" s="120">
        <f t="shared" si="38"/>
        <v>108.4985320023488</v>
      </c>
      <c r="M183" s="122">
        <f t="shared" si="30"/>
        <v>615910.56000000006</v>
      </c>
      <c r="N183" s="116">
        <f t="shared" si="31"/>
        <v>246364.56000000006</v>
      </c>
      <c r="O183" s="123">
        <f t="shared" si="32"/>
        <v>72.332519083969487</v>
      </c>
      <c r="P183" s="5"/>
      <c r="Q183" s="5">
        <f t="shared" si="33"/>
        <v>1</v>
      </c>
      <c r="R183" s="7">
        <f t="shared" si="34"/>
        <v>3406</v>
      </c>
      <c r="S183" s="5">
        <f t="shared" si="35"/>
        <v>1</v>
      </c>
      <c r="T183" s="7">
        <f t="shared" si="36"/>
        <v>3406</v>
      </c>
    </row>
    <row r="184" spans="1:20">
      <c r="A184" s="23" t="s">
        <v>216</v>
      </c>
      <c r="B184" s="35" t="s">
        <v>217</v>
      </c>
      <c r="C184" s="36">
        <v>1881</v>
      </c>
      <c r="D184" s="6"/>
      <c r="E184" s="113">
        <v>315620000</v>
      </c>
      <c r="F184" s="116">
        <f t="shared" si="39"/>
        <v>167793.72674109516</v>
      </c>
      <c r="G184" s="117">
        <v>269973171</v>
      </c>
      <c r="H184" s="117">
        <f t="shared" si="40"/>
        <v>143526.40669856459</v>
      </c>
      <c r="I184" s="7"/>
      <c r="J184" s="10">
        <v>2</v>
      </c>
      <c r="K184" s="117">
        <v>539946</v>
      </c>
      <c r="L184" s="120">
        <f t="shared" si="38"/>
        <v>287.05263157894734</v>
      </c>
      <c r="M184" s="122">
        <f t="shared" si="30"/>
        <v>2699731.71</v>
      </c>
      <c r="N184" s="116">
        <f t="shared" si="31"/>
        <v>2159785.71</v>
      </c>
      <c r="O184" s="123">
        <f t="shared" si="32"/>
        <v>1148.2114354066985</v>
      </c>
      <c r="P184" s="5"/>
      <c r="Q184" s="5">
        <f t="shared" si="33"/>
        <v>1</v>
      </c>
      <c r="R184" s="7">
        <f t="shared" si="34"/>
        <v>1881</v>
      </c>
      <c r="S184" s="5">
        <f t="shared" si="35"/>
        <v>1</v>
      </c>
      <c r="T184" s="7">
        <f t="shared" si="36"/>
        <v>1881</v>
      </c>
    </row>
    <row r="185" spans="1:20">
      <c r="A185" s="23" t="s">
        <v>218</v>
      </c>
      <c r="B185" s="35" t="s">
        <v>217</v>
      </c>
      <c r="C185" s="36">
        <v>48782</v>
      </c>
      <c r="D185" s="6"/>
      <c r="E185" s="113">
        <v>2175102887</v>
      </c>
      <c r="F185" s="116">
        <f t="shared" si="39"/>
        <v>44588.226948464595</v>
      </c>
      <c r="G185" s="117">
        <v>1614511661</v>
      </c>
      <c r="H185" s="117">
        <f t="shared" si="40"/>
        <v>33096.463060145135</v>
      </c>
      <c r="I185" s="7"/>
      <c r="J185" s="10">
        <v>3.2</v>
      </c>
      <c r="K185" s="117">
        <v>5166437</v>
      </c>
      <c r="L185" s="120">
        <f t="shared" si="38"/>
        <v>105.90867533106474</v>
      </c>
      <c r="M185" s="122">
        <f t="shared" si="30"/>
        <v>16145116.610000001</v>
      </c>
      <c r="N185" s="116">
        <f t="shared" si="31"/>
        <v>10978679.610000001</v>
      </c>
      <c r="O185" s="123">
        <f t="shared" si="32"/>
        <v>225.05595527038665</v>
      </c>
      <c r="P185" s="5"/>
      <c r="Q185" s="5">
        <f t="shared" si="33"/>
        <v>1</v>
      </c>
      <c r="R185" s="7">
        <f t="shared" si="34"/>
        <v>48782</v>
      </c>
      <c r="S185" s="5">
        <f t="shared" si="35"/>
        <v>1</v>
      </c>
      <c r="T185" s="7">
        <f t="shared" si="36"/>
        <v>48782</v>
      </c>
    </row>
    <row r="186" spans="1:20">
      <c r="A186" s="23" t="s">
        <v>219</v>
      </c>
      <c r="B186" s="35" t="s">
        <v>217</v>
      </c>
      <c r="C186" s="36">
        <v>1698</v>
      </c>
      <c r="D186" s="6"/>
      <c r="E186" s="113">
        <v>196296480</v>
      </c>
      <c r="F186" s="116">
        <f t="shared" si="39"/>
        <v>115604.52296819788</v>
      </c>
      <c r="G186" s="117">
        <v>168145444</v>
      </c>
      <c r="H186" s="117">
        <f t="shared" si="40"/>
        <v>99025.585394581867</v>
      </c>
      <c r="I186" s="7"/>
      <c r="J186" s="10">
        <v>2.5924999999999998</v>
      </c>
      <c r="K186" s="117">
        <v>435917</v>
      </c>
      <c r="L186" s="120">
        <f t="shared" si="38"/>
        <v>256.72379269729095</v>
      </c>
      <c r="M186" s="122">
        <f t="shared" si="30"/>
        <v>1681454.44</v>
      </c>
      <c r="N186" s="116">
        <f t="shared" si="31"/>
        <v>1245537.44</v>
      </c>
      <c r="O186" s="123">
        <f t="shared" si="32"/>
        <v>733.53206124852761</v>
      </c>
      <c r="P186" s="5"/>
      <c r="Q186" s="5">
        <f t="shared" si="33"/>
        <v>1</v>
      </c>
      <c r="R186" s="7">
        <f t="shared" si="34"/>
        <v>1698</v>
      </c>
      <c r="S186" s="5">
        <f t="shared" si="35"/>
        <v>1</v>
      </c>
      <c r="T186" s="7">
        <f t="shared" si="36"/>
        <v>1698</v>
      </c>
    </row>
    <row r="187" spans="1:20">
      <c r="A187" s="23" t="s">
        <v>220</v>
      </c>
      <c r="B187" s="35" t="s">
        <v>217</v>
      </c>
      <c r="C187" s="36">
        <v>5075</v>
      </c>
      <c r="D187" s="6"/>
      <c r="E187" s="113">
        <v>621029288</v>
      </c>
      <c r="F187" s="116">
        <f t="shared" si="39"/>
        <v>122370.30305418718</v>
      </c>
      <c r="G187" s="117">
        <v>534580537</v>
      </c>
      <c r="H187" s="117">
        <f t="shared" si="40"/>
        <v>105336.06640394089</v>
      </c>
      <c r="I187" s="7"/>
      <c r="J187" s="10">
        <v>2.25</v>
      </c>
      <c r="K187" s="117">
        <v>1202806</v>
      </c>
      <c r="L187" s="120">
        <f t="shared" si="38"/>
        <v>237.00610837438424</v>
      </c>
      <c r="M187" s="122">
        <f t="shared" si="30"/>
        <v>5345805.37</v>
      </c>
      <c r="N187" s="116">
        <f t="shared" si="31"/>
        <v>4142999.37</v>
      </c>
      <c r="O187" s="123">
        <f t="shared" si="32"/>
        <v>816.35455566502469</v>
      </c>
      <c r="P187" s="5"/>
      <c r="Q187" s="5">
        <f t="shared" si="33"/>
        <v>1</v>
      </c>
      <c r="R187" s="7">
        <f t="shared" si="34"/>
        <v>5075</v>
      </c>
      <c r="S187" s="5">
        <f t="shared" si="35"/>
        <v>1</v>
      </c>
      <c r="T187" s="7">
        <f t="shared" si="36"/>
        <v>5075</v>
      </c>
    </row>
    <row r="188" spans="1:20">
      <c r="A188" s="23" t="s">
        <v>221</v>
      </c>
      <c r="B188" s="35" t="s">
        <v>217</v>
      </c>
      <c r="C188" s="36">
        <v>10773</v>
      </c>
      <c r="D188" s="6"/>
      <c r="E188" s="113">
        <v>438145759</v>
      </c>
      <c r="F188" s="116">
        <f t="shared" si="39"/>
        <v>40670.728580711038</v>
      </c>
      <c r="G188" s="117">
        <v>314015436</v>
      </c>
      <c r="H188" s="117">
        <f t="shared" si="40"/>
        <v>29148.374269005846</v>
      </c>
      <c r="I188" s="7"/>
      <c r="J188" s="10">
        <v>4.1645000000000003</v>
      </c>
      <c r="K188" s="117">
        <v>1307717</v>
      </c>
      <c r="L188" s="120">
        <f t="shared" si="38"/>
        <v>121.38837835329063</v>
      </c>
      <c r="M188" s="122">
        <f t="shared" si="30"/>
        <v>3140154.36</v>
      </c>
      <c r="N188" s="116">
        <f t="shared" si="31"/>
        <v>1832437.3599999999</v>
      </c>
      <c r="O188" s="123">
        <f t="shared" si="32"/>
        <v>170.09536433676783</v>
      </c>
      <c r="P188" s="5"/>
      <c r="Q188" s="5">
        <f t="shared" si="33"/>
        <v>1</v>
      </c>
      <c r="R188" s="7">
        <f t="shared" si="34"/>
        <v>10773</v>
      </c>
      <c r="S188" s="5">
        <f t="shared" si="35"/>
        <v>1</v>
      </c>
      <c r="T188" s="7">
        <f t="shared" si="36"/>
        <v>10773</v>
      </c>
    </row>
    <row r="189" spans="1:20">
      <c r="A189" s="23" t="s">
        <v>478</v>
      </c>
      <c r="B189" s="35" t="s">
        <v>222</v>
      </c>
      <c r="C189" s="36">
        <v>6695</v>
      </c>
      <c r="D189" s="6"/>
      <c r="E189" s="113">
        <v>2844320882</v>
      </c>
      <c r="F189" s="116">
        <f t="shared" si="39"/>
        <v>424842.55145631067</v>
      </c>
      <c r="G189" s="117">
        <v>2643468570</v>
      </c>
      <c r="H189" s="117">
        <f t="shared" si="40"/>
        <v>394842.20612397313</v>
      </c>
      <c r="I189" s="7"/>
      <c r="J189" s="10">
        <v>2.5693000000000001</v>
      </c>
      <c r="K189" s="117">
        <v>6791863</v>
      </c>
      <c r="L189" s="120">
        <f t="shared" si="38"/>
        <v>1014.4679611650486</v>
      </c>
      <c r="M189" s="122">
        <f t="shared" si="30"/>
        <v>26434685.699999999</v>
      </c>
      <c r="N189" s="116">
        <f t="shared" si="31"/>
        <v>19642822.699999999</v>
      </c>
      <c r="O189" s="123">
        <f t="shared" si="32"/>
        <v>2933.9541000746826</v>
      </c>
      <c r="P189" s="5"/>
      <c r="Q189" s="5">
        <f t="shared" si="33"/>
        <v>1</v>
      </c>
      <c r="R189" s="7">
        <f t="shared" si="34"/>
        <v>6695</v>
      </c>
      <c r="S189" s="5">
        <f t="shared" si="35"/>
        <v>1</v>
      </c>
      <c r="T189" s="7">
        <f t="shared" si="36"/>
        <v>6695</v>
      </c>
    </row>
    <row r="190" spans="1:20">
      <c r="A190" s="23" t="s">
        <v>223</v>
      </c>
      <c r="B190" s="35" t="s">
        <v>224</v>
      </c>
      <c r="C190" s="36">
        <v>3562</v>
      </c>
      <c r="D190" s="6"/>
      <c r="E190" s="113">
        <v>118564712</v>
      </c>
      <c r="F190" s="116">
        <f t="shared" si="39"/>
        <v>33285.994385176869</v>
      </c>
      <c r="G190" s="117">
        <v>89366335</v>
      </c>
      <c r="H190" s="117">
        <f t="shared" si="40"/>
        <v>25088.808253790005</v>
      </c>
      <c r="I190" s="7"/>
      <c r="J190" s="10">
        <v>4.5570000000000004</v>
      </c>
      <c r="K190" s="117">
        <v>407242</v>
      </c>
      <c r="L190" s="120">
        <f t="shared" si="38"/>
        <v>114.32959011791128</v>
      </c>
      <c r="M190" s="122">
        <f t="shared" si="30"/>
        <v>893663.35</v>
      </c>
      <c r="N190" s="116">
        <f t="shared" si="31"/>
        <v>486421.35</v>
      </c>
      <c r="O190" s="123">
        <f t="shared" si="32"/>
        <v>136.55849241998877</v>
      </c>
      <c r="P190" s="5"/>
      <c r="Q190" s="5">
        <f t="shared" si="33"/>
        <v>1</v>
      </c>
      <c r="R190" s="7">
        <f t="shared" si="34"/>
        <v>3562</v>
      </c>
      <c r="S190" s="5">
        <f t="shared" si="35"/>
        <v>1</v>
      </c>
      <c r="T190" s="7">
        <f t="shared" si="36"/>
        <v>3562</v>
      </c>
    </row>
    <row r="191" spans="1:20">
      <c r="A191" s="23" t="s">
        <v>225</v>
      </c>
      <c r="B191" s="35" t="s">
        <v>224</v>
      </c>
      <c r="C191" s="36">
        <v>1848</v>
      </c>
      <c r="D191" s="6"/>
      <c r="E191" s="113">
        <v>98370687</v>
      </c>
      <c r="F191" s="116">
        <f t="shared" si="39"/>
        <v>53230.891233766233</v>
      </c>
      <c r="G191" s="117">
        <v>72473496</v>
      </c>
      <c r="H191" s="117">
        <f t="shared" si="40"/>
        <v>39217.259740259738</v>
      </c>
      <c r="I191" s="7"/>
      <c r="J191" s="10">
        <v>6.5</v>
      </c>
      <c r="K191" s="117">
        <v>471077</v>
      </c>
      <c r="L191" s="120">
        <f t="shared" si="38"/>
        <v>254.91179653679654</v>
      </c>
      <c r="M191" s="122">
        <f t="shared" si="30"/>
        <v>724734.96</v>
      </c>
      <c r="N191" s="116">
        <f t="shared" si="31"/>
        <v>253657.95999999996</v>
      </c>
      <c r="O191" s="123">
        <f t="shared" si="32"/>
        <v>137.26080086580083</v>
      </c>
      <c r="P191" s="5"/>
      <c r="Q191" s="5">
        <f t="shared" si="33"/>
        <v>1</v>
      </c>
      <c r="R191" s="7">
        <f t="shared" si="34"/>
        <v>1848</v>
      </c>
      <c r="S191" s="5">
        <f t="shared" si="35"/>
        <v>1</v>
      </c>
      <c r="T191" s="7">
        <f t="shared" si="36"/>
        <v>1848</v>
      </c>
    </row>
    <row r="192" spans="1:20">
      <c r="A192" s="23" t="s">
        <v>226</v>
      </c>
      <c r="B192" s="35" t="s">
        <v>224</v>
      </c>
      <c r="C192" s="36">
        <v>428</v>
      </c>
      <c r="D192" s="6"/>
      <c r="E192" s="113">
        <v>16285462</v>
      </c>
      <c r="F192" s="116">
        <f t="shared" si="39"/>
        <v>38050.144859813081</v>
      </c>
      <c r="G192" s="117">
        <v>9831684</v>
      </c>
      <c r="H192" s="117">
        <f t="shared" si="40"/>
        <v>22971.224299065419</v>
      </c>
      <c r="I192" s="7"/>
      <c r="J192" s="10">
        <v>2.04</v>
      </c>
      <c r="K192" s="117">
        <v>20056</v>
      </c>
      <c r="L192" s="120">
        <f t="shared" si="38"/>
        <v>46.859813084112147</v>
      </c>
      <c r="M192" s="122">
        <f t="shared" si="30"/>
        <v>98316.84</v>
      </c>
      <c r="N192" s="116">
        <f t="shared" si="31"/>
        <v>78260.84</v>
      </c>
      <c r="O192" s="123">
        <f t="shared" si="32"/>
        <v>182.85242990654206</v>
      </c>
      <c r="P192" s="5"/>
      <c r="Q192" s="5">
        <f t="shared" si="33"/>
        <v>1</v>
      </c>
      <c r="R192" s="7">
        <f t="shared" si="34"/>
        <v>428</v>
      </c>
      <c r="S192" s="5">
        <f t="shared" si="35"/>
        <v>1</v>
      </c>
      <c r="T192" s="7">
        <f t="shared" si="36"/>
        <v>428</v>
      </c>
    </row>
    <row r="193" spans="1:20">
      <c r="A193" s="23" t="s">
        <v>227</v>
      </c>
      <c r="B193" s="35" t="s">
        <v>224</v>
      </c>
      <c r="C193" s="36">
        <v>45585</v>
      </c>
      <c r="D193" s="6"/>
      <c r="E193" s="113">
        <v>2490364985</v>
      </c>
      <c r="F193" s="116">
        <f t="shared" si="39"/>
        <v>54631.238016891519</v>
      </c>
      <c r="G193" s="117">
        <v>1853082830</v>
      </c>
      <c r="H193" s="117">
        <f t="shared" si="40"/>
        <v>40651.153449599646</v>
      </c>
      <c r="I193" s="7"/>
      <c r="J193" s="10">
        <v>5.2743000000000002</v>
      </c>
      <c r="K193" s="117">
        <v>9773714</v>
      </c>
      <c r="L193" s="120">
        <f t="shared" si="38"/>
        <v>214.40636174180102</v>
      </c>
      <c r="M193" s="122">
        <f t="shared" si="30"/>
        <v>18530828.300000001</v>
      </c>
      <c r="N193" s="116">
        <f t="shared" si="31"/>
        <v>8757114.3000000007</v>
      </c>
      <c r="O193" s="123">
        <f t="shared" si="32"/>
        <v>192.10517275419548</v>
      </c>
      <c r="P193" s="5"/>
      <c r="Q193" s="5">
        <f t="shared" si="33"/>
        <v>1</v>
      </c>
      <c r="R193" s="7">
        <f t="shared" si="34"/>
        <v>45585</v>
      </c>
      <c r="S193" s="5">
        <f t="shared" si="35"/>
        <v>1</v>
      </c>
      <c r="T193" s="7">
        <f t="shared" si="36"/>
        <v>45585</v>
      </c>
    </row>
    <row r="194" spans="1:20">
      <c r="A194" s="23" t="s">
        <v>228</v>
      </c>
      <c r="B194" s="35" t="s">
        <v>224</v>
      </c>
      <c r="C194" s="36">
        <v>552</v>
      </c>
      <c r="D194" s="6"/>
      <c r="E194" s="113">
        <v>11806757</v>
      </c>
      <c r="F194" s="116">
        <f t="shared" si="39"/>
        <v>21389.052536231884</v>
      </c>
      <c r="G194" s="117">
        <v>6179140</v>
      </c>
      <c r="H194" s="117">
        <f t="shared" si="40"/>
        <v>11194.09420289855</v>
      </c>
      <c r="I194" s="98" t="s">
        <v>528</v>
      </c>
      <c r="J194" s="10"/>
      <c r="K194" s="117"/>
      <c r="L194" s="120"/>
      <c r="M194" s="122">
        <f t="shared" si="30"/>
        <v>61791.4</v>
      </c>
      <c r="N194" s="116">
        <f t="shared" si="31"/>
        <v>61791.4</v>
      </c>
      <c r="O194" s="123">
        <f t="shared" si="32"/>
        <v>111.9409420289855</v>
      </c>
      <c r="P194" s="5"/>
      <c r="Q194" s="5">
        <f t="shared" si="33"/>
        <v>1</v>
      </c>
      <c r="R194" s="7">
        <f t="shared" si="34"/>
        <v>552</v>
      </c>
      <c r="S194" s="5">
        <f t="shared" si="35"/>
        <v>0</v>
      </c>
      <c r="T194" s="7">
        <f t="shared" si="36"/>
        <v>0</v>
      </c>
    </row>
    <row r="195" spans="1:20">
      <c r="A195" s="23" t="s">
        <v>229</v>
      </c>
      <c r="B195" s="35" t="s">
        <v>230</v>
      </c>
      <c r="C195" s="36">
        <v>561</v>
      </c>
      <c r="D195" s="6"/>
      <c r="E195" s="113">
        <v>1215346076</v>
      </c>
      <c r="F195" s="116">
        <f t="shared" si="39"/>
        <v>2166392.2923351158</v>
      </c>
      <c r="G195" s="117">
        <v>984173778</v>
      </c>
      <c r="H195" s="117">
        <f t="shared" si="40"/>
        <v>1754320.459893048</v>
      </c>
      <c r="I195" s="7"/>
      <c r="J195" s="10">
        <v>4.069</v>
      </c>
      <c r="K195" s="117">
        <v>4004603</v>
      </c>
      <c r="L195" s="120">
        <f>(K195/C195)</f>
        <v>7138.3297682709444</v>
      </c>
      <c r="M195" s="122">
        <f t="shared" si="30"/>
        <v>9841737.7799999993</v>
      </c>
      <c r="N195" s="116">
        <f t="shared" si="31"/>
        <v>5837134.7799999993</v>
      </c>
      <c r="O195" s="123">
        <f t="shared" si="32"/>
        <v>10404.874830659535</v>
      </c>
      <c r="P195" s="5"/>
      <c r="Q195" s="5">
        <f t="shared" si="33"/>
        <v>1</v>
      </c>
      <c r="R195" s="7">
        <f t="shared" si="34"/>
        <v>561</v>
      </c>
      <c r="S195" s="5">
        <f t="shared" si="35"/>
        <v>1</v>
      </c>
      <c r="T195" s="7">
        <f t="shared" si="36"/>
        <v>561</v>
      </c>
    </row>
    <row r="196" spans="1:20">
      <c r="A196" s="24" t="s">
        <v>582</v>
      </c>
      <c r="B196" s="35" t="s">
        <v>230</v>
      </c>
      <c r="C196" s="36">
        <v>487</v>
      </c>
      <c r="D196" s="6"/>
      <c r="E196" s="113">
        <v>15529741</v>
      </c>
      <c r="F196" s="116">
        <f t="shared" si="39"/>
        <v>31888.585215605748</v>
      </c>
      <c r="G196" s="117">
        <v>15524455</v>
      </c>
      <c r="H196" s="117">
        <f t="shared" si="40"/>
        <v>31877.731006160164</v>
      </c>
      <c r="I196" s="98" t="s">
        <v>528</v>
      </c>
      <c r="J196" s="10"/>
      <c r="K196" s="117"/>
      <c r="L196" s="120"/>
      <c r="M196" s="122">
        <f t="shared" si="30"/>
        <v>155244.55000000002</v>
      </c>
      <c r="N196" s="116">
        <f t="shared" si="31"/>
        <v>155244.55000000002</v>
      </c>
      <c r="O196" s="123">
        <f t="shared" si="32"/>
        <v>318.77731006160167</v>
      </c>
      <c r="P196" s="5"/>
      <c r="Q196" s="5">
        <f t="shared" si="33"/>
        <v>1</v>
      </c>
      <c r="R196" s="7">
        <f t="shared" si="34"/>
        <v>487</v>
      </c>
      <c r="S196" s="5">
        <f t="shared" si="35"/>
        <v>0</v>
      </c>
      <c r="T196" s="7">
        <f t="shared" si="36"/>
        <v>0</v>
      </c>
    </row>
    <row r="197" spans="1:20">
      <c r="A197" s="23" t="s">
        <v>446</v>
      </c>
      <c r="B197" s="35" t="s">
        <v>230</v>
      </c>
      <c r="C197" s="36">
        <v>1803</v>
      </c>
      <c r="D197" s="6"/>
      <c r="E197" s="113">
        <v>339069606</v>
      </c>
      <c r="F197" s="116">
        <f t="shared" si="39"/>
        <v>188058.57237936772</v>
      </c>
      <c r="G197" s="117">
        <v>312055074</v>
      </c>
      <c r="H197" s="117">
        <f t="shared" si="40"/>
        <v>173075.47088186356</v>
      </c>
      <c r="I197" s="9"/>
      <c r="J197" s="10">
        <v>1.899</v>
      </c>
      <c r="K197" s="117">
        <v>592592</v>
      </c>
      <c r="L197" s="120">
        <f t="shared" ref="L197:L239" si="41">(K197/C197)</f>
        <v>328.66999445368828</v>
      </c>
      <c r="M197" s="122">
        <f t="shared" si="30"/>
        <v>3120550.74</v>
      </c>
      <c r="N197" s="116">
        <f t="shared" si="31"/>
        <v>2527958.7400000002</v>
      </c>
      <c r="O197" s="123">
        <f t="shared" si="32"/>
        <v>1402.0847143649473</v>
      </c>
      <c r="P197" s="5"/>
      <c r="Q197" s="5">
        <f t="shared" si="33"/>
        <v>1</v>
      </c>
      <c r="R197" s="7">
        <f t="shared" si="34"/>
        <v>1803</v>
      </c>
      <c r="S197" s="5">
        <f t="shared" si="35"/>
        <v>1</v>
      </c>
      <c r="T197" s="7">
        <f t="shared" si="36"/>
        <v>1803</v>
      </c>
    </row>
    <row r="198" spans="1:20">
      <c r="A198" s="23" t="s">
        <v>231</v>
      </c>
      <c r="B198" s="35" t="s">
        <v>230</v>
      </c>
      <c r="C198" s="36">
        <v>13846</v>
      </c>
      <c r="D198" s="6"/>
      <c r="E198" s="113">
        <v>1191417034</v>
      </c>
      <c r="F198" s="116">
        <f t="shared" si="39"/>
        <v>86047.741874909727</v>
      </c>
      <c r="G198" s="117">
        <v>847336677</v>
      </c>
      <c r="H198" s="117">
        <f t="shared" si="40"/>
        <v>61197.21775241947</v>
      </c>
      <c r="I198" s="7"/>
      <c r="J198" s="10">
        <v>4.0133999999999999</v>
      </c>
      <c r="K198" s="117">
        <v>3400701</v>
      </c>
      <c r="L198" s="120">
        <f t="shared" si="41"/>
        <v>245.60891232124803</v>
      </c>
      <c r="M198" s="122">
        <f t="shared" ref="M198:M261" si="42">(G198*0.01)</f>
        <v>8473366.7699999996</v>
      </c>
      <c r="N198" s="116">
        <f t="shared" ref="N198:N261" si="43">(M198-K198)</f>
        <v>5072665.7699999996</v>
      </c>
      <c r="O198" s="123">
        <f t="shared" ref="O198:O261" si="44">(N198/C198)</f>
        <v>366.36326520294665</v>
      </c>
      <c r="P198" s="5"/>
      <c r="Q198" s="5">
        <f t="shared" si="33"/>
        <v>1</v>
      </c>
      <c r="R198" s="7">
        <f t="shared" si="34"/>
        <v>13846</v>
      </c>
      <c r="S198" s="5">
        <f t="shared" si="35"/>
        <v>1</v>
      </c>
      <c r="T198" s="7">
        <f t="shared" si="36"/>
        <v>13846</v>
      </c>
    </row>
    <row r="199" spans="1:20">
      <c r="A199" s="23" t="s">
        <v>232</v>
      </c>
      <c r="B199" s="35" t="s">
        <v>233</v>
      </c>
      <c r="C199" s="36">
        <v>22800</v>
      </c>
      <c r="D199" s="6"/>
      <c r="E199" s="113">
        <v>3615849152</v>
      </c>
      <c r="F199" s="116">
        <f t="shared" si="39"/>
        <v>158589.87508771929</v>
      </c>
      <c r="G199" s="117">
        <v>3364904479</v>
      </c>
      <c r="H199" s="117">
        <f t="shared" si="40"/>
        <v>147583.52978070176</v>
      </c>
      <c r="I199" s="9"/>
      <c r="J199" s="10">
        <v>2.2269999999999999</v>
      </c>
      <c r="K199" s="117">
        <v>7493642</v>
      </c>
      <c r="L199" s="120">
        <f t="shared" si="41"/>
        <v>328.66850877192985</v>
      </c>
      <c r="M199" s="122">
        <f t="shared" si="42"/>
        <v>33649044.789999999</v>
      </c>
      <c r="N199" s="116">
        <f t="shared" si="43"/>
        <v>26155402.789999999</v>
      </c>
      <c r="O199" s="123">
        <f t="shared" si="44"/>
        <v>1147.1667890350877</v>
      </c>
      <c r="P199" s="5"/>
      <c r="Q199" s="5">
        <f t="shared" ref="Q199:Q262" si="45">IF(E199&gt;0,1,0)</f>
        <v>1</v>
      </c>
      <c r="R199" s="7">
        <f t="shared" ref="R199:R262" si="46">IF(E199&gt;0,C199,0)</f>
        <v>22800</v>
      </c>
      <c r="S199" s="5">
        <f t="shared" ref="S199:S262" si="47">IF(J199&gt;0,1,0)</f>
        <v>1</v>
      </c>
      <c r="T199" s="7">
        <f t="shared" ref="T199:T262" si="48">IF(J199&gt;0,C199,0)</f>
        <v>22800</v>
      </c>
    </row>
    <row r="200" spans="1:20">
      <c r="A200" s="23" t="s">
        <v>234</v>
      </c>
      <c r="B200" s="35" t="s">
        <v>233</v>
      </c>
      <c r="C200" s="36">
        <v>3231</v>
      </c>
      <c r="D200" s="6"/>
      <c r="E200" s="113">
        <v>1052093865</v>
      </c>
      <c r="F200" s="116">
        <f t="shared" si="39"/>
        <v>325624.84215413185</v>
      </c>
      <c r="G200" s="117">
        <v>1002855600</v>
      </c>
      <c r="H200" s="117">
        <f t="shared" si="40"/>
        <v>310385.51532033423</v>
      </c>
      <c r="I200" s="7"/>
      <c r="J200" s="11">
        <v>3.27</v>
      </c>
      <c r="K200" s="117">
        <v>3279337</v>
      </c>
      <c r="L200" s="120">
        <f t="shared" si="41"/>
        <v>1014.9603837821109</v>
      </c>
      <c r="M200" s="122">
        <f t="shared" si="42"/>
        <v>10028556</v>
      </c>
      <c r="N200" s="116">
        <f t="shared" si="43"/>
        <v>6749219</v>
      </c>
      <c r="O200" s="123">
        <f t="shared" si="44"/>
        <v>2088.894769421232</v>
      </c>
      <c r="P200" s="5"/>
      <c r="Q200" s="5">
        <f t="shared" si="45"/>
        <v>1</v>
      </c>
      <c r="R200" s="7">
        <f t="shared" si="46"/>
        <v>3231</v>
      </c>
      <c r="S200" s="5">
        <f t="shared" si="47"/>
        <v>1</v>
      </c>
      <c r="T200" s="7">
        <f t="shared" si="48"/>
        <v>3231</v>
      </c>
    </row>
    <row r="201" spans="1:20">
      <c r="A201" s="23" t="s">
        <v>235</v>
      </c>
      <c r="B201" s="35" t="s">
        <v>233</v>
      </c>
      <c r="C201" s="36">
        <v>4613</v>
      </c>
      <c r="D201" s="6"/>
      <c r="E201" s="113">
        <v>345606961</v>
      </c>
      <c r="F201" s="116">
        <f t="shared" si="39"/>
        <v>74920.216995447641</v>
      </c>
      <c r="G201" s="117">
        <v>287704025</v>
      </c>
      <c r="H201" s="117">
        <f t="shared" si="40"/>
        <v>62368.095599393018</v>
      </c>
      <c r="I201" s="7"/>
      <c r="J201" s="10">
        <v>4.6536999999999997</v>
      </c>
      <c r="K201" s="117">
        <v>1338888</v>
      </c>
      <c r="L201" s="120">
        <f t="shared" si="41"/>
        <v>290.24235855191847</v>
      </c>
      <c r="M201" s="122">
        <f t="shared" si="42"/>
        <v>2877040.25</v>
      </c>
      <c r="N201" s="116">
        <f t="shared" si="43"/>
        <v>1538152.25</v>
      </c>
      <c r="O201" s="123">
        <f t="shared" si="44"/>
        <v>333.43859744201171</v>
      </c>
      <c r="P201" s="5"/>
      <c r="Q201" s="5">
        <f t="shared" si="45"/>
        <v>1</v>
      </c>
      <c r="R201" s="7">
        <f t="shared" si="46"/>
        <v>4613</v>
      </c>
      <c r="S201" s="5">
        <f t="shared" si="47"/>
        <v>1</v>
      </c>
      <c r="T201" s="7">
        <f t="shared" si="48"/>
        <v>4613</v>
      </c>
    </row>
    <row r="202" spans="1:20">
      <c r="A202" s="24" t="s">
        <v>236</v>
      </c>
      <c r="B202" s="37" t="s">
        <v>233</v>
      </c>
      <c r="C202" s="36">
        <v>3035</v>
      </c>
      <c r="D202" s="6"/>
      <c r="E202" s="113">
        <v>107222664</v>
      </c>
      <c r="F202" s="116">
        <f t="shared" si="39"/>
        <v>35328.719604612852</v>
      </c>
      <c r="G202" s="117">
        <v>81304169</v>
      </c>
      <c r="H202" s="117">
        <f t="shared" si="40"/>
        <v>26788.853047775949</v>
      </c>
      <c r="I202" s="7"/>
      <c r="J202" s="10">
        <v>8.9</v>
      </c>
      <c r="K202" s="117">
        <v>723607</v>
      </c>
      <c r="L202" s="120">
        <f t="shared" si="41"/>
        <v>238.42075782537069</v>
      </c>
      <c r="M202" s="122">
        <f t="shared" si="42"/>
        <v>813041.69000000006</v>
      </c>
      <c r="N202" s="116">
        <f t="shared" si="43"/>
        <v>89434.690000000061</v>
      </c>
      <c r="O202" s="123">
        <f t="shared" si="44"/>
        <v>29.467772652388817</v>
      </c>
      <c r="P202" s="5"/>
      <c r="Q202" s="5">
        <f t="shared" si="45"/>
        <v>1</v>
      </c>
      <c r="R202" s="7">
        <f t="shared" si="46"/>
        <v>3035</v>
      </c>
      <c r="S202" s="5">
        <f t="shared" si="47"/>
        <v>1</v>
      </c>
      <c r="T202" s="7">
        <f t="shared" si="48"/>
        <v>3035</v>
      </c>
    </row>
    <row r="203" spans="1:20">
      <c r="A203" s="23" t="s">
        <v>237</v>
      </c>
      <c r="B203" s="37" t="s">
        <v>233</v>
      </c>
      <c r="C203" s="36">
        <v>42012</v>
      </c>
      <c r="D203" s="6"/>
      <c r="E203" s="113">
        <v>6540606158</v>
      </c>
      <c r="F203" s="116">
        <f t="shared" si="39"/>
        <v>155684.23683709415</v>
      </c>
      <c r="G203" s="117">
        <v>5592885782</v>
      </c>
      <c r="H203" s="117">
        <f t="shared" si="40"/>
        <v>133125.91121584308</v>
      </c>
      <c r="I203" s="7"/>
      <c r="J203" s="11">
        <v>5.5</v>
      </c>
      <c r="K203" s="117">
        <v>30760871</v>
      </c>
      <c r="L203" s="120">
        <f t="shared" si="41"/>
        <v>732.19249262115591</v>
      </c>
      <c r="M203" s="122">
        <f t="shared" si="42"/>
        <v>55928857.82</v>
      </c>
      <c r="N203" s="116">
        <f t="shared" si="43"/>
        <v>25167986.82</v>
      </c>
      <c r="O203" s="123">
        <f t="shared" si="44"/>
        <v>599.06661953727507</v>
      </c>
      <c r="P203" s="5"/>
      <c r="Q203" s="5">
        <f t="shared" si="45"/>
        <v>1</v>
      </c>
      <c r="R203" s="7">
        <f t="shared" si="46"/>
        <v>42012</v>
      </c>
      <c r="S203" s="5">
        <f t="shared" si="47"/>
        <v>1</v>
      </c>
      <c r="T203" s="7">
        <f t="shared" si="48"/>
        <v>42012</v>
      </c>
    </row>
    <row r="204" spans="1:20">
      <c r="A204" s="23" t="s">
        <v>238</v>
      </c>
      <c r="B204" s="37" t="s">
        <v>233</v>
      </c>
      <c r="C204" s="36">
        <v>2485</v>
      </c>
      <c r="D204" s="6"/>
      <c r="E204" s="113">
        <v>69053102</v>
      </c>
      <c r="F204" s="116">
        <f t="shared" si="39"/>
        <v>27787.968611670021</v>
      </c>
      <c r="G204" s="117">
        <v>44150471</v>
      </c>
      <c r="H204" s="117">
        <f t="shared" si="40"/>
        <v>17766.789134808852</v>
      </c>
      <c r="I204" s="7"/>
      <c r="J204" s="10">
        <v>7.7</v>
      </c>
      <c r="K204" s="117">
        <v>339958</v>
      </c>
      <c r="L204" s="120">
        <f t="shared" si="41"/>
        <v>136.8040241448692</v>
      </c>
      <c r="M204" s="122">
        <f t="shared" si="42"/>
        <v>441504.71</v>
      </c>
      <c r="N204" s="116">
        <f t="shared" si="43"/>
        <v>101546.71000000002</v>
      </c>
      <c r="O204" s="123">
        <f t="shared" si="44"/>
        <v>40.863867203219321</v>
      </c>
      <c r="P204" s="5"/>
      <c r="Q204" s="5">
        <f t="shared" si="45"/>
        <v>1</v>
      </c>
      <c r="R204" s="7">
        <f t="shared" si="46"/>
        <v>2485</v>
      </c>
      <c r="S204" s="5">
        <f t="shared" si="47"/>
        <v>1</v>
      </c>
      <c r="T204" s="7">
        <f t="shared" si="48"/>
        <v>2485</v>
      </c>
    </row>
    <row r="205" spans="1:20">
      <c r="A205" s="23" t="s">
        <v>239</v>
      </c>
      <c r="B205" s="37" t="s">
        <v>233</v>
      </c>
      <c r="C205" s="36">
        <v>6181</v>
      </c>
      <c r="D205" s="6"/>
      <c r="E205" s="113">
        <v>224544162</v>
      </c>
      <c r="F205" s="116">
        <f t="shared" si="39"/>
        <v>36328.128458178289</v>
      </c>
      <c r="G205" s="117">
        <v>161616788</v>
      </c>
      <c r="H205" s="117">
        <f t="shared" si="40"/>
        <v>26147.352855524998</v>
      </c>
      <c r="I205" s="7"/>
      <c r="J205" s="10">
        <v>7.9</v>
      </c>
      <c r="K205" s="117">
        <v>1276772</v>
      </c>
      <c r="L205" s="120">
        <f t="shared" si="41"/>
        <v>206.56398640996602</v>
      </c>
      <c r="M205" s="122">
        <f t="shared" si="42"/>
        <v>1616167.8800000001</v>
      </c>
      <c r="N205" s="116">
        <f t="shared" si="43"/>
        <v>339395.88000000012</v>
      </c>
      <c r="O205" s="123">
        <f t="shared" si="44"/>
        <v>54.909542145283957</v>
      </c>
      <c r="P205" s="5"/>
      <c r="Q205" s="5">
        <f t="shared" si="45"/>
        <v>1</v>
      </c>
      <c r="R205" s="7">
        <f t="shared" si="46"/>
        <v>6181</v>
      </c>
      <c r="S205" s="5">
        <f t="shared" si="47"/>
        <v>1</v>
      </c>
      <c r="T205" s="7">
        <f t="shared" si="48"/>
        <v>6181</v>
      </c>
    </row>
    <row r="206" spans="1:20">
      <c r="A206" s="23" t="s">
        <v>240</v>
      </c>
      <c r="B206" s="37" t="s">
        <v>233</v>
      </c>
      <c r="C206" s="36">
        <v>845</v>
      </c>
      <c r="D206" s="6"/>
      <c r="E206" s="113">
        <v>278568197</v>
      </c>
      <c r="F206" s="116">
        <f t="shared" si="39"/>
        <v>329666.50532544381</v>
      </c>
      <c r="G206" s="117">
        <v>254445222</v>
      </c>
      <c r="H206" s="117">
        <f t="shared" si="40"/>
        <v>301118.60591715976</v>
      </c>
      <c r="I206" s="7"/>
      <c r="J206" s="10">
        <v>8.59</v>
      </c>
      <c r="K206" s="117">
        <v>2185684</v>
      </c>
      <c r="L206" s="120">
        <f t="shared" si="41"/>
        <v>2586.6082840236686</v>
      </c>
      <c r="M206" s="122">
        <f t="shared" si="42"/>
        <v>2544452.2200000002</v>
      </c>
      <c r="N206" s="116">
        <f t="shared" si="43"/>
        <v>358768.2200000002</v>
      </c>
      <c r="O206" s="123">
        <f t="shared" si="44"/>
        <v>424.57777514792923</v>
      </c>
      <c r="P206" s="5"/>
      <c r="Q206" s="5">
        <f t="shared" si="45"/>
        <v>1</v>
      </c>
      <c r="R206" s="7">
        <f t="shared" si="46"/>
        <v>845</v>
      </c>
      <c r="S206" s="5">
        <f t="shared" si="47"/>
        <v>1</v>
      </c>
      <c r="T206" s="7">
        <f t="shared" si="48"/>
        <v>845</v>
      </c>
    </row>
    <row r="207" spans="1:20">
      <c r="A207" s="23" t="s">
        <v>241</v>
      </c>
      <c r="B207" s="37" t="s">
        <v>233</v>
      </c>
      <c r="C207" s="36">
        <v>211201</v>
      </c>
      <c r="D207" s="6"/>
      <c r="E207" s="113">
        <v>6966964243</v>
      </c>
      <c r="F207" s="116">
        <f t="shared" si="39"/>
        <v>32987.363899792144</v>
      </c>
      <c r="G207" s="117">
        <v>5247368035</v>
      </c>
      <c r="H207" s="117">
        <f t="shared" si="40"/>
        <v>24845.374950876179</v>
      </c>
      <c r="I207" s="7"/>
      <c r="J207" s="10">
        <v>7.4809999999999999</v>
      </c>
      <c r="K207" s="117">
        <v>39255560</v>
      </c>
      <c r="L207" s="120">
        <f t="shared" si="41"/>
        <v>185.86824872988291</v>
      </c>
      <c r="M207" s="122">
        <f t="shared" si="42"/>
        <v>52473680.350000001</v>
      </c>
      <c r="N207" s="116">
        <f t="shared" si="43"/>
        <v>13218120.350000001</v>
      </c>
      <c r="O207" s="123">
        <f t="shared" si="44"/>
        <v>62.585500778878895</v>
      </c>
      <c r="P207" s="5"/>
      <c r="Q207" s="5">
        <f t="shared" si="45"/>
        <v>1</v>
      </c>
      <c r="R207" s="7">
        <f t="shared" si="46"/>
        <v>211201</v>
      </c>
      <c r="S207" s="5">
        <f t="shared" si="47"/>
        <v>1</v>
      </c>
      <c r="T207" s="7">
        <f t="shared" si="48"/>
        <v>211201</v>
      </c>
    </row>
    <row r="208" spans="1:20">
      <c r="A208" s="23" t="s">
        <v>242</v>
      </c>
      <c r="B208" s="37" t="s">
        <v>233</v>
      </c>
      <c r="C208" s="36">
        <v>17859</v>
      </c>
      <c r="D208" s="6"/>
      <c r="E208" s="113">
        <v>575040268</v>
      </c>
      <c r="F208" s="116">
        <f t="shared" si="39"/>
        <v>32198.906321742539</v>
      </c>
      <c r="G208" s="117">
        <v>444964847</v>
      </c>
      <c r="H208" s="117">
        <f t="shared" si="40"/>
        <v>24915.440226216473</v>
      </c>
      <c r="I208" s="7"/>
      <c r="J208" s="10">
        <v>7.327</v>
      </c>
      <c r="K208" s="117">
        <v>3260257</v>
      </c>
      <c r="L208" s="120">
        <f t="shared" si="41"/>
        <v>182.55540623775127</v>
      </c>
      <c r="M208" s="122">
        <f t="shared" si="42"/>
        <v>4449648.47</v>
      </c>
      <c r="N208" s="116">
        <f t="shared" si="43"/>
        <v>1189391.4699999997</v>
      </c>
      <c r="O208" s="123">
        <f t="shared" si="44"/>
        <v>66.598996024413452</v>
      </c>
      <c r="P208" s="5"/>
      <c r="Q208" s="5">
        <f t="shared" si="45"/>
        <v>1</v>
      </c>
      <c r="R208" s="7">
        <f t="shared" si="46"/>
        <v>17859</v>
      </c>
      <c r="S208" s="5">
        <f t="shared" si="47"/>
        <v>1</v>
      </c>
      <c r="T208" s="7">
        <f t="shared" si="48"/>
        <v>17859</v>
      </c>
    </row>
    <row r="209" spans="1:20">
      <c r="A209" s="23" t="s">
        <v>243</v>
      </c>
      <c r="B209" s="37" t="s">
        <v>233</v>
      </c>
      <c r="C209" s="36">
        <v>26650</v>
      </c>
      <c r="D209" s="6"/>
      <c r="E209" s="113">
        <v>919446353</v>
      </c>
      <c r="F209" s="116">
        <f t="shared" si="39"/>
        <v>34500.801238273918</v>
      </c>
      <c r="G209" s="117">
        <v>605068821</v>
      </c>
      <c r="H209" s="117">
        <f t="shared" si="40"/>
        <v>22704.270956848031</v>
      </c>
      <c r="I209" s="7"/>
      <c r="J209" s="10">
        <v>8.5</v>
      </c>
      <c r="K209" s="117">
        <v>5143084</v>
      </c>
      <c r="L209" s="120">
        <f t="shared" si="41"/>
        <v>192.98626641651032</v>
      </c>
      <c r="M209" s="122">
        <f t="shared" si="42"/>
        <v>6050688.21</v>
      </c>
      <c r="N209" s="116">
        <f t="shared" si="43"/>
        <v>907604.21</v>
      </c>
      <c r="O209" s="123">
        <f t="shared" si="44"/>
        <v>34.05644315196998</v>
      </c>
      <c r="P209" s="5"/>
      <c r="Q209" s="5">
        <f t="shared" si="45"/>
        <v>1</v>
      </c>
      <c r="R209" s="7">
        <f t="shared" si="46"/>
        <v>26650</v>
      </c>
      <c r="S209" s="5">
        <f t="shared" si="47"/>
        <v>1</v>
      </c>
      <c r="T209" s="7">
        <f t="shared" si="48"/>
        <v>26650</v>
      </c>
    </row>
    <row r="210" spans="1:20">
      <c r="A210" s="23" t="s">
        <v>244</v>
      </c>
      <c r="B210" s="37" t="s">
        <v>233</v>
      </c>
      <c r="C210" s="36">
        <v>53</v>
      </c>
      <c r="D210" s="6"/>
      <c r="E210" s="113">
        <v>148440194</v>
      </c>
      <c r="F210" s="116">
        <f t="shared" si="39"/>
        <v>2800758.3773584906</v>
      </c>
      <c r="G210" s="117">
        <v>134654885</v>
      </c>
      <c r="H210" s="117">
        <f t="shared" si="40"/>
        <v>2540658.2075471696</v>
      </c>
      <c r="I210" s="7"/>
      <c r="J210" s="10">
        <v>9.9600000000000009</v>
      </c>
      <c r="K210" s="117">
        <v>1341162</v>
      </c>
      <c r="L210" s="120">
        <f t="shared" si="41"/>
        <v>25304.943396226416</v>
      </c>
      <c r="M210" s="122">
        <f t="shared" si="42"/>
        <v>1346548.85</v>
      </c>
      <c r="N210" s="116">
        <f t="shared" si="43"/>
        <v>5386.8500000000931</v>
      </c>
      <c r="O210" s="123">
        <f t="shared" si="44"/>
        <v>101.63867924528478</v>
      </c>
      <c r="P210" s="5"/>
      <c r="Q210" s="5">
        <f t="shared" si="45"/>
        <v>1</v>
      </c>
      <c r="R210" s="7">
        <f t="shared" si="46"/>
        <v>53</v>
      </c>
      <c r="S210" s="5">
        <f t="shared" si="47"/>
        <v>1</v>
      </c>
      <c r="T210" s="7">
        <f t="shared" si="48"/>
        <v>53</v>
      </c>
    </row>
    <row r="211" spans="1:20">
      <c r="A211" s="23" t="s">
        <v>245</v>
      </c>
      <c r="B211" s="37" t="s">
        <v>233</v>
      </c>
      <c r="C211" s="36">
        <v>13</v>
      </c>
      <c r="D211" s="6"/>
      <c r="E211" s="113">
        <v>9359237</v>
      </c>
      <c r="F211" s="116">
        <f t="shared" si="39"/>
        <v>719941.30769230775</v>
      </c>
      <c r="G211" s="117">
        <v>295659</v>
      </c>
      <c r="H211" s="117">
        <f t="shared" si="40"/>
        <v>22743</v>
      </c>
      <c r="I211" s="7"/>
      <c r="J211" s="10">
        <v>9.2263000000000002</v>
      </c>
      <c r="K211" s="117">
        <v>2727</v>
      </c>
      <c r="L211" s="120">
        <f t="shared" si="41"/>
        <v>209.76923076923077</v>
      </c>
      <c r="M211" s="122">
        <f t="shared" si="42"/>
        <v>2956.59</v>
      </c>
      <c r="N211" s="116">
        <f t="shared" si="43"/>
        <v>229.59000000000015</v>
      </c>
      <c r="O211" s="123">
        <f t="shared" si="44"/>
        <v>17.66076923076924</v>
      </c>
      <c r="P211" s="5"/>
      <c r="Q211" s="5">
        <f t="shared" si="45"/>
        <v>1</v>
      </c>
      <c r="R211" s="7">
        <f t="shared" si="46"/>
        <v>13</v>
      </c>
      <c r="S211" s="5">
        <f t="shared" si="47"/>
        <v>1</v>
      </c>
      <c r="T211" s="7">
        <f t="shared" si="48"/>
        <v>13</v>
      </c>
    </row>
    <row r="212" spans="1:20">
      <c r="A212" s="23" t="s">
        <v>246</v>
      </c>
      <c r="B212" s="37" t="s">
        <v>233</v>
      </c>
      <c r="C212" s="36">
        <v>9689</v>
      </c>
      <c r="D212" s="6"/>
      <c r="E212" s="113">
        <v>2361256708</v>
      </c>
      <c r="F212" s="116">
        <f t="shared" si="39"/>
        <v>243704.89297141088</v>
      </c>
      <c r="G212" s="117">
        <v>2232861518</v>
      </c>
      <c r="H212" s="117">
        <f t="shared" si="40"/>
        <v>230453.24780679122</v>
      </c>
      <c r="I212" s="7"/>
      <c r="J212" s="10">
        <v>3.6059999999999999</v>
      </c>
      <c r="K212" s="117">
        <v>8051698</v>
      </c>
      <c r="L212" s="120">
        <f t="shared" si="41"/>
        <v>831.014346165755</v>
      </c>
      <c r="M212" s="122">
        <f t="shared" si="42"/>
        <v>22328615.18</v>
      </c>
      <c r="N212" s="116">
        <f t="shared" si="43"/>
        <v>14276917.18</v>
      </c>
      <c r="O212" s="123">
        <f t="shared" si="44"/>
        <v>1473.5181319021572</v>
      </c>
      <c r="P212" s="5"/>
      <c r="Q212" s="5">
        <f t="shared" si="45"/>
        <v>1</v>
      </c>
      <c r="R212" s="7">
        <f t="shared" si="46"/>
        <v>9689</v>
      </c>
      <c r="S212" s="5">
        <f t="shared" si="47"/>
        <v>1</v>
      </c>
      <c r="T212" s="7">
        <f t="shared" si="48"/>
        <v>9689</v>
      </c>
    </row>
    <row r="213" spans="1:20">
      <c r="A213" s="23" t="s">
        <v>247</v>
      </c>
      <c r="B213" s="37" t="s">
        <v>233</v>
      </c>
      <c r="C213" s="36">
        <v>860</v>
      </c>
      <c r="D213" s="6"/>
      <c r="E213" s="113">
        <v>654401249</v>
      </c>
      <c r="F213" s="116">
        <f t="shared" si="39"/>
        <v>760931.68488372094</v>
      </c>
      <c r="G213" s="117">
        <v>646773657</v>
      </c>
      <c r="H213" s="117">
        <f t="shared" si="40"/>
        <v>752062.39186046517</v>
      </c>
      <c r="I213" s="7"/>
      <c r="J213" s="10">
        <v>7.923</v>
      </c>
      <c r="K213" s="117">
        <v>5124387</v>
      </c>
      <c r="L213" s="120">
        <f t="shared" si="41"/>
        <v>5958.5895348837212</v>
      </c>
      <c r="M213" s="122">
        <f t="shared" si="42"/>
        <v>6467736.5700000003</v>
      </c>
      <c r="N213" s="116">
        <f t="shared" si="43"/>
        <v>1343349.5700000003</v>
      </c>
      <c r="O213" s="123">
        <f t="shared" si="44"/>
        <v>1562.0343837209307</v>
      </c>
      <c r="P213" s="5"/>
      <c r="Q213" s="5">
        <f t="shared" si="45"/>
        <v>1</v>
      </c>
      <c r="R213" s="7">
        <f t="shared" si="46"/>
        <v>860</v>
      </c>
      <c r="S213" s="5">
        <f t="shared" si="47"/>
        <v>1</v>
      </c>
      <c r="T213" s="7">
        <f t="shared" si="48"/>
        <v>860</v>
      </c>
    </row>
    <row r="214" spans="1:20">
      <c r="A214" s="23" t="s">
        <v>248</v>
      </c>
      <c r="B214" s="37" t="s">
        <v>233</v>
      </c>
      <c r="C214" s="36">
        <v>365204</v>
      </c>
      <c r="D214" s="6"/>
      <c r="E214" s="113">
        <v>19110296504</v>
      </c>
      <c r="F214" s="116">
        <f t="shared" si="39"/>
        <v>52327.730539643599</v>
      </c>
      <c r="G214" s="117">
        <v>13387883915</v>
      </c>
      <c r="H214" s="117">
        <f t="shared" si="40"/>
        <v>36658.645346162695</v>
      </c>
      <c r="I214" s="7"/>
      <c r="J214" s="10">
        <v>10.9</v>
      </c>
      <c r="K214" s="117">
        <v>145927934</v>
      </c>
      <c r="L214" s="120">
        <f t="shared" si="41"/>
        <v>399.57923242899858</v>
      </c>
      <c r="M214" s="122">
        <f t="shared" si="42"/>
        <v>133878839.15000001</v>
      </c>
      <c r="N214" s="116">
        <f t="shared" si="43"/>
        <v>-12049094.849999994</v>
      </c>
      <c r="O214" s="123">
        <f t="shared" si="44"/>
        <v>-32.992778967371642</v>
      </c>
      <c r="P214" s="5"/>
      <c r="Q214" s="5">
        <f t="shared" si="45"/>
        <v>1</v>
      </c>
      <c r="R214" s="7">
        <f t="shared" si="46"/>
        <v>365204</v>
      </c>
      <c r="S214" s="5">
        <f t="shared" si="47"/>
        <v>1</v>
      </c>
      <c r="T214" s="7">
        <f t="shared" si="48"/>
        <v>365204</v>
      </c>
    </row>
    <row r="215" spans="1:20">
      <c r="A215" s="23" t="s">
        <v>249</v>
      </c>
      <c r="B215" s="37" t="s">
        <v>233</v>
      </c>
      <c r="C215" s="36">
        <v>94012</v>
      </c>
      <c r="D215" s="6"/>
      <c r="E215" s="113">
        <v>9089393015</v>
      </c>
      <c r="F215" s="116">
        <f t="shared" si="39"/>
        <v>96683.327819852784</v>
      </c>
      <c r="G215" s="117">
        <v>7657844561</v>
      </c>
      <c r="H215" s="117">
        <f t="shared" si="40"/>
        <v>81456.032857507555</v>
      </c>
      <c r="I215" s="7"/>
      <c r="J215" s="10">
        <v>8.6980000000000004</v>
      </c>
      <c r="K215" s="117">
        <v>66607931</v>
      </c>
      <c r="L215" s="120">
        <f t="shared" si="41"/>
        <v>708.50456324724507</v>
      </c>
      <c r="M215" s="122">
        <f t="shared" si="42"/>
        <v>76578445.609999999</v>
      </c>
      <c r="N215" s="116">
        <f t="shared" si="43"/>
        <v>9970514.6099999994</v>
      </c>
      <c r="O215" s="123">
        <f t="shared" si="44"/>
        <v>106.05576532783049</v>
      </c>
      <c r="P215" s="5"/>
      <c r="Q215" s="5">
        <f t="shared" si="45"/>
        <v>1</v>
      </c>
      <c r="R215" s="7">
        <f t="shared" si="46"/>
        <v>94012</v>
      </c>
      <c r="S215" s="5">
        <f t="shared" si="47"/>
        <v>1</v>
      </c>
      <c r="T215" s="7">
        <f t="shared" si="48"/>
        <v>94012</v>
      </c>
    </row>
    <row r="216" spans="1:20">
      <c r="A216" s="23" t="s">
        <v>250</v>
      </c>
      <c r="B216" s="37" t="s">
        <v>233</v>
      </c>
      <c r="C216" s="36">
        <v>10170</v>
      </c>
      <c r="D216" s="6"/>
      <c r="E216" s="113">
        <v>570985282</v>
      </c>
      <c r="F216" s="116">
        <f t="shared" si="39"/>
        <v>56144.078859390364</v>
      </c>
      <c r="G216" s="117">
        <v>385266843</v>
      </c>
      <c r="H216" s="117">
        <f t="shared" si="40"/>
        <v>37882.67876106195</v>
      </c>
      <c r="I216" s="7"/>
      <c r="J216" s="10">
        <v>8.9692000000000007</v>
      </c>
      <c r="K216" s="117">
        <v>3455535</v>
      </c>
      <c r="L216" s="120">
        <f t="shared" si="41"/>
        <v>339.7772861356932</v>
      </c>
      <c r="M216" s="122">
        <f t="shared" si="42"/>
        <v>3852668.43</v>
      </c>
      <c r="N216" s="116">
        <f t="shared" si="43"/>
        <v>397133.43000000017</v>
      </c>
      <c r="O216" s="123">
        <f t="shared" si="44"/>
        <v>39.049501474926274</v>
      </c>
      <c r="P216" s="5"/>
      <c r="Q216" s="5">
        <f t="shared" si="45"/>
        <v>1</v>
      </c>
      <c r="R216" s="7">
        <f t="shared" si="46"/>
        <v>10170</v>
      </c>
      <c r="S216" s="5">
        <f t="shared" si="47"/>
        <v>1</v>
      </c>
      <c r="T216" s="7">
        <f t="shared" si="48"/>
        <v>10170</v>
      </c>
    </row>
    <row r="217" spans="1:20">
      <c r="A217" s="23" t="s">
        <v>251</v>
      </c>
      <c r="B217" s="37" t="s">
        <v>233</v>
      </c>
      <c r="C217" s="36">
        <v>13295</v>
      </c>
      <c r="D217" s="6"/>
      <c r="E217" s="113">
        <v>716190550</v>
      </c>
      <c r="F217" s="116">
        <f t="shared" si="39"/>
        <v>53869.165099661528</v>
      </c>
      <c r="G217" s="117">
        <v>563507539</v>
      </c>
      <c r="H217" s="117">
        <f t="shared" si="40"/>
        <v>42384.92207596841</v>
      </c>
      <c r="I217" s="7"/>
      <c r="J217" s="10">
        <v>8.298</v>
      </c>
      <c r="K217" s="117">
        <v>4675985</v>
      </c>
      <c r="L217" s="120">
        <f t="shared" si="41"/>
        <v>351.71004136893566</v>
      </c>
      <c r="M217" s="122">
        <f t="shared" si="42"/>
        <v>5635075.3899999997</v>
      </c>
      <c r="N217" s="116">
        <f t="shared" si="43"/>
        <v>959090.38999999966</v>
      </c>
      <c r="O217" s="123">
        <f t="shared" si="44"/>
        <v>72.139179390748382</v>
      </c>
      <c r="P217" s="5"/>
      <c r="Q217" s="5">
        <f t="shared" si="45"/>
        <v>1</v>
      </c>
      <c r="R217" s="7">
        <f t="shared" si="46"/>
        <v>13295</v>
      </c>
      <c r="S217" s="5">
        <f t="shared" si="47"/>
        <v>1</v>
      </c>
      <c r="T217" s="7">
        <f t="shared" si="48"/>
        <v>13295</v>
      </c>
    </row>
    <row r="218" spans="1:20">
      <c r="A218" s="23" t="s">
        <v>252</v>
      </c>
      <c r="B218" s="37" t="s">
        <v>233</v>
      </c>
      <c r="C218" s="36">
        <v>6125</v>
      </c>
      <c r="D218" s="6"/>
      <c r="E218" s="113">
        <v>268955753</v>
      </c>
      <c r="F218" s="116">
        <f t="shared" si="39"/>
        <v>43911.143346938778</v>
      </c>
      <c r="G218" s="117">
        <v>240622895</v>
      </c>
      <c r="H218" s="117">
        <f t="shared" si="40"/>
        <v>39285.3706122449</v>
      </c>
      <c r="I218" s="7"/>
      <c r="J218" s="10">
        <v>5.4550000000000001</v>
      </c>
      <c r="K218" s="117">
        <v>1312597</v>
      </c>
      <c r="L218" s="120">
        <f t="shared" si="41"/>
        <v>214.30155102040817</v>
      </c>
      <c r="M218" s="122">
        <f t="shared" si="42"/>
        <v>2406228.9500000002</v>
      </c>
      <c r="N218" s="116">
        <f t="shared" si="43"/>
        <v>1093631.9500000002</v>
      </c>
      <c r="O218" s="123">
        <f t="shared" si="44"/>
        <v>178.55215510204084</v>
      </c>
      <c r="P218" s="5"/>
      <c r="Q218" s="5">
        <f t="shared" si="45"/>
        <v>1</v>
      </c>
      <c r="R218" s="7">
        <f t="shared" si="46"/>
        <v>6125</v>
      </c>
      <c r="S218" s="5">
        <f t="shared" si="47"/>
        <v>1</v>
      </c>
      <c r="T218" s="7">
        <f t="shared" si="48"/>
        <v>6125</v>
      </c>
    </row>
    <row r="219" spans="1:20">
      <c r="A219" s="23" t="s">
        <v>253</v>
      </c>
      <c r="B219" s="37" t="s">
        <v>233</v>
      </c>
      <c r="C219" s="36">
        <v>50308</v>
      </c>
      <c r="D219" s="6"/>
      <c r="E219" s="113">
        <v>1792409855</v>
      </c>
      <c r="F219" s="116">
        <f t="shared" si="39"/>
        <v>35628.724159179452</v>
      </c>
      <c r="G219" s="117">
        <v>1286912352</v>
      </c>
      <c r="H219" s="117">
        <f t="shared" si="40"/>
        <v>25580.670112109405</v>
      </c>
      <c r="I219" s="7"/>
      <c r="J219" s="10">
        <v>9.0380000000000003</v>
      </c>
      <c r="K219" s="117">
        <v>11631113</v>
      </c>
      <c r="L219" s="120">
        <f t="shared" si="41"/>
        <v>231.19807982825793</v>
      </c>
      <c r="M219" s="122">
        <f t="shared" si="42"/>
        <v>12869123.52</v>
      </c>
      <c r="N219" s="116">
        <f t="shared" si="43"/>
        <v>1238010.5199999996</v>
      </c>
      <c r="O219" s="123">
        <f t="shared" si="44"/>
        <v>24.608621292836119</v>
      </c>
      <c r="P219" s="5"/>
      <c r="Q219" s="5">
        <f t="shared" si="45"/>
        <v>1</v>
      </c>
      <c r="R219" s="7">
        <f t="shared" si="46"/>
        <v>50308</v>
      </c>
      <c r="S219" s="5">
        <f t="shared" si="47"/>
        <v>1</v>
      </c>
      <c r="T219" s="7">
        <f t="shared" si="48"/>
        <v>50308</v>
      </c>
    </row>
    <row r="220" spans="1:20">
      <c r="A220" s="23" t="s">
        <v>254</v>
      </c>
      <c r="B220" s="37" t="s">
        <v>233</v>
      </c>
      <c r="C220" s="36">
        <v>36982</v>
      </c>
      <c r="D220" s="6"/>
      <c r="E220" s="113">
        <v>1506676460</v>
      </c>
      <c r="F220" s="116">
        <f t="shared" si="39"/>
        <v>40740.805256611326</v>
      </c>
      <c r="G220" s="117">
        <v>1114797095</v>
      </c>
      <c r="H220" s="117">
        <f t="shared" si="40"/>
        <v>30144.316018603644</v>
      </c>
      <c r="I220" s="7"/>
      <c r="J220" s="10">
        <v>8.4034999999999993</v>
      </c>
      <c r="K220" s="117">
        <v>9368197</v>
      </c>
      <c r="L220" s="120">
        <f t="shared" si="41"/>
        <v>253.31774917527446</v>
      </c>
      <c r="M220" s="122">
        <f t="shared" si="42"/>
        <v>11147970.950000001</v>
      </c>
      <c r="N220" s="116">
        <f t="shared" si="43"/>
        <v>1779773.9500000011</v>
      </c>
      <c r="O220" s="123">
        <f t="shared" si="44"/>
        <v>48.125411010762022</v>
      </c>
      <c r="P220" s="5"/>
      <c r="Q220" s="5">
        <f t="shared" si="45"/>
        <v>1</v>
      </c>
      <c r="R220" s="7">
        <f t="shared" si="46"/>
        <v>36982</v>
      </c>
      <c r="S220" s="5">
        <f t="shared" si="47"/>
        <v>1</v>
      </c>
      <c r="T220" s="7">
        <f t="shared" si="48"/>
        <v>36982</v>
      </c>
    </row>
    <row r="221" spans="1:20">
      <c r="A221" s="23" t="s">
        <v>255</v>
      </c>
      <c r="B221" s="37" t="s">
        <v>233</v>
      </c>
      <c r="C221" s="36">
        <v>15475</v>
      </c>
      <c r="D221" s="6"/>
      <c r="E221" s="113">
        <v>515386901</v>
      </c>
      <c r="F221" s="116">
        <f t="shared" ref="F221:F284" si="49">(E221/C221)</f>
        <v>33304.484717285944</v>
      </c>
      <c r="G221" s="117">
        <v>402965092</v>
      </c>
      <c r="H221" s="117">
        <f t="shared" ref="H221:H284" si="50">(G221/C221)</f>
        <v>26039.747463651049</v>
      </c>
      <c r="I221" s="7"/>
      <c r="J221" s="10">
        <v>9.8000000000000007</v>
      </c>
      <c r="K221" s="117">
        <v>3949057</v>
      </c>
      <c r="L221" s="120">
        <f t="shared" si="41"/>
        <v>255.18946688206785</v>
      </c>
      <c r="M221" s="122">
        <f t="shared" si="42"/>
        <v>4029650.92</v>
      </c>
      <c r="N221" s="116">
        <f t="shared" si="43"/>
        <v>80593.919999999925</v>
      </c>
      <c r="O221" s="123">
        <f t="shared" si="44"/>
        <v>5.2080077544426446</v>
      </c>
      <c r="P221" s="5"/>
      <c r="Q221" s="5">
        <f t="shared" si="45"/>
        <v>1</v>
      </c>
      <c r="R221" s="7">
        <f t="shared" si="46"/>
        <v>15475</v>
      </c>
      <c r="S221" s="5">
        <f t="shared" si="47"/>
        <v>1</v>
      </c>
      <c r="T221" s="7">
        <f t="shared" si="48"/>
        <v>15475</v>
      </c>
    </row>
    <row r="222" spans="1:20">
      <c r="A222" s="23" t="s">
        <v>256</v>
      </c>
      <c r="B222" s="37" t="s">
        <v>233</v>
      </c>
      <c r="C222" s="36">
        <v>17894</v>
      </c>
      <c r="D222" s="6"/>
      <c r="E222" s="113">
        <v>2105096418</v>
      </c>
      <c r="F222" s="116">
        <f t="shared" si="49"/>
        <v>117642.58511232816</v>
      </c>
      <c r="G222" s="117">
        <v>1784251090</v>
      </c>
      <c r="H222" s="117">
        <f t="shared" si="50"/>
        <v>99712.254945791879</v>
      </c>
      <c r="I222" s="7"/>
      <c r="J222" s="10">
        <v>2.1</v>
      </c>
      <c r="K222" s="117">
        <v>3746927</v>
      </c>
      <c r="L222" s="120">
        <f t="shared" si="41"/>
        <v>209.39571923549792</v>
      </c>
      <c r="M222" s="122">
        <f t="shared" si="42"/>
        <v>17842510.899999999</v>
      </c>
      <c r="N222" s="116">
        <f t="shared" si="43"/>
        <v>14095583.899999999</v>
      </c>
      <c r="O222" s="123">
        <f t="shared" si="44"/>
        <v>787.72683022242086</v>
      </c>
      <c r="P222" s="5"/>
      <c r="Q222" s="5">
        <f t="shared" si="45"/>
        <v>1</v>
      </c>
      <c r="R222" s="7">
        <f t="shared" si="46"/>
        <v>17894</v>
      </c>
      <c r="S222" s="5">
        <f t="shared" si="47"/>
        <v>1</v>
      </c>
      <c r="T222" s="7">
        <f t="shared" si="48"/>
        <v>17894</v>
      </c>
    </row>
    <row r="223" spans="1:20">
      <c r="A223" s="23" t="s">
        <v>257</v>
      </c>
      <c r="B223" s="37" t="s">
        <v>233</v>
      </c>
      <c r="C223" s="36">
        <v>10546</v>
      </c>
      <c r="D223" s="6"/>
      <c r="E223" s="113">
        <v>1010846934</v>
      </c>
      <c r="F223" s="116">
        <f t="shared" si="49"/>
        <v>95851.216954295465</v>
      </c>
      <c r="G223" s="117">
        <v>755328548</v>
      </c>
      <c r="H223" s="117">
        <f t="shared" si="50"/>
        <v>71622.278399393137</v>
      </c>
      <c r="I223" s="7"/>
      <c r="J223" s="10">
        <v>6.3730000000000002</v>
      </c>
      <c r="K223" s="117">
        <v>4813708</v>
      </c>
      <c r="L223" s="120">
        <f t="shared" si="41"/>
        <v>456.44870092926226</v>
      </c>
      <c r="M223" s="122">
        <f t="shared" si="42"/>
        <v>7553285.4800000004</v>
      </c>
      <c r="N223" s="116">
        <f t="shared" si="43"/>
        <v>2739577.4800000004</v>
      </c>
      <c r="O223" s="123">
        <f t="shared" si="44"/>
        <v>259.77408306466913</v>
      </c>
      <c r="P223" s="5"/>
      <c r="Q223" s="5">
        <f t="shared" si="45"/>
        <v>1</v>
      </c>
      <c r="R223" s="7">
        <f t="shared" si="46"/>
        <v>10546</v>
      </c>
      <c r="S223" s="5">
        <f t="shared" si="47"/>
        <v>1</v>
      </c>
      <c r="T223" s="7">
        <f t="shared" si="48"/>
        <v>10546</v>
      </c>
    </row>
    <row r="224" spans="1:20">
      <c r="A224" s="23" t="s">
        <v>258</v>
      </c>
      <c r="B224" s="37" t="s">
        <v>233</v>
      </c>
      <c r="C224" s="36">
        <v>14329</v>
      </c>
      <c r="D224" s="6"/>
      <c r="E224" s="113">
        <v>1572171225</v>
      </c>
      <c r="F224" s="116">
        <f t="shared" si="49"/>
        <v>109719.53555726149</v>
      </c>
      <c r="G224" s="117">
        <v>1457254566</v>
      </c>
      <c r="H224" s="117">
        <f t="shared" si="50"/>
        <v>101699.66962104822</v>
      </c>
      <c r="I224" s="7"/>
      <c r="J224" s="10">
        <v>2.3029999999999999</v>
      </c>
      <c r="K224" s="117">
        <v>3356057</v>
      </c>
      <c r="L224" s="120">
        <f t="shared" si="41"/>
        <v>234.21432060855608</v>
      </c>
      <c r="M224" s="122">
        <f t="shared" si="42"/>
        <v>14572545.66</v>
      </c>
      <c r="N224" s="116">
        <f t="shared" si="43"/>
        <v>11216488.66</v>
      </c>
      <c r="O224" s="123">
        <f t="shared" si="44"/>
        <v>782.78237560192622</v>
      </c>
      <c r="P224" s="5"/>
      <c r="Q224" s="5">
        <f t="shared" si="45"/>
        <v>1</v>
      </c>
      <c r="R224" s="7">
        <f t="shared" si="46"/>
        <v>14329</v>
      </c>
      <c r="S224" s="5">
        <f t="shared" si="47"/>
        <v>1</v>
      </c>
      <c r="T224" s="7">
        <f t="shared" si="48"/>
        <v>14329</v>
      </c>
    </row>
    <row r="225" spans="1:20">
      <c r="A225" s="23" t="s">
        <v>259</v>
      </c>
      <c r="B225" s="37" t="s">
        <v>233</v>
      </c>
      <c r="C225" s="36">
        <v>4331</v>
      </c>
      <c r="D225" s="6"/>
      <c r="E225" s="113">
        <v>512847797</v>
      </c>
      <c r="F225" s="116">
        <f t="shared" si="49"/>
        <v>118413.25259755254</v>
      </c>
      <c r="G225" s="117">
        <v>453954396</v>
      </c>
      <c r="H225" s="117">
        <f t="shared" si="50"/>
        <v>104815.14569383515</v>
      </c>
      <c r="I225" s="7"/>
      <c r="J225" s="10">
        <v>5.6029999999999998</v>
      </c>
      <c r="K225" s="117">
        <v>2543506</v>
      </c>
      <c r="L225" s="120">
        <f t="shared" si="41"/>
        <v>587.2791503117063</v>
      </c>
      <c r="M225" s="122">
        <f t="shared" si="42"/>
        <v>4539543.96</v>
      </c>
      <c r="N225" s="116">
        <f t="shared" si="43"/>
        <v>1996037.96</v>
      </c>
      <c r="O225" s="123">
        <f t="shared" si="44"/>
        <v>460.87230662664513</v>
      </c>
      <c r="P225" s="5"/>
      <c r="Q225" s="5">
        <f t="shared" si="45"/>
        <v>1</v>
      </c>
      <c r="R225" s="7">
        <f t="shared" si="46"/>
        <v>4331</v>
      </c>
      <c r="S225" s="5">
        <f t="shared" si="47"/>
        <v>1</v>
      </c>
      <c r="T225" s="7">
        <f t="shared" si="48"/>
        <v>4331</v>
      </c>
    </row>
    <row r="226" spans="1:20">
      <c r="A226" s="23" t="s">
        <v>260</v>
      </c>
      <c r="B226" s="37" t="s">
        <v>233</v>
      </c>
      <c r="C226" s="36">
        <v>14310</v>
      </c>
      <c r="D226" s="6"/>
      <c r="E226" s="113">
        <v>277654758</v>
      </c>
      <c r="F226" s="116">
        <f t="shared" si="49"/>
        <v>19402.84821802935</v>
      </c>
      <c r="G226" s="117">
        <v>223112967</v>
      </c>
      <c r="H226" s="117">
        <f t="shared" si="50"/>
        <v>15591.402306079664</v>
      </c>
      <c r="I226" s="7"/>
      <c r="J226" s="10">
        <v>3.49</v>
      </c>
      <c r="K226" s="117">
        <v>778664</v>
      </c>
      <c r="L226" s="120">
        <f t="shared" si="41"/>
        <v>54.413976240391335</v>
      </c>
      <c r="M226" s="122">
        <f t="shared" si="42"/>
        <v>2231129.67</v>
      </c>
      <c r="N226" s="116">
        <f t="shared" si="43"/>
        <v>1452465.67</v>
      </c>
      <c r="O226" s="123">
        <f t="shared" si="44"/>
        <v>101.5000468204053</v>
      </c>
      <c r="P226" s="5"/>
      <c r="Q226" s="5">
        <f t="shared" si="45"/>
        <v>1</v>
      </c>
      <c r="R226" s="7">
        <f t="shared" si="46"/>
        <v>14310</v>
      </c>
      <c r="S226" s="5">
        <f t="shared" si="47"/>
        <v>1</v>
      </c>
      <c r="T226" s="7">
        <f t="shared" si="48"/>
        <v>14310</v>
      </c>
    </row>
    <row r="227" spans="1:20">
      <c r="A227" s="23" t="s">
        <v>261</v>
      </c>
      <c r="B227" s="37" t="s">
        <v>233</v>
      </c>
      <c r="C227" s="36">
        <v>2278</v>
      </c>
      <c r="D227" s="6"/>
      <c r="E227" s="113">
        <v>102456788</v>
      </c>
      <c r="F227" s="116">
        <f t="shared" si="49"/>
        <v>44976.640913081654</v>
      </c>
      <c r="G227" s="117">
        <v>85656050</v>
      </c>
      <c r="H227" s="117">
        <f t="shared" si="50"/>
        <v>37601.426690079017</v>
      </c>
      <c r="I227" s="7"/>
      <c r="J227" s="10">
        <v>3.843</v>
      </c>
      <c r="K227" s="117">
        <v>329176</v>
      </c>
      <c r="L227" s="120">
        <f t="shared" si="41"/>
        <v>144.50219490781387</v>
      </c>
      <c r="M227" s="122">
        <f t="shared" si="42"/>
        <v>856560.5</v>
      </c>
      <c r="N227" s="116">
        <f t="shared" si="43"/>
        <v>527384.5</v>
      </c>
      <c r="O227" s="123">
        <f t="shared" si="44"/>
        <v>231.5120719929763</v>
      </c>
      <c r="P227" s="5"/>
      <c r="Q227" s="5">
        <f t="shared" si="45"/>
        <v>1</v>
      </c>
      <c r="R227" s="7">
        <f t="shared" si="46"/>
        <v>2278</v>
      </c>
      <c r="S227" s="5">
        <f t="shared" si="47"/>
        <v>1</v>
      </c>
      <c r="T227" s="7">
        <f t="shared" si="48"/>
        <v>2278</v>
      </c>
    </row>
    <row r="228" spans="1:20">
      <c r="A228" s="23" t="s">
        <v>262</v>
      </c>
      <c r="B228" s="37" t="s">
        <v>233</v>
      </c>
      <c r="C228" s="36">
        <v>5863</v>
      </c>
      <c r="D228" s="6"/>
      <c r="E228" s="113">
        <v>229822007</v>
      </c>
      <c r="F228" s="116">
        <f t="shared" si="49"/>
        <v>39198.704929217121</v>
      </c>
      <c r="G228" s="117">
        <v>180565275</v>
      </c>
      <c r="H228" s="117">
        <f t="shared" si="50"/>
        <v>30797.420262664164</v>
      </c>
      <c r="I228" s="7"/>
      <c r="J228" s="10">
        <v>8.4949999999999992</v>
      </c>
      <c r="K228" s="117">
        <v>1533902</v>
      </c>
      <c r="L228" s="120">
        <f t="shared" si="41"/>
        <v>261.62408323383931</v>
      </c>
      <c r="M228" s="122">
        <f t="shared" si="42"/>
        <v>1805652.75</v>
      </c>
      <c r="N228" s="116">
        <f t="shared" si="43"/>
        <v>271750.75</v>
      </c>
      <c r="O228" s="123">
        <f t="shared" si="44"/>
        <v>46.35011939280232</v>
      </c>
      <c r="P228" s="5"/>
      <c r="Q228" s="5">
        <f t="shared" si="45"/>
        <v>1</v>
      </c>
      <c r="R228" s="7">
        <f t="shared" si="46"/>
        <v>5863</v>
      </c>
      <c r="S228" s="5">
        <f t="shared" si="47"/>
        <v>1</v>
      </c>
      <c r="T228" s="7">
        <f t="shared" si="48"/>
        <v>5863</v>
      </c>
    </row>
    <row r="229" spans="1:20">
      <c r="A229" s="23" t="s">
        <v>263</v>
      </c>
      <c r="B229" s="37" t="s">
        <v>264</v>
      </c>
      <c r="C229" s="36">
        <v>7639</v>
      </c>
      <c r="D229" s="6"/>
      <c r="E229" s="113">
        <v>1242592224</v>
      </c>
      <c r="F229" s="116">
        <f t="shared" si="49"/>
        <v>162664.25238905617</v>
      </c>
      <c r="G229" s="117">
        <v>1124480639</v>
      </c>
      <c r="H229" s="117">
        <f t="shared" si="50"/>
        <v>147202.59706767902</v>
      </c>
      <c r="I229" s="7"/>
      <c r="J229" s="10">
        <v>2.2999999999999998</v>
      </c>
      <c r="K229" s="117">
        <v>2586305</v>
      </c>
      <c r="L229" s="120">
        <f t="shared" si="41"/>
        <v>338.56591176855608</v>
      </c>
      <c r="M229" s="122">
        <f t="shared" si="42"/>
        <v>11244806.390000001</v>
      </c>
      <c r="N229" s="116">
        <f t="shared" si="43"/>
        <v>8658501.3900000006</v>
      </c>
      <c r="O229" s="123">
        <f t="shared" si="44"/>
        <v>1133.460058908234</v>
      </c>
      <c r="P229" s="5"/>
      <c r="Q229" s="5">
        <f t="shared" si="45"/>
        <v>1</v>
      </c>
      <c r="R229" s="7">
        <f t="shared" si="46"/>
        <v>7639</v>
      </c>
      <c r="S229" s="5">
        <f t="shared" si="47"/>
        <v>1</v>
      </c>
      <c r="T229" s="7">
        <f t="shared" si="48"/>
        <v>7639</v>
      </c>
    </row>
    <row r="230" spans="1:20">
      <c r="A230" s="23" t="s">
        <v>265</v>
      </c>
      <c r="B230" s="37" t="s">
        <v>264</v>
      </c>
      <c r="C230" s="36">
        <v>1084</v>
      </c>
      <c r="D230" s="6"/>
      <c r="E230" s="113">
        <v>280492817</v>
      </c>
      <c r="F230" s="116">
        <f t="shared" si="49"/>
        <v>258757.21125461254</v>
      </c>
      <c r="G230" s="117">
        <v>260737003</v>
      </c>
      <c r="H230" s="117">
        <f t="shared" si="50"/>
        <v>240532.2905904059</v>
      </c>
      <c r="I230" s="7"/>
      <c r="J230" s="10">
        <v>1.7204999999999999</v>
      </c>
      <c r="K230" s="117">
        <v>448598</v>
      </c>
      <c r="L230" s="120">
        <f t="shared" si="41"/>
        <v>413.8357933579336</v>
      </c>
      <c r="M230" s="122">
        <f t="shared" si="42"/>
        <v>2607370.0300000003</v>
      </c>
      <c r="N230" s="116">
        <f t="shared" si="43"/>
        <v>2158772.0300000003</v>
      </c>
      <c r="O230" s="123">
        <f t="shared" si="44"/>
        <v>1991.4871125461257</v>
      </c>
      <c r="P230" s="5"/>
      <c r="Q230" s="5">
        <f t="shared" si="45"/>
        <v>1</v>
      </c>
      <c r="R230" s="7">
        <f t="shared" si="46"/>
        <v>1084</v>
      </c>
      <c r="S230" s="5">
        <f t="shared" si="47"/>
        <v>1</v>
      </c>
      <c r="T230" s="7">
        <f t="shared" si="48"/>
        <v>1084</v>
      </c>
    </row>
    <row r="231" spans="1:20">
      <c r="A231" s="23" t="s">
        <v>266</v>
      </c>
      <c r="B231" s="37" t="s">
        <v>264</v>
      </c>
      <c r="C231" s="36">
        <v>27698</v>
      </c>
      <c r="D231" s="6"/>
      <c r="E231" s="113">
        <v>5627320470</v>
      </c>
      <c r="F231" s="116">
        <f t="shared" si="49"/>
        <v>203167.03263773557</v>
      </c>
      <c r="G231" s="117">
        <v>2688020747</v>
      </c>
      <c r="H231" s="117">
        <f t="shared" si="50"/>
        <v>97047.467217849669</v>
      </c>
      <c r="I231" s="7"/>
      <c r="J231" s="10">
        <v>3.7911999999999999</v>
      </c>
      <c r="K231" s="117">
        <v>10190824</v>
      </c>
      <c r="L231" s="120">
        <f t="shared" si="41"/>
        <v>367.92634847281391</v>
      </c>
      <c r="M231" s="122">
        <f t="shared" si="42"/>
        <v>26880207.469999999</v>
      </c>
      <c r="N231" s="116">
        <f t="shared" si="43"/>
        <v>16689383.469999999</v>
      </c>
      <c r="O231" s="123">
        <f t="shared" si="44"/>
        <v>602.54832370568272</v>
      </c>
      <c r="P231" s="5"/>
      <c r="Q231" s="5">
        <f t="shared" si="45"/>
        <v>1</v>
      </c>
      <c r="R231" s="7">
        <f t="shared" si="46"/>
        <v>27698</v>
      </c>
      <c r="S231" s="5">
        <f t="shared" si="47"/>
        <v>1</v>
      </c>
      <c r="T231" s="7">
        <f t="shared" si="48"/>
        <v>27698</v>
      </c>
    </row>
    <row r="232" spans="1:20">
      <c r="A232" s="23" t="s">
        <v>267</v>
      </c>
      <c r="B232" s="37" t="s">
        <v>264</v>
      </c>
      <c r="C232" s="36">
        <v>204</v>
      </c>
      <c r="D232" s="6"/>
      <c r="E232" s="113">
        <v>26269187</v>
      </c>
      <c r="F232" s="116">
        <f t="shared" si="49"/>
        <v>128770.52450980392</v>
      </c>
      <c r="G232" s="117">
        <v>21650479</v>
      </c>
      <c r="H232" s="117">
        <f t="shared" si="50"/>
        <v>106129.79901960785</v>
      </c>
      <c r="I232" s="7"/>
      <c r="J232" s="11">
        <v>1.1073</v>
      </c>
      <c r="K232" s="117">
        <v>23973</v>
      </c>
      <c r="L232" s="120">
        <f t="shared" si="41"/>
        <v>117.51470588235294</v>
      </c>
      <c r="M232" s="122">
        <f t="shared" si="42"/>
        <v>216504.79</v>
      </c>
      <c r="N232" s="116">
        <f t="shared" si="43"/>
        <v>192531.79</v>
      </c>
      <c r="O232" s="123">
        <f t="shared" si="44"/>
        <v>943.78328431372552</v>
      </c>
      <c r="P232" s="5"/>
      <c r="Q232" s="5">
        <f t="shared" si="45"/>
        <v>1</v>
      </c>
      <c r="R232" s="7">
        <f t="shared" si="46"/>
        <v>204</v>
      </c>
      <c r="S232" s="5">
        <f t="shared" si="47"/>
        <v>1</v>
      </c>
      <c r="T232" s="7">
        <f t="shared" si="48"/>
        <v>204</v>
      </c>
    </row>
    <row r="233" spans="1:20">
      <c r="A233" s="23" t="s">
        <v>268</v>
      </c>
      <c r="B233" s="37" t="s">
        <v>269</v>
      </c>
      <c r="C233" s="36">
        <v>1056</v>
      </c>
      <c r="D233" s="6"/>
      <c r="E233" s="113">
        <v>61084443</v>
      </c>
      <c r="F233" s="116">
        <f t="shared" si="49"/>
        <v>57845.116477272728</v>
      </c>
      <c r="G233" s="117">
        <v>35990796</v>
      </c>
      <c r="H233" s="117">
        <f t="shared" si="50"/>
        <v>34082.193181818184</v>
      </c>
      <c r="I233" s="7"/>
      <c r="J233" s="10">
        <v>3</v>
      </c>
      <c r="K233" s="117">
        <v>107972</v>
      </c>
      <c r="L233" s="120">
        <f t="shared" si="41"/>
        <v>102.24621212121212</v>
      </c>
      <c r="M233" s="122">
        <f t="shared" si="42"/>
        <v>359907.96</v>
      </c>
      <c r="N233" s="116">
        <f t="shared" si="43"/>
        <v>251935.96000000002</v>
      </c>
      <c r="O233" s="123">
        <f t="shared" si="44"/>
        <v>238.57571969696971</v>
      </c>
      <c r="P233" s="5"/>
      <c r="Q233" s="5">
        <f t="shared" si="45"/>
        <v>1</v>
      </c>
      <c r="R233" s="7">
        <f t="shared" si="46"/>
        <v>1056</v>
      </c>
      <c r="S233" s="5">
        <f t="shared" si="47"/>
        <v>1</v>
      </c>
      <c r="T233" s="7">
        <f t="shared" si="48"/>
        <v>1056</v>
      </c>
    </row>
    <row r="234" spans="1:20">
      <c r="A234" s="23" t="s">
        <v>270</v>
      </c>
      <c r="B234" s="37" t="s">
        <v>269</v>
      </c>
      <c r="C234" s="36">
        <v>10890</v>
      </c>
      <c r="D234" s="6"/>
      <c r="E234" s="113">
        <v>978495194</v>
      </c>
      <c r="F234" s="116">
        <f t="shared" si="49"/>
        <v>89852.634894398536</v>
      </c>
      <c r="G234" s="117">
        <v>736586593</v>
      </c>
      <c r="H234" s="117">
        <f t="shared" si="50"/>
        <v>67638.805601469241</v>
      </c>
      <c r="I234" s="7"/>
      <c r="J234" s="10">
        <v>6.6962000000000002</v>
      </c>
      <c r="K234" s="117">
        <v>4932331</v>
      </c>
      <c r="L234" s="120">
        <f t="shared" si="41"/>
        <v>452.92295684113867</v>
      </c>
      <c r="M234" s="122">
        <f t="shared" si="42"/>
        <v>7365865.9299999997</v>
      </c>
      <c r="N234" s="116">
        <f t="shared" si="43"/>
        <v>2433534.9299999997</v>
      </c>
      <c r="O234" s="123">
        <f t="shared" si="44"/>
        <v>223.46509917355368</v>
      </c>
      <c r="P234" s="5"/>
      <c r="Q234" s="5">
        <f t="shared" si="45"/>
        <v>1</v>
      </c>
      <c r="R234" s="7">
        <f t="shared" si="46"/>
        <v>10890</v>
      </c>
      <c r="S234" s="5">
        <f t="shared" si="47"/>
        <v>1</v>
      </c>
      <c r="T234" s="7">
        <f t="shared" si="48"/>
        <v>10890</v>
      </c>
    </row>
    <row r="235" spans="1:20">
      <c r="A235" s="23" t="s">
        <v>271</v>
      </c>
      <c r="B235" s="37" t="s">
        <v>269</v>
      </c>
      <c r="C235" s="36">
        <v>2545</v>
      </c>
      <c r="D235" s="6"/>
      <c r="E235" s="113">
        <v>192207738</v>
      </c>
      <c r="F235" s="116">
        <f t="shared" si="49"/>
        <v>75523.669155206284</v>
      </c>
      <c r="G235" s="117">
        <v>37705204</v>
      </c>
      <c r="H235" s="117">
        <f t="shared" si="50"/>
        <v>14815.404322200393</v>
      </c>
      <c r="I235" s="7"/>
      <c r="J235" s="10">
        <v>0.74080000000000001</v>
      </c>
      <c r="K235" s="117">
        <v>27932</v>
      </c>
      <c r="L235" s="120">
        <f t="shared" si="41"/>
        <v>10.97524557956778</v>
      </c>
      <c r="M235" s="122">
        <f t="shared" si="42"/>
        <v>377052.04</v>
      </c>
      <c r="N235" s="116">
        <f t="shared" si="43"/>
        <v>349120.04</v>
      </c>
      <c r="O235" s="123">
        <f t="shared" si="44"/>
        <v>137.17879764243614</v>
      </c>
      <c r="P235" s="5"/>
      <c r="Q235" s="5">
        <f t="shared" si="45"/>
        <v>1</v>
      </c>
      <c r="R235" s="7">
        <f t="shared" si="46"/>
        <v>2545</v>
      </c>
      <c r="S235" s="5">
        <f t="shared" si="47"/>
        <v>1</v>
      </c>
      <c r="T235" s="7">
        <f t="shared" si="48"/>
        <v>2545</v>
      </c>
    </row>
    <row r="236" spans="1:20">
      <c r="A236" s="23" t="s">
        <v>272</v>
      </c>
      <c r="B236" s="35" t="s">
        <v>273</v>
      </c>
      <c r="C236" s="36">
        <v>417</v>
      </c>
      <c r="D236" s="6"/>
      <c r="E236" s="113">
        <v>34085747</v>
      </c>
      <c r="F236" s="116">
        <f t="shared" si="49"/>
        <v>81740.400479616306</v>
      </c>
      <c r="G236" s="117">
        <v>29465730</v>
      </c>
      <c r="H236" s="117">
        <f t="shared" si="50"/>
        <v>70661.223021582729</v>
      </c>
      <c r="I236" s="7"/>
      <c r="J236" s="11">
        <v>2.2999999999999998</v>
      </c>
      <c r="K236" s="117">
        <v>67771</v>
      </c>
      <c r="L236" s="120">
        <f t="shared" si="41"/>
        <v>162.52038369304557</v>
      </c>
      <c r="M236" s="122">
        <f t="shared" si="42"/>
        <v>294657.3</v>
      </c>
      <c r="N236" s="116">
        <f t="shared" si="43"/>
        <v>226886.3</v>
      </c>
      <c r="O236" s="123">
        <f t="shared" si="44"/>
        <v>544.09184652278179</v>
      </c>
      <c r="P236" s="5"/>
      <c r="Q236" s="5">
        <f t="shared" si="45"/>
        <v>1</v>
      </c>
      <c r="R236" s="7">
        <f t="shared" si="46"/>
        <v>417</v>
      </c>
      <c r="S236" s="5">
        <f t="shared" si="47"/>
        <v>1</v>
      </c>
      <c r="T236" s="7">
        <f t="shared" si="48"/>
        <v>417</v>
      </c>
    </row>
    <row r="237" spans="1:20">
      <c r="A237" s="23" t="s">
        <v>274</v>
      </c>
      <c r="B237" s="35" t="s">
        <v>273</v>
      </c>
      <c r="C237" s="36">
        <v>14252</v>
      </c>
      <c r="D237" s="6"/>
      <c r="E237" s="113">
        <v>525273702</v>
      </c>
      <c r="F237" s="116">
        <f t="shared" si="49"/>
        <v>36856.139629525678</v>
      </c>
      <c r="G237" s="117">
        <v>353356428</v>
      </c>
      <c r="H237" s="117">
        <f t="shared" si="50"/>
        <v>24793.462531574514</v>
      </c>
      <c r="I237" s="7"/>
      <c r="J237" s="10">
        <v>5.8609999999999998</v>
      </c>
      <c r="K237" s="117">
        <v>2071022</v>
      </c>
      <c r="L237" s="120">
        <f t="shared" si="41"/>
        <v>145.31448217793994</v>
      </c>
      <c r="M237" s="122">
        <f t="shared" si="42"/>
        <v>3533564.2800000003</v>
      </c>
      <c r="N237" s="116">
        <f t="shared" si="43"/>
        <v>1462542.2800000003</v>
      </c>
      <c r="O237" s="123">
        <f t="shared" si="44"/>
        <v>102.62014313780524</v>
      </c>
      <c r="P237" s="5"/>
      <c r="Q237" s="5">
        <f t="shared" si="45"/>
        <v>1</v>
      </c>
      <c r="R237" s="7">
        <f t="shared" si="46"/>
        <v>14252</v>
      </c>
      <c r="S237" s="5">
        <f t="shared" si="47"/>
        <v>1</v>
      </c>
      <c r="T237" s="7">
        <f t="shared" si="48"/>
        <v>14252</v>
      </c>
    </row>
    <row r="238" spans="1:20">
      <c r="A238" s="23" t="s">
        <v>275</v>
      </c>
      <c r="B238" s="35" t="s">
        <v>273</v>
      </c>
      <c r="C238" s="36">
        <v>11815</v>
      </c>
      <c r="D238" s="6"/>
      <c r="E238" s="113">
        <v>2182859837</v>
      </c>
      <c r="F238" s="116">
        <f t="shared" si="49"/>
        <v>184753.26593313584</v>
      </c>
      <c r="G238" s="117">
        <v>1927776692</v>
      </c>
      <c r="H238" s="117">
        <f t="shared" si="50"/>
        <v>163163.49487939061</v>
      </c>
      <c r="I238" s="7"/>
      <c r="J238" s="10">
        <v>1.6</v>
      </c>
      <c r="K238" s="117">
        <v>3084442</v>
      </c>
      <c r="L238" s="120">
        <f t="shared" si="41"/>
        <v>261.06153195090985</v>
      </c>
      <c r="M238" s="122">
        <f t="shared" si="42"/>
        <v>19277766.920000002</v>
      </c>
      <c r="N238" s="116">
        <f t="shared" si="43"/>
        <v>16193324.920000002</v>
      </c>
      <c r="O238" s="123">
        <f t="shared" si="44"/>
        <v>1370.5734168429963</v>
      </c>
      <c r="P238" s="5"/>
      <c r="Q238" s="5">
        <f t="shared" si="45"/>
        <v>1</v>
      </c>
      <c r="R238" s="7">
        <f t="shared" si="46"/>
        <v>11815</v>
      </c>
      <c r="S238" s="5">
        <f t="shared" si="47"/>
        <v>1</v>
      </c>
      <c r="T238" s="7">
        <f t="shared" si="48"/>
        <v>11815</v>
      </c>
    </row>
    <row r="239" spans="1:20">
      <c r="A239" s="23" t="s">
        <v>276</v>
      </c>
      <c r="B239" s="35" t="s">
        <v>273</v>
      </c>
      <c r="C239" s="36">
        <v>22226</v>
      </c>
      <c r="D239" s="6"/>
      <c r="E239" s="113">
        <v>1025873022</v>
      </c>
      <c r="F239" s="116">
        <f t="shared" si="49"/>
        <v>46156.439395302797</v>
      </c>
      <c r="G239" s="117">
        <v>726777611</v>
      </c>
      <c r="H239" s="117">
        <f t="shared" si="50"/>
        <v>32699.433591289482</v>
      </c>
      <c r="I239" s="7"/>
      <c r="J239" s="10">
        <v>4.97</v>
      </c>
      <c r="K239" s="117">
        <v>3612084</v>
      </c>
      <c r="L239" s="120">
        <f t="shared" si="41"/>
        <v>162.5161522541168</v>
      </c>
      <c r="M239" s="122">
        <f t="shared" si="42"/>
        <v>7267776.1100000003</v>
      </c>
      <c r="N239" s="116">
        <f t="shared" si="43"/>
        <v>3655692.1100000003</v>
      </c>
      <c r="O239" s="123">
        <f t="shared" si="44"/>
        <v>164.47818365877802</v>
      </c>
      <c r="P239" s="5"/>
      <c r="Q239" s="5">
        <f t="shared" si="45"/>
        <v>1</v>
      </c>
      <c r="R239" s="7">
        <f t="shared" si="46"/>
        <v>22226</v>
      </c>
      <c r="S239" s="5">
        <f t="shared" si="47"/>
        <v>1</v>
      </c>
      <c r="T239" s="7">
        <f t="shared" si="48"/>
        <v>22226</v>
      </c>
    </row>
    <row r="240" spans="1:20">
      <c r="A240" s="23" t="s">
        <v>277</v>
      </c>
      <c r="B240" s="35" t="s">
        <v>273</v>
      </c>
      <c r="C240" s="36">
        <v>600</v>
      </c>
      <c r="D240" s="6"/>
      <c r="E240" s="113">
        <v>11489985</v>
      </c>
      <c r="F240" s="116">
        <f t="shared" si="49"/>
        <v>19149.974999999999</v>
      </c>
      <c r="G240" s="117">
        <v>4355401</v>
      </c>
      <c r="H240" s="117">
        <f t="shared" si="50"/>
        <v>7259.001666666667</v>
      </c>
      <c r="I240" s="98" t="s">
        <v>528</v>
      </c>
      <c r="J240" s="10"/>
      <c r="K240" s="117"/>
      <c r="L240" s="120"/>
      <c r="M240" s="122">
        <f t="shared" si="42"/>
        <v>43554.01</v>
      </c>
      <c r="N240" s="116">
        <f t="shared" si="43"/>
        <v>43554.01</v>
      </c>
      <c r="O240" s="123">
        <f t="shared" si="44"/>
        <v>72.590016666666671</v>
      </c>
      <c r="P240" s="5"/>
      <c r="Q240" s="5">
        <f t="shared" si="45"/>
        <v>1</v>
      </c>
      <c r="R240" s="7">
        <f t="shared" si="46"/>
        <v>600</v>
      </c>
      <c r="S240" s="5">
        <f t="shared" si="47"/>
        <v>0</v>
      </c>
      <c r="T240" s="7">
        <f t="shared" si="48"/>
        <v>0</v>
      </c>
    </row>
    <row r="241" spans="1:20">
      <c r="A241" s="23" t="s">
        <v>278</v>
      </c>
      <c r="B241" s="35" t="s">
        <v>273</v>
      </c>
      <c r="C241" s="36">
        <v>4427</v>
      </c>
      <c r="D241" s="6"/>
      <c r="E241" s="113">
        <v>259491220</v>
      </c>
      <c r="F241" s="116">
        <f t="shared" si="49"/>
        <v>58615.590693471881</v>
      </c>
      <c r="G241" s="117">
        <v>201258950</v>
      </c>
      <c r="H241" s="117">
        <f t="shared" si="50"/>
        <v>45461.700926135083</v>
      </c>
      <c r="I241" s="7"/>
      <c r="J241" s="10">
        <v>2.7759999999999998</v>
      </c>
      <c r="K241" s="117">
        <v>558694</v>
      </c>
      <c r="L241" s="120">
        <f t="shared" ref="L241:L265" si="51">(K241/C241)</f>
        <v>126.2014908515925</v>
      </c>
      <c r="M241" s="122">
        <f t="shared" si="42"/>
        <v>2012589.5</v>
      </c>
      <c r="N241" s="116">
        <f t="shared" si="43"/>
        <v>1453895.5</v>
      </c>
      <c r="O241" s="123">
        <f t="shared" si="44"/>
        <v>328.41551840975831</v>
      </c>
      <c r="P241" s="5"/>
      <c r="Q241" s="5">
        <f t="shared" si="45"/>
        <v>1</v>
      </c>
      <c r="R241" s="7">
        <f t="shared" si="46"/>
        <v>4427</v>
      </c>
      <c r="S241" s="5">
        <f t="shared" si="47"/>
        <v>1</v>
      </c>
      <c r="T241" s="7">
        <f t="shared" si="48"/>
        <v>4427</v>
      </c>
    </row>
    <row r="242" spans="1:20">
      <c r="A242" s="23" t="s">
        <v>279</v>
      </c>
      <c r="B242" s="35" t="s">
        <v>273</v>
      </c>
      <c r="C242" s="36">
        <v>11954</v>
      </c>
      <c r="D242" s="6"/>
      <c r="E242" s="113">
        <v>517148612</v>
      </c>
      <c r="F242" s="116">
        <f t="shared" si="49"/>
        <v>43261.553622218504</v>
      </c>
      <c r="G242" s="117">
        <v>362631050</v>
      </c>
      <c r="H242" s="117">
        <f t="shared" si="50"/>
        <v>30335.540404885392</v>
      </c>
      <c r="I242" s="7"/>
      <c r="J242" s="10">
        <v>2.73</v>
      </c>
      <c r="K242" s="117">
        <v>989982</v>
      </c>
      <c r="L242" s="120">
        <f t="shared" si="51"/>
        <v>82.81596118454074</v>
      </c>
      <c r="M242" s="122">
        <f t="shared" si="42"/>
        <v>3626310.5</v>
      </c>
      <c r="N242" s="116">
        <f t="shared" si="43"/>
        <v>2636328.5</v>
      </c>
      <c r="O242" s="123">
        <f t="shared" si="44"/>
        <v>220.5394428643132</v>
      </c>
      <c r="P242" s="5"/>
      <c r="Q242" s="5">
        <f t="shared" si="45"/>
        <v>1</v>
      </c>
      <c r="R242" s="7">
        <f t="shared" si="46"/>
        <v>11954</v>
      </c>
      <c r="S242" s="5">
        <f t="shared" si="47"/>
        <v>1</v>
      </c>
      <c r="T242" s="7">
        <f t="shared" si="48"/>
        <v>11954</v>
      </c>
    </row>
    <row r="243" spans="1:20">
      <c r="A243" s="23" t="s">
        <v>280</v>
      </c>
      <c r="B243" s="35" t="s">
        <v>273</v>
      </c>
      <c r="C243" s="36">
        <v>660</v>
      </c>
      <c r="D243" s="6"/>
      <c r="E243" s="113">
        <v>75196024</v>
      </c>
      <c r="F243" s="116">
        <f t="shared" si="49"/>
        <v>113933.36969696969</v>
      </c>
      <c r="G243" s="117">
        <v>57203261</v>
      </c>
      <c r="H243" s="117">
        <f t="shared" si="50"/>
        <v>86671.607575757575</v>
      </c>
      <c r="I243" s="7"/>
      <c r="J243" s="10">
        <v>3.2</v>
      </c>
      <c r="K243" s="117">
        <v>183050</v>
      </c>
      <c r="L243" s="120">
        <f t="shared" si="51"/>
        <v>277.34848484848487</v>
      </c>
      <c r="M243" s="122">
        <f t="shared" si="42"/>
        <v>572032.61</v>
      </c>
      <c r="N243" s="116">
        <f t="shared" si="43"/>
        <v>388982.61</v>
      </c>
      <c r="O243" s="123">
        <f t="shared" si="44"/>
        <v>589.36759090909084</v>
      </c>
      <c r="P243" s="5"/>
      <c r="Q243" s="5">
        <f t="shared" si="45"/>
        <v>1</v>
      </c>
      <c r="R243" s="7">
        <f t="shared" si="46"/>
        <v>660</v>
      </c>
      <c r="S243" s="5">
        <f t="shared" si="47"/>
        <v>1</v>
      </c>
      <c r="T243" s="7">
        <f t="shared" si="48"/>
        <v>660</v>
      </c>
    </row>
    <row r="244" spans="1:20">
      <c r="A244" s="23" t="s">
        <v>281</v>
      </c>
      <c r="B244" s="35" t="s">
        <v>273</v>
      </c>
      <c r="C244" s="36">
        <v>6716</v>
      </c>
      <c r="D244" s="6"/>
      <c r="E244" s="113">
        <v>193482434</v>
      </c>
      <c r="F244" s="116">
        <f t="shared" si="49"/>
        <v>28809.17718880286</v>
      </c>
      <c r="G244" s="117">
        <v>118124062</v>
      </c>
      <c r="H244" s="117">
        <f t="shared" si="50"/>
        <v>17588.454734961288</v>
      </c>
      <c r="I244" s="7"/>
      <c r="J244" s="10">
        <v>3.1</v>
      </c>
      <c r="K244" s="117">
        <v>366184</v>
      </c>
      <c r="L244" s="120">
        <f t="shared" si="51"/>
        <v>54.524121500893386</v>
      </c>
      <c r="M244" s="122">
        <f t="shared" si="42"/>
        <v>1181240.6200000001</v>
      </c>
      <c r="N244" s="116">
        <f t="shared" si="43"/>
        <v>815056.62000000011</v>
      </c>
      <c r="O244" s="123">
        <f t="shared" si="44"/>
        <v>121.36042584871949</v>
      </c>
      <c r="P244" s="5"/>
      <c r="Q244" s="5">
        <f t="shared" si="45"/>
        <v>1</v>
      </c>
      <c r="R244" s="7">
        <f t="shared" si="46"/>
        <v>6716</v>
      </c>
      <c r="S244" s="5">
        <f t="shared" si="47"/>
        <v>1</v>
      </c>
      <c r="T244" s="7">
        <f t="shared" si="48"/>
        <v>6716</v>
      </c>
    </row>
    <row r="245" spans="1:20">
      <c r="A245" s="23" t="s">
        <v>282</v>
      </c>
      <c r="B245" s="35" t="s">
        <v>282</v>
      </c>
      <c r="C245" s="36">
        <v>5102</v>
      </c>
      <c r="D245" s="6"/>
      <c r="E245" s="113">
        <v>249379943</v>
      </c>
      <c r="F245" s="116">
        <f t="shared" si="49"/>
        <v>48878.859858878874</v>
      </c>
      <c r="G245" s="117">
        <v>180118870</v>
      </c>
      <c r="H245" s="117">
        <f t="shared" si="50"/>
        <v>35303.580948647592</v>
      </c>
      <c r="I245" s="7"/>
      <c r="J245" s="10">
        <v>5.4398999999999997</v>
      </c>
      <c r="K245" s="117">
        <v>979828</v>
      </c>
      <c r="L245" s="120">
        <f t="shared" si="51"/>
        <v>192.04782438259505</v>
      </c>
      <c r="M245" s="122">
        <f t="shared" si="42"/>
        <v>1801188.7</v>
      </c>
      <c r="N245" s="116">
        <f t="shared" si="43"/>
        <v>821360.7</v>
      </c>
      <c r="O245" s="123">
        <f t="shared" si="44"/>
        <v>160.98798510388082</v>
      </c>
      <c r="P245" s="5"/>
      <c r="Q245" s="5">
        <f t="shared" si="45"/>
        <v>1</v>
      </c>
      <c r="R245" s="7">
        <f t="shared" si="46"/>
        <v>5102</v>
      </c>
      <c r="S245" s="5">
        <f t="shared" si="47"/>
        <v>1</v>
      </c>
      <c r="T245" s="7">
        <f t="shared" si="48"/>
        <v>5102</v>
      </c>
    </row>
    <row r="246" spans="1:20">
      <c r="A246" s="23" t="s">
        <v>283</v>
      </c>
      <c r="B246" s="35" t="s">
        <v>284</v>
      </c>
      <c r="C246" s="36">
        <v>22724</v>
      </c>
      <c r="D246" s="6"/>
      <c r="E246" s="113">
        <v>1169605005</v>
      </c>
      <c r="F246" s="116">
        <f t="shared" si="49"/>
        <v>51470.03190459426</v>
      </c>
      <c r="G246" s="117">
        <v>881930757</v>
      </c>
      <c r="H246" s="117">
        <f t="shared" si="50"/>
        <v>38810.542026051749</v>
      </c>
      <c r="I246" s="7"/>
      <c r="J246" s="10">
        <v>3.7618999999999998</v>
      </c>
      <c r="K246" s="117">
        <v>3317735</v>
      </c>
      <c r="L246" s="120">
        <f t="shared" si="51"/>
        <v>146.00136419644429</v>
      </c>
      <c r="M246" s="122">
        <f t="shared" si="42"/>
        <v>8819307.5700000003</v>
      </c>
      <c r="N246" s="116">
        <f t="shared" si="43"/>
        <v>5501572.5700000003</v>
      </c>
      <c r="O246" s="123">
        <f t="shared" si="44"/>
        <v>242.10405606407323</v>
      </c>
      <c r="P246" s="5"/>
      <c r="Q246" s="5">
        <f t="shared" si="45"/>
        <v>1</v>
      </c>
      <c r="R246" s="7">
        <f t="shared" si="46"/>
        <v>22724</v>
      </c>
      <c r="S246" s="5">
        <f t="shared" si="47"/>
        <v>1</v>
      </c>
      <c r="T246" s="7">
        <f t="shared" si="48"/>
        <v>22724</v>
      </c>
    </row>
    <row r="247" spans="1:20">
      <c r="A247" s="23" t="s">
        <v>285</v>
      </c>
      <c r="B247" s="35" t="s">
        <v>284</v>
      </c>
      <c r="C247" s="36">
        <v>24</v>
      </c>
      <c r="D247" s="6"/>
      <c r="E247" s="113">
        <v>3840889212</v>
      </c>
      <c r="F247" s="116">
        <f t="shared" si="49"/>
        <v>160037050.5</v>
      </c>
      <c r="G247" s="117">
        <v>3681246526</v>
      </c>
      <c r="H247" s="117">
        <f t="shared" si="50"/>
        <v>153385271.91666666</v>
      </c>
      <c r="I247" s="7"/>
      <c r="J247" s="10">
        <v>0.33250000000000002</v>
      </c>
      <c r="K247" s="117">
        <v>1224014</v>
      </c>
      <c r="L247" s="120">
        <f t="shared" si="51"/>
        <v>51000.583333333336</v>
      </c>
      <c r="M247" s="122">
        <f t="shared" si="42"/>
        <v>36812465.259999998</v>
      </c>
      <c r="N247" s="116">
        <f t="shared" si="43"/>
        <v>35588451.259999998</v>
      </c>
      <c r="O247" s="123">
        <f t="shared" si="44"/>
        <v>1482852.1358333332</v>
      </c>
      <c r="P247" s="5"/>
      <c r="Q247" s="5">
        <f t="shared" si="45"/>
        <v>1</v>
      </c>
      <c r="R247" s="7">
        <f t="shared" si="46"/>
        <v>24</v>
      </c>
      <c r="S247" s="5">
        <f t="shared" si="47"/>
        <v>1</v>
      </c>
      <c r="T247" s="7">
        <f t="shared" si="48"/>
        <v>24</v>
      </c>
    </row>
    <row r="248" spans="1:20">
      <c r="A248" s="23" t="s">
        <v>286</v>
      </c>
      <c r="B248" s="35" t="s">
        <v>284</v>
      </c>
      <c r="C248" s="36">
        <v>5704</v>
      </c>
      <c r="D248" s="6"/>
      <c r="E248" s="113">
        <v>361153665</v>
      </c>
      <c r="F248" s="116">
        <f t="shared" si="49"/>
        <v>63315.859922861149</v>
      </c>
      <c r="G248" s="117">
        <v>295960538</v>
      </c>
      <c r="H248" s="117">
        <f t="shared" si="50"/>
        <v>51886.489831697058</v>
      </c>
      <c r="I248" s="9"/>
      <c r="J248" s="10">
        <v>2.8959999999999999</v>
      </c>
      <c r="K248" s="117">
        <v>857101</v>
      </c>
      <c r="L248" s="120">
        <f t="shared" si="51"/>
        <v>150.26314866760168</v>
      </c>
      <c r="M248" s="122">
        <f t="shared" si="42"/>
        <v>2959605.38</v>
      </c>
      <c r="N248" s="116">
        <f t="shared" si="43"/>
        <v>2102504.38</v>
      </c>
      <c r="O248" s="123">
        <f t="shared" si="44"/>
        <v>368.60174964936886</v>
      </c>
      <c r="P248" s="5"/>
      <c r="Q248" s="5">
        <f t="shared" si="45"/>
        <v>1</v>
      </c>
      <c r="R248" s="7">
        <f t="shared" si="46"/>
        <v>5704</v>
      </c>
      <c r="S248" s="5">
        <f t="shared" si="47"/>
        <v>1</v>
      </c>
      <c r="T248" s="7">
        <f t="shared" si="48"/>
        <v>5704</v>
      </c>
    </row>
    <row r="249" spans="1:20">
      <c r="A249" s="23" t="s">
        <v>287</v>
      </c>
      <c r="B249" s="35" t="s">
        <v>284</v>
      </c>
      <c r="C249" s="36">
        <v>2487</v>
      </c>
      <c r="D249" s="6"/>
      <c r="E249" s="113">
        <v>104449333</v>
      </c>
      <c r="F249" s="116">
        <f t="shared" si="49"/>
        <v>41998.123441897871</v>
      </c>
      <c r="G249" s="117">
        <v>71427320</v>
      </c>
      <c r="H249" s="117">
        <f t="shared" si="50"/>
        <v>28720.273421793325</v>
      </c>
      <c r="I249" s="7"/>
      <c r="J249" s="10">
        <v>6.9039999999999999</v>
      </c>
      <c r="K249" s="117">
        <v>493134</v>
      </c>
      <c r="L249" s="120">
        <f t="shared" si="51"/>
        <v>198.28468033775633</v>
      </c>
      <c r="M249" s="122">
        <f t="shared" si="42"/>
        <v>714273.20000000007</v>
      </c>
      <c r="N249" s="116">
        <f t="shared" si="43"/>
        <v>221139.20000000007</v>
      </c>
      <c r="O249" s="123">
        <f t="shared" si="44"/>
        <v>88.918053880176942</v>
      </c>
      <c r="P249" s="5"/>
      <c r="Q249" s="5">
        <f t="shared" si="45"/>
        <v>1</v>
      </c>
      <c r="R249" s="7">
        <f t="shared" si="46"/>
        <v>2487</v>
      </c>
      <c r="S249" s="5">
        <f t="shared" si="47"/>
        <v>1</v>
      </c>
      <c r="T249" s="7">
        <f t="shared" si="48"/>
        <v>2487</v>
      </c>
    </row>
    <row r="250" spans="1:20">
      <c r="A250" s="23" t="s">
        <v>288</v>
      </c>
      <c r="B250" s="35" t="s">
        <v>284</v>
      </c>
      <c r="C250" s="36">
        <v>1442</v>
      </c>
      <c r="D250" s="6"/>
      <c r="E250" s="113">
        <v>178854889</v>
      </c>
      <c r="F250" s="116">
        <f t="shared" si="49"/>
        <v>124032.51664355063</v>
      </c>
      <c r="G250" s="117">
        <v>154327544</v>
      </c>
      <c r="H250" s="117">
        <f t="shared" si="50"/>
        <v>107023.26213592233</v>
      </c>
      <c r="I250" s="7"/>
      <c r="J250" s="11">
        <v>3.9</v>
      </c>
      <c r="K250" s="117">
        <v>601877</v>
      </c>
      <c r="L250" s="120">
        <f t="shared" si="51"/>
        <v>417.39042995839111</v>
      </c>
      <c r="M250" s="122">
        <f t="shared" si="42"/>
        <v>1543275.44</v>
      </c>
      <c r="N250" s="116">
        <f t="shared" si="43"/>
        <v>941398.44</v>
      </c>
      <c r="O250" s="123">
        <f t="shared" si="44"/>
        <v>652.84219140083212</v>
      </c>
      <c r="P250" s="5"/>
      <c r="Q250" s="5">
        <f t="shared" si="45"/>
        <v>1</v>
      </c>
      <c r="R250" s="7">
        <f t="shared" si="46"/>
        <v>1442</v>
      </c>
      <c r="S250" s="5">
        <f t="shared" si="47"/>
        <v>1</v>
      </c>
      <c r="T250" s="7">
        <f t="shared" si="48"/>
        <v>1442</v>
      </c>
    </row>
    <row r="251" spans="1:20">
      <c r="A251" s="23" t="s">
        <v>289</v>
      </c>
      <c r="B251" s="35" t="s">
        <v>284</v>
      </c>
      <c r="C251" s="36">
        <v>23</v>
      </c>
      <c r="D251" s="6"/>
      <c r="E251" s="113">
        <v>1467495435</v>
      </c>
      <c r="F251" s="116">
        <f t="shared" si="49"/>
        <v>63804149.347826086</v>
      </c>
      <c r="G251" s="117">
        <v>1418928702</v>
      </c>
      <c r="H251" s="117">
        <f t="shared" si="50"/>
        <v>61692552.260869563</v>
      </c>
      <c r="I251" s="7"/>
      <c r="J251" s="10">
        <v>0.36149999999999999</v>
      </c>
      <c r="K251" s="117">
        <v>512942</v>
      </c>
      <c r="L251" s="120">
        <f t="shared" si="51"/>
        <v>22301.82608695652</v>
      </c>
      <c r="M251" s="122">
        <f t="shared" si="42"/>
        <v>14189287.02</v>
      </c>
      <c r="N251" s="116">
        <f t="shared" si="43"/>
        <v>13676345.02</v>
      </c>
      <c r="O251" s="123">
        <f t="shared" si="44"/>
        <v>594623.69652173913</v>
      </c>
      <c r="P251" s="5"/>
      <c r="Q251" s="5">
        <f t="shared" si="45"/>
        <v>1</v>
      </c>
      <c r="R251" s="7">
        <f t="shared" si="46"/>
        <v>23</v>
      </c>
      <c r="S251" s="5">
        <f t="shared" si="47"/>
        <v>1</v>
      </c>
      <c r="T251" s="7">
        <f t="shared" si="48"/>
        <v>23</v>
      </c>
    </row>
    <row r="252" spans="1:20">
      <c r="A252" s="23" t="s">
        <v>290</v>
      </c>
      <c r="B252" s="35" t="s">
        <v>284</v>
      </c>
      <c r="C252" s="36">
        <v>10056</v>
      </c>
      <c r="D252" s="6"/>
      <c r="E252" s="113">
        <v>1430442362</v>
      </c>
      <c r="F252" s="116">
        <f t="shared" si="49"/>
        <v>142247.64936356404</v>
      </c>
      <c r="G252" s="117">
        <v>1230615505</v>
      </c>
      <c r="H252" s="117">
        <f t="shared" si="50"/>
        <v>122376.24353619729</v>
      </c>
      <c r="I252" s="7"/>
      <c r="J252" s="10">
        <v>3.4</v>
      </c>
      <c r="K252" s="117">
        <v>4184092</v>
      </c>
      <c r="L252" s="120">
        <f t="shared" si="51"/>
        <v>416.07915672235481</v>
      </c>
      <c r="M252" s="122">
        <f t="shared" si="42"/>
        <v>12306155.050000001</v>
      </c>
      <c r="N252" s="116">
        <f t="shared" si="43"/>
        <v>8122063.0500000007</v>
      </c>
      <c r="O252" s="123">
        <f t="shared" si="44"/>
        <v>807.68327863961827</v>
      </c>
      <c r="P252" s="5"/>
      <c r="Q252" s="5">
        <f t="shared" si="45"/>
        <v>1</v>
      </c>
      <c r="R252" s="7">
        <f t="shared" si="46"/>
        <v>10056</v>
      </c>
      <c r="S252" s="5">
        <f t="shared" si="47"/>
        <v>1</v>
      </c>
      <c r="T252" s="7">
        <f t="shared" si="48"/>
        <v>10056</v>
      </c>
    </row>
    <row r="253" spans="1:20">
      <c r="A253" s="23" t="s">
        <v>291</v>
      </c>
      <c r="B253" s="35" t="s">
        <v>284</v>
      </c>
      <c r="C253" s="36">
        <v>846</v>
      </c>
      <c r="D253" s="6"/>
      <c r="E253" s="113">
        <v>49303412</v>
      </c>
      <c r="F253" s="116">
        <f t="shared" si="49"/>
        <v>58278.264775413714</v>
      </c>
      <c r="G253" s="117">
        <v>29943060</v>
      </c>
      <c r="H253" s="117">
        <f t="shared" si="50"/>
        <v>35393.687943262412</v>
      </c>
      <c r="I253" s="7"/>
      <c r="J253" s="10">
        <v>3.9245000000000001</v>
      </c>
      <c r="K253" s="117">
        <v>117511</v>
      </c>
      <c r="L253" s="120">
        <f t="shared" si="51"/>
        <v>138.9018912529551</v>
      </c>
      <c r="M253" s="122">
        <f t="shared" si="42"/>
        <v>299430.60000000003</v>
      </c>
      <c r="N253" s="116">
        <f t="shared" si="43"/>
        <v>181919.60000000003</v>
      </c>
      <c r="O253" s="123">
        <f t="shared" si="44"/>
        <v>215.03498817966909</v>
      </c>
      <c r="P253" s="5"/>
      <c r="Q253" s="5">
        <f t="shared" si="45"/>
        <v>1</v>
      </c>
      <c r="R253" s="7">
        <f t="shared" si="46"/>
        <v>846</v>
      </c>
      <c r="S253" s="5">
        <f t="shared" si="47"/>
        <v>1</v>
      </c>
      <c r="T253" s="7">
        <f t="shared" si="48"/>
        <v>846</v>
      </c>
    </row>
    <row r="254" spans="1:20">
      <c r="A254" s="23" t="s">
        <v>292</v>
      </c>
      <c r="B254" s="35" t="s">
        <v>284</v>
      </c>
      <c r="C254" s="36">
        <v>22746</v>
      </c>
      <c r="D254" s="6"/>
      <c r="E254" s="113">
        <v>1165863956</v>
      </c>
      <c r="F254" s="116">
        <f t="shared" si="49"/>
        <v>51255.779301855269</v>
      </c>
      <c r="G254" s="117">
        <v>879315484</v>
      </c>
      <c r="H254" s="117">
        <f t="shared" si="50"/>
        <v>38658.02708168469</v>
      </c>
      <c r="I254" s="7"/>
      <c r="J254" s="10">
        <v>4</v>
      </c>
      <c r="K254" s="117">
        <v>3517261</v>
      </c>
      <c r="L254" s="120">
        <f t="shared" si="51"/>
        <v>154.63206717664644</v>
      </c>
      <c r="M254" s="122">
        <f t="shared" si="42"/>
        <v>8793154.8399999999</v>
      </c>
      <c r="N254" s="116">
        <f t="shared" si="43"/>
        <v>5275893.84</v>
      </c>
      <c r="O254" s="123">
        <f t="shared" si="44"/>
        <v>231.94820364020046</v>
      </c>
      <c r="P254" s="5"/>
      <c r="Q254" s="5">
        <f t="shared" si="45"/>
        <v>1</v>
      </c>
      <c r="R254" s="7">
        <f t="shared" si="46"/>
        <v>22746</v>
      </c>
      <c r="S254" s="5">
        <f t="shared" si="47"/>
        <v>1</v>
      </c>
      <c r="T254" s="7">
        <f t="shared" si="48"/>
        <v>22746</v>
      </c>
    </row>
    <row r="255" spans="1:20">
      <c r="A255" s="23" t="s">
        <v>293</v>
      </c>
      <c r="B255" s="35" t="s">
        <v>284</v>
      </c>
      <c r="C255" s="36">
        <v>184639</v>
      </c>
      <c r="D255" s="6"/>
      <c r="E255" s="113">
        <v>16311606490</v>
      </c>
      <c r="F255" s="116">
        <f t="shared" si="49"/>
        <v>88343.234582076373</v>
      </c>
      <c r="G255" s="117">
        <v>9819032940</v>
      </c>
      <c r="H255" s="117">
        <f t="shared" si="50"/>
        <v>53179.625864524831</v>
      </c>
      <c r="I255" s="7"/>
      <c r="J255" s="10">
        <v>6.0666000000000002</v>
      </c>
      <c r="K255" s="117">
        <v>59568145</v>
      </c>
      <c r="L255" s="120">
        <f t="shared" si="51"/>
        <v>322.61951700344997</v>
      </c>
      <c r="M255" s="122">
        <f t="shared" si="42"/>
        <v>98190329.400000006</v>
      </c>
      <c r="N255" s="116">
        <f t="shared" si="43"/>
        <v>38622184.400000006</v>
      </c>
      <c r="O255" s="123">
        <f t="shared" si="44"/>
        <v>209.17674164179834</v>
      </c>
      <c r="P255" s="5"/>
      <c r="Q255" s="5">
        <f t="shared" si="45"/>
        <v>1</v>
      </c>
      <c r="R255" s="7">
        <f t="shared" si="46"/>
        <v>184639</v>
      </c>
      <c r="S255" s="5">
        <f t="shared" si="47"/>
        <v>1</v>
      </c>
      <c r="T255" s="7">
        <f t="shared" si="48"/>
        <v>184639</v>
      </c>
    </row>
    <row r="256" spans="1:20">
      <c r="A256" s="23" t="s">
        <v>294</v>
      </c>
      <c r="B256" s="35" t="s">
        <v>284</v>
      </c>
      <c r="C256" s="36">
        <v>1802</v>
      </c>
      <c r="D256" s="6"/>
      <c r="E256" s="113">
        <v>219264594</v>
      </c>
      <c r="F256" s="116">
        <f t="shared" si="49"/>
        <v>121678.46503884572</v>
      </c>
      <c r="G256" s="117">
        <v>187614373</v>
      </c>
      <c r="H256" s="117">
        <f t="shared" si="50"/>
        <v>104114.5244173141</v>
      </c>
      <c r="I256" s="7"/>
      <c r="J256" s="10">
        <v>2.4</v>
      </c>
      <c r="K256" s="117">
        <v>450274</v>
      </c>
      <c r="L256" s="120">
        <f t="shared" si="51"/>
        <v>249.87458379578246</v>
      </c>
      <c r="M256" s="122">
        <f t="shared" si="42"/>
        <v>1876143.73</v>
      </c>
      <c r="N256" s="116">
        <f t="shared" si="43"/>
        <v>1425869.73</v>
      </c>
      <c r="O256" s="123">
        <f t="shared" si="44"/>
        <v>791.27066037735847</v>
      </c>
      <c r="P256" s="5"/>
      <c r="Q256" s="5">
        <f t="shared" si="45"/>
        <v>1</v>
      </c>
      <c r="R256" s="7">
        <f t="shared" si="46"/>
        <v>1802</v>
      </c>
      <c r="S256" s="5">
        <f t="shared" si="47"/>
        <v>1</v>
      </c>
      <c r="T256" s="7">
        <f t="shared" si="48"/>
        <v>1802</v>
      </c>
    </row>
    <row r="257" spans="1:20">
      <c r="A257" s="23" t="s">
        <v>295</v>
      </c>
      <c r="B257" s="35" t="s">
        <v>284</v>
      </c>
      <c r="C257" s="36">
        <v>13505</v>
      </c>
      <c r="D257" s="6"/>
      <c r="E257" s="113">
        <v>550213771</v>
      </c>
      <c r="F257" s="116">
        <f t="shared" si="49"/>
        <v>40741.486190299889</v>
      </c>
      <c r="G257" s="117">
        <v>408722642</v>
      </c>
      <c r="H257" s="117">
        <f t="shared" si="50"/>
        <v>30264.542169566826</v>
      </c>
      <c r="I257" s="7"/>
      <c r="J257" s="10">
        <v>4.3040000000000003</v>
      </c>
      <c r="K257" s="117">
        <v>1759142</v>
      </c>
      <c r="L257" s="120">
        <f t="shared" si="51"/>
        <v>130.25857089966678</v>
      </c>
      <c r="M257" s="122">
        <f t="shared" si="42"/>
        <v>4087226.42</v>
      </c>
      <c r="N257" s="116">
        <f t="shared" si="43"/>
        <v>2328084.42</v>
      </c>
      <c r="O257" s="123">
        <f t="shared" si="44"/>
        <v>172.38685079600148</v>
      </c>
      <c r="P257" s="5"/>
      <c r="Q257" s="5">
        <f t="shared" si="45"/>
        <v>1</v>
      </c>
      <c r="R257" s="7">
        <f t="shared" si="46"/>
        <v>13505</v>
      </c>
      <c r="S257" s="5">
        <f t="shared" si="47"/>
        <v>1</v>
      </c>
      <c r="T257" s="7">
        <f t="shared" si="48"/>
        <v>13505</v>
      </c>
    </row>
    <row r="258" spans="1:20">
      <c r="A258" s="23" t="s">
        <v>296</v>
      </c>
      <c r="B258" s="35" t="s">
        <v>284</v>
      </c>
      <c r="C258" s="36">
        <v>24967</v>
      </c>
      <c r="D258" s="6"/>
      <c r="E258" s="113">
        <v>2543529997</v>
      </c>
      <c r="F258" s="116">
        <f t="shared" si="49"/>
        <v>101875.67577201907</v>
      </c>
      <c r="G258" s="117">
        <v>2001193307</v>
      </c>
      <c r="H258" s="117">
        <f t="shared" si="50"/>
        <v>80153.534946128886</v>
      </c>
      <c r="I258" s="7"/>
      <c r="J258" s="10">
        <v>3.8159999999999998</v>
      </c>
      <c r="K258" s="117">
        <v>7636553</v>
      </c>
      <c r="L258" s="120">
        <f t="shared" si="51"/>
        <v>305.86586293907959</v>
      </c>
      <c r="M258" s="122">
        <f t="shared" si="42"/>
        <v>20011933.07</v>
      </c>
      <c r="N258" s="116">
        <f t="shared" si="43"/>
        <v>12375380.07</v>
      </c>
      <c r="O258" s="123">
        <f t="shared" si="44"/>
        <v>495.66948652220935</v>
      </c>
      <c r="P258" s="5"/>
      <c r="Q258" s="5">
        <f t="shared" si="45"/>
        <v>1</v>
      </c>
      <c r="R258" s="7">
        <f t="shared" si="46"/>
        <v>24967</v>
      </c>
      <c r="S258" s="5">
        <f t="shared" si="47"/>
        <v>1</v>
      </c>
      <c r="T258" s="7">
        <f t="shared" si="48"/>
        <v>24967</v>
      </c>
    </row>
    <row r="259" spans="1:20">
      <c r="A259" s="23" t="s">
        <v>297</v>
      </c>
      <c r="B259" s="35" t="s">
        <v>298</v>
      </c>
      <c r="C259" s="36">
        <v>41248</v>
      </c>
      <c r="D259" s="6"/>
      <c r="E259" s="113">
        <v>1947708429</v>
      </c>
      <c r="F259" s="116">
        <f t="shared" si="49"/>
        <v>47219.463464895271</v>
      </c>
      <c r="G259" s="117">
        <v>1324224058</v>
      </c>
      <c r="H259" s="117">
        <f t="shared" si="50"/>
        <v>32103.957961598138</v>
      </c>
      <c r="I259" s="7"/>
      <c r="J259" s="10">
        <v>4.5453000000000001</v>
      </c>
      <c r="K259" s="117">
        <v>6018995</v>
      </c>
      <c r="L259" s="120">
        <f t="shared" si="51"/>
        <v>145.92210531419704</v>
      </c>
      <c r="M259" s="122">
        <f t="shared" si="42"/>
        <v>13242240.58</v>
      </c>
      <c r="N259" s="116">
        <f t="shared" si="43"/>
        <v>7223245.5800000001</v>
      </c>
      <c r="O259" s="123">
        <f t="shared" si="44"/>
        <v>175.11747430178434</v>
      </c>
      <c r="P259" s="5"/>
      <c r="Q259" s="5">
        <f t="shared" si="45"/>
        <v>1</v>
      </c>
      <c r="R259" s="7">
        <f t="shared" si="46"/>
        <v>41248</v>
      </c>
      <c r="S259" s="5">
        <f t="shared" si="47"/>
        <v>1</v>
      </c>
      <c r="T259" s="7">
        <f t="shared" si="48"/>
        <v>41248</v>
      </c>
    </row>
    <row r="260" spans="1:20">
      <c r="A260" s="23" t="s">
        <v>546</v>
      </c>
      <c r="B260" s="35" t="s">
        <v>298</v>
      </c>
      <c r="C260" s="36">
        <v>18263</v>
      </c>
      <c r="D260" s="6"/>
      <c r="E260" s="113">
        <v>665212024</v>
      </c>
      <c r="F260" s="116">
        <f t="shared" si="49"/>
        <v>36424.028034824507</v>
      </c>
      <c r="G260" s="117">
        <v>465440917</v>
      </c>
      <c r="H260" s="117">
        <f t="shared" si="50"/>
        <v>25485.457865629964</v>
      </c>
      <c r="I260" s="7"/>
      <c r="J260" s="10">
        <v>4.1790000000000003</v>
      </c>
      <c r="K260" s="117">
        <v>1945077</v>
      </c>
      <c r="L260" s="120">
        <f t="shared" si="51"/>
        <v>106.50369599737174</v>
      </c>
      <c r="M260" s="122">
        <f t="shared" si="42"/>
        <v>4654409.17</v>
      </c>
      <c r="N260" s="116">
        <f t="shared" si="43"/>
        <v>2709332.17</v>
      </c>
      <c r="O260" s="123">
        <f t="shared" si="44"/>
        <v>148.35088265892787</v>
      </c>
      <c r="P260" s="5"/>
      <c r="Q260" s="5">
        <f t="shared" si="45"/>
        <v>1</v>
      </c>
      <c r="R260" s="7">
        <f t="shared" si="46"/>
        <v>18263</v>
      </c>
      <c r="S260" s="5">
        <f t="shared" si="47"/>
        <v>1</v>
      </c>
      <c r="T260" s="7">
        <f t="shared" si="48"/>
        <v>18263</v>
      </c>
    </row>
    <row r="261" spans="1:20">
      <c r="A261" s="23" t="s">
        <v>299</v>
      </c>
      <c r="B261" s="35" t="s">
        <v>300</v>
      </c>
      <c r="C261" s="36">
        <v>1707</v>
      </c>
      <c r="D261" s="6"/>
      <c r="E261" s="113">
        <v>298421345</v>
      </c>
      <c r="F261" s="116">
        <f t="shared" si="49"/>
        <v>174822.11189220854</v>
      </c>
      <c r="G261" s="117">
        <v>277266358</v>
      </c>
      <c r="H261" s="117">
        <f t="shared" si="50"/>
        <v>162429.03222026947</v>
      </c>
      <c r="I261" s="7"/>
      <c r="J261" s="10">
        <v>7.5896999999999997</v>
      </c>
      <c r="K261" s="117">
        <v>2104368</v>
      </c>
      <c r="L261" s="120">
        <f t="shared" si="51"/>
        <v>1232.7873462214411</v>
      </c>
      <c r="M261" s="122">
        <f t="shared" si="42"/>
        <v>2772663.58</v>
      </c>
      <c r="N261" s="116">
        <f t="shared" si="43"/>
        <v>668295.58000000007</v>
      </c>
      <c r="O261" s="123">
        <f t="shared" si="44"/>
        <v>391.50297598125371</v>
      </c>
      <c r="P261" s="5"/>
      <c r="Q261" s="5">
        <f t="shared" si="45"/>
        <v>1</v>
      </c>
      <c r="R261" s="7">
        <f t="shared" si="46"/>
        <v>1707</v>
      </c>
      <c r="S261" s="5">
        <f t="shared" si="47"/>
        <v>1</v>
      </c>
      <c r="T261" s="7">
        <f t="shared" si="48"/>
        <v>1707</v>
      </c>
    </row>
    <row r="262" spans="1:20">
      <c r="A262" s="23" t="s">
        <v>301</v>
      </c>
      <c r="B262" s="35" t="s">
        <v>300</v>
      </c>
      <c r="C262" s="36">
        <v>16937</v>
      </c>
      <c r="D262" s="6"/>
      <c r="E262" s="113">
        <v>350852983</v>
      </c>
      <c r="F262" s="116">
        <f t="shared" si="49"/>
        <v>20715.178780185393</v>
      </c>
      <c r="G262" s="117">
        <v>205966119</v>
      </c>
      <c r="H262" s="117">
        <f t="shared" si="50"/>
        <v>12160.720257424573</v>
      </c>
      <c r="I262" s="7"/>
      <c r="J262" s="10">
        <v>8.98</v>
      </c>
      <c r="K262" s="117">
        <v>1849575</v>
      </c>
      <c r="L262" s="120">
        <f t="shared" si="51"/>
        <v>109.20322371140108</v>
      </c>
      <c r="M262" s="122">
        <f t="shared" ref="M262:M325" si="52">(G262*0.01)</f>
        <v>2059661.19</v>
      </c>
      <c r="N262" s="116">
        <f t="shared" ref="N262:N325" si="53">(M262-K262)</f>
        <v>210086.18999999994</v>
      </c>
      <c r="O262" s="123">
        <f t="shared" ref="O262:O325" si="54">(N262/C262)</f>
        <v>12.403978862844657</v>
      </c>
      <c r="P262" s="5"/>
      <c r="Q262" s="5">
        <f t="shared" si="45"/>
        <v>1</v>
      </c>
      <c r="R262" s="7">
        <f t="shared" si="46"/>
        <v>16937</v>
      </c>
      <c r="S262" s="5">
        <f t="shared" si="47"/>
        <v>1</v>
      </c>
      <c r="T262" s="7">
        <f t="shared" si="48"/>
        <v>16937</v>
      </c>
    </row>
    <row r="263" spans="1:20">
      <c r="A263" s="23" t="s">
        <v>302</v>
      </c>
      <c r="B263" s="35" t="s">
        <v>300</v>
      </c>
      <c r="C263" s="36">
        <v>69994</v>
      </c>
      <c r="D263" s="6"/>
      <c r="E263" s="113">
        <v>10855689440</v>
      </c>
      <c r="F263" s="116">
        <f t="shared" si="49"/>
        <v>155094.57153470296</v>
      </c>
      <c r="G263" s="117">
        <v>9090279352</v>
      </c>
      <c r="H263" s="117">
        <f t="shared" si="50"/>
        <v>129872.26550847215</v>
      </c>
      <c r="I263" s="7"/>
      <c r="J263" s="10">
        <v>3.2292999999999998</v>
      </c>
      <c r="K263" s="117">
        <v>29355239</v>
      </c>
      <c r="L263" s="120">
        <f t="shared" si="51"/>
        <v>419.39650541474981</v>
      </c>
      <c r="M263" s="122">
        <f t="shared" si="52"/>
        <v>90902793.519999996</v>
      </c>
      <c r="N263" s="116">
        <f t="shared" si="53"/>
        <v>61547554.519999996</v>
      </c>
      <c r="O263" s="123">
        <f t="shared" si="54"/>
        <v>879.32614966997164</v>
      </c>
      <c r="P263" s="5"/>
      <c r="Q263" s="5">
        <f t="shared" ref="Q263:Q326" si="55">IF(E263&gt;0,1,0)</f>
        <v>1</v>
      </c>
      <c r="R263" s="7">
        <f t="shared" ref="R263:R326" si="56">IF(E263&gt;0,C263,0)</f>
        <v>69994</v>
      </c>
      <c r="S263" s="5">
        <f t="shared" ref="S263:S326" si="57">IF(J263&gt;0,1,0)</f>
        <v>1</v>
      </c>
      <c r="T263" s="7">
        <f t="shared" ref="T263:T326" si="58">IF(J263&gt;0,C263,0)</f>
        <v>69994</v>
      </c>
    </row>
    <row r="264" spans="1:20">
      <c r="A264" s="23" t="s">
        <v>303</v>
      </c>
      <c r="B264" s="35" t="s">
        <v>300</v>
      </c>
      <c r="C264" s="36">
        <v>55483</v>
      </c>
      <c r="D264" s="6"/>
      <c r="E264" s="113">
        <v>3163286857</v>
      </c>
      <c r="F264" s="116">
        <f t="shared" si="49"/>
        <v>57013.623217922606</v>
      </c>
      <c r="G264" s="117">
        <v>2475535000</v>
      </c>
      <c r="H264" s="117">
        <f t="shared" si="50"/>
        <v>44617.900978678153</v>
      </c>
      <c r="I264" s="7"/>
      <c r="J264" s="10">
        <v>8.2408999999999999</v>
      </c>
      <c r="K264" s="117">
        <v>20400636</v>
      </c>
      <c r="L264" s="120">
        <f t="shared" si="51"/>
        <v>367.69165329920878</v>
      </c>
      <c r="M264" s="122">
        <f t="shared" si="52"/>
        <v>24755350</v>
      </c>
      <c r="N264" s="116">
        <f t="shared" si="53"/>
        <v>4354714</v>
      </c>
      <c r="O264" s="123">
        <f t="shared" si="54"/>
        <v>78.487356487572768</v>
      </c>
      <c r="P264" s="5"/>
      <c r="Q264" s="5">
        <f t="shared" si="55"/>
        <v>1</v>
      </c>
      <c r="R264" s="7">
        <f t="shared" si="56"/>
        <v>55483</v>
      </c>
      <c r="S264" s="5">
        <f t="shared" si="57"/>
        <v>1</v>
      </c>
      <c r="T264" s="7">
        <f t="shared" si="58"/>
        <v>55483</v>
      </c>
    </row>
    <row r="265" spans="1:20">
      <c r="A265" s="23" t="s">
        <v>304</v>
      </c>
      <c r="B265" s="35" t="s">
        <v>300</v>
      </c>
      <c r="C265" s="36">
        <v>400</v>
      </c>
      <c r="D265" s="6"/>
      <c r="E265" s="113">
        <v>19219319</v>
      </c>
      <c r="F265" s="116">
        <f t="shared" si="49"/>
        <v>48048.297500000001</v>
      </c>
      <c r="G265" s="117">
        <v>15403244</v>
      </c>
      <c r="H265" s="117">
        <f t="shared" si="50"/>
        <v>38508.11</v>
      </c>
      <c r="I265" s="7"/>
      <c r="J265" s="10">
        <v>1.2706</v>
      </c>
      <c r="K265" s="117">
        <v>19571</v>
      </c>
      <c r="L265" s="120">
        <f t="shared" si="51"/>
        <v>48.927500000000002</v>
      </c>
      <c r="M265" s="122">
        <f t="shared" si="52"/>
        <v>154032.44</v>
      </c>
      <c r="N265" s="116">
        <f t="shared" si="53"/>
        <v>134461.44</v>
      </c>
      <c r="O265" s="123">
        <f t="shared" si="54"/>
        <v>336.15359999999998</v>
      </c>
      <c r="P265" s="5"/>
      <c r="Q265" s="5">
        <f t="shared" si="55"/>
        <v>1</v>
      </c>
      <c r="R265" s="7">
        <f t="shared" si="56"/>
        <v>400</v>
      </c>
      <c r="S265" s="5">
        <f t="shared" si="57"/>
        <v>1</v>
      </c>
      <c r="T265" s="7">
        <f t="shared" si="58"/>
        <v>400</v>
      </c>
    </row>
    <row r="266" spans="1:20">
      <c r="A266" s="23" t="s">
        <v>305</v>
      </c>
      <c r="B266" s="35" t="s">
        <v>300</v>
      </c>
      <c r="C266" s="36">
        <v>136</v>
      </c>
      <c r="D266" s="6"/>
      <c r="E266" s="113">
        <v>4662452</v>
      </c>
      <c r="F266" s="116">
        <f t="shared" si="49"/>
        <v>34282.73529411765</v>
      </c>
      <c r="G266" s="117">
        <v>3775962</v>
      </c>
      <c r="H266" s="117">
        <f t="shared" si="50"/>
        <v>27764.426470588234</v>
      </c>
      <c r="I266" s="98" t="s">
        <v>528</v>
      </c>
      <c r="J266" s="10"/>
      <c r="K266" s="117"/>
      <c r="L266" s="120"/>
      <c r="M266" s="122">
        <f t="shared" si="52"/>
        <v>37759.620000000003</v>
      </c>
      <c r="N266" s="116">
        <f t="shared" si="53"/>
        <v>37759.620000000003</v>
      </c>
      <c r="O266" s="123">
        <f t="shared" si="54"/>
        <v>277.64426470588239</v>
      </c>
      <c r="P266" s="5"/>
      <c r="Q266" s="5">
        <f t="shared" si="55"/>
        <v>1</v>
      </c>
      <c r="R266" s="7">
        <f t="shared" si="56"/>
        <v>136</v>
      </c>
      <c r="S266" s="5">
        <f t="shared" si="57"/>
        <v>0</v>
      </c>
      <c r="T266" s="7">
        <f t="shared" si="58"/>
        <v>0</v>
      </c>
    </row>
    <row r="267" spans="1:20">
      <c r="A267" s="23" t="s">
        <v>306</v>
      </c>
      <c r="B267" s="35" t="s">
        <v>300</v>
      </c>
      <c r="C267" s="36">
        <v>53589</v>
      </c>
      <c r="D267" s="6"/>
      <c r="E267" s="113">
        <v>3969639644</v>
      </c>
      <c r="F267" s="116">
        <f t="shared" si="49"/>
        <v>74075.643210360329</v>
      </c>
      <c r="G267" s="117">
        <v>3169823854</v>
      </c>
      <c r="H267" s="117">
        <f t="shared" si="50"/>
        <v>59150.643863479447</v>
      </c>
      <c r="I267" s="7"/>
      <c r="J267" s="10">
        <v>7.65</v>
      </c>
      <c r="K267" s="117">
        <v>24249152</v>
      </c>
      <c r="L267" s="120">
        <f>(K267/C267)</f>
        <v>452.502416540708</v>
      </c>
      <c r="M267" s="122">
        <f t="shared" si="52"/>
        <v>31698238.539999999</v>
      </c>
      <c r="N267" s="116">
        <f t="shared" si="53"/>
        <v>7449086.5399999991</v>
      </c>
      <c r="O267" s="123">
        <f t="shared" si="54"/>
        <v>139.00402209408645</v>
      </c>
      <c r="P267" s="5"/>
      <c r="Q267" s="5">
        <f t="shared" si="55"/>
        <v>1</v>
      </c>
      <c r="R267" s="7">
        <f t="shared" si="56"/>
        <v>53589</v>
      </c>
      <c r="S267" s="5">
        <f t="shared" si="57"/>
        <v>1</v>
      </c>
      <c r="T267" s="7">
        <f t="shared" si="58"/>
        <v>53589</v>
      </c>
    </row>
    <row r="268" spans="1:20">
      <c r="A268" s="23" t="s">
        <v>307</v>
      </c>
      <c r="B268" s="35" t="s">
        <v>300</v>
      </c>
      <c r="C268" s="36">
        <v>230</v>
      </c>
      <c r="D268" s="6"/>
      <c r="E268" s="113">
        <v>11731122</v>
      </c>
      <c r="F268" s="116">
        <f t="shared" si="49"/>
        <v>51004.878260869562</v>
      </c>
      <c r="G268" s="117">
        <v>9629362</v>
      </c>
      <c r="H268" s="117">
        <f t="shared" si="50"/>
        <v>41866.791304347826</v>
      </c>
      <c r="I268" s="98" t="s">
        <v>528</v>
      </c>
      <c r="J268" s="10"/>
      <c r="K268" s="117"/>
      <c r="L268" s="120"/>
      <c r="M268" s="122">
        <f t="shared" si="52"/>
        <v>96293.62</v>
      </c>
      <c r="N268" s="116">
        <f t="shared" si="53"/>
        <v>96293.62</v>
      </c>
      <c r="O268" s="123">
        <f t="shared" si="54"/>
        <v>418.66791304347822</v>
      </c>
      <c r="P268" s="5"/>
      <c r="Q268" s="5">
        <f t="shared" si="55"/>
        <v>1</v>
      </c>
      <c r="R268" s="7">
        <f t="shared" si="56"/>
        <v>230</v>
      </c>
      <c r="S268" s="5">
        <f t="shared" si="57"/>
        <v>0</v>
      </c>
      <c r="T268" s="7">
        <f t="shared" si="58"/>
        <v>0</v>
      </c>
    </row>
    <row r="269" spans="1:20">
      <c r="A269" s="23" t="s">
        <v>308</v>
      </c>
      <c r="B269" s="35" t="s">
        <v>300</v>
      </c>
      <c r="C269" s="36">
        <v>189</v>
      </c>
      <c r="D269" s="6"/>
      <c r="E269" s="113">
        <v>87063146</v>
      </c>
      <c r="F269" s="116">
        <f t="shared" si="49"/>
        <v>460651.56613756611</v>
      </c>
      <c r="G269" s="117">
        <v>73621777</v>
      </c>
      <c r="H269" s="117">
        <f t="shared" si="50"/>
        <v>389533.21164021164</v>
      </c>
      <c r="I269" s="7"/>
      <c r="J269" s="10">
        <v>6.0659999999999998</v>
      </c>
      <c r="K269" s="117">
        <v>446589</v>
      </c>
      <c r="L269" s="120">
        <f t="shared" ref="L269:L300" si="59">(K269/C269)</f>
        <v>2362.9047619047619</v>
      </c>
      <c r="M269" s="122">
        <f t="shared" si="52"/>
        <v>736217.77</v>
      </c>
      <c r="N269" s="116">
        <f t="shared" si="53"/>
        <v>289628.77</v>
      </c>
      <c r="O269" s="123">
        <f t="shared" si="54"/>
        <v>1532.4273544973546</v>
      </c>
      <c r="P269" s="5"/>
      <c r="Q269" s="5">
        <f t="shared" si="55"/>
        <v>1</v>
      </c>
      <c r="R269" s="7">
        <f t="shared" si="56"/>
        <v>189</v>
      </c>
      <c r="S269" s="5">
        <f t="shared" si="57"/>
        <v>1</v>
      </c>
      <c r="T269" s="7">
        <f t="shared" si="58"/>
        <v>189</v>
      </c>
    </row>
    <row r="270" spans="1:20">
      <c r="A270" s="23" t="s">
        <v>309</v>
      </c>
      <c r="B270" s="35" t="s">
        <v>300</v>
      </c>
      <c r="C270" s="36">
        <v>25609</v>
      </c>
      <c r="D270" s="6"/>
      <c r="E270" s="113">
        <v>912159860</v>
      </c>
      <c r="F270" s="116">
        <f t="shared" si="49"/>
        <v>35618.722324182905</v>
      </c>
      <c r="G270" s="117">
        <v>698352805</v>
      </c>
      <c r="H270" s="117">
        <f t="shared" si="50"/>
        <v>27269.819399429889</v>
      </c>
      <c r="I270" s="7"/>
      <c r="J270" s="10">
        <v>6.1272000000000002</v>
      </c>
      <c r="K270" s="117">
        <v>4278947</v>
      </c>
      <c r="L270" s="120">
        <f t="shared" si="59"/>
        <v>167.08762544417979</v>
      </c>
      <c r="M270" s="122">
        <f t="shared" si="52"/>
        <v>6983528.0499999998</v>
      </c>
      <c r="N270" s="116">
        <f t="shared" si="53"/>
        <v>2704581.05</v>
      </c>
      <c r="O270" s="123">
        <f t="shared" si="54"/>
        <v>105.6105685501191</v>
      </c>
      <c r="P270" s="5"/>
      <c r="Q270" s="5">
        <f t="shared" si="55"/>
        <v>1</v>
      </c>
      <c r="R270" s="7">
        <f t="shared" si="56"/>
        <v>25609</v>
      </c>
      <c r="S270" s="5">
        <f t="shared" si="57"/>
        <v>1</v>
      </c>
      <c r="T270" s="7">
        <f t="shared" si="58"/>
        <v>25609</v>
      </c>
    </row>
    <row r="271" spans="1:20">
      <c r="A271" s="23" t="s">
        <v>310</v>
      </c>
      <c r="B271" s="35" t="s">
        <v>300</v>
      </c>
      <c r="C271" s="36">
        <v>714</v>
      </c>
      <c r="D271" s="6"/>
      <c r="E271" s="113">
        <v>369712595</v>
      </c>
      <c r="F271" s="116">
        <f t="shared" si="49"/>
        <v>517804.75490196078</v>
      </c>
      <c r="G271" s="117">
        <v>334048454</v>
      </c>
      <c r="H271" s="117">
        <f t="shared" si="50"/>
        <v>467854.97759103641</v>
      </c>
      <c r="I271" s="7"/>
      <c r="J271" s="10">
        <v>3.7852999999999999</v>
      </c>
      <c r="K271" s="117">
        <v>1264473</v>
      </c>
      <c r="L271" s="120">
        <f t="shared" si="59"/>
        <v>1770.9705882352941</v>
      </c>
      <c r="M271" s="122">
        <f t="shared" si="52"/>
        <v>3340484.54</v>
      </c>
      <c r="N271" s="116">
        <f t="shared" si="53"/>
        <v>2076011.54</v>
      </c>
      <c r="O271" s="123">
        <f t="shared" si="54"/>
        <v>2907.57918767507</v>
      </c>
      <c r="P271" s="5"/>
      <c r="Q271" s="5">
        <f t="shared" si="55"/>
        <v>1</v>
      </c>
      <c r="R271" s="7">
        <f t="shared" si="56"/>
        <v>714</v>
      </c>
      <c r="S271" s="5">
        <f t="shared" si="57"/>
        <v>1</v>
      </c>
      <c r="T271" s="7">
        <f t="shared" si="58"/>
        <v>714</v>
      </c>
    </row>
    <row r="272" spans="1:20">
      <c r="A272" s="23" t="s">
        <v>311</v>
      </c>
      <c r="B272" s="35" t="s">
        <v>300</v>
      </c>
      <c r="C272" s="36">
        <v>1229</v>
      </c>
      <c r="D272" s="6"/>
      <c r="E272" s="113">
        <v>55612851</v>
      </c>
      <c r="F272" s="116">
        <f t="shared" si="49"/>
        <v>45250.489015459723</v>
      </c>
      <c r="G272" s="117">
        <v>39799763</v>
      </c>
      <c r="H272" s="117">
        <f t="shared" si="50"/>
        <v>32383.859235150529</v>
      </c>
      <c r="I272" s="7"/>
      <c r="J272" s="10">
        <v>5</v>
      </c>
      <c r="K272" s="117">
        <v>198998</v>
      </c>
      <c r="L272" s="120">
        <f t="shared" si="59"/>
        <v>161.91863303498781</v>
      </c>
      <c r="M272" s="122">
        <f t="shared" si="52"/>
        <v>397997.63</v>
      </c>
      <c r="N272" s="116">
        <f t="shared" si="53"/>
        <v>198999.63</v>
      </c>
      <c r="O272" s="123">
        <f t="shared" si="54"/>
        <v>161.91995931651749</v>
      </c>
      <c r="P272" s="5"/>
      <c r="Q272" s="5">
        <f t="shared" si="55"/>
        <v>1</v>
      </c>
      <c r="R272" s="7">
        <f t="shared" si="56"/>
        <v>1229</v>
      </c>
      <c r="S272" s="5">
        <f t="shared" si="57"/>
        <v>1</v>
      </c>
      <c r="T272" s="7">
        <f t="shared" si="58"/>
        <v>1229</v>
      </c>
    </row>
    <row r="273" spans="1:20">
      <c r="A273" s="23" t="s">
        <v>312</v>
      </c>
      <c r="B273" s="35" t="s">
        <v>300</v>
      </c>
      <c r="C273" s="36">
        <v>3477</v>
      </c>
      <c r="D273" s="6"/>
      <c r="E273" s="113">
        <v>872244894</v>
      </c>
      <c r="F273" s="116">
        <f t="shared" si="49"/>
        <v>250861.34426229508</v>
      </c>
      <c r="G273" s="117">
        <v>807510758</v>
      </c>
      <c r="H273" s="117">
        <f t="shared" si="50"/>
        <v>232243.53120506182</v>
      </c>
      <c r="I273" s="9"/>
      <c r="J273" s="10">
        <v>4</v>
      </c>
      <c r="K273" s="117">
        <v>3230043</v>
      </c>
      <c r="L273" s="120">
        <f t="shared" si="59"/>
        <v>928.97411561691115</v>
      </c>
      <c r="M273" s="122">
        <f t="shared" si="52"/>
        <v>8075107.5800000001</v>
      </c>
      <c r="N273" s="116">
        <f t="shared" si="53"/>
        <v>4845064.58</v>
      </c>
      <c r="O273" s="123">
        <f t="shared" si="54"/>
        <v>1393.4611964337073</v>
      </c>
      <c r="P273" s="5"/>
      <c r="Q273" s="5">
        <f t="shared" si="55"/>
        <v>1</v>
      </c>
      <c r="R273" s="7">
        <f t="shared" si="56"/>
        <v>3477</v>
      </c>
      <c r="S273" s="5">
        <f t="shared" si="57"/>
        <v>1</v>
      </c>
      <c r="T273" s="7">
        <f t="shared" si="58"/>
        <v>3477</v>
      </c>
    </row>
    <row r="274" spans="1:20">
      <c r="A274" s="23" t="s">
        <v>313</v>
      </c>
      <c r="B274" s="35" t="s">
        <v>300</v>
      </c>
      <c r="C274" s="36">
        <v>1515</v>
      </c>
      <c r="D274" s="6"/>
      <c r="E274" s="113">
        <v>169952743</v>
      </c>
      <c r="F274" s="116">
        <f t="shared" si="49"/>
        <v>112180.02838283828</v>
      </c>
      <c r="G274" s="117">
        <v>155239683</v>
      </c>
      <c r="H274" s="117">
        <f t="shared" si="50"/>
        <v>102468.43762376238</v>
      </c>
      <c r="I274" s="9"/>
      <c r="J274" s="10">
        <v>3.6535000000000002</v>
      </c>
      <c r="K274" s="117">
        <v>567168</v>
      </c>
      <c r="L274" s="120">
        <f t="shared" si="59"/>
        <v>374.36831683168316</v>
      </c>
      <c r="M274" s="122">
        <f t="shared" si="52"/>
        <v>1552396.83</v>
      </c>
      <c r="N274" s="116">
        <f t="shared" si="53"/>
        <v>985228.83000000007</v>
      </c>
      <c r="O274" s="123">
        <f t="shared" si="54"/>
        <v>650.31605940594068</v>
      </c>
      <c r="P274" s="5"/>
      <c r="Q274" s="5">
        <f t="shared" si="55"/>
        <v>1</v>
      </c>
      <c r="R274" s="7">
        <f t="shared" si="56"/>
        <v>1515</v>
      </c>
      <c r="S274" s="5">
        <f t="shared" si="57"/>
        <v>1</v>
      </c>
      <c r="T274" s="7">
        <f t="shared" si="58"/>
        <v>1515</v>
      </c>
    </row>
    <row r="275" spans="1:20">
      <c r="A275" s="23" t="s">
        <v>314</v>
      </c>
      <c r="B275" s="35" t="s">
        <v>300</v>
      </c>
      <c r="C275" s="36">
        <v>2903</v>
      </c>
      <c r="D275" s="6"/>
      <c r="E275" s="113">
        <v>533244992</v>
      </c>
      <c r="F275" s="116">
        <f t="shared" si="49"/>
        <v>183687.56183258697</v>
      </c>
      <c r="G275" s="117">
        <v>468122598</v>
      </c>
      <c r="H275" s="117">
        <f t="shared" si="50"/>
        <v>161254.77023768515</v>
      </c>
      <c r="I275" s="7"/>
      <c r="J275" s="10">
        <v>3.9643000000000002</v>
      </c>
      <c r="K275" s="117">
        <v>1855778</v>
      </c>
      <c r="L275" s="120">
        <f t="shared" si="59"/>
        <v>639.26214261109192</v>
      </c>
      <c r="M275" s="122">
        <f t="shared" si="52"/>
        <v>4681225.9800000004</v>
      </c>
      <c r="N275" s="116">
        <f t="shared" si="53"/>
        <v>2825447.9800000004</v>
      </c>
      <c r="O275" s="123">
        <f t="shared" si="54"/>
        <v>973.28555976575967</v>
      </c>
      <c r="P275" s="5"/>
      <c r="Q275" s="5">
        <f t="shared" si="55"/>
        <v>1</v>
      </c>
      <c r="R275" s="7">
        <f t="shared" si="56"/>
        <v>2903</v>
      </c>
      <c r="S275" s="5">
        <f t="shared" si="57"/>
        <v>1</v>
      </c>
      <c r="T275" s="7">
        <f t="shared" si="58"/>
        <v>2903</v>
      </c>
    </row>
    <row r="276" spans="1:20">
      <c r="A276" s="23" t="s">
        <v>315</v>
      </c>
      <c r="B276" s="35" t="s">
        <v>300</v>
      </c>
      <c r="C276" s="36">
        <v>33925</v>
      </c>
      <c r="D276" s="6"/>
      <c r="E276" s="113">
        <v>3803644757</v>
      </c>
      <c r="F276" s="116">
        <f t="shared" si="49"/>
        <v>112119.22644067797</v>
      </c>
      <c r="G276" s="117">
        <v>3068141910</v>
      </c>
      <c r="H276" s="117">
        <f t="shared" si="50"/>
        <v>90438.965659543115</v>
      </c>
      <c r="I276" s="9"/>
      <c r="J276" s="11">
        <v>2.3814000000000002</v>
      </c>
      <c r="K276" s="117">
        <v>7306473</v>
      </c>
      <c r="L276" s="120">
        <f t="shared" si="59"/>
        <v>215.37134856300662</v>
      </c>
      <c r="M276" s="122">
        <f t="shared" si="52"/>
        <v>30681419.100000001</v>
      </c>
      <c r="N276" s="116">
        <f t="shared" si="53"/>
        <v>23374946.100000001</v>
      </c>
      <c r="O276" s="123">
        <f t="shared" si="54"/>
        <v>689.01830803242456</v>
      </c>
      <c r="P276" s="5"/>
      <c r="Q276" s="5">
        <f t="shared" si="55"/>
        <v>1</v>
      </c>
      <c r="R276" s="7">
        <f t="shared" si="56"/>
        <v>33925</v>
      </c>
      <c r="S276" s="5">
        <f t="shared" si="57"/>
        <v>1</v>
      </c>
      <c r="T276" s="7">
        <f t="shared" si="58"/>
        <v>33925</v>
      </c>
    </row>
    <row r="277" spans="1:20">
      <c r="A277" s="23" t="s">
        <v>316</v>
      </c>
      <c r="B277" s="35" t="s">
        <v>300</v>
      </c>
      <c r="C277" s="36">
        <v>416</v>
      </c>
      <c r="D277" s="6"/>
      <c r="E277" s="113">
        <v>112063167</v>
      </c>
      <c r="F277" s="116">
        <f t="shared" si="49"/>
        <v>269382.61298076925</v>
      </c>
      <c r="G277" s="117">
        <v>97959826</v>
      </c>
      <c r="H277" s="117">
        <f t="shared" si="50"/>
        <v>235480.35096153847</v>
      </c>
      <c r="I277" s="7"/>
      <c r="J277" s="10">
        <v>5.6433</v>
      </c>
      <c r="K277" s="117">
        <v>552816</v>
      </c>
      <c r="L277" s="120">
        <f t="shared" si="59"/>
        <v>1328.8846153846155</v>
      </c>
      <c r="M277" s="122">
        <f t="shared" si="52"/>
        <v>979598.26</v>
      </c>
      <c r="N277" s="116">
        <f t="shared" si="53"/>
        <v>426782.26</v>
      </c>
      <c r="O277" s="123">
        <f t="shared" si="54"/>
        <v>1025.9188942307692</v>
      </c>
      <c r="P277" s="5"/>
      <c r="Q277" s="5">
        <f t="shared" si="55"/>
        <v>1</v>
      </c>
      <c r="R277" s="7">
        <f t="shared" si="56"/>
        <v>416</v>
      </c>
      <c r="S277" s="5">
        <f t="shared" si="57"/>
        <v>1</v>
      </c>
      <c r="T277" s="7">
        <f t="shared" si="58"/>
        <v>416</v>
      </c>
    </row>
    <row r="278" spans="1:20">
      <c r="A278" s="23" t="s">
        <v>317</v>
      </c>
      <c r="B278" s="35" t="s">
        <v>300</v>
      </c>
      <c r="C278" s="36">
        <v>3656</v>
      </c>
      <c r="D278" s="6"/>
      <c r="E278" s="113">
        <v>184488499</v>
      </c>
      <c r="F278" s="116">
        <f t="shared" si="49"/>
        <v>50461.843271334794</v>
      </c>
      <c r="G278" s="117">
        <v>144016846</v>
      </c>
      <c r="H278" s="117">
        <f t="shared" si="50"/>
        <v>39391.916301969366</v>
      </c>
      <c r="I278" s="7"/>
      <c r="J278" s="12">
        <v>4.3163999999999998</v>
      </c>
      <c r="K278" s="117">
        <v>621634</v>
      </c>
      <c r="L278" s="120">
        <f t="shared" si="59"/>
        <v>170.03118161925602</v>
      </c>
      <c r="M278" s="122">
        <f t="shared" si="52"/>
        <v>1440168.46</v>
      </c>
      <c r="N278" s="116">
        <f t="shared" si="53"/>
        <v>818534.46</v>
      </c>
      <c r="O278" s="123">
        <f t="shared" si="54"/>
        <v>223.88798140043764</v>
      </c>
      <c r="P278" s="5"/>
      <c r="Q278" s="5">
        <f t="shared" si="55"/>
        <v>1</v>
      </c>
      <c r="R278" s="7">
        <f t="shared" si="56"/>
        <v>3656</v>
      </c>
      <c r="S278" s="5">
        <f t="shared" si="57"/>
        <v>1</v>
      </c>
      <c r="T278" s="7">
        <f t="shared" si="58"/>
        <v>3656</v>
      </c>
    </row>
    <row r="279" spans="1:20">
      <c r="A279" s="23" t="s">
        <v>318</v>
      </c>
      <c r="B279" s="35" t="s">
        <v>300</v>
      </c>
      <c r="C279" s="36">
        <v>6853</v>
      </c>
      <c r="D279" s="6"/>
      <c r="E279" s="113">
        <v>343178509</v>
      </c>
      <c r="F279" s="116">
        <f t="shared" si="49"/>
        <v>50077.120822997225</v>
      </c>
      <c r="G279" s="117">
        <v>275776287</v>
      </c>
      <c r="H279" s="117">
        <f t="shared" si="50"/>
        <v>40241.687873923831</v>
      </c>
      <c r="I279" s="7"/>
      <c r="J279" s="10">
        <v>11.1614</v>
      </c>
      <c r="K279" s="117">
        <v>3078049</v>
      </c>
      <c r="L279" s="120">
        <f t="shared" si="59"/>
        <v>449.1535094119364</v>
      </c>
      <c r="M279" s="122">
        <f t="shared" si="52"/>
        <v>2757762.87</v>
      </c>
      <c r="N279" s="116">
        <f t="shared" si="53"/>
        <v>-320286.12999999989</v>
      </c>
      <c r="O279" s="123">
        <f t="shared" si="54"/>
        <v>-46.73663067269807</v>
      </c>
      <c r="P279" s="5"/>
      <c r="Q279" s="5">
        <f t="shared" si="55"/>
        <v>1</v>
      </c>
      <c r="R279" s="7">
        <f t="shared" si="56"/>
        <v>6853</v>
      </c>
      <c r="S279" s="5">
        <f t="shared" si="57"/>
        <v>1</v>
      </c>
      <c r="T279" s="7">
        <f t="shared" si="58"/>
        <v>6853</v>
      </c>
    </row>
    <row r="280" spans="1:20">
      <c r="A280" s="24" t="s">
        <v>628</v>
      </c>
      <c r="B280" s="35" t="s">
        <v>300</v>
      </c>
      <c r="C280" s="36">
        <v>31209</v>
      </c>
      <c r="D280" s="6"/>
      <c r="E280" s="113">
        <v>1073593023</v>
      </c>
      <c r="F280" s="116">
        <f t="shared" si="49"/>
        <v>34400.10967990003</v>
      </c>
      <c r="G280" s="117">
        <v>728640932</v>
      </c>
      <c r="H280" s="117">
        <f t="shared" si="50"/>
        <v>23347.141273350637</v>
      </c>
      <c r="I280" s="7"/>
      <c r="J280" s="10">
        <v>11.0839</v>
      </c>
      <c r="K280" s="117">
        <v>8076183</v>
      </c>
      <c r="L280" s="120">
        <f t="shared" si="59"/>
        <v>258.77737191194848</v>
      </c>
      <c r="M280" s="122">
        <f t="shared" si="52"/>
        <v>7286409.3200000003</v>
      </c>
      <c r="N280" s="116">
        <f t="shared" si="53"/>
        <v>-789773.6799999997</v>
      </c>
      <c r="O280" s="123">
        <f t="shared" si="54"/>
        <v>-25.305959178442105</v>
      </c>
      <c r="P280" s="5"/>
      <c r="Q280" s="5">
        <f t="shared" si="55"/>
        <v>1</v>
      </c>
      <c r="R280" s="7">
        <f t="shared" si="56"/>
        <v>31209</v>
      </c>
      <c r="S280" s="5">
        <f t="shared" si="57"/>
        <v>1</v>
      </c>
      <c r="T280" s="7">
        <f t="shared" si="58"/>
        <v>31209</v>
      </c>
    </row>
    <row r="281" spans="1:20">
      <c r="A281" s="23" t="s">
        <v>319</v>
      </c>
      <c r="B281" s="35" t="s">
        <v>300</v>
      </c>
      <c r="C281" s="36">
        <v>8776</v>
      </c>
      <c r="D281" s="6"/>
      <c r="E281" s="113">
        <v>495160003</v>
      </c>
      <c r="F281" s="116">
        <f t="shared" si="49"/>
        <v>56422.060505925248</v>
      </c>
      <c r="G281" s="117">
        <v>379679248</v>
      </c>
      <c r="H281" s="117">
        <f t="shared" si="50"/>
        <v>43263.36007292616</v>
      </c>
      <c r="I281" s="7"/>
      <c r="J281" s="10">
        <v>5.9318</v>
      </c>
      <c r="K281" s="117">
        <v>2252181</v>
      </c>
      <c r="L281" s="120">
        <f t="shared" si="59"/>
        <v>256.62955788514131</v>
      </c>
      <c r="M281" s="122">
        <f t="shared" si="52"/>
        <v>3796792.48</v>
      </c>
      <c r="N281" s="116">
        <f t="shared" si="53"/>
        <v>1544611.48</v>
      </c>
      <c r="O281" s="123">
        <f t="shared" si="54"/>
        <v>176.00404284412033</v>
      </c>
      <c r="P281" s="5"/>
      <c r="Q281" s="5">
        <f t="shared" si="55"/>
        <v>1</v>
      </c>
      <c r="R281" s="7">
        <f t="shared" si="56"/>
        <v>8776</v>
      </c>
      <c r="S281" s="5">
        <f t="shared" si="57"/>
        <v>1</v>
      </c>
      <c r="T281" s="7">
        <f t="shared" si="58"/>
        <v>8776</v>
      </c>
    </row>
    <row r="282" spans="1:20">
      <c r="A282" s="23" t="s">
        <v>320</v>
      </c>
      <c r="B282" s="35" t="s">
        <v>300</v>
      </c>
      <c r="C282" s="36">
        <v>317</v>
      </c>
      <c r="D282" s="6"/>
      <c r="E282" s="113">
        <v>462752752</v>
      </c>
      <c r="F282" s="116">
        <f t="shared" si="49"/>
        <v>1459787.8611987382</v>
      </c>
      <c r="G282" s="117">
        <v>442393666</v>
      </c>
      <c r="H282" s="117">
        <f t="shared" si="50"/>
        <v>1395563.6151419559</v>
      </c>
      <c r="I282" s="7"/>
      <c r="J282" s="10">
        <v>3.25</v>
      </c>
      <c r="K282" s="117">
        <v>1437779</v>
      </c>
      <c r="L282" s="120">
        <f t="shared" si="59"/>
        <v>4535.5804416403789</v>
      </c>
      <c r="M282" s="122">
        <f t="shared" si="52"/>
        <v>4423936.66</v>
      </c>
      <c r="N282" s="116">
        <f t="shared" si="53"/>
        <v>2986157.66</v>
      </c>
      <c r="O282" s="123">
        <f t="shared" si="54"/>
        <v>9420.0557097791807</v>
      </c>
      <c r="P282" s="5"/>
      <c r="Q282" s="5">
        <f t="shared" si="55"/>
        <v>1</v>
      </c>
      <c r="R282" s="7">
        <f t="shared" si="56"/>
        <v>317</v>
      </c>
      <c r="S282" s="5">
        <f t="shared" si="57"/>
        <v>1</v>
      </c>
      <c r="T282" s="7">
        <f t="shared" si="58"/>
        <v>317</v>
      </c>
    </row>
    <row r="283" spans="1:20">
      <c r="A283" s="23" t="s">
        <v>321</v>
      </c>
      <c r="B283" s="35" t="s">
        <v>300</v>
      </c>
      <c r="C283" s="36">
        <v>1373</v>
      </c>
      <c r="D283" s="6"/>
      <c r="E283" s="113">
        <v>136183607</v>
      </c>
      <c r="F283" s="116">
        <f t="shared" si="49"/>
        <v>99186.895120174799</v>
      </c>
      <c r="G283" s="117">
        <v>118542483</v>
      </c>
      <c r="H283" s="117">
        <f t="shared" si="50"/>
        <v>86338.297887836859</v>
      </c>
      <c r="I283" s="7"/>
      <c r="J283" s="10">
        <v>7.99</v>
      </c>
      <c r="K283" s="117">
        <v>947154</v>
      </c>
      <c r="L283" s="120">
        <f t="shared" si="59"/>
        <v>689.84268026219956</v>
      </c>
      <c r="M283" s="122">
        <f t="shared" si="52"/>
        <v>1185424.83</v>
      </c>
      <c r="N283" s="116">
        <f t="shared" si="53"/>
        <v>238270.83000000007</v>
      </c>
      <c r="O283" s="123">
        <f t="shared" si="54"/>
        <v>173.54029861616903</v>
      </c>
      <c r="P283" s="5"/>
      <c r="Q283" s="5">
        <f t="shared" si="55"/>
        <v>1</v>
      </c>
      <c r="R283" s="7">
        <f t="shared" si="56"/>
        <v>1373</v>
      </c>
      <c r="S283" s="5">
        <f t="shared" si="57"/>
        <v>1</v>
      </c>
      <c r="T283" s="7">
        <f t="shared" si="58"/>
        <v>1373</v>
      </c>
    </row>
    <row r="284" spans="1:20">
      <c r="A284" s="23" t="s">
        <v>322</v>
      </c>
      <c r="B284" s="35" t="s">
        <v>300</v>
      </c>
      <c r="C284" s="36">
        <v>12582</v>
      </c>
      <c r="D284" s="6"/>
      <c r="E284" s="113">
        <v>1028927413</v>
      </c>
      <c r="F284" s="116">
        <f t="shared" si="49"/>
        <v>81777.731123827689</v>
      </c>
      <c r="G284" s="117">
        <v>803768368</v>
      </c>
      <c r="H284" s="117">
        <f t="shared" si="50"/>
        <v>63882.400890160548</v>
      </c>
      <c r="I284" s="7"/>
      <c r="J284" s="10">
        <v>5.6</v>
      </c>
      <c r="K284" s="117">
        <v>4501102</v>
      </c>
      <c r="L284" s="120">
        <f t="shared" si="59"/>
        <v>357.74137656970277</v>
      </c>
      <c r="M284" s="122">
        <f t="shared" si="52"/>
        <v>8037683.6799999997</v>
      </c>
      <c r="N284" s="116">
        <f t="shared" si="53"/>
        <v>3536581.6799999997</v>
      </c>
      <c r="O284" s="123">
        <f t="shared" si="54"/>
        <v>281.08263233190269</v>
      </c>
      <c r="P284" s="5"/>
      <c r="Q284" s="5">
        <f t="shared" si="55"/>
        <v>1</v>
      </c>
      <c r="R284" s="7">
        <f t="shared" si="56"/>
        <v>12582</v>
      </c>
      <c r="S284" s="5">
        <f t="shared" si="57"/>
        <v>1</v>
      </c>
      <c r="T284" s="7">
        <f t="shared" si="58"/>
        <v>12582</v>
      </c>
    </row>
    <row r="285" spans="1:20">
      <c r="A285" s="23" t="s">
        <v>323</v>
      </c>
      <c r="B285" s="35" t="s">
        <v>300</v>
      </c>
      <c r="C285" s="36">
        <v>1658</v>
      </c>
      <c r="D285" s="6"/>
      <c r="E285" s="113">
        <v>374590901</v>
      </c>
      <c r="F285" s="116">
        <f t="shared" ref="F285:F348" si="60">(E285/C285)</f>
        <v>225929.37334137515</v>
      </c>
      <c r="G285" s="117">
        <v>328190233</v>
      </c>
      <c r="H285" s="117">
        <f t="shared" ref="H285:H348" si="61">(G285/C285)</f>
        <v>197943.44571773222</v>
      </c>
      <c r="I285" s="7"/>
      <c r="J285" s="10">
        <v>4.4417999999999997</v>
      </c>
      <c r="K285" s="117">
        <v>1457755</v>
      </c>
      <c r="L285" s="120">
        <f t="shared" si="59"/>
        <v>879.22496984318457</v>
      </c>
      <c r="M285" s="122">
        <f t="shared" si="52"/>
        <v>3281902.33</v>
      </c>
      <c r="N285" s="116">
        <f t="shared" si="53"/>
        <v>1824147.33</v>
      </c>
      <c r="O285" s="123">
        <f t="shared" si="54"/>
        <v>1100.2094873341375</v>
      </c>
      <c r="P285" s="5"/>
      <c r="Q285" s="5">
        <f t="shared" si="55"/>
        <v>1</v>
      </c>
      <c r="R285" s="7">
        <f t="shared" si="56"/>
        <v>1658</v>
      </c>
      <c r="S285" s="5">
        <f t="shared" si="57"/>
        <v>1</v>
      </c>
      <c r="T285" s="7">
        <f t="shared" si="58"/>
        <v>1658</v>
      </c>
    </row>
    <row r="286" spans="1:20">
      <c r="A286" s="23" t="s">
        <v>324</v>
      </c>
      <c r="B286" s="35" t="s">
        <v>300</v>
      </c>
      <c r="C286" s="36">
        <v>7075</v>
      </c>
      <c r="D286" s="6"/>
      <c r="E286" s="113">
        <v>134892959</v>
      </c>
      <c r="F286" s="116">
        <f t="shared" si="60"/>
        <v>19066.142614840988</v>
      </c>
      <c r="G286" s="117">
        <v>60096294</v>
      </c>
      <c r="H286" s="117">
        <f t="shared" si="61"/>
        <v>8494.1758303886927</v>
      </c>
      <c r="I286" s="7"/>
      <c r="J286" s="10">
        <v>7.1775000000000002</v>
      </c>
      <c r="K286" s="117">
        <v>431341</v>
      </c>
      <c r="L286" s="120">
        <f t="shared" si="59"/>
        <v>60.966925795053001</v>
      </c>
      <c r="M286" s="122">
        <f t="shared" si="52"/>
        <v>600962.94000000006</v>
      </c>
      <c r="N286" s="116">
        <f t="shared" si="53"/>
        <v>169621.94000000006</v>
      </c>
      <c r="O286" s="123">
        <f t="shared" si="54"/>
        <v>23.974832508833931</v>
      </c>
      <c r="P286" s="5"/>
      <c r="Q286" s="5">
        <f t="shared" si="55"/>
        <v>1</v>
      </c>
      <c r="R286" s="7">
        <f t="shared" si="56"/>
        <v>7075</v>
      </c>
      <c r="S286" s="5">
        <f t="shared" si="57"/>
        <v>1</v>
      </c>
      <c r="T286" s="7">
        <f t="shared" si="58"/>
        <v>7075</v>
      </c>
    </row>
    <row r="287" spans="1:20">
      <c r="A287" s="23" t="s">
        <v>300</v>
      </c>
      <c r="B287" s="35" t="s">
        <v>300</v>
      </c>
      <c r="C287" s="36">
        <v>9710</v>
      </c>
      <c r="D287" s="6"/>
      <c r="E287" s="113">
        <v>6015732506</v>
      </c>
      <c r="F287" s="116">
        <f t="shared" si="60"/>
        <v>619539.90792996914</v>
      </c>
      <c r="G287" s="117">
        <v>5439475204</v>
      </c>
      <c r="H287" s="117">
        <f t="shared" si="61"/>
        <v>560193.12090628222</v>
      </c>
      <c r="I287" s="7"/>
      <c r="J287" s="10">
        <v>4.6452</v>
      </c>
      <c r="K287" s="117">
        <v>25267450</v>
      </c>
      <c r="L287" s="120">
        <f t="shared" si="59"/>
        <v>2602.209062821833</v>
      </c>
      <c r="M287" s="122">
        <f t="shared" si="52"/>
        <v>54394752.039999999</v>
      </c>
      <c r="N287" s="116">
        <f t="shared" si="53"/>
        <v>29127302.039999999</v>
      </c>
      <c r="O287" s="123">
        <f t="shared" si="54"/>
        <v>2999.7221462409884</v>
      </c>
      <c r="P287" s="5"/>
      <c r="Q287" s="5">
        <f t="shared" si="55"/>
        <v>1</v>
      </c>
      <c r="R287" s="7">
        <f t="shared" si="56"/>
        <v>9710</v>
      </c>
      <c r="S287" s="5">
        <f t="shared" si="57"/>
        <v>1</v>
      </c>
      <c r="T287" s="7">
        <f t="shared" si="58"/>
        <v>9710</v>
      </c>
    </row>
    <row r="288" spans="1:20">
      <c r="A288" s="23" t="s">
        <v>325</v>
      </c>
      <c r="B288" s="35" t="s">
        <v>300</v>
      </c>
      <c r="C288" s="36">
        <v>34577</v>
      </c>
      <c r="D288" s="6"/>
      <c r="E288" s="113">
        <v>4248822682</v>
      </c>
      <c r="F288" s="116">
        <f t="shared" si="60"/>
        <v>122880.02666512421</v>
      </c>
      <c r="G288" s="117">
        <v>3513825696</v>
      </c>
      <c r="H288" s="117">
        <f t="shared" si="61"/>
        <v>101623.20895392892</v>
      </c>
      <c r="I288" s="7"/>
      <c r="J288" s="10">
        <v>4.3497000000000003</v>
      </c>
      <c r="K288" s="117">
        <v>15284087</v>
      </c>
      <c r="L288" s="120">
        <f t="shared" si="59"/>
        <v>442.03045376984699</v>
      </c>
      <c r="M288" s="122">
        <f t="shared" si="52"/>
        <v>35138256.960000001</v>
      </c>
      <c r="N288" s="116">
        <f t="shared" si="53"/>
        <v>19854169.960000001</v>
      </c>
      <c r="O288" s="123">
        <f t="shared" si="54"/>
        <v>574.20163576944219</v>
      </c>
      <c r="P288" s="5"/>
      <c r="Q288" s="5">
        <f t="shared" si="55"/>
        <v>1</v>
      </c>
      <c r="R288" s="7">
        <f t="shared" si="56"/>
        <v>34577</v>
      </c>
      <c r="S288" s="5">
        <f t="shared" si="57"/>
        <v>1</v>
      </c>
      <c r="T288" s="7">
        <f t="shared" si="58"/>
        <v>34577</v>
      </c>
    </row>
    <row r="289" spans="1:20">
      <c r="A289" s="23" t="s">
        <v>326</v>
      </c>
      <c r="B289" s="35" t="s">
        <v>300</v>
      </c>
      <c r="C289" s="36">
        <v>1037</v>
      </c>
      <c r="D289" s="6"/>
      <c r="E289" s="113">
        <v>188194132</v>
      </c>
      <c r="F289" s="116">
        <f t="shared" si="60"/>
        <v>181479.39440694312</v>
      </c>
      <c r="G289" s="117">
        <v>173170047</v>
      </c>
      <c r="H289" s="117">
        <f t="shared" si="61"/>
        <v>166991.36644165864</v>
      </c>
      <c r="I289" s="7"/>
      <c r="J289" s="10">
        <v>5.8327999999999998</v>
      </c>
      <c r="K289" s="117">
        <v>1010066</v>
      </c>
      <c r="L289" s="120">
        <f t="shared" si="59"/>
        <v>974.02700096432011</v>
      </c>
      <c r="M289" s="122">
        <f t="shared" si="52"/>
        <v>1731700.47</v>
      </c>
      <c r="N289" s="116">
        <f t="shared" si="53"/>
        <v>721634.47</v>
      </c>
      <c r="O289" s="123">
        <f t="shared" si="54"/>
        <v>695.88666345226613</v>
      </c>
      <c r="P289" s="5"/>
      <c r="Q289" s="5">
        <f t="shared" si="55"/>
        <v>1</v>
      </c>
      <c r="R289" s="7">
        <f t="shared" si="56"/>
        <v>1037</v>
      </c>
      <c r="S289" s="5">
        <f t="shared" si="57"/>
        <v>1</v>
      </c>
      <c r="T289" s="7">
        <f t="shared" si="58"/>
        <v>1037</v>
      </c>
    </row>
    <row r="290" spans="1:20">
      <c r="A290" s="23" t="s">
        <v>327</v>
      </c>
      <c r="B290" s="35" t="s">
        <v>300</v>
      </c>
      <c r="C290" s="36">
        <v>10220</v>
      </c>
      <c r="D290" s="6"/>
      <c r="E290" s="113">
        <v>304673288</v>
      </c>
      <c r="F290" s="116">
        <f t="shared" si="60"/>
        <v>29811.476320939335</v>
      </c>
      <c r="G290" s="117">
        <v>210169977</v>
      </c>
      <c r="H290" s="117">
        <f t="shared" si="61"/>
        <v>20564.57700587084</v>
      </c>
      <c r="I290" s="7"/>
      <c r="J290" s="10">
        <v>5.5894000000000004</v>
      </c>
      <c r="K290" s="117">
        <v>1174724</v>
      </c>
      <c r="L290" s="120">
        <f t="shared" si="59"/>
        <v>114.94363992172211</v>
      </c>
      <c r="M290" s="122">
        <f t="shared" si="52"/>
        <v>2101699.77</v>
      </c>
      <c r="N290" s="116">
        <f t="shared" si="53"/>
        <v>926975.77</v>
      </c>
      <c r="O290" s="123">
        <f t="shared" si="54"/>
        <v>90.702130136986298</v>
      </c>
      <c r="P290" s="5"/>
      <c r="Q290" s="5">
        <f t="shared" si="55"/>
        <v>1</v>
      </c>
      <c r="R290" s="7">
        <f t="shared" si="56"/>
        <v>10220</v>
      </c>
      <c r="S290" s="5">
        <f t="shared" si="57"/>
        <v>1</v>
      </c>
      <c r="T290" s="7">
        <f t="shared" si="58"/>
        <v>10220</v>
      </c>
    </row>
    <row r="291" spans="1:20">
      <c r="A291" s="23" t="s">
        <v>328</v>
      </c>
      <c r="B291" s="35" t="s">
        <v>300</v>
      </c>
      <c r="C291" s="36">
        <v>29020</v>
      </c>
      <c r="D291" s="6"/>
      <c r="E291" s="113">
        <v>2023757953</v>
      </c>
      <c r="F291" s="116">
        <f t="shared" si="60"/>
        <v>69736.662749827708</v>
      </c>
      <c r="G291" s="117">
        <v>1521117634</v>
      </c>
      <c r="H291" s="117">
        <f t="shared" si="61"/>
        <v>52416.183115093037</v>
      </c>
      <c r="I291" s="7"/>
      <c r="J291" s="10">
        <v>8.9969999999999999</v>
      </c>
      <c r="K291" s="117">
        <v>13685495</v>
      </c>
      <c r="L291" s="120">
        <f t="shared" si="59"/>
        <v>471.58838731909026</v>
      </c>
      <c r="M291" s="122">
        <f t="shared" si="52"/>
        <v>15211176.34</v>
      </c>
      <c r="N291" s="116">
        <f t="shared" si="53"/>
        <v>1525681.3399999999</v>
      </c>
      <c r="O291" s="123">
        <f t="shared" si="54"/>
        <v>52.573443831840102</v>
      </c>
      <c r="P291" s="5"/>
      <c r="Q291" s="5">
        <f t="shared" si="55"/>
        <v>1</v>
      </c>
      <c r="R291" s="7">
        <f t="shared" si="56"/>
        <v>29020</v>
      </c>
      <c r="S291" s="5">
        <f t="shared" si="57"/>
        <v>1</v>
      </c>
      <c r="T291" s="7">
        <f t="shared" si="58"/>
        <v>29020</v>
      </c>
    </row>
    <row r="292" spans="1:20">
      <c r="A292" s="23" t="s">
        <v>329</v>
      </c>
      <c r="B292" s="35" t="s">
        <v>300</v>
      </c>
      <c r="C292" s="36">
        <v>19240</v>
      </c>
      <c r="D292" s="6"/>
      <c r="E292" s="113">
        <v>961483502</v>
      </c>
      <c r="F292" s="116">
        <f t="shared" si="60"/>
        <v>49973.154989604991</v>
      </c>
      <c r="G292" s="117">
        <v>708813198</v>
      </c>
      <c r="H292" s="117">
        <f t="shared" si="61"/>
        <v>36840.602806652809</v>
      </c>
      <c r="I292" s="7"/>
      <c r="J292" s="10">
        <v>6.5377000000000001</v>
      </c>
      <c r="K292" s="117">
        <v>4634008</v>
      </c>
      <c r="L292" s="120">
        <f t="shared" si="59"/>
        <v>240.85280665280666</v>
      </c>
      <c r="M292" s="122">
        <f t="shared" si="52"/>
        <v>7088131.9800000004</v>
      </c>
      <c r="N292" s="116">
        <f t="shared" si="53"/>
        <v>2454123.9800000004</v>
      </c>
      <c r="O292" s="123">
        <f t="shared" si="54"/>
        <v>127.55322141372143</v>
      </c>
      <c r="P292" s="5"/>
      <c r="Q292" s="5">
        <f t="shared" si="55"/>
        <v>1</v>
      </c>
      <c r="R292" s="7">
        <f t="shared" si="56"/>
        <v>19240</v>
      </c>
      <c r="S292" s="5">
        <f t="shared" si="57"/>
        <v>1</v>
      </c>
      <c r="T292" s="7">
        <f t="shared" si="58"/>
        <v>19240</v>
      </c>
    </row>
    <row r="293" spans="1:20">
      <c r="A293" s="23" t="s">
        <v>330</v>
      </c>
      <c r="B293" s="35" t="s">
        <v>300</v>
      </c>
      <c r="C293" s="36">
        <v>3334</v>
      </c>
      <c r="D293" s="6"/>
      <c r="E293" s="113">
        <v>82381526</v>
      </c>
      <c r="F293" s="116">
        <f t="shared" si="60"/>
        <v>24709.515896820634</v>
      </c>
      <c r="G293" s="117">
        <v>33729332</v>
      </c>
      <c r="H293" s="117">
        <f t="shared" si="61"/>
        <v>10116.77624475105</v>
      </c>
      <c r="I293" s="7"/>
      <c r="J293" s="10">
        <v>9.2888999999999999</v>
      </c>
      <c r="K293" s="117">
        <v>313308</v>
      </c>
      <c r="L293" s="120">
        <f t="shared" si="59"/>
        <v>93.973605278944206</v>
      </c>
      <c r="M293" s="122">
        <f t="shared" si="52"/>
        <v>337293.32</v>
      </c>
      <c r="N293" s="116">
        <f t="shared" si="53"/>
        <v>23985.320000000007</v>
      </c>
      <c r="O293" s="123">
        <f t="shared" si="54"/>
        <v>7.1941571685662886</v>
      </c>
      <c r="P293" s="5"/>
      <c r="Q293" s="5">
        <f t="shared" si="55"/>
        <v>1</v>
      </c>
      <c r="R293" s="7">
        <f t="shared" si="56"/>
        <v>3334</v>
      </c>
      <c r="S293" s="5">
        <f t="shared" si="57"/>
        <v>1</v>
      </c>
      <c r="T293" s="7">
        <f t="shared" si="58"/>
        <v>3334</v>
      </c>
    </row>
    <row r="294" spans="1:20">
      <c r="A294" s="23" t="s">
        <v>331</v>
      </c>
      <c r="B294" s="35" t="s">
        <v>300</v>
      </c>
      <c r="C294" s="36">
        <v>1490</v>
      </c>
      <c r="D294" s="6"/>
      <c r="E294" s="113">
        <v>182459536</v>
      </c>
      <c r="F294" s="116">
        <f t="shared" si="60"/>
        <v>122456.0644295302</v>
      </c>
      <c r="G294" s="117">
        <v>160926234</v>
      </c>
      <c r="H294" s="117">
        <f t="shared" si="61"/>
        <v>108004.18389261745</v>
      </c>
      <c r="I294" s="7"/>
      <c r="J294" s="10">
        <v>5.75</v>
      </c>
      <c r="K294" s="117">
        <v>925325</v>
      </c>
      <c r="L294" s="120">
        <f t="shared" si="59"/>
        <v>621.02348993288592</v>
      </c>
      <c r="M294" s="122">
        <f t="shared" si="52"/>
        <v>1609262.34</v>
      </c>
      <c r="N294" s="116">
        <f t="shared" si="53"/>
        <v>683937.34000000008</v>
      </c>
      <c r="O294" s="123">
        <f t="shared" si="54"/>
        <v>459.01834899328867</v>
      </c>
      <c r="P294" s="5"/>
      <c r="Q294" s="5">
        <f t="shared" si="55"/>
        <v>1</v>
      </c>
      <c r="R294" s="7">
        <f t="shared" si="56"/>
        <v>1490</v>
      </c>
      <c r="S294" s="5">
        <f t="shared" si="57"/>
        <v>1</v>
      </c>
      <c r="T294" s="7">
        <f t="shared" si="58"/>
        <v>1490</v>
      </c>
    </row>
    <row r="295" spans="1:20">
      <c r="A295" s="23" t="s">
        <v>332</v>
      </c>
      <c r="B295" s="35" t="s">
        <v>300</v>
      </c>
      <c r="C295" s="36">
        <v>5122</v>
      </c>
      <c r="D295" s="6"/>
      <c r="E295" s="113">
        <v>528142849</v>
      </c>
      <c r="F295" s="116">
        <f t="shared" si="60"/>
        <v>103112.62182741117</v>
      </c>
      <c r="G295" s="117">
        <v>423479360</v>
      </c>
      <c r="H295" s="117">
        <f t="shared" si="61"/>
        <v>82678.516204607571</v>
      </c>
      <c r="I295" s="7"/>
      <c r="J295" s="10">
        <v>6.7305000000000001</v>
      </c>
      <c r="K295" s="117">
        <v>2850227</v>
      </c>
      <c r="L295" s="120">
        <f t="shared" si="59"/>
        <v>556.46759078484968</v>
      </c>
      <c r="M295" s="122">
        <f t="shared" si="52"/>
        <v>4234793.5999999996</v>
      </c>
      <c r="N295" s="116">
        <f t="shared" si="53"/>
        <v>1384566.5999999996</v>
      </c>
      <c r="O295" s="123">
        <f t="shared" si="54"/>
        <v>270.31757126122602</v>
      </c>
      <c r="P295" s="5"/>
      <c r="Q295" s="5">
        <f t="shared" si="55"/>
        <v>1</v>
      </c>
      <c r="R295" s="7">
        <f t="shared" si="56"/>
        <v>5122</v>
      </c>
      <c r="S295" s="5">
        <f t="shared" si="57"/>
        <v>1</v>
      </c>
      <c r="T295" s="7">
        <f t="shared" si="58"/>
        <v>5122</v>
      </c>
    </row>
    <row r="296" spans="1:20">
      <c r="A296" s="23" t="s">
        <v>333</v>
      </c>
      <c r="B296" s="35" t="s">
        <v>300</v>
      </c>
      <c r="C296" s="36">
        <v>31271</v>
      </c>
      <c r="D296" s="6"/>
      <c r="E296" s="113">
        <v>2370566577</v>
      </c>
      <c r="F296" s="116">
        <f t="shared" si="60"/>
        <v>75807.188033641389</v>
      </c>
      <c r="G296" s="117">
        <v>1982290294</v>
      </c>
      <c r="H296" s="117">
        <f t="shared" si="61"/>
        <v>63390.690863739568</v>
      </c>
      <c r="I296" s="9"/>
      <c r="J296" s="10">
        <v>2.25</v>
      </c>
      <c r="K296" s="117">
        <v>4460153</v>
      </c>
      <c r="L296" s="120">
        <f t="shared" si="59"/>
        <v>142.62904927888459</v>
      </c>
      <c r="M296" s="122">
        <f t="shared" si="52"/>
        <v>19822902.940000001</v>
      </c>
      <c r="N296" s="116">
        <f t="shared" si="53"/>
        <v>15362749.940000001</v>
      </c>
      <c r="O296" s="123">
        <f t="shared" si="54"/>
        <v>491.27785935851114</v>
      </c>
      <c r="P296" s="5"/>
      <c r="Q296" s="5">
        <f t="shared" si="55"/>
        <v>1</v>
      </c>
      <c r="R296" s="7">
        <f t="shared" si="56"/>
        <v>31271</v>
      </c>
      <c r="S296" s="5">
        <f t="shared" si="57"/>
        <v>1</v>
      </c>
      <c r="T296" s="7">
        <f t="shared" si="58"/>
        <v>31271</v>
      </c>
    </row>
    <row r="297" spans="1:20">
      <c r="A297" s="23" t="s">
        <v>334</v>
      </c>
      <c r="B297" s="35" t="s">
        <v>300</v>
      </c>
      <c r="C297" s="36">
        <v>81132</v>
      </c>
      <c r="D297" s="6"/>
      <c r="E297" s="113">
        <v>6096295923</v>
      </c>
      <c r="F297" s="116">
        <f t="shared" si="60"/>
        <v>75140.461507173488</v>
      </c>
      <c r="G297" s="117">
        <v>4409045735</v>
      </c>
      <c r="H297" s="117">
        <f t="shared" si="61"/>
        <v>54344.102635211755</v>
      </c>
      <c r="I297" s="7"/>
      <c r="J297" s="10">
        <v>8.8368000000000002</v>
      </c>
      <c r="K297" s="117">
        <v>38961855</v>
      </c>
      <c r="L297" s="120">
        <f t="shared" si="59"/>
        <v>480.22796183996451</v>
      </c>
      <c r="M297" s="122">
        <f t="shared" si="52"/>
        <v>44090457.350000001</v>
      </c>
      <c r="N297" s="116">
        <f t="shared" si="53"/>
        <v>5128602.3500000015</v>
      </c>
      <c r="O297" s="123">
        <f t="shared" si="54"/>
        <v>63.213064512153053</v>
      </c>
      <c r="P297" s="5"/>
      <c r="Q297" s="5">
        <f t="shared" si="55"/>
        <v>1</v>
      </c>
      <c r="R297" s="7">
        <f t="shared" si="56"/>
        <v>81132</v>
      </c>
      <c r="S297" s="5">
        <f t="shared" si="57"/>
        <v>1</v>
      </c>
      <c r="T297" s="7">
        <f t="shared" si="58"/>
        <v>81132</v>
      </c>
    </row>
    <row r="298" spans="1:20">
      <c r="A298" s="23" t="s">
        <v>335</v>
      </c>
      <c r="B298" s="35" t="s">
        <v>336</v>
      </c>
      <c r="C298" s="36">
        <v>6165</v>
      </c>
      <c r="D298" s="6"/>
      <c r="E298" s="113">
        <v>254106234</v>
      </c>
      <c r="F298" s="116">
        <f t="shared" si="60"/>
        <v>41217.556204379565</v>
      </c>
      <c r="G298" s="117">
        <v>146957561</v>
      </c>
      <c r="H298" s="117">
        <f t="shared" si="61"/>
        <v>23837.398377939982</v>
      </c>
      <c r="I298" s="7"/>
      <c r="J298" s="10">
        <v>7.4</v>
      </c>
      <c r="K298" s="117">
        <v>1087485</v>
      </c>
      <c r="L298" s="120">
        <f t="shared" si="59"/>
        <v>176.39659367396592</v>
      </c>
      <c r="M298" s="122">
        <f t="shared" si="52"/>
        <v>1469575.61</v>
      </c>
      <c r="N298" s="116">
        <f t="shared" si="53"/>
        <v>382090.6100000001</v>
      </c>
      <c r="O298" s="123">
        <f t="shared" si="54"/>
        <v>61.977390105433919</v>
      </c>
      <c r="P298" s="5"/>
      <c r="Q298" s="5">
        <f t="shared" si="55"/>
        <v>1</v>
      </c>
      <c r="R298" s="7">
        <f t="shared" si="56"/>
        <v>6165</v>
      </c>
      <c r="S298" s="5">
        <f t="shared" si="57"/>
        <v>1</v>
      </c>
      <c r="T298" s="7">
        <f t="shared" si="58"/>
        <v>6165</v>
      </c>
    </row>
    <row r="299" spans="1:20">
      <c r="A299" s="23" t="s">
        <v>337</v>
      </c>
      <c r="B299" s="35" t="s">
        <v>336</v>
      </c>
      <c r="C299" s="36">
        <v>14674</v>
      </c>
      <c r="D299" s="6"/>
      <c r="E299" s="113">
        <v>615395007</v>
      </c>
      <c r="F299" s="116">
        <f t="shared" si="60"/>
        <v>41937.78158647949</v>
      </c>
      <c r="G299" s="117">
        <v>444743442</v>
      </c>
      <c r="H299" s="117">
        <f t="shared" si="61"/>
        <v>30308.262368815591</v>
      </c>
      <c r="I299" s="7"/>
      <c r="J299" s="10">
        <v>6</v>
      </c>
      <c r="K299" s="117">
        <v>2668460</v>
      </c>
      <c r="L299" s="120">
        <f t="shared" si="59"/>
        <v>181.84952978056427</v>
      </c>
      <c r="M299" s="122">
        <f t="shared" si="52"/>
        <v>4447434.42</v>
      </c>
      <c r="N299" s="116">
        <f t="shared" si="53"/>
        <v>1778974.42</v>
      </c>
      <c r="O299" s="123">
        <f t="shared" si="54"/>
        <v>121.23309390759165</v>
      </c>
      <c r="P299" s="5"/>
      <c r="Q299" s="5">
        <f t="shared" si="55"/>
        <v>1</v>
      </c>
      <c r="R299" s="7">
        <f t="shared" si="56"/>
        <v>14674</v>
      </c>
      <c r="S299" s="5">
        <f t="shared" si="57"/>
        <v>1</v>
      </c>
      <c r="T299" s="7">
        <f t="shared" si="58"/>
        <v>14674</v>
      </c>
    </row>
    <row r="300" spans="1:20">
      <c r="A300" s="23" t="s">
        <v>338</v>
      </c>
      <c r="B300" s="35" t="s">
        <v>336</v>
      </c>
      <c r="C300" s="36">
        <v>2710</v>
      </c>
      <c r="D300" s="6"/>
      <c r="E300" s="113">
        <v>173521931</v>
      </c>
      <c r="F300" s="116">
        <f t="shared" si="60"/>
        <v>64030.232841328412</v>
      </c>
      <c r="G300" s="117">
        <v>141479642</v>
      </c>
      <c r="H300" s="117">
        <f t="shared" si="61"/>
        <v>52206.509963099634</v>
      </c>
      <c r="I300" s="7"/>
      <c r="J300" s="10">
        <v>5.82</v>
      </c>
      <c r="K300" s="117">
        <v>823411</v>
      </c>
      <c r="L300" s="120">
        <f t="shared" si="59"/>
        <v>303.84169741697417</v>
      </c>
      <c r="M300" s="122">
        <f t="shared" si="52"/>
        <v>1414796.42</v>
      </c>
      <c r="N300" s="116">
        <f t="shared" si="53"/>
        <v>591385.41999999993</v>
      </c>
      <c r="O300" s="123">
        <f t="shared" si="54"/>
        <v>218.22340221402212</v>
      </c>
      <c r="P300" s="5"/>
      <c r="Q300" s="5">
        <f t="shared" si="55"/>
        <v>1</v>
      </c>
      <c r="R300" s="7">
        <f t="shared" si="56"/>
        <v>2710</v>
      </c>
      <c r="S300" s="5">
        <f t="shared" si="57"/>
        <v>1</v>
      </c>
      <c r="T300" s="7">
        <f t="shared" si="58"/>
        <v>2710</v>
      </c>
    </row>
    <row r="301" spans="1:20">
      <c r="A301" s="23" t="s">
        <v>339</v>
      </c>
      <c r="B301" s="35" t="s">
        <v>336</v>
      </c>
      <c r="C301" s="36">
        <v>896</v>
      </c>
      <c r="D301" s="6"/>
      <c r="E301" s="113">
        <v>26503375</v>
      </c>
      <c r="F301" s="116">
        <f t="shared" si="60"/>
        <v>29579.659598214286</v>
      </c>
      <c r="G301" s="117">
        <v>15732105</v>
      </c>
      <c r="H301" s="117">
        <f t="shared" si="61"/>
        <v>17558.152901785714</v>
      </c>
      <c r="I301" s="7"/>
      <c r="J301" s="10">
        <v>2.5329999999999999</v>
      </c>
      <c r="K301" s="117">
        <v>39849</v>
      </c>
      <c r="L301" s="120">
        <f t="shared" ref="L301:L332" si="62">(K301/C301)</f>
        <v>44.474330357142854</v>
      </c>
      <c r="M301" s="122">
        <f t="shared" si="52"/>
        <v>157321.05000000002</v>
      </c>
      <c r="N301" s="116">
        <f t="shared" si="53"/>
        <v>117472.05000000002</v>
      </c>
      <c r="O301" s="123">
        <f t="shared" si="54"/>
        <v>131.10719866071432</v>
      </c>
      <c r="P301" s="5"/>
      <c r="Q301" s="5">
        <f t="shared" si="55"/>
        <v>1</v>
      </c>
      <c r="R301" s="7">
        <f t="shared" si="56"/>
        <v>896</v>
      </c>
      <c r="S301" s="5">
        <f t="shared" si="57"/>
        <v>1</v>
      </c>
      <c r="T301" s="7">
        <f t="shared" si="58"/>
        <v>896</v>
      </c>
    </row>
    <row r="302" spans="1:20">
      <c r="A302" s="23" t="s">
        <v>547</v>
      </c>
      <c r="B302" s="35" t="s">
        <v>336</v>
      </c>
      <c r="C302" s="36">
        <v>733</v>
      </c>
      <c r="D302" s="6"/>
      <c r="E302" s="113">
        <v>23866168</v>
      </c>
      <c r="F302" s="116">
        <f t="shared" si="60"/>
        <v>32559.574351978172</v>
      </c>
      <c r="G302" s="117">
        <v>6390972</v>
      </c>
      <c r="H302" s="117">
        <f t="shared" si="61"/>
        <v>8718.9249658935878</v>
      </c>
      <c r="I302" s="7"/>
      <c r="J302" s="10">
        <v>3</v>
      </c>
      <c r="K302" s="117">
        <v>19172</v>
      </c>
      <c r="L302" s="120">
        <f t="shared" si="62"/>
        <v>26.155525238744882</v>
      </c>
      <c r="M302" s="122">
        <f t="shared" si="52"/>
        <v>63909.72</v>
      </c>
      <c r="N302" s="116">
        <f t="shared" si="53"/>
        <v>44737.72</v>
      </c>
      <c r="O302" s="123">
        <f t="shared" si="54"/>
        <v>61.033724420191</v>
      </c>
      <c r="P302" s="5"/>
      <c r="Q302" s="5">
        <f t="shared" si="55"/>
        <v>1</v>
      </c>
      <c r="R302" s="7">
        <f t="shared" si="56"/>
        <v>733</v>
      </c>
      <c r="S302" s="5">
        <f t="shared" si="57"/>
        <v>1</v>
      </c>
      <c r="T302" s="7">
        <f t="shared" si="58"/>
        <v>733</v>
      </c>
    </row>
    <row r="303" spans="1:20">
      <c r="A303" s="23" t="s">
        <v>340</v>
      </c>
      <c r="B303" s="35" t="s">
        <v>336</v>
      </c>
      <c r="C303" s="36">
        <v>9080</v>
      </c>
      <c r="D303" s="6"/>
      <c r="E303" s="113">
        <v>511037101</v>
      </c>
      <c r="F303" s="116">
        <f t="shared" si="60"/>
        <v>56281.61905286344</v>
      </c>
      <c r="G303" s="117">
        <v>328279766</v>
      </c>
      <c r="H303" s="117">
        <f t="shared" si="61"/>
        <v>36154.159251101322</v>
      </c>
      <c r="I303" s="7"/>
      <c r="J303" s="10">
        <v>6.42</v>
      </c>
      <c r="K303" s="117">
        <v>2107556</v>
      </c>
      <c r="L303" s="120">
        <f t="shared" si="62"/>
        <v>232.10969162995596</v>
      </c>
      <c r="M303" s="122">
        <f t="shared" si="52"/>
        <v>3282797.66</v>
      </c>
      <c r="N303" s="116">
        <f t="shared" si="53"/>
        <v>1175241.6600000001</v>
      </c>
      <c r="O303" s="123">
        <f t="shared" si="54"/>
        <v>129.43190088105729</v>
      </c>
      <c r="P303" s="5"/>
      <c r="Q303" s="5">
        <f t="shared" si="55"/>
        <v>1</v>
      </c>
      <c r="R303" s="7">
        <f t="shared" si="56"/>
        <v>9080</v>
      </c>
      <c r="S303" s="5">
        <f t="shared" si="57"/>
        <v>1</v>
      </c>
      <c r="T303" s="7">
        <f t="shared" si="58"/>
        <v>9080</v>
      </c>
    </row>
    <row r="304" spans="1:20">
      <c r="A304" s="23" t="s">
        <v>341</v>
      </c>
      <c r="B304" s="35" t="s">
        <v>342</v>
      </c>
      <c r="C304" s="36">
        <v>4114</v>
      </c>
      <c r="D304" s="6"/>
      <c r="E304" s="113">
        <v>479651580</v>
      </c>
      <c r="F304" s="116">
        <f t="shared" si="60"/>
        <v>116590.07778317938</v>
      </c>
      <c r="G304" s="117">
        <v>399261750</v>
      </c>
      <c r="H304" s="117">
        <f t="shared" si="61"/>
        <v>97049.526008750603</v>
      </c>
      <c r="I304" s="7"/>
      <c r="J304" s="10">
        <v>4.5552000000000001</v>
      </c>
      <c r="K304" s="117">
        <v>1818717</v>
      </c>
      <c r="L304" s="120">
        <f t="shared" si="62"/>
        <v>442.07997083130772</v>
      </c>
      <c r="M304" s="122">
        <f t="shared" si="52"/>
        <v>3992617.5</v>
      </c>
      <c r="N304" s="116">
        <f t="shared" si="53"/>
        <v>2173900.5</v>
      </c>
      <c r="O304" s="123">
        <f t="shared" si="54"/>
        <v>528.41528925619832</v>
      </c>
      <c r="P304" s="5"/>
      <c r="Q304" s="5">
        <f t="shared" si="55"/>
        <v>1</v>
      </c>
      <c r="R304" s="7">
        <f t="shared" si="56"/>
        <v>4114</v>
      </c>
      <c r="S304" s="5">
        <f t="shared" si="57"/>
        <v>1</v>
      </c>
      <c r="T304" s="7">
        <f t="shared" si="58"/>
        <v>4114</v>
      </c>
    </row>
    <row r="305" spans="1:20">
      <c r="A305" s="23" t="s">
        <v>343</v>
      </c>
      <c r="B305" s="35" t="s">
        <v>342</v>
      </c>
      <c r="C305" s="36">
        <v>2158</v>
      </c>
      <c r="D305" s="6"/>
      <c r="E305" s="113">
        <v>223691710</v>
      </c>
      <c r="F305" s="116">
        <f t="shared" si="60"/>
        <v>103656.95551436515</v>
      </c>
      <c r="G305" s="117">
        <v>195473080</v>
      </c>
      <c r="H305" s="117">
        <f t="shared" si="61"/>
        <v>90580.6672845227</v>
      </c>
      <c r="I305" s="7"/>
      <c r="J305" s="10">
        <v>2.6650999999999998</v>
      </c>
      <c r="K305" s="117">
        <v>520955</v>
      </c>
      <c r="L305" s="120">
        <f t="shared" si="62"/>
        <v>241.40639481000926</v>
      </c>
      <c r="M305" s="122">
        <f t="shared" si="52"/>
        <v>1954730.8</v>
      </c>
      <c r="N305" s="116">
        <f t="shared" si="53"/>
        <v>1433775.8</v>
      </c>
      <c r="O305" s="123">
        <f t="shared" si="54"/>
        <v>664.40027803521787</v>
      </c>
      <c r="P305" s="5"/>
      <c r="Q305" s="5">
        <f t="shared" si="55"/>
        <v>1</v>
      </c>
      <c r="R305" s="7">
        <f t="shared" si="56"/>
        <v>2158</v>
      </c>
      <c r="S305" s="5">
        <f t="shared" si="57"/>
        <v>1</v>
      </c>
      <c r="T305" s="7">
        <f t="shared" si="58"/>
        <v>2158</v>
      </c>
    </row>
    <row r="306" spans="1:20">
      <c r="A306" s="23" t="s">
        <v>344</v>
      </c>
      <c r="B306" s="35" t="s">
        <v>342</v>
      </c>
      <c r="C306" s="36">
        <v>2190</v>
      </c>
      <c r="D306" s="6"/>
      <c r="E306" s="113">
        <v>139120790</v>
      </c>
      <c r="F306" s="116">
        <f t="shared" si="60"/>
        <v>63525.474885844749</v>
      </c>
      <c r="G306" s="117">
        <v>112219360</v>
      </c>
      <c r="H306" s="117">
        <f t="shared" si="61"/>
        <v>51241.716894977166</v>
      </c>
      <c r="I306" s="7"/>
      <c r="J306" s="10">
        <v>4.3499999999999996</v>
      </c>
      <c r="K306" s="117">
        <v>488154</v>
      </c>
      <c r="L306" s="120">
        <f t="shared" si="62"/>
        <v>222.90136986301371</v>
      </c>
      <c r="M306" s="122">
        <f t="shared" si="52"/>
        <v>1122193.6000000001</v>
      </c>
      <c r="N306" s="116">
        <f t="shared" si="53"/>
        <v>634039.60000000009</v>
      </c>
      <c r="O306" s="123">
        <f t="shared" si="54"/>
        <v>289.51579908675802</v>
      </c>
      <c r="P306" s="5"/>
      <c r="Q306" s="5">
        <f t="shared" si="55"/>
        <v>1</v>
      </c>
      <c r="R306" s="7">
        <f t="shared" si="56"/>
        <v>2190</v>
      </c>
      <c r="S306" s="5">
        <f t="shared" si="57"/>
        <v>1</v>
      </c>
      <c r="T306" s="7">
        <f t="shared" si="58"/>
        <v>2190</v>
      </c>
    </row>
    <row r="307" spans="1:20">
      <c r="A307" s="23" t="s">
        <v>345</v>
      </c>
      <c r="B307" s="35" t="s">
        <v>342</v>
      </c>
      <c r="C307" s="36">
        <v>62</v>
      </c>
      <c r="D307" s="6"/>
      <c r="E307" s="113">
        <v>45190950</v>
      </c>
      <c r="F307" s="116">
        <f t="shared" si="60"/>
        <v>728886.29032258061</v>
      </c>
      <c r="G307" s="117">
        <v>41891950</v>
      </c>
      <c r="H307" s="117">
        <f t="shared" si="61"/>
        <v>675676.61290322582</v>
      </c>
      <c r="I307" s="7"/>
      <c r="J307" s="10">
        <v>2.7</v>
      </c>
      <c r="K307" s="117">
        <v>113108</v>
      </c>
      <c r="L307" s="120">
        <f t="shared" si="62"/>
        <v>1824.3225806451612</v>
      </c>
      <c r="M307" s="122">
        <f t="shared" si="52"/>
        <v>418919.5</v>
      </c>
      <c r="N307" s="116">
        <f t="shared" si="53"/>
        <v>305811.5</v>
      </c>
      <c r="O307" s="123">
        <f t="shared" si="54"/>
        <v>4932.4435483870966</v>
      </c>
      <c r="P307" s="5"/>
      <c r="Q307" s="5">
        <f t="shared" si="55"/>
        <v>1</v>
      </c>
      <c r="R307" s="7">
        <f t="shared" si="56"/>
        <v>62</v>
      </c>
      <c r="S307" s="5">
        <f t="shared" si="57"/>
        <v>1</v>
      </c>
      <c r="T307" s="7">
        <f t="shared" si="58"/>
        <v>62</v>
      </c>
    </row>
    <row r="308" spans="1:20">
      <c r="A308" s="23" t="s">
        <v>346</v>
      </c>
      <c r="B308" s="35" t="s">
        <v>342</v>
      </c>
      <c r="C308" s="36">
        <v>104281</v>
      </c>
      <c r="D308" s="6"/>
      <c r="E308" s="113">
        <v>6655350175</v>
      </c>
      <c r="F308" s="116">
        <f t="shared" si="60"/>
        <v>63821.311408597925</v>
      </c>
      <c r="G308" s="117">
        <v>4903478863</v>
      </c>
      <c r="H308" s="117">
        <f t="shared" si="61"/>
        <v>47021.785972516569</v>
      </c>
      <c r="I308" s="7"/>
      <c r="J308" s="10">
        <v>5.5031999999999996</v>
      </c>
      <c r="K308" s="117">
        <v>26984824</v>
      </c>
      <c r="L308" s="120">
        <f t="shared" si="62"/>
        <v>258.7702841361322</v>
      </c>
      <c r="M308" s="122">
        <f t="shared" si="52"/>
        <v>49034788.630000003</v>
      </c>
      <c r="N308" s="116">
        <f t="shared" si="53"/>
        <v>22049964.630000003</v>
      </c>
      <c r="O308" s="123">
        <f t="shared" si="54"/>
        <v>211.44757558903351</v>
      </c>
      <c r="P308" s="5"/>
      <c r="Q308" s="5">
        <f t="shared" si="55"/>
        <v>1</v>
      </c>
      <c r="R308" s="7">
        <f t="shared" si="56"/>
        <v>104281</v>
      </c>
      <c r="S308" s="5">
        <f t="shared" si="57"/>
        <v>1</v>
      </c>
      <c r="T308" s="7">
        <f t="shared" si="58"/>
        <v>104281</v>
      </c>
    </row>
    <row r="309" spans="1:20">
      <c r="A309" s="23" t="s">
        <v>347</v>
      </c>
      <c r="B309" s="35" t="s">
        <v>342</v>
      </c>
      <c r="C309" s="36">
        <v>35781</v>
      </c>
      <c r="D309" s="6"/>
      <c r="E309" s="113">
        <v>1798380300</v>
      </c>
      <c r="F309" s="116">
        <f t="shared" si="60"/>
        <v>50260.761297895529</v>
      </c>
      <c r="G309" s="117">
        <v>1160093280</v>
      </c>
      <c r="H309" s="117">
        <f t="shared" si="61"/>
        <v>32422.0474553534</v>
      </c>
      <c r="I309" s="7"/>
      <c r="J309" s="10">
        <v>4.1166</v>
      </c>
      <c r="K309" s="117">
        <v>4775639</v>
      </c>
      <c r="L309" s="120">
        <f t="shared" si="62"/>
        <v>133.46857270618486</v>
      </c>
      <c r="M309" s="122">
        <f t="shared" si="52"/>
        <v>11600932.800000001</v>
      </c>
      <c r="N309" s="116">
        <f t="shared" si="53"/>
        <v>6825293.8000000007</v>
      </c>
      <c r="O309" s="123">
        <f t="shared" si="54"/>
        <v>190.75190184734916</v>
      </c>
      <c r="P309" s="5"/>
      <c r="Q309" s="5">
        <f t="shared" si="55"/>
        <v>1</v>
      </c>
      <c r="R309" s="7">
        <f t="shared" si="56"/>
        <v>35781</v>
      </c>
      <c r="S309" s="5">
        <f t="shared" si="57"/>
        <v>1</v>
      </c>
      <c r="T309" s="7">
        <f t="shared" si="58"/>
        <v>35781</v>
      </c>
    </row>
    <row r="310" spans="1:20">
      <c r="A310" s="23" t="s">
        <v>348</v>
      </c>
      <c r="B310" s="35" t="s">
        <v>342</v>
      </c>
      <c r="C310" s="36">
        <v>11967</v>
      </c>
      <c r="D310" s="6"/>
      <c r="E310" s="113">
        <v>533228070</v>
      </c>
      <c r="F310" s="116">
        <f t="shared" si="60"/>
        <v>44558.207570819752</v>
      </c>
      <c r="G310" s="117">
        <v>366531950</v>
      </c>
      <c r="H310" s="117">
        <f t="shared" si="61"/>
        <v>30628.557700342608</v>
      </c>
      <c r="I310" s="7"/>
      <c r="J310" s="10">
        <v>4.3</v>
      </c>
      <c r="K310" s="117">
        <v>1576087</v>
      </c>
      <c r="L310" s="120">
        <f t="shared" si="62"/>
        <v>131.70276593966742</v>
      </c>
      <c r="M310" s="122">
        <f t="shared" si="52"/>
        <v>3665319.5</v>
      </c>
      <c r="N310" s="116">
        <f t="shared" si="53"/>
        <v>2089232.5</v>
      </c>
      <c r="O310" s="123">
        <f t="shared" si="54"/>
        <v>174.58281106375867</v>
      </c>
      <c r="P310" s="5"/>
      <c r="Q310" s="5">
        <f t="shared" si="55"/>
        <v>1</v>
      </c>
      <c r="R310" s="7">
        <f t="shared" si="56"/>
        <v>11967</v>
      </c>
      <c r="S310" s="5">
        <f t="shared" si="57"/>
        <v>1</v>
      </c>
      <c r="T310" s="7">
        <f t="shared" si="58"/>
        <v>11967</v>
      </c>
    </row>
    <row r="311" spans="1:20">
      <c r="A311" s="23" t="s">
        <v>349</v>
      </c>
      <c r="B311" s="35" t="s">
        <v>342</v>
      </c>
      <c r="C311" s="36">
        <v>4253</v>
      </c>
      <c r="D311" s="6"/>
      <c r="E311" s="113">
        <v>429743850</v>
      </c>
      <c r="F311" s="116">
        <f t="shared" si="60"/>
        <v>101044.87420644252</v>
      </c>
      <c r="G311" s="117">
        <v>373229580</v>
      </c>
      <c r="H311" s="117">
        <f t="shared" si="61"/>
        <v>87756.7787444157</v>
      </c>
      <c r="I311" s="7"/>
      <c r="J311" s="10">
        <v>2.5185</v>
      </c>
      <c r="K311" s="117">
        <v>939978</v>
      </c>
      <c r="L311" s="120">
        <f t="shared" si="62"/>
        <v>221.01528332941453</v>
      </c>
      <c r="M311" s="122">
        <f t="shared" si="52"/>
        <v>3732295.8000000003</v>
      </c>
      <c r="N311" s="116">
        <f t="shared" si="53"/>
        <v>2792317.8000000003</v>
      </c>
      <c r="O311" s="123">
        <f t="shared" si="54"/>
        <v>656.55250411474265</v>
      </c>
      <c r="P311" s="5"/>
      <c r="Q311" s="5">
        <f t="shared" si="55"/>
        <v>1</v>
      </c>
      <c r="R311" s="7">
        <f t="shared" si="56"/>
        <v>4253</v>
      </c>
      <c r="S311" s="5">
        <f t="shared" si="57"/>
        <v>1</v>
      </c>
      <c r="T311" s="7">
        <f t="shared" si="58"/>
        <v>4253</v>
      </c>
    </row>
    <row r="312" spans="1:20">
      <c r="A312" s="23" t="s">
        <v>350</v>
      </c>
      <c r="B312" s="35" t="s">
        <v>342</v>
      </c>
      <c r="C312" s="36">
        <v>1457</v>
      </c>
      <c r="D312" s="6"/>
      <c r="E312" s="113">
        <v>299988870</v>
      </c>
      <c r="F312" s="116">
        <f t="shared" si="60"/>
        <v>205894.90048043925</v>
      </c>
      <c r="G312" s="117">
        <v>276673290</v>
      </c>
      <c r="H312" s="117">
        <f t="shared" si="61"/>
        <v>189892.44337680165</v>
      </c>
      <c r="I312" s="7"/>
      <c r="J312" s="10">
        <v>1.7129000000000001</v>
      </c>
      <c r="K312" s="117">
        <v>473913</v>
      </c>
      <c r="L312" s="120">
        <f t="shared" si="62"/>
        <v>325.2663006177076</v>
      </c>
      <c r="M312" s="122">
        <f t="shared" si="52"/>
        <v>2766732.9</v>
      </c>
      <c r="N312" s="116">
        <f t="shared" si="53"/>
        <v>2292819.9</v>
      </c>
      <c r="O312" s="123">
        <f t="shared" si="54"/>
        <v>1573.6581331503087</v>
      </c>
      <c r="P312" s="5"/>
      <c r="Q312" s="5">
        <f t="shared" si="55"/>
        <v>1</v>
      </c>
      <c r="R312" s="7">
        <f t="shared" si="56"/>
        <v>1457</v>
      </c>
      <c r="S312" s="5">
        <f t="shared" si="57"/>
        <v>1</v>
      </c>
      <c r="T312" s="7">
        <f t="shared" si="58"/>
        <v>1457</v>
      </c>
    </row>
    <row r="313" spans="1:20">
      <c r="A313" s="23" t="s">
        <v>351</v>
      </c>
      <c r="B313" s="35" t="s">
        <v>342</v>
      </c>
      <c r="C313" s="36">
        <v>4375</v>
      </c>
      <c r="D313" s="6"/>
      <c r="E313" s="113">
        <v>130152620</v>
      </c>
      <c r="F313" s="116">
        <f t="shared" si="60"/>
        <v>29749.170285714285</v>
      </c>
      <c r="G313" s="117">
        <v>88295790</v>
      </c>
      <c r="H313" s="117">
        <f t="shared" si="61"/>
        <v>20181.894857142855</v>
      </c>
      <c r="I313" s="7"/>
      <c r="J313" s="10">
        <v>3.754</v>
      </c>
      <c r="K313" s="117">
        <v>331462</v>
      </c>
      <c r="L313" s="120">
        <f t="shared" si="62"/>
        <v>75.762742857142854</v>
      </c>
      <c r="M313" s="122">
        <f t="shared" si="52"/>
        <v>882957.9</v>
      </c>
      <c r="N313" s="116">
        <f t="shared" si="53"/>
        <v>551495.9</v>
      </c>
      <c r="O313" s="123">
        <f t="shared" si="54"/>
        <v>126.05620571428572</v>
      </c>
      <c r="P313" s="5"/>
      <c r="Q313" s="5">
        <f t="shared" si="55"/>
        <v>1</v>
      </c>
      <c r="R313" s="7">
        <f t="shared" si="56"/>
        <v>4375</v>
      </c>
      <c r="S313" s="5">
        <f t="shared" si="57"/>
        <v>1</v>
      </c>
      <c r="T313" s="7">
        <f t="shared" si="58"/>
        <v>4375</v>
      </c>
    </row>
    <row r="314" spans="1:20">
      <c r="A314" s="23" t="s">
        <v>352</v>
      </c>
      <c r="B314" s="35" t="s">
        <v>342</v>
      </c>
      <c r="C314" s="36">
        <v>68372</v>
      </c>
      <c r="D314" s="6"/>
      <c r="E314" s="113">
        <v>2667510759</v>
      </c>
      <c r="F314" s="116">
        <f t="shared" si="60"/>
        <v>39014.666223015272</v>
      </c>
      <c r="G314" s="117">
        <v>1997999439</v>
      </c>
      <c r="H314" s="117">
        <f t="shared" si="61"/>
        <v>29222.480532966711</v>
      </c>
      <c r="I314" s="7"/>
      <c r="J314" s="10">
        <v>3.4</v>
      </c>
      <c r="K314" s="117">
        <v>6793198</v>
      </c>
      <c r="L314" s="120">
        <f t="shared" si="62"/>
        <v>99.356432457731231</v>
      </c>
      <c r="M314" s="122">
        <f t="shared" si="52"/>
        <v>19979994.390000001</v>
      </c>
      <c r="N314" s="116">
        <f t="shared" si="53"/>
        <v>13186796.390000001</v>
      </c>
      <c r="O314" s="123">
        <f t="shared" si="54"/>
        <v>192.86837287193589</v>
      </c>
      <c r="P314" s="5"/>
      <c r="Q314" s="5">
        <f t="shared" si="55"/>
        <v>1</v>
      </c>
      <c r="R314" s="7">
        <f t="shared" si="56"/>
        <v>68372</v>
      </c>
      <c r="S314" s="5">
        <f t="shared" si="57"/>
        <v>1</v>
      </c>
      <c r="T314" s="7">
        <f t="shared" si="58"/>
        <v>68372</v>
      </c>
    </row>
    <row r="315" spans="1:20">
      <c r="A315" s="23" t="s">
        <v>353</v>
      </c>
      <c r="B315" s="35" t="s">
        <v>342</v>
      </c>
      <c r="C315" s="36">
        <v>4195</v>
      </c>
      <c r="D315" s="6"/>
      <c r="E315" s="113">
        <v>484258190</v>
      </c>
      <c r="F315" s="116">
        <f t="shared" si="60"/>
        <v>115436.99404052443</v>
      </c>
      <c r="G315" s="117">
        <v>416840140</v>
      </c>
      <c r="H315" s="117">
        <f t="shared" si="61"/>
        <v>99365.945172824795</v>
      </c>
      <c r="I315" s="7"/>
      <c r="J315" s="10">
        <v>2.2000000000000002</v>
      </c>
      <c r="K315" s="117">
        <v>917048</v>
      </c>
      <c r="L315" s="120">
        <f t="shared" si="62"/>
        <v>218.60500595947556</v>
      </c>
      <c r="M315" s="122">
        <f t="shared" si="52"/>
        <v>4168401.4</v>
      </c>
      <c r="N315" s="116">
        <f t="shared" si="53"/>
        <v>3251353.4</v>
      </c>
      <c r="O315" s="123">
        <f t="shared" si="54"/>
        <v>775.05444576877233</v>
      </c>
      <c r="P315" s="5"/>
      <c r="Q315" s="5">
        <f t="shared" si="55"/>
        <v>1</v>
      </c>
      <c r="R315" s="7">
        <f t="shared" si="56"/>
        <v>4195</v>
      </c>
      <c r="S315" s="5">
        <f t="shared" si="57"/>
        <v>1</v>
      </c>
      <c r="T315" s="7">
        <f t="shared" si="58"/>
        <v>4195</v>
      </c>
    </row>
    <row r="316" spans="1:20">
      <c r="A316" s="23" t="s">
        <v>354</v>
      </c>
      <c r="B316" s="35" t="s">
        <v>342</v>
      </c>
      <c r="C316" s="36">
        <v>1195</v>
      </c>
      <c r="D316" s="6"/>
      <c r="E316" s="113">
        <v>184380610</v>
      </c>
      <c r="F316" s="116">
        <f t="shared" si="60"/>
        <v>154293.39748953976</v>
      </c>
      <c r="G316" s="117">
        <v>170103210</v>
      </c>
      <c r="H316" s="117">
        <f t="shared" si="61"/>
        <v>142345.78242677826</v>
      </c>
      <c r="I316" s="7"/>
      <c r="J316" s="10">
        <v>1</v>
      </c>
      <c r="K316" s="117">
        <v>170103</v>
      </c>
      <c r="L316" s="120">
        <f t="shared" si="62"/>
        <v>142.34560669456067</v>
      </c>
      <c r="M316" s="122">
        <f t="shared" si="52"/>
        <v>1701032.1</v>
      </c>
      <c r="N316" s="116">
        <f t="shared" si="53"/>
        <v>1530929.1</v>
      </c>
      <c r="O316" s="123">
        <f t="shared" si="54"/>
        <v>1281.1122175732219</v>
      </c>
      <c r="P316" s="5"/>
      <c r="Q316" s="5">
        <f t="shared" si="55"/>
        <v>1</v>
      </c>
      <c r="R316" s="7">
        <f t="shared" si="56"/>
        <v>1195</v>
      </c>
      <c r="S316" s="5">
        <f t="shared" si="57"/>
        <v>1</v>
      </c>
      <c r="T316" s="7">
        <f t="shared" si="58"/>
        <v>1195</v>
      </c>
    </row>
    <row r="317" spans="1:20">
      <c r="A317" s="23" t="s">
        <v>355</v>
      </c>
      <c r="B317" s="35" t="s">
        <v>342</v>
      </c>
      <c r="C317" s="36">
        <v>11658</v>
      </c>
      <c r="D317" s="6"/>
      <c r="E317" s="113">
        <v>618412668</v>
      </c>
      <c r="F317" s="116">
        <f t="shared" si="60"/>
        <v>53046.205867215649</v>
      </c>
      <c r="G317" s="117">
        <v>487264602</v>
      </c>
      <c r="H317" s="117">
        <f t="shared" si="61"/>
        <v>41796.586206896551</v>
      </c>
      <c r="I317" s="7"/>
      <c r="J317" s="10">
        <v>4.6500000000000004</v>
      </c>
      <c r="K317" s="117">
        <v>2265780</v>
      </c>
      <c r="L317" s="120">
        <f t="shared" si="62"/>
        <v>194.35409161091096</v>
      </c>
      <c r="M317" s="122">
        <f t="shared" si="52"/>
        <v>4872646.0200000005</v>
      </c>
      <c r="N317" s="116">
        <f t="shared" si="53"/>
        <v>2606866.0200000005</v>
      </c>
      <c r="O317" s="123">
        <f t="shared" si="54"/>
        <v>223.61177045805459</v>
      </c>
      <c r="P317" s="5"/>
      <c r="Q317" s="5">
        <f t="shared" si="55"/>
        <v>1</v>
      </c>
      <c r="R317" s="7">
        <f t="shared" si="56"/>
        <v>11658</v>
      </c>
      <c r="S317" s="5">
        <f t="shared" si="57"/>
        <v>1</v>
      </c>
      <c r="T317" s="7">
        <f t="shared" si="58"/>
        <v>11658</v>
      </c>
    </row>
    <row r="318" spans="1:20">
      <c r="A318" s="23" t="s">
        <v>356</v>
      </c>
      <c r="B318" s="35" t="s">
        <v>342</v>
      </c>
      <c r="C318" s="36">
        <v>45059</v>
      </c>
      <c r="D318" s="6"/>
      <c r="E318" s="113">
        <v>2212799882</v>
      </c>
      <c r="F318" s="116">
        <f t="shared" si="60"/>
        <v>49108.94342972547</v>
      </c>
      <c r="G318" s="117">
        <v>1717132062</v>
      </c>
      <c r="H318" s="117">
        <f t="shared" si="61"/>
        <v>38108.525755121067</v>
      </c>
      <c r="I318" s="7"/>
      <c r="J318" s="10">
        <v>5.0788000000000002</v>
      </c>
      <c r="K318" s="117">
        <v>8720970</v>
      </c>
      <c r="L318" s="120">
        <f t="shared" si="62"/>
        <v>193.54557358130452</v>
      </c>
      <c r="M318" s="122">
        <f t="shared" si="52"/>
        <v>17171320.620000001</v>
      </c>
      <c r="N318" s="116">
        <f t="shared" si="53"/>
        <v>8450350.620000001</v>
      </c>
      <c r="O318" s="123">
        <f t="shared" si="54"/>
        <v>187.53968396990615</v>
      </c>
      <c r="P318" s="5"/>
      <c r="Q318" s="5">
        <f t="shared" si="55"/>
        <v>1</v>
      </c>
      <c r="R318" s="7">
        <f t="shared" si="56"/>
        <v>45059</v>
      </c>
      <c r="S318" s="5">
        <f t="shared" si="57"/>
        <v>1</v>
      </c>
      <c r="T318" s="7">
        <f t="shared" si="58"/>
        <v>45059</v>
      </c>
    </row>
    <row r="319" spans="1:20">
      <c r="A319" s="23" t="s">
        <v>357</v>
      </c>
      <c r="B319" s="35" t="s">
        <v>342</v>
      </c>
      <c r="C319" s="36">
        <v>1622</v>
      </c>
      <c r="D319" s="6"/>
      <c r="E319" s="113">
        <v>158240330</v>
      </c>
      <c r="F319" s="116">
        <f t="shared" si="60"/>
        <v>97558.773119605423</v>
      </c>
      <c r="G319" s="117">
        <v>130324230</v>
      </c>
      <c r="H319" s="117">
        <f t="shared" si="61"/>
        <v>80347.860665844637</v>
      </c>
      <c r="I319" s="7"/>
      <c r="J319" s="10">
        <v>2.2559999999999998</v>
      </c>
      <c r="K319" s="117">
        <v>294011</v>
      </c>
      <c r="L319" s="120">
        <f t="shared" si="62"/>
        <v>181.26448828606658</v>
      </c>
      <c r="M319" s="122">
        <f t="shared" si="52"/>
        <v>1303242.3</v>
      </c>
      <c r="N319" s="116">
        <f t="shared" si="53"/>
        <v>1009231.3</v>
      </c>
      <c r="O319" s="123">
        <f t="shared" si="54"/>
        <v>622.21411837237986</v>
      </c>
      <c r="P319" s="5"/>
      <c r="Q319" s="5">
        <f t="shared" si="55"/>
        <v>1</v>
      </c>
      <c r="R319" s="7">
        <f t="shared" si="56"/>
        <v>1622</v>
      </c>
      <c r="S319" s="5">
        <f t="shared" si="57"/>
        <v>1</v>
      </c>
      <c r="T319" s="7">
        <f t="shared" si="58"/>
        <v>1622</v>
      </c>
    </row>
    <row r="320" spans="1:20">
      <c r="A320" s="23" t="s">
        <v>358</v>
      </c>
      <c r="B320" s="35" t="s">
        <v>342</v>
      </c>
      <c r="C320" s="36">
        <v>2360</v>
      </c>
      <c r="D320" s="6"/>
      <c r="E320" s="113">
        <v>228611320</v>
      </c>
      <c r="F320" s="116">
        <f t="shared" si="60"/>
        <v>96869.203389830509</v>
      </c>
      <c r="G320" s="117">
        <v>197047340</v>
      </c>
      <c r="H320" s="117">
        <f t="shared" si="61"/>
        <v>83494.635593220344</v>
      </c>
      <c r="I320" s="7"/>
      <c r="J320" s="10">
        <v>1.68</v>
      </c>
      <c r="K320" s="117">
        <v>331039</v>
      </c>
      <c r="L320" s="120">
        <f t="shared" si="62"/>
        <v>140.27076271186439</v>
      </c>
      <c r="M320" s="122">
        <f t="shared" si="52"/>
        <v>1970473.4000000001</v>
      </c>
      <c r="N320" s="116">
        <f t="shared" si="53"/>
        <v>1639434.4000000001</v>
      </c>
      <c r="O320" s="123">
        <f t="shared" si="54"/>
        <v>694.67559322033901</v>
      </c>
      <c r="P320" s="5"/>
      <c r="Q320" s="5">
        <f t="shared" si="55"/>
        <v>1</v>
      </c>
      <c r="R320" s="7">
        <f t="shared" si="56"/>
        <v>2360</v>
      </c>
      <c r="S320" s="5">
        <f t="shared" si="57"/>
        <v>1</v>
      </c>
      <c r="T320" s="7">
        <f t="shared" si="58"/>
        <v>2360</v>
      </c>
    </row>
    <row r="321" spans="1:20">
      <c r="A321" s="23" t="s">
        <v>359</v>
      </c>
      <c r="B321" s="35" t="s">
        <v>342</v>
      </c>
      <c r="C321" s="36">
        <v>17232</v>
      </c>
      <c r="D321" s="6"/>
      <c r="E321" s="113">
        <v>934144414</v>
      </c>
      <c r="F321" s="116">
        <f t="shared" si="60"/>
        <v>54209.866179201483</v>
      </c>
      <c r="G321" s="117">
        <v>658508724</v>
      </c>
      <c r="H321" s="117">
        <f t="shared" si="61"/>
        <v>38214.294568245125</v>
      </c>
      <c r="I321" s="7"/>
      <c r="J321" s="10">
        <v>3.4018000000000002</v>
      </c>
      <c r="K321" s="117">
        <v>2240114</v>
      </c>
      <c r="L321" s="120">
        <f t="shared" si="62"/>
        <v>129.99733054781802</v>
      </c>
      <c r="M321" s="122">
        <f t="shared" si="52"/>
        <v>6585087.2400000002</v>
      </c>
      <c r="N321" s="116">
        <f t="shared" si="53"/>
        <v>4344973.24</v>
      </c>
      <c r="O321" s="123">
        <f t="shared" si="54"/>
        <v>252.14561513463326</v>
      </c>
      <c r="P321" s="5"/>
      <c r="Q321" s="5">
        <f t="shared" si="55"/>
        <v>1</v>
      </c>
      <c r="R321" s="7">
        <f t="shared" si="56"/>
        <v>17232</v>
      </c>
      <c r="S321" s="5">
        <f t="shared" si="57"/>
        <v>1</v>
      </c>
      <c r="T321" s="7">
        <f t="shared" si="58"/>
        <v>17232</v>
      </c>
    </row>
    <row r="322" spans="1:20">
      <c r="A322" s="23" t="s">
        <v>360</v>
      </c>
      <c r="B322" s="35" t="s">
        <v>342</v>
      </c>
      <c r="C322" s="36">
        <v>9723</v>
      </c>
      <c r="D322" s="6"/>
      <c r="E322" s="113">
        <v>457528250</v>
      </c>
      <c r="F322" s="116">
        <f t="shared" si="60"/>
        <v>47056.284068703077</v>
      </c>
      <c r="G322" s="117">
        <v>337332290</v>
      </c>
      <c r="H322" s="117">
        <f t="shared" si="61"/>
        <v>34694.260002056981</v>
      </c>
      <c r="I322" s="7"/>
      <c r="J322" s="10">
        <v>3.3755000000000002</v>
      </c>
      <c r="K322" s="117">
        <v>1138665</v>
      </c>
      <c r="L322" s="120">
        <f t="shared" si="62"/>
        <v>117.11045973464979</v>
      </c>
      <c r="M322" s="122">
        <f t="shared" si="52"/>
        <v>3373322.9</v>
      </c>
      <c r="N322" s="116">
        <f t="shared" si="53"/>
        <v>2234657.9</v>
      </c>
      <c r="O322" s="123">
        <f t="shared" si="54"/>
        <v>229.83214028591996</v>
      </c>
      <c r="P322" s="5"/>
      <c r="Q322" s="5">
        <f t="shared" si="55"/>
        <v>1</v>
      </c>
      <c r="R322" s="7">
        <f t="shared" si="56"/>
        <v>9723</v>
      </c>
      <c r="S322" s="5">
        <f t="shared" si="57"/>
        <v>1</v>
      </c>
      <c r="T322" s="7">
        <f t="shared" si="58"/>
        <v>9723</v>
      </c>
    </row>
    <row r="323" spans="1:20">
      <c r="A323" s="23" t="s">
        <v>361</v>
      </c>
      <c r="B323" s="35" t="s">
        <v>342</v>
      </c>
      <c r="C323" s="36">
        <v>5870</v>
      </c>
      <c r="D323" s="6"/>
      <c r="E323" s="113">
        <v>379189950</v>
      </c>
      <c r="F323" s="116">
        <f t="shared" si="60"/>
        <v>64597.947189097104</v>
      </c>
      <c r="G323" s="117">
        <v>311691980</v>
      </c>
      <c r="H323" s="117">
        <f t="shared" si="61"/>
        <v>53099.144804088588</v>
      </c>
      <c r="I323" s="7"/>
      <c r="J323" s="10">
        <v>1.5964</v>
      </c>
      <c r="K323" s="117">
        <v>497585</v>
      </c>
      <c r="L323" s="120">
        <f t="shared" si="62"/>
        <v>84.767461669505963</v>
      </c>
      <c r="M323" s="122">
        <f t="shared" si="52"/>
        <v>3116919.8000000003</v>
      </c>
      <c r="N323" s="116">
        <f t="shared" si="53"/>
        <v>2619334.8000000003</v>
      </c>
      <c r="O323" s="123">
        <f t="shared" si="54"/>
        <v>446.22398637137997</v>
      </c>
      <c r="P323" s="5"/>
      <c r="Q323" s="5">
        <f t="shared" si="55"/>
        <v>1</v>
      </c>
      <c r="R323" s="7">
        <f t="shared" si="56"/>
        <v>5870</v>
      </c>
      <c r="S323" s="5">
        <f t="shared" si="57"/>
        <v>1</v>
      </c>
      <c r="T323" s="7">
        <f t="shared" si="58"/>
        <v>5870</v>
      </c>
    </row>
    <row r="324" spans="1:20">
      <c r="A324" s="24" t="s">
        <v>561</v>
      </c>
      <c r="B324" s="35" t="s">
        <v>342</v>
      </c>
      <c r="C324" s="36">
        <v>9718</v>
      </c>
      <c r="D324" s="6"/>
      <c r="E324" s="113">
        <v>1334677840</v>
      </c>
      <c r="F324" s="116">
        <f t="shared" si="60"/>
        <v>137340.79440214037</v>
      </c>
      <c r="G324" s="117">
        <v>1128636530</v>
      </c>
      <c r="H324" s="117">
        <f t="shared" si="61"/>
        <v>116138.76620703848</v>
      </c>
      <c r="I324" s="7"/>
      <c r="J324" s="10">
        <v>2.9573</v>
      </c>
      <c r="K324" s="117">
        <v>3337716</v>
      </c>
      <c r="L324" s="120">
        <f t="shared" si="62"/>
        <v>343.45708993620087</v>
      </c>
      <c r="M324" s="122">
        <f t="shared" si="52"/>
        <v>11286365.300000001</v>
      </c>
      <c r="N324" s="116">
        <f t="shared" si="53"/>
        <v>7948649.3000000007</v>
      </c>
      <c r="O324" s="123">
        <f t="shared" si="54"/>
        <v>817.9305721341841</v>
      </c>
      <c r="P324" s="5"/>
      <c r="Q324" s="5">
        <f t="shared" si="55"/>
        <v>1</v>
      </c>
      <c r="R324" s="7">
        <f t="shared" si="56"/>
        <v>9718</v>
      </c>
      <c r="S324" s="5">
        <f t="shared" si="57"/>
        <v>1</v>
      </c>
      <c r="T324" s="7">
        <f t="shared" si="58"/>
        <v>9718</v>
      </c>
    </row>
    <row r="325" spans="1:20">
      <c r="A325" s="23" t="s">
        <v>548</v>
      </c>
      <c r="B325" s="35" t="s">
        <v>342</v>
      </c>
      <c r="C325" s="36">
        <v>242690</v>
      </c>
      <c r="D325" s="6"/>
      <c r="E325" s="113">
        <v>11347619975</v>
      </c>
      <c r="F325" s="116">
        <f t="shared" si="60"/>
        <v>46757.67429642754</v>
      </c>
      <c r="G325" s="117">
        <v>7892685372</v>
      </c>
      <c r="H325" s="117">
        <f t="shared" si="61"/>
        <v>32521.675272981993</v>
      </c>
      <c r="I325" s="7"/>
      <c r="J325" s="10">
        <v>7.4234999999999998</v>
      </c>
      <c r="K325" s="117">
        <v>58591349</v>
      </c>
      <c r="L325" s="120">
        <f t="shared" si="62"/>
        <v>241.42465284931393</v>
      </c>
      <c r="M325" s="122">
        <f t="shared" si="52"/>
        <v>78926853.719999999</v>
      </c>
      <c r="N325" s="116">
        <f t="shared" si="53"/>
        <v>20335504.719999999</v>
      </c>
      <c r="O325" s="123">
        <f t="shared" si="54"/>
        <v>83.792099880505987</v>
      </c>
      <c r="P325" s="5"/>
      <c r="Q325" s="5">
        <f t="shared" si="55"/>
        <v>1</v>
      </c>
      <c r="R325" s="7">
        <f t="shared" si="56"/>
        <v>242690</v>
      </c>
      <c r="S325" s="5">
        <f t="shared" si="57"/>
        <v>1</v>
      </c>
      <c r="T325" s="7">
        <f t="shared" si="58"/>
        <v>242690</v>
      </c>
    </row>
    <row r="326" spans="1:20">
      <c r="A326" s="23" t="s">
        <v>362</v>
      </c>
      <c r="B326" s="35" t="s">
        <v>342</v>
      </c>
      <c r="C326" s="36">
        <v>20588</v>
      </c>
      <c r="D326" s="6"/>
      <c r="E326" s="113">
        <v>1120526250</v>
      </c>
      <c r="F326" s="116">
        <f t="shared" si="60"/>
        <v>54426.182727802603</v>
      </c>
      <c r="G326" s="117">
        <v>814595240</v>
      </c>
      <c r="H326" s="117">
        <f t="shared" si="61"/>
        <v>39566.506702933744</v>
      </c>
      <c r="I326" s="7"/>
      <c r="J326" s="10">
        <v>5.2041000000000004</v>
      </c>
      <c r="K326" s="117">
        <v>4239235</v>
      </c>
      <c r="L326" s="120">
        <f t="shared" si="62"/>
        <v>205.90805323489411</v>
      </c>
      <c r="M326" s="122">
        <f t="shared" ref="M326:M389" si="63">(G326*0.01)</f>
        <v>8145952.4000000004</v>
      </c>
      <c r="N326" s="116">
        <f t="shared" ref="N326:N389" si="64">(M326-K326)</f>
        <v>3906717.4000000004</v>
      </c>
      <c r="O326" s="123">
        <f t="shared" ref="O326:O389" si="65">(N326/C326)</f>
        <v>189.7570137944434</v>
      </c>
      <c r="P326" s="5"/>
      <c r="Q326" s="5">
        <f t="shared" si="55"/>
        <v>1</v>
      </c>
      <c r="R326" s="7">
        <f t="shared" si="56"/>
        <v>20588</v>
      </c>
      <c r="S326" s="5">
        <f t="shared" si="57"/>
        <v>1</v>
      </c>
      <c r="T326" s="7">
        <f t="shared" si="58"/>
        <v>20588</v>
      </c>
    </row>
    <row r="327" spans="1:20">
      <c r="A327" s="23" t="s">
        <v>363</v>
      </c>
      <c r="B327" s="35" t="s">
        <v>342</v>
      </c>
      <c r="C327" s="36">
        <v>7355</v>
      </c>
      <c r="D327" s="6"/>
      <c r="E327" s="113">
        <v>897987170</v>
      </c>
      <c r="F327" s="116">
        <f t="shared" si="60"/>
        <v>122092.06934058464</v>
      </c>
      <c r="G327" s="117">
        <v>674519980</v>
      </c>
      <c r="H327" s="117">
        <f t="shared" si="61"/>
        <v>91709.038749150233</v>
      </c>
      <c r="I327" s="7"/>
      <c r="J327" s="10">
        <v>2.2271999999999998</v>
      </c>
      <c r="K327" s="117">
        <v>1502290</v>
      </c>
      <c r="L327" s="120">
        <f t="shared" si="62"/>
        <v>204.25424881033311</v>
      </c>
      <c r="M327" s="122">
        <f t="shared" si="63"/>
        <v>6745199.7999999998</v>
      </c>
      <c r="N327" s="116">
        <f t="shared" si="64"/>
        <v>5242909.8</v>
      </c>
      <c r="O327" s="123">
        <f t="shared" si="65"/>
        <v>712.83613868116925</v>
      </c>
      <c r="P327" s="5"/>
      <c r="Q327" s="5">
        <f t="shared" ref="Q327:Q390" si="66">IF(E327&gt;0,1,0)</f>
        <v>1</v>
      </c>
      <c r="R327" s="7">
        <f t="shared" ref="R327:R390" si="67">IF(E327&gt;0,C327,0)</f>
        <v>7355</v>
      </c>
      <c r="S327" s="5">
        <f t="shared" ref="S327:S390" si="68">IF(J327&gt;0,1,0)</f>
        <v>1</v>
      </c>
      <c r="T327" s="7">
        <f t="shared" ref="T327:T390" si="69">IF(J327&gt;0,C327,0)</f>
        <v>7355</v>
      </c>
    </row>
    <row r="328" spans="1:20">
      <c r="A328" s="23" t="s">
        <v>364</v>
      </c>
      <c r="B328" s="35" t="s">
        <v>365</v>
      </c>
      <c r="C328" s="36">
        <v>9663</v>
      </c>
      <c r="D328" s="6"/>
      <c r="E328" s="113">
        <v>370751247</v>
      </c>
      <c r="F328" s="116">
        <f t="shared" si="60"/>
        <v>38368.130704750074</v>
      </c>
      <c r="G328" s="117">
        <v>263624724</v>
      </c>
      <c r="H328" s="117">
        <f t="shared" si="61"/>
        <v>27281.871468488047</v>
      </c>
      <c r="I328" s="7"/>
      <c r="J328" s="10">
        <v>4.516</v>
      </c>
      <c r="K328" s="117">
        <v>1190529</v>
      </c>
      <c r="L328" s="120">
        <f t="shared" si="62"/>
        <v>123.20490530891027</v>
      </c>
      <c r="M328" s="122">
        <f t="shared" si="63"/>
        <v>2636247.2400000002</v>
      </c>
      <c r="N328" s="116">
        <f t="shared" si="64"/>
        <v>1445718.2400000002</v>
      </c>
      <c r="O328" s="123">
        <f t="shared" si="65"/>
        <v>149.61380937597022</v>
      </c>
      <c r="P328" s="5"/>
      <c r="Q328" s="5">
        <f t="shared" si="66"/>
        <v>1</v>
      </c>
      <c r="R328" s="7">
        <f t="shared" si="67"/>
        <v>9663</v>
      </c>
      <c r="S328" s="5">
        <f t="shared" si="68"/>
        <v>1</v>
      </c>
      <c r="T328" s="7">
        <f t="shared" si="69"/>
        <v>9663</v>
      </c>
    </row>
    <row r="329" spans="1:20">
      <c r="A329" s="23" t="s">
        <v>366</v>
      </c>
      <c r="B329" s="35" t="s">
        <v>365</v>
      </c>
      <c r="C329" s="36">
        <v>15187</v>
      </c>
      <c r="D329" s="6"/>
      <c r="E329" s="113">
        <v>523552607</v>
      </c>
      <c r="F329" s="116">
        <f t="shared" si="60"/>
        <v>34473.734575623886</v>
      </c>
      <c r="G329" s="117">
        <v>288238621</v>
      </c>
      <c r="H329" s="117">
        <f t="shared" si="61"/>
        <v>18979.299466649107</v>
      </c>
      <c r="I329" s="7"/>
      <c r="J329" s="10">
        <v>1.782</v>
      </c>
      <c r="K329" s="117">
        <v>513641</v>
      </c>
      <c r="L329" s="120">
        <f t="shared" si="62"/>
        <v>33.821096990847437</v>
      </c>
      <c r="M329" s="122">
        <f t="shared" si="63"/>
        <v>2882386.21</v>
      </c>
      <c r="N329" s="116">
        <f t="shared" si="64"/>
        <v>2368745.21</v>
      </c>
      <c r="O329" s="123">
        <f t="shared" si="65"/>
        <v>155.97189767564365</v>
      </c>
      <c r="P329" s="5"/>
      <c r="Q329" s="5">
        <f t="shared" si="66"/>
        <v>1</v>
      </c>
      <c r="R329" s="7">
        <f t="shared" si="67"/>
        <v>15187</v>
      </c>
      <c r="S329" s="5">
        <f t="shared" si="68"/>
        <v>1</v>
      </c>
      <c r="T329" s="7">
        <f t="shared" si="69"/>
        <v>15187</v>
      </c>
    </row>
    <row r="330" spans="1:20">
      <c r="A330" s="23" t="s">
        <v>367</v>
      </c>
      <c r="B330" s="35" t="s">
        <v>365</v>
      </c>
      <c r="C330" s="36">
        <v>2122</v>
      </c>
      <c r="D330" s="6"/>
      <c r="E330" s="113">
        <v>56591132</v>
      </c>
      <c r="F330" s="116">
        <f t="shared" si="60"/>
        <v>26668.77097078228</v>
      </c>
      <c r="G330" s="117">
        <v>35337461</v>
      </c>
      <c r="H330" s="117">
        <f t="shared" si="61"/>
        <v>16652.903393025448</v>
      </c>
      <c r="I330" s="7"/>
      <c r="J330" s="10">
        <v>6</v>
      </c>
      <c r="K330" s="117">
        <v>212024</v>
      </c>
      <c r="L330" s="120">
        <f t="shared" si="62"/>
        <v>99.917059377945336</v>
      </c>
      <c r="M330" s="122">
        <f t="shared" si="63"/>
        <v>353374.61</v>
      </c>
      <c r="N330" s="116">
        <f t="shared" si="64"/>
        <v>141350.60999999999</v>
      </c>
      <c r="O330" s="123">
        <f t="shared" si="65"/>
        <v>66.611974552309135</v>
      </c>
      <c r="P330" s="5"/>
      <c r="Q330" s="5">
        <f t="shared" si="66"/>
        <v>1</v>
      </c>
      <c r="R330" s="7">
        <f t="shared" si="67"/>
        <v>2122</v>
      </c>
      <c r="S330" s="5">
        <f t="shared" si="68"/>
        <v>1</v>
      </c>
      <c r="T330" s="7">
        <f t="shared" si="69"/>
        <v>2122</v>
      </c>
    </row>
    <row r="331" spans="1:20">
      <c r="A331" s="23" t="s">
        <v>368</v>
      </c>
      <c r="B331" s="35" t="s">
        <v>365</v>
      </c>
      <c r="C331" s="36">
        <v>2640</v>
      </c>
      <c r="D331" s="6"/>
      <c r="E331" s="113">
        <v>95507397</v>
      </c>
      <c r="F331" s="116">
        <f t="shared" si="60"/>
        <v>36177.044318181819</v>
      </c>
      <c r="G331" s="117">
        <v>71866697</v>
      </c>
      <c r="H331" s="117">
        <f t="shared" si="61"/>
        <v>27222.233712121211</v>
      </c>
      <c r="I331" s="7"/>
      <c r="J331" s="10">
        <v>6</v>
      </c>
      <c r="K331" s="117">
        <v>431200</v>
      </c>
      <c r="L331" s="120">
        <f t="shared" si="62"/>
        <v>163.33333333333334</v>
      </c>
      <c r="M331" s="122">
        <f t="shared" si="63"/>
        <v>718666.97</v>
      </c>
      <c r="N331" s="116">
        <f t="shared" si="64"/>
        <v>287466.96999999997</v>
      </c>
      <c r="O331" s="123">
        <f t="shared" si="65"/>
        <v>108.88900378787878</v>
      </c>
      <c r="P331" s="5"/>
      <c r="Q331" s="5">
        <f t="shared" si="66"/>
        <v>1</v>
      </c>
      <c r="R331" s="7">
        <f t="shared" si="67"/>
        <v>2640</v>
      </c>
      <c r="S331" s="5">
        <f t="shared" si="68"/>
        <v>1</v>
      </c>
      <c r="T331" s="7">
        <f t="shared" si="69"/>
        <v>2640</v>
      </c>
    </row>
    <row r="332" spans="1:20">
      <c r="A332" s="23" t="s">
        <v>369</v>
      </c>
      <c r="B332" s="35" t="s">
        <v>365</v>
      </c>
      <c r="C332" s="36">
        <v>1895</v>
      </c>
      <c r="D332" s="6"/>
      <c r="E332" s="113">
        <v>38309667</v>
      </c>
      <c r="F332" s="116">
        <f t="shared" si="60"/>
        <v>20216.183113456464</v>
      </c>
      <c r="G332" s="117">
        <v>21090047</v>
      </c>
      <c r="H332" s="117">
        <f t="shared" si="61"/>
        <v>11129.312401055409</v>
      </c>
      <c r="I332" s="7"/>
      <c r="J332" s="10">
        <v>6.0330000000000004</v>
      </c>
      <c r="K332" s="117">
        <v>127236</v>
      </c>
      <c r="L332" s="120">
        <f t="shared" si="62"/>
        <v>67.143007915567281</v>
      </c>
      <c r="M332" s="122">
        <f t="shared" si="63"/>
        <v>210900.47</v>
      </c>
      <c r="N332" s="116">
        <f t="shared" si="64"/>
        <v>83664.47</v>
      </c>
      <c r="O332" s="123">
        <f t="shared" si="65"/>
        <v>44.150116094986807</v>
      </c>
      <c r="P332" s="5"/>
      <c r="Q332" s="5">
        <f t="shared" si="66"/>
        <v>1</v>
      </c>
      <c r="R332" s="7">
        <f t="shared" si="67"/>
        <v>1895</v>
      </c>
      <c r="S332" s="5">
        <f t="shared" si="68"/>
        <v>1</v>
      </c>
      <c r="T332" s="7">
        <f t="shared" si="69"/>
        <v>1895</v>
      </c>
    </row>
    <row r="333" spans="1:20">
      <c r="A333" s="23" t="s">
        <v>370</v>
      </c>
      <c r="B333" s="35" t="s">
        <v>365</v>
      </c>
      <c r="C333" s="36">
        <v>5459</v>
      </c>
      <c r="D333" s="6"/>
      <c r="E333" s="113">
        <v>113126108</v>
      </c>
      <c r="F333" s="116">
        <f t="shared" si="60"/>
        <v>20722.862795383771</v>
      </c>
      <c r="G333" s="117">
        <v>64269110</v>
      </c>
      <c r="H333" s="117">
        <f t="shared" si="61"/>
        <v>11773.055504671185</v>
      </c>
      <c r="I333" s="98" t="s">
        <v>528</v>
      </c>
      <c r="J333" s="10"/>
      <c r="K333" s="117"/>
      <c r="L333" s="120"/>
      <c r="M333" s="122">
        <f t="shared" si="63"/>
        <v>642691.1</v>
      </c>
      <c r="N333" s="116">
        <f t="shared" si="64"/>
        <v>642691.1</v>
      </c>
      <c r="O333" s="123">
        <f t="shared" si="65"/>
        <v>117.73055504671184</v>
      </c>
      <c r="P333" s="5"/>
      <c r="Q333" s="5">
        <f t="shared" si="66"/>
        <v>1</v>
      </c>
      <c r="R333" s="7">
        <f t="shared" si="67"/>
        <v>5459</v>
      </c>
      <c r="S333" s="5">
        <f t="shared" si="68"/>
        <v>0</v>
      </c>
      <c r="T333" s="7">
        <f t="shared" si="69"/>
        <v>0</v>
      </c>
    </row>
    <row r="334" spans="1:20">
      <c r="A334" s="23" t="s">
        <v>371</v>
      </c>
      <c r="B334" s="35" t="s">
        <v>365</v>
      </c>
      <c r="C334" s="36">
        <v>2839</v>
      </c>
      <c r="D334" s="6"/>
      <c r="E334" s="113">
        <v>125395218</v>
      </c>
      <c r="F334" s="116">
        <f t="shared" si="60"/>
        <v>44168.798168369147</v>
      </c>
      <c r="G334" s="117">
        <v>95906154</v>
      </c>
      <c r="H334" s="117">
        <f t="shared" si="61"/>
        <v>33781.66748855231</v>
      </c>
      <c r="I334" s="7"/>
      <c r="J334" s="10">
        <v>7</v>
      </c>
      <c r="K334" s="117">
        <v>671343</v>
      </c>
      <c r="L334" s="120">
        <f t="shared" ref="L334:L370" si="70">(K334/C334)</f>
        <v>236.47164494540331</v>
      </c>
      <c r="M334" s="122">
        <f t="shared" si="63"/>
        <v>959061.54</v>
      </c>
      <c r="N334" s="116">
        <f t="shared" si="64"/>
        <v>287718.54000000004</v>
      </c>
      <c r="O334" s="123">
        <f t="shared" si="65"/>
        <v>101.34502994011977</v>
      </c>
      <c r="P334" s="5"/>
      <c r="Q334" s="5">
        <f t="shared" si="66"/>
        <v>1</v>
      </c>
      <c r="R334" s="7">
        <f t="shared" si="67"/>
        <v>2839</v>
      </c>
      <c r="S334" s="5">
        <f t="shared" si="68"/>
        <v>1</v>
      </c>
      <c r="T334" s="7">
        <f t="shared" si="69"/>
        <v>2839</v>
      </c>
    </row>
    <row r="335" spans="1:20">
      <c r="A335" s="23" t="s">
        <v>372</v>
      </c>
      <c r="B335" s="35" t="s">
        <v>365</v>
      </c>
      <c r="C335" s="36">
        <v>13834</v>
      </c>
      <c r="D335" s="6"/>
      <c r="E335" s="113">
        <v>375880508</v>
      </c>
      <c r="F335" s="116">
        <f t="shared" si="60"/>
        <v>27170.775480699725</v>
      </c>
      <c r="G335" s="117">
        <v>254551052</v>
      </c>
      <c r="H335" s="117">
        <f t="shared" si="61"/>
        <v>18400.394101489084</v>
      </c>
      <c r="I335" s="7"/>
      <c r="J335" s="10">
        <v>6.99</v>
      </c>
      <c r="K335" s="117">
        <v>1779311</v>
      </c>
      <c r="L335" s="120">
        <f t="shared" si="70"/>
        <v>128.61869307503252</v>
      </c>
      <c r="M335" s="122">
        <f t="shared" si="63"/>
        <v>2545510.52</v>
      </c>
      <c r="N335" s="116">
        <f t="shared" si="64"/>
        <v>766199.52</v>
      </c>
      <c r="O335" s="123">
        <f t="shared" si="65"/>
        <v>55.385247939858324</v>
      </c>
      <c r="P335" s="5"/>
      <c r="Q335" s="5">
        <f t="shared" si="66"/>
        <v>1</v>
      </c>
      <c r="R335" s="7">
        <f t="shared" si="67"/>
        <v>13834</v>
      </c>
      <c r="S335" s="5">
        <f t="shared" si="68"/>
        <v>1</v>
      </c>
      <c r="T335" s="7">
        <f t="shared" si="69"/>
        <v>13834</v>
      </c>
    </row>
    <row r="336" spans="1:20">
      <c r="A336" s="23" t="s">
        <v>373</v>
      </c>
      <c r="B336" s="35" t="s">
        <v>365</v>
      </c>
      <c r="C336" s="36">
        <v>157</v>
      </c>
      <c r="D336" s="6"/>
      <c r="E336" s="113">
        <v>12227876</v>
      </c>
      <c r="F336" s="116">
        <f t="shared" si="60"/>
        <v>77884.56050955414</v>
      </c>
      <c r="G336" s="117">
        <v>10589568</v>
      </c>
      <c r="H336" s="117">
        <f t="shared" si="61"/>
        <v>67449.477707006372</v>
      </c>
      <c r="I336" s="7"/>
      <c r="J336" s="10">
        <v>6.383</v>
      </c>
      <c r="K336" s="117">
        <v>67593</v>
      </c>
      <c r="L336" s="120">
        <f t="shared" si="70"/>
        <v>430.52866242038215</v>
      </c>
      <c r="M336" s="122">
        <f t="shared" si="63"/>
        <v>105895.68000000001</v>
      </c>
      <c r="N336" s="116">
        <f t="shared" si="64"/>
        <v>38302.680000000008</v>
      </c>
      <c r="O336" s="123">
        <f t="shared" si="65"/>
        <v>243.96611464968157</v>
      </c>
      <c r="P336" s="5"/>
      <c r="Q336" s="5">
        <f t="shared" si="66"/>
        <v>1</v>
      </c>
      <c r="R336" s="7">
        <f t="shared" si="67"/>
        <v>157</v>
      </c>
      <c r="S336" s="5">
        <f t="shared" si="68"/>
        <v>1</v>
      </c>
      <c r="T336" s="7">
        <f t="shared" si="69"/>
        <v>157</v>
      </c>
    </row>
    <row r="337" spans="1:20">
      <c r="A337" s="23" t="s">
        <v>374</v>
      </c>
      <c r="B337" s="35" t="s">
        <v>365</v>
      </c>
      <c r="C337" s="36">
        <v>233</v>
      </c>
      <c r="D337" s="6"/>
      <c r="E337" s="113">
        <v>9108020</v>
      </c>
      <c r="F337" s="116">
        <f t="shared" si="60"/>
        <v>39090.214592274679</v>
      </c>
      <c r="G337" s="117">
        <v>6930480</v>
      </c>
      <c r="H337" s="117">
        <f t="shared" si="61"/>
        <v>29744.549356223175</v>
      </c>
      <c r="I337" s="7"/>
      <c r="J337" s="10">
        <v>0.5</v>
      </c>
      <c r="K337" s="117">
        <v>3465</v>
      </c>
      <c r="L337" s="120">
        <f t="shared" si="70"/>
        <v>14.871244635193133</v>
      </c>
      <c r="M337" s="122">
        <f t="shared" si="63"/>
        <v>69304.800000000003</v>
      </c>
      <c r="N337" s="116">
        <f t="shared" si="64"/>
        <v>65839.8</v>
      </c>
      <c r="O337" s="123">
        <f t="shared" si="65"/>
        <v>282.57424892703864</v>
      </c>
      <c r="P337" s="5"/>
      <c r="Q337" s="5">
        <f t="shared" si="66"/>
        <v>1</v>
      </c>
      <c r="R337" s="7">
        <f t="shared" si="67"/>
        <v>233</v>
      </c>
      <c r="S337" s="5">
        <f t="shared" si="68"/>
        <v>1</v>
      </c>
      <c r="T337" s="7">
        <f t="shared" si="69"/>
        <v>233</v>
      </c>
    </row>
    <row r="338" spans="1:20">
      <c r="A338" s="23" t="s">
        <v>375</v>
      </c>
      <c r="B338" s="35" t="s">
        <v>365</v>
      </c>
      <c r="C338" s="36">
        <v>3840</v>
      </c>
      <c r="D338" s="6"/>
      <c r="E338" s="113">
        <v>118894060</v>
      </c>
      <c r="F338" s="116">
        <f t="shared" si="60"/>
        <v>30961.994791666668</v>
      </c>
      <c r="G338" s="117">
        <v>87438892</v>
      </c>
      <c r="H338" s="117">
        <f t="shared" si="61"/>
        <v>22770.544791666667</v>
      </c>
      <c r="I338" s="7"/>
      <c r="J338" s="10">
        <v>7.0579999999999998</v>
      </c>
      <c r="K338" s="117">
        <v>617143</v>
      </c>
      <c r="L338" s="120">
        <f t="shared" si="70"/>
        <v>160.71432291666667</v>
      </c>
      <c r="M338" s="122">
        <f t="shared" si="63"/>
        <v>874388.92</v>
      </c>
      <c r="N338" s="116">
        <f t="shared" si="64"/>
        <v>257245.92000000004</v>
      </c>
      <c r="O338" s="123">
        <f t="shared" si="65"/>
        <v>66.991125000000011</v>
      </c>
      <c r="P338" s="5"/>
      <c r="Q338" s="5">
        <f t="shared" si="66"/>
        <v>1</v>
      </c>
      <c r="R338" s="7">
        <f t="shared" si="67"/>
        <v>3840</v>
      </c>
      <c r="S338" s="5">
        <f t="shared" si="68"/>
        <v>1</v>
      </c>
      <c r="T338" s="7">
        <f t="shared" si="69"/>
        <v>3840</v>
      </c>
    </row>
    <row r="339" spans="1:20">
      <c r="A339" s="23" t="s">
        <v>376</v>
      </c>
      <c r="B339" s="35" t="s">
        <v>365</v>
      </c>
      <c r="C339" s="36">
        <v>1155</v>
      </c>
      <c r="D339" s="6"/>
      <c r="E339" s="113">
        <v>44419771</v>
      </c>
      <c r="F339" s="116">
        <f t="shared" si="60"/>
        <v>38458.676190476188</v>
      </c>
      <c r="G339" s="117">
        <v>33832458</v>
      </c>
      <c r="H339" s="117">
        <f t="shared" si="61"/>
        <v>29292.17142857143</v>
      </c>
      <c r="I339" s="7"/>
      <c r="J339" s="10">
        <v>6.6479999999999997</v>
      </c>
      <c r="K339" s="117">
        <v>224918</v>
      </c>
      <c r="L339" s="120">
        <f t="shared" si="70"/>
        <v>194.73419913419914</v>
      </c>
      <c r="M339" s="122">
        <f t="shared" si="63"/>
        <v>338324.58</v>
      </c>
      <c r="N339" s="116">
        <f t="shared" si="64"/>
        <v>113406.58000000002</v>
      </c>
      <c r="O339" s="123">
        <f t="shared" si="65"/>
        <v>98.187515151515171</v>
      </c>
      <c r="P339" s="5"/>
      <c r="Q339" s="5">
        <f t="shared" si="66"/>
        <v>1</v>
      </c>
      <c r="R339" s="7">
        <f t="shared" si="67"/>
        <v>1155</v>
      </c>
      <c r="S339" s="5">
        <f t="shared" si="68"/>
        <v>1</v>
      </c>
      <c r="T339" s="7">
        <f t="shared" si="69"/>
        <v>1155</v>
      </c>
    </row>
    <row r="340" spans="1:20">
      <c r="A340" s="23" t="s">
        <v>377</v>
      </c>
      <c r="B340" s="35" t="s">
        <v>365</v>
      </c>
      <c r="C340" s="36">
        <v>10132</v>
      </c>
      <c r="D340" s="6"/>
      <c r="E340" s="113">
        <v>408381728</v>
      </c>
      <c r="F340" s="116">
        <f t="shared" si="60"/>
        <v>40306.131859455192</v>
      </c>
      <c r="G340" s="117">
        <v>285044555</v>
      </c>
      <c r="H340" s="117">
        <f t="shared" si="61"/>
        <v>28133.098598499804</v>
      </c>
      <c r="I340" s="7"/>
      <c r="J340" s="10">
        <v>7.67</v>
      </c>
      <c r="K340" s="117">
        <v>2186291</v>
      </c>
      <c r="L340" s="120">
        <f t="shared" si="70"/>
        <v>215.78079352546388</v>
      </c>
      <c r="M340" s="122">
        <f t="shared" si="63"/>
        <v>2850445.5500000003</v>
      </c>
      <c r="N340" s="116">
        <f t="shared" si="64"/>
        <v>664154.55000000028</v>
      </c>
      <c r="O340" s="123">
        <f t="shared" si="65"/>
        <v>65.550192459534173</v>
      </c>
      <c r="P340" s="5"/>
      <c r="Q340" s="5">
        <f t="shared" si="66"/>
        <v>1</v>
      </c>
      <c r="R340" s="7">
        <f t="shared" si="67"/>
        <v>10132</v>
      </c>
      <c r="S340" s="5">
        <f t="shared" si="68"/>
        <v>1</v>
      </c>
      <c r="T340" s="7">
        <f t="shared" si="69"/>
        <v>10132</v>
      </c>
    </row>
    <row r="341" spans="1:20">
      <c r="A341" s="23" t="s">
        <v>378</v>
      </c>
      <c r="B341" s="35" t="s">
        <v>365</v>
      </c>
      <c r="C341" s="36">
        <v>77487</v>
      </c>
      <c r="D341" s="6"/>
      <c r="E341" s="113">
        <v>3858007330</v>
      </c>
      <c r="F341" s="116">
        <f t="shared" si="60"/>
        <v>49789.091460503056</v>
      </c>
      <c r="G341" s="117">
        <v>2484224679</v>
      </c>
      <c r="H341" s="117">
        <f t="shared" si="61"/>
        <v>32059.88977505904</v>
      </c>
      <c r="I341" s="9"/>
      <c r="J341" s="10">
        <v>2.9950000000000001</v>
      </c>
      <c r="K341" s="117">
        <v>7440252</v>
      </c>
      <c r="L341" s="120">
        <f t="shared" si="70"/>
        <v>96.019358085872469</v>
      </c>
      <c r="M341" s="122">
        <f t="shared" si="63"/>
        <v>24842246.789999999</v>
      </c>
      <c r="N341" s="116">
        <f t="shared" si="64"/>
        <v>17401994.789999999</v>
      </c>
      <c r="O341" s="123">
        <f t="shared" si="65"/>
        <v>224.57953966471794</v>
      </c>
      <c r="P341" s="5"/>
      <c r="Q341" s="5">
        <f t="shared" si="66"/>
        <v>1</v>
      </c>
      <c r="R341" s="7">
        <f t="shared" si="67"/>
        <v>77487</v>
      </c>
      <c r="S341" s="5">
        <f t="shared" si="68"/>
        <v>1</v>
      </c>
      <c r="T341" s="7">
        <f t="shared" si="69"/>
        <v>77487</v>
      </c>
    </row>
    <row r="342" spans="1:20">
      <c r="A342" s="23" t="s">
        <v>379</v>
      </c>
      <c r="B342" s="35" t="s">
        <v>365</v>
      </c>
      <c r="C342" s="36">
        <v>3334</v>
      </c>
      <c r="D342" s="6"/>
      <c r="E342" s="113">
        <v>115058218</v>
      </c>
      <c r="F342" s="116">
        <f t="shared" si="60"/>
        <v>34510.563287342535</v>
      </c>
      <c r="G342" s="117">
        <v>88499926</v>
      </c>
      <c r="H342" s="117">
        <f t="shared" si="61"/>
        <v>26544.668866226755</v>
      </c>
      <c r="I342" s="7"/>
      <c r="J342" s="10">
        <v>8.5</v>
      </c>
      <c r="K342" s="117">
        <v>752249</v>
      </c>
      <c r="L342" s="120">
        <f t="shared" si="70"/>
        <v>225.62957408518295</v>
      </c>
      <c r="M342" s="122">
        <f t="shared" si="63"/>
        <v>884999.26</v>
      </c>
      <c r="N342" s="116">
        <f t="shared" si="64"/>
        <v>132750.26</v>
      </c>
      <c r="O342" s="123">
        <f t="shared" si="65"/>
        <v>39.817114577084588</v>
      </c>
      <c r="P342" s="5"/>
      <c r="Q342" s="5">
        <f t="shared" si="66"/>
        <v>1</v>
      </c>
      <c r="R342" s="7">
        <f t="shared" si="67"/>
        <v>3334</v>
      </c>
      <c r="S342" s="5">
        <f t="shared" si="68"/>
        <v>1</v>
      </c>
      <c r="T342" s="7">
        <f t="shared" si="69"/>
        <v>3334</v>
      </c>
    </row>
    <row r="343" spans="1:20">
      <c r="A343" s="23" t="s">
        <v>380</v>
      </c>
      <c r="B343" s="35" t="s">
        <v>365</v>
      </c>
      <c r="C343" s="36">
        <v>1892</v>
      </c>
      <c r="D343" s="6"/>
      <c r="E343" s="113">
        <v>32285215</v>
      </c>
      <c r="F343" s="116">
        <f t="shared" si="60"/>
        <v>17064.067124735728</v>
      </c>
      <c r="G343" s="117">
        <v>21335748</v>
      </c>
      <c r="H343" s="117">
        <f t="shared" si="61"/>
        <v>11276.822410147992</v>
      </c>
      <c r="I343" s="7"/>
      <c r="J343" s="10">
        <v>5.5</v>
      </c>
      <c r="K343" s="117">
        <v>117346</v>
      </c>
      <c r="L343" s="120">
        <f t="shared" si="70"/>
        <v>62.022198731501057</v>
      </c>
      <c r="M343" s="122">
        <f t="shared" si="63"/>
        <v>213357.48</v>
      </c>
      <c r="N343" s="116">
        <f t="shared" si="64"/>
        <v>96011.48000000001</v>
      </c>
      <c r="O343" s="123">
        <f t="shared" si="65"/>
        <v>50.746025369978867</v>
      </c>
      <c r="P343" s="5"/>
      <c r="Q343" s="5">
        <f t="shared" si="66"/>
        <v>1</v>
      </c>
      <c r="R343" s="7">
        <f t="shared" si="67"/>
        <v>1892</v>
      </c>
      <c r="S343" s="5">
        <f t="shared" si="68"/>
        <v>1</v>
      </c>
      <c r="T343" s="7">
        <f t="shared" si="69"/>
        <v>1892</v>
      </c>
    </row>
    <row r="344" spans="1:20">
      <c r="A344" s="23" t="s">
        <v>381</v>
      </c>
      <c r="B344" s="35" t="s">
        <v>365</v>
      </c>
      <c r="C344" s="36">
        <v>26022</v>
      </c>
      <c r="D344" s="6"/>
      <c r="E344" s="113">
        <v>1183978531</v>
      </c>
      <c r="F344" s="116">
        <f t="shared" si="60"/>
        <v>45499.136538313738</v>
      </c>
      <c r="G344" s="117">
        <v>814906143</v>
      </c>
      <c r="H344" s="117">
        <f t="shared" si="61"/>
        <v>31316.045768964723</v>
      </c>
      <c r="I344" s="7"/>
      <c r="J344" s="11">
        <v>6.3250000000000002</v>
      </c>
      <c r="K344" s="117">
        <v>5154281</v>
      </c>
      <c r="L344" s="120">
        <f t="shared" si="70"/>
        <v>198.07397586657444</v>
      </c>
      <c r="M344" s="122">
        <f t="shared" si="63"/>
        <v>8149061.4300000006</v>
      </c>
      <c r="N344" s="116">
        <f t="shared" si="64"/>
        <v>2994780.4300000006</v>
      </c>
      <c r="O344" s="123">
        <f t="shared" si="65"/>
        <v>115.0864818230728</v>
      </c>
      <c r="P344" s="5"/>
      <c r="Q344" s="5">
        <f t="shared" si="66"/>
        <v>1</v>
      </c>
      <c r="R344" s="7">
        <f t="shared" si="67"/>
        <v>26022</v>
      </c>
      <c r="S344" s="5">
        <f t="shared" si="68"/>
        <v>1</v>
      </c>
      <c r="T344" s="7">
        <f t="shared" si="69"/>
        <v>26022</v>
      </c>
    </row>
    <row r="345" spans="1:20">
      <c r="A345" s="23" t="s">
        <v>382</v>
      </c>
      <c r="B345" s="35" t="s">
        <v>383</v>
      </c>
      <c r="C345" s="36">
        <v>1825</v>
      </c>
      <c r="D345" s="6"/>
      <c r="E345" s="113">
        <v>76528618</v>
      </c>
      <c r="F345" s="116">
        <f t="shared" si="60"/>
        <v>41933.489315068495</v>
      </c>
      <c r="G345" s="117">
        <v>47585388</v>
      </c>
      <c r="H345" s="117">
        <f t="shared" si="61"/>
        <v>26074.185205479451</v>
      </c>
      <c r="I345" s="7"/>
      <c r="J345" s="10">
        <v>8.25</v>
      </c>
      <c r="K345" s="117">
        <v>392579</v>
      </c>
      <c r="L345" s="120">
        <f t="shared" si="70"/>
        <v>215.11178082191782</v>
      </c>
      <c r="M345" s="122">
        <f t="shared" si="63"/>
        <v>475853.88</v>
      </c>
      <c r="N345" s="116">
        <f t="shared" si="64"/>
        <v>83274.880000000005</v>
      </c>
      <c r="O345" s="123">
        <f t="shared" si="65"/>
        <v>45.630071232876716</v>
      </c>
      <c r="P345" s="5"/>
      <c r="Q345" s="5">
        <f t="shared" si="66"/>
        <v>1</v>
      </c>
      <c r="R345" s="7">
        <f t="shared" si="67"/>
        <v>1825</v>
      </c>
      <c r="S345" s="5">
        <f t="shared" si="68"/>
        <v>1</v>
      </c>
      <c r="T345" s="7">
        <f t="shared" si="69"/>
        <v>1825</v>
      </c>
    </row>
    <row r="346" spans="1:20">
      <c r="A346" s="23" t="s">
        <v>384</v>
      </c>
      <c r="B346" s="35" t="s">
        <v>383</v>
      </c>
      <c r="C346" s="36">
        <v>1453</v>
      </c>
      <c r="D346" s="6"/>
      <c r="E346" s="113">
        <v>63407976</v>
      </c>
      <c r="F346" s="116">
        <f t="shared" si="60"/>
        <v>43639.350309704059</v>
      </c>
      <c r="G346" s="117">
        <v>27531211</v>
      </c>
      <c r="H346" s="117">
        <f t="shared" si="61"/>
        <v>18947.839642119754</v>
      </c>
      <c r="I346" s="7"/>
      <c r="J346" s="10">
        <v>7.5</v>
      </c>
      <c r="K346" s="117">
        <v>206484</v>
      </c>
      <c r="L346" s="120">
        <f t="shared" si="70"/>
        <v>142.10874053682036</v>
      </c>
      <c r="M346" s="122">
        <f t="shared" si="63"/>
        <v>275312.11</v>
      </c>
      <c r="N346" s="116">
        <f t="shared" si="64"/>
        <v>68828.109999999986</v>
      </c>
      <c r="O346" s="123">
        <f t="shared" si="65"/>
        <v>47.369655884377138</v>
      </c>
      <c r="P346" s="5"/>
      <c r="Q346" s="5">
        <f t="shared" si="66"/>
        <v>1</v>
      </c>
      <c r="R346" s="7">
        <f t="shared" si="67"/>
        <v>1453</v>
      </c>
      <c r="S346" s="5">
        <f t="shared" si="68"/>
        <v>1</v>
      </c>
      <c r="T346" s="7">
        <f t="shared" si="69"/>
        <v>1453</v>
      </c>
    </row>
    <row r="347" spans="1:20">
      <c r="A347" s="23" t="s">
        <v>385</v>
      </c>
      <c r="B347" s="35" t="s">
        <v>383</v>
      </c>
      <c r="C347" s="36">
        <v>10874</v>
      </c>
      <c r="D347" s="6"/>
      <c r="E347" s="113">
        <v>455965691</v>
      </c>
      <c r="F347" s="116">
        <f t="shared" si="60"/>
        <v>41931.73542394703</v>
      </c>
      <c r="G347" s="117">
        <v>235053580</v>
      </c>
      <c r="H347" s="117">
        <f t="shared" si="61"/>
        <v>21616.109987125252</v>
      </c>
      <c r="I347" s="7"/>
      <c r="J347" s="10">
        <v>7.0419999999999998</v>
      </c>
      <c r="K347" s="117">
        <v>1655247</v>
      </c>
      <c r="L347" s="120">
        <f t="shared" si="70"/>
        <v>152.22061798786095</v>
      </c>
      <c r="M347" s="122">
        <f t="shared" si="63"/>
        <v>2350535.8000000003</v>
      </c>
      <c r="N347" s="116">
        <f t="shared" si="64"/>
        <v>695288.80000000028</v>
      </c>
      <c r="O347" s="123">
        <f t="shared" si="65"/>
        <v>63.940481883391605</v>
      </c>
      <c r="P347" s="5"/>
      <c r="Q347" s="5">
        <f t="shared" si="66"/>
        <v>1</v>
      </c>
      <c r="R347" s="7">
        <f t="shared" si="67"/>
        <v>10874</v>
      </c>
      <c r="S347" s="5">
        <f t="shared" si="68"/>
        <v>1</v>
      </c>
      <c r="T347" s="7">
        <f t="shared" si="69"/>
        <v>10874</v>
      </c>
    </row>
    <row r="348" spans="1:20">
      <c r="A348" s="23" t="s">
        <v>386</v>
      </c>
      <c r="B348" s="35" t="s">
        <v>383</v>
      </c>
      <c r="C348" s="36">
        <v>791</v>
      </c>
      <c r="D348" s="6"/>
      <c r="E348" s="113">
        <v>24649031</v>
      </c>
      <c r="F348" s="116">
        <f t="shared" si="60"/>
        <v>31161.859671302151</v>
      </c>
      <c r="G348" s="117">
        <v>16038304</v>
      </c>
      <c r="H348" s="117">
        <f t="shared" si="61"/>
        <v>20275.984829329962</v>
      </c>
      <c r="I348" s="7"/>
      <c r="J348" s="10">
        <v>5.431</v>
      </c>
      <c r="K348" s="117">
        <v>87104</v>
      </c>
      <c r="L348" s="120">
        <f t="shared" si="70"/>
        <v>110.11883691529709</v>
      </c>
      <c r="M348" s="122">
        <f t="shared" si="63"/>
        <v>160383.04000000001</v>
      </c>
      <c r="N348" s="116">
        <f t="shared" si="64"/>
        <v>73279.040000000008</v>
      </c>
      <c r="O348" s="123">
        <f t="shared" si="65"/>
        <v>92.641011378002545</v>
      </c>
      <c r="P348" s="5"/>
      <c r="Q348" s="5">
        <f t="shared" si="66"/>
        <v>1</v>
      </c>
      <c r="R348" s="7">
        <f t="shared" si="67"/>
        <v>791</v>
      </c>
      <c r="S348" s="5">
        <f t="shared" si="68"/>
        <v>1</v>
      </c>
      <c r="T348" s="7">
        <f t="shared" si="69"/>
        <v>791</v>
      </c>
    </row>
    <row r="349" spans="1:20">
      <c r="A349" s="23" t="s">
        <v>387</v>
      </c>
      <c r="B349" s="35" t="s">
        <v>383</v>
      </c>
      <c r="C349" s="36">
        <v>593</v>
      </c>
      <c r="D349" s="6"/>
      <c r="E349" s="113">
        <v>29559534</v>
      </c>
      <c r="F349" s="116">
        <f t="shared" ref="F349:F405" si="71">(E349/C349)</f>
        <v>49847.443507588534</v>
      </c>
      <c r="G349" s="117">
        <v>22154602</v>
      </c>
      <c r="H349" s="117">
        <f t="shared" ref="H349:H405" si="72">(G349/C349)</f>
        <v>37360.205733558178</v>
      </c>
      <c r="I349" s="7"/>
      <c r="J349" s="10">
        <v>5</v>
      </c>
      <c r="K349" s="117">
        <v>110773</v>
      </c>
      <c r="L349" s="120">
        <f t="shared" si="70"/>
        <v>186.80101180438447</v>
      </c>
      <c r="M349" s="122">
        <f t="shared" si="63"/>
        <v>221546.02000000002</v>
      </c>
      <c r="N349" s="116">
        <f t="shared" si="64"/>
        <v>110773.02000000002</v>
      </c>
      <c r="O349" s="123">
        <f t="shared" si="65"/>
        <v>186.80104553119733</v>
      </c>
      <c r="P349" s="5"/>
      <c r="Q349" s="5">
        <f t="shared" si="66"/>
        <v>1</v>
      </c>
      <c r="R349" s="7">
        <f t="shared" si="67"/>
        <v>593</v>
      </c>
      <c r="S349" s="5">
        <f t="shared" si="68"/>
        <v>1</v>
      </c>
      <c r="T349" s="7">
        <f t="shared" si="69"/>
        <v>593</v>
      </c>
    </row>
    <row r="350" spans="1:20">
      <c r="A350" s="23" t="s">
        <v>390</v>
      </c>
      <c r="B350" s="35" t="s">
        <v>391</v>
      </c>
      <c r="C350" s="36">
        <v>6189</v>
      </c>
      <c r="D350" s="6"/>
      <c r="E350" s="113">
        <v>624915391</v>
      </c>
      <c r="F350" s="116">
        <f t="shared" si="71"/>
        <v>100971.94878009372</v>
      </c>
      <c r="G350" s="117">
        <v>368234138</v>
      </c>
      <c r="H350" s="117">
        <f t="shared" si="72"/>
        <v>59498.1641622233</v>
      </c>
      <c r="I350" s="7"/>
      <c r="J350" s="10">
        <v>1.83</v>
      </c>
      <c r="K350" s="117">
        <v>673868</v>
      </c>
      <c r="L350" s="120">
        <f t="shared" si="70"/>
        <v>108.8815640652771</v>
      </c>
      <c r="M350" s="122">
        <f t="shared" si="63"/>
        <v>3682341.38</v>
      </c>
      <c r="N350" s="116">
        <f t="shared" si="64"/>
        <v>3008473.38</v>
      </c>
      <c r="O350" s="123">
        <f t="shared" si="65"/>
        <v>486.10007755695585</v>
      </c>
      <c r="P350" s="5"/>
      <c r="Q350" s="5">
        <f t="shared" si="66"/>
        <v>1</v>
      </c>
      <c r="R350" s="7">
        <f t="shared" si="67"/>
        <v>6189</v>
      </c>
      <c r="S350" s="5">
        <f t="shared" si="68"/>
        <v>1</v>
      </c>
      <c r="T350" s="7">
        <f t="shared" si="69"/>
        <v>6189</v>
      </c>
    </row>
    <row r="351" spans="1:20">
      <c r="A351" s="23" t="s">
        <v>392</v>
      </c>
      <c r="B351" s="35" t="s">
        <v>391</v>
      </c>
      <c r="C351" s="36">
        <v>692</v>
      </c>
      <c r="D351" s="6"/>
      <c r="E351" s="113">
        <v>31466050</v>
      </c>
      <c r="F351" s="116">
        <f t="shared" si="71"/>
        <v>45471.170520231215</v>
      </c>
      <c r="G351" s="117">
        <v>21949398</v>
      </c>
      <c r="H351" s="117">
        <f t="shared" si="72"/>
        <v>31718.783236994219</v>
      </c>
      <c r="I351" s="7"/>
      <c r="J351" s="10">
        <v>2</v>
      </c>
      <c r="K351" s="117">
        <v>43898</v>
      </c>
      <c r="L351" s="120">
        <f t="shared" si="70"/>
        <v>63.436416184971101</v>
      </c>
      <c r="M351" s="122">
        <f t="shared" si="63"/>
        <v>219493.98</v>
      </c>
      <c r="N351" s="116">
        <f t="shared" si="64"/>
        <v>175595.98</v>
      </c>
      <c r="O351" s="123">
        <f t="shared" si="65"/>
        <v>253.75141618497111</v>
      </c>
      <c r="P351" s="5"/>
      <c r="Q351" s="5">
        <f t="shared" si="66"/>
        <v>1</v>
      </c>
      <c r="R351" s="7">
        <f t="shared" si="67"/>
        <v>692</v>
      </c>
      <c r="S351" s="5">
        <f t="shared" si="68"/>
        <v>1</v>
      </c>
      <c r="T351" s="7">
        <f t="shared" si="69"/>
        <v>692</v>
      </c>
    </row>
    <row r="352" spans="1:20">
      <c r="A352" s="23" t="s">
        <v>393</v>
      </c>
      <c r="B352" s="35" t="s">
        <v>391</v>
      </c>
      <c r="C352" s="36">
        <v>7930</v>
      </c>
      <c r="D352" s="6"/>
      <c r="E352" s="113">
        <v>254039118</v>
      </c>
      <c r="F352" s="116">
        <f t="shared" si="71"/>
        <v>32035.197730138712</v>
      </c>
      <c r="G352" s="117">
        <v>162350803</v>
      </c>
      <c r="H352" s="117">
        <f t="shared" si="72"/>
        <v>20472.989029003784</v>
      </c>
      <c r="I352" s="7"/>
      <c r="J352" s="10">
        <v>2.75</v>
      </c>
      <c r="K352" s="117">
        <v>446464</v>
      </c>
      <c r="L352" s="120">
        <f t="shared" si="70"/>
        <v>56.300630517023961</v>
      </c>
      <c r="M352" s="122">
        <f t="shared" si="63"/>
        <v>1623508.03</v>
      </c>
      <c r="N352" s="116">
        <f t="shared" si="64"/>
        <v>1177044.03</v>
      </c>
      <c r="O352" s="123">
        <f t="shared" si="65"/>
        <v>148.42925977301388</v>
      </c>
      <c r="P352" s="5"/>
      <c r="Q352" s="5">
        <f t="shared" si="66"/>
        <v>1</v>
      </c>
      <c r="R352" s="7">
        <f t="shared" si="67"/>
        <v>7930</v>
      </c>
      <c r="S352" s="5">
        <f t="shared" si="68"/>
        <v>1</v>
      </c>
      <c r="T352" s="7">
        <f t="shared" si="69"/>
        <v>7930</v>
      </c>
    </row>
    <row r="353" spans="1:20">
      <c r="A353" s="23" t="s">
        <v>394</v>
      </c>
      <c r="B353" s="35" t="s">
        <v>395</v>
      </c>
      <c r="C353" s="36">
        <v>18749</v>
      </c>
      <c r="D353" s="6"/>
      <c r="E353" s="113">
        <v>926843776</v>
      </c>
      <c r="F353" s="116">
        <f t="shared" si="71"/>
        <v>49434.30454957598</v>
      </c>
      <c r="G353" s="117">
        <v>662929925</v>
      </c>
      <c r="H353" s="117">
        <f t="shared" si="72"/>
        <v>35358.148434583178</v>
      </c>
      <c r="I353" s="7"/>
      <c r="J353" s="10">
        <v>4.8</v>
      </c>
      <c r="K353" s="117">
        <v>3182063</v>
      </c>
      <c r="L353" s="120">
        <f t="shared" si="70"/>
        <v>169.71907835084536</v>
      </c>
      <c r="M353" s="122">
        <f t="shared" si="63"/>
        <v>6629299.25</v>
      </c>
      <c r="N353" s="116">
        <f t="shared" si="64"/>
        <v>3447236.25</v>
      </c>
      <c r="O353" s="123">
        <f t="shared" si="65"/>
        <v>183.8624059949864</v>
      </c>
      <c r="P353" s="5"/>
      <c r="Q353" s="5">
        <f t="shared" si="66"/>
        <v>1</v>
      </c>
      <c r="R353" s="7">
        <f t="shared" si="67"/>
        <v>18749</v>
      </c>
      <c r="S353" s="5">
        <f t="shared" si="68"/>
        <v>1</v>
      </c>
      <c r="T353" s="7">
        <f t="shared" si="69"/>
        <v>18749</v>
      </c>
    </row>
    <row r="354" spans="1:20">
      <c r="A354" s="23" t="s">
        <v>395</v>
      </c>
      <c r="B354" s="35" t="s">
        <v>395</v>
      </c>
      <c r="C354" s="36">
        <v>51659</v>
      </c>
      <c r="D354" s="6"/>
      <c r="E354" s="113">
        <v>4998714203</v>
      </c>
      <c r="F354" s="116">
        <f t="shared" si="71"/>
        <v>96763.665634255405</v>
      </c>
      <c r="G354" s="117">
        <v>3511768994</v>
      </c>
      <c r="H354" s="117">
        <f t="shared" si="72"/>
        <v>67979.80979113029</v>
      </c>
      <c r="I354" s="7"/>
      <c r="J354" s="10">
        <v>2.9601000000000002</v>
      </c>
      <c r="K354" s="117">
        <v>10395187</v>
      </c>
      <c r="L354" s="120">
        <f t="shared" si="70"/>
        <v>201.22702723629959</v>
      </c>
      <c r="M354" s="122">
        <f t="shared" si="63"/>
        <v>35117689.939999998</v>
      </c>
      <c r="N354" s="116">
        <f t="shared" si="64"/>
        <v>24722502.939999998</v>
      </c>
      <c r="O354" s="123">
        <f t="shared" si="65"/>
        <v>478.57107067500334</v>
      </c>
      <c r="P354" s="5"/>
      <c r="Q354" s="5">
        <f t="shared" si="66"/>
        <v>1</v>
      </c>
      <c r="R354" s="7">
        <f t="shared" si="67"/>
        <v>51659</v>
      </c>
      <c r="S354" s="5">
        <f t="shared" si="68"/>
        <v>1</v>
      </c>
      <c r="T354" s="7">
        <f t="shared" si="69"/>
        <v>51659</v>
      </c>
    </row>
    <row r="355" spans="1:20">
      <c r="A355" s="23" t="s">
        <v>396</v>
      </c>
      <c r="B355" s="35" t="s">
        <v>395</v>
      </c>
      <c r="C355" s="36">
        <v>19232</v>
      </c>
      <c r="D355" s="6"/>
      <c r="E355" s="113">
        <v>1717661175</v>
      </c>
      <c r="F355" s="116">
        <f t="shared" si="71"/>
        <v>89312.665089434275</v>
      </c>
      <c r="G355" s="117">
        <v>1316814651</v>
      </c>
      <c r="H355" s="117">
        <f t="shared" si="72"/>
        <v>68469.979773294515</v>
      </c>
      <c r="I355" s="7"/>
      <c r="J355" s="10">
        <v>3.4060000000000001</v>
      </c>
      <c r="K355" s="117">
        <v>4485070</v>
      </c>
      <c r="L355" s="120">
        <f t="shared" si="70"/>
        <v>233.20871464226289</v>
      </c>
      <c r="M355" s="122">
        <f t="shared" si="63"/>
        <v>13168146.51</v>
      </c>
      <c r="N355" s="116">
        <f t="shared" si="64"/>
        <v>8683076.5099999998</v>
      </c>
      <c r="O355" s="123">
        <f t="shared" si="65"/>
        <v>451.4910830906822</v>
      </c>
      <c r="P355" s="5"/>
      <c r="Q355" s="5">
        <f t="shared" si="66"/>
        <v>1</v>
      </c>
      <c r="R355" s="7">
        <f t="shared" si="67"/>
        <v>19232</v>
      </c>
      <c r="S355" s="5">
        <f t="shared" si="68"/>
        <v>1</v>
      </c>
      <c r="T355" s="7">
        <f t="shared" si="69"/>
        <v>19232</v>
      </c>
    </row>
    <row r="356" spans="1:20">
      <c r="A356" s="23" t="s">
        <v>397</v>
      </c>
      <c r="B356" s="35" t="s">
        <v>360</v>
      </c>
      <c r="C356" s="36">
        <v>40308</v>
      </c>
      <c r="D356" s="6"/>
      <c r="E356" s="113">
        <v>2221812703</v>
      </c>
      <c r="F356" s="116">
        <f t="shared" si="71"/>
        <v>55120.886747047734</v>
      </c>
      <c r="G356" s="117">
        <v>1929269453</v>
      </c>
      <c r="H356" s="117">
        <f t="shared" si="72"/>
        <v>47863.189763818598</v>
      </c>
      <c r="I356" s="7"/>
      <c r="J356" s="10">
        <v>4.4223999999999997</v>
      </c>
      <c r="K356" s="117">
        <v>8532001</v>
      </c>
      <c r="L356" s="120">
        <f t="shared" si="70"/>
        <v>211.67016473156693</v>
      </c>
      <c r="M356" s="122">
        <f t="shared" si="63"/>
        <v>19292694.530000001</v>
      </c>
      <c r="N356" s="116">
        <f t="shared" si="64"/>
        <v>10760693.530000001</v>
      </c>
      <c r="O356" s="123">
        <f t="shared" si="65"/>
        <v>266.96173290661909</v>
      </c>
      <c r="P356" s="5"/>
      <c r="Q356" s="5">
        <f t="shared" si="66"/>
        <v>1</v>
      </c>
      <c r="R356" s="7">
        <f t="shared" si="67"/>
        <v>40308</v>
      </c>
      <c r="S356" s="5">
        <f t="shared" si="68"/>
        <v>1</v>
      </c>
      <c r="T356" s="7">
        <f t="shared" si="69"/>
        <v>40308</v>
      </c>
    </row>
    <row r="357" spans="1:20">
      <c r="A357" s="23" t="s">
        <v>398</v>
      </c>
      <c r="B357" s="35" t="s">
        <v>360</v>
      </c>
      <c r="C357" s="36">
        <v>24727</v>
      </c>
      <c r="D357" s="6"/>
      <c r="E357" s="113">
        <v>915605094</v>
      </c>
      <c r="F357" s="116">
        <f t="shared" si="71"/>
        <v>37028.555587010153</v>
      </c>
      <c r="G357" s="117">
        <v>743351589</v>
      </c>
      <c r="H357" s="117">
        <f t="shared" si="72"/>
        <v>30062.34436041574</v>
      </c>
      <c r="I357" s="7"/>
      <c r="J357" s="10">
        <v>4.8</v>
      </c>
      <c r="K357" s="117">
        <v>3568087</v>
      </c>
      <c r="L357" s="120">
        <f t="shared" si="70"/>
        <v>144.29922756500991</v>
      </c>
      <c r="M357" s="122">
        <f t="shared" si="63"/>
        <v>7433515.8900000006</v>
      </c>
      <c r="N357" s="116">
        <f t="shared" si="64"/>
        <v>3865428.8900000006</v>
      </c>
      <c r="O357" s="123">
        <f t="shared" si="65"/>
        <v>156.3242160391475</v>
      </c>
      <c r="P357" s="5"/>
      <c r="Q357" s="5">
        <f t="shared" si="66"/>
        <v>1</v>
      </c>
      <c r="R357" s="7">
        <f t="shared" si="67"/>
        <v>24727</v>
      </c>
      <c r="S357" s="5">
        <f t="shared" si="68"/>
        <v>1</v>
      </c>
      <c r="T357" s="7">
        <f t="shared" si="69"/>
        <v>24727</v>
      </c>
    </row>
    <row r="358" spans="1:20">
      <c r="A358" s="23" t="s">
        <v>399</v>
      </c>
      <c r="B358" s="35" t="s">
        <v>360</v>
      </c>
      <c r="C358" s="36">
        <v>10222</v>
      </c>
      <c r="D358" s="6"/>
      <c r="E358" s="113">
        <v>1111343342</v>
      </c>
      <c r="F358" s="116">
        <f t="shared" si="71"/>
        <v>108720.73390725885</v>
      </c>
      <c r="G358" s="117">
        <v>971513562</v>
      </c>
      <c r="H358" s="117">
        <f t="shared" si="72"/>
        <v>95041.436313832906</v>
      </c>
      <c r="I358" s="7"/>
      <c r="J358" s="10">
        <v>3.7648000000000001</v>
      </c>
      <c r="K358" s="117">
        <v>3657554</v>
      </c>
      <c r="L358" s="120">
        <f t="shared" si="70"/>
        <v>357.81197417335159</v>
      </c>
      <c r="M358" s="122">
        <f t="shared" si="63"/>
        <v>9715135.620000001</v>
      </c>
      <c r="N358" s="116">
        <f t="shared" si="64"/>
        <v>6057581.620000001</v>
      </c>
      <c r="O358" s="123">
        <f t="shared" si="65"/>
        <v>592.60238896497765</v>
      </c>
      <c r="P358" s="5"/>
      <c r="Q358" s="5">
        <f t="shared" si="66"/>
        <v>1</v>
      </c>
      <c r="R358" s="7">
        <f t="shared" si="67"/>
        <v>10222</v>
      </c>
      <c r="S358" s="5">
        <f t="shared" si="68"/>
        <v>1</v>
      </c>
      <c r="T358" s="7">
        <f t="shared" si="69"/>
        <v>10222</v>
      </c>
    </row>
    <row r="359" spans="1:20">
      <c r="A359" s="23" t="s">
        <v>400</v>
      </c>
      <c r="B359" s="35" t="s">
        <v>360</v>
      </c>
      <c r="C359" s="36">
        <v>14052</v>
      </c>
      <c r="D359" s="6"/>
      <c r="E359" s="113">
        <v>769612677</v>
      </c>
      <c r="F359" s="116">
        <f t="shared" si="71"/>
        <v>54768.906703672073</v>
      </c>
      <c r="G359" s="117">
        <v>625407071</v>
      </c>
      <c r="H359" s="117">
        <f t="shared" si="72"/>
        <v>44506.623327640191</v>
      </c>
      <c r="I359" s="7"/>
      <c r="J359" s="10">
        <v>5.0601000000000003</v>
      </c>
      <c r="K359" s="117">
        <v>3164622</v>
      </c>
      <c r="L359" s="120">
        <f t="shared" si="70"/>
        <v>225.20794192997437</v>
      </c>
      <c r="M359" s="122">
        <f t="shared" si="63"/>
        <v>6254070.71</v>
      </c>
      <c r="N359" s="116">
        <f t="shared" si="64"/>
        <v>3089448.71</v>
      </c>
      <c r="O359" s="123">
        <f t="shared" si="65"/>
        <v>219.85829134642756</v>
      </c>
      <c r="P359" s="5"/>
      <c r="Q359" s="5">
        <f t="shared" si="66"/>
        <v>1</v>
      </c>
      <c r="R359" s="7">
        <f t="shared" si="67"/>
        <v>14052</v>
      </c>
      <c r="S359" s="5">
        <f t="shared" si="68"/>
        <v>1</v>
      </c>
      <c r="T359" s="7">
        <f t="shared" si="69"/>
        <v>14052</v>
      </c>
    </row>
    <row r="360" spans="1:20">
      <c r="A360" s="23" t="s">
        <v>401</v>
      </c>
      <c r="B360" s="35" t="s">
        <v>360</v>
      </c>
      <c r="C360" s="36">
        <v>22517</v>
      </c>
      <c r="D360" s="6"/>
      <c r="E360" s="113">
        <v>1173145944</v>
      </c>
      <c r="F360" s="116">
        <f t="shared" si="71"/>
        <v>52100.454945152553</v>
      </c>
      <c r="G360" s="117">
        <v>939829834</v>
      </c>
      <c r="H360" s="117">
        <f t="shared" si="72"/>
        <v>41738.678953679439</v>
      </c>
      <c r="I360" s="7"/>
      <c r="J360" s="10">
        <v>4.9950000000000001</v>
      </c>
      <c r="K360" s="117">
        <v>4694450</v>
      </c>
      <c r="L360" s="120">
        <f t="shared" si="70"/>
        <v>208.48470044854997</v>
      </c>
      <c r="M360" s="122">
        <f t="shared" si="63"/>
        <v>9398298.3399999999</v>
      </c>
      <c r="N360" s="116">
        <f t="shared" si="64"/>
        <v>4703848.34</v>
      </c>
      <c r="O360" s="123">
        <f t="shared" si="65"/>
        <v>208.90208908824442</v>
      </c>
      <c r="P360" s="5"/>
      <c r="Q360" s="5">
        <f t="shared" si="66"/>
        <v>1</v>
      </c>
      <c r="R360" s="7">
        <f t="shared" si="67"/>
        <v>22517</v>
      </c>
      <c r="S360" s="5">
        <f t="shared" si="68"/>
        <v>1</v>
      </c>
      <c r="T360" s="7">
        <f t="shared" si="69"/>
        <v>22517</v>
      </c>
    </row>
    <row r="361" spans="1:20">
      <c r="A361" s="23" t="s">
        <v>402</v>
      </c>
      <c r="B361" s="35" t="s">
        <v>360</v>
      </c>
      <c r="C361" s="36">
        <v>37327</v>
      </c>
      <c r="D361" s="6"/>
      <c r="E361" s="113">
        <v>1533409331</v>
      </c>
      <c r="F361" s="116">
        <f t="shared" si="71"/>
        <v>41080.433225279288</v>
      </c>
      <c r="G361" s="117">
        <v>1128197026</v>
      </c>
      <c r="H361" s="117">
        <f t="shared" si="72"/>
        <v>30224.690599298094</v>
      </c>
      <c r="I361" s="7"/>
      <c r="J361" s="10">
        <v>6.79</v>
      </c>
      <c r="K361" s="117">
        <v>7660457</v>
      </c>
      <c r="L361" s="120">
        <f t="shared" si="70"/>
        <v>205.22562756181853</v>
      </c>
      <c r="M361" s="122">
        <f t="shared" si="63"/>
        <v>11281970.26</v>
      </c>
      <c r="N361" s="116">
        <f t="shared" si="64"/>
        <v>3621513.26</v>
      </c>
      <c r="O361" s="123">
        <f t="shared" si="65"/>
        <v>97.021278431162429</v>
      </c>
      <c r="P361" s="5"/>
      <c r="Q361" s="5">
        <f t="shared" si="66"/>
        <v>1</v>
      </c>
      <c r="R361" s="7">
        <f t="shared" si="67"/>
        <v>37327</v>
      </c>
      <c r="S361" s="5">
        <f t="shared" si="68"/>
        <v>1</v>
      </c>
      <c r="T361" s="7">
        <f t="shared" si="69"/>
        <v>37327</v>
      </c>
    </row>
    <row r="362" spans="1:20">
      <c r="A362" s="23" t="s">
        <v>403</v>
      </c>
      <c r="B362" s="35" t="s">
        <v>360</v>
      </c>
      <c r="C362" s="36">
        <v>29220</v>
      </c>
      <c r="D362" s="6"/>
      <c r="E362" s="113">
        <v>1253086327</v>
      </c>
      <c r="F362" s="116">
        <f t="shared" si="71"/>
        <v>42884.542334017795</v>
      </c>
      <c r="G362" s="117">
        <v>972980638</v>
      </c>
      <c r="H362" s="117">
        <f t="shared" si="72"/>
        <v>33298.447570157427</v>
      </c>
      <c r="I362" s="7"/>
      <c r="J362" s="10">
        <v>3.5495000000000001</v>
      </c>
      <c r="K362" s="117">
        <v>3453594</v>
      </c>
      <c r="L362" s="120">
        <f t="shared" si="70"/>
        <v>118.19281314168377</v>
      </c>
      <c r="M362" s="122">
        <f t="shared" si="63"/>
        <v>9729806.3800000008</v>
      </c>
      <c r="N362" s="116">
        <f t="shared" si="64"/>
        <v>6276212.3800000008</v>
      </c>
      <c r="O362" s="123">
        <f t="shared" si="65"/>
        <v>214.79166255989051</v>
      </c>
      <c r="P362" s="5"/>
      <c r="Q362" s="5">
        <f t="shared" si="66"/>
        <v>1</v>
      </c>
      <c r="R362" s="7">
        <f t="shared" si="67"/>
        <v>29220</v>
      </c>
      <c r="S362" s="5">
        <f t="shared" si="68"/>
        <v>1</v>
      </c>
      <c r="T362" s="7">
        <f t="shared" si="69"/>
        <v>29220</v>
      </c>
    </row>
    <row r="363" spans="1:20">
      <c r="A363" s="23" t="s">
        <v>388</v>
      </c>
      <c r="B363" s="35" t="s">
        <v>551</v>
      </c>
      <c r="C363" s="36">
        <v>653</v>
      </c>
      <c r="D363" s="6"/>
      <c r="E363" s="113">
        <v>19774197</v>
      </c>
      <c r="F363" s="116">
        <f t="shared" si="71"/>
        <v>30282.078101071977</v>
      </c>
      <c r="G363" s="117">
        <v>11396425</v>
      </c>
      <c r="H363" s="117">
        <f t="shared" si="72"/>
        <v>17452.411944869833</v>
      </c>
      <c r="I363" s="9"/>
      <c r="J363" s="10">
        <v>8</v>
      </c>
      <c r="K363" s="117">
        <v>91171</v>
      </c>
      <c r="L363" s="120">
        <f t="shared" si="70"/>
        <v>139.61868300153139</v>
      </c>
      <c r="M363" s="122">
        <f t="shared" si="63"/>
        <v>113964.25</v>
      </c>
      <c r="N363" s="116">
        <f t="shared" si="64"/>
        <v>22793.25</v>
      </c>
      <c r="O363" s="123">
        <f t="shared" si="65"/>
        <v>34.90543644716692</v>
      </c>
      <c r="P363" s="5"/>
      <c r="Q363" s="5">
        <f t="shared" si="66"/>
        <v>1</v>
      </c>
      <c r="R363" s="7">
        <f t="shared" si="67"/>
        <v>653</v>
      </c>
      <c r="S363" s="5">
        <f t="shared" si="68"/>
        <v>1</v>
      </c>
      <c r="T363" s="7">
        <f t="shared" si="69"/>
        <v>653</v>
      </c>
    </row>
    <row r="364" spans="1:20">
      <c r="A364" s="23" t="s">
        <v>549</v>
      </c>
      <c r="B364" s="35" t="s">
        <v>551</v>
      </c>
      <c r="C364" s="36">
        <v>12681</v>
      </c>
      <c r="D364" s="6"/>
      <c r="E364" s="113">
        <v>799760029</v>
      </c>
      <c r="F364" s="116">
        <f t="shared" si="71"/>
        <v>63067.583707909471</v>
      </c>
      <c r="G364" s="117">
        <v>508340804</v>
      </c>
      <c r="H364" s="117">
        <f t="shared" si="72"/>
        <v>40086.807349578106</v>
      </c>
      <c r="I364" s="9"/>
      <c r="J364" s="10">
        <v>7.2</v>
      </c>
      <c r="K364" s="117">
        <v>3660053</v>
      </c>
      <c r="L364" s="120">
        <f t="shared" si="70"/>
        <v>288.62495071366612</v>
      </c>
      <c r="M364" s="122">
        <f t="shared" si="63"/>
        <v>5083408.04</v>
      </c>
      <c r="N364" s="116">
        <f t="shared" si="64"/>
        <v>1423355.04</v>
      </c>
      <c r="O364" s="123">
        <f t="shared" si="65"/>
        <v>112.24312278211498</v>
      </c>
      <c r="P364" s="5"/>
      <c r="Q364" s="5">
        <f t="shared" si="66"/>
        <v>1</v>
      </c>
      <c r="R364" s="7">
        <f t="shared" si="67"/>
        <v>12681</v>
      </c>
      <c r="S364" s="5">
        <f t="shared" si="68"/>
        <v>1</v>
      </c>
      <c r="T364" s="7">
        <f t="shared" si="69"/>
        <v>12681</v>
      </c>
    </row>
    <row r="365" spans="1:20">
      <c r="A365" s="23" t="s">
        <v>550</v>
      </c>
      <c r="B365" s="35" t="s">
        <v>551</v>
      </c>
      <c r="C365" s="36">
        <v>4320</v>
      </c>
      <c r="D365" s="6"/>
      <c r="E365" s="113">
        <v>373175684</v>
      </c>
      <c r="F365" s="116">
        <f t="shared" si="71"/>
        <v>86383.26018518518</v>
      </c>
      <c r="G365" s="117">
        <v>321149982</v>
      </c>
      <c r="H365" s="117">
        <f t="shared" si="72"/>
        <v>74340.273611111115</v>
      </c>
      <c r="I365" s="9"/>
      <c r="J365" s="10">
        <v>2.2000000000000002</v>
      </c>
      <c r="K365" s="117">
        <v>706529</v>
      </c>
      <c r="L365" s="120">
        <f t="shared" si="70"/>
        <v>163.54837962962964</v>
      </c>
      <c r="M365" s="122">
        <f t="shared" si="63"/>
        <v>3211499.8200000003</v>
      </c>
      <c r="N365" s="116">
        <f t="shared" si="64"/>
        <v>2504970.8200000003</v>
      </c>
      <c r="O365" s="123">
        <f t="shared" si="65"/>
        <v>579.85435648148155</v>
      </c>
      <c r="P365" s="5"/>
      <c r="Q365" s="5">
        <f t="shared" si="66"/>
        <v>1</v>
      </c>
      <c r="R365" s="7">
        <f t="shared" si="67"/>
        <v>4320</v>
      </c>
      <c r="S365" s="5">
        <f t="shared" si="68"/>
        <v>1</v>
      </c>
      <c r="T365" s="7">
        <f t="shared" si="69"/>
        <v>4320</v>
      </c>
    </row>
    <row r="366" spans="1:20">
      <c r="A366" s="23" t="s">
        <v>389</v>
      </c>
      <c r="B366" s="35" t="s">
        <v>552</v>
      </c>
      <c r="C366" s="36">
        <v>38401</v>
      </c>
      <c r="D366" s="6"/>
      <c r="E366" s="113">
        <v>1645823386</v>
      </c>
      <c r="F366" s="116">
        <f t="shared" si="71"/>
        <v>42858.867894065261</v>
      </c>
      <c r="G366" s="117">
        <v>1010609507</v>
      </c>
      <c r="H366" s="117">
        <f t="shared" si="72"/>
        <v>26317.27056587068</v>
      </c>
      <c r="I366" s="7"/>
      <c r="J366" s="10">
        <v>7.3304999999999998</v>
      </c>
      <c r="K366" s="117">
        <v>7408272</v>
      </c>
      <c r="L366" s="120">
        <f t="shared" si="70"/>
        <v>192.9187260748418</v>
      </c>
      <c r="M366" s="122">
        <f t="shared" si="63"/>
        <v>10106095.07</v>
      </c>
      <c r="N366" s="116">
        <f t="shared" si="64"/>
        <v>2697823.0700000003</v>
      </c>
      <c r="O366" s="123">
        <f t="shared" si="65"/>
        <v>70.253979583865018</v>
      </c>
      <c r="P366" s="5"/>
      <c r="Q366" s="5">
        <f t="shared" si="66"/>
        <v>1</v>
      </c>
      <c r="R366" s="7">
        <f t="shared" si="67"/>
        <v>38401</v>
      </c>
      <c r="S366" s="5">
        <f t="shared" si="68"/>
        <v>1</v>
      </c>
      <c r="T366" s="7">
        <f t="shared" si="69"/>
        <v>38401</v>
      </c>
    </row>
    <row r="367" spans="1:20">
      <c r="A367" s="23" t="s">
        <v>553</v>
      </c>
      <c r="B367" s="35" t="s">
        <v>552</v>
      </c>
      <c r="C367" s="36">
        <v>83254</v>
      </c>
      <c r="D367" s="6"/>
      <c r="E367" s="113">
        <v>3599543515</v>
      </c>
      <c r="F367" s="116">
        <f t="shared" si="71"/>
        <v>43235.682549787394</v>
      </c>
      <c r="G367" s="117">
        <v>2713778406</v>
      </c>
      <c r="H367" s="117">
        <f t="shared" si="72"/>
        <v>32596.372618733032</v>
      </c>
      <c r="I367" s="7"/>
      <c r="J367" s="10">
        <v>3.94</v>
      </c>
      <c r="K367" s="117">
        <v>10692286</v>
      </c>
      <c r="L367" s="120">
        <f t="shared" si="70"/>
        <v>128.42969707161217</v>
      </c>
      <c r="M367" s="122">
        <f t="shared" si="63"/>
        <v>27137784.060000002</v>
      </c>
      <c r="N367" s="116">
        <f t="shared" si="64"/>
        <v>16445498.060000002</v>
      </c>
      <c r="O367" s="123">
        <f t="shared" si="65"/>
        <v>197.5340291157182</v>
      </c>
      <c r="P367" s="5"/>
      <c r="Q367" s="5">
        <f t="shared" si="66"/>
        <v>1</v>
      </c>
      <c r="R367" s="7">
        <f t="shared" si="67"/>
        <v>83254</v>
      </c>
      <c r="S367" s="5">
        <f t="shared" si="68"/>
        <v>1</v>
      </c>
      <c r="T367" s="7">
        <f t="shared" si="69"/>
        <v>83254</v>
      </c>
    </row>
    <row r="368" spans="1:20">
      <c r="A368" s="23" t="s">
        <v>554</v>
      </c>
      <c r="B368" s="35" t="s">
        <v>552</v>
      </c>
      <c r="C368" s="36">
        <v>610</v>
      </c>
      <c r="D368" s="6"/>
      <c r="E368" s="113">
        <v>30552951</v>
      </c>
      <c r="F368" s="116">
        <f t="shared" si="71"/>
        <v>50086.804918032787</v>
      </c>
      <c r="G368" s="117">
        <v>25017336</v>
      </c>
      <c r="H368" s="117">
        <f t="shared" si="72"/>
        <v>41012.026229508199</v>
      </c>
      <c r="I368" s="7"/>
      <c r="J368" s="10">
        <v>0.98899999999999999</v>
      </c>
      <c r="K368" s="117">
        <v>24742</v>
      </c>
      <c r="L368" s="120">
        <f t="shared" si="70"/>
        <v>40.56065573770492</v>
      </c>
      <c r="M368" s="122">
        <f t="shared" si="63"/>
        <v>250173.36000000002</v>
      </c>
      <c r="N368" s="116">
        <f t="shared" si="64"/>
        <v>225431.36000000002</v>
      </c>
      <c r="O368" s="123">
        <f t="shared" si="65"/>
        <v>369.55960655737709</v>
      </c>
      <c r="P368" s="5"/>
      <c r="Q368" s="5">
        <f t="shared" si="66"/>
        <v>1</v>
      </c>
      <c r="R368" s="7">
        <f t="shared" si="67"/>
        <v>610</v>
      </c>
      <c r="S368" s="5">
        <f t="shared" si="68"/>
        <v>1</v>
      </c>
      <c r="T368" s="7">
        <f t="shared" si="69"/>
        <v>610</v>
      </c>
    </row>
    <row r="369" spans="1:20">
      <c r="A369" s="23" t="s">
        <v>404</v>
      </c>
      <c r="B369" s="35" t="s">
        <v>405</v>
      </c>
      <c r="C369" s="36">
        <v>2547</v>
      </c>
      <c r="D369" s="6"/>
      <c r="E369" s="113">
        <v>72135273</v>
      </c>
      <c r="F369" s="116">
        <f t="shared" si="71"/>
        <v>28321.66195524146</v>
      </c>
      <c r="G369" s="117">
        <v>48903555</v>
      </c>
      <c r="H369" s="117">
        <f t="shared" si="72"/>
        <v>19200.453474676091</v>
      </c>
      <c r="I369" s="7"/>
      <c r="J369" s="10">
        <v>1.9970000000000001</v>
      </c>
      <c r="K369" s="117">
        <v>97660</v>
      </c>
      <c r="L369" s="120">
        <f t="shared" si="70"/>
        <v>38.343148802512758</v>
      </c>
      <c r="M369" s="122">
        <f t="shared" si="63"/>
        <v>489035.55</v>
      </c>
      <c r="N369" s="116">
        <f t="shared" si="64"/>
        <v>391375.55</v>
      </c>
      <c r="O369" s="123">
        <f t="shared" si="65"/>
        <v>153.66138594424814</v>
      </c>
      <c r="P369" s="5"/>
      <c r="Q369" s="5">
        <f t="shared" si="66"/>
        <v>1</v>
      </c>
      <c r="R369" s="7">
        <f t="shared" si="67"/>
        <v>2547</v>
      </c>
      <c r="S369" s="5">
        <f t="shared" si="68"/>
        <v>1</v>
      </c>
      <c r="T369" s="7">
        <f t="shared" si="69"/>
        <v>2547</v>
      </c>
    </row>
    <row r="370" spans="1:20">
      <c r="A370" s="23" t="s">
        <v>406</v>
      </c>
      <c r="B370" s="35" t="s">
        <v>405</v>
      </c>
      <c r="C370" s="36">
        <v>775</v>
      </c>
      <c r="D370" s="6"/>
      <c r="E370" s="113">
        <v>13119160</v>
      </c>
      <c r="F370" s="116">
        <f t="shared" si="71"/>
        <v>16927.948387096774</v>
      </c>
      <c r="G370" s="117">
        <v>7069398</v>
      </c>
      <c r="H370" s="117">
        <f t="shared" si="72"/>
        <v>9121.8038709677421</v>
      </c>
      <c r="I370" s="7"/>
      <c r="J370" s="10">
        <v>0.88600000000000001</v>
      </c>
      <c r="K370" s="117">
        <v>6263</v>
      </c>
      <c r="L370" s="120">
        <f t="shared" si="70"/>
        <v>8.0812903225806458</v>
      </c>
      <c r="M370" s="122">
        <f t="shared" si="63"/>
        <v>70693.98</v>
      </c>
      <c r="N370" s="116">
        <f t="shared" si="64"/>
        <v>64430.979999999996</v>
      </c>
      <c r="O370" s="123">
        <f t="shared" si="65"/>
        <v>83.136748387096773</v>
      </c>
      <c r="P370" s="5"/>
      <c r="Q370" s="5">
        <f t="shared" si="66"/>
        <v>1</v>
      </c>
      <c r="R370" s="7">
        <f t="shared" si="67"/>
        <v>775</v>
      </c>
      <c r="S370" s="5">
        <f t="shared" si="68"/>
        <v>1</v>
      </c>
      <c r="T370" s="7">
        <f t="shared" si="69"/>
        <v>775</v>
      </c>
    </row>
    <row r="371" spans="1:20">
      <c r="A371" s="23" t="s">
        <v>407</v>
      </c>
      <c r="B371" s="35" t="s">
        <v>405</v>
      </c>
      <c r="C371" s="36">
        <v>823</v>
      </c>
      <c r="D371" s="6"/>
      <c r="E371" s="113">
        <v>11670980</v>
      </c>
      <c r="F371" s="116">
        <f t="shared" si="71"/>
        <v>14181.020656136088</v>
      </c>
      <c r="G371" s="117">
        <v>6527955</v>
      </c>
      <c r="H371" s="117">
        <f t="shared" si="72"/>
        <v>7931.9015795868772</v>
      </c>
      <c r="I371" s="98" t="s">
        <v>528</v>
      </c>
      <c r="J371" s="10"/>
      <c r="K371" s="117"/>
      <c r="L371" s="120"/>
      <c r="M371" s="122">
        <f t="shared" si="63"/>
        <v>65279.55</v>
      </c>
      <c r="N371" s="116">
        <f t="shared" si="64"/>
        <v>65279.55</v>
      </c>
      <c r="O371" s="123">
        <f t="shared" si="65"/>
        <v>79.319015795868779</v>
      </c>
      <c r="P371" s="5"/>
      <c r="Q371" s="5">
        <f t="shared" si="66"/>
        <v>1</v>
      </c>
      <c r="R371" s="7">
        <f t="shared" si="67"/>
        <v>823</v>
      </c>
      <c r="S371" s="5">
        <f t="shared" si="68"/>
        <v>0</v>
      </c>
      <c r="T371" s="7">
        <f t="shared" si="69"/>
        <v>0</v>
      </c>
    </row>
    <row r="372" spans="1:20">
      <c r="A372" s="23" t="s">
        <v>408</v>
      </c>
      <c r="B372" s="35" t="s">
        <v>405</v>
      </c>
      <c r="C372" s="36">
        <v>860</v>
      </c>
      <c r="D372" s="6"/>
      <c r="E372" s="113">
        <v>13637129</v>
      </c>
      <c r="F372" s="116">
        <f t="shared" si="71"/>
        <v>15857.126744186047</v>
      </c>
      <c r="G372" s="117">
        <v>9028147</v>
      </c>
      <c r="H372" s="117">
        <f t="shared" si="72"/>
        <v>10497.845348837209</v>
      </c>
      <c r="I372" s="7"/>
      <c r="J372" s="10">
        <v>5.2</v>
      </c>
      <c r="K372" s="117">
        <v>46946</v>
      </c>
      <c r="L372" s="120">
        <f t="shared" ref="L372:L377" si="73">(K372/C372)</f>
        <v>54.588372093023253</v>
      </c>
      <c r="M372" s="122">
        <f t="shared" si="63"/>
        <v>90281.47</v>
      </c>
      <c r="N372" s="116">
        <f t="shared" si="64"/>
        <v>43335.47</v>
      </c>
      <c r="O372" s="123">
        <f t="shared" si="65"/>
        <v>50.390081395348837</v>
      </c>
      <c r="P372" s="5"/>
      <c r="Q372" s="5">
        <f t="shared" si="66"/>
        <v>1</v>
      </c>
      <c r="R372" s="7">
        <f t="shared" si="67"/>
        <v>860</v>
      </c>
      <c r="S372" s="5">
        <f t="shared" si="68"/>
        <v>1</v>
      </c>
      <c r="T372" s="7">
        <f t="shared" si="69"/>
        <v>860</v>
      </c>
    </row>
    <row r="373" spans="1:20">
      <c r="A373" s="23" t="s">
        <v>409</v>
      </c>
      <c r="B373" s="35" t="s">
        <v>405</v>
      </c>
      <c r="C373" s="36">
        <v>4109</v>
      </c>
      <c r="D373" s="6"/>
      <c r="E373" s="113">
        <v>98257597</v>
      </c>
      <c r="F373" s="116">
        <f t="shared" si="71"/>
        <v>23912.776101241179</v>
      </c>
      <c r="G373" s="117">
        <v>78016675</v>
      </c>
      <c r="H373" s="117">
        <f t="shared" si="72"/>
        <v>18986.779021659771</v>
      </c>
      <c r="I373" s="7"/>
      <c r="J373" s="10">
        <v>4.79</v>
      </c>
      <c r="K373" s="117">
        <v>373699</v>
      </c>
      <c r="L373" s="120">
        <f t="shared" si="73"/>
        <v>90.94645899245559</v>
      </c>
      <c r="M373" s="122">
        <f t="shared" si="63"/>
        <v>780166.75</v>
      </c>
      <c r="N373" s="116">
        <f t="shared" si="64"/>
        <v>406467.75</v>
      </c>
      <c r="O373" s="123">
        <f t="shared" si="65"/>
        <v>98.921331224142122</v>
      </c>
      <c r="P373" s="5"/>
      <c r="Q373" s="5">
        <f t="shared" si="66"/>
        <v>1</v>
      </c>
      <c r="R373" s="7">
        <f t="shared" si="67"/>
        <v>4109</v>
      </c>
      <c r="S373" s="5">
        <f t="shared" si="68"/>
        <v>1</v>
      </c>
      <c r="T373" s="7">
        <f t="shared" si="69"/>
        <v>4109</v>
      </c>
    </row>
    <row r="374" spans="1:20">
      <c r="A374" s="23" t="s">
        <v>410</v>
      </c>
      <c r="B374" s="35" t="s">
        <v>411</v>
      </c>
      <c r="C374" s="36">
        <v>638</v>
      </c>
      <c r="D374" s="6"/>
      <c r="E374" s="113">
        <v>21084455</v>
      </c>
      <c r="F374" s="116">
        <f t="shared" si="71"/>
        <v>33047.735109717869</v>
      </c>
      <c r="G374" s="117">
        <v>12405860</v>
      </c>
      <c r="H374" s="117">
        <f t="shared" si="72"/>
        <v>19444.921630094042</v>
      </c>
      <c r="I374" s="7"/>
      <c r="J374" s="10">
        <v>4.25</v>
      </c>
      <c r="K374" s="117">
        <v>52724</v>
      </c>
      <c r="L374" s="120">
        <f t="shared" si="73"/>
        <v>82.639498432601883</v>
      </c>
      <c r="M374" s="122">
        <f t="shared" si="63"/>
        <v>124058.6</v>
      </c>
      <c r="N374" s="116">
        <f t="shared" si="64"/>
        <v>71334.600000000006</v>
      </c>
      <c r="O374" s="123">
        <f t="shared" si="65"/>
        <v>111.80971786833857</v>
      </c>
      <c r="P374" s="5"/>
      <c r="Q374" s="5">
        <f t="shared" si="66"/>
        <v>1</v>
      </c>
      <c r="R374" s="7">
        <f t="shared" si="67"/>
        <v>638</v>
      </c>
      <c r="S374" s="5">
        <f t="shared" si="68"/>
        <v>1</v>
      </c>
      <c r="T374" s="7">
        <f t="shared" si="69"/>
        <v>638</v>
      </c>
    </row>
    <row r="375" spans="1:20">
      <c r="A375" s="23" t="s">
        <v>412</v>
      </c>
      <c r="B375" s="35" t="s">
        <v>411</v>
      </c>
      <c r="C375" s="36">
        <v>6630</v>
      </c>
      <c r="D375" s="6"/>
      <c r="E375" s="113">
        <v>141585545</v>
      </c>
      <c r="F375" s="116">
        <f t="shared" si="71"/>
        <v>21355.285822021116</v>
      </c>
      <c r="G375" s="117">
        <v>83867409</v>
      </c>
      <c r="H375" s="117">
        <f t="shared" si="72"/>
        <v>12649.684615384615</v>
      </c>
      <c r="I375" s="7"/>
      <c r="J375" s="10">
        <v>4.7</v>
      </c>
      <c r="K375" s="117">
        <v>394176</v>
      </c>
      <c r="L375" s="120">
        <f t="shared" si="73"/>
        <v>59.453393665158373</v>
      </c>
      <c r="M375" s="122">
        <f t="shared" si="63"/>
        <v>838674.09</v>
      </c>
      <c r="N375" s="116">
        <f t="shared" si="64"/>
        <v>444498.08999999997</v>
      </c>
      <c r="O375" s="123">
        <f t="shared" si="65"/>
        <v>67.043452488687777</v>
      </c>
      <c r="P375" s="5"/>
      <c r="Q375" s="5">
        <f t="shared" si="66"/>
        <v>1</v>
      </c>
      <c r="R375" s="7">
        <f t="shared" si="67"/>
        <v>6630</v>
      </c>
      <c r="S375" s="5">
        <f t="shared" si="68"/>
        <v>1</v>
      </c>
      <c r="T375" s="7">
        <f t="shared" si="69"/>
        <v>6630</v>
      </c>
    </row>
    <row r="376" spans="1:20">
      <c r="A376" s="23" t="s">
        <v>413</v>
      </c>
      <c r="B376" s="35" t="s">
        <v>414</v>
      </c>
      <c r="C376" s="36">
        <v>7228</v>
      </c>
      <c r="D376" s="6"/>
      <c r="E376" s="113">
        <v>266903155</v>
      </c>
      <c r="F376" s="116">
        <f t="shared" si="71"/>
        <v>36926.28043718871</v>
      </c>
      <c r="G376" s="117">
        <v>153980991</v>
      </c>
      <c r="H376" s="117">
        <f t="shared" si="72"/>
        <v>21303.402185943552</v>
      </c>
      <c r="I376" s="7"/>
      <c r="J376" s="10">
        <v>4.7300000000000004</v>
      </c>
      <c r="K376" s="117">
        <v>728330</v>
      </c>
      <c r="L376" s="120">
        <f t="shared" si="73"/>
        <v>100.76508024349751</v>
      </c>
      <c r="M376" s="122">
        <f t="shared" si="63"/>
        <v>1539809.91</v>
      </c>
      <c r="N376" s="116">
        <f t="shared" si="64"/>
        <v>811479.90999999992</v>
      </c>
      <c r="O376" s="123">
        <f t="shared" si="65"/>
        <v>112.268941615938</v>
      </c>
      <c r="P376" s="5"/>
      <c r="Q376" s="5">
        <f t="shared" si="66"/>
        <v>1</v>
      </c>
      <c r="R376" s="7">
        <f t="shared" si="67"/>
        <v>7228</v>
      </c>
      <c r="S376" s="5">
        <f t="shared" si="68"/>
        <v>1</v>
      </c>
      <c r="T376" s="7">
        <f t="shared" si="69"/>
        <v>7228</v>
      </c>
    </row>
    <row r="377" spans="1:20">
      <c r="A377" s="23" t="s">
        <v>415</v>
      </c>
      <c r="B377" s="35" t="s">
        <v>416</v>
      </c>
      <c r="C377" s="36">
        <v>2043</v>
      </c>
      <c r="D377" s="6"/>
      <c r="E377" s="113">
        <v>50823853</v>
      </c>
      <c r="F377" s="116">
        <f t="shared" si="71"/>
        <v>24877.069505628977</v>
      </c>
      <c r="G377" s="117">
        <v>23473385</v>
      </c>
      <c r="H377" s="117">
        <f t="shared" si="72"/>
        <v>11489.664708761626</v>
      </c>
      <c r="I377" s="7"/>
      <c r="J377" s="10">
        <v>2.4500000000000002</v>
      </c>
      <c r="K377" s="117">
        <v>57509</v>
      </c>
      <c r="L377" s="120">
        <f t="shared" si="73"/>
        <v>28.149290259422418</v>
      </c>
      <c r="M377" s="122">
        <f t="shared" si="63"/>
        <v>234733.85</v>
      </c>
      <c r="N377" s="116">
        <f t="shared" si="64"/>
        <v>177224.85</v>
      </c>
      <c r="O377" s="123">
        <f t="shared" si="65"/>
        <v>86.74735682819383</v>
      </c>
      <c r="P377" s="5"/>
      <c r="Q377" s="5">
        <f t="shared" si="66"/>
        <v>1</v>
      </c>
      <c r="R377" s="7">
        <f t="shared" si="67"/>
        <v>2043</v>
      </c>
      <c r="S377" s="5">
        <f t="shared" si="68"/>
        <v>1</v>
      </c>
      <c r="T377" s="7">
        <f t="shared" si="69"/>
        <v>2043</v>
      </c>
    </row>
    <row r="378" spans="1:20">
      <c r="A378" s="23" t="s">
        <v>417</v>
      </c>
      <c r="B378" s="35" t="s">
        <v>416</v>
      </c>
      <c r="C378" s="36">
        <v>241</v>
      </c>
      <c r="D378" s="6"/>
      <c r="E378" s="113">
        <v>3499175</v>
      </c>
      <c r="F378" s="116">
        <f t="shared" si="71"/>
        <v>14519.398340248963</v>
      </c>
      <c r="G378" s="117">
        <v>1745441</v>
      </c>
      <c r="H378" s="117">
        <f t="shared" si="72"/>
        <v>7242.4937759336099</v>
      </c>
      <c r="I378" s="98" t="s">
        <v>528</v>
      </c>
      <c r="J378" s="10"/>
      <c r="K378" s="117"/>
      <c r="L378" s="120"/>
      <c r="M378" s="122">
        <f t="shared" si="63"/>
        <v>17454.41</v>
      </c>
      <c r="N378" s="116">
        <f t="shared" si="64"/>
        <v>17454.41</v>
      </c>
      <c r="O378" s="123">
        <f t="shared" si="65"/>
        <v>72.424937759336103</v>
      </c>
      <c r="P378" s="5"/>
      <c r="Q378" s="5">
        <f t="shared" si="66"/>
        <v>1</v>
      </c>
      <c r="R378" s="7">
        <f t="shared" si="67"/>
        <v>241</v>
      </c>
      <c r="S378" s="5">
        <f t="shared" si="68"/>
        <v>0</v>
      </c>
      <c r="T378" s="7">
        <f t="shared" si="69"/>
        <v>0</v>
      </c>
    </row>
    <row r="379" spans="1:20">
      <c r="A379" s="23" t="s">
        <v>418</v>
      </c>
      <c r="B379" s="35" t="s">
        <v>416</v>
      </c>
      <c r="C379" s="36">
        <v>211</v>
      </c>
      <c r="D379" s="6"/>
      <c r="E379" s="113">
        <v>4744525</v>
      </c>
      <c r="F379" s="116">
        <f t="shared" si="71"/>
        <v>22485.900473933649</v>
      </c>
      <c r="G379" s="117">
        <v>2874781</v>
      </c>
      <c r="H379" s="117">
        <f t="shared" si="72"/>
        <v>13624.554502369669</v>
      </c>
      <c r="I379" s="9"/>
      <c r="J379" s="10">
        <v>1</v>
      </c>
      <c r="K379" s="117">
        <v>2874</v>
      </c>
      <c r="L379" s="120">
        <f t="shared" ref="L379:L395" si="74">(K379/C379)</f>
        <v>13.62085308056872</v>
      </c>
      <c r="M379" s="122">
        <f t="shared" si="63"/>
        <v>28747.81</v>
      </c>
      <c r="N379" s="116">
        <f t="shared" si="64"/>
        <v>25873.81</v>
      </c>
      <c r="O379" s="123">
        <f t="shared" si="65"/>
        <v>122.62469194312797</v>
      </c>
      <c r="P379" s="5"/>
      <c r="Q379" s="5">
        <f t="shared" si="66"/>
        <v>1</v>
      </c>
      <c r="R379" s="7">
        <f t="shared" si="67"/>
        <v>211</v>
      </c>
      <c r="S379" s="5">
        <f t="shared" si="68"/>
        <v>1</v>
      </c>
      <c r="T379" s="7">
        <f t="shared" si="69"/>
        <v>211</v>
      </c>
    </row>
    <row r="380" spans="1:20">
      <c r="A380" s="23" t="s">
        <v>419</v>
      </c>
      <c r="B380" s="35" t="s">
        <v>420</v>
      </c>
      <c r="C380" s="36">
        <v>65102</v>
      </c>
      <c r="D380" s="6"/>
      <c r="E380" s="113">
        <v>3304470626</v>
      </c>
      <c r="F380" s="116">
        <f t="shared" si="71"/>
        <v>50758.358053516022</v>
      </c>
      <c r="G380" s="117">
        <v>2355549935</v>
      </c>
      <c r="H380" s="117">
        <f t="shared" si="72"/>
        <v>36182.451153574388</v>
      </c>
      <c r="I380" s="7"/>
      <c r="J380" s="10">
        <v>6.1167999999999996</v>
      </c>
      <c r="K380" s="117">
        <v>14408427</v>
      </c>
      <c r="L380" s="120">
        <f t="shared" si="74"/>
        <v>221.32080427636632</v>
      </c>
      <c r="M380" s="122">
        <f t="shared" si="63"/>
        <v>23555499.350000001</v>
      </c>
      <c r="N380" s="116">
        <f t="shared" si="64"/>
        <v>9147072.3500000015</v>
      </c>
      <c r="O380" s="123">
        <f t="shared" si="65"/>
        <v>140.50370725937762</v>
      </c>
      <c r="P380" s="5"/>
      <c r="Q380" s="5">
        <f t="shared" si="66"/>
        <v>1</v>
      </c>
      <c r="R380" s="7">
        <f t="shared" si="67"/>
        <v>65102</v>
      </c>
      <c r="S380" s="5">
        <f t="shared" si="68"/>
        <v>1</v>
      </c>
      <c r="T380" s="7">
        <f t="shared" si="69"/>
        <v>65102</v>
      </c>
    </row>
    <row r="381" spans="1:20">
      <c r="A381" s="23" t="s">
        <v>421</v>
      </c>
      <c r="B381" s="35" t="s">
        <v>420</v>
      </c>
      <c r="C381" s="36">
        <v>2955</v>
      </c>
      <c r="D381" s="6"/>
      <c r="E381" s="113">
        <v>647844765</v>
      </c>
      <c r="F381" s="116">
        <f t="shared" si="71"/>
        <v>219236.80710659898</v>
      </c>
      <c r="G381" s="117">
        <v>595364957</v>
      </c>
      <c r="H381" s="117">
        <f t="shared" si="72"/>
        <v>201477.14280879864</v>
      </c>
      <c r="I381" s="7"/>
      <c r="J381" s="10">
        <v>3.7296999999999998</v>
      </c>
      <c r="K381" s="117">
        <v>2220532</v>
      </c>
      <c r="L381" s="120">
        <f t="shared" si="74"/>
        <v>751.44906937394251</v>
      </c>
      <c r="M381" s="122">
        <f t="shared" si="63"/>
        <v>5953649.5700000003</v>
      </c>
      <c r="N381" s="116">
        <f t="shared" si="64"/>
        <v>3733117.5700000003</v>
      </c>
      <c r="O381" s="123">
        <f t="shared" si="65"/>
        <v>1263.3223587140442</v>
      </c>
      <c r="P381" s="5"/>
      <c r="Q381" s="5">
        <f t="shared" si="66"/>
        <v>1</v>
      </c>
      <c r="R381" s="7">
        <f t="shared" si="67"/>
        <v>2955</v>
      </c>
      <c r="S381" s="5">
        <f t="shared" si="68"/>
        <v>1</v>
      </c>
      <c r="T381" s="7">
        <f t="shared" si="69"/>
        <v>2955</v>
      </c>
    </row>
    <row r="382" spans="1:20">
      <c r="A382" s="23" t="s">
        <v>462</v>
      </c>
      <c r="B382" s="35" t="s">
        <v>420</v>
      </c>
      <c r="C382" s="36">
        <v>13368</v>
      </c>
      <c r="D382" s="6"/>
      <c r="E382" s="113">
        <v>812734388</v>
      </c>
      <c r="F382" s="116">
        <f t="shared" si="71"/>
        <v>60797.006882106522</v>
      </c>
      <c r="G382" s="117">
        <v>645150858</v>
      </c>
      <c r="H382" s="117">
        <f t="shared" si="72"/>
        <v>48260.836175942546</v>
      </c>
      <c r="I382" s="7"/>
      <c r="J382" s="11">
        <v>2.5876000000000001</v>
      </c>
      <c r="K382" s="117">
        <v>1669392</v>
      </c>
      <c r="L382" s="120">
        <f t="shared" si="74"/>
        <v>124.87971274685817</v>
      </c>
      <c r="M382" s="122">
        <f t="shared" si="63"/>
        <v>6451508.5800000001</v>
      </c>
      <c r="N382" s="116">
        <f t="shared" si="64"/>
        <v>4782116.58</v>
      </c>
      <c r="O382" s="123">
        <f t="shared" si="65"/>
        <v>357.7286490125673</v>
      </c>
      <c r="P382" s="5"/>
      <c r="Q382" s="5">
        <f t="shared" si="66"/>
        <v>1</v>
      </c>
      <c r="R382" s="7">
        <f t="shared" si="67"/>
        <v>13368</v>
      </c>
      <c r="S382" s="5">
        <f t="shared" si="68"/>
        <v>1</v>
      </c>
      <c r="T382" s="7">
        <f t="shared" si="69"/>
        <v>13368</v>
      </c>
    </row>
    <row r="383" spans="1:20">
      <c r="A383" s="23" t="s">
        <v>463</v>
      </c>
      <c r="B383" s="35" t="s">
        <v>420</v>
      </c>
      <c r="C383" s="36">
        <v>18639</v>
      </c>
      <c r="D383" s="6"/>
      <c r="E383" s="113">
        <v>976277375</v>
      </c>
      <c r="F383" s="116">
        <f t="shared" si="71"/>
        <v>52378.205644079615</v>
      </c>
      <c r="G383" s="117">
        <v>650837703</v>
      </c>
      <c r="H383" s="117">
        <f t="shared" si="72"/>
        <v>34918.059069692579</v>
      </c>
      <c r="I383" s="7"/>
      <c r="J383" s="10">
        <v>5.7869999999999999</v>
      </c>
      <c r="K383" s="117">
        <v>3766397</v>
      </c>
      <c r="L383" s="120">
        <f t="shared" si="74"/>
        <v>202.07076559901282</v>
      </c>
      <c r="M383" s="122">
        <f t="shared" si="63"/>
        <v>6508377.0300000003</v>
      </c>
      <c r="N383" s="116">
        <f t="shared" si="64"/>
        <v>2741980.0300000003</v>
      </c>
      <c r="O383" s="123">
        <f t="shared" si="65"/>
        <v>147.10982509791299</v>
      </c>
      <c r="P383" s="5"/>
      <c r="Q383" s="5">
        <f t="shared" si="66"/>
        <v>1</v>
      </c>
      <c r="R383" s="7">
        <f t="shared" si="67"/>
        <v>18639</v>
      </c>
      <c r="S383" s="5">
        <f t="shared" si="68"/>
        <v>1</v>
      </c>
      <c r="T383" s="7">
        <f t="shared" si="69"/>
        <v>18639</v>
      </c>
    </row>
    <row r="384" spans="1:20">
      <c r="A384" s="23" t="s">
        <v>422</v>
      </c>
      <c r="B384" s="35" t="s">
        <v>420</v>
      </c>
      <c r="C384" s="36">
        <v>61191</v>
      </c>
      <c r="D384" s="6"/>
      <c r="E384" s="113">
        <v>1938417261</v>
      </c>
      <c r="F384" s="116">
        <f t="shared" si="71"/>
        <v>31678.143207334411</v>
      </c>
      <c r="G384" s="117">
        <v>1349437518</v>
      </c>
      <c r="H384" s="117">
        <f t="shared" si="72"/>
        <v>22052.875717017207</v>
      </c>
      <c r="I384" s="7"/>
      <c r="J384" s="10">
        <v>4.1980000000000004</v>
      </c>
      <c r="K384" s="117">
        <v>5664938</v>
      </c>
      <c r="L384" s="120">
        <f t="shared" si="74"/>
        <v>92.577960811230412</v>
      </c>
      <c r="M384" s="122">
        <f t="shared" si="63"/>
        <v>13494375.18</v>
      </c>
      <c r="N384" s="116">
        <f t="shared" si="64"/>
        <v>7829437.1799999997</v>
      </c>
      <c r="O384" s="123">
        <f t="shared" si="65"/>
        <v>127.95079635894167</v>
      </c>
      <c r="P384" s="5"/>
      <c r="Q384" s="5">
        <f t="shared" si="66"/>
        <v>1</v>
      </c>
      <c r="R384" s="7">
        <f t="shared" si="67"/>
        <v>61191</v>
      </c>
      <c r="S384" s="5">
        <f t="shared" si="68"/>
        <v>1</v>
      </c>
      <c r="T384" s="7">
        <f t="shared" si="69"/>
        <v>61191</v>
      </c>
    </row>
    <row r="385" spans="1:20">
      <c r="A385" s="23" t="s">
        <v>423</v>
      </c>
      <c r="B385" s="35" t="s">
        <v>420</v>
      </c>
      <c r="C385" s="36">
        <v>18507</v>
      </c>
      <c r="D385" s="6"/>
      <c r="E385" s="113">
        <v>589101211</v>
      </c>
      <c r="F385" s="116">
        <f t="shared" si="71"/>
        <v>31831.26444048198</v>
      </c>
      <c r="G385" s="117">
        <v>413951706</v>
      </c>
      <c r="H385" s="117">
        <f t="shared" si="72"/>
        <v>22367.304587453396</v>
      </c>
      <c r="I385" s="7"/>
      <c r="J385" s="10">
        <v>5.95</v>
      </c>
      <c r="K385" s="117">
        <v>2463012</v>
      </c>
      <c r="L385" s="120">
        <f t="shared" si="74"/>
        <v>133.0854271356784</v>
      </c>
      <c r="M385" s="122">
        <f t="shared" si="63"/>
        <v>4139517.06</v>
      </c>
      <c r="N385" s="116">
        <f t="shared" si="64"/>
        <v>1676505.06</v>
      </c>
      <c r="O385" s="123">
        <f t="shared" si="65"/>
        <v>90.587618738855568</v>
      </c>
      <c r="P385" s="5"/>
      <c r="Q385" s="5">
        <f t="shared" si="66"/>
        <v>1</v>
      </c>
      <c r="R385" s="7">
        <f t="shared" si="67"/>
        <v>18507</v>
      </c>
      <c r="S385" s="5">
        <f t="shared" si="68"/>
        <v>1</v>
      </c>
      <c r="T385" s="7">
        <f t="shared" si="69"/>
        <v>18507</v>
      </c>
    </row>
    <row r="386" spans="1:20">
      <c r="A386" s="23" t="s">
        <v>424</v>
      </c>
      <c r="B386" s="35" t="s">
        <v>420</v>
      </c>
      <c r="C386" s="36">
        <v>11383</v>
      </c>
      <c r="D386" s="6"/>
      <c r="E386" s="113">
        <v>416962529</v>
      </c>
      <c r="F386" s="116">
        <f t="shared" si="71"/>
        <v>36630.28454713169</v>
      </c>
      <c r="G386" s="117">
        <v>297402418</v>
      </c>
      <c r="H386" s="117">
        <f t="shared" si="72"/>
        <v>26126.89255907933</v>
      </c>
      <c r="I386" s="9"/>
      <c r="J386" s="10">
        <v>5.09</v>
      </c>
      <c r="K386" s="117">
        <v>1513778</v>
      </c>
      <c r="L386" s="120">
        <f t="shared" si="74"/>
        <v>132.98585610120355</v>
      </c>
      <c r="M386" s="122">
        <f t="shared" si="63"/>
        <v>2974024.18</v>
      </c>
      <c r="N386" s="116">
        <f t="shared" si="64"/>
        <v>1460246.1800000002</v>
      </c>
      <c r="O386" s="123">
        <f t="shared" si="65"/>
        <v>128.28306948958976</v>
      </c>
      <c r="P386" s="5"/>
      <c r="Q386" s="5">
        <f t="shared" si="66"/>
        <v>1</v>
      </c>
      <c r="R386" s="7">
        <f t="shared" si="67"/>
        <v>11383</v>
      </c>
      <c r="S386" s="5">
        <f t="shared" si="68"/>
        <v>1</v>
      </c>
      <c r="T386" s="7">
        <f t="shared" si="69"/>
        <v>11383</v>
      </c>
    </row>
    <row r="387" spans="1:20">
      <c r="A387" s="23" t="s">
        <v>425</v>
      </c>
      <c r="B387" s="35" t="s">
        <v>420</v>
      </c>
      <c r="C387" s="36">
        <v>2582</v>
      </c>
      <c r="D387" s="6"/>
      <c r="E387" s="113">
        <v>73822715</v>
      </c>
      <c r="F387" s="116">
        <f t="shared" si="71"/>
        <v>28591.291634391946</v>
      </c>
      <c r="G387" s="117">
        <v>47421396</v>
      </c>
      <c r="H387" s="117">
        <f t="shared" si="72"/>
        <v>18366.148721920992</v>
      </c>
      <c r="I387" s="7"/>
      <c r="J387" s="10">
        <v>5.2</v>
      </c>
      <c r="K387" s="117">
        <v>246591</v>
      </c>
      <c r="L387" s="120">
        <f t="shared" si="74"/>
        <v>95.503872966692484</v>
      </c>
      <c r="M387" s="122">
        <f t="shared" si="63"/>
        <v>474213.96</v>
      </c>
      <c r="N387" s="116">
        <f t="shared" si="64"/>
        <v>227622.96000000002</v>
      </c>
      <c r="O387" s="123">
        <f t="shared" si="65"/>
        <v>88.157614252517433</v>
      </c>
      <c r="P387" s="5"/>
      <c r="Q387" s="5">
        <f t="shared" si="66"/>
        <v>1</v>
      </c>
      <c r="R387" s="7">
        <f t="shared" si="67"/>
        <v>2582</v>
      </c>
      <c r="S387" s="5">
        <f t="shared" si="68"/>
        <v>1</v>
      </c>
      <c r="T387" s="7">
        <f t="shared" si="69"/>
        <v>2582</v>
      </c>
    </row>
    <row r="388" spans="1:20">
      <c r="A388" s="23" t="s">
        <v>426</v>
      </c>
      <c r="B388" s="35" t="s">
        <v>420</v>
      </c>
      <c r="C388" s="36">
        <v>18603</v>
      </c>
      <c r="D388" s="6"/>
      <c r="E388" s="113">
        <v>1541901991</v>
      </c>
      <c r="F388" s="116">
        <f t="shared" si="71"/>
        <v>82884.588023437085</v>
      </c>
      <c r="G388" s="117">
        <v>1242745794</v>
      </c>
      <c r="H388" s="117">
        <f t="shared" si="72"/>
        <v>66803.515239477507</v>
      </c>
      <c r="I388" s="7"/>
      <c r="J388" s="10">
        <v>5.1336000000000004</v>
      </c>
      <c r="K388" s="117">
        <v>6379759</v>
      </c>
      <c r="L388" s="120">
        <f t="shared" si="74"/>
        <v>342.9424823953126</v>
      </c>
      <c r="M388" s="122">
        <f t="shared" si="63"/>
        <v>12427457.939999999</v>
      </c>
      <c r="N388" s="116">
        <f t="shared" si="64"/>
        <v>6047698.9399999995</v>
      </c>
      <c r="O388" s="123">
        <f t="shared" si="65"/>
        <v>325.09266999946243</v>
      </c>
      <c r="P388" s="5"/>
      <c r="Q388" s="5">
        <f t="shared" si="66"/>
        <v>1</v>
      </c>
      <c r="R388" s="7">
        <f t="shared" si="67"/>
        <v>18603</v>
      </c>
      <c r="S388" s="5">
        <f t="shared" si="68"/>
        <v>1</v>
      </c>
      <c r="T388" s="7">
        <f t="shared" si="69"/>
        <v>18603</v>
      </c>
    </row>
    <row r="389" spans="1:20">
      <c r="A389" s="23" t="s">
        <v>427</v>
      </c>
      <c r="B389" s="35" t="s">
        <v>420</v>
      </c>
      <c r="C389" s="36">
        <v>1432</v>
      </c>
      <c r="D389" s="6"/>
      <c r="E389" s="113">
        <v>57781735</v>
      </c>
      <c r="F389" s="116">
        <f t="shared" si="71"/>
        <v>40350.373603351953</v>
      </c>
      <c r="G389" s="117">
        <v>38931521</v>
      </c>
      <c r="H389" s="117">
        <f t="shared" si="72"/>
        <v>27186.816340782123</v>
      </c>
      <c r="I389" s="7"/>
      <c r="J389" s="11">
        <v>5.0140000000000002</v>
      </c>
      <c r="K389" s="117">
        <v>195202</v>
      </c>
      <c r="L389" s="120">
        <f t="shared" si="74"/>
        <v>136.31424581005587</v>
      </c>
      <c r="M389" s="122">
        <f t="shared" si="63"/>
        <v>389315.21</v>
      </c>
      <c r="N389" s="116">
        <f t="shared" si="64"/>
        <v>194113.21000000002</v>
      </c>
      <c r="O389" s="123">
        <f t="shared" si="65"/>
        <v>135.55391759776538</v>
      </c>
      <c r="P389" s="5"/>
      <c r="Q389" s="5">
        <f t="shared" si="66"/>
        <v>1</v>
      </c>
      <c r="R389" s="7">
        <f t="shared" si="67"/>
        <v>1432</v>
      </c>
      <c r="S389" s="5">
        <f t="shared" si="68"/>
        <v>1</v>
      </c>
      <c r="T389" s="7">
        <f t="shared" si="69"/>
        <v>1432</v>
      </c>
    </row>
    <row r="390" spans="1:20">
      <c r="A390" s="23" t="s">
        <v>428</v>
      </c>
      <c r="B390" s="35" t="s">
        <v>420</v>
      </c>
      <c r="C390" s="36">
        <v>6400</v>
      </c>
      <c r="D390" s="6"/>
      <c r="E390" s="113">
        <v>313026136</v>
      </c>
      <c r="F390" s="116">
        <f t="shared" si="71"/>
        <v>48910.333749999998</v>
      </c>
      <c r="G390" s="117">
        <v>257968844</v>
      </c>
      <c r="H390" s="117">
        <f t="shared" si="72"/>
        <v>40307.631874999999</v>
      </c>
      <c r="I390" s="7"/>
      <c r="J390" s="10">
        <v>5.3794000000000004</v>
      </c>
      <c r="K390" s="117">
        <v>1387717</v>
      </c>
      <c r="L390" s="120">
        <f t="shared" si="74"/>
        <v>216.83078125</v>
      </c>
      <c r="M390" s="122">
        <f t="shared" ref="M390:M405" si="75">(G390*0.01)</f>
        <v>2579688.44</v>
      </c>
      <c r="N390" s="116">
        <f t="shared" ref="N390:N405" si="76">(M390-K390)</f>
        <v>1191971.44</v>
      </c>
      <c r="O390" s="123">
        <f t="shared" ref="O390:O405" si="77">(N390/C390)</f>
        <v>186.24553749999998</v>
      </c>
      <c r="P390" s="5"/>
      <c r="Q390" s="5">
        <f t="shared" si="66"/>
        <v>1</v>
      </c>
      <c r="R390" s="7">
        <f t="shared" si="67"/>
        <v>6400</v>
      </c>
      <c r="S390" s="5">
        <f t="shared" si="68"/>
        <v>1</v>
      </c>
      <c r="T390" s="7">
        <f t="shared" si="69"/>
        <v>6400</v>
      </c>
    </row>
    <row r="391" spans="1:20">
      <c r="A391" s="23" t="s">
        <v>429</v>
      </c>
      <c r="B391" s="35" t="s">
        <v>420</v>
      </c>
      <c r="C391" s="36">
        <v>35620</v>
      </c>
      <c r="D391" s="6"/>
      <c r="E391" s="113">
        <v>2196010261</v>
      </c>
      <c r="F391" s="116">
        <f t="shared" si="71"/>
        <v>61651.046069623808</v>
      </c>
      <c r="G391" s="117">
        <v>1728682588</v>
      </c>
      <c r="H391" s="117">
        <f t="shared" si="72"/>
        <v>48531.234924199889</v>
      </c>
      <c r="I391" s="7"/>
      <c r="J391" s="10">
        <v>2.7927</v>
      </c>
      <c r="K391" s="117">
        <v>4827691</v>
      </c>
      <c r="L391" s="120">
        <f t="shared" si="74"/>
        <v>135.53315553060079</v>
      </c>
      <c r="M391" s="122">
        <f t="shared" si="75"/>
        <v>17286825.879999999</v>
      </c>
      <c r="N391" s="116">
        <f t="shared" si="76"/>
        <v>12459134.879999999</v>
      </c>
      <c r="O391" s="123">
        <f t="shared" si="77"/>
        <v>349.77919371139808</v>
      </c>
      <c r="P391" s="5"/>
      <c r="Q391" s="5">
        <f t="shared" ref="Q391:Q405" si="78">IF(E391&gt;0,1,0)</f>
        <v>1</v>
      </c>
      <c r="R391" s="7">
        <f t="shared" ref="R391:R405" si="79">IF(E391&gt;0,C391,0)</f>
        <v>35620</v>
      </c>
      <c r="S391" s="5">
        <f t="shared" ref="S391:S405" si="80">IF(J391&gt;0,1,0)</f>
        <v>1</v>
      </c>
      <c r="T391" s="7">
        <f t="shared" ref="T391:T405" si="81">IF(J391&gt;0,C391,0)</f>
        <v>35620</v>
      </c>
    </row>
    <row r="392" spans="1:20">
      <c r="A392" s="23" t="s">
        <v>430</v>
      </c>
      <c r="B392" s="35" t="s">
        <v>420</v>
      </c>
      <c r="C392" s="36">
        <v>1226</v>
      </c>
      <c r="D392" s="6"/>
      <c r="E392" s="113">
        <v>53151628</v>
      </c>
      <c r="F392" s="116">
        <f t="shared" si="71"/>
        <v>43353.693311582385</v>
      </c>
      <c r="G392" s="117">
        <v>31316341</v>
      </c>
      <c r="H392" s="117">
        <f t="shared" si="72"/>
        <v>25543.508156606851</v>
      </c>
      <c r="I392" s="7"/>
      <c r="J392" s="10">
        <v>5.4029999999999996</v>
      </c>
      <c r="K392" s="117">
        <v>169202</v>
      </c>
      <c r="L392" s="120">
        <f t="shared" si="74"/>
        <v>138.01141924959217</v>
      </c>
      <c r="M392" s="122">
        <f t="shared" si="75"/>
        <v>313163.41000000003</v>
      </c>
      <c r="N392" s="116">
        <f t="shared" si="76"/>
        <v>143961.41000000003</v>
      </c>
      <c r="O392" s="123">
        <f t="shared" si="77"/>
        <v>117.42366231647637</v>
      </c>
      <c r="P392" s="5"/>
      <c r="Q392" s="5">
        <f t="shared" si="78"/>
        <v>1</v>
      </c>
      <c r="R392" s="7">
        <f t="shared" si="79"/>
        <v>1226</v>
      </c>
      <c r="S392" s="5">
        <f t="shared" si="80"/>
        <v>1</v>
      </c>
      <c r="T392" s="7">
        <f t="shared" si="81"/>
        <v>1226</v>
      </c>
    </row>
    <row r="393" spans="1:20">
      <c r="A393" s="23" t="s">
        <v>431</v>
      </c>
      <c r="B393" s="35" t="s">
        <v>420</v>
      </c>
      <c r="C393" s="36">
        <v>2525</v>
      </c>
      <c r="D393" s="6"/>
      <c r="E393" s="113">
        <v>312774925</v>
      </c>
      <c r="F393" s="116">
        <f t="shared" si="71"/>
        <v>123871.25742574257</v>
      </c>
      <c r="G393" s="117">
        <v>271059458</v>
      </c>
      <c r="H393" s="117">
        <f t="shared" si="72"/>
        <v>107350.2803960396</v>
      </c>
      <c r="I393" s="7"/>
      <c r="J393" s="10">
        <v>4.3780000000000001</v>
      </c>
      <c r="K393" s="117">
        <v>1186698</v>
      </c>
      <c r="L393" s="120">
        <f t="shared" si="74"/>
        <v>469.97940594059406</v>
      </c>
      <c r="M393" s="122">
        <f t="shared" si="75"/>
        <v>2710594.58</v>
      </c>
      <c r="N393" s="116">
        <f t="shared" si="76"/>
        <v>1523896.58</v>
      </c>
      <c r="O393" s="123">
        <f t="shared" si="77"/>
        <v>603.52339801980202</v>
      </c>
      <c r="P393" s="5"/>
      <c r="Q393" s="5">
        <f t="shared" si="78"/>
        <v>1</v>
      </c>
      <c r="R393" s="7">
        <f t="shared" si="79"/>
        <v>2525</v>
      </c>
      <c r="S393" s="5">
        <f t="shared" si="80"/>
        <v>1</v>
      </c>
      <c r="T393" s="7">
        <f t="shared" si="81"/>
        <v>2525</v>
      </c>
    </row>
    <row r="394" spans="1:20">
      <c r="A394" s="23" t="s">
        <v>432</v>
      </c>
      <c r="B394" s="35" t="s">
        <v>420</v>
      </c>
      <c r="C394" s="36">
        <v>45282</v>
      </c>
      <c r="D394" s="6"/>
      <c r="E394" s="113">
        <v>1706033848</v>
      </c>
      <c r="F394" s="116">
        <f t="shared" si="71"/>
        <v>37675.761847974914</v>
      </c>
      <c r="G394" s="117">
        <v>1235319000</v>
      </c>
      <c r="H394" s="117">
        <f t="shared" si="72"/>
        <v>27280.575062938915</v>
      </c>
      <c r="I394" s="7"/>
      <c r="J394" s="10">
        <v>4.4851000000000001</v>
      </c>
      <c r="K394" s="117">
        <v>5540529</v>
      </c>
      <c r="L394" s="120">
        <f t="shared" si="74"/>
        <v>122.35610176228965</v>
      </c>
      <c r="M394" s="122">
        <f t="shared" si="75"/>
        <v>12353190</v>
      </c>
      <c r="N394" s="116">
        <f t="shared" si="76"/>
        <v>6812661</v>
      </c>
      <c r="O394" s="123">
        <f t="shared" si="77"/>
        <v>150.44964886709951</v>
      </c>
      <c r="P394" s="5"/>
      <c r="Q394" s="5">
        <f t="shared" si="78"/>
        <v>1</v>
      </c>
      <c r="R394" s="7">
        <f t="shared" si="79"/>
        <v>45282</v>
      </c>
      <c r="S394" s="5">
        <f t="shared" si="80"/>
        <v>1</v>
      </c>
      <c r="T394" s="7">
        <f t="shared" si="81"/>
        <v>45282</v>
      </c>
    </row>
    <row r="395" spans="1:20">
      <c r="A395" s="23" t="s">
        <v>433</v>
      </c>
      <c r="B395" s="35" t="s">
        <v>420</v>
      </c>
      <c r="C395" s="36">
        <v>13337</v>
      </c>
      <c r="D395" s="6"/>
      <c r="E395" s="113">
        <v>473953879</v>
      </c>
      <c r="F395" s="116">
        <f t="shared" si="71"/>
        <v>35536.768313713728</v>
      </c>
      <c r="G395" s="117">
        <v>365907967</v>
      </c>
      <c r="H395" s="117">
        <f t="shared" si="72"/>
        <v>27435.552747994301</v>
      </c>
      <c r="I395" s="7"/>
      <c r="J395" s="10">
        <v>4.1848999999999998</v>
      </c>
      <c r="K395" s="117">
        <v>1531288</v>
      </c>
      <c r="L395" s="120">
        <f t="shared" si="74"/>
        <v>114.81502586788633</v>
      </c>
      <c r="M395" s="122">
        <f t="shared" si="75"/>
        <v>3659079.67</v>
      </c>
      <c r="N395" s="116">
        <f t="shared" si="76"/>
        <v>2127791.67</v>
      </c>
      <c r="O395" s="123">
        <f t="shared" si="77"/>
        <v>159.54050161205669</v>
      </c>
      <c r="P395" s="5"/>
      <c r="Q395" s="5">
        <f t="shared" si="78"/>
        <v>1</v>
      </c>
      <c r="R395" s="7">
        <f t="shared" si="79"/>
        <v>13337</v>
      </c>
      <c r="S395" s="5">
        <f t="shared" si="80"/>
        <v>1</v>
      </c>
      <c r="T395" s="7">
        <f t="shared" si="81"/>
        <v>13337</v>
      </c>
    </row>
    <row r="396" spans="1:20">
      <c r="A396" s="23" t="s">
        <v>435</v>
      </c>
      <c r="B396" s="35" t="s">
        <v>434</v>
      </c>
      <c r="C396" s="36">
        <v>456</v>
      </c>
      <c r="D396" s="6"/>
      <c r="E396" s="113">
        <v>58543891</v>
      </c>
      <c r="F396" s="116">
        <f t="shared" si="71"/>
        <v>128385.72587719298</v>
      </c>
      <c r="G396" s="117">
        <v>34406525</v>
      </c>
      <c r="H396" s="117">
        <f t="shared" si="72"/>
        <v>75452.905701754382</v>
      </c>
      <c r="I396" s="98" t="s">
        <v>528</v>
      </c>
      <c r="J396" s="10"/>
      <c r="K396" s="117"/>
      <c r="L396" s="120"/>
      <c r="M396" s="122">
        <f t="shared" si="75"/>
        <v>344065.25</v>
      </c>
      <c r="N396" s="116">
        <f t="shared" si="76"/>
        <v>344065.25</v>
      </c>
      <c r="O396" s="123">
        <f t="shared" si="77"/>
        <v>754.52905701754389</v>
      </c>
      <c r="P396" s="5"/>
      <c r="Q396" s="5">
        <f t="shared" si="78"/>
        <v>1</v>
      </c>
      <c r="R396" s="7">
        <f t="shared" si="79"/>
        <v>456</v>
      </c>
      <c r="S396" s="5">
        <f t="shared" si="80"/>
        <v>0</v>
      </c>
      <c r="T396" s="7">
        <f t="shared" si="81"/>
        <v>0</v>
      </c>
    </row>
    <row r="397" spans="1:20">
      <c r="A397" s="23" t="s">
        <v>555</v>
      </c>
      <c r="B397" s="35" t="s">
        <v>434</v>
      </c>
      <c r="C397" s="36">
        <v>300</v>
      </c>
      <c r="D397" s="6"/>
      <c r="E397" s="113">
        <v>52743282</v>
      </c>
      <c r="F397" s="116">
        <f t="shared" si="71"/>
        <v>175810.94</v>
      </c>
      <c r="G397" s="117">
        <v>10199862</v>
      </c>
      <c r="H397" s="117">
        <f t="shared" si="72"/>
        <v>33999.54</v>
      </c>
      <c r="I397" s="7"/>
      <c r="J397" s="10">
        <v>5</v>
      </c>
      <c r="K397" s="117">
        <v>50999</v>
      </c>
      <c r="L397" s="120">
        <f>(K397/C397)</f>
        <v>169.99666666666667</v>
      </c>
      <c r="M397" s="122">
        <f t="shared" si="75"/>
        <v>101998.62</v>
      </c>
      <c r="N397" s="116">
        <f t="shared" si="76"/>
        <v>50999.619999999995</v>
      </c>
      <c r="O397" s="123">
        <f t="shared" si="77"/>
        <v>169.99873333333332</v>
      </c>
      <c r="P397" s="5"/>
      <c r="Q397" s="5">
        <f t="shared" si="78"/>
        <v>1</v>
      </c>
      <c r="R397" s="7">
        <f t="shared" si="79"/>
        <v>300</v>
      </c>
      <c r="S397" s="5">
        <f t="shared" si="80"/>
        <v>1</v>
      </c>
      <c r="T397" s="7">
        <f t="shared" si="81"/>
        <v>300</v>
      </c>
    </row>
    <row r="398" spans="1:20">
      <c r="A398" s="23" t="s">
        <v>436</v>
      </c>
      <c r="B398" s="35" t="s">
        <v>437</v>
      </c>
      <c r="C398" s="36">
        <v>5514</v>
      </c>
      <c r="D398" s="6"/>
      <c r="E398" s="113">
        <v>189060337</v>
      </c>
      <c r="F398" s="116">
        <f t="shared" si="71"/>
        <v>34287.329887558939</v>
      </c>
      <c r="G398" s="117">
        <v>120043333</v>
      </c>
      <c r="H398" s="117">
        <f t="shared" si="72"/>
        <v>21770.644359811387</v>
      </c>
      <c r="I398" s="7"/>
      <c r="J398" s="10">
        <v>4.5</v>
      </c>
      <c r="K398" s="117">
        <v>540194</v>
      </c>
      <c r="L398" s="120">
        <f>(K398/C398)</f>
        <v>97.967718534639104</v>
      </c>
      <c r="M398" s="122">
        <f t="shared" si="75"/>
        <v>1200433.33</v>
      </c>
      <c r="N398" s="116">
        <f t="shared" si="76"/>
        <v>660239.33000000007</v>
      </c>
      <c r="O398" s="123">
        <f t="shared" si="77"/>
        <v>119.7387250634748</v>
      </c>
      <c r="P398" s="5"/>
      <c r="Q398" s="5">
        <f t="shared" si="78"/>
        <v>1</v>
      </c>
      <c r="R398" s="7">
        <f t="shared" si="79"/>
        <v>5514</v>
      </c>
      <c r="S398" s="5">
        <f t="shared" si="80"/>
        <v>1</v>
      </c>
      <c r="T398" s="7">
        <f t="shared" si="81"/>
        <v>5514</v>
      </c>
    </row>
    <row r="399" spans="1:20">
      <c r="A399" s="23" t="s">
        <v>438</v>
      </c>
      <c r="B399" s="35" t="s">
        <v>437</v>
      </c>
      <c r="C399" s="36">
        <v>1242</v>
      </c>
      <c r="D399" s="6"/>
      <c r="E399" s="113">
        <v>33556430</v>
      </c>
      <c r="F399" s="116">
        <f t="shared" si="71"/>
        <v>27018.059581320449</v>
      </c>
      <c r="G399" s="117">
        <v>21608229</v>
      </c>
      <c r="H399" s="117">
        <f t="shared" si="72"/>
        <v>17397.929951690821</v>
      </c>
      <c r="I399" s="7"/>
      <c r="J399" s="10">
        <v>3.93</v>
      </c>
      <c r="K399" s="117">
        <v>84920</v>
      </c>
      <c r="L399" s="120">
        <f>(K399/C399)</f>
        <v>68.373590982286629</v>
      </c>
      <c r="M399" s="122">
        <f t="shared" si="75"/>
        <v>216082.29</v>
      </c>
      <c r="N399" s="116">
        <f t="shared" si="76"/>
        <v>131162.29</v>
      </c>
      <c r="O399" s="123">
        <f t="shared" si="77"/>
        <v>105.60570853462158</v>
      </c>
      <c r="P399" s="5"/>
      <c r="Q399" s="5">
        <f t="shared" si="78"/>
        <v>1</v>
      </c>
      <c r="R399" s="7">
        <f t="shared" si="79"/>
        <v>1242</v>
      </c>
      <c r="S399" s="5">
        <f t="shared" si="80"/>
        <v>1</v>
      </c>
      <c r="T399" s="7">
        <f t="shared" si="81"/>
        <v>1242</v>
      </c>
    </row>
    <row r="400" spans="1:20">
      <c r="A400" s="23" t="s">
        <v>439</v>
      </c>
      <c r="B400" s="35" t="s">
        <v>437</v>
      </c>
      <c r="C400" s="36">
        <v>610</v>
      </c>
      <c r="D400" s="6"/>
      <c r="E400" s="113">
        <v>12786531</v>
      </c>
      <c r="F400" s="116">
        <f t="shared" si="71"/>
        <v>20961.526229508196</v>
      </c>
      <c r="G400" s="117">
        <v>5258883</v>
      </c>
      <c r="H400" s="117">
        <f t="shared" si="72"/>
        <v>8621.119672131148</v>
      </c>
      <c r="I400" s="98" t="s">
        <v>528</v>
      </c>
      <c r="J400" s="10"/>
      <c r="K400" s="117"/>
      <c r="L400" s="120"/>
      <c r="M400" s="122">
        <f t="shared" si="75"/>
        <v>52588.83</v>
      </c>
      <c r="N400" s="116">
        <f t="shared" si="76"/>
        <v>52588.83</v>
      </c>
      <c r="O400" s="123">
        <f t="shared" si="77"/>
        <v>86.211196721311481</v>
      </c>
      <c r="P400" s="5"/>
      <c r="Q400" s="5">
        <f t="shared" si="78"/>
        <v>1</v>
      </c>
      <c r="R400" s="7">
        <f t="shared" si="79"/>
        <v>610</v>
      </c>
      <c r="S400" s="5">
        <f t="shared" si="80"/>
        <v>0</v>
      </c>
      <c r="T400" s="7">
        <f t="shared" si="81"/>
        <v>0</v>
      </c>
    </row>
    <row r="401" spans="1:20">
      <c r="A401" s="23" t="s">
        <v>440</v>
      </c>
      <c r="B401" s="35" t="s">
        <v>441</v>
      </c>
      <c r="C401" s="36">
        <v>327</v>
      </c>
      <c r="D401" s="6"/>
      <c r="E401" s="113">
        <v>7487257</v>
      </c>
      <c r="F401" s="116">
        <f t="shared" si="71"/>
        <v>22896.810397553516</v>
      </c>
      <c r="G401" s="117">
        <v>2120497</v>
      </c>
      <c r="H401" s="117">
        <f t="shared" si="72"/>
        <v>6484.7003058103974</v>
      </c>
      <c r="I401" s="98" t="s">
        <v>528</v>
      </c>
      <c r="J401" s="10"/>
      <c r="K401" s="117"/>
      <c r="L401" s="120"/>
      <c r="M401" s="122">
        <f t="shared" si="75"/>
        <v>21204.97</v>
      </c>
      <c r="N401" s="116">
        <f t="shared" si="76"/>
        <v>21204.97</v>
      </c>
      <c r="O401" s="123">
        <f t="shared" si="77"/>
        <v>64.847003058103979</v>
      </c>
      <c r="P401" s="5"/>
      <c r="Q401" s="5">
        <f t="shared" si="78"/>
        <v>1</v>
      </c>
      <c r="R401" s="7">
        <f t="shared" si="79"/>
        <v>327</v>
      </c>
      <c r="S401" s="5">
        <f t="shared" si="80"/>
        <v>0</v>
      </c>
      <c r="T401" s="7">
        <f t="shared" si="81"/>
        <v>0</v>
      </c>
    </row>
    <row r="402" spans="1:20">
      <c r="A402" s="23" t="s">
        <v>442</v>
      </c>
      <c r="B402" s="35" t="s">
        <v>441</v>
      </c>
      <c r="C402" s="36">
        <v>4093</v>
      </c>
      <c r="D402" s="6"/>
      <c r="E402" s="113">
        <v>152873114</v>
      </c>
      <c r="F402" s="116">
        <f t="shared" si="71"/>
        <v>37349.893476667479</v>
      </c>
      <c r="G402" s="117">
        <v>94395737</v>
      </c>
      <c r="H402" s="117">
        <f t="shared" si="72"/>
        <v>23062.725873442461</v>
      </c>
      <c r="I402" s="7"/>
      <c r="J402" s="10">
        <v>5.54</v>
      </c>
      <c r="K402" s="117">
        <v>522952</v>
      </c>
      <c r="L402" s="120">
        <f>(K402/C402)</f>
        <v>127.76740776936232</v>
      </c>
      <c r="M402" s="122">
        <f t="shared" si="75"/>
        <v>943957.37</v>
      </c>
      <c r="N402" s="116">
        <f t="shared" si="76"/>
        <v>421005.37</v>
      </c>
      <c r="O402" s="123">
        <f t="shared" si="77"/>
        <v>102.85985096506231</v>
      </c>
      <c r="P402" s="5"/>
      <c r="Q402" s="5">
        <f t="shared" si="78"/>
        <v>1</v>
      </c>
      <c r="R402" s="7">
        <f t="shared" si="79"/>
        <v>4093</v>
      </c>
      <c r="S402" s="5">
        <f t="shared" si="80"/>
        <v>1</v>
      </c>
      <c r="T402" s="7">
        <f t="shared" si="81"/>
        <v>4093</v>
      </c>
    </row>
    <row r="403" spans="1:20">
      <c r="A403" s="23" t="s">
        <v>443</v>
      </c>
      <c r="B403" s="35" t="s">
        <v>441</v>
      </c>
      <c r="C403" s="36">
        <v>271</v>
      </c>
      <c r="D403" s="6"/>
      <c r="E403" s="113">
        <v>6040231</v>
      </c>
      <c r="F403" s="116">
        <f t="shared" si="71"/>
        <v>22288.675276752769</v>
      </c>
      <c r="G403" s="117">
        <v>3866509</v>
      </c>
      <c r="H403" s="117">
        <f t="shared" si="72"/>
        <v>14267.560885608857</v>
      </c>
      <c r="I403" s="98" t="s">
        <v>528</v>
      </c>
      <c r="J403" s="10"/>
      <c r="K403" s="117"/>
      <c r="L403" s="120"/>
      <c r="M403" s="122">
        <f t="shared" si="75"/>
        <v>38665.090000000004</v>
      </c>
      <c r="N403" s="116">
        <f t="shared" si="76"/>
        <v>38665.090000000004</v>
      </c>
      <c r="O403" s="123">
        <f t="shared" si="77"/>
        <v>142.67560885608859</v>
      </c>
      <c r="P403" s="5"/>
      <c r="Q403" s="5">
        <f t="shared" si="78"/>
        <v>1</v>
      </c>
      <c r="R403" s="7">
        <f t="shared" si="79"/>
        <v>271</v>
      </c>
      <c r="S403" s="5">
        <f t="shared" si="80"/>
        <v>0</v>
      </c>
      <c r="T403" s="7">
        <f t="shared" si="81"/>
        <v>0</v>
      </c>
    </row>
    <row r="404" spans="1:20">
      <c r="A404" s="23" t="s">
        <v>444</v>
      </c>
      <c r="B404" s="35" t="s">
        <v>441</v>
      </c>
      <c r="C404" s="36">
        <v>917</v>
      </c>
      <c r="D404" s="6"/>
      <c r="E404" s="113">
        <v>19307929</v>
      </c>
      <c r="F404" s="116">
        <f t="shared" si="71"/>
        <v>21055.538713195201</v>
      </c>
      <c r="G404" s="117">
        <v>7701172</v>
      </c>
      <c r="H404" s="117">
        <f t="shared" si="72"/>
        <v>8398.2246455834247</v>
      </c>
      <c r="I404" s="7"/>
      <c r="J404" s="10">
        <v>2.86</v>
      </c>
      <c r="K404" s="117">
        <v>22025</v>
      </c>
      <c r="L404" s="120">
        <f>(K404/C404)</f>
        <v>24.018538713195202</v>
      </c>
      <c r="M404" s="122">
        <f t="shared" si="75"/>
        <v>77011.72</v>
      </c>
      <c r="N404" s="116">
        <f t="shared" si="76"/>
        <v>54986.720000000001</v>
      </c>
      <c r="O404" s="123">
        <f t="shared" si="77"/>
        <v>59.963707742639045</v>
      </c>
      <c r="P404" s="5"/>
      <c r="Q404" s="5">
        <f t="shared" si="78"/>
        <v>1</v>
      </c>
      <c r="R404" s="7">
        <f t="shared" si="79"/>
        <v>917</v>
      </c>
      <c r="S404" s="5">
        <f t="shared" si="80"/>
        <v>1</v>
      </c>
      <c r="T404" s="7">
        <f t="shared" si="81"/>
        <v>917</v>
      </c>
    </row>
    <row r="405" spans="1:20">
      <c r="A405" s="23" t="s">
        <v>445</v>
      </c>
      <c r="B405" s="35" t="s">
        <v>441</v>
      </c>
      <c r="C405" s="36">
        <v>399</v>
      </c>
      <c r="D405" s="6"/>
      <c r="E405" s="113">
        <v>6111735</v>
      </c>
      <c r="F405" s="116">
        <f t="shared" si="71"/>
        <v>15317.631578947368</v>
      </c>
      <c r="G405" s="117">
        <v>2321671</v>
      </c>
      <c r="H405" s="117">
        <f t="shared" si="72"/>
        <v>5818.7243107769427</v>
      </c>
      <c r="I405" s="98" t="s">
        <v>528</v>
      </c>
      <c r="J405" s="10"/>
      <c r="K405" s="117"/>
      <c r="L405" s="120"/>
      <c r="M405" s="122">
        <f t="shared" si="75"/>
        <v>23216.71</v>
      </c>
      <c r="N405" s="116">
        <f t="shared" si="76"/>
        <v>23216.71</v>
      </c>
      <c r="O405" s="123">
        <f t="shared" si="77"/>
        <v>58.187243107769419</v>
      </c>
      <c r="P405" s="5"/>
      <c r="Q405" s="5">
        <f t="shared" si="78"/>
        <v>1</v>
      </c>
      <c r="R405" s="7">
        <f t="shared" si="79"/>
        <v>399</v>
      </c>
      <c r="S405" s="5">
        <f t="shared" si="80"/>
        <v>0</v>
      </c>
      <c r="T405" s="7">
        <f t="shared" si="81"/>
        <v>0</v>
      </c>
    </row>
    <row r="406" spans="1:20">
      <c r="A406" s="70" t="s">
        <v>451</v>
      </c>
      <c r="B406" s="71"/>
      <c r="C406" s="72">
        <f>SUM(C6:C405)</f>
        <v>7528199</v>
      </c>
      <c r="D406" s="73"/>
      <c r="E406" s="73">
        <f>SUM(E6:E405)</f>
        <v>440533564636</v>
      </c>
      <c r="F406" s="74">
        <f>(E406/R406)</f>
        <v>64697.510361607296</v>
      </c>
      <c r="G406" s="75">
        <f>SUM(G6:G405)</f>
        <v>331109729396</v>
      </c>
      <c r="H406" s="76">
        <f>(G406/R406)</f>
        <v>48627.339363181214</v>
      </c>
      <c r="I406" s="71"/>
      <c r="J406" s="77"/>
      <c r="K406" s="78">
        <f>SUM(K6:K405)</f>
        <v>1687439231</v>
      </c>
      <c r="L406" s="79">
        <f>(K406/T406)</f>
        <v>250.35384335548841</v>
      </c>
      <c r="M406" s="79">
        <f>SUM(M6:M405)</f>
        <v>3311097293.9600019</v>
      </c>
      <c r="N406" s="78">
        <f>SUM(N6:N405)</f>
        <v>1623658062.9599981</v>
      </c>
      <c r="O406" s="80">
        <f>(N406/R406)</f>
        <v>238.45319127694316</v>
      </c>
      <c r="P406" s="20"/>
      <c r="Q406" s="20">
        <f>SUM(Q6:Q405)</f>
        <v>399</v>
      </c>
      <c r="R406" s="21">
        <f>SUM(R6:R405)</f>
        <v>6809127</v>
      </c>
      <c r="S406" s="20">
        <f>SUM(S6:S405)</f>
        <v>366</v>
      </c>
      <c r="T406" s="21">
        <f>SUM(T6:T405)</f>
        <v>6740217</v>
      </c>
    </row>
    <row r="407" spans="1:20">
      <c r="A407" s="27" t="s">
        <v>453</v>
      </c>
      <c r="B407" s="13"/>
      <c r="C407" s="60">
        <f>(S406)</f>
        <v>366</v>
      </c>
      <c r="D407" s="14"/>
      <c r="E407" s="14"/>
      <c r="F407" s="16"/>
      <c r="G407" s="16"/>
      <c r="H407" s="16"/>
      <c r="I407" s="16"/>
      <c r="J407" s="14"/>
      <c r="K407" s="17"/>
      <c r="L407" s="17"/>
      <c r="M407" s="2"/>
      <c r="N407" s="2"/>
      <c r="O407" s="63"/>
      <c r="P407" s="2"/>
      <c r="Q407" s="2"/>
      <c r="R407" s="2"/>
      <c r="S407" s="2"/>
      <c r="T407" s="2"/>
    </row>
    <row r="408" spans="1:20">
      <c r="A408" s="22"/>
      <c r="B408" s="16"/>
      <c r="C408" s="16"/>
      <c r="D408" s="16"/>
      <c r="E408" s="16"/>
      <c r="F408" s="16"/>
      <c r="G408" s="16"/>
      <c r="H408" s="16"/>
      <c r="I408" s="16"/>
      <c r="J408" s="17"/>
      <c r="K408" s="17"/>
      <c r="L408" s="17"/>
      <c r="M408" s="2"/>
      <c r="N408" s="2"/>
      <c r="O408" s="63"/>
      <c r="P408" s="2"/>
      <c r="Q408" s="2"/>
      <c r="R408" s="2"/>
      <c r="S408" s="2"/>
      <c r="T408" s="2"/>
    </row>
    <row r="409" spans="1:20">
      <c r="A409" s="28" t="s">
        <v>498</v>
      </c>
      <c r="B409" s="25"/>
      <c r="C409" s="25"/>
      <c r="D409" s="25"/>
      <c r="E409" s="25"/>
      <c r="F409" s="25"/>
      <c r="G409" s="25"/>
      <c r="H409" s="25"/>
      <c r="I409" s="25"/>
      <c r="J409" s="26"/>
      <c r="K409" s="26"/>
      <c r="L409" s="26"/>
      <c r="M409" s="1"/>
      <c r="N409" s="1"/>
      <c r="O409" s="64"/>
      <c r="P409" s="1"/>
      <c r="Q409" s="1"/>
      <c r="R409" s="1"/>
      <c r="S409" s="1"/>
      <c r="T409" s="1"/>
    </row>
    <row r="410" spans="1:20">
      <c r="A410" s="96" t="s">
        <v>566</v>
      </c>
      <c r="B410" s="25"/>
      <c r="C410" s="25"/>
      <c r="D410" s="25"/>
      <c r="E410" s="25"/>
      <c r="F410" s="25"/>
      <c r="G410" s="25"/>
      <c r="H410" s="25"/>
      <c r="I410" s="25"/>
      <c r="J410" s="26"/>
      <c r="K410" s="26"/>
      <c r="L410" s="26"/>
      <c r="M410" s="1"/>
      <c r="N410" s="1"/>
      <c r="O410" s="64"/>
      <c r="P410" s="1"/>
      <c r="Q410" s="1"/>
      <c r="R410" s="1"/>
      <c r="S410" s="1"/>
      <c r="T410" s="1"/>
    </row>
    <row r="411" spans="1:20">
      <c r="A411" s="96" t="s">
        <v>570</v>
      </c>
      <c r="B411" s="25"/>
      <c r="C411" s="25"/>
      <c r="D411" s="25"/>
      <c r="E411" s="25"/>
      <c r="F411" s="25"/>
      <c r="G411" s="25"/>
      <c r="H411" s="25"/>
      <c r="I411" s="25"/>
      <c r="J411" s="26"/>
      <c r="K411" s="26"/>
      <c r="L411" s="26"/>
      <c r="M411" s="1"/>
      <c r="N411" s="1"/>
      <c r="O411" s="64"/>
      <c r="P411" s="1"/>
      <c r="Q411" s="1"/>
      <c r="R411" s="1"/>
      <c r="S411" s="1"/>
      <c r="T411" s="1"/>
    </row>
    <row r="412" spans="1:20">
      <c r="A412" s="96" t="s">
        <v>571</v>
      </c>
      <c r="B412" s="25"/>
      <c r="C412" s="25"/>
      <c r="D412" s="25"/>
      <c r="E412" s="25"/>
      <c r="F412" s="25"/>
      <c r="G412" s="25"/>
      <c r="H412" s="25"/>
      <c r="I412" s="25"/>
      <c r="J412" s="26"/>
      <c r="K412" s="26"/>
      <c r="L412" s="26"/>
      <c r="M412" s="1"/>
      <c r="N412" s="1"/>
      <c r="O412" s="64"/>
      <c r="P412" s="1"/>
      <c r="Q412" s="1"/>
      <c r="R412" s="1"/>
      <c r="S412" s="1"/>
      <c r="T412" s="1"/>
    </row>
    <row r="413" spans="1:20">
      <c r="A413" s="96" t="s">
        <v>572</v>
      </c>
      <c r="B413" s="25"/>
      <c r="C413" s="25"/>
      <c r="D413" s="25"/>
      <c r="E413" s="25"/>
      <c r="F413" s="25"/>
      <c r="G413" s="25"/>
      <c r="H413" s="25"/>
      <c r="I413" s="25"/>
      <c r="J413" s="26"/>
      <c r="K413" s="26"/>
      <c r="L413" s="26"/>
      <c r="M413" s="1"/>
      <c r="N413" s="1"/>
      <c r="O413" s="64"/>
      <c r="P413" s="1"/>
      <c r="Q413" s="1"/>
      <c r="R413" s="1"/>
      <c r="S413" s="1"/>
      <c r="T413" s="1"/>
    </row>
    <row r="414" spans="1:20">
      <c r="A414" s="29" t="s">
        <v>505</v>
      </c>
      <c r="B414" s="25"/>
      <c r="C414" s="25"/>
      <c r="D414" s="25"/>
      <c r="E414" s="25"/>
      <c r="F414" s="25"/>
      <c r="G414" s="25"/>
      <c r="H414" s="25"/>
      <c r="I414" s="25"/>
      <c r="J414" s="26"/>
      <c r="K414" s="26"/>
      <c r="L414" s="26"/>
      <c r="M414" s="1"/>
      <c r="N414" s="1"/>
      <c r="O414" s="64"/>
      <c r="P414" s="1"/>
      <c r="Q414" s="1"/>
      <c r="R414" s="1"/>
      <c r="S414" s="1"/>
      <c r="T414" s="1"/>
    </row>
    <row r="415" spans="1:20">
      <c r="A415" s="29"/>
      <c r="B415" s="25"/>
      <c r="C415" s="25"/>
      <c r="D415" s="25"/>
      <c r="E415" s="25"/>
      <c r="F415" s="25"/>
      <c r="G415" s="25"/>
      <c r="H415" s="25"/>
      <c r="I415" s="25"/>
      <c r="J415" s="26"/>
      <c r="K415" s="26"/>
      <c r="L415" s="26"/>
      <c r="M415" s="1"/>
      <c r="N415" s="1"/>
      <c r="O415" s="64"/>
      <c r="P415" s="1"/>
      <c r="Q415" s="1"/>
      <c r="R415" s="1"/>
      <c r="S415" s="1"/>
      <c r="T415" s="1"/>
    </row>
    <row r="416" spans="1:20">
      <c r="A416" s="96" t="s">
        <v>579</v>
      </c>
      <c r="B416" s="25"/>
      <c r="C416" s="25"/>
      <c r="D416" s="25"/>
      <c r="E416" s="25"/>
      <c r="F416" s="25"/>
      <c r="G416" s="25"/>
      <c r="H416" s="25"/>
      <c r="I416" s="25"/>
      <c r="J416" s="26"/>
      <c r="K416" s="26"/>
      <c r="L416" s="26"/>
      <c r="M416" s="1"/>
      <c r="N416" s="1"/>
      <c r="O416" s="64"/>
      <c r="P416" s="1"/>
      <c r="Q416" s="1"/>
      <c r="R416" s="1"/>
      <c r="S416" s="1"/>
      <c r="T416" s="1"/>
    </row>
    <row r="417" spans="1:20">
      <c r="A417" s="28" t="s">
        <v>467</v>
      </c>
      <c r="B417" s="25"/>
      <c r="C417" s="25"/>
      <c r="D417" s="25"/>
      <c r="E417" s="25"/>
      <c r="F417" s="25"/>
      <c r="G417" s="25"/>
      <c r="H417" s="25"/>
      <c r="I417" s="25"/>
      <c r="J417" s="26"/>
      <c r="K417" s="26"/>
      <c r="L417" s="26"/>
      <c r="M417" s="1"/>
      <c r="N417" s="1"/>
      <c r="O417" s="64"/>
      <c r="P417" s="1"/>
      <c r="Q417" s="1"/>
      <c r="R417" s="1"/>
      <c r="S417" s="1"/>
      <c r="T417" s="1"/>
    </row>
    <row r="418" spans="1:20" ht="13.5" thickBot="1">
      <c r="A418" s="30" t="s">
        <v>486</v>
      </c>
      <c r="B418" s="31"/>
      <c r="C418" s="31"/>
      <c r="D418" s="31"/>
      <c r="E418" s="31"/>
      <c r="F418" s="31"/>
      <c r="G418" s="31"/>
      <c r="H418" s="31"/>
      <c r="I418" s="31"/>
      <c r="J418" s="32"/>
      <c r="K418" s="32"/>
      <c r="L418" s="32"/>
      <c r="M418" s="31"/>
      <c r="N418" s="31"/>
      <c r="O418" s="81"/>
      <c r="P418" s="1"/>
      <c r="Q418" s="1"/>
      <c r="R418" s="1"/>
      <c r="S418" s="1"/>
      <c r="T418" s="1"/>
    </row>
    <row r="419" spans="1:20">
      <c r="A419" s="4"/>
      <c r="B419" s="1"/>
      <c r="C419" s="1"/>
      <c r="D419" s="1"/>
      <c r="E419" s="1"/>
      <c r="F419" s="1"/>
      <c r="G419" s="1"/>
      <c r="H419" s="1"/>
      <c r="I419" s="1"/>
      <c r="J419" s="3"/>
      <c r="K419" s="3"/>
      <c r="L419" s="3"/>
      <c r="M419" s="1"/>
      <c r="N419" s="1"/>
      <c r="O419" s="1"/>
      <c r="P419" s="1"/>
      <c r="Q419" s="1"/>
      <c r="R419" s="1"/>
      <c r="S419" s="1"/>
      <c r="T419" s="1"/>
    </row>
    <row r="420" spans="1:20">
      <c r="A420" s="4"/>
      <c r="B420" s="1"/>
      <c r="C420" s="1"/>
      <c r="D420" s="1"/>
      <c r="E420" s="1"/>
      <c r="F420" s="1"/>
      <c r="G420" s="1"/>
      <c r="H420" s="1"/>
      <c r="I420" s="1"/>
      <c r="J420" s="3"/>
      <c r="K420" s="3"/>
      <c r="L420" s="3"/>
      <c r="M420" s="1"/>
      <c r="N420" s="1"/>
      <c r="O420" s="1"/>
      <c r="P420" s="1"/>
      <c r="Q420" s="1"/>
      <c r="R420" s="1"/>
      <c r="S420" s="1"/>
      <c r="T420" s="1"/>
    </row>
    <row r="421" spans="1:20">
      <c r="A421" s="2"/>
      <c r="B421" s="2"/>
      <c r="C421" s="2"/>
      <c r="D421" s="2"/>
      <c r="E421" s="2"/>
      <c r="F421" s="2"/>
      <c r="G421" s="2"/>
      <c r="H421" s="2"/>
      <c r="I421" s="2"/>
      <c r="J421" s="2"/>
      <c r="K421" s="2"/>
      <c r="L421" s="2"/>
      <c r="M421" s="2"/>
      <c r="N421" s="2"/>
      <c r="O421" s="2"/>
      <c r="P421" s="2"/>
      <c r="Q421" s="2"/>
      <c r="R421" s="2"/>
      <c r="S421" s="2"/>
      <c r="T421"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ignoredErrors>
    <ignoredError sqref="F406 L406"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T421"/>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7" t="s">
        <v>470</v>
      </c>
      <c r="B1" s="198"/>
      <c r="C1" s="198"/>
      <c r="D1" s="198"/>
      <c r="E1" s="198"/>
      <c r="F1" s="198"/>
      <c r="G1" s="198"/>
      <c r="H1" s="198"/>
      <c r="I1" s="198"/>
      <c r="J1" s="198"/>
      <c r="K1" s="198"/>
      <c r="L1" s="198"/>
      <c r="M1" s="198"/>
      <c r="N1" s="198"/>
      <c r="O1" s="199"/>
    </row>
    <row r="2" spans="1:20" ht="18">
      <c r="A2" s="41"/>
      <c r="B2" s="42"/>
      <c r="C2" s="43"/>
      <c r="D2" s="200" t="s">
        <v>483</v>
      </c>
      <c r="E2" s="201"/>
      <c r="F2" s="201"/>
      <c r="G2" s="201"/>
      <c r="H2" s="202"/>
      <c r="I2" s="44"/>
      <c r="J2" s="61" t="s">
        <v>456</v>
      </c>
      <c r="K2" s="45"/>
      <c r="L2" s="68"/>
      <c r="M2" s="201" t="s">
        <v>503</v>
      </c>
      <c r="N2" s="201"/>
      <c r="O2" s="203"/>
    </row>
    <row r="3" spans="1:20" ht="12.75" customHeight="1">
      <c r="A3" s="46"/>
      <c r="B3" s="47"/>
      <c r="C3" s="48">
        <v>1998</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5948</v>
      </c>
      <c r="D6" s="18"/>
      <c r="E6" s="18">
        <v>320183428</v>
      </c>
      <c r="F6" s="38">
        <f>(E6/C6)</f>
        <v>53830.43510423672</v>
      </c>
      <c r="G6" s="18">
        <v>186777253</v>
      </c>
      <c r="H6" s="39">
        <f t="shared" ref="H6:H37" si="0">(G6/C6)</f>
        <v>31401.690147948892</v>
      </c>
      <c r="I6" s="15"/>
      <c r="J6" s="17">
        <v>5.5</v>
      </c>
      <c r="K6" s="40">
        <v>1027274</v>
      </c>
      <c r="L6" s="84">
        <f t="shared" ref="L6:L14" si="1">(K6/C6)</f>
        <v>172.70914593140552</v>
      </c>
      <c r="M6" s="65">
        <f>(G6*0.01)</f>
        <v>1867772.53</v>
      </c>
      <c r="N6" s="83">
        <f>(M6-K6)</f>
        <v>840498.53</v>
      </c>
      <c r="O6" s="62">
        <f>(N6/C6)</f>
        <v>141.30775554808341</v>
      </c>
      <c r="P6" s="5"/>
      <c r="Q6" s="5">
        <f>IF(E6&gt;0,1,0)</f>
        <v>1</v>
      </c>
      <c r="R6" s="7">
        <f>IF(E6&gt;0,C6,0)</f>
        <v>5948</v>
      </c>
      <c r="S6" s="5">
        <f>IF(J6&gt;0,1,0)</f>
        <v>1</v>
      </c>
      <c r="T6" s="7">
        <f>IF(J6&gt;0,C6,0)</f>
        <v>5948</v>
      </c>
    </row>
    <row r="7" spans="1:20">
      <c r="A7" s="23" t="s">
        <v>9</v>
      </c>
      <c r="B7" s="35" t="s">
        <v>8</v>
      </c>
      <c r="C7" s="36">
        <v>1455</v>
      </c>
      <c r="D7" s="6"/>
      <c r="E7" s="113">
        <v>29754380</v>
      </c>
      <c r="F7" s="116">
        <f>(E7/C7)</f>
        <v>20449.745704467354</v>
      </c>
      <c r="G7" s="113">
        <v>16463830</v>
      </c>
      <c r="H7" s="117">
        <f t="shared" si="0"/>
        <v>11315.347079037801</v>
      </c>
      <c r="I7" s="7"/>
      <c r="J7" s="10">
        <v>4</v>
      </c>
      <c r="K7" s="117">
        <v>65855</v>
      </c>
      <c r="L7" s="120">
        <f t="shared" si="1"/>
        <v>45.261168384879724</v>
      </c>
      <c r="M7" s="122">
        <f>(G7*0.01)</f>
        <v>164638.30000000002</v>
      </c>
      <c r="N7" s="116">
        <f>(M7-K7)</f>
        <v>98783.300000000017</v>
      </c>
      <c r="O7" s="123">
        <f>(N7/C7)</f>
        <v>67.892302405498299</v>
      </c>
      <c r="P7" s="5"/>
      <c r="Q7" s="5">
        <f t="shared" ref="Q7:Q70" si="2">IF(E7&gt;0,1,0)</f>
        <v>1</v>
      </c>
      <c r="R7" s="7">
        <f t="shared" ref="R7:R70" si="3">IF(E7&gt;0,C7,0)</f>
        <v>1455</v>
      </c>
      <c r="S7" s="5">
        <f t="shared" ref="S7:S70" si="4">IF(J7&gt;0,1,0)</f>
        <v>1</v>
      </c>
      <c r="T7" s="7">
        <f t="shared" ref="T7:T70" si="5">IF(J7&gt;0,C7,0)</f>
        <v>1455</v>
      </c>
    </row>
    <row r="8" spans="1:20">
      <c r="A8" s="23" t="s">
        <v>10</v>
      </c>
      <c r="B8" s="35" t="s">
        <v>8</v>
      </c>
      <c r="C8" s="36">
        <v>100315</v>
      </c>
      <c r="D8" s="6"/>
      <c r="E8" s="113">
        <v>5906564485</v>
      </c>
      <c r="F8" s="116">
        <f t="shared" ref="F8:F71" si="6">(E8/C8)</f>
        <v>58880.17230723222</v>
      </c>
      <c r="G8" s="113">
        <v>2235759820</v>
      </c>
      <c r="H8" s="117">
        <f t="shared" si="0"/>
        <v>22287.392912326173</v>
      </c>
      <c r="I8" s="7"/>
      <c r="J8" s="10">
        <v>4.9416000000000002</v>
      </c>
      <c r="K8" s="117">
        <v>11048230</v>
      </c>
      <c r="L8" s="120">
        <f t="shared" si="1"/>
        <v>110.13537357324428</v>
      </c>
      <c r="M8" s="122">
        <f t="shared" ref="M8:M71" si="7">(G8*0.01)</f>
        <v>22357598.199999999</v>
      </c>
      <c r="N8" s="116">
        <f t="shared" ref="N8:N71" si="8">(M8-K8)</f>
        <v>11309368.199999999</v>
      </c>
      <c r="O8" s="123">
        <f t="shared" ref="O8:O71" si="9">(N8/C8)</f>
        <v>112.73855555001744</v>
      </c>
      <c r="P8" s="5"/>
      <c r="Q8" s="5">
        <f t="shared" si="2"/>
        <v>1</v>
      </c>
      <c r="R8" s="7">
        <f t="shared" si="3"/>
        <v>100315</v>
      </c>
      <c r="S8" s="5">
        <f t="shared" si="4"/>
        <v>1</v>
      </c>
      <c r="T8" s="7">
        <f t="shared" si="5"/>
        <v>100315</v>
      </c>
    </row>
    <row r="9" spans="1:20">
      <c r="A9" s="23" t="s">
        <v>11</v>
      </c>
      <c r="B9" s="35" t="s">
        <v>8</v>
      </c>
      <c r="C9" s="36">
        <v>1392</v>
      </c>
      <c r="D9" s="6"/>
      <c r="E9" s="113">
        <v>51355771</v>
      </c>
      <c r="F9" s="116">
        <f t="shared" si="6"/>
        <v>36893.513649425287</v>
      </c>
      <c r="G9" s="117">
        <v>23845511</v>
      </c>
      <c r="H9" s="117">
        <f t="shared" si="0"/>
        <v>17130.395833333332</v>
      </c>
      <c r="I9" s="7"/>
      <c r="J9" s="10">
        <v>5.4184999999999999</v>
      </c>
      <c r="K9" s="117">
        <v>129206</v>
      </c>
      <c r="L9" s="120">
        <f t="shared" si="1"/>
        <v>92.820402298850581</v>
      </c>
      <c r="M9" s="122">
        <f t="shared" si="7"/>
        <v>238455.11000000002</v>
      </c>
      <c r="N9" s="116">
        <f t="shared" si="8"/>
        <v>109249.11000000002</v>
      </c>
      <c r="O9" s="123">
        <f t="shared" si="9"/>
        <v>78.483556034482774</v>
      </c>
      <c r="P9" s="5"/>
      <c r="Q9" s="5">
        <f t="shared" si="2"/>
        <v>1</v>
      </c>
      <c r="R9" s="7">
        <f t="shared" si="3"/>
        <v>1392</v>
      </c>
      <c r="S9" s="5">
        <f t="shared" si="4"/>
        <v>1</v>
      </c>
      <c r="T9" s="7">
        <f t="shared" si="5"/>
        <v>1392</v>
      </c>
    </row>
    <row r="10" spans="1:20">
      <c r="A10" s="23" t="s">
        <v>12</v>
      </c>
      <c r="B10" s="35" t="s">
        <v>8</v>
      </c>
      <c r="C10" s="36">
        <v>3789</v>
      </c>
      <c r="D10" s="6"/>
      <c r="E10" s="113">
        <v>131472413</v>
      </c>
      <c r="F10" s="116">
        <f t="shared" si="6"/>
        <v>34698.446291897599</v>
      </c>
      <c r="G10" s="117">
        <v>73899171</v>
      </c>
      <c r="H10" s="117">
        <f t="shared" si="0"/>
        <v>19503.608076009503</v>
      </c>
      <c r="I10" s="7"/>
      <c r="J10" s="10">
        <v>6.25</v>
      </c>
      <c r="K10" s="117">
        <v>461869</v>
      </c>
      <c r="L10" s="120">
        <f t="shared" si="1"/>
        <v>121.89733438902086</v>
      </c>
      <c r="M10" s="122">
        <f t="shared" si="7"/>
        <v>738991.71</v>
      </c>
      <c r="N10" s="116">
        <f t="shared" si="8"/>
        <v>277122.70999999996</v>
      </c>
      <c r="O10" s="123">
        <f t="shared" si="9"/>
        <v>73.138746371074149</v>
      </c>
      <c r="P10" s="5"/>
      <c r="Q10" s="5">
        <f t="shared" si="2"/>
        <v>1</v>
      </c>
      <c r="R10" s="7">
        <f t="shared" si="3"/>
        <v>3789</v>
      </c>
      <c r="S10" s="5">
        <f t="shared" si="4"/>
        <v>1</v>
      </c>
      <c r="T10" s="7">
        <f t="shared" si="5"/>
        <v>3789</v>
      </c>
    </row>
    <row r="11" spans="1:20">
      <c r="A11" s="23" t="s">
        <v>559</v>
      </c>
      <c r="B11" s="35" t="s">
        <v>8</v>
      </c>
      <c r="C11" s="36">
        <v>144</v>
      </c>
      <c r="D11" s="6"/>
      <c r="E11" s="113">
        <v>5289141</v>
      </c>
      <c r="F11" s="116">
        <f t="shared" si="6"/>
        <v>36730.145833333336</v>
      </c>
      <c r="G11" s="117">
        <v>2881351</v>
      </c>
      <c r="H11" s="117">
        <f t="shared" si="0"/>
        <v>20009.381944444445</v>
      </c>
      <c r="I11" s="7"/>
      <c r="J11" s="10">
        <v>4.1790000000000003</v>
      </c>
      <c r="K11" s="117">
        <v>12041</v>
      </c>
      <c r="L11" s="120">
        <f t="shared" si="1"/>
        <v>83.618055555555557</v>
      </c>
      <c r="M11" s="122">
        <f t="shared" si="7"/>
        <v>28813.510000000002</v>
      </c>
      <c r="N11" s="116">
        <f t="shared" si="8"/>
        <v>16772.510000000002</v>
      </c>
      <c r="O11" s="123">
        <f t="shared" si="9"/>
        <v>116.47576388888891</v>
      </c>
      <c r="P11" s="5"/>
      <c r="Q11" s="5">
        <f t="shared" si="2"/>
        <v>1</v>
      </c>
      <c r="R11" s="7">
        <f t="shared" si="3"/>
        <v>144</v>
      </c>
      <c r="S11" s="5">
        <f t="shared" si="4"/>
        <v>1</v>
      </c>
      <c r="T11" s="7">
        <f t="shared" si="5"/>
        <v>144</v>
      </c>
    </row>
    <row r="12" spans="1:20">
      <c r="A12" s="23" t="s">
        <v>13</v>
      </c>
      <c r="B12" s="35" t="s">
        <v>8</v>
      </c>
      <c r="C12" s="36">
        <v>653</v>
      </c>
      <c r="D12" s="6"/>
      <c r="E12" s="113">
        <v>18896540</v>
      </c>
      <c r="F12" s="116">
        <f t="shared" si="6"/>
        <v>28938.039816232773</v>
      </c>
      <c r="G12" s="117">
        <v>11184890</v>
      </c>
      <c r="H12" s="117">
        <f t="shared" si="0"/>
        <v>17128.468606431852</v>
      </c>
      <c r="I12" s="7"/>
      <c r="J12" s="10">
        <v>6</v>
      </c>
      <c r="K12" s="117">
        <v>67109</v>
      </c>
      <c r="L12" s="120">
        <f t="shared" si="1"/>
        <v>102.77029096477794</v>
      </c>
      <c r="M12" s="122">
        <f t="shared" si="7"/>
        <v>111848.90000000001</v>
      </c>
      <c r="N12" s="116">
        <f t="shared" si="8"/>
        <v>44739.900000000009</v>
      </c>
      <c r="O12" s="123">
        <f t="shared" si="9"/>
        <v>68.514395099540593</v>
      </c>
      <c r="P12" s="5"/>
      <c r="Q12" s="5">
        <f t="shared" si="2"/>
        <v>1</v>
      </c>
      <c r="R12" s="7">
        <f t="shared" si="3"/>
        <v>653</v>
      </c>
      <c r="S12" s="5">
        <f t="shared" si="4"/>
        <v>1</v>
      </c>
      <c r="T12" s="7">
        <f t="shared" si="5"/>
        <v>653</v>
      </c>
    </row>
    <row r="13" spans="1:20">
      <c r="A13" s="23" t="s">
        <v>14</v>
      </c>
      <c r="B13" s="35" t="s">
        <v>8</v>
      </c>
      <c r="C13" s="36">
        <v>2495</v>
      </c>
      <c r="D13" s="6"/>
      <c r="E13" s="113">
        <v>120198424</v>
      </c>
      <c r="F13" s="116">
        <f t="shared" si="6"/>
        <v>48175.721042084166</v>
      </c>
      <c r="G13" s="117">
        <v>47129408</v>
      </c>
      <c r="H13" s="117">
        <f t="shared" si="0"/>
        <v>18889.542284569139</v>
      </c>
      <c r="I13" s="7"/>
      <c r="J13" s="10">
        <v>3.18</v>
      </c>
      <c r="K13" s="117">
        <v>149871</v>
      </c>
      <c r="L13" s="120">
        <f t="shared" si="1"/>
        <v>60.068537074148296</v>
      </c>
      <c r="M13" s="122">
        <f t="shared" si="7"/>
        <v>471294.08</v>
      </c>
      <c r="N13" s="116">
        <f t="shared" si="8"/>
        <v>321423.08</v>
      </c>
      <c r="O13" s="123">
        <f t="shared" si="9"/>
        <v>128.82688577154309</v>
      </c>
      <c r="P13" s="5"/>
      <c r="Q13" s="5">
        <f t="shared" si="2"/>
        <v>1</v>
      </c>
      <c r="R13" s="7">
        <f t="shared" si="3"/>
        <v>2495</v>
      </c>
      <c r="S13" s="5">
        <f t="shared" si="4"/>
        <v>1</v>
      </c>
      <c r="T13" s="7">
        <f t="shared" si="5"/>
        <v>2495</v>
      </c>
    </row>
    <row r="14" spans="1:20">
      <c r="A14" s="23" t="s">
        <v>15</v>
      </c>
      <c r="B14" s="35" t="s">
        <v>8</v>
      </c>
      <c r="C14" s="36">
        <v>1029</v>
      </c>
      <c r="D14" s="6"/>
      <c r="E14" s="113">
        <v>21537154</v>
      </c>
      <c r="F14" s="116">
        <f t="shared" si="6"/>
        <v>20930.178814382896</v>
      </c>
      <c r="G14" s="117">
        <v>9919392</v>
      </c>
      <c r="H14" s="117">
        <f t="shared" si="0"/>
        <v>9639.8367346938776</v>
      </c>
      <c r="I14" s="7"/>
      <c r="J14" s="10">
        <v>5.0313999999999997</v>
      </c>
      <c r="K14" s="117">
        <v>49908</v>
      </c>
      <c r="L14" s="120">
        <f t="shared" si="1"/>
        <v>48.501457725947525</v>
      </c>
      <c r="M14" s="122">
        <f t="shared" si="7"/>
        <v>99193.919999999998</v>
      </c>
      <c r="N14" s="116">
        <f t="shared" si="8"/>
        <v>49285.919999999998</v>
      </c>
      <c r="O14" s="123">
        <f t="shared" si="9"/>
        <v>47.896909620991252</v>
      </c>
      <c r="P14" s="5"/>
      <c r="Q14" s="5">
        <f t="shared" si="2"/>
        <v>1</v>
      </c>
      <c r="R14" s="7">
        <f t="shared" si="3"/>
        <v>1029</v>
      </c>
      <c r="S14" s="5">
        <f t="shared" si="4"/>
        <v>1</v>
      </c>
      <c r="T14" s="7">
        <f t="shared" si="5"/>
        <v>1029</v>
      </c>
    </row>
    <row r="15" spans="1:20">
      <c r="A15" s="23" t="s">
        <v>544</v>
      </c>
      <c r="B15" s="35" t="s">
        <v>16</v>
      </c>
      <c r="C15" s="36">
        <v>455</v>
      </c>
      <c r="D15" s="6"/>
      <c r="E15" s="113">
        <v>9111924</v>
      </c>
      <c r="F15" s="116">
        <f t="shared" si="6"/>
        <v>20026.206593406594</v>
      </c>
      <c r="G15" s="117">
        <v>5091375</v>
      </c>
      <c r="H15" s="117">
        <f t="shared" si="0"/>
        <v>11189.835164835165</v>
      </c>
      <c r="I15" s="98" t="s">
        <v>528</v>
      </c>
      <c r="J15" s="10"/>
      <c r="K15" s="117"/>
      <c r="L15" s="120"/>
      <c r="M15" s="122">
        <f t="shared" si="7"/>
        <v>50913.75</v>
      </c>
      <c r="N15" s="116">
        <f t="shared" si="8"/>
        <v>50913.75</v>
      </c>
      <c r="O15" s="123">
        <f t="shared" si="9"/>
        <v>111.89835164835165</v>
      </c>
      <c r="P15" s="5"/>
      <c r="Q15" s="5">
        <f t="shared" si="2"/>
        <v>1</v>
      </c>
      <c r="R15" s="7">
        <f t="shared" si="3"/>
        <v>455</v>
      </c>
      <c r="S15" s="5">
        <f t="shared" si="4"/>
        <v>0</v>
      </c>
      <c r="T15" s="7">
        <f t="shared" si="5"/>
        <v>0</v>
      </c>
    </row>
    <row r="16" spans="1:20">
      <c r="A16" s="23" t="s">
        <v>17</v>
      </c>
      <c r="B16" s="35" t="s">
        <v>16</v>
      </c>
      <c r="C16" s="36">
        <v>4353</v>
      </c>
      <c r="D16" s="6"/>
      <c r="E16" s="113">
        <v>131072403</v>
      </c>
      <c r="F16" s="116">
        <f t="shared" si="6"/>
        <v>30110.820813232254</v>
      </c>
      <c r="G16" s="117">
        <v>77194392</v>
      </c>
      <c r="H16" s="117">
        <f t="shared" si="0"/>
        <v>17733.607167470709</v>
      </c>
      <c r="I16" s="7"/>
      <c r="J16" s="10">
        <v>3.65</v>
      </c>
      <c r="K16" s="117">
        <v>281759</v>
      </c>
      <c r="L16" s="120">
        <f>(K16/C16)</f>
        <v>64.727544222375371</v>
      </c>
      <c r="M16" s="122">
        <f t="shared" si="7"/>
        <v>771943.92</v>
      </c>
      <c r="N16" s="116">
        <f t="shared" si="8"/>
        <v>490184.92000000004</v>
      </c>
      <c r="O16" s="123">
        <f t="shared" si="9"/>
        <v>112.60852745233173</v>
      </c>
      <c r="P16" s="5"/>
      <c r="Q16" s="5">
        <f t="shared" si="2"/>
        <v>1</v>
      </c>
      <c r="R16" s="7">
        <f t="shared" si="3"/>
        <v>4353</v>
      </c>
      <c r="S16" s="5">
        <f t="shared" si="4"/>
        <v>1</v>
      </c>
      <c r="T16" s="7">
        <f t="shared" si="5"/>
        <v>4353</v>
      </c>
    </row>
    <row r="17" spans="1:20">
      <c r="A17" s="23" t="s">
        <v>18</v>
      </c>
      <c r="B17" s="35" t="s">
        <v>19</v>
      </c>
      <c r="C17" s="36">
        <v>14174</v>
      </c>
      <c r="D17" s="6"/>
      <c r="E17" s="113">
        <v>327373479</v>
      </c>
      <c r="F17" s="116">
        <f t="shared" si="6"/>
        <v>23096.76019472273</v>
      </c>
      <c r="G17" s="117">
        <v>238769265</v>
      </c>
      <c r="H17" s="117">
        <f t="shared" si="0"/>
        <v>16845.580993368138</v>
      </c>
      <c r="I17" s="98" t="s">
        <v>528</v>
      </c>
      <c r="J17" s="10"/>
      <c r="K17" s="117"/>
      <c r="L17" s="120"/>
      <c r="M17" s="122">
        <f t="shared" si="7"/>
        <v>2387692.65</v>
      </c>
      <c r="N17" s="116">
        <f t="shared" si="8"/>
        <v>2387692.65</v>
      </c>
      <c r="O17" s="123">
        <f t="shared" si="9"/>
        <v>168.45580993368139</v>
      </c>
      <c r="P17" s="5"/>
      <c r="Q17" s="5">
        <f t="shared" si="2"/>
        <v>1</v>
      </c>
      <c r="R17" s="7">
        <f t="shared" si="3"/>
        <v>14174</v>
      </c>
      <c r="S17" s="5">
        <f t="shared" si="4"/>
        <v>0</v>
      </c>
      <c r="T17" s="7">
        <f t="shared" si="5"/>
        <v>0</v>
      </c>
    </row>
    <row r="18" spans="1:20">
      <c r="A18" s="23" t="s">
        <v>20</v>
      </c>
      <c r="B18" s="35" t="s">
        <v>19</v>
      </c>
      <c r="C18" s="36">
        <v>2153</v>
      </c>
      <c r="D18" s="6"/>
      <c r="E18" s="113">
        <v>88255264</v>
      </c>
      <c r="F18" s="116">
        <f t="shared" si="6"/>
        <v>40991.762192289825</v>
      </c>
      <c r="G18" s="117">
        <v>46856916</v>
      </c>
      <c r="H18" s="117">
        <f t="shared" si="0"/>
        <v>21763.546679052484</v>
      </c>
      <c r="I18" s="98" t="s">
        <v>528</v>
      </c>
      <c r="J18" s="10"/>
      <c r="K18" s="117"/>
      <c r="L18" s="120"/>
      <c r="M18" s="122">
        <f t="shared" si="7"/>
        <v>468569.16000000003</v>
      </c>
      <c r="N18" s="116">
        <f t="shared" si="8"/>
        <v>468569.16000000003</v>
      </c>
      <c r="O18" s="123">
        <f t="shared" si="9"/>
        <v>217.63546679052487</v>
      </c>
      <c r="P18" s="5"/>
      <c r="Q18" s="5">
        <f t="shared" si="2"/>
        <v>1</v>
      </c>
      <c r="R18" s="7">
        <f t="shared" si="3"/>
        <v>2153</v>
      </c>
      <c r="S18" s="5">
        <f t="shared" si="4"/>
        <v>0</v>
      </c>
      <c r="T18" s="7">
        <f t="shared" si="5"/>
        <v>0</v>
      </c>
    </row>
    <row r="19" spans="1:20">
      <c r="A19" s="23" t="s">
        <v>21</v>
      </c>
      <c r="B19" s="35" t="s">
        <v>19</v>
      </c>
      <c r="C19" s="36">
        <v>12224</v>
      </c>
      <c r="D19" s="6"/>
      <c r="E19" s="113">
        <v>507350905</v>
      </c>
      <c r="F19" s="116">
        <f t="shared" si="6"/>
        <v>41504.491573952881</v>
      </c>
      <c r="G19" s="117">
        <v>298754013</v>
      </c>
      <c r="H19" s="117">
        <f t="shared" si="0"/>
        <v>24439.955251963351</v>
      </c>
      <c r="I19" s="7"/>
      <c r="J19" s="10">
        <v>2.9</v>
      </c>
      <c r="K19" s="117">
        <v>866386</v>
      </c>
      <c r="L19" s="120">
        <f>(K19/C19)</f>
        <v>70.875818062827221</v>
      </c>
      <c r="M19" s="122">
        <f t="shared" si="7"/>
        <v>2987540.13</v>
      </c>
      <c r="N19" s="116">
        <f t="shared" si="8"/>
        <v>2121154.13</v>
      </c>
      <c r="O19" s="123">
        <f t="shared" si="9"/>
        <v>173.52373445680627</v>
      </c>
      <c r="P19" s="5"/>
      <c r="Q19" s="5">
        <f t="shared" si="2"/>
        <v>1</v>
      </c>
      <c r="R19" s="7">
        <f t="shared" si="3"/>
        <v>12224</v>
      </c>
      <c r="S19" s="5">
        <f t="shared" si="4"/>
        <v>1</v>
      </c>
      <c r="T19" s="7">
        <f t="shared" si="5"/>
        <v>12224</v>
      </c>
    </row>
    <row r="20" spans="1:20">
      <c r="A20" s="23" t="s">
        <v>22</v>
      </c>
      <c r="B20" s="35" t="s">
        <v>19</v>
      </c>
      <c r="C20" s="36">
        <v>1042</v>
      </c>
      <c r="D20" s="6"/>
      <c r="E20" s="113">
        <v>91561185</v>
      </c>
      <c r="F20" s="116">
        <f t="shared" si="6"/>
        <v>87870.619001919389</v>
      </c>
      <c r="G20" s="117">
        <v>72218288</v>
      </c>
      <c r="H20" s="117">
        <f t="shared" si="0"/>
        <v>69307.378119001922</v>
      </c>
      <c r="I20" s="7"/>
      <c r="J20" s="11">
        <v>4.34</v>
      </c>
      <c r="K20" s="117">
        <v>313427</v>
      </c>
      <c r="L20" s="120">
        <f>(K20/C20)</f>
        <v>300.79366602687139</v>
      </c>
      <c r="M20" s="122">
        <f t="shared" si="7"/>
        <v>722182.88</v>
      </c>
      <c r="N20" s="116">
        <f t="shared" si="8"/>
        <v>408755.88</v>
      </c>
      <c r="O20" s="123">
        <f t="shared" si="9"/>
        <v>392.2801151631478</v>
      </c>
      <c r="P20" s="5"/>
      <c r="Q20" s="5">
        <f t="shared" si="2"/>
        <v>1</v>
      </c>
      <c r="R20" s="7">
        <f t="shared" si="3"/>
        <v>1042</v>
      </c>
      <c r="S20" s="5">
        <f t="shared" si="4"/>
        <v>1</v>
      </c>
      <c r="T20" s="7">
        <f t="shared" si="5"/>
        <v>1042</v>
      </c>
    </row>
    <row r="21" spans="1:20">
      <c r="A21" s="23" t="s">
        <v>23</v>
      </c>
      <c r="B21" s="35" t="s">
        <v>19</v>
      </c>
      <c r="C21" s="36">
        <v>37869</v>
      </c>
      <c r="D21" s="6"/>
      <c r="E21" s="113">
        <v>1636673789</v>
      </c>
      <c r="F21" s="116">
        <f t="shared" si="6"/>
        <v>43219.355911167448</v>
      </c>
      <c r="G21" s="117">
        <v>1042629240</v>
      </c>
      <c r="H21" s="117">
        <f t="shared" si="0"/>
        <v>27532.526340806464</v>
      </c>
      <c r="I21" s="7"/>
      <c r="J21" s="10">
        <v>5</v>
      </c>
      <c r="K21" s="117">
        <v>5213146</v>
      </c>
      <c r="L21" s="120">
        <f>(K21/C21)</f>
        <v>137.66262642266761</v>
      </c>
      <c r="M21" s="122">
        <f t="shared" si="7"/>
        <v>10426292.4</v>
      </c>
      <c r="N21" s="116">
        <f t="shared" si="8"/>
        <v>5213146.4000000004</v>
      </c>
      <c r="O21" s="123">
        <f t="shared" si="9"/>
        <v>137.66263698539703</v>
      </c>
      <c r="P21" s="5"/>
      <c r="Q21" s="5">
        <f t="shared" si="2"/>
        <v>1</v>
      </c>
      <c r="R21" s="7">
        <f t="shared" si="3"/>
        <v>37869</v>
      </c>
      <c r="S21" s="5">
        <f t="shared" si="4"/>
        <v>1</v>
      </c>
      <c r="T21" s="7">
        <f t="shared" si="5"/>
        <v>37869</v>
      </c>
    </row>
    <row r="22" spans="1:20">
      <c r="A22" s="23" t="s">
        <v>24</v>
      </c>
      <c r="B22" s="35" t="s">
        <v>19</v>
      </c>
      <c r="C22" s="36">
        <v>4866</v>
      </c>
      <c r="D22" s="6"/>
      <c r="E22" s="113">
        <v>947881194</v>
      </c>
      <c r="F22" s="116">
        <f t="shared" si="6"/>
        <v>194796.79284833538</v>
      </c>
      <c r="G22" s="117">
        <v>857249958</v>
      </c>
      <c r="H22" s="117">
        <f t="shared" si="0"/>
        <v>176171.38471023427</v>
      </c>
      <c r="I22" s="98" t="s">
        <v>528</v>
      </c>
      <c r="J22" s="12"/>
      <c r="K22" s="117"/>
      <c r="L22" s="120"/>
      <c r="M22" s="122">
        <f t="shared" si="7"/>
        <v>8572499.5800000001</v>
      </c>
      <c r="N22" s="116">
        <f t="shared" si="8"/>
        <v>8572499.5800000001</v>
      </c>
      <c r="O22" s="123">
        <f t="shared" si="9"/>
        <v>1761.7138471023427</v>
      </c>
      <c r="P22" s="5"/>
      <c r="Q22" s="5">
        <f t="shared" si="2"/>
        <v>1</v>
      </c>
      <c r="R22" s="7">
        <f t="shared" si="3"/>
        <v>4866</v>
      </c>
      <c r="S22" s="5">
        <f t="shared" si="4"/>
        <v>0</v>
      </c>
      <c r="T22" s="7">
        <f t="shared" si="5"/>
        <v>0</v>
      </c>
    </row>
    <row r="23" spans="1:20">
      <c r="A23" s="23" t="s">
        <v>25</v>
      </c>
      <c r="B23" s="35" t="s">
        <v>19</v>
      </c>
      <c r="C23" s="36">
        <v>5045</v>
      </c>
      <c r="D23" s="6"/>
      <c r="E23" s="113">
        <v>130023166</v>
      </c>
      <c r="F23" s="116">
        <f t="shared" si="6"/>
        <v>25772.679088206143</v>
      </c>
      <c r="G23" s="117">
        <v>95550116</v>
      </c>
      <c r="H23" s="117">
        <f t="shared" si="0"/>
        <v>18939.567096134786</v>
      </c>
      <c r="I23" s="98" t="s">
        <v>528</v>
      </c>
      <c r="J23" s="12"/>
      <c r="K23" s="117"/>
      <c r="L23" s="120"/>
      <c r="M23" s="122">
        <f t="shared" si="7"/>
        <v>955501.16</v>
      </c>
      <c r="N23" s="116">
        <f t="shared" si="8"/>
        <v>955501.16</v>
      </c>
      <c r="O23" s="123">
        <f t="shared" si="9"/>
        <v>189.39567096134789</v>
      </c>
      <c r="P23" s="5"/>
      <c r="Q23" s="5">
        <f t="shared" si="2"/>
        <v>1</v>
      </c>
      <c r="R23" s="7">
        <f t="shared" si="3"/>
        <v>5045</v>
      </c>
      <c r="S23" s="5">
        <f t="shared" si="4"/>
        <v>0</v>
      </c>
      <c r="T23" s="7">
        <f t="shared" si="5"/>
        <v>0</v>
      </c>
    </row>
    <row r="24" spans="1:20">
      <c r="A24" s="23" t="s">
        <v>26</v>
      </c>
      <c r="B24" s="35" t="s">
        <v>19</v>
      </c>
      <c r="C24" s="36">
        <v>9441</v>
      </c>
      <c r="D24" s="6"/>
      <c r="E24" s="113">
        <v>144702425</v>
      </c>
      <c r="F24" s="116">
        <f t="shared" si="6"/>
        <v>15327.023090774283</v>
      </c>
      <c r="G24" s="117">
        <v>74745819</v>
      </c>
      <c r="H24" s="117">
        <f t="shared" si="0"/>
        <v>7917.1506196377504</v>
      </c>
      <c r="I24" s="98" t="s">
        <v>528</v>
      </c>
      <c r="J24" s="10"/>
      <c r="K24" s="117"/>
      <c r="L24" s="120"/>
      <c r="M24" s="122">
        <f t="shared" si="7"/>
        <v>747458.19000000006</v>
      </c>
      <c r="N24" s="116">
        <f t="shared" si="8"/>
        <v>747458.19000000006</v>
      </c>
      <c r="O24" s="123">
        <f t="shared" si="9"/>
        <v>79.171506196377507</v>
      </c>
      <c r="P24" s="5"/>
      <c r="Q24" s="5">
        <f t="shared" si="2"/>
        <v>1</v>
      </c>
      <c r="R24" s="7">
        <f t="shared" si="3"/>
        <v>9441</v>
      </c>
      <c r="S24" s="5">
        <f t="shared" si="4"/>
        <v>0</v>
      </c>
      <c r="T24" s="7">
        <f t="shared" si="5"/>
        <v>0</v>
      </c>
    </row>
    <row r="25" spans="1:20">
      <c r="A25" s="23" t="s">
        <v>27</v>
      </c>
      <c r="B25" s="35" t="s">
        <v>28</v>
      </c>
      <c r="C25" s="36">
        <v>334</v>
      </c>
      <c r="D25" s="6"/>
      <c r="E25" s="113">
        <v>6874348</v>
      </c>
      <c r="F25" s="116">
        <f t="shared" si="6"/>
        <v>20581.880239520957</v>
      </c>
      <c r="G25" s="117">
        <v>3210464</v>
      </c>
      <c r="H25" s="117">
        <f t="shared" si="0"/>
        <v>9612.1676646706583</v>
      </c>
      <c r="I25" s="7"/>
      <c r="J25" s="10">
        <v>0.51400000000000001</v>
      </c>
      <c r="K25" s="117">
        <v>1650</v>
      </c>
      <c r="L25" s="120">
        <f t="shared" ref="L25:L38" si="10">(K25/C25)</f>
        <v>4.9401197604790417</v>
      </c>
      <c r="M25" s="122">
        <f t="shared" si="7"/>
        <v>32104.639999999999</v>
      </c>
      <c r="N25" s="116">
        <f t="shared" si="8"/>
        <v>30454.639999999999</v>
      </c>
      <c r="O25" s="123">
        <f t="shared" si="9"/>
        <v>91.18155688622754</v>
      </c>
      <c r="P25" s="5"/>
      <c r="Q25" s="5">
        <f t="shared" si="2"/>
        <v>1</v>
      </c>
      <c r="R25" s="7">
        <f t="shared" si="3"/>
        <v>334</v>
      </c>
      <c r="S25" s="5">
        <f t="shared" si="4"/>
        <v>1</v>
      </c>
      <c r="T25" s="7">
        <f t="shared" si="5"/>
        <v>334</v>
      </c>
    </row>
    <row r="26" spans="1:20">
      <c r="A26" s="23" t="s">
        <v>29</v>
      </c>
      <c r="B26" s="35" t="s">
        <v>28</v>
      </c>
      <c r="C26" s="36">
        <v>304</v>
      </c>
      <c r="D26" s="6"/>
      <c r="E26" s="113">
        <v>5347712</v>
      </c>
      <c r="F26" s="116">
        <f t="shared" si="6"/>
        <v>17591.157894736843</v>
      </c>
      <c r="G26" s="117">
        <v>2509349</v>
      </c>
      <c r="H26" s="117">
        <f t="shared" si="0"/>
        <v>8254.4375</v>
      </c>
      <c r="I26" s="7"/>
      <c r="J26" s="10">
        <v>0.60750000000000004</v>
      </c>
      <c r="K26" s="117">
        <v>1524</v>
      </c>
      <c r="L26" s="120">
        <f t="shared" si="10"/>
        <v>5.0131578947368425</v>
      </c>
      <c r="M26" s="122">
        <f t="shared" si="7"/>
        <v>25093.49</v>
      </c>
      <c r="N26" s="116">
        <f t="shared" si="8"/>
        <v>23569.49</v>
      </c>
      <c r="O26" s="123">
        <f t="shared" si="9"/>
        <v>77.531217105263167</v>
      </c>
      <c r="P26" s="5"/>
      <c r="Q26" s="5">
        <f t="shared" si="2"/>
        <v>1</v>
      </c>
      <c r="R26" s="7">
        <f t="shared" si="3"/>
        <v>304</v>
      </c>
      <c r="S26" s="5">
        <f t="shared" si="4"/>
        <v>1</v>
      </c>
      <c r="T26" s="7">
        <f t="shared" si="5"/>
        <v>304</v>
      </c>
    </row>
    <row r="27" spans="1:20">
      <c r="A27" s="23" t="s">
        <v>30</v>
      </c>
      <c r="B27" s="35" t="s">
        <v>28</v>
      </c>
      <c r="C27" s="36">
        <v>663</v>
      </c>
      <c r="D27" s="6"/>
      <c r="E27" s="113">
        <v>12760683</v>
      </c>
      <c r="F27" s="116">
        <f t="shared" si="6"/>
        <v>19246.882352941175</v>
      </c>
      <c r="G27" s="117">
        <v>7003462</v>
      </c>
      <c r="H27" s="117">
        <f t="shared" si="0"/>
        <v>10563.291101055807</v>
      </c>
      <c r="I27" s="7"/>
      <c r="J27" s="11">
        <v>2.0270000000000001</v>
      </c>
      <c r="K27" s="117">
        <v>14196</v>
      </c>
      <c r="L27" s="120">
        <f t="shared" si="10"/>
        <v>21.411764705882351</v>
      </c>
      <c r="M27" s="122">
        <f t="shared" si="7"/>
        <v>70034.62</v>
      </c>
      <c r="N27" s="116">
        <f t="shared" si="8"/>
        <v>55838.619999999995</v>
      </c>
      <c r="O27" s="123">
        <f t="shared" si="9"/>
        <v>84.221146304675713</v>
      </c>
      <c r="P27" s="5"/>
      <c r="Q27" s="5">
        <f t="shared" si="2"/>
        <v>1</v>
      </c>
      <c r="R27" s="7">
        <f t="shared" si="3"/>
        <v>663</v>
      </c>
      <c r="S27" s="5">
        <f t="shared" si="4"/>
        <v>1</v>
      </c>
      <c r="T27" s="7">
        <f t="shared" si="5"/>
        <v>663</v>
      </c>
    </row>
    <row r="28" spans="1:20">
      <c r="A28" s="23" t="s">
        <v>31</v>
      </c>
      <c r="B28" s="35" t="s">
        <v>28</v>
      </c>
      <c r="C28" s="36">
        <v>5151</v>
      </c>
      <c r="D28" s="6"/>
      <c r="E28" s="113">
        <v>211762163</v>
      </c>
      <c r="F28" s="116">
        <f t="shared" si="6"/>
        <v>41110.883906037663</v>
      </c>
      <c r="G28" s="117">
        <v>113346247</v>
      </c>
      <c r="H28" s="117">
        <f t="shared" si="0"/>
        <v>22004.707241312368</v>
      </c>
      <c r="I28" s="7"/>
      <c r="J28" s="11">
        <v>4</v>
      </c>
      <c r="K28" s="117">
        <v>453384</v>
      </c>
      <c r="L28" s="120">
        <f t="shared" si="10"/>
        <v>88.018637157833425</v>
      </c>
      <c r="M28" s="122">
        <f t="shared" si="7"/>
        <v>1133462.47</v>
      </c>
      <c r="N28" s="116">
        <f t="shared" si="8"/>
        <v>680078.47</v>
      </c>
      <c r="O28" s="123">
        <f t="shared" si="9"/>
        <v>132.02843525529022</v>
      </c>
      <c r="P28" s="5"/>
      <c r="Q28" s="5">
        <f t="shared" si="2"/>
        <v>1</v>
      </c>
      <c r="R28" s="7">
        <f t="shared" si="3"/>
        <v>5151</v>
      </c>
      <c r="S28" s="5">
        <f t="shared" si="4"/>
        <v>1</v>
      </c>
      <c r="T28" s="7">
        <f t="shared" si="5"/>
        <v>5151</v>
      </c>
    </row>
    <row r="29" spans="1:20">
      <c r="A29" s="23" t="s">
        <v>32</v>
      </c>
      <c r="B29" s="35" t="s">
        <v>33</v>
      </c>
      <c r="C29" s="36">
        <v>8731</v>
      </c>
      <c r="D29" s="6"/>
      <c r="E29" s="113">
        <v>429949250</v>
      </c>
      <c r="F29" s="116">
        <f t="shared" si="6"/>
        <v>49243.986943076394</v>
      </c>
      <c r="G29" s="117">
        <v>364771620</v>
      </c>
      <c r="H29" s="117">
        <f t="shared" si="0"/>
        <v>41778.905050967813</v>
      </c>
      <c r="I29" s="7"/>
      <c r="J29" s="11">
        <v>1.6538999999999999</v>
      </c>
      <c r="K29" s="117">
        <v>603295</v>
      </c>
      <c r="L29" s="120">
        <f t="shared" si="10"/>
        <v>69.098041461459175</v>
      </c>
      <c r="M29" s="122">
        <f t="shared" si="7"/>
        <v>3647716.2</v>
      </c>
      <c r="N29" s="116">
        <f t="shared" si="8"/>
        <v>3044421.2</v>
      </c>
      <c r="O29" s="123">
        <f t="shared" si="9"/>
        <v>348.69100904821903</v>
      </c>
      <c r="P29" s="5"/>
      <c r="Q29" s="5">
        <f t="shared" si="2"/>
        <v>1</v>
      </c>
      <c r="R29" s="7">
        <f t="shared" si="3"/>
        <v>8731</v>
      </c>
      <c r="S29" s="5">
        <f t="shared" si="4"/>
        <v>1</v>
      </c>
      <c r="T29" s="7">
        <f t="shared" si="5"/>
        <v>8731</v>
      </c>
    </row>
    <row r="30" spans="1:20">
      <c r="A30" s="23" t="s">
        <v>34</v>
      </c>
      <c r="B30" s="35" t="s">
        <v>33</v>
      </c>
      <c r="C30" s="36">
        <v>17933</v>
      </c>
      <c r="D30" s="6"/>
      <c r="E30" s="113">
        <v>601508928</v>
      </c>
      <c r="F30" s="116">
        <f t="shared" si="6"/>
        <v>33542.013494674626</v>
      </c>
      <c r="G30" s="117">
        <v>345579136</v>
      </c>
      <c r="H30" s="117">
        <f t="shared" si="0"/>
        <v>19270.570233647464</v>
      </c>
      <c r="I30" s="7"/>
      <c r="J30" s="10">
        <v>4.1321000000000003</v>
      </c>
      <c r="K30" s="117">
        <v>1427967</v>
      </c>
      <c r="L30" s="120">
        <f t="shared" si="10"/>
        <v>79.627892711760438</v>
      </c>
      <c r="M30" s="122">
        <f t="shared" si="7"/>
        <v>3455791.36</v>
      </c>
      <c r="N30" s="116">
        <f t="shared" si="8"/>
        <v>2027824.3599999999</v>
      </c>
      <c r="O30" s="123">
        <f t="shared" si="9"/>
        <v>113.07780962471421</v>
      </c>
      <c r="P30" s="5"/>
      <c r="Q30" s="5">
        <f t="shared" si="2"/>
        <v>1</v>
      </c>
      <c r="R30" s="7">
        <f t="shared" si="3"/>
        <v>17933</v>
      </c>
      <c r="S30" s="5">
        <f t="shared" si="4"/>
        <v>1</v>
      </c>
      <c r="T30" s="7">
        <f t="shared" si="5"/>
        <v>17933</v>
      </c>
    </row>
    <row r="31" spans="1:20">
      <c r="A31" s="23" t="s">
        <v>35</v>
      </c>
      <c r="B31" s="35" t="s">
        <v>33</v>
      </c>
      <c r="C31" s="36">
        <v>12812</v>
      </c>
      <c r="D31" s="6"/>
      <c r="E31" s="113">
        <v>1084852438</v>
      </c>
      <c r="F31" s="116">
        <f t="shared" si="6"/>
        <v>84674.71417421168</v>
      </c>
      <c r="G31" s="117">
        <v>843602550</v>
      </c>
      <c r="H31" s="117">
        <f t="shared" si="0"/>
        <v>65844.719793943179</v>
      </c>
      <c r="I31" s="7"/>
      <c r="J31" s="10">
        <v>5.1173999999999999</v>
      </c>
      <c r="K31" s="117">
        <v>4317051</v>
      </c>
      <c r="L31" s="120">
        <f t="shared" si="10"/>
        <v>336.95371526693725</v>
      </c>
      <c r="M31" s="122">
        <f t="shared" si="7"/>
        <v>8436025.5</v>
      </c>
      <c r="N31" s="116">
        <f t="shared" si="8"/>
        <v>4118974.5</v>
      </c>
      <c r="O31" s="123">
        <f t="shared" si="9"/>
        <v>321.49348267249451</v>
      </c>
      <c r="P31" s="5"/>
      <c r="Q31" s="5">
        <f t="shared" si="2"/>
        <v>1</v>
      </c>
      <c r="R31" s="7">
        <f t="shared" si="3"/>
        <v>12812</v>
      </c>
      <c r="S31" s="5">
        <f t="shared" si="4"/>
        <v>1</v>
      </c>
      <c r="T31" s="7">
        <f t="shared" si="5"/>
        <v>12812</v>
      </c>
    </row>
    <row r="32" spans="1:20">
      <c r="A32" s="23" t="s">
        <v>36</v>
      </c>
      <c r="B32" s="35" t="s">
        <v>33</v>
      </c>
      <c r="C32" s="36">
        <v>3111</v>
      </c>
      <c r="D32" s="6"/>
      <c r="E32" s="113">
        <v>192146701</v>
      </c>
      <c r="F32" s="116">
        <f t="shared" si="6"/>
        <v>61763.64545162327</v>
      </c>
      <c r="G32" s="117">
        <v>155269661</v>
      </c>
      <c r="H32" s="117">
        <f t="shared" si="0"/>
        <v>49909.887817422052</v>
      </c>
      <c r="I32" s="7"/>
      <c r="J32" s="10">
        <v>4.8451000000000004</v>
      </c>
      <c r="K32" s="117">
        <v>752297</v>
      </c>
      <c r="L32" s="120">
        <f t="shared" si="10"/>
        <v>241.81838637094182</v>
      </c>
      <c r="M32" s="122">
        <f t="shared" si="7"/>
        <v>1552696.61</v>
      </c>
      <c r="N32" s="116">
        <f t="shared" si="8"/>
        <v>800399.6100000001</v>
      </c>
      <c r="O32" s="123">
        <f t="shared" si="9"/>
        <v>257.28049180327872</v>
      </c>
      <c r="P32" s="5"/>
      <c r="Q32" s="5">
        <f t="shared" si="2"/>
        <v>1</v>
      </c>
      <c r="R32" s="7">
        <f t="shared" si="3"/>
        <v>3111</v>
      </c>
      <c r="S32" s="5">
        <f t="shared" si="4"/>
        <v>1</v>
      </c>
      <c r="T32" s="7">
        <f t="shared" si="5"/>
        <v>3111</v>
      </c>
    </row>
    <row r="33" spans="1:20">
      <c r="A33" s="23" t="s">
        <v>37</v>
      </c>
      <c r="B33" s="35" t="s">
        <v>33</v>
      </c>
      <c r="C33" s="36">
        <v>7853</v>
      </c>
      <c r="D33" s="6"/>
      <c r="E33" s="113">
        <v>443105846</v>
      </c>
      <c r="F33" s="116">
        <f t="shared" si="6"/>
        <v>56425.040876098305</v>
      </c>
      <c r="G33" s="117">
        <v>356007834</v>
      </c>
      <c r="H33" s="117">
        <f t="shared" si="0"/>
        <v>45333.991340888831</v>
      </c>
      <c r="I33" s="7"/>
      <c r="J33" s="10">
        <v>4.0369999999999999</v>
      </c>
      <c r="K33" s="117">
        <v>1437203</v>
      </c>
      <c r="L33" s="120">
        <f t="shared" si="10"/>
        <v>183.01324334649178</v>
      </c>
      <c r="M33" s="122">
        <f t="shared" si="7"/>
        <v>3560078.34</v>
      </c>
      <c r="N33" s="116">
        <f t="shared" si="8"/>
        <v>2122875.34</v>
      </c>
      <c r="O33" s="123">
        <f t="shared" si="9"/>
        <v>270.32667006239654</v>
      </c>
      <c r="P33" s="5"/>
      <c r="Q33" s="5">
        <f t="shared" si="2"/>
        <v>1</v>
      </c>
      <c r="R33" s="7">
        <f t="shared" si="3"/>
        <v>7853</v>
      </c>
      <c r="S33" s="5">
        <f t="shared" si="4"/>
        <v>1</v>
      </c>
      <c r="T33" s="7">
        <f t="shared" si="5"/>
        <v>7853</v>
      </c>
    </row>
    <row r="34" spans="1:20">
      <c r="A34" s="23" t="s">
        <v>38</v>
      </c>
      <c r="B34" s="35" t="s">
        <v>33</v>
      </c>
      <c r="C34" s="36">
        <v>2451</v>
      </c>
      <c r="D34" s="6"/>
      <c r="E34" s="113">
        <v>150348833</v>
      </c>
      <c r="F34" s="116">
        <f t="shared" si="6"/>
        <v>61341.833129334962</v>
      </c>
      <c r="G34" s="117">
        <v>116981013</v>
      </c>
      <c r="H34" s="117">
        <f t="shared" si="0"/>
        <v>47727.871481028153</v>
      </c>
      <c r="I34" s="7"/>
      <c r="J34" s="10">
        <v>1.4184000000000001</v>
      </c>
      <c r="K34" s="117">
        <v>165925</v>
      </c>
      <c r="L34" s="120">
        <f t="shared" si="10"/>
        <v>67.696858425132604</v>
      </c>
      <c r="M34" s="122">
        <f t="shared" si="7"/>
        <v>1169810.1300000001</v>
      </c>
      <c r="N34" s="116">
        <f t="shared" si="8"/>
        <v>1003885.1300000001</v>
      </c>
      <c r="O34" s="123">
        <f t="shared" si="9"/>
        <v>409.58185638514897</v>
      </c>
      <c r="P34" s="5"/>
      <c r="Q34" s="5">
        <f t="shared" si="2"/>
        <v>1</v>
      </c>
      <c r="R34" s="7">
        <f t="shared" si="3"/>
        <v>2451</v>
      </c>
      <c r="S34" s="5">
        <f t="shared" si="4"/>
        <v>1</v>
      </c>
      <c r="T34" s="7">
        <f t="shared" si="5"/>
        <v>2451</v>
      </c>
    </row>
    <row r="35" spans="1:20">
      <c r="A35" s="23" t="s">
        <v>39</v>
      </c>
      <c r="B35" s="35" t="s">
        <v>33</v>
      </c>
      <c r="C35" s="36">
        <v>69017</v>
      </c>
      <c r="D35" s="6"/>
      <c r="E35" s="113">
        <v>3078823238</v>
      </c>
      <c r="F35" s="116">
        <f t="shared" si="6"/>
        <v>44609.635857832131</v>
      </c>
      <c r="G35" s="117">
        <v>2116252569</v>
      </c>
      <c r="H35" s="117">
        <f t="shared" si="0"/>
        <v>30662.772490835592</v>
      </c>
      <c r="I35" s="7"/>
      <c r="J35" s="10">
        <v>4.5228000000000002</v>
      </c>
      <c r="K35" s="117">
        <v>9571387</v>
      </c>
      <c r="L35" s="120">
        <f t="shared" si="10"/>
        <v>138.68158569627772</v>
      </c>
      <c r="M35" s="122">
        <f t="shared" si="7"/>
        <v>21162525.690000001</v>
      </c>
      <c r="N35" s="116">
        <f t="shared" si="8"/>
        <v>11591138.690000001</v>
      </c>
      <c r="O35" s="123">
        <f t="shared" si="9"/>
        <v>167.94613921207821</v>
      </c>
      <c r="P35" s="5"/>
      <c r="Q35" s="5">
        <f t="shared" si="2"/>
        <v>1</v>
      </c>
      <c r="R35" s="7">
        <f t="shared" si="3"/>
        <v>69017</v>
      </c>
      <c r="S35" s="5">
        <f t="shared" si="4"/>
        <v>1</v>
      </c>
      <c r="T35" s="7">
        <f t="shared" si="5"/>
        <v>69017</v>
      </c>
    </row>
    <row r="36" spans="1:20">
      <c r="A36" s="23" t="s">
        <v>40</v>
      </c>
      <c r="B36" s="35" t="s">
        <v>33</v>
      </c>
      <c r="C36" s="36">
        <v>3263</v>
      </c>
      <c r="D36" s="6"/>
      <c r="E36" s="113">
        <v>205036219</v>
      </c>
      <c r="F36" s="116">
        <f t="shared" si="6"/>
        <v>62836.720502604963</v>
      </c>
      <c r="G36" s="117">
        <v>161176639</v>
      </c>
      <c r="H36" s="117">
        <f t="shared" si="0"/>
        <v>49395.231075697215</v>
      </c>
      <c r="I36" s="7"/>
      <c r="J36" s="10">
        <v>3.8365</v>
      </c>
      <c r="K36" s="117">
        <v>618354</v>
      </c>
      <c r="L36" s="120">
        <f t="shared" si="10"/>
        <v>189.50475022984983</v>
      </c>
      <c r="M36" s="122">
        <f t="shared" si="7"/>
        <v>1611766.3900000001</v>
      </c>
      <c r="N36" s="116">
        <f t="shared" si="8"/>
        <v>993412.39000000013</v>
      </c>
      <c r="O36" s="123">
        <f t="shared" si="9"/>
        <v>304.44756052712233</v>
      </c>
      <c r="P36" s="5"/>
      <c r="Q36" s="5">
        <f t="shared" si="2"/>
        <v>1</v>
      </c>
      <c r="R36" s="7">
        <f t="shared" si="3"/>
        <v>3263</v>
      </c>
      <c r="S36" s="5">
        <f t="shared" si="4"/>
        <v>1</v>
      </c>
      <c r="T36" s="7">
        <f t="shared" si="5"/>
        <v>3263</v>
      </c>
    </row>
    <row r="37" spans="1:20">
      <c r="A37" s="23" t="s">
        <v>41</v>
      </c>
      <c r="B37" s="35" t="s">
        <v>33</v>
      </c>
      <c r="C37" s="36">
        <v>616</v>
      </c>
      <c r="D37" s="6"/>
      <c r="E37" s="113">
        <v>40412678</v>
      </c>
      <c r="F37" s="116">
        <f t="shared" si="6"/>
        <v>65604.996753246756</v>
      </c>
      <c r="G37" s="117">
        <v>31549868</v>
      </c>
      <c r="H37" s="117">
        <f t="shared" si="0"/>
        <v>51217.318181818184</v>
      </c>
      <c r="I37" s="7"/>
      <c r="J37" s="10">
        <v>3.8024</v>
      </c>
      <c r="K37" s="117">
        <v>119965</v>
      </c>
      <c r="L37" s="120">
        <f t="shared" si="10"/>
        <v>194.74837662337663</v>
      </c>
      <c r="M37" s="122">
        <f t="shared" si="7"/>
        <v>315498.68</v>
      </c>
      <c r="N37" s="116">
        <f t="shared" si="8"/>
        <v>195533.68</v>
      </c>
      <c r="O37" s="123">
        <f t="shared" si="9"/>
        <v>317.42480519480517</v>
      </c>
      <c r="P37" s="5"/>
      <c r="Q37" s="5">
        <f t="shared" si="2"/>
        <v>1</v>
      </c>
      <c r="R37" s="7">
        <f t="shared" si="3"/>
        <v>616</v>
      </c>
      <c r="S37" s="5">
        <f t="shared" si="4"/>
        <v>1</v>
      </c>
      <c r="T37" s="7">
        <f t="shared" si="5"/>
        <v>616</v>
      </c>
    </row>
    <row r="38" spans="1:20">
      <c r="A38" s="23" t="s">
        <v>42</v>
      </c>
      <c r="B38" s="35" t="s">
        <v>33</v>
      </c>
      <c r="C38" s="36">
        <v>77973</v>
      </c>
      <c r="D38" s="6"/>
      <c r="E38" s="113">
        <v>2513167532</v>
      </c>
      <c r="F38" s="116">
        <f t="shared" si="6"/>
        <v>32231.253536480577</v>
      </c>
      <c r="G38" s="117">
        <v>1775798285</v>
      </c>
      <c r="H38" s="117">
        <f t="shared" ref="H38:H69" si="11">(G38/C38)</f>
        <v>22774.528170007568</v>
      </c>
      <c r="I38" s="7"/>
      <c r="J38" s="10">
        <v>6.1741999999999999</v>
      </c>
      <c r="K38" s="117">
        <v>10964133</v>
      </c>
      <c r="L38" s="120">
        <f t="shared" si="10"/>
        <v>140.6144819360548</v>
      </c>
      <c r="M38" s="122">
        <f t="shared" si="7"/>
        <v>17757982.850000001</v>
      </c>
      <c r="N38" s="116">
        <f t="shared" si="8"/>
        <v>6793849.8500000015</v>
      </c>
      <c r="O38" s="123">
        <f t="shared" si="9"/>
        <v>87.130799764020892</v>
      </c>
      <c r="P38" s="5"/>
      <c r="Q38" s="5">
        <f t="shared" si="2"/>
        <v>1</v>
      </c>
      <c r="R38" s="7">
        <f t="shared" si="3"/>
        <v>77973</v>
      </c>
      <c r="S38" s="5">
        <f t="shared" si="4"/>
        <v>1</v>
      </c>
      <c r="T38" s="7">
        <f t="shared" si="5"/>
        <v>77973</v>
      </c>
    </row>
    <row r="39" spans="1:20">
      <c r="A39" s="23" t="s">
        <v>43</v>
      </c>
      <c r="B39" s="35" t="s">
        <v>33</v>
      </c>
      <c r="C39" s="36">
        <v>572</v>
      </c>
      <c r="D39" s="6"/>
      <c r="E39" s="113">
        <v>31694728</v>
      </c>
      <c r="F39" s="116">
        <f t="shared" si="6"/>
        <v>55410.36363636364</v>
      </c>
      <c r="G39" s="117">
        <v>25952738</v>
      </c>
      <c r="H39" s="117">
        <f t="shared" si="11"/>
        <v>45371.919580419577</v>
      </c>
      <c r="I39" s="98" t="s">
        <v>528</v>
      </c>
      <c r="J39" s="10"/>
      <c r="K39" s="117"/>
      <c r="L39" s="120"/>
      <c r="M39" s="122">
        <f t="shared" si="7"/>
        <v>259527.38</v>
      </c>
      <c r="N39" s="116">
        <f t="shared" si="8"/>
        <v>259527.38</v>
      </c>
      <c r="O39" s="123">
        <f t="shared" si="9"/>
        <v>453.71919580419581</v>
      </c>
      <c r="P39" s="5"/>
      <c r="Q39" s="5">
        <f t="shared" si="2"/>
        <v>1</v>
      </c>
      <c r="R39" s="7">
        <f t="shared" si="3"/>
        <v>572</v>
      </c>
      <c r="S39" s="5">
        <f t="shared" si="4"/>
        <v>0</v>
      </c>
      <c r="T39" s="7">
        <f t="shared" si="5"/>
        <v>0</v>
      </c>
    </row>
    <row r="40" spans="1:20">
      <c r="A40" s="23" t="s">
        <v>44</v>
      </c>
      <c r="B40" s="35" t="s">
        <v>33</v>
      </c>
      <c r="C40" s="36">
        <v>19395</v>
      </c>
      <c r="D40" s="6"/>
      <c r="E40" s="113">
        <v>821254366</v>
      </c>
      <c r="F40" s="116">
        <f t="shared" si="6"/>
        <v>42343.612580562003</v>
      </c>
      <c r="G40" s="117">
        <v>558666646</v>
      </c>
      <c r="H40" s="117">
        <f t="shared" si="11"/>
        <v>28804.673678783191</v>
      </c>
      <c r="I40" s="7"/>
      <c r="J40" s="10">
        <v>5.5</v>
      </c>
      <c r="K40" s="117">
        <v>3072666</v>
      </c>
      <c r="L40" s="120">
        <f>(K40/C40)</f>
        <v>158.42567672080432</v>
      </c>
      <c r="M40" s="122">
        <f t="shared" si="7"/>
        <v>5586666.46</v>
      </c>
      <c r="N40" s="116">
        <f t="shared" si="8"/>
        <v>2514000.46</v>
      </c>
      <c r="O40" s="123">
        <f t="shared" si="9"/>
        <v>129.62106006702757</v>
      </c>
      <c r="P40" s="5"/>
      <c r="Q40" s="5">
        <f t="shared" si="2"/>
        <v>1</v>
      </c>
      <c r="R40" s="7">
        <f t="shared" si="3"/>
        <v>19395</v>
      </c>
      <c r="S40" s="5">
        <f t="shared" si="4"/>
        <v>1</v>
      </c>
      <c r="T40" s="7">
        <f t="shared" si="5"/>
        <v>19395</v>
      </c>
    </row>
    <row r="41" spans="1:20">
      <c r="A41" s="23" t="s">
        <v>45</v>
      </c>
      <c r="B41" s="35" t="s">
        <v>33</v>
      </c>
      <c r="C41" s="36">
        <v>10227</v>
      </c>
      <c r="D41" s="6"/>
      <c r="E41" s="113">
        <v>476312050</v>
      </c>
      <c r="F41" s="116">
        <f t="shared" si="6"/>
        <v>46573.975750464459</v>
      </c>
      <c r="G41" s="117">
        <v>358105090</v>
      </c>
      <c r="H41" s="117">
        <f t="shared" si="11"/>
        <v>35015.653661875425</v>
      </c>
      <c r="I41" s="7"/>
      <c r="J41" s="10">
        <v>5.9679000000000002</v>
      </c>
      <c r="K41" s="121">
        <v>2137135</v>
      </c>
      <c r="L41" s="120">
        <f>(K41/C41)</f>
        <v>208.96988364134154</v>
      </c>
      <c r="M41" s="122">
        <f t="shared" si="7"/>
        <v>3581050.9</v>
      </c>
      <c r="N41" s="116">
        <f t="shared" si="8"/>
        <v>1443915.9</v>
      </c>
      <c r="O41" s="123">
        <f t="shared" si="9"/>
        <v>141.18665297741273</v>
      </c>
      <c r="P41" s="5"/>
      <c r="Q41" s="5">
        <f t="shared" si="2"/>
        <v>1</v>
      </c>
      <c r="R41" s="7">
        <f t="shared" si="3"/>
        <v>10227</v>
      </c>
      <c r="S41" s="5">
        <f t="shared" si="4"/>
        <v>1</v>
      </c>
      <c r="T41" s="7">
        <f t="shared" si="5"/>
        <v>10227</v>
      </c>
    </row>
    <row r="42" spans="1:20">
      <c r="A42" s="23" t="s">
        <v>46</v>
      </c>
      <c r="B42" s="35" t="s">
        <v>33</v>
      </c>
      <c r="C42" s="36">
        <v>41706</v>
      </c>
      <c r="D42" s="6"/>
      <c r="E42" s="113">
        <v>1496360011</v>
      </c>
      <c r="F42" s="116">
        <f t="shared" si="6"/>
        <v>35878.770704454997</v>
      </c>
      <c r="G42" s="117">
        <v>984017126</v>
      </c>
      <c r="H42" s="117">
        <f t="shared" si="11"/>
        <v>23594.138157579244</v>
      </c>
      <c r="I42" s="7"/>
      <c r="J42" s="10">
        <v>6.4682000000000004</v>
      </c>
      <c r="K42" s="117">
        <v>6364819</v>
      </c>
      <c r="L42" s="120">
        <f>(K42/C42)</f>
        <v>152.61159065841846</v>
      </c>
      <c r="M42" s="122">
        <f t="shared" si="7"/>
        <v>9840171.2599999998</v>
      </c>
      <c r="N42" s="116">
        <f t="shared" si="8"/>
        <v>3475352.26</v>
      </c>
      <c r="O42" s="123">
        <f t="shared" si="9"/>
        <v>83.329790917373998</v>
      </c>
      <c r="P42" s="5"/>
      <c r="Q42" s="5">
        <f t="shared" si="2"/>
        <v>1</v>
      </c>
      <c r="R42" s="7">
        <f t="shared" si="3"/>
        <v>41706</v>
      </c>
      <c r="S42" s="5">
        <f t="shared" si="4"/>
        <v>1</v>
      </c>
      <c r="T42" s="7">
        <f t="shared" si="5"/>
        <v>41706</v>
      </c>
    </row>
    <row r="43" spans="1:20">
      <c r="A43" s="23" t="s">
        <v>47</v>
      </c>
      <c r="B43" s="35" t="s">
        <v>33</v>
      </c>
      <c r="C43" s="36">
        <v>9647</v>
      </c>
      <c r="D43" s="6"/>
      <c r="E43" s="113">
        <v>509706373</v>
      </c>
      <c r="F43" s="116">
        <f t="shared" si="6"/>
        <v>52835.738882554164</v>
      </c>
      <c r="G43" s="117">
        <v>384378523</v>
      </c>
      <c r="H43" s="117">
        <f t="shared" si="11"/>
        <v>39844.3581424277</v>
      </c>
      <c r="I43" s="98" t="s">
        <v>528</v>
      </c>
      <c r="J43" s="10"/>
      <c r="K43" s="117"/>
      <c r="L43" s="120"/>
      <c r="M43" s="122">
        <f t="shared" si="7"/>
        <v>3843785.23</v>
      </c>
      <c r="N43" s="116">
        <f t="shared" si="8"/>
        <v>3843785.23</v>
      </c>
      <c r="O43" s="123">
        <f t="shared" si="9"/>
        <v>398.443581424277</v>
      </c>
      <c r="P43" s="5"/>
      <c r="Q43" s="5">
        <f t="shared" si="2"/>
        <v>1</v>
      </c>
      <c r="R43" s="7">
        <f t="shared" si="3"/>
        <v>9647</v>
      </c>
      <c r="S43" s="5">
        <f t="shared" si="4"/>
        <v>0</v>
      </c>
      <c r="T43" s="7">
        <f t="shared" si="5"/>
        <v>0</v>
      </c>
    </row>
    <row r="44" spans="1:20">
      <c r="A44" s="23" t="s">
        <v>48</v>
      </c>
      <c r="B44" s="35" t="s">
        <v>49</v>
      </c>
      <c r="C44" s="36">
        <v>37865</v>
      </c>
      <c r="D44" s="6"/>
      <c r="E44" s="113">
        <v>1864151845</v>
      </c>
      <c r="F44" s="116">
        <f t="shared" si="6"/>
        <v>49231.528984550379</v>
      </c>
      <c r="G44" s="117">
        <v>1379058742</v>
      </c>
      <c r="H44" s="117">
        <f t="shared" si="11"/>
        <v>36420.407817245476</v>
      </c>
      <c r="I44" s="7"/>
      <c r="J44" s="11">
        <v>5.1432000000000002</v>
      </c>
      <c r="K44" s="117">
        <v>7092774</v>
      </c>
      <c r="L44" s="120">
        <f t="shared" ref="L44:L72" si="12">(K44/C44)</f>
        <v>187.31741713983891</v>
      </c>
      <c r="M44" s="122">
        <f t="shared" si="7"/>
        <v>13790587.42</v>
      </c>
      <c r="N44" s="116">
        <f t="shared" si="8"/>
        <v>6697813.4199999999</v>
      </c>
      <c r="O44" s="123">
        <f t="shared" si="9"/>
        <v>176.88666103261588</v>
      </c>
      <c r="P44" s="5"/>
      <c r="Q44" s="5">
        <f t="shared" si="2"/>
        <v>1</v>
      </c>
      <c r="R44" s="7">
        <f t="shared" si="3"/>
        <v>37865</v>
      </c>
      <c r="S44" s="5">
        <f t="shared" si="4"/>
        <v>1</v>
      </c>
      <c r="T44" s="7">
        <f t="shared" si="5"/>
        <v>37865</v>
      </c>
    </row>
    <row r="45" spans="1:20">
      <c r="A45" s="23" t="s">
        <v>50</v>
      </c>
      <c r="B45" s="35" t="s">
        <v>49</v>
      </c>
      <c r="C45" s="36">
        <v>28158</v>
      </c>
      <c r="D45" s="6"/>
      <c r="E45" s="113">
        <v>1309215796</v>
      </c>
      <c r="F45" s="116">
        <f t="shared" si="6"/>
        <v>46495.34043611052</v>
      </c>
      <c r="G45" s="117">
        <v>1008025170</v>
      </c>
      <c r="H45" s="117">
        <f t="shared" si="11"/>
        <v>35798.890901342427</v>
      </c>
      <c r="I45" s="7"/>
      <c r="J45" s="10">
        <v>4.9569999999999999</v>
      </c>
      <c r="K45" s="117">
        <v>4996780</v>
      </c>
      <c r="L45" s="120">
        <f t="shared" si="12"/>
        <v>177.45507493429932</v>
      </c>
      <c r="M45" s="122">
        <f t="shared" si="7"/>
        <v>10080251.700000001</v>
      </c>
      <c r="N45" s="116">
        <f t="shared" si="8"/>
        <v>5083471.7000000011</v>
      </c>
      <c r="O45" s="123">
        <f t="shared" si="9"/>
        <v>180.53383407912497</v>
      </c>
      <c r="P45" s="5"/>
      <c r="Q45" s="5">
        <f t="shared" si="2"/>
        <v>1</v>
      </c>
      <c r="R45" s="7">
        <f t="shared" si="3"/>
        <v>28158</v>
      </c>
      <c r="S45" s="5">
        <f t="shared" si="4"/>
        <v>1</v>
      </c>
      <c r="T45" s="7">
        <f t="shared" si="5"/>
        <v>28158</v>
      </c>
    </row>
    <row r="46" spans="1:20">
      <c r="A46" s="23" t="s">
        <v>51</v>
      </c>
      <c r="B46" s="35" t="s">
        <v>49</v>
      </c>
      <c r="C46" s="36">
        <v>107156</v>
      </c>
      <c r="D46" s="6"/>
      <c r="E46" s="113">
        <v>5278735512</v>
      </c>
      <c r="F46" s="116">
        <f t="shared" si="6"/>
        <v>49262.15528761805</v>
      </c>
      <c r="G46" s="117">
        <v>4460970276</v>
      </c>
      <c r="H46" s="117">
        <f t="shared" si="11"/>
        <v>41630.615887117849</v>
      </c>
      <c r="I46" s="7"/>
      <c r="J46" s="10">
        <v>4.1589999999999998</v>
      </c>
      <c r="K46" s="117">
        <v>18553175</v>
      </c>
      <c r="L46" s="120">
        <f t="shared" si="12"/>
        <v>173.14172794803838</v>
      </c>
      <c r="M46" s="122">
        <f t="shared" si="7"/>
        <v>44609702.759999998</v>
      </c>
      <c r="N46" s="116">
        <f t="shared" si="8"/>
        <v>26056527.759999998</v>
      </c>
      <c r="O46" s="123">
        <f t="shared" si="9"/>
        <v>243.16443092314009</v>
      </c>
      <c r="P46" s="5"/>
      <c r="Q46" s="5">
        <f t="shared" si="2"/>
        <v>1</v>
      </c>
      <c r="R46" s="7">
        <f t="shared" si="3"/>
        <v>107156</v>
      </c>
      <c r="S46" s="5">
        <f t="shared" si="4"/>
        <v>1</v>
      </c>
      <c r="T46" s="7">
        <f t="shared" si="5"/>
        <v>107156</v>
      </c>
    </row>
    <row r="47" spans="1:20">
      <c r="A47" s="23" t="s">
        <v>464</v>
      </c>
      <c r="B47" s="35" t="s">
        <v>49</v>
      </c>
      <c r="C47" s="36">
        <v>17705</v>
      </c>
      <c r="D47" s="6"/>
      <c r="E47" s="113">
        <v>1170772402</v>
      </c>
      <c r="F47" s="116">
        <f t="shared" si="6"/>
        <v>66126.653600677775</v>
      </c>
      <c r="G47" s="117">
        <v>923136123</v>
      </c>
      <c r="H47" s="117">
        <f t="shared" si="11"/>
        <v>52139.854447896076</v>
      </c>
      <c r="I47" s="7"/>
      <c r="J47" s="10">
        <v>6.1</v>
      </c>
      <c r="K47" s="117">
        <v>5631130</v>
      </c>
      <c r="L47" s="120">
        <f t="shared" si="12"/>
        <v>318.0530923467947</v>
      </c>
      <c r="M47" s="122">
        <f t="shared" si="7"/>
        <v>9231361.2300000004</v>
      </c>
      <c r="N47" s="116">
        <f t="shared" si="8"/>
        <v>3600231.2300000004</v>
      </c>
      <c r="O47" s="123">
        <f t="shared" si="9"/>
        <v>203.34545213216609</v>
      </c>
      <c r="P47" s="5"/>
      <c r="Q47" s="5">
        <f t="shared" si="2"/>
        <v>1</v>
      </c>
      <c r="R47" s="7">
        <f t="shared" si="3"/>
        <v>17705</v>
      </c>
      <c r="S47" s="5">
        <f t="shared" si="4"/>
        <v>1</v>
      </c>
      <c r="T47" s="7">
        <f t="shared" si="5"/>
        <v>17705</v>
      </c>
    </row>
    <row r="48" spans="1:20">
      <c r="A48" s="23" t="s">
        <v>52</v>
      </c>
      <c r="B48" s="35" t="s">
        <v>49</v>
      </c>
      <c r="C48" s="36">
        <v>62738</v>
      </c>
      <c r="D48" s="6"/>
      <c r="E48" s="113">
        <v>3528260411</v>
      </c>
      <c r="F48" s="116">
        <f t="shared" si="6"/>
        <v>56238.012225445505</v>
      </c>
      <c r="G48" s="117">
        <v>2683768434</v>
      </c>
      <c r="H48" s="117">
        <f t="shared" si="11"/>
        <v>42777.398610092765</v>
      </c>
      <c r="I48" s="7"/>
      <c r="J48" s="11">
        <v>5.7588999999999997</v>
      </c>
      <c r="K48" s="117">
        <v>15455554</v>
      </c>
      <c r="L48" s="120">
        <f t="shared" si="12"/>
        <v>246.35076030475949</v>
      </c>
      <c r="M48" s="122">
        <f t="shared" si="7"/>
        <v>26837684.34</v>
      </c>
      <c r="N48" s="116">
        <f t="shared" si="8"/>
        <v>11382130.34</v>
      </c>
      <c r="O48" s="123">
        <f t="shared" si="9"/>
        <v>181.4232257961682</v>
      </c>
      <c r="P48" s="5"/>
      <c r="Q48" s="5">
        <f t="shared" si="2"/>
        <v>1</v>
      </c>
      <c r="R48" s="7">
        <f t="shared" si="3"/>
        <v>62738</v>
      </c>
      <c r="S48" s="5">
        <f t="shared" si="4"/>
        <v>1</v>
      </c>
      <c r="T48" s="7">
        <f t="shared" si="5"/>
        <v>62738</v>
      </c>
    </row>
    <row r="49" spans="1:20">
      <c r="A49" s="23" t="s">
        <v>53</v>
      </c>
      <c r="B49" s="35" t="s">
        <v>49</v>
      </c>
      <c r="C49" s="36">
        <v>50213</v>
      </c>
      <c r="D49" s="6"/>
      <c r="E49" s="113">
        <v>3152575635</v>
      </c>
      <c r="F49" s="116">
        <f t="shared" si="6"/>
        <v>62784.052635771615</v>
      </c>
      <c r="G49" s="117">
        <v>2565570056</v>
      </c>
      <c r="H49" s="117">
        <f t="shared" si="11"/>
        <v>51093.741780017124</v>
      </c>
      <c r="I49" s="7"/>
      <c r="J49" s="10">
        <v>6.2278000000000002</v>
      </c>
      <c r="K49" s="117">
        <v>15977857</v>
      </c>
      <c r="L49" s="120">
        <f t="shared" si="12"/>
        <v>318.20160117897757</v>
      </c>
      <c r="M49" s="122">
        <f t="shared" si="7"/>
        <v>25655700.560000002</v>
      </c>
      <c r="N49" s="116">
        <f t="shared" si="8"/>
        <v>9677843.5600000024</v>
      </c>
      <c r="O49" s="123">
        <f t="shared" si="9"/>
        <v>192.73581662119375</v>
      </c>
      <c r="P49" s="5"/>
      <c r="Q49" s="5">
        <f t="shared" si="2"/>
        <v>1</v>
      </c>
      <c r="R49" s="7">
        <f t="shared" si="3"/>
        <v>50213</v>
      </c>
      <c r="S49" s="5">
        <f t="shared" si="4"/>
        <v>1</v>
      </c>
      <c r="T49" s="7">
        <f t="shared" si="5"/>
        <v>50213</v>
      </c>
    </row>
    <row r="50" spans="1:20">
      <c r="A50" s="23" t="s">
        <v>54</v>
      </c>
      <c r="B50" s="35" t="s">
        <v>49</v>
      </c>
      <c r="C50" s="36">
        <v>149798</v>
      </c>
      <c r="D50" s="6"/>
      <c r="E50" s="113">
        <v>13782006091</v>
      </c>
      <c r="F50" s="116">
        <f t="shared" si="6"/>
        <v>92003.939244849724</v>
      </c>
      <c r="G50" s="117">
        <v>11094625119</v>
      </c>
      <c r="H50" s="117">
        <f t="shared" si="11"/>
        <v>74063.906854564149</v>
      </c>
      <c r="I50" s="7"/>
      <c r="J50" s="10">
        <v>5.6733000000000002</v>
      </c>
      <c r="K50" s="117">
        <v>62943136</v>
      </c>
      <c r="L50" s="120">
        <f t="shared" si="12"/>
        <v>420.1867581676658</v>
      </c>
      <c r="M50" s="122">
        <f t="shared" si="7"/>
        <v>110946251.19</v>
      </c>
      <c r="N50" s="116">
        <f t="shared" si="8"/>
        <v>48003115.189999998</v>
      </c>
      <c r="O50" s="123">
        <f t="shared" si="9"/>
        <v>320.45231037797566</v>
      </c>
      <c r="P50" s="5"/>
      <c r="Q50" s="5">
        <f t="shared" si="2"/>
        <v>1</v>
      </c>
      <c r="R50" s="7">
        <f t="shared" si="3"/>
        <v>149798</v>
      </c>
      <c r="S50" s="5">
        <f t="shared" si="4"/>
        <v>1</v>
      </c>
      <c r="T50" s="7">
        <f t="shared" si="5"/>
        <v>149798</v>
      </c>
    </row>
    <row r="51" spans="1:20">
      <c r="A51" s="23" t="s">
        <v>465</v>
      </c>
      <c r="B51" s="35" t="s">
        <v>49</v>
      </c>
      <c r="C51" s="36">
        <v>31413</v>
      </c>
      <c r="D51" s="6"/>
      <c r="E51" s="113">
        <v>1704443276</v>
      </c>
      <c r="F51" s="116">
        <f t="shared" si="6"/>
        <v>54259.169006462296</v>
      </c>
      <c r="G51" s="117">
        <v>1409186622</v>
      </c>
      <c r="H51" s="117">
        <f t="shared" si="11"/>
        <v>44859.982236653617</v>
      </c>
      <c r="I51" s="7"/>
      <c r="J51" s="10">
        <v>6.9870000000000001</v>
      </c>
      <c r="K51" s="117">
        <v>9845986</v>
      </c>
      <c r="L51" s="120">
        <f t="shared" si="12"/>
        <v>313.43666634832715</v>
      </c>
      <c r="M51" s="122">
        <f t="shared" si="7"/>
        <v>14091866.220000001</v>
      </c>
      <c r="N51" s="116">
        <f t="shared" si="8"/>
        <v>4245880.2200000007</v>
      </c>
      <c r="O51" s="123">
        <f t="shared" si="9"/>
        <v>135.16315601820904</v>
      </c>
      <c r="P51" s="5"/>
      <c r="Q51" s="5">
        <f t="shared" si="2"/>
        <v>1</v>
      </c>
      <c r="R51" s="7">
        <f t="shared" si="3"/>
        <v>31413</v>
      </c>
      <c r="S51" s="5">
        <f t="shared" si="4"/>
        <v>1</v>
      </c>
      <c r="T51" s="7">
        <f t="shared" si="5"/>
        <v>31413</v>
      </c>
    </row>
    <row r="52" spans="1:20">
      <c r="A52" s="23" t="s">
        <v>55</v>
      </c>
      <c r="B52" s="35" t="s">
        <v>49</v>
      </c>
      <c r="C52" s="36">
        <v>1763</v>
      </c>
      <c r="D52" s="6"/>
      <c r="E52" s="113">
        <v>441507999</v>
      </c>
      <c r="F52" s="116">
        <f t="shared" si="6"/>
        <v>250429.94838343732</v>
      </c>
      <c r="G52" s="117">
        <v>413154369</v>
      </c>
      <c r="H52" s="117">
        <f t="shared" si="11"/>
        <v>234347.34486670449</v>
      </c>
      <c r="I52" s="7"/>
      <c r="J52" s="10">
        <v>3.9569999999999999</v>
      </c>
      <c r="K52" s="117">
        <v>1634851</v>
      </c>
      <c r="L52" s="120">
        <f t="shared" si="12"/>
        <v>927.31196823596144</v>
      </c>
      <c r="M52" s="122">
        <f t="shared" si="7"/>
        <v>4131543.69</v>
      </c>
      <c r="N52" s="116">
        <f t="shared" si="8"/>
        <v>2496692.69</v>
      </c>
      <c r="O52" s="123">
        <f t="shared" si="9"/>
        <v>1416.1614804310834</v>
      </c>
      <c r="P52" s="5"/>
      <c r="Q52" s="5">
        <f t="shared" si="2"/>
        <v>1</v>
      </c>
      <c r="R52" s="7">
        <f t="shared" si="3"/>
        <v>1763</v>
      </c>
      <c r="S52" s="5">
        <f t="shared" si="4"/>
        <v>1</v>
      </c>
      <c r="T52" s="7">
        <f t="shared" si="5"/>
        <v>1763</v>
      </c>
    </row>
    <row r="53" spans="1:20">
      <c r="A53" s="23" t="s">
        <v>56</v>
      </c>
      <c r="B53" s="35" t="s">
        <v>49</v>
      </c>
      <c r="C53" s="36">
        <v>126917</v>
      </c>
      <c r="D53" s="6"/>
      <c r="E53" s="113">
        <v>7012128927</v>
      </c>
      <c r="F53" s="116">
        <f t="shared" si="6"/>
        <v>55249.72168425034</v>
      </c>
      <c r="G53" s="117">
        <v>5432876709</v>
      </c>
      <c r="H53" s="117">
        <f t="shared" si="11"/>
        <v>42806.532686716513</v>
      </c>
      <c r="I53" s="7"/>
      <c r="J53" s="10">
        <v>6.2999000000000001</v>
      </c>
      <c r="K53" s="117">
        <v>34226579</v>
      </c>
      <c r="L53" s="120">
        <f t="shared" si="12"/>
        <v>269.67686755911342</v>
      </c>
      <c r="M53" s="122">
        <f t="shared" si="7"/>
        <v>54328767.090000004</v>
      </c>
      <c r="N53" s="116">
        <f t="shared" si="8"/>
        <v>20102188.090000004</v>
      </c>
      <c r="O53" s="123">
        <f t="shared" si="9"/>
        <v>158.38845930805175</v>
      </c>
      <c r="P53" s="5"/>
      <c r="Q53" s="5">
        <f t="shared" si="2"/>
        <v>1</v>
      </c>
      <c r="R53" s="7">
        <f t="shared" si="3"/>
        <v>126917</v>
      </c>
      <c r="S53" s="5">
        <f t="shared" si="4"/>
        <v>1</v>
      </c>
      <c r="T53" s="7">
        <f t="shared" si="5"/>
        <v>126917</v>
      </c>
    </row>
    <row r="54" spans="1:20">
      <c r="A54" s="23" t="s">
        <v>57</v>
      </c>
      <c r="B54" s="35" t="s">
        <v>49</v>
      </c>
      <c r="C54" s="36">
        <v>27865</v>
      </c>
      <c r="D54" s="6"/>
      <c r="E54" s="113">
        <v>860860464</v>
      </c>
      <c r="F54" s="116">
        <f t="shared" si="6"/>
        <v>30893.969639332496</v>
      </c>
      <c r="G54" s="117">
        <v>624145546</v>
      </c>
      <c r="H54" s="117">
        <f t="shared" si="11"/>
        <v>22398.907087744483</v>
      </c>
      <c r="I54" s="7"/>
      <c r="J54" s="10">
        <v>4.95</v>
      </c>
      <c r="K54" s="117">
        <v>3089520</v>
      </c>
      <c r="L54" s="120">
        <f t="shared" si="12"/>
        <v>110.87457383814821</v>
      </c>
      <c r="M54" s="122">
        <f t="shared" si="7"/>
        <v>6241455.46</v>
      </c>
      <c r="N54" s="116">
        <f t="shared" si="8"/>
        <v>3151935.46</v>
      </c>
      <c r="O54" s="123">
        <f t="shared" si="9"/>
        <v>113.11449703929661</v>
      </c>
      <c r="P54" s="5"/>
      <c r="Q54" s="5">
        <f t="shared" si="2"/>
        <v>1</v>
      </c>
      <c r="R54" s="7">
        <f t="shared" si="3"/>
        <v>27865</v>
      </c>
      <c r="S54" s="5">
        <f t="shared" si="4"/>
        <v>1</v>
      </c>
      <c r="T54" s="7">
        <f t="shared" si="5"/>
        <v>27865</v>
      </c>
    </row>
    <row r="55" spans="1:20">
      <c r="A55" s="24" t="s">
        <v>560</v>
      </c>
      <c r="B55" s="35" t="s">
        <v>49</v>
      </c>
      <c r="C55" s="36">
        <v>3796</v>
      </c>
      <c r="D55" s="6"/>
      <c r="E55" s="113">
        <v>476775928</v>
      </c>
      <c r="F55" s="116">
        <f t="shared" si="6"/>
        <v>125599.55953635406</v>
      </c>
      <c r="G55" s="117">
        <v>441512884</v>
      </c>
      <c r="H55" s="117">
        <f t="shared" si="11"/>
        <v>116310.03266596417</v>
      </c>
      <c r="I55" s="7"/>
      <c r="J55" s="10">
        <v>3.85</v>
      </c>
      <c r="K55" s="117">
        <v>1699824</v>
      </c>
      <c r="L55" s="120">
        <f t="shared" si="12"/>
        <v>447.79346680716543</v>
      </c>
      <c r="M55" s="122">
        <f t="shared" si="7"/>
        <v>4415128.84</v>
      </c>
      <c r="N55" s="116">
        <f t="shared" si="8"/>
        <v>2715304.84</v>
      </c>
      <c r="O55" s="123">
        <f t="shared" si="9"/>
        <v>715.30685985247624</v>
      </c>
      <c r="P55" s="5"/>
      <c r="Q55" s="5">
        <f t="shared" si="2"/>
        <v>1</v>
      </c>
      <c r="R55" s="7">
        <f t="shared" si="3"/>
        <v>3796</v>
      </c>
      <c r="S55" s="5">
        <f t="shared" si="4"/>
        <v>1</v>
      </c>
      <c r="T55" s="7">
        <f t="shared" si="5"/>
        <v>3796</v>
      </c>
    </row>
    <row r="56" spans="1:20">
      <c r="A56" s="23" t="s">
        <v>58</v>
      </c>
      <c r="B56" s="35" t="s">
        <v>49</v>
      </c>
      <c r="C56" s="36">
        <v>50131</v>
      </c>
      <c r="D56" s="6"/>
      <c r="E56" s="113">
        <v>1600927372</v>
      </c>
      <c r="F56" s="116">
        <f t="shared" si="6"/>
        <v>31934.878059484152</v>
      </c>
      <c r="G56" s="117">
        <v>1244409503</v>
      </c>
      <c r="H56" s="117">
        <f t="shared" si="11"/>
        <v>24823.153398096987</v>
      </c>
      <c r="I56" s="7"/>
      <c r="J56" s="10">
        <v>4.8</v>
      </c>
      <c r="K56" s="117">
        <v>5973165</v>
      </c>
      <c r="L56" s="120">
        <f t="shared" si="12"/>
        <v>119.15112405497597</v>
      </c>
      <c r="M56" s="122">
        <f t="shared" si="7"/>
        <v>12444095.029999999</v>
      </c>
      <c r="N56" s="116">
        <f t="shared" si="8"/>
        <v>6470930.0299999993</v>
      </c>
      <c r="O56" s="123">
        <f t="shared" si="9"/>
        <v>129.08040992599388</v>
      </c>
      <c r="P56" s="5"/>
      <c r="Q56" s="5">
        <f t="shared" si="2"/>
        <v>1</v>
      </c>
      <c r="R56" s="7">
        <f t="shared" si="3"/>
        <v>50131</v>
      </c>
      <c r="S56" s="5">
        <f t="shared" si="4"/>
        <v>1</v>
      </c>
      <c r="T56" s="7">
        <f t="shared" si="5"/>
        <v>50131</v>
      </c>
    </row>
    <row r="57" spans="1:20">
      <c r="A57" s="23" t="s">
        <v>59</v>
      </c>
      <c r="B57" s="35" t="s">
        <v>49</v>
      </c>
      <c r="C57" s="36">
        <v>35</v>
      </c>
      <c r="D57" s="6"/>
      <c r="E57" s="113">
        <v>2117250</v>
      </c>
      <c r="F57" s="116">
        <f t="shared" si="6"/>
        <v>60492.857142857145</v>
      </c>
      <c r="G57" s="117">
        <v>1902860</v>
      </c>
      <c r="H57" s="117">
        <f t="shared" si="11"/>
        <v>54367.428571428572</v>
      </c>
      <c r="I57" s="7"/>
      <c r="J57" s="10">
        <v>2.4500000000000002</v>
      </c>
      <c r="K57" s="117">
        <v>4662</v>
      </c>
      <c r="L57" s="120">
        <f t="shared" si="12"/>
        <v>133.19999999999999</v>
      </c>
      <c r="M57" s="122">
        <f t="shared" si="7"/>
        <v>19028.600000000002</v>
      </c>
      <c r="N57" s="116">
        <f t="shared" si="8"/>
        <v>14366.600000000002</v>
      </c>
      <c r="O57" s="123">
        <f t="shared" si="9"/>
        <v>410.47428571428577</v>
      </c>
      <c r="P57" s="5"/>
      <c r="Q57" s="5">
        <f t="shared" si="2"/>
        <v>1</v>
      </c>
      <c r="R57" s="7">
        <f t="shared" si="3"/>
        <v>35</v>
      </c>
      <c r="S57" s="5">
        <f t="shared" si="4"/>
        <v>1</v>
      </c>
      <c r="T57" s="7">
        <f t="shared" si="5"/>
        <v>35</v>
      </c>
    </row>
    <row r="58" spans="1:20">
      <c r="A58" s="23" t="s">
        <v>60</v>
      </c>
      <c r="B58" s="35" t="s">
        <v>49</v>
      </c>
      <c r="C58" s="36">
        <v>10458</v>
      </c>
      <c r="D58" s="6"/>
      <c r="E58" s="113">
        <v>969345169</v>
      </c>
      <c r="F58" s="116">
        <f t="shared" si="6"/>
        <v>92689.344903423218</v>
      </c>
      <c r="G58" s="117">
        <v>838629040</v>
      </c>
      <c r="H58" s="117">
        <f t="shared" si="11"/>
        <v>80190.193153566652</v>
      </c>
      <c r="I58" s="7"/>
      <c r="J58" s="10">
        <v>3.7422</v>
      </c>
      <c r="K58" s="117">
        <v>3138317</v>
      </c>
      <c r="L58" s="120">
        <f t="shared" si="12"/>
        <v>300.08768406961178</v>
      </c>
      <c r="M58" s="122">
        <f t="shared" si="7"/>
        <v>8386290.4000000004</v>
      </c>
      <c r="N58" s="116">
        <f t="shared" si="8"/>
        <v>5247973.4000000004</v>
      </c>
      <c r="O58" s="123">
        <f t="shared" si="9"/>
        <v>501.81424746605472</v>
      </c>
      <c r="P58" s="5"/>
      <c r="Q58" s="5">
        <f t="shared" si="2"/>
        <v>1</v>
      </c>
      <c r="R58" s="7">
        <f t="shared" si="3"/>
        <v>10458</v>
      </c>
      <c r="S58" s="5">
        <f t="shared" si="4"/>
        <v>1</v>
      </c>
      <c r="T58" s="7">
        <f t="shared" si="5"/>
        <v>10458</v>
      </c>
    </row>
    <row r="59" spans="1:20">
      <c r="A59" s="23" t="s">
        <v>61</v>
      </c>
      <c r="B59" s="35" t="s">
        <v>49</v>
      </c>
      <c r="C59" s="36">
        <v>50315</v>
      </c>
      <c r="D59" s="6"/>
      <c r="E59" s="113">
        <v>1909200007</v>
      </c>
      <c r="F59" s="116">
        <f t="shared" si="6"/>
        <v>37944.946974063401</v>
      </c>
      <c r="G59" s="117">
        <v>1431446850</v>
      </c>
      <c r="H59" s="117">
        <f t="shared" si="11"/>
        <v>28449.703865646428</v>
      </c>
      <c r="I59" s="7"/>
      <c r="J59" s="10">
        <v>7.1002000000000001</v>
      </c>
      <c r="K59" s="117">
        <v>10163558</v>
      </c>
      <c r="L59" s="120">
        <f t="shared" si="12"/>
        <v>201.99856901520423</v>
      </c>
      <c r="M59" s="122">
        <f t="shared" si="7"/>
        <v>14314468.5</v>
      </c>
      <c r="N59" s="116">
        <f t="shared" si="8"/>
        <v>4150910.5</v>
      </c>
      <c r="O59" s="123">
        <f t="shared" si="9"/>
        <v>82.498469641260058</v>
      </c>
      <c r="P59" s="5"/>
      <c r="Q59" s="5">
        <f t="shared" si="2"/>
        <v>1</v>
      </c>
      <c r="R59" s="7">
        <f t="shared" si="3"/>
        <v>50315</v>
      </c>
      <c r="S59" s="5">
        <f t="shared" si="4"/>
        <v>1</v>
      </c>
      <c r="T59" s="7">
        <f t="shared" si="5"/>
        <v>50315</v>
      </c>
    </row>
    <row r="60" spans="1:20">
      <c r="A60" s="23" t="s">
        <v>62</v>
      </c>
      <c r="B60" s="35" t="s">
        <v>49</v>
      </c>
      <c r="C60" s="36">
        <v>52882</v>
      </c>
      <c r="D60" s="6"/>
      <c r="E60" s="113">
        <v>2306621848</v>
      </c>
      <c r="F60" s="116">
        <f t="shared" si="6"/>
        <v>43618.279338905486</v>
      </c>
      <c r="G60" s="117">
        <v>1764441908</v>
      </c>
      <c r="H60" s="117">
        <f t="shared" si="11"/>
        <v>33365.642524866686</v>
      </c>
      <c r="I60" s="7"/>
      <c r="J60" s="10">
        <v>6.9226000000000001</v>
      </c>
      <c r="K60" s="117">
        <v>12214525</v>
      </c>
      <c r="L60" s="120">
        <f t="shared" si="12"/>
        <v>230.97698649824136</v>
      </c>
      <c r="M60" s="122">
        <f t="shared" si="7"/>
        <v>17644419.080000002</v>
      </c>
      <c r="N60" s="116">
        <f t="shared" si="8"/>
        <v>5429894.0800000019</v>
      </c>
      <c r="O60" s="123">
        <f t="shared" si="9"/>
        <v>102.67943875042552</v>
      </c>
      <c r="P60" s="5"/>
      <c r="Q60" s="5">
        <f t="shared" si="2"/>
        <v>1</v>
      </c>
      <c r="R60" s="7">
        <f t="shared" si="3"/>
        <v>52882</v>
      </c>
      <c r="S60" s="5">
        <f t="shared" si="4"/>
        <v>1</v>
      </c>
      <c r="T60" s="7">
        <f t="shared" si="5"/>
        <v>52882</v>
      </c>
    </row>
    <row r="61" spans="1:20">
      <c r="A61" s="23" t="s">
        <v>63</v>
      </c>
      <c r="B61" s="35" t="s">
        <v>49</v>
      </c>
      <c r="C61" s="36">
        <v>29057</v>
      </c>
      <c r="D61" s="6"/>
      <c r="E61" s="113">
        <v>792620397</v>
      </c>
      <c r="F61" s="116">
        <f t="shared" si="6"/>
        <v>27278.122208073786</v>
      </c>
      <c r="G61" s="117">
        <v>564591604</v>
      </c>
      <c r="H61" s="117">
        <f t="shared" si="11"/>
        <v>19430.485046632482</v>
      </c>
      <c r="I61" s="7"/>
      <c r="J61" s="10">
        <v>4.6845999999999997</v>
      </c>
      <c r="K61" s="117">
        <v>2644885</v>
      </c>
      <c r="L61" s="120">
        <f t="shared" si="12"/>
        <v>91.024021750352759</v>
      </c>
      <c r="M61" s="122">
        <f t="shared" si="7"/>
        <v>5645916.04</v>
      </c>
      <c r="N61" s="116">
        <f t="shared" si="8"/>
        <v>3001031.04</v>
      </c>
      <c r="O61" s="123">
        <f t="shared" si="9"/>
        <v>103.28082871597205</v>
      </c>
      <c r="P61" s="5"/>
      <c r="Q61" s="5">
        <f t="shared" si="2"/>
        <v>1</v>
      </c>
      <c r="R61" s="7">
        <f t="shared" si="3"/>
        <v>29057</v>
      </c>
      <c r="S61" s="5">
        <f t="shared" si="4"/>
        <v>1</v>
      </c>
      <c r="T61" s="7">
        <f t="shared" si="5"/>
        <v>29057</v>
      </c>
    </row>
    <row r="62" spans="1:20">
      <c r="A62" s="23" t="s">
        <v>64</v>
      </c>
      <c r="B62" s="35" t="s">
        <v>49</v>
      </c>
      <c r="C62" s="36">
        <v>28087</v>
      </c>
      <c r="D62" s="6"/>
      <c r="E62" s="113">
        <v>1509760392</v>
      </c>
      <c r="F62" s="116">
        <f t="shared" si="6"/>
        <v>53752.99576316445</v>
      </c>
      <c r="G62" s="117">
        <v>1196428639</v>
      </c>
      <c r="H62" s="117">
        <f t="shared" si="11"/>
        <v>42597.238544522377</v>
      </c>
      <c r="I62" s="7"/>
      <c r="J62" s="10">
        <v>4.9714999999999998</v>
      </c>
      <c r="K62" s="117">
        <v>5948044</v>
      </c>
      <c r="L62" s="120">
        <f t="shared" si="12"/>
        <v>211.77213657563996</v>
      </c>
      <c r="M62" s="122">
        <f t="shared" si="7"/>
        <v>11964286.390000001</v>
      </c>
      <c r="N62" s="116">
        <f t="shared" si="8"/>
        <v>6016242.3900000006</v>
      </c>
      <c r="O62" s="123">
        <f t="shared" si="9"/>
        <v>214.20024886958382</v>
      </c>
      <c r="P62" s="5"/>
      <c r="Q62" s="5">
        <f t="shared" si="2"/>
        <v>1</v>
      </c>
      <c r="R62" s="7">
        <f t="shared" si="3"/>
        <v>28087</v>
      </c>
      <c r="S62" s="5">
        <f t="shared" si="4"/>
        <v>1</v>
      </c>
      <c r="T62" s="7">
        <f t="shared" si="5"/>
        <v>28087</v>
      </c>
    </row>
    <row r="63" spans="1:20">
      <c r="A63" s="23" t="s">
        <v>65</v>
      </c>
      <c r="B63" s="35" t="s">
        <v>49</v>
      </c>
      <c r="C63" s="36">
        <v>12072</v>
      </c>
      <c r="D63" s="6"/>
      <c r="E63" s="113">
        <v>1055777334</v>
      </c>
      <c r="F63" s="116">
        <f t="shared" si="6"/>
        <v>87456.704274353877</v>
      </c>
      <c r="G63" s="117">
        <v>857431204</v>
      </c>
      <c r="H63" s="117">
        <f t="shared" si="11"/>
        <v>71026.441683233934</v>
      </c>
      <c r="I63" s="7"/>
      <c r="J63" s="10">
        <v>4.0999999999999996</v>
      </c>
      <c r="K63" s="117">
        <v>3515467</v>
      </c>
      <c r="L63" s="120">
        <f t="shared" si="12"/>
        <v>291.20833333333331</v>
      </c>
      <c r="M63" s="122">
        <f t="shared" si="7"/>
        <v>8574312.040000001</v>
      </c>
      <c r="N63" s="116">
        <f t="shared" si="8"/>
        <v>5058845.040000001</v>
      </c>
      <c r="O63" s="123">
        <f t="shared" si="9"/>
        <v>419.05608349900604</v>
      </c>
      <c r="P63" s="5"/>
      <c r="Q63" s="5">
        <f t="shared" si="2"/>
        <v>1</v>
      </c>
      <c r="R63" s="7">
        <f t="shared" si="3"/>
        <v>12072</v>
      </c>
      <c r="S63" s="5">
        <f t="shared" si="4"/>
        <v>1</v>
      </c>
      <c r="T63" s="7">
        <f t="shared" si="5"/>
        <v>12072</v>
      </c>
    </row>
    <row r="64" spans="1:20">
      <c r="A64" s="23" t="s">
        <v>66</v>
      </c>
      <c r="B64" s="35" t="s">
        <v>49</v>
      </c>
      <c r="C64" s="36">
        <v>4789</v>
      </c>
      <c r="D64" s="6"/>
      <c r="E64" s="113">
        <v>229389152</v>
      </c>
      <c r="F64" s="116">
        <f t="shared" si="6"/>
        <v>47899.175610774691</v>
      </c>
      <c r="G64" s="117">
        <v>210568882</v>
      </c>
      <c r="H64" s="117">
        <f t="shared" si="11"/>
        <v>43969.28001670495</v>
      </c>
      <c r="I64" s="7"/>
      <c r="J64" s="10">
        <v>6.75</v>
      </c>
      <c r="K64" s="117">
        <v>1421339</v>
      </c>
      <c r="L64" s="120">
        <f t="shared" si="12"/>
        <v>296.79244101064938</v>
      </c>
      <c r="M64" s="122">
        <f t="shared" si="7"/>
        <v>2105688.8199999998</v>
      </c>
      <c r="N64" s="116">
        <f t="shared" si="8"/>
        <v>684349.81999999983</v>
      </c>
      <c r="O64" s="123">
        <f t="shared" si="9"/>
        <v>142.90035915640004</v>
      </c>
      <c r="P64" s="5"/>
      <c r="Q64" s="5">
        <f t="shared" si="2"/>
        <v>1</v>
      </c>
      <c r="R64" s="7">
        <f t="shared" si="3"/>
        <v>4789</v>
      </c>
      <c r="S64" s="5">
        <f t="shared" si="4"/>
        <v>1</v>
      </c>
      <c r="T64" s="7">
        <f t="shared" si="5"/>
        <v>4789</v>
      </c>
    </row>
    <row r="65" spans="1:20">
      <c r="A65" s="23" t="s">
        <v>67</v>
      </c>
      <c r="B65" s="35" t="s">
        <v>49</v>
      </c>
      <c r="C65" s="36">
        <v>112692</v>
      </c>
      <c r="D65" s="6"/>
      <c r="E65" s="113">
        <v>5726468609</v>
      </c>
      <c r="F65" s="116">
        <f t="shared" si="6"/>
        <v>50815.218551449972</v>
      </c>
      <c r="G65" s="117">
        <v>4455068570</v>
      </c>
      <c r="H65" s="117">
        <f t="shared" si="11"/>
        <v>39533.139619493842</v>
      </c>
      <c r="I65" s="7"/>
      <c r="J65" s="10">
        <v>3.9034</v>
      </c>
      <c r="K65" s="117">
        <v>17389914</v>
      </c>
      <c r="L65" s="120">
        <f t="shared" si="12"/>
        <v>154.31365136833139</v>
      </c>
      <c r="M65" s="122">
        <f t="shared" si="7"/>
        <v>44550685.700000003</v>
      </c>
      <c r="N65" s="116">
        <f t="shared" si="8"/>
        <v>27160771.700000003</v>
      </c>
      <c r="O65" s="123">
        <f t="shared" si="9"/>
        <v>241.01774482660707</v>
      </c>
      <c r="P65" s="5"/>
      <c r="Q65" s="5">
        <f t="shared" si="2"/>
        <v>1</v>
      </c>
      <c r="R65" s="7">
        <f t="shared" si="3"/>
        <v>112692</v>
      </c>
      <c r="S65" s="5">
        <f t="shared" si="4"/>
        <v>1</v>
      </c>
      <c r="T65" s="7">
        <f t="shared" si="5"/>
        <v>112692</v>
      </c>
    </row>
    <row r="66" spans="1:20">
      <c r="A66" s="23" t="s">
        <v>68</v>
      </c>
      <c r="B66" s="35" t="s">
        <v>49</v>
      </c>
      <c r="C66" s="36">
        <v>78952</v>
      </c>
      <c r="D66" s="6"/>
      <c r="E66" s="113">
        <v>5161071091</v>
      </c>
      <c r="F66" s="116">
        <f t="shared" si="6"/>
        <v>65369.732128381802</v>
      </c>
      <c r="G66" s="117">
        <v>4242477639</v>
      </c>
      <c r="H66" s="117">
        <f t="shared" si="11"/>
        <v>53734.897646671394</v>
      </c>
      <c r="I66" s="7"/>
      <c r="J66" s="10">
        <v>3.5579999999999998</v>
      </c>
      <c r="K66" s="117">
        <v>15094735</v>
      </c>
      <c r="L66" s="120">
        <f t="shared" si="12"/>
        <v>191.18876025939812</v>
      </c>
      <c r="M66" s="122">
        <f t="shared" si="7"/>
        <v>42424776.390000001</v>
      </c>
      <c r="N66" s="116">
        <f t="shared" si="8"/>
        <v>27330041.390000001</v>
      </c>
      <c r="O66" s="123">
        <f t="shared" si="9"/>
        <v>346.16021620731584</v>
      </c>
      <c r="P66" s="5"/>
      <c r="Q66" s="5">
        <f t="shared" si="2"/>
        <v>1</v>
      </c>
      <c r="R66" s="7">
        <f t="shared" si="3"/>
        <v>78952</v>
      </c>
      <c r="S66" s="5">
        <f t="shared" si="4"/>
        <v>1</v>
      </c>
      <c r="T66" s="7">
        <f t="shared" si="5"/>
        <v>78952</v>
      </c>
    </row>
    <row r="67" spans="1:20">
      <c r="A67" s="23" t="s">
        <v>69</v>
      </c>
      <c r="B67" s="35" t="s">
        <v>49</v>
      </c>
      <c r="C67" s="36">
        <v>74248</v>
      </c>
      <c r="D67" s="6"/>
      <c r="E67" s="113">
        <v>5350977548</v>
      </c>
      <c r="F67" s="116">
        <f t="shared" si="6"/>
        <v>72068.978935459541</v>
      </c>
      <c r="G67" s="117">
        <v>4439976185</v>
      </c>
      <c r="H67" s="117">
        <f t="shared" si="11"/>
        <v>59799.269811981467</v>
      </c>
      <c r="I67" s="7"/>
      <c r="J67" s="10">
        <v>9.8025000000000002</v>
      </c>
      <c r="K67" s="117">
        <v>43522866</v>
      </c>
      <c r="L67" s="120">
        <f t="shared" si="12"/>
        <v>586.18233487770715</v>
      </c>
      <c r="M67" s="122">
        <f t="shared" si="7"/>
        <v>44399761.850000001</v>
      </c>
      <c r="N67" s="116">
        <f t="shared" si="8"/>
        <v>876895.85000000149</v>
      </c>
      <c r="O67" s="123">
        <f t="shared" si="9"/>
        <v>11.810363242107552</v>
      </c>
      <c r="P67" s="5"/>
      <c r="Q67" s="5">
        <f t="shared" si="2"/>
        <v>1</v>
      </c>
      <c r="R67" s="7">
        <f t="shared" si="3"/>
        <v>74248</v>
      </c>
      <c r="S67" s="5">
        <f t="shared" si="4"/>
        <v>1</v>
      </c>
      <c r="T67" s="7">
        <f t="shared" si="5"/>
        <v>74248</v>
      </c>
    </row>
    <row r="68" spans="1:20">
      <c r="A68" s="23" t="s">
        <v>70</v>
      </c>
      <c r="B68" s="35" t="s">
        <v>49</v>
      </c>
      <c r="C68" s="36">
        <v>616</v>
      </c>
      <c r="D68" s="6"/>
      <c r="E68" s="113">
        <v>102950819</v>
      </c>
      <c r="F68" s="116">
        <f t="shared" si="6"/>
        <v>167127.95292207791</v>
      </c>
      <c r="G68" s="117">
        <v>93049769</v>
      </c>
      <c r="H68" s="117">
        <f t="shared" si="11"/>
        <v>151054.8198051948</v>
      </c>
      <c r="I68" s="7"/>
      <c r="J68" s="10">
        <v>5.55</v>
      </c>
      <c r="K68" s="117">
        <v>516426</v>
      </c>
      <c r="L68" s="120">
        <f t="shared" si="12"/>
        <v>838.35389610389609</v>
      </c>
      <c r="M68" s="122">
        <f t="shared" si="7"/>
        <v>930497.69000000006</v>
      </c>
      <c r="N68" s="116">
        <f t="shared" si="8"/>
        <v>414071.69000000006</v>
      </c>
      <c r="O68" s="123">
        <f t="shared" si="9"/>
        <v>672.19430194805204</v>
      </c>
      <c r="P68" s="5"/>
      <c r="Q68" s="5">
        <f t="shared" si="2"/>
        <v>1</v>
      </c>
      <c r="R68" s="7">
        <f t="shared" si="3"/>
        <v>616</v>
      </c>
      <c r="S68" s="5">
        <f t="shared" si="4"/>
        <v>1</v>
      </c>
      <c r="T68" s="7">
        <f t="shared" si="5"/>
        <v>616</v>
      </c>
    </row>
    <row r="69" spans="1:20">
      <c r="A69" s="23" t="s">
        <v>71</v>
      </c>
      <c r="B69" s="35" t="s">
        <v>49</v>
      </c>
      <c r="C69" s="36">
        <v>77025</v>
      </c>
      <c r="D69" s="6"/>
      <c r="E69" s="113">
        <v>3680538597</v>
      </c>
      <c r="F69" s="116">
        <f t="shared" si="6"/>
        <v>47783.688373904573</v>
      </c>
      <c r="G69" s="117">
        <v>2863006211</v>
      </c>
      <c r="H69" s="117">
        <f t="shared" si="11"/>
        <v>37169.830717299577</v>
      </c>
      <c r="I69" s="7"/>
      <c r="J69" s="10">
        <v>6.35</v>
      </c>
      <c r="K69" s="117">
        <v>18180089</v>
      </c>
      <c r="L69" s="120">
        <f t="shared" si="12"/>
        <v>236.0284193443687</v>
      </c>
      <c r="M69" s="122">
        <f t="shared" si="7"/>
        <v>28630062.109999999</v>
      </c>
      <c r="N69" s="116">
        <f t="shared" si="8"/>
        <v>10449973.109999999</v>
      </c>
      <c r="O69" s="123">
        <f t="shared" si="9"/>
        <v>135.66988782862705</v>
      </c>
      <c r="P69" s="5"/>
      <c r="Q69" s="5">
        <f t="shared" si="2"/>
        <v>1</v>
      </c>
      <c r="R69" s="7">
        <f t="shared" si="3"/>
        <v>77025</v>
      </c>
      <c r="S69" s="5">
        <f t="shared" si="4"/>
        <v>1</v>
      </c>
      <c r="T69" s="7">
        <f t="shared" si="5"/>
        <v>77025</v>
      </c>
    </row>
    <row r="70" spans="1:20">
      <c r="A70" s="23" t="s">
        <v>72</v>
      </c>
      <c r="B70" s="35" t="s">
        <v>49</v>
      </c>
      <c r="C70" s="36">
        <v>51488</v>
      </c>
      <c r="D70" s="6"/>
      <c r="E70" s="113">
        <v>2296537390</v>
      </c>
      <c r="F70" s="116">
        <f t="shared" si="6"/>
        <v>44603.352043194529</v>
      </c>
      <c r="G70" s="117">
        <v>1700814332</v>
      </c>
      <c r="H70" s="117">
        <f t="shared" ref="H70:H91" si="13">(G70/C70)</f>
        <v>33033.218070229959</v>
      </c>
      <c r="I70" s="7"/>
      <c r="J70" s="10">
        <v>5.4855</v>
      </c>
      <c r="K70" s="117">
        <v>9329817</v>
      </c>
      <c r="L70" s="120">
        <f t="shared" si="12"/>
        <v>181.20371737103792</v>
      </c>
      <c r="M70" s="122">
        <f t="shared" si="7"/>
        <v>17008143.32</v>
      </c>
      <c r="N70" s="116">
        <f t="shared" si="8"/>
        <v>7678326.3200000003</v>
      </c>
      <c r="O70" s="123">
        <f t="shared" si="9"/>
        <v>149.12846333126166</v>
      </c>
      <c r="P70" s="5"/>
      <c r="Q70" s="5">
        <f t="shared" si="2"/>
        <v>1</v>
      </c>
      <c r="R70" s="7">
        <f t="shared" si="3"/>
        <v>51488</v>
      </c>
      <c r="S70" s="5">
        <f t="shared" si="4"/>
        <v>1</v>
      </c>
      <c r="T70" s="7">
        <f t="shared" si="5"/>
        <v>51488</v>
      </c>
    </row>
    <row r="71" spans="1:20">
      <c r="A71" s="23" t="s">
        <v>73</v>
      </c>
      <c r="B71" s="35" t="s">
        <v>49</v>
      </c>
      <c r="C71" s="36">
        <v>38610</v>
      </c>
      <c r="D71" s="6"/>
      <c r="E71" s="113">
        <v>2846466915</v>
      </c>
      <c r="F71" s="116">
        <f t="shared" si="6"/>
        <v>73723.566822066816</v>
      </c>
      <c r="G71" s="117">
        <v>2509031105</v>
      </c>
      <c r="H71" s="117">
        <f t="shared" si="13"/>
        <v>64983.970603470603</v>
      </c>
      <c r="I71" s="7"/>
      <c r="J71" s="10">
        <v>1.5235000000000001</v>
      </c>
      <c r="K71" s="117">
        <v>3822508</v>
      </c>
      <c r="L71" s="120">
        <f t="shared" si="12"/>
        <v>99.003056203056204</v>
      </c>
      <c r="M71" s="122">
        <f t="shared" si="7"/>
        <v>25090311.050000001</v>
      </c>
      <c r="N71" s="116">
        <f t="shared" si="8"/>
        <v>21267803.050000001</v>
      </c>
      <c r="O71" s="123">
        <f t="shared" si="9"/>
        <v>550.83664983164988</v>
      </c>
      <c r="P71" s="5"/>
      <c r="Q71" s="5">
        <f t="shared" ref="Q71:Q134" si="14">IF(E71&gt;0,1,0)</f>
        <v>1</v>
      </c>
      <c r="R71" s="7">
        <f t="shared" ref="R71:R134" si="15">IF(E71&gt;0,C71,0)</f>
        <v>38610</v>
      </c>
      <c r="S71" s="5">
        <f t="shared" ref="S71:S134" si="16">IF(J71&gt;0,1,0)</f>
        <v>1</v>
      </c>
      <c r="T71" s="7">
        <f t="shared" ref="T71:T134" si="17">IF(J71&gt;0,C71,0)</f>
        <v>38610</v>
      </c>
    </row>
    <row r="72" spans="1:20">
      <c r="A72" s="23" t="s">
        <v>74</v>
      </c>
      <c r="B72" s="35" t="s">
        <v>49</v>
      </c>
      <c r="C72" s="36">
        <v>11841</v>
      </c>
      <c r="D72" s="6"/>
      <c r="E72" s="113">
        <v>498694270</v>
      </c>
      <c r="F72" s="116">
        <f t="shared" ref="F72:F135" si="18">(E72/C72)</f>
        <v>42115.89139430791</v>
      </c>
      <c r="G72" s="117">
        <v>378539656</v>
      </c>
      <c r="H72" s="117">
        <f t="shared" si="13"/>
        <v>31968.554682881513</v>
      </c>
      <c r="I72" s="7"/>
      <c r="J72" s="10">
        <v>6.0330000000000004</v>
      </c>
      <c r="K72" s="117">
        <v>2283729</v>
      </c>
      <c r="L72" s="120">
        <f t="shared" si="12"/>
        <v>192.86622751456804</v>
      </c>
      <c r="M72" s="122">
        <f t="shared" ref="M72:M135" si="19">(G72*0.01)</f>
        <v>3785396.56</v>
      </c>
      <c r="N72" s="116">
        <f t="shared" ref="N72:N135" si="20">(M72-K72)</f>
        <v>1501667.56</v>
      </c>
      <c r="O72" s="123">
        <f t="shared" ref="O72:O135" si="21">(N72/C72)</f>
        <v>126.81931931424711</v>
      </c>
      <c r="P72" s="5"/>
      <c r="Q72" s="5">
        <f t="shared" si="14"/>
        <v>1</v>
      </c>
      <c r="R72" s="7">
        <f t="shared" si="15"/>
        <v>11841</v>
      </c>
      <c r="S72" s="5">
        <f t="shared" si="16"/>
        <v>1</v>
      </c>
      <c r="T72" s="7">
        <f t="shared" si="17"/>
        <v>11841</v>
      </c>
    </row>
    <row r="73" spans="1:20">
      <c r="A73" s="23" t="s">
        <v>75</v>
      </c>
      <c r="B73" s="35" t="s">
        <v>76</v>
      </c>
      <c r="C73" s="36">
        <v>641</v>
      </c>
      <c r="D73" s="6"/>
      <c r="E73" s="113">
        <v>8261635</v>
      </c>
      <c r="F73" s="116">
        <f t="shared" si="18"/>
        <v>12888.666146645866</v>
      </c>
      <c r="G73" s="117">
        <v>4128630</v>
      </c>
      <c r="H73" s="117">
        <f t="shared" si="13"/>
        <v>6440.9204368174724</v>
      </c>
      <c r="I73" s="98" t="s">
        <v>528</v>
      </c>
      <c r="J73" s="10"/>
      <c r="K73" s="117"/>
      <c r="L73" s="120"/>
      <c r="M73" s="122">
        <f t="shared" si="19"/>
        <v>41286.300000000003</v>
      </c>
      <c r="N73" s="116">
        <f t="shared" si="20"/>
        <v>41286.300000000003</v>
      </c>
      <c r="O73" s="123">
        <f t="shared" si="21"/>
        <v>64.409204368174727</v>
      </c>
      <c r="P73" s="5"/>
      <c r="Q73" s="5">
        <f t="shared" si="14"/>
        <v>1</v>
      </c>
      <c r="R73" s="7">
        <f t="shared" si="15"/>
        <v>641</v>
      </c>
      <c r="S73" s="5">
        <f t="shared" si="16"/>
        <v>0</v>
      </c>
      <c r="T73" s="7">
        <f t="shared" si="17"/>
        <v>0</v>
      </c>
    </row>
    <row r="74" spans="1:20">
      <c r="A74" s="23" t="s">
        <v>77</v>
      </c>
      <c r="B74" s="35" t="s">
        <v>76</v>
      </c>
      <c r="C74" s="36">
        <v>2501</v>
      </c>
      <c r="D74" s="6"/>
      <c r="E74" s="113">
        <v>69553569</v>
      </c>
      <c r="F74" s="116">
        <f t="shared" si="18"/>
        <v>27810.303478608555</v>
      </c>
      <c r="G74" s="117">
        <v>40783175</v>
      </c>
      <c r="H74" s="117">
        <f t="shared" si="13"/>
        <v>16306.747301079567</v>
      </c>
      <c r="I74" s="9"/>
      <c r="J74" s="10">
        <v>1.5</v>
      </c>
      <c r="K74" s="117">
        <v>61174</v>
      </c>
      <c r="L74" s="120">
        <f t="shared" ref="L74:L80" si="22">(K74/C74)</f>
        <v>24.459816073570572</v>
      </c>
      <c r="M74" s="122">
        <f t="shared" si="19"/>
        <v>407831.75</v>
      </c>
      <c r="N74" s="116">
        <f t="shared" si="20"/>
        <v>346657.75</v>
      </c>
      <c r="O74" s="123">
        <f t="shared" si="21"/>
        <v>138.6076569372251</v>
      </c>
      <c r="P74" s="5"/>
      <c r="Q74" s="5">
        <f t="shared" si="14"/>
        <v>1</v>
      </c>
      <c r="R74" s="7">
        <f t="shared" si="15"/>
        <v>2501</v>
      </c>
      <c r="S74" s="5">
        <f t="shared" si="16"/>
        <v>1</v>
      </c>
      <c r="T74" s="7">
        <f t="shared" si="17"/>
        <v>2501</v>
      </c>
    </row>
    <row r="75" spans="1:20">
      <c r="A75" s="23" t="s">
        <v>78</v>
      </c>
      <c r="B75" s="35" t="s">
        <v>79</v>
      </c>
      <c r="C75" s="36">
        <v>12768</v>
      </c>
      <c r="D75" s="6"/>
      <c r="E75" s="113">
        <v>1391358253</v>
      </c>
      <c r="F75" s="116">
        <f t="shared" si="18"/>
        <v>108972.29425125313</v>
      </c>
      <c r="G75" s="117">
        <v>1139141370</v>
      </c>
      <c r="H75" s="117">
        <f t="shared" si="13"/>
        <v>89218.465695488718</v>
      </c>
      <c r="I75" s="7"/>
      <c r="J75" s="10">
        <v>3.1572</v>
      </c>
      <c r="K75" s="117">
        <v>3596497</v>
      </c>
      <c r="L75" s="120">
        <f t="shared" si="22"/>
        <v>281.68052944862154</v>
      </c>
      <c r="M75" s="122">
        <f t="shared" si="19"/>
        <v>11391413.700000001</v>
      </c>
      <c r="N75" s="116">
        <f t="shared" si="20"/>
        <v>7794916.7000000011</v>
      </c>
      <c r="O75" s="123">
        <f t="shared" si="21"/>
        <v>610.50412750626572</v>
      </c>
      <c r="P75" s="5"/>
      <c r="Q75" s="5">
        <f t="shared" si="14"/>
        <v>1</v>
      </c>
      <c r="R75" s="7">
        <f t="shared" si="15"/>
        <v>12768</v>
      </c>
      <c r="S75" s="5">
        <f t="shared" si="16"/>
        <v>1</v>
      </c>
      <c r="T75" s="7">
        <f t="shared" si="17"/>
        <v>12768</v>
      </c>
    </row>
    <row r="76" spans="1:20">
      <c r="A76" s="23" t="s">
        <v>80</v>
      </c>
      <c r="B76" s="35" t="s">
        <v>81</v>
      </c>
      <c r="C76" s="36">
        <v>4326</v>
      </c>
      <c r="D76" s="6"/>
      <c r="E76" s="113">
        <v>269308873</v>
      </c>
      <c r="F76" s="116">
        <f t="shared" si="18"/>
        <v>62253.553629218681</v>
      </c>
      <c r="G76" s="117">
        <v>220639167</v>
      </c>
      <c r="H76" s="117">
        <f t="shared" si="13"/>
        <v>51003.043689320388</v>
      </c>
      <c r="I76" s="7"/>
      <c r="J76" s="10">
        <v>5.5</v>
      </c>
      <c r="K76" s="117">
        <v>1213515</v>
      </c>
      <c r="L76" s="120">
        <f t="shared" si="22"/>
        <v>280.51664355062411</v>
      </c>
      <c r="M76" s="122">
        <f t="shared" si="19"/>
        <v>2206391.67</v>
      </c>
      <c r="N76" s="116">
        <f t="shared" si="20"/>
        <v>992876.66999999993</v>
      </c>
      <c r="O76" s="123">
        <f t="shared" si="21"/>
        <v>229.51379334257973</v>
      </c>
      <c r="P76" s="5"/>
      <c r="Q76" s="5">
        <f t="shared" si="14"/>
        <v>1</v>
      </c>
      <c r="R76" s="7">
        <f t="shared" si="15"/>
        <v>4326</v>
      </c>
      <c r="S76" s="5">
        <f t="shared" si="16"/>
        <v>1</v>
      </c>
      <c r="T76" s="7">
        <f t="shared" si="17"/>
        <v>4326</v>
      </c>
    </row>
    <row r="77" spans="1:20">
      <c r="A77" s="23" t="s">
        <v>82</v>
      </c>
      <c r="B77" s="35" t="s">
        <v>81</v>
      </c>
      <c r="C77" s="36">
        <v>6925</v>
      </c>
      <c r="D77" s="6"/>
      <c r="E77" s="113">
        <v>363414589</v>
      </c>
      <c r="F77" s="116">
        <f t="shared" si="18"/>
        <v>52478.641010830324</v>
      </c>
      <c r="G77" s="117">
        <v>220409527</v>
      </c>
      <c r="H77" s="117">
        <f t="shared" si="13"/>
        <v>31828.090541516245</v>
      </c>
      <c r="I77" s="7"/>
      <c r="J77" s="10">
        <v>6.4531000000000001</v>
      </c>
      <c r="K77" s="117">
        <v>1422324</v>
      </c>
      <c r="L77" s="120">
        <f t="shared" si="22"/>
        <v>205.38974729241878</v>
      </c>
      <c r="M77" s="122">
        <f t="shared" si="19"/>
        <v>2204095.27</v>
      </c>
      <c r="N77" s="116">
        <f t="shared" si="20"/>
        <v>781771.27</v>
      </c>
      <c r="O77" s="123">
        <f t="shared" si="21"/>
        <v>112.89115812274369</v>
      </c>
      <c r="P77" s="5"/>
      <c r="Q77" s="5">
        <f t="shared" si="14"/>
        <v>1</v>
      </c>
      <c r="R77" s="7">
        <f t="shared" si="15"/>
        <v>6925</v>
      </c>
      <c r="S77" s="5">
        <f t="shared" si="16"/>
        <v>1</v>
      </c>
      <c r="T77" s="7">
        <f t="shared" si="17"/>
        <v>6925</v>
      </c>
    </row>
    <row r="78" spans="1:20">
      <c r="A78" s="23" t="s">
        <v>83</v>
      </c>
      <c r="B78" s="35" t="s">
        <v>84</v>
      </c>
      <c r="C78" s="36">
        <v>5048</v>
      </c>
      <c r="D78" s="6"/>
      <c r="E78" s="113">
        <v>215283565</v>
      </c>
      <c r="F78" s="116">
        <f t="shared" si="18"/>
        <v>42647.298930269411</v>
      </c>
      <c r="G78" s="117">
        <v>158405901</v>
      </c>
      <c r="H78" s="117">
        <f t="shared" si="13"/>
        <v>31379.932844690968</v>
      </c>
      <c r="I78" s="7"/>
      <c r="J78" s="11">
        <v>2.6110000000000002</v>
      </c>
      <c r="K78" s="117">
        <v>413597</v>
      </c>
      <c r="L78" s="120">
        <f t="shared" si="22"/>
        <v>81.932844690966718</v>
      </c>
      <c r="M78" s="122">
        <f t="shared" si="19"/>
        <v>1584059.01</v>
      </c>
      <c r="N78" s="116">
        <f t="shared" si="20"/>
        <v>1170462.01</v>
      </c>
      <c r="O78" s="123">
        <f t="shared" si="21"/>
        <v>231.86648375594294</v>
      </c>
      <c r="P78" s="5"/>
      <c r="Q78" s="5">
        <f t="shared" si="14"/>
        <v>1</v>
      </c>
      <c r="R78" s="7">
        <f t="shared" si="15"/>
        <v>5048</v>
      </c>
      <c r="S78" s="5">
        <f t="shared" si="16"/>
        <v>1</v>
      </c>
      <c r="T78" s="7">
        <f t="shared" si="17"/>
        <v>5048</v>
      </c>
    </row>
    <row r="79" spans="1:20">
      <c r="A79" s="23" t="s">
        <v>85</v>
      </c>
      <c r="B79" s="35" t="s">
        <v>84</v>
      </c>
      <c r="C79" s="36">
        <v>1358</v>
      </c>
      <c r="D79" s="6"/>
      <c r="E79" s="113">
        <v>52657379</v>
      </c>
      <c r="F79" s="116">
        <f t="shared" si="18"/>
        <v>38775.684094256256</v>
      </c>
      <c r="G79" s="117">
        <v>33332427</v>
      </c>
      <c r="H79" s="117">
        <f t="shared" si="13"/>
        <v>24545.233431516936</v>
      </c>
      <c r="I79" s="7"/>
      <c r="J79" s="10">
        <v>2</v>
      </c>
      <c r="K79" s="117">
        <v>66664</v>
      </c>
      <c r="L79" s="120">
        <f t="shared" si="22"/>
        <v>49.089837997054495</v>
      </c>
      <c r="M79" s="122">
        <f t="shared" si="19"/>
        <v>333324.27</v>
      </c>
      <c r="N79" s="116">
        <f t="shared" si="20"/>
        <v>266660.27</v>
      </c>
      <c r="O79" s="123">
        <f t="shared" si="21"/>
        <v>196.36249631811489</v>
      </c>
      <c r="P79" s="5"/>
      <c r="Q79" s="5">
        <f t="shared" si="14"/>
        <v>1</v>
      </c>
      <c r="R79" s="7">
        <f t="shared" si="15"/>
        <v>1358</v>
      </c>
      <c r="S79" s="5">
        <f t="shared" si="16"/>
        <v>1</v>
      </c>
      <c r="T79" s="7">
        <f t="shared" si="17"/>
        <v>1358</v>
      </c>
    </row>
    <row r="80" spans="1:20">
      <c r="A80" s="23" t="s">
        <v>86</v>
      </c>
      <c r="B80" s="35" t="s">
        <v>84</v>
      </c>
      <c r="C80" s="36">
        <v>9645</v>
      </c>
      <c r="D80" s="6"/>
      <c r="E80" s="113">
        <v>439816736</v>
      </c>
      <c r="F80" s="116">
        <f t="shared" si="18"/>
        <v>45600.491031622601</v>
      </c>
      <c r="G80" s="117">
        <v>305408565</v>
      </c>
      <c r="H80" s="117">
        <f t="shared" si="13"/>
        <v>31664.96267496112</v>
      </c>
      <c r="I80" s="7"/>
      <c r="J80" s="10">
        <v>4.843</v>
      </c>
      <c r="K80" s="117">
        <v>1479093</v>
      </c>
      <c r="L80" s="120">
        <f t="shared" si="22"/>
        <v>153.35334370139969</v>
      </c>
      <c r="M80" s="122">
        <f t="shared" si="19"/>
        <v>3054085.65</v>
      </c>
      <c r="N80" s="116">
        <f t="shared" si="20"/>
        <v>1574992.65</v>
      </c>
      <c r="O80" s="123">
        <f t="shared" si="21"/>
        <v>163.29628304821151</v>
      </c>
      <c r="P80" s="5"/>
      <c r="Q80" s="5">
        <f t="shared" si="14"/>
        <v>1</v>
      </c>
      <c r="R80" s="7">
        <f t="shared" si="15"/>
        <v>9645</v>
      </c>
      <c r="S80" s="5">
        <f t="shared" si="16"/>
        <v>1</v>
      </c>
      <c r="T80" s="7">
        <f t="shared" si="17"/>
        <v>9645</v>
      </c>
    </row>
    <row r="81" spans="1:20">
      <c r="A81" s="23" t="s">
        <v>87</v>
      </c>
      <c r="B81" s="35" t="s">
        <v>84</v>
      </c>
      <c r="C81" s="36">
        <v>682</v>
      </c>
      <c r="D81" s="6"/>
      <c r="E81" s="113">
        <v>15674540</v>
      </c>
      <c r="F81" s="116">
        <f t="shared" si="18"/>
        <v>22983.196480938415</v>
      </c>
      <c r="G81" s="117">
        <v>4633180</v>
      </c>
      <c r="H81" s="117">
        <f t="shared" si="13"/>
        <v>6793.5190615835782</v>
      </c>
      <c r="I81" s="98" t="s">
        <v>528</v>
      </c>
      <c r="J81" s="10"/>
      <c r="K81" s="117"/>
      <c r="L81" s="120"/>
      <c r="M81" s="122">
        <f t="shared" si="19"/>
        <v>46331.8</v>
      </c>
      <c r="N81" s="116">
        <f t="shared" si="20"/>
        <v>46331.8</v>
      </c>
      <c r="O81" s="123">
        <f t="shared" si="21"/>
        <v>67.935190615835779</v>
      </c>
      <c r="P81" s="5"/>
      <c r="Q81" s="5">
        <f t="shared" si="14"/>
        <v>1</v>
      </c>
      <c r="R81" s="7">
        <f t="shared" si="15"/>
        <v>682</v>
      </c>
      <c r="S81" s="5">
        <f t="shared" si="16"/>
        <v>0</v>
      </c>
      <c r="T81" s="7">
        <f t="shared" si="17"/>
        <v>0</v>
      </c>
    </row>
    <row r="82" spans="1:20">
      <c r="A82" s="23" t="s">
        <v>88</v>
      </c>
      <c r="B82" s="35" t="s">
        <v>89</v>
      </c>
      <c r="C82" s="36">
        <v>557</v>
      </c>
      <c r="D82" s="6"/>
      <c r="E82" s="113">
        <v>39108907</v>
      </c>
      <c r="F82" s="116">
        <f t="shared" si="18"/>
        <v>70213.477558348299</v>
      </c>
      <c r="G82" s="117">
        <v>28251001</v>
      </c>
      <c r="H82" s="117">
        <f t="shared" si="13"/>
        <v>50719.929982046677</v>
      </c>
      <c r="I82" s="9"/>
      <c r="J82" s="10">
        <v>5.9067999999999996</v>
      </c>
      <c r="K82" s="117">
        <v>166873</v>
      </c>
      <c r="L82" s="120">
        <f>(K82/C82)</f>
        <v>299.59245960502693</v>
      </c>
      <c r="M82" s="122">
        <f t="shared" si="19"/>
        <v>282510.01</v>
      </c>
      <c r="N82" s="116">
        <f t="shared" si="20"/>
        <v>115637.01000000001</v>
      </c>
      <c r="O82" s="123">
        <f t="shared" si="21"/>
        <v>207.60684021543986</v>
      </c>
      <c r="P82" s="5"/>
      <c r="Q82" s="5">
        <f t="shared" si="14"/>
        <v>1</v>
      </c>
      <c r="R82" s="7">
        <f t="shared" si="15"/>
        <v>557</v>
      </c>
      <c r="S82" s="5">
        <f t="shared" si="16"/>
        <v>1</v>
      </c>
      <c r="T82" s="7">
        <f t="shared" si="17"/>
        <v>557</v>
      </c>
    </row>
    <row r="83" spans="1:20">
      <c r="A83" s="23" t="s">
        <v>90</v>
      </c>
      <c r="B83" s="35" t="s">
        <v>89</v>
      </c>
      <c r="C83" s="36">
        <v>12155</v>
      </c>
      <c r="D83" s="6"/>
      <c r="E83" s="113">
        <v>3288853456</v>
      </c>
      <c r="F83" s="116">
        <f t="shared" si="18"/>
        <v>270576.17902097903</v>
      </c>
      <c r="G83" s="117">
        <v>3060987023</v>
      </c>
      <c r="H83" s="117">
        <f t="shared" si="13"/>
        <v>251829.45479226657</v>
      </c>
      <c r="I83" s="7"/>
      <c r="J83" s="10">
        <v>2.1120000000000001</v>
      </c>
      <c r="K83" s="117">
        <v>6462355</v>
      </c>
      <c r="L83" s="120">
        <f>(K83/C83)</f>
        <v>531.66227889757306</v>
      </c>
      <c r="M83" s="122">
        <f t="shared" si="19"/>
        <v>30609870.23</v>
      </c>
      <c r="N83" s="116">
        <f t="shared" si="20"/>
        <v>24147515.23</v>
      </c>
      <c r="O83" s="123">
        <f t="shared" si="21"/>
        <v>1986.6322690250927</v>
      </c>
      <c r="P83" s="5"/>
      <c r="Q83" s="5">
        <f t="shared" si="14"/>
        <v>1</v>
      </c>
      <c r="R83" s="7">
        <f t="shared" si="15"/>
        <v>12155</v>
      </c>
      <c r="S83" s="5">
        <f t="shared" si="16"/>
        <v>1</v>
      </c>
      <c r="T83" s="7">
        <f t="shared" si="17"/>
        <v>12155</v>
      </c>
    </row>
    <row r="84" spans="1:20">
      <c r="A84" s="23" t="s">
        <v>91</v>
      </c>
      <c r="B84" s="35" t="s">
        <v>89</v>
      </c>
      <c r="C84" s="36">
        <v>21233</v>
      </c>
      <c r="D84" s="6"/>
      <c r="E84" s="113">
        <v>5945296662</v>
      </c>
      <c r="F84" s="116">
        <f t="shared" si="18"/>
        <v>280002.66858192434</v>
      </c>
      <c r="G84" s="117">
        <v>5140991963</v>
      </c>
      <c r="H84" s="117">
        <f t="shared" si="13"/>
        <v>242122.73173833184</v>
      </c>
      <c r="I84" s="7"/>
      <c r="J84" s="10">
        <v>1.18</v>
      </c>
      <c r="K84" s="117">
        <v>6066370</v>
      </c>
      <c r="L84" s="120">
        <f>(K84/C84)</f>
        <v>285.70479913342439</v>
      </c>
      <c r="M84" s="122">
        <f t="shared" si="19"/>
        <v>51409919.630000003</v>
      </c>
      <c r="N84" s="116">
        <f t="shared" si="20"/>
        <v>45343549.630000003</v>
      </c>
      <c r="O84" s="123">
        <f t="shared" si="21"/>
        <v>2135.5225182498943</v>
      </c>
      <c r="P84" s="5"/>
      <c r="Q84" s="5">
        <f t="shared" si="14"/>
        <v>1</v>
      </c>
      <c r="R84" s="7">
        <f t="shared" si="15"/>
        <v>21233</v>
      </c>
      <c r="S84" s="5">
        <f t="shared" si="16"/>
        <v>1</v>
      </c>
      <c r="T84" s="7">
        <f t="shared" si="17"/>
        <v>21233</v>
      </c>
    </row>
    <row r="85" spans="1:20">
      <c r="A85" s="23" t="s">
        <v>92</v>
      </c>
      <c r="B85" s="35" t="s">
        <v>93</v>
      </c>
      <c r="C85" s="36">
        <v>520</v>
      </c>
      <c r="D85" s="6"/>
      <c r="E85" s="113">
        <v>14848692</v>
      </c>
      <c r="F85" s="116">
        <f t="shared" si="18"/>
        <v>28555.176923076924</v>
      </c>
      <c r="G85" s="117">
        <v>6294036</v>
      </c>
      <c r="H85" s="117">
        <f t="shared" si="13"/>
        <v>12103.915384615384</v>
      </c>
      <c r="I85" s="98" t="s">
        <v>528</v>
      </c>
      <c r="J85" s="10"/>
      <c r="K85" s="117"/>
      <c r="L85" s="120"/>
      <c r="M85" s="122">
        <f t="shared" si="19"/>
        <v>62940.36</v>
      </c>
      <c r="N85" s="116">
        <f t="shared" si="20"/>
        <v>62940.36</v>
      </c>
      <c r="O85" s="123">
        <f t="shared" si="21"/>
        <v>121.03915384615385</v>
      </c>
      <c r="P85" s="5"/>
      <c r="Q85" s="5">
        <f t="shared" si="14"/>
        <v>1</v>
      </c>
      <c r="R85" s="7">
        <f t="shared" si="15"/>
        <v>520</v>
      </c>
      <c r="S85" s="5">
        <f t="shared" si="16"/>
        <v>0</v>
      </c>
      <c r="T85" s="7">
        <f t="shared" si="17"/>
        <v>0</v>
      </c>
    </row>
    <row r="86" spans="1:20">
      <c r="A86" s="23" t="s">
        <v>94</v>
      </c>
      <c r="B86" s="35" t="s">
        <v>93</v>
      </c>
      <c r="C86" s="36">
        <v>10304</v>
      </c>
      <c r="D86" s="6"/>
      <c r="E86" s="113">
        <v>507656782</v>
      </c>
      <c r="F86" s="116">
        <f t="shared" si="18"/>
        <v>49267.933035714283</v>
      </c>
      <c r="G86" s="117">
        <v>298461399</v>
      </c>
      <c r="H86" s="117">
        <f t="shared" si="13"/>
        <v>28965.586083074533</v>
      </c>
      <c r="I86" s="9"/>
      <c r="J86" s="11">
        <v>3.6269999999999998</v>
      </c>
      <c r="K86" s="117">
        <v>1082519</v>
      </c>
      <c r="L86" s="120">
        <f t="shared" ref="L86:L91" si="23">(K86/C86)</f>
        <v>105.05813276397515</v>
      </c>
      <c r="M86" s="122">
        <f t="shared" si="19"/>
        <v>2984613.99</v>
      </c>
      <c r="N86" s="116">
        <f t="shared" si="20"/>
        <v>1902094.9900000002</v>
      </c>
      <c r="O86" s="123">
        <f t="shared" si="21"/>
        <v>184.5977280667702</v>
      </c>
      <c r="P86" s="5"/>
      <c r="Q86" s="5">
        <f t="shared" si="14"/>
        <v>1</v>
      </c>
      <c r="R86" s="7">
        <f t="shared" si="15"/>
        <v>10304</v>
      </c>
      <c r="S86" s="5">
        <f t="shared" si="16"/>
        <v>1</v>
      </c>
      <c r="T86" s="7">
        <f t="shared" si="17"/>
        <v>10304</v>
      </c>
    </row>
    <row r="87" spans="1:20">
      <c r="A87" s="23" t="s">
        <v>95</v>
      </c>
      <c r="B87" s="35" t="s">
        <v>468</v>
      </c>
      <c r="C87" s="36">
        <v>6453</v>
      </c>
      <c r="D87" s="6"/>
      <c r="E87" s="113">
        <v>220682005</v>
      </c>
      <c r="F87" s="116">
        <f t="shared" si="18"/>
        <v>34198.358128002481</v>
      </c>
      <c r="G87" s="117">
        <v>122226902</v>
      </c>
      <c r="H87" s="117">
        <f t="shared" si="13"/>
        <v>18941.097474043079</v>
      </c>
      <c r="I87" s="7"/>
      <c r="J87" s="10">
        <v>8.4954000000000001</v>
      </c>
      <c r="K87" s="117">
        <v>1038366</v>
      </c>
      <c r="L87" s="120">
        <f t="shared" si="23"/>
        <v>160.91213389121339</v>
      </c>
      <c r="M87" s="122">
        <f t="shared" si="19"/>
        <v>1222269.02</v>
      </c>
      <c r="N87" s="116">
        <f t="shared" si="20"/>
        <v>183903.02000000002</v>
      </c>
      <c r="O87" s="123">
        <f t="shared" si="21"/>
        <v>28.498840849217419</v>
      </c>
      <c r="P87" s="5"/>
      <c r="Q87" s="5">
        <f t="shared" si="14"/>
        <v>1</v>
      </c>
      <c r="R87" s="7">
        <f t="shared" si="15"/>
        <v>6453</v>
      </c>
      <c r="S87" s="5">
        <f t="shared" si="16"/>
        <v>1</v>
      </c>
      <c r="T87" s="7">
        <f t="shared" si="17"/>
        <v>6453</v>
      </c>
    </row>
    <row r="88" spans="1:20">
      <c r="A88" s="23" t="s">
        <v>96</v>
      </c>
      <c r="B88" s="35" t="s">
        <v>97</v>
      </c>
      <c r="C88" s="36">
        <v>2066</v>
      </c>
      <c r="D88" s="6"/>
      <c r="E88" s="113">
        <v>47430841</v>
      </c>
      <c r="F88" s="116">
        <f t="shared" si="18"/>
        <v>22957.812681510164</v>
      </c>
      <c r="G88" s="117">
        <v>16063147</v>
      </c>
      <c r="H88" s="117">
        <f t="shared" si="13"/>
        <v>7774.9985479186835</v>
      </c>
      <c r="I88" s="7"/>
      <c r="J88" s="10">
        <v>5</v>
      </c>
      <c r="K88" s="117">
        <v>80315</v>
      </c>
      <c r="L88" s="120">
        <f t="shared" si="23"/>
        <v>38.874636979670861</v>
      </c>
      <c r="M88" s="122">
        <f t="shared" si="19"/>
        <v>160631.47</v>
      </c>
      <c r="N88" s="116">
        <f t="shared" si="20"/>
        <v>80316.47</v>
      </c>
      <c r="O88" s="123">
        <f t="shared" si="21"/>
        <v>38.875348499515972</v>
      </c>
      <c r="P88" s="5"/>
      <c r="Q88" s="5">
        <f t="shared" si="14"/>
        <v>1</v>
      </c>
      <c r="R88" s="7">
        <f t="shared" si="15"/>
        <v>2066</v>
      </c>
      <c r="S88" s="5">
        <f t="shared" si="16"/>
        <v>1</v>
      </c>
      <c r="T88" s="7">
        <f t="shared" si="17"/>
        <v>2066</v>
      </c>
    </row>
    <row r="89" spans="1:20">
      <c r="A89" s="23" t="s">
        <v>98</v>
      </c>
      <c r="B89" s="35" t="s">
        <v>97</v>
      </c>
      <c r="C89" s="36">
        <v>209</v>
      </c>
      <c r="D89" s="6"/>
      <c r="E89" s="113">
        <v>9252996</v>
      </c>
      <c r="F89" s="116">
        <f t="shared" si="18"/>
        <v>44272.708133971289</v>
      </c>
      <c r="G89" s="117">
        <v>7057421</v>
      </c>
      <c r="H89" s="117">
        <f t="shared" si="13"/>
        <v>33767.564593301438</v>
      </c>
      <c r="I89" s="8"/>
      <c r="J89" s="10">
        <v>3</v>
      </c>
      <c r="K89" s="117">
        <v>21172</v>
      </c>
      <c r="L89" s="120">
        <f t="shared" si="23"/>
        <v>101.30143540669856</v>
      </c>
      <c r="M89" s="122">
        <f t="shared" si="19"/>
        <v>70574.210000000006</v>
      </c>
      <c r="N89" s="116">
        <f t="shared" si="20"/>
        <v>49402.210000000006</v>
      </c>
      <c r="O89" s="123">
        <f t="shared" si="21"/>
        <v>236.37421052631581</v>
      </c>
      <c r="P89" s="5"/>
      <c r="Q89" s="5">
        <f t="shared" si="14"/>
        <v>1</v>
      </c>
      <c r="R89" s="7">
        <f t="shared" si="15"/>
        <v>209</v>
      </c>
      <c r="S89" s="5">
        <f t="shared" si="16"/>
        <v>1</v>
      </c>
      <c r="T89" s="7">
        <f t="shared" si="17"/>
        <v>209</v>
      </c>
    </row>
    <row r="90" spans="1:20">
      <c r="A90" s="23" t="s">
        <v>99</v>
      </c>
      <c r="B90" s="35" t="s">
        <v>100</v>
      </c>
      <c r="C90" s="36">
        <v>13562</v>
      </c>
      <c r="D90" s="6"/>
      <c r="E90" s="113">
        <v>743121189</v>
      </c>
      <c r="F90" s="116">
        <f t="shared" si="18"/>
        <v>54794.365801504202</v>
      </c>
      <c r="G90" s="117">
        <v>581587508</v>
      </c>
      <c r="H90" s="117">
        <f t="shared" si="13"/>
        <v>42883.609202182568</v>
      </c>
      <c r="I90" s="8"/>
      <c r="J90" s="10">
        <v>3.1720999999999999</v>
      </c>
      <c r="K90" s="117">
        <v>1844853</v>
      </c>
      <c r="L90" s="120">
        <f t="shared" si="23"/>
        <v>136.03104261908274</v>
      </c>
      <c r="M90" s="122">
        <f t="shared" si="19"/>
        <v>5815875.0800000001</v>
      </c>
      <c r="N90" s="116">
        <f t="shared" si="20"/>
        <v>3971022.08</v>
      </c>
      <c r="O90" s="123">
        <f t="shared" si="21"/>
        <v>292.80504940274295</v>
      </c>
      <c r="P90" s="5"/>
      <c r="Q90" s="5">
        <f t="shared" si="14"/>
        <v>1</v>
      </c>
      <c r="R90" s="7">
        <f t="shared" si="15"/>
        <v>13562</v>
      </c>
      <c r="S90" s="5">
        <f t="shared" si="16"/>
        <v>1</v>
      </c>
      <c r="T90" s="7">
        <f t="shared" si="17"/>
        <v>13562</v>
      </c>
    </row>
    <row r="91" spans="1:20">
      <c r="A91" s="23" t="s">
        <v>101</v>
      </c>
      <c r="B91" s="35" t="s">
        <v>100</v>
      </c>
      <c r="C91" s="36">
        <v>1589</v>
      </c>
      <c r="D91" s="6"/>
      <c r="E91" s="113">
        <v>58500028</v>
      </c>
      <c r="F91" s="116">
        <f t="shared" si="18"/>
        <v>36815.624921334173</v>
      </c>
      <c r="G91" s="117">
        <v>39595052</v>
      </c>
      <c r="H91" s="117">
        <f t="shared" si="13"/>
        <v>24918.22026431718</v>
      </c>
      <c r="I91" s="9"/>
      <c r="J91" s="11">
        <v>1.4169</v>
      </c>
      <c r="K91" s="117">
        <v>56102</v>
      </c>
      <c r="L91" s="120">
        <f t="shared" si="23"/>
        <v>35.306482064191314</v>
      </c>
      <c r="M91" s="122">
        <f t="shared" si="19"/>
        <v>395950.52</v>
      </c>
      <c r="N91" s="116">
        <f t="shared" si="20"/>
        <v>339848.52</v>
      </c>
      <c r="O91" s="123">
        <f t="shared" si="21"/>
        <v>213.87572057898049</v>
      </c>
      <c r="P91" s="5"/>
      <c r="Q91" s="5">
        <f t="shared" si="14"/>
        <v>1</v>
      </c>
      <c r="R91" s="7">
        <f t="shared" si="15"/>
        <v>1589</v>
      </c>
      <c r="S91" s="5">
        <f t="shared" si="16"/>
        <v>1</v>
      </c>
      <c r="T91" s="7">
        <f t="shared" si="17"/>
        <v>1589</v>
      </c>
    </row>
    <row r="92" spans="1:20">
      <c r="A92" s="23" t="s">
        <v>102</v>
      </c>
      <c r="B92" s="35" t="s">
        <v>100</v>
      </c>
      <c r="C92" s="36">
        <v>710595</v>
      </c>
      <c r="D92" s="36" t="s">
        <v>518</v>
      </c>
      <c r="E92" s="113"/>
      <c r="F92" s="116"/>
      <c r="G92" s="117"/>
      <c r="H92" s="117"/>
      <c r="I92" s="9"/>
      <c r="J92" s="10"/>
      <c r="K92" s="117"/>
      <c r="L92" s="120"/>
      <c r="M92" s="122">
        <f t="shared" si="19"/>
        <v>0</v>
      </c>
      <c r="N92" s="116">
        <f t="shared" si="20"/>
        <v>0</v>
      </c>
      <c r="O92" s="123">
        <f t="shared" si="21"/>
        <v>0</v>
      </c>
      <c r="P92" s="5"/>
      <c r="Q92" s="5">
        <f t="shared" si="14"/>
        <v>0</v>
      </c>
      <c r="R92" s="7">
        <f t="shared" si="15"/>
        <v>0</v>
      </c>
      <c r="S92" s="5">
        <f t="shared" si="16"/>
        <v>0</v>
      </c>
      <c r="T92" s="7">
        <f t="shared" si="17"/>
        <v>0</v>
      </c>
    </row>
    <row r="93" spans="1:20">
      <c r="A93" s="23" t="s">
        <v>103</v>
      </c>
      <c r="B93" s="35" t="s">
        <v>100</v>
      </c>
      <c r="C93" s="36">
        <v>20600</v>
      </c>
      <c r="D93" s="6"/>
      <c r="E93" s="113">
        <v>1125307806</v>
      </c>
      <c r="F93" s="116">
        <f t="shared" si="18"/>
        <v>54626.592524271844</v>
      </c>
      <c r="G93" s="117">
        <v>887151826</v>
      </c>
      <c r="H93" s="117">
        <f t="shared" ref="H93:H156" si="24">(G93/C93)</f>
        <v>43065.622621359224</v>
      </c>
      <c r="I93" s="9"/>
      <c r="J93" s="10">
        <v>3.9070999999999998</v>
      </c>
      <c r="K93" s="117">
        <v>3466190</v>
      </c>
      <c r="L93" s="120">
        <f t="shared" ref="L93:L98" si="25">(K93/C93)</f>
        <v>168.26165048543689</v>
      </c>
      <c r="M93" s="122">
        <f t="shared" si="19"/>
        <v>8871518.2599999998</v>
      </c>
      <c r="N93" s="116">
        <f t="shared" si="20"/>
        <v>5405328.2599999998</v>
      </c>
      <c r="O93" s="123">
        <f t="shared" si="21"/>
        <v>262.3945757281553</v>
      </c>
      <c r="P93" s="5"/>
      <c r="Q93" s="5">
        <f t="shared" si="14"/>
        <v>1</v>
      </c>
      <c r="R93" s="7">
        <f t="shared" si="15"/>
        <v>20600</v>
      </c>
      <c r="S93" s="5">
        <f t="shared" si="16"/>
        <v>1</v>
      </c>
      <c r="T93" s="7">
        <f t="shared" si="17"/>
        <v>20600</v>
      </c>
    </row>
    <row r="94" spans="1:20">
      <c r="A94" s="23" t="s">
        <v>104</v>
      </c>
      <c r="B94" s="35" t="s">
        <v>100</v>
      </c>
      <c r="C94" s="36">
        <v>7477</v>
      </c>
      <c r="D94" s="6"/>
      <c r="E94" s="113">
        <v>398602594</v>
      </c>
      <c r="F94" s="116">
        <f t="shared" si="18"/>
        <v>53310.498060719539</v>
      </c>
      <c r="G94" s="117">
        <v>304962357</v>
      </c>
      <c r="H94" s="117">
        <f t="shared" si="24"/>
        <v>40786.72689581383</v>
      </c>
      <c r="I94" s="9"/>
      <c r="J94" s="10">
        <v>3.1457999999999999</v>
      </c>
      <c r="K94" s="117">
        <v>959350</v>
      </c>
      <c r="L94" s="120">
        <f t="shared" si="25"/>
        <v>128.30680754313227</v>
      </c>
      <c r="M94" s="122">
        <f t="shared" si="19"/>
        <v>3049623.57</v>
      </c>
      <c r="N94" s="116">
        <f t="shared" si="20"/>
        <v>2090273.5699999998</v>
      </c>
      <c r="O94" s="123">
        <f t="shared" si="21"/>
        <v>279.56046141500599</v>
      </c>
      <c r="P94" s="5"/>
      <c r="Q94" s="5">
        <f t="shared" si="14"/>
        <v>1</v>
      </c>
      <c r="R94" s="7">
        <f t="shared" si="15"/>
        <v>7477</v>
      </c>
      <c r="S94" s="5">
        <f t="shared" si="16"/>
        <v>1</v>
      </c>
      <c r="T94" s="7">
        <f t="shared" si="17"/>
        <v>7477</v>
      </c>
    </row>
    <row r="95" spans="1:20">
      <c r="A95" s="23" t="s">
        <v>105</v>
      </c>
      <c r="B95" s="35" t="s">
        <v>106</v>
      </c>
      <c r="C95" s="36">
        <v>2007</v>
      </c>
      <c r="D95" s="6"/>
      <c r="E95" s="113">
        <v>38896660</v>
      </c>
      <c r="F95" s="116">
        <f t="shared" si="18"/>
        <v>19380.498256103638</v>
      </c>
      <c r="G95" s="117">
        <v>22240330</v>
      </c>
      <c r="H95" s="117">
        <f t="shared" si="24"/>
        <v>11081.380169407075</v>
      </c>
      <c r="I95" s="9"/>
      <c r="J95" s="10">
        <v>1.091</v>
      </c>
      <c r="K95" s="117">
        <v>24264</v>
      </c>
      <c r="L95" s="120">
        <f t="shared" si="25"/>
        <v>12.089686098654708</v>
      </c>
      <c r="M95" s="122">
        <f t="shared" si="19"/>
        <v>222403.30000000002</v>
      </c>
      <c r="N95" s="116">
        <f t="shared" si="20"/>
        <v>198139.30000000002</v>
      </c>
      <c r="O95" s="123">
        <f t="shared" si="21"/>
        <v>98.724115595416052</v>
      </c>
      <c r="P95" s="5"/>
      <c r="Q95" s="5">
        <f t="shared" si="14"/>
        <v>1</v>
      </c>
      <c r="R95" s="7">
        <f t="shared" si="15"/>
        <v>2007</v>
      </c>
      <c r="S95" s="5">
        <f t="shared" si="16"/>
        <v>1</v>
      </c>
      <c r="T95" s="7">
        <f t="shared" si="17"/>
        <v>2007</v>
      </c>
    </row>
    <row r="96" spans="1:20">
      <c r="A96" s="23" t="s">
        <v>107</v>
      </c>
      <c r="B96" s="35" t="s">
        <v>106</v>
      </c>
      <c r="C96" s="36">
        <v>61113</v>
      </c>
      <c r="D96" s="6"/>
      <c r="E96" s="113">
        <v>2771759880</v>
      </c>
      <c r="F96" s="116">
        <f t="shared" si="18"/>
        <v>45354.668892052425</v>
      </c>
      <c r="G96" s="117">
        <v>1767797770</v>
      </c>
      <c r="H96" s="117">
        <f t="shared" si="24"/>
        <v>28926.705774548787</v>
      </c>
      <c r="I96" s="7"/>
      <c r="J96" s="10">
        <v>5.0570000000000004</v>
      </c>
      <c r="K96" s="117">
        <v>8939753</v>
      </c>
      <c r="L96" s="120">
        <f t="shared" si="25"/>
        <v>146.28234581840198</v>
      </c>
      <c r="M96" s="122">
        <f t="shared" si="19"/>
        <v>17677977.699999999</v>
      </c>
      <c r="N96" s="116">
        <f t="shared" si="20"/>
        <v>8738224.6999999993</v>
      </c>
      <c r="O96" s="123">
        <f t="shared" si="21"/>
        <v>142.98471192708587</v>
      </c>
      <c r="P96" s="5"/>
      <c r="Q96" s="5">
        <f t="shared" si="14"/>
        <v>1</v>
      </c>
      <c r="R96" s="7">
        <f t="shared" si="15"/>
        <v>61113</v>
      </c>
      <c r="S96" s="5">
        <f t="shared" si="16"/>
        <v>1</v>
      </c>
      <c r="T96" s="7">
        <f t="shared" si="17"/>
        <v>61113</v>
      </c>
    </row>
    <row r="97" spans="1:20">
      <c r="A97" s="23" t="s">
        <v>108</v>
      </c>
      <c r="B97" s="35" t="s">
        <v>109</v>
      </c>
      <c r="C97" s="36">
        <v>324</v>
      </c>
      <c r="D97" s="6"/>
      <c r="E97" s="113">
        <v>19799672</v>
      </c>
      <c r="F97" s="116">
        <f t="shared" si="18"/>
        <v>61110.0987654321</v>
      </c>
      <c r="G97" s="117">
        <v>16793150</v>
      </c>
      <c r="H97" s="117">
        <f t="shared" si="24"/>
        <v>51830.709876543209</v>
      </c>
      <c r="I97" s="7"/>
      <c r="J97" s="10">
        <v>0.95730000000000004</v>
      </c>
      <c r="K97" s="117">
        <v>16076</v>
      </c>
      <c r="L97" s="120">
        <f t="shared" si="25"/>
        <v>49.617283950617285</v>
      </c>
      <c r="M97" s="122">
        <f t="shared" si="19"/>
        <v>167931.5</v>
      </c>
      <c r="N97" s="116">
        <f t="shared" si="20"/>
        <v>151855.5</v>
      </c>
      <c r="O97" s="123">
        <f t="shared" si="21"/>
        <v>468.68981481481484</v>
      </c>
      <c r="P97" s="5"/>
      <c r="Q97" s="5">
        <f t="shared" si="14"/>
        <v>1</v>
      </c>
      <c r="R97" s="7">
        <f t="shared" si="15"/>
        <v>324</v>
      </c>
      <c r="S97" s="5">
        <f t="shared" si="16"/>
        <v>1</v>
      </c>
      <c r="T97" s="7">
        <f t="shared" si="17"/>
        <v>324</v>
      </c>
    </row>
    <row r="98" spans="1:20">
      <c r="A98" s="23" t="s">
        <v>110</v>
      </c>
      <c r="B98" s="35" t="s">
        <v>109</v>
      </c>
      <c r="C98" s="36">
        <v>2082</v>
      </c>
      <c r="D98" s="6"/>
      <c r="E98" s="113">
        <v>98944848</v>
      </c>
      <c r="F98" s="116">
        <f t="shared" si="18"/>
        <v>47523.942363112394</v>
      </c>
      <c r="G98" s="117">
        <v>54222792</v>
      </c>
      <c r="H98" s="117">
        <f t="shared" si="24"/>
        <v>26043.608069164264</v>
      </c>
      <c r="I98" s="7"/>
      <c r="J98" s="10">
        <v>4.5</v>
      </c>
      <c r="K98" s="117">
        <v>244002</v>
      </c>
      <c r="L98" s="120">
        <f t="shared" si="25"/>
        <v>117.19596541786744</v>
      </c>
      <c r="M98" s="122">
        <f t="shared" si="19"/>
        <v>542227.92000000004</v>
      </c>
      <c r="N98" s="116">
        <f t="shared" si="20"/>
        <v>298225.92000000004</v>
      </c>
      <c r="O98" s="123">
        <f t="shared" si="21"/>
        <v>143.24011527377525</v>
      </c>
      <c r="P98" s="5"/>
      <c r="Q98" s="5">
        <f t="shared" si="14"/>
        <v>1</v>
      </c>
      <c r="R98" s="7">
        <f t="shared" si="15"/>
        <v>2082</v>
      </c>
      <c r="S98" s="5">
        <f t="shared" si="16"/>
        <v>1</v>
      </c>
      <c r="T98" s="7">
        <f t="shared" si="17"/>
        <v>2082</v>
      </c>
    </row>
    <row r="99" spans="1:20">
      <c r="A99" s="23" t="s">
        <v>111</v>
      </c>
      <c r="B99" s="35" t="s">
        <v>557</v>
      </c>
      <c r="C99" s="36">
        <v>18</v>
      </c>
      <c r="D99" s="6"/>
      <c r="E99" s="113">
        <v>6961543</v>
      </c>
      <c r="F99" s="116">
        <f t="shared" si="18"/>
        <v>386752.38888888888</v>
      </c>
      <c r="G99" s="117">
        <v>6232874</v>
      </c>
      <c r="H99" s="117">
        <f t="shared" si="24"/>
        <v>346270.77777777775</v>
      </c>
      <c r="I99" s="98" t="s">
        <v>528</v>
      </c>
      <c r="J99" s="10"/>
      <c r="K99" s="117"/>
      <c r="L99" s="120"/>
      <c r="M99" s="122">
        <f t="shared" si="19"/>
        <v>62328.74</v>
      </c>
      <c r="N99" s="116">
        <f t="shared" si="20"/>
        <v>62328.74</v>
      </c>
      <c r="O99" s="123">
        <f t="shared" si="21"/>
        <v>3462.7077777777777</v>
      </c>
      <c r="P99" s="5"/>
      <c r="Q99" s="5">
        <f t="shared" si="14"/>
        <v>1</v>
      </c>
      <c r="R99" s="7">
        <f t="shared" si="15"/>
        <v>18</v>
      </c>
      <c r="S99" s="5">
        <f t="shared" si="16"/>
        <v>0</v>
      </c>
      <c r="T99" s="7">
        <f t="shared" si="17"/>
        <v>0</v>
      </c>
    </row>
    <row r="100" spans="1:20">
      <c r="A100" s="23" t="s">
        <v>112</v>
      </c>
      <c r="B100" s="35" t="s">
        <v>113</v>
      </c>
      <c r="C100" s="36">
        <v>4450</v>
      </c>
      <c r="D100" s="6"/>
      <c r="E100" s="113">
        <v>298079857</v>
      </c>
      <c r="F100" s="116">
        <f t="shared" si="18"/>
        <v>66984.237528089885</v>
      </c>
      <c r="G100" s="117">
        <v>241953897</v>
      </c>
      <c r="H100" s="117">
        <f t="shared" si="24"/>
        <v>54371.662247191009</v>
      </c>
      <c r="I100" s="7"/>
      <c r="J100" s="10">
        <v>2.7578999999999998</v>
      </c>
      <c r="K100" s="117">
        <v>667284</v>
      </c>
      <c r="L100" s="120">
        <f t="shared" ref="L100:L108" si="26">(K100/C100)</f>
        <v>149.95146067415732</v>
      </c>
      <c r="M100" s="122">
        <f t="shared" si="19"/>
        <v>2419538.9700000002</v>
      </c>
      <c r="N100" s="116">
        <f t="shared" si="20"/>
        <v>1752254.9700000002</v>
      </c>
      <c r="O100" s="123">
        <f t="shared" si="21"/>
        <v>393.76516179775285</v>
      </c>
      <c r="P100" s="5"/>
      <c r="Q100" s="5">
        <f t="shared" si="14"/>
        <v>1</v>
      </c>
      <c r="R100" s="7">
        <f t="shared" si="15"/>
        <v>4450</v>
      </c>
      <c r="S100" s="5">
        <f t="shared" si="16"/>
        <v>1</v>
      </c>
      <c r="T100" s="7">
        <f t="shared" si="17"/>
        <v>4450</v>
      </c>
    </row>
    <row r="101" spans="1:20">
      <c r="A101" s="23" t="s">
        <v>114</v>
      </c>
      <c r="B101" s="35" t="s">
        <v>115</v>
      </c>
      <c r="C101" s="36">
        <v>2856</v>
      </c>
      <c r="D101" s="6"/>
      <c r="E101" s="113">
        <v>115413803</v>
      </c>
      <c r="F101" s="116">
        <f t="shared" si="18"/>
        <v>40410.995448179274</v>
      </c>
      <c r="G101" s="117">
        <v>66859437</v>
      </c>
      <c r="H101" s="117">
        <f t="shared" si="24"/>
        <v>23410.167016806721</v>
      </c>
      <c r="I101" s="9"/>
      <c r="J101" s="10">
        <v>8.2913999999999994</v>
      </c>
      <c r="K101" s="117">
        <v>554358</v>
      </c>
      <c r="L101" s="120">
        <f t="shared" si="26"/>
        <v>194.10294117647058</v>
      </c>
      <c r="M101" s="122">
        <f t="shared" si="19"/>
        <v>668594.37</v>
      </c>
      <c r="N101" s="116">
        <f t="shared" si="20"/>
        <v>114236.37</v>
      </c>
      <c r="O101" s="123">
        <f t="shared" si="21"/>
        <v>39.998728991596636</v>
      </c>
      <c r="P101" s="5"/>
      <c r="Q101" s="5">
        <f t="shared" si="14"/>
        <v>1</v>
      </c>
      <c r="R101" s="7">
        <f t="shared" si="15"/>
        <v>2856</v>
      </c>
      <c r="S101" s="5">
        <f t="shared" si="16"/>
        <v>1</v>
      </c>
      <c r="T101" s="7">
        <f t="shared" si="17"/>
        <v>2856</v>
      </c>
    </row>
    <row r="102" spans="1:20">
      <c r="A102" s="23" t="s">
        <v>116</v>
      </c>
      <c r="B102" s="35" t="s">
        <v>115</v>
      </c>
      <c r="C102" s="36">
        <v>1413</v>
      </c>
      <c r="D102" s="6"/>
      <c r="E102" s="113">
        <v>54616794</v>
      </c>
      <c r="F102" s="116">
        <f t="shared" si="18"/>
        <v>38653.074309978765</v>
      </c>
      <c r="G102" s="117">
        <v>31897956</v>
      </c>
      <c r="H102" s="117">
        <f t="shared" si="24"/>
        <v>22574.632696390658</v>
      </c>
      <c r="I102" s="7"/>
      <c r="J102" s="10">
        <v>8.5</v>
      </c>
      <c r="K102" s="117">
        <v>271132</v>
      </c>
      <c r="L102" s="120">
        <f t="shared" si="26"/>
        <v>191.88393489030432</v>
      </c>
      <c r="M102" s="122">
        <f t="shared" si="19"/>
        <v>318979.56</v>
      </c>
      <c r="N102" s="116">
        <f t="shared" si="20"/>
        <v>47847.56</v>
      </c>
      <c r="O102" s="123">
        <f t="shared" si="21"/>
        <v>33.862392073602265</v>
      </c>
      <c r="P102" s="5"/>
      <c r="Q102" s="5">
        <f t="shared" si="14"/>
        <v>1</v>
      </c>
      <c r="R102" s="7">
        <f t="shared" si="15"/>
        <v>1413</v>
      </c>
      <c r="S102" s="5">
        <f t="shared" si="16"/>
        <v>1</v>
      </c>
      <c r="T102" s="7">
        <f t="shared" si="17"/>
        <v>1413</v>
      </c>
    </row>
    <row r="103" spans="1:20">
      <c r="A103" s="23" t="s">
        <v>117</v>
      </c>
      <c r="B103" s="35" t="s">
        <v>118</v>
      </c>
      <c r="C103" s="36">
        <v>3889</v>
      </c>
      <c r="D103" s="6"/>
      <c r="E103" s="113">
        <v>180025991</v>
      </c>
      <c r="F103" s="116">
        <f t="shared" si="18"/>
        <v>46291.075083569041</v>
      </c>
      <c r="G103" s="117">
        <v>26764957</v>
      </c>
      <c r="H103" s="117">
        <f t="shared" si="24"/>
        <v>6882.2208794034459</v>
      </c>
      <c r="I103" s="7"/>
      <c r="J103" s="10">
        <v>1.0329999999999999</v>
      </c>
      <c r="K103" s="117">
        <v>27648</v>
      </c>
      <c r="L103" s="120">
        <f t="shared" si="26"/>
        <v>7.109282591925945</v>
      </c>
      <c r="M103" s="122">
        <f t="shared" si="19"/>
        <v>267649.57</v>
      </c>
      <c r="N103" s="116">
        <f t="shared" si="20"/>
        <v>240001.57</v>
      </c>
      <c r="O103" s="123">
        <f t="shared" si="21"/>
        <v>61.712926202108513</v>
      </c>
      <c r="P103" s="5"/>
      <c r="Q103" s="5">
        <f t="shared" si="14"/>
        <v>1</v>
      </c>
      <c r="R103" s="7">
        <f t="shared" si="15"/>
        <v>3889</v>
      </c>
      <c r="S103" s="5">
        <f t="shared" si="16"/>
        <v>1</v>
      </c>
      <c r="T103" s="7">
        <f t="shared" si="17"/>
        <v>3889</v>
      </c>
    </row>
    <row r="104" spans="1:20">
      <c r="A104" s="23" t="s">
        <v>119</v>
      </c>
      <c r="B104" s="35" t="s">
        <v>118</v>
      </c>
      <c r="C104" s="36">
        <v>619</v>
      </c>
      <c r="D104" s="6"/>
      <c r="E104" s="113">
        <v>10509781</v>
      </c>
      <c r="F104" s="116">
        <f t="shared" si="18"/>
        <v>16978.644588045234</v>
      </c>
      <c r="G104" s="117">
        <v>4833676</v>
      </c>
      <c r="H104" s="117">
        <f t="shared" si="24"/>
        <v>7808.8465266558969</v>
      </c>
      <c r="I104" s="7"/>
      <c r="J104" s="11">
        <v>2</v>
      </c>
      <c r="K104" s="117">
        <v>9667</v>
      </c>
      <c r="L104" s="120">
        <f t="shared" si="26"/>
        <v>15.617124394184168</v>
      </c>
      <c r="M104" s="122">
        <f t="shared" si="19"/>
        <v>48336.76</v>
      </c>
      <c r="N104" s="116">
        <f t="shared" si="20"/>
        <v>38669.760000000002</v>
      </c>
      <c r="O104" s="123">
        <f t="shared" si="21"/>
        <v>62.471340872374803</v>
      </c>
      <c r="P104" s="5"/>
      <c r="Q104" s="5">
        <f t="shared" si="14"/>
        <v>1</v>
      </c>
      <c r="R104" s="7">
        <f t="shared" si="15"/>
        <v>619</v>
      </c>
      <c r="S104" s="5">
        <f t="shared" si="16"/>
        <v>1</v>
      </c>
      <c r="T104" s="7">
        <f t="shared" si="17"/>
        <v>619</v>
      </c>
    </row>
    <row r="105" spans="1:20">
      <c r="A105" s="23" t="s">
        <v>120</v>
      </c>
      <c r="B105" s="35" t="s">
        <v>118</v>
      </c>
      <c r="C105" s="36">
        <v>2854</v>
      </c>
      <c r="D105" s="6"/>
      <c r="E105" s="113">
        <v>16534838</v>
      </c>
      <c r="F105" s="116">
        <f t="shared" si="18"/>
        <v>5793.5662228451292</v>
      </c>
      <c r="G105" s="117">
        <v>5438471</v>
      </c>
      <c r="H105" s="117">
        <f t="shared" si="24"/>
        <v>1905.5609670637702</v>
      </c>
      <c r="I105" s="7"/>
      <c r="J105" s="10">
        <v>2</v>
      </c>
      <c r="K105" s="117">
        <v>10876</v>
      </c>
      <c r="L105" s="120">
        <f t="shared" si="26"/>
        <v>3.8107918710581639</v>
      </c>
      <c r="M105" s="122">
        <f t="shared" si="19"/>
        <v>54384.71</v>
      </c>
      <c r="N105" s="116">
        <f t="shared" si="20"/>
        <v>43508.71</v>
      </c>
      <c r="O105" s="123">
        <f t="shared" si="21"/>
        <v>15.244817799579538</v>
      </c>
      <c r="P105" s="5"/>
      <c r="Q105" s="5">
        <f t="shared" si="14"/>
        <v>1</v>
      </c>
      <c r="R105" s="7">
        <f t="shared" si="15"/>
        <v>2854</v>
      </c>
      <c r="S105" s="5">
        <f t="shared" si="16"/>
        <v>1</v>
      </c>
      <c r="T105" s="7">
        <f t="shared" si="17"/>
        <v>2854</v>
      </c>
    </row>
    <row r="106" spans="1:20">
      <c r="A106" s="23" t="s">
        <v>121</v>
      </c>
      <c r="B106" s="35" t="s">
        <v>118</v>
      </c>
      <c r="C106" s="36">
        <v>1804</v>
      </c>
      <c r="D106" s="6"/>
      <c r="E106" s="113">
        <v>48555958</v>
      </c>
      <c r="F106" s="116">
        <f t="shared" si="18"/>
        <v>26915.719512195123</v>
      </c>
      <c r="G106" s="117">
        <v>32124773</v>
      </c>
      <c r="H106" s="117">
        <f t="shared" si="24"/>
        <v>17807.523835920176</v>
      </c>
      <c r="I106" s="7"/>
      <c r="J106" s="10">
        <v>1.1020000000000001</v>
      </c>
      <c r="K106" s="117">
        <v>35401</v>
      </c>
      <c r="L106" s="120">
        <f t="shared" si="26"/>
        <v>19.623614190687363</v>
      </c>
      <c r="M106" s="122">
        <f t="shared" si="19"/>
        <v>321247.73</v>
      </c>
      <c r="N106" s="116">
        <f t="shared" si="20"/>
        <v>285846.73</v>
      </c>
      <c r="O106" s="123">
        <f t="shared" si="21"/>
        <v>158.4516241685144</v>
      </c>
      <c r="P106" s="5"/>
      <c r="Q106" s="5">
        <f t="shared" si="14"/>
        <v>1</v>
      </c>
      <c r="R106" s="7">
        <f t="shared" si="15"/>
        <v>1804</v>
      </c>
      <c r="S106" s="5">
        <f t="shared" si="16"/>
        <v>1</v>
      </c>
      <c r="T106" s="7">
        <f t="shared" si="17"/>
        <v>1804</v>
      </c>
    </row>
    <row r="107" spans="1:20">
      <c r="A107" s="23" t="s">
        <v>122</v>
      </c>
      <c r="B107" s="35" t="s">
        <v>118</v>
      </c>
      <c r="C107" s="36">
        <v>1183</v>
      </c>
      <c r="D107" s="6"/>
      <c r="E107" s="113">
        <v>17015191</v>
      </c>
      <c r="F107" s="116">
        <f t="shared" si="18"/>
        <v>14383.086221470838</v>
      </c>
      <c r="G107" s="117">
        <v>9941685</v>
      </c>
      <c r="H107" s="117">
        <f t="shared" si="24"/>
        <v>8403.7912087912082</v>
      </c>
      <c r="I107" s="7"/>
      <c r="J107" s="10">
        <v>5</v>
      </c>
      <c r="K107" s="117">
        <v>49708</v>
      </c>
      <c r="L107" s="120">
        <f t="shared" si="26"/>
        <v>42.018596787827555</v>
      </c>
      <c r="M107" s="122">
        <f t="shared" si="19"/>
        <v>99416.85</v>
      </c>
      <c r="N107" s="116">
        <f t="shared" si="20"/>
        <v>49708.850000000006</v>
      </c>
      <c r="O107" s="123">
        <f t="shared" si="21"/>
        <v>42.019315300084536</v>
      </c>
      <c r="P107" s="5"/>
      <c r="Q107" s="5">
        <f t="shared" si="14"/>
        <v>1</v>
      </c>
      <c r="R107" s="7">
        <f t="shared" si="15"/>
        <v>1183</v>
      </c>
      <c r="S107" s="5">
        <f t="shared" si="16"/>
        <v>1</v>
      </c>
      <c r="T107" s="7">
        <f t="shared" si="17"/>
        <v>1183</v>
      </c>
    </row>
    <row r="108" spans="1:20">
      <c r="A108" s="23" t="s">
        <v>123</v>
      </c>
      <c r="B108" s="35" t="s">
        <v>118</v>
      </c>
      <c r="C108" s="36">
        <v>7796</v>
      </c>
      <c r="D108" s="6"/>
      <c r="E108" s="113">
        <v>234042811</v>
      </c>
      <c r="F108" s="116">
        <f t="shared" si="18"/>
        <v>30020.883914828119</v>
      </c>
      <c r="G108" s="117">
        <v>138898769</v>
      </c>
      <c r="H108" s="117">
        <f t="shared" si="24"/>
        <v>17816.671241662392</v>
      </c>
      <c r="I108" s="7"/>
      <c r="J108" s="10">
        <v>2</v>
      </c>
      <c r="K108" s="117">
        <v>277797</v>
      </c>
      <c r="L108" s="120">
        <f t="shared" si="26"/>
        <v>35.633273473576196</v>
      </c>
      <c r="M108" s="122">
        <f t="shared" si="19"/>
        <v>1388987.69</v>
      </c>
      <c r="N108" s="116">
        <f t="shared" si="20"/>
        <v>1111190.69</v>
      </c>
      <c r="O108" s="123">
        <f t="shared" si="21"/>
        <v>142.53343894304771</v>
      </c>
      <c r="P108" s="5"/>
      <c r="Q108" s="5">
        <f t="shared" si="14"/>
        <v>1</v>
      </c>
      <c r="R108" s="7">
        <f t="shared" si="15"/>
        <v>7796</v>
      </c>
      <c r="S108" s="5">
        <f t="shared" si="16"/>
        <v>1</v>
      </c>
      <c r="T108" s="7">
        <f t="shared" si="17"/>
        <v>7796</v>
      </c>
    </row>
    <row r="109" spans="1:20">
      <c r="A109" s="23" t="s">
        <v>124</v>
      </c>
      <c r="B109" s="35" t="s">
        <v>125</v>
      </c>
      <c r="C109" s="36">
        <v>282</v>
      </c>
      <c r="D109" s="6"/>
      <c r="E109" s="113">
        <v>11464767</v>
      </c>
      <c r="F109" s="116">
        <f t="shared" si="18"/>
        <v>40655.202127659577</v>
      </c>
      <c r="G109" s="117">
        <v>4023642</v>
      </c>
      <c r="H109" s="117">
        <f t="shared" si="24"/>
        <v>14268.234042553191</v>
      </c>
      <c r="I109" s="98" t="s">
        <v>528</v>
      </c>
      <c r="J109" s="10"/>
      <c r="K109" s="117"/>
      <c r="L109" s="120"/>
      <c r="M109" s="122">
        <f t="shared" si="19"/>
        <v>40236.42</v>
      </c>
      <c r="N109" s="116">
        <f t="shared" si="20"/>
        <v>40236.42</v>
      </c>
      <c r="O109" s="123">
        <f t="shared" si="21"/>
        <v>142.68234042553192</v>
      </c>
      <c r="P109" s="5"/>
      <c r="Q109" s="5">
        <f t="shared" si="14"/>
        <v>1</v>
      </c>
      <c r="R109" s="7">
        <f t="shared" si="15"/>
        <v>282</v>
      </c>
      <c r="S109" s="5">
        <f t="shared" si="16"/>
        <v>0</v>
      </c>
      <c r="T109" s="7">
        <f t="shared" si="17"/>
        <v>0</v>
      </c>
    </row>
    <row r="110" spans="1:20">
      <c r="A110" s="23" t="s">
        <v>126</v>
      </c>
      <c r="B110" s="35" t="s">
        <v>125</v>
      </c>
      <c r="C110" s="36">
        <v>1357</v>
      </c>
      <c r="D110" s="6"/>
      <c r="E110" s="113">
        <v>42273675</v>
      </c>
      <c r="F110" s="116">
        <f t="shared" si="18"/>
        <v>31152.302873986737</v>
      </c>
      <c r="G110" s="117">
        <v>25118356</v>
      </c>
      <c r="H110" s="117">
        <f t="shared" si="24"/>
        <v>18510.210759027264</v>
      </c>
      <c r="I110" s="98" t="s">
        <v>528</v>
      </c>
      <c r="J110" s="10"/>
      <c r="K110" s="117"/>
      <c r="L110" s="120"/>
      <c r="M110" s="122">
        <f t="shared" si="19"/>
        <v>251183.56</v>
      </c>
      <c r="N110" s="116">
        <f t="shared" si="20"/>
        <v>251183.56</v>
      </c>
      <c r="O110" s="123">
        <f t="shared" si="21"/>
        <v>185.10210759027265</v>
      </c>
      <c r="P110" s="5"/>
      <c r="Q110" s="5">
        <f t="shared" si="14"/>
        <v>1</v>
      </c>
      <c r="R110" s="7">
        <f t="shared" si="15"/>
        <v>1357</v>
      </c>
      <c r="S110" s="5">
        <f t="shared" si="16"/>
        <v>0</v>
      </c>
      <c r="T110" s="7">
        <f t="shared" si="17"/>
        <v>0</v>
      </c>
    </row>
    <row r="111" spans="1:20">
      <c r="A111" s="23" t="s">
        <v>127</v>
      </c>
      <c r="B111" s="35" t="s">
        <v>128</v>
      </c>
      <c r="C111" s="36">
        <v>550</v>
      </c>
      <c r="D111" s="6"/>
      <c r="E111" s="113">
        <v>21912962</v>
      </c>
      <c r="F111" s="116">
        <f t="shared" si="18"/>
        <v>39841.749090909092</v>
      </c>
      <c r="G111" s="117">
        <v>14758203</v>
      </c>
      <c r="H111" s="117">
        <f t="shared" si="24"/>
        <v>26833.096363636363</v>
      </c>
      <c r="I111" s="9"/>
      <c r="J111" s="10">
        <v>2</v>
      </c>
      <c r="K111" s="117">
        <v>29516</v>
      </c>
      <c r="L111" s="120">
        <f t="shared" ref="L111:L130" si="27">(K111/C111)</f>
        <v>53.665454545454544</v>
      </c>
      <c r="M111" s="122">
        <f t="shared" si="19"/>
        <v>147582.03</v>
      </c>
      <c r="N111" s="116">
        <f t="shared" si="20"/>
        <v>118066.03</v>
      </c>
      <c r="O111" s="123">
        <f t="shared" si="21"/>
        <v>214.6655090909091</v>
      </c>
      <c r="P111" s="5"/>
      <c r="Q111" s="5">
        <f t="shared" si="14"/>
        <v>1</v>
      </c>
      <c r="R111" s="7">
        <f t="shared" si="15"/>
        <v>550</v>
      </c>
      <c r="S111" s="5">
        <f t="shared" si="16"/>
        <v>1</v>
      </c>
      <c r="T111" s="7">
        <f t="shared" si="17"/>
        <v>550</v>
      </c>
    </row>
    <row r="112" spans="1:20">
      <c r="A112" s="23" t="s">
        <v>129</v>
      </c>
      <c r="B112" s="35" t="s">
        <v>130</v>
      </c>
      <c r="C112" s="36">
        <v>1575</v>
      </c>
      <c r="D112" s="6"/>
      <c r="E112" s="113">
        <v>44189951</v>
      </c>
      <c r="F112" s="116">
        <f t="shared" si="18"/>
        <v>28057.111746031747</v>
      </c>
      <c r="G112" s="117">
        <v>23846851</v>
      </c>
      <c r="H112" s="117">
        <f t="shared" si="24"/>
        <v>15140.857777777777</v>
      </c>
      <c r="I112" s="9"/>
      <c r="J112" s="10">
        <v>4.1769999999999996</v>
      </c>
      <c r="K112" s="117">
        <v>99608</v>
      </c>
      <c r="L112" s="120">
        <f t="shared" si="27"/>
        <v>63.243174603174602</v>
      </c>
      <c r="M112" s="122">
        <f t="shared" si="19"/>
        <v>238468.51</v>
      </c>
      <c r="N112" s="116">
        <f t="shared" si="20"/>
        <v>138860.51</v>
      </c>
      <c r="O112" s="123">
        <f t="shared" si="21"/>
        <v>88.165403174603185</v>
      </c>
      <c r="P112" s="5"/>
      <c r="Q112" s="5">
        <f t="shared" si="14"/>
        <v>1</v>
      </c>
      <c r="R112" s="7">
        <f t="shared" si="15"/>
        <v>1575</v>
      </c>
      <c r="S112" s="5">
        <f t="shared" si="16"/>
        <v>1</v>
      </c>
      <c r="T112" s="7">
        <f t="shared" si="17"/>
        <v>1575</v>
      </c>
    </row>
    <row r="113" spans="1:20">
      <c r="A113" s="23" t="s">
        <v>545</v>
      </c>
      <c r="B113" s="35" t="s">
        <v>131</v>
      </c>
      <c r="C113" s="36">
        <v>4096</v>
      </c>
      <c r="D113" s="6"/>
      <c r="E113" s="113">
        <v>331945127</v>
      </c>
      <c r="F113" s="116">
        <f t="shared" si="18"/>
        <v>81041.290771484375</v>
      </c>
      <c r="G113" s="117">
        <v>286001778</v>
      </c>
      <c r="H113" s="117">
        <f t="shared" si="24"/>
        <v>69824.65283203125</v>
      </c>
      <c r="I113" s="7"/>
      <c r="J113" s="11">
        <v>5.2408000000000001</v>
      </c>
      <c r="K113" s="117">
        <v>1498878</v>
      </c>
      <c r="L113" s="120">
        <f t="shared" si="27"/>
        <v>365.93701171875</v>
      </c>
      <c r="M113" s="122">
        <f t="shared" si="19"/>
        <v>2860017.7800000003</v>
      </c>
      <c r="N113" s="116">
        <f t="shared" si="20"/>
        <v>1361139.7800000003</v>
      </c>
      <c r="O113" s="123">
        <f t="shared" si="21"/>
        <v>332.30951660156256</v>
      </c>
      <c r="P113" s="5"/>
      <c r="Q113" s="5">
        <f t="shared" si="14"/>
        <v>1</v>
      </c>
      <c r="R113" s="7">
        <f t="shared" si="15"/>
        <v>4096</v>
      </c>
      <c r="S113" s="5">
        <f t="shared" si="16"/>
        <v>1</v>
      </c>
      <c r="T113" s="7">
        <f t="shared" si="17"/>
        <v>4096</v>
      </c>
    </row>
    <row r="114" spans="1:20">
      <c r="A114" s="23" t="s">
        <v>132</v>
      </c>
      <c r="B114" s="35" t="s">
        <v>131</v>
      </c>
      <c r="C114" s="36">
        <v>1974</v>
      </c>
      <c r="D114" s="6"/>
      <c r="E114" s="113">
        <v>41031331</v>
      </c>
      <c r="F114" s="116">
        <f t="shared" si="18"/>
        <v>20785.881965552177</v>
      </c>
      <c r="G114" s="117">
        <v>23889002</v>
      </c>
      <c r="H114" s="117">
        <f t="shared" si="24"/>
        <v>12101.824721377912</v>
      </c>
      <c r="I114" s="7"/>
      <c r="J114" s="11">
        <v>2.4689999999999999</v>
      </c>
      <c r="K114" s="117">
        <v>58981</v>
      </c>
      <c r="L114" s="120">
        <f t="shared" si="27"/>
        <v>29.878926038500506</v>
      </c>
      <c r="M114" s="122">
        <f t="shared" si="19"/>
        <v>238890.02000000002</v>
      </c>
      <c r="N114" s="116">
        <f t="shared" si="20"/>
        <v>179909.02000000002</v>
      </c>
      <c r="O114" s="123">
        <f t="shared" si="21"/>
        <v>91.139321175278639</v>
      </c>
      <c r="P114" s="5"/>
      <c r="Q114" s="5">
        <f t="shared" si="14"/>
        <v>1</v>
      </c>
      <c r="R114" s="7">
        <f t="shared" si="15"/>
        <v>1974</v>
      </c>
      <c r="S114" s="5">
        <f t="shared" si="16"/>
        <v>1</v>
      </c>
      <c r="T114" s="7">
        <f t="shared" si="17"/>
        <v>1974</v>
      </c>
    </row>
    <row r="115" spans="1:20">
      <c r="A115" s="23" t="s">
        <v>133</v>
      </c>
      <c r="B115" s="35" t="s">
        <v>134</v>
      </c>
      <c r="C115" s="36">
        <v>2128</v>
      </c>
      <c r="D115" s="6"/>
      <c r="E115" s="113">
        <v>69761766</v>
      </c>
      <c r="F115" s="116">
        <f t="shared" si="18"/>
        <v>32782.784774436092</v>
      </c>
      <c r="G115" s="117">
        <v>40248592</v>
      </c>
      <c r="H115" s="117">
        <f t="shared" si="24"/>
        <v>18913.812030075187</v>
      </c>
      <c r="I115" s="7"/>
      <c r="J115" s="10">
        <v>3.7469999999999999</v>
      </c>
      <c r="K115" s="117">
        <v>150811</v>
      </c>
      <c r="L115" s="120">
        <f t="shared" si="27"/>
        <v>70.869830827067673</v>
      </c>
      <c r="M115" s="122">
        <f t="shared" si="19"/>
        <v>402485.92</v>
      </c>
      <c r="N115" s="116">
        <f t="shared" si="20"/>
        <v>251674.91999999998</v>
      </c>
      <c r="O115" s="123">
        <f t="shared" si="21"/>
        <v>118.26828947368421</v>
      </c>
      <c r="P115" s="5"/>
      <c r="Q115" s="5">
        <f t="shared" si="14"/>
        <v>1</v>
      </c>
      <c r="R115" s="7">
        <f t="shared" si="15"/>
        <v>2128</v>
      </c>
      <c r="S115" s="5">
        <f t="shared" si="16"/>
        <v>1</v>
      </c>
      <c r="T115" s="7">
        <f t="shared" si="17"/>
        <v>2128</v>
      </c>
    </row>
    <row r="116" spans="1:20">
      <c r="A116" s="23" t="s">
        <v>135</v>
      </c>
      <c r="B116" s="35" t="s">
        <v>134</v>
      </c>
      <c r="C116" s="36">
        <v>806</v>
      </c>
      <c r="D116" s="6"/>
      <c r="E116" s="113">
        <v>14481097</v>
      </c>
      <c r="F116" s="116">
        <f t="shared" si="18"/>
        <v>17966.621588089329</v>
      </c>
      <c r="G116" s="117">
        <v>8807579</v>
      </c>
      <c r="H116" s="117">
        <f t="shared" si="24"/>
        <v>10927.517369727047</v>
      </c>
      <c r="I116" s="7"/>
      <c r="J116" s="10">
        <v>1.4209000000000001</v>
      </c>
      <c r="K116" s="117">
        <v>12514</v>
      </c>
      <c r="L116" s="120">
        <f t="shared" si="27"/>
        <v>15.52605459057072</v>
      </c>
      <c r="M116" s="122">
        <f t="shared" si="19"/>
        <v>88075.790000000008</v>
      </c>
      <c r="N116" s="116">
        <f t="shared" si="20"/>
        <v>75561.790000000008</v>
      </c>
      <c r="O116" s="123">
        <f t="shared" si="21"/>
        <v>93.749119106699766</v>
      </c>
      <c r="P116" s="5"/>
      <c r="Q116" s="5">
        <f t="shared" si="14"/>
        <v>1</v>
      </c>
      <c r="R116" s="7">
        <f t="shared" si="15"/>
        <v>806</v>
      </c>
      <c r="S116" s="5">
        <f t="shared" si="16"/>
        <v>1</v>
      </c>
      <c r="T116" s="7">
        <f t="shared" si="17"/>
        <v>806</v>
      </c>
    </row>
    <row r="117" spans="1:20">
      <c r="A117" s="23" t="s">
        <v>136</v>
      </c>
      <c r="B117" s="35" t="s">
        <v>134</v>
      </c>
      <c r="C117" s="36">
        <v>832</v>
      </c>
      <c r="D117" s="6"/>
      <c r="E117" s="113">
        <v>18179425</v>
      </c>
      <c r="F117" s="116">
        <f t="shared" si="18"/>
        <v>21850.270432692309</v>
      </c>
      <c r="G117" s="117">
        <v>8877225</v>
      </c>
      <c r="H117" s="117">
        <f t="shared" si="24"/>
        <v>10669.741586538461</v>
      </c>
      <c r="I117" s="7"/>
      <c r="J117" s="10">
        <v>3.5230000000000001</v>
      </c>
      <c r="K117" s="117">
        <v>31274</v>
      </c>
      <c r="L117" s="120">
        <f t="shared" si="27"/>
        <v>37.588942307692307</v>
      </c>
      <c r="M117" s="122">
        <f t="shared" si="19"/>
        <v>88772.25</v>
      </c>
      <c r="N117" s="116">
        <f t="shared" si="20"/>
        <v>57498.25</v>
      </c>
      <c r="O117" s="123">
        <f t="shared" si="21"/>
        <v>69.108473557692307</v>
      </c>
      <c r="P117" s="5"/>
      <c r="Q117" s="5">
        <f t="shared" si="14"/>
        <v>1</v>
      </c>
      <c r="R117" s="7">
        <f t="shared" si="15"/>
        <v>832</v>
      </c>
      <c r="S117" s="5">
        <f t="shared" si="16"/>
        <v>1</v>
      </c>
      <c r="T117" s="7">
        <f t="shared" si="17"/>
        <v>832</v>
      </c>
    </row>
    <row r="118" spans="1:20">
      <c r="A118" s="23" t="s">
        <v>137</v>
      </c>
      <c r="B118" s="35" t="s">
        <v>138</v>
      </c>
      <c r="C118" s="36">
        <v>1780</v>
      </c>
      <c r="D118" s="6"/>
      <c r="E118" s="113">
        <v>35931118</v>
      </c>
      <c r="F118" s="116">
        <f t="shared" si="18"/>
        <v>20186.021348314607</v>
      </c>
      <c r="G118" s="117">
        <v>16140549</v>
      </c>
      <c r="H118" s="117">
        <f t="shared" si="24"/>
        <v>9067.7241573033716</v>
      </c>
      <c r="I118" s="7"/>
      <c r="J118" s="10">
        <v>6</v>
      </c>
      <c r="K118" s="117">
        <v>96843</v>
      </c>
      <c r="L118" s="120">
        <f t="shared" si="27"/>
        <v>54.406179775280897</v>
      </c>
      <c r="M118" s="122">
        <f t="shared" si="19"/>
        <v>161405.49</v>
      </c>
      <c r="N118" s="116">
        <f t="shared" si="20"/>
        <v>64562.489999999991</v>
      </c>
      <c r="O118" s="123">
        <f t="shared" si="21"/>
        <v>36.2710617977528</v>
      </c>
      <c r="P118" s="5"/>
      <c r="Q118" s="5">
        <f t="shared" si="14"/>
        <v>1</v>
      </c>
      <c r="R118" s="7">
        <f t="shared" si="15"/>
        <v>1780</v>
      </c>
      <c r="S118" s="5">
        <f t="shared" si="16"/>
        <v>1</v>
      </c>
      <c r="T118" s="7">
        <f t="shared" si="17"/>
        <v>1780</v>
      </c>
    </row>
    <row r="119" spans="1:20">
      <c r="A119" s="23" t="s">
        <v>139</v>
      </c>
      <c r="B119" s="35" t="s">
        <v>138</v>
      </c>
      <c r="C119" s="36">
        <v>3562</v>
      </c>
      <c r="D119" s="6"/>
      <c r="E119" s="113">
        <v>123926904</v>
      </c>
      <c r="F119" s="116">
        <f t="shared" si="18"/>
        <v>34791.382369455365</v>
      </c>
      <c r="G119" s="117">
        <v>58832541</v>
      </c>
      <c r="H119" s="117">
        <f t="shared" si="24"/>
        <v>16516.71560920831</v>
      </c>
      <c r="I119" s="7"/>
      <c r="J119" s="10">
        <v>5.0199999999999996</v>
      </c>
      <c r="K119" s="117">
        <v>295339</v>
      </c>
      <c r="L119" s="120">
        <f t="shared" si="27"/>
        <v>82.913812464907352</v>
      </c>
      <c r="M119" s="122">
        <f t="shared" si="19"/>
        <v>588325.41</v>
      </c>
      <c r="N119" s="116">
        <f t="shared" si="20"/>
        <v>292986.41000000003</v>
      </c>
      <c r="O119" s="123">
        <f t="shared" si="21"/>
        <v>82.253343627175752</v>
      </c>
      <c r="P119" s="5"/>
      <c r="Q119" s="5">
        <f t="shared" si="14"/>
        <v>1</v>
      </c>
      <c r="R119" s="7">
        <f t="shared" si="15"/>
        <v>3562</v>
      </c>
      <c r="S119" s="5">
        <f t="shared" si="16"/>
        <v>1</v>
      </c>
      <c r="T119" s="7">
        <f t="shared" si="17"/>
        <v>3562</v>
      </c>
    </row>
    <row r="120" spans="1:20">
      <c r="A120" s="23" t="s">
        <v>140</v>
      </c>
      <c r="B120" s="35" t="s">
        <v>138</v>
      </c>
      <c r="C120" s="36">
        <v>1268</v>
      </c>
      <c r="D120" s="6"/>
      <c r="E120" s="113">
        <v>28779128</v>
      </c>
      <c r="F120" s="116">
        <f t="shared" si="18"/>
        <v>22696.473186119874</v>
      </c>
      <c r="G120" s="117">
        <v>13445070</v>
      </c>
      <c r="H120" s="117">
        <f t="shared" si="24"/>
        <v>10603.367507886436</v>
      </c>
      <c r="I120" s="7"/>
      <c r="J120" s="10">
        <v>9.1120000000000001</v>
      </c>
      <c r="K120" s="117">
        <v>122511</v>
      </c>
      <c r="L120" s="120">
        <f t="shared" si="27"/>
        <v>96.617507886435334</v>
      </c>
      <c r="M120" s="122">
        <f t="shared" si="19"/>
        <v>134450.70000000001</v>
      </c>
      <c r="N120" s="116">
        <f t="shared" si="20"/>
        <v>11939.700000000012</v>
      </c>
      <c r="O120" s="123">
        <f t="shared" si="21"/>
        <v>9.4161671924290307</v>
      </c>
      <c r="P120" s="5"/>
      <c r="Q120" s="5">
        <f t="shared" si="14"/>
        <v>1</v>
      </c>
      <c r="R120" s="7">
        <f t="shared" si="15"/>
        <v>1268</v>
      </c>
      <c r="S120" s="5">
        <f t="shared" si="16"/>
        <v>1</v>
      </c>
      <c r="T120" s="7">
        <f t="shared" si="17"/>
        <v>1268</v>
      </c>
    </row>
    <row r="121" spans="1:20">
      <c r="A121" s="23" t="s">
        <v>141</v>
      </c>
      <c r="B121" s="35" t="s">
        <v>142</v>
      </c>
      <c r="C121" s="36">
        <v>6348</v>
      </c>
      <c r="D121" s="6"/>
      <c r="E121" s="113">
        <v>275557032</v>
      </c>
      <c r="F121" s="116">
        <f t="shared" si="18"/>
        <v>43408.48015122873</v>
      </c>
      <c r="G121" s="117">
        <v>156108982</v>
      </c>
      <c r="H121" s="117">
        <f t="shared" si="24"/>
        <v>24591.837114051668</v>
      </c>
      <c r="I121" s="7"/>
      <c r="J121" s="10">
        <v>5.2271000000000001</v>
      </c>
      <c r="K121" s="117">
        <v>815997</v>
      </c>
      <c r="L121" s="120">
        <f t="shared" si="27"/>
        <v>128.54395085066162</v>
      </c>
      <c r="M121" s="122">
        <f t="shared" si="19"/>
        <v>1561089.82</v>
      </c>
      <c r="N121" s="116">
        <f t="shared" si="20"/>
        <v>745092.82000000007</v>
      </c>
      <c r="O121" s="123">
        <f t="shared" si="21"/>
        <v>117.37442028985508</v>
      </c>
      <c r="P121" s="5"/>
      <c r="Q121" s="5">
        <f t="shared" si="14"/>
        <v>1</v>
      </c>
      <c r="R121" s="7">
        <f t="shared" si="15"/>
        <v>6348</v>
      </c>
      <c r="S121" s="5">
        <f t="shared" si="16"/>
        <v>1</v>
      </c>
      <c r="T121" s="7">
        <f t="shared" si="17"/>
        <v>6348</v>
      </c>
    </row>
    <row r="122" spans="1:20">
      <c r="A122" s="23" t="s">
        <v>558</v>
      </c>
      <c r="B122" s="35" t="s">
        <v>142</v>
      </c>
      <c r="C122" s="36">
        <v>3192</v>
      </c>
      <c r="D122" s="6"/>
      <c r="E122" s="113">
        <v>160767110</v>
      </c>
      <c r="F122" s="116">
        <f t="shared" si="18"/>
        <v>50365.635964912282</v>
      </c>
      <c r="G122" s="117">
        <v>98637220</v>
      </c>
      <c r="H122" s="117">
        <f t="shared" si="24"/>
        <v>30901.38471177945</v>
      </c>
      <c r="I122" s="7"/>
      <c r="J122" s="10">
        <v>3</v>
      </c>
      <c r="K122" s="117">
        <v>295911</v>
      </c>
      <c r="L122" s="120">
        <f t="shared" si="27"/>
        <v>92.703947368421055</v>
      </c>
      <c r="M122" s="122">
        <f t="shared" si="19"/>
        <v>986372.20000000007</v>
      </c>
      <c r="N122" s="116">
        <f t="shared" si="20"/>
        <v>690461.20000000007</v>
      </c>
      <c r="O122" s="123">
        <f t="shared" si="21"/>
        <v>216.30989974937344</v>
      </c>
      <c r="P122" s="5"/>
      <c r="Q122" s="5">
        <f t="shared" si="14"/>
        <v>1</v>
      </c>
      <c r="R122" s="7">
        <f t="shared" si="15"/>
        <v>3192</v>
      </c>
      <c r="S122" s="5">
        <f t="shared" si="16"/>
        <v>1</v>
      </c>
      <c r="T122" s="7">
        <f t="shared" si="17"/>
        <v>3192</v>
      </c>
    </row>
    <row r="123" spans="1:20">
      <c r="A123" s="23" t="s">
        <v>143</v>
      </c>
      <c r="B123" s="35" t="s">
        <v>144</v>
      </c>
      <c r="C123" s="36">
        <v>7863</v>
      </c>
      <c r="D123" s="6"/>
      <c r="E123" s="113">
        <v>402450623</v>
      </c>
      <c r="F123" s="116">
        <f t="shared" si="18"/>
        <v>51182.833905633983</v>
      </c>
      <c r="G123" s="117">
        <v>205743879</v>
      </c>
      <c r="H123" s="117">
        <f t="shared" si="24"/>
        <v>26166.078977489509</v>
      </c>
      <c r="I123" s="7"/>
      <c r="J123" s="10">
        <v>8</v>
      </c>
      <c r="K123" s="117">
        <v>1645951</v>
      </c>
      <c r="L123" s="120">
        <f t="shared" si="27"/>
        <v>209.32862775022255</v>
      </c>
      <c r="M123" s="122">
        <f t="shared" si="19"/>
        <v>2057438.79</v>
      </c>
      <c r="N123" s="116">
        <f t="shared" si="20"/>
        <v>411487.79000000004</v>
      </c>
      <c r="O123" s="123">
        <f t="shared" si="21"/>
        <v>52.33216202467252</v>
      </c>
      <c r="P123" s="5"/>
      <c r="Q123" s="5">
        <f t="shared" si="14"/>
        <v>1</v>
      </c>
      <c r="R123" s="7">
        <f t="shared" si="15"/>
        <v>7863</v>
      </c>
      <c r="S123" s="5">
        <f t="shared" si="16"/>
        <v>1</v>
      </c>
      <c r="T123" s="7">
        <f t="shared" si="17"/>
        <v>7863</v>
      </c>
    </row>
    <row r="124" spans="1:20">
      <c r="A124" s="23" t="s">
        <v>145</v>
      </c>
      <c r="B124" s="35" t="s">
        <v>144</v>
      </c>
      <c r="C124" s="36">
        <v>7</v>
      </c>
      <c r="D124" s="6"/>
      <c r="E124" s="113">
        <v>18622026</v>
      </c>
      <c r="F124" s="116">
        <f t="shared" si="18"/>
        <v>2660289.4285714286</v>
      </c>
      <c r="G124" s="117">
        <v>18604284</v>
      </c>
      <c r="H124" s="117">
        <f t="shared" si="24"/>
        <v>2657754.8571428573</v>
      </c>
      <c r="I124" s="7"/>
      <c r="J124" s="10">
        <v>1.05</v>
      </c>
      <c r="K124" s="117">
        <v>19534</v>
      </c>
      <c r="L124" s="120">
        <f t="shared" si="27"/>
        <v>2790.5714285714284</v>
      </c>
      <c r="M124" s="122">
        <f t="shared" si="19"/>
        <v>186042.84</v>
      </c>
      <c r="N124" s="116">
        <f t="shared" si="20"/>
        <v>166508.84</v>
      </c>
      <c r="O124" s="123">
        <f t="shared" si="21"/>
        <v>23786.977142857144</v>
      </c>
      <c r="P124" s="5"/>
      <c r="Q124" s="5">
        <f t="shared" si="14"/>
        <v>1</v>
      </c>
      <c r="R124" s="7">
        <f t="shared" si="15"/>
        <v>7</v>
      </c>
      <c r="S124" s="5">
        <f t="shared" si="16"/>
        <v>1</v>
      </c>
      <c r="T124" s="7">
        <f t="shared" si="17"/>
        <v>7</v>
      </c>
    </row>
    <row r="125" spans="1:20">
      <c r="A125" s="23" t="s">
        <v>146</v>
      </c>
      <c r="B125" s="35" t="s">
        <v>147</v>
      </c>
      <c r="C125" s="36">
        <v>8226</v>
      </c>
      <c r="D125" s="6"/>
      <c r="E125" s="113">
        <v>224555573</v>
      </c>
      <c r="F125" s="116">
        <f t="shared" si="18"/>
        <v>27298.270483831751</v>
      </c>
      <c r="G125" s="117">
        <v>142930198</v>
      </c>
      <c r="H125" s="117">
        <f t="shared" si="24"/>
        <v>17375.419158764893</v>
      </c>
      <c r="I125" s="7"/>
      <c r="J125" s="10">
        <v>8.75</v>
      </c>
      <c r="K125" s="117">
        <v>1250639</v>
      </c>
      <c r="L125" s="120">
        <f t="shared" si="27"/>
        <v>152.03488937515195</v>
      </c>
      <c r="M125" s="122">
        <f t="shared" si="19"/>
        <v>1429301.98</v>
      </c>
      <c r="N125" s="116">
        <f t="shared" si="20"/>
        <v>178662.97999999998</v>
      </c>
      <c r="O125" s="123">
        <f t="shared" si="21"/>
        <v>21.719302212496959</v>
      </c>
      <c r="P125" s="5"/>
      <c r="Q125" s="5">
        <f t="shared" si="14"/>
        <v>1</v>
      </c>
      <c r="R125" s="7">
        <f t="shared" si="15"/>
        <v>8226</v>
      </c>
      <c r="S125" s="5">
        <f t="shared" si="16"/>
        <v>1</v>
      </c>
      <c r="T125" s="7">
        <f t="shared" si="17"/>
        <v>8226</v>
      </c>
    </row>
    <row r="126" spans="1:20">
      <c r="A126" s="23" t="s">
        <v>148</v>
      </c>
      <c r="B126" s="35" t="s">
        <v>147</v>
      </c>
      <c r="C126" s="36">
        <v>1408</v>
      </c>
      <c r="D126" s="6"/>
      <c r="E126" s="113">
        <v>90496041</v>
      </c>
      <c r="F126" s="116">
        <f t="shared" si="18"/>
        <v>64272.756392045456</v>
      </c>
      <c r="G126" s="117">
        <v>58084105</v>
      </c>
      <c r="H126" s="117">
        <f t="shared" si="24"/>
        <v>41252.915482954544</v>
      </c>
      <c r="I126" s="7"/>
      <c r="J126" s="10">
        <v>5.2</v>
      </c>
      <c r="K126" s="117">
        <v>302037</v>
      </c>
      <c r="L126" s="120">
        <f t="shared" si="27"/>
        <v>214.51491477272728</v>
      </c>
      <c r="M126" s="122">
        <f t="shared" si="19"/>
        <v>580841.05000000005</v>
      </c>
      <c r="N126" s="116">
        <f t="shared" si="20"/>
        <v>278804.05000000005</v>
      </c>
      <c r="O126" s="123">
        <f t="shared" si="21"/>
        <v>198.01424005681821</v>
      </c>
      <c r="P126" s="5"/>
      <c r="Q126" s="5">
        <f t="shared" si="14"/>
        <v>1</v>
      </c>
      <c r="R126" s="7">
        <f t="shared" si="15"/>
        <v>1408</v>
      </c>
      <c r="S126" s="5">
        <f t="shared" si="16"/>
        <v>1</v>
      </c>
      <c r="T126" s="7">
        <f t="shared" si="17"/>
        <v>1408</v>
      </c>
    </row>
    <row r="127" spans="1:20">
      <c r="A127" s="23" t="s">
        <v>149</v>
      </c>
      <c r="B127" s="35" t="s">
        <v>147</v>
      </c>
      <c r="C127" s="36">
        <v>8872</v>
      </c>
      <c r="D127" s="6"/>
      <c r="E127" s="113">
        <v>398570568</v>
      </c>
      <c r="F127" s="116">
        <f t="shared" si="18"/>
        <v>44924.545536519385</v>
      </c>
      <c r="G127" s="117">
        <v>278661684</v>
      </c>
      <c r="H127" s="117">
        <f t="shared" si="24"/>
        <v>31409.116771866546</v>
      </c>
      <c r="I127" s="7"/>
      <c r="J127" s="10">
        <v>6.5</v>
      </c>
      <c r="K127" s="117">
        <v>1811300</v>
      </c>
      <c r="L127" s="120">
        <f t="shared" si="27"/>
        <v>204.15915238954014</v>
      </c>
      <c r="M127" s="122">
        <f t="shared" si="19"/>
        <v>2786616.84</v>
      </c>
      <c r="N127" s="116">
        <f t="shared" si="20"/>
        <v>975316.83999999985</v>
      </c>
      <c r="O127" s="123">
        <f t="shared" si="21"/>
        <v>109.93201532912532</v>
      </c>
      <c r="P127" s="5"/>
      <c r="Q127" s="5">
        <f t="shared" si="14"/>
        <v>1</v>
      </c>
      <c r="R127" s="7">
        <f t="shared" si="15"/>
        <v>8872</v>
      </c>
      <c r="S127" s="5">
        <f t="shared" si="16"/>
        <v>1</v>
      </c>
      <c r="T127" s="7">
        <f t="shared" si="17"/>
        <v>8872</v>
      </c>
    </row>
    <row r="128" spans="1:20">
      <c r="A128" s="23" t="s">
        <v>150</v>
      </c>
      <c r="B128" s="35" t="s">
        <v>151</v>
      </c>
      <c r="C128" s="36">
        <v>27855</v>
      </c>
      <c r="D128" s="6"/>
      <c r="E128" s="113">
        <v>1320287275</v>
      </c>
      <c r="F128" s="116">
        <f t="shared" si="18"/>
        <v>47398.573864656253</v>
      </c>
      <c r="G128" s="117">
        <v>966086441</v>
      </c>
      <c r="H128" s="117">
        <f t="shared" si="24"/>
        <v>34682.693986716928</v>
      </c>
      <c r="I128" s="7"/>
      <c r="J128" s="10">
        <v>4.7</v>
      </c>
      <c r="K128" s="117">
        <v>4540606</v>
      </c>
      <c r="L128" s="120">
        <f t="shared" si="27"/>
        <v>163.00865194758572</v>
      </c>
      <c r="M128" s="122">
        <f t="shared" si="19"/>
        <v>9660864.4100000001</v>
      </c>
      <c r="N128" s="116">
        <f t="shared" si="20"/>
        <v>5120258.41</v>
      </c>
      <c r="O128" s="123">
        <f t="shared" si="21"/>
        <v>183.81828791958355</v>
      </c>
      <c r="P128" s="5"/>
      <c r="Q128" s="5">
        <f t="shared" si="14"/>
        <v>1</v>
      </c>
      <c r="R128" s="7">
        <f t="shared" si="15"/>
        <v>27855</v>
      </c>
      <c r="S128" s="5">
        <f t="shared" si="16"/>
        <v>1</v>
      </c>
      <c r="T128" s="7">
        <f t="shared" si="17"/>
        <v>27855</v>
      </c>
    </row>
    <row r="129" spans="1:20">
      <c r="A129" s="23" t="s">
        <v>152</v>
      </c>
      <c r="B129" s="35" t="s">
        <v>151</v>
      </c>
      <c r="C129" s="36">
        <v>293390</v>
      </c>
      <c r="D129" s="6"/>
      <c r="E129" s="113">
        <v>17565380313</v>
      </c>
      <c r="F129" s="116">
        <f t="shared" si="18"/>
        <v>59870.412464637513</v>
      </c>
      <c r="G129" s="117">
        <v>11560125761</v>
      </c>
      <c r="H129" s="117">
        <f t="shared" si="24"/>
        <v>39401.907907563313</v>
      </c>
      <c r="I129" s="7"/>
      <c r="J129" s="10">
        <v>6.5389999999999997</v>
      </c>
      <c r="K129" s="117">
        <v>75591662</v>
      </c>
      <c r="L129" s="120">
        <f t="shared" si="27"/>
        <v>257.64907461058658</v>
      </c>
      <c r="M129" s="122">
        <f t="shared" si="19"/>
        <v>115601257.61</v>
      </c>
      <c r="N129" s="116">
        <f t="shared" si="20"/>
        <v>40009595.609999999</v>
      </c>
      <c r="O129" s="123">
        <f t="shared" si="21"/>
        <v>136.37000446504652</v>
      </c>
      <c r="P129" s="5"/>
      <c r="Q129" s="5">
        <f t="shared" si="14"/>
        <v>1</v>
      </c>
      <c r="R129" s="7">
        <f t="shared" si="15"/>
        <v>293390</v>
      </c>
      <c r="S129" s="5">
        <f t="shared" si="16"/>
        <v>1</v>
      </c>
      <c r="T129" s="7">
        <f t="shared" si="17"/>
        <v>293390</v>
      </c>
    </row>
    <row r="130" spans="1:20">
      <c r="A130" s="23" t="s">
        <v>153</v>
      </c>
      <c r="B130" s="35" t="s">
        <v>151</v>
      </c>
      <c r="C130" s="36">
        <v>20370</v>
      </c>
      <c r="D130" s="6"/>
      <c r="E130" s="113">
        <v>1030889449</v>
      </c>
      <c r="F130" s="116">
        <f t="shared" si="18"/>
        <v>50608.220373097691</v>
      </c>
      <c r="G130" s="117">
        <v>831548495</v>
      </c>
      <c r="H130" s="117">
        <f t="shared" si="24"/>
        <v>40822.213794796269</v>
      </c>
      <c r="I130" s="7"/>
      <c r="J130" s="10">
        <v>4.41</v>
      </c>
      <c r="K130" s="117">
        <v>3667128</v>
      </c>
      <c r="L130" s="120">
        <f t="shared" si="27"/>
        <v>180.0259204712813</v>
      </c>
      <c r="M130" s="122">
        <f t="shared" si="19"/>
        <v>8315484.9500000002</v>
      </c>
      <c r="N130" s="116">
        <f t="shared" si="20"/>
        <v>4648356.95</v>
      </c>
      <c r="O130" s="123">
        <f t="shared" si="21"/>
        <v>228.1962174766814</v>
      </c>
      <c r="P130" s="5"/>
      <c r="Q130" s="5">
        <f t="shared" si="14"/>
        <v>1</v>
      </c>
      <c r="R130" s="7">
        <f t="shared" si="15"/>
        <v>20370</v>
      </c>
      <c r="S130" s="5">
        <f t="shared" si="16"/>
        <v>1</v>
      </c>
      <c r="T130" s="7">
        <f t="shared" si="17"/>
        <v>20370</v>
      </c>
    </row>
    <row r="131" spans="1:20">
      <c r="A131" s="23" t="s">
        <v>154</v>
      </c>
      <c r="B131" s="35" t="s">
        <v>155</v>
      </c>
      <c r="C131" s="36">
        <v>2821</v>
      </c>
      <c r="D131" s="6"/>
      <c r="E131" s="113">
        <v>88270296</v>
      </c>
      <c r="F131" s="116">
        <f t="shared" si="18"/>
        <v>31290.427507975895</v>
      </c>
      <c r="G131" s="117">
        <v>52191081</v>
      </c>
      <c r="H131" s="117">
        <f t="shared" si="24"/>
        <v>18500.914923785891</v>
      </c>
      <c r="I131" s="98" t="s">
        <v>528</v>
      </c>
      <c r="J131" s="10"/>
      <c r="K131" s="117"/>
      <c r="L131" s="120"/>
      <c r="M131" s="122">
        <f t="shared" si="19"/>
        <v>521910.81</v>
      </c>
      <c r="N131" s="116">
        <f t="shared" si="20"/>
        <v>521910.81</v>
      </c>
      <c r="O131" s="123">
        <f t="shared" si="21"/>
        <v>185.00914923785891</v>
      </c>
      <c r="P131" s="5"/>
      <c r="Q131" s="5">
        <f t="shared" si="14"/>
        <v>1</v>
      </c>
      <c r="R131" s="7">
        <f t="shared" si="15"/>
        <v>2821</v>
      </c>
      <c r="S131" s="5">
        <f t="shared" si="16"/>
        <v>0</v>
      </c>
      <c r="T131" s="7">
        <f t="shared" si="17"/>
        <v>0</v>
      </c>
    </row>
    <row r="132" spans="1:20">
      <c r="A132" s="23" t="s">
        <v>156</v>
      </c>
      <c r="B132" s="35" t="s">
        <v>155</v>
      </c>
      <c r="C132" s="36">
        <v>350</v>
      </c>
      <c r="D132" s="6"/>
      <c r="E132" s="113">
        <v>6016082</v>
      </c>
      <c r="F132" s="116">
        <f t="shared" si="18"/>
        <v>17188.805714285714</v>
      </c>
      <c r="G132" s="117">
        <v>2720247</v>
      </c>
      <c r="H132" s="117">
        <f t="shared" si="24"/>
        <v>7772.1342857142854</v>
      </c>
      <c r="I132" s="7"/>
      <c r="J132" s="10">
        <v>0.89</v>
      </c>
      <c r="K132" s="117">
        <v>2421</v>
      </c>
      <c r="L132" s="120">
        <f>(K132/C132)</f>
        <v>6.9171428571428573</v>
      </c>
      <c r="M132" s="122">
        <f t="shared" si="19"/>
        <v>27202.47</v>
      </c>
      <c r="N132" s="116">
        <f t="shared" si="20"/>
        <v>24781.47</v>
      </c>
      <c r="O132" s="123">
        <f t="shared" si="21"/>
        <v>70.804200000000009</v>
      </c>
      <c r="P132" s="5"/>
      <c r="Q132" s="5">
        <f t="shared" si="14"/>
        <v>1</v>
      </c>
      <c r="R132" s="7">
        <f t="shared" si="15"/>
        <v>350</v>
      </c>
      <c r="S132" s="5">
        <f t="shared" si="16"/>
        <v>1</v>
      </c>
      <c r="T132" s="7">
        <f t="shared" si="17"/>
        <v>350</v>
      </c>
    </row>
    <row r="133" spans="1:20">
      <c r="A133" s="23" t="s">
        <v>157</v>
      </c>
      <c r="B133" s="35" t="s">
        <v>155</v>
      </c>
      <c r="C133" s="36">
        <v>229</v>
      </c>
      <c r="D133" s="6"/>
      <c r="E133" s="113">
        <v>2601305</v>
      </c>
      <c r="F133" s="116">
        <f t="shared" si="18"/>
        <v>11359.410480349345</v>
      </c>
      <c r="G133" s="117">
        <v>1005694</v>
      </c>
      <c r="H133" s="117">
        <f t="shared" si="24"/>
        <v>4391.6768558951962</v>
      </c>
      <c r="I133" s="9"/>
      <c r="J133" s="10">
        <v>1.86</v>
      </c>
      <c r="K133" s="117">
        <v>1870</v>
      </c>
      <c r="L133" s="120">
        <f>(K133/C133)</f>
        <v>8.1659388646288207</v>
      </c>
      <c r="M133" s="122">
        <f t="shared" si="19"/>
        <v>10056.94</v>
      </c>
      <c r="N133" s="116">
        <f t="shared" si="20"/>
        <v>8186.9400000000005</v>
      </c>
      <c r="O133" s="123">
        <f t="shared" si="21"/>
        <v>35.750829694323144</v>
      </c>
      <c r="P133" s="5"/>
      <c r="Q133" s="5">
        <f t="shared" si="14"/>
        <v>1</v>
      </c>
      <c r="R133" s="7">
        <f t="shared" si="15"/>
        <v>229</v>
      </c>
      <c r="S133" s="5">
        <f t="shared" si="16"/>
        <v>1</v>
      </c>
      <c r="T133" s="7">
        <f t="shared" si="17"/>
        <v>229</v>
      </c>
    </row>
    <row r="134" spans="1:20">
      <c r="A134" s="23" t="s">
        <v>158</v>
      </c>
      <c r="B134" s="35" t="s">
        <v>155</v>
      </c>
      <c r="C134" s="36">
        <v>468</v>
      </c>
      <c r="D134" s="6"/>
      <c r="E134" s="113">
        <v>15253175</v>
      </c>
      <c r="F134" s="116">
        <f t="shared" si="18"/>
        <v>32592.254273504273</v>
      </c>
      <c r="G134" s="117">
        <v>8693066</v>
      </c>
      <c r="H134" s="117">
        <f t="shared" si="24"/>
        <v>18574.927350427351</v>
      </c>
      <c r="I134" s="98" t="s">
        <v>528</v>
      </c>
      <c r="J134" s="10"/>
      <c r="K134" s="117"/>
      <c r="L134" s="120"/>
      <c r="M134" s="122">
        <f t="shared" si="19"/>
        <v>86930.66</v>
      </c>
      <c r="N134" s="116">
        <f t="shared" si="20"/>
        <v>86930.66</v>
      </c>
      <c r="O134" s="123">
        <f t="shared" si="21"/>
        <v>185.7492735042735</v>
      </c>
      <c r="P134" s="5"/>
      <c r="Q134" s="5">
        <f t="shared" si="14"/>
        <v>1</v>
      </c>
      <c r="R134" s="7">
        <f t="shared" si="15"/>
        <v>468</v>
      </c>
      <c r="S134" s="5">
        <f t="shared" si="16"/>
        <v>0</v>
      </c>
      <c r="T134" s="7">
        <f t="shared" si="17"/>
        <v>0</v>
      </c>
    </row>
    <row r="135" spans="1:20">
      <c r="A135" s="23" t="s">
        <v>159</v>
      </c>
      <c r="B135" s="35" t="s">
        <v>155</v>
      </c>
      <c r="C135" s="36">
        <v>315</v>
      </c>
      <c r="D135" s="6"/>
      <c r="E135" s="113">
        <v>7173465</v>
      </c>
      <c r="F135" s="116">
        <f t="shared" si="18"/>
        <v>22772.904761904763</v>
      </c>
      <c r="G135" s="117">
        <v>2833030</v>
      </c>
      <c r="H135" s="117">
        <f t="shared" si="24"/>
        <v>8993.7460317460318</v>
      </c>
      <c r="I135" s="98" t="s">
        <v>528</v>
      </c>
      <c r="J135" s="12"/>
      <c r="K135" s="117"/>
      <c r="L135" s="120"/>
      <c r="M135" s="122">
        <f t="shared" si="19"/>
        <v>28330.3</v>
      </c>
      <c r="N135" s="116">
        <f t="shared" si="20"/>
        <v>28330.3</v>
      </c>
      <c r="O135" s="123">
        <f t="shared" si="21"/>
        <v>89.937460317460321</v>
      </c>
      <c r="P135" s="5"/>
      <c r="Q135" s="5">
        <f t="shared" ref="Q135:Q198" si="28">IF(E135&gt;0,1,0)</f>
        <v>1</v>
      </c>
      <c r="R135" s="7">
        <f t="shared" ref="R135:R198" si="29">IF(E135&gt;0,C135,0)</f>
        <v>315</v>
      </c>
      <c r="S135" s="5">
        <f t="shared" ref="S135:S198" si="30">IF(J135&gt;0,1,0)</f>
        <v>0</v>
      </c>
      <c r="T135" s="7">
        <f t="shared" ref="T135:T198" si="31">IF(J135&gt;0,C135,0)</f>
        <v>0</v>
      </c>
    </row>
    <row r="136" spans="1:20">
      <c r="A136" s="23" t="s">
        <v>160</v>
      </c>
      <c r="B136" s="35" t="s">
        <v>161</v>
      </c>
      <c r="C136" s="36">
        <v>2549</v>
      </c>
      <c r="D136" s="6"/>
      <c r="E136" s="113">
        <v>47855649</v>
      </c>
      <c r="F136" s="116">
        <f t="shared" ref="F136:F199" si="32">(E136/C136)</f>
        <v>18774.283640643389</v>
      </c>
      <c r="G136" s="117">
        <v>27478238</v>
      </c>
      <c r="H136" s="117">
        <f t="shared" si="24"/>
        <v>10780.007061592782</v>
      </c>
      <c r="I136" s="9"/>
      <c r="J136" s="10">
        <v>5.7507000000000001</v>
      </c>
      <c r="K136" s="117">
        <v>158019</v>
      </c>
      <c r="L136" s="120">
        <f t="shared" ref="L136:L141" si="33">(K136/C136)</f>
        <v>61.992546096508434</v>
      </c>
      <c r="M136" s="122">
        <f t="shared" ref="M136:M199" si="34">(G136*0.01)</f>
        <v>274782.38</v>
      </c>
      <c r="N136" s="116">
        <f t="shared" ref="N136:N199" si="35">(M136-K136)</f>
        <v>116763.38</v>
      </c>
      <c r="O136" s="123">
        <f t="shared" ref="O136:O199" si="36">(N136/C136)</f>
        <v>45.807524519419381</v>
      </c>
      <c r="P136" s="5"/>
      <c r="Q136" s="5">
        <f t="shared" si="28"/>
        <v>1</v>
      </c>
      <c r="R136" s="7">
        <f t="shared" si="29"/>
        <v>2549</v>
      </c>
      <c r="S136" s="5">
        <f t="shared" si="30"/>
        <v>1</v>
      </c>
      <c r="T136" s="7">
        <f t="shared" si="31"/>
        <v>2549</v>
      </c>
    </row>
    <row r="137" spans="1:20">
      <c r="A137" s="23" t="s">
        <v>162</v>
      </c>
      <c r="B137" s="35" t="s">
        <v>161</v>
      </c>
      <c r="C137" s="36">
        <v>2739</v>
      </c>
      <c r="D137" s="6"/>
      <c r="E137" s="113">
        <v>992376309</v>
      </c>
      <c r="F137" s="116">
        <f t="shared" si="32"/>
        <v>362313.36582694412</v>
      </c>
      <c r="G137" s="117">
        <v>938790675</v>
      </c>
      <c r="H137" s="117">
        <f t="shared" si="24"/>
        <v>342749.42497261777</v>
      </c>
      <c r="I137" s="9"/>
      <c r="J137" s="10">
        <v>1.448</v>
      </c>
      <c r="K137" s="117">
        <v>1359368</v>
      </c>
      <c r="L137" s="120">
        <f t="shared" si="33"/>
        <v>496.30083972252646</v>
      </c>
      <c r="M137" s="122">
        <f t="shared" si="34"/>
        <v>9387906.75</v>
      </c>
      <c r="N137" s="116">
        <f t="shared" si="35"/>
        <v>8028538.75</v>
      </c>
      <c r="O137" s="123">
        <f t="shared" si="36"/>
        <v>2931.193410003651</v>
      </c>
      <c r="P137" s="5"/>
      <c r="Q137" s="5">
        <f t="shared" si="28"/>
        <v>1</v>
      </c>
      <c r="R137" s="7">
        <f t="shared" si="29"/>
        <v>2739</v>
      </c>
      <c r="S137" s="5">
        <f t="shared" si="30"/>
        <v>1</v>
      </c>
      <c r="T137" s="7">
        <f t="shared" si="31"/>
        <v>2739</v>
      </c>
    </row>
    <row r="138" spans="1:20">
      <c r="A138" s="23" t="s">
        <v>163</v>
      </c>
      <c r="B138" s="35" t="s">
        <v>161</v>
      </c>
      <c r="C138" s="36">
        <v>60</v>
      </c>
      <c r="D138" s="6"/>
      <c r="E138" s="113">
        <v>68540190</v>
      </c>
      <c r="F138" s="116">
        <f t="shared" si="32"/>
        <v>1142336.5</v>
      </c>
      <c r="G138" s="117">
        <v>65426450</v>
      </c>
      <c r="H138" s="117">
        <f t="shared" si="24"/>
        <v>1090440.8333333333</v>
      </c>
      <c r="I138" s="7"/>
      <c r="J138" s="11">
        <v>2.5634999999999999</v>
      </c>
      <c r="K138" s="117">
        <v>167720</v>
      </c>
      <c r="L138" s="120">
        <f t="shared" si="33"/>
        <v>2795.3333333333335</v>
      </c>
      <c r="M138" s="122">
        <f t="shared" si="34"/>
        <v>654264.5</v>
      </c>
      <c r="N138" s="116">
        <f t="shared" si="35"/>
        <v>486544.5</v>
      </c>
      <c r="O138" s="123">
        <f t="shared" si="36"/>
        <v>8109.0749999999998</v>
      </c>
      <c r="P138" s="5"/>
      <c r="Q138" s="5">
        <f t="shared" si="28"/>
        <v>1</v>
      </c>
      <c r="R138" s="7">
        <f t="shared" si="29"/>
        <v>60</v>
      </c>
      <c r="S138" s="5">
        <f t="shared" si="30"/>
        <v>1</v>
      </c>
      <c r="T138" s="7">
        <f t="shared" si="31"/>
        <v>60</v>
      </c>
    </row>
    <row r="139" spans="1:20">
      <c r="A139" s="23" t="s">
        <v>164</v>
      </c>
      <c r="B139" s="35" t="s">
        <v>161</v>
      </c>
      <c r="C139" s="36">
        <v>15115</v>
      </c>
      <c r="D139" s="6"/>
      <c r="E139" s="113">
        <v>619022836</v>
      </c>
      <c r="F139" s="116">
        <f t="shared" si="32"/>
        <v>40954.20681442276</v>
      </c>
      <c r="G139" s="117">
        <v>441507089</v>
      </c>
      <c r="H139" s="117">
        <f t="shared" si="24"/>
        <v>29209.86364538538</v>
      </c>
      <c r="I139" s="7"/>
      <c r="J139" s="11">
        <v>6.5</v>
      </c>
      <c r="K139" s="117">
        <v>2869796</v>
      </c>
      <c r="L139" s="120">
        <f t="shared" si="33"/>
        <v>189.8641085014886</v>
      </c>
      <c r="M139" s="122">
        <f t="shared" si="34"/>
        <v>4415070.8899999997</v>
      </c>
      <c r="N139" s="116">
        <f t="shared" si="35"/>
        <v>1545274.8899999997</v>
      </c>
      <c r="O139" s="123">
        <f t="shared" si="36"/>
        <v>102.23452795236518</v>
      </c>
      <c r="P139" s="5"/>
      <c r="Q139" s="5">
        <f t="shared" si="28"/>
        <v>1</v>
      </c>
      <c r="R139" s="7">
        <f t="shared" si="29"/>
        <v>15115</v>
      </c>
      <c r="S139" s="5">
        <f t="shared" si="30"/>
        <v>1</v>
      </c>
      <c r="T139" s="7">
        <f t="shared" si="31"/>
        <v>15115</v>
      </c>
    </row>
    <row r="140" spans="1:20">
      <c r="A140" s="23" t="s">
        <v>165</v>
      </c>
      <c r="B140" s="35" t="s">
        <v>161</v>
      </c>
      <c r="C140" s="36">
        <v>17745</v>
      </c>
      <c r="D140" s="6"/>
      <c r="E140" s="113">
        <v>1616067821</v>
      </c>
      <c r="F140" s="116">
        <f t="shared" si="32"/>
        <v>91071.728430543808</v>
      </c>
      <c r="G140" s="117">
        <v>1268960811</v>
      </c>
      <c r="H140" s="117">
        <f t="shared" si="24"/>
        <v>71510.893829247681</v>
      </c>
      <c r="I140" s="7"/>
      <c r="J140" s="10">
        <v>2.1425000000000001</v>
      </c>
      <c r="K140" s="117">
        <v>2718748</v>
      </c>
      <c r="L140" s="120">
        <f t="shared" si="33"/>
        <v>153.21205973513665</v>
      </c>
      <c r="M140" s="122">
        <f t="shared" si="34"/>
        <v>12689608.109999999</v>
      </c>
      <c r="N140" s="116">
        <f t="shared" si="35"/>
        <v>9970860.1099999994</v>
      </c>
      <c r="O140" s="123">
        <f t="shared" si="36"/>
        <v>561.89687855734007</v>
      </c>
      <c r="P140" s="5"/>
      <c r="Q140" s="5">
        <f t="shared" si="28"/>
        <v>1</v>
      </c>
      <c r="R140" s="7">
        <f t="shared" si="29"/>
        <v>17745</v>
      </c>
      <c r="S140" s="5">
        <f t="shared" si="30"/>
        <v>1</v>
      </c>
      <c r="T140" s="7">
        <f t="shared" si="31"/>
        <v>17745</v>
      </c>
    </row>
    <row r="141" spans="1:20">
      <c r="A141" s="23" t="s">
        <v>166</v>
      </c>
      <c r="B141" s="35" t="s">
        <v>167</v>
      </c>
      <c r="C141" s="36">
        <v>583</v>
      </c>
      <c r="D141" s="6"/>
      <c r="E141" s="113">
        <v>7765693</v>
      </c>
      <c r="F141" s="116">
        <f t="shared" si="32"/>
        <v>13320.228130360207</v>
      </c>
      <c r="G141" s="117">
        <v>3308125</v>
      </c>
      <c r="H141" s="117">
        <f t="shared" si="24"/>
        <v>5674.3138936535161</v>
      </c>
      <c r="I141" s="7"/>
      <c r="J141" s="10">
        <v>0.99299999999999999</v>
      </c>
      <c r="K141" s="117">
        <v>3284</v>
      </c>
      <c r="L141" s="120">
        <f t="shared" si="33"/>
        <v>5.6329331046312179</v>
      </c>
      <c r="M141" s="122">
        <f t="shared" si="34"/>
        <v>33081.25</v>
      </c>
      <c r="N141" s="116">
        <f t="shared" si="35"/>
        <v>29797.25</v>
      </c>
      <c r="O141" s="123">
        <f t="shared" si="36"/>
        <v>51.110205831903947</v>
      </c>
      <c r="P141" s="5"/>
      <c r="Q141" s="5">
        <f t="shared" si="28"/>
        <v>1</v>
      </c>
      <c r="R141" s="7">
        <f t="shared" si="29"/>
        <v>583</v>
      </c>
      <c r="S141" s="5">
        <f t="shared" si="30"/>
        <v>1</v>
      </c>
      <c r="T141" s="7">
        <f t="shared" si="31"/>
        <v>583</v>
      </c>
    </row>
    <row r="142" spans="1:20">
      <c r="A142" s="23" t="s">
        <v>168</v>
      </c>
      <c r="B142" s="35" t="s">
        <v>167</v>
      </c>
      <c r="C142" s="36">
        <v>107</v>
      </c>
      <c r="D142" s="6"/>
      <c r="E142" s="113">
        <v>1641780</v>
      </c>
      <c r="F142" s="116">
        <f t="shared" si="32"/>
        <v>15343.73831775701</v>
      </c>
      <c r="G142" s="117">
        <v>870226</v>
      </c>
      <c r="H142" s="117">
        <f t="shared" si="24"/>
        <v>8132.9532710280373</v>
      </c>
      <c r="I142" s="98" t="s">
        <v>528</v>
      </c>
      <c r="J142" s="10"/>
      <c r="K142" s="117"/>
      <c r="L142" s="120"/>
      <c r="M142" s="122">
        <f t="shared" si="34"/>
        <v>8702.26</v>
      </c>
      <c r="N142" s="116">
        <f t="shared" si="35"/>
        <v>8702.26</v>
      </c>
      <c r="O142" s="123">
        <f t="shared" si="36"/>
        <v>81.329532710280375</v>
      </c>
      <c r="P142" s="5"/>
      <c r="Q142" s="5">
        <f t="shared" si="28"/>
        <v>1</v>
      </c>
      <c r="R142" s="7">
        <f t="shared" si="29"/>
        <v>107</v>
      </c>
      <c r="S142" s="5">
        <f t="shared" si="30"/>
        <v>0</v>
      </c>
      <c r="T142" s="7">
        <f t="shared" si="31"/>
        <v>0</v>
      </c>
    </row>
    <row r="143" spans="1:20">
      <c r="A143" s="23" t="s">
        <v>169</v>
      </c>
      <c r="B143" s="35" t="s">
        <v>167</v>
      </c>
      <c r="C143" s="36">
        <v>253</v>
      </c>
      <c r="D143" s="6"/>
      <c r="E143" s="113">
        <v>4331626</v>
      </c>
      <c r="F143" s="116">
        <f t="shared" si="32"/>
        <v>17121.051383399208</v>
      </c>
      <c r="G143" s="117">
        <v>2356152</v>
      </c>
      <c r="H143" s="117">
        <f t="shared" si="24"/>
        <v>9312.853754940712</v>
      </c>
      <c r="I143" s="7"/>
      <c r="J143" s="10">
        <v>2</v>
      </c>
      <c r="K143" s="117">
        <v>4712</v>
      </c>
      <c r="L143" s="120">
        <f>(K143/C143)</f>
        <v>18.624505928853754</v>
      </c>
      <c r="M143" s="122">
        <f t="shared" si="34"/>
        <v>23561.52</v>
      </c>
      <c r="N143" s="116">
        <f t="shared" si="35"/>
        <v>18849.52</v>
      </c>
      <c r="O143" s="123">
        <f t="shared" si="36"/>
        <v>74.504031620553363</v>
      </c>
      <c r="P143" s="5"/>
      <c r="Q143" s="5">
        <f t="shared" si="28"/>
        <v>1</v>
      </c>
      <c r="R143" s="7">
        <f t="shared" si="29"/>
        <v>253</v>
      </c>
      <c r="S143" s="5">
        <f t="shared" si="30"/>
        <v>1</v>
      </c>
      <c r="T143" s="7">
        <f t="shared" si="31"/>
        <v>253</v>
      </c>
    </row>
    <row r="144" spans="1:20">
      <c r="A144" s="23" t="s">
        <v>170</v>
      </c>
      <c r="B144" s="35" t="s">
        <v>167</v>
      </c>
      <c r="C144" s="36">
        <v>1143</v>
      </c>
      <c r="D144" s="6"/>
      <c r="E144" s="113">
        <v>19575299</v>
      </c>
      <c r="F144" s="116">
        <f t="shared" si="32"/>
        <v>17126.245844269466</v>
      </c>
      <c r="G144" s="117">
        <v>10155056</v>
      </c>
      <c r="H144" s="117">
        <f t="shared" si="24"/>
        <v>8884.5634295713044</v>
      </c>
      <c r="I144" s="9"/>
      <c r="J144" s="10">
        <v>3</v>
      </c>
      <c r="K144" s="117">
        <v>30465</v>
      </c>
      <c r="L144" s="120">
        <f>(K144/C144)</f>
        <v>26.653543307086615</v>
      </c>
      <c r="M144" s="122">
        <f t="shared" si="34"/>
        <v>101550.56</v>
      </c>
      <c r="N144" s="116">
        <f t="shared" si="35"/>
        <v>71085.56</v>
      </c>
      <c r="O144" s="123">
        <f t="shared" si="36"/>
        <v>62.192090988626418</v>
      </c>
      <c r="P144" s="5"/>
      <c r="Q144" s="5">
        <f t="shared" si="28"/>
        <v>1</v>
      </c>
      <c r="R144" s="7">
        <f t="shared" si="29"/>
        <v>1143</v>
      </c>
      <c r="S144" s="5">
        <f t="shared" si="30"/>
        <v>1</v>
      </c>
      <c r="T144" s="7">
        <f t="shared" si="31"/>
        <v>1143</v>
      </c>
    </row>
    <row r="145" spans="1:20">
      <c r="A145" s="23" t="s">
        <v>171</v>
      </c>
      <c r="B145" s="35" t="s">
        <v>167</v>
      </c>
      <c r="C145" s="36">
        <v>2654</v>
      </c>
      <c r="D145" s="6"/>
      <c r="E145" s="113">
        <v>69199870</v>
      </c>
      <c r="F145" s="116">
        <f t="shared" si="32"/>
        <v>26073.801808590808</v>
      </c>
      <c r="G145" s="117">
        <v>39225489</v>
      </c>
      <c r="H145" s="117">
        <f t="shared" si="24"/>
        <v>14779.762245666918</v>
      </c>
      <c r="I145" s="7"/>
      <c r="J145" s="10">
        <v>3</v>
      </c>
      <c r="K145" s="117">
        <v>117676</v>
      </c>
      <c r="L145" s="120">
        <f>(K145/C145)</f>
        <v>44.339110776186885</v>
      </c>
      <c r="M145" s="122">
        <f t="shared" si="34"/>
        <v>392254.89</v>
      </c>
      <c r="N145" s="116">
        <f t="shared" si="35"/>
        <v>274578.89</v>
      </c>
      <c r="O145" s="123">
        <f t="shared" si="36"/>
        <v>103.4585116804823</v>
      </c>
      <c r="P145" s="5"/>
      <c r="Q145" s="5">
        <f t="shared" si="28"/>
        <v>1</v>
      </c>
      <c r="R145" s="7">
        <f t="shared" si="29"/>
        <v>2654</v>
      </c>
      <c r="S145" s="5">
        <f t="shared" si="30"/>
        <v>1</v>
      </c>
      <c r="T145" s="7">
        <f t="shared" si="31"/>
        <v>2654</v>
      </c>
    </row>
    <row r="146" spans="1:20">
      <c r="A146" s="23" t="s">
        <v>172</v>
      </c>
      <c r="B146" s="35" t="s">
        <v>167</v>
      </c>
      <c r="C146" s="36">
        <v>729</v>
      </c>
      <c r="D146" s="6"/>
      <c r="E146" s="113">
        <v>11596270</v>
      </c>
      <c r="F146" s="116">
        <f t="shared" si="32"/>
        <v>15907.091906721536</v>
      </c>
      <c r="G146" s="117">
        <v>4457705</v>
      </c>
      <c r="H146" s="117">
        <f t="shared" si="24"/>
        <v>6114.8216735253773</v>
      </c>
      <c r="I146" s="98" t="s">
        <v>528</v>
      </c>
      <c r="J146" s="12"/>
      <c r="K146" s="117"/>
      <c r="L146" s="120"/>
      <c r="M146" s="122">
        <f t="shared" si="34"/>
        <v>44577.05</v>
      </c>
      <c r="N146" s="116">
        <f t="shared" si="35"/>
        <v>44577.05</v>
      </c>
      <c r="O146" s="123">
        <f t="shared" si="36"/>
        <v>61.148216735253776</v>
      </c>
      <c r="P146" s="5"/>
      <c r="Q146" s="5">
        <f t="shared" si="28"/>
        <v>1</v>
      </c>
      <c r="R146" s="7">
        <f t="shared" si="29"/>
        <v>729</v>
      </c>
      <c r="S146" s="5">
        <f t="shared" si="30"/>
        <v>0</v>
      </c>
      <c r="T146" s="7">
        <f t="shared" si="31"/>
        <v>0</v>
      </c>
    </row>
    <row r="147" spans="1:20">
      <c r="A147" s="23" t="s">
        <v>173</v>
      </c>
      <c r="B147" s="35" t="s">
        <v>167</v>
      </c>
      <c r="C147" s="36">
        <v>635</v>
      </c>
      <c r="D147" s="6"/>
      <c r="E147" s="113">
        <v>15177702</v>
      </c>
      <c r="F147" s="116">
        <f t="shared" si="32"/>
        <v>23901.892913385826</v>
      </c>
      <c r="G147" s="117">
        <v>7473112</v>
      </c>
      <c r="H147" s="117">
        <f t="shared" si="24"/>
        <v>11768.680314960629</v>
      </c>
      <c r="I147" s="7"/>
      <c r="J147" s="10">
        <v>1</v>
      </c>
      <c r="K147" s="117">
        <v>7473</v>
      </c>
      <c r="L147" s="120">
        <f>(K147/C147)</f>
        <v>11.768503937007875</v>
      </c>
      <c r="M147" s="122">
        <f t="shared" si="34"/>
        <v>74731.12</v>
      </c>
      <c r="N147" s="116">
        <f t="shared" si="35"/>
        <v>67258.12</v>
      </c>
      <c r="O147" s="123">
        <f t="shared" si="36"/>
        <v>105.91829921259841</v>
      </c>
      <c r="P147" s="5"/>
      <c r="Q147" s="5">
        <f t="shared" si="28"/>
        <v>1</v>
      </c>
      <c r="R147" s="7">
        <f t="shared" si="29"/>
        <v>635</v>
      </c>
      <c r="S147" s="5">
        <f t="shared" si="30"/>
        <v>1</v>
      </c>
      <c r="T147" s="7">
        <f t="shared" si="31"/>
        <v>635</v>
      </c>
    </row>
    <row r="148" spans="1:20">
      <c r="A148" s="23" t="s">
        <v>174</v>
      </c>
      <c r="B148" s="35" t="s">
        <v>167</v>
      </c>
      <c r="C148" s="36">
        <v>339</v>
      </c>
      <c r="D148" s="6"/>
      <c r="E148" s="113">
        <v>4503866</v>
      </c>
      <c r="F148" s="116">
        <f t="shared" si="32"/>
        <v>13285.74041297935</v>
      </c>
      <c r="G148" s="117">
        <v>1984522</v>
      </c>
      <c r="H148" s="117">
        <f t="shared" si="24"/>
        <v>5854.0471976401177</v>
      </c>
      <c r="I148" s="9"/>
      <c r="J148" s="10">
        <v>4</v>
      </c>
      <c r="K148" s="117">
        <v>7938</v>
      </c>
      <c r="L148" s="120">
        <f>(K148/C148)</f>
        <v>23.415929203539822</v>
      </c>
      <c r="M148" s="122">
        <f t="shared" si="34"/>
        <v>19845.22</v>
      </c>
      <c r="N148" s="116">
        <f t="shared" si="35"/>
        <v>11907.220000000001</v>
      </c>
      <c r="O148" s="123">
        <f t="shared" si="36"/>
        <v>35.124542772861361</v>
      </c>
      <c r="P148" s="5"/>
      <c r="Q148" s="5">
        <f t="shared" si="28"/>
        <v>1</v>
      </c>
      <c r="R148" s="7">
        <f t="shared" si="29"/>
        <v>339</v>
      </c>
      <c r="S148" s="5">
        <f t="shared" si="30"/>
        <v>1</v>
      </c>
      <c r="T148" s="7">
        <f t="shared" si="31"/>
        <v>339</v>
      </c>
    </row>
    <row r="149" spans="1:20">
      <c r="A149" s="23" t="s">
        <v>175</v>
      </c>
      <c r="B149" s="35" t="s">
        <v>167</v>
      </c>
      <c r="C149" s="36">
        <v>2331</v>
      </c>
      <c r="D149" s="6"/>
      <c r="E149" s="113">
        <v>33428372</v>
      </c>
      <c r="F149" s="116">
        <f t="shared" si="32"/>
        <v>14340.785928785928</v>
      </c>
      <c r="G149" s="117">
        <v>7419570</v>
      </c>
      <c r="H149" s="117">
        <f t="shared" si="24"/>
        <v>3182.998712998713</v>
      </c>
      <c r="I149" s="98" t="s">
        <v>528</v>
      </c>
      <c r="J149" s="10"/>
      <c r="K149" s="117"/>
      <c r="L149" s="120"/>
      <c r="M149" s="122">
        <f t="shared" si="34"/>
        <v>74195.7</v>
      </c>
      <c r="N149" s="116">
        <f t="shared" si="35"/>
        <v>74195.7</v>
      </c>
      <c r="O149" s="123">
        <f t="shared" si="36"/>
        <v>31.829987129987128</v>
      </c>
      <c r="P149" s="5"/>
      <c r="Q149" s="5">
        <f t="shared" si="28"/>
        <v>1</v>
      </c>
      <c r="R149" s="7">
        <f t="shared" si="29"/>
        <v>2331</v>
      </c>
      <c r="S149" s="5">
        <f t="shared" si="30"/>
        <v>0</v>
      </c>
      <c r="T149" s="7">
        <f t="shared" si="31"/>
        <v>0</v>
      </c>
    </row>
    <row r="150" spans="1:20">
      <c r="A150" s="23" t="s">
        <v>176</v>
      </c>
      <c r="B150" s="35" t="s">
        <v>167</v>
      </c>
      <c r="C150" s="36">
        <v>6651</v>
      </c>
      <c r="D150" s="6"/>
      <c r="E150" s="113">
        <v>218653002</v>
      </c>
      <c r="F150" s="116">
        <f t="shared" si="32"/>
        <v>32875.20703653586</v>
      </c>
      <c r="G150" s="117">
        <v>124053287</v>
      </c>
      <c r="H150" s="117">
        <f t="shared" si="24"/>
        <v>18651.824838370168</v>
      </c>
      <c r="I150" s="7"/>
      <c r="J150" s="11">
        <v>2.11</v>
      </c>
      <c r="K150" s="117">
        <v>261752</v>
      </c>
      <c r="L150" s="120">
        <f t="shared" ref="L150:L193" si="37">(K150/C150)</f>
        <v>39.355284919560965</v>
      </c>
      <c r="M150" s="122">
        <f t="shared" si="34"/>
        <v>1240532.8700000001</v>
      </c>
      <c r="N150" s="116">
        <f t="shared" si="35"/>
        <v>978780.87000000011</v>
      </c>
      <c r="O150" s="123">
        <f t="shared" si="36"/>
        <v>147.16296346414074</v>
      </c>
      <c r="P150" s="5"/>
      <c r="Q150" s="5">
        <f t="shared" si="28"/>
        <v>1</v>
      </c>
      <c r="R150" s="7">
        <f t="shared" si="29"/>
        <v>6651</v>
      </c>
      <c r="S150" s="5">
        <f t="shared" si="30"/>
        <v>1</v>
      </c>
      <c r="T150" s="7">
        <f t="shared" si="31"/>
        <v>6651</v>
      </c>
    </row>
    <row r="151" spans="1:20">
      <c r="A151" s="23" t="s">
        <v>177</v>
      </c>
      <c r="B151" s="35" t="s">
        <v>167</v>
      </c>
      <c r="C151" s="36">
        <v>2235</v>
      </c>
      <c r="D151" s="6"/>
      <c r="E151" s="113">
        <v>38444788</v>
      </c>
      <c r="F151" s="116">
        <f t="shared" si="32"/>
        <v>17201.247427293063</v>
      </c>
      <c r="G151" s="117">
        <v>18699754</v>
      </c>
      <c r="H151" s="117">
        <f t="shared" si="24"/>
        <v>8366.7803131991059</v>
      </c>
      <c r="I151" s="9"/>
      <c r="J151" s="10">
        <v>0.69</v>
      </c>
      <c r="K151" s="117">
        <v>12902</v>
      </c>
      <c r="L151" s="120">
        <f t="shared" si="37"/>
        <v>5.7727069351230424</v>
      </c>
      <c r="M151" s="122">
        <f t="shared" si="34"/>
        <v>186997.54</v>
      </c>
      <c r="N151" s="116">
        <f t="shared" si="35"/>
        <v>174095.54</v>
      </c>
      <c r="O151" s="123">
        <f t="shared" si="36"/>
        <v>77.89509619686801</v>
      </c>
      <c r="P151" s="5"/>
      <c r="Q151" s="5">
        <f t="shared" si="28"/>
        <v>1</v>
      </c>
      <c r="R151" s="7">
        <f t="shared" si="29"/>
        <v>2235</v>
      </c>
      <c r="S151" s="5">
        <f t="shared" si="30"/>
        <v>1</v>
      </c>
      <c r="T151" s="7">
        <f t="shared" si="31"/>
        <v>2235</v>
      </c>
    </row>
    <row r="152" spans="1:20">
      <c r="A152" s="23" t="s">
        <v>178</v>
      </c>
      <c r="B152" s="35" t="s">
        <v>179</v>
      </c>
      <c r="C152" s="36">
        <v>2917</v>
      </c>
      <c r="D152" s="6"/>
      <c r="E152" s="113">
        <v>79666106</v>
      </c>
      <c r="F152" s="116">
        <f t="shared" si="32"/>
        <v>27310.972231744945</v>
      </c>
      <c r="G152" s="117">
        <v>47951426</v>
      </c>
      <c r="H152" s="117">
        <f t="shared" si="24"/>
        <v>16438.610215975317</v>
      </c>
      <c r="I152" s="7"/>
      <c r="J152" s="10">
        <v>9.2482000000000006</v>
      </c>
      <c r="K152" s="117">
        <v>443464</v>
      </c>
      <c r="L152" s="120">
        <f t="shared" si="37"/>
        <v>152.02742543709292</v>
      </c>
      <c r="M152" s="122">
        <f t="shared" si="34"/>
        <v>479514.26</v>
      </c>
      <c r="N152" s="116">
        <f t="shared" si="35"/>
        <v>36050.260000000009</v>
      </c>
      <c r="O152" s="123">
        <f t="shared" si="36"/>
        <v>12.35867672266027</v>
      </c>
      <c r="P152" s="5"/>
      <c r="Q152" s="5">
        <f t="shared" si="28"/>
        <v>1</v>
      </c>
      <c r="R152" s="7">
        <f t="shared" si="29"/>
        <v>2917</v>
      </c>
      <c r="S152" s="5">
        <f t="shared" si="30"/>
        <v>1</v>
      </c>
      <c r="T152" s="7">
        <f t="shared" si="31"/>
        <v>2917</v>
      </c>
    </row>
    <row r="153" spans="1:20">
      <c r="A153" s="23" t="s">
        <v>180</v>
      </c>
      <c r="B153" s="35" t="s">
        <v>181</v>
      </c>
      <c r="C153" s="36">
        <v>980</v>
      </c>
      <c r="D153" s="6"/>
      <c r="E153" s="113">
        <v>20844402</v>
      </c>
      <c r="F153" s="116">
        <f t="shared" si="32"/>
        <v>21269.797959183674</v>
      </c>
      <c r="G153" s="117">
        <v>10336927</v>
      </c>
      <c r="H153" s="117">
        <f t="shared" si="24"/>
        <v>10547.884693877551</v>
      </c>
      <c r="I153" s="7"/>
      <c r="J153" s="11">
        <v>2</v>
      </c>
      <c r="K153" s="117">
        <v>20673</v>
      </c>
      <c r="L153" s="120">
        <f t="shared" si="37"/>
        <v>21.094897959183672</v>
      </c>
      <c r="M153" s="122">
        <f t="shared" si="34"/>
        <v>103369.27</v>
      </c>
      <c r="N153" s="116">
        <f t="shared" si="35"/>
        <v>82696.27</v>
      </c>
      <c r="O153" s="123">
        <f t="shared" si="36"/>
        <v>84.383948979591835</v>
      </c>
      <c r="P153" s="5"/>
      <c r="Q153" s="5">
        <f t="shared" si="28"/>
        <v>1</v>
      </c>
      <c r="R153" s="7">
        <f t="shared" si="29"/>
        <v>980</v>
      </c>
      <c r="S153" s="5">
        <f t="shared" si="30"/>
        <v>1</v>
      </c>
      <c r="T153" s="7">
        <f t="shared" si="31"/>
        <v>980</v>
      </c>
    </row>
    <row r="154" spans="1:20">
      <c r="A154" s="23" t="s">
        <v>182</v>
      </c>
      <c r="B154" s="35" t="s">
        <v>183</v>
      </c>
      <c r="C154" s="36">
        <v>1283</v>
      </c>
      <c r="D154" s="6"/>
      <c r="E154" s="113">
        <v>26449390</v>
      </c>
      <c r="F154" s="116">
        <f t="shared" si="32"/>
        <v>20615.268901013249</v>
      </c>
      <c r="G154" s="117">
        <v>16392138</v>
      </c>
      <c r="H154" s="117">
        <f t="shared" si="24"/>
        <v>12776.41309431021</v>
      </c>
      <c r="I154" s="7"/>
      <c r="J154" s="10">
        <v>2</v>
      </c>
      <c r="K154" s="117">
        <v>32784</v>
      </c>
      <c r="L154" s="120">
        <f t="shared" si="37"/>
        <v>25.552611067809821</v>
      </c>
      <c r="M154" s="122">
        <f t="shared" si="34"/>
        <v>163921.38</v>
      </c>
      <c r="N154" s="116">
        <f t="shared" si="35"/>
        <v>131137.38</v>
      </c>
      <c r="O154" s="123">
        <f t="shared" si="36"/>
        <v>102.21151987529228</v>
      </c>
      <c r="P154" s="5"/>
      <c r="Q154" s="5">
        <f t="shared" si="28"/>
        <v>1</v>
      </c>
      <c r="R154" s="7">
        <f t="shared" si="29"/>
        <v>1283</v>
      </c>
      <c r="S154" s="5">
        <f t="shared" si="30"/>
        <v>1</v>
      </c>
      <c r="T154" s="7">
        <f t="shared" si="31"/>
        <v>1283</v>
      </c>
    </row>
    <row r="155" spans="1:20">
      <c r="A155" s="23" t="s">
        <v>184</v>
      </c>
      <c r="B155" s="35" t="s">
        <v>183</v>
      </c>
      <c r="C155" s="36">
        <v>8202</v>
      </c>
      <c r="D155" s="6"/>
      <c r="E155" s="113">
        <v>373902384</v>
      </c>
      <c r="F155" s="116">
        <f t="shared" si="32"/>
        <v>45586.732991953184</v>
      </c>
      <c r="G155" s="117">
        <v>291644380</v>
      </c>
      <c r="H155" s="117">
        <f t="shared" si="24"/>
        <v>35557.715191416726</v>
      </c>
      <c r="I155" s="7"/>
      <c r="J155" s="10">
        <v>2.9790000000000001</v>
      </c>
      <c r="K155" s="117">
        <v>868808</v>
      </c>
      <c r="L155" s="120">
        <f t="shared" si="37"/>
        <v>105.9263594245306</v>
      </c>
      <c r="M155" s="122">
        <f t="shared" si="34"/>
        <v>2916443.8000000003</v>
      </c>
      <c r="N155" s="116">
        <f t="shared" si="35"/>
        <v>2047635.8000000003</v>
      </c>
      <c r="O155" s="123">
        <f t="shared" si="36"/>
        <v>249.6507924896367</v>
      </c>
      <c r="P155" s="5"/>
      <c r="Q155" s="5">
        <f t="shared" si="28"/>
        <v>1</v>
      </c>
      <c r="R155" s="7">
        <f t="shared" si="29"/>
        <v>8202</v>
      </c>
      <c r="S155" s="5">
        <f t="shared" si="30"/>
        <v>1</v>
      </c>
      <c r="T155" s="7">
        <f t="shared" si="31"/>
        <v>8202</v>
      </c>
    </row>
    <row r="156" spans="1:20">
      <c r="A156" s="23" t="s">
        <v>185</v>
      </c>
      <c r="B156" s="35" t="s">
        <v>183</v>
      </c>
      <c r="C156" s="36">
        <v>14889</v>
      </c>
      <c r="D156" s="6"/>
      <c r="E156" s="113">
        <v>563917287</v>
      </c>
      <c r="F156" s="116">
        <f t="shared" si="32"/>
        <v>37874.759016723758</v>
      </c>
      <c r="G156" s="117">
        <v>386941169</v>
      </c>
      <c r="H156" s="117">
        <f t="shared" si="24"/>
        <v>25988.392034387802</v>
      </c>
      <c r="I156" s="7"/>
      <c r="J156" s="10">
        <v>5.35</v>
      </c>
      <c r="K156" s="117">
        <v>2070135</v>
      </c>
      <c r="L156" s="120">
        <f t="shared" si="37"/>
        <v>139.037880314326</v>
      </c>
      <c r="M156" s="122">
        <f t="shared" si="34"/>
        <v>3869411.69</v>
      </c>
      <c r="N156" s="116">
        <f t="shared" si="35"/>
        <v>1799276.69</v>
      </c>
      <c r="O156" s="123">
        <f t="shared" si="36"/>
        <v>120.84604002955201</v>
      </c>
      <c r="P156" s="5"/>
      <c r="Q156" s="5">
        <f t="shared" si="28"/>
        <v>1</v>
      </c>
      <c r="R156" s="7">
        <f t="shared" si="29"/>
        <v>14889</v>
      </c>
      <c r="S156" s="5">
        <f t="shared" si="30"/>
        <v>1</v>
      </c>
      <c r="T156" s="7">
        <f t="shared" si="31"/>
        <v>14889</v>
      </c>
    </row>
    <row r="157" spans="1:20">
      <c r="A157" s="23" t="s">
        <v>186</v>
      </c>
      <c r="B157" s="35" t="s">
        <v>183</v>
      </c>
      <c r="C157" s="36">
        <v>3018</v>
      </c>
      <c r="D157" s="6"/>
      <c r="E157" s="113">
        <v>92482042</v>
      </c>
      <c r="F157" s="116">
        <f t="shared" si="32"/>
        <v>30643.486414844268</v>
      </c>
      <c r="G157" s="117">
        <v>61726949</v>
      </c>
      <c r="H157" s="117">
        <f t="shared" ref="H157:H220" si="38">(G157/C157)</f>
        <v>20452.932074221339</v>
      </c>
      <c r="I157" s="7"/>
      <c r="J157" s="10">
        <v>3.39</v>
      </c>
      <c r="K157" s="117">
        <v>209254</v>
      </c>
      <c r="L157" s="120">
        <f t="shared" si="37"/>
        <v>69.335321404903908</v>
      </c>
      <c r="M157" s="122">
        <f t="shared" si="34"/>
        <v>617269.49</v>
      </c>
      <c r="N157" s="116">
        <f t="shared" si="35"/>
        <v>408015.49</v>
      </c>
      <c r="O157" s="123">
        <f t="shared" si="36"/>
        <v>135.19399933730946</v>
      </c>
      <c r="P157" s="5"/>
      <c r="Q157" s="5">
        <f t="shared" si="28"/>
        <v>1</v>
      </c>
      <c r="R157" s="7">
        <f t="shared" si="29"/>
        <v>3018</v>
      </c>
      <c r="S157" s="5">
        <f t="shared" si="30"/>
        <v>1</v>
      </c>
      <c r="T157" s="7">
        <f t="shared" si="31"/>
        <v>3018</v>
      </c>
    </row>
    <row r="158" spans="1:20">
      <c r="A158" s="23" t="s">
        <v>187</v>
      </c>
      <c r="B158" s="35" t="s">
        <v>183</v>
      </c>
      <c r="C158" s="36">
        <v>2553</v>
      </c>
      <c r="D158" s="6"/>
      <c r="E158" s="113">
        <v>69761995</v>
      </c>
      <c r="F158" s="116">
        <f t="shared" si="32"/>
        <v>27325.497453975713</v>
      </c>
      <c r="G158" s="117">
        <v>50274108</v>
      </c>
      <c r="H158" s="117">
        <f t="shared" si="38"/>
        <v>19692.169212690951</v>
      </c>
      <c r="I158" s="7"/>
      <c r="J158" s="10">
        <v>6</v>
      </c>
      <c r="K158" s="117">
        <v>301644</v>
      </c>
      <c r="L158" s="120">
        <f t="shared" si="37"/>
        <v>118.15276145710928</v>
      </c>
      <c r="M158" s="122">
        <f t="shared" si="34"/>
        <v>502741.08</v>
      </c>
      <c r="N158" s="116">
        <f t="shared" si="35"/>
        <v>201097.08000000002</v>
      </c>
      <c r="O158" s="123">
        <f t="shared" si="36"/>
        <v>78.768930669800241</v>
      </c>
      <c r="P158" s="5"/>
      <c r="Q158" s="5">
        <f t="shared" si="28"/>
        <v>1</v>
      </c>
      <c r="R158" s="7">
        <f t="shared" si="29"/>
        <v>2553</v>
      </c>
      <c r="S158" s="5">
        <f t="shared" si="30"/>
        <v>1</v>
      </c>
      <c r="T158" s="7">
        <f t="shared" si="31"/>
        <v>2553</v>
      </c>
    </row>
    <row r="159" spans="1:20">
      <c r="A159" s="23" t="s">
        <v>188</v>
      </c>
      <c r="B159" s="35" t="s">
        <v>183</v>
      </c>
      <c r="C159" s="36">
        <v>825</v>
      </c>
      <c r="D159" s="6"/>
      <c r="E159" s="113">
        <v>52112462</v>
      </c>
      <c r="F159" s="116">
        <f t="shared" si="32"/>
        <v>63166.620606060605</v>
      </c>
      <c r="G159" s="117">
        <v>39845750</v>
      </c>
      <c r="H159" s="117">
        <f t="shared" si="38"/>
        <v>48297.878787878784</v>
      </c>
      <c r="I159" s="7"/>
      <c r="J159" s="10">
        <v>5.4450000000000003</v>
      </c>
      <c r="K159" s="117">
        <v>216960</v>
      </c>
      <c r="L159" s="120">
        <f t="shared" si="37"/>
        <v>262.9818181818182</v>
      </c>
      <c r="M159" s="122">
        <f t="shared" si="34"/>
        <v>398457.5</v>
      </c>
      <c r="N159" s="116">
        <f t="shared" si="35"/>
        <v>181497.5</v>
      </c>
      <c r="O159" s="123">
        <f t="shared" si="36"/>
        <v>219.9969696969697</v>
      </c>
      <c r="P159" s="5"/>
      <c r="Q159" s="5">
        <f t="shared" si="28"/>
        <v>1</v>
      </c>
      <c r="R159" s="7">
        <f t="shared" si="29"/>
        <v>825</v>
      </c>
      <c r="S159" s="5">
        <f t="shared" si="30"/>
        <v>1</v>
      </c>
      <c r="T159" s="7">
        <f t="shared" si="31"/>
        <v>825</v>
      </c>
    </row>
    <row r="160" spans="1:20">
      <c r="A160" s="23" t="s">
        <v>189</v>
      </c>
      <c r="B160" s="35" t="s">
        <v>183</v>
      </c>
      <c r="C160" s="36">
        <v>12621</v>
      </c>
      <c r="D160" s="6"/>
      <c r="E160" s="113">
        <v>535606563</v>
      </c>
      <c r="F160" s="116">
        <f t="shared" si="32"/>
        <v>42437.727834561447</v>
      </c>
      <c r="G160" s="117">
        <v>359168294</v>
      </c>
      <c r="H160" s="117">
        <f t="shared" si="38"/>
        <v>28457.990175104984</v>
      </c>
      <c r="I160" s="7"/>
      <c r="J160" s="10">
        <v>2.72</v>
      </c>
      <c r="K160" s="117">
        <v>976937</v>
      </c>
      <c r="L160" s="120">
        <f t="shared" si="37"/>
        <v>77.405673084541633</v>
      </c>
      <c r="M160" s="122">
        <f t="shared" si="34"/>
        <v>3591682.94</v>
      </c>
      <c r="N160" s="116">
        <f t="shared" si="35"/>
        <v>2614745.94</v>
      </c>
      <c r="O160" s="123">
        <f t="shared" si="36"/>
        <v>207.17422866650818</v>
      </c>
      <c r="P160" s="5"/>
      <c r="Q160" s="5">
        <f t="shared" si="28"/>
        <v>1</v>
      </c>
      <c r="R160" s="7">
        <f t="shared" si="29"/>
        <v>12621</v>
      </c>
      <c r="S160" s="5">
        <f t="shared" si="30"/>
        <v>1</v>
      </c>
      <c r="T160" s="7">
        <f t="shared" si="31"/>
        <v>12621</v>
      </c>
    </row>
    <row r="161" spans="1:20">
      <c r="A161" s="23" t="s">
        <v>190</v>
      </c>
      <c r="B161" s="35" t="s">
        <v>183</v>
      </c>
      <c r="C161" s="36">
        <v>15658</v>
      </c>
      <c r="D161" s="6"/>
      <c r="E161" s="113">
        <v>824703152</v>
      </c>
      <c r="F161" s="116">
        <f t="shared" si="32"/>
        <v>52669.763188146637</v>
      </c>
      <c r="G161" s="117">
        <v>590524654</v>
      </c>
      <c r="H161" s="117">
        <f t="shared" si="38"/>
        <v>37713.926044194661</v>
      </c>
      <c r="I161" s="7"/>
      <c r="J161" s="10">
        <v>4.5</v>
      </c>
      <c r="K161" s="117">
        <v>2657360</v>
      </c>
      <c r="L161" s="120">
        <f t="shared" si="37"/>
        <v>169.71260697407075</v>
      </c>
      <c r="M161" s="122">
        <f t="shared" si="34"/>
        <v>5905246.54</v>
      </c>
      <c r="N161" s="116">
        <f t="shared" si="35"/>
        <v>3247886.54</v>
      </c>
      <c r="O161" s="123">
        <f t="shared" si="36"/>
        <v>207.42665346787584</v>
      </c>
      <c r="P161" s="5"/>
      <c r="Q161" s="5">
        <f t="shared" si="28"/>
        <v>1</v>
      </c>
      <c r="R161" s="7">
        <f t="shared" si="29"/>
        <v>15658</v>
      </c>
      <c r="S161" s="5">
        <f t="shared" si="30"/>
        <v>1</v>
      </c>
      <c r="T161" s="7">
        <f t="shared" si="31"/>
        <v>15658</v>
      </c>
    </row>
    <row r="162" spans="1:20">
      <c r="A162" s="23" t="s">
        <v>191</v>
      </c>
      <c r="B162" s="35" t="s">
        <v>183</v>
      </c>
      <c r="C162" s="36">
        <v>2492</v>
      </c>
      <c r="D162" s="6"/>
      <c r="E162" s="113">
        <v>45948358</v>
      </c>
      <c r="F162" s="116">
        <f t="shared" si="32"/>
        <v>18438.345906902086</v>
      </c>
      <c r="G162" s="117">
        <v>30145126</v>
      </c>
      <c r="H162" s="117">
        <f t="shared" si="38"/>
        <v>12096.760032102729</v>
      </c>
      <c r="I162" s="7"/>
      <c r="J162" s="10">
        <v>5.3520000000000003</v>
      </c>
      <c r="K162" s="117">
        <v>161336</v>
      </c>
      <c r="L162" s="120">
        <f t="shared" si="37"/>
        <v>64.741573033707866</v>
      </c>
      <c r="M162" s="122">
        <f t="shared" si="34"/>
        <v>301451.26</v>
      </c>
      <c r="N162" s="116">
        <f t="shared" si="35"/>
        <v>140115.26</v>
      </c>
      <c r="O162" s="123">
        <f t="shared" si="36"/>
        <v>56.226027287319425</v>
      </c>
      <c r="P162" s="5"/>
      <c r="Q162" s="5">
        <f t="shared" si="28"/>
        <v>1</v>
      </c>
      <c r="R162" s="7">
        <f t="shared" si="29"/>
        <v>2492</v>
      </c>
      <c r="S162" s="5">
        <f t="shared" si="30"/>
        <v>1</v>
      </c>
      <c r="T162" s="7">
        <f t="shared" si="31"/>
        <v>2492</v>
      </c>
    </row>
    <row r="163" spans="1:20">
      <c r="A163" s="23" t="s">
        <v>192</v>
      </c>
      <c r="B163" s="35" t="s">
        <v>183</v>
      </c>
      <c r="C163" s="36">
        <v>3597</v>
      </c>
      <c r="D163" s="6"/>
      <c r="E163" s="113">
        <v>121907811</v>
      </c>
      <c r="F163" s="116">
        <f t="shared" si="32"/>
        <v>33891.523769808176</v>
      </c>
      <c r="G163" s="117">
        <v>92181926</v>
      </c>
      <c r="H163" s="117">
        <f t="shared" si="38"/>
        <v>25627.44676118988</v>
      </c>
      <c r="I163" s="7"/>
      <c r="J163" s="10">
        <v>3.39</v>
      </c>
      <c r="K163" s="117">
        <v>312496</v>
      </c>
      <c r="L163" s="120">
        <f t="shared" si="37"/>
        <v>86.876841812621635</v>
      </c>
      <c r="M163" s="122">
        <f t="shared" si="34"/>
        <v>921819.26</v>
      </c>
      <c r="N163" s="116">
        <f t="shared" si="35"/>
        <v>609323.26</v>
      </c>
      <c r="O163" s="123">
        <f t="shared" si="36"/>
        <v>169.39762579927717</v>
      </c>
      <c r="P163" s="5"/>
      <c r="Q163" s="5">
        <f t="shared" si="28"/>
        <v>1</v>
      </c>
      <c r="R163" s="7">
        <f t="shared" si="29"/>
        <v>3597</v>
      </c>
      <c r="S163" s="5">
        <f t="shared" si="30"/>
        <v>1</v>
      </c>
      <c r="T163" s="7">
        <f t="shared" si="31"/>
        <v>3597</v>
      </c>
    </row>
    <row r="164" spans="1:20">
      <c r="A164" s="23" t="s">
        <v>193</v>
      </c>
      <c r="B164" s="35" t="s">
        <v>183</v>
      </c>
      <c r="C164" s="36">
        <v>1167</v>
      </c>
      <c r="D164" s="6"/>
      <c r="E164" s="113">
        <v>34339797</v>
      </c>
      <c r="F164" s="116">
        <f t="shared" si="32"/>
        <v>29425.704370179948</v>
      </c>
      <c r="G164" s="117">
        <v>22789996</v>
      </c>
      <c r="H164" s="117">
        <f t="shared" si="38"/>
        <v>19528.702656383892</v>
      </c>
      <c r="I164" s="7"/>
      <c r="J164" s="10">
        <v>2.99</v>
      </c>
      <c r="K164" s="117">
        <v>68142</v>
      </c>
      <c r="L164" s="120">
        <f t="shared" si="37"/>
        <v>58.390745501285345</v>
      </c>
      <c r="M164" s="122">
        <f t="shared" si="34"/>
        <v>227899.96</v>
      </c>
      <c r="N164" s="116">
        <f t="shared" si="35"/>
        <v>159757.96</v>
      </c>
      <c r="O164" s="123">
        <f t="shared" si="36"/>
        <v>136.89628106255356</v>
      </c>
      <c r="P164" s="5"/>
      <c r="Q164" s="5">
        <f t="shared" si="28"/>
        <v>1</v>
      </c>
      <c r="R164" s="7">
        <f t="shared" si="29"/>
        <v>1167</v>
      </c>
      <c r="S164" s="5">
        <f t="shared" si="30"/>
        <v>1</v>
      </c>
      <c r="T164" s="7">
        <f t="shared" si="31"/>
        <v>1167</v>
      </c>
    </row>
    <row r="165" spans="1:20">
      <c r="A165" s="23" t="s">
        <v>194</v>
      </c>
      <c r="B165" s="35" t="s">
        <v>183</v>
      </c>
      <c r="C165" s="36">
        <v>8912</v>
      </c>
      <c r="D165" s="6"/>
      <c r="E165" s="113">
        <v>486524091</v>
      </c>
      <c r="F165" s="116">
        <f t="shared" si="32"/>
        <v>54592.020982944341</v>
      </c>
      <c r="G165" s="117">
        <v>377565439</v>
      </c>
      <c r="H165" s="117">
        <f t="shared" si="38"/>
        <v>42365.960390484739</v>
      </c>
      <c r="I165" s="7"/>
      <c r="J165" s="10">
        <v>6.181</v>
      </c>
      <c r="K165" s="117">
        <v>2333731</v>
      </c>
      <c r="L165" s="120">
        <f t="shared" si="37"/>
        <v>261.86389138240577</v>
      </c>
      <c r="M165" s="122">
        <f t="shared" si="34"/>
        <v>3775654.39</v>
      </c>
      <c r="N165" s="116">
        <f t="shared" si="35"/>
        <v>1441923.3900000001</v>
      </c>
      <c r="O165" s="123">
        <f t="shared" si="36"/>
        <v>161.79571252244168</v>
      </c>
      <c r="P165" s="5"/>
      <c r="Q165" s="5">
        <f t="shared" si="28"/>
        <v>1</v>
      </c>
      <c r="R165" s="7">
        <f t="shared" si="29"/>
        <v>8912</v>
      </c>
      <c r="S165" s="5">
        <f t="shared" si="30"/>
        <v>1</v>
      </c>
      <c r="T165" s="7">
        <f t="shared" si="31"/>
        <v>8912</v>
      </c>
    </row>
    <row r="166" spans="1:20">
      <c r="A166" s="23" t="s">
        <v>195</v>
      </c>
      <c r="B166" s="35" t="s">
        <v>183</v>
      </c>
      <c r="C166" s="36">
        <v>8438</v>
      </c>
      <c r="D166" s="6"/>
      <c r="E166" s="113">
        <v>451136118</v>
      </c>
      <c r="F166" s="116">
        <f t="shared" si="32"/>
        <v>53464.816070158806</v>
      </c>
      <c r="G166" s="117">
        <v>255604103</v>
      </c>
      <c r="H166" s="117">
        <f t="shared" si="38"/>
        <v>30292.024531879593</v>
      </c>
      <c r="I166" s="7"/>
      <c r="J166" s="10">
        <v>4.42</v>
      </c>
      <c r="K166" s="117">
        <v>1129770</v>
      </c>
      <c r="L166" s="120">
        <f t="shared" si="37"/>
        <v>133.8907324010429</v>
      </c>
      <c r="M166" s="122">
        <f t="shared" si="34"/>
        <v>2556041.0300000003</v>
      </c>
      <c r="N166" s="116">
        <f t="shared" si="35"/>
        <v>1426271.0300000003</v>
      </c>
      <c r="O166" s="123">
        <f t="shared" si="36"/>
        <v>169.02951291775307</v>
      </c>
      <c r="P166" s="5"/>
      <c r="Q166" s="5">
        <f t="shared" si="28"/>
        <v>1</v>
      </c>
      <c r="R166" s="7">
        <f t="shared" si="29"/>
        <v>8438</v>
      </c>
      <c r="S166" s="5">
        <f t="shared" si="30"/>
        <v>1</v>
      </c>
      <c r="T166" s="7">
        <f t="shared" si="31"/>
        <v>8438</v>
      </c>
    </row>
    <row r="167" spans="1:20">
      <c r="A167" s="23" t="s">
        <v>196</v>
      </c>
      <c r="B167" s="35" t="s">
        <v>183</v>
      </c>
      <c r="C167" s="36">
        <v>2489</v>
      </c>
      <c r="D167" s="6"/>
      <c r="E167" s="113">
        <v>78939230</v>
      </c>
      <c r="F167" s="116">
        <f t="shared" si="32"/>
        <v>31715.239051828044</v>
      </c>
      <c r="G167" s="117">
        <v>56509461</v>
      </c>
      <c r="H167" s="117">
        <f t="shared" si="38"/>
        <v>22703.680594616311</v>
      </c>
      <c r="I167" s="7"/>
      <c r="J167" s="10">
        <v>5.5140000000000002</v>
      </c>
      <c r="K167" s="117">
        <v>311593</v>
      </c>
      <c r="L167" s="120">
        <f t="shared" si="37"/>
        <v>125.18802732020892</v>
      </c>
      <c r="M167" s="122">
        <f t="shared" si="34"/>
        <v>565094.61</v>
      </c>
      <c r="N167" s="116">
        <f t="shared" si="35"/>
        <v>253501.61</v>
      </c>
      <c r="O167" s="123">
        <f t="shared" si="36"/>
        <v>101.8487786259542</v>
      </c>
      <c r="P167" s="5"/>
      <c r="Q167" s="5">
        <f t="shared" si="28"/>
        <v>1</v>
      </c>
      <c r="R167" s="7">
        <f t="shared" si="29"/>
        <v>2489</v>
      </c>
      <c r="S167" s="5">
        <f t="shared" si="30"/>
        <v>1</v>
      </c>
      <c r="T167" s="7">
        <f t="shared" si="31"/>
        <v>2489</v>
      </c>
    </row>
    <row r="168" spans="1:20">
      <c r="A168" s="23" t="s">
        <v>197</v>
      </c>
      <c r="B168" s="35" t="s">
        <v>198</v>
      </c>
      <c r="C168" s="36">
        <v>93786</v>
      </c>
      <c r="D168" s="6"/>
      <c r="E168" s="113">
        <v>4750855900</v>
      </c>
      <c r="F168" s="116">
        <f t="shared" si="32"/>
        <v>50656.344230482158</v>
      </c>
      <c r="G168" s="117">
        <v>3742215220</v>
      </c>
      <c r="H168" s="117">
        <f t="shared" si="38"/>
        <v>39901.640116861789</v>
      </c>
      <c r="I168" s="7"/>
      <c r="J168" s="10">
        <v>6.8929</v>
      </c>
      <c r="K168" s="117">
        <v>25794715</v>
      </c>
      <c r="L168" s="120">
        <f t="shared" si="37"/>
        <v>275.03801207003175</v>
      </c>
      <c r="M168" s="122">
        <f t="shared" si="34"/>
        <v>37422152.200000003</v>
      </c>
      <c r="N168" s="116">
        <f t="shared" si="35"/>
        <v>11627437.200000003</v>
      </c>
      <c r="O168" s="123">
        <f t="shared" si="36"/>
        <v>123.97838909858618</v>
      </c>
      <c r="P168" s="5"/>
      <c r="Q168" s="5">
        <f t="shared" si="28"/>
        <v>1</v>
      </c>
      <c r="R168" s="7">
        <f t="shared" si="29"/>
        <v>93786</v>
      </c>
      <c r="S168" s="5">
        <f t="shared" si="30"/>
        <v>1</v>
      </c>
      <c r="T168" s="7">
        <f t="shared" si="31"/>
        <v>93786</v>
      </c>
    </row>
    <row r="169" spans="1:20">
      <c r="A169" s="23" t="s">
        <v>199</v>
      </c>
      <c r="B169" s="35" t="s">
        <v>198</v>
      </c>
      <c r="C169" s="36">
        <v>46506</v>
      </c>
      <c r="D169" s="6"/>
      <c r="E169" s="113">
        <v>2544606250</v>
      </c>
      <c r="F169" s="116">
        <f t="shared" si="32"/>
        <v>54715.654969251278</v>
      </c>
      <c r="G169" s="117">
        <v>1824992920</v>
      </c>
      <c r="H169" s="117">
        <f t="shared" si="38"/>
        <v>39242.096073624911</v>
      </c>
      <c r="I169" s="7"/>
      <c r="J169" s="10">
        <v>5.7816000000000001</v>
      </c>
      <c r="K169" s="117">
        <v>10551379</v>
      </c>
      <c r="L169" s="120">
        <f t="shared" si="37"/>
        <v>226.88210123424935</v>
      </c>
      <c r="M169" s="122">
        <f t="shared" si="34"/>
        <v>18249929.199999999</v>
      </c>
      <c r="N169" s="116">
        <f t="shared" si="35"/>
        <v>7698550.1999999993</v>
      </c>
      <c r="O169" s="123">
        <f t="shared" si="36"/>
        <v>165.53885950199972</v>
      </c>
      <c r="P169" s="5"/>
      <c r="Q169" s="5">
        <f t="shared" si="28"/>
        <v>1</v>
      </c>
      <c r="R169" s="7">
        <f t="shared" si="29"/>
        <v>46506</v>
      </c>
      <c r="S169" s="5">
        <f t="shared" si="30"/>
        <v>1</v>
      </c>
      <c r="T169" s="7">
        <f t="shared" si="31"/>
        <v>46506</v>
      </c>
    </row>
    <row r="170" spans="1:20">
      <c r="A170" s="23" t="s">
        <v>200</v>
      </c>
      <c r="B170" s="35" t="s">
        <v>198</v>
      </c>
      <c r="C170" s="36">
        <v>6010</v>
      </c>
      <c r="D170" s="6"/>
      <c r="E170" s="113">
        <v>1282276440</v>
      </c>
      <c r="F170" s="116">
        <f t="shared" si="32"/>
        <v>213357.14475873543</v>
      </c>
      <c r="G170" s="117">
        <v>1192180910</v>
      </c>
      <c r="H170" s="117">
        <f t="shared" si="38"/>
        <v>198366.20798668885</v>
      </c>
      <c r="I170" s="7"/>
      <c r="J170" s="10">
        <v>1.0961000000000001</v>
      </c>
      <c r="K170" s="117">
        <v>1306749</v>
      </c>
      <c r="L170" s="120">
        <f t="shared" si="37"/>
        <v>217.42911813643926</v>
      </c>
      <c r="M170" s="122">
        <f t="shared" si="34"/>
        <v>11921809.1</v>
      </c>
      <c r="N170" s="116">
        <f t="shared" si="35"/>
        <v>10615060.1</v>
      </c>
      <c r="O170" s="123">
        <f t="shared" si="36"/>
        <v>1766.2329617304492</v>
      </c>
      <c r="P170" s="5"/>
      <c r="Q170" s="5">
        <f t="shared" si="28"/>
        <v>1</v>
      </c>
      <c r="R170" s="7">
        <f t="shared" si="29"/>
        <v>6010</v>
      </c>
      <c r="S170" s="5">
        <f t="shared" si="30"/>
        <v>1</v>
      </c>
      <c r="T170" s="7">
        <f t="shared" si="31"/>
        <v>6010</v>
      </c>
    </row>
    <row r="171" spans="1:20">
      <c r="A171" s="23" t="s">
        <v>201</v>
      </c>
      <c r="B171" s="35" t="s">
        <v>198</v>
      </c>
      <c r="C171" s="36">
        <v>5975</v>
      </c>
      <c r="D171" s="6"/>
      <c r="E171" s="113">
        <v>2401562460</v>
      </c>
      <c r="F171" s="116">
        <f t="shared" si="32"/>
        <v>401935.13974895398</v>
      </c>
      <c r="G171" s="117">
        <v>2266696270</v>
      </c>
      <c r="H171" s="117">
        <f t="shared" si="38"/>
        <v>379363.39246861922</v>
      </c>
      <c r="I171" s="7"/>
      <c r="J171" s="10">
        <v>2.0125999999999999</v>
      </c>
      <c r="K171" s="117">
        <v>4561952</v>
      </c>
      <c r="L171" s="120">
        <f t="shared" si="37"/>
        <v>763.50661087866104</v>
      </c>
      <c r="M171" s="122">
        <f t="shared" si="34"/>
        <v>22666962.699999999</v>
      </c>
      <c r="N171" s="116">
        <f t="shared" si="35"/>
        <v>18105010.699999999</v>
      </c>
      <c r="O171" s="123">
        <f t="shared" si="36"/>
        <v>3030.1273138075312</v>
      </c>
      <c r="P171" s="5"/>
      <c r="Q171" s="5">
        <f t="shared" si="28"/>
        <v>1</v>
      </c>
      <c r="R171" s="7">
        <f t="shared" si="29"/>
        <v>5975</v>
      </c>
      <c r="S171" s="5">
        <f t="shared" si="30"/>
        <v>1</v>
      </c>
      <c r="T171" s="7">
        <f t="shared" si="31"/>
        <v>5975</v>
      </c>
    </row>
    <row r="172" spans="1:20">
      <c r="A172" s="23" t="s">
        <v>202</v>
      </c>
      <c r="B172" s="35" t="s">
        <v>203</v>
      </c>
      <c r="C172" s="36">
        <v>143237</v>
      </c>
      <c r="D172" s="6"/>
      <c r="E172" s="113">
        <v>9900598317</v>
      </c>
      <c r="F172" s="116">
        <f t="shared" si="32"/>
        <v>69120.397083155884</v>
      </c>
      <c r="G172" s="117">
        <v>4884574167</v>
      </c>
      <c r="H172" s="117">
        <f t="shared" si="38"/>
        <v>34101.343696112039</v>
      </c>
      <c r="I172" s="7"/>
      <c r="J172" s="10">
        <v>3.2</v>
      </c>
      <c r="K172" s="117">
        <v>15630637</v>
      </c>
      <c r="L172" s="120">
        <f t="shared" si="37"/>
        <v>109.12429749296621</v>
      </c>
      <c r="M172" s="122">
        <f t="shared" si="34"/>
        <v>48845741.670000002</v>
      </c>
      <c r="N172" s="116">
        <f t="shared" si="35"/>
        <v>33215104.670000002</v>
      </c>
      <c r="O172" s="123">
        <f t="shared" si="36"/>
        <v>231.88913946815418</v>
      </c>
      <c r="P172" s="5"/>
      <c r="Q172" s="5">
        <f t="shared" si="28"/>
        <v>1</v>
      </c>
      <c r="R172" s="7">
        <f t="shared" si="29"/>
        <v>143237</v>
      </c>
      <c r="S172" s="5">
        <f t="shared" si="30"/>
        <v>1</v>
      </c>
      <c r="T172" s="7">
        <f t="shared" si="31"/>
        <v>143237</v>
      </c>
    </row>
    <row r="173" spans="1:20">
      <c r="A173" s="23" t="s">
        <v>204</v>
      </c>
      <c r="B173" s="35" t="s">
        <v>205</v>
      </c>
      <c r="C173" s="36">
        <v>887</v>
      </c>
      <c r="D173" s="6"/>
      <c r="E173" s="113">
        <v>25074940</v>
      </c>
      <c r="F173" s="116">
        <f t="shared" si="32"/>
        <v>28269.379932356256</v>
      </c>
      <c r="G173" s="117">
        <v>14495582</v>
      </c>
      <c r="H173" s="117">
        <f t="shared" si="38"/>
        <v>16342.257046223225</v>
      </c>
      <c r="I173" s="7"/>
      <c r="J173" s="10">
        <v>3.3439999999999999</v>
      </c>
      <c r="K173" s="117">
        <v>48473</v>
      </c>
      <c r="L173" s="120">
        <f t="shared" si="37"/>
        <v>54.648252536640364</v>
      </c>
      <c r="M173" s="122">
        <f t="shared" si="34"/>
        <v>144955.82</v>
      </c>
      <c r="N173" s="116">
        <f t="shared" si="35"/>
        <v>96482.82</v>
      </c>
      <c r="O173" s="123">
        <f t="shared" si="36"/>
        <v>108.77431792559189</v>
      </c>
      <c r="P173" s="5"/>
      <c r="Q173" s="5">
        <f t="shared" si="28"/>
        <v>1</v>
      </c>
      <c r="R173" s="7">
        <f t="shared" si="29"/>
        <v>887</v>
      </c>
      <c r="S173" s="5">
        <f t="shared" si="30"/>
        <v>1</v>
      </c>
      <c r="T173" s="7">
        <f t="shared" si="31"/>
        <v>887</v>
      </c>
    </row>
    <row r="174" spans="1:20">
      <c r="A174" s="23" t="s">
        <v>206</v>
      </c>
      <c r="B174" s="35" t="s">
        <v>205</v>
      </c>
      <c r="C174" s="36">
        <v>755</v>
      </c>
      <c r="D174" s="6"/>
      <c r="E174" s="113">
        <v>70714242</v>
      </c>
      <c r="F174" s="116">
        <f t="shared" si="32"/>
        <v>93661.24768211921</v>
      </c>
      <c r="G174" s="117">
        <v>60340338</v>
      </c>
      <c r="H174" s="117">
        <f t="shared" si="38"/>
        <v>79920.977483443712</v>
      </c>
      <c r="I174" s="7"/>
      <c r="J174" s="10">
        <v>2.4</v>
      </c>
      <c r="K174" s="117">
        <v>144816</v>
      </c>
      <c r="L174" s="120">
        <f t="shared" si="37"/>
        <v>191.80927152317881</v>
      </c>
      <c r="M174" s="122">
        <f t="shared" si="34"/>
        <v>603403.38</v>
      </c>
      <c r="N174" s="116">
        <f t="shared" si="35"/>
        <v>458587.38</v>
      </c>
      <c r="O174" s="123">
        <f t="shared" si="36"/>
        <v>607.40050331125826</v>
      </c>
      <c r="P174" s="5"/>
      <c r="Q174" s="5">
        <f t="shared" si="28"/>
        <v>1</v>
      </c>
      <c r="R174" s="7">
        <f t="shared" si="29"/>
        <v>755</v>
      </c>
      <c r="S174" s="5">
        <f t="shared" si="30"/>
        <v>1</v>
      </c>
      <c r="T174" s="7">
        <f t="shared" si="31"/>
        <v>755</v>
      </c>
    </row>
    <row r="175" spans="1:20">
      <c r="A175" s="23" t="s">
        <v>207</v>
      </c>
      <c r="B175" s="35" t="s">
        <v>205</v>
      </c>
      <c r="C175" s="36">
        <v>2003</v>
      </c>
      <c r="D175" s="6"/>
      <c r="E175" s="113">
        <v>92742411</v>
      </c>
      <c r="F175" s="116">
        <f t="shared" si="32"/>
        <v>46301.752870693956</v>
      </c>
      <c r="G175" s="117">
        <v>71277110</v>
      </c>
      <c r="H175" s="117">
        <f t="shared" si="38"/>
        <v>35585.177234148774</v>
      </c>
      <c r="I175" s="7"/>
      <c r="J175" s="10">
        <v>5</v>
      </c>
      <c r="K175" s="117">
        <v>356385</v>
      </c>
      <c r="L175" s="120">
        <f t="shared" si="37"/>
        <v>177.92561158262606</v>
      </c>
      <c r="M175" s="122">
        <f t="shared" si="34"/>
        <v>712771.1</v>
      </c>
      <c r="N175" s="116">
        <f t="shared" si="35"/>
        <v>356386.1</v>
      </c>
      <c r="O175" s="123">
        <f t="shared" si="36"/>
        <v>177.9261607588617</v>
      </c>
      <c r="P175" s="5"/>
      <c r="Q175" s="5">
        <f t="shared" si="28"/>
        <v>1</v>
      </c>
      <c r="R175" s="7">
        <f t="shared" si="29"/>
        <v>2003</v>
      </c>
      <c r="S175" s="5">
        <f t="shared" si="30"/>
        <v>1</v>
      </c>
      <c r="T175" s="7">
        <f t="shared" si="31"/>
        <v>2003</v>
      </c>
    </row>
    <row r="176" spans="1:20">
      <c r="A176" s="23" t="s">
        <v>208</v>
      </c>
      <c r="B176" s="35" t="s">
        <v>205</v>
      </c>
      <c r="C176" s="36">
        <v>1344</v>
      </c>
      <c r="D176" s="6"/>
      <c r="E176" s="113">
        <v>50354994</v>
      </c>
      <c r="F176" s="116">
        <f t="shared" si="32"/>
        <v>37466.513392857145</v>
      </c>
      <c r="G176" s="117">
        <v>37366663</v>
      </c>
      <c r="H176" s="117">
        <f t="shared" si="38"/>
        <v>27802.576636904763</v>
      </c>
      <c r="I176" s="7"/>
      <c r="J176" s="10">
        <v>3.8542000000000001</v>
      </c>
      <c r="K176" s="117">
        <v>144018</v>
      </c>
      <c r="L176" s="120">
        <f t="shared" si="37"/>
        <v>107.15625</v>
      </c>
      <c r="M176" s="122">
        <f t="shared" si="34"/>
        <v>373666.63</v>
      </c>
      <c r="N176" s="116">
        <f t="shared" si="35"/>
        <v>229648.63</v>
      </c>
      <c r="O176" s="123">
        <f t="shared" si="36"/>
        <v>170.86951636904763</v>
      </c>
      <c r="P176" s="5"/>
      <c r="Q176" s="5">
        <f t="shared" si="28"/>
        <v>1</v>
      </c>
      <c r="R176" s="7">
        <f t="shared" si="29"/>
        <v>1344</v>
      </c>
      <c r="S176" s="5">
        <f t="shared" si="30"/>
        <v>1</v>
      </c>
      <c r="T176" s="7">
        <f t="shared" si="31"/>
        <v>1344</v>
      </c>
    </row>
    <row r="177" spans="1:20">
      <c r="A177" s="23" t="s">
        <v>209</v>
      </c>
      <c r="B177" s="35" t="s">
        <v>205</v>
      </c>
      <c r="C177" s="36">
        <v>117</v>
      </c>
      <c r="D177" s="6"/>
      <c r="E177" s="113">
        <v>3675361</v>
      </c>
      <c r="F177" s="116">
        <f t="shared" si="32"/>
        <v>31413.341880341879</v>
      </c>
      <c r="G177" s="117">
        <v>2234473</v>
      </c>
      <c r="H177" s="117">
        <f t="shared" si="38"/>
        <v>19098.059829059828</v>
      </c>
      <c r="I177" s="7"/>
      <c r="J177" s="10">
        <v>3</v>
      </c>
      <c r="K177" s="117">
        <v>6703</v>
      </c>
      <c r="L177" s="120">
        <f t="shared" si="37"/>
        <v>57.29059829059829</v>
      </c>
      <c r="M177" s="122">
        <f t="shared" si="34"/>
        <v>22344.73</v>
      </c>
      <c r="N177" s="116">
        <f t="shared" si="35"/>
        <v>15641.73</v>
      </c>
      <c r="O177" s="123">
        <f t="shared" si="36"/>
        <v>133.69</v>
      </c>
      <c r="P177" s="5"/>
      <c r="Q177" s="5">
        <f t="shared" si="28"/>
        <v>1</v>
      </c>
      <c r="R177" s="7">
        <f t="shared" si="29"/>
        <v>117</v>
      </c>
      <c r="S177" s="5">
        <f t="shared" si="30"/>
        <v>1</v>
      </c>
      <c r="T177" s="7">
        <f t="shared" si="31"/>
        <v>117</v>
      </c>
    </row>
    <row r="178" spans="1:20">
      <c r="A178" s="23" t="s">
        <v>210</v>
      </c>
      <c r="B178" s="35" t="s">
        <v>205</v>
      </c>
      <c r="C178" s="36">
        <v>2288</v>
      </c>
      <c r="D178" s="6"/>
      <c r="E178" s="113">
        <v>73959610</v>
      </c>
      <c r="F178" s="116">
        <f t="shared" si="32"/>
        <v>32325.004370629369</v>
      </c>
      <c r="G178" s="117">
        <v>50842325</v>
      </c>
      <c r="H178" s="117">
        <f t="shared" si="38"/>
        <v>22221.295891608392</v>
      </c>
      <c r="I178" s="7"/>
      <c r="J178" s="10">
        <v>3.4106000000000001</v>
      </c>
      <c r="K178" s="117">
        <v>173402</v>
      </c>
      <c r="L178" s="120">
        <f t="shared" si="37"/>
        <v>75.787587412587413</v>
      </c>
      <c r="M178" s="122">
        <f t="shared" si="34"/>
        <v>508423.25</v>
      </c>
      <c r="N178" s="116">
        <f t="shared" si="35"/>
        <v>335021.25</v>
      </c>
      <c r="O178" s="123">
        <f t="shared" si="36"/>
        <v>146.42537150349651</v>
      </c>
      <c r="P178" s="5"/>
      <c r="Q178" s="5">
        <f t="shared" si="28"/>
        <v>1</v>
      </c>
      <c r="R178" s="7">
        <f t="shared" si="29"/>
        <v>2288</v>
      </c>
      <c r="S178" s="5">
        <f t="shared" si="30"/>
        <v>1</v>
      </c>
      <c r="T178" s="7">
        <f t="shared" si="31"/>
        <v>2288</v>
      </c>
    </row>
    <row r="179" spans="1:20">
      <c r="A179" s="23" t="s">
        <v>211</v>
      </c>
      <c r="B179" s="35" t="s">
        <v>205</v>
      </c>
      <c r="C179" s="36">
        <v>610</v>
      </c>
      <c r="D179" s="6"/>
      <c r="E179" s="113">
        <v>31398688</v>
      </c>
      <c r="F179" s="116">
        <f t="shared" si="32"/>
        <v>51473.259016393444</v>
      </c>
      <c r="G179" s="117">
        <v>24276247</v>
      </c>
      <c r="H179" s="117">
        <f t="shared" si="38"/>
        <v>39797.126229508198</v>
      </c>
      <c r="I179" s="7"/>
      <c r="J179" s="10">
        <v>1.9510000000000001</v>
      </c>
      <c r="K179" s="117">
        <v>47362</v>
      </c>
      <c r="L179" s="120">
        <f t="shared" si="37"/>
        <v>77.642622950819671</v>
      </c>
      <c r="M179" s="122">
        <f t="shared" si="34"/>
        <v>242762.47</v>
      </c>
      <c r="N179" s="116">
        <f t="shared" si="35"/>
        <v>195400.47</v>
      </c>
      <c r="O179" s="123">
        <f t="shared" si="36"/>
        <v>320.32863934426229</v>
      </c>
      <c r="P179" s="5"/>
      <c r="Q179" s="5">
        <f t="shared" si="28"/>
        <v>1</v>
      </c>
      <c r="R179" s="7">
        <f t="shared" si="29"/>
        <v>610</v>
      </c>
      <c r="S179" s="5">
        <f t="shared" si="30"/>
        <v>1</v>
      </c>
      <c r="T179" s="7">
        <f t="shared" si="31"/>
        <v>610</v>
      </c>
    </row>
    <row r="180" spans="1:20">
      <c r="A180" s="23" t="s">
        <v>212</v>
      </c>
      <c r="B180" s="35" t="s">
        <v>213</v>
      </c>
      <c r="C180" s="36">
        <v>1222</v>
      </c>
      <c r="D180" s="6"/>
      <c r="E180" s="113">
        <v>22579837</v>
      </c>
      <c r="F180" s="116">
        <f t="shared" si="32"/>
        <v>18477.771685761047</v>
      </c>
      <c r="G180" s="117">
        <v>10677565</v>
      </c>
      <c r="H180" s="117">
        <f t="shared" si="38"/>
        <v>8737.7782324058917</v>
      </c>
      <c r="I180" s="7"/>
      <c r="J180" s="10">
        <v>1</v>
      </c>
      <c r="K180" s="117">
        <v>10677</v>
      </c>
      <c r="L180" s="120">
        <f t="shared" si="37"/>
        <v>8.7373158756137475</v>
      </c>
      <c r="M180" s="122">
        <f t="shared" si="34"/>
        <v>106775.65000000001</v>
      </c>
      <c r="N180" s="116">
        <f t="shared" si="35"/>
        <v>96098.650000000009</v>
      </c>
      <c r="O180" s="123">
        <f t="shared" si="36"/>
        <v>78.640466448445181</v>
      </c>
      <c r="P180" s="5"/>
      <c r="Q180" s="5">
        <f t="shared" si="28"/>
        <v>1</v>
      </c>
      <c r="R180" s="7">
        <f t="shared" si="29"/>
        <v>1222</v>
      </c>
      <c r="S180" s="5">
        <f t="shared" si="30"/>
        <v>1</v>
      </c>
      <c r="T180" s="7">
        <f t="shared" si="31"/>
        <v>1222</v>
      </c>
    </row>
    <row r="181" spans="1:20">
      <c r="A181" s="23" t="s">
        <v>214</v>
      </c>
      <c r="B181" s="35" t="s">
        <v>215</v>
      </c>
      <c r="C181" s="36">
        <v>992</v>
      </c>
      <c r="D181" s="6"/>
      <c r="E181" s="113">
        <v>15226575</v>
      </c>
      <c r="F181" s="116">
        <f t="shared" si="32"/>
        <v>15349.369959677419</v>
      </c>
      <c r="G181" s="117">
        <v>8041007</v>
      </c>
      <c r="H181" s="117">
        <f t="shared" si="38"/>
        <v>8105.853830645161</v>
      </c>
      <c r="I181" s="7"/>
      <c r="J181" s="10">
        <v>9.85</v>
      </c>
      <c r="K181" s="117">
        <v>79203</v>
      </c>
      <c r="L181" s="120">
        <f t="shared" si="37"/>
        <v>79.841733870967744</v>
      </c>
      <c r="M181" s="122">
        <f t="shared" si="34"/>
        <v>80410.070000000007</v>
      </c>
      <c r="N181" s="116">
        <f t="shared" si="35"/>
        <v>1207.070000000007</v>
      </c>
      <c r="O181" s="123">
        <f t="shared" si="36"/>
        <v>1.2168044354838781</v>
      </c>
      <c r="P181" s="5"/>
      <c r="Q181" s="5">
        <f t="shared" si="28"/>
        <v>1</v>
      </c>
      <c r="R181" s="7">
        <f t="shared" si="29"/>
        <v>992</v>
      </c>
      <c r="S181" s="5">
        <f t="shared" si="30"/>
        <v>1</v>
      </c>
      <c r="T181" s="7">
        <f t="shared" si="31"/>
        <v>992</v>
      </c>
    </row>
    <row r="182" spans="1:20">
      <c r="A182" s="23" t="s">
        <v>198</v>
      </c>
      <c r="B182" s="35" t="s">
        <v>215</v>
      </c>
      <c r="C182" s="36">
        <v>334</v>
      </c>
      <c r="D182" s="6"/>
      <c r="E182" s="113">
        <v>5244254</v>
      </c>
      <c r="F182" s="116">
        <f t="shared" si="32"/>
        <v>15701.359281437126</v>
      </c>
      <c r="G182" s="117">
        <v>2511417</v>
      </c>
      <c r="H182" s="117">
        <f t="shared" si="38"/>
        <v>7519.2125748502995</v>
      </c>
      <c r="I182" s="7"/>
      <c r="J182" s="10">
        <v>6.67</v>
      </c>
      <c r="K182" s="117">
        <v>16751</v>
      </c>
      <c r="L182" s="120">
        <f t="shared" si="37"/>
        <v>50.15269461077844</v>
      </c>
      <c r="M182" s="122">
        <f t="shared" si="34"/>
        <v>25114.170000000002</v>
      </c>
      <c r="N182" s="116">
        <f t="shared" si="35"/>
        <v>8363.1700000000019</v>
      </c>
      <c r="O182" s="123">
        <f t="shared" si="36"/>
        <v>25.039431137724556</v>
      </c>
      <c r="P182" s="5"/>
      <c r="Q182" s="5">
        <f t="shared" si="28"/>
        <v>1</v>
      </c>
      <c r="R182" s="7">
        <f t="shared" si="29"/>
        <v>334</v>
      </c>
      <c r="S182" s="5">
        <f t="shared" si="30"/>
        <v>1</v>
      </c>
      <c r="T182" s="7">
        <f t="shared" si="31"/>
        <v>334</v>
      </c>
    </row>
    <row r="183" spans="1:20">
      <c r="A183" s="23" t="s">
        <v>215</v>
      </c>
      <c r="B183" s="35" t="s">
        <v>215</v>
      </c>
      <c r="C183" s="36">
        <v>3436</v>
      </c>
      <c r="D183" s="6"/>
      <c r="E183" s="113">
        <v>90183772</v>
      </c>
      <c r="F183" s="116">
        <f t="shared" si="32"/>
        <v>26246.732246798601</v>
      </c>
      <c r="G183" s="117">
        <v>55436877</v>
      </c>
      <c r="H183" s="117">
        <f t="shared" si="38"/>
        <v>16134.13183934808</v>
      </c>
      <c r="I183" s="7"/>
      <c r="J183" s="10">
        <v>4.6529999999999996</v>
      </c>
      <c r="K183" s="117">
        <v>257947</v>
      </c>
      <c r="L183" s="120">
        <f t="shared" si="37"/>
        <v>75.071885913853322</v>
      </c>
      <c r="M183" s="122">
        <f t="shared" si="34"/>
        <v>554368.77</v>
      </c>
      <c r="N183" s="116">
        <f t="shared" si="35"/>
        <v>296421.77</v>
      </c>
      <c r="O183" s="123">
        <f t="shared" si="36"/>
        <v>86.269432479627483</v>
      </c>
      <c r="P183" s="5"/>
      <c r="Q183" s="5">
        <f t="shared" si="28"/>
        <v>1</v>
      </c>
      <c r="R183" s="7">
        <f t="shared" si="29"/>
        <v>3436</v>
      </c>
      <c r="S183" s="5">
        <f t="shared" si="30"/>
        <v>1</v>
      </c>
      <c r="T183" s="7">
        <f t="shared" si="31"/>
        <v>3436</v>
      </c>
    </row>
    <row r="184" spans="1:20">
      <c r="A184" s="23" t="s">
        <v>216</v>
      </c>
      <c r="B184" s="35" t="s">
        <v>217</v>
      </c>
      <c r="C184" s="36">
        <v>1869</v>
      </c>
      <c r="D184" s="6"/>
      <c r="E184" s="113">
        <v>299353955</v>
      </c>
      <c r="F184" s="116">
        <f t="shared" si="32"/>
        <v>160167.98020331727</v>
      </c>
      <c r="G184" s="117">
        <v>255671453</v>
      </c>
      <c r="H184" s="117">
        <f t="shared" si="38"/>
        <v>136795.85500267523</v>
      </c>
      <c r="I184" s="7"/>
      <c r="J184" s="10">
        <v>2</v>
      </c>
      <c r="K184" s="117">
        <v>511342</v>
      </c>
      <c r="L184" s="120">
        <f t="shared" si="37"/>
        <v>273.59122525414659</v>
      </c>
      <c r="M184" s="122">
        <f t="shared" si="34"/>
        <v>2556714.5300000003</v>
      </c>
      <c r="N184" s="116">
        <f t="shared" si="35"/>
        <v>2045372.5300000003</v>
      </c>
      <c r="O184" s="123">
        <f t="shared" si="36"/>
        <v>1094.3673247726058</v>
      </c>
      <c r="P184" s="5"/>
      <c r="Q184" s="5">
        <f t="shared" si="28"/>
        <v>1</v>
      </c>
      <c r="R184" s="7">
        <f t="shared" si="29"/>
        <v>1869</v>
      </c>
      <c r="S184" s="5">
        <f t="shared" si="30"/>
        <v>1</v>
      </c>
      <c r="T184" s="7">
        <f t="shared" si="31"/>
        <v>1869</v>
      </c>
    </row>
    <row r="185" spans="1:20">
      <c r="A185" s="23" t="s">
        <v>218</v>
      </c>
      <c r="B185" s="35" t="s">
        <v>217</v>
      </c>
      <c r="C185" s="36">
        <v>48029</v>
      </c>
      <c r="D185" s="6"/>
      <c r="E185" s="113">
        <v>2082810312</v>
      </c>
      <c r="F185" s="116">
        <f t="shared" si="32"/>
        <v>43365.681400820336</v>
      </c>
      <c r="G185" s="117">
        <v>1558073319</v>
      </c>
      <c r="H185" s="117">
        <f t="shared" si="38"/>
        <v>32440.26148785109</v>
      </c>
      <c r="I185" s="7"/>
      <c r="J185" s="10">
        <v>2.95</v>
      </c>
      <c r="K185" s="117">
        <v>4596316</v>
      </c>
      <c r="L185" s="120">
        <f t="shared" si="37"/>
        <v>95.698765329280221</v>
      </c>
      <c r="M185" s="122">
        <f t="shared" si="34"/>
        <v>15580733.189999999</v>
      </c>
      <c r="N185" s="116">
        <f t="shared" si="35"/>
        <v>10984417.189999999</v>
      </c>
      <c r="O185" s="123">
        <f t="shared" si="36"/>
        <v>228.70384954923065</v>
      </c>
      <c r="P185" s="5"/>
      <c r="Q185" s="5">
        <f t="shared" si="28"/>
        <v>1</v>
      </c>
      <c r="R185" s="7">
        <f t="shared" si="29"/>
        <v>48029</v>
      </c>
      <c r="S185" s="5">
        <f t="shared" si="30"/>
        <v>1</v>
      </c>
      <c r="T185" s="7">
        <f t="shared" si="31"/>
        <v>48029</v>
      </c>
    </row>
    <row r="186" spans="1:20">
      <c r="A186" s="23" t="s">
        <v>219</v>
      </c>
      <c r="B186" s="35" t="s">
        <v>217</v>
      </c>
      <c r="C186" s="36">
        <v>1700</v>
      </c>
      <c r="D186" s="6"/>
      <c r="E186" s="113">
        <v>183901499</v>
      </c>
      <c r="F186" s="116">
        <f t="shared" si="32"/>
        <v>108177.35235294118</v>
      </c>
      <c r="G186" s="117">
        <v>156910208</v>
      </c>
      <c r="H186" s="117">
        <f t="shared" si="38"/>
        <v>92300.12235294118</v>
      </c>
      <c r="I186" s="7"/>
      <c r="J186" s="10">
        <v>2.5508000000000002</v>
      </c>
      <c r="K186" s="117">
        <v>400246</v>
      </c>
      <c r="L186" s="120">
        <f t="shared" si="37"/>
        <v>235.43882352941176</v>
      </c>
      <c r="M186" s="122">
        <f t="shared" si="34"/>
        <v>1569102.08</v>
      </c>
      <c r="N186" s="116">
        <f t="shared" si="35"/>
        <v>1168856.08</v>
      </c>
      <c r="O186" s="123">
        <f t="shared" si="36"/>
        <v>687.56240000000003</v>
      </c>
      <c r="P186" s="5"/>
      <c r="Q186" s="5">
        <f t="shared" si="28"/>
        <v>1</v>
      </c>
      <c r="R186" s="7">
        <f t="shared" si="29"/>
        <v>1700</v>
      </c>
      <c r="S186" s="5">
        <f t="shared" si="30"/>
        <v>1</v>
      </c>
      <c r="T186" s="7">
        <f t="shared" si="31"/>
        <v>1700</v>
      </c>
    </row>
    <row r="187" spans="1:20">
      <c r="A187" s="23" t="s">
        <v>220</v>
      </c>
      <c r="B187" s="35" t="s">
        <v>217</v>
      </c>
      <c r="C187" s="36">
        <v>5081</v>
      </c>
      <c r="D187" s="6"/>
      <c r="E187" s="113">
        <v>590009455</v>
      </c>
      <c r="F187" s="116">
        <f t="shared" si="32"/>
        <v>116120.73509151742</v>
      </c>
      <c r="G187" s="117">
        <v>505842160</v>
      </c>
      <c r="H187" s="117">
        <f t="shared" si="38"/>
        <v>99555.630781342261</v>
      </c>
      <c r="I187" s="7"/>
      <c r="J187" s="10">
        <v>2.25</v>
      </c>
      <c r="K187" s="117">
        <v>1138144</v>
      </c>
      <c r="L187" s="120">
        <f t="shared" si="37"/>
        <v>224</v>
      </c>
      <c r="M187" s="122">
        <f t="shared" si="34"/>
        <v>5058421.6000000006</v>
      </c>
      <c r="N187" s="116">
        <f t="shared" si="35"/>
        <v>3920277.6000000006</v>
      </c>
      <c r="O187" s="123">
        <f t="shared" si="36"/>
        <v>771.55630781342268</v>
      </c>
      <c r="P187" s="5"/>
      <c r="Q187" s="5">
        <f t="shared" si="28"/>
        <v>1</v>
      </c>
      <c r="R187" s="7">
        <f t="shared" si="29"/>
        <v>5081</v>
      </c>
      <c r="S187" s="5">
        <f t="shared" si="30"/>
        <v>1</v>
      </c>
      <c r="T187" s="7">
        <f t="shared" si="31"/>
        <v>5081</v>
      </c>
    </row>
    <row r="188" spans="1:20">
      <c r="A188" s="23" t="s">
        <v>221</v>
      </c>
      <c r="B188" s="35" t="s">
        <v>217</v>
      </c>
      <c r="C188" s="36">
        <v>10353</v>
      </c>
      <c r="D188" s="6"/>
      <c r="E188" s="113">
        <v>414542456</v>
      </c>
      <c r="F188" s="116">
        <f t="shared" si="32"/>
        <v>40040.80517724331</v>
      </c>
      <c r="G188" s="117">
        <v>296425374</v>
      </c>
      <c r="H188" s="117">
        <f t="shared" si="38"/>
        <v>28631.833671399596</v>
      </c>
      <c r="I188" s="7"/>
      <c r="J188" s="10">
        <v>4.1645000000000003</v>
      </c>
      <c r="K188" s="117">
        <v>1234463</v>
      </c>
      <c r="L188" s="120">
        <f t="shared" si="37"/>
        <v>119.23722592485269</v>
      </c>
      <c r="M188" s="122">
        <f t="shared" si="34"/>
        <v>2964253.74</v>
      </c>
      <c r="N188" s="116">
        <f t="shared" si="35"/>
        <v>1729790.7400000002</v>
      </c>
      <c r="O188" s="123">
        <f t="shared" si="36"/>
        <v>167.08111078914325</v>
      </c>
      <c r="P188" s="5"/>
      <c r="Q188" s="5">
        <f t="shared" si="28"/>
        <v>1</v>
      </c>
      <c r="R188" s="7">
        <f t="shared" si="29"/>
        <v>10353</v>
      </c>
      <c r="S188" s="5">
        <f t="shared" si="30"/>
        <v>1</v>
      </c>
      <c r="T188" s="7">
        <f t="shared" si="31"/>
        <v>10353</v>
      </c>
    </row>
    <row r="189" spans="1:20">
      <c r="A189" s="23" t="s">
        <v>478</v>
      </c>
      <c r="B189" s="35" t="s">
        <v>222</v>
      </c>
      <c r="C189" s="36">
        <v>6730</v>
      </c>
      <c r="D189" s="6"/>
      <c r="E189" s="113">
        <v>2608467712</v>
      </c>
      <c r="F189" s="116">
        <f t="shared" si="32"/>
        <v>387588.07013372955</v>
      </c>
      <c r="G189" s="117">
        <v>2438891469</v>
      </c>
      <c r="H189" s="117">
        <f t="shared" si="38"/>
        <v>362391.00579494797</v>
      </c>
      <c r="I189" s="7"/>
      <c r="J189" s="10">
        <v>2.4510999999999998</v>
      </c>
      <c r="K189" s="117">
        <v>5977966</v>
      </c>
      <c r="L189" s="120">
        <f t="shared" si="37"/>
        <v>888.25646359583948</v>
      </c>
      <c r="M189" s="122">
        <f t="shared" si="34"/>
        <v>24388914.690000001</v>
      </c>
      <c r="N189" s="116">
        <f t="shared" si="35"/>
        <v>18410948.690000001</v>
      </c>
      <c r="O189" s="123">
        <f t="shared" si="36"/>
        <v>2735.6535943536405</v>
      </c>
      <c r="P189" s="5"/>
      <c r="Q189" s="5">
        <f t="shared" si="28"/>
        <v>1</v>
      </c>
      <c r="R189" s="7">
        <f t="shared" si="29"/>
        <v>6730</v>
      </c>
      <c r="S189" s="5">
        <f t="shared" si="30"/>
        <v>1</v>
      </c>
      <c r="T189" s="7">
        <f t="shared" si="31"/>
        <v>6730</v>
      </c>
    </row>
    <row r="190" spans="1:20">
      <c r="A190" s="23" t="s">
        <v>223</v>
      </c>
      <c r="B190" s="35" t="s">
        <v>224</v>
      </c>
      <c r="C190" s="36">
        <v>3507</v>
      </c>
      <c r="D190" s="6"/>
      <c r="E190" s="113">
        <v>110411778</v>
      </c>
      <c r="F190" s="116">
        <f t="shared" si="32"/>
        <v>31483.255774165955</v>
      </c>
      <c r="G190" s="117">
        <v>81675525</v>
      </c>
      <c r="H190" s="117">
        <f t="shared" si="38"/>
        <v>23289.285714285714</v>
      </c>
      <c r="I190" s="7"/>
      <c r="J190" s="10">
        <v>4.5570000000000004</v>
      </c>
      <c r="K190" s="117">
        <v>372195</v>
      </c>
      <c r="L190" s="120">
        <f t="shared" si="37"/>
        <v>106.12917023096664</v>
      </c>
      <c r="M190" s="122">
        <f t="shared" si="34"/>
        <v>816755.25</v>
      </c>
      <c r="N190" s="116">
        <f t="shared" si="35"/>
        <v>444560.25</v>
      </c>
      <c r="O190" s="123">
        <f t="shared" si="36"/>
        <v>126.7636869118905</v>
      </c>
      <c r="P190" s="5"/>
      <c r="Q190" s="5">
        <f t="shared" si="28"/>
        <v>1</v>
      </c>
      <c r="R190" s="7">
        <f t="shared" si="29"/>
        <v>3507</v>
      </c>
      <c r="S190" s="5">
        <f t="shared" si="30"/>
        <v>1</v>
      </c>
      <c r="T190" s="7">
        <f t="shared" si="31"/>
        <v>3507</v>
      </c>
    </row>
    <row r="191" spans="1:20">
      <c r="A191" s="23" t="s">
        <v>225</v>
      </c>
      <c r="B191" s="35" t="s">
        <v>224</v>
      </c>
      <c r="C191" s="36">
        <v>1806</v>
      </c>
      <c r="D191" s="6"/>
      <c r="E191" s="113">
        <v>96858900</v>
      </c>
      <c r="F191" s="116">
        <f t="shared" si="32"/>
        <v>53631.727574750832</v>
      </c>
      <c r="G191" s="117">
        <v>71419642</v>
      </c>
      <c r="H191" s="117">
        <f t="shared" si="38"/>
        <v>39545.759689922481</v>
      </c>
      <c r="I191" s="7"/>
      <c r="J191" s="10">
        <v>6.3</v>
      </c>
      <c r="K191" s="117">
        <v>449943</v>
      </c>
      <c r="L191" s="120">
        <f t="shared" si="37"/>
        <v>249.13787375415282</v>
      </c>
      <c r="M191" s="122">
        <f t="shared" si="34"/>
        <v>714196.42</v>
      </c>
      <c r="N191" s="116">
        <f t="shared" si="35"/>
        <v>264253.42000000004</v>
      </c>
      <c r="O191" s="123">
        <f t="shared" si="36"/>
        <v>146.319723145072</v>
      </c>
      <c r="P191" s="5"/>
      <c r="Q191" s="5">
        <f t="shared" si="28"/>
        <v>1</v>
      </c>
      <c r="R191" s="7">
        <f t="shared" si="29"/>
        <v>1806</v>
      </c>
      <c r="S191" s="5">
        <f t="shared" si="30"/>
        <v>1</v>
      </c>
      <c r="T191" s="7">
        <f t="shared" si="31"/>
        <v>1806</v>
      </c>
    </row>
    <row r="192" spans="1:20">
      <c r="A192" s="23" t="s">
        <v>226</v>
      </c>
      <c r="B192" s="35" t="s">
        <v>224</v>
      </c>
      <c r="C192" s="36">
        <v>423</v>
      </c>
      <c r="D192" s="6"/>
      <c r="E192" s="113">
        <v>14258657</v>
      </c>
      <c r="F192" s="116">
        <f t="shared" si="32"/>
        <v>33708.40898345154</v>
      </c>
      <c r="G192" s="117">
        <v>8758352</v>
      </c>
      <c r="H192" s="117">
        <f t="shared" si="38"/>
        <v>20705.323877068557</v>
      </c>
      <c r="I192" s="7"/>
      <c r="J192" s="10">
        <v>2.2530000000000001</v>
      </c>
      <c r="K192" s="117">
        <v>19732</v>
      </c>
      <c r="L192" s="120">
        <f t="shared" si="37"/>
        <v>46.64775413711584</v>
      </c>
      <c r="M192" s="122">
        <f t="shared" si="34"/>
        <v>87583.52</v>
      </c>
      <c r="N192" s="116">
        <f t="shared" si="35"/>
        <v>67851.520000000004</v>
      </c>
      <c r="O192" s="123">
        <f t="shared" si="36"/>
        <v>160.40548463356976</v>
      </c>
      <c r="P192" s="5"/>
      <c r="Q192" s="5">
        <f t="shared" si="28"/>
        <v>1</v>
      </c>
      <c r="R192" s="7">
        <f t="shared" si="29"/>
        <v>423</v>
      </c>
      <c r="S192" s="5">
        <f t="shared" si="30"/>
        <v>1</v>
      </c>
      <c r="T192" s="7">
        <f t="shared" si="31"/>
        <v>423</v>
      </c>
    </row>
    <row r="193" spans="1:20">
      <c r="A193" s="23" t="s">
        <v>227</v>
      </c>
      <c r="B193" s="35" t="s">
        <v>224</v>
      </c>
      <c r="C193" s="36">
        <v>44718</v>
      </c>
      <c r="D193" s="6"/>
      <c r="E193" s="113">
        <v>2380618185</v>
      </c>
      <c r="F193" s="116">
        <f t="shared" si="32"/>
        <v>53236.240104655844</v>
      </c>
      <c r="G193" s="117">
        <v>1771686458</v>
      </c>
      <c r="H193" s="117">
        <f t="shared" si="38"/>
        <v>39619.089807236458</v>
      </c>
      <c r="I193" s="7"/>
      <c r="J193" s="10">
        <v>5.2743000000000002</v>
      </c>
      <c r="K193" s="117">
        <v>9344405</v>
      </c>
      <c r="L193" s="120">
        <f t="shared" si="37"/>
        <v>208.96294557001656</v>
      </c>
      <c r="M193" s="122">
        <f t="shared" si="34"/>
        <v>17716864.580000002</v>
      </c>
      <c r="N193" s="116">
        <f t="shared" si="35"/>
        <v>8372459.5800000019</v>
      </c>
      <c r="O193" s="123">
        <f t="shared" si="36"/>
        <v>187.2279525023481</v>
      </c>
      <c r="P193" s="5"/>
      <c r="Q193" s="5">
        <f t="shared" si="28"/>
        <v>1</v>
      </c>
      <c r="R193" s="7">
        <f t="shared" si="29"/>
        <v>44718</v>
      </c>
      <c r="S193" s="5">
        <f t="shared" si="30"/>
        <v>1</v>
      </c>
      <c r="T193" s="7">
        <f t="shared" si="31"/>
        <v>44718</v>
      </c>
    </row>
    <row r="194" spans="1:20">
      <c r="A194" s="23" t="s">
        <v>228</v>
      </c>
      <c r="B194" s="35" t="s">
        <v>224</v>
      </c>
      <c r="C194" s="36">
        <v>547</v>
      </c>
      <c r="D194" s="6"/>
      <c r="E194" s="113">
        <v>10999288</v>
      </c>
      <c r="F194" s="116">
        <f t="shared" si="32"/>
        <v>20108.387568555758</v>
      </c>
      <c r="G194" s="117">
        <v>5709391</v>
      </c>
      <c r="H194" s="117">
        <f t="shared" si="38"/>
        <v>10437.643510054844</v>
      </c>
      <c r="I194" s="98" t="s">
        <v>528</v>
      </c>
      <c r="J194" s="10"/>
      <c r="K194" s="117"/>
      <c r="L194" s="120"/>
      <c r="M194" s="122">
        <f t="shared" si="34"/>
        <v>57093.91</v>
      </c>
      <c r="N194" s="116">
        <f t="shared" si="35"/>
        <v>57093.91</v>
      </c>
      <c r="O194" s="123">
        <f t="shared" si="36"/>
        <v>104.37643510054845</v>
      </c>
      <c r="P194" s="5"/>
      <c r="Q194" s="5">
        <f t="shared" si="28"/>
        <v>1</v>
      </c>
      <c r="R194" s="7">
        <f t="shared" si="29"/>
        <v>547</v>
      </c>
      <c r="S194" s="5">
        <f t="shared" si="30"/>
        <v>0</v>
      </c>
      <c r="T194" s="7">
        <f t="shared" si="31"/>
        <v>0</v>
      </c>
    </row>
    <row r="195" spans="1:20">
      <c r="A195" s="23" t="s">
        <v>229</v>
      </c>
      <c r="B195" s="35" t="s">
        <v>230</v>
      </c>
      <c r="C195" s="36">
        <v>573</v>
      </c>
      <c r="D195" s="6"/>
      <c r="E195" s="113">
        <v>812776592</v>
      </c>
      <c r="F195" s="116">
        <f t="shared" si="32"/>
        <v>1418458.2757417103</v>
      </c>
      <c r="G195" s="117">
        <v>744360839</v>
      </c>
      <c r="H195" s="117">
        <f t="shared" si="38"/>
        <v>1299059.0558464224</v>
      </c>
      <c r="I195" s="7"/>
      <c r="J195" s="10">
        <v>4.8419999999999996</v>
      </c>
      <c r="K195" s="117">
        <v>3604195</v>
      </c>
      <c r="L195" s="120">
        <f>(K195/C195)</f>
        <v>6290.0436300174524</v>
      </c>
      <c r="M195" s="122">
        <f t="shared" si="34"/>
        <v>7443608.3900000006</v>
      </c>
      <c r="N195" s="116">
        <f t="shared" si="35"/>
        <v>3839413.3900000006</v>
      </c>
      <c r="O195" s="123">
        <f t="shared" si="36"/>
        <v>6700.5469284467727</v>
      </c>
      <c r="P195" s="5"/>
      <c r="Q195" s="5">
        <f t="shared" si="28"/>
        <v>1</v>
      </c>
      <c r="R195" s="7">
        <f t="shared" si="29"/>
        <v>573</v>
      </c>
      <c r="S195" s="5">
        <f t="shared" si="30"/>
        <v>1</v>
      </c>
      <c r="T195" s="7">
        <f t="shared" si="31"/>
        <v>573</v>
      </c>
    </row>
    <row r="196" spans="1:20">
      <c r="A196" s="24" t="s">
        <v>582</v>
      </c>
      <c r="B196" s="35" t="s">
        <v>230</v>
      </c>
      <c r="C196" s="36">
        <v>501</v>
      </c>
      <c r="D196" s="6"/>
      <c r="E196" s="113">
        <v>14274692</v>
      </c>
      <c r="F196" s="116">
        <f t="shared" si="32"/>
        <v>28492.399201596807</v>
      </c>
      <c r="G196" s="117">
        <v>14269403</v>
      </c>
      <c r="H196" s="117">
        <f t="shared" si="38"/>
        <v>28481.84231536926</v>
      </c>
      <c r="I196" s="98" t="s">
        <v>528</v>
      </c>
      <c r="J196" s="10"/>
      <c r="K196" s="117"/>
      <c r="L196" s="120"/>
      <c r="M196" s="122">
        <f t="shared" si="34"/>
        <v>142694.03</v>
      </c>
      <c r="N196" s="116">
        <f t="shared" si="35"/>
        <v>142694.03</v>
      </c>
      <c r="O196" s="123">
        <f t="shared" si="36"/>
        <v>284.81842315369261</v>
      </c>
      <c r="P196" s="5"/>
      <c r="Q196" s="5">
        <f t="shared" si="28"/>
        <v>1</v>
      </c>
      <c r="R196" s="7">
        <f t="shared" si="29"/>
        <v>501</v>
      </c>
      <c r="S196" s="5">
        <f t="shared" si="30"/>
        <v>0</v>
      </c>
      <c r="T196" s="7">
        <f t="shared" si="31"/>
        <v>0</v>
      </c>
    </row>
    <row r="197" spans="1:20">
      <c r="A197" s="23" t="s">
        <v>446</v>
      </c>
      <c r="B197" s="35" t="s">
        <v>230</v>
      </c>
      <c r="C197" s="36">
        <v>1781</v>
      </c>
      <c r="D197" s="6"/>
      <c r="E197" s="113">
        <v>324709061</v>
      </c>
      <c r="F197" s="116">
        <f t="shared" si="32"/>
        <v>182318.39472206627</v>
      </c>
      <c r="G197" s="117">
        <v>300984214</v>
      </c>
      <c r="H197" s="117">
        <f t="shared" si="38"/>
        <v>168997.31274564852</v>
      </c>
      <c r="I197" s="9"/>
      <c r="J197" s="10">
        <v>1.899</v>
      </c>
      <c r="K197" s="117">
        <v>571569</v>
      </c>
      <c r="L197" s="120">
        <f t="shared" ref="L197:L239" si="39">(K197/C197)</f>
        <v>320.92588433464346</v>
      </c>
      <c r="M197" s="122">
        <f t="shared" si="34"/>
        <v>3009842.14</v>
      </c>
      <c r="N197" s="116">
        <f t="shared" si="35"/>
        <v>2438273.14</v>
      </c>
      <c r="O197" s="123">
        <f t="shared" si="36"/>
        <v>1369.0472431218418</v>
      </c>
      <c r="P197" s="5"/>
      <c r="Q197" s="5">
        <f t="shared" si="28"/>
        <v>1</v>
      </c>
      <c r="R197" s="7">
        <f t="shared" si="29"/>
        <v>1781</v>
      </c>
      <c r="S197" s="5">
        <f t="shared" si="30"/>
        <v>1</v>
      </c>
      <c r="T197" s="7">
        <f t="shared" si="31"/>
        <v>1781</v>
      </c>
    </row>
    <row r="198" spans="1:20">
      <c r="A198" s="23" t="s">
        <v>231</v>
      </c>
      <c r="B198" s="35" t="s">
        <v>230</v>
      </c>
      <c r="C198" s="36">
        <v>13795</v>
      </c>
      <c r="D198" s="6"/>
      <c r="E198" s="113">
        <v>1107890778</v>
      </c>
      <c r="F198" s="116">
        <f t="shared" si="32"/>
        <v>80311.03863718739</v>
      </c>
      <c r="G198" s="117">
        <v>790638207</v>
      </c>
      <c r="H198" s="117">
        <f t="shared" si="38"/>
        <v>57313.38941645524</v>
      </c>
      <c r="I198" s="7"/>
      <c r="J198" s="10">
        <v>4.0133999999999999</v>
      </c>
      <c r="K198" s="117">
        <v>3173147</v>
      </c>
      <c r="L198" s="120">
        <f t="shared" si="39"/>
        <v>230.02152953968829</v>
      </c>
      <c r="M198" s="122">
        <f t="shared" si="34"/>
        <v>7906382.0700000003</v>
      </c>
      <c r="N198" s="116">
        <f t="shared" si="35"/>
        <v>4733235.07</v>
      </c>
      <c r="O198" s="123">
        <f t="shared" si="36"/>
        <v>343.11236462486409</v>
      </c>
      <c r="P198" s="5"/>
      <c r="Q198" s="5">
        <f t="shared" si="28"/>
        <v>1</v>
      </c>
      <c r="R198" s="7">
        <f t="shared" si="29"/>
        <v>13795</v>
      </c>
      <c r="S198" s="5">
        <f t="shared" si="30"/>
        <v>1</v>
      </c>
      <c r="T198" s="7">
        <f t="shared" si="31"/>
        <v>13795</v>
      </c>
    </row>
    <row r="199" spans="1:20">
      <c r="A199" s="23" t="s">
        <v>232</v>
      </c>
      <c r="B199" s="35" t="s">
        <v>233</v>
      </c>
      <c r="C199" s="36">
        <v>20349</v>
      </c>
      <c r="D199" s="6"/>
      <c r="E199" s="113">
        <v>3334155218</v>
      </c>
      <c r="F199" s="116">
        <f t="shared" si="32"/>
        <v>163848.60278146347</v>
      </c>
      <c r="G199" s="117">
        <v>3094383963</v>
      </c>
      <c r="H199" s="117">
        <f t="shared" si="38"/>
        <v>152065.65251363703</v>
      </c>
      <c r="I199" s="9"/>
      <c r="J199" s="10">
        <v>2.2269999999999999</v>
      </c>
      <c r="K199" s="117">
        <v>6891193</v>
      </c>
      <c r="L199" s="120">
        <f t="shared" si="39"/>
        <v>338.65020394122564</v>
      </c>
      <c r="M199" s="122">
        <f t="shared" si="34"/>
        <v>30943839.629999999</v>
      </c>
      <c r="N199" s="116">
        <f t="shared" si="35"/>
        <v>24052646.629999999</v>
      </c>
      <c r="O199" s="123">
        <f t="shared" si="36"/>
        <v>1182.0063211951447</v>
      </c>
      <c r="P199" s="5"/>
      <c r="Q199" s="5">
        <f t="shared" ref="Q199:Q262" si="40">IF(E199&gt;0,1,0)</f>
        <v>1</v>
      </c>
      <c r="R199" s="7">
        <f t="shared" ref="R199:R262" si="41">IF(E199&gt;0,C199,0)</f>
        <v>20349</v>
      </c>
      <c r="S199" s="5">
        <f t="shared" ref="S199:S262" si="42">IF(J199&gt;0,1,0)</f>
        <v>1</v>
      </c>
      <c r="T199" s="7">
        <f t="shared" ref="T199:T262" si="43">IF(J199&gt;0,C199,0)</f>
        <v>20349</v>
      </c>
    </row>
    <row r="200" spans="1:20">
      <c r="A200" s="23" t="s">
        <v>234</v>
      </c>
      <c r="B200" s="35" t="s">
        <v>233</v>
      </c>
      <c r="C200" s="36">
        <v>3151</v>
      </c>
      <c r="D200" s="6"/>
      <c r="E200" s="113">
        <v>956154736</v>
      </c>
      <c r="F200" s="116">
        <f t="shared" ref="F200:F263" si="44">(E200/C200)</f>
        <v>303444.85433195811</v>
      </c>
      <c r="G200" s="117">
        <v>913325847</v>
      </c>
      <c r="H200" s="117">
        <f t="shared" si="38"/>
        <v>289852.69660425262</v>
      </c>
      <c r="I200" s="7"/>
      <c r="J200" s="11">
        <v>3.39</v>
      </c>
      <c r="K200" s="117">
        <v>3096174</v>
      </c>
      <c r="L200" s="120">
        <f t="shared" si="39"/>
        <v>982.60044430339576</v>
      </c>
      <c r="M200" s="122">
        <f t="shared" ref="M200:M263" si="45">(G200*0.01)</f>
        <v>9133258.4700000007</v>
      </c>
      <c r="N200" s="116">
        <f t="shared" ref="N200:N263" si="46">(M200-K200)</f>
        <v>6037084.4700000007</v>
      </c>
      <c r="O200" s="123">
        <f t="shared" ref="O200:O263" si="47">(N200/C200)</f>
        <v>1915.9265217391307</v>
      </c>
      <c r="P200" s="5"/>
      <c r="Q200" s="5">
        <f t="shared" si="40"/>
        <v>1</v>
      </c>
      <c r="R200" s="7">
        <f t="shared" si="41"/>
        <v>3151</v>
      </c>
      <c r="S200" s="5">
        <f t="shared" si="42"/>
        <v>1</v>
      </c>
      <c r="T200" s="7">
        <f t="shared" si="43"/>
        <v>3151</v>
      </c>
    </row>
    <row r="201" spans="1:20">
      <c r="A201" s="23" t="s">
        <v>235</v>
      </c>
      <c r="B201" s="35" t="s">
        <v>233</v>
      </c>
      <c r="C201" s="36">
        <v>4618</v>
      </c>
      <c r="D201" s="6"/>
      <c r="E201" s="113">
        <v>339712707</v>
      </c>
      <c r="F201" s="116">
        <f t="shared" si="44"/>
        <v>73562.73430056301</v>
      </c>
      <c r="G201" s="117">
        <v>281830366</v>
      </c>
      <c r="H201" s="117">
        <f t="shared" si="38"/>
        <v>61028.663057600694</v>
      </c>
      <c r="I201" s="7"/>
      <c r="J201" s="10">
        <v>4.7229000000000001</v>
      </c>
      <c r="K201" s="117">
        <v>1331056</v>
      </c>
      <c r="L201" s="120">
        <f t="shared" si="39"/>
        <v>288.23213512343006</v>
      </c>
      <c r="M201" s="122">
        <f t="shared" si="45"/>
        <v>2818303.66</v>
      </c>
      <c r="N201" s="116">
        <f t="shared" si="46"/>
        <v>1487247.6600000001</v>
      </c>
      <c r="O201" s="123">
        <f t="shared" si="47"/>
        <v>322.05449545257693</v>
      </c>
      <c r="P201" s="5"/>
      <c r="Q201" s="5">
        <f t="shared" si="40"/>
        <v>1</v>
      </c>
      <c r="R201" s="7">
        <f t="shared" si="41"/>
        <v>4618</v>
      </c>
      <c r="S201" s="5">
        <f t="shared" si="42"/>
        <v>1</v>
      </c>
      <c r="T201" s="7">
        <f t="shared" si="43"/>
        <v>4618</v>
      </c>
    </row>
    <row r="202" spans="1:20">
      <c r="A202" s="24" t="s">
        <v>236</v>
      </c>
      <c r="B202" s="37" t="s">
        <v>233</v>
      </c>
      <c r="C202" s="36">
        <v>3032</v>
      </c>
      <c r="D202" s="6"/>
      <c r="E202" s="113">
        <v>104162163</v>
      </c>
      <c r="F202" s="116">
        <f t="shared" si="44"/>
        <v>34354.275395778364</v>
      </c>
      <c r="G202" s="117">
        <v>79093714</v>
      </c>
      <c r="H202" s="117">
        <f t="shared" si="38"/>
        <v>26086.317282321899</v>
      </c>
      <c r="I202" s="7"/>
      <c r="J202" s="10">
        <v>8.9</v>
      </c>
      <c r="K202" s="117">
        <v>703934</v>
      </c>
      <c r="L202" s="120">
        <f t="shared" si="39"/>
        <v>232.16820580474933</v>
      </c>
      <c r="M202" s="122">
        <f t="shared" si="45"/>
        <v>790937.14</v>
      </c>
      <c r="N202" s="116">
        <f t="shared" si="46"/>
        <v>87003.140000000014</v>
      </c>
      <c r="O202" s="123">
        <f t="shared" si="47"/>
        <v>28.694967018469661</v>
      </c>
      <c r="P202" s="5"/>
      <c r="Q202" s="5">
        <f t="shared" si="40"/>
        <v>1</v>
      </c>
      <c r="R202" s="7">
        <f t="shared" si="41"/>
        <v>3032</v>
      </c>
      <c r="S202" s="5">
        <f t="shared" si="42"/>
        <v>1</v>
      </c>
      <c r="T202" s="7">
        <f t="shared" si="43"/>
        <v>3032</v>
      </c>
    </row>
    <row r="203" spans="1:20">
      <c r="A203" s="23" t="s">
        <v>237</v>
      </c>
      <c r="B203" s="37" t="s">
        <v>233</v>
      </c>
      <c r="C203" s="36">
        <v>41624</v>
      </c>
      <c r="D203" s="6"/>
      <c r="E203" s="113">
        <v>6245355501</v>
      </c>
      <c r="F203" s="116">
        <f t="shared" si="44"/>
        <v>150042.1752114165</v>
      </c>
      <c r="G203" s="117">
        <v>5371241356</v>
      </c>
      <c r="H203" s="117">
        <f t="shared" si="38"/>
        <v>129041.9314818374</v>
      </c>
      <c r="I203" s="7"/>
      <c r="J203" s="11">
        <v>5.5</v>
      </c>
      <c r="K203" s="117">
        <v>29541827</v>
      </c>
      <c r="L203" s="120">
        <f t="shared" si="39"/>
        <v>709.73061214683833</v>
      </c>
      <c r="M203" s="122">
        <f t="shared" si="45"/>
        <v>53712413.560000002</v>
      </c>
      <c r="N203" s="116">
        <f t="shared" si="46"/>
        <v>24170586.560000002</v>
      </c>
      <c r="O203" s="123">
        <f t="shared" si="47"/>
        <v>580.68870267153568</v>
      </c>
      <c r="P203" s="5"/>
      <c r="Q203" s="5">
        <f t="shared" si="40"/>
        <v>1</v>
      </c>
      <c r="R203" s="7">
        <f t="shared" si="41"/>
        <v>41624</v>
      </c>
      <c r="S203" s="5">
        <f t="shared" si="42"/>
        <v>1</v>
      </c>
      <c r="T203" s="7">
        <f t="shared" si="43"/>
        <v>41624</v>
      </c>
    </row>
    <row r="204" spans="1:20">
      <c r="A204" s="23" t="s">
        <v>238</v>
      </c>
      <c r="B204" s="37" t="s">
        <v>233</v>
      </c>
      <c r="C204" s="36">
        <v>2528</v>
      </c>
      <c r="D204" s="6"/>
      <c r="E204" s="113">
        <v>66579118</v>
      </c>
      <c r="F204" s="116">
        <f t="shared" si="44"/>
        <v>26336.676424050635</v>
      </c>
      <c r="G204" s="117">
        <v>42757063</v>
      </c>
      <c r="H204" s="117">
        <f t="shared" si="38"/>
        <v>16913.395174050635</v>
      </c>
      <c r="I204" s="7"/>
      <c r="J204" s="10">
        <v>7.7</v>
      </c>
      <c r="K204" s="117">
        <v>329229</v>
      </c>
      <c r="L204" s="120">
        <f t="shared" si="39"/>
        <v>130.23299050632912</v>
      </c>
      <c r="M204" s="122">
        <f t="shared" si="45"/>
        <v>427570.63</v>
      </c>
      <c r="N204" s="116">
        <f t="shared" si="46"/>
        <v>98341.63</v>
      </c>
      <c r="O204" s="123">
        <f t="shared" si="47"/>
        <v>38.900961234177217</v>
      </c>
      <c r="P204" s="5"/>
      <c r="Q204" s="5">
        <f t="shared" si="40"/>
        <v>1</v>
      </c>
      <c r="R204" s="7">
        <f t="shared" si="41"/>
        <v>2528</v>
      </c>
      <c r="S204" s="5">
        <f t="shared" si="42"/>
        <v>1</v>
      </c>
      <c r="T204" s="7">
        <f t="shared" si="43"/>
        <v>2528</v>
      </c>
    </row>
    <row r="205" spans="1:20">
      <c r="A205" s="23" t="s">
        <v>239</v>
      </c>
      <c r="B205" s="37" t="s">
        <v>233</v>
      </c>
      <c r="C205" s="36">
        <v>6153</v>
      </c>
      <c r="D205" s="6"/>
      <c r="E205" s="113">
        <v>220656648</v>
      </c>
      <c r="F205" s="116">
        <f t="shared" si="44"/>
        <v>35861.63627498781</v>
      </c>
      <c r="G205" s="117">
        <v>158442650</v>
      </c>
      <c r="H205" s="117">
        <f t="shared" si="38"/>
        <v>25750.471314805785</v>
      </c>
      <c r="I205" s="7"/>
      <c r="J205" s="10">
        <v>0.79</v>
      </c>
      <c r="K205" s="117">
        <v>125169</v>
      </c>
      <c r="L205" s="120">
        <f t="shared" si="39"/>
        <v>20.342759629449048</v>
      </c>
      <c r="M205" s="122">
        <f t="shared" si="45"/>
        <v>1584426.5</v>
      </c>
      <c r="N205" s="116">
        <f t="shared" si="46"/>
        <v>1459257.5</v>
      </c>
      <c r="O205" s="123">
        <f t="shared" si="47"/>
        <v>237.16195351860881</v>
      </c>
      <c r="P205" s="5"/>
      <c r="Q205" s="5">
        <f t="shared" si="40"/>
        <v>1</v>
      </c>
      <c r="R205" s="7">
        <f t="shared" si="41"/>
        <v>6153</v>
      </c>
      <c r="S205" s="5">
        <f t="shared" si="42"/>
        <v>1</v>
      </c>
      <c r="T205" s="7">
        <f t="shared" si="43"/>
        <v>6153</v>
      </c>
    </row>
    <row r="206" spans="1:20">
      <c r="A206" s="23" t="s">
        <v>240</v>
      </c>
      <c r="B206" s="37" t="s">
        <v>233</v>
      </c>
      <c r="C206" s="36">
        <v>838</v>
      </c>
      <c r="D206" s="6"/>
      <c r="E206" s="113">
        <v>250455048</v>
      </c>
      <c r="F206" s="116">
        <f t="shared" si="44"/>
        <v>298872.37231503578</v>
      </c>
      <c r="G206" s="117">
        <v>232986115</v>
      </c>
      <c r="H206" s="117">
        <f t="shared" si="38"/>
        <v>278026.39021479711</v>
      </c>
      <c r="I206" s="7"/>
      <c r="J206" s="10">
        <v>8.59</v>
      </c>
      <c r="K206" s="117">
        <v>2001350</v>
      </c>
      <c r="L206" s="120">
        <f t="shared" si="39"/>
        <v>2388.2458233890216</v>
      </c>
      <c r="M206" s="122">
        <f t="shared" si="45"/>
        <v>2329861.15</v>
      </c>
      <c r="N206" s="116">
        <f t="shared" si="46"/>
        <v>328511.14999999991</v>
      </c>
      <c r="O206" s="123">
        <f t="shared" si="47"/>
        <v>392.01807875894974</v>
      </c>
      <c r="P206" s="5"/>
      <c r="Q206" s="5">
        <f t="shared" si="40"/>
        <v>1</v>
      </c>
      <c r="R206" s="7">
        <f t="shared" si="41"/>
        <v>838</v>
      </c>
      <c r="S206" s="5">
        <f t="shared" si="42"/>
        <v>1</v>
      </c>
      <c r="T206" s="7">
        <f t="shared" si="43"/>
        <v>838</v>
      </c>
    </row>
    <row r="207" spans="1:20">
      <c r="A207" s="23" t="s">
        <v>241</v>
      </c>
      <c r="B207" s="37" t="s">
        <v>233</v>
      </c>
      <c r="C207" s="36">
        <v>209415</v>
      </c>
      <c r="D207" s="6"/>
      <c r="E207" s="113">
        <v>6490947034</v>
      </c>
      <c r="F207" s="116">
        <f t="shared" si="44"/>
        <v>30995.616522216653</v>
      </c>
      <c r="G207" s="117">
        <v>4933538121</v>
      </c>
      <c r="H207" s="117">
        <f t="shared" si="38"/>
        <v>23558.666384929445</v>
      </c>
      <c r="I207" s="7"/>
      <c r="J207" s="10">
        <v>7.4809999999999999</v>
      </c>
      <c r="K207" s="117">
        <v>36907798</v>
      </c>
      <c r="L207" s="120">
        <f t="shared" si="39"/>
        <v>176.24237996323092</v>
      </c>
      <c r="M207" s="122">
        <f t="shared" si="45"/>
        <v>49335381.210000001</v>
      </c>
      <c r="N207" s="116">
        <f t="shared" si="46"/>
        <v>12427583.210000001</v>
      </c>
      <c r="O207" s="123">
        <f t="shared" si="47"/>
        <v>59.344283886063565</v>
      </c>
      <c r="P207" s="5"/>
      <c r="Q207" s="5">
        <f t="shared" si="40"/>
        <v>1</v>
      </c>
      <c r="R207" s="7">
        <f t="shared" si="41"/>
        <v>209415</v>
      </c>
      <c r="S207" s="5">
        <f t="shared" si="42"/>
        <v>1</v>
      </c>
      <c r="T207" s="7">
        <f t="shared" si="43"/>
        <v>209415</v>
      </c>
    </row>
    <row r="208" spans="1:20">
      <c r="A208" s="23" t="s">
        <v>242</v>
      </c>
      <c r="B208" s="37" t="s">
        <v>233</v>
      </c>
      <c r="C208" s="36">
        <v>17076</v>
      </c>
      <c r="D208" s="6"/>
      <c r="E208" s="113">
        <v>526617483</v>
      </c>
      <c r="F208" s="116">
        <f t="shared" si="44"/>
        <v>30839.627723120168</v>
      </c>
      <c r="G208" s="117">
        <v>414675025</v>
      </c>
      <c r="H208" s="117">
        <f t="shared" si="38"/>
        <v>24284.084387444367</v>
      </c>
      <c r="I208" s="7"/>
      <c r="J208" s="10">
        <v>7.5469999999999997</v>
      </c>
      <c r="K208" s="117">
        <v>3129552</v>
      </c>
      <c r="L208" s="120">
        <f t="shared" si="39"/>
        <v>183.27196064652142</v>
      </c>
      <c r="M208" s="122">
        <f t="shared" si="45"/>
        <v>4146750.25</v>
      </c>
      <c r="N208" s="116">
        <f t="shared" si="46"/>
        <v>1017198.25</v>
      </c>
      <c r="O208" s="123">
        <f t="shared" si="47"/>
        <v>59.568883227922228</v>
      </c>
      <c r="P208" s="5"/>
      <c r="Q208" s="5">
        <f t="shared" si="40"/>
        <v>1</v>
      </c>
      <c r="R208" s="7">
        <f t="shared" si="41"/>
        <v>17076</v>
      </c>
      <c r="S208" s="5">
        <f t="shared" si="42"/>
        <v>1</v>
      </c>
      <c r="T208" s="7">
        <f t="shared" si="43"/>
        <v>17076</v>
      </c>
    </row>
    <row r="209" spans="1:20">
      <c r="A209" s="23" t="s">
        <v>243</v>
      </c>
      <c r="B209" s="37" t="s">
        <v>233</v>
      </c>
      <c r="C209" s="36">
        <v>27084</v>
      </c>
      <c r="D209" s="6"/>
      <c r="E209" s="113">
        <v>925397241</v>
      </c>
      <c r="F209" s="116">
        <f t="shared" si="44"/>
        <v>34167.672463447052</v>
      </c>
      <c r="G209" s="117">
        <v>616217830</v>
      </c>
      <c r="H209" s="117">
        <f t="shared" si="38"/>
        <v>22752.098286811401</v>
      </c>
      <c r="I209" s="7"/>
      <c r="J209" s="10">
        <v>8.6815999999999995</v>
      </c>
      <c r="K209" s="117">
        <v>5349756</v>
      </c>
      <c r="L209" s="120">
        <f t="shared" si="39"/>
        <v>197.52459016393442</v>
      </c>
      <c r="M209" s="122">
        <f t="shared" si="45"/>
        <v>6162178.2999999998</v>
      </c>
      <c r="N209" s="116">
        <f t="shared" si="46"/>
        <v>812422.29999999981</v>
      </c>
      <c r="O209" s="123">
        <f t="shared" si="47"/>
        <v>29.996392704179584</v>
      </c>
      <c r="P209" s="5"/>
      <c r="Q209" s="5">
        <f t="shared" si="40"/>
        <v>1</v>
      </c>
      <c r="R209" s="7">
        <f t="shared" si="41"/>
        <v>27084</v>
      </c>
      <c r="S209" s="5">
        <f t="shared" si="42"/>
        <v>1</v>
      </c>
      <c r="T209" s="7">
        <f t="shared" si="43"/>
        <v>27084</v>
      </c>
    </row>
    <row r="210" spans="1:20">
      <c r="A210" s="23" t="s">
        <v>244</v>
      </c>
      <c r="B210" s="37" t="s">
        <v>233</v>
      </c>
      <c r="C210" s="36">
        <v>52</v>
      </c>
      <c r="D210" s="6"/>
      <c r="E210" s="113">
        <v>136506382</v>
      </c>
      <c r="F210" s="116">
        <f t="shared" si="44"/>
        <v>2625122.730769231</v>
      </c>
      <c r="G210" s="117">
        <v>123654941</v>
      </c>
      <c r="H210" s="117">
        <f t="shared" si="38"/>
        <v>2377979.6346153845</v>
      </c>
      <c r="I210" s="7"/>
      <c r="J210" s="10">
        <v>9.9600000000000009</v>
      </c>
      <c r="K210" s="117">
        <v>1231603</v>
      </c>
      <c r="L210" s="120">
        <f t="shared" si="39"/>
        <v>23684.673076923078</v>
      </c>
      <c r="M210" s="122">
        <f t="shared" si="45"/>
        <v>1236549.4099999999</v>
      </c>
      <c r="N210" s="116">
        <f t="shared" si="46"/>
        <v>4946.4099999999162</v>
      </c>
      <c r="O210" s="123">
        <f t="shared" si="47"/>
        <v>95.123269230767619</v>
      </c>
      <c r="P210" s="5"/>
      <c r="Q210" s="5">
        <f t="shared" si="40"/>
        <v>1</v>
      </c>
      <c r="R210" s="7">
        <f t="shared" si="41"/>
        <v>52</v>
      </c>
      <c r="S210" s="5">
        <f t="shared" si="42"/>
        <v>1</v>
      </c>
      <c r="T210" s="7">
        <f t="shared" si="43"/>
        <v>52</v>
      </c>
    </row>
    <row r="211" spans="1:20">
      <c r="A211" s="23" t="s">
        <v>245</v>
      </c>
      <c r="B211" s="37" t="s">
        <v>233</v>
      </c>
      <c r="C211" s="36">
        <v>13</v>
      </c>
      <c r="D211" s="6"/>
      <c r="E211" s="113">
        <v>9349116</v>
      </c>
      <c r="F211" s="116">
        <f t="shared" si="44"/>
        <v>719162.76923076925</v>
      </c>
      <c r="G211" s="117">
        <v>345576</v>
      </c>
      <c r="H211" s="117">
        <f t="shared" si="38"/>
        <v>26582.76923076923</v>
      </c>
      <c r="I211" s="7"/>
      <c r="J211" s="10">
        <v>9.0805000000000007</v>
      </c>
      <c r="K211" s="117">
        <v>3138</v>
      </c>
      <c r="L211" s="120">
        <f t="shared" si="39"/>
        <v>241.38461538461539</v>
      </c>
      <c r="M211" s="122">
        <f t="shared" si="45"/>
        <v>3455.76</v>
      </c>
      <c r="N211" s="116">
        <f t="shared" si="46"/>
        <v>317.76000000000022</v>
      </c>
      <c r="O211" s="123">
        <f t="shared" si="47"/>
        <v>24.443076923076941</v>
      </c>
      <c r="P211" s="5"/>
      <c r="Q211" s="5">
        <f t="shared" si="40"/>
        <v>1</v>
      </c>
      <c r="R211" s="7">
        <f t="shared" si="41"/>
        <v>13</v>
      </c>
      <c r="S211" s="5">
        <f t="shared" si="42"/>
        <v>1</v>
      </c>
      <c r="T211" s="7">
        <f t="shared" si="43"/>
        <v>13</v>
      </c>
    </row>
    <row r="212" spans="1:20">
      <c r="A212" s="23" t="s">
        <v>246</v>
      </c>
      <c r="B212" s="37" t="s">
        <v>233</v>
      </c>
      <c r="C212" s="36">
        <v>9471</v>
      </c>
      <c r="D212" s="6"/>
      <c r="E212" s="113">
        <v>2143839711</v>
      </c>
      <c r="F212" s="116">
        <f t="shared" si="44"/>
        <v>226358.32657586318</v>
      </c>
      <c r="G212" s="117">
        <v>2028547298</v>
      </c>
      <c r="H212" s="117">
        <f t="shared" si="38"/>
        <v>214185.12279590327</v>
      </c>
      <c r="I212" s="7"/>
      <c r="J212" s="10">
        <v>3.6059999999999999</v>
      </c>
      <c r="K212" s="117">
        <v>7314941</v>
      </c>
      <c r="L212" s="120">
        <f t="shared" si="39"/>
        <v>772.35149403442085</v>
      </c>
      <c r="M212" s="122">
        <f t="shared" si="45"/>
        <v>20285472.98</v>
      </c>
      <c r="N212" s="116">
        <f t="shared" si="46"/>
        <v>12970531.98</v>
      </c>
      <c r="O212" s="123">
        <f t="shared" si="47"/>
        <v>1369.499733924612</v>
      </c>
      <c r="P212" s="5"/>
      <c r="Q212" s="5">
        <f t="shared" si="40"/>
        <v>1</v>
      </c>
      <c r="R212" s="7">
        <f t="shared" si="41"/>
        <v>9471</v>
      </c>
      <c r="S212" s="5">
        <f t="shared" si="42"/>
        <v>1</v>
      </c>
      <c r="T212" s="7">
        <f t="shared" si="43"/>
        <v>9471</v>
      </c>
    </row>
    <row r="213" spans="1:20">
      <c r="A213" s="23" t="s">
        <v>247</v>
      </c>
      <c r="B213" s="37" t="s">
        <v>233</v>
      </c>
      <c r="C213" s="36">
        <v>867</v>
      </c>
      <c r="D213" s="6"/>
      <c r="E213" s="113">
        <v>630387906</v>
      </c>
      <c r="F213" s="116">
        <f t="shared" si="44"/>
        <v>727091.01038062281</v>
      </c>
      <c r="G213" s="117">
        <v>623506821</v>
      </c>
      <c r="H213" s="117">
        <f t="shared" si="38"/>
        <v>719154.3494809689</v>
      </c>
      <c r="I213" s="7"/>
      <c r="J213" s="10">
        <v>7.923</v>
      </c>
      <c r="K213" s="117">
        <v>4940044</v>
      </c>
      <c r="L213" s="120">
        <f t="shared" si="39"/>
        <v>5697.8592848904264</v>
      </c>
      <c r="M213" s="122">
        <f t="shared" si="45"/>
        <v>6235068.21</v>
      </c>
      <c r="N213" s="116">
        <f t="shared" si="46"/>
        <v>1295024.21</v>
      </c>
      <c r="O213" s="123">
        <f t="shared" si="47"/>
        <v>1493.6842099192618</v>
      </c>
      <c r="P213" s="5"/>
      <c r="Q213" s="5">
        <f t="shared" si="40"/>
        <v>1</v>
      </c>
      <c r="R213" s="7">
        <f t="shared" si="41"/>
        <v>867</v>
      </c>
      <c r="S213" s="5">
        <f t="shared" si="42"/>
        <v>1</v>
      </c>
      <c r="T213" s="7">
        <f t="shared" si="43"/>
        <v>867</v>
      </c>
    </row>
    <row r="214" spans="1:20">
      <c r="A214" s="23" t="s">
        <v>248</v>
      </c>
      <c r="B214" s="37" t="s">
        <v>233</v>
      </c>
      <c r="C214" s="36">
        <v>364765</v>
      </c>
      <c r="D214" s="6"/>
      <c r="E214" s="113">
        <v>18104977851</v>
      </c>
      <c r="F214" s="116">
        <f t="shared" si="44"/>
        <v>49634.635590037418</v>
      </c>
      <c r="G214" s="117">
        <v>12587517564</v>
      </c>
      <c r="H214" s="117">
        <f t="shared" si="38"/>
        <v>34508.567335133579</v>
      </c>
      <c r="I214" s="7"/>
      <c r="J214" s="10">
        <v>12.29</v>
      </c>
      <c r="K214" s="117">
        <v>154700590</v>
      </c>
      <c r="L214" s="120">
        <f t="shared" si="39"/>
        <v>424.11029018683263</v>
      </c>
      <c r="M214" s="122">
        <f t="shared" si="45"/>
        <v>125875175.64</v>
      </c>
      <c r="N214" s="116">
        <f t="shared" si="46"/>
        <v>-28825414.359999999</v>
      </c>
      <c r="O214" s="123">
        <f t="shared" si="47"/>
        <v>-79.024616835496829</v>
      </c>
      <c r="P214" s="5"/>
      <c r="Q214" s="5">
        <f t="shared" si="40"/>
        <v>1</v>
      </c>
      <c r="R214" s="7">
        <f t="shared" si="41"/>
        <v>364765</v>
      </c>
      <c r="S214" s="5">
        <f t="shared" si="42"/>
        <v>1</v>
      </c>
      <c r="T214" s="7">
        <f t="shared" si="43"/>
        <v>364765</v>
      </c>
    </row>
    <row r="215" spans="1:20">
      <c r="A215" s="23" t="s">
        <v>249</v>
      </c>
      <c r="B215" s="37" t="s">
        <v>233</v>
      </c>
      <c r="C215" s="36">
        <v>93464</v>
      </c>
      <c r="D215" s="6"/>
      <c r="E215" s="113">
        <v>8245794438</v>
      </c>
      <c r="F215" s="116">
        <f t="shared" si="44"/>
        <v>88224.283553025758</v>
      </c>
      <c r="G215" s="117">
        <v>6966437661</v>
      </c>
      <c r="H215" s="117">
        <f t="shared" si="38"/>
        <v>74536.053036463243</v>
      </c>
      <c r="I215" s="7"/>
      <c r="J215" s="10">
        <v>8.9830000000000005</v>
      </c>
      <c r="K215" s="117">
        <v>62579509</v>
      </c>
      <c r="L215" s="120">
        <f t="shared" si="39"/>
        <v>669.55735898313787</v>
      </c>
      <c r="M215" s="122">
        <f t="shared" si="45"/>
        <v>69664376.609999999</v>
      </c>
      <c r="N215" s="116">
        <f t="shared" si="46"/>
        <v>7084867.6099999994</v>
      </c>
      <c r="O215" s="123">
        <f t="shared" si="47"/>
        <v>75.803171381494479</v>
      </c>
      <c r="P215" s="5"/>
      <c r="Q215" s="5">
        <f t="shared" si="40"/>
        <v>1</v>
      </c>
      <c r="R215" s="7">
        <f t="shared" si="41"/>
        <v>93464</v>
      </c>
      <c r="S215" s="5">
        <f t="shared" si="42"/>
        <v>1</v>
      </c>
      <c r="T215" s="7">
        <f t="shared" si="43"/>
        <v>93464</v>
      </c>
    </row>
    <row r="216" spans="1:20">
      <c r="A216" s="23" t="s">
        <v>250</v>
      </c>
      <c r="B216" s="37" t="s">
        <v>233</v>
      </c>
      <c r="C216" s="36">
        <v>10199</v>
      </c>
      <c r="D216" s="6"/>
      <c r="E216" s="113">
        <v>539389046</v>
      </c>
      <c r="F216" s="116">
        <f t="shared" si="44"/>
        <v>52886.463967055592</v>
      </c>
      <c r="G216" s="117">
        <v>368680347</v>
      </c>
      <c r="H216" s="117">
        <f t="shared" si="38"/>
        <v>36148.676046671244</v>
      </c>
      <c r="I216" s="7"/>
      <c r="J216" s="10">
        <v>8.74</v>
      </c>
      <c r="K216" s="117">
        <v>3222266</v>
      </c>
      <c r="L216" s="120">
        <f t="shared" si="39"/>
        <v>315.93940582410039</v>
      </c>
      <c r="M216" s="122">
        <f t="shared" si="45"/>
        <v>3686803.47</v>
      </c>
      <c r="N216" s="116">
        <f t="shared" si="46"/>
        <v>464537.4700000002</v>
      </c>
      <c r="O216" s="123">
        <f t="shared" si="47"/>
        <v>45.547354642612042</v>
      </c>
      <c r="P216" s="5"/>
      <c r="Q216" s="5">
        <f t="shared" si="40"/>
        <v>1</v>
      </c>
      <c r="R216" s="7">
        <f t="shared" si="41"/>
        <v>10199</v>
      </c>
      <c r="S216" s="5">
        <f t="shared" si="42"/>
        <v>1</v>
      </c>
      <c r="T216" s="7">
        <f t="shared" si="43"/>
        <v>10199</v>
      </c>
    </row>
    <row r="217" spans="1:20">
      <c r="A217" s="23" t="s">
        <v>251</v>
      </c>
      <c r="B217" s="37" t="s">
        <v>233</v>
      </c>
      <c r="C217" s="36">
        <v>13304</v>
      </c>
      <c r="D217" s="6"/>
      <c r="E217" s="113">
        <v>684430667</v>
      </c>
      <c r="F217" s="116">
        <f t="shared" si="44"/>
        <v>51445.48008117859</v>
      </c>
      <c r="G217" s="117">
        <v>542911493</v>
      </c>
      <c r="H217" s="117">
        <f t="shared" si="38"/>
        <v>40808.139882742034</v>
      </c>
      <c r="I217" s="7"/>
      <c r="J217" s="10">
        <v>7.8414000000000001</v>
      </c>
      <c r="K217" s="117">
        <v>4257186</v>
      </c>
      <c r="L217" s="120">
        <f t="shared" si="39"/>
        <v>319.99293445580275</v>
      </c>
      <c r="M217" s="122">
        <f t="shared" si="45"/>
        <v>5429114.9299999997</v>
      </c>
      <c r="N217" s="116">
        <f t="shared" si="46"/>
        <v>1171928.9299999997</v>
      </c>
      <c r="O217" s="123">
        <f t="shared" si="47"/>
        <v>88.088464371617533</v>
      </c>
      <c r="P217" s="5"/>
      <c r="Q217" s="5">
        <f t="shared" si="40"/>
        <v>1</v>
      </c>
      <c r="R217" s="7">
        <f t="shared" si="41"/>
        <v>13304</v>
      </c>
      <c r="S217" s="5">
        <f t="shared" si="42"/>
        <v>1</v>
      </c>
      <c r="T217" s="7">
        <f t="shared" si="43"/>
        <v>13304</v>
      </c>
    </row>
    <row r="218" spans="1:20">
      <c r="A218" s="23" t="s">
        <v>252</v>
      </c>
      <c r="B218" s="37" t="s">
        <v>233</v>
      </c>
      <c r="C218" s="36">
        <v>6058</v>
      </c>
      <c r="D218" s="6"/>
      <c r="E218" s="113">
        <v>264805509</v>
      </c>
      <c r="F218" s="116">
        <f t="shared" si="44"/>
        <v>43711.705018157809</v>
      </c>
      <c r="G218" s="117">
        <v>237824323</v>
      </c>
      <c r="H218" s="117">
        <f t="shared" si="38"/>
        <v>39257.894189501487</v>
      </c>
      <c r="I218" s="7"/>
      <c r="J218" s="10">
        <v>5.5042</v>
      </c>
      <c r="K218" s="117">
        <v>1309032</v>
      </c>
      <c r="L218" s="120">
        <f t="shared" si="39"/>
        <v>216.08319577418291</v>
      </c>
      <c r="M218" s="122">
        <f t="shared" si="45"/>
        <v>2378243.23</v>
      </c>
      <c r="N218" s="116">
        <f t="shared" si="46"/>
        <v>1069211.23</v>
      </c>
      <c r="O218" s="123">
        <f t="shared" si="47"/>
        <v>176.49574612083197</v>
      </c>
      <c r="P218" s="5"/>
      <c r="Q218" s="5">
        <f t="shared" si="40"/>
        <v>1</v>
      </c>
      <c r="R218" s="7">
        <f t="shared" si="41"/>
        <v>6058</v>
      </c>
      <c r="S218" s="5">
        <f t="shared" si="42"/>
        <v>1</v>
      </c>
      <c r="T218" s="7">
        <f t="shared" si="43"/>
        <v>6058</v>
      </c>
    </row>
    <row r="219" spans="1:20">
      <c r="A219" s="23" t="s">
        <v>253</v>
      </c>
      <c r="B219" s="37" t="s">
        <v>233</v>
      </c>
      <c r="C219" s="36">
        <v>50422</v>
      </c>
      <c r="D219" s="6"/>
      <c r="E219" s="113">
        <v>1738454053</v>
      </c>
      <c r="F219" s="116">
        <f t="shared" si="44"/>
        <v>34478.086014041488</v>
      </c>
      <c r="G219" s="117">
        <v>1242844184</v>
      </c>
      <c r="H219" s="117">
        <f t="shared" si="38"/>
        <v>24648.847407877514</v>
      </c>
      <c r="I219" s="7"/>
      <c r="J219" s="10">
        <v>9</v>
      </c>
      <c r="K219" s="117">
        <v>11185597</v>
      </c>
      <c r="L219" s="120">
        <f t="shared" si="39"/>
        <v>221.83961366070366</v>
      </c>
      <c r="M219" s="122">
        <f t="shared" si="45"/>
        <v>12428441.84</v>
      </c>
      <c r="N219" s="116">
        <f t="shared" si="46"/>
        <v>1242844.8399999999</v>
      </c>
      <c r="O219" s="123">
        <f t="shared" si="47"/>
        <v>24.648860418071475</v>
      </c>
      <c r="P219" s="5"/>
      <c r="Q219" s="5">
        <f t="shared" si="40"/>
        <v>1</v>
      </c>
      <c r="R219" s="7">
        <f t="shared" si="41"/>
        <v>50422</v>
      </c>
      <c r="S219" s="5">
        <f t="shared" si="42"/>
        <v>1</v>
      </c>
      <c r="T219" s="7">
        <f t="shared" si="43"/>
        <v>50422</v>
      </c>
    </row>
    <row r="220" spans="1:20">
      <c r="A220" s="23" t="s">
        <v>254</v>
      </c>
      <c r="B220" s="37" t="s">
        <v>233</v>
      </c>
      <c r="C220" s="36">
        <v>36727</v>
      </c>
      <c r="D220" s="6"/>
      <c r="E220" s="113">
        <v>1471716349</v>
      </c>
      <c r="F220" s="116">
        <f t="shared" si="44"/>
        <v>40071.782312739946</v>
      </c>
      <c r="G220" s="117">
        <v>1102699762</v>
      </c>
      <c r="H220" s="117">
        <f t="shared" si="38"/>
        <v>30024.226372968114</v>
      </c>
      <c r="I220" s="7"/>
      <c r="J220" s="10">
        <v>8.4232999999999993</v>
      </c>
      <c r="K220" s="117">
        <v>9288370</v>
      </c>
      <c r="L220" s="120">
        <f t="shared" si="39"/>
        <v>252.90304135921801</v>
      </c>
      <c r="M220" s="122">
        <f t="shared" si="45"/>
        <v>11026997.620000001</v>
      </c>
      <c r="N220" s="116">
        <f t="shared" si="46"/>
        <v>1738627.620000001</v>
      </c>
      <c r="O220" s="123">
        <f t="shared" si="47"/>
        <v>47.339222370463176</v>
      </c>
      <c r="P220" s="5"/>
      <c r="Q220" s="5">
        <f t="shared" si="40"/>
        <v>1</v>
      </c>
      <c r="R220" s="7">
        <f t="shared" si="41"/>
        <v>36727</v>
      </c>
      <c r="S220" s="5">
        <f t="shared" si="42"/>
        <v>1</v>
      </c>
      <c r="T220" s="7">
        <f t="shared" si="43"/>
        <v>36727</v>
      </c>
    </row>
    <row r="221" spans="1:20">
      <c r="A221" s="23" t="s">
        <v>255</v>
      </c>
      <c r="B221" s="37" t="s">
        <v>233</v>
      </c>
      <c r="C221" s="36">
        <v>15555</v>
      </c>
      <c r="D221" s="6"/>
      <c r="E221" s="113">
        <v>496617431</v>
      </c>
      <c r="F221" s="116">
        <f t="shared" si="44"/>
        <v>31926.54651237544</v>
      </c>
      <c r="G221" s="117">
        <v>392304625</v>
      </c>
      <c r="H221" s="117">
        <f t="shared" ref="H221:H284" si="48">(G221/C221)</f>
        <v>25220.483767277401</v>
      </c>
      <c r="I221" s="7"/>
      <c r="J221" s="10">
        <v>9.8000000000000007</v>
      </c>
      <c r="K221" s="117">
        <v>3844585</v>
      </c>
      <c r="L221" s="120">
        <f t="shared" si="39"/>
        <v>247.16072002571519</v>
      </c>
      <c r="M221" s="122">
        <f t="shared" si="45"/>
        <v>3923046.25</v>
      </c>
      <c r="N221" s="116">
        <f t="shared" si="46"/>
        <v>78461.25</v>
      </c>
      <c r="O221" s="123">
        <f t="shared" si="47"/>
        <v>5.0441176470588234</v>
      </c>
      <c r="P221" s="5"/>
      <c r="Q221" s="5">
        <f t="shared" si="40"/>
        <v>1</v>
      </c>
      <c r="R221" s="7">
        <f t="shared" si="41"/>
        <v>15555</v>
      </c>
      <c r="S221" s="5">
        <f t="shared" si="42"/>
        <v>1</v>
      </c>
      <c r="T221" s="7">
        <f t="shared" si="43"/>
        <v>15555</v>
      </c>
    </row>
    <row r="222" spans="1:20">
      <c r="A222" s="23" t="s">
        <v>256</v>
      </c>
      <c r="B222" s="37" t="s">
        <v>233</v>
      </c>
      <c r="C222" s="36">
        <v>17986</v>
      </c>
      <c r="D222" s="6"/>
      <c r="E222" s="113">
        <v>1949266635</v>
      </c>
      <c r="F222" s="116">
        <f t="shared" si="44"/>
        <v>108376.88396530635</v>
      </c>
      <c r="G222" s="117">
        <v>1700932791</v>
      </c>
      <c r="H222" s="117">
        <f t="shared" si="48"/>
        <v>94569.820471477811</v>
      </c>
      <c r="I222" s="7"/>
      <c r="J222" s="10">
        <v>2.1</v>
      </c>
      <c r="K222" s="117">
        <v>3571958</v>
      </c>
      <c r="L222" s="120">
        <f t="shared" si="39"/>
        <v>198.59657511397754</v>
      </c>
      <c r="M222" s="122">
        <f t="shared" si="45"/>
        <v>17009327.91</v>
      </c>
      <c r="N222" s="116">
        <f t="shared" si="46"/>
        <v>13437369.91</v>
      </c>
      <c r="O222" s="123">
        <f t="shared" si="47"/>
        <v>747.10162960080061</v>
      </c>
      <c r="P222" s="5"/>
      <c r="Q222" s="5">
        <f t="shared" si="40"/>
        <v>1</v>
      </c>
      <c r="R222" s="7">
        <f t="shared" si="41"/>
        <v>17986</v>
      </c>
      <c r="S222" s="5">
        <f t="shared" si="42"/>
        <v>1</v>
      </c>
      <c r="T222" s="7">
        <f t="shared" si="43"/>
        <v>17986</v>
      </c>
    </row>
    <row r="223" spans="1:20">
      <c r="A223" s="23" t="s">
        <v>257</v>
      </c>
      <c r="B223" s="37" t="s">
        <v>233</v>
      </c>
      <c r="C223" s="36">
        <v>10518</v>
      </c>
      <c r="D223" s="6"/>
      <c r="E223" s="113">
        <v>831863194</v>
      </c>
      <c r="F223" s="116">
        <f t="shared" si="44"/>
        <v>79089.484122456735</v>
      </c>
      <c r="G223" s="117">
        <v>583079690</v>
      </c>
      <c r="H223" s="117">
        <f t="shared" si="48"/>
        <v>55436.365278570069</v>
      </c>
      <c r="I223" s="7"/>
      <c r="J223" s="10">
        <v>6.59</v>
      </c>
      <c r="K223" s="117">
        <v>3842495</v>
      </c>
      <c r="L223" s="120">
        <f t="shared" si="39"/>
        <v>365.32563224947711</v>
      </c>
      <c r="M223" s="122">
        <f t="shared" si="45"/>
        <v>5830796.9000000004</v>
      </c>
      <c r="N223" s="116">
        <f t="shared" si="46"/>
        <v>1988301.9000000004</v>
      </c>
      <c r="O223" s="123">
        <f t="shared" si="47"/>
        <v>189.03802053622366</v>
      </c>
      <c r="P223" s="5"/>
      <c r="Q223" s="5">
        <f t="shared" si="40"/>
        <v>1</v>
      </c>
      <c r="R223" s="7">
        <f t="shared" si="41"/>
        <v>10518</v>
      </c>
      <c r="S223" s="5">
        <f t="shared" si="42"/>
        <v>1</v>
      </c>
      <c r="T223" s="7">
        <f t="shared" si="43"/>
        <v>10518</v>
      </c>
    </row>
    <row r="224" spans="1:20">
      <c r="A224" s="23" t="s">
        <v>258</v>
      </c>
      <c r="B224" s="37" t="s">
        <v>233</v>
      </c>
      <c r="C224" s="36">
        <v>13871</v>
      </c>
      <c r="D224" s="6"/>
      <c r="E224" s="113">
        <v>1350242125</v>
      </c>
      <c r="F224" s="116">
        <f t="shared" si="44"/>
        <v>97342.810539975486</v>
      </c>
      <c r="G224" s="117">
        <v>1245353315</v>
      </c>
      <c r="H224" s="117">
        <f t="shared" si="48"/>
        <v>89781.076706798354</v>
      </c>
      <c r="I224" s="7"/>
      <c r="J224" s="10">
        <v>2.399</v>
      </c>
      <c r="K224" s="117">
        <v>2987602</v>
      </c>
      <c r="L224" s="120">
        <f t="shared" si="39"/>
        <v>215.38475957032659</v>
      </c>
      <c r="M224" s="122">
        <f t="shared" si="45"/>
        <v>12453533.15</v>
      </c>
      <c r="N224" s="116">
        <f t="shared" si="46"/>
        <v>9465931.1500000004</v>
      </c>
      <c r="O224" s="123">
        <f t="shared" si="47"/>
        <v>682.426007497657</v>
      </c>
      <c r="P224" s="5"/>
      <c r="Q224" s="5">
        <f t="shared" si="40"/>
        <v>1</v>
      </c>
      <c r="R224" s="7">
        <f t="shared" si="41"/>
        <v>13871</v>
      </c>
      <c r="S224" s="5">
        <f t="shared" si="42"/>
        <v>1</v>
      </c>
      <c r="T224" s="7">
        <f t="shared" si="43"/>
        <v>13871</v>
      </c>
    </row>
    <row r="225" spans="1:20">
      <c r="A225" s="23" t="s">
        <v>259</v>
      </c>
      <c r="B225" s="37" t="s">
        <v>233</v>
      </c>
      <c r="C225" s="36">
        <v>4319</v>
      </c>
      <c r="D225" s="6"/>
      <c r="E225" s="113">
        <v>490695426</v>
      </c>
      <c r="F225" s="116">
        <f t="shared" si="44"/>
        <v>113613.20351933318</v>
      </c>
      <c r="G225" s="117">
        <v>433764529</v>
      </c>
      <c r="H225" s="117">
        <f t="shared" si="48"/>
        <v>100431.7038666358</v>
      </c>
      <c r="I225" s="7"/>
      <c r="J225" s="10">
        <v>5.6029999999999998</v>
      </c>
      <c r="K225" s="117">
        <v>2430382</v>
      </c>
      <c r="L225" s="120">
        <f t="shared" si="39"/>
        <v>562.71868488075938</v>
      </c>
      <c r="M225" s="122">
        <f t="shared" si="45"/>
        <v>4337645.29</v>
      </c>
      <c r="N225" s="116">
        <f t="shared" si="46"/>
        <v>1907263.29</v>
      </c>
      <c r="O225" s="123">
        <f t="shared" si="47"/>
        <v>441.59835378559853</v>
      </c>
      <c r="P225" s="5"/>
      <c r="Q225" s="5">
        <f t="shared" si="40"/>
        <v>1</v>
      </c>
      <c r="R225" s="7">
        <f t="shared" si="41"/>
        <v>4319</v>
      </c>
      <c r="S225" s="5">
        <f t="shared" si="42"/>
        <v>1</v>
      </c>
      <c r="T225" s="7">
        <f t="shared" si="43"/>
        <v>4319</v>
      </c>
    </row>
    <row r="226" spans="1:20">
      <c r="A226" s="23" t="s">
        <v>260</v>
      </c>
      <c r="B226" s="37" t="s">
        <v>233</v>
      </c>
      <c r="C226" s="36">
        <v>14015</v>
      </c>
      <c r="D226" s="6"/>
      <c r="E226" s="113">
        <v>266403539</v>
      </c>
      <c r="F226" s="116">
        <f t="shared" si="44"/>
        <v>19008.458009275775</v>
      </c>
      <c r="G226" s="117">
        <v>214935319</v>
      </c>
      <c r="H226" s="117">
        <f t="shared" si="48"/>
        <v>15336.091259364966</v>
      </c>
      <c r="I226" s="7"/>
      <c r="J226" s="10">
        <v>3.5316000000000001</v>
      </c>
      <c r="K226" s="117">
        <v>759065</v>
      </c>
      <c r="L226" s="120">
        <f t="shared" si="39"/>
        <v>54.160899036746343</v>
      </c>
      <c r="M226" s="122">
        <f t="shared" si="45"/>
        <v>2149353.19</v>
      </c>
      <c r="N226" s="116">
        <f t="shared" si="46"/>
        <v>1390288.19</v>
      </c>
      <c r="O226" s="123">
        <f t="shared" si="47"/>
        <v>99.200013556903315</v>
      </c>
      <c r="P226" s="5"/>
      <c r="Q226" s="5">
        <f t="shared" si="40"/>
        <v>1</v>
      </c>
      <c r="R226" s="7">
        <f t="shared" si="41"/>
        <v>14015</v>
      </c>
      <c r="S226" s="5">
        <f t="shared" si="42"/>
        <v>1</v>
      </c>
      <c r="T226" s="7">
        <f t="shared" si="43"/>
        <v>14015</v>
      </c>
    </row>
    <row r="227" spans="1:20">
      <c r="A227" s="23" t="s">
        <v>261</v>
      </c>
      <c r="B227" s="37" t="s">
        <v>233</v>
      </c>
      <c r="C227" s="36">
        <v>2278</v>
      </c>
      <c r="D227" s="6"/>
      <c r="E227" s="113">
        <v>90846050</v>
      </c>
      <c r="F227" s="116">
        <f t="shared" si="44"/>
        <v>39879.741000877963</v>
      </c>
      <c r="G227" s="117">
        <v>76684236</v>
      </c>
      <c r="H227" s="117">
        <f t="shared" si="48"/>
        <v>33662.965759438106</v>
      </c>
      <c r="I227" s="7"/>
      <c r="J227" s="10">
        <v>3.843</v>
      </c>
      <c r="K227" s="117">
        <v>294697</v>
      </c>
      <c r="L227" s="120">
        <f t="shared" si="39"/>
        <v>129.3665496049166</v>
      </c>
      <c r="M227" s="122">
        <f t="shared" si="45"/>
        <v>766842.36</v>
      </c>
      <c r="N227" s="116">
        <f t="shared" si="46"/>
        <v>472145.36</v>
      </c>
      <c r="O227" s="123">
        <f t="shared" si="47"/>
        <v>207.26310798946443</v>
      </c>
      <c r="P227" s="5"/>
      <c r="Q227" s="5">
        <f t="shared" si="40"/>
        <v>1</v>
      </c>
      <c r="R227" s="7">
        <f t="shared" si="41"/>
        <v>2278</v>
      </c>
      <c r="S227" s="5">
        <f t="shared" si="42"/>
        <v>1</v>
      </c>
      <c r="T227" s="7">
        <f t="shared" si="43"/>
        <v>2278</v>
      </c>
    </row>
    <row r="228" spans="1:20">
      <c r="A228" s="23" t="s">
        <v>262</v>
      </c>
      <c r="B228" s="37" t="s">
        <v>233</v>
      </c>
      <c r="C228" s="36">
        <v>5890</v>
      </c>
      <c r="D228" s="6"/>
      <c r="E228" s="113">
        <v>211966914</v>
      </c>
      <c r="F228" s="116">
        <f t="shared" si="44"/>
        <v>35987.591511035651</v>
      </c>
      <c r="G228" s="117">
        <v>171135170</v>
      </c>
      <c r="H228" s="117">
        <f t="shared" si="48"/>
        <v>29055.20713073005</v>
      </c>
      <c r="I228" s="7"/>
      <c r="J228" s="10">
        <v>8.4949999999999992</v>
      </c>
      <c r="K228" s="117">
        <v>1453793</v>
      </c>
      <c r="L228" s="120">
        <f t="shared" si="39"/>
        <v>246.8239388794567</v>
      </c>
      <c r="M228" s="122">
        <f t="shared" si="45"/>
        <v>1711351.7</v>
      </c>
      <c r="N228" s="116">
        <f t="shared" si="46"/>
        <v>257558.69999999995</v>
      </c>
      <c r="O228" s="123">
        <f t="shared" si="47"/>
        <v>43.728132427843796</v>
      </c>
      <c r="P228" s="5"/>
      <c r="Q228" s="5">
        <f t="shared" si="40"/>
        <v>1</v>
      </c>
      <c r="R228" s="7">
        <f t="shared" si="41"/>
        <v>5890</v>
      </c>
      <c r="S228" s="5">
        <f t="shared" si="42"/>
        <v>1</v>
      </c>
      <c r="T228" s="7">
        <f t="shared" si="43"/>
        <v>5890</v>
      </c>
    </row>
    <row r="229" spans="1:20">
      <c r="A229" s="23" t="s">
        <v>263</v>
      </c>
      <c r="B229" s="37" t="s">
        <v>264</v>
      </c>
      <c r="C229" s="36">
        <v>7632</v>
      </c>
      <c r="D229" s="6"/>
      <c r="E229" s="113">
        <v>1177038074</v>
      </c>
      <c r="F229" s="116">
        <f t="shared" si="44"/>
        <v>154224.06629979034</v>
      </c>
      <c r="G229" s="117">
        <v>1072938992</v>
      </c>
      <c r="H229" s="117">
        <f t="shared" si="48"/>
        <v>140584.24947589097</v>
      </c>
      <c r="I229" s="7"/>
      <c r="J229" s="10">
        <v>2.13</v>
      </c>
      <c r="K229" s="117">
        <v>2285360</v>
      </c>
      <c r="L229" s="120">
        <f t="shared" si="39"/>
        <v>299.44444444444446</v>
      </c>
      <c r="M229" s="122">
        <f t="shared" si="45"/>
        <v>10729389.92</v>
      </c>
      <c r="N229" s="116">
        <f t="shared" si="46"/>
        <v>8444029.9199999999</v>
      </c>
      <c r="O229" s="123">
        <f t="shared" si="47"/>
        <v>1106.3980503144653</v>
      </c>
      <c r="P229" s="5"/>
      <c r="Q229" s="5">
        <f t="shared" si="40"/>
        <v>1</v>
      </c>
      <c r="R229" s="7">
        <f t="shared" si="41"/>
        <v>7632</v>
      </c>
      <c r="S229" s="5">
        <f t="shared" si="42"/>
        <v>1</v>
      </c>
      <c r="T229" s="7">
        <f t="shared" si="43"/>
        <v>7632</v>
      </c>
    </row>
    <row r="230" spans="1:20">
      <c r="A230" s="23" t="s">
        <v>265</v>
      </c>
      <c r="B230" s="37" t="s">
        <v>264</v>
      </c>
      <c r="C230" s="36">
        <v>1059</v>
      </c>
      <c r="D230" s="6"/>
      <c r="E230" s="113">
        <v>236488394</v>
      </c>
      <c r="F230" s="116">
        <f t="shared" si="44"/>
        <v>223312.93106704438</v>
      </c>
      <c r="G230" s="117">
        <v>225335145</v>
      </c>
      <c r="H230" s="117">
        <f t="shared" si="48"/>
        <v>212781.06232294618</v>
      </c>
      <c r="I230" s="7"/>
      <c r="J230" s="10">
        <v>1.6386000000000001</v>
      </c>
      <c r="K230" s="117">
        <v>369234</v>
      </c>
      <c r="L230" s="120">
        <f t="shared" si="39"/>
        <v>348.66288951841358</v>
      </c>
      <c r="M230" s="122">
        <f t="shared" si="45"/>
        <v>2253351.4500000002</v>
      </c>
      <c r="N230" s="116">
        <f t="shared" si="46"/>
        <v>1884117.4500000002</v>
      </c>
      <c r="O230" s="123">
        <f t="shared" si="47"/>
        <v>1779.1477337110484</v>
      </c>
      <c r="P230" s="5"/>
      <c r="Q230" s="5">
        <f t="shared" si="40"/>
        <v>1</v>
      </c>
      <c r="R230" s="7">
        <f t="shared" si="41"/>
        <v>1059</v>
      </c>
      <c r="S230" s="5">
        <f t="shared" si="42"/>
        <v>1</v>
      </c>
      <c r="T230" s="7">
        <f t="shared" si="43"/>
        <v>1059</v>
      </c>
    </row>
    <row r="231" spans="1:20">
      <c r="A231" s="23" t="s">
        <v>266</v>
      </c>
      <c r="B231" s="37" t="s">
        <v>264</v>
      </c>
      <c r="C231" s="36">
        <v>27522</v>
      </c>
      <c r="D231" s="6"/>
      <c r="E231" s="113">
        <v>4469712826</v>
      </c>
      <c r="F231" s="116">
        <f t="shared" si="44"/>
        <v>162405.08778431799</v>
      </c>
      <c r="G231" s="117">
        <v>2386668010</v>
      </c>
      <c r="H231" s="117">
        <f t="shared" si="48"/>
        <v>86718.552794128336</v>
      </c>
      <c r="I231" s="7"/>
      <c r="J231" s="10">
        <v>4.0401999999999996</v>
      </c>
      <c r="K231" s="117">
        <v>9642616</v>
      </c>
      <c r="L231" s="120">
        <f t="shared" si="39"/>
        <v>350.36029358331518</v>
      </c>
      <c r="M231" s="122">
        <f t="shared" si="45"/>
        <v>23866680.100000001</v>
      </c>
      <c r="N231" s="116">
        <f t="shared" si="46"/>
        <v>14224064.100000001</v>
      </c>
      <c r="O231" s="123">
        <f t="shared" si="47"/>
        <v>516.82523435796827</v>
      </c>
      <c r="P231" s="5"/>
      <c r="Q231" s="5">
        <f t="shared" si="40"/>
        <v>1</v>
      </c>
      <c r="R231" s="7">
        <f t="shared" si="41"/>
        <v>27522</v>
      </c>
      <c r="S231" s="5">
        <f t="shared" si="42"/>
        <v>1</v>
      </c>
      <c r="T231" s="7">
        <f t="shared" si="43"/>
        <v>27522</v>
      </c>
    </row>
    <row r="232" spans="1:20">
      <c r="A232" s="23" t="s">
        <v>267</v>
      </c>
      <c r="B232" s="37" t="s">
        <v>264</v>
      </c>
      <c r="C232" s="36">
        <v>218</v>
      </c>
      <c r="D232" s="6"/>
      <c r="E232" s="113">
        <v>25267775</v>
      </c>
      <c r="F232" s="116">
        <f t="shared" si="44"/>
        <v>115907.22477064221</v>
      </c>
      <c r="G232" s="117">
        <v>21134852</v>
      </c>
      <c r="H232" s="117">
        <f t="shared" si="48"/>
        <v>96948.862385321103</v>
      </c>
      <c r="I232" s="7"/>
      <c r="J232" s="11">
        <v>1.7</v>
      </c>
      <c r="K232" s="117">
        <v>35929</v>
      </c>
      <c r="L232" s="120">
        <f t="shared" si="39"/>
        <v>164.8119266055046</v>
      </c>
      <c r="M232" s="122">
        <f t="shared" si="45"/>
        <v>211348.52000000002</v>
      </c>
      <c r="N232" s="116">
        <f t="shared" si="46"/>
        <v>175419.52000000002</v>
      </c>
      <c r="O232" s="123">
        <f t="shared" si="47"/>
        <v>804.67669724770656</v>
      </c>
      <c r="P232" s="5"/>
      <c r="Q232" s="5">
        <f t="shared" si="40"/>
        <v>1</v>
      </c>
      <c r="R232" s="7">
        <f t="shared" si="41"/>
        <v>218</v>
      </c>
      <c r="S232" s="5">
        <f t="shared" si="42"/>
        <v>1</v>
      </c>
      <c r="T232" s="7">
        <f t="shared" si="43"/>
        <v>218</v>
      </c>
    </row>
    <row r="233" spans="1:20">
      <c r="A233" s="23" t="s">
        <v>268</v>
      </c>
      <c r="B233" s="37" t="s">
        <v>269</v>
      </c>
      <c r="C233" s="36">
        <v>1007</v>
      </c>
      <c r="D233" s="6"/>
      <c r="E233" s="113">
        <v>58298437</v>
      </c>
      <c r="F233" s="116">
        <f t="shared" si="44"/>
        <v>57893.184707050648</v>
      </c>
      <c r="G233" s="117">
        <v>35190142</v>
      </c>
      <c r="H233" s="117">
        <f t="shared" si="48"/>
        <v>34945.523336643499</v>
      </c>
      <c r="I233" s="7"/>
      <c r="J233" s="10">
        <v>2.8820000000000001</v>
      </c>
      <c r="K233" s="117">
        <v>101417</v>
      </c>
      <c r="L233" s="120">
        <f t="shared" si="39"/>
        <v>100.71201588877855</v>
      </c>
      <c r="M233" s="122">
        <f t="shared" si="45"/>
        <v>351901.42</v>
      </c>
      <c r="N233" s="116">
        <f t="shared" si="46"/>
        <v>250484.41999999998</v>
      </c>
      <c r="O233" s="123">
        <f t="shared" si="47"/>
        <v>248.7432174776564</v>
      </c>
      <c r="P233" s="5"/>
      <c r="Q233" s="5">
        <f t="shared" si="40"/>
        <v>1</v>
      </c>
      <c r="R233" s="7">
        <f t="shared" si="41"/>
        <v>1007</v>
      </c>
      <c r="S233" s="5">
        <f t="shared" si="42"/>
        <v>1</v>
      </c>
      <c r="T233" s="7">
        <f t="shared" si="43"/>
        <v>1007</v>
      </c>
    </row>
    <row r="234" spans="1:20">
      <c r="A234" s="23" t="s">
        <v>270</v>
      </c>
      <c r="B234" s="37" t="s">
        <v>269</v>
      </c>
      <c r="C234" s="36">
        <v>10684</v>
      </c>
      <c r="D234" s="6"/>
      <c r="E234" s="113">
        <v>919593397</v>
      </c>
      <c r="F234" s="116">
        <f t="shared" si="44"/>
        <v>86072.013946087609</v>
      </c>
      <c r="G234" s="117">
        <v>700814622</v>
      </c>
      <c r="H234" s="117">
        <f t="shared" si="48"/>
        <v>65594.779296143766</v>
      </c>
      <c r="I234" s="7"/>
      <c r="J234" s="10">
        <v>6.6962000000000002</v>
      </c>
      <c r="K234" s="117">
        <v>4692794</v>
      </c>
      <c r="L234" s="120">
        <f t="shared" si="39"/>
        <v>439.23567952077872</v>
      </c>
      <c r="M234" s="122">
        <f t="shared" si="45"/>
        <v>7008146.2199999997</v>
      </c>
      <c r="N234" s="116">
        <f t="shared" si="46"/>
        <v>2315352.2199999997</v>
      </c>
      <c r="O234" s="123">
        <f t="shared" si="47"/>
        <v>216.7121134406589</v>
      </c>
      <c r="P234" s="5"/>
      <c r="Q234" s="5">
        <f t="shared" si="40"/>
        <v>1</v>
      </c>
      <c r="R234" s="7">
        <f t="shared" si="41"/>
        <v>10684</v>
      </c>
      <c r="S234" s="5">
        <f t="shared" si="42"/>
        <v>1</v>
      </c>
      <c r="T234" s="7">
        <f t="shared" si="43"/>
        <v>10684</v>
      </c>
    </row>
    <row r="235" spans="1:20">
      <c r="A235" s="23" t="s">
        <v>271</v>
      </c>
      <c r="B235" s="37" t="s">
        <v>269</v>
      </c>
      <c r="C235" s="36">
        <v>2510</v>
      </c>
      <c r="D235" s="6"/>
      <c r="E235" s="113">
        <v>188385643</v>
      </c>
      <c r="F235" s="116">
        <f t="shared" si="44"/>
        <v>75054.041035856571</v>
      </c>
      <c r="G235" s="117">
        <v>35289880</v>
      </c>
      <c r="H235" s="117">
        <f t="shared" si="48"/>
        <v>14059.713147410359</v>
      </c>
      <c r="I235" s="7"/>
      <c r="J235" s="10">
        <v>0.76470000000000005</v>
      </c>
      <c r="K235" s="117">
        <v>26986</v>
      </c>
      <c r="L235" s="120">
        <f t="shared" si="39"/>
        <v>10.751394422310756</v>
      </c>
      <c r="M235" s="122">
        <f t="shared" si="45"/>
        <v>352898.8</v>
      </c>
      <c r="N235" s="116">
        <f t="shared" si="46"/>
        <v>325912.8</v>
      </c>
      <c r="O235" s="123">
        <f t="shared" si="47"/>
        <v>129.84573705179284</v>
      </c>
      <c r="P235" s="5"/>
      <c r="Q235" s="5">
        <f t="shared" si="40"/>
        <v>1</v>
      </c>
      <c r="R235" s="7">
        <f t="shared" si="41"/>
        <v>2510</v>
      </c>
      <c r="S235" s="5">
        <f t="shared" si="42"/>
        <v>1</v>
      </c>
      <c r="T235" s="7">
        <f t="shared" si="43"/>
        <v>2510</v>
      </c>
    </row>
    <row r="236" spans="1:20">
      <c r="A236" s="23" t="s">
        <v>272</v>
      </c>
      <c r="B236" s="35" t="s">
        <v>273</v>
      </c>
      <c r="C236" s="36">
        <v>420</v>
      </c>
      <c r="D236" s="6"/>
      <c r="E236" s="113">
        <v>33587536</v>
      </c>
      <c r="F236" s="116">
        <f t="shared" si="44"/>
        <v>79970.323809523805</v>
      </c>
      <c r="G236" s="117">
        <v>29043375</v>
      </c>
      <c r="H236" s="117">
        <f t="shared" si="48"/>
        <v>69150.892857142855</v>
      </c>
      <c r="I236" s="7"/>
      <c r="J236" s="11">
        <v>2.2999999999999998</v>
      </c>
      <c r="K236" s="117">
        <v>66799</v>
      </c>
      <c r="L236" s="120">
        <f t="shared" si="39"/>
        <v>159.04523809523809</v>
      </c>
      <c r="M236" s="122">
        <f t="shared" si="45"/>
        <v>290433.75</v>
      </c>
      <c r="N236" s="116">
        <f t="shared" si="46"/>
        <v>223634.75</v>
      </c>
      <c r="O236" s="123">
        <f t="shared" si="47"/>
        <v>532.46369047619044</v>
      </c>
      <c r="P236" s="5"/>
      <c r="Q236" s="5">
        <f t="shared" si="40"/>
        <v>1</v>
      </c>
      <c r="R236" s="7">
        <f t="shared" si="41"/>
        <v>420</v>
      </c>
      <c r="S236" s="5">
        <f t="shared" si="42"/>
        <v>1</v>
      </c>
      <c r="T236" s="7">
        <f t="shared" si="43"/>
        <v>420</v>
      </c>
    </row>
    <row r="237" spans="1:20">
      <c r="A237" s="23" t="s">
        <v>274</v>
      </c>
      <c r="B237" s="35" t="s">
        <v>273</v>
      </c>
      <c r="C237" s="36">
        <v>13546</v>
      </c>
      <c r="D237" s="6"/>
      <c r="E237" s="113">
        <v>473356168</v>
      </c>
      <c r="F237" s="116">
        <f t="shared" si="44"/>
        <v>34944.350214085338</v>
      </c>
      <c r="G237" s="117">
        <v>315282211</v>
      </c>
      <c r="H237" s="117">
        <f t="shared" si="48"/>
        <v>23274.930680643731</v>
      </c>
      <c r="I237" s="7"/>
      <c r="J237" s="10">
        <v>5.8609999999999998</v>
      </c>
      <c r="K237" s="117">
        <v>1847869</v>
      </c>
      <c r="L237" s="120">
        <f t="shared" si="39"/>
        <v>136.41436586446184</v>
      </c>
      <c r="M237" s="122">
        <f t="shared" si="45"/>
        <v>3152822.11</v>
      </c>
      <c r="N237" s="116">
        <f t="shared" si="46"/>
        <v>1304953.1099999999</v>
      </c>
      <c r="O237" s="123">
        <f t="shared" si="47"/>
        <v>96.334940941975475</v>
      </c>
      <c r="P237" s="5"/>
      <c r="Q237" s="5">
        <f t="shared" si="40"/>
        <v>1</v>
      </c>
      <c r="R237" s="7">
        <f t="shared" si="41"/>
        <v>13546</v>
      </c>
      <c r="S237" s="5">
        <f t="shared" si="42"/>
        <v>1</v>
      </c>
      <c r="T237" s="7">
        <f t="shared" si="43"/>
        <v>13546</v>
      </c>
    </row>
    <row r="238" spans="1:20">
      <c r="A238" s="23" t="s">
        <v>275</v>
      </c>
      <c r="B238" s="35" t="s">
        <v>273</v>
      </c>
      <c r="C238" s="36">
        <v>11363</v>
      </c>
      <c r="D238" s="6"/>
      <c r="E238" s="113">
        <v>1949506280</v>
      </c>
      <c r="F238" s="116">
        <f t="shared" si="44"/>
        <v>171566.16034497932</v>
      </c>
      <c r="G238" s="117">
        <v>1737170623</v>
      </c>
      <c r="H238" s="117">
        <f t="shared" si="48"/>
        <v>152879.57608026051</v>
      </c>
      <c r="I238" s="7"/>
      <c r="J238" s="10">
        <v>1.5490999999999999</v>
      </c>
      <c r="K238" s="117">
        <v>2691051</v>
      </c>
      <c r="L238" s="120">
        <f t="shared" si="39"/>
        <v>236.82575024201356</v>
      </c>
      <c r="M238" s="122">
        <f t="shared" si="45"/>
        <v>17371706.23</v>
      </c>
      <c r="N238" s="116">
        <f t="shared" si="46"/>
        <v>14680655.23</v>
      </c>
      <c r="O238" s="123">
        <f t="shared" si="47"/>
        <v>1291.9700105605914</v>
      </c>
      <c r="P238" s="5"/>
      <c r="Q238" s="5">
        <f t="shared" si="40"/>
        <v>1</v>
      </c>
      <c r="R238" s="7">
        <f t="shared" si="41"/>
        <v>11363</v>
      </c>
      <c r="S238" s="5">
        <f t="shared" si="42"/>
        <v>1</v>
      </c>
      <c r="T238" s="7">
        <f t="shared" si="43"/>
        <v>11363</v>
      </c>
    </row>
    <row r="239" spans="1:20">
      <c r="A239" s="23" t="s">
        <v>276</v>
      </c>
      <c r="B239" s="35" t="s">
        <v>273</v>
      </c>
      <c r="C239" s="36">
        <v>22052</v>
      </c>
      <c r="D239" s="6"/>
      <c r="E239" s="113">
        <v>999449655</v>
      </c>
      <c r="F239" s="116">
        <f t="shared" si="44"/>
        <v>45322.40409033194</v>
      </c>
      <c r="G239" s="117">
        <v>696725540</v>
      </c>
      <c r="H239" s="117">
        <f t="shared" si="48"/>
        <v>31594.664429530203</v>
      </c>
      <c r="I239" s="7"/>
      <c r="J239" s="10">
        <v>4.97</v>
      </c>
      <c r="K239" s="117">
        <v>3462725</v>
      </c>
      <c r="L239" s="120">
        <f t="shared" si="39"/>
        <v>157.02543986939961</v>
      </c>
      <c r="M239" s="122">
        <f t="shared" si="45"/>
        <v>6967255.4000000004</v>
      </c>
      <c r="N239" s="116">
        <f t="shared" si="46"/>
        <v>3504530.4000000004</v>
      </c>
      <c r="O239" s="123">
        <f t="shared" si="47"/>
        <v>158.92120442590243</v>
      </c>
      <c r="P239" s="5"/>
      <c r="Q239" s="5">
        <f t="shared" si="40"/>
        <v>1</v>
      </c>
      <c r="R239" s="7">
        <f t="shared" si="41"/>
        <v>22052</v>
      </c>
      <c r="S239" s="5">
        <f t="shared" si="42"/>
        <v>1</v>
      </c>
      <c r="T239" s="7">
        <f t="shared" si="43"/>
        <v>22052</v>
      </c>
    </row>
    <row r="240" spans="1:20">
      <c r="A240" s="23" t="s">
        <v>277</v>
      </c>
      <c r="B240" s="35" t="s">
        <v>273</v>
      </c>
      <c r="C240" s="36">
        <v>606</v>
      </c>
      <c r="D240" s="6"/>
      <c r="E240" s="113">
        <v>10766590</v>
      </c>
      <c r="F240" s="116">
        <f t="shared" si="44"/>
        <v>17766.650165016501</v>
      </c>
      <c r="G240" s="117">
        <v>4140741</v>
      </c>
      <c r="H240" s="117">
        <f t="shared" si="48"/>
        <v>6832.9059405940598</v>
      </c>
      <c r="I240" s="98" t="s">
        <v>528</v>
      </c>
      <c r="J240" s="10"/>
      <c r="K240" s="117"/>
      <c r="L240" s="120"/>
      <c r="M240" s="122">
        <f t="shared" si="45"/>
        <v>41407.410000000003</v>
      </c>
      <c r="N240" s="116">
        <f t="shared" si="46"/>
        <v>41407.410000000003</v>
      </c>
      <c r="O240" s="123">
        <f t="shared" si="47"/>
        <v>68.329059405940598</v>
      </c>
      <c r="P240" s="5"/>
      <c r="Q240" s="5">
        <f t="shared" si="40"/>
        <v>1</v>
      </c>
      <c r="R240" s="7">
        <f t="shared" si="41"/>
        <v>606</v>
      </c>
      <c r="S240" s="5">
        <f t="shared" si="42"/>
        <v>0</v>
      </c>
      <c r="T240" s="7">
        <f t="shared" si="43"/>
        <v>0</v>
      </c>
    </row>
    <row r="241" spans="1:20">
      <c r="A241" s="23" t="s">
        <v>278</v>
      </c>
      <c r="B241" s="35" t="s">
        <v>273</v>
      </c>
      <c r="C241" s="36">
        <v>4414</v>
      </c>
      <c r="D241" s="6"/>
      <c r="E241" s="113">
        <v>255468361</v>
      </c>
      <c r="F241" s="116">
        <f t="shared" si="44"/>
        <v>57876.837562301764</v>
      </c>
      <c r="G241" s="117">
        <v>197899128</v>
      </c>
      <c r="H241" s="117">
        <f t="shared" si="48"/>
        <v>44834.419574082465</v>
      </c>
      <c r="I241" s="7"/>
      <c r="J241" s="10">
        <v>2.7759999999999998</v>
      </c>
      <c r="K241" s="117">
        <v>549367</v>
      </c>
      <c r="L241" s="120">
        <f>(K241/C241)</f>
        <v>124.46012686905301</v>
      </c>
      <c r="M241" s="122">
        <f t="shared" si="45"/>
        <v>1978991.28</v>
      </c>
      <c r="N241" s="116">
        <f t="shared" si="46"/>
        <v>1429624.28</v>
      </c>
      <c r="O241" s="123">
        <f t="shared" si="47"/>
        <v>323.88406887177166</v>
      </c>
      <c r="P241" s="5"/>
      <c r="Q241" s="5">
        <f t="shared" si="40"/>
        <v>1</v>
      </c>
      <c r="R241" s="7">
        <f t="shared" si="41"/>
        <v>4414</v>
      </c>
      <c r="S241" s="5">
        <f t="shared" si="42"/>
        <v>1</v>
      </c>
      <c r="T241" s="7">
        <f t="shared" si="43"/>
        <v>4414</v>
      </c>
    </row>
    <row r="242" spans="1:20">
      <c r="A242" s="23" t="s">
        <v>279</v>
      </c>
      <c r="B242" s="35" t="s">
        <v>273</v>
      </c>
      <c r="C242" s="36">
        <v>11942</v>
      </c>
      <c r="D242" s="6"/>
      <c r="E242" s="113">
        <v>503149456</v>
      </c>
      <c r="F242" s="116">
        <f t="shared" si="44"/>
        <v>42132.763021269471</v>
      </c>
      <c r="G242" s="117">
        <v>344942255</v>
      </c>
      <c r="H242" s="117">
        <f t="shared" si="48"/>
        <v>28884.79777256741</v>
      </c>
      <c r="I242" s="7"/>
      <c r="J242" s="10">
        <v>2.73</v>
      </c>
      <c r="K242" s="117">
        <v>941692</v>
      </c>
      <c r="L242" s="120">
        <f>(K242/C242)</f>
        <v>78.855468095796354</v>
      </c>
      <c r="M242" s="122">
        <f t="shared" si="45"/>
        <v>3449422.5500000003</v>
      </c>
      <c r="N242" s="116">
        <f t="shared" si="46"/>
        <v>2507730.5500000003</v>
      </c>
      <c r="O242" s="123">
        <f t="shared" si="47"/>
        <v>209.99250962987776</v>
      </c>
      <c r="P242" s="5"/>
      <c r="Q242" s="5">
        <f t="shared" si="40"/>
        <v>1</v>
      </c>
      <c r="R242" s="7">
        <f t="shared" si="41"/>
        <v>11942</v>
      </c>
      <c r="S242" s="5">
        <f t="shared" si="42"/>
        <v>1</v>
      </c>
      <c r="T242" s="7">
        <f t="shared" si="43"/>
        <v>11942</v>
      </c>
    </row>
    <row r="243" spans="1:20">
      <c r="A243" s="23" t="s">
        <v>280</v>
      </c>
      <c r="B243" s="35" t="s">
        <v>273</v>
      </c>
      <c r="C243" s="36">
        <v>662</v>
      </c>
      <c r="D243" s="6"/>
      <c r="E243" s="113">
        <v>70487191</v>
      </c>
      <c r="F243" s="116">
        <f t="shared" si="44"/>
        <v>106476.11933534744</v>
      </c>
      <c r="G243" s="117">
        <v>53772727</v>
      </c>
      <c r="H243" s="117">
        <f t="shared" si="48"/>
        <v>81227.684290030214</v>
      </c>
      <c r="I243" s="7"/>
      <c r="J243" s="10">
        <v>3.2</v>
      </c>
      <c r="K243" s="117">
        <v>172072</v>
      </c>
      <c r="L243" s="120">
        <f>(K243/C243)</f>
        <v>259.92749244712991</v>
      </c>
      <c r="M243" s="122">
        <f t="shared" si="45"/>
        <v>537727.27</v>
      </c>
      <c r="N243" s="116">
        <f t="shared" si="46"/>
        <v>365655.27</v>
      </c>
      <c r="O243" s="123">
        <f t="shared" si="47"/>
        <v>552.34935045317218</v>
      </c>
      <c r="P243" s="5"/>
      <c r="Q243" s="5">
        <f t="shared" si="40"/>
        <v>1</v>
      </c>
      <c r="R243" s="7">
        <f t="shared" si="41"/>
        <v>662</v>
      </c>
      <c r="S243" s="5">
        <f t="shared" si="42"/>
        <v>1</v>
      </c>
      <c r="T243" s="7">
        <f t="shared" si="43"/>
        <v>662</v>
      </c>
    </row>
    <row r="244" spans="1:20">
      <c r="A244" s="23" t="s">
        <v>281</v>
      </c>
      <c r="B244" s="35" t="s">
        <v>273</v>
      </c>
      <c r="C244" s="36">
        <v>6700</v>
      </c>
      <c r="D244" s="6"/>
      <c r="E244" s="113">
        <v>183826293</v>
      </c>
      <c r="F244" s="116">
        <f t="shared" si="44"/>
        <v>27436.760149253732</v>
      </c>
      <c r="G244" s="117">
        <v>110593045</v>
      </c>
      <c r="H244" s="117">
        <f t="shared" si="48"/>
        <v>16506.424626865672</v>
      </c>
      <c r="I244" s="7"/>
      <c r="J244" s="10">
        <v>2.9</v>
      </c>
      <c r="K244" s="117">
        <v>320719</v>
      </c>
      <c r="L244" s="120">
        <f>(K244/C244)</f>
        <v>47.868507462686566</v>
      </c>
      <c r="M244" s="122">
        <f t="shared" si="45"/>
        <v>1105930.45</v>
      </c>
      <c r="N244" s="116">
        <f t="shared" si="46"/>
        <v>785211.45</v>
      </c>
      <c r="O244" s="123">
        <f t="shared" si="47"/>
        <v>117.19573880597014</v>
      </c>
      <c r="P244" s="5"/>
      <c r="Q244" s="5">
        <f t="shared" si="40"/>
        <v>1</v>
      </c>
      <c r="R244" s="7">
        <f t="shared" si="41"/>
        <v>6700</v>
      </c>
      <c r="S244" s="5">
        <f t="shared" si="42"/>
        <v>1</v>
      </c>
      <c r="T244" s="7">
        <f t="shared" si="43"/>
        <v>6700</v>
      </c>
    </row>
    <row r="245" spans="1:20">
      <c r="A245" s="23" t="s">
        <v>282</v>
      </c>
      <c r="B245" s="35" t="s">
        <v>282</v>
      </c>
      <c r="C245" s="36">
        <v>5060</v>
      </c>
      <c r="D245" s="6"/>
      <c r="E245" s="113">
        <v>234384566</v>
      </c>
      <c r="F245" s="116">
        <f t="shared" si="44"/>
        <v>46321.060474308302</v>
      </c>
      <c r="G245" s="117">
        <v>166787734</v>
      </c>
      <c r="H245" s="117">
        <f t="shared" si="48"/>
        <v>32962.002766798418</v>
      </c>
      <c r="I245" s="98" t="s">
        <v>528</v>
      </c>
      <c r="J245" s="10"/>
      <c r="K245" s="117"/>
      <c r="L245" s="120"/>
      <c r="M245" s="122">
        <f t="shared" si="45"/>
        <v>1667877.34</v>
      </c>
      <c r="N245" s="116">
        <f t="shared" si="46"/>
        <v>1667877.34</v>
      </c>
      <c r="O245" s="123">
        <f t="shared" si="47"/>
        <v>329.62002766798423</v>
      </c>
      <c r="P245" s="5"/>
      <c r="Q245" s="5">
        <f t="shared" si="40"/>
        <v>1</v>
      </c>
      <c r="R245" s="7">
        <f t="shared" si="41"/>
        <v>5060</v>
      </c>
      <c r="S245" s="5">
        <f t="shared" si="42"/>
        <v>0</v>
      </c>
      <c r="T245" s="7">
        <f t="shared" si="43"/>
        <v>0</v>
      </c>
    </row>
    <row r="246" spans="1:20">
      <c r="A246" s="23" t="s">
        <v>283</v>
      </c>
      <c r="B246" s="35" t="s">
        <v>284</v>
      </c>
      <c r="C246" s="36">
        <v>21165</v>
      </c>
      <c r="D246" s="6"/>
      <c r="E246" s="113">
        <v>1092511408</v>
      </c>
      <c r="F246" s="116">
        <f t="shared" si="44"/>
        <v>51618.776659579496</v>
      </c>
      <c r="G246" s="117">
        <v>817672312</v>
      </c>
      <c r="H246" s="117">
        <f t="shared" si="48"/>
        <v>38633.229955114577</v>
      </c>
      <c r="I246" s="7"/>
      <c r="J246" s="10">
        <v>3.7618999999999998</v>
      </c>
      <c r="K246" s="117">
        <v>3076001</v>
      </c>
      <c r="L246" s="120">
        <f t="shared" ref="L246:L265" si="49">(K246/C246)</f>
        <v>145.3343255374439</v>
      </c>
      <c r="M246" s="122">
        <f t="shared" si="45"/>
        <v>8176723.1200000001</v>
      </c>
      <c r="N246" s="116">
        <f t="shared" si="46"/>
        <v>5100722.12</v>
      </c>
      <c r="O246" s="123">
        <f t="shared" si="47"/>
        <v>240.99797401370188</v>
      </c>
      <c r="P246" s="5"/>
      <c r="Q246" s="5">
        <f t="shared" si="40"/>
        <v>1</v>
      </c>
      <c r="R246" s="7">
        <f t="shared" si="41"/>
        <v>21165</v>
      </c>
      <c r="S246" s="5">
        <f t="shared" si="42"/>
        <v>1</v>
      </c>
      <c r="T246" s="7">
        <f t="shared" si="43"/>
        <v>21165</v>
      </c>
    </row>
    <row r="247" spans="1:20">
      <c r="A247" s="23" t="s">
        <v>285</v>
      </c>
      <c r="B247" s="35" t="s">
        <v>284</v>
      </c>
      <c r="C247" s="36">
        <v>24</v>
      </c>
      <c r="D247" s="6"/>
      <c r="E247" s="113">
        <v>3658416594</v>
      </c>
      <c r="F247" s="116">
        <f t="shared" si="44"/>
        <v>152434024.75</v>
      </c>
      <c r="G247" s="117">
        <v>3489113076</v>
      </c>
      <c r="H247" s="117">
        <f t="shared" si="48"/>
        <v>145379711.5</v>
      </c>
      <c r="I247" s="7"/>
      <c r="J247" s="10">
        <v>0.38</v>
      </c>
      <c r="K247" s="117">
        <v>1325862</v>
      </c>
      <c r="L247" s="120">
        <f t="shared" si="49"/>
        <v>55244.25</v>
      </c>
      <c r="M247" s="122">
        <f t="shared" si="45"/>
        <v>34891130.759999998</v>
      </c>
      <c r="N247" s="116">
        <f t="shared" si="46"/>
        <v>33565268.759999998</v>
      </c>
      <c r="O247" s="123">
        <f t="shared" si="47"/>
        <v>1398552.865</v>
      </c>
      <c r="P247" s="5"/>
      <c r="Q247" s="5">
        <f t="shared" si="40"/>
        <v>1</v>
      </c>
      <c r="R247" s="7">
        <f t="shared" si="41"/>
        <v>24</v>
      </c>
      <c r="S247" s="5">
        <f t="shared" si="42"/>
        <v>1</v>
      </c>
      <c r="T247" s="7">
        <f t="shared" si="43"/>
        <v>24</v>
      </c>
    </row>
    <row r="248" spans="1:20">
      <c r="A248" s="23" t="s">
        <v>286</v>
      </c>
      <c r="B248" s="35" t="s">
        <v>284</v>
      </c>
      <c r="C248" s="36">
        <v>5655</v>
      </c>
      <c r="D248" s="6"/>
      <c r="E248" s="113">
        <v>348056360</v>
      </c>
      <c r="F248" s="116">
        <f t="shared" si="44"/>
        <v>61548.427939876216</v>
      </c>
      <c r="G248" s="117">
        <v>282273956</v>
      </c>
      <c r="H248" s="117">
        <f t="shared" si="48"/>
        <v>49915.818921308579</v>
      </c>
      <c r="I248" s="9"/>
      <c r="J248" s="10">
        <v>3</v>
      </c>
      <c r="K248" s="117">
        <v>846821</v>
      </c>
      <c r="L248" s="120">
        <f t="shared" si="49"/>
        <v>149.74730327144121</v>
      </c>
      <c r="M248" s="122">
        <f t="shared" si="45"/>
        <v>2822739.56</v>
      </c>
      <c r="N248" s="116">
        <f t="shared" si="46"/>
        <v>1975918.56</v>
      </c>
      <c r="O248" s="123">
        <f t="shared" si="47"/>
        <v>349.41088594164455</v>
      </c>
      <c r="P248" s="5"/>
      <c r="Q248" s="5">
        <f t="shared" si="40"/>
        <v>1</v>
      </c>
      <c r="R248" s="7">
        <f t="shared" si="41"/>
        <v>5655</v>
      </c>
      <c r="S248" s="5">
        <f t="shared" si="42"/>
        <v>1</v>
      </c>
      <c r="T248" s="7">
        <f t="shared" si="43"/>
        <v>5655</v>
      </c>
    </row>
    <row r="249" spans="1:20">
      <c r="A249" s="23" t="s">
        <v>287</v>
      </c>
      <c r="B249" s="35" t="s">
        <v>284</v>
      </c>
      <c r="C249" s="36">
        <v>2496</v>
      </c>
      <c r="D249" s="6"/>
      <c r="E249" s="113">
        <v>98881476</v>
      </c>
      <c r="F249" s="116">
        <f t="shared" si="44"/>
        <v>39615.975961538461</v>
      </c>
      <c r="G249" s="117">
        <v>66920341</v>
      </c>
      <c r="H249" s="117">
        <f t="shared" si="48"/>
        <v>26811.03405448718</v>
      </c>
      <c r="I249" s="7"/>
      <c r="J249" s="10">
        <v>7.2850000000000001</v>
      </c>
      <c r="K249" s="117">
        <v>487514</v>
      </c>
      <c r="L249" s="120">
        <f t="shared" si="49"/>
        <v>195.31810897435898</v>
      </c>
      <c r="M249" s="122">
        <f t="shared" si="45"/>
        <v>669203.41</v>
      </c>
      <c r="N249" s="116">
        <f t="shared" si="46"/>
        <v>181689.41000000003</v>
      </c>
      <c r="O249" s="123">
        <f t="shared" si="47"/>
        <v>72.79223157051284</v>
      </c>
      <c r="P249" s="5"/>
      <c r="Q249" s="5">
        <f t="shared" si="40"/>
        <v>1</v>
      </c>
      <c r="R249" s="7">
        <f t="shared" si="41"/>
        <v>2496</v>
      </c>
      <c r="S249" s="5">
        <f t="shared" si="42"/>
        <v>1</v>
      </c>
      <c r="T249" s="7">
        <f t="shared" si="43"/>
        <v>2496</v>
      </c>
    </row>
    <row r="250" spans="1:20">
      <c r="A250" s="23" t="s">
        <v>288</v>
      </c>
      <c r="B250" s="35" t="s">
        <v>284</v>
      </c>
      <c r="C250" s="36">
        <v>1469</v>
      </c>
      <c r="D250" s="6"/>
      <c r="E250" s="113">
        <v>172160759</v>
      </c>
      <c r="F250" s="116">
        <f t="shared" si="44"/>
        <v>117195.88767869299</v>
      </c>
      <c r="G250" s="117">
        <v>148328435</v>
      </c>
      <c r="H250" s="117">
        <f t="shared" si="48"/>
        <v>100972.385976855</v>
      </c>
      <c r="I250" s="7"/>
      <c r="J250" s="11">
        <v>3.9</v>
      </c>
      <c r="K250" s="117">
        <v>578480</v>
      </c>
      <c r="L250" s="120">
        <f t="shared" si="49"/>
        <v>393.79169503063309</v>
      </c>
      <c r="M250" s="122">
        <f t="shared" si="45"/>
        <v>1483284.35</v>
      </c>
      <c r="N250" s="116">
        <f t="shared" si="46"/>
        <v>904804.35000000009</v>
      </c>
      <c r="O250" s="123">
        <f t="shared" si="47"/>
        <v>615.93216473791699</v>
      </c>
      <c r="P250" s="5"/>
      <c r="Q250" s="5">
        <f t="shared" si="40"/>
        <v>1</v>
      </c>
      <c r="R250" s="7">
        <f t="shared" si="41"/>
        <v>1469</v>
      </c>
      <c r="S250" s="5">
        <f t="shared" si="42"/>
        <v>1</v>
      </c>
      <c r="T250" s="7">
        <f t="shared" si="43"/>
        <v>1469</v>
      </c>
    </row>
    <row r="251" spans="1:20">
      <c r="A251" s="23" t="s">
        <v>289</v>
      </c>
      <c r="B251" s="35" t="s">
        <v>284</v>
      </c>
      <c r="C251" s="36">
        <v>23</v>
      </c>
      <c r="D251" s="6"/>
      <c r="E251" s="113">
        <v>1438501112</v>
      </c>
      <c r="F251" s="116">
        <f t="shared" si="44"/>
        <v>62543526.608695649</v>
      </c>
      <c r="G251" s="117">
        <v>1386082667</v>
      </c>
      <c r="H251" s="117">
        <f t="shared" si="48"/>
        <v>60264463.782608695</v>
      </c>
      <c r="I251" s="7"/>
      <c r="J251" s="10">
        <v>0.4</v>
      </c>
      <c r="K251" s="117">
        <v>554433</v>
      </c>
      <c r="L251" s="120">
        <f t="shared" si="49"/>
        <v>24105.782608695652</v>
      </c>
      <c r="M251" s="122">
        <f t="shared" si="45"/>
        <v>13860826.67</v>
      </c>
      <c r="N251" s="116">
        <f t="shared" si="46"/>
        <v>13306393.67</v>
      </c>
      <c r="O251" s="123">
        <f t="shared" si="47"/>
        <v>578538.85521739128</v>
      </c>
      <c r="P251" s="5"/>
      <c r="Q251" s="5">
        <f t="shared" si="40"/>
        <v>1</v>
      </c>
      <c r="R251" s="7">
        <f t="shared" si="41"/>
        <v>23</v>
      </c>
      <c r="S251" s="5">
        <f t="shared" si="42"/>
        <v>1</v>
      </c>
      <c r="T251" s="7">
        <f t="shared" si="43"/>
        <v>23</v>
      </c>
    </row>
    <row r="252" spans="1:20">
      <c r="A252" s="23" t="s">
        <v>290</v>
      </c>
      <c r="B252" s="35" t="s">
        <v>284</v>
      </c>
      <c r="C252" s="36">
        <v>10022</v>
      </c>
      <c r="D252" s="6"/>
      <c r="E252" s="113">
        <v>1273169454</v>
      </c>
      <c r="F252" s="116">
        <f t="shared" si="44"/>
        <v>127037.46298144083</v>
      </c>
      <c r="G252" s="117">
        <v>1082003515</v>
      </c>
      <c r="H252" s="117">
        <f t="shared" si="48"/>
        <v>107962.83326681302</v>
      </c>
      <c r="I252" s="7"/>
      <c r="J252" s="10">
        <v>3.4</v>
      </c>
      <c r="K252" s="117">
        <v>3678811</v>
      </c>
      <c r="L252" s="120">
        <f t="shared" si="49"/>
        <v>367.07353821592494</v>
      </c>
      <c r="M252" s="122">
        <f t="shared" si="45"/>
        <v>10820035.15</v>
      </c>
      <c r="N252" s="116">
        <f t="shared" si="46"/>
        <v>7141224.1500000004</v>
      </c>
      <c r="O252" s="123">
        <f t="shared" si="47"/>
        <v>712.55479445220521</v>
      </c>
      <c r="P252" s="5"/>
      <c r="Q252" s="5">
        <f t="shared" si="40"/>
        <v>1</v>
      </c>
      <c r="R252" s="7">
        <f t="shared" si="41"/>
        <v>10022</v>
      </c>
      <c r="S252" s="5">
        <f t="shared" si="42"/>
        <v>1</v>
      </c>
      <c r="T252" s="7">
        <f t="shared" si="43"/>
        <v>10022</v>
      </c>
    </row>
    <row r="253" spans="1:20">
      <c r="A253" s="23" t="s">
        <v>291</v>
      </c>
      <c r="B253" s="35" t="s">
        <v>284</v>
      </c>
      <c r="C253" s="36">
        <v>812</v>
      </c>
      <c r="D253" s="6"/>
      <c r="E253" s="113">
        <v>40113799</v>
      </c>
      <c r="F253" s="116">
        <f t="shared" si="44"/>
        <v>49401.2302955665</v>
      </c>
      <c r="G253" s="117">
        <v>25957052</v>
      </c>
      <c r="H253" s="117">
        <f t="shared" si="48"/>
        <v>31966.812807881772</v>
      </c>
      <c r="I253" s="7"/>
      <c r="J253" s="10">
        <v>3.9245000000000001</v>
      </c>
      <c r="K253" s="117">
        <v>101868</v>
      </c>
      <c r="L253" s="120">
        <f t="shared" si="49"/>
        <v>125.45320197044335</v>
      </c>
      <c r="M253" s="122">
        <f t="shared" si="45"/>
        <v>259570.52000000002</v>
      </c>
      <c r="N253" s="116">
        <f t="shared" si="46"/>
        <v>157702.52000000002</v>
      </c>
      <c r="O253" s="123">
        <f t="shared" si="47"/>
        <v>194.21492610837441</v>
      </c>
      <c r="P253" s="5"/>
      <c r="Q253" s="5">
        <f t="shared" si="40"/>
        <v>1</v>
      </c>
      <c r="R253" s="7">
        <f t="shared" si="41"/>
        <v>812</v>
      </c>
      <c r="S253" s="5">
        <f t="shared" si="42"/>
        <v>1</v>
      </c>
      <c r="T253" s="7">
        <f t="shared" si="43"/>
        <v>812</v>
      </c>
    </row>
    <row r="254" spans="1:20">
      <c r="A254" s="23" t="s">
        <v>292</v>
      </c>
      <c r="B254" s="35" t="s">
        <v>284</v>
      </c>
      <c r="C254" s="36">
        <v>21653</v>
      </c>
      <c r="D254" s="6"/>
      <c r="E254" s="113">
        <v>1082551889</v>
      </c>
      <c r="F254" s="116">
        <f t="shared" si="44"/>
        <v>49995.468941947998</v>
      </c>
      <c r="G254" s="117">
        <v>816236019</v>
      </c>
      <c r="H254" s="117">
        <f t="shared" si="48"/>
        <v>37696.209255068585</v>
      </c>
      <c r="I254" s="7"/>
      <c r="J254" s="10">
        <v>4</v>
      </c>
      <c r="K254" s="117">
        <v>3264944</v>
      </c>
      <c r="L254" s="120">
        <f t="shared" si="49"/>
        <v>150.78483351036809</v>
      </c>
      <c r="M254" s="122">
        <f t="shared" si="45"/>
        <v>8162360.1900000004</v>
      </c>
      <c r="N254" s="116">
        <f t="shared" si="46"/>
        <v>4897416.1900000004</v>
      </c>
      <c r="O254" s="123">
        <f t="shared" si="47"/>
        <v>226.17725904031775</v>
      </c>
      <c r="P254" s="5"/>
      <c r="Q254" s="5">
        <f t="shared" si="40"/>
        <v>1</v>
      </c>
      <c r="R254" s="7">
        <f t="shared" si="41"/>
        <v>21653</v>
      </c>
      <c r="S254" s="5">
        <f t="shared" si="42"/>
        <v>1</v>
      </c>
      <c r="T254" s="7">
        <f t="shared" si="43"/>
        <v>21653</v>
      </c>
    </row>
    <row r="255" spans="1:20">
      <c r="A255" s="23" t="s">
        <v>293</v>
      </c>
      <c r="B255" s="35" t="s">
        <v>284</v>
      </c>
      <c r="C255" s="36">
        <v>180462</v>
      </c>
      <c r="D255" s="6"/>
      <c r="E255" s="113">
        <v>15191840773</v>
      </c>
      <c r="F255" s="116">
        <f t="shared" si="44"/>
        <v>84183.045588544963</v>
      </c>
      <c r="G255" s="117">
        <v>9240000301</v>
      </c>
      <c r="H255" s="117">
        <f t="shared" si="48"/>
        <v>51201.916752557328</v>
      </c>
      <c r="I255" s="7"/>
      <c r="J255" s="10">
        <v>6.0666000000000002</v>
      </c>
      <c r="K255" s="117">
        <v>56055385</v>
      </c>
      <c r="L255" s="120">
        <f t="shared" si="49"/>
        <v>310.62154359366514</v>
      </c>
      <c r="M255" s="122">
        <f t="shared" si="45"/>
        <v>92400003.010000005</v>
      </c>
      <c r="N255" s="116">
        <f t="shared" si="46"/>
        <v>36344618.010000005</v>
      </c>
      <c r="O255" s="123">
        <f t="shared" si="47"/>
        <v>201.39762393190813</v>
      </c>
      <c r="P255" s="5"/>
      <c r="Q255" s="5">
        <f t="shared" si="40"/>
        <v>1</v>
      </c>
      <c r="R255" s="7">
        <f t="shared" si="41"/>
        <v>180462</v>
      </c>
      <c r="S255" s="5">
        <f t="shared" si="42"/>
        <v>1</v>
      </c>
      <c r="T255" s="7">
        <f t="shared" si="43"/>
        <v>180462</v>
      </c>
    </row>
    <row r="256" spans="1:20">
      <c r="A256" s="23" t="s">
        <v>294</v>
      </c>
      <c r="B256" s="35" t="s">
        <v>284</v>
      </c>
      <c r="C256" s="36">
        <v>1782</v>
      </c>
      <c r="D256" s="6"/>
      <c r="E256" s="113">
        <v>202020098</v>
      </c>
      <c r="F256" s="116">
        <f t="shared" si="44"/>
        <v>113367.0583613917</v>
      </c>
      <c r="G256" s="117">
        <v>176888082</v>
      </c>
      <c r="H256" s="117">
        <f t="shared" si="48"/>
        <v>99263.79461279462</v>
      </c>
      <c r="I256" s="7"/>
      <c r="J256" s="10">
        <v>2.4</v>
      </c>
      <c r="K256" s="117">
        <v>424531</v>
      </c>
      <c r="L256" s="120">
        <f t="shared" si="49"/>
        <v>238.23288439955107</v>
      </c>
      <c r="M256" s="122">
        <f t="shared" si="45"/>
        <v>1768880.82</v>
      </c>
      <c r="N256" s="116">
        <f t="shared" si="46"/>
        <v>1344349.82</v>
      </c>
      <c r="O256" s="123">
        <f t="shared" si="47"/>
        <v>754.40506172839514</v>
      </c>
      <c r="P256" s="5"/>
      <c r="Q256" s="5">
        <f t="shared" si="40"/>
        <v>1</v>
      </c>
      <c r="R256" s="7">
        <f t="shared" si="41"/>
        <v>1782</v>
      </c>
      <c r="S256" s="5">
        <f t="shared" si="42"/>
        <v>1</v>
      </c>
      <c r="T256" s="7">
        <f t="shared" si="43"/>
        <v>1782</v>
      </c>
    </row>
    <row r="257" spans="1:20">
      <c r="A257" s="23" t="s">
        <v>295</v>
      </c>
      <c r="B257" s="35" t="s">
        <v>284</v>
      </c>
      <c r="C257" s="36">
        <v>12875</v>
      </c>
      <c r="D257" s="6"/>
      <c r="E257" s="113">
        <v>508368966</v>
      </c>
      <c r="F257" s="116">
        <f t="shared" si="44"/>
        <v>39484.968233009706</v>
      </c>
      <c r="G257" s="117">
        <v>371531161</v>
      </c>
      <c r="H257" s="117">
        <f t="shared" si="48"/>
        <v>28856.789203883494</v>
      </c>
      <c r="I257" s="7"/>
      <c r="J257" s="10">
        <v>4.3040000000000003</v>
      </c>
      <c r="K257" s="117">
        <v>1599070</v>
      </c>
      <c r="L257" s="120">
        <f t="shared" si="49"/>
        <v>124.19961165048544</v>
      </c>
      <c r="M257" s="122">
        <f t="shared" si="45"/>
        <v>3715311.61</v>
      </c>
      <c r="N257" s="116">
        <f t="shared" si="46"/>
        <v>2116241.61</v>
      </c>
      <c r="O257" s="123">
        <f t="shared" si="47"/>
        <v>164.36828038834952</v>
      </c>
      <c r="P257" s="5"/>
      <c r="Q257" s="5">
        <f t="shared" si="40"/>
        <v>1</v>
      </c>
      <c r="R257" s="7">
        <f t="shared" si="41"/>
        <v>12875</v>
      </c>
      <c r="S257" s="5">
        <f t="shared" si="42"/>
        <v>1</v>
      </c>
      <c r="T257" s="7">
        <f t="shared" si="43"/>
        <v>12875</v>
      </c>
    </row>
    <row r="258" spans="1:20">
      <c r="A258" s="23" t="s">
        <v>296</v>
      </c>
      <c r="B258" s="35" t="s">
        <v>284</v>
      </c>
      <c r="C258" s="36">
        <v>24951</v>
      </c>
      <c r="D258" s="6"/>
      <c r="E258" s="113">
        <v>2470505811</v>
      </c>
      <c r="F258" s="116">
        <f t="shared" si="44"/>
        <v>99014.300468919086</v>
      </c>
      <c r="G258" s="117">
        <v>1947239699</v>
      </c>
      <c r="H258" s="117">
        <f t="shared" si="48"/>
        <v>78042.551360666912</v>
      </c>
      <c r="I258" s="7"/>
      <c r="J258" s="10">
        <v>3.843</v>
      </c>
      <c r="K258" s="117">
        <v>7483242</v>
      </c>
      <c r="L258" s="120">
        <f t="shared" si="49"/>
        <v>299.91751833593844</v>
      </c>
      <c r="M258" s="122">
        <f t="shared" si="45"/>
        <v>19472396.990000002</v>
      </c>
      <c r="N258" s="116">
        <f t="shared" si="46"/>
        <v>11989154.990000002</v>
      </c>
      <c r="O258" s="123">
        <f t="shared" si="47"/>
        <v>480.5079952707307</v>
      </c>
      <c r="P258" s="5"/>
      <c r="Q258" s="5">
        <f t="shared" si="40"/>
        <v>1</v>
      </c>
      <c r="R258" s="7">
        <f t="shared" si="41"/>
        <v>24951</v>
      </c>
      <c r="S258" s="5">
        <f t="shared" si="42"/>
        <v>1</v>
      </c>
      <c r="T258" s="7">
        <f t="shared" si="43"/>
        <v>24951</v>
      </c>
    </row>
    <row r="259" spans="1:20">
      <c r="A259" s="23" t="s">
        <v>297</v>
      </c>
      <c r="B259" s="35" t="s">
        <v>298</v>
      </c>
      <c r="C259" s="36">
        <v>39330</v>
      </c>
      <c r="D259" s="6"/>
      <c r="E259" s="113">
        <v>1583246264</v>
      </c>
      <c r="F259" s="116">
        <f t="shared" si="44"/>
        <v>40255.435138571069</v>
      </c>
      <c r="G259" s="117">
        <v>1230935231</v>
      </c>
      <c r="H259" s="117">
        <f t="shared" si="48"/>
        <v>31297.615840325452</v>
      </c>
      <c r="I259" s="7"/>
      <c r="J259" s="10">
        <v>4.5453000000000001</v>
      </c>
      <c r="K259" s="117">
        <v>5594969</v>
      </c>
      <c r="L259" s="120">
        <f t="shared" si="49"/>
        <v>142.25703025680141</v>
      </c>
      <c r="M259" s="122">
        <f t="shared" si="45"/>
        <v>12309352.310000001</v>
      </c>
      <c r="N259" s="116">
        <f t="shared" si="46"/>
        <v>6714383.3100000005</v>
      </c>
      <c r="O259" s="123">
        <f t="shared" si="47"/>
        <v>170.7191281464531</v>
      </c>
      <c r="P259" s="5"/>
      <c r="Q259" s="5">
        <f t="shared" si="40"/>
        <v>1</v>
      </c>
      <c r="R259" s="7">
        <f t="shared" si="41"/>
        <v>39330</v>
      </c>
      <c r="S259" s="5">
        <f t="shared" si="42"/>
        <v>1</v>
      </c>
      <c r="T259" s="7">
        <f t="shared" si="43"/>
        <v>39330</v>
      </c>
    </row>
    <row r="260" spans="1:20">
      <c r="A260" s="23" t="s">
        <v>546</v>
      </c>
      <c r="B260" s="35" t="s">
        <v>298</v>
      </c>
      <c r="C260" s="36">
        <v>17198</v>
      </c>
      <c r="D260" s="6"/>
      <c r="E260" s="113">
        <v>626291660</v>
      </c>
      <c r="F260" s="116">
        <f t="shared" si="44"/>
        <v>36416.540295383187</v>
      </c>
      <c r="G260" s="117">
        <v>435646601</v>
      </c>
      <c r="H260" s="117">
        <f t="shared" si="48"/>
        <v>25331.236248400975</v>
      </c>
      <c r="I260" s="7"/>
      <c r="J260" s="10">
        <v>4.1790000000000003</v>
      </c>
      <c r="K260" s="117">
        <v>1820567</v>
      </c>
      <c r="L260" s="120">
        <f t="shared" si="49"/>
        <v>105.85922781718804</v>
      </c>
      <c r="M260" s="122">
        <f t="shared" si="45"/>
        <v>4356466.01</v>
      </c>
      <c r="N260" s="116">
        <f t="shared" si="46"/>
        <v>2535899.0099999998</v>
      </c>
      <c r="O260" s="123">
        <f t="shared" si="47"/>
        <v>147.45313466682171</v>
      </c>
      <c r="P260" s="5"/>
      <c r="Q260" s="5">
        <f t="shared" si="40"/>
        <v>1</v>
      </c>
      <c r="R260" s="7">
        <f t="shared" si="41"/>
        <v>17198</v>
      </c>
      <c r="S260" s="5">
        <f t="shared" si="42"/>
        <v>1</v>
      </c>
      <c r="T260" s="7">
        <f t="shared" si="43"/>
        <v>17198</v>
      </c>
    </row>
    <row r="261" spans="1:20">
      <c r="A261" s="23" t="s">
        <v>299</v>
      </c>
      <c r="B261" s="35" t="s">
        <v>300</v>
      </c>
      <c r="C261" s="36">
        <v>1700</v>
      </c>
      <c r="D261" s="6"/>
      <c r="E261" s="113">
        <v>303016391</v>
      </c>
      <c r="F261" s="116">
        <f t="shared" si="44"/>
        <v>178244.93588235293</v>
      </c>
      <c r="G261" s="117">
        <v>280286491</v>
      </c>
      <c r="H261" s="117">
        <f t="shared" si="48"/>
        <v>164874.40647058823</v>
      </c>
      <c r="I261" s="7"/>
      <c r="J261" s="10">
        <v>7.6566000000000001</v>
      </c>
      <c r="K261" s="117">
        <v>2146041</v>
      </c>
      <c r="L261" s="120">
        <f t="shared" si="49"/>
        <v>1262.3770588235295</v>
      </c>
      <c r="M261" s="122">
        <f t="shared" si="45"/>
        <v>2802864.91</v>
      </c>
      <c r="N261" s="116">
        <f t="shared" si="46"/>
        <v>656823.91000000015</v>
      </c>
      <c r="O261" s="123">
        <f t="shared" si="47"/>
        <v>386.36700588235306</v>
      </c>
      <c r="P261" s="5"/>
      <c r="Q261" s="5">
        <f t="shared" si="40"/>
        <v>1</v>
      </c>
      <c r="R261" s="7">
        <f t="shared" si="41"/>
        <v>1700</v>
      </c>
      <c r="S261" s="5">
        <f t="shared" si="42"/>
        <v>1</v>
      </c>
      <c r="T261" s="7">
        <f t="shared" si="43"/>
        <v>1700</v>
      </c>
    </row>
    <row r="262" spans="1:20">
      <c r="A262" s="23" t="s">
        <v>301</v>
      </c>
      <c r="B262" s="35" t="s">
        <v>300</v>
      </c>
      <c r="C262" s="36">
        <v>16717</v>
      </c>
      <c r="D262" s="6"/>
      <c r="E262" s="113">
        <v>331555167</v>
      </c>
      <c r="F262" s="116">
        <f t="shared" si="44"/>
        <v>19833.413112400551</v>
      </c>
      <c r="G262" s="117">
        <v>194442978</v>
      </c>
      <c r="H262" s="117">
        <f t="shared" si="48"/>
        <v>11631.451695878448</v>
      </c>
      <c r="I262" s="7"/>
      <c r="J262" s="10">
        <v>8.98</v>
      </c>
      <c r="K262" s="117">
        <v>1746097</v>
      </c>
      <c r="L262" s="120">
        <f t="shared" si="49"/>
        <v>104.45037985284441</v>
      </c>
      <c r="M262" s="122">
        <f t="shared" si="45"/>
        <v>1944429.78</v>
      </c>
      <c r="N262" s="116">
        <f t="shared" si="46"/>
        <v>198332.78000000003</v>
      </c>
      <c r="O262" s="123">
        <f t="shared" si="47"/>
        <v>11.864137105940063</v>
      </c>
      <c r="P262" s="5"/>
      <c r="Q262" s="5">
        <f t="shared" si="40"/>
        <v>1</v>
      </c>
      <c r="R262" s="7">
        <f t="shared" si="41"/>
        <v>16717</v>
      </c>
      <c r="S262" s="5">
        <f t="shared" si="42"/>
        <v>1</v>
      </c>
      <c r="T262" s="7">
        <f t="shared" si="43"/>
        <v>16717</v>
      </c>
    </row>
    <row r="263" spans="1:20">
      <c r="A263" s="23" t="s">
        <v>302</v>
      </c>
      <c r="B263" s="35" t="s">
        <v>300</v>
      </c>
      <c r="C263" s="36">
        <v>68850</v>
      </c>
      <c r="D263" s="6"/>
      <c r="E263" s="113">
        <v>10096350534</v>
      </c>
      <c r="F263" s="116">
        <f t="shared" si="44"/>
        <v>146642.70928104574</v>
      </c>
      <c r="G263" s="117">
        <v>8512120607</v>
      </c>
      <c r="H263" s="117">
        <f t="shared" si="48"/>
        <v>123632.83379811184</v>
      </c>
      <c r="I263" s="7"/>
      <c r="J263" s="10">
        <v>3.2706</v>
      </c>
      <c r="K263" s="117">
        <v>27839741</v>
      </c>
      <c r="L263" s="120">
        <f t="shared" si="49"/>
        <v>404.35353667392883</v>
      </c>
      <c r="M263" s="122">
        <f t="shared" si="45"/>
        <v>85121206.070000008</v>
      </c>
      <c r="N263" s="116">
        <f t="shared" si="46"/>
        <v>57281465.070000008</v>
      </c>
      <c r="O263" s="123">
        <f t="shared" si="47"/>
        <v>831.97480130718964</v>
      </c>
      <c r="P263" s="5"/>
      <c r="Q263" s="5">
        <f t="shared" ref="Q263:Q326" si="50">IF(E263&gt;0,1,0)</f>
        <v>1</v>
      </c>
      <c r="R263" s="7">
        <f t="shared" ref="R263:R326" si="51">IF(E263&gt;0,C263,0)</f>
        <v>68850</v>
      </c>
      <c r="S263" s="5">
        <f t="shared" ref="S263:S326" si="52">IF(J263&gt;0,1,0)</f>
        <v>1</v>
      </c>
      <c r="T263" s="7">
        <f t="shared" ref="T263:T326" si="53">IF(J263&gt;0,C263,0)</f>
        <v>68850</v>
      </c>
    </row>
    <row r="264" spans="1:20">
      <c r="A264" s="23" t="s">
        <v>303</v>
      </c>
      <c r="B264" s="35" t="s">
        <v>300</v>
      </c>
      <c r="C264" s="36">
        <v>53635</v>
      </c>
      <c r="D264" s="6"/>
      <c r="E264" s="113">
        <v>3078013160</v>
      </c>
      <c r="F264" s="116">
        <f t="shared" ref="F264:F327" si="54">(E264/C264)</f>
        <v>57388.145054535285</v>
      </c>
      <c r="G264" s="117">
        <v>2347168739</v>
      </c>
      <c r="H264" s="117">
        <f t="shared" si="48"/>
        <v>43761.885690314164</v>
      </c>
      <c r="I264" s="7"/>
      <c r="J264" s="10">
        <v>8.2667999999999999</v>
      </c>
      <c r="K264" s="117">
        <v>19403574</v>
      </c>
      <c r="L264" s="120">
        <f t="shared" si="49"/>
        <v>361.77074671389948</v>
      </c>
      <c r="M264" s="122">
        <f t="shared" ref="M264:M327" si="55">(G264*0.01)</f>
        <v>23471687.390000001</v>
      </c>
      <c r="N264" s="116">
        <f t="shared" ref="N264:N327" si="56">(M264-K264)</f>
        <v>4068113.3900000006</v>
      </c>
      <c r="O264" s="123">
        <f t="shared" ref="O264:O327" si="57">(N264/C264)</f>
        <v>75.848110189242107</v>
      </c>
      <c r="P264" s="5"/>
      <c r="Q264" s="5">
        <f t="shared" si="50"/>
        <v>1</v>
      </c>
      <c r="R264" s="7">
        <f t="shared" si="51"/>
        <v>53635</v>
      </c>
      <c r="S264" s="5">
        <f t="shared" si="52"/>
        <v>1</v>
      </c>
      <c r="T264" s="7">
        <f t="shared" si="53"/>
        <v>53635</v>
      </c>
    </row>
    <row r="265" spans="1:20">
      <c r="A265" s="23" t="s">
        <v>304</v>
      </c>
      <c r="B265" s="35" t="s">
        <v>300</v>
      </c>
      <c r="C265" s="36">
        <v>397</v>
      </c>
      <c r="D265" s="6"/>
      <c r="E265" s="113">
        <v>19211543</v>
      </c>
      <c r="F265" s="116">
        <f t="shared" si="54"/>
        <v>48391.795969773302</v>
      </c>
      <c r="G265" s="117">
        <v>15531901</v>
      </c>
      <c r="H265" s="117">
        <f t="shared" si="48"/>
        <v>39123.176322418134</v>
      </c>
      <c r="I265" s="7"/>
      <c r="J265" s="10">
        <v>1.2599</v>
      </c>
      <c r="K265" s="117">
        <v>19568</v>
      </c>
      <c r="L265" s="120">
        <f t="shared" si="49"/>
        <v>49.289672544080602</v>
      </c>
      <c r="M265" s="122">
        <f t="shared" si="55"/>
        <v>155319.01</v>
      </c>
      <c r="N265" s="116">
        <f t="shared" si="56"/>
        <v>135751.01</v>
      </c>
      <c r="O265" s="123">
        <f t="shared" si="57"/>
        <v>341.94209068010076</v>
      </c>
      <c r="P265" s="5"/>
      <c r="Q265" s="5">
        <f t="shared" si="50"/>
        <v>1</v>
      </c>
      <c r="R265" s="7">
        <f t="shared" si="51"/>
        <v>397</v>
      </c>
      <c r="S265" s="5">
        <f t="shared" si="52"/>
        <v>1</v>
      </c>
      <c r="T265" s="7">
        <f t="shared" si="53"/>
        <v>397</v>
      </c>
    </row>
    <row r="266" spans="1:20">
      <c r="A266" s="23" t="s">
        <v>305</v>
      </c>
      <c r="B266" s="35" t="s">
        <v>300</v>
      </c>
      <c r="C266" s="36">
        <v>112</v>
      </c>
      <c r="D266" s="6"/>
      <c r="E266" s="113">
        <v>4526960</v>
      </c>
      <c r="F266" s="116">
        <f t="shared" si="54"/>
        <v>40419.285714285717</v>
      </c>
      <c r="G266" s="117">
        <v>3717892</v>
      </c>
      <c r="H266" s="117">
        <f t="shared" si="48"/>
        <v>33195.464285714283</v>
      </c>
      <c r="I266" s="98" t="s">
        <v>528</v>
      </c>
      <c r="J266" s="10"/>
      <c r="K266" s="117"/>
      <c r="L266" s="120"/>
      <c r="M266" s="122">
        <f t="shared" si="55"/>
        <v>37178.92</v>
      </c>
      <c r="N266" s="116">
        <f t="shared" si="56"/>
        <v>37178.92</v>
      </c>
      <c r="O266" s="123">
        <f t="shared" si="57"/>
        <v>331.95464285714286</v>
      </c>
      <c r="P266" s="5"/>
      <c r="Q266" s="5">
        <f t="shared" si="50"/>
        <v>1</v>
      </c>
      <c r="R266" s="7">
        <f t="shared" si="51"/>
        <v>112</v>
      </c>
      <c r="S266" s="5">
        <f t="shared" si="52"/>
        <v>0</v>
      </c>
      <c r="T266" s="7">
        <f t="shared" si="53"/>
        <v>0</v>
      </c>
    </row>
    <row r="267" spans="1:20">
      <c r="A267" s="23" t="s">
        <v>306</v>
      </c>
      <c r="B267" s="35" t="s">
        <v>300</v>
      </c>
      <c r="C267" s="36">
        <v>53471</v>
      </c>
      <c r="D267" s="6"/>
      <c r="E267" s="113">
        <v>3676971612</v>
      </c>
      <c r="F267" s="116">
        <f t="shared" si="54"/>
        <v>68765.716220007103</v>
      </c>
      <c r="G267" s="117">
        <v>2963826969</v>
      </c>
      <c r="H267" s="117">
        <f t="shared" si="48"/>
        <v>55428.680387499764</v>
      </c>
      <c r="I267" s="7"/>
      <c r="J267" s="10">
        <v>7.7</v>
      </c>
      <c r="K267" s="117">
        <v>22821467</v>
      </c>
      <c r="L267" s="120">
        <f>(K267/C267)</f>
        <v>426.80082661629666</v>
      </c>
      <c r="M267" s="122">
        <f t="shared" si="55"/>
        <v>29638269.690000001</v>
      </c>
      <c r="N267" s="116">
        <f t="shared" si="56"/>
        <v>6816802.6900000013</v>
      </c>
      <c r="O267" s="123">
        <f t="shared" si="57"/>
        <v>127.485977258701</v>
      </c>
      <c r="P267" s="5"/>
      <c r="Q267" s="5">
        <f t="shared" si="50"/>
        <v>1</v>
      </c>
      <c r="R267" s="7">
        <f t="shared" si="51"/>
        <v>53471</v>
      </c>
      <c r="S267" s="5">
        <f t="shared" si="52"/>
        <v>1</v>
      </c>
      <c r="T267" s="7">
        <f t="shared" si="53"/>
        <v>53471</v>
      </c>
    </row>
    <row r="268" spans="1:20">
      <c r="A268" s="23" t="s">
        <v>307</v>
      </c>
      <c r="B268" s="35" t="s">
        <v>300</v>
      </c>
      <c r="C268" s="36">
        <v>223</v>
      </c>
      <c r="D268" s="6"/>
      <c r="E268" s="113">
        <v>11392583</v>
      </c>
      <c r="F268" s="116">
        <f t="shared" si="54"/>
        <v>51087.816143497759</v>
      </c>
      <c r="G268" s="117">
        <v>9621203</v>
      </c>
      <c r="H268" s="117">
        <f t="shared" si="48"/>
        <v>43144.408071748876</v>
      </c>
      <c r="I268" s="98" t="s">
        <v>528</v>
      </c>
      <c r="J268" s="10"/>
      <c r="K268" s="117"/>
      <c r="L268" s="120"/>
      <c r="M268" s="122">
        <f t="shared" si="55"/>
        <v>96212.03</v>
      </c>
      <c r="N268" s="116">
        <f t="shared" si="56"/>
        <v>96212.03</v>
      </c>
      <c r="O268" s="123">
        <f t="shared" si="57"/>
        <v>431.44408071748876</v>
      </c>
      <c r="P268" s="5"/>
      <c r="Q268" s="5">
        <f t="shared" si="50"/>
        <v>1</v>
      </c>
      <c r="R268" s="7">
        <f t="shared" si="51"/>
        <v>223</v>
      </c>
      <c r="S268" s="5">
        <f t="shared" si="52"/>
        <v>0</v>
      </c>
      <c r="T268" s="7">
        <f t="shared" si="53"/>
        <v>0</v>
      </c>
    </row>
    <row r="269" spans="1:20">
      <c r="A269" s="23" t="s">
        <v>308</v>
      </c>
      <c r="B269" s="35" t="s">
        <v>300</v>
      </c>
      <c r="C269" s="36">
        <v>189</v>
      </c>
      <c r="D269" s="6"/>
      <c r="E269" s="113">
        <v>83051684</v>
      </c>
      <c r="F269" s="116">
        <f t="shared" si="54"/>
        <v>439426.89947089949</v>
      </c>
      <c r="G269" s="117">
        <v>70789715</v>
      </c>
      <c r="H269" s="117">
        <f t="shared" si="48"/>
        <v>374548.75661375659</v>
      </c>
      <c r="I269" s="7"/>
      <c r="J269" s="10">
        <v>6.1566000000000001</v>
      </c>
      <c r="K269" s="117">
        <v>435823</v>
      </c>
      <c r="L269" s="120">
        <f t="shared" ref="L269:L300" si="58">(K269/C269)</f>
        <v>2305.9417989417989</v>
      </c>
      <c r="M269" s="122">
        <f t="shared" si="55"/>
        <v>707897.15</v>
      </c>
      <c r="N269" s="116">
        <f t="shared" si="56"/>
        <v>272074.15000000002</v>
      </c>
      <c r="O269" s="123">
        <f t="shared" si="57"/>
        <v>1439.5457671957672</v>
      </c>
      <c r="P269" s="5"/>
      <c r="Q269" s="5">
        <f t="shared" si="50"/>
        <v>1</v>
      </c>
      <c r="R269" s="7">
        <f t="shared" si="51"/>
        <v>189</v>
      </c>
      <c r="S269" s="5">
        <f t="shared" si="52"/>
        <v>1</v>
      </c>
      <c r="T269" s="7">
        <f t="shared" si="53"/>
        <v>189</v>
      </c>
    </row>
    <row r="270" spans="1:20">
      <c r="A270" s="23" t="s">
        <v>309</v>
      </c>
      <c r="B270" s="35" t="s">
        <v>300</v>
      </c>
      <c r="C270" s="36">
        <v>24813</v>
      </c>
      <c r="D270" s="6"/>
      <c r="E270" s="113">
        <v>853282882</v>
      </c>
      <c r="F270" s="116">
        <f t="shared" si="54"/>
        <v>34388.541570950714</v>
      </c>
      <c r="G270" s="117">
        <v>647744038</v>
      </c>
      <c r="H270" s="117">
        <f t="shared" si="48"/>
        <v>26105.027122879135</v>
      </c>
      <c r="I270" s="7"/>
      <c r="J270" s="10">
        <v>6.3411</v>
      </c>
      <c r="K270" s="117">
        <v>4107409</v>
      </c>
      <c r="L270" s="120">
        <f t="shared" si="58"/>
        <v>165.53455849756176</v>
      </c>
      <c r="M270" s="122">
        <f t="shared" si="55"/>
        <v>6477440.3799999999</v>
      </c>
      <c r="N270" s="116">
        <f t="shared" si="56"/>
        <v>2370031.38</v>
      </c>
      <c r="O270" s="123">
        <f t="shared" si="57"/>
        <v>95.515712731229598</v>
      </c>
      <c r="P270" s="5"/>
      <c r="Q270" s="5">
        <f t="shared" si="50"/>
        <v>1</v>
      </c>
      <c r="R270" s="7">
        <f t="shared" si="51"/>
        <v>24813</v>
      </c>
      <c r="S270" s="5">
        <f t="shared" si="52"/>
        <v>1</v>
      </c>
      <c r="T270" s="7">
        <f t="shared" si="53"/>
        <v>24813</v>
      </c>
    </row>
    <row r="271" spans="1:20">
      <c r="A271" s="23" t="s">
        <v>310</v>
      </c>
      <c r="B271" s="35" t="s">
        <v>300</v>
      </c>
      <c r="C271" s="36">
        <v>710</v>
      </c>
      <c r="D271" s="6"/>
      <c r="E271" s="113">
        <v>326024105</v>
      </c>
      <c r="F271" s="116">
        <f t="shared" si="54"/>
        <v>459188.88028169016</v>
      </c>
      <c r="G271" s="117">
        <v>304090500</v>
      </c>
      <c r="H271" s="117">
        <f t="shared" si="48"/>
        <v>428296.47887323942</v>
      </c>
      <c r="I271" s="7"/>
      <c r="J271" s="10">
        <v>4.0423999999999998</v>
      </c>
      <c r="K271" s="117">
        <v>1229255</v>
      </c>
      <c r="L271" s="120">
        <f t="shared" si="58"/>
        <v>1731.3450704225352</v>
      </c>
      <c r="M271" s="122">
        <f t="shared" si="55"/>
        <v>3040905</v>
      </c>
      <c r="N271" s="116">
        <f t="shared" si="56"/>
        <v>1811650</v>
      </c>
      <c r="O271" s="123">
        <f t="shared" si="57"/>
        <v>2551.6197183098593</v>
      </c>
      <c r="P271" s="5"/>
      <c r="Q271" s="5">
        <f t="shared" si="50"/>
        <v>1</v>
      </c>
      <c r="R271" s="7">
        <f t="shared" si="51"/>
        <v>710</v>
      </c>
      <c r="S271" s="5">
        <f t="shared" si="52"/>
        <v>1</v>
      </c>
      <c r="T271" s="7">
        <f t="shared" si="53"/>
        <v>710</v>
      </c>
    </row>
    <row r="272" spans="1:20">
      <c r="A272" s="23" t="s">
        <v>311</v>
      </c>
      <c r="B272" s="35" t="s">
        <v>300</v>
      </c>
      <c r="C272" s="36">
        <v>1192</v>
      </c>
      <c r="D272" s="6"/>
      <c r="E272" s="113">
        <v>52232032</v>
      </c>
      <c r="F272" s="116">
        <f t="shared" si="54"/>
        <v>43818.818791946309</v>
      </c>
      <c r="G272" s="117">
        <v>37198681</v>
      </c>
      <c r="H272" s="117">
        <f t="shared" si="48"/>
        <v>31206.947147651008</v>
      </c>
      <c r="I272" s="7"/>
      <c r="J272" s="10">
        <v>4.5</v>
      </c>
      <c r="K272" s="117">
        <v>167394</v>
      </c>
      <c r="L272" s="120">
        <f t="shared" si="58"/>
        <v>140.43120805369128</v>
      </c>
      <c r="M272" s="122">
        <f t="shared" si="55"/>
        <v>371986.81</v>
      </c>
      <c r="N272" s="116">
        <f t="shared" si="56"/>
        <v>204592.81</v>
      </c>
      <c r="O272" s="123">
        <f t="shared" si="57"/>
        <v>171.6382634228188</v>
      </c>
      <c r="P272" s="5"/>
      <c r="Q272" s="5">
        <f t="shared" si="50"/>
        <v>1</v>
      </c>
      <c r="R272" s="7">
        <f t="shared" si="51"/>
        <v>1192</v>
      </c>
      <c r="S272" s="5">
        <f t="shared" si="52"/>
        <v>1</v>
      </c>
      <c r="T272" s="7">
        <f t="shared" si="53"/>
        <v>1192</v>
      </c>
    </row>
    <row r="273" spans="1:20">
      <c r="A273" s="23" t="s">
        <v>312</v>
      </c>
      <c r="B273" s="35" t="s">
        <v>300</v>
      </c>
      <c r="C273" s="36">
        <v>3396</v>
      </c>
      <c r="D273" s="6"/>
      <c r="E273" s="113">
        <v>797748259</v>
      </c>
      <c r="F273" s="116">
        <f t="shared" si="54"/>
        <v>234908.20347467609</v>
      </c>
      <c r="G273" s="117">
        <v>745926944</v>
      </c>
      <c r="H273" s="117">
        <f t="shared" si="48"/>
        <v>219648.6878680801</v>
      </c>
      <c r="I273" s="9"/>
      <c r="J273" s="10">
        <v>4</v>
      </c>
      <c r="K273" s="117">
        <v>2983707</v>
      </c>
      <c r="L273" s="120">
        <f t="shared" si="58"/>
        <v>878.59452296819791</v>
      </c>
      <c r="M273" s="122">
        <f t="shared" si="55"/>
        <v>7459269.4400000004</v>
      </c>
      <c r="N273" s="116">
        <f t="shared" si="56"/>
        <v>4475562.4400000004</v>
      </c>
      <c r="O273" s="123">
        <f t="shared" si="57"/>
        <v>1317.8923557126031</v>
      </c>
      <c r="P273" s="5"/>
      <c r="Q273" s="5">
        <f t="shared" si="50"/>
        <v>1</v>
      </c>
      <c r="R273" s="7">
        <f t="shared" si="51"/>
        <v>3396</v>
      </c>
      <c r="S273" s="5">
        <f t="shared" si="52"/>
        <v>1</v>
      </c>
      <c r="T273" s="7">
        <f t="shared" si="53"/>
        <v>3396</v>
      </c>
    </row>
    <row r="274" spans="1:20">
      <c r="A274" s="23" t="s">
        <v>313</v>
      </c>
      <c r="B274" s="35" t="s">
        <v>300</v>
      </c>
      <c r="C274" s="36">
        <v>1420</v>
      </c>
      <c r="D274" s="6"/>
      <c r="E274" s="113">
        <v>162127696</v>
      </c>
      <c r="F274" s="116">
        <f t="shared" si="54"/>
        <v>114174.4338028169</v>
      </c>
      <c r="G274" s="117">
        <v>149437567</v>
      </c>
      <c r="H274" s="117">
        <f t="shared" si="48"/>
        <v>105237.72323943661</v>
      </c>
      <c r="I274" s="9"/>
      <c r="J274" s="10">
        <v>3.7</v>
      </c>
      <c r="K274" s="117">
        <v>552918</v>
      </c>
      <c r="L274" s="120">
        <f t="shared" si="58"/>
        <v>389.37887323943664</v>
      </c>
      <c r="M274" s="122">
        <f t="shared" si="55"/>
        <v>1494375.67</v>
      </c>
      <c r="N274" s="116">
        <f t="shared" si="56"/>
        <v>941457.66999999993</v>
      </c>
      <c r="O274" s="123">
        <f t="shared" si="57"/>
        <v>662.99835915492952</v>
      </c>
      <c r="P274" s="5"/>
      <c r="Q274" s="5">
        <f t="shared" si="50"/>
        <v>1</v>
      </c>
      <c r="R274" s="7">
        <f t="shared" si="51"/>
        <v>1420</v>
      </c>
      <c r="S274" s="5">
        <f t="shared" si="52"/>
        <v>1</v>
      </c>
      <c r="T274" s="7">
        <f t="shared" si="53"/>
        <v>1420</v>
      </c>
    </row>
    <row r="275" spans="1:20">
      <c r="A275" s="23" t="s">
        <v>314</v>
      </c>
      <c r="B275" s="35" t="s">
        <v>300</v>
      </c>
      <c r="C275" s="36">
        <v>2867</v>
      </c>
      <c r="D275" s="6"/>
      <c r="E275" s="113">
        <v>514126908</v>
      </c>
      <c r="F275" s="116">
        <f t="shared" si="54"/>
        <v>179325.74398325777</v>
      </c>
      <c r="G275" s="117">
        <v>451100537</v>
      </c>
      <c r="H275" s="117">
        <f t="shared" si="48"/>
        <v>157342.35681897454</v>
      </c>
      <c r="I275" s="7"/>
      <c r="J275" s="10">
        <v>4.0793999999999997</v>
      </c>
      <c r="K275" s="117">
        <v>1840219</v>
      </c>
      <c r="L275" s="120">
        <f t="shared" si="58"/>
        <v>641.86222532263696</v>
      </c>
      <c r="M275" s="122">
        <f t="shared" si="55"/>
        <v>4511005.37</v>
      </c>
      <c r="N275" s="116">
        <f t="shared" si="56"/>
        <v>2670786.37</v>
      </c>
      <c r="O275" s="123">
        <f t="shared" si="57"/>
        <v>931.56134286710846</v>
      </c>
      <c r="P275" s="5"/>
      <c r="Q275" s="5">
        <f t="shared" si="50"/>
        <v>1</v>
      </c>
      <c r="R275" s="7">
        <f t="shared" si="51"/>
        <v>2867</v>
      </c>
      <c r="S275" s="5">
        <f t="shared" si="52"/>
        <v>1</v>
      </c>
      <c r="T275" s="7">
        <f t="shared" si="53"/>
        <v>2867</v>
      </c>
    </row>
    <row r="276" spans="1:20">
      <c r="A276" s="23" t="s">
        <v>315</v>
      </c>
      <c r="B276" s="35" t="s">
        <v>300</v>
      </c>
      <c r="C276" s="36">
        <v>31419</v>
      </c>
      <c r="D276" s="6"/>
      <c r="E276" s="113">
        <v>3392016263</v>
      </c>
      <c r="F276" s="116">
        <f t="shared" si="54"/>
        <v>107960.66911741302</v>
      </c>
      <c r="G276" s="117">
        <v>2762021180</v>
      </c>
      <c r="H276" s="117">
        <f t="shared" si="48"/>
        <v>87909.264457812154</v>
      </c>
      <c r="I276" s="9"/>
      <c r="J276" s="11">
        <v>2.2679999999999998</v>
      </c>
      <c r="K276" s="117">
        <v>6264264</v>
      </c>
      <c r="L276" s="120">
        <f t="shared" si="58"/>
        <v>199.37821063687576</v>
      </c>
      <c r="M276" s="122">
        <f t="shared" si="55"/>
        <v>27620211.800000001</v>
      </c>
      <c r="N276" s="116">
        <f t="shared" si="56"/>
        <v>21355947.800000001</v>
      </c>
      <c r="O276" s="123">
        <f t="shared" si="57"/>
        <v>679.71443394124572</v>
      </c>
      <c r="P276" s="5"/>
      <c r="Q276" s="5">
        <f t="shared" si="50"/>
        <v>1</v>
      </c>
      <c r="R276" s="7">
        <f t="shared" si="51"/>
        <v>31419</v>
      </c>
      <c r="S276" s="5">
        <f t="shared" si="52"/>
        <v>1</v>
      </c>
      <c r="T276" s="7">
        <f t="shared" si="53"/>
        <v>31419</v>
      </c>
    </row>
    <row r="277" spans="1:20">
      <c r="A277" s="23" t="s">
        <v>316</v>
      </c>
      <c r="B277" s="35" t="s">
        <v>300</v>
      </c>
      <c r="C277" s="36">
        <v>412</v>
      </c>
      <c r="D277" s="6"/>
      <c r="E277" s="113">
        <v>100442313</v>
      </c>
      <c r="F277" s="116">
        <f t="shared" si="54"/>
        <v>243792.02184466019</v>
      </c>
      <c r="G277" s="117">
        <v>89058284</v>
      </c>
      <c r="H277" s="117">
        <f t="shared" si="48"/>
        <v>216160.88349514562</v>
      </c>
      <c r="I277" s="7"/>
      <c r="J277" s="10">
        <v>5.4702999999999999</v>
      </c>
      <c r="K277" s="117">
        <v>487175</v>
      </c>
      <c r="L277" s="120">
        <f t="shared" si="58"/>
        <v>1182.4635922330096</v>
      </c>
      <c r="M277" s="122">
        <f t="shared" si="55"/>
        <v>890582.84</v>
      </c>
      <c r="N277" s="116">
        <f t="shared" si="56"/>
        <v>403407.83999999997</v>
      </c>
      <c r="O277" s="123">
        <f t="shared" si="57"/>
        <v>979.14524271844653</v>
      </c>
      <c r="P277" s="5"/>
      <c r="Q277" s="5">
        <f t="shared" si="50"/>
        <v>1</v>
      </c>
      <c r="R277" s="7">
        <f t="shared" si="51"/>
        <v>412</v>
      </c>
      <c r="S277" s="5">
        <f t="shared" si="52"/>
        <v>1</v>
      </c>
      <c r="T277" s="7">
        <f t="shared" si="53"/>
        <v>412</v>
      </c>
    </row>
    <row r="278" spans="1:20">
      <c r="A278" s="23" t="s">
        <v>317</v>
      </c>
      <c r="B278" s="35" t="s">
        <v>300</v>
      </c>
      <c r="C278" s="36">
        <v>3641</v>
      </c>
      <c r="D278" s="6"/>
      <c r="E278" s="113">
        <v>180152249</v>
      </c>
      <c r="F278" s="116">
        <f t="shared" si="54"/>
        <v>49478.783026641031</v>
      </c>
      <c r="G278" s="117">
        <v>141840671</v>
      </c>
      <c r="H278" s="117">
        <f t="shared" si="48"/>
        <v>38956.514968415271</v>
      </c>
      <c r="I278" s="7"/>
      <c r="J278" s="12">
        <v>4.3163999999999998</v>
      </c>
      <c r="K278" s="117">
        <v>612241</v>
      </c>
      <c r="L278" s="120">
        <f t="shared" si="58"/>
        <v>168.15188135127713</v>
      </c>
      <c r="M278" s="122">
        <f t="shared" si="55"/>
        <v>1418406.71</v>
      </c>
      <c r="N278" s="116">
        <f t="shared" si="56"/>
        <v>806165.71</v>
      </c>
      <c r="O278" s="123">
        <f t="shared" si="57"/>
        <v>221.41326833287556</v>
      </c>
      <c r="P278" s="5"/>
      <c r="Q278" s="5">
        <f t="shared" si="50"/>
        <v>1</v>
      </c>
      <c r="R278" s="7">
        <f t="shared" si="51"/>
        <v>3641</v>
      </c>
      <c r="S278" s="5">
        <f t="shared" si="52"/>
        <v>1</v>
      </c>
      <c r="T278" s="7">
        <f t="shared" si="53"/>
        <v>3641</v>
      </c>
    </row>
    <row r="279" spans="1:20">
      <c r="A279" s="23" t="s">
        <v>318</v>
      </c>
      <c r="B279" s="35" t="s">
        <v>300</v>
      </c>
      <c r="C279" s="36">
        <v>6858</v>
      </c>
      <c r="D279" s="6"/>
      <c r="E279" s="113">
        <v>335164208</v>
      </c>
      <c r="F279" s="116">
        <f t="shared" si="54"/>
        <v>48872.004666083405</v>
      </c>
      <c r="G279" s="117">
        <v>270372560</v>
      </c>
      <c r="H279" s="117">
        <f t="shared" si="48"/>
        <v>39424.403616214637</v>
      </c>
      <c r="I279" s="7"/>
      <c r="J279" s="10">
        <v>9.8398000000000003</v>
      </c>
      <c r="K279" s="117">
        <v>2660411</v>
      </c>
      <c r="L279" s="120">
        <f t="shared" si="58"/>
        <v>387.9281131525226</v>
      </c>
      <c r="M279" s="122">
        <f t="shared" si="55"/>
        <v>2703725.6</v>
      </c>
      <c r="N279" s="116">
        <f t="shared" si="56"/>
        <v>43314.600000000093</v>
      </c>
      <c r="O279" s="123">
        <f t="shared" si="57"/>
        <v>6.3159230096238108</v>
      </c>
      <c r="P279" s="5"/>
      <c r="Q279" s="5">
        <f t="shared" si="50"/>
        <v>1</v>
      </c>
      <c r="R279" s="7">
        <f t="shared" si="51"/>
        <v>6858</v>
      </c>
      <c r="S279" s="5">
        <f t="shared" si="52"/>
        <v>1</v>
      </c>
      <c r="T279" s="7">
        <f t="shared" si="53"/>
        <v>6858</v>
      </c>
    </row>
    <row r="280" spans="1:20">
      <c r="A280" s="24" t="s">
        <v>628</v>
      </c>
      <c r="B280" s="35" t="s">
        <v>300</v>
      </c>
      <c r="C280" s="36">
        <v>30424</v>
      </c>
      <c r="D280" s="6"/>
      <c r="E280" s="113">
        <v>1017850200</v>
      </c>
      <c r="F280" s="116">
        <f t="shared" si="54"/>
        <v>33455.502235077569</v>
      </c>
      <c r="G280" s="117">
        <v>686510147</v>
      </c>
      <c r="H280" s="117">
        <f t="shared" si="48"/>
        <v>22564.756343676047</v>
      </c>
      <c r="I280" s="7"/>
      <c r="J280" s="10">
        <v>11.1839</v>
      </c>
      <c r="K280" s="117">
        <v>7677860</v>
      </c>
      <c r="L280" s="120">
        <f t="shared" si="58"/>
        <v>252.36195109124375</v>
      </c>
      <c r="M280" s="122">
        <f t="shared" si="55"/>
        <v>6865101.4699999997</v>
      </c>
      <c r="N280" s="116">
        <f t="shared" si="56"/>
        <v>-812758.53000000026</v>
      </c>
      <c r="O280" s="123">
        <f t="shared" si="57"/>
        <v>-26.714387654483311</v>
      </c>
      <c r="P280" s="5"/>
      <c r="Q280" s="5">
        <f t="shared" si="50"/>
        <v>1</v>
      </c>
      <c r="R280" s="7">
        <f t="shared" si="51"/>
        <v>30424</v>
      </c>
      <c r="S280" s="5">
        <f t="shared" si="52"/>
        <v>1</v>
      </c>
      <c r="T280" s="7">
        <f t="shared" si="53"/>
        <v>30424</v>
      </c>
    </row>
    <row r="281" spans="1:20">
      <c r="A281" s="23" t="s">
        <v>319</v>
      </c>
      <c r="B281" s="35" t="s">
        <v>300</v>
      </c>
      <c r="C281" s="36">
        <v>8873</v>
      </c>
      <c r="D281" s="6"/>
      <c r="E281" s="113">
        <v>462883070</v>
      </c>
      <c r="F281" s="116">
        <f t="shared" si="54"/>
        <v>52167.594950974868</v>
      </c>
      <c r="G281" s="117">
        <v>357042230</v>
      </c>
      <c r="H281" s="117">
        <f t="shared" si="48"/>
        <v>40239.178406401443</v>
      </c>
      <c r="I281" s="7"/>
      <c r="J281" s="10">
        <v>6.2618999999999998</v>
      </c>
      <c r="K281" s="117">
        <v>2235762</v>
      </c>
      <c r="L281" s="120">
        <f t="shared" si="58"/>
        <v>251.97362785979939</v>
      </c>
      <c r="M281" s="122">
        <f t="shared" si="55"/>
        <v>3570422.3000000003</v>
      </c>
      <c r="N281" s="116">
        <f t="shared" si="56"/>
        <v>1334660.3000000003</v>
      </c>
      <c r="O281" s="123">
        <f t="shared" si="57"/>
        <v>150.41815620421505</v>
      </c>
      <c r="P281" s="5"/>
      <c r="Q281" s="5">
        <f t="shared" si="50"/>
        <v>1</v>
      </c>
      <c r="R281" s="7">
        <f t="shared" si="51"/>
        <v>8873</v>
      </c>
      <c r="S281" s="5">
        <f t="shared" si="52"/>
        <v>1</v>
      </c>
      <c r="T281" s="7">
        <f t="shared" si="53"/>
        <v>8873</v>
      </c>
    </row>
    <row r="282" spans="1:20">
      <c r="A282" s="23" t="s">
        <v>320</v>
      </c>
      <c r="B282" s="35" t="s">
        <v>300</v>
      </c>
      <c r="C282" s="36">
        <v>333</v>
      </c>
      <c r="D282" s="6"/>
      <c r="E282" s="113">
        <v>424928254</v>
      </c>
      <c r="F282" s="116">
        <f t="shared" si="54"/>
        <v>1276060.8228228227</v>
      </c>
      <c r="G282" s="117">
        <v>407475597</v>
      </c>
      <c r="H282" s="117">
        <f t="shared" si="48"/>
        <v>1223650.4414414414</v>
      </c>
      <c r="I282" s="7"/>
      <c r="J282" s="10">
        <v>3.25</v>
      </c>
      <c r="K282" s="117">
        <v>1324295</v>
      </c>
      <c r="L282" s="120">
        <f t="shared" si="58"/>
        <v>3976.8618618618621</v>
      </c>
      <c r="M282" s="122">
        <f t="shared" si="55"/>
        <v>4074755.97</v>
      </c>
      <c r="N282" s="116">
        <f t="shared" si="56"/>
        <v>2750460.97</v>
      </c>
      <c r="O282" s="123">
        <f t="shared" si="57"/>
        <v>8259.6425525525538</v>
      </c>
      <c r="P282" s="5"/>
      <c r="Q282" s="5">
        <f t="shared" si="50"/>
        <v>1</v>
      </c>
      <c r="R282" s="7">
        <f t="shared" si="51"/>
        <v>333</v>
      </c>
      <c r="S282" s="5">
        <f t="shared" si="52"/>
        <v>1</v>
      </c>
      <c r="T282" s="7">
        <f t="shared" si="53"/>
        <v>333</v>
      </c>
    </row>
    <row r="283" spans="1:20">
      <c r="A283" s="23" t="s">
        <v>321</v>
      </c>
      <c r="B283" s="35" t="s">
        <v>300</v>
      </c>
      <c r="C283" s="36">
        <v>1373</v>
      </c>
      <c r="D283" s="6"/>
      <c r="E283" s="113">
        <v>133929293</v>
      </c>
      <c r="F283" s="116">
        <f t="shared" si="54"/>
        <v>97545.005826656954</v>
      </c>
      <c r="G283" s="117">
        <v>117362904</v>
      </c>
      <c r="H283" s="117">
        <f t="shared" si="48"/>
        <v>85479.172614712312</v>
      </c>
      <c r="I283" s="7"/>
      <c r="J283" s="10">
        <v>7.99</v>
      </c>
      <c r="K283" s="117">
        <v>937729</v>
      </c>
      <c r="L283" s="120">
        <f t="shared" si="58"/>
        <v>682.97815003641665</v>
      </c>
      <c r="M283" s="122">
        <f t="shared" si="55"/>
        <v>1173629.04</v>
      </c>
      <c r="N283" s="116">
        <f t="shared" si="56"/>
        <v>235900.04000000004</v>
      </c>
      <c r="O283" s="123">
        <f t="shared" si="57"/>
        <v>171.81357611070652</v>
      </c>
      <c r="P283" s="5"/>
      <c r="Q283" s="5">
        <f t="shared" si="50"/>
        <v>1</v>
      </c>
      <c r="R283" s="7">
        <f t="shared" si="51"/>
        <v>1373</v>
      </c>
      <c r="S283" s="5">
        <f t="shared" si="52"/>
        <v>1</v>
      </c>
      <c r="T283" s="7">
        <f t="shared" si="53"/>
        <v>1373</v>
      </c>
    </row>
    <row r="284" spans="1:20">
      <c r="A284" s="23" t="s">
        <v>322</v>
      </c>
      <c r="B284" s="35" t="s">
        <v>300</v>
      </c>
      <c r="C284" s="36">
        <v>12277</v>
      </c>
      <c r="D284" s="6"/>
      <c r="E284" s="113">
        <v>974935996</v>
      </c>
      <c r="F284" s="116">
        <f t="shared" si="54"/>
        <v>79411.582308381519</v>
      </c>
      <c r="G284" s="117">
        <v>772632572</v>
      </c>
      <c r="H284" s="117">
        <f t="shared" si="48"/>
        <v>62933.336482854116</v>
      </c>
      <c r="I284" s="7"/>
      <c r="J284" s="10">
        <v>5.6</v>
      </c>
      <c r="K284" s="117">
        <v>4326742</v>
      </c>
      <c r="L284" s="120">
        <f t="shared" si="58"/>
        <v>352.42665146208356</v>
      </c>
      <c r="M284" s="122">
        <f t="shared" si="55"/>
        <v>7726325.7199999997</v>
      </c>
      <c r="N284" s="116">
        <f t="shared" si="56"/>
        <v>3399583.7199999997</v>
      </c>
      <c r="O284" s="123">
        <f t="shared" si="57"/>
        <v>276.90671336645761</v>
      </c>
      <c r="P284" s="5"/>
      <c r="Q284" s="5">
        <f t="shared" si="50"/>
        <v>1</v>
      </c>
      <c r="R284" s="7">
        <f t="shared" si="51"/>
        <v>12277</v>
      </c>
      <c r="S284" s="5">
        <f t="shared" si="52"/>
        <v>1</v>
      </c>
      <c r="T284" s="7">
        <f t="shared" si="53"/>
        <v>12277</v>
      </c>
    </row>
    <row r="285" spans="1:20">
      <c r="A285" s="23" t="s">
        <v>323</v>
      </c>
      <c r="B285" s="35" t="s">
        <v>300</v>
      </c>
      <c r="C285" s="36">
        <v>1653</v>
      </c>
      <c r="D285" s="6"/>
      <c r="E285" s="113">
        <v>363174550</v>
      </c>
      <c r="F285" s="116">
        <f t="shared" si="54"/>
        <v>219706.32183908045</v>
      </c>
      <c r="G285" s="117">
        <v>317136963</v>
      </c>
      <c r="H285" s="117">
        <f t="shared" ref="H285:H348" si="59">(G285/C285)</f>
        <v>191855.39201451905</v>
      </c>
      <c r="I285" s="7"/>
      <c r="J285" s="10">
        <v>4.0585000000000004</v>
      </c>
      <c r="K285" s="117">
        <v>1287100</v>
      </c>
      <c r="L285" s="120">
        <f t="shared" si="58"/>
        <v>778.64488808227463</v>
      </c>
      <c r="M285" s="122">
        <f t="shared" si="55"/>
        <v>3171369.63</v>
      </c>
      <c r="N285" s="116">
        <f t="shared" si="56"/>
        <v>1884269.63</v>
      </c>
      <c r="O285" s="123">
        <f t="shared" si="57"/>
        <v>1139.9090320629159</v>
      </c>
      <c r="P285" s="5"/>
      <c r="Q285" s="5">
        <f t="shared" si="50"/>
        <v>1</v>
      </c>
      <c r="R285" s="7">
        <f t="shared" si="51"/>
        <v>1653</v>
      </c>
      <c r="S285" s="5">
        <f t="shared" si="52"/>
        <v>1</v>
      </c>
      <c r="T285" s="7">
        <f t="shared" si="53"/>
        <v>1653</v>
      </c>
    </row>
    <row r="286" spans="1:20">
      <c r="A286" s="23" t="s">
        <v>324</v>
      </c>
      <c r="B286" s="35" t="s">
        <v>300</v>
      </c>
      <c r="C286" s="36">
        <v>7001</v>
      </c>
      <c r="D286" s="6"/>
      <c r="E286" s="113">
        <v>130998812</v>
      </c>
      <c r="F286" s="116">
        <f t="shared" si="54"/>
        <v>18711.442936723324</v>
      </c>
      <c r="G286" s="117">
        <v>57919227</v>
      </c>
      <c r="H286" s="117">
        <f t="shared" si="59"/>
        <v>8272.9934295100702</v>
      </c>
      <c r="I286" s="7"/>
      <c r="J286" s="10">
        <v>7.1775000000000002</v>
      </c>
      <c r="K286" s="117">
        <v>415715</v>
      </c>
      <c r="L286" s="120">
        <f t="shared" si="58"/>
        <v>59.37937437508927</v>
      </c>
      <c r="M286" s="122">
        <f t="shared" si="55"/>
        <v>579192.27</v>
      </c>
      <c r="N286" s="116">
        <f t="shared" si="56"/>
        <v>163477.27000000002</v>
      </c>
      <c r="O286" s="123">
        <f t="shared" si="57"/>
        <v>23.350559920011431</v>
      </c>
      <c r="P286" s="5"/>
      <c r="Q286" s="5">
        <f t="shared" si="50"/>
        <v>1</v>
      </c>
      <c r="R286" s="7">
        <f t="shared" si="51"/>
        <v>7001</v>
      </c>
      <c r="S286" s="5">
        <f t="shared" si="52"/>
        <v>1</v>
      </c>
      <c r="T286" s="7">
        <f t="shared" si="53"/>
        <v>7001</v>
      </c>
    </row>
    <row r="287" spans="1:20">
      <c r="A287" s="23" t="s">
        <v>300</v>
      </c>
      <c r="B287" s="35" t="s">
        <v>300</v>
      </c>
      <c r="C287" s="36">
        <v>9722</v>
      </c>
      <c r="D287" s="6"/>
      <c r="E287" s="113">
        <v>5374428558</v>
      </c>
      <c r="F287" s="116">
        <f t="shared" si="54"/>
        <v>552811.00164575188</v>
      </c>
      <c r="G287" s="117">
        <v>4954502270</v>
      </c>
      <c r="H287" s="117">
        <f t="shared" si="59"/>
        <v>509617.59617362684</v>
      </c>
      <c r="I287" s="7"/>
      <c r="J287" s="10">
        <v>4.7527999999999997</v>
      </c>
      <c r="K287" s="117">
        <v>23547758</v>
      </c>
      <c r="L287" s="120">
        <f t="shared" si="58"/>
        <v>2422.1104710964823</v>
      </c>
      <c r="M287" s="122">
        <f t="shared" si="55"/>
        <v>49545022.700000003</v>
      </c>
      <c r="N287" s="116">
        <f t="shared" si="56"/>
        <v>25997264.700000003</v>
      </c>
      <c r="O287" s="123">
        <f t="shared" si="57"/>
        <v>2674.0654906397863</v>
      </c>
      <c r="P287" s="5"/>
      <c r="Q287" s="5">
        <f t="shared" si="50"/>
        <v>1</v>
      </c>
      <c r="R287" s="7">
        <f t="shared" si="51"/>
        <v>9722</v>
      </c>
      <c r="S287" s="5">
        <f t="shared" si="52"/>
        <v>1</v>
      </c>
      <c r="T287" s="7">
        <f t="shared" si="53"/>
        <v>9722</v>
      </c>
    </row>
    <row r="288" spans="1:20">
      <c r="A288" s="23" t="s">
        <v>325</v>
      </c>
      <c r="B288" s="35" t="s">
        <v>300</v>
      </c>
      <c r="C288" s="36">
        <v>33824</v>
      </c>
      <c r="D288" s="6"/>
      <c r="E288" s="113">
        <v>4026490749</v>
      </c>
      <c r="F288" s="116">
        <f t="shared" si="54"/>
        <v>119042.41807592243</v>
      </c>
      <c r="G288" s="117">
        <v>3300408065</v>
      </c>
      <c r="H288" s="117">
        <f t="shared" si="59"/>
        <v>97575.924343661303</v>
      </c>
      <c r="I288" s="7"/>
      <c r="J288" s="10">
        <v>4.0659000000000001</v>
      </c>
      <c r="K288" s="117">
        <v>13419129</v>
      </c>
      <c r="L288" s="120">
        <f t="shared" si="58"/>
        <v>396.73394631031221</v>
      </c>
      <c r="M288" s="122">
        <f t="shared" si="55"/>
        <v>33004080.650000002</v>
      </c>
      <c r="N288" s="116">
        <f t="shared" si="56"/>
        <v>19584951.650000002</v>
      </c>
      <c r="O288" s="123">
        <f t="shared" si="57"/>
        <v>579.02529712630087</v>
      </c>
      <c r="P288" s="5"/>
      <c r="Q288" s="5">
        <f t="shared" si="50"/>
        <v>1</v>
      </c>
      <c r="R288" s="7">
        <f t="shared" si="51"/>
        <v>33824</v>
      </c>
      <c r="S288" s="5">
        <f t="shared" si="52"/>
        <v>1</v>
      </c>
      <c r="T288" s="7">
        <f t="shared" si="53"/>
        <v>33824</v>
      </c>
    </row>
    <row r="289" spans="1:20">
      <c r="A289" s="23" t="s">
        <v>326</v>
      </c>
      <c r="B289" s="35" t="s">
        <v>300</v>
      </c>
      <c r="C289" s="36">
        <v>1021</v>
      </c>
      <c r="D289" s="6"/>
      <c r="E289" s="113">
        <v>165968560</v>
      </c>
      <c r="F289" s="116">
        <f t="shared" si="54"/>
        <v>162554.90695396671</v>
      </c>
      <c r="G289" s="117">
        <v>151415932</v>
      </c>
      <c r="H289" s="117">
        <f t="shared" si="59"/>
        <v>148301.59843290891</v>
      </c>
      <c r="I289" s="7"/>
      <c r="J289" s="10">
        <v>5.8327999999999998</v>
      </c>
      <c r="K289" s="117">
        <v>883178</v>
      </c>
      <c r="L289" s="120">
        <f t="shared" si="58"/>
        <v>865.01273261508322</v>
      </c>
      <c r="M289" s="122">
        <f t="shared" si="55"/>
        <v>1514159.32</v>
      </c>
      <c r="N289" s="116">
        <f t="shared" si="56"/>
        <v>630981.32000000007</v>
      </c>
      <c r="O289" s="123">
        <f t="shared" si="57"/>
        <v>618.00325171400596</v>
      </c>
      <c r="P289" s="5"/>
      <c r="Q289" s="5">
        <f t="shared" si="50"/>
        <v>1</v>
      </c>
      <c r="R289" s="7">
        <f t="shared" si="51"/>
        <v>1021</v>
      </c>
      <c r="S289" s="5">
        <f t="shared" si="52"/>
        <v>1</v>
      </c>
      <c r="T289" s="7">
        <f t="shared" si="53"/>
        <v>1021</v>
      </c>
    </row>
    <row r="290" spans="1:20">
      <c r="A290" s="23" t="s">
        <v>327</v>
      </c>
      <c r="B290" s="35" t="s">
        <v>300</v>
      </c>
      <c r="C290" s="36">
        <v>10297</v>
      </c>
      <c r="D290" s="6"/>
      <c r="E290" s="113">
        <v>275669516</v>
      </c>
      <c r="F290" s="116">
        <f t="shared" si="54"/>
        <v>26771.828299504708</v>
      </c>
      <c r="G290" s="117">
        <v>186950924</v>
      </c>
      <c r="H290" s="117">
        <f t="shared" si="59"/>
        <v>18155.863261144023</v>
      </c>
      <c r="I290" s="7"/>
      <c r="J290" s="10">
        <v>5.6315999999999997</v>
      </c>
      <c r="K290" s="117">
        <v>1052832</v>
      </c>
      <c r="L290" s="120">
        <f t="shared" si="58"/>
        <v>102.24647955715257</v>
      </c>
      <c r="M290" s="122">
        <f t="shared" si="55"/>
        <v>1869509.24</v>
      </c>
      <c r="N290" s="116">
        <f t="shared" si="56"/>
        <v>816677.24</v>
      </c>
      <c r="O290" s="123">
        <f t="shared" si="57"/>
        <v>79.312153054287663</v>
      </c>
      <c r="P290" s="5"/>
      <c r="Q290" s="5">
        <f t="shared" si="50"/>
        <v>1</v>
      </c>
      <c r="R290" s="7">
        <f t="shared" si="51"/>
        <v>10297</v>
      </c>
      <c r="S290" s="5">
        <f t="shared" si="52"/>
        <v>1</v>
      </c>
      <c r="T290" s="7">
        <f t="shared" si="53"/>
        <v>10297</v>
      </c>
    </row>
    <row r="291" spans="1:20">
      <c r="A291" s="23" t="s">
        <v>328</v>
      </c>
      <c r="B291" s="35" t="s">
        <v>300</v>
      </c>
      <c r="C291" s="36">
        <v>28654</v>
      </c>
      <c r="D291" s="6"/>
      <c r="E291" s="113">
        <v>1938007276</v>
      </c>
      <c r="F291" s="116">
        <f t="shared" si="54"/>
        <v>67634.790116563134</v>
      </c>
      <c r="G291" s="117">
        <v>1427993105</v>
      </c>
      <c r="H291" s="117">
        <f t="shared" si="59"/>
        <v>49835.733405458224</v>
      </c>
      <c r="I291" s="7"/>
      <c r="J291" s="10">
        <v>8.7996999999999996</v>
      </c>
      <c r="K291" s="117">
        <v>12565910</v>
      </c>
      <c r="L291" s="120">
        <f t="shared" si="58"/>
        <v>438.53947092901512</v>
      </c>
      <c r="M291" s="122">
        <f t="shared" si="55"/>
        <v>14279931.050000001</v>
      </c>
      <c r="N291" s="116">
        <f t="shared" si="56"/>
        <v>1714021.0500000007</v>
      </c>
      <c r="O291" s="123">
        <f t="shared" si="57"/>
        <v>59.817863125567136</v>
      </c>
      <c r="P291" s="5"/>
      <c r="Q291" s="5">
        <f t="shared" si="50"/>
        <v>1</v>
      </c>
      <c r="R291" s="7">
        <f t="shared" si="51"/>
        <v>28654</v>
      </c>
      <c r="S291" s="5">
        <f t="shared" si="52"/>
        <v>1</v>
      </c>
      <c r="T291" s="7">
        <f t="shared" si="53"/>
        <v>28654</v>
      </c>
    </row>
    <row r="292" spans="1:20">
      <c r="A292" s="23" t="s">
        <v>329</v>
      </c>
      <c r="B292" s="35" t="s">
        <v>300</v>
      </c>
      <c r="C292" s="36">
        <v>18537</v>
      </c>
      <c r="D292" s="6"/>
      <c r="E292" s="113">
        <v>885810285</v>
      </c>
      <c r="F292" s="116">
        <f t="shared" si="54"/>
        <v>47786.064897232565</v>
      </c>
      <c r="G292" s="117">
        <v>659353693</v>
      </c>
      <c r="H292" s="117">
        <f t="shared" si="59"/>
        <v>35569.600960241682</v>
      </c>
      <c r="I292" s="7"/>
      <c r="J292" s="10">
        <v>7.0824999999999996</v>
      </c>
      <c r="K292" s="117">
        <v>4669872</v>
      </c>
      <c r="L292" s="120">
        <f t="shared" si="58"/>
        <v>251.92167017316717</v>
      </c>
      <c r="M292" s="122">
        <f t="shared" si="55"/>
        <v>6593536.9299999997</v>
      </c>
      <c r="N292" s="116">
        <f t="shared" si="56"/>
        <v>1923664.9299999997</v>
      </c>
      <c r="O292" s="123">
        <f t="shared" si="57"/>
        <v>103.77433942924959</v>
      </c>
      <c r="P292" s="5"/>
      <c r="Q292" s="5">
        <f t="shared" si="50"/>
        <v>1</v>
      </c>
      <c r="R292" s="7">
        <f t="shared" si="51"/>
        <v>18537</v>
      </c>
      <c r="S292" s="5">
        <f t="shared" si="52"/>
        <v>1</v>
      </c>
      <c r="T292" s="7">
        <f t="shared" si="53"/>
        <v>18537</v>
      </c>
    </row>
    <row r="293" spans="1:20">
      <c r="A293" s="23" t="s">
        <v>330</v>
      </c>
      <c r="B293" s="35" t="s">
        <v>300</v>
      </c>
      <c r="C293" s="36">
        <v>3334</v>
      </c>
      <c r="D293" s="6"/>
      <c r="E293" s="113">
        <v>79228778</v>
      </c>
      <c r="F293" s="116">
        <f t="shared" si="54"/>
        <v>23763.880623875226</v>
      </c>
      <c r="G293" s="117">
        <v>37037960</v>
      </c>
      <c r="H293" s="117">
        <f t="shared" si="59"/>
        <v>11109.166166766647</v>
      </c>
      <c r="I293" s="7"/>
      <c r="J293" s="10">
        <v>9.2888999999999999</v>
      </c>
      <c r="K293" s="117">
        <v>344041</v>
      </c>
      <c r="L293" s="120">
        <f t="shared" si="58"/>
        <v>103.19166166766647</v>
      </c>
      <c r="M293" s="122">
        <f t="shared" si="55"/>
        <v>370379.60000000003</v>
      </c>
      <c r="N293" s="116">
        <f t="shared" si="56"/>
        <v>26338.600000000035</v>
      </c>
      <c r="O293" s="123">
        <f t="shared" si="57"/>
        <v>7.9000000000000101</v>
      </c>
      <c r="P293" s="5"/>
      <c r="Q293" s="5">
        <f t="shared" si="50"/>
        <v>1</v>
      </c>
      <c r="R293" s="7">
        <f t="shared" si="51"/>
        <v>3334</v>
      </c>
      <c r="S293" s="5">
        <f t="shared" si="52"/>
        <v>1</v>
      </c>
      <c r="T293" s="7">
        <f t="shared" si="53"/>
        <v>3334</v>
      </c>
    </row>
    <row r="294" spans="1:20">
      <c r="A294" s="23" t="s">
        <v>331</v>
      </c>
      <c r="B294" s="35" t="s">
        <v>300</v>
      </c>
      <c r="C294" s="36">
        <v>1504</v>
      </c>
      <c r="D294" s="6"/>
      <c r="E294" s="113">
        <v>178451601</v>
      </c>
      <c r="F294" s="116">
        <f t="shared" si="54"/>
        <v>118651.33045212766</v>
      </c>
      <c r="G294" s="117">
        <v>158412751</v>
      </c>
      <c r="H294" s="117">
        <f t="shared" si="59"/>
        <v>105327.62699468085</v>
      </c>
      <c r="I294" s="7"/>
      <c r="J294" s="10">
        <v>4.55</v>
      </c>
      <c r="K294" s="117">
        <v>720778</v>
      </c>
      <c r="L294" s="120">
        <f t="shared" si="58"/>
        <v>479.24069148936172</v>
      </c>
      <c r="M294" s="122">
        <f t="shared" si="55"/>
        <v>1584127.51</v>
      </c>
      <c r="N294" s="116">
        <f t="shared" si="56"/>
        <v>863349.51</v>
      </c>
      <c r="O294" s="123">
        <f t="shared" si="57"/>
        <v>574.03557845744683</v>
      </c>
      <c r="P294" s="5"/>
      <c r="Q294" s="5">
        <f t="shared" si="50"/>
        <v>1</v>
      </c>
      <c r="R294" s="7">
        <f t="shared" si="51"/>
        <v>1504</v>
      </c>
      <c r="S294" s="5">
        <f t="shared" si="52"/>
        <v>1</v>
      </c>
      <c r="T294" s="7">
        <f t="shared" si="53"/>
        <v>1504</v>
      </c>
    </row>
    <row r="295" spans="1:20">
      <c r="A295" s="23" t="s">
        <v>332</v>
      </c>
      <c r="B295" s="35" t="s">
        <v>300</v>
      </c>
      <c r="C295" s="36">
        <v>5036</v>
      </c>
      <c r="D295" s="6"/>
      <c r="E295" s="113">
        <v>507841260</v>
      </c>
      <c r="F295" s="116">
        <f t="shared" si="54"/>
        <v>100842.1882446386</v>
      </c>
      <c r="G295" s="117">
        <v>408545411</v>
      </c>
      <c r="H295" s="117">
        <f t="shared" si="59"/>
        <v>81124.982327243837</v>
      </c>
      <c r="I295" s="7"/>
      <c r="J295" s="10">
        <v>6.7305000000000001</v>
      </c>
      <c r="K295" s="117">
        <v>2749714</v>
      </c>
      <c r="L295" s="120">
        <f t="shared" si="58"/>
        <v>546.01151707704526</v>
      </c>
      <c r="M295" s="122">
        <f t="shared" si="55"/>
        <v>4085454.11</v>
      </c>
      <c r="N295" s="116">
        <f t="shared" si="56"/>
        <v>1335740.1099999999</v>
      </c>
      <c r="O295" s="123">
        <f t="shared" si="57"/>
        <v>265.23830619539314</v>
      </c>
      <c r="P295" s="5"/>
      <c r="Q295" s="5">
        <f t="shared" si="50"/>
        <v>1</v>
      </c>
      <c r="R295" s="7">
        <f t="shared" si="51"/>
        <v>5036</v>
      </c>
      <c r="S295" s="5">
        <f t="shared" si="52"/>
        <v>1</v>
      </c>
      <c r="T295" s="7">
        <f t="shared" si="53"/>
        <v>5036</v>
      </c>
    </row>
    <row r="296" spans="1:20">
      <c r="A296" s="23" t="s">
        <v>333</v>
      </c>
      <c r="B296" s="35" t="s">
        <v>300</v>
      </c>
      <c r="C296" s="36">
        <v>28585</v>
      </c>
      <c r="D296" s="6"/>
      <c r="E296" s="113">
        <v>2119161131</v>
      </c>
      <c r="F296" s="116">
        <f t="shared" si="54"/>
        <v>74135.425258002448</v>
      </c>
      <c r="G296" s="117">
        <v>1791841368</v>
      </c>
      <c r="H296" s="117">
        <f t="shared" si="59"/>
        <v>62684.672660486271</v>
      </c>
      <c r="I296" s="9"/>
      <c r="J296" s="10">
        <v>2.25</v>
      </c>
      <c r="K296" s="117">
        <v>4031643</v>
      </c>
      <c r="L296" s="120">
        <f t="shared" si="58"/>
        <v>141.04051075739025</v>
      </c>
      <c r="M296" s="122">
        <f t="shared" si="55"/>
        <v>17918413.68</v>
      </c>
      <c r="N296" s="116">
        <f t="shared" si="56"/>
        <v>13886770.68</v>
      </c>
      <c r="O296" s="123">
        <f t="shared" si="57"/>
        <v>485.80621584747246</v>
      </c>
      <c r="P296" s="5"/>
      <c r="Q296" s="5">
        <f t="shared" si="50"/>
        <v>1</v>
      </c>
      <c r="R296" s="7">
        <f t="shared" si="51"/>
        <v>28585</v>
      </c>
      <c r="S296" s="5">
        <f t="shared" si="52"/>
        <v>1</v>
      </c>
      <c r="T296" s="7">
        <f t="shared" si="53"/>
        <v>28585</v>
      </c>
    </row>
    <row r="297" spans="1:20">
      <c r="A297" s="23" t="s">
        <v>334</v>
      </c>
      <c r="B297" s="35" t="s">
        <v>300</v>
      </c>
      <c r="C297" s="36">
        <v>80901</v>
      </c>
      <c r="D297" s="6"/>
      <c r="E297" s="113">
        <v>5717997741</v>
      </c>
      <c r="F297" s="116">
        <f t="shared" si="54"/>
        <v>70678.950087143545</v>
      </c>
      <c r="G297" s="117">
        <v>4131136192</v>
      </c>
      <c r="H297" s="117">
        <f t="shared" si="59"/>
        <v>51064.09305200183</v>
      </c>
      <c r="I297" s="7"/>
      <c r="J297" s="10">
        <v>8.8896999999999995</v>
      </c>
      <c r="K297" s="117">
        <v>36724561</v>
      </c>
      <c r="L297" s="120">
        <f t="shared" si="58"/>
        <v>453.9444629856244</v>
      </c>
      <c r="M297" s="122">
        <f t="shared" si="55"/>
        <v>41311361.920000002</v>
      </c>
      <c r="N297" s="116">
        <f t="shared" si="56"/>
        <v>4586800.9200000018</v>
      </c>
      <c r="O297" s="123">
        <f t="shared" si="57"/>
        <v>56.696467534393911</v>
      </c>
      <c r="P297" s="5"/>
      <c r="Q297" s="5">
        <f t="shared" si="50"/>
        <v>1</v>
      </c>
      <c r="R297" s="7">
        <f t="shared" si="51"/>
        <v>80901</v>
      </c>
      <c r="S297" s="5">
        <f t="shared" si="52"/>
        <v>1</v>
      </c>
      <c r="T297" s="7">
        <f t="shared" si="53"/>
        <v>80901</v>
      </c>
    </row>
    <row r="298" spans="1:20">
      <c r="A298" s="23" t="s">
        <v>335</v>
      </c>
      <c r="B298" s="35" t="s">
        <v>336</v>
      </c>
      <c r="C298" s="36">
        <v>6131</v>
      </c>
      <c r="D298" s="6"/>
      <c r="E298" s="113">
        <v>236413536</v>
      </c>
      <c r="F298" s="116">
        <f t="shared" si="54"/>
        <v>38560.35491763171</v>
      </c>
      <c r="G298" s="117">
        <v>132614414</v>
      </c>
      <c r="H298" s="117">
        <f t="shared" si="59"/>
        <v>21630.144185287882</v>
      </c>
      <c r="I298" s="7"/>
      <c r="J298" s="10">
        <v>7.4965000000000002</v>
      </c>
      <c r="K298" s="117">
        <v>994143</v>
      </c>
      <c r="L298" s="120">
        <f t="shared" si="58"/>
        <v>162.15022019246453</v>
      </c>
      <c r="M298" s="122">
        <f t="shared" si="55"/>
        <v>1326144.1400000001</v>
      </c>
      <c r="N298" s="116">
        <f t="shared" si="56"/>
        <v>332001.14000000013</v>
      </c>
      <c r="O298" s="123">
        <f t="shared" si="57"/>
        <v>54.151221660414308</v>
      </c>
      <c r="P298" s="5"/>
      <c r="Q298" s="5">
        <f t="shared" si="50"/>
        <v>1</v>
      </c>
      <c r="R298" s="7">
        <f t="shared" si="51"/>
        <v>6131</v>
      </c>
      <c r="S298" s="5">
        <f t="shared" si="52"/>
        <v>1</v>
      </c>
      <c r="T298" s="7">
        <f t="shared" si="53"/>
        <v>6131</v>
      </c>
    </row>
    <row r="299" spans="1:20">
      <c r="A299" s="23" t="s">
        <v>337</v>
      </c>
      <c r="B299" s="35" t="s">
        <v>336</v>
      </c>
      <c r="C299" s="36">
        <v>14693</v>
      </c>
      <c r="D299" s="6"/>
      <c r="E299" s="113">
        <v>582483539</v>
      </c>
      <c r="F299" s="116">
        <f t="shared" si="54"/>
        <v>39643.608453004832</v>
      </c>
      <c r="G299" s="117">
        <v>422552143</v>
      </c>
      <c r="H299" s="117">
        <f t="shared" si="59"/>
        <v>28758.738378819846</v>
      </c>
      <c r="I299" s="7"/>
      <c r="J299" s="10">
        <v>5.5</v>
      </c>
      <c r="K299" s="117">
        <v>2324036</v>
      </c>
      <c r="L299" s="120">
        <f t="shared" si="58"/>
        <v>158.17300755461784</v>
      </c>
      <c r="M299" s="122">
        <f t="shared" si="55"/>
        <v>4225521.43</v>
      </c>
      <c r="N299" s="116">
        <f t="shared" si="56"/>
        <v>1901485.4299999997</v>
      </c>
      <c r="O299" s="123">
        <f t="shared" si="57"/>
        <v>129.41437623358058</v>
      </c>
      <c r="P299" s="5"/>
      <c r="Q299" s="5">
        <f t="shared" si="50"/>
        <v>1</v>
      </c>
      <c r="R299" s="7">
        <f t="shared" si="51"/>
        <v>14693</v>
      </c>
      <c r="S299" s="5">
        <f t="shared" si="52"/>
        <v>1</v>
      </c>
      <c r="T299" s="7">
        <f t="shared" si="53"/>
        <v>14693</v>
      </c>
    </row>
    <row r="300" spans="1:20">
      <c r="A300" s="23" t="s">
        <v>338</v>
      </c>
      <c r="B300" s="35" t="s">
        <v>336</v>
      </c>
      <c r="C300" s="36">
        <v>2667</v>
      </c>
      <c r="D300" s="6"/>
      <c r="E300" s="113">
        <v>160571653</v>
      </c>
      <c r="F300" s="116">
        <f t="shared" si="54"/>
        <v>60206.844019497563</v>
      </c>
      <c r="G300" s="117">
        <v>133066425</v>
      </c>
      <c r="H300" s="117">
        <f t="shared" si="59"/>
        <v>49893.672665916762</v>
      </c>
      <c r="I300" s="7"/>
      <c r="J300" s="10">
        <v>4.32</v>
      </c>
      <c r="K300" s="117">
        <v>574846</v>
      </c>
      <c r="L300" s="120">
        <f t="shared" si="58"/>
        <v>215.54030746156729</v>
      </c>
      <c r="M300" s="122">
        <f t="shared" si="55"/>
        <v>1330664.25</v>
      </c>
      <c r="N300" s="116">
        <f t="shared" si="56"/>
        <v>755818.25</v>
      </c>
      <c r="O300" s="123">
        <f t="shared" si="57"/>
        <v>283.39641919760032</v>
      </c>
      <c r="P300" s="5"/>
      <c r="Q300" s="5">
        <f t="shared" si="50"/>
        <v>1</v>
      </c>
      <c r="R300" s="7">
        <f t="shared" si="51"/>
        <v>2667</v>
      </c>
      <c r="S300" s="5">
        <f t="shared" si="52"/>
        <v>1</v>
      </c>
      <c r="T300" s="7">
        <f t="shared" si="53"/>
        <v>2667</v>
      </c>
    </row>
    <row r="301" spans="1:20">
      <c r="A301" s="23" t="s">
        <v>339</v>
      </c>
      <c r="B301" s="35" t="s">
        <v>336</v>
      </c>
      <c r="C301" s="36">
        <v>912</v>
      </c>
      <c r="D301" s="6"/>
      <c r="E301" s="113">
        <v>23184239</v>
      </c>
      <c r="F301" s="116">
        <f t="shared" si="54"/>
        <v>25421.314692982458</v>
      </c>
      <c r="G301" s="117">
        <v>14402928</v>
      </c>
      <c r="H301" s="117">
        <f t="shared" si="59"/>
        <v>15792.684210526315</v>
      </c>
      <c r="I301" s="7"/>
      <c r="J301" s="10">
        <v>2.9</v>
      </c>
      <c r="K301" s="117">
        <v>41768</v>
      </c>
      <c r="L301" s="120">
        <f t="shared" ref="L301:L332" si="60">(K301/C301)</f>
        <v>45.798245614035089</v>
      </c>
      <c r="M301" s="122">
        <f t="shared" si="55"/>
        <v>144029.28</v>
      </c>
      <c r="N301" s="116">
        <f t="shared" si="56"/>
        <v>102261.28</v>
      </c>
      <c r="O301" s="123">
        <f t="shared" si="57"/>
        <v>112.12859649122807</v>
      </c>
      <c r="P301" s="5"/>
      <c r="Q301" s="5">
        <f t="shared" si="50"/>
        <v>1</v>
      </c>
      <c r="R301" s="7">
        <f t="shared" si="51"/>
        <v>912</v>
      </c>
      <c r="S301" s="5">
        <f t="shared" si="52"/>
        <v>1</v>
      </c>
      <c r="T301" s="7">
        <f t="shared" si="53"/>
        <v>912</v>
      </c>
    </row>
    <row r="302" spans="1:20">
      <c r="A302" s="23" t="s">
        <v>547</v>
      </c>
      <c r="B302" s="35" t="s">
        <v>336</v>
      </c>
      <c r="C302" s="36">
        <v>706</v>
      </c>
      <c r="D302" s="6"/>
      <c r="E302" s="113">
        <v>24144206</v>
      </c>
      <c r="F302" s="116">
        <f t="shared" si="54"/>
        <v>34198.592067988669</v>
      </c>
      <c r="G302" s="117">
        <v>6314408</v>
      </c>
      <c r="H302" s="117">
        <f t="shared" si="59"/>
        <v>8943.9206798866853</v>
      </c>
      <c r="I302" s="7"/>
      <c r="J302" s="10">
        <v>3</v>
      </c>
      <c r="K302" s="117">
        <v>18943</v>
      </c>
      <c r="L302" s="120">
        <f t="shared" si="60"/>
        <v>26.8314447592068</v>
      </c>
      <c r="M302" s="122">
        <f t="shared" si="55"/>
        <v>63144.08</v>
      </c>
      <c r="N302" s="116">
        <f t="shared" si="56"/>
        <v>44201.08</v>
      </c>
      <c r="O302" s="123">
        <f t="shared" si="57"/>
        <v>62.607762039660059</v>
      </c>
      <c r="P302" s="5"/>
      <c r="Q302" s="5">
        <f t="shared" si="50"/>
        <v>1</v>
      </c>
      <c r="R302" s="7">
        <f t="shared" si="51"/>
        <v>706</v>
      </c>
      <c r="S302" s="5">
        <f t="shared" si="52"/>
        <v>1</v>
      </c>
      <c r="T302" s="7">
        <f t="shared" si="53"/>
        <v>706</v>
      </c>
    </row>
    <row r="303" spans="1:20">
      <c r="A303" s="23" t="s">
        <v>340</v>
      </c>
      <c r="B303" s="35" t="s">
        <v>336</v>
      </c>
      <c r="C303" s="36">
        <v>9098</v>
      </c>
      <c r="D303" s="6"/>
      <c r="E303" s="113">
        <v>466365029</v>
      </c>
      <c r="F303" s="116">
        <f t="shared" si="54"/>
        <v>51260.170257199381</v>
      </c>
      <c r="G303" s="117">
        <v>291417838</v>
      </c>
      <c r="H303" s="117">
        <f t="shared" si="59"/>
        <v>32030.978017146626</v>
      </c>
      <c r="I303" s="7"/>
      <c r="J303" s="10">
        <v>6.42</v>
      </c>
      <c r="K303" s="117">
        <v>1870902</v>
      </c>
      <c r="L303" s="120">
        <f t="shared" si="60"/>
        <v>205.63882171905914</v>
      </c>
      <c r="M303" s="122">
        <f t="shared" si="55"/>
        <v>2914178.38</v>
      </c>
      <c r="N303" s="116">
        <f t="shared" si="56"/>
        <v>1043276.3799999999</v>
      </c>
      <c r="O303" s="123">
        <f t="shared" si="57"/>
        <v>114.67095845240711</v>
      </c>
      <c r="P303" s="5"/>
      <c r="Q303" s="5">
        <f t="shared" si="50"/>
        <v>1</v>
      </c>
      <c r="R303" s="7">
        <f t="shared" si="51"/>
        <v>9098</v>
      </c>
      <c r="S303" s="5">
        <f t="shared" si="52"/>
        <v>1</v>
      </c>
      <c r="T303" s="7">
        <f t="shared" si="53"/>
        <v>9098</v>
      </c>
    </row>
    <row r="304" spans="1:20">
      <c r="A304" s="23" t="s">
        <v>341</v>
      </c>
      <c r="B304" s="35" t="s">
        <v>342</v>
      </c>
      <c r="C304" s="36">
        <v>4117</v>
      </c>
      <c r="D304" s="6"/>
      <c r="E304" s="113">
        <v>444519980</v>
      </c>
      <c r="F304" s="116">
        <f t="shared" si="54"/>
        <v>107971.81928588779</v>
      </c>
      <c r="G304" s="117">
        <v>374542300</v>
      </c>
      <c r="H304" s="117">
        <f t="shared" si="59"/>
        <v>90974.568860820989</v>
      </c>
      <c r="I304" s="7"/>
      <c r="J304" s="10">
        <v>4.7087000000000003</v>
      </c>
      <c r="K304" s="117">
        <v>1763607</v>
      </c>
      <c r="L304" s="120">
        <f t="shared" si="60"/>
        <v>428.37187272285644</v>
      </c>
      <c r="M304" s="122">
        <f t="shared" si="55"/>
        <v>3745423</v>
      </c>
      <c r="N304" s="116">
        <f t="shared" si="56"/>
        <v>1981816</v>
      </c>
      <c r="O304" s="123">
        <f t="shared" si="57"/>
        <v>481.37381588535339</v>
      </c>
      <c r="P304" s="5"/>
      <c r="Q304" s="5">
        <f t="shared" si="50"/>
        <v>1</v>
      </c>
      <c r="R304" s="7">
        <f t="shared" si="51"/>
        <v>4117</v>
      </c>
      <c r="S304" s="5">
        <f t="shared" si="52"/>
        <v>1</v>
      </c>
      <c r="T304" s="7">
        <f t="shared" si="53"/>
        <v>4117</v>
      </c>
    </row>
    <row r="305" spans="1:20">
      <c r="A305" s="23" t="s">
        <v>343</v>
      </c>
      <c r="B305" s="35" t="s">
        <v>342</v>
      </c>
      <c r="C305" s="36">
        <v>2152</v>
      </c>
      <c r="D305" s="6"/>
      <c r="E305" s="113">
        <v>215300750</v>
      </c>
      <c r="F305" s="116">
        <f t="shared" si="54"/>
        <v>100046.81691449814</v>
      </c>
      <c r="G305" s="117">
        <v>188655920</v>
      </c>
      <c r="H305" s="117">
        <f t="shared" si="59"/>
        <v>87665.390334572498</v>
      </c>
      <c r="I305" s="7"/>
      <c r="J305" s="10">
        <v>2.35</v>
      </c>
      <c r="K305" s="117">
        <v>443341</v>
      </c>
      <c r="L305" s="120">
        <f t="shared" si="60"/>
        <v>206.01347583643124</v>
      </c>
      <c r="M305" s="122">
        <f t="shared" si="55"/>
        <v>1886559.2</v>
      </c>
      <c r="N305" s="116">
        <f t="shared" si="56"/>
        <v>1443218.2</v>
      </c>
      <c r="O305" s="123">
        <f t="shared" si="57"/>
        <v>670.64042750929366</v>
      </c>
      <c r="P305" s="5"/>
      <c r="Q305" s="5">
        <f t="shared" si="50"/>
        <v>1</v>
      </c>
      <c r="R305" s="7">
        <f t="shared" si="51"/>
        <v>2152</v>
      </c>
      <c r="S305" s="5">
        <f t="shared" si="52"/>
        <v>1</v>
      </c>
      <c r="T305" s="7">
        <f t="shared" si="53"/>
        <v>2152</v>
      </c>
    </row>
    <row r="306" spans="1:20">
      <c r="A306" s="23" t="s">
        <v>344</v>
      </c>
      <c r="B306" s="35" t="s">
        <v>342</v>
      </c>
      <c r="C306" s="36">
        <v>2220</v>
      </c>
      <c r="D306" s="6"/>
      <c r="E306" s="113">
        <v>137065320</v>
      </c>
      <c r="F306" s="116">
        <f t="shared" si="54"/>
        <v>61741.135135135133</v>
      </c>
      <c r="G306" s="117">
        <v>110201890</v>
      </c>
      <c r="H306" s="117">
        <f t="shared" si="59"/>
        <v>49640.490990990991</v>
      </c>
      <c r="I306" s="7"/>
      <c r="J306" s="10">
        <v>4.3499999999999996</v>
      </c>
      <c r="K306" s="117">
        <v>479378</v>
      </c>
      <c r="L306" s="120">
        <f t="shared" si="60"/>
        <v>215.93603603603603</v>
      </c>
      <c r="M306" s="122">
        <f t="shared" si="55"/>
        <v>1102018.8999999999</v>
      </c>
      <c r="N306" s="116">
        <f t="shared" si="56"/>
        <v>622640.89999999991</v>
      </c>
      <c r="O306" s="123">
        <f t="shared" si="57"/>
        <v>280.4688738738738</v>
      </c>
      <c r="P306" s="5"/>
      <c r="Q306" s="5">
        <f t="shared" si="50"/>
        <v>1</v>
      </c>
      <c r="R306" s="7">
        <f t="shared" si="51"/>
        <v>2220</v>
      </c>
      <c r="S306" s="5">
        <f t="shared" si="52"/>
        <v>1</v>
      </c>
      <c r="T306" s="7">
        <f t="shared" si="53"/>
        <v>2220</v>
      </c>
    </row>
    <row r="307" spans="1:20">
      <c r="A307" s="23" t="s">
        <v>345</v>
      </c>
      <c r="B307" s="35" t="s">
        <v>342</v>
      </c>
      <c r="C307" s="36">
        <v>60</v>
      </c>
      <c r="D307" s="6"/>
      <c r="E307" s="113">
        <v>39100640</v>
      </c>
      <c r="F307" s="116">
        <f t="shared" si="54"/>
        <v>651677.33333333337</v>
      </c>
      <c r="G307" s="117">
        <v>36936340</v>
      </c>
      <c r="H307" s="117">
        <f t="shared" si="59"/>
        <v>615605.66666666663</v>
      </c>
      <c r="I307" s="7"/>
      <c r="J307" s="10">
        <v>2.7</v>
      </c>
      <c r="K307" s="117">
        <v>99728</v>
      </c>
      <c r="L307" s="120">
        <f t="shared" si="60"/>
        <v>1662.1333333333334</v>
      </c>
      <c r="M307" s="122">
        <f t="shared" si="55"/>
        <v>369363.4</v>
      </c>
      <c r="N307" s="116">
        <f t="shared" si="56"/>
        <v>269635.40000000002</v>
      </c>
      <c r="O307" s="123">
        <f t="shared" si="57"/>
        <v>4493.9233333333341</v>
      </c>
      <c r="P307" s="5"/>
      <c r="Q307" s="5">
        <f t="shared" si="50"/>
        <v>1</v>
      </c>
      <c r="R307" s="7">
        <f t="shared" si="51"/>
        <v>60</v>
      </c>
      <c r="S307" s="5">
        <f t="shared" si="52"/>
        <v>1</v>
      </c>
      <c r="T307" s="7">
        <f t="shared" si="53"/>
        <v>60</v>
      </c>
    </row>
    <row r="308" spans="1:20">
      <c r="A308" s="23" t="s">
        <v>346</v>
      </c>
      <c r="B308" s="35" t="s">
        <v>342</v>
      </c>
      <c r="C308" s="36">
        <v>102874</v>
      </c>
      <c r="D308" s="6"/>
      <c r="E308" s="113">
        <v>6349561534</v>
      </c>
      <c r="F308" s="116">
        <f t="shared" si="54"/>
        <v>61721.732741022999</v>
      </c>
      <c r="G308" s="117">
        <v>4692398894</v>
      </c>
      <c r="H308" s="117">
        <f t="shared" si="59"/>
        <v>45613.069327526879</v>
      </c>
      <c r="I308" s="7"/>
      <c r="J308" s="10">
        <v>5.1158000000000001</v>
      </c>
      <c r="K308" s="117">
        <v>24005374</v>
      </c>
      <c r="L308" s="120">
        <f t="shared" si="60"/>
        <v>233.34733751968429</v>
      </c>
      <c r="M308" s="122">
        <f t="shared" si="55"/>
        <v>46923988.939999998</v>
      </c>
      <c r="N308" s="116">
        <f t="shared" si="56"/>
        <v>22918614.939999998</v>
      </c>
      <c r="O308" s="123">
        <f t="shared" si="57"/>
        <v>222.78335575558447</v>
      </c>
      <c r="P308" s="5"/>
      <c r="Q308" s="5">
        <f t="shared" si="50"/>
        <v>1</v>
      </c>
      <c r="R308" s="7">
        <f t="shared" si="51"/>
        <v>102874</v>
      </c>
      <c r="S308" s="5">
        <f t="shared" si="52"/>
        <v>1</v>
      </c>
      <c r="T308" s="7">
        <f t="shared" si="53"/>
        <v>102874</v>
      </c>
    </row>
    <row r="309" spans="1:20">
      <c r="A309" s="23" t="s">
        <v>347</v>
      </c>
      <c r="B309" s="35" t="s">
        <v>342</v>
      </c>
      <c r="C309" s="36">
        <v>35700</v>
      </c>
      <c r="D309" s="6"/>
      <c r="E309" s="113">
        <v>1718926250</v>
      </c>
      <c r="F309" s="116">
        <f t="shared" si="54"/>
        <v>48149.19467787115</v>
      </c>
      <c r="G309" s="117">
        <v>1102615320</v>
      </c>
      <c r="H309" s="117">
        <f t="shared" si="59"/>
        <v>30885.583193277311</v>
      </c>
      <c r="I309" s="7"/>
      <c r="J309" s="10">
        <v>4.1166</v>
      </c>
      <c r="K309" s="117">
        <v>4539026</v>
      </c>
      <c r="L309" s="120">
        <f t="shared" si="60"/>
        <v>127.14358543417367</v>
      </c>
      <c r="M309" s="122">
        <f t="shared" si="55"/>
        <v>11026153.200000001</v>
      </c>
      <c r="N309" s="116">
        <f t="shared" si="56"/>
        <v>6487127.2000000011</v>
      </c>
      <c r="O309" s="123">
        <f t="shared" si="57"/>
        <v>181.71224649859948</v>
      </c>
      <c r="P309" s="5"/>
      <c r="Q309" s="5">
        <f t="shared" si="50"/>
        <v>1</v>
      </c>
      <c r="R309" s="7">
        <f t="shared" si="51"/>
        <v>35700</v>
      </c>
      <c r="S309" s="5">
        <f t="shared" si="52"/>
        <v>1</v>
      </c>
      <c r="T309" s="7">
        <f t="shared" si="53"/>
        <v>35700</v>
      </c>
    </row>
    <row r="310" spans="1:20">
      <c r="A310" s="23" t="s">
        <v>348</v>
      </c>
      <c r="B310" s="35" t="s">
        <v>342</v>
      </c>
      <c r="C310" s="36">
        <v>11964</v>
      </c>
      <c r="D310" s="6"/>
      <c r="E310" s="113">
        <v>515349360</v>
      </c>
      <c r="F310" s="116">
        <f t="shared" si="54"/>
        <v>43075.005015045135</v>
      </c>
      <c r="G310" s="117">
        <v>356066700</v>
      </c>
      <c r="H310" s="117">
        <f t="shared" si="59"/>
        <v>29761.509528585757</v>
      </c>
      <c r="I310" s="7"/>
      <c r="J310" s="10">
        <v>4.3</v>
      </c>
      <c r="K310" s="117">
        <v>1531086</v>
      </c>
      <c r="L310" s="120">
        <f t="shared" si="60"/>
        <v>127.97442326980944</v>
      </c>
      <c r="M310" s="122">
        <f t="shared" si="55"/>
        <v>3560667</v>
      </c>
      <c r="N310" s="116">
        <f t="shared" si="56"/>
        <v>2029581</v>
      </c>
      <c r="O310" s="123">
        <f t="shared" si="57"/>
        <v>169.64067201604814</v>
      </c>
      <c r="P310" s="5"/>
      <c r="Q310" s="5">
        <f t="shared" si="50"/>
        <v>1</v>
      </c>
      <c r="R310" s="7">
        <f t="shared" si="51"/>
        <v>11964</v>
      </c>
      <c r="S310" s="5">
        <f t="shared" si="52"/>
        <v>1</v>
      </c>
      <c r="T310" s="7">
        <f t="shared" si="53"/>
        <v>11964</v>
      </c>
    </row>
    <row r="311" spans="1:20">
      <c r="A311" s="23" t="s">
        <v>349</v>
      </c>
      <c r="B311" s="35" t="s">
        <v>342</v>
      </c>
      <c r="C311" s="36">
        <v>4242</v>
      </c>
      <c r="D311" s="6"/>
      <c r="E311" s="113">
        <v>406282150</v>
      </c>
      <c r="F311" s="116">
        <f t="shared" si="54"/>
        <v>95776.084394153702</v>
      </c>
      <c r="G311" s="117">
        <v>354723630</v>
      </c>
      <c r="H311" s="117">
        <f t="shared" si="59"/>
        <v>83621.789250353613</v>
      </c>
      <c r="I311" s="7"/>
      <c r="J311" s="10">
        <v>2.5185</v>
      </c>
      <c r="K311" s="117">
        <v>893371</v>
      </c>
      <c r="L311" s="120">
        <f t="shared" si="60"/>
        <v>210.60136727958511</v>
      </c>
      <c r="M311" s="122">
        <f t="shared" si="55"/>
        <v>3547236.3000000003</v>
      </c>
      <c r="N311" s="116">
        <f t="shared" si="56"/>
        <v>2653865.3000000003</v>
      </c>
      <c r="O311" s="123">
        <f t="shared" si="57"/>
        <v>625.61652522395104</v>
      </c>
      <c r="P311" s="5"/>
      <c r="Q311" s="5">
        <f t="shared" si="50"/>
        <v>1</v>
      </c>
      <c r="R311" s="7">
        <f t="shared" si="51"/>
        <v>4242</v>
      </c>
      <c r="S311" s="5">
        <f t="shared" si="52"/>
        <v>1</v>
      </c>
      <c r="T311" s="7">
        <f t="shared" si="53"/>
        <v>4242</v>
      </c>
    </row>
    <row r="312" spans="1:20">
      <c r="A312" s="23" t="s">
        <v>350</v>
      </c>
      <c r="B312" s="35" t="s">
        <v>342</v>
      </c>
      <c r="C312" s="36">
        <v>1465</v>
      </c>
      <c r="D312" s="6"/>
      <c r="E312" s="113">
        <v>283226000</v>
      </c>
      <c r="F312" s="116">
        <f t="shared" si="54"/>
        <v>193328.32764505121</v>
      </c>
      <c r="G312" s="117">
        <v>261489610</v>
      </c>
      <c r="H312" s="117">
        <f t="shared" si="59"/>
        <v>178491.20136518771</v>
      </c>
      <c r="I312" s="7"/>
      <c r="J312" s="10">
        <v>1.7129000000000001</v>
      </c>
      <c r="K312" s="117">
        <v>447905</v>
      </c>
      <c r="L312" s="120">
        <f t="shared" si="60"/>
        <v>305.73720136518773</v>
      </c>
      <c r="M312" s="122">
        <f t="shared" si="55"/>
        <v>2614896.1</v>
      </c>
      <c r="N312" s="116">
        <f t="shared" si="56"/>
        <v>2166991.1</v>
      </c>
      <c r="O312" s="123">
        <f t="shared" si="57"/>
        <v>1479.1748122866895</v>
      </c>
      <c r="P312" s="5"/>
      <c r="Q312" s="5">
        <f t="shared" si="50"/>
        <v>1</v>
      </c>
      <c r="R312" s="7">
        <f t="shared" si="51"/>
        <v>1465</v>
      </c>
      <c r="S312" s="5">
        <f t="shared" si="52"/>
        <v>1</v>
      </c>
      <c r="T312" s="7">
        <f t="shared" si="53"/>
        <v>1465</v>
      </c>
    </row>
    <row r="313" spans="1:20">
      <c r="A313" s="23" t="s">
        <v>351</v>
      </c>
      <c r="B313" s="35" t="s">
        <v>342</v>
      </c>
      <c r="C313" s="36">
        <v>4388</v>
      </c>
      <c r="D313" s="6"/>
      <c r="E313" s="113">
        <v>126347490</v>
      </c>
      <c r="F313" s="116">
        <f t="shared" si="54"/>
        <v>28793.867365542388</v>
      </c>
      <c r="G313" s="117">
        <v>86549190</v>
      </c>
      <c r="H313" s="117">
        <f t="shared" si="59"/>
        <v>19724.063354603462</v>
      </c>
      <c r="I313" s="7"/>
      <c r="J313" s="10">
        <v>3.754</v>
      </c>
      <c r="K313" s="117">
        <v>324905</v>
      </c>
      <c r="L313" s="120">
        <f t="shared" si="60"/>
        <v>74.043983591613497</v>
      </c>
      <c r="M313" s="122">
        <f t="shared" si="55"/>
        <v>865491.9</v>
      </c>
      <c r="N313" s="116">
        <f t="shared" si="56"/>
        <v>540586.9</v>
      </c>
      <c r="O313" s="123">
        <f t="shared" si="57"/>
        <v>123.19664995442115</v>
      </c>
      <c r="P313" s="5"/>
      <c r="Q313" s="5">
        <f t="shared" si="50"/>
        <v>1</v>
      </c>
      <c r="R313" s="7">
        <f t="shared" si="51"/>
        <v>4388</v>
      </c>
      <c r="S313" s="5">
        <f t="shared" si="52"/>
        <v>1</v>
      </c>
      <c r="T313" s="7">
        <f t="shared" si="53"/>
        <v>4388</v>
      </c>
    </row>
    <row r="314" spans="1:20">
      <c r="A314" s="23" t="s">
        <v>352</v>
      </c>
      <c r="B314" s="35" t="s">
        <v>342</v>
      </c>
      <c r="C314" s="36">
        <v>68244</v>
      </c>
      <c r="D314" s="6"/>
      <c r="E314" s="113">
        <v>2585945018</v>
      </c>
      <c r="F314" s="116">
        <f t="shared" si="54"/>
        <v>37892.635513744797</v>
      </c>
      <c r="G314" s="117">
        <v>1939638118</v>
      </c>
      <c r="H314" s="117">
        <f t="shared" si="59"/>
        <v>28422.10477111541</v>
      </c>
      <c r="I314" s="7"/>
      <c r="J314" s="10">
        <v>3.4</v>
      </c>
      <c r="K314" s="117">
        <v>6594769</v>
      </c>
      <c r="L314" s="120">
        <f t="shared" si="60"/>
        <v>96.635147412226715</v>
      </c>
      <c r="M314" s="122">
        <f t="shared" si="55"/>
        <v>19396381.18</v>
      </c>
      <c r="N314" s="116">
        <f t="shared" si="56"/>
        <v>12801612.18</v>
      </c>
      <c r="O314" s="123">
        <f t="shared" si="57"/>
        <v>187.58590029892738</v>
      </c>
      <c r="P314" s="5"/>
      <c r="Q314" s="5">
        <f t="shared" si="50"/>
        <v>1</v>
      </c>
      <c r="R314" s="7">
        <f t="shared" si="51"/>
        <v>68244</v>
      </c>
      <c r="S314" s="5">
        <f t="shared" si="52"/>
        <v>1</v>
      </c>
      <c r="T314" s="7">
        <f t="shared" si="53"/>
        <v>68244</v>
      </c>
    </row>
    <row r="315" spans="1:20">
      <c r="A315" s="23" t="s">
        <v>353</v>
      </c>
      <c r="B315" s="35" t="s">
        <v>342</v>
      </c>
      <c r="C315" s="36">
        <v>4162</v>
      </c>
      <c r="D315" s="6"/>
      <c r="E315" s="113">
        <v>472944230</v>
      </c>
      <c r="F315" s="116">
        <f t="shared" si="54"/>
        <v>113633.88515136954</v>
      </c>
      <c r="G315" s="117">
        <v>406698770</v>
      </c>
      <c r="H315" s="117">
        <f t="shared" si="59"/>
        <v>97717.148005766459</v>
      </c>
      <c r="I315" s="7"/>
      <c r="J315" s="10">
        <v>2.2000000000000002</v>
      </c>
      <c r="K315" s="117">
        <v>894737</v>
      </c>
      <c r="L315" s="120">
        <f t="shared" si="60"/>
        <v>214.9776549735704</v>
      </c>
      <c r="M315" s="122">
        <f t="shared" si="55"/>
        <v>4066987.7</v>
      </c>
      <c r="N315" s="116">
        <f t="shared" si="56"/>
        <v>3172250.7</v>
      </c>
      <c r="O315" s="123">
        <f t="shared" si="57"/>
        <v>762.19382508409421</v>
      </c>
      <c r="P315" s="5"/>
      <c r="Q315" s="5">
        <f t="shared" si="50"/>
        <v>1</v>
      </c>
      <c r="R315" s="7">
        <f t="shared" si="51"/>
        <v>4162</v>
      </c>
      <c r="S315" s="5">
        <f t="shared" si="52"/>
        <v>1</v>
      </c>
      <c r="T315" s="7">
        <f t="shared" si="53"/>
        <v>4162</v>
      </c>
    </row>
    <row r="316" spans="1:20">
      <c r="A316" s="23" t="s">
        <v>354</v>
      </c>
      <c r="B316" s="35" t="s">
        <v>342</v>
      </c>
      <c r="C316" s="36">
        <v>1134</v>
      </c>
      <c r="D316" s="6"/>
      <c r="E316" s="113">
        <v>153726350</v>
      </c>
      <c r="F316" s="116">
        <f t="shared" si="54"/>
        <v>135561.15520282186</v>
      </c>
      <c r="G316" s="117">
        <v>143077550</v>
      </c>
      <c r="H316" s="117">
        <f t="shared" si="59"/>
        <v>126170.67901234567</v>
      </c>
      <c r="I316" s="7"/>
      <c r="J316" s="10">
        <v>1.3433999999999999</v>
      </c>
      <c r="K316" s="117">
        <v>192210</v>
      </c>
      <c r="L316" s="120">
        <f t="shared" si="60"/>
        <v>169.49735449735451</v>
      </c>
      <c r="M316" s="122">
        <f t="shared" si="55"/>
        <v>1430775.5</v>
      </c>
      <c r="N316" s="116">
        <f t="shared" si="56"/>
        <v>1238565.5</v>
      </c>
      <c r="O316" s="123">
        <f t="shared" si="57"/>
        <v>1092.2094356261023</v>
      </c>
      <c r="P316" s="5"/>
      <c r="Q316" s="5">
        <f t="shared" si="50"/>
        <v>1</v>
      </c>
      <c r="R316" s="7">
        <f t="shared" si="51"/>
        <v>1134</v>
      </c>
      <c r="S316" s="5">
        <f t="shared" si="52"/>
        <v>1</v>
      </c>
      <c r="T316" s="7">
        <f t="shared" si="53"/>
        <v>1134</v>
      </c>
    </row>
    <row r="317" spans="1:20">
      <c r="A317" s="23" t="s">
        <v>355</v>
      </c>
      <c r="B317" s="35" t="s">
        <v>342</v>
      </c>
      <c r="C317" s="36">
        <v>10867</v>
      </c>
      <c r="D317" s="6"/>
      <c r="E317" s="113">
        <v>564414424</v>
      </c>
      <c r="F317" s="116">
        <f t="shared" si="54"/>
        <v>51938.384466734147</v>
      </c>
      <c r="G317" s="117">
        <v>446830538</v>
      </c>
      <c r="H317" s="117">
        <f t="shared" si="59"/>
        <v>41118.113370755498</v>
      </c>
      <c r="I317" s="7"/>
      <c r="J317" s="10">
        <v>4.6500000000000004</v>
      </c>
      <c r="K317" s="117">
        <v>2077762</v>
      </c>
      <c r="L317" s="120">
        <f t="shared" si="60"/>
        <v>191.19922701757613</v>
      </c>
      <c r="M317" s="122">
        <f t="shared" si="55"/>
        <v>4468305.38</v>
      </c>
      <c r="N317" s="116">
        <f t="shared" si="56"/>
        <v>2390543.38</v>
      </c>
      <c r="O317" s="123">
        <f t="shared" si="57"/>
        <v>219.98190668997881</v>
      </c>
      <c r="P317" s="5"/>
      <c r="Q317" s="5">
        <f t="shared" si="50"/>
        <v>1</v>
      </c>
      <c r="R317" s="7">
        <f t="shared" si="51"/>
        <v>10867</v>
      </c>
      <c r="S317" s="5">
        <f t="shared" si="52"/>
        <v>1</v>
      </c>
      <c r="T317" s="7">
        <f t="shared" si="53"/>
        <v>10867</v>
      </c>
    </row>
    <row r="318" spans="1:20">
      <c r="A318" s="23" t="s">
        <v>356</v>
      </c>
      <c r="B318" s="35" t="s">
        <v>342</v>
      </c>
      <c r="C318" s="36">
        <v>44877</v>
      </c>
      <c r="D318" s="6"/>
      <c r="E318" s="113">
        <v>2102380187</v>
      </c>
      <c r="F318" s="116">
        <f t="shared" si="54"/>
        <v>46847.609844686587</v>
      </c>
      <c r="G318" s="117">
        <v>1622858972</v>
      </c>
      <c r="H318" s="117">
        <f t="shared" si="59"/>
        <v>36162.376540321326</v>
      </c>
      <c r="I318" s="7"/>
      <c r="J318" s="10">
        <v>5.0788000000000002</v>
      </c>
      <c r="K318" s="117">
        <v>8242176</v>
      </c>
      <c r="L318" s="120">
        <f t="shared" si="60"/>
        <v>183.66147469750652</v>
      </c>
      <c r="M318" s="122">
        <f t="shared" si="55"/>
        <v>16228589.720000001</v>
      </c>
      <c r="N318" s="116">
        <f t="shared" si="56"/>
        <v>7986413.7200000007</v>
      </c>
      <c r="O318" s="123">
        <f t="shared" si="57"/>
        <v>177.96229070570672</v>
      </c>
      <c r="P318" s="5"/>
      <c r="Q318" s="5">
        <f t="shared" si="50"/>
        <v>1</v>
      </c>
      <c r="R318" s="7">
        <f t="shared" si="51"/>
        <v>44877</v>
      </c>
      <c r="S318" s="5">
        <f t="shared" si="52"/>
        <v>1</v>
      </c>
      <c r="T318" s="7">
        <f t="shared" si="53"/>
        <v>44877</v>
      </c>
    </row>
    <row r="319" spans="1:20">
      <c r="A319" s="23" t="s">
        <v>357</v>
      </c>
      <c r="B319" s="35" t="s">
        <v>342</v>
      </c>
      <c r="C319" s="36">
        <v>1621</v>
      </c>
      <c r="D319" s="6"/>
      <c r="E319" s="113">
        <v>144984820</v>
      </c>
      <c r="F319" s="116">
        <f t="shared" si="54"/>
        <v>89441.591610117219</v>
      </c>
      <c r="G319" s="117">
        <v>122183520</v>
      </c>
      <c r="H319" s="117">
        <f t="shared" si="59"/>
        <v>75375.397902529308</v>
      </c>
      <c r="I319" s="7"/>
      <c r="J319" s="10">
        <v>2.2559999999999998</v>
      </c>
      <c r="K319" s="117">
        <v>275646</v>
      </c>
      <c r="L319" s="120">
        <f t="shared" si="60"/>
        <v>170.04688463911165</v>
      </c>
      <c r="M319" s="122">
        <f t="shared" si="55"/>
        <v>1221835.2</v>
      </c>
      <c r="N319" s="116">
        <f t="shared" si="56"/>
        <v>946189.2</v>
      </c>
      <c r="O319" s="123">
        <f t="shared" si="57"/>
        <v>583.70709438618132</v>
      </c>
      <c r="P319" s="5"/>
      <c r="Q319" s="5">
        <f t="shared" si="50"/>
        <v>1</v>
      </c>
      <c r="R319" s="7">
        <f t="shared" si="51"/>
        <v>1621</v>
      </c>
      <c r="S319" s="5">
        <f t="shared" si="52"/>
        <v>1</v>
      </c>
      <c r="T319" s="7">
        <f t="shared" si="53"/>
        <v>1621</v>
      </c>
    </row>
    <row r="320" spans="1:20">
      <c r="A320" s="23" t="s">
        <v>358</v>
      </c>
      <c r="B320" s="35" t="s">
        <v>342</v>
      </c>
      <c r="C320" s="36">
        <v>2361</v>
      </c>
      <c r="D320" s="6"/>
      <c r="E320" s="113">
        <v>216523490</v>
      </c>
      <c r="F320" s="116">
        <f t="shared" si="54"/>
        <v>91708.382041507837</v>
      </c>
      <c r="G320" s="117">
        <v>188587940</v>
      </c>
      <c r="H320" s="117">
        <f t="shared" si="59"/>
        <v>79876.298178737823</v>
      </c>
      <c r="I320" s="7"/>
      <c r="J320" s="10">
        <v>1.68</v>
      </c>
      <c r="K320" s="117">
        <v>316827</v>
      </c>
      <c r="L320" s="120">
        <f t="shared" si="60"/>
        <v>134.19186785260482</v>
      </c>
      <c r="M320" s="122">
        <f t="shared" si="55"/>
        <v>1885879.4000000001</v>
      </c>
      <c r="N320" s="116">
        <f t="shared" si="56"/>
        <v>1569052.4000000001</v>
      </c>
      <c r="O320" s="123">
        <f t="shared" si="57"/>
        <v>664.57111393477351</v>
      </c>
      <c r="P320" s="5"/>
      <c r="Q320" s="5">
        <f t="shared" si="50"/>
        <v>1</v>
      </c>
      <c r="R320" s="7">
        <f t="shared" si="51"/>
        <v>2361</v>
      </c>
      <c r="S320" s="5">
        <f t="shared" si="52"/>
        <v>1</v>
      </c>
      <c r="T320" s="7">
        <f t="shared" si="53"/>
        <v>2361</v>
      </c>
    </row>
    <row r="321" spans="1:20">
      <c r="A321" s="23" t="s">
        <v>359</v>
      </c>
      <c r="B321" s="35" t="s">
        <v>342</v>
      </c>
      <c r="C321" s="36">
        <v>17157</v>
      </c>
      <c r="D321" s="6"/>
      <c r="E321" s="113">
        <v>898860159</v>
      </c>
      <c r="F321" s="116">
        <f t="shared" si="54"/>
        <v>52390.287287987412</v>
      </c>
      <c r="G321" s="117">
        <v>634196569</v>
      </c>
      <c r="H321" s="117">
        <f t="shared" si="59"/>
        <v>36964.304307279825</v>
      </c>
      <c r="I321" s="7"/>
      <c r="J321" s="10">
        <v>3.4538000000000002</v>
      </c>
      <c r="K321" s="117">
        <v>2190388</v>
      </c>
      <c r="L321" s="120">
        <f t="shared" si="60"/>
        <v>127.66730780439471</v>
      </c>
      <c r="M321" s="122">
        <f t="shared" si="55"/>
        <v>6341965.6900000004</v>
      </c>
      <c r="N321" s="116">
        <f t="shared" si="56"/>
        <v>4151577.6900000004</v>
      </c>
      <c r="O321" s="123">
        <f t="shared" si="57"/>
        <v>241.97573526840358</v>
      </c>
      <c r="P321" s="5"/>
      <c r="Q321" s="5">
        <f t="shared" si="50"/>
        <v>1</v>
      </c>
      <c r="R321" s="7">
        <f t="shared" si="51"/>
        <v>17157</v>
      </c>
      <c r="S321" s="5">
        <f t="shared" si="52"/>
        <v>1</v>
      </c>
      <c r="T321" s="7">
        <f t="shared" si="53"/>
        <v>17157</v>
      </c>
    </row>
    <row r="322" spans="1:20">
      <c r="A322" s="23" t="s">
        <v>360</v>
      </c>
      <c r="B322" s="35" t="s">
        <v>342</v>
      </c>
      <c r="C322" s="36">
        <v>9785</v>
      </c>
      <c r="D322" s="6"/>
      <c r="E322" s="113">
        <v>428824360</v>
      </c>
      <c r="F322" s="116">
        <f t="shared" si="54"/>
        <v>43824.666326009195</v>
      </c>
      <c r="G322" s="117">
        <v>325011650</v>
      </c>
      <c r="H322" s="117">
        <f t="shared" si="59"/>
        <v>33215.293817066937</v>
      </c>
      <c r="I322" s="7"/>
      <c r="J322" s="10">
        <v>3.4754999999999998</v>
      </c>
      <c r="K322" s="117">
        <v>1129577</v>
      </c>
      <c r="L322" s="120">
        <f t="shared" si="60"/>
        <v>115.4396525293817</v>
      </c>
      <c r="M322" s="122">
        <f t="shared" si="55"/>
        <v>3250116.5</v>
      </c>
      <c r="N322" s="116">
        <f t="shared" si="56"/>
        <v>2120539.5</v>
      </c>
      <c r="O322" s="123">
        <f t="shared" si="57"/>
        <v>216.71328564128768</v>
      </c>
      <c r="P322" s="5"/>
      <c r="Q322" s="5">
        <f t="shared" si="50"/>
        <v>1</v>
      </c>
      <c r="R322" s="7">
        <f t="shared" si="51"/>
        <v>9785</v>
      </c>
      <c r="S322" s="5">
        <f t="shared" si="52"/>
        <v>1</v>
      </c>
      <c r="T322" s="7">
        <f t="shared" si="53"/>
        <v>9785</v>
      </c>
    </row>
    <row r="323" spans="1:20">
      <c r="A323" s="23" t="s">
        <v>361</v>
      </c>
      <c r="B323" s="35" t="s">
        <v>342</v>
      </c>
      <c r="C323" s="36">
        <v>5906</v>
      </c>
      <c r="D323" s="6"/>
      <c r="E323" s="113">
        <v>377967190</v>
      </c>
      <c r="F323" s="116">
        <f t="shared" si="54"/>
        <v>63997.153741957329</v>
      </c>
      <c r="G323" s="117">
        <v>312541970</v>
      </c>
      <c r="H323" s="117">
        <f t="shared" si="59"/>
        <v>52919.398916356251</v>
      </c>
      <c r="I323" s="7"/>
      <c r="J323" s="10">
        <v>1.0499000000000001</v>
      </c>
      <c r="K323" s="117">
        <v>328137</v>
      </c>
      <c r="L323" s="120">
        <f t="shared" si="60"/>
        <v>55.559939045038945</v>
      </c>
      <c r="M323" s="122">
        <f t="shared" si="55"/>
        <v>3125419.7</v>
      </c>
      <c r="N323" s="116">
        <f t="shared" si="56"/>
        <v>2797282.7</v>
      </c>
      <c r="O323" s="123">
        <f t="shared" si="57"/>
        <v>473.63405011852359</v>
      </c>
      <c r="P323" s="5"/>
      <c r="Q323" s="5">
        <f t="shared" si="50"/>
        <v>1</v>
      </c>
      <c r="R323" s="7">
        <f t="shared" si="51"/>
        <v>5906</v>
      </c>
      <c r="S323" s="5">
        <f t="shared" si="52"/>
        <v>1</v>
      </c>
      <c r="T323" s="7">
        <f t="shared" si="53"/>
        <v>5906</v>
      </c>
    </row>
    <row r="324" spans="1:20">
      <c r="A324" s="24" t="s">
        <v>561</v>
      </c>
      <c r="B324" s="35" t="s">
        <v>342</v>
      </c>
      <c r="C324" s="36">
        <v>9654</v>
      </c>
      <c r="D324" s="6"/>
      <c r="E324" s="113">
        <v>1292583900</v>
      </c>
      <c r="F324" s="116">
        <f t="shared" si="54"/>
        <v>133891.01926662523</v>
      </c>
      <c r="G324" s="117">
        <v>1097859200</v>
      </c>
      <c r="H324" s="117">
        <f t="shared" si="59"/>
        <v>113720.6546509219</v>
      </c>
      <c r="I324" s="7"/>
      <c r="J324" s="10">
        <v>2.9581</v>
      </c>
      <c r="K324" s="117">
        <v>3247577</v>
      </c>
      <c r="L324" s="120">
        <f t="shared" si="60"/>
        <v>336.39703749741039</v>
      </c>
      <c r="M324" s="122">
        <f t="shared" si="55"/>
        <v>10978592</v>
      </c>
      <c r="N324" s="116">
        <f t="shared" si="56"/>
        <v>7731015</v>
      </c>
      <c r="O324" s="123">
        <f t="shared" si="57"/>
        <v>800.80950901180859</v>
      </c>
      <c r="P324" s="5"/>
      <c r="Q324" s="5">
        <f t="shared" si="50"/>
        <v>1</v>
      </c>
      <c r="R324" s="7">
        <f t="shared" si="51"/>
        <v>9654</v>
      </c>
      <c r="S324" s="5">
        <f t="shared" si="52"/>
        <v>1</v>
      </c>
      <c r="T324" s="7">
        <f t="shared" si="53"/>
        <v>9654</v>
      </c>
    </row>
    <row r="325" spans="1:20">
      <c r="A325" s="23" t="s">
        <v>548</v>
      </c>
      <c r="B325" s="35" t="s">
        <v>342</v>
      </c>
      <c r="C325" s="36">
        <v>241625</v>
      </c>
      <c r="D325" s="6"/>
      <c r="E325" s="113">
        <v>10739352613</v>
      </c>
      <c r="F325" s="116">
        <f t="shared" si="54"/>
        <v>44446.363633729954</v>
      </c>
      <c r="G325" s="117">
        <v>7397343485</v>
      </c>
      <c r="H325" s="117">
        <f t="shared" si="59"/>
        <v>30614.975623383343</v>
      </c>
      <c r="I325" s="7"/>
      <c r="J325" s="10">
        <v>7.56</v>
      </c>
      <c r="K325" s="117">
        <v>55923916</v>
      </c>
      <c r="L325" s="120">
        <f t="shared" si="60"/>
        <v>231.44921262286601</v>
      </c>
      <c r="M325" s="122">
        <f t="shared" si="55"/>
        <v>73973434.850000009</v>
      </c>
      <c r="N325" s="116">
        <f t="shared" si="56"/>
        <v>18049518.850000009</v>
      </c>
      <c r="O325" s="123">
        <f t="shared" si="57"/>
        <v>74.700543610967443</v>
      </c>
      <c r="P325" s="5"/>
      <c r="Q325" s="5">
        <f t="shared" si="50"/>
        <v>1</v>
      </c>
      <c r="R325" s="7">
        <f t="shared" si="51"/>
        <v>241625</v>
      </c>
      <c r="S325" s="5">
        <f t="shared" si="52"/>
        <v>1</v>
      </c>
      <c r="T325" s="7">
        <f t="shared" si="53"/>
        <v>241625</v>
      </c>
    </row>
    <row r="326" spans="1:20">
      <c r="A326" s="23" t="s">
        <v>362</v>
      </c>
      <c r="B326" s="35" t="s">
        <v>342</v>
      </c>
      <c r="C326" s="36">
        <v>20161</v>
      </c>
      <c r="D326" s="6"/>
      <c r="E326" s="113">
        <v>1050954410</v>
      </c>
      <c r="F326" s="116">
        <f t="shared" si="54"/>
        <v>52128.089380487079</v>
      </c>
      <c r="G326" s="117">
        <v>764060470</v>
      </c>
      <c r="H326" s="117">
        <f t="shared" si="59"/>
        <v>37897.94504240861</v>
      </c>
      <c r="I326" s="7"/>
      <c r="J326" s="10">
        <v>5.4541000000000004</v>
      </c>
      <c r="K326" s="117">
        <v>4167262</v>
      </c>
      <c r="L326" s="120">
        <f t="shared" si="60"/>
        <v>206.69917166807201</v>
      </c>
      <c r="M326" s="122">
        <f t="shared" si="55"/>
        <v>7640604.7000000002</v>
      </c>
      <c r="N326" s="116">
        <f t="shared" si="56"/>
        <v>3473342.7</v>
      </c>
      <c r="O326" s="123">
        <f t="shared" si="57"/>
        <v>172.2802787560141</v>
      </c>
      <c r="P326" s="5"/>
      <c r="Q326" s="5">
        <f t="shared" si="50"/>
        <v>1</v>
      </c>
      <c r="R326" s="7">
        <f t="shared" si="51"/>
        <v>20161</v>
      </c>
      <c r="S326" s="5">
        <f t="shared" si="52"/>
        <v>1</v>
      </c>
      <c r="T326" s="7">
        <f t="shared" si="53"/>
        <v>20161</v>
      </c>
    </row>
    <row r="327" spans="1:20">
      <c r="A327" s="23" t="s">
        <v>363</v>
      </c>
      <c r="B327" s="35" t="s">
        <v>342</v>
      </c>
      <c r="C327" s="36">
        <v>7347</v>
      </c>
      <c r="D327" s="6"/>
      <c r="E327" s="113">
        <v>876789250</v>
      </c>
      <c r="F327" s="116">
        <f t="shared" si="54"/>
        <v>119339.76452974003</v>
      </c>
      <c r="G327" s="117">
        <v>657617760</v>
      </c>
      <c r="H327" s="117">
        <f t="shared" si="59"/>
        <v>89508.338097182525</v>
      </c>
      <c r="I327" s="7"/>
      <c r="J327" s="10">
        <v>2.2271999999999998</v>
      </c>
      <c r="K327" s="117">
        <v>1464646</v>
      </c>
      <c r="L327" s="120">
        <f t="shared" si="60"/>
        <v>199.35293317000136</v>
      </c>
      <c r="M327" s="122">
        <f t="shared" si="55"/>
        <v>6576177.6000000006</v>
      </c>
      <c r="N327" s="116">
        <f t="shared" si="56"/>
        <v>5111531.6000000006</v>
      </c>
      <c r="O327" s="123">
        <f t="shared" si="57"/>
        <v>695.73044780182397</v>
      </c>
      <c r="P327" s="5"/>
      <c r="Q327" s="5">
        <f t="shared" ref="Q327:Q390" si="61">IF(E327&gt;0,1,0)</f>
        <v>1</v>
      </c>
      <c r="R327" s="7">
        <f t="shared" ref="R327:R390" si="62">IF(E327&gt;0,C327,0)</f>
        <v>7347</v>
      </c>
      <c r="S327" s="5">
        <f t="shared" ref="S327:S390" si="63">IF(J327&gt;0,1,0)</f>
        <v>1</v>
      </c>
      <c r="T327" s="7">
        <f t="shared" ref="T327:T390" si="64">IF(J327&gt;0,C327,0)</f>
        <v>7347</v>
      </c>
    </row>
    <row r="328" spans="1:20">
      <c r="A328" s="23" t="s">
        <v>364</v>
      </c>
      <c r="B328" s="35" t="s">
        <v>365</v>
      </c>
      <c r="C328" s="36">
        <v>9460</v>
      </c>
      <c r="D328" s="6"/>
      <c r="E328" s="113">
        <v>361444546</v>
      </c>
      <c r="F328" s="116">
        <f t="shared" ref="F328:F391" si="65">(E328/C328)</f>
        <v>38207.668710359409</v>
      </c>
      <c r="G328" s="117">
        <v>255726597</v>
      </c>
      <c r="H328" s="117">
        <f t="shared" si="59"/>
        <v>27032.409830866807</v>
      </c>
      <c r="I328" s="7"/>
      <c r="J328" s="10">
        <v>4.516</v>
      </c>
      <c r="K328" s="117">
        <v>1154861</v>
      </c>
      <c r="L328" s="120">
        <f t="shared" si="60"/>
        <v>122.07832980972516</v>
      </c>
      <c r="M328" s="122">
        <f t="shared" ref="M328:M391" si="66">(G328*0.01)</f>
        <v>2557265.9700000002</v>
      </c>
      <c r="N328" s="116">
        <f t="shared" ref="N328:N391" si="67">(M328-K328)</f>
        <v>1402404.9700000002</v>
      </c>
      <c r="O328" s="123">
        <f t="shared" ref="O328:O391" si="68">(N328/C328)</f>
        <v>148.24576849894294</v>
      </c>
      <c r="P328" s="5"/>
      <c r="Q328" s="5">
        <f t="shared" si="61"/>
        <v>1</v>
      </c>
      <c r="R328" s="7">
        <f t="shared" si="62"/>
        <v>9460</v>
      </c>
      <c r="S328" s="5">
        <f t="shared" si="63"/>
        <v>1</v>
      </c>
      <c r="T328" s="7">
        <f t="shared" si="64"/>
        <v>9460</v>
      </c>
    </row>
    <row r="329" spans="1:20">
      <c r="A329" s="23" t="s">
        <v>366</v>
      </c>
      <c r="B329" s="35" t="s">
        <v>365</v>
      </c>
      <c r="C329" s="36">
        <v>15108</v>
      </c>
      <c r="D329" s="6"/>
      <c r="E329" s="113">
        <v>514579454</v>
      </c>
      <c r="F329" s="116">
        <f t="shared" si="65"/>
        <v>34060.064469155412</v>
      </c>
      <c r="G329" s="117">
        <v>280620407</v>
      </c>
      <c r="H329" s="117">
        <f t="shared" si="59"/>
        <v>18574.292229282499</v>
      </c>
      <c r="I329" s="7"/>
      <c r="J329" s="10">
        <v>0.78200000000000003</v>
      </c>
      <c r="K329" s="117">
        <v>219445</v>
      </c>
      <c r="L329" s="120">
        <f t="shared" si="60"/>
        <v>14.525086047127349</v>
      </c>
      <c r="M329" s="122">
        <f t="shared" si="66"/>
        <v>2806204.07</v>
      </c>
      <c r="N329" s="116">
        <f t="shared" si="67"/>
        <v>2586759.0699999998</v>
      </c>
      <c r="O329" s="123">
        <f t="shared" si="68"/>
        <v>171.21783624569764</v>
      </c>
      <c r="P329" s="5"/>
      <c r="Q329" s="5">
        <f t="shared" si="61"/>
        <v>1</v>
      </c>
      <c r="R329" s="7">
        <f t="shared" si="62"/>
        <v>15108</v>
      </c>
      <c r="S329" s="5">
        <f t="shared" si="63"/>
        <v>1</v>
      </c>
      <c r="T329" s="7">
        <f t="shared" si="64"/>
        <v>15108</v>
      </c>
    </row>
    <row r="330" spans="1:20">
      <c r="A330" s="23" t="s">
        <v>367</v>
      </c>
      <c r="B330" s="35" t="s">
        <v>365</v>
      </c>
      <c r="C330" s="36">
        <v>2127</v>
      </c>
      <c r="D330" s="6"/>
      <c r="E330" s="113">
        <v>55871746</v>
      </c>
      <c r="F330" s="116">
        <f t="shared" si="65"/>
        <v>26267.863657733898</v>
      </c>
      <c r="G330" s="117">
        <v>34906168</v>
      </c>
      <c r="H330" s="117">
        <f t="shared" si="59"/>
        <v>16410.986365773391</v>
      </c>
      <c r="I330" s="7"/>
      <c r="J330" s="10">
        <v>5.6</v>
      </c>
      <c r="K330" s="117">
        <v>195474</v>
      </c>
      <c r="L330" s="120">
        <f t="shared" si="60"/>
        <v>91.901269393511996</v>
      </c>
      <c r="M330" s="122">
        <f t="shared" si="66"/>
        <v>349061.68</v>
      </c>
      <c r="N330" s="116">
        <f t="shared" si="67"/>
        <v>153587.68</v>
      </c>
      <c r="O330" s="123">
        <f t="shared" si="68"/>
        <v>72.208594264221901</v>
      </c>
      <c r="P330" s="5"/>
      <c r="Q330" s="5">
        <f t="shared" si="61"/>
        <v>1</v>
      </c>
      <c r="R330" s="7">
        <f t="shared" si="62"/>
        <v>2127</v>
      </c>
      <c r="S330" s="5">
        <f t="shared" si="63"/>
        <v>1</v>
      </c>
      <c r="T330" s="7">
        <f t="shared" si="64"/>
        <v>2127</v>
      </c>
    </row>
    <row r="331" spans="1:20">
      <c r="A331" s="23" t="s">
        <v>368</v>
      </c>
      <c r="B331" s="35" t="s">
        <v>365</v>
      </c>
      <c r="C331" s="36">
        <v>2631</v>
      </c>
      <c r="D331" s="6"/>
      <c r="E331" s="113">
        <v>93405562</v>
      </c>
      <c r="F331" s="116">
        <f t="shared" si="65"/>
        <v>35501.92398327632</v>
      </c>
      <c r="G331" s="117">
        <v>70447909</v>
      </c>
      <c r="H331" s="117">
        <f t="shared" si="59"/>
        <v>26776.096161155456</v>
      </c>
      <c r="I331" s="7"/>
      <c r="J331" s="10">
        <v>6</v>
      </c>
      <c r="K331" s="117">
        <v>422687</v>
      </c>
      <c r="L331" s="120">
        <f t="shared" si="60"/>
        <v>160.65640440896996</v>
      </c>
      <c r="M331" s="122">
        <f t="shared" si="66"/>
        <v>704479.09</v>
      </c>
      <c r="N331" s="116">
        <f t="shared" si="67"/>
        <v>281792.08999999997</v>
      </c>
      <c r="O331" s="123">
        <f t="shared" si="68"/>
        <v>107.10455720258456</v>
      </c>
      <c r="P331" s="5"/>
      <c r="Q331" s="5">
        <f t="shared" si="61"/>
        <v>1</v>
      </c>
      <c r="R331" s="7">
        <f t="shared" si="62"/>
        <v>2631</v>
      </c>
      <c r="S331" s="5">
        <f t="shared" si="63"/>
        <v>1</v>
      </c>
      <c r="T331" s="7">
        <f t="shared" si="64"/>
        <v>2631</v>
      </c>
    </row>
    <row r="332" spans="1:20">
      <c r="A332" s="23" t="s">
        <v>369</v>
      </c>
      <c r="B332" s="35" t="s">
        <v>365</v>
      </c>
      <c r="C332" s="36">
        <v>1923</v>
      </c>
      <c r="D332" s="6"/>
      <c r="E332" s="113">
        <v>38443615</v>
      </c>
      <c r="F332" s="116">
        <f t="shared" si="65"/>
        <v>19991.479459178368</v>
      </c>
      <c r="G332" s="117">
        <v>21016676</v>
      </c>
      <c r="H332" s="117">
        <f t="shared" si="59"/>
        <v>10929.108684347373</v>
      </c>
      <c r="I332" s="7"/>
      <c r="J332" s="10">
        <v>6</v>
      </c>
      <c r="K332" s="117">
        <v>126100</v>
      </c>
      <c r="L332" s="120">
        <f t="shared" si="60"/>
        <v>65.574622984919401</v>
      </c>
      <c r="M332" s="122">
        <f t="shared" si="66"/>
        <v>210166.76</v>
      </c>
      <c r="N332" s="116">
        <f t="shared" si="67"/>
        <v>84066.760000000009</v>
      </c>
      <c r="O332" s="123">
        <f t="shared" si="68"/>
        <v>43.716463858554349</v>
      </c>
      <c r="P332" s="5"/>
      <c r="Q332" s="5">
        <f t="shared" si="61"/>
        <v>1</v>
      </c>
      <c r="R332" s="7">
        <f t="shared" si="62"/>
        <v>1923</v>
      </c>
      <c r="S332" s="5">
        <f t="shared" si="63"/>
        <v>1</v>
      </c>
      <c r="T332" s="7">
        <f t="shared" si="64"/>
        <v>1923</v>
      </c>
    </row>
    <row r="333" spans="1:20">
      <c r="A333" s="23" t="s">
        <v>370</v>
      </c>
      <c r="B333" s="35" t="s">
        <v>365</v>
      </c>
      <c r="C333" s="36">
        <v>5457</v>
      </c>
      <c r="D333" s="6"/>
      <c r="E333" s="113">
        <v>110857250</v>
      </c>
      <c r="F333" s="116">
        <f t="shared" si="65"/>
        <v>20314.687557265897</v>
      </c>
      <c r="G333" s="117">
        <v>62202997</v>
      </c>
      <c r="H333" s="117">
        <f t="shared" si="59"/>
        <v>11398.753344328386</v>
      </c>
      <c r="I333" s="98" t="s">
        <v>528</v>
      </c>
      <c r="J333" s="10"/>
      <c r="K333" s="117"/>
      <c r="L333" s="120"/>
      <c r="M333" s="122">
        <f t="shared" si="66"/>
        <v>622029.97</v>
      </c>
      <c r="N333" s="116">
        <f t="shared" si="67"/>
        <v>622029.97</v>
      </c>
      <c r="O333" s="123">
        <f t="shared" si="68"/>
        <v>113.98753344328385</v>
      </c>
      <c r="P333" s="5"/>
      <c r="Q333" s="5">
        <f t="shared" si="61"/>
        <v>1</v>
      </c>
      <c r="R333" s="7">
        <f t="shared" si="62"/>
        <v>5457</v>
      </c>
      <c r="S333" s="5">
        <f t="shared" si="63"/>
        <v>0</v>
      </c>
      <c r="T333" s="7">
        <f t="shared" si="64"/>
        <v>0</v>
      </c>
    </row>
    <row r="334" spans="1:20">
      <c r="A334" s="23" t="s">
        <v>371</v>
      </c>
      <c r="B334" s="35" t="s">
        <v>365</v>
      </c>
      <c r="C334" s="36">
        <v>2879</v>
      </c>
      <c r="D334" s="6"/>
      <c r="E334" s="113">
        <v>127020037</v>
      </c>
      <c r="F334" s="116">
        <f t="shared" si="65"/>
        <v>44119.498784300107</v>
      </c>
      <c r="G334" s="117">
        <v>97188951</v>
      </c>
      <c r="H334" s="117">
        <f t="shared" si="59"/>
        <v>33757.885029524143</v>
      </c>
      <c r="I334" s="7"/>
      <c r="J334" s="10">
        <v>7</v>
      </c>
      <c r="K334" s="117">
        <v>680322</v>
      </c>
      <c r="L334" s="120">
        <f t="shared" ref="L334:L370" si="69">(K334/C334)</f>
        <v>236.3049670024314</v>
      </c>
      <c r="M334" s="122">
        <f t="shared" si="66"/>
        <v>971889.51</v>
      </c>
      <c r="N334" s="116">
        <f t="shared" si="67"/>
        <v>291567.51</v>
      </c>
      <c r="O334" s="123">
        <f t="shared" si="68"/>
        <v>101.27388329281001</v>
      </c>
      <c r="P334" s="5"/>
      <c r="Q334" s="5">
        <f t="shared" si="61"/>
        <v>1</v>
      </c>
      <c r="R334" s="7">
        <f t="shared" si="62"/>
        <v>2879</v>
      </c>
      <c r="S334" s="5">
        <f t="shared" si="63"/>
        <v>1</v>
      </c>
      <c r="T334" s="7">
        <f t="shared" si="64"/>
        <v>2879</v>
      </c>
    </row>
    <row r="335" spans="1:20">
      <c r="A335" s="23" t="s">
        <v>372</v>
      </c>
      <c r="B335" s="35" t="s">
        <v>365</v>
      </c>
      <c r="C335" s="36">
        <v>13494</v>
      </c>
      <c r="D335" s="6"/>
      <c r="E335" s="113">
        <v>353010801</v>
      </c>
      <c r="F335" s="116">
        <f t="shared" si="65"/>
        <v>26160.575144508672</v>
      </c>
      <c r="G335" s="117">
        <v>236113343</v>
      </c>
      <c r="H335" s="117">
        <f t="shared" si="59"/>
        <v>17497.653994367869</v>
      </c>
      <c r="I335" s="7"/>
      <c r="J335" s="10">
        <v>7.9</v>
      </c>
      <c r="K335" s="117">
        <v>1865295</v>
      </c>
      <c r="L335" s="120">
        <f t="shared" si="69"/>
        <v>138.23143619386394</v>
      </c>
      <c r="M335" s="122">
        <f t="shared" si="66"/>
        <v>2361133.4300000002</v>
      </c>
      <c r="N335" s="116">
        <f t="shared" si="67"/>
        <v>495838.43000000017</v>
      </c>
      <c r="O335" s="123">
        <f t="shared" si="68"/>
        <v>36.745103749814746</v>
      </c>
      <c r="P335" s="5"/>
      <c r="Q335" s="5">
        <f t="shared" si="61"/>
        <v>1</v>
      </c>
      <c r="R335" s="7">
        <f t="shared" si="62"/>
        <v>13494</v>
      </c>
      <c r="S335" s="5">
        <f t="shared" si="63"/>
        <v>1</v>
      </c>
      <c r="T335" s="7">
        <f t="shared" si="64"/>
        <v>13494</v>
      </c>
    </row>
    <row r="336" spans="1:20">
      <c r="A336" s="23" t="s">
        <v>373</v>
      </c>
      <c r="B336" s="35" t="s">
        <v>365</v>
      </c>
      <c r="C336" s="36">
        <v>155</v>
      </c>
      <c r="D336" s="6"/>
      <c r="E336" s="113">
        <v>11936087</v>
      </c>
      <c r="F336" s="116">
        <f t="shared" si="65"/>
        <v>77007.012903225812</v>
      </c>
      <c r="G336" s="117">
        <v>10266280</v>
      </c>
      <c r="H336" s="117">
        <f t="shared" si="59"/>
        <v>66234.06451612903</v>
      </c>
      <c r="I336" s="7"/>
      <c r="J336" s="10">
        <v>6.5990000000000002</v>
      </c>
      <c r="K336" s="117">
        <v>67747</v>
      </c>
      <c r="L336" s="120">
        <f t="shared" si="69"/>
        <v>437.0774193548387</v>
      </c>
      <c r="M336" s="122">
        <f t="shared" si="66"/>
        <v>102662.8</v>
      </c>
      <c r="N336" s="116">
        <f t="shared" si="67"/>
        <v>34915.800000000003</v>
      </c>
      <c r="O336" s="123">
        <f t="shared" si="68"/>
        <v>225.26322580645163</v>
      </c>
      <c r="P336" s="5"/>
      <c r="Q336" s="5">
        <f t="shared" si="61"/>
        <v>1</v>
      </c>
      <c r="R336" s="7">
        <f t="shared" si="62"/>
        <v>155</v>
      </c>
      <c r="S336" s="5">
        <f t="shared" si="63"/>
        <v>1</v>
      </c>
      <c r="T336" s="7">
        <f t="shared" si="64"/>
        <v>155</v>
      </c>
    </row>
    <row r="337" spans="1:20">
      <c r="A337" s="23" t="s">
        <v>374</v>
      </c>
      <c r="B337" s="35" t="s">
        <v>365</v>
      </c>
      <c r="C337" s="36">
        <v>237</v>
      </c>
      <c r="D337" s="6"/>
      <c r="E337" s="113">
        <v>8865770</v>
      </c>
      <c r="F337" s="116">
        <f t="shared" si="65"/>
        <v>37408.312236286918</v>
      </c>
      <c r="G337" s="117">
        <v>6650790</v>
      </c>
      <c r="H337" s="117">
        <f t="shared" si="59"/>
        <v>28062.405063291139</v>
      </c>
      <c r="I337" s="7"/>
      <c r="J337" s="10">
        <v>2.9359999999999999</v>
      </c>
      <c r="K337" s="117">
        <v>19526</v>
      </c>
      <c r="L337" s="120">
        <f t="shared" si="69"/>
        <v>82.388185654008439</v>
      </c>
      <c r="M337" s="122">
        <f t="shared" si="66"/>
        <v>66507.899999999994</v>
      </c>
      <c r="N337" s="116">
        <f t="shared" si="67"/>
        <v>46981.899999999994</v>
      </c>
      <c r="O337" s="123">
        <f t="shared" si="68"/>
        <v>198.23586497890292</v>
      </c>
      <c r="P337" s="5"/>
      <c r="Q337" s="5">
        <f t="shared" si="61"/>
        <v>1</v>
      </c>
      <c r="R337" s="7">
        <f t="shared" si="62"/>
        <v>237</v>
      </c>
      <c r="S337" s="5">
        <f t="shared" si="63"/>
        <v>1</v>
      </c>
      <c r="T337" s="7">
        <f t="shared" si="64"/>
        <v>237</v>
      </c>
    </row>
    <row r="338" spans="1:20">
      <c r="A338" s="23" t="s">
        <v>375</v>
      </c>
      <c r="B338" s="35" t="s">
        <v>365</v>
      </c>
      <c r="C338" s="36">
        <v>3812</v>
      </c>
      <c r="D338" s="6"/>
      <c r="E338" s="113">
        <v>116476255</v>
      </c>
      <c r="F338" s="116">
        <f t="shared" si="65"/>
        <v>30555.156086044073</v>
      </c>
      <c r="G338" s="117">
        <v>85301056</v>
      </c>
      <c r="H338" s="117">
        <f t="shared" si="59"/>
        <v>22376.982161594962</v>
      </c>
      <c r="I338" s="7"/>
      <c r="J338" s="10">
        <v>7.0579999999999998</v>
      </c>
      <c r="K338" s="117">
        <v>602054</v>
      </c>
      <c r="L338" s="120">
        <f t="shared" si="69"/>
        <v>157.93651626442812</v>
      </c>
      <c r="M338" s="122">
        <f t="shared" si="66"/>
        <v>853010.56</v>
      </c>
      <c r="N338" s="116">
        <f t="shared" si="67"/>
        <v>250956.56000000006</v>
      </c>
      <c r="O338" s="123">
        <f t="shared" si="68"/>
        <v>65.833305351521531</v>
      </c>
      <c r="P338" s="5"/>
      <c r="Q338" s="5">
        <f t="shared" si="61"/>
        <v>1</v>
      </c>
      <c r="R338" s="7">
        <f t="shared" si="62"/>
        <v>3812</v>
      </c>
      <c r="S338" s="5">
        <f t="shared" si="63"/>
        <v>1</v>
      </c>
      <c r="T338" s="7">
        <f t="shared" si="64"/>
        <v>3812</v>
      </c>
    </row>
    <row r="339" spans="1:20">
      <c r="A339" s="23" t="s">
        <v>376</v>
      </c>
      <c r="B339" s="35" t="s">
        <v>365</v>
      </c>
      <c r="C339" s="36">
        <v>1144</v>
      </c>
      <c r="D339" s="6"/>
      <c r="E339" s="113">
        <v>42734894</v>
      </c>
      <c r="F339" s="116">
        <f t="shared" si="65"/>
        <v>37355.676573426572</v>
      </c>
      <c r="G339" s="117">
        <v>32077554</v>
      </c>
      <c r="H339" s="117">
        <f t="shared" si="59"/>
        <v>28039.819930069931</v>
      </c>
      <c r="I339" s="7"/>
      <c r="J339" s="10">
        <v>6.6479999999999997</v>
      </c>
      <c r="K339" s="117">
        <v>213251</v>
      </c>
      <c r="L339" s="120">
        <f t="shared" si="69"/>
        <v>186.40821678321677</v>
      </c>
      <c r="M339" s="122">
        <f t="shared" si="66"/>
        <v>320775.53999999998</v>
      </c>
      <c r="N339" s="116">
        <f t="shared" si="67"/>
        <v>107524.53999999998</v>
      </c>
      <c r="O339" s="123">
        <f t="shared" si="68"/>
        <v>93.989982517482503</v>
      </c>
      <c r="P339" s="5"/>
      <c r="Q339" s="5">
        <f t="shared" si="61"/>
        <v>1</v>
      </c>
      <c r="R339" s="7">
        <f t="shared" si="62"/>
        <v>1144</v>
      </c>
      <c r="S339" s="5">
        <f t="shared" si="63"/>
        <v>1</v>
      </c>
      <c r="T339" s="7">
        <f t="shared" si="64"/>
        <v>1144</v>
      </c>
    </row>
    <row r="340" spans="1:20">
      <c r="A340" s="23" t="s">
        <v>377</v>
      </c>
      <c r="B340" s="35" t="s">
        <v>365</v>
      </c>
      <c r="C340" s="36">
        <v>10028</v>
      </c>
      <c r="D340" s="6"/>
      <c r="E340" s="113">
        <v>394478520</v>
      </c>
      <c r="F340" s="116">
        <f t="shared" si="65"/>
        <v>39337.706422018346</v>
      </c>
      <c r="G340" s="117">
        <v>273636133</v>
      </c>
      <c r="H340" s="117">
        <f t="shared" si="59"/>
        <v>27287.209114479458</v>
      </c>
      <c r="I340" s="7"/>
      <c r="J340" s="10">
        <v>7.74</v>
      </c>
      <c r="K340" s="117">
        <v>2117943</v>
      </c>
      <c r="L340" s="120">
        <f t="shared" si="69"/>
        <v>211.20293179098525</v>
      </c>
      <c r="M340" s="122">
        <f t="shared" si="66"/>
        <v>2736361.33</v>
      </c>
      <c r="N340" s="116">
        <f t="shared" si="67"/>
        <v>618418.33000000007</v>
      </c>
      <c r="O340" s="123">
        <f t="shared" si="68"/>
        <v>61.669159353809341</v>
      </c>
      <c r="P340" s="5"/>
      <c r="Q340" s="5">
        <f t="shared" si="61"/>
        <v>1</v>
      </c>
      <c r="R340" s="7">
        <f t="shared" si="62"/>
        <v>10028</v>
      </c>
      <c r="S340" s="5">
        <f t="shared" si="63"/>
        <v>1</v>
      </c>
      <c r="T340" s="7">
        <f t="shared" si="64"/>
        <v>10028</v>
      </c>
    </row>
    <row r="341" spans="1:20">
      <c r="A341" s="23" t="s">
        <v>378</v>
      </c>
      <c r="B341" s="35" t="s">
        <v>365</v>
      </c>
      <c r="C341" s="36">
        <v>77113</v>
      </c>
      <c r="D341" s="6"/>
      <c r="E341" s="113">
        <v>3761924928</v>
      </c>
      <c r="F341" s="116">
        <f t="shared" si="65"/>
        <v>48784.574948452275</v>
      </c>
      <c r="G341" s="117">
        <v>2359359376</v>
      </c>
      <c r="H341" s="117">
        <f t="shared" si="59"/>
        <v>30596.130042924022</v>
      </c>
      <c r="I341" s="9"/>
      <c r="J341" s="10">
        <v>2.9950000000000001</v>
      </c>
      <c r="K341" s="117">
        <v>7066281</v>
      </c>
      <c r="L341" s="120">
        <f t="shared" si="69"/>
        <v>91.635405184599222</v>
      </c>
      <c r="M341" s="122">
        <f t="shared" si="66"/>
        <v>23593593.760000002</v>
      </c>
      <c r="N341" s="116">
        <f t="shared" si="67"/>
        <v>16527312.760000002</v>
      </c>
      <c r="O341" s="123">
        <f t="shared" si="68"/>
        <v>214.325895244641</v>
      </c>
      <c r="P341" s="5"/>
      <c r="Q341" s="5">
        <f t="shared" si="61"/>
        <v>1</v>
      </c>
      <c r="R341" s="7">
        <f t="shared" si="62"/>
        <v>77113</v>
      </c>
      <c r="S341" s="5">
        <f t="shared" si="63"/>
        <v>1</v>
      </c>
      <c r="T341" s="7">
        <f t="shared" si="64"/>
        <v>77113</v>
      </c>
    </row>
    <row r="342" spans="1:20">
      <c r="A342" s="23" t="s">
        <v>379</v>
      </c>
      <c r="B342" s="35" t="s">
        <v>365</v>
      </c>
      <c r="C342" s="36">
        <v>3325</v>
      </c>
      <c r="D342" s="6"/>
      <c r="E342" s="113">
        <v>116011974</v>
      </c>
      <c r="F342" s="116">
        <f t="shared" si="65"/>
        <v>34890.8192481203</v>
      </c>
      <c r="G342" s="117">
        <v>89393479</v>
      </c>
      <c r="H342" s="117">
        <f t="shared" si="59"/>
        <v>26885.256842105264</v>
      </c>
      <c r="I342" s="7"/>
      <c r="J342" s="10">
        <v>8.5</v>
      </c>
      <c r="K342" s="117">
        <v>759844</v>
      </c>
      <c r="L342" s="120">
        <f t="shared" si="69"/>
        <v>228.52451127819549</v>
      </c>
      <c r="M342" s="122">
        <f t="shared" si="66"/>
        <v>893934.79</v>
      </c>
      <c r="N342" s="116">
        <f t="shared" si="67"/>
        <v>134090.79000000004</v>
      </c>
      <c r="O342" s="123">
        <f t="shared" si="68"/>
        <v>40.328057142857155</v>
      </c>
      <c r="P342" s="5"/>
      <c r="Q342" s="5">
        <f t="shared" si="61"/>
        <v>1</v>
      </c>
      <c r="R342" s="7">
        <f t="shared" si="62"/>
        <v>3325</v>
      </c>
      <c r="S342" s="5">
        <f t="shared" si="63"/>
        <v>1</v>
      </c>
      <c r="T342" s="7">
        <f t="shared" si="64"/>
        <v>3325</v>
      </c>
    </row>
    <row r="343" spans="1:20">
      <c r="A343" s="23" t="s">
        <v>380</v>
      </c>
      <c r="B343" s="35" t="s">
        <v>365</v>
      </c>
      <c r="C343" s="36">
        <v>1818</v>
      </c>
      <c r="D343" s="6"/>
      <c r="E343" s="113">
        <v>31578255</v>
      </c>
      <c r="F343" s="116">
        <f t="shared" si="65"/>
        <v>17369.77722772277</v>
      </c>
      <c r="G343" s="117">
        <v>20696733</v>
      </c>
      <c r="H343" s="117">
        <f t="shared" si="59"/>
        <v>11384.341584158416</v>
      </c>
      <c r="I343" s="7"/>
      <c r="J343" s="10">
        <v>5.5</v>
      </c>
      <c r="K343" s="117">
        <v>113832</v>
      </c>
      <c r="L343" s="120">
        <f t="shared" si="69"/>
        <v>62.613861386138616</v>
      </c>
      <c r="M343" s="122">
        <f t="shared" si="66"/>
        <v>206967.33000000002</v>
      </c>
      <c r="N343" s="116">
        <f t="shared" si="67"/>
        <v>93135.330000000016</v>
      </c>
      <c r="O343" s="123">
        <f t="shared" si="68"/>
        <v>51.229554455445552</v>
      </c>
      <c r="P343" s="5"/>
      <c r="Q343" s="5">
        <f t="shared" si="61"/>
        <v>1</v>
      </c>
      <c r="R343" s="7">
        <f t="shared" si="62"/>
        <v>1818</v>
      </c>
      <c r="S343" s="5">
        <f t="shared" si="63"/>
        <v>1</v>
      </c>
      <c r="T343" s="7">
        <f t="shared" si="64"/>
        <v>1818</v>
      </c>
    </row>
    <row r="344" spans="1:20">
      <c r="A344" s="23" t="s">
        <v>381</v>
      </c>
      <c r="B344" s="35" t="s">
        <v>365</v>
      </c>
      <c r="C344" s="36">
        <v>25847</v>
      </c>
      <c r="D344" s="6"/>
      <c r="E344" s="113">
        <v>1157294548</v>
      </c>
      <c r="F344" s="116">
        <f t="shared" si="65"/>
        <v>44774.81131272488</v>
      </c>
      <c r="G344" s="117">
        <v>794124812</v>
      </c>
      <c r="H344" s="117">
        <f t="shared" si="59"/>
        <v>30724.061283707975</v>
      </c>
      <c r="I344" s="7"/>
      <c r="J344" s="11">
        <v>6.3250000000000002</v>
      </c>
      <c r="K344" s="117">
        <v>5022839</v>
      </c>
      <c r="L344" s="120">
        <f t="shared" si="69"/>
        <v>194.32967075482648</v>
      </c>
      <c r="M344" s="122">
        <f t="shared" si="66"/>
        <v>7941248.1200000001</v>
      </c>
      <c r="N344" s="116">
        <f t="shared" si="67"/>
        <v>2918409.12</v>
      </c>
      <c r="O344" s="123">
        <f t="shared" si="68"/>
        <v>112.91094208225326</v>
      </c>
      <c r="P344" s="5"/>
      <c r="Q344" s="5">
        <f t="shared" si="61"/>
        <v>1</v>
      </c>
      <c r="R344" s="7">
        <f t="shared" si="62"/>
        <v>25847</v>
      </c>
      <c r="S344" s="5">
        <f t="shared" si="63"/>
        <v>1</v>
      </c>
      <c r="T344" s="7">
        <f t="shared" si="64"/>
        <v>25847</v>
      </c>
    </row>
    <row r="345" spans="1:20">
      <c r="A345" s="23" t="s">
        <v>382</v>
      </c>
      <c r="B345" s="35" t="s">
        <v>383</v>
      </c>
      <c r="C345" s="36">
        <v>1845</v>
      </c>
      <c r="D345" s="6"/>
      <c r="E345" s="113">
        <v>74254832</v>
      </c>
      <c r="F345" s="116">
        <f t="shared" si="65"/>
        <v>40246.521409214089</v>
      </c>
      <c r="G345" s="117">
        <v>45724014</v>
      </c>
      <c r="H345" s="117">
        <f t="shared" si="59"/>
        <v>24782.663414634146</v>
      </c>
      <c r="I345" s="7"/>
      <c r="J345" s="10">
        <v>8.25</v>
      </c>
      <c r="K345" s="117">
        <v>377223</v>
      </c>
      <c r="L345" s="120">
        <f t="shared" si="69"/>
        <v>204.4569105691057</v>
      </c>
      <c r="M345" s="122">
        <f t="shared" si="66"/>
        <v>457240.14</v>
      </c>
      <c r="N345" s="116">
        <f t="shared" si="67"/>
        <v>80017.140000000014</v>
      </c>
      <c r="O345" s="123">
        <f t="shared" si="68"/>
        <v>43.369723577235781</v>
      </c>
      <c r="P345" s="5"/>
      <c r="Q345" s="5">
        <f t="shared" si="61"/>
        <v>1</v>
      </c>
      <c r="R345" s="7">
        <f t="shared" si="62"/>
        <v>1845</v>
      </c>
      <c r="S345" s="5">
        <f t="shared" si="63"/>
        <v>1</v>
      </c>
      <c r="T345" s="7">
        <f t="shared" si="64"/>
        <v>1845</v>
      </c>
    </row>
    <row r="346" spans="1:20">
      <c r="A346" s="23" t="s">
        <v>384</v>
      </c>
      <c r="B346" s="35" t="s">
        <v>383</v>
      </c>
      <c r="C346" s="36">
        <v>1400</v>
      </c>
      <c r="D346" s="6"/>
      <c r="E346" s="113">
        <v>59423919</v>
      </c>
      <c r="F346" s="116">
        <f t="shared" si="65"/>
        <v>42445.656428571427</v>
      </c>
      <c r="G346" s="117">
        <v>25306622</v>
      </c>
      <c r="H346" s="117">
        <f t="shared" si="59"/>
        <v>18076.158571428572</v>
      </c>
      <c r="I346" s="7"/>
      <c r="J346" s="10">
        <v>7.5</v>
      </c>
      <c r="K346" s="117">
        <v>189799</v>
      </c>
      <c r="L346" s="120">
        <f t="shared" si="69"/>
        <v>135.57071428571427</v>
      </c>
      <c r="M346" s="122">
        <f t="shared" si="66"/>
        <v>253066.22</v>
      </c>
      <c r="N346" s="116">
        <f t="shared" si="67"/>
        <v>63267.22</v>
      </c>
      <c r="O346" s="123">
        <f t="shared" si="68"/>
        <v>45.190871428571427</v>
      </c>
      <c r="P346" s="5"/>
      <c r="Q346" s="5">
        <f t="shared" si="61"/>
        <v>1</v>
      </c>
      <c r="R346" s="7">
        <f t="shared" si="62"/>
        <v>1400</v>
      </c>
      <c r="S346" s="5">
        <f t="shared" si="63"/>
        <v>1</v>
      </c>
      <c r="T346" s="7">
        <f t="shared" si="64"/>
        <v>1400</v>
      </c>
    </row>
    <row r="347" spans="1:20">
      <c r="A347" s="23" t="s">
        <v>385</v>
      </c>
      <c r="B347" s="35" t="s">
        <v>383</v>
      </c>
      <c r="C347" s="36">
        <v>10734</v>
      </c>
      <c r="D347" s="6"/>
      <c r="E347" s="113">
        <v>439481415</v>
      </c>
      <c r="F347" s="116">
        <f t="shared" si="65"/>
        <v>40942.930408049193</v>
      </c>
      <c r="G347" s="117">
        <v>223388373</v>
      </c>
      <c r="H347" s="117">
        <f t="shared" si="59"/>
        <v>20811.288708775854</v>
      </c>
      <c r="I347" s="7"/>
      <c r="J347" s="10">
        <v>7.2130000000000001</v>
      </c>
      <c r="K347" s="117">
        <v>1611300</v>
      </c>
      <c r="L347" s="120">
        <f t="shared" si="69"/>
        <v>150.11179429849076</v>
      </c>
      <c r="M347" s="122">
        <f t="shared" si="66"/>
        <v>2233883.73</v>
      </c>
      <c r="N347" s="116">
        <f t="shared" si="67"/>
        <v>622583.73</v>
      </c>
      <c r="O347" s="123">
        <f t="shared" si="68"/>
        <v>58.001092789267744</v>
      </c>
      <c r="P347" s="5"/>
      <c r="Q347" s="5">
        <f t="shared" si="61"/>
        <v>1</v>
      </c>
      <c r="R347" s="7">
        <f t="shared" si="62"/>
        <v>10734</v>
      </c>
      <c r="S347" s="5">
        <f t="shared" si="63"/>
        <v>1</v>
      </c>
      <c r="T347" s="7">
        <f t="shared" si="64"/>
        <v>10734</v>
      </c>
    </row>
    <row r="348" spans="1:20">
      <c r="A348" s="23" t="s">
        <v>386</v>
      </c>
      <c r="B348" s="35" t="s">
        <v>383</v>
      </c>
      <c r="C348" s="36">
        <v>753</v>
      </c>
      <c r="D348" s="6"/>
      <c r="E348" s="113">
        <v>23511297</v>
      </c>
      <c r="F348" s="116">
        <f t="shared" si="65"/>
        <v>31223.501992031874</v>
      </c>
      <c r="G348" s="117">
        <v>15293891</v>
      </c>
      <c r="H348" s="117">
        <f t="shared" si="59"/>
        <v>20310.612217795486</v>
      </c>
      <c r="I348" s="7"/>
      <c r="J348" s="10">
        <v>5.6879999999999997</v>
      </c>
      <c r="K348" s="117">
        <v>86991</v>
      </c>
      <c r="L348" s="120">
        <f t="shared" si="69"/>
        <v>115.52589641434263</v>
      </c>
      <c r="M348" s="122">
        <f t="shared" si="66"/>
        <v>152938.91</v>
      </c>
      <c r="N348" s="116">
        <f t="shared" si="67"/>
        <v>65947.91</v>
      </c>
      <c r="O348" s="123">
        <f t="shared" si="68"/>
        <v>87.580225763612219</v>
      </c>
      <c r="P348" s="5"/>
      <c r="Q348" s="5">
        <f t="shared" si="61"/>
        <v>1</v>
      </c>
      <c r="R348" s="7">
        <f t="shared" si="62"/>
        <v>753</v>
      </c>
      <c r="S348" s="5">
        <f t="shared" si="63"/>
        <v>1</v>
      </c>
      <c r="T348" s="7">
        <f t="shared" si="64"/>
        <v>753</v>
      </c>
    </row>
    <row r="349" spans="1:20">
      <c r="A349" s="23" t="s">
        <v>387</v>
      </c>
      <c r="B349" s="35" t="s">
        <v>383</v>
      </c>
      <c r="C349" s="36">
        <v>599</v>
      </c>
      <c r="D349" s="6"/>
      <c r="E349" s="113">
        <v>28403245</v>
      </c>
      <c r="F349" s="116">
        <f t="shared" si="65"/>
        <v>47417.771285475792</v>
      </c>
      <c r="G349" s="117">
        <v>21227349</v>
      </c>
      <c r="H349" s="117">
        <f t="shared" ref="H349:H405" si="70">(G349/C349)</f>
        <v>35437.978297161935</v>
      </c>
      <c r="I349" s="7"/>
      <c r="J349" s="10">
        <v>5</v>
      </c>
      <c r="K349" s="117">
        <v>106136</v>
      </c>
      <c r="L349" s="120">
        <f t="shared" si="69"/>
        <v>177.18864774624373</v>
      </c>
      <c r="M349" s="122">
        <f t="shared" si="66"/>
        <v>212273.49</v>
      </c>
      <c r="N349" s="116">
        <f t="shared" si="67"/>
        <v>106137.48999999999</v>
      </c>
      <c r="O349" s="123">
        <f t="shared" si="68"/>
        <v>177.1911352253756</v>
      </c>
      <c r="P349" s="5"/>
      <c r="Q349" s="5">
        <f t="shared" si="61"/>
        <v>1</v>
      </c>
      <c r="R349" s="7">
        <f t="shared" si="62"/>
        <v>599</v>
      </c>
      <c r="S349" s="5">
        <f t="shared" si="63"/>
        <v>1</v>
      </c>
      <c r="T349" s="7">
        <f t="shared" si="64"/>
        <v>599</v>
      </c>
    </row>
    <row r="350" spans="1:20">
      <c r="A350" s="23" t="s">
        <v>390</v>
      </c>
      <c r="B350" s="35" t="s">
        <v>391</v>
      </c>
      <c r="C350" s="36">
        <v>6154</v>
      </c>
      <c r="D350" s="6"/>
      <c r="E350" s="113">
        <v>547325292</v>
      </c>
      <c r="F350" s="116">
        <f t="shared" si="65"/>
        <v>88938.136496587584</v>
      </c>
      <c r="G350" s="117">
        <v>346367953</v>
      </c>
      <c r="H350" s="117">
        <f t="shared" si="70"/>
        <v>56283.385277868052</v>
      </c>
      <c r="I350" s="7"/>
      <c r="J350" s="10">
        <v>1.83</v>
      </c>
      <c r="K350" s="117">
        <v>633853</v>
      </c>
      <c r="L350" s="120">
        <f t="shared" si="69"/>
        <v>102.99853753656159</v>
      </c>
      <c r="M350" s="122">
        <f t="shared" si="66"/>
        <v>3463679.5300000003</v>
      </c>
      <c r="N350" s="116">
        <f t="shared" si="67"/>
        <v>2829826.5300000003</v>
      </c>
      <c r="O350" s="123">
        <f t="shared" si="68"/>
        <v>459.83531524211901</v>
      </c>
      <c r="P350" s="5"/>
      <c r="Q350" s="5">
        <f t="shared" si="61"/>
        <v>1</v>
      </c>
      <c r="R350" s="7">
        <f t="shared" si="62"/>
        <v>6154</v>
      </c>
      <c r="S350" s="5">
        <f t="shared" si="63"/>
        <v>1</v>
      </c>
      <c r="T350" s="7">
        <f t="shared" si="64"/>
        <v>6154</v>
      </c>
    </row>
    <row r="351" spans="1:20">
      <c r="A351" s="23" t="s">
        <v>392</v>
      </c>
      <c r="B351" s="35" t="s">
        <v>391</v>
      </c>
      <c r="C351" s="36">
        <v>672</v>
      </c>
      <c r="D351" s="6"/>
      <c r="E351" s="113">
        <v>36009506</v>
      </c>
      <c r="F351" s="116">
        <f t="shared" si="65"/>
        <v>53585.574404761908</v>
      </c>
      <c r="G351" s="117">
        <v>26615701</v>
      </c>
      <c r="H351" s="117">
        <f t="shared" si="70"/>
        <v>39606.697916666664</v>
      </c>
      <c r="I351" s="7"/>
      <c r="J351" s="10">
        <v>2</v>
      </c>
      <c r="K351" s="117">
        <v>53231</v>
      </c>
      <c r="L351" s="120">
        <f t="shared" si="69"/>
        <v>79.21279761904762</v>
      </c>
      <c r="M351" s="122">
        <f t="shared" si="66"/>
        <v>266157.01</v>
      </c>
      <c r="N351" s="116">
        <f t="shared" si="67"/>
        <v>212926.01</v>
      </c>
      <c r="O351" s="123">
        <f t="shared" si="68"/>
        <v>316.85418154761908</v>
      </c>
      <c r="P351" s="5"/>
      <c r="Q351" s="5">
        <f t="shared" si="61"/>
        <v>1</v>
      </c>
      <c r="R351" s="7">
        <f t="shared" si="62"/>
        <v>672</v>
      </c>
      <c r="S351" s="5">
        <f t="shared" si="63"/>
        <v>1</v>
      </c>
      <c r="T351" s="7">
        <f t="shared" si="64"/>
        <v>672</v>
      </c>
    </row>
    <row r="352" spans="1:20">
      <c r="A352" s="23" t="s">
        <v>393</v>
      </c>
      <c r="B352" s="35" t="s">
        <v>391</v>
      </c>
      <c r="C352" s="36">
        <v>7722</v>
      </c>
      <c r="D352" s="6"/>
      <c r="E352" s="113">
        <v>239801532</v>
      </c>
      <c r="F352" s="116">
        <f t="shared" si="65"/>
        <v>31054.329448329448</v>
      </c>
      <c r="G352" s="117">
        <v>151378716</v>
      </c>
      <c r="H352" s="117">
        <f t="shared" si="70"/>
        <v>19603.563325563326</v>
      </c>
      <c r="I352" s="7"/>
      <c r="J352" s="10">
        <v>2.75</v>
      </c>
      <c r="K352" s="117">
        <v>416291</v>
      </c>
      <c r="L352" s="120">
        <f t="shared" si="69"/>
        <v>53.909738409738409</v>
      </c>
      <c r="M352" s="122">
        <f t="shared" si="66"/>
        <v>1513787.16</v>
      </c>
      <c r="N352" s="116">
        <f t="shared" si="67"/>
        <v>1097496.1599999999</v>
      </c>
      <c r="O352" s="123">
        <f t="shared" si="68"/>
        <v>142.12589484589483</v>
      </c>
      <c r="P352" s="5"/>
      <c r="Q352" s="5">
        <f t="shared" si="61"/>
        <v>1</v>
      </c>
      <c r="R352" s="7">
        <f t="shared" si="62"/>
        <v>7722</v>
      </c>
      <c r="S352" s="5">
        <f t="shared" si="63"/>
        <v>1</v>
      </c>
      <c r="T352" s="7">
        <f t="shared" si="64"/>
        <v>7722</v>
      </c>
    </row>
    <row r="353" spans="1:20">
      <c r="A353" s="23" t="s">
        <v>394</v>
      </c>
      <c r="B353" s="35" t="s">
        <v>395</v>
      </c>
      <c r="C353" s="36">
        <v>17672</v>
      </c>
      <c r="D353" s="6"/>
      <c r="E353" s="113">
        <v>817097434</v>
      </c>
      <c r="F353" s="116">
        <f t="shared" si="65"/>
        <v>46236.839859665008</v>
      </c>
      <c r="G353" s="117">
        <v>585842892</v>
      </c>
      <c r="H353" s="117">
        <f t="shared" si="70"/>
        <v>33150.910593028522</v>
      </c>
      <c r="I353" s="7"/>
      <c r="J353" s="10">
        <v>4.9000000000000004</v>
      </c>
      <c r="K353" s="117">
        <v>2870630</v>
      </c>
      <c r="L353" s="120">
        <f t="shared" si="69"/>
        <v>162.43945224083296</v>
      </c>
      <c r="M353" s="122">
        <f t="shared" si="66"/>
        <v>5858428.9199999999</v>
      </c>
      <c r="N353" s="116">
        <f t="shared" si="67"/>
        <v>2987798.92</v>
      </c>
      <c r="O353" s="123">
        <f t="shared" si="68"/>
        <v>169.06965368945222</v>
      </c>
      <c r="P353" s="5"/>
      <c r="Q353" s="5">
        <f t="shared" si="61"/>
        <v>1</v>
      </c>
      <c r="R353" s="7">
        <f t="shared" si="62"/>
        <v>17672</v>
      </c>
      <c r="S353" s="5">
        <f t="shared" si="63"/>
        <v>1</v>
      </c>
      <c r="T353" s="7">
        <f t="shared" si="64"/>
        <v>17672</v>
      </c>
    </row>
    <row r="354" spans="1:20">
      <c r="A354" s="23" t="s">
        <v>395</v>
      </c>
      <c r="B354" s="35" t="s">
        <v>395</v>
      </c>
      <c r="C354" s="36">
        <v>51650</v>
      </c>
      <c r="D354" s="6"/>
      <c r="E354" s="113">
        <v>4510056722</v>
      </c>
      <c r="F354" s="116">
        <f t="shared" si="65"/>
        <v>87319.588034849949</v>
      </c>
      <c r="G354" s="117">
        <v>3243295751</v>
      </c>
      <c r="H354" s="117">
        <f t="shared" si="70"/>
        <v>62793.722187802516</v>
      </c>
      <c r="I354" s="7"/>
      <c r="J354" s="10">
        <v>3.6110000000000002</v>
      </c>
      <c r="K354" s="117">
        <v>11711540</v>
      </c>
      <c r="L354" s="120">
        <f t="shared" si="69"/>
        <v>226.74811229428849</v>
      </c>
      <c r="M354" s="122">
        <f t="shared" si="66"/>
        <v>32432957.510000002</v>
      </c>
      <c r="N354" s="116">
        <f t="shared" si="67"/>
        <v>20721417.510000002</v>
      </c>
      <c r="O354" s="123">
        <f t="shared" si="68"/>
        <v>401.18910958373669</v>
      </c>
      <c r="P354" s="5"/>
      <c r="Q354" s="5">
        <f t="shared" si="61"/>
        <v>1</v>
      </c>
      <c r="R354" s="7">
        <f t="shared" si="62"/>
        <v>51650</v>
      </c>
      <c r="S354" s="5">
        <f t="shared" si="63"/>
        <v>1</v>
      </c>
      <c r="T354" s="7">
        <f t="shared" si="64"/>
        <v>51650</v>
      </c>
    </row>
    <row r="355" spans="1:20">
      <c r="A355" s="23" t="s">
        <v>396</v>
      </c>
      <c r="B355" s="35" t="s">
        <v>395</v>
      </c>
      <c r="C355" s="36">
        <v>19069</v>
      </c>
      <c r="D355" s="6"/>
      <c r="E355" s="113">
        <v>1611184347</v>
      </c>
      <c r="F355" s="116">
        <f t="shared" si="65"/>
        <v>84492.335570821757</v>
      </c>
      <c r="G355" s="117">
        <v>1233738188</v>
      </c>
      <c r="H355" s="117">
        <f t="shared" si="70"/>
        <v>64698.630657087422</v>
      </c>
      <c r="I355" s="7"/>
      <c r="J355" s="10">
        <v>3.4060000000000001</v>
      </c>
      <c r="K355" s="117">
        <v>4202112</v>
      </c>
      <c r="L355" s="120">
        <f t="shared" si="69"/>
        <v>220.36352194661492</v>
      </c>
      <c r="M355" s="122">
        <f t="shared" si="66"/>
        <v>12337381.880000001</v>
      </c>
      <c r="N355" s="116">
        <f t="shared" si="67"/>
        <v>8135269.8800000008</v>
      </c>
      <c r="O355" s="123">
        <f t="shared" si="68"/>
        <v>426.62278462425934</v>
      </c>
      <c r="P355" s="5"/>
      <c r="Q355" s="5">
        <f t="shared" si="61"/>
        <v>1</v>
      </c>
      <c r="R355" s="7">
        <f t="shared" si="62"/>
        <v>19069</v>
      </c>
      <c r="S355" s="5">
        <f t="shared" si="63"/>
        <v>1</v>
      </c>
      <c r="T355" s="7">
        <f t="shared" si="64"/>
        <v>19069</v>
      </c>
    </row>
    <row r="356" spans="1:20">
      <c r="A356" s="23" t="s">
        <v>397</v>
      </c>
      <c r="B356" s="35" t="s">
        <v>360</v>
      </c>
      <c r="C356" s="36">
        <v>39623</v>
      </c>
      <c r="D356" s="6"/>
      <c r="E356" s="113">
        <v>2091411156</v>
      </c>
      <c r="F356" s="116">
        <f t="shared" si="65"/>
        <v>52782.756378870858</v>
      </c>
      <c r="G356" s="117">
        <v>1810656102</v>
      </c>
      <c r="H356" s="117">
        <f t="shared" si="70"/>
        <v>45697.097695782752</v>
      </c>
      <c r="I356" s="7"/>
      <c r="J356" s="10">
        <v>4.5599999999999996</v>
      </c>
      <c r="K356" s="117">
        <v>8256591</v>
      </c>
      <c r="L356" s="120">
        <f t="shared" si="69"/>
        <v>208.37874466850062</v>
      </c>
      <c r="M356" s="122">
        <f t="shared" si="66"/>
        <v>18106561.02</v>
      </c>
      <c r="N356" s="116">
        <f t="shared" si="67"/>
        <v>9849970.0199999996</v>
      </c>
      <c r="O356" s="123">
        <f t="shared" si="68"/>
        <v>248.59223228932689</v>
      </c>
      <c r="P356" s="5"/>
      <c r="Q356" s="5">
        <f t="shared" si="61"/>
        <v>1</v>
      </c>
      <c r="R356" s="7">
        <f t="shared" si="62"/>
        <v>39623</v>
      </c>
      <c r="S356" s="5">
        <f t="shared" si="63"/>
        <v>1</v>
      </c>
      <c r="T356" s="7">
        <f t="shared" si="64"/>
        <v>39623</v>
      </c>
    </row>
    <row r="357" spans="1:20">
      <c r="A357" s="23" t="s">
        <v>398</v>
      </c>
      <c r="B357" s="35" t="s">
        <v>360</v>
      </c>
      <c r="C357" s="36">
        <v>24587</v>
      </c>
      <c r="D357" s="6"/>
      <c r="E357" s="113">
        <v>871475544</v>
      </c>
      <c r="F357" s="116">
        <f t="shared" si="65"/>
        <v>35444.565990157404</v>
      </c>
      <c r="G357" s="117">
        <v>705132008</v>
      </c>
      <c r="H357" s="117">
        <f t="shared" si="70"/>
        <v>28679.058364176191</v>
      </c>
      <c r="I357" s="7"/>
      <c r="J357" s="10">
        <v>3.7</v>
      </c>
      <c r="K357" s="117">
        <v>2608988</v>
      </c>
      <c r="L357" s="120">
        <f t="shared" si="69"/>
        <v>106.11249847480376</v>
      </c>
      <c r="M357" s="122">
        <f t="shared" si="66"/>
        <v>7051320.0800000001</v>
      </c>
      <c r="N357" s="116">
        <f t="shared" si="67"/>
        <v>4442332.08</v>
      </c>
      <c r="O357" s="123">
        <f t="shared" si="68"/>
        <v>180.67808516695814</v>
      </c>
      <c r="P357" s="5"/>
      <c r="Q357" s="5">
        <f t="shared" si="61"/>
        <v>1</v>
      </c>
      <c r="R357" s="7">
        <f t="shared" si="62"/>
        <v>24587</v>
      </c>
      <c r="S357" s="5">
        <f t="shared" si="63"/>
        <v>1</v>
      </c>
      <c r="T357" s="7">
        <f t="shared" si="64"/>
        <v>24587</v>
      </c>
    </row>
    <row r="358" spans="1:20">
      <c r="A358" s="23" t="s">
        <v>399</v>
      </c>
      <c r="B358" s="35" t="s">
        <v>360</v>
      </c>
      <c r="C358" s="36">
        <v>9506</v>
      </c>
      <c r="D358" s="6"/>
      <c r="E358" s="113">
        <v>931931468</v>
      </c>
      <c r="F358" s="116">
        <f t="shared" si="65"/>
        <v>98036.131706290762</v>
      </c>
      <c r="G358" s="117">
        <v>803034201</v>
      </c>
      <c r="H358" s="117">
        <f t="shared" si="70"/>
        <v>84476.562276456971</v>
      </c>
      <c r="I358" s="7"/>
      <c r="J358" s="10">
        <v>3.7648000000000001</v>
      </c>
      <c r="K358" s="117">
        <v>3023263</v>
      </c>
      <c r="L358" s="120">
        <f t="shared" si="69"/>
        <v>318.03734483484118</v>
      </c>
      <c r="M358" s="122">
        <f t="shared" si="66"/>
        <v>8030342.0099999998</v>
      </c>
      <c r="N358" s="116">
        <f t="shared" si="67"/>
        <v>5007079.01</v>
      </c>
      <c r="O358" s="123">
        <f t="shared" si="68"/>
        <v>526.72827792972862</v>
      </c>
      <c r="P358" s="5"/>
      <c r="Q358" s="5">
        <f t="shared" si="61"/>
        <v>1</v>
      </c>
      <c r="R358" s="7">
        <f t="shared" si="62"/>
        <v>9506</v>
      </c>
      <c r="S358" s="5">
        <f t="shared" si="63"/>
        <v>1</v>
      </c>
      <c r="T358" s="7">
        <f t="shared" si="64"/>
        <v>9506</v>
      </c>
    </row>
    <row r="359" spans="1:20">
      <c r="A359" s="23" t="s">
        <v>400</v>
      </c>
      <c r="B359" s="35" t="s">
        <v>360</v>
      </c>
      <c r="C359" s="36">
        <v>13851</v>
      </c>
      <c r="D359" s="6"/>
      <c r="E359" s="113">
        <v>728413743</v>
      </c>
      <c r="F359" s="116">
        <f t="shared" si="65"/>
        <v>52589.252978124321</v>
      </c>
      <c r="G359" s="117">
        <v>589084426</v>
      </c>
      <c r="H359" s="117">
        <f t="shared" si="70"/>
        <v>42530.100786946794</v>
      </c>
      <c r="I359" s="7"/>
      <c r="J359" s="10">
        <v>5.0601000000000003</v>
      </c>
      <c r="K359" s="117">
        <v>2980826</v>
      </c>
      <c r="L359" s="120">
        <f t="shared" si="69"/>
        <v>215.20655548335861</v>
      </c>
      <c r="M359" s="122">
        <f t="shared" si="66"/>
        <v>5890844.2599999998</v>
      </c>
      <c r="N359" s="116">
        <f t="shared" si="67"/>
        <v>2910018.26</v>
      </c>
      <c r="O359" s="123">
        <f t="shared" si="68"/>
        <v>210.09445238610928</v>
      </c>
      <c r="P359" s="5"/>
      <c r="Q359" s="5">
        <f t="shared" si="61"/>
        <v>1</v>
      </c>
      <c r="R359" s="7">
        <f t="shared" si="62"/>
        <v>13851</v>
      </c>
      <c r="S359" s="5">
        <f t="shared" si="63"/>
        <v>1</v>
      </c>
      <c r="T359" s="7">
        <f t="shared" si="64"/>
        <v>13851</v>
      </c>
    </row>
    <row r="360" spans="1:20">
      <c r="A360" s="23" t="s">
        <v>401</v>
      </c>
      <c r="B360" s="35" t="s">
        <v>360</v>
      </c>
      <c r="C360" s="36">
        <v>21674</v>
      </c>
      <c r="D360" s="6"/>
      <c r="E360" s="113">
        <v>1003884783</v>
      </c>
      <c r="F360" s="116">
        <f t="shared" si="65"/>
        <v>46317.467149580145</v>
      </c>
      <c r="G360" s="117">
        <v>771363926</v>
      </c>
      <c r="H360" s="117">
        <f t="shared" si="70"/>
        <v>35589.36633754729</v>
      </c>
      <c r="I360" s="7"/>
      <c r="J360" s="10">
        <v>4.9950000000000001</v>
      </c>
      <c r="K360" s="117">
        <v>3852962</v>
      </c>
      <c r="L360" s="120">
        <f t="shared" si="69"/>
        <v>177.76884746701117</v>
      </c>
      <c r="M360" s="122">
        <f t="shared" si="66"/>
        <v>7713639.2599999998</v>
      </c>
      <c r="N360" s="116">
        <f t="shared" si="67"/>
        <v>3860677.26</v>
      </c>
      <c r="O360" s="123">
        <f t="shared" si="68"/>
        <v>178.12481590846173</v>
      </c>
      <c r="P360" s="5"/>
      <c r="Q360" s="5">
        <f t="shared" si="61"/>
        <v>1</v>
      </c>
      <c r="R360" s="7">
        <f t="shared" si="62"/>
        <v>21674</v>
      </c>
      <c r="S360" s="5">
        <f t="shared" si="63"/>
        <v>1</v>
      </c>
      <c r="T360" s="7">
        <f t="shared" si="64"/>
        <v>21674</v>
      </c>
    </row>
    <row r="361" spans="1:20">
      <c r="A361" s="23" t="s">
        <v>402</v>
      </c>
      <c r="B361" s="35" t="s">
        <v>360</v>
      </c>
      <c r="C361" s="36">
        <v>36274</v>
      </c>
      <c r="D361" s="6"/>
      <c r="E361" s="113">
        <v>1455371740</v>
      </c>
      <c r="F361" s="116">
        <f t="shared" si="65"/>
        <v>40121.622649831836</v>
      </c>
      <c r="G361" s="117">
        <v>1055745000</v>
      </c>
      <c r="H361" s="117">
        <f t="shared" si="70"/>
        <v>29104.73066107956</v>
      </c>
      <c r="I361" s="7"/>
      <c r="J361" s="10">
        <v>6.87</v>
      </c>
      <c r="K361" s="117">
        <v>7252968</v>
      </c>
      <c r="L361" s="120">
        <f t="shared" si="69"/>
        <v>199.94949550642335</v>
      </c>
      <c r="M361" s="122">
        <f t="shared" si="66"/>
        <v>10557450</v>
      </c>
      <c r="N361" s="116">
        <f t="shared" si="67"/>
        <v>3304482</v>
      </c>
      <c r="O361" s="123">
        <f t="shared" si="68"/>
        <v>91.097811104372283</v>
      </c>
      <c r="P361" s="5"/>
      <c r="Q361" s="5">
        <f t="shared" si="61"/>
        <v>1</v>
      </c>
      <c r="R361" s="7">
        <f t="shared" si="62"/>
        <v>36274</v>
      </c>
      <c r="S361" s="5">
        <f t="shared" si="63"/>
        <v>1</v>
      </c>
      <c r="T361" s="7">
        <f t="shared" si="64"/>
        <v>36274</v>
      </c>
    </row>
    <row r="362" spans="1:20">
      <c r="A362" s="23" t="s">
        <v>403</v>
      </c>
      <c r="B362" s="35" t="s">
        <v>360</v>
      </c>
      <c r="C362" s="36">
        <v>28404</v>
      </c>
      <c r="D362" s="6"/>
      <c r="E362" s="113">
        <v>1159285723</v>
      </c>
      <c r="F362" s="116">
        <f t="shared" si="65"/>
        <v>40814.17134910576</v>
      </c>
      <c r="G362" s="117">
        <v>906032833</v>
      </c>
      <c r="H362" s="117">
        <f t="shared" si="70"/>
        <v>31898.071856076607</v>
      </c>
      <c r="I362" s="7"/>
      <c r="J362" s="10">
        <v>3.5495000000000001</v>
      </c>
      <c r="K362" s="117">
        <v>3215963</v>
      </c>
      <c r="L362" s="120">
        <f t="shared" si="69"/>
        <v>113.22218701591325</v>
      </c>
      <c r="M362" s="122">
        <f t="shared" si="66"/>
        <v>9060328.3300000001</v>
      </c>
      <c r="N362" s="116">
        <f t="shared" si="67"/>
        <v>5844365.3300000001</v>
      </c>
      <c r="O362" s="123">
        <f t="shared" si="68"/>
        <v>205.75853154485284</v>
      </c>
      <c r="P362" s="5"/>
      <c r="Q362" s="5">
        <f t="shared" si="61"/>
        <v>1</v>
      </c>
      <c r="R362" s="7">
        <f t="shared" si="62"/>
        <v>28404</v>
      </c>
      <c r="S362" s="5">
        <f t="shared" si="63"/>
        <v>1</v>
      </c>
      <c r="T362" s="7">
        <f t="shared" si="64"/>
        <v>28404</v>
      </c>
    </row>
    <row r="363" spans="1:20">
      <c r="A363" s="23" t="s">
        <v>388</v>
      </c>
      <c r="B363" s="35" t="s">
        <v>551</v>
      </c>
      <c r="C363" s="36">
        <v>668</v>
      </c>
      <c r="D363" s="6"/>
      <c r="E363" s="113">
        <v>18562068</v>
      </c>
      <c r="F363" s="116">
        <f t="shared" si="65"/>
        <v>27787.526946107784</v>
      </c>
      <c r="G363" s="117">
        <v>10966054</v>
      </c>
      <c r="H363" s="117">
        <f t="shared" si="70"/>
        <v>16416.248502994011</v>
      </c>
      <c r="I363" s="9"/>
      <c r="J363" s="10">
        <v>8.5</v>
      </c>
      <c r="K363" s="117">
        <v>93211</v>
      </c>
      <c r="L363" s="120">
        <f t="shared" si="69"/>
        <v>139.5374251497006</v>
      </c>
      <c r="M363" s="122">
        <f t="shared" si="66"/>
        <v>109660.54000000001</v>
      </c>
      <c r="N363" s="116">
        <f t="shared" si="67"/>
        <v>16449.540000000008</v>
      </c>
      <c r="O363" s="123">
        <f t="shared" si="68"/>
        <v>24.625059880239533</v>
      </c>
      <c r="P363" s="5"/>
      <c r="Q363" s="5">
        <f t="shared" si="61"/>
        <v>1</v>
      </c>
      <c r="R363" s="7">
        <f t="shared" si="62"/>
        <v>668</v>
      </c>
      <c r="S363" s="5">
        <f t="shared" si="63"/>
        <v>1</v>
      </c>
      <c r="T363" s="7">
        <f t="shared" si="64"/>
        <v>668</v>
      </c>
    </row>
    <row r="364" spans="1:20">
      <c r="A364" s="23" t="s">
        <v>549</v>
      </c>
      <c r="B364" s="35" t="s">
        <v>551</v>
      </c>
      <c r="C364" s="36">
        <v>12481</v>
      </c>
      <c r="D364" s="6"/>
      <c r="E364" s="113">
        <v>716183898</v>
      </c>
      <c r="F364" s="116">
        <f t="shared" si="65"/>
        <v>57381.932377213365</v>
      </c>
      <c r="G364" s="117">
        <v>459585902</v>
      </c>
      <c r="H364" s="117">
        <f t="shared" si="70"/>
        <v>36822.842881179393</v>
      </c>
      <c r="I364" s="9"/>
      <c r="J364" s="10">
        <v>7.4</v>
      </c>
      <c r="K364" s="117">
        <v>3400935</v>
      </c>
      <c r="L364" s="120">
        <f t="shared" si="69"/>
        <v>272.48898325454689</v>
      </c>
      <c r="M364" s="122">
        <f t="shared" si="66"/>
        <v>4595859.0200000005</v>
      </c>
      <c r="N364" s="116">
        <f t="shared" si="67"/>
        <v>1194924.0200000005</v>
      </c>
      <c r="O364" s="123">
        <f t="shared" si="68"/>
        <v>95.739445557247052</v>
      </c>
      <c r="P364" s="5"/>
      <c r="Q364" s="5">
        <f t="shared" si="61"/>
        <v>1</v>
      </c>
      <c r="R364" s="7">
        <f t="shared" si="62"/>
        <v>12481</v>
      </c>
      <c r="S364" s="5">
        <f t="shared" si="63"/>
        <v>1</v>
      </c>
      <c r="T364" s="7">
        <f t="shared" si="64"/>
        <v>12481</v>
      </c>
    </row>
    <row r="365" spans="1:20">
      <c r="A365" s="23" t="s">
        <v>550</v>
      </c>
      <c r="B365" s="35" t="s">
        <v>551</v>
      </c>
      <c r="C365" s="36">
        <v>4115</v>
      </c>
      <c r="D365" s="6"/>
      <c r="E365" s="113">
        <v>318969653</v>
      </c>
      <c r="F365" s="116">
        <f t="shared" si="65"/>
        <v>77513.888942891863</v>
      </c>
      <c r="G365" s="117">
        <v>277641124</v>
      </c>
      <c r="H365" s="117">
        <f t="shared" si="70"/>
        <v>67470.504009720535</v>
      </c>
      <c r="I365" s="9"/>
      <c r="J365" s="10">
        <v>2</v>
      </c>
      <c r="K365" s="117">
        <v>555282</v>
      </c>
      <c r="L365" s="120">
        <f t="shared" si="69"/>
        <v>134.94094775212636</v>
      </c>
      <c r="M365" s="122">
        <f t="shared" si="66"/>
        <v>2776411.24</v>
      </c>
      <c r="N365" s="116">
        <f t="shared" si="67"/>
        <v>2221129.2400000002</v>
      </c>
      <c r="O365" s="123">
        <f t="shared" si="68"/>
        <v>539.76409234507901</v>
      </c>
      <c r="P365" s="5"/>
      <c r="Q365" s="5">
        <f t="shared" si="61"/>
        <v>1</v>
      </c>
      <c r="R365" s="7">
        <f t="shared" si="62"/>
        <v>4115</v>
      </c>
      <c r="S365" s="5">
        <f t="shared" si="63"/>
        <v>1</v>
      </c>
      <c r="T365" s="7">
        <f t="shared" si="64"/>
        <v>4115</v>
      </c>
    </row>
    <row r="366" spans="1:20">
      <c r="A366" s="23" t="s">
        <v>389</v>
      </c>
      <c r="B366" s="35" t="s">
        <v>552</v>
      </c>
      <c r="C366" s="36">
        <v>38071</v>
      </c>
      <c r="D366" s="6"/>
      <c r="E366" s="113">
        <v>1586592443</v>
      </c>
      <c r="F366" s="116">
        <f t="shared" si="65"/>
        <v>41674.567072049591</v>
      </c>
      <c r="G366" s="117">
        <v>964825306</v>
      </c>
      <c r="H366" s="117">
        <f t="shared" si="70"/>
        <v>25342.788631766962</v>
      </c>
      <c r="I366" s="7"/>
      <c r="J366" s="10">
        <v>7.3304999999999998</v>
      </c>
      <c r="K366" s="117">
        <v>7072651</v>
      </c>
      <c r="L366" s="120">
        <f t="shared" si="69"/>
        <v>185.77528827716634</v>
      </c>
      <c r="M366" s="122">
        <f t="shared" si="66"/>
        <v>9648253.0600000005</v>
      </c>
      <c r="N366" s="116">
        <f t="shared" si="67"/>
        <v>2575602.0600000005</v>
      </c>
      <c r="O366" s="123">
        <f t="shared" si="68"/>
        <v>67.652598040503278</v>
      </c>
      <c r="P366" s="5"/>
      <c r="Q366" s="5">
        <f t="shared" si="61"/>
        <v>1</v>
      </c>
      <c r="R366" s="7">
        <f t="shared" si="62"/>
        <v>38071</v>
      </c>
      <c r="S366" s="5">
        <f t="shared" si="63"/>
        <v>1</v>
      </c>
      <c r="T366" s="7">
        <f t="shared" si="64"/>
        <v>38071</v>
      </c>
    </row>
    <row r="367" spans="1:20">
      <c r="A367" s="23" t="s">
        <v>553</v>
      </c>
      <c r="B367" s="35" t="s">
        <v>552</v>
      </c>
      <c r="C367" s="36">
        <v>80434</v>
      </c>
      <c r="D367" s="6"/>
      <c r="E367" s="113">
        <v>3404234665</v>
      </c>
      <c r="F367" s="116">
        <f t="shared" si="65"/>
        <v>42323.329251311632</v>
      </c>
      <c r="G367" s="117">
        <v>2576153479</v>
      </c>
      <c r="H367" s="117">
        <f t="shared" si="70"/>
        <v>32028.165688639132</v>
      </c>
      <c r="I367" s="7"/>
      <c r="J367" s="10">
        <v>3.94</v>
      </c>
      <c r="K367" s="117">
        <v>10150044</v>
      </c>
      <c r="L367" s="120">
        <f t="shared" si="69"/>
        <v>126.19096402019046</v>
      </c>
      <c r="M367" s="122">
        <f t="shared" si="66"/>
        <v>25761534.789999999</v>
      </c>
      <c r="N367" s="116">
        <f t="shared" si="67"/>
        <v>15611490.789999999</v>
      </c>
      <c r="O367" s="123">
        <f t="shared" si="68"/>
        <v>194.09069286620084</v>
      </c>
      <c r="P367" s="5"/>
      <c r="Q367" s="5">
        <f t="shared" si="61"/>
        <v>1</v>
      </c>
      <c r="R367" s="7">
        <f t="shared" si="62"/>
        <v>80434</v>
      </c>
      <c r="S367" s="5">
        <f t="shared" si="63"/>
        <v>1</v>
      </c>
      <c r="T367" s="7">
        <f t="shared" si="64"/>
        <v>80434</v>
      </c>
    </row>
    <row r="368" spans="1:20">
      <c r="A368" s="23" t="s">
        <v>554</v>
      </c>
      <c r="B368" s="35" t="s">
        <v>552</v>
      </c>
      <c r="C368" s="36">
        <v>608</v>
      </c>
      <c r="D368" s="6"/>
      <c r="E368" s="113">
        <v>30425697</v>
      </c>
      <c r="F368" s="116">
        <f t="shared" si="65"/>
        <v>50042.26480263158</v>
      </c>
      <c r="G368" s="117">
        <v>24592797</v>
      </c>
      <c r="H368" s="117">
        <f t="shared" si="70"/>
        <v>40448.679276315786</v>
      </c>
      <c r="I368" s="7"/>
      <c r="J368" s="10">
        <v>1</v>
      </c>
      <c r="K368" s="117">
        <v>24592</v>
      </c>
      <c r="L368" s="120">
        <f t="shared" si="69"/>
        <v>40.44736842105263</v>
      </c>
      <c r="M368" s="122">
        <f t="shared" si="66"/>
        <v>245927.97</v>
      </c>
      <c r="N368" s="116">
        <f t="shared" si="67"/>
        <v>221335.97</v>
      </c>
      <c r="O368" s="123">
        <f t="shared" si="68"/>
        <v>364.03942434210529</v>
      </c>
      <c r="P368" s="5"/>
      <c r="Q368" s="5">
        <f t="shared" si="61"/>
        <v>1</v>
      </c>
      <c r="R368" s="7">
        <f t="shared" si="62"/>
        <v>608</v>
      </c>
      <c r="S368" s="5">
        <f t="shared" si="63"/>
        <v>1</v>
      </c>
      <c r="T368" s="7">
        <f t="shared" si="64"/>
        <v>608</v>
      </c>
    </row>
    <row r="369" spans="1:20">
      <c r="A369" s="23" t="s">
        <v>404</v>
      </c>
      <c r="B369" s="35" t="s">
        <v>405</v>
      </c>
      <c r="C369" s="36">
        <v>2423</v>
      </c>
      <c r="D369" s="6"/>
      <c r="E369" s="113">
        <v>68167357</v>
      </c>
      <c r="F369" s="116">
        <f t="shared" si="65"/>
        <v>28133.453157243086</v>
      </c>
      <c r="G369" s="117">
        <v>45765686</v>
      </c>
      <c r="H369" s="117">
        <f t="shared" si="70"/>
        <v>18888.025588113909</v>
      </c>
      <c r="I369" s="7"/>
      <c r="J369" s="10">
        <v>2.1469999999999998</v>
      </c>
      <c r="K369" s="117">
        <v>98258</v>
      </c>
      <c r="L369" s="120">
        <f t="shared" si="69"/>
        <v>40.552208006603387</v>
      </c>
      <c r="M369" s="122">
        <f t="shared" si="66"/>
        <v>457656.86</v>
      </c>
      <c r="N369" s="116">
        <f t="shared" si="67"/>
        <v>359398.86</v>
      </c>
      <c r="O369" s="123">
        <f t="shared" si="68"/>
        <v>148.32804787453568</v>
      </c>
      <c r="P369" s="5"/>
      <c r="Q369" s="5">
        <f t="shared" si="61"/>
        <v>1</v>
      </c>
      <c r="R369" s="7">
        <f t="shared" si="62"/>
        <v>2423</v>
      </c>
      <c r="S369" s="5">
        <f t="shared" si="63"/>
        <v>1</v>
      </c>
      <c r="T369" s="7">
        <f t="shared" si="64"/>
        <v>2423</v>
      </c>
    </row>
    <row r="370" spans="1:20">
      <c r="A370" s="23" t="s">
        <v>406</v>
      </c>
      <c r="B370" s="35" t="s">
        <v>405</v>
      </c>
      <c r="C370" s="36">
        <v>791</v>
      </c>
      <c r="D370" s="6"/>
      <c r="E370" s="113">
        <v>12134797</v>
      </c>
      <c r="F370" s="116">
        <f t="shared" si="65"/>
        <v>15341.083438685209</v>
      </c>
      <c r="G370" s="117">
        <v>6505183</v>
      </c>
      <c r="H370" s="117">
        <f t="shared" si="70"/>
        <v>8223.9987357774971</v>
      </c>
      <c r="I370" s="7"/>
      <c r="J370" s="10">
        <v>0.88600000000000001</v>
      </c>
      <c r="K370" s="117">
        <v>5763</v>
      </c>
      <c r="L370" s="120">
        <f t="shared" si="69"/>
        <v>7.2857142857142856</v>
      </c>
      <c r="M370" s="122">
        <f t="shared" si="66"/>
        <v>65051.83</v>
      </c>
      <c r="N370" s="116">
        <f t="shared" si="67"/>
        <v>59288.83</v>
      </c>
      <c r="O370" s="123">
        <f t="shared" si="68"/>
        <v>74.954273072060687</v>
      </c>
      <c r="P370" s="5"/>
      <c r="Q370" s="5">
        <f t="shared" si="61"/>
        <v>1</v>
      </c>
      <c r="R370" s="7">
        <f t="shared" si="62"/>
        <v>791</v>
      </c>
      <c r="S370" s="5">
        <f t="shared" si="63"/>
        <v>1</v>
      </c>
      <c r="T370" s="7">
        <f t="shared" si="64"/>
        <v>791</v>
      </c>
    </row>
    <row r="371" spans="1:20">
      <c r="A371" s="23" t="s">
        <v>407</v>
      </c>
      <c r="B371" s="35" t="s">
        <v>405</v>
      </c>
      <c r="C371" s="36">
        <v>824</v>
      </c>
      <c r="D371" s="6"/>
      <c r="E371" s="113">
        <v>10939186</v>
      </c>
      <c r="F371" s="116">
        <f t="shared" si="65"/>
        <v>13275.711165048544</v>
      </c>
      <c r="G371" s="117">
        <v>6032545</v>
      </c>
      <c r="H371" s="117">
        <f t="shared" si="70"/>
        <v>7321.049757281553</v>
      </c>
      <c r="I371" s="98" t="s">
        <v>528</v>
      </c>
      <c r="J371" s="10"/>
      <c r="K371" s="117"/>
      <c r="L371" s="120"/>
      <c r="M371" s="122">
        <f t="shared" si="66"/>
        <v>60325.450000000004</v>
      </c>
      <c r="N371" s="116">
        <f t="shared" si="67"/>
        <v>60325.450000000004</v>
      </c>
      <c r="O371" s="123">
        <f t="shared" si="68"/>
        <v>73.210497572815541</v>
      </c>
      <c r="P371" s="5"/>
      <c r="Q371" s="5">
        <f t="shared" si="61"/>
        <v>1</v>
      </c>
      <c r="R371" s="7">
        <f t="shared" si="62"/>
        <v>824</v>
      </c>
      <c r="S371" s="5">
        <f t="shared" si="63"/>
        <v>0</v>
      </c>
      <c r="T371" s="7">
        <f t="shared" si="64"/>
        <v>0</v>
      </c>
    </row>
    <row r="372" spans="1:20">
      <c r="A372" s="23" t="s">
        <v>408</v>
      </c>
      <c r="B372" s="35" t="s">
        <v>405</v>
      </c>
      <c r="C372" s="36">
        <v>831</v>
      </c>
      <c r="D372" s="6"/>
      <c r="E372" s="113">
        <v>12032189</v>
      </c>
      <c r="F372" s="116">
        <f t="shared" si="65"/>
        <v>14479.168471720819</v>
      </c>
      <c r="G372" s="117">
        <v>7885210</v>
      </c>
      <c r="H372" s="117">
        <f t="shared" si="70"/>
        <v>9488.820697954272</v>
      </c>
      <c r="I372" s="7"/>
      <c r="J372" s="10">
        <v>5.2</v>
      </c>
      <c r="K372" s="117">
        <v>41003</v>
      </c>
      <c r="L372" s="120">
        <f t="shared" ref="L372:L377" si="71">(K372/C372)</f>
        <v>49.341756919374248</v>
      </c>
      <c r="M372" s="122">
        <f t="shared" si="66"/>
        <v>78852.100000000006</v>
      </c>
      <c r="N372" s="116">
        <f t="shared" si="67"/>
        <v>37849.100000000006</v>
      </c>
      <c r="O372" s="123">
        <f t="shared" si="68"/>
        <v>45.546450060168482</v>
      </c>
      <c r="P372" s="5"/>
      <c r="Q372" s="5">
        <f t="shared" si="61"/>
        <v>1</v>
      </c>
      <c r="R372" s="7">
        <f t="shared" si="62"/>
        <v>831</v>
      </c>
      <c r="S372" s="5">
        <f t="shared" si="63"/>
        <v>1</v>
      </c>
      <c r="T372" s="7">
        <f t="shared" si="64"/>
        <v>831</v>
      </c>
    </row>
    <row r="373" spans="1:20">
      <c r="A373" s="23" t="s">
        <v>409</v>
      </c>
      <c r="B373" s="35" t="s">
        <v>405</v>
      </c>
      <c r="C373" s="36">
        <v>4077</v>
      </c>
      <c r="D373" s="6"/>
      <c r="E373" s="113">
        <v>84278328</v>
      </c>
      <c r="F373" s="116">
        <f t="shared" si="65"/>
        <v>20671.652685798381</v>
      </c>
      <c r="G373" s="117">
        <v>65376221</v>
      </c>
      <c r="H373" s="117">
        <f t="shared" si="70"/>
        <v>16035.374294824625</v>
      </c>
      <c r="I373" s="7"/>
      <c r="J373" s="10">
        <v>5.5579999999999998</v>
      </c>
      <c r="K373" s="117">
        <v>363361</v>
      </c>
      <c r="L373" s="120">
        <f t="shared" si="71"/>
        <v>89.124601422614674</v>
      </c>
      <c r="M373" s="122">
        <f t="shared" si="66"/>
        <v>653762.21</v>
      </c>
      <c r="N373" s="116">
        <f t="shared" si="67"/>
        <v>290401.20999999996</v>
      </c>
      <c r="O373" s="123">
        <f t="shared" si="68"/>
        <v>71.229141525631576</v>
      </c>
      <c r="P373" s="5"/>
      <c r="Q373" s="5">
        <f t="shared" si="61"/>
        <v>1</v>
      </c>
      <c r="R373" s="7">
        <f t="shared" si="62"/>
        <v>4077</v>
      </c>
      <c r="S373" s="5">
        <f t="shared" si="63"/>
        <v>1</v>
      </c>
      <c r="T373" s="7">
        <f t="shared" si="64"/>
        <v>4077</v>
      </c>
    </row>
    <row r="374" spans="1:20">
      <c r="A374" s="23" t="s">
        <v>410</v>
      </c>
      <c r="B374" s="35" t="s">
        <v>411</v>
      </c>
      <c r="C374" s="36">
        <v>644</v>
      </c>
      <c r="D374" s="6"/>
      <c r="E374" s="113">
        <v>19820102</v>
      </c>
      <c r="F374" s="116">
        <f t="shared" si="65"/>
        <v>30776.555900621119</v>
      </c>
      <c r="G374" s="117">
        <v>11572876</v>
      </c>
      <c r="H374" s="117">
        <f t="shared" si="70"/>
        <v>17970.304347826088</v>
      </c>
      <c r="I374" s="7"/>
      <c r="J374" s="10">
        <v>4.25</v>
      </c>
      <c r="K374" s="117">
        <v>49184</v>
      </c>
      <c r="L374" s="120">
        <f t="shared" si="71"/>
        <v>76.372670807453417</v>
      </c>
      <c r="M374" s="122">
        <f t="shared" si="66"/>
        <v>115728.76000000001</v>
      </c>
      <c r="N374" s="116">
        <f t="shared" si="67"/>
        <v>66544.760000000009</v>
      </c>
      <c r="O374" s="123">
        <f t="shared" si="68"/>
        <v>103.33037267080746</v>
      </c>
      <c r="P374" s="5"/>
      <c r="Q374" s="5">
        <f t="shared" si="61"/>
        <v>1</v>
      </c>
      <c r="R374" s="7">
        <f t="shared" si="62"/>
        <v>644</v>
      </c>
      <c r="S374" s="5">
        <f t="shared" si="63"/>
        <v>1</v>
      </c>
      <c r="T374" s="7">
        <f t="shared" si="64"/>
        <v>644</v>
      </c>
    </row>
    <row r="375" spans="1:20">
      <c r="A375" s="23" t="s">
        <v>412</v>
      </c>
      <c r="B375" s="35" t="s">
        <v>411</v>
      </c>
      <c r="C375" s="36">
        <v>6589</v>
      </c>
      <c r="D375" s="6"/>
      <c r="E375" s="113">
        <v>134338292</v>
      </c>
      <c r="F375" s="116">
        <f t="shared" si="65"/>
        <v>20388.267111853089</v>
      </c>
      <c r="G375" s="117">
        <v>76112652</v>
      </c>
      <c r="H375" s="117">
        <f t="shared" si="70"/>
        <v>11551.47245409015</v>
      </c>
      <c r="I375" s="7"/>
      <c r="J375" s="10">
        <v>4.75</v>
      </c>
      <c r="K375" s="117">
        <v>361535</v>
      </c>
      <c r="L375" s="120">
        <f t="shared" si="71"/>
        <v>54.869479435422676</v>
      </c>
      <c r="M375" s="122">
        <f t="shared" si="66"/>
        <v>761126.52</v>
      </c>
      <c r="N375" s="116">
        <f t="shared" si="67"/>
        <v>399591.52</v>
      </c>
      <c r="O375" s="123">
        <f t="shared" si="68"/>
        <v>60.645245105478828</v>
      </c>
      <c r="P375" s="5"/>
      <c r="Q375" s="5">
        <f t="shared" si="61"/>
        <v>1</v>
      </c>
      <c r="R375" s="7">
        <f t="shared" si="62"/>
        <v>6589</v>
      </c>
      <c r="S375" s="5">
        <f t="shared" si="63"/>
        <v>1</v>
      </c>
      <c r="T375" s="7">
        <f t="shared" si="64"/>
        <v>6589</v>
      </c>
    </row>
    <row r="376" spans="1:20">
      <c r="A376" s="23" t="s">
        <v>413</v>
      </c>
      <c r="B376" s="35" t="s">
        <v>414</v>
      </c>
      <c r="C376" s="36">
        <v>7218</v>
      </c>
      <c r="D376" s="6"/>
      <c r="E376" s="113">
        <v>257698064</v>
      </c>
      <c r="F376" s="116">
        <f t="shared" si="65"/>
        <v>35702.142421723467</v>
      </c>
      <c r="G376" s="117">
        <v>149434477</v>
      </c>
      <c r="H376" s="117">
        <f t="shared" si="70"/>
        <v>20703.03089498476</v>
      </c>
      <c r="I376" s="7"/>
      <c r="J376" s="10">
        <v>4.7300000000000004</v>
      </c>
      <c r="K376" s="117">
        <v>706825</v>
      </c>
      <c r="L376" s="120">
        <f t="shared" si="71"/>
        <v>97.925325574951515</v>
      </c>
      <c r="M376" s="122">
        <f t="shared" si="66"/>
        <v>1494344.77</v>
      </c>
      <c r="N376" s="116">
        <f t="shared" si="67"/>
        <v>787519.77</v>
      </c>
      <c r="O376" s="123">
        <f t="shared" si="68"/>
        <v>109.10498337489609</v>
      </c>
      <c r="P376" s="5"/>
      <c r="Q376" s="5">
        <f t="shared" si="61"/>
        <v>1</v>
      </c>
      <c r="R376" s="7">
        <f t="shared" si="62"/>
        <v>7218</v>
      </c>
      <c r="S376" s="5">
        <f t="shared" si="63"/>
        <v>1</v>
      </c>
      <c r="T376" s="7">
        <f t="shared" si="64"/>
        <v>7218</v>
      </c>
    </row>
    <row r="377" spans="1:20">
      <c r="A377" s="23" t="s">
        <v>415</v>
      </c>
      <c r="B377" s="35" t="s">
        <v>416</v>
      </c>
      <c r="C377" s="36">
        <v>2068</v>
      </c>
      <c r="D377" s="6"/>
      <c r="E377" s="113">
        <v>47841498</v>
      </c>
      <c r="F377" s="116">
        <f t="shared" si="65"/>
        <v>23134.186653771761</v>
      </c>
      <c r="G377" s="117">
        <v>22783660</v>
      </c>
      <c r="H377" s="117">
        <f t="shared" si="70"/>
        <v>11017.243713733076</v>
      </c>
      <c r="I377" s="7"/>
      <c r="J377" s="10">
        <v>2.4500000000000002</v>
      </c>
      <c r="K377" s="117">
        <v>55819</v>
      </c>
      <c r="L377" s="120">
        <f t="shared" si="71"/>
        <v>26.991779497098648</v>
      </c>
      <c r="M377" s="122">
        <f t="shared" si="66"/>
        <v>227836.6</v>
      </c>
      <c r="N377" s="116">
        <f t="shared" si="67"/>
        <v>172017.6</v>
      </c>
      <c r="O377" s="123">
        <f t="shared" si="68"/>
        <v>83.180657640232113</v>
      </c>
      <c r="P377" s="5"/>
      <c r="Q377" s="5">
        <f t="shared" si="61"/>
        <v>1</v>
      </c>
      <c r="R377" s="7">
        <f t="shared" si="62"/>
        <v>2068</v>
      </c>
      <c r="S377" s="5">
        <f t="shared" si="63"/>
        <v>1</v>
      </c>
      <c r="T377" s="7">
        <f t="shared" si="64"/>
        <v>2068</v>
      </c>
    </row>
    <row r="378" spans="1:20">
      <c r="A378" s="23" t="s">
        <v>417</v>
      </c>
      <c r="B378" s="35" t="s">
        <v>416</v>
      </c>
      <c r="C378" s="36">
        <v>244</v>
      </c>
      <c r="D378" s="6"/>
      <c r="E378" s="113">
        <v>3298207</v>
      </c>
      <c r="F378" s="116">
        <f t="shared" si="65"/>
        <v>13517.241803278688</v>
      </c>
      <c r="G378" s="117">
        <v>1720804</v>
      </c>
      <c r="H378" s="117">
        <f t="shared" si="70"/>
        <v>7052.4754098360654</v>
      </c>
      <c r="I378" s="98" t="s">
        <v>528</v>
      </c>
      <c r="J378" s="10"/>
      <c r="K378" s="117"/>
      <c r="L378" s="120"/>
      <c r="M378" s="122">
        <f t="shared" si="66"/>
        <v>17208.04</v>
      </c>
      <c r="N378" s="116">
        <f t="shared" si="67"/>
        <v>17208.04</v>
      </c>
      <c r="O378" s="123">
        <f t="shared" si="68"/>
        <v>70.52475409836066</v>
      </c>
      <c r="P378" s="5"/>
      <c r="Q378" s="5">
        <f t="shared" si="61"/>
        <v>1</v>
      </c>
      <c r="R378" s="7">
        <f t="shared" si="62"/>
        <v>244</v>
      </c>
      <c r="S378" s="5">
        <f t="shared" si="63"/>
        <v>0</v>
      </c>
      <c r="T378" s="7">
        <f t="shared" si="64"/>
        <v>0</v>
      </c>
    </row>
    <row r="379" spans="1:20">
      <c r="A379" s="23" t="s">
        <v>418</v>
      </c>
      <c r="B379" s="35" t="s">
        <v>416</v>
      </c>
      <c r="C379" s="36">
        <v>200</v>
      </c>
      <c r="D379" s="6"/>
      <c r="E379" s="113">
        <v>4100001</v>
      </c>
      <c r="F379" s="116">
        <f t="shared" si="65"/>
        <v>20500.005000000001</v>
      </c>
      <c r="G379" s="117">
        <v>2646290</v>
      </c>
      <c r="H379" s="117">
        <f t="shared" si="70"/>
        <v>13231.45</v>
      </c>
      <c r="I379" s="9"/>
      <c r="J379" s="10">
        <v>1</v>
      </c>
      <c r="K379" s="117">
        <v>2646</v>
      </c>
      <c r="L379" s="120">
        <f t="shared" ref="L379:L395" si="72">(K379/C379)</f>
        <v>13.23</v>
      </c>
      <c r="M379" s="122">
        <f t="shared" si="66"/>
        <v>26462.9</v>
      </c>
      <c r="N379" s="116">
        <f t="shared" si="67"/>
        <v>23816.9</v>
      </c>
      <c r="O379" s="123">
        <f t="shared" si="68"/>
        <v>119.08450000000001</v>
      </c>
      <c r="P379" s="5"/>
      <c r="Q379" s="5">
        <f t="shared" si="61"/>
        <v>1</v>
      </c>
      <c r="R379" s="7">
        <f t="shared" si="62"/>
        <v>200</v>
      </c>
      <c r="S379" s="5">
        <f t="shared" si="63"/>
        <v>1</v>
      </c>
      <c r="T379" s="7">
        <f t="shared" si="64"/>
        <v>200</v>
      </c>
    </row>
    <row r="380" spans="1:20">
      <c r="A380" s="23" t="s">
        <v>419</v>
      </c>
      <c r="B380" s="35" t="s">
        <v>420</v>
      </c>
      <c r="C380" s="36">
        <v>65016</v>
      </c>
      <c r="D380" s="6"/>
      <c r="E380" s="113">
        <v>3152102793</v>
      </c>
      <c r="F380" s="116">
        <f t="shared" si="65"/>
        <v>48481.955103359171</v>
      </c>
      <c r="G380" s="117">
        <v>2225789110</v>
      </c>
      <c r="H380" s="117">
        <f t="shared" si="70"/>
        <v>34234.482435092898</v>
      </c>
      <c r="I380" s="7"/>
      <c r="J380" s="10">
        <v>6.3837999999999999</v>
      </c>
      <c r="K380" s="117">
        <v>14208992</v>
      </c>
      <c r="L380" s="120">
        <f t="shared" si="72"/>
        <v>218.54608096468561</v>
      </c>
      <c r="M380" s="122">
        <f t="shared" si="66"/>
        <v>22257891.100000001</v>
      </c>
      <c r="N380" s="116">
        <f t="shared" si="67"/>
        <v>8048899.1000000015</v>
      </c>
      <c r="O380" s="123">
        <f t="shared" si="68"/>
        <v>123.79874338624342</v>
      </c>
      <c r="P380" s="5"/>
      <c r="Q380" s="5">
        <f t="shared" si="61"/>
        <v>1</v>
      </c>
      <c r="R380" s="7">
        <f t="shared" si="62"/>
        <v>65016</v>
      </c>
      <c r="S380" s="5">
        <f t="shared" si="63"/>
        <v>1</v>
      </c>
      <c r="T380" s="7">
        <f t="shared" si="64"/>
        <v>65016</v>
      </c>
    </row>
    <row r="381" spans="1:20">
      <c r="A381" s="23" t="s">
        <v>421</v>
      </c>
      <c r="B381" s="35" t="s">
        <v>420</v>
      </c>
      <c r="C381" s="36">
        <v>2926</v>
      </c>
      <c r="D381" s="6"/>
      <c r="E381" s="113">
        <v>636579899</v>
      </c>
      <c r="F381" s="116">
        <f t="shared" si="65"/>
        <v>217559.77409432671</v>
      </c>
      <c r="G381" s="117">
        <v>587029113</v>
      </c>
      <c r="H381" s="117">
        <f t="shared" si="70"/>
        <v>200625.12406015038</v>
      </c>
      <c r="I381" s="7"/>
      <c r="J381" s="10">
        <v>3.5750999999999999</v>
      </c>
      <c r="K381" s="117">
        <v>2098687</v>
      </c>
      <c r="L381" s="120">
        <f t="shared" si="72"/>
        <v>717.25461380724539</v>
      </c>
      <c r="M381" s="122">
        <f t="shared" si="66"/>
        <v>5870291.1299999999</v>
      </c>
      <c r="N381" s="116">
        <f t="shared" si="67"/>
        <v>3771604.13</v>
      </c>
      <c r="O381" s="123">
        <f t="shared" si="68"/>
        <v>1288.9966267942584</v>
      </c>
      <c r="P381" s="5"/>
      <c r="Q381" s="5">
        <f t="shared" si="61"/>
        <v>1</v>
      </c>
      <c r="R381" s="7">
        <f t="shared" si="62"/>
        <v>2926</v>
      </c>
      <c r="S381" s="5">
        <f t="shared" si="63"/>
        <v>1</v>
      </c>
      <c r="T381" s="7">
        <f t="shared" si="64"/>
        <v>2926</v>
      </c>
    </row>
    <row r="382" spans="1:20">
      <c r="A382" s="23" t="s">
        <v>462</v>
      </c>
      <c r="B382" s="35" t="s">
        <v>420</v>
      </c>
      <c r="C382" s="36">
        <v>12819</v>
      </c>
      <c r="D382" s="6"/>
      <c r="E382" s="113">
        <v>759777881</v>
      </c>
      <c r="F382" s="116">
        <f t="shared" si="65"/>
        <v>59269.668538887592</v>
      </c>
      <c r="G382" s="117">
        <v>605181086</v>
      </c>
      <c r="H382" s="117">
        <f t="shared" si="70"/>
        <v>47209.695452063344</v>
      </c>
      <c r="I382" s="7"/>
      <c r="J382" s="11">
        <v>2.5876000000000001</v>
      </c>
      <c r="K382" s="117">
        <v>1565966</v>
      </c>
      <c r="L382" s="120">
        <f t="shared" si="72"/>
        <v>122.15976285201654</v>
      </c>
      <c r="M382" s="122">
        <f t="shared" si="66"/>
        <v>6051810.8600000003</v>
      </c>
      <c r="N382" s="116">
        <f t="shared" si="67"/>
        <v>4485844.8600000003</v>
      </c>
      <c r="O382" s="123">
        <f t="shared" si="68"/>
        <v>349.93719166861695</v>
      </c>
      <c r="P382" s="5"/>
      <c r="Q382" s="5">
        <f t="shared" si="61"/>
        <v>1</v>
      </c>
      <c r="R382" s="7">
        <f t="shared" si="62"/>
        <v>12819</v>
      </c>
      <c r="S382" s="5">
        <f t="shared" si="63"/>
        <v>1</v>
      </c>
      <c r="T382" s="7">
        <f t="shared" si="64"/>
        <v>12819</v>
      </c>
    </row>
    <row r="383" spans="1:20">
      <c r="A383" s="23" t="s">
        <v>463</v>
      </c>
      <c r="B383" s="35" t="s">
        <v>420</v>
      </c>
      <c r="C383" s="36">
        <v>18505</v>
      </c>
      <c r="D383" s="6"/>
      <c r="E383" s="113">
        <v>914224083</v>
      </c>
      <c r="F383" s="116">
        <f t="shared" si="65"/>
        <v>49404.165522831667</v>
      </c>
      <c r="G383" s="117">
        <v>623800859</v>
      </c>
      <c r="H383" s="117">
        <f t="shared" si="70"/>
        <v>33709.854579843282</v>
      </c>
      <c r="I383" s="7"/>
      <c r="J383" s="10">
        <v>5.8780000000000001</v>
      </c>
      <c r="K383" s="117">
        <v>3666701</v>
      </c>
      <c r="L383" s="120">
        <f t="shared" si="72"/>
        <v>198.14650094569035</v>
      </c>
      <c r="M383" s="122">
        <f t="shared" si="66"/>
        <v>6238008.5899999999</v>
      </c>
      <c r="N383" s="116">
        <f t="shared" si="67"/>
        <v>2571307.59</v>
      </c>
      <c r="O383" s="123">
        <f t="shared" si="68"/>
        <v>138.95204485274249</v>
      </c>
      <c r="P383" s="5"/>
      <c r="Q383" s="5">
        <f t="shared" si="61"/>
        <v>1</v>
      </c>
      <c r="R383" s="7">
        <f t="shared" si="62"/>
        <v>18505</v>
      </c>
      <c r="S383" s="5">
        <f t="shared" si="63"/>
        <v>1</v>
      </c>
      <c r="T383" s="7">
        <f t="shared" si="64"/>
        <v>18505</v>
      </c>
    </row>
    <row r="384" spans="1:20">
      <c r="A384" s="23" t="s">
        <v>422</v>
      </c>
      <c r="B384" s="35" t="s">
        <v>420</v>
      </c>
      <c r="C384" s="36">
        <v>59717</v>
      </c>
      <c r="D384" s="6"/>
      <c r="E384" s="113">
        <v>1875545050</v>
      </c>
      <c r="F384" s="116">
        <f t="shared" si="65"/>
        <v>31407.221561699349</v>
      </c>
      <c r="G384" s="117">
        <v>1311336284</v>
      </c>
      <c r="H384" s="117">
        <f t="shared" si="70"/>
        <v>21959.178860291038</v>
      </c>
      <c r="I384" s="7"/>
      <c r="J384" s="10">
        <v>4.1980000000000004</v>
      </c>
      <c r="K384" s="117">
        <v>5504989</v>
      </c>
      <c r="L384" s="120">
        <f t="shared" si="72"/>
        <v>92.184620794748568</v>
      </c>
      <c r="M384" s="122">
        <f t="shared" si="66"/>
        <v>13113362.84</v>
      </c>
      <c r="N384" s="116">
        <f t="shared" si="67"/>
        <v>7608373.8399999999</v>
      </c>
      <c r="O384" s="123">
        <f t="shared" si="68"/>
        <v>127.40716780816183</v>
      </c>
      <c r="P384" s="5"/>
      <c r="Q384" s="5">
        <f t="shared" si="61"/>
        <v>1</v>
      </c>
      <c r="R384" s="7">
        <f t="shared" si="62"/>
        <v>59717</v>
      </c>
      <c r="S384" s="5">
        <f t="shared" si="63"/>
        <v>1</v>
      </c>
      <c r="T384" s="7">
        <f t="shared" si="64"/>
        <v>59717</v>
      </c>
    </row>
    <row r="385" spans="1:20">
      <c r="A385" s="23" t="s">
        <v>423</v>
      </c>
      <c r="B385" s="35" t="s">
        <v>420</v>
      </c>
      <c r="C385" s="36">
        <v>18255</v>
      </c>
      <c r="D385" s="6"/>
      <c r="E385" s="113">
        <v>572804261</v>
      </c>
      <c r="F385" s="116">
        <f t="shared" si="65"/>
        <v>31377.93815393043</v>
      </c>
      <c r="G385" s="117">
        <v>403519621</v>
      </c>
      <c r="H385" s="117">
        <f t="shared" si="70"/>
        <v>22104.608107367843</v>
      </c>
      <c r="I385" s="7"/>
      <c r="J385" s="10">
        <v>6.29</v>
      </c>
      <c r="K385" s="117">
        <v>2538138</v>
      </c>
      <c r="L385" s="120">
        <f t="shared" si="72"/>
        <v>139.03796220213641</v>
      </c>
      <c r="M385" s="122">
        <f t="shared" si="66"/>
        <v>4035196.21</v>
      </c>
      <c r="N385" s="116">
        <f t="shared" si="67"/>
        <v>1497058.21</v>
      </c>
      <c r="O385" s="123">
        <f t="shared" si="68"/>
        <v>82.008118871542038</v>
      </c>
      <c r="P385" s="5"/>
      <c r="Q385" s="5">
        <f t="shared" si="61"/>
        <v>1</v>
      </c>
      <c r="R385" s="7">
        <f t="shared" si="62"/>
        <v>18255</v>
      </c>
      <c r="S385" s="5">
        <f t="shared" si="63"/>
        <v>1</v>
      </c>
      <c r="T385" s="7">
        <f t="shared" si="64"/>
        <v>18255</v>
      </c>
    </row>
    <row r="386" spans="1:20">
      <c r="A386" s="23" t="s">
        <v>424</v>
      </c>
      <c r="B386" s="35" t="s">
        <v>420</v>
      </c>
      <c r="C386" s="36">
        <v>11323</v>
      </c>
      <c r="D386" s="6"/>
      <c r="E386" s="113">
        <v>398979742</v>
      </c>
      <c r="F386" s="116">
        <f t="shared" si="65"/>
        <v>35236.222025964853</v>
      </c>
      <c r="G386" s="117">
        <v>283979464</v>
      </c>
      <c r="H386" s="117">
        <f t="shared" si="70"/>
        <v>25079.878477435308</v>
      </c>
      <c r="I386" s="9"/>
      <c r="J386" s="10">
        <v>5.25</v>
      </c>
      <c r="K386" s="117">
        <v>1490892</v>
      </c>
      <c r="L386" s="120">
        <f t="shared" si="72"/>
        <v>131.66934557979334</v>
      </c>
      <c r="M386" s="122">
        <f t="shared" si="66"/>
        <v>2839794.64</v>
      </c>
      <c r="N386" s="116">
        <f t="shared" si="67"/>
        <v>1348902.6400000001</v>
      </c>
      <c r="O386" s="123">
        <f t="shared" si="68"/>
        <v>119.12943919455975</v>
      </c>
      <c r="P386" s="5"/>
      <c r="Q386" s="5">
        <f t="shared" si="61"/>
        <v>1</v>
      </c>
      <c r="R386" s="7">
        <f t="shared" si="62"/>
        <v>11323</v>
      </c>
      <c r="S386" s="5">
        <f t="shared" si="63"/>
        <v>1</v>
      </c>
      <c r="T386" s="7">
        <f t="shared" si="64"/>
        <v>11323</v>
      </c>
    </row>
    <row r="387" spans="1:20">
      <c r="A387" s="23" t="s">
        <v>425</v>
      </c>
      <c r="B387" s="35" t="s">
        <v>420</v>
      </c>
      <c r="C387" s="36">
        <v>2536</v>
      </c>
      <c r="D387" s="6"/>
      <c r="E387" s="113">
        <v>71145541</v>
      </c>
      <c r="F387" s="116">
        <f t="shared" si="65"/>
        <v>28054.235410094636</v>
      </c>
      <c r="G387" s="117">
        <v>45750268</v>
      </c>
      <c r="H387" s="117">
        <f t="shared" si="70"/>
        <v>18040.326498422713</v>
      </c>
      <c r="I387" s="7"/>
      <c r="J387" s="10">
        <v>4.9684999999999997</v>
      </c>
      <c r="K387" s="117">
        <v>227310</v>
      </c>
      <c r="L387" s="120">
        <f t="shared" si="72"/>
        <v>89.633280757097793</v>
      </c>
      <c r="M387" s="122">
        <f t="shared" si="66"/>
        <v>457502.68</v>
      </c>
      <c r="N387" s="116">
        <f t="shared" si="67"/>
        <v>230192.68</v>
      </c>
      <c r="O387" s="123">
        <f t="shared" si="68"/>
        <v>90.769984227129328</v>
      </c>
      <c r="P387" s="5"/>
      <c r="Q387" s="5">
        <f t="shared" si="61"/>
        <v>1</v>
      </c>
      <c r="R387" s="7">
        <f t="shared" si="62"/>
        <v>2536</v>
      </c>
      <c r="S387" s="5">
        <f t="shared" si="63"/>
        <v>1</v>
      </c>
      <c r="T387" s="7">
        <f t="shared" si="64"/>
        <v>2536</v>
      </c>
    </row>
    <row r="388" spans="1:20">
      <c r="A388" s="23" t="s">
        <v>426</v>
      </c>
      <c r="B388" s="35" t="s">
        <v>420</v>
      </c>
      <c r="C388" s="36">
        <v>18503</v>
      </c>
      <c r="D388" s="6"/>
      <c r="E388" s="113">
        <v>1380855022</v>
      </c>
      <c r="F388" s="116">
        <f t="shared" si="65"/>
        <v>74628.710047019398</v>
      </c>
      <c r="G388" s="117">
        <v>1115102236</v>
      </c>
      <c r="H388" s="117">
        <f t="shared" si="70"/>
        <v>60266.023671837</v>
      </c>
      <c r="I388" s="7"/>
      <c r="J388" s="10">
        <v>5.2857000000000003</v>
      </c>
      <c r="K388" s="117">
        <v>5894095</v>
      </c>
      <c r="L388" s="120">
        <f t="shared" si="72"/>
        <v>318.54807328541318</v>
      </c>
      <c r="M388" s="122">
        <f t="shared" si="66"/>
        <v>11151022.359999999</v>
      </c>
      <c r="N388" s="116">
        <f t="shared" si="67"/>
        <v>5256927.3599999994</v>
      </c>
      <c r="O388" s="123">
        <f t="shared" si="68"/>
        <v>284.11216343295678</v>
      </c>
      <c r="P388" s="5"/>
      <c r="Q388" s="5">
        <f t="shared" si="61"/>
        <v>1</v>
      </c>
      <c r="R388" s="7">
        <f t="shared" si="62"/>
        <v>18503</v>
      </c>
      <c r="S388" s="5">
        <f t="shared" si="63"/>
        <v>1</v>
      </c>
      <c r="T388" s="7">
        <f t="shared" si="64"/>
        <v>18503</v>
      </c>
    </row>
    <row r="389" spans="1:20">
      <c r="A389" s="23" t="s">
        <v>427</v>
      </c>
      <c r="B389" s="35" t="s">
        <v>420</v>
      </c>
      <c r="C389" s="36">
        <v>1120</v>
      </c>
      <c r="D389" s="6"/>
      <c r="E389" s="113">
        <v>44205593</v>
      </c>
      <c r="F389" s="116">
        <f t="shared" si="65"/>
        <v>39469.279464285712</v>
      </c>
      <c r="G389" s="117">
        <v>29099319</v>
      </c>
      <c r="H389" s="117">
        <f t="shared" si="70"/>
        <v>25981.534821428573</v>
      </c>
      <c r="I389" s="7"/>
      <c r="J389" s="11">
        <v>5.048</v>
      </c>
      <c r="K389" s="117">
        <v>146893</v>
      </c>
      <c r="L389" s="120">
        <f t="shared" si="72"/>
        <v>131.15446428571428</v>
      </c>
      <c r="M389" s="122">
        <f t="shared" si="66"/>
        <v>290993.19</v>
      </c>
      <c r="N389" s="116">
        <f t="shared" si="67"/>
        <v>144100.19</v>
      </c>
      <c r="O389" s="123">
        <f t="shared" si="68"/>
        <v>128.66088392857142</v>
      </c>
      <c r="P389" s="5"/>
      <c r="Q389" s="5">
        <f t="shared" si="61"/>
        <v>1</v>
      </c>
      <c r="R389" s="7">
        <f t="shared" si="62"/>
        <v>1120</v>
      </c>
      <c r="S389" s="5">
        <f t="shared" si="63"/>
        <v>1</v>
      </c>
      <c r="T389" s="7">
        <f t="shared" si="64"/>
        <v>1120</v>
      </c>
    </row>
    <row r="390" spans="1:20">
      <c r="A390" s="23" t="s">
        <v>428</v>
      </c>
      <c r="B390" s="35" t="s">
        <v>420</v>
      </c>
      <c r="C390" s="36">
        <v>6292</v>
      </c>
      <c r="D390" s="6"/>
      <c r="E390" s="113">
        <v>297910573</v>
      </c>
      <c r="F390" s="116">
        <f t="shared" si="65"/>
        <v>47347.516369993646</v>
      </c>
      <c r="G390" s="117">
        <v>246318694</v>
      </c>
      <c r="H390" s="117">
        <f t="shared" si="70"/>
        <v>39147.917037507948</v>
      </c>
      <c r="I390" s="7"/>
      <c r="J390" s="10">
        <v>5.3794000000000004</v>
      </c>
      <c r="K390" s="117">
        <v>1325046</v>
      </c>
      <c r="L390" s="120">
        <f t="shared" si="72"/>
        <v>210.59218054672601</v>
      </c>
      <c r="M390" s="122">
        <f t="shared" si="66"/>
        <v>2463186.94</v>
      </c>
      <c r="N390" s="116">
        <f t="shared" si="67"/>
        <v>1138140.94</v>
      </c>
      <c r="O390" s="123">
        <f t="shared" si="68"/>
        <v>180.88698982835345</v>
      </c>
      <c r="P390" s="5"/>
      <c r="Q390" s="5">
        <f t="shared" si="61"/>
        <v>1</v>
      </c>
      <c r="R390" s="7">
        <f t="shared" si="62"/>
        <v>6292</v>
      </c>
      <c r="S390" s="5">
        <f t="shared" si="63"/>
        <v>1</v>
      </c>
      <c r="T390" s="7">
        <f t="shared" si="64"/>
        <v>6292</v>
      </c>
    </row>
    <row r="391" spans="1:20">
      <c r="A391" s="23" t="s">
        <v>429</v>
      </c>
      <c r="B391" s="35" t="s">
        <v>420</v>
      </c>
      <c r="C391" s="36">
        <v>34791</v>
      </c>
      <c r="D391" s="6"/>
      <c r="E391" s="113">
        <v>2064580601</v>
      </c>
      <c r="F391" s="116">
        <f t="shared" si="65"/>
        <v>59342.375930556751</v>
      </c>
      <c r="G391" s="117">
        <v>1630868128</v>
      </c>
      <c r="H391" s="117">
        <f t="shared" si="70"/>
        <v>46876.149808858616</v>
      </c>
      <c r="I391" s="7"/>
      <c r="J391" s="10">
        <v>2.8953000000000002</v>
      </c>
      <c r="K391" s="117">
        <v>4721852</v>
      </c>
      <c r="L391" s="120">
        <f t="shared" si="72"/>
        <v>135.72050242878905</v>
      </c>
      <c r="M391" s="122">
        <f t="shared" si="66"/>
        <v>16308681.280000001</v>
      </c>
      <c r="N391" s="116">
        <f t="shared" si="67"/>
        <v>11586829.280000001</v>
      </c>
      <c r="O391" s="123">
        <f t="shared" si="68"/>
        <v>333.04099565979709</v>
      </c>
      <c r="P391" s="5"/>
      <c r="Q391" s="5">
        <f t="shared" ref="Q391:Q405" si="73">IF(E391&gt;0,1,0)</f>
        <v>1</v>
      </c>
      <c r="R391" s="7">
        <f t="shared" ref="R391:R405" si="74">IF(E391&gt;0,C391,0)</f>
        <v>34791</v>
      </c>
      <c r="S391" s="5">
        <f t="shared" ref="S391:S405" si="75">IF(J391&gt;0,1,0)</f>
        <v>1</v>
      </c>
      <c r="T391" s="7">
        <f t="shared" ref="T391:T405" si="76">IF(J391&gt;0,C391,0)</f>
        <v>34791</v>
      </c>
    </row>
    <row r="392" spans="1:20">
      <c r="A392" s="23" t="s">
        <v>430</v>
      </c>
      <c r="B392" s="35" t="s">
        <v>420</v>
      </c>
      <c r="C392" s="36">
        <v>1240</v>
      </c>
      <c r="D392" s="6"/>
      <c r="E392" s="113">
        <v>51372103</v>
      </c>
      <c r="F392" s="116">
        <f t="shared" ref="F392:F405" si="77">(E392/C392)</f>
        <v>41429.115322580648</v>
      </c>
      <c r="G392" s="117">
        <v>30016994</v>
      </c>
      <c r="H392" s="117">
        <f t="shared" si="70"/>
        <v>24207.253225806453</v>
      </c>
      <c r="I392" s="7"/>
      <c r="J392" s="10">
        <v>5.4969999999999999</v>
      </c>
      <c r="K392" s="117">
        <v>165003</v>
      </c>
      <c r="L392" s="120">
        <f t="shared" si="72"/>
        <v>133.06693548387096</v>
      </c>
      <c r="M392" s="122">
        <f t="shared" ref="M392:M405" si="78">(G392*0.01)</f>
        <v>300169.94</v>
      </c>
      <c r="N392" s="116">
        <f t="shared" ref="N392:N405" si="79">(M392-K392)</f>
        <v>135166.94</v>
      </c>
      <c r="O392" s="123">
        <f t="shared" ref="O392:O405" si="80">(N392/C392)</f>
        <v>109.00559677419355</v>
      </c>
      <c r="P392" s="5"/>
      <c r="Q392" s="5">
        <f t="shared" si="73"/>
        <v>1</v>
      </c>
      <c r="R392" s="7">
        <f t="shared" si="74"/>
        <v>1240</v>
      </c>
      <c r="S392" s="5">
        <f t="shared" si="75"/>
        <v>1</v>
      </c>
      <c r="T392" s="7">
        <f t="shared" si="76"/>
        <v>1240</v>
      </c>
    </row>
    <row r="393" spans="1:20">
      <c r="A393" s="23" t="s">
        <v>431</v>
      </c>
      <c r="B393" s="35" t="s">
        <v>420</v>
      </c>
      <c r="C393" s="36">
        <v>2430</v>
      </c>
      <c r="D393" s="6"/>
      <c r="E393" s="113">
        <v>285614915</v>
      </c>
      <c r="F393" s="116">
        <f t="shared" si="77"/>
        <v>117537.00205761316</v>
      </c>
      <c r="G393" s="117">
        <v>247867440</v>
      </c>
      <c r="H393" s="117">
        <f t="shared" si="70"/>
        <v>102003.06172839506</v>
      </c>
      <c r="I393" s="7"/>
      <c r="J393" s="10">
        <v>4.3780000000000001</v>
      </c>
      <c r="K393" s="117">
        <v>1085163</v>
      </c>
      <c r="L393" s="120">
        <f t="shared" si="72"/>
        <v>446.56913580246913</v>
      </c>
      <c r="M393" s="122">
        <f t="shared" si="78"/>
        <v>2478674.4</v>
      </c>
      <c r="N393" s="116">
        <f t="shared" si="79"/>
        <v>1393511.4</v>
      </c>
      <c r="O393" s="123">
        <f t="shared" si="80"/>
        <v>573.46148148148143</v>
      </c>
      <c r="P393" s="5"/>
      <c r="Q393" s="5">
        <f t="shared" si="73"/>
        <v>1</v>
      </c>
      <c r="R393" s="7">
        <f t="shared" si="74"/>
        <v>2430</v>
      </c>
      <c r="S393" s="5">
        <f t="shared" si="75"/>
        <v>1</v>
      </c>
      <c r="T393" s="7">
        <f t="shared" si="76"/>
        <v>2430</v>
      </c>
    </row>
    <row r="394" spans="1:20">
      <c r="A394" s="23" t="s">
        <v>432</v>
      </c>
      <c r="B394" s="35" t="s">
        <v>420</v>
      </c>
      <c r="C394" s="36">
        <v>44033</v>
      </c>
      <c r="D394" s="6"/>
      <c r="E394" s="113">
        <v>1611286632</v>
      </c>
      <c r="F394" s="116">
        <f t="shared" si="77"/>
        <v>36592.70619762451</v>
      </c>
      <c r="G394" s="117">
        <v>1168857455</v>
      </c>
      <c r="H394" s="117">
        <f t="shared" si="70"/>
        <v>26545.033384052869</v>
      </c>
      <c r="I394" s="7"/>
      <c r="J394" s="10">
        <v>4.54</v>
      </c>
      <c r="K394" s="117">
        <v>5306612</v>
      </c>
      <c r="L394" s="120">
        <f t="shared" si="72"/>
        <v>120.51443235755002</v>
      </c>
      <c r="M394" s="122">
        <f t="shared" si="78"/>
        <v>11688574.550000001</v>
      </c>
      <c r="N394" s="116">
        <f t="shared" si="79"/>
        <v>6381962.5500000007</v>
      </c>
      <c r="O394" s="123">
        <f t="shared" si="80"/>
        <v>144.93590148297869</v>
      </c>
      <c r="P394" s="5"/>
      <c r="Q394" s="5">
        <f t="shared" si="73"/>
        <v>1</v>
      </c>
      <c r="R394" s="7">
        <f t="shared" si="74"/>
        <v>44033</v>
      </c>
      <c r="S394" s="5">
        <f t="shared" si="75"/>
        <v>1</v>
      </c>
      <c r="T394" s="7">
        <f t="shared" si="76"/>
        <v>44033</v>
      </c>
    </row>
    <row r="395" spans="1:20">
      <c r="A395" s="23" t="s">
        <v>433</v>
      </c>
      <c r="B395" s="35" t="s">
        <v>420</v>
      </c>
      <c r="C395" s="36">
        <v>13110</v>
      </c>
      <c r="D395" s="6"/>
      <c r="E395" s="113">
        <v>462980761</v>
      </c>
      <c r="F395" s="116">
        <f t="shared" si="77"/>
        <v>35315.084744469874</v>
      </c>
      <c r="G395" s="117">
        <v>358305235</v>
      </c>
      <c r="H395" s="117">
        <f t="shared" si="70"/>
        <v>27330.681540808542</v>
      </c>
      <c r="I395" s="7"/>
      <c r="J395" s="10">
        <v>4.1841999999999997</v>
      </c>
      <c r="K395" s="117">
        <v>1499220</v>
      </c>
      <c r="L395" s="120">
        <f t="shared" si="72"/>
        <v>114.35697940503432</v>
      </c>
      <c r="M395" s="122">
        <f t="shared" si="78"/>
        <v>3583052.35</v>
      </c>
      <c r="N395" s="116">
        <f t="shared" si="79"/>
        <v>2083832.35</v>
      </c>
      <c r="O395" s="123">
        <f t="shared" si="80"/>
        <v>158.9498360030511</v>
      </c>
      <c r="P395" s="5"/>
      <c r="Q395" s="5">
        <f t="shared" si="73"/>
        <v>1</v>
      </c>
      <c r="R395" s="7">
        <f t="shared" si="74"/>
        <v>13110</v>
      </c>
      <c r="S395" s="5">
        <f t="shared" si="75"/>
        <v>1</v>
      </c>
      <c r="T395" s="7">
        <f t="shared" si="76"/>
        <v>13110</v>
      </c>
    </row>
    <row r="396" spans="1:20">
      <c r="A396" s="23" t="s">
        <v>435</v>
      </c>
      <c r="B396" s="35" t="s">
        <v>434</v>
      </c>
      <c r="C396" s="36">
        <v>456</v>
      </c>
      <c r="D396" s="6"/>
      <c r="E396" s="113">
        <v>54742863</v>
      </c>
      <c r="F396" s="116">
        <f t="shared" si="77"/>
        <v>120050.13815789473</v>
      </c>
      <c r="G396" s="117">
        <v>31045697</v>
      </c>
      <c r="H396" s="117">
        <f t="shared" si="70"/>
        <v>68082.668859649129</v>
      </c>
      <c r="I396" s="98" t="s">
        <v>528</v>
      </c>
      <c r="J396" s="10"/>
      <c r="K396" s="117"/>
      <c r="L396" s="120"/>
      <c r="M396" s="122">
        <f t="shared" si="78"/>
        <v>310456.97000000003</v>
      </c>
      <c r="N396" s="116">
        <f t="shared" si="79"/>
        <v>310456.97000000003</v>
      </c>
      <c r="O396" s="123">
        <f t="shared" si="80"/>
        <v>680.82668859649129</v>
      </c>
      <c r="P396" s="5"/>
      <c r="Q396" s="5">
        <f t="shared" si="73"/>
        <v>1</v>
      </c>
      <c r="R396" s="7">
        <f t="shared" si="74"/>
        <v>456</v>
      </c>
      <c r="S396" s="5">
        <f t="shared" si="75"/>
        <v>0</v>
      </c>
      <c r="T396" s="7">
        <f t="shared" si="76"/>
        <v>0</v>
      </c>
    </row>
    <row r="397" spans="1:20">
      <c r="A397" s="23" t="s">
        <v>555</v>
      </c>
      <c r="B397" s="35" t="s">
        <v>434</v>
      </c>
      <c r="C397" s="36">
        <v>307</v>
      </c>
      <c r="D397" s="6"/>
      <c r="E397" s="113">
        <v>53131907</v>
      </c>
      <c r="F397" s="116">
        <f t="shared" si="77"/>
        <v>173068.10097719869</v>
      </c>
      <c r="G397" s="117">
        <v>10654370</v>
      </c>
      <c r="H397" s="117">
        <f t="shared" si="70"/>
        <v>34704.788273615632</v>
      </c>
      <c r="I397" s="7"/>
      <c r="J397" s="10">
        <v>4</v>
      </c>
      <c r="K397" s="117">
        <v>42617</v>
      </c>
      <c r="L397" s="120">
        <f>(K397/C397)</f>
        <v>138.81758957654722</v>
      </c>
      <c r="M397" s="122">
        <f t="shared" si="78"/>
        <v>106543.7</v>
      </c>
      <c r="N397" s="116">
        <f t="shared" si="79"/>
        <v>63926.7</v>
      </c>
      <c r="O397" s="123">
        <f t="shared" si="80"/>
        <v>208.23029315960912</v>
      </c>
      <c r="P397" s="5"/>
      <c r="Q397" s="5">
        <f t="shared" si="73"/>
        <v>1</v>
      </c>
      <c r="R397" s="7">
        <f t="shared" si="74"/>
        <v>307</v>
      </c>
      <c r="S397" s="5">
        <f t="shared" si="75"/>
        <v>1</v>
      </c>
      <c r="T397" s="7">
        <f t="shared" si="76"/>
        <v>307</v>
      </c>
    </row>
    <row r="398" spans="1:20">
      <c r="A398" s="23" t="s">
        <v>436</v>
      </c>
      <c r="B398" s="35" t="s">
        <v>437</v>
      </c>
      <c r="C398" s="36">
        <v>5598</v>
      </c>
      <c r="D398" s="6"/>
      <c r="E398" s="113">
        <v>184287802</v>
      </c>
      <c r="F398" s="116">
        <f t="shared" si="77"/>
        <v>32920.293319042517</v>
      </c>
      <c r="G398" s="117">
        <v>116470643</v>
      </c>
      <c r="H398" s="117">
        <f t="shared" si="70"/>
        <v>20805.759735619864</v>
      </c>
      <c r="I398" s="7"/>
      <c r="J398" s="10">
        <v>4.5</v>
      </c>
      <c r="K398" s="117">
        <v>524117</v>
      </c>
      <c r="L398" s="120">
        <f>(K398/C398)</f>
        <v>93.625759199714182</v>
      </c>
      <c r="M398" s="122">
        <f t="shared" si="78"/>
        <v>1164706.43</v>
      </c>
      <c r="N398" s="116">
        <f t="shared" si="79"/>
        <v>640589.42999999993</v>
      </c>
      <c r="O398" s="123">
        <f t="shared" si="80"/>
        <v>114.43183815648445</v>
      </c>
      <c r="P398" s="5"/>
      <c r="Q398" s="5">
        <f t="shared" si="73"/>
        <v>1</v>
      </c>
      <c r="R398" s="7">
        <f t="shared" si="74"/>
        <v>5598</v>
      </c>
      <c r="S398" s="5">
        <f t="shared" si="75"/>
        <v>1</v>
      </c>
      <c r="T398" s="7">
        <f t="shared" si="76"/>
        <v>5598</v>
      </c>
    </row>
    <row r="399" spans="1:20">
      <c r="A399" s="23" t="s">
        <v>438</v>
      </c>
      <c r="B399" s="35" t="s">
        <v>437</v>
      </c>
      <c r="C399" s="36">
        <v>1145</v>
      </c>
      <c r="D399" s="6"/>
      <c r="E399" s="113">
        <v>32299435</v>
      </c>
      <c r="F399" s="116">
        <f t="shared" si="77"/>
        <v>28209.113537117904</v>
      </c>
      <c r="G399" s="117">
        <v>20747069</v>
      </c>
      <c r="H399" s="117">
        <f t="shared" si="70"/>
        <v>18119.710917030567</v>
      </c>
      <c r="I399" s="7"/>
      <c r="J399" s="10">
        <v>3.93</v>
      </c>
      <c r="K399" s="117">
        <v>81535</v>
      </c>
      <c r="L399" s="120">
        <f>(K399/C399)</f>
        <v>71.209606986899558</v>
      </c>
      <c r="M399" s="122">
        <f t="shared" si="78"/>
        <v>207470.69</v>
      </c>
      <c r="N399" s="116">
        <f t="shared" si="79"/>
        <v>125935.69</v>
      </c>
      <c r="O399" s="123">
        <f t="shared" si="80"/>
        <v>109.98750218340612</v>
      </c>
      <c r="P399" s="5"/>
      <c r="Q399" s="5">
        <f t="shared" si="73"/>
        <v>1</v>
      </c>
      <c r="R399" s="7">
        <f t="shared" si="74"/>
        <v>1145</v>
      </c>
      <c r="S399" s="5">
        <f t="shared" si="75"/>
        <v>1</v>
      </c>
      <c r="T399" s="7">
        <f t="shared" si="76"/>
        <v>1145</v>
      </c>
    </row>
    <row r="400" spans="1:20">
      <c r="A400" s="23" t="s">
        <v>439</v>
      </c>
      <c r="B400" s="35" t="s">
        <v>437</v>
      </c>
      <c r="C400" s="36">
        <v>637</v>
      </c>
      <c r="D400" s="6"/>
      <c r="E400" s="113"/>
      <c r="F400" s="116">
        <f t="shared" si="77"/>
        <v>0</v>
      </c>
      <c r="G400" s="117">
        <v>0</v>
      </c>
      <c r="H400" s="117">
        <f t="shared" si="70"/>
        <v>0</v>
      </c>
      <c r="I400" s="98" t="s">
        <v>528</v>
      </c>
      <c r="J400" s="10"/>
      <c r="K400" s="117"/>
      <c r="L400" s="120"/>
      <c r="M400" s="122">
        <f t="shared" si="78"/>
        <v>0</v>
      </c>
      <c r="N400" s="116">
        <f t="shared" si="79"/>
        <v>0</v>
      </c>
      <c r="O400" s="123">
        <f t="shared" si="80"/>
        <v>0</v>
      </c>
      <c r="P400" s="5"/>
      <c r="Q400" s="5">
        <f t="shared" si="73"/>
        <v>0</v>
      </c>
      <c r="R400" s="7">
        <f t="shared" si="74"/>
        <v>0</v>
      </c>
      <c r="S400" s="5">
        <f t="shared" si="75"/>
        <v>0</v>
      </c>
      <c r="T400" s="7">
        <f t="shared" si="76"/>
        <v>0</v>
      </c>
    </row>
    <row r="401" spans="1:20">
      <c r="A401" s="23" t="s">
        <v>440</v>
      </c>
      <c r="B401" s="35" t="s">
        <v>441</v>
      </c>
      <c r="C401" s="36">
        <v>332</v>
      </c>
      <c r="D401" s="6"/>
      <c r="E401" s="113">
        <v>7102512</v>
      </c>
      <c r="F401" s="116">
        <f t="shared" si="77"/>
        <v>21393.108433734938</v>
      </c>
      <c r="G401" s="117">
        <v>1851556</v>
      </c>
      <c r="H401" s="117">
        <f t="shared" si="70"/>
        <v>5576.9759036144578</v>
      </c>
      <c r="I401" s="98" t="s">
        <v>528</v>
      </c>
      <c r="J401" s="10"/>
      <c r="K401" s="117"/>
      <c r="L401" s="120"/>
      <c r="M401" s="122">
        <f t="shared" si="78"/>
        <v>18515.560000000001</v>
      </c>
      <c r="N401" s="116">
        <f t="shared" si="79"/>
        <v>18515.560000000001</v>
      </c>
      <c r="O401" s="123">
        <f t="shared" si="80"/>
        <v>55.769759036144585</v>
      </c>
      <c r="P401" s="5"/>
      <c r="Q401" s="5">
        <f t="shared" si="73"/>
        <v>1</v>
      </c>
      <c r="R401" s="7">
        <f t="shared" si="74"/>
        <v>332</v>
      </c>
      <c r="S401" s="5">
        <f t="shared" si="75"/>
        <v>0</v>
      </c>
      <c r="T401" s="7">
        <f t="shared" si="76"/>
        <v>0</v>
      </c>
    </row>
    <row r="402" spans="1:20">
      <c r="A402" s="23" t="s">
        <v>442</v>
      </c>
      <c r="B402" s="35" t="s">
        <v>441</v>
      </c>
      <c r="C402" s="36">
        <v>4096</v>
      </c>
      <c r="D402" s="6"/>
      <c r="E402" s="113">
        <v>147452395</v>
      </c>
      <c r="F402" s="116">
        <f t="shared" si="77"/>
        <v>35999.119873046875</v>
      </c>
      <c r="G402" s="117">
        <v>89483980</v>
      </c>
      <c r="H402" s="117">
        <f t="shared" si="70"/>
        <v>21846.6748046875</v>
      </c>
      <c r="I402" s="7"/>
      <c r="J402" s="10">
        <v>5.54</v>
      </c>
      <c r="K402" s="117">
        <v>495741</v>
      </c>
      <c r="L402" s="120">
        <f>(K402/C402)</f>
        <v>121.030517578125</v>
      </c>
      <c r="M402" s="122">
        <f t="shared" si="78"/>
        <v>894839.8</v>
      </c>
      <c r="N402" s="116">
        <f t="shared" si="79"/>
        <v>399098.80000000005</v>
      </c>
      <c r="O402" s="123">
        <f t="shared" si="80"/>
        <v>97.436230468750011</v>
      </c>
      <c r="P402" s="5"/>
      <c r="Q402" s="5">
        <f t="shared" si="73"/>
        <v>1</v>
      </c>
      <c r="R402" s="7">
        <f t="shared" si="74"/>
        <v>4096</v>
      </c>
      <c r="S402" s="5">
        <f t="shared" si="75"/>
        <v>1</v>
      </c>
      <c r="T402" s="7">
        <f t="shared" si="76"/>
        <v>4096</v>
      </c>
    </row>
    <row r="403" spans="1:20">
      <c r="A403" s="23" t="s">
        <v>443</v>
      </c>
      <c r="B403" s="35" t="s">
        <v>441</v>
      </c>
      <c r="C403" s="36">
        <v>271</v>
      </c>
      <c r="D403" s="6"/>
      <c r="E403" s="113">
        <v>6011048</v>
      </c>
      <c r="F403" s="116">
        <f t="shared" si="77"/>
        <v>22180.988929889299</v>
      </c>
      <c r="G403" s="117">
        <v>3936000</v>
      </c>
      <c r="H403" s="117">
        <f t="shared" si="70"/>
        <v>14523.985239852398</v>
      </c>
      <c r="I403" s="98" t="s">
        <v>528</v>
      </c>
      <c r="J403" s="10"/>
      <c r="K403" s="117"/>
      <c r="L403" s="120"/>
      <c r="M403" s="122">
        <f t="shared" si="78"/>
        <v>39360</v>
      </c>
      <c r="N403" s="116">
        <f t="shared" si="79"/>
        <v>39360</v>
      </c>
      <c r="O403" s="123">
        <f t="shared" si="80"/>
        <v>145.23985239852399</v>
      </c>
      <c r="P403" s="5"/>
      <c r="Q403" s="5">
        <f t="shared" si="73"/>
        <v>1</v>
      </c>
      <c r="R403" s="7">
        <f t="shared" si="74"/>
        <v>271</v>
      </c>
      <c r="S403" s="5">
        <f t="shared" si="75"/>
        <v>0</v>
      </c>
      <c r="T403" s="7">
        <f t="shared" si="76"/>
        <v>0</v>
      </c>
    </row>
    <row r="404" spans="1:20">
      <c r="A404" s="23" t="s">
        <v>444</v>
      </c>
      <c r="B404" s="35" t="s">
        <v>441</v>
      </c>
      <c r="C404" s="36">
        <v>934</v>
      </c>
      <c r="D404" s="6"/>
      <c r="E404" s="113">
        <v>18779189</v>
      </c>
      <c r="F404" s="116">
        <f t="shared" si="77"/>
        <v>20106.198072805139</v>
      </c>
      <c r="G404" s="117">
        <v>7425888</v>
      </c>
      <c r="H404" s="117">
        <f t="shared" si="70"/>
        <v>7950.6295503211995</v>
      </c>
      <c r="I404" s="7"/>
      <c r="J404" s="10">
        <v>2.86</v>
      </c>
      <c r="K404" s="117">
        <v>21238</v>
      </c>
      <c r="L404" s="120">
        <f>(K404/C404)</f>
        <v>22.738758029978587</v>
      </c>
      <c r="M404" s="122">
        <f t="shared" si="78"/>
        <v>74258.880000000005</v>
      </c>
      <c r="N404" s="116">
        <f t="shared" si="79"/>
        <v>53020.880000000005</v>
      </c>
      <c r="O404" s="123">
        <f t="shared" si="80"/>
        <v>56.767537473233411</v>
      </c>
      <c r="P404" s="5"/>
      <c r="Q404" s="5">
        <f t="shared" si="73"/>
        <v>1</v>
      </c>
      <c r="R404" s="7">
        <f t="shared" si="74"/>
        <v>934</v>
      </c>
      <c r="S404" s="5">
        <f t="shared" si="75"/>
        <v>1</v>
      </c>
      <c r="T404" s="7">
        <f t="shared" si="76"/>
        <v>934</v>
      </c>
    </row>
    <row r="405" spans="1:20">
      <c r="A405" s="23" t="s">
        <v>445</v>
      </c>
      <c r="B405" s="35" t="s">
        <v>441</v>
      </c>
      <c r="C405" s="36">
        <v>382</v>
      </c>
      <c r="D405" s="6"/>
      <c r="E405" s="113">
        <v>5768127</v>
      </c>
      <c r="F405" s="116">
        <f t="shared" si="77"/>
        <v>15099.80890052356</v>
      </c>
      <c r="G405" s="117">
        <v>2210073</v>
      </c>
      <c r="H405" s="117">
        <f t="shared" si="70"/>
        <v>5785.5314136125653</v>
      </c>
      <c r="I405" s="98" t="s">
        <v>528</v>
      </c>
      <c r="J405" s="10"/>
      <c r="K405" s="117"/>
      <c r="L405" s="120"/>
      <c r="M405" s="122">
        <f t="shared" si="78"/>
        <v>22100.73</v>
      </c>
      <c r="N405" s="116">
        <f t="shared" si="79"/>
        <v>22100.73</v>
      </c>
      <c r="O405" s="123">
        <f t="shared" si="80"/>
        <v>57.855314136125656</v>
      </c>
      <c r="P405" s="5"/>
      <c r="Q405" s="5">
        <f t="shared" si="73"/>
        <v>1</v>
      </c>
      <c r="R405" s="7">
        <f t="shared" si="74"/>
        <v>382</v>
      </c>
      <c r="S405" s="5">
        <f t="shared" si="75"/>
        <v>0</v>
      </c>
      <c r="T405" s="7">
        <f t="shared" si="76"/>
        <v>0</v>
      </c>
    </row>
    <row r="406" spans="1:20">
      <c r="A406" s="70" t="s">
        <v>451</v>
      </c>
      <c r="B406" s="71"/>
      <c r="C406" s="72">
        <f>SUM(C6:C405)</f>
        <v>7406080</v>
      </c>
      <c r="D406" s="73"/>
      <c r="E406" s="73">
        <f>SUM(E6:E405)</f>
        <v>410283673626</v>
      </c>
      <c r="F406" s="74">
        <f>(E406/R406)</f>
        <v>61283.493460344434</v>
      </c>
      <c r="G406" s="75">
        <f>SUM(G6:G405)</f>
        <v>308375104166</v>
      </c>
      <c r="H406" s="76">
        <f>(G406/R406)</f>
        <v>46061.554222889004</v>
      </c>
      <c r="I406" s="71"/>
      <c r="J406" s="77"/>
      <c r="K406" s="78">
        <f>SUM(K6:K405)</f>
        <v>1615389657</v>
      </c>
      <c r="L406" s="79">
        <f>(K406/T406)</f>
        <v>243.89833644084007</v>
      </c>
      <c r="M406" s="79">
        <f>SUM(M6:M405)</f>
        <v>3083751041.6600008</v>
      </c>
      <c r="N406" s="78">
        <f>SUM(N6:N405)</f>
        <v>1468361384.6600006</v>
      </c>
      <c r="O406" s="80">
        <f>(N406/R406)</f>
        <v>219.32706831581547</v>
      </c>
      <c r="P406" s="20"/>
      <c r="Q406" s="20">
        <f>SUM(Q6:Q405)</f>
        <v>398</v>
      </c>
      <c r="R406" s="21">
        <f>SUM(R6:R405)</f>
        <v>6694848</v>
      </c>
      <c r="S406" s="20">
        <f>SUM(S6:S405)</f>
        <v>365</v>
      </c>
      <c r="T406" s="21">
        <f>SUM(T6:T405)</f>
        <v>6623209</v>
      </c>
    </row>
    <row r="407" spans="1:20">
      <c r="A407" s="27" t="s">
        <v>453</v>
      </c>
      <c r="B407" s="13"/>
      <c r="C407" s="60">
        <f>(S406)</f>
        <v>365</v>
      </c>
      <c r="D407" s="14"/>
      <c r="E407" s="14"/>
      <c r="F407" s="16"/>
      <c r="G407" s="16"/>
      <c r="H407" s="16"/>
      <c r="I407" s="16"/>
      <c r="J407" s="14"/>
      <c r="K407" s="17"/>
      <c r="L407" s="17"/>
      <c r="M407" s="2"/>
      <c r="N407" s="2"/>
      <c r="O407" s="63"/>
      <c r="P407" s="2"/>
      <c r="Q407" s="2"/>
      <c r="R407" s="2"/>
      <c r="S407" s="2"/>
      <c r="T407" s="2"/>
    </row>
    <row r="408" spans="1:20">
      <c r="A408" s="22"/>
      <c r="B408" s="16"/>
      <c r="C408" s="16"/>
      <c r="D408" s="16"/>
      <c r="E408" s="16"/>
      <c r="F408" s="16"/>
      <c r="G408" s="16"/>
      <c r="H408" s="16"/>
      <c r="I408" s="16"/>
      <c r="J408" s="17"/>
      <c r="K408" s="17"/>
      <c r="L408" s="17"/>
      <c r="M408" s="2"/>
      <c r="N408" s="2"/>
      <c r="O408" s="63"/>
      <c r="P408" s="2"/>
      <c r="Q408" s="2"/>
      <c r="R408" s="2"/>
      <c r="S408" s="2"/>
      <c r="T408" s="2"/>
    </row>
    <row r="409" spans="1:20">
      <c r="A409" s="28" t="s">
        <v>498</v>
      </c>
      <c r="B409" s="25"/>
      <c r="C409" s="25"/>
      <c r="D409" s="25"/>
      <c r="E409" s="25"/>
      <c r="F409" s="25"/>
      <c r="G409" s="25"/>
      <c r="H409" s="25"/>
      <c r="I409" s="25"/>
      <c r="J409" s="26"/>
      <c r="K409" s="26"/>
      <c r="L409" s="26"/>
      <c r="M409" s="1"/>
      <c r="N409" s="1"/>
      <c r="O409" s="64"/>
      <c r="P409" s="1"/>
      <c r="Q409" s="1"/>
      <c r="R409" s="1"/>
      <c r="S409" s="1"/>
      <c r="T409" s="1"/>
    </row>
    <row r="410" spans="1:20">
      <c r="A410" s="96" t="s">
        <v>566</v>
      </c>
      <c r="B410" s="25"/>
      <c r="C410" s="25"/>
      <c r="D410" s="25"/>
      <c r="E410" s="25"/>
      <c r="F410" s="25"/>
      <c r="G410" s="25"/>
      <c r="H410" s="25"/>
      <c r="I410" s="25"/>
      <c r="J410" s="26"/>
      <c r="K410" s="26"/>
      <c r="L410" s="26"/>
      <c r="M410" s="1"/>
      <c r="N410" s="1"/>
      <c r="O410" s="64"/>
      <c r="P410" s="1"/>
      <c r="Q410" s="1"/>
      <c r="R410" s="1"/>
      <c r="S410" s="1"/>
      <c r="T410" s="1"/>
    </row>
    <row r="411" spans="1:20">
      <c r="A411" s="96" t="s">
        <v>570</v>
      </c>
      <c r="B411" s="25"/>
      <c r="C411" s="25"/>
      <c r="D411" s="25"/>
      <c r="E411" s="25"/>
      <c r="F411" s="25"/>
      <c r="G411" s="25"/>
      <c r="H411" s="25"/>
      <c r="I411" s="25"/>
      <c r="J411" s="26"/>
      <c r="K411" s="26"/>
      <c r="L411" s="26"/>
      <c r="M411" s="1"/>
      <c r="N411" s="1"/>
      <c r="O411" s="64"/>
      <c r="P411" s="1"/>
      <c r="Q411" s="1"/>
      <c r="R411" s="1"/>
      <c r="S411" s="1"/>
      <c r="T411" s="1"/>
    </row>
    <row r="412" spans="1:20">
      <c r="A412" s="96" t="s">
        <v>571</v>
      </c>
      <c r="B412" s="25"/>
      <c r="C412" s="25"/>
      <c r="D412" s="25"/>
      <c r="E412" s="25"/>
      <c r="F412" s="25"/>
      <c r="G412" s="25"/>
      <c r="H412" s="25"/>
      <c r="I412" s="25"/>
      <c r="J412" s="26"/>
      <c r="K412" s="26"/>
      <c r="L412" s="26"/>
      <c r="M412" s="1"/>
      <c r="N412" s="1"/>
      <c r="O412" s="64"/>
      <c r="P412" s="1"/>
      <c r="Q412" s="1"/>
      <c r="R412" s="1"/>
      <c r="S412" s="1"/>
      <c r="T412" s="1"/>
    </row>
    <row r="413" spans="1:20">
      <c r="A413" s="96" t="s">
        <v>572</v>
      </c>
      <c r="B413" s="25"/>
      <c r="C413" s="25"/>
      <c r="D413" s="25"/>
      <c r="E413" s="25"/>
      <c r="F413" s="25"/>
      <c r="G413" s="25"/>
      <c r="H413" s="25"/>
      <c r="I413" s="25"/>
      <c r="J413" s="26"/>
      <c r="K413" s="26"/>
      <c r="L413" s="26"/>
      <c r="M413" s="1"/>
      <c r="N413" s="1"/>
      <c r="O413" s="64"/>
      <c r="P413" s="1"/>
      <c r="Q413" s="1"/>
      <c r="R413" s="1"/>
      <c r="S413" s="1"/>
      <c r="T413" s="1"/>
    </row>
    <row r="414" spans="1:20">
      <c r="A414" s="29" t="s">
        <v>505</v>
      </c>
      <c r="B414" s="25"/>
      <c r="C414" s="25"/>
      <c r="D414" s="25"/>
      <c r="E414" s="25"/>
      <c r="F414" s="25"/>
      <c r="G414" s="25"/>
      <c r="H414" s="25"/>
      <c r="I414" s="25"/>
      <c r="J414" s="26"/>
      <c r="K414" s="26"/>
      <c r="L414" s="26"/>
      <c r="M414" s="1"/>
      <c r="N414" s="1"/>
      <c r="O414" s="64"/>
      <c r="P414" s="1"/>
      <c r="Q414" s="1"/>
      <c r="R414" s="1"/>
      <c r="S414" s="1"/>
      <c r="T414" s="1"/>
    </row>
    <row r="415" spans="1:20">
      <c r="A415" s="29"/>
      <c r="B415" s="25"/>
      <c r="C415" s="25"/>
      <c r="D415" s="25"/>
      <c r="E415" s="25"/>
      <c r="F415" s="25"/>
      <c r="G415" s="25"/>
      <c r="H415" s="25"/>
      <c r="I415" s="25"/>
      <c r="J415" s="26"/>
      <c r="K415" s="26"/>
      <c r="L415" s="26"/>
      <c r="M415" s="1"/>
      <c r="N415" s="1"/>
      <c r="O415" s="64"/>
      <c r="P415" s="1"/>
      <c r="Q415" s="1"/>
      <c r="R415" s="1"/>
      <c r="S415" s="1"/>
      <c r="T415" s="1"/>
    </row>
    <row r="416" spans="1:20">
      <c r="A416" s="96" t="s">
        <v>579</v>
      </c>
      <c r="B416" s="25"/>
      <c r="C416" s="25"/>
      <c r="D416" s="25"/>
      <c r="E416" s="25"/>
      <c r="F416" s="25"/>
      <c r="G416" s="25"/>
      <c r="H416" s="25"/>
      <c r="I416" s="25"/>
      <c r="J416" s="26"/>
      <c r="K416" s="26"/>
      <c r="L416" s="26"/>
      <c r="M416" s="1"/>
      <c r="N416" s="1"/>
      <c r="O416" s="64"/>
      <c r="P416" s="1"/>
      <c r="Q416" s="1"/>
      <c r="R416" s="1"/>
      <c r="S416" s="1"/>
      <c r="T416" s="1"/>
    </row>
    <row r="417" spans="1:20">
      <c r="A417" s="28" t="s">
        <v>471</v>
      </c>
      <c r="B417" s="25"/>
      <c r="C417" s="25"/>
      <c r="D417" s="25"/>
      <c r="E417" s="25"/>
      <c r="F417" s="25"/>
      <c r="G417" s="25"/>
      <c r="H417" s="25"/>
      <c r="I417" s="25"/>
      <c r="J417" s="26"/>
      <c r="K417" s="26"/>
      <c r="L417" s="26"/>
      <c r="M417" s="1"/>
      <c r="N417" s="1"/>
      <c r="O417" s="64"/>
      <c r="P417" s="1"/>
      <c r="Q417" s="1"/>
      <c r="R417" s="1"/>
      <c r="S417" s="1"/>
      <c r="T417" s="1"/>
    </row>
    <row r="418" spans="1:20" ht="13.5" thickBot="1">
      <c r="A418" s="30" t="s">
        <v>487</v>
      </c>
      <c r="B418" s="31"/>
      <c r="C418" s="31"/>
      <c r="D418" s="31"/>
      <c r="E418" s="31"/>
      <c r="F418" s="31"/>
      <c r="G418" s="31"/>
      <c r="H418" s="31"/>
      <c r="I418" s="31"/>
      <c r="J418" s="32"/>
      <c r="K418" s="32"/>
      <c r="L418" s="32"/>
      <c r="M418" s="31"/>
      <c r="N418" s="31"/>
      <c r="O418" s="81"/>
      <c r="P418" s="1"/>
      <c r="Q418" s="1"/>
      <c r="R418" s="1"/>
      <c r="S418" s="1"/>
      <c r="T418" s="1"/>
    </row>
    <row r="419" spans="1:20">
      <c r="A419" s="4"/>
      <c r="B419" s="1"/>
      <c r="C419" s="1"/>
      <c r="D419" s="1"/>
      <c r="E419" s="1"/>
      <c r="F419" s="1"/>
      <c r="G419" s="1"/>
      <c r="H419" s="1"/>
      <c r="I419" s="1"/>
      <c r="J419" s="3"/>
      <c r="K419" s="3"/>
      <c r="L419" s="3"/>
      <c r="M419" s="1"/>
      <c r="N419" s="1"/>
      <c r="O419" s="1"/>
      <c r="P419" s="1"/>
      <c r="Q419" s="1"/>
      <c r="R419" s="1"/>
      <c r="S419" s="1"/>
      <c r="T419" s="1"/>
    </row>
    <row r="420" spans="1:20">
      <c r="A420" s="4"/>
      <c r="B420" s="1"/>
      <c r="C420" s="1"/>
      <c r="D420" s="1"/>
      <c r="E420" s="1"/>
      <c r="F420" s="1"/>
      <c r="G420" s="1"/>
      <c r="H420" s="1"/>
      <c r="I420" s="1"/>
      <c r="J420" s="3"/>
      <c r="K420" s="3"/>
      <c r="L420" s="3"/>
      <c r="M420" s="1"/>
      <c r="N420" s="1"/>
      <c r="O420" s="1"/>
      <c r="P420" s="1"/>
      <c r="Q420" s="1"/>
      <c r="R420" s="1"/>
      <c r="S420" s="1"/>
      <c r="T420" s="1"/>
    </row>
    <row r="421" spans="1:20">
      <c r="A421" s="2"/>
      <c r="B421" s="2"/>
      <c r="C421" s="2"/>
      <c r="D421" s="2"/>
      <c r="E421" s="2"/>
      <c r="F421" s="2"/>
      <c r="G421" s="2"/>
      <c r="H421" s="2"/>
      <c r="I421" s="2"/>
      <c r="J421" s="2"/>
      <c r="K421" s="2"/>
      <c r="L421" s="2"/>
      <c r="M421" s="2"/>
      <c r="N421" s="2"/>
      <c r="O421" s="2"/>
      <c r="P421" s="2"/>
      <c r="Q421" s="2"/>
      <c r="R421" s="2"/>
      <c r="S421" s="2"/>
      <c r="T421"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ignoredErrors>
    <ignoredError sqref="F406 L406"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T419"/>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7" t="s">
        <v>472</v>
      </c>
      <c r="B1" s="198"/>
      <c r="C1" s="198"/>
      <c r="D1" s="198"/>
      <c r="E1" s="198"/>
      <c r="F1" s="198"/>
      <c r="G1" s="198"/>
      <c r="H1" s="198"/>
      <c r="I1" s="198"/>
      <c r="J1" s="198"/>
      <c r="K1" s="198"/>
      <c r="L1" s="198"/>
      <c r="M1" s="198"/>
      <c r="N1" s="198"/>
      <c r="O1" s="199"/>
    </row>
    <row r="2" spans="1:20" ht="18">
      <c r="A2" s="41"/>
      <c r="B2" s="42"/>
      <c r="C2" s="43"/>
      <c r="D2" s="200" t="s">
        <v>483</v>
      </c>
      <c r="E2" s="201"/>
      <c r="F2" s="201"/>
      <c r="G2" s="201"/>
      <c r="H2" s="202"/>
      <c r="I2" s="44"/>
      <c r="J2" s="61" t="s">
        <v>456</v>
      </c>
      <c r="K2" s="45"/>
      <c r="L2" s="68"/>
      <c r="M2" s="201" t="s">
        <v>503</v>
      </c>
      <c r="N2" s="201"/>
      <c r="O2" s="203"/>
    </row>
    <row r="3" spans="1:20" ht="12.75" customHeight="1">
      <c r="A3" s="46"/>
      <c r="B3" s="47"/>
      <c r="C3" s="48">
        <v>1997</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5745</v>
      </c>
      <c r="D6" s="18"/>
      <c r="E6" s="18">
        <v>298258199</v>
      </c>
      <c r="F6" s="38">
        <f t="shared" ref="F6:F37" si="0">(E6/C6)</f>
        <v>51916.135596170585</v>
      </c>
      <c r="G6" s="18">
        <v>172840339</v>
      </c>
      <c r="H6" s="39">
        <f t="shared" ref="H6:H37" si="1">(G6/C6)</f>
        <v>30085.350565709312</v>
      </c>
      <c r="I6" s="15"/>
      <c r="J6" s="17">
        <v>5.5</v>
      </c>
      <c r="K6" s="40">
        <v>950621</v>
      </c>
      <c r="L6" s="84">
        <f t="shared" ref="L6:L14" si="2">(K6/C6)</f>
        <v>165.4692776327241</v>
      </c>
      <c r="M6" s="65">
        <f t="shared" ref="M6:M69" si="3">(G6*0.01)</f>
        <v>1728403.3900000001</v>
      </c>
      <c r="N6" s="83">
        <f t="shared" ref="N6:N69" si="4">(M6-K6)</f>
        <v>777782.39000000013</v>
      </c>
      <c r="O6" s="62">
        <f t="shared" ref="O6:O69" si="5">(N6/C6)</f>
        <v>135.38422802436904</v>
      </c>
      <c r="P6" s="5"/>
      <c r="Q6" s="5">
        <f>IF(E6&gt;0,1,0)</f>
        <v>1</v>
      </c>
      <c r="R6" s="7">
        <f>IF(E6&gt;0,C6,0)</f>
        <v>5745</v>
      </c>
      <c r="S6" s="5">
        <f>IF(J6&gt;0,1,0)</f>
        <v>1</v>
      </c>
      <c r="T6" s="7">
        <f>IF(J6&gt;0,C6,0)</f>
        <v>5745</v>
      </c>
    </row>
    <row r="7" spans="1:20">
      <c r="A7" s="23" t="s">
        <v>9</v>
      </c>
      <c r="B7" s="35" t="s">
        <v>8</v>
      </c>
      <c r="C7" s="36">
        <v>1427</v>
      </c>
      <c r="D7" s="6"/>
      <c r="E7" s="113">
        <v>28553287</v>
      </c>
      <c r="F7" s="116">
        <f t="shared" si="0"/>
        <v>20009.311142256483</v>
      </c>
      <c r="G7" s="113">
        <v>15565802</v>
      </c>
      <c r="H7" s="117">
        <f t="shared" si="1"/>
        <v>10908.060266292921</v>
      </c>
      <c r="I7" s="7"/>
      <c r="J7" s="10">
        <v>4</v>
      </c>
      <c r="K7" s="117">
        <v>62263</v>
      </c>
      <c r="L7" s="120">
        <f t="shared" si="2"/>
        <v>43.632095304835318</v>
      </c>
      <c r="M7" s="122">
        <f t="shared" si="3"/>
        <v>155658.01999999999</v>
      </c>
      <c r="N7" s="116">
        <f t="shared" si="4"/>
        <v>93395.01999999999</v>
      </c>
      <c r="O7" s="123">
        <f t="shared" si="5"/>
        <v>65.448507358093892</v>
      </c>
      <c r="P7" s="5"/>
      <c r="Q7" s="5">
        <f t="shared" ref="Q7:Q70" si="6">IF(E7&gt;0,1,0)</f>
        <v>1</v>
      </c>
      <c r="R7" s="7">
        <f t="shared" ref="R7:R70" si="7">IF(E7&gt;0,C7,0)</f>
        <v>1427</v>
      </c>
      <c r="S7" s="5">
        <f t="shared" ref="S7:S70" si="8">IF(J7&gt;0,1,0)</f>
        <v>1</v>
      </c>
      <c r="T7" s="7">
        <f t="shared" ref="T7:T70" si="9">IF(J7&gt;0,C7,0)</f>
        <v>1427</v>
      </c>
    </row>
    <row r="8" spans="1:20">
      <c r="A8" s="23" t="s">
        <v>10</v>
      </c>
      <c r="B8" s="35" t="s">
        <v>8</v>
      </c>
      <c r="C8" s="36">
        <v>99870</v>
      </c>
      <c r="D8" s="6"/>
      <c r="E8" s="113">
        <v>5813160554</v>
      </c>
      <c r="F8" s="116">
        <f t="shared" si="0"/>
        <v>58207.274997496745</v>
      </c>
      <c r="G8" s="113">
        <v>2150234789</v>
      </c>
      <c r="H8" s="117">
        <f t="shared" si="1"/>
        <v>21530.337328527086</v>
      </c>
      <c r="I8" s="7"/>
      <c r="J8" s="10">
        <v>4.9416000000000002</v>
      </c>
      <c r="K8" s="117">
        <v>10625600</v>
      </c>
      <c r="L8" s="120">
        <f t="shared" si="2"/>
        <v>106.39431260638831</v>
      </c>
      <c r="M8" s="122">
        <f t="shared" si="3"/>
        <v>21502347.890000001</v>
      </c>
      <c r="N8" s="116">
        <f t="shared" si="4"/>
        <v>10876747.890000001</v>
      </c>
      <c r="O8" s="123">
        <f t="shared" si="5"/>
        <v>108.90906067888255</v>
      </c>
      <c r="P8" s="5"/>
      <c r="Q8" s="5">
        <f t="shared" si="6"/>
        <v>1</v>
      </c>
      <c r="R8" s="7">
        <f t="shared" si="7"/>
        <v>99870</v>
      </c>
      <c r="S8" s="5">
        <f t="shared" si="8"/>
        <v>1</v>
      </c>
      <c r="T8" s="7">
        <f t="shared" si="9"/>
        <v>99870</v>
      </c>
    </row>
    <row r="9" spans="1:20">
      <c r="A9" s="23" t="s">
        <v>11</v>
      </c>
      <c r="B9" s="35" t="s">
        <v>8</v>
      </c>
      <c r="C9" s="36">
        <v>1392</v>
      </c>
      <c r="D9" s="6"/>
      <c r="E9" s="113">
        <v>49690110</v>
      </c>
      <c r="F9" s="116">
        <f t="shared" si="0"/>
        <v>35696.918103448275</v>
      </c>
      <c r="G9" s="117">
        <v>22564650</v>
      </c>
      <c r="H9" s="117">
        <f t="shared" si="1"/>
        <v>16210.237068965518</v>
      </c>
      <c r="I9" s="7"/>
      <c r="J9" s="10">
        <v>4.9184999999999999</v>
      </c>
      <c r="K9" s="117">
        <v>110984</v>
      </c>
      <c r="L9" s="120">
        <f t="shared" si="2"/>
        <v>79.729885057471265</v>
      </c>
      <c r="M9" s="122">
        <f t="shared" si="3"/>
        <v>225646.5</v>
      </c>
      <c r="N9" s="116">
        <f t="shared" si="4"/>
        <v>114662.5</v>
      </c>
      <c r="O9" s="123">
        <f t="shared" si="5"/>
        <v>82.37248563218391</v>
      </c>
      <c r="P9" s="5"/>
      <c r="Q9" s="5">
        <f t="shared" si="6"/>
        <v>1</v>
      </c>
      <c r="R9" s="7">
        <f t="shared" si="7"/>
        <v>1392</v>
      </c>
      <c r="S9" s="5">
        <f t="shared" si="8"/>
        <v>1</v>
      </c>
      <c r="T9" s="7">
        <f t="shared" si="9"/>
        <v>1392</v>
      </c>
    </row>
    <row r="10" spans="1:20">
      <c r="A10" s="23" t="s">
        <v>12</v>
      </c>
      <c r="B10" s="35" t="s">
        <v>8</v>
      </c>
      <c r="C10" s="36">
        <v>3738</v>
      </c>
      <c r="D10" s="6"/>
      <c r="E10" s="113">
        <v>118973240</v>
      </c>
      <c r="F10" s="116">
        <f t="shared" si="0"/>
        <v>31828.047084002141</v>
      </c>
      <c r="G10" s="117">
        <v>66783151</v>
      </c>
      <c r="H10" s="117">
        <f t="shared" si="1"/>
        <v>17866.011503477795</v>
      </c>
      <c r="I10" s="7"/>
      <c r="J10" s="10">
        <v>6.25</v>
      </c>
      <c r="K10" s="117">
        <v>417394</v>
      </c>
      <c r="L10" s="120">
        <f t="shared" si="2"/>
        <v>111.66238630283574</v>
      </c>
      <c r="M10" s="122">
        <f t="shared" si="3"/>
        <v>667831.51</v>
      </c>
      <c r="N10" s="116">
        <f t="shared" si="4"/>
        <v>250437.51</v>
      </c>
      <c r="O10" s="123">
        <f t="shared" si="5"/>
        <v>66.997728731942217</v>
      </c>
      <c r="P10" s="5"/>
      <c r="Q10" s="5">
        <f t="shared" si="6"/>
        <v>1</v>
      </c>
      <c r="R10" s="7">
        <f t="shared" si="7"/>
        <v>3738</v>
      </c>
      <c r="S10" s="5">
        <f t="shared" si="8"/>
        <v>1</v>
      </c>
      <c r="T10" s="7">
        <f t="shared" si="9"/>
        <v>3738</v>
      </c>
    </row>
    <row r="11" spans="1:20">
      <c r="A11" s="23" t="s">
        <v>559</v>
      </c>
      <c r="B11" s="35" t="s">
        <v>8</v>
      </c>
      <c r="C11" s="36">
        <v>139</v>
      </c>
      <c r="D11" s="6"/>
      <c r="E11" s="113">
        <v>5110085</v>
      </c>
      <c r="F11" s="116">
        <f t="shared" si="0"/>
        <v>36763.201438848919</v>
      </c>
      <c r="G11" s="117">
        <v>2781385</v>
      </c>
      <c r="H11" s="117">
        <f t="shared" si="1"/>
        <v>20009.96402877698</v>
      </c>
      <c r="I11" s="7"/>
      <c r="J11" s="10">
        <v>4.59</v>
      </c>
      <c r="K11" s="117">
        <v>12766</v>
      </c>
      <c r="L11" s="120">
        <f t="shared" si="2"/>
        <v>91.841726618705039</v>
      </c>
      <c r="M11" s="122">
        <f t="shared" si="3"/>
        <v>27813.850000000002</v>
      </c>
      <c r="N11" s="116">
        <f t="shared" si="4"/>
        <v>15047.850000000002</v>
      </c>
      <c r="O11" s="123">
        <f t="shared" si="5"/>
        <v>108.25791366906476</v>
      </c>
      <c r="P11" s="5"/>
      <c r="Q11" s="5">
        <f t="shared" si="6"/>
        <v>1</v>
      </c>
      <c r="R11" s="7">
        <f t="shared" si="7"/>
        <v>139</v>
      </c>
      <c r="S11" s="5">
        <f t="shared" si="8"/>
        <v>1</v>
      </c>
      <c r="T11" s="7">
        <f t="shared" si="9"/>
        <v>139</v>
      </c>
    </row>
    <row r="12" spans="1:20">
      <c r="A12" s="23" t="s">
        <v>13</v>
      </c>
      <c r="B12" s="35" t="s">
        <v>8</v>
      </c>
      <c r="C12" s="36">
        <v>651</v>
      </c>
      <c r="D12" s="6"/>
      <c r="E12" s="113">
        <v>17390310</v>
      </c>
      <c r="F12" s="116">
        <f t="shared" si="0"/>
        <v>26713.225806451614</v>
      </c>
      <c r="G12" s="117">
        <v>10239577</v>
      </c>
      <c r="H12" s="117">
        <f t="shared" si="1"/>
        <v>15728.996927803379</v>
      </c>
      <c r="I12" s="7"/>
      <c r="J12" s="10">
        <v>6</v>
      </c>
      <c r="K12" s="117">
        <v>61437</v>
      </c>
      <c r="L12" s="120">
        <f t="shared" si="2"/>
        <v>94.373271889400925</v>
      </c>
      <c r="M12" s="122">
        <f t="shared" si="3"/>
        <v>102395.77</v>
      </c>
      <c r="N12" s="116">
        <f t="shared" si="4"/>
        <v>40958.770000000004</v>
      </c>
      <c r="O12" s="123">
        <f t="shared" si="5"/>
        <v>62.916697388632876</v>
      </c>
      <c r="P12" s="5"/>
      <c r="Q12" s="5">
        <f t="shared" si="6"/>
        <v>1</v>
      </c>
      <c r="R12" s="7">
        <f t="shared" si="7"/>
        <v>651</v>
      </c>
      <c r="S12" s="5">
        <f t="shared" si="8"/>
        <v>1</v>
      </c>
      <c r="T12" s="7">
        <f t="shared" si="9"/>
        <v>651</v>
      </c>
    </row>
    <row r="13" spans="1:20">
      <c r="A13" s="23" t="s">
        <v>14</v>
      </c>
      <c r="B13" s="35" t="s">
        <v>8</v>
      </c>
      <c r="C13" s="36">
        <v>2437</v>
      </c>
      <c r="D13" s="6"/>
      <c r="E13" s="113">
        <v>115125599</v>
      </c>
      <c r="F13" s="116">
        <f t="shared" si="0"/>
        <v>47240.705375461635</v>
      </c>
      <c r="G13" s="117">
        <v>43357243</v>
      </c>
      <c r="H13" s="117">
        <f t="shared" si="1"/>
        <v>17791.236356175625</v>
      </c>
      <c r="I13" s="7"/>
      <c r="J13" s="10">
        <v>3.09</v>
      </c>
      <c r="K13" s="117">
        <v>133973</v>
      </c>
      <c r="L13" s="120">
        <f t="shared" si="2"/>
        <v>54.974558883873613</v>
      </c>
      <c r="M13" s="122">
        <f t="shared" si="3"/>
        <v>433572.43</v>
      </c>
      <c r="N13" s="116">
        <f t="shared" si="4"/>
        <v>299599.43</v>
      </c>
      <c r="O13" s="123">
        <f t="shared" si="5"/>
        <v>122.93780467788264</v>
      </c>
      <c r="P13" s="5"/>
      <c r="Q13" s="5">
        <f t="shared" si="6"/>
        <v>1</v>
      </c>
      <c r="R13" s="7">
        <f t="shared" si="7"/>
        <v>2437</v>
      </c>
      <c r="S13" s="5">
        <f t="shared" si="8"/>
        <v>1</v>
      </c>
      <c r="T13" s="7">
        <f t="shared" si="9"/>
        <v>2437</v>
      </c>
    </row>
    <row r="14" spans="1:20">
      <c r="A14" s="23" t="s">
        <v>15</v>
      </c>
      <c r="B14" s="35" t="s">
        <v>8</v>
      </c>
      <c r="C14" s="36">
        <v>1042</v>
      </c>
      <c r="D14" s="6"/>
      <c r="E14" s="113">
        <v>19866041</v>
      </c>
      <c r="F14" s="116">
        <f t="shared" si="0"/>
        <v>19065.298464491363</v>
      </c>
      <c r="G14" s="117">
        <v>9045094</v>
      </c>
      <c r="H14" s="117">
        <f t="shared" si="1"/>
        <v>8680.5124760076778</v>
      </c>
      <c r="I14" s="7"/>
      <c r="J14" s="10">
        <v>5.0313999999999997</v>
      </c>
      <c r="K14" s="117">
        <v>45509</v>
      </c>
      <c r="L14" s="120">
        <f t="shared" si="2"/>
        <v>43.674664107485604</v>
      </c>
      <c r="M14" s="122">
        <f t="shared" si="3"/>
        <v>90450.94</v>
      </c>
      <c r="N14" s="116">
        <f t="shared" si="4"/>
        <v>44941.94</v>
      </c>
      <c r="O14" s="123">
        <f t="shared" si="5"/>
        <v>43.130460652591175</v>
      </c>
      <c r="P14" s="5"/>
      <c r="Q14" s="5">
        <f t="shared" si="6"/>
        <v>1</v>
      </c>
      <c r="R14" s="7">
        <f t="shared" si="7"/>
        <v>1042</v>
      </c>
      <c r="S14" s="5">
        <f t="shared" si="8"/>
        <v>1</v>
      </c>
      <c r="T14" s="7">
        <f t="shared" si="9"/>
        <v>1042</v>
      </c>
    </row>
    <row r="15" spans="1:20">
      <c r="A15" s="23" t="s">
        <v>544</v>
      </c>
      <c r="B15" s="35" t="s">
        <v>16</v>
      </c>
      <c r="C15" s="36">
        <v>460</v>
      </c>
      <c r="D15" s="6"/>
      <c r="E15" s="113">
        <v>8050107</v>
      </c>
      <c r="F15" s="116">
        <f t="shared" si="0"/>
        <v>17500.232608695653</v>
      </c>
      <c r="G15" s="117">
        <v>3964454</v>
      </c>
      <c r="H15" s="117">
        <f t="shared" si="1"/>
        <v>8618.3782608695656</v>
      </c>
      <c r="I15" s="98" t="s">
        <v>528</v>
      </c>
      <c r="J15" s="10"/>
      <c r="K15" s="117"/>
      <c r="L15" s="120"/>
      <c r="M15" s="122">
        <f t="shared" si="3"/>
        <v>39644.54</v>
      </c>
      <c r="N15" s="116">
        <f t="shared" si="4"/>
        <v>39644.54</v>
      </c>
      <c r="O15" s="123">
        <f t="shared" si="5"/>
        <v>86.183782608695651</v>
      </c>
      <c r="P15" s="5"/>
      <c r="Q15" s="5">
        <f t="shared" si="6"/>
        <v>1</v>
      </c>
      <c r="R15" s="7">
        <f t="shared" si="7"/>
        <v>460</v>
      </c>
      <c r="S15" s="5">
        <f t="shared" si="8"/>
        <v>0</v>
      </c>
      <c r="T15" s="7">
        <f t="shared" si="9"/>
        <v>0</v>
      </c>
    </row>
    <row r="16" spans="1:20">
      <c r="A16" s="23" t="s">
        <v>17</v>
      </c>
      <c r="B16" s="35" t="s">
        <v>16</v>
      </c>
      <c r="C16" s="36">
        <v>4271</v>
      </c>
      <c r="D16" s="6"/>
      <c r="E16" s="113">
        <v>127346516</v>
      </c>
      <c r="F16" s="116">
        <f t="shared" si="0"/>
        <v>29816.557246546476</v>
      </c>
      <c r="G16" s="117">
        <v>74812231</v>
      </c>
      <c r="H16" s="117">
        <f t="shared" si="1"/>
        <v>17516.326621400141</v>
      </c>
      <c r="I16" s="7"/>
      <c r="J16" s="10">
        <v>3.65</v>
      </c>
      <c r="K16" s="117">
        <v>273064</v>
      </c>
      <c r="L16" s="120">
        <f>(K16/C16)</f>
        <v>63.934441582767505</v>
      </c>
      <c r="M16" s="122">
        <f t="shared" si="3"/>
        <v>748122.31</v>
      </c>
      <c r="N16" s="116">
        <f t="shared" si="4"/>
        <v>475058.31000000006</v>
      </c>
      <c r="O16" s="123">
        <f t="shared" si="5"/>
        <v>111.22882463123392</v>
      </c>
      <c r="P16" s="5"/>
      <c r="Q16" s="5">
        <f t="shared" si="6"/>
        <v>1</v>
      </c>
      <c r="R16" s="7">
        <f t="shared" si="7"/>
        <v>4271</v>
      </c>
      <c r="S16" s="5">
        <f t="shared" si="8"/>
        <v>1</v>
      </c>
      <c r="T16" s="7">
        <f t="shared" si="9"/>
        <v>4271</v>
      </c>
    </row>
    <row r="17" spans="1:20">
      <c r="A17" s="23" t="s">
        <v>18</v>
      </c>
      <c r="B17" s="35" t="s">
        <v>19</v>
      </c>
      <c r="C17" s="36">
        <v>14091</v>
      </c>
      <c r="D17" s="6"/>
      <c r="E17" s="113">
        <v>311065591</v>
      </c>
      <c r="F17" s="116">
        <f t="shared" si="0"/>
        <v>22075.480164644097</v>
      </c>
      <c r="G17" s="117">
        <v>224061999</v>
      </c>
      <c r="H17" s="117">
        <f t="shared" si="1"/>
        <v>15901.071535022355</v>
      </c>
      <c r="I17" s="98" t="s">
        <v>528</v>
      </c>
      <c r="J17" s="10"/>
      <c r="K17" s="117"/>
      <c r="L17" s="120"/>
      <c r="M17" s="122">
        <f t="shared" si="3"/>
        <v>2240619.9900000002</v>
      </c>
      <c r="N17" s="116">
        <f t="shared" si="4"/>
        <v>2240619.9900000002</v>
      </c>
      <c r="O17" s="123">
        <f t="shared" si="5"/>
        <v>159.01071535022356</v>
      </c>
      <c r="P17" s="5"/>
      <c r="Q17" s="5">
        <f t="shared" si="6"/>
        <v>1</v>
      </c>
      <c r="R17" s="7">
        <f t="shared" si="7"/>
        <v>14091</v>
      </c>
      <c r="S17" s="5">
        <f t="shared" si="8"/>
        <v>0</v>
      </c>
      <c r="T17" s="7">
        <f t="shared" si="9"/>
        <v>0</v>
      </c>
    </row>
    <row r="18" spans="1:20">
      <c r="A18" s="23" t="s">
        <v>20</v>
      </c>
      <c r="B18" s="35" t="s">
        <v>19</v>
      </c>
      <c r="C18" s="36">
        <v>2135</v>
      </c>
      <c r="D18" s="6"/>
      <c r="E18" s="113">
        <v>52998048</v>
      </c>
      <c r="F18" s="116">
        <f t="shared" si="0"/>
        <v>24823.441686182668</v>
      </c>
      <c r="G18" s="117">
        <v>26498869</v>
      </c>
      <c r="H18" s="117">
        <f t="shared" si="1"/>
        <v>12411.648243559719</v>
      </c>
      <c r="I18" s="98" t="s">
        <v>528</v>
      </c>
      <c r="J18" s="10"/>
      <c r="K18" s="117"/>
      <c r="L18" s="120"/>
      <c r="M18" s="122">
        <f t="shared" si="3"/>
        <v>264988.69</v>
      </c>
      <c r="N18" s="116">
        <f t="shared" si="4"/>
        <v>264988.69</v>
      </c>
      <c r="O18" s="123">
        <f t="shared" si="5"/>
        <v>124.11648243559719</v>
      </c>
      <c r="P18" s="5"/>
      <c r="Q18" s="5">
        <f t="shared" si="6"/>
        <v>1</v>
      </c>
      <c r="R18" s="7">
        <f t="shared" si="7"/>
        <v>2135</v>
      </c>
      <c r="S18" s="5">
        <f t="shared" si="8"/>
        <v>0</v>
      </c>
      <c r="T18" s="7">
        <f t="shared" si="9"/>
        <v>0</v>
      </c>
    </row>
    <row r="19" spans="1:20">
      <c r="A19" s="23" t="s">
        <v>21</v>
      </c>
      <c r="B19" s="35" t="s">
        <v>19</v>
      </c>
      <c r="C19" s="36">
        <v>11893</v>
      </c>
      <c r="D19" s="6"/>
      <c r="E19" s="113">
        <v>463766468</v>
      </c>
      <c r="F19" s="116">
        <f t="shared" si="0"/>
        <v>38994.910283359961</v>
      </c>
      <c r="G19" s="117">
        <v>245596506</v>
      </c>
      <c r="H19" s="117">
        <f t="shared" si="1"/>
        <v>20650.509207096613</v>
      </c>
      <c r="I19" s="7"/>
      <c r="J19" s="10">
        <v>2.9</v>
      </c>
      <c r="K19" s="117">
        <v>712229</v>
      </c>
      <c r="L19" s="120">
        <f>(K19/C19)</f>
        <v>59.886403766921717</v>
      </c>
      <c r="M19" s="122">
        <f t="shared" si="3"/>
        <v>2455965.06</v>
      </c>
      <c r="N19" s="116">
        <f t="shared" si="4"/>
        <v>1743736.06</v>
      </c>
      <c r="O19" s="123">
        <f t="shared" si="5"/>
        <v>146.61868830404441</v>
      </c>
      <c r="P19" s="5"/>
      <c r="Q19" s="5">
        <f t="shared" si="6"/>
        <v>1</v>
      </c>
      <c r="R19" s="7">
        <f t="shared" si="7"/>
        <v>11893</v>
      </c>
      <c r="S19" s="5">
        <f t="shared" si="8"/>
        <v>1</v>
      </c>
      <c r="T19" s="7">
        <f t="shared" si="9"/>
        <v>11893</v>
      </c>
    </row>
    <row r="20" spans="1:20">
      <c r="A20" s="23" t="s">
        <v>22</v>
      </c>
      <c r="B20" s="35" t="s">
        <v>19</v>
      </c>
      <c r="C20" s="36">
        <v>1023</v>
      </c>
      <c r="D20" s="6"/>
      <c r="E20" s="113">
        <v>87403279</v>
      </c>
      <c r="F20" s="116">
        <f t="shared" si="0"/>
        <v>85438.200391006845</v>
      </c>
      <c r="G20" s="117">
        <v>68437283</v>
      </c>
      <c r="H20" s="117">
        <f t="shared" si="1"/>
        <v>66898.614858260014</v>
      </c>
      <c r="I20" s="7"/>
      <c r="J20" s="11">
        <v>5.32</v>
      </c>
      <c r="K20" s="117">
        <v>364086</v>
      </c>
      <c r="L20" s="120">
        <f>(K20/C20)</f>
        <v>355.90029325513194</v>
      </c>
      <c r="M20" s="122">
        <f t="shared" si="3"/>
        <v>684372.83</v>
      </c>
      <c r="N20" s="116">
        <f t="shared" si="4"/>
        <v>320286.82999999996</v>
      </c>
      <c r="O20" s="123">
        <f t="shared" si="5"/>
        <v>313.08585532746821</v>
      </c>
      <c r="P20" s="5"/>
      <c r="Q20" s="5">
        <f t="shared" si="6"/>
        <v>1</v>
      </c>
      <c r="R20" s="7">
        <f t="shared" si="7"/>
        <v>1023</v>
      </c>
      <c r="S20" s="5">
        <f t="shared" si="8"/>
        <v>1</v>
      </c>
      <c r="T20" s="7">
        <f t="shared" si="9"/>
        <v>1023</v>
      </c>
    </row>
    <row r="21" spans="1:20">
      <c r="A21" s="23" t="s">
        <v>23</v>
      </c>
      <c r="B21" s="35" t="s">
        <v>19</v>
      </c>
      <c r="C21" s="36">
        <v>37347</v>
      </c>
      <c r="D21" s="6"/>
      <c r="E21" s="113">
        <v>1570907749</v>
      </c>
      <c r="F21" s="116">
        <f t="shared" si="0"/>
        <v>42062.488258762416</v>
      </c>
      <c r="G21" s="117">
        <v>998791173</v>
      </c>
      <c r="H21" s="117">
        <f t="shared" si="1"/>
        <v>26743.544943368946</v>
      </c>
      <c r="I21" s="7"/>
      <c r="J21" s="10">
        <v>5</v>
      </c>
      <c r="K21" s="117">
        <v>4993955</v>
      </c>
      <c r="L21" s="120">
        <f>(K21/C21)</f>
        <v>133.71770155568052</v>
      </c>
      <c r="M21" s="122">
        <f t="shared" si="3"/>
        <v>9987911.7300000004</v>
      </c>
      <c r="N21" s="116">
        <f t="shared" si="4"/>
        <v>4993956.7300000004</v>
      </c>
      <c r="O21" s="123">
        <f t="shared" si="5"/>
        <v>133.71774787800896</v>
      </c>
      <c r="P21" s="5"/>
      <c r="Q21" s="5">
        <f t="shared" si="6"/>
        <v>1</v>
      </c>
      <c r="R21" s="7">
        <f t="shared" si="7"/>
        <v>37347</v>
      </c>
      <c r="S21" s="5">
        <f t="shared" si="8"/>
        <v>1</v>
      </c>
      <c r="T21" s="7">
        <f t="shared" si="9"/>
        <v>37347</v>
      </c>
    </row>
    <row r="22" spans="1:20">
      <c r="A22" s="23" t="s">
        <v>24</v>
      </c>
      <c r="B22" s="35" t="s">
        <v>19</v>
      </c>
      <c r="C22" s="36">
        <v>4710</v>
      </c>
      <c r="D22" s="6"/>
      <c r="E22" s="113">
        <v>870783508</v>
      </c>
      <c r="F22" s="116">
        <f t="shared" si="0"/>
        <v>184879.72569002124</v>
      </c>
      <c r="G22" s="117">
        <v>783899375</v>
      </c>
      <c r="H22" s="117">
        <f t="shared" si="1"/>
        <v>166432.98832271763</v>
      </c>
      <c r="I22" s="98" t="s">
        <v>528</v>
      </c>
      <c r="J22" s="12"/>
      <c r="K22" s="117"/>
      <c r="L22" s="120"/>
      <c r="M22" s="122">
        <f t="shared" si="3"/>
        <v>7838993.75</v>
      </c>
      <c r="N22" s="116">
        <f t="shared" si="4"/>
        <v>7838993.75</v>
      </c>
      <c r="O22" s="123">
        <f t="shared" si="5"/>
        <v>1664.3298832271762</v>
      </c>
      <c r="P22" s="5"/>
      <c r="Q22" s="5">
        <f t="shared" si="6"/>
        <v>1</v>
      </c>
      <c r="R22" s="7">
        <f t="shared" si="7"/>
        <v>4710</v>
      </c>
      <c r="S22" s="5">
        <f t="shared" si="8"/>
        <v>0</v>
      </c>
      <c r="T22" s="7">
        <f t="shared" si="9"/>
        <v>0</v>
      </c>
    </row>
    <row r="23" spans="1:20">
      <c r="A23" s="23" t="s">
        <v>25</v>
      </c>
      <c r="B23" s="35" t="s">
        <v>19</v>
      </c>
      <c r="C23" s="36">
        <v>5001</v>
      </c>
      <c r="D23" s="6"/>
      <c r="E23" s="113">
        <v>124333378</v>
      </c>
      <c r="F23" s="116">
        <f t="shared" si="0"/>
        <v>24861.703259348131</v>
      </c>
      <c r="G23" s="117">
        <v>90476571</v>
      </c>
      <c r="H23" s="117">
        <f t="shared" si="1"/>
        <v>18091.695860827833</v>
      </c>
      <c r="I23" s="98" t="s">
        <v>528</v>
      </c>
      <c r="J23" s="12"/>
      <c r="K23" s="117"/>
      <c r="L23" s="120"/>
      <c r="M23" s="122">
        <f t="shared" si="3"/>
        <v>904765.71</v>
      </c>
      <c r="N23" s="116">
        <f t="shared" si="4"/>
        <v>904765.71</v>
      </c>
      <c r="O23" s="123">
        <f t="shared" si="5"/>
        <v>180.91695860827835</v>
      </c>
      <c r="P23" s="5"/>
      <c r="Q23" s="5">
        <f t="shared" si="6"/>
        <v>1</v>
      </c>
      <c r="R23" s="7">
        <f t="shared" si="7"/>
        <v>5001</v>
      </c>
      <c r="S23" s="5">
        <f t="shared" si="8"/>
        <v>0</v>
      </c>
      <c r="T23" s="7">
        <f t="shared" si="9"/>
        <v>0</v>
      </c>
    </row>
    <row r="24" spans="1:20">
      <c r="A24" s="23" t="s">
        <v>26</v>
      </c>
      <c r="B24" s="35" t="s">
        <v>19</v>
      </c>
      <c r="C24" s="36">
        <v>9459</v>
      </c>
      <c r="D24" s="6"/>
      <c r="E24" s="113">
        <v>142632368</v>
      </c>
      <c r="F24" s="116">
        <f t="shared" si="0"/>
        <v>15079.011311978011</v>
      </c>
      <c r="G24" s="117">
        <v>71796035</v>
      </c>
      <c r="H24" s="117">
        <f t="shared" si="1"/>
        <v>7590.2352257109633</v>
      </c>
      <c r="I24" s="98" t="s">
        <v>528</v>
      </c>
      <c r="J24" s="10"/>
      <c r="K24" s="117"/>
      <c r="L24" s="120"/>
      <c r="M24" s="122">
        <f t="shared" si="3"/>
        <v>717960.35</v>
      </c>
      <c r="N24" s="116">
        <f t="shared" si="4"/>
        <v>717960.35</v>
      </c>
      <c r="O24" s="123">
        <f t="shared" si="5"/>
        <v>75.902352257109627</v>
      </c>
      <c r="P24" s="5"/>
      <c r="Q24" s="5">
        <f t="shared" si="6"/>
        <v>1</v>
      </c>
      <c r="R24" s="7">
        <f t="shared" si="7"/>
        <v>9459</v>
      </c>
      <c r="S24" s="5">
        <f t="shared" si="8"/>
        <v>0</v>
      </c>
      <c r="T24" s="7">
        <f t="shared" si="9"/>
        <v>0</v>
      </c>
    </row>
    <row r="25" spans="1:20">
      <c r="A25" s="23" t="s">
        <v>27</v>
      </c>
      <c r="B25" s="35" t="s">
        <v>28</v>
      </c>
      <c r="C25" s="36">
        <v>335</v>
      </c>
      <c r="D25" s="6"/>
      <c r="E25" s="113">
        <v>6746210</v>
      </c>
      <c r="F25" s="116">
        <f t="shared" si="0"/>
        <v>20137.940298507463</v>
      </c>
      <c r="G25" s="117">
        <v>3068773</v>
      </c>
      <c r="H25" s="117">
        <f t="shared" si="1"/>
        <v>9160.5164179104486</v>
      </c>
      <c r="I25" s="7"/>
      <c r="J25" s="10">
        <v>0.53300000000000003</v>
      </c>
      <c r="K25" s="117">
        <v>1635</v>
      </c>
      <c r="L25" s="120">
        <f>(K25/C25)</f>
        <v>4.8805970149253728</v>
      </c>
      <c r="M25" s="122">
        <f t="shared" si="3"/>
        <v>30687.73</v>
      </c>
      <c r="N25" s="116">
        <f t="shared" si="4"/>
        <v>29052.73</v>
      </c>
      <c r="O25" s="123">
        <f t="shared" si="5"/>
        <v>86.724567164179106</v>
      </c>
      <c r="P25" s="5"/>
      <c r="Q25" s="5">
        <f t="shared" si="6"/>
        <v>1</v>
      </c>
      <c r="R25" s="7">
        <f t="shared" si="7"/>
        <v>335</v>
      </c>
      <c r="S25" s="5">
        <f t="shared" si="8"/>
        <v>1</v>
      </c>
      <c r="T25" s="7">
        <f t="shared" si="9"/>
        <v>335</v>
      </c>
    </row>
    <row r="26" spans="1:20">
      <c r="A26" s="23" t="s">
        <v>29</v>
      </c>
      <c r="B26" s="35" t="s">
        <v>28</v>
      </c>
      <c r="C26" s="36">
        <v>302</v>
      </c>
      <c r="D26" s="6"/>
      <c r="E26" s="113">
        <v>5219376</v>
      </c>
      <c r="F26" s="116">
        <f t="shared" si="0"/>
        <v>17282.701986754968</v>
      </c>
      <c r="G26" s="117">
        <v>2438522</v>
      </c>
      <c r="H26" s="117">
        <f t="shared" si="1"/>
        <v>8074.5761589403974</v>
      </c>
      <c r="I26" s="7"/>
      <c r="J26" s="10">
        <v>0.62819999999999998</v>
      </c>
      <c r="K26" s="117">
        <v>1531</v>
      </c>
      <c r="L26" s="120">
        <f>(K26/C26)</f>
        <v>5.0695364238410594</v>
      </c>
      <c r="M26" s="122">
        <f t="shared" si="3"/>
        <v>24385.22</v>
      </c>
      <c r="N26" s="116">
        <f t="shared" si="4"/>
        <v>22854.22</v>
      </c>
      <c r="O26" s="123">
        <f t="shared" si="5"/>
        <v>75.676225165562911</v>
      </c>
      <c r="P26" s="5"/>
      <c r="Q26" s="5">
        <f t="shared" si="6"/>
        <v>1</v>
      </c>
      <c r="R26" s="7">
        <f t="shared" si="7"/>
        <v>302</v>
      </c>
      <c r="S26" s="5">
        <f t="shared" si="8"/>
        <v>1</v>
      </c>
      <c r="T26" s="7">
        <f t="shared" si="9"/>
        <v>302</v>
      </c>
    </row>
    <row r="27" spans="1:20">
      <c r="A27" s="23" t="s">
        <v>30</v>
      </c>
      <c r="B27" s="35" t="s">
        <v>28</v>
      </c>
      <c r="C27" s="36">
        <v>661</v>
      </c>
      <c r="D27" s="6"/>
      <c r="E27" s="113">
        <v>12739442</v>
      </c>
      <c r="F27" s="116">
        <f t="shared" si="0"/>
        <v>19272.983358547655</v>
      </c>
      <c r="G27" s="117">
        <v>6864860</v>
      </c>
      <c r="H27" s="117">
        <f t="shared" si="1"/>
        <v>10385.567322239032</v>
      </c>
      <c r="I27" s="7"/>
      <c r="J27" s="11">
        <v>2.1139999999999999</v>
      </c>
      <c r="K27" s="117">
        <v>14512</v>
      </c>
      <c r="L27" s="120">
        <f>(K27/C27)</f>
        <v>21.95461422087746</v>
      </c>
      <c r="M27" s="122">
        <f t="shared" si="3"/>
        <v>68648.600000000006</v>
      </c>
      <c r="N27" s="116">
        <f t="shared" si="4"/>
        <v>54136.600000000006</v>
      </c>
      <c r="O27" s="123">
        <f t="shared" si="5"/>
        <v>81.901059001512863</v>
      </c>
      <c r="P27" s="5"/>
      <c r="Q27" s="5">
        <f t="shared" si="6"/>
        <v>1</v>
      </c>
      <c r="R27" s="7">
        <f t="shared" si="7"/>
        <v>661</v>
      </c>
      <c r="S27" s="5">
        <f t="shared" si="8"/>
        <v>1</v>
      </c>
      <c r="T27" s="7">
        <f t="shared" si="9"/>
        <v>661</v>
      </c>
    </row>
    <row r="28" spans="1:20">
      <c r="A28" s="23" t="s">
        <v>31</v>
      </c>
      <c r="B28" s="35" t="s">
        <v>28</v>
      </c>
      <c r="C28" s="36">
        <v>5198</v>
      </c>
      <c r="D28" s="6"/>
      <c r="E28" s="113">
        <v>207054338</v>
      </c>
      <c r="F28" s="116">
        <f t="shared" si="0"/>
        <v>39833.46248557137</v>
      </c>
      <c r="G28" s="117">
        <v>111977791</v>
      </c>
      <c r="H28" s="117">
        <f t="shared" si="1"/>
        <v>21542.476144671029</v>
      </c>
      <c r="I28" s="7"/>
      <c r="J28" s="11">
        <v>4</v>
      </c>
      <c r="K28" s="117">
        <v>447911</v>
      </c>
      <c r="L28" s="120">
        <f>(K28/C28)</f>
        <v>86.169873028087721</v>
      </c>
      <c r="M28" s="122">
        <f t="shared" si="3"/>
        <v>1119777.9099999999</v>
      </c>
      <c r="N28" s="116">
        <f t="shared" si="4"/>
        <v>671866.90999999992</v>
      </c>
      <c r="O28" s="123">
        <f t="shared" si="5"/>
        <v>129.25488841862253</v>
      </c>
      <c r="P28" s="5"/>
      <c r="Q28" s="5">
        <f t="shared" si="6"/>
        <v>1</v>
      </c>
      <c r="R28" s="7">
        <f t="shared" si="7"/>
        <v>5198</v>
      </c>
      <c r="S28" s="5">
        <f t="shared" si="8"/>
        <v>1</v>
      </c>
      <c r="T28" s="7">
        <f t="shared" si="9"/>
        <v>5198</v>
      </c>
    </row>
    <row r="29" spans="1:20">
      <c r="A29" s="23" t="s">
        <v>32</v>
      </c>
      <c r="B29" s="35" t="s">
        <v>33</v>
      </c>
      <c r="C29" s="36">
        <v>8492</v>
      </c>
      <c r="D29" s="6"/>
      <c r="E29" s="113">
        <v>407558484</v>
      </c>
      <c r="F29" s="116">
        <f t="shared" si="0"/>
        <v>47993.227037211494</v>
      </c>
      <c r="G29" s="117">
        <v>352402764</v>
      </c>
      <c r="H29" s="117">
        <f t="shared" si="1"/>
        <v>41498.205840791336</v>
      </c>
      <c r="I29" s="98" t="s">
        <v>528</v>
      </c>
      <c r="J29" s="11"/>
      <c r="K29" s="117"/>
      <c r="L29" s="120"/>
      <c r="M29" s="122">
        <f t="shared" si="3"/>
        <v>3524027.64</v>
      </c>
      <c r="N29" s="116">
        <f t="shared" si="4"/>
        <v>3524027.64</v>
      </c>
      <c r="O29" s="123">
        <f t="shared" si="5"/>
        <v>414.98205840791337</v>
      </c>
      <c r="P29" s="5"/>
      <c r="Q29" s="5">
        <f t="shared" si="6"/>
        <v>1</v>
      </c>
      <c r="R29" s="7">
        <f t="shared" si="7"/>
        <v>8492</v>
      </c>
      <c r="S29" s="5">
        <f t="shared" si="8"/>
        <v>0</v>
      </c>
      <c r="T29" s="7">
        <f t="shared" si="9"/>
        <v>0</v>
      </c>
    </row>
    <row r="30" spans="1:20">
      <c r="A30" s="23" t="s">
        <v>34</v>
      </c>
      <c r="B30" s="35" t="s">
        <v>33</v>
      </c>
      <c r="C30" s="36">
        <v>17744</v>
      </c>
      <c r="D30" s="6"/>
      <c r="E30" s="113">
        <v>584825618</v>
      </c>
      <c r="F30" s="116">
        <f t="shared" si="0"/>
        <v>32959.063232642016</v>
      </c>
      <c r="G30" s="117">
        <v>341988418</v>
      </c>
      <c r="H30" s="117">
        <f t="shared" si="1"/>
        <v>19273.468101893599</v>
      </c>
      <c r="I30" s="7"/>
      <c r="J30" s="10">
        <v>4.1321000000000003</v>
      </c>
      <c r="K30" s="117">
        <v>1413130</v>
      </c>
      <c r="L30" s="120">
        <f t="shared" ref="L30:L38" si="10">(K30/C30)</f>
        <v>79.639878268710547</v>
      </c>
      <c r="M30" s="122">
        <f t="shared" si="3"/>
        <v>3419884.18</v>
      </c>
      <c r="N30" s="116">
        <f t="shared" si="4"/>
        <v>2006754.1800000002</v>
      </c>
      <c r="O30" s="123">
        <f t="shared" si="5"/>
        <v>113.09480275022544</v>
      </c>
      <c r="P30" s="5"/>
      <c r="Q30" s="5">
        <f t="shared" si="6"/>
        <v>1</v>
      </c>
      <c r="R30" s="7">
        <f t="shared" si="7"/>
        <v>17744</v>
      </c>
      <c r="S30" s="5">
        <f t="shared" si="8"/>
        <v>1</v>
      </c>
      <c r="T30" s="7">
        <f t="shared" si="9"/>
        <v>17744</v>
      </c>
    </row>
    <row r="31" spans="1:20">
      <c r="A31" s="23" t="s">
        <v>35</v>
      </c>
      <c r="B31" s="35" t="s">
        <v>33</v>
      </c>
      <c r="C31" s="36">
        <v>12818</v>
      </c>
      <c r="D31" s="6"/>
      <c r="E31" s="113">
        <v>1058376771</v>
      </c>
      <c r="F31" s="116">
        <f t="shared" si="0"/>
        <v>82569.571774067721</v>
      </c>
      <c r="G31" s="117">
        <v>831807251</v>
      </c>
      <c r="H31" s="117">
        <f t="shared" si="1"/>
        <v>64893.684740209079</v>
      </c>
      <c r="I31" s="7"/>
      <c r="J31" s="10">
        <v>5.0932000000000004</v>
      </c>
      <c r="K31" s="117">
        <v>4236560</v>
      </c>
      <c r="L31" s="120">
        <f t="shared" si="10"/>
        <v>330.51646122640039</v>
      </c>
      <c r="M31" s="122">
        <f t="shared" si="3"/>
        <v>8318072.5099999998</v>
      </c>
      <c r="N31" s="116">
        <f t="shared" si="4"/>
        <v>4081512.51</v>
      </c>
      <c r="O31" s="123">
        <f t="shared" si="5"/>
        <v>318.4203861756904</v>
      </c>
      <c r="P31" s="5"/>
      <c r="Q31" s="5">
        <f t="shared" si="6"/>
        <v>1</v>
      </c>
      <c r="R31" s="7">
        <f t="shared" si="7"/>
        <v>12818</v>
      </c>
      <c r="S31" s="5">
        <f t="shared" si="8"/>
        <v>1</v>
      </c>
      <c r="T31" s="7">
        <f t="shared" si="9"/>
        <v>12818</v>
      </c>
    </row>
    <row r="32" spans="1:20">
      <c r="A32" s="23" t="s">
        <v>36</v>
      </c>
      <c r="B32" s="35" t="s">
        <v>33</v>
      </c>
      <c r="C32" s="36">
        <v>3043</v>
      </c>
      <c r="D32" s="6"/>
      <c r="E32" s="113">
        <v>184120560</v>
      </c>
      <c r="F32" s="116">
        <f t="shared" si="0"/>
        <v>60506.263555701611</v>
      </c>
      <c r="G32" s="117">
        <v>150942810</v>
      </c>
      <c r="H32" s="117">
        <f t="shared" si="1"/>
        <v>49603.289516924087</v>
      </c>
      <c r="I32" s="7"/>
      <c r="J32" s="10">
        <v>4.9622999999999999</v>
      </c>
      <c r="K32" s="117">
        <v>749023</v>
      </c>
      <c r="L32" s="120">
        <f t="shared" si="10"/>
        <v>246.14623726585606</v>
      </c>
      <c r="M32" s="122">
        <f t="shared" si="3"/>
        <v>1509428.1</v>
      </c>
      <c r="N32" s="116">
        <f t="shared" si="4"/>
        <v>760405.10000000009</v>
      </c>
      <c r="O32" s="123">
        <f t="shared" si="5"/>
        <v>249.88665790338484</v>
      </c>
      <c r="P32" s="5"/>
      <c r="Q32" s="5">
        <f t="shared" si="6"/>
        <v>1</v>
      </c>
      <c r="R32" s="7">
        <f t="shared" si="7"/>
        <v>3043</v>
      </c>
      <c r="S32" s="5">
        <f t="shared" si="8"/>
        <v>1</v>
      </c>
      <c r="T32" s="7">
        <f t="shared" si="9"/>
        <v>3043</v>
      </c>
    </row>
    <row r="33" spans="1:20">
      <c r="A33" s="23" t="s">
        <v>37</v>
      </c>
      <c r="B33" s="35" t="s">
        <v>33</v>
      </c>
      <c r="C33" s="36">
        <v>7703</v>
      </c>
      <c r="D33" s="6"/>
      <c r="E33" s="113">
        <v>417990664</v>
      </c>
      <c r="F33" s="116">
        <f t="shared" si="0"/>
        <v>54263.360249253536</v>
      </c>
      <c r="G33" s="117">
        <v>341094544</v>
      </c>
      <c r="H33" s="117">
        <f t="shared" si="1"/>
        <v>44280.740490717901</v>
      </c>
      <c r="I33" s="7"/>
      <c r="J33" s="10">
        <v>3.6926999999999999</v>
      </c>
      <c r="K33" s="117">
        <v>1259559</v>
      </c>
      <c r="L33" s="120">
        <f t="shared" si="10"/>
        <v>163.51538361677268</v>
      </c>
      <c r="M33" s="122">
        <f t="shared" si="3"/>
        <v>3410945.44</v>
      </c>
      <c r="N33" s="116">
        <f t="shared" si="4"/>
        <v>2151386.44</v>
      </c>
      <c r="O33" s="123">
        <f t="shared" si="5"/>
        <v>279.29202129040635</v>
      </c>
      <c r="P33" s="5"/>
      <c r="Q33" s="5">
        <f t="shared" si="6"/>
        <v>1</v>
      </c>
      <c r="R33" s="7">
        <f t="shared" si="7"/>
        <v>7703</v>
      </c>
      <c r="S33" s="5">
        <f t="shared" si="8"/>
        <v>1</v>
      </c>
      <c r="T33" s="7">
        <f t="shared" si="9"/>
        <v>7703</v>
      </c>
    </row>
    <row r="34" spans="1:20">
      <c r="A34" s="23" t="s">
        <v>38</v>
      </c>
      <c r="B34" s="35" t="s">
        <v>33</v>
      </c>
      <c r="C34" s="36">
        <v>2395</v>
      </c>
      <c r="D34" s="6"/>
      <c r="E34" s="113">
        <v>146843563</v>
      </c>
      <c r="F34" s="116">
        <f t="shared" si="0"/>
        <v>61312.552400835077</v>
      </c>
      <c r="G34" s="117">
        <v>118516503</v>
      </c>
      <c r="H34" s="117">
        <f t="shared" si="1"/>
        <v>49484.969937369518</v>
      </c>
      <c r="I34" s="7"/>
      <c r="J34" s="10">
        <v>1.3956</v>
      </c>
      <c r="K34" s="117">
        <v>165401</v>
      </c>
      <c r="L34" s="120">
        <f t="shared" si="10"/>
        <v>69.060960334029232</v>
      </c>
      <c r="M34" s="122">
        <f t="shared" si="3"/>
        <v>1185165.03</v>
      </c>
      <c r="N34" s="116">
        <f t="shared" si="4"/>
        <v>1019764.03</v>
      </c>
      <c r="O34" s="123">
        <f t="shared" si="5"/>
        <v>425.78873903966598</v>
      </c>
      <c r="P34" s="5"/>
      <c r="Q34" s="5">
        <f t="shared" si="6"/>
        <v>1</v>
      </c>
      <c r="R34" s="7">
        <f t="shared" si="7"/>
        <v>2395</v>
      </c>
      <c r="S34" s="5">
        <f t="shared" si="8"/>
        <v>1</v>
      </c>
      <c r="T34" s="7">
        <f t="shared" si="9"/>
        <v>2395</v>
      </c>
    </row>
    <row r="35" spans="1:20">
      <c r="A35" s="23" t="s">
        <v>39</v>
      </c>
      <c r="B35" s="35" t="s">
        <v>33</v>
      </c>
      <c r="C35" s="36">
        <v>68056</v>
      </c>
      <c r="D35" s="6"/>
      <c r="E35" s="113">
        <v>3038445775</v>
      </c>
      <c r="F35" s="116">
        <f t="shared" si="0"/>
        <v>44646.258595862229</v>
      </c>
      <c r="G35" s="117">
        <v>2044280385</v>
      </c>
      <c r="H35" s="117">
        <f t="shared" si="1"/>
        <v>30038.209489244153</v>
      </c>
      <c r="I35" s="7"/>
      <c r="J35" s="10">
        <v>4.5228000000000002</v>
      </c>
      <c r="K35" s="117">
        <v>9245871</v>
      </c>
      <c r="L35" s="120">
        <f t="shared" si="10"/>
        <v>135.85680909838956</v>
      </c>
      <c r="M35" s="122">
        <f t="shared" si="3"/>
        <v>20442803.850000001</v>
      </c>
      <c r="N35" s="116">
        <f t="shared" si="4"/>
        <v>11196932.850000001</v>
      </c>
      <c r="O35" s="123">
        <f t="shared" si="5"/>
        <v>164.52528579405197</v>
      </c>
      <c r="P35" s="5"/>
      <c r="Q35" s="5">
        <f t="shared" si="6"/>
        <v>1</v>
      </c>
      <c r="R35" s="7">
        <f t="shared" si="7"/>
        <v>68056</v>
      </c>
      <c r="S35" s="5">
        <f t="shared" si="8"/>
        <v>1</v>
      </c>
      <c r="T35" s="7">
        <f t="shared" si="9"/>
        <v>68056</v>
      </c>
    </row>
    <row r="36" spans="1:20">
      <c r="A36" s="23" t="s">
        <v>40</v>
      </c>
      <c r="B36" s="35" t="s">
        <v>33</v>
      </c>
      <c r="C36" s="36">
        <v>3215</v>
      </c>
      <c r="D36" s="6"/>
      <c r="E36" s="113">
        <v>192354258</v>
      </c>
      <c r="F36" s="116">
        <f t="shared" si="0"/>
        <v>59830.251321928459</v>
      </c>
      <c r="G36" s="117">
        <v>155108458</v>
      </c>
      <c r="H36" s="117">
        <f t="shared" si="1"/>
        <v>48245.243545878693</v>
      </c>
      <c r="I36" s="7"/>
      <c r="J36" s="10">
        <v>3.5608</v>
      </c>
      <c r="K36" s="117">
        <v>552310</v>
      </c>
      <c r="L36" s="120">
        <f t="shared" si="10"/>
        <v>171.79160186625194</v>
      </c>
      <c r="M36" s="122">
        <f t="shared" si="3"/>
        <v>1551084.58</v>
      </c>
      <c r="N36" s="116">
        <f t="shared" si="4"/>
        <v>998774.58000000007</v>
      </c>
      <c r="O36" s="123">
        <f t="shared" si="5"/>
        <v>310.66083359253503</v>
      </c>
      <c r="P36" s="5"/>
      <c r="Q36" s="5">
        <f t="shared" si="6"/>
        <v>1</v>
      </c>
      <c r="R36" s="7">
        <f t="shared" si="7"/>
        <v>3215</v>
      </c>
      <c r="S36" s="5">
        <f t="shared" si="8"/>
        <v>1</v>
      </c>
      <c r="T36" s="7">
        <f t="shared" si="9"/>
        <v>3215</v>
      </c>
    </row>
    <row r="37" spans="1:20">
      <c r="A37" s="23" t="s">
        <v>41</v>
      </c>
      <c r="B37" s="35" t="s">
        <v>33</v>
      </c>
      <c r="C37" s="36">
        <v>616</v>
      </c>
      <c r="D37" s="6"/>
      <c r="E37" s="113">
        <v>37130415</v>
      </c>
      <c r="F37" s="116">
        <f t="shared" si="0"/>
        <v>60276.647727272728</v>
      </c>
      <c r="G37" s="117">
        <v>29941525</v>
      </c>
      <c r="H37" s="117">
        <f t="shared" si="1"/>
        <v>48606.371753246756</v>
      </c>
      <c r="I37" s="7"/>
      <c r="J37" s="10">
        <v>3.5493000000000001</v>
      </c>
      <c r="K37" s="117">
        <v>106271</v>
      </c>
      <c r="L37" s="120">
        <f t="shared" si="10"/>
        <v>172.51785714285714</v>
      </c>
      <c r="M37" s="122">
        <f t="shared" si="3"/>
        <v>299415.25</v>
      </c>
      <c r="N37" s="116">
        <f t="shared" si="4"/>
        <v>193144.25</v>
      </c>
      <c r="O37" s="123">
        <f t="shared" si="5"/>
        <v>313.54586038961037</v>
      </c>
      <c r="P37" s="5"/>
      <c r="Q37" s="5">
        <f t="shared" si="6"/>
        <v>1</v>
      </c>
      <c r="R37" s="7">
        <f t="shared" si="7"/>
        <v>616</v>
      </c>
      <c r="S37" s="5">
        <f t="shared" si="8"/>
        <v>1</v>
      </c>
      <c r="T37" s="7">
        <f t="shared" si="9"/>
        <v>616</v>
      </c>
    </row>
    <row r="38" spans="1:20">
      <c r="A38" s="23" t="s">
        <v>42</v>
      </c>
      <c r="B38" s="35" t="s">
        <v>33</v>
      </c>
      <c r="C38" s="36">
        <v>75987</v>
      </c>
      <c r="D38" s="6"/>
      <c r="E38" s="113">
        <v>2491828678</v>
      </c>
      <c r="F38" s="116">
        <f t="shared" ref="F38:F69" si="11">(E38/C38)</f>
        <v>32792.828747022519</v>
      </c>
      <c r="G38" s="117">
        <v>1783936791</v>
      </c>
      <c r="H38" s="117">
        <f t="shared" ref="H38:H69" si="12">(G38/C38)</f>
        <v>23476.86829326069</v>
      </c>
      <c r="I38" s="7"/>
      <c r="J38" s="10">
        <v>3.2942</v>
      </c>
      <c r="K38" s="117">
        <v>5876644</v>
      </c>
      <c r="L38" s="120">
        <f t="shared" si="10"/>
        <v>77.337491939410683</v>
      </c>
      <c r="M38" s="122">
        <f t="shared" si="3"/>
        <v>17839367.91</v>
      </c>
      <c r="N38" s="116">
        <f t="shared" si="4"/>
        <v>11962723.91</v>
      </c>
      <c r="O38" s="123">
        <f t="shared" si="5"/>
        <v>157.4311909931962</v>
      </c>
      <c r="P38" s="5"/>
      <c r="Q38" s="5">
        <f t="shared" si="6"/>
        <v>1</v>
      </c>
      <c r="R38" s="7">
        <f t="shared" si="7"/>
        <v>75987</v>
      </c>
      <c r="S38" s="5">
        <f t="shared" si="8"/>
        <v>1</v>
      </c>
      <c r="T38" s="7">
        <f t="shared" si="9"/>
        <v>75987</v>
      </c>
    </row>
    <row r="39" spans="1:20">
      <c r="A39" s="23" t="s">
        <v>43</v>
      </c>
      <c r="B39" s="35" t="s">
        <v>33</v>
      </c>
      <c r="C39" s="36">
        <v>586</v>
      </c>
      <c r="D39" s="6"/>
      <c r="E39" s="113">
        <v>28317097</v>
      </c>
      <c r="F39" s="116">
        <f t="shared" si="11"/>
        <v>48322.69112627986</v>
      </c>
      <c r="G39" s="117">
        <v>23150617</v>
      </c>
      <c r="H39" s="117">
        <f t="shared" si="12"/>
        <v>39506.172354948809</v>
      </c>
      <c r="I39" s="98" t="s">
        <v>528</v>
      </c>
      <c r="J39" s="10"/>
      <c r="K39" s="117"/>
      <c r="L39" s="120"/>
      <c r="M39" s="122">
        <f t="shared" si="3"/>
        <v>231506.17</v>
      </c>
      <c r="N39" s="116">
        <f t="shared" si="4"/>
        <v>231506.17</v>
      </c>
      <c r="O39" s="123">
        <f t="shared" si="5"/>
        <v>395.06172354948808</v>
      </c>
      <c r="P39" s="5"/>
      <c r="Q39" s="5">
        <f t="shared" si="6"/>
        <v>1</v>
      </c>
      <c r="R39" s="7">
        <f t="shared" si="7"/>
        <v>586</v>
      </c>
      <c r="S39" s="5">
        <f t="shared" si="8"/>
        <v>0</v>
      </c>
      <c r="T39" s="7">
        <f t="shared" si="9"/>
        <v>0</v>
      </c>
    </row>
    <row r="40" spans="1:20">
      <c r="A40" s="23" t="s">
        <v>44</v>
      </c>
      <c r="B40" s="35" t="s">
        <v>33</v>
      </c>
      <c r="C40" s="36">
        <v>18948</v>
      </c>
      <c r="D40" s="6"/>
      <c r="E40" s="113">
        <v>786155263</v>
      </c>
      <c r="F40" s="116">
        <f t="shared" si="11"/>
        <v>41490.144764618955</v>
      </c>
      <c r="G40" s="117">
        <v>541469659</v>
      </c>
      <c r="H40" s="117">
        <f t="shared" si="12"/>
        <v>28576.612782351698</v>
      </c>
      <c r="I40" s="7"/>
      <c r="J40" s="10">
        <v>5.36</v>
      </c>
      <c r="K40" s="117">
        <v>2902277</v>
      </c>
      <c r="L40" s="120">
        <f>(K40/C40)</f>
        <v>153.17062486805995</v>
      </c>
      <c r="M40" s="122">
        <f t="shared" si="3"/>
        <v>5414696.5899999999</v>
      </c>
      <c r="N40" s="116">
        <f t="shared" si="4"/>
        <v>2512419.59</v>
      </c>
      <c r="O40" s="123">
        <f t="shared" si="5"/>
        <v>132.59550295545702</v>
      </c>
      <c r="P40" s="5"/>
      <c r="Q40" s="5">
        <f t="shared" si="6"/>
        <v>1</v>
      </c>
      <c r="R40" s="7">
        <f t="shared" si="7"/>
        <v>18948</v>
      </c>
      <c r="S40" s="5">
        <f t="shared" si="8"/>
        <v>1</v>
      </c>
      <c r="T40" s="7">
        <f t="shared" si="9"/>
        <v>18948</v>
      </c>
    </row>
    <row r="41" spans="1:20">
      <c r="A41" s="23" t="s">
        <v>45</v>
      </c>
      <c r="B41" s="35" t="s">
        <v>33</v>
      </c>
      <c r="C41" s="36">
        <v>10212</v>
      </c>
      <c r="D41" s="6"/>
      <c r="E41" s="113">
        <v>460280392</v>
      </c>
      <c r="F41" s="116">
        <f t="shared" si="11"/>
        <v>45072.502154328242</v>
      </c>
      <c r="G41" s="117">
        <v>349246292</v>
      </c>
      <c r="H41" s="117">
        <f t="shared" si="12"/>
        <v>34199.597728162946</v>
      </c>
      <c r="I41" s="7"/>
      <c r="J41" s="10">
        <v>5.8209999999999997</v>
      </c>
      <c r="K41" s="121">
        <v>2032962</v>
      </c>
      <c r="L41" s="120">
        <f>(K41/C41)</f>
        <v>199.07579318448884</v>
      </c>
      <c r="M41" s="122">
        <f t="shared" si="3"/>
        <v>3492462.92</v>
      </c>
      <c r="N41" s="116">
        <f t="shared" si="4"/>
        <v>1459500.92</v>
      </c>
      <c r="O41" s="123">
        <f t="shared" si="5"/>
        <v>142.92018409714061</v>
      </c>
      <c r="P41" s="5"/>
      <c r="Q41" s="5">
        <f t="shared" si="6"/>
        <v>1</v>
      </c>
      <c r="R41" s="7">
        <f t="shared" si="7"/>
        <v>10212</v>
      </c>
      <c r="S41" s="5">
        <f t="shared" si="8"/>
        <v>1</v>
      </c>
      <c r="T41" s="7">
        <f t="shared" si="9"/>
        <v>10212</v>
      </c>
    </row>
    <row r="42" spans="1:20">
      <c r="A42" s="23" t="s">
        <v>46</v>
      </c>
      <c r="B42" s="35" t="s">
        <v>33</v>
      </c>
      <c r="C42" s="36">
        <v>41376</v>
      </c>
      <c r="D42" s="6"/>
      <c r="E42" s="113">
        <v>1455658642</v>
      </c>
      <c r="F42" s="116">
        <f t="shared" si="11"/>
        <v>35181.231680201083</v>
      </c>
      <c r="G42" s="117">
        <v>972230520</v>
      </c>
      <c r="H42" s="117">
        <f t="shared" si="12"/>
        <v>23497.450696055683</v>
      </c>
      <c r="I42" s="7"/>
      <c r="J42" s="10">
        <v>4.4729000000000001</v>
      </c>
      <c r="K42" s="117">
        <v>4348689</v>
      </c>
      <c r="L42" s="120">
        <f>(K42/C42)</f>
        <v>105.10172563805105</v>
      </c>
      <c r="M42" s="122">
        <f t="shared" si="3"/>
        <v>9722305.2000000011</v>
      </c>
      <c r="N42" s="116">
        <f t="shared" si="4"/>
        <v>5373616.2000000011</v>
      </c>
      <c r="O42" s="123">
        <f t="shared" si="5"/>
        <v>129.87278132250583</v>
      </c>
      <c r="P42" s="5"/>
      <c r="Q42" s="5">
        <f t="shared" si="6"/>
        <v>1</v>
      </c>
      <c r="R42" s="7">
        <f t="shared" si="7"/>
        <v>41376</v>
      </c>
      <c r="S42" s="5">
        <f t="shared" si="8"/>
        <v>1</v>
      </c>
      <c r="T42" s="7">
        <f t="shared" si="9"/>
        <v>41376</v>
      </c>
    </row>
    <row r="43" spans="1:20">
      <c r="A43" s="23" t="s">
        <v>47</v>
      </c>
      <c r="B43" s="35" t="s">
        <v>33</v>
      </c>
      <c r="C43" s="36">
        <v>9418</v>
      </c>
      <c r="D43" s="6"/>
      <c r="E43" s="113">
        <v>472898338</v>
      </c>
      <c r="F43" s="116">
        <f t="shared" si="11"/>
        <v>50212.182841367598</v>
      </c>
      <c r="G43" s="117">
        <v>362512288</v>
      </c>
      <c r="H43" s="117">
        <f t="shared" si="12"/>
        <v>38491.430027606708</v>
      </c>
      <c r="I43" s="98" t="s">
        <v>528</v>
      </c>
      <c r="J43" s="10"/>
      <c r="K43" s="117"/>
      <c r="L43" s="120"/>
      <c r="M43" s="122">
        <f t="shared" si="3"/>
        <v>3625122.88</v>
      </c>
      <c r="N43" s="116">
        <f t="shared" si="4"/>
        <v>3625122.88</v>
      </c>
      <c r="O43" s="123">
        <f t="shared" si="5"/>
        <v>384.91430027606708</v>
      </c>
      <c r="P43" s="5"/>
      <c r="Q43" s="5">
        <f t="shared" si="6"/>
        <v>1</v>
      </c>
      <c r="R43" s="7">
        <f t="shared" si="7"/>
        <v>9418</v>
      </c>
      <c r="S43" s="5">
        <f t="shared" si="8"/>
        <v>0</v>
      </c>
      <c r="T43" s="7">
        <f t="shared" si="9"/>
        <v>0</v>
      </c>
    </row>
    <row r="44" spans="1:20">
      <c r="A44" s="23" t="s">
        <v>48</v>
      </c>
      <c r="B44" s="35" t="s">
        <v>49</v>
      </c>
      <c r="C44" s="36">
        <v>35949</v>
      </c>
      <c r="D44" s="6"/>
      <c r="E44" s="113">
        <v>1672153091</v>
      </c>
      <c r="F44" s="116">
        <f t="shared" si="11"/>
        <v>46514.592645136167</v>
      </c>
      <c r="G44" s="117">
        <v>1234694158</v>
      </c>
      <c r="H44" s="117">
        <f t="shared" si="12"/>
        <v>34345.716375977077</v>
      </c>
      <c r="I44" s="7"/>
      <c r="J44" s="11">
        <v>4.6963999999999997</v>
      </c>
      <c r="K44" s="117">
        <v>5798617</v>
      </c>
      <c r="L44" s="120">
        <f t="shared" ref="L44:L70" si="13">(K44/C44)</f>
        <v>161.3012044841303</v>
      </c>
      <c r="M44" s="122">
        <f t="shared" si="3"/>
        <v>12346941.58</v>
      </c>
      <c r="N44" s="116">
        <f t="shared" si="4"/>
        <v>6548324.5800000001</v>
      </c>
      <c r="O44" s="123">
        <f t="shared" si="5"/>
        <v>182.1559592756405</v>
      </c>
      <c r="P44" s="5"/>
      <c r="Q44" s="5">
        <f t="shared" si="6"/>
        <v>1</v>
      </c>
      <c r="R44" s="7">
        <f t="shared" si="7"/>
        <v>35949</v>
      </c>
      <c r="S44" s="5">
        <f t="shared" si="8"/>
        <v>1</v>
      </c>
      <c r="T44" s="7">
        <f t="shared" si="9"/>
        <v>35949</v>
      </c>
    </row>
    <row r="45" spans="1:20">
      <c r="A45" s="23" t="s">
        <v>50</v>
      </c>
      <c r="B45" s="35" t="s">
        <v>49</v>
      </c>
      <c r="C45" s="36">
        <v>27920</v>
      </c>
      <c r="D45" s="6"/>
      <c r="E45" s="113">
        <v>1264693435</v>
      </c>
      <c r="F45" s="116">
        <f t="shared" si="11"/>
        <v>45297.042800859599</v>
      </c>
      <c r="G45" s="117">
        <v>966443799</v>
      </c>
      <c r="H45" s="117">
        <f t="shared" si="12"/>
        <v>34614.749247851003</v>
      </c>
      <c r="I45" s="7"/>
      <c r="J45" s="10">
        <v>4.9569999999999999</v>
      </c>
      <c r="K45" s="117">
        <v>4790661</v>
      </c>
      <c r="L45" s="120">
        <f t="shared" si="13"/>
        <v>171.5852793696275</v>
      </c>
      <c r="M45" s="122">
        <f t="shared" si="3"/>
        <v>9664437.9900000002</v>
      </c>
      <c r="N45" s="116">
        <f t="shared" si="4"/>
        <v>4873776.99</v>
      </c>
      <c r="O45" s="123">
        <f t="shared" si="5"/>
        <v>174.56221310888253</v>
      </c>
      <c r="P45" s="5"/>
      <c r="Q45" s="5">
        <f t="shared" si="6"/>
        <v>1</v>
      </c>
      <c r="R45" s="7">
        <f t="shared" si="7"/>
        <v>27920</v>
      </c>
      <c r="S45" s="5">
        <f t="shared" si="8"/>
        <v>1</v>
      </c>
      <c r="T45" s="7">
        <f t="shared" si="9"/>
        <v>27920</v>
      </c>
    </row>
    <row r="46" spans="1:20">
      <c r="A46" s="23" t="s">
        <v>51</v>
      </c>
      <c r="B46" s="35" t="s">
        <v>49</v>
      </c>
      <c r="C46" s="36">
        <v>102916</v>
      </c>
      <c r="D46" s="6"/>
      <c r="E46" s="113">
        <v>4920641203</v>
      </c>
      <c r="F46" s="116">
        <f t="shared" si="11"/>
        <v>47812.208043452913</v>
      </c>
      <c r="G46" s="117">
        <v>4166857965</v>
      </c>
      <c r="H46" s="117">
        <f t="shared" si="12"/>
        <v>40487.950998872868</v>
      </c>
      <c r="I46" s="7"/>
      <c r="J46" s="10">
        <v>3.4011</v>
      </c>
      <c r="K46" s="117">
        <v>14171900</v>
      </c>
      <c r="L46" s="120">
        <f t="shared" si="13"/>
        <v>137.70356407167009</v>
      </c>
      <c r="M46" s="122">
        <f t="shared" si="3"/>
        <v>41668579.649999999</v>
      </c>
      <c r="N46" s="116">
        <f t="shared" si="4"/>
        <v>27496679.649999999</v>
      </c>
      <c r="O46" s="123">
        <f t="shared" si="5"/>
        <v>267.17594591705858</v>
      </c>
      <c r="P46" s="5"/>
      <c r="Q46" s="5">
        <f t="shared" si="6"/>
        <v>1</v>
      </c>
      <c r="R46" s="7">
        <f t="shared" si="7"/>
        <v>102916</v>
      </c>
      <c r="S46" s="5">
        <f t="shared" si="8"/>
        <v>1</v>
      </c>
      <c r="T46" s="7">
        <f t="shared" si="9"/>
        <v>102916</v>
      </c>
    </row>
    <row r="47" spans="1:20">
      <c r="A47" s="23" t="s">
        <v>464</v>
      </c>
      <c r="B47" s="35" t="s">
        <v>49</v>
      </c>
      <c r="C47" s="36">
        <v>17478</v>
      </c>
      <c r="D47" s="6"/>
      <c r="E47" s="113">
        <v>1095433668</v>
      </c>
      <c r="F47" s="116">
        <f t="shared" si="11"/>
        <v>62675.001029866115</v>
      </c>
      <c r="G47" s="117">
        <v>867612489</v>
      </c>
      <c r="H47" s="117">
        <f t="shared" si="12"/>
        <v>49640.261414349465</v>
      </c>
      <c r="I47" s="7"/>
      <c r="J47" s="10">
        <v>6.1</v>
      </c>
      <c r="K47" s="117">
        <v>5292436</v>
      </c>
      <c r="L47" s="120">
        <f t="shared" si="13"/>
        <v>302.8055841629477</v>
      </c>
      <c r="M47" s="122">
        <f t="shared" si="3"/>
        <v>8676124.8900000006</v>
      </c>
      <c r="N47" s="116">
        <f t="shared" si="4"/>
        <v>3383688.8900000006</v>
      </c>
      <c r="O47" s="123">
        <f t="shared" si="5"/>
        <v>193.59702998054701</v>
      </c>
      <c r="P47" s="5"/>
      <c r="Q47" s="5">
        <f t="shared" si="6"/>
        <v>1</v>
      </c>
      <c r="R47" s="7">
        <f t="shared" si="7"/>
        <v>17478</v>
      </c>
      <c r="S47" s="5">
        <f t="shared" si="8"/>
        <v>1</v>
      </c>
      <c r="T47" s="7">
        <f t="shared" si="9"/>
        <v>17478</v>
      </c>
    </row>
    <row r="48" spans="1:20">
      <c r="A48" s="23" t="s">
        <v>52</v>
      </c>
      <c r="B48" s="35" t="s">
        <v>49</v>
      </c>
      <c r="C48" s="36">
        <v>61813</v>
      </c>
      <c r="D48" s="6"/>
      <c r="E48" s="113">
        <v>3209991118</v>
      </c>
      <c r="F48" s="116">
        <f t="shared" si="11"/>
        <v>51930.679921699317</v>
      </c>
      <c r="G48" s="117">
        <v>2422370133</v>
      </c>
      <c r="H48" s="117">
        <f t="shared" si="12"/>
        <v>39188.684144112078</v>
      </c>
      <c r="I48" s="7"/>
      <c r="J48" s="11">
        <v>5.1086</v>
      </c>
      <c r="K48" s="117">
        <v>12374920</v>
      </c>
      <c r="L48" s="120">
        <f t="shared" si="13"/>
        <v>200.19931082458382</v>
      </c>
      <c r="M48" s="122">
        <f t="shared" si="3"/>
        <v>24223701.330000002</v>
      </c>
      <c r="N48" s="116">
        <f t="shared" si="4"/>
        <v>11848781.330000002</v>
      </c>
      <c r="O48" s="123">
        <f t="shared" si="5"/>
        <v>191.687530616537</v>
      </c>
      <c r="P48" s="5"/>
      <c r="Q48" s="5">
        <f t="shared" si="6"/>
        <v>1</v>
      </c>
      <c r="R48" s="7">
        <f t="shared" si="7"/>
        <v>61813</v>
      </c>
      <c r="S48" s="5">
        <f t="shared" si="8"/>
        <v>1</v>
      </c>
      <c r="T48" s="7">
        <f t="shared" si="9"/>
        <v>61813</v>
      </c>
    </row>
    <row r="49" spans="1:20">
      <c r="A49" s="23" t="s">
        <v>53</v>
      </c>
      <c r="B49" s="35" t="s">
        <v>49</v>
      </c>
      <c r="C49" s="36">
        <v>49384</v>
      </c>
      <c r="D49" s="6"/>
      <c r="E49" s="113">
        <v>2941590597</v>
      </c>
      <c r="F49" s="116">
        <f t="shared" si="11"/>
        <v>59565.660882067066</v>
      </c>
      <c r="G49" s="117">
        <v>2389445118</v>
      </c>
      <c r="H49" s="117">
        <f t="shared" si="12"/>
        <v>48385.00562935364</v>
      </c>
      <c r="I49" s="7"/>
      <c r="J49" s="10">
        <v>5.6143999999999998</v>
      </c>
      <c r="K49" s="117">
        <v>13415300</v>
      </c>
      <c r="L49" s="120">
        <f t="shared" si="13"/>
        <v>271.65276202818728</v>
      </c>
      <c r="M49" s="122">
        <f t="shared" si="3"/>
        <v>23894451.18</v>
      </c>
      <c r="N49" s="116">
        <f t="shared" si="4"/>
        <v>10479151.18</v>
      </c>
      <c r="O49" s="123">
        <f t="shared" si="5"/>
        <v>212.19729426534909</v>
      </c>
      <c r="P49" s="5"/>
      <c r="Q49" s="5">
        <f t="shared" si="6"/>
        <v>1</v>
      </c>
      <c r="R49" s="7">
        <f t="shared" si="7"/>
        <v>49384</v>
      </c>
      <c r="S49" s="5">
        <f t="shared" si="8"/>
        <v>1</v>
      </c>
      <c r="T49" s="7">
        <f t="shared" si="9"/>
        <v>49384</v>
      </c>
    </row>
    <row r="50" spans="1:20">
      <c r="A50" s="23" t="s">
        <v>54</v>
      </c>
      <c r="B50" s="35" t="s">
        <v>49</v>
      </c>
      <c r="C50" s="36">
        <v>150175</v>
      </c>
      <c r="D50" s="6"/>
      <c r="E50" s="113">
        <v>12637005304</v>
      </c>
      <c r="F50" s="116">
        <f t="shared" si="11"/>
        <v>84148.528743133007</v>
      </c>
      <c r="G50" s="117">
        <v>10220503216</v>
      </c>
      <c r="H50" s="117">
        <f t="shared" si="12"/>
        <v>68057.287937406363</v>
      </c>
      <c r="I50" s="7"/>
      <c r="J50" s="10">
        <v>5.0632999999999999</v>
      </c>
      <c r="K50" s="117">
        <v>51749473</v>
      </c>
      <c r="L50" s="120">
        <f t="shared" si="13"/>
        <v>344.59445979690361</v>
      </c>
      <c r="M50" s="122">
        <f t="shared" si="3"/>
        <v>102205032.16</v>
      </c>
      <c r="N50" s="116">
        <f t="shared" si="4"/>
        <v>50455559.159999996</v>
      </c>
      <c r="O50" s="123">
        <f t="shared" si="5"/>
        <v>335.97841957715997</v>
      </c>
      <c r="P50" s="5"/>
      <c r="Q50" s="5">
        <f t="shared" si="6"/>
        <v>1</v>
      </c>
      <c r="R50" s="7">
        <f t="shared" si="7"/>
        <v>150175</v>
      </c>
      <c r="S50" s="5">
        <f t="shared" si="8"/>
        <v>1</v>
      </c>
      <c r="T50" s="7">
        <f t="shared" si="9"/>
        <v>150175</v>
      </c>
    </row>
    <row r="51" spans="1:20">
      <c r="A51" s="23" t="s">
        <v>465</v>
      </c>
      <c r="B51" s="35" t="s">
        <v>49</v>
      </c>
      <c r="C51" s="36">
        <v>31470</v>
      </c>
      <c r="D51" s="6"/>
      <c r="E51" s="113">
        <v>1629830257</v>
      </c>
      <c r="F51" s="116">
        <f t="shared" si="11"/>
        <v>51789.966857324434</v>
      </c>
      <c r="G51" s="117">
        <v>1346161191</v>
      </c>
      <c r="H51" s="117">
        <f t="shared" si="12"/>
        <v>42776.014966634888</v>
      </c>
      <c r="I51" s="7"/>
      <c r="J51" s="10">
        <v>6.9870000000000001</v>
      </c>
      <c r="K51" s="117">
        <v>9405628</v>
      </c>
      <c r="L51" s="120">
        <f t="shared" si="13"/>
        <v>298.87600889736257</v>
      </c>
      <c r="M51" s="122">
        <f t="shared" si="3"/>
        <v>13461611.91</v>
      </c>
      <c r="N51" s="116">
        <f t="shared" si="4"/>
        <v>4055983.91</v>
      </c>
      <c r="O51" s="123">
        <f t="shared" si="5"/>
        <v>128.88414076898633</v>
      </c>
      <c r="P51" s="5"/>
      <c r="Q51" s="5">
        <f t="shared" si="6"/>
        <v>1</v>
      </c>
      <c r="R51" s="7">
        <f t="shared" si="7"/>
        <v>31470</v>
      </c>
      <c r="S51" s="5">
        <f t="shared" si="8"/>
        <v>1</v>
      </c>
      <c r="T51" s="7">
        <f t="shared" si="9"/>
        <v>31470</v>
      </c>
    </row>
    <row r="52" spans="1:20">
      <c r="A52" s="23" t="s">
        <v>55</v>
      </c>
      <c r="B52" s="35" t="s">
        <v>49</v>
      </c>
      <c r="C52" s="36">
        <v>1761</v>
      </c>
      <c r="D52" s="6"/>
      <c r="E52" s="113">
        <v>429459944</v>
      </c>
      <c r="F52" s="116">
        <f t="shared" si="11"/>
        <v>243872.76774559909</v>
      </c>
      <c r="G52" s="117">
        <v>403084504</v>
      </c>
      <c r="H52" s="117">
        <f t="shared" si="12"/>
        <v>228895.23225440091</v>
      </c>
      <c r="I52" s="7"/>
      <c r="J52" s="10">
        <v>4.0389999999999997</v>
      </c>
      <c r="K52" s="117">
        <v>1628058</v>
      </c>
      <c r="L52" s="120">
        <f t="shared" si="13"/>
        <v>924.50766609880748</v>
      </c>
      <c r="M52" s="122">
        <f t="shared" si="3"/>
        <v>4030845.04</v>
      </c>
      <c r="N52" s="116">
        <f t="shared" si="4"/>
        <v>2402787.04</v>
      </c>
      <c r="O52" s="123">
        <f t="shared" si="5"/>
        <v>1364.4446564452016</v>
      </c>
      <c r="P52" s="5"/>
      <c r="Q52" s="5">
        <f t="shared" si="6"/>
        <v>1</v>
      </c>
      <c r="R52" s="7">
        <f t="shared" si="7"/>
        <v>1761</v>
      </c>
      <c r="S52" s="5">
        <f t="shared" si="8"/>
        <v>1</v>
      </c>
      <c r="T52" s="7">
        <f t="shared" si="9"/>
        <v>1761</v>
      </c>
    </row>
    <row r="53" spans="1:20">
      <c r="A53" s="23" t="s">
        <v>56</v>
      </c>
      <c r="B53" s="35" t="s">
        <v>49</v>
      </c>
      <c r="C53" s="36">
        <v>126522</v>
      </c>
      <c r="D53" s="6"/>
      <c r="E53" s="113">
        <v>6617631740</v>
      </c>
      <c r="F53" s="116">
        <f t="shared" si="11"/>
        <v>52304.198005090024</v>
      </c>
      <c r="G53" s="117">
        <v>5135435192</v>
      </c>
      <c r="H53" s="117">
        <f t="shared" si="12"/>
        <v>40589.266625567092</v>
      </c>
      <c r="I53" s="7"/>
      <c r="J53" s="10">
        <v>5.9999000000000002</v>
      </c>
      <c r="K53" s="117">
        <v>30812097</v>
      </c>
      <c r="L53" s="120">
        <f t="shared" si="13"/>
        <v>243.53153601745151</v>
      </c>
      <c r="M53" s="122">
        <f t="shared" si="3"/>
        <v>51354351.920000002</v>
      </c>
      <c r="N53" s="116">
        <f t="shared" si="4"/>
        <v>20542254.920000002</v>
      </c>
      <c r="O53" s="123">
        <f t="shared" si="5"/>
        <v>162.36113023821946</v>
      </c>
      <c r="P53" s="5"/>
      <c r="Q53" s="5">
        <f t="shared" si="6"/>
        <v>1</v>
      </c>
      <c r="R53" s="7">
        <f t="shared" si="7"/>
        <v>126522</v>
      </c>
      <c r="S53" s="5">
        <f t="shared" si="8"/>
        <v>1</v>
      </c>
      <c r="T53" s="7">
        <f t="shared" si="9"/>
        <v>126522</v>
      </c>
    </row>
    <row r="54" spans="1:20">
      <c r="A54" s="23" t="s">
        <v>57</v>
      </c>
      <c r="B54" s="35" t="s">
        <v>49</v>
      </c>
      <c r="C54" s="36">
        <v>27854</v>
      </c>
      <c r="D54" s="6"/>
      <c r="E54" s="113">
        <v>840307630</v>
      </c>
      <c r="F54" s="116">
        <f t="shared" si="11"/>
        <v>30168.292884325412</v>
      </c>
      <c r="G54" s="117">
        <v>610694686</v>
      </c>
      <c r="H54" s="117">
        <f t="shared" si="12"/>
        <v>21924.846916062324</v>
      </c>
      <c r="I54" s="7"/>
      <c r="J54" s="10">
        <v>4.95</v>
      </c>
      <c r="K54" s="117">
        <v>3022938</v>
      </c>
      <c r="L54" s="120">
        <f t="shared" si="13"/>
        <v>108.52796725784448</v>
      </c>
      <c r="M54" s="122">
        <f t="shared" si="3"/>
        <v>6106946.8600000003</v>
      </c>
      <c r="N54" s="116">
        <f t="shared" si="4"/>
        <v>3084008.8600000003</v>
      </c>
      <c r="O54" s="123">
        <f t="shared" si="5"/>
        <v>110.72050190277879</v>
      </c>
      <c r="P54" s="5"/>
      <c r="Q54" s="5">
        <f t="shared" si="6"/>
        <v>1</v>
      </c>
      <c r="R54" s="7">
        <f t="shared" si="7"/>
        <v>27854</v>
      </c>
      <c r="S54" s="5">
        <f t="shared" si="8"/>
        <v>1</v>
      </c>
      <c r="T54" s="7">
        <f t="shared" si="9"/>
        <v>27854</v>
      </c>
    </row>
    <row r="55" spans="1:20">
      <c r="A55" s="24" t="s">
        <v>560</v>
      </c>
      <c r="B55" s="35" t="s">
        <v>49</v>
      </c>
      <c r="C55" s="36">
        <v>2985</v>
      </c>
      <c r="D55" s="6"/>
      <c r="E55" s="113">
        <v>454342296</v>
      </c>
      <c r="F55" s="116">
        <f t="shared" si="11"/>
        <v>152208.47437185931</v>
      </c>
      <c r="G55" s="117">
        <v>423314782</v>
      </c>
      <c r="H55" s="117">
        <f t="shared" si="12"/>
        <v>141813.997319933</v>
      </c>
      <c r="I55" s="7"/>
      <c r="J55" s="10">
        <v>3.85</v>
      </c>
      <c r="K55" s="117">
        <v>1629761</v>
      </c>
      <c r="L55" s="120">
        <f t="shared" si="13"/>
        <v>545.98358458961479</v>
      </c>
      <c r="M55" s="122">
        <f t="shared" si="3"/>
        <v>4233147.82</v>
      </c>
      <c r="N55" s="116">
        <f t="shared" si="4"/>
        <v>2603386.8200000003</v>
      </c>
      <c r="O55" s="123">
        <f t="shared" si="5"/>
        <v>872.15638860971535</v>
      </c>
      <c r="P55" s="5"/>
      <c r="Q55" s="5">
        <f t="shared" si="6"/>
        <v>1</v>
      </c>
      <c r="R55" s="7">
        <f t="shared" si="7"/>
        <v>2985</v>
      </c>
      <c r="S55" s="5">
        <f t="shared" si="8"/>
        <v>1</v>
      </c>
      <c r="T55" s="7">
        <f t="shared" si="9"/>
        <v>2985</v>
      </c>
    </row>
    <row r="56" spans="1:20">
      <c r="A56" s="23" t="s">
        <v>58</v>
      </c>
      <c r="B56" s="35" t="s">
        <v>49</v>
      </c>
      <c r="C56" s="36">
        <v>50198</v>
      </c>
      <c r="D56" s="6"/>
      <c r="E56" s="113">
        <v>1548525587</v>
      </c>
      <c r="F56" s="116">
        <f t="shared" si="11"/>
        <v>30848.35226503048</v>
      </c>
      <c r="G56" s="117">
        <v>1207543398</v>
      </c>
      <c r="H56" s="117">
        <f t="shared" si="12"/>
        <v>24055.607753296943</v>
      </c>
      <c r="I56" s="7"/>
      <c r="J56" s="10">
        <v>4.45</v>
      </c>
      <c r="K56" s="117">
        <v>5373568</v>
      </c>
      <c r="L56" s="120">
        <f t="shared" si="13"/>
        <v>107.04745208972469</v>
      </c>
      <c r="M56" s="122">
        <f t="shared" si="3"/>
        <v>12075433.98</v>
      </c>
      <c r="N56" s="116">
        <f t="shared" si="4"/>
        <v>6701865.9800000004</v>
      </c>
      <c r="O56" s="123">
        <f t="shared" si="5"/>
        <v>133.50862544324477</v>
      </c>
      <c r="P56" s="5"/>
      <c r="Q56" s="5">
        <f t="shared" si="6"/>
        <v>1</v>
      </c>
      <c r="R56" s="7">
        <f t="shared" si="7"/>
        <v>50198</v>
      </c>
      <c r="S56" s="5">
        <f t="shared" si="8"/>
        <v>1</v>
      </c>
      <c r="T56" s="7">
        <f t="shared" si="9"/>
        <v>50198</v>
      </c>
    </row>
    <row r="57" spans="1:20">
      <c r="A57" s="23" t="s">
        <v>59</v>
      </c>
      <c r="B57" s="35" t="s">
        <v>49</v>
      </c>
      <c r="C57" s="36">
        <v>36</v>
      </c>
      <c r="D57" s="6"/>
      <c r="E57" s="113">
        <v>2121981</v>
      </c>
      <c r="F57" s="116">
        <f t="shared" si="11"/>
        <v>58943.916666666664</v>
      </c>
      <c r="G57" s="117">
        <v>1905971</v>
      </c>
      <c r="H57" s="117">
        <f t="shared" si="12"/>
        <v>52943.638888888891</v>
      </c>
      <c r="I57" s="7"/>
      <c r="J57" s="10">
        <v>2.84</v>
      </c>
      <c r="K57" s="117">
        <v>5412</v>
      </c>
      <c r="L57" s="120">
        <f t="shared" si="13"/>
        <v>150.33333333333334</v>
      </c>
      <c r="M57" s="122">
        <f t="shared" si="3"/>
        <v>19059.71</v>
      </c>
      <c r="N57" s="116">
        <f t="shared" si="4"/>
        <v>13647.71</v>
      </c>
      <c r="O57" s="123">
        <f t="shared" si="5"/>
        <v>379.10305555555556</v>
      </c>
      <c r="P57" s="5"/>
      <c r="Q57" s="5">
        <f t="shared" si="6"/>
        <v>1</v>
      </c>
      <c r="R57" s="7">
        <f t="shared" si="7"/>
        <v>36</v>
      </c>
      <c r="S57" s="5">
        <f t="shared" si="8"/>
        <v>1</v>
      </c>
      <c r="T57" s="7">
        <f t="shared" si="9"/>
        <v>36</v>
      </c>
    </row>
    <row r="58" spans="1:20">
      <c r="A58" s="23" t="s">
        <v>60</v>
      </c>
      <c r="B58" s="35" t="s">
        <v>49</v>
      </c>
      <c r="C58" s="36">
        <v>10469</v>
      </c>
      <c r="D58" s="6"/>
      <c r="E58" s="113">
        <v>922088082</v>
      </c>
      <c r="F58" s="116">
        <f t="shared" si="11"/>
        <v>88077.952239946506</v>
      </c>
      <c r="G58" s="117">
        <v>808067603</v>
      </c>
      <c r="H58" s="117">
        <f t="shared" si="12"/>
        <v>77186.703887668351</v>
      </c>
      <c r="I58" s="7"/>
      <c r="J58" s="10">
        <v>3.9628999999999999</v>
      </c>
      <c r="K58" s="117">
        <v>3202291</v>
      </c>
      <c r="L58" s="120">
        <f t="shared" si="13"/>
        <v>305.88317890916039</v>
      </c>
      <c r="M58" s="122">
        <f t="shared" si="3"/>
        <v>8080676.0300000003</v>
      </c>
      <c r="N58" s="116">
        <f t="shared" si="4"/>
        <v>4878385.03</v>
      </c>
      <c r="O58" s="123">
        <f t="shared" si="5"/>
        <v>465.98385996752319</v>
      </c>
      <c r="P58" s="5"/>
      <c r="Q58" s="5">
        <f t="shared" si="6"/>
        <v>1</v>
      </c>
      <c r="R58" s="7">
        <f t="shared" si="7"/>
        <v>10469</v>
      </c>
      <c r="S58" s="5">
        <f t="shared" si="8"/>
        <v>1</v>
      </c>
      <c r="T58" s="7">
        <f t="shared" si="9"/>
        <v>10469</v>
      </c>
    </row>
    <row r="59" spans="1:20">
      <c r="A59" s="23" t="s">
        <v>61</v>
      </c>
      <c r="B59" s="35" t="s">
        <v>49</v>
      </c>
      <c r="C59" s="36">
        <v>49908</v>
      </c>
      <c r="D59" s="6"/>
      <c r="E59" s="113">
        <v>1843669506</v>
      </c>
      <c r="F59" s="116">
        <f t="shared" si="11"/>
        <v>36941.362226496756</v>
      </c>
      <c r="G59" s="117">
        <v>1378823595</v>
      </c>
      <c r="H59" s="117">
        <f t="shared" si="12"/>
        <v>27627.306143303678</v>
      </c>
      <c r="I59" s="7"/>
      <c r="J59" s="10">
        <v>6.4766000000000004</v>
      </c>
      <c r="K59" s="117">
        <v>8930088</v>
      </c>
      <c r="L59" s="120">
        <f t="shared" si="13"/>
        <v>178.93099302716999</v>
      </c>
      <c r="M59" s="122">
        <f t="shared" si="3"/>
        <v>13788235.950000001</v>
      </c>
      <c r="N59" s="116">
        <f t="shared" si="4"/>
        <v>4858147.9500000011</v>
      </c>
      <c r="O59" s="123">
        <f t="shared" si="5"/>
        <v>97.342068405866812</v>
      </c>
      <c r="P59" s="5"/>
      <c r="Q59" s="5">
        <f t="shared" si="6"/>
        <v>1</v>
      </c>
      <c r="R59" s="7">
        <f t="shared" si="7"/>
        <v>49908</v>
      </c>
      <c r="S59" s="5">
        <f t="shared" si="8"/>
        <v>1</v>
      </c>
      <c r="T59" s="7">
        <f t="shared" si="9"/>
        <v>49908</v>
      </c>
    </row>
    <row r="60" spans="1:20">
      <c r="A60" s="23" t="s">
        <v>62</v>
      </c>
      <c r="B60" s="35" t="s">
        <v>49</v>
      </c>
      <c r="C60" s="36">
        <v>50058</v>
      </c>
      <c r="D60" s="6"/>
      <c r="E60" s="113">
        <v>2038749241</v>
      </c>
      <c r="F60" s="116">
        <f t="shared" si="11"/>
        <v>40727.740640856609</v>
      </c>
      <c r="G60" s="117">
        <v>1532453461</v>
      </c>
      <c r="H60" s="117">
        <f t="shared" si="12"/>
        <v>30613.557493307762</v>
      </c>
      <c r="I60" s="7"/>
      <c r="J60" s="10">
        <v>6.9226000000000001</v>
      </c>
      <c r="K60" s="117">
        <v>10608562</v>
      </c>
      <c r="L60" s="120">
        <f t="shared" si="13"/>
        <v>211.92540652842703</v>
      </c>
      <c r="M60" s="122">
        <f t="shared" si="3"/>
        <v>15324534.609999999</v>
      </c>
      <c r="N60" s="116">
        <f t="shared" si="4"/>
        <v>4715972.6099999994</v>
      </c>
      <c r="O60" s="123">
        <f t="shared" si="5"/>
        <v>94.210168404650588</v>
      </c>
      <c r="P60" s="5"/>
      <c r="Q60" s="5">
        <f t="shared" si="6"/>
        <v>1</v>
      </c>
      <c r="R60" s="7">
        <f t="shared" si="7"/>
        <v>50058</v>
      </c>
      <c r="S60" s="5">
        <f t="shared" si="8"/>
        <v>1</v>
      </c>
      <c r="T60" s="7">
        <f t="shared" si="9"/>
        <v>50058</v>
      </c>
    </row>
    <row r="61" spans="1:20">
      <c r="A61" s="23" t="s">
        <v>63</v>
      </c>
      <c r="B61" s="35" t="s">
        <v>49</v>
      </c>
      <c r="C61" s="36">
        <v>27806</v>
      </c>
      <c r="D61" s="6"/>
      <c r="E61" s="113">
        <v>747043278</v>
      </c>
      <c r="F61" s="116">
        <f t="shared" si="11"/>
        <v>26866.261885923901</v>
      </c>
      <c r="G61" s="117">
        <v>523789835</v>
      </c>
      <c r="H61" s="117">
        <f t="shared" si="12"/>
        <v>18837.295367906208</v>
      </c>
      <c r="I61" s="7"/>
      <c r="J61" s="10">
        <v>4.4820000000000002</v>
      </c>
      <c r="K61" s="117">
        <v>2347626</v>
      </c>
      <c r="L61" s="120">
        <f t="shared" si="13"/>
        <v>84.428756383514354</v>
      </c>
      <c r="M61" s="122">
        <f t="shared" si="3"/>
        <v>5237898.3500000006</v>
      </c>
      <c r="N61" s="116">
        <f t="shared" si="4"/>
        <v>2890272.3500000006</v>
      </c>
      <c r="O61" s="123">
        <f t="shared" si="5"/>
        <v>103.94419729554774</v>
      </c>
      <c r="P61" s="5"/>
      <c r="Q61" s="5">
        <f t="shared" si="6"/>
        <v>1</v>
      </c>
      <c r="R61" s="7">
        <f t="shared" si="7"/>
        <v>27806</v>
      </c>
      <c r="S61" s="5">
        <f t="shared" si="8"/>
        <v>1</v>
      </c>
      <c r="T61" s="7">
        <f t="shared" si="9"/>
        <v>27806</v>
      </c>
    </row>
    <row r="62" spans="1:20">
      <c r="A62" s="23" t="s">
        <v>64</v>
      </c>
      <c r="B62" s="35" t="s">
        <v>49</v>
      </c>
      <c r="C62" s="36">
        <v>28200</v>
      </c>
      <c r="D62" s="6"/>
      <c r="E62" s="113">
        <v>1422173745</v>
      </c>
      <c r="F62" s="116">
        <f t="shared" si="11"/>
        <v>50431.693085106381</v>
      </c>
      <c r="G62" s="117">
        <v>1128737648</v>
      </c>
      <c r="H62" s="117">
        <f t="shared" si="12"/>
        <v>40026.157730496452</v>
      </c>
      <c r="I62" s="7"/>
      <c r="J62" s="10">
        <v>5.1322999999999999</v>
      </c>
      <c r="K62" s="117">
        <v>5793020</v>
      </c>
      <c r="L62" s="120">
        <f t="shared" si="13"/>
        <v>205.42624113475176</v>
      </c>
      <c r="M62" s="122">
        <f t="shared" si="3"/>
        <v>11287376.48</v>
      </c>
      <c r="N62" s="116">
        <f t="shared" si="4"/>
        <v>5494356.4800000004</v>
      </c>
      <c r="O62" s="123">
        <f t="shared" si="5"/>
        <v>194.83533617021277</v>
      </c>
      <c r="P62" s="5"/>
      <c r="Q62" s="5">
        <f t="shared" si="6"/>
        <v>1</v>
      </c>
      <c r="R62" s="7">
        <f t="shared" si="7"/>
        <v>28200</v>
      </c>
      <c r="S62" s="5">
        <f t="shared" si="8"/>
        <v>1</v>
      </c>
      <c r="T62" s="7">
        <f t="shared" si="9"/>
        <v>28200</v>
      </c>
    </row>
    <row r="63" spans="1:20">
      <c r="A63" s="23" t="s">
        <v>65</v>
      </c>
      <c r="B63" s="35" t="s">
        <v>49</v>
      </c>
      <c r="C63" s="36">
        <v>11268</v>
      </c>
      <c r="D63" s="6"/>
      <c r="E63" s="113">
        <v>962702771</v>
      </c>
      <c r="F63" s="116">
        <f t="shared" si="11"/>
        <v>85436.880635427762</v>
      </c>
      <c r="G63" s="117">
        <v>786182731</v>
      </c>
      <c r="H63" s="117">
        <f t="shared" si="12"/>
        <v>69771.275381611646</v>
      </c>
      <c r="I63" s="7"/>
      <c r="J63" s="10">
        <v>4.0999999999999996</v>
      </c>
      <c r="K63" s="117">
        <v>3223349</v>
      </c>
      <c r="L63" s="120">
        <f t="shared" si="13"/>
        <v>286.06221157259495</v>
      </c>
      <c r="M63" s="122">
        <f t="shared" si="3"/>
        <v>7861827.3100000005</v>
      </c>
      <c r="N63" s="116">
        <f t="shared" si="4"/>
        <v>4638478.3100000005</v>
      </c>
      <c r="O63" s="123">
        <f t="shared" si="5"/>
        <v>411.6505422435215</v>
      </c>
      <c r="P63" s="5"/>
      <c r="Q63" s="5">
        <f t="shared" si="6"/>
        <v>1</v>
      </c>
      <c r="R63" s="7">
        <f t="shared" si="7"/>
        <v>11268</v>
      </c>
      <c r="S63" s="5">
        <f t="shared" si="8"/>
        <v>1</v>
      </c>
      <c r="T63" s="7">
        <f t="shared" si="9"/>
        <v>11268</v>
      </c>
    </row>
    <row r="64" spans="1:20">
      <c r="A64" s="23" t="s">
        <v>66</v>
      </c>
      <c r="B64" s="35" t="s">
        <v>49</v>
      </c>
      <c r="C64" s="36">
        <v>4874</v>
      </c>
      <c r="D64" s="6"/>
      <c r="E64" s="113">
        <v>223596910</v>
      </c>
      <c r="F64" s="116">
        <f t="shared" si="11"/>
        <v>45875.443167829297</v>
      </c>
      <c r="G64" s="117">
        <v>203626090</v>
      </c>
      <c r="H64" s="117">
        <f t="shared" si="12"/>
        <v>41778.02421009438</v>
      </c>
      <c r="I64" s="7"/>
      <c r="J64" s="10">
        <v>6.25</v>
      </c>
      <c r="K64" s="117">
        <v>1272663</v>
      </c>
      <c r="L64" s="120">
        <f t="shared" si="13"/>
        <v>261.11263848994668</v>
      </c>
      <c r="M64" s="122">
        <f t="shared" si="3"/>
        <v>2036260.9000000001</v>
      </c>
      <c r="N64" s="116">
        <f t="shared" si="4"/>
        <v>763597.90000000014</v>
      </c>
      <c r="O64" s="123">
        <f t="shared" si="5"/>
        <v>156.66760361099716</v>
      </c>
      <c r="P64" s="5"/>
      <c r="Q64" s="5">
        <f t="shared" si="6"/>
        <v>1</v>
      </c>
      <c r="R64" s="7">
        <f t="shared" si="7"/>
        <v>4874</v>
      </c>
      <c r="S64" s="5">
        <f t="shared" si="8"/>
        <v>1</v>
      </c>
      <c r="T64" s="7">
        <f t="shared" si="9"/>
        <v>4874</v>
      </c>
    </row>
    <row r="65" spans="1:20">
      <c r="A65" s="23" t="s">
        <v>67</v>
      </c>
      <c r="B65" s="35" t="s">
        <v>49</v>
      </c>
      <c r="C65" s="36">
        <v>104143</v>
      </c>
      <c r="D65" s="6"/>
      <c r="E65" s="113">
        <v>5147208118</v>
      </c>
      <c r="F65" s="116">
        <f t="shared" si="11"/>
        <v>49424.427162651351</v>
      </c>
      <c r="G65" s="117">
        <v>3967104049</v>
      </c>
      <c r="H65" s="117">
        <f t="shared" si="12"/>
        <v>38092.853566730359</v>
      </c>
      <c r="I65" s="7"/>
      <c r="J65" s="10">
        <v>3.9034</v>
      </c>
      <c r="K65" s="117">
        <v>15485193</v>
      </c>
      <c r="L65" s="120">
        <f t="shared" si="13"/>
        <v>148.69163553959459</v>
      </c>
      <c r="M65" s="122">
        <f t="shared" si="3"/>
        <v>39671040.490000002</v>
      </c>
      <c r="N65" s="116">
        <f t="shared" si="4"/>
        <v>24185847.490000002</v>
      </c>
      <c r="O65" s="123">
        <f t="shared" si="5"/>
        <v>232.23690012770905</v>
      </c>
      <c r="P65" s="5"/>
      <c r="Q65" s="5">
        <f t="shared" si="6"/>
        <v>1</v>
      </c>
      <c r="R65" s="7">
        <f t="shared" si="7"/>
        <v>104143</v>
      </c>
      <c r="S65" s="5">
        <f t="shared" si="8"/>
        <v>1</v>
      </c>
      <c r="T65" s="7">
        <f t="shared" si="9"/>
        <v>104143</v>
      </c>
    </row>
    <row r="66" spans="1:20">
      <c r="A66" s="23" t="s">
        <v>68</v>
      </c>
      <c r="B66" s="35" t="s">
        <v>49</v>
      </c>
      <c r="C66" s="36">
        <v>77450</v>
      </c>
      <c r="D66" s="6"/>
      <c r="E66" s="113">
        <v>4850380309</v>
      </c>
      <c r="F66" s="116">
        <f t="shared" si="11"/>
        <v>62625.956216914135</v>
      </c>
      <c r="G66" s="117">
        <v>3972584510</v>
      </c>
      <c r="H66" s="117">
        <f t="shared" si="12"/>
        <v>51292.246739832153</v>
      </c>
      <c r="I66" s="7"/>
      <c r="J66" s="10">
        <v>3.7370000000000001</v>
      </c>
      <c r="K66" s="117">
        <v>14845548</v>
      </c>
      <c r="L66" s="120">
        <f t="shared" si="13"/>
        <v>191.6791220142027</v>
      </c>
      <c r="M66" s="122">
        <f t="shared" si="3"/>
        <v>39725845.100000001</v>
      </c>
      <c r="N66" s="116">
        <f t="shared" si="4"/>
        <v>24880297.100000001</v>
      </c>
      <c r="O66" s="123">
        <f t="shared" si="5"/>
        <v>321.24334538411881</v>
      </c>
      <c r="P66" s="5"/>
      <c r="Q66" s="5">
        <f t="shared" si="6"/>
        <v>1</v>
      </c>
      <c r="R66" s="7">
        <f t="shared" si="7"/>
        <v>77450</v>
      </c>
      <c r="S66" s="5">
        <f t="shared" si="8"/>
        <v>1</v>
      </c>
      <c r="T66" s="7">
        <f t="shared" si="9"/>
        <v>77450</v>
      </c>
    </row>
    <row r="67" spans="1:20">
      <c r="A67" s="23" t="s">
        <v>69</v>
      </c>
      <c r="B67" s="35" t="s">
        <v>49</v>
      </c>
      <c r="C67" s="36">
        <v>74245</v>
      </c>
      <c r="D67" s="6"/>
      <c r="E67" s="113">
        <v>5022600413</v>
      </c>
      <c r="F67" s="116">
        <f t="shared" si="11"/>
        <v>67649.00549531955</v>
      </c>
      <c r="G67" s="117">
        <v>4177696105</v>
      </c>
      <c r="H67" s="117">
        <f t="shared" si="12"/>
        <v>56269.05656946596</v>
      </c>
      <c r="I67" s="7"/>
      <c r="J67" s="10">
        <v>5.0229999999999997</v>
      </c>
      <c r="K67" s="117">
        <v>20984567</v>
      </c>
      <c r="L67" s="120">
        <f t="shared" si="13"/>
        <v>282.63946393696546</v>
      </c>
      <c r="M67" s="122">
        <f t="shared" si="3"/>
        <v>41776961.050000004</v>
      </c>
      <c r="N67" s="116">
        <f t="shared" si="4"/>
        <v>20792394.050000004</v>
      </c>
      <c r="O67" s="123">
        <f t="shared" si="5"/>
        <v>280.0511017576942</v>
      </c>
      <c r="P67" s="5"/>
      <c r="Q67" s="5">
        <f t="shared" si="6"/>
        <v>1</v>
      </c>
      <c r="R67" s="7">
        <f t="shared" si="7"/>
        <v>74245</v>
      </c>
      <c r="S67" s="5">
        <f t="shared" si="8"/>
        <v>1</v>
      </c>
      <c r="T67" s="7">
        <f t="shared" si="9"/>
        <v>74245</v>
      </c>
    </row>
    <row r="68" spans="1:20">
      <c r="A68" s="23" t="s">
        <v>70</v>
      </c>
      <c r="B68" s="35" t="s">
        <v>49</v>
      </c>
      <c r="C68" s="36">
        <v>619</v>
      </c>
      <c r="D68" s="6"/>
      <c r="E68" s="113">
        <v>98148441</v>
      </c>
      <c r="F68" s="116">
        <f t="shared" si="11"/>
        <v>158559.67851373184</v>
      </c>
      <c r="G68" s="117">
        <v>90844541</v>
      </c>
      <c r="H68" s="117">
        <f t="shared" si="12"/>
        <v>146760.16316639743</v>
      </c>
      <c r="I68" s="7"/>
      <c r="J68" s="10">
        <v>5.45</v>
      </c>
      <c r="K68" s="117">
        <v>495102</v>
      </c>
      <c r="L68" s="120">
        <f t="shared" si="13"/>
        <v>799.84168012924067</v>
      </c>
      <c r="M68" s="122">
        <f t="shared" si="3"/>
        <v>908445.41</v>
      </c>
      <c r="N68" s="116">
        <f t="shared" si="4"/>
        <v>413343.41000000003</v>
      </c>
      <c r="O68" s="123">
        <f t="shared" si="5"/>
        <v>667.75995153473355</v>
      </c>
      <c r="P68" s="5"/>
      <c r="Q68" s="5">
        <f t="shared" si="6"/>
        <v>1</v>
      </c>
      <c r="R68" s="7">
        <f t="shared" si="7"/>
        <v>619</v>
      </c>
      <c r="S68" s="5">
        <f t="shared" si="8"/>
        <v>1</v>
      </c>
      <c r="T68" s="7">
        <f t="shared" si="9"/>
        <v>619</v>
      </c>
    </row>
    <row r="69" spans="1:20">
      <c r="A69" s="23" t="s">
        <v>71</v>
      </c>
      <c r="B69" s="35" t="s">
        <v>49</v>
      </c>
      <c r="C69" s="36">
        <v>75310</v>
      </c>
      <c r="D69" s="6"/>
      <c r="E69" s="113">
        <v>3433487941</v>
      </c>
      <c r="F69" s="116">
        <f t="shared" si="11"/>
        <v>45591.394781569514</v>
      </c>
      <c r="G69" s="117">
        <v>2644032274</v>
      </c>
      <c r="H69" s="117">
        <f t="shared" si="12"/>
        <v>35108.647908644271</v>
      </c>
      <c r="I69" s="7"/>
      <c r="J69" s="10">
        <v>6.375</v>
      </c>
      <c r="K69" s="117">
        <v>16855705</v>
      </c>
      <c r="L69" s="120">
        <f t="shared" si="13"/>
        <v>223.81762050192538</v>
      </c>
      <c r="M69" s="122">
        <f t="shared" si="3"/>
        <v>26440322.740000002</v>
      </c>
      <c r="N69" s="116">
        <f t="shared" si="4"/>
        <v>9584617.7400000021</v>
      </c>
      <c r="O69" s="123">
        <f t="shared" si="5"/>
        <v>127.26885858451736</v>
      </c>
      <c r="P69" s="5"/>
      <c r="Q69" s="5">
        <f t="shared" si="6"/>
        <v>1</v>
      </c>
      <c r="R69" s="7">
        <f t="shared" si="7"/>
        <v>75310</v>
      </c>
      <c r="S69" s="5">
        <f t="shared" si="8"/>
        <v>1</v>
      </c>
      <c r="T69" s="7">
        <f t="shared" si="9"/>
        <v>75310</v>
      </c>
    </row>
    <row r="70" spans="1:20">
      <c r="A70" s="23" t="s">
        <v>72</v>
      </c>
      <c r="B70" s="35" t="s">
        <v>49</v>
      </c>
      <c r="C70" s="36">
        <v>50792</v>
      </c>
      <c r="D70" s="6"/>
      <c r="E70" s="113">
        <v>2184481713</v>
      </c>
      <c r="F70" s="116">
        <f t="shared" ref="F70:F90" si="14">(E70/C70)</f>
        <v>43008.381497086157</v>
      </c>
      <c r="G70" s="117">
        <v>1618643520</v>
      </c>
      <c r="H70" s="117">
        <f t="shared" ref="H70:H90" si="15">(G70/C70)</f>
        <v>31868.080012600411</v>
      </c>
      <c r="I70" s="7"/>
      <c r="J70" s="10">
        <v>4.9999000000000002</v>
      </c>
      <c r="K70" s="117">
        <v>8093055</v>
      </c>
      <c r="L70" s="120">
        <f t="shared" si="13"/>
        <v>159.33719877146007</v>
      </c>
      <c r="M70" s="122">
        <f t="shared" ref="M70:M133" si="16">(G70*0.01)</f>
        <v>16186435.200000001</v>
      </c>
      <c r="N70" s="116">
        <f t="shared" ref="N70:N133" si="17">(M70-K70)</f>
        <v>8093380.2000000011</v>
      </c>
      <c r="O70" s="123">
        <f t="shared" ref="O70:O133" si="18">(N70/C70)</f>
        <v>159.34360135454403</v>
      </c>
      <c r="P70" s="5"/>
      <c r="Q70" s="5">
        <f t="shared" si="6"/>
        <v>1</v>
      </c>
      <c r="R70" s="7">
        <f t="shared" si="7"/>
        <v>50792</v>
      </c>
      <c r="S70" s="5">
        <f t="shared" si="8"/>
        <v>1</v>
      </c>
      <c r="T70" s="7">
        <f t="shared" si="9"/>
        <v>50792</v>
      </c>
    </row>
    <row r="71" spans="1:20">
      <c r="A71" s="23" t="s">
        <v>73</v>
      </c>
      <c r="B71" s="35" t="s">
        <v>49</v>
      </c>
      <c r="C71" s="36">
        <v>24910</v>
      </c>
      <c r="D71" s="6"/>
      <c r="E71" s="113">
        <v>2393170765</v>
      </c>
      <c r="F71" s="116">
        <f t="shared" si="14"/>
        <v>96072.692292252104</v>
      </c>
      <c r="G71" s="117">
        <v>2102677121</v>
      </c>
      <c r="H71" s="117">
        <f t="shared" si="15"/>
        <v>84410.964311521471</v>
      </c>
      <c r="I71" s="98" t="s">
        <v>528</v>
      </c>
      <c r="J71" s="10"/>
      <c r="K71" s="117"/>
      <c r="L71" s="120"/>
      <c r="M71" s="122">
        <f t="shared" si="16"/>
        <v>21026771.210000001</v>
      </c>
      <c r="N71" s="116">
        <f t="shared" si="17"/>
        <v>21026771.210000001</v>
      </c>
      <c r="O71" s="123">
        <f t="shared" si="18"/>
        <v>844.10964311521479</v>
      </c>
      <c r="P71" s="5"/>
      <c r="Q71" s="5">
        <f t="shared" ref="Q71:Q134" si="19">IF(E71&gt;0,1,0)</f>
        <v>1</v>
      </c>
      <c r="R71" s="7">
        <f t="shared" ref="R71:R134" si="20">IF(E71&gt;0,C71,0)</f>
        <v>24910</v>
      </c>
      <c r="S71" s="5">
        <f t="shared" ref="S71:S134" si="21">IF(J71&gt;0,1,0)</f>
        <v>0</v>
      </c>
      <c r="T71" s="7">
        <f t="shared" ref="T71:T134" si="22">IF(J71&gt;0,C71,0)</f>
        <v>0</v>
      </c>
    </row>
    <row r="72" spans="1:20">
      <c r="A72" s="23" t="s">
        <v>74</v>
      </c>
      <c r="B72" s="35" t="s">
        <v>49</v>
      </c>
      <c r="C72" s="36">
        <v>11837</v>
      </c>
      <c r="D72" s="6"/>
      <c r="E72" s="113">
        <v>470651056</v>
      </c>
      <c r="F72" s="116">
        <f t="shared" si="14"/>
        <v>39761.008363605644</v>
      </c>
      <c r="G72" s="117">
        <v>357547196</v>
      </c>
      <c r="H72" s="117">
        <f t="shared" si="15"/>
        <v>30205.896426459407</v>
      </c>
      <c r="I72" s="7"/>
      <c r="J72" s="10">
        <v>5.69</v>
      </c>
      <c r="K72" s="117">
        <v>2034443</v>
      </c>
      <c r="L72" s="120">
        <f>(K72/C72)</f>
        <v>171.87150460420716</v>
      </c>
      <c r="M72" s="122">
        <f t="shared" si="16"/>
        <v>3575471.96</v>
      </c>
      <c r="N72" s="116">
        <f t="shared" si="17"/>
        <v>1541028.96</v>
      </c>
      <c r="O72" s="123">
        <f t="shared" si="18"/>
        <v>130.18745966038691</v>
      </c>
      <c r="P72" s="5"/>
      <c r="Q72" s="5">
        <f t="shared" si="19"/>
        <v>1</v>
      </c>
      <c r="R72" s="7">
        <f t="shared" si="20"/>
        <v>11837</v>
      </c>
      <c r="S72" s="5">
        <f t="shared" si="21"/>
        <v>1</v>
      </c>
      <c r="T72" s="7">
        <f t="shared" si="22"/>
        <v>11837</v>
      </c>
    </row>
    <row r="73" spans="1:20">
      <c r="A73" s="23" t="s">
        <v>75</v>
      </c>
      <c r="B73" s="35" t="s">
        <v>76</v>
      </c>
      <c r="C73" s="36">
        <v>637</v>
      </c>
      <c r="D73" s="6"/>
      <c r="E73" s="113">
        <v>7376396</v>
      </c>
      <c r="F73" s="116">
        <f t="shared" si="14"/>
        <v>11579.899529042386</v>
      </c>
      <c r="G73" s="117">
        <v>3302257</v>
      </c>
      <c r="H73" s="117">
        <f t="shared" si="15"/>
        <v>5184.0769230769229</v>
      </c>
      <c r="I73" s="98" t="s">
        <v>528</v>
      </c>
      <c r="J73" s="10"/>
      <c r="K73" s="117"/>
      <c r="L73" s="120"/>
      <c r="M73" s="122">
        <f t="shared" si="16"/>
        <v>33022.57</v>
      </c>
      <c r="N73" s="116">
        <f t="shared" si="17"/>
        <v>33022.57</v>
      </c>
      <c r="O73" s="123">
        <f t="shared" si="18"/>
        <v>51.840769230769233</v>
      </c>
      <c r="P73" s="5"/>
      <c r="Q73" s="5">
        <f t="shared" si="19"/>
        <v>1</v>
      </c>
      <c r="R73" s="7">
        <f t="shared" si="20"/>
        <v>637</v>
      </c>
      <c r="S73" s="5">
        <f t="shared" si="21"/>
        <v>0</v>
      </c>
      <c r="T73" s="7">
        <f t="shared" si="22"/>
        <v>0</v>
      </c>
    </row>
    <row r="74" spans="1:20">
      <c r="A74" s="23" t="s">
        <v>77</v>
      </c>
      <c r="B74" s="35" t="s">
        <v>76</v>
      </c>
      <c r="C74" s="36">
        <v>2443</v>
      </c>
      <c r="D74" s="6"/>
      <c r="E74" s="113">
        <v>69457830</v>
      </c>
      <c r="F74" s="116">
        <f t="shared" si="14"/>
        <v>28431.367171510439</v>
      </c>
      <c r="G74" s="117">
        <v>40014457</v>
      </c>
      <c r="H74" s="117">
        <f t="shared" si="15"/>
        <v>16379.229226361031</v>
      </c>
      <c r="I74" s="9"/>
      <c r="J74" s="10">
        <v>1.5</v>
      </c>
      <c r="K74" s="117">
        <v>60021</v>
      </c>
      <c r="L74" s="120">
        <f t="shared" ref="L74:L80" si="23">(K74/C74)</f>
        <v>24.568563241915676</v>
      </c>
      <c r="M74" s="122">
        <f t="shared" si="16"/>
        <v>400144.57</v>
      </c>
      <c r="N74" s="116">
        <f t="shared" si="17"/>
        <v>340123.57</v>
      </c>
      <c r="O74" s="123">
        <f t="shared" si="18"/>
        <v>139.22372902169465</v>
      </c>
      <c r="P74" s="5"/>
      <c r="Q74" s="5">
        <f t="shared" si="19"/>
        <v>1</v>
      </c>
      <c r="R74" s="7">
        <f t="shared" si="20"/>
        <v>2443</v>
      </c>
      <c r="S74" s="5">
        <f t="shared" si="21"/>
        <v>1</v>
      </c>
      <c r="T74" s="7">
        <f t="shared" si="22"/>
        <v>2443</v>
      </c>
    </row>
    <row r="75" spans="1:20">
      <c r="A75" s="23" t="s">
        <v>78</v>
      </c>
      <c r="B75" s="35" t="s">
        <v>79</v>
      </c>
      <c r="C75" s="36">
        <v>12531</v>
      </c>
      <c r="D75" s="6"/>
      <c r="E75" s="113">
        <v>1336859266</v>
      </c>
      <c r="F75" s="116">
        <f t="shared" si="14"/>
        <v>106684.16455191126</v>
      </c>
      <c r="G75" s="117">
        <v>1092370148</v>
      </c>
      <c r="H75" s="117">
        <f t="shared" si="15"/>
        <v>87173.421754049952</v>
      </c>
      <c r="I75" s="7"/>
      <c r="J75" s="10">
        <v>3.2042000000000002</v>
      </c>
      <c r="K75" s="117">
        <v>3500172</v>
      </c>
      <c r="L75" s="120">
        <f t="shared" si="23"/>
        <v>279.32104381134786</v>
      </c>
      <c r="M75" s="122">
        <f t="shared" si="16"/>
        <v>10923701.48</v>
      </c>
      <c r="N75" s="116">
        <f t="shared" si="17"/>
        <v>7423529.4800000004</v>
      </c>
      <c r="O75" s="123">
        <f t="shared" si="18"/>
        <v>592.41317372915171</v>
      </c>
      <c r="P75" s="5"/>
      <c r="Q75" s="5">
        <f t="shared" si="19"/>
        <v>1</v>
      </c>
      <c r="R75" s="7">
        <f t="shared" si="20"/>
        <v>12531</v>
      </c>
      <c r="S75" s="5">
        <f t="shared" si="21"/>
        <v>1</v>
      </c>
      <c r="T75" s="7">
        <f t="shared" si="22"/>
        <v>12531</v>
      </c>
    </row>
    <row r="76" spans="1:20">
      <c r="A76" s="23" t="s">
        <v>80</v>
      </c>
      <c r="B76" s="35" t="s">
        <v>81</v>
      </c>
      <c r="C76" s="36">
        <v>4114</v>
      </c>
      <c r="D76" s="6"/>
      <c r="E76" s="113">
        <v>261224971</v>
      </c>
      <c r="F76" s="116">
        <f t="shared" si="14"/>
        <v>63496.589936801167</v>
      </c>
      <c r="G76" s="117">
        <v>214354382</v>
      </c>
      <c r="H76" s="117">
        <f t="shared" si="15"/>
        <v>52103.641711229946</v>
      </c>
      <c r="I76" s="7"/>
      <c r="J76" s="10">
        <v>5.5</v>
      </c>
      <c r="K76" s="117">
        <v>1178949</v>
      </c>
      <c r="L76" s="120">
        <f t="shared" si="23"/>
        <v>286.57000486144869</v>
      </c>
      <c r="M76" s="122">
        <f t="shared" si="16"/>
        <v>2143543.8199999998</v>
      </c>
      <c r="N76" s="116">
        <f t="shared" si="17"/>
        <v>964594.81999999983</v>
      </c>
      <c r="O76" s="123">
        <f t="shared" si="18"/>
        <v>234.46641225085071</v>
      </c>
      <c r="P76" s="5"/>
      <c r="Q76" s="5">
        <f t="shared" si="19"/>
        <v>1</v>
      </c>
      <c r="R76" s="7">
        <f t="shared" si="20"/>
        <v>4114</v>
      </c>
      <c r="S76" s="5">
        <f t="shared" si="21"/>
        <v>1</v>
      </c>
      <c r="T76" s="7">
        <f t="shared" si="22"/>
        <v>4114</v>
      </c>
    </row>
    <row r="77" spans="1:20">
      <c r="A77" s="23" t="s">
        <v>82</v>
      </c>
      <c r="B77" s="35" t="s">
        <v>81</v>
      </c>
      <c r="C77" s="36">
        <v>6801</v>
      </c>
      <c r="D77" s="6"/>
      <c r="E77" s="113">
        <v>343941951</v>
      </c>
      <c r="F77" s="116">
        <f t="shared" si="14"/>
        <v>50572.261579179532</v>
      </c>
      <c r="G77" s="117">
        <v>209429896</v>
      </c>
      <c r="H77" s="117">
        <f t="shared" si="15"/>
        <v>30793.985590354361</v>
      </c>
      <c r="I77" s="7"/>
      <c r="J77" s="10">
        <v>6.6658999999999997</v>
      </c>
      <c r="K77" s="117">
        <v>1396038</v>
      </c>
      <c r="L77" s="120">
        <f t="shared" si="23"/>
        <v>205.26951918835465</v>
      </c>
      <c r="M77" s="122">
        <f t="shared" si="16"/>
        <v>2094298.96</v>
      </c>
      <c r="N77" s="116">
        <f t="shared" si="17"/>
        <v>698260.96</v>
      </c>
      <c r="O77" s="123">
        <f t="shared" si="18"/>
        <v>102.67033671518894</v>
      </c>
      <c r="P77" s="5"/>
      <c r="Q77" s="5">
        <f t="shared" si="19"/>
        <v>1</v>
      </c>
      <c r="R77" s="7">
        <f t="shared" si="20"/>
        <v>6801</v>
      </c>
      <c r="S77" s="5">
        <f t="shared" si="21"/>
        <v>1</v>
      </c>
      <c r="T77" s="7">
        <f t="shared" si="22"/>
        <v>6801</v>
      </c>
    </row>
    <row r="78" spans="1:20">
      <c r="A78" s="23" t="s">
        <v>83</v>
      </c>
      <c r="B78" s="35" t="s">
        <v>84</v>
      </c>
      <c r="C78" s="36">
        <v>5032</v>
      </c>
      <c r="D78" s="6"/>
      <c r="E78" s="113">
        <v>203819469</v>
      </c>
      <c r="F78" s="116">
        <f t="shared" si="14"/>
        <v>40504.663950715418</v>
      </c>
      <c r="G78" s="117">
        <v>148918282</v>
      </c>
      <c r="H78" s="117">
        <f t="shared" si="15"/>
        <v>29594.253179650237</v>
      </c>
      <c r="I78" s="7"/>
      <c r="J78" s="11">
        <v>2.6110000000000002</v>
      </c>
      <c r="K78" s="117">
        <v>388825</v>
      </c>
      <c r="L78" s="120">
        <f t="shared" si="23"/>
        <v>77.27046899841018</v>
      </c>
      <c r="M78" s="122">
        <f t="shared" si="16"/>
        <v>1489182.82</v>
      </c>
      <c r="N78" s="116">
        <f t="shared" si="17"/>
        <v>1100357.82</v>
      </c>
      <c r="O78" s="123">
        <f t="shared" si="18"/>
        <v>218.67206279809221</v>
      </c>
      <c r="P78" s="5"/>
      <c r="Q78" s="5">
        <f t="shared" si="19"/>
        <v>1</v>
      </c>
      <c r="R78" s="7">
        <f t="shared" si="20"/>
        <v>5032</v>
      </c>
      <c r="S78" s="5">
        <f t="shared" si="21"/>
        <v>1</v>
      </c>
      <c r="T78" s="7">
        <f t="shared" si="22"/>
        <v>5032</v>
      </c>
    </row>
    <row r="79" spans="1:20">
      <c r="A79" s="23" t="s">
        <v>85</v>
      </c>
      <c r="B79" s="35" t="s">
        <v>84</v>
      </c>
      <c r="C79" s="36">
        <v>1345</v>
      </c>
      <c r="D79" s="6"/>
      <c r="E79" s="113">
        <v>49920211</v>
      </c>
      <c r="F79" s="116">
        <f t="shared" si="14"/>
        <v>37115.398513011154</v>
      </c>
      <c r="G79" s="117">
        <v>30763880</v>
      </c>
      <c r="H79" s="117">
        <f t="shared" si="15"/>
        <v>22872.773234200744</v>
      </c>
      <c r="I79" s="7"/>
      <c r="J79" s="10">
        <v>2</v>
      </c>
      <c r="K79" s="117">
        <v>61527</v>
      </c>
      <c r="L79" s="120">
        <f t="shared" si="23"/>
        <v>45.744981412639405</v>
      </c>
      <c r="M79" s="122">
        <f t="shared" si="16"/>
        <v>307638.8</v>
      </c>
      <c r="N79" s="116">
        <f t="shared" si="17"/>
        <v>246111.8</v>
      </c>
      <c r="O79" s="123">
        <f t="shared" si="18"/>
        <v>182.98275092936802</v>
      </c>
      <c r="P79" s="5"/>
      <c r="Q79" s="5">
        <f t="shared" si="19"/>
        <v>1</v>
      </c>
      <c r="R79" s="7">
        <f t="shared" si="20"/>
        <v>1345</v>
      </c>
      <c r="S79" s="5">
        <f t="shared" si="21"/>
        <v>1</v>
      </c>
      <c r="T79" s="7">
        <f t="shared" si="22"/>
        <v>1345</v>
      </c>
    </row>
    <row r="80" spans="1:20">
      <c r="A80" s="23" t="s">
        <v>86</v>
      </c>
      <c r="B80" s="35" t="s">
        <v>84</v>
      </c>
      <c r="C80" s="36">
        <v>9481</v>
      </c>
      <c r="D80" s="6"/>
      <c r="E80" s="113">
        <v>411769176</v>
      </c>
      <c r="F80" s="116">
        <f t="shared" si="14"/>
        <v>43430.985760995674</v>
      </c>
      <c r="G80" s="117">
        <v>285335788</v>
      </c>
      <c r="H80" s="117">
        <f t="shared" si="15"/>
        <v>30095.537179622403</v>
      </c>
      <c r="I80" s="7"/>
      <c r="J80" s="10">
        <v>5</v>
      </c>
      <c r="K80" s="117">
        <v>1426678</v>
      </c>
      <c r="L80" s="120">
        <f t="shared" si="23"/>
        <v>150.47758675245228</v>
      </c>
      <c r="M80" s="122">
        <f t="shared" si="16"/>
        <v>2853357.88</v>
      </c>
      <c r="N80" s="116">
        <f t="shared" si="17"/>
        <v>1426679.88</v>
      </c>
      <c r="O80" s="123">
        <f t="shared" si="18"/>
        <v>150.47778504377175</v>
      </c>
      <c r="P80" s="5"/>
      <c r="Q80" s="5">
        <f t="shared" si="19"/>
        <v>1</v>
      </c>
      <c r="R80" s="7">
        <f t="shared" si="20"/>
        <v>9481</v>
      </c>
      <c r="S80" s="5">
        <f t="shared" si="21"/>
        <v>1</v>
      </c>
      <c r="T80" s="7">
        <f t="shared" si="22"/>
        <v>9481</v>
      </c>
    </row>
    <row r="81" spans="1:20">
      <c r="A81" s="23" t="s">
        <v>87</v>
      </c>
      <c r="B81" s="35" t="s">
        <v>84</v>
      </c>
      <c r="C81" s="36">
        <v>651</v>
      </c>
      <c r="D81" s="6"/>
      <c r="E81" s="113">
        <v>15091871</v>
      </c>
      <c r="F81" s="116">
        <f t="shared" si="14"/>
        <v>23182.597542242704</v>
      </c>
      <c r="G81" s="117">
        <v>4257874</v>
      </c>
      <c r="H81" s="117">
        <f t="shared" si="15"/>
        <v>6540.5130568356371</v>
      </c>
      <c r="I81" s="98" t="s">
        <v>528</v>
      </c>
      <c r="J81" s="10"/>
      <c r="K81" s="117"/>
      <c r="L81" s="120"/>
      <c r="M81" s="122">
        <f t="shared" si="16"/>
        <v>42578.74</v>
      </c>
      <c r="N81" s="116">
        <f t="shared" si="17"/>
        <v>42578.74</v>
      </c>
      <c r="O81" s="123">
        <f t="shared" si="18"/>
        <v>65.40513056835637</v>
      </c>
      <c r="P81" s="5"/>
      <c r="Q81" s="5">
        <f t="shared" si="19"/>
        <v>1</v>
      </c>
      <c r="R81" s="7">
        <f t="shared" si="20"/>
        <v>651</v>
      </c>
      <c r="S81" s="5">
        <f t="shared" si="21"/>
        <v>0</v>
      </c>
      <c r="T81" s="7">
        <f t="shared" si="22"/>
        <v>0</v>
      </c>
    </row>
    <row r="82" spans="1:20">
      <c r="A82" s="23" t="s">
        <v>88</v>
      </c>
      <c r="B82" s="35" t="s">
        <v>89</v>
      </c>
      <c r="C82" s="36">
        <v>544</v>
      </c>
      <c r="D82" s="6"/>
      <c r="E82" s="113">
        <v>34492254</v>
      </c>
      <c r="F82" s="116">
        <f t="shared" si="14"/>
        <v>63404.878676470587</v>
      </c>
      <c r="G82" s="117">
        <v>26313749</v>
      </c>
      <c r="H82" s="117">
        <f t="shared" si="15"/>
        <v>48370.862132352944</v>
      </c>
      <c r="I82" s="9"/>
      <c r="J82" s="10">
        <v>6.1590999999999996</v>
      </c>
      <c r="K82" s="117">
        <v>162069</v>
      </c>
      <c r="L82" s="120">
        <f>(K82/C82)</f>
        <v>297.92095588235293</v>
      </c>
      <c r="M82" s="122">
        <f t="shared" si="16"/>
        <v>263137.49</v>
      </c>
      <c r="N82" s="116">
        <f t="shared" si="17"/>
        <v>101068.48999999999</v>
      </c>
      <c r="O82" s="123">
        <f t="shared" si="18"/>
        <v>185.78766544117644</v>
      </c>
      <c r="P82" s="5"/>
      <c r="Q82" s="5">
        <f t="shared" si="19"/>
        <v>1</v>
      </c>
      <c r="R82" s="7">
        <f t="shared" si="20"/>
        <v>544</v>
      </c>
      <c r="S82" s="5">
        <f t="shared" si="21"/>
        <v>1</v>
      </c>
      <c r="T82" s="7">
        <f t="shared" si="22"/>
        <v>544</v>
      </c>
    </row>
    <row r="83" spans="1:20">
      <c r="A83" s="23" t="s">
        <v>91</v>
      </c>
      <c r="B83" s="35" t="s">
        <v>89</v>
      </c>
      <c r="C83" s="36">
        <v>21202</v>
      </c>
      <c r="D83" s="6"/>
      <c r="E83" s="113">
        <v>5527505886</v>
      </c>
      <c r="F83" s="116">
        <f t="shared" si="14"/>
        <v>260706.81473445901</v>
      </c>
      <c r="G83" s="117">
        <v>4826553552</v>
      </c>
      <c r="H83" s="117">
        <f t="shared" si="15"/>
        <v>227646.14432600699</v>
      </c>
      <c r="I83" s="7"/>
      <c r="J83" s="10">
        <v>1.18</v>
      </c>
      <c r="K83" s="117">
        <v>5695333</v>
      </c>
      <c r="L83" s="120">
        <f>(K83/C83)</f>
        <v>268.62244127912459</v>
      </c>
      <c r="M83" s="122">
        <f t="shared" si="16"/>
        <v>48265535.520000003</v>
      </c>
      <c r="N83" s="116">
        <f t="shared" si="17"/>
        <v>42570202.520000003</v>
      </c>
      <c r="O83" s="123">
        <f t="shared" si="18"/>
        <v>2007.8390019809453</v>
      </c>
      <c r="P83" s="5"/>
      <c r="Q83" s="5">
        <f t="shared" si="19"/>
        <v>1</v>
      </c>
      <c r="R83" s="7">
        <f t="shared" si="20"/>
        <v>21202</v>
      </c>
      <c r="S83" s="5">
        <f t="shared" si="21"/>
        <v>1</v>
      </c>
      <c r="T83" s="7">
        <f t="shared" si="22"/>
        <v>21202</v>
      </c>
    </row>
    <row r="84" spans="1:20">
      <c r="A84" s="23" t="s">
        <v>92</v>
      </c>
      <c r="B84" s="35" t="s">
        <v>93</v>
      </c>
      <c r="C84" s="36">
        <v>526</v>
      </c>
      <c r="D84" s="6"/>
      <c r="E84" s="113">
        <v>14343434</v>
      </c>
      <c r="F84" s="116">
        <f t="shared" si="14"/>
        <v>27268.885931558936</v>
      </c>
      <c r="G84" s="117">
        <v>5756949</v>
      </c>
      <c r="H84" s="117">
        <f t="shared" si="15"/>
        <v>10944.769961977187</v>
      </c>
      <c r="I84" s="98" t="s">
        <v>528</v>
      </c>
      <c r="J84" s="10"/>
      <c r="K84" s="117"/>
      <c r="L84" s="120"/>
      <c r="M84" s="122">
        <f t="shared" si="16"/>
        <v>57569.49</v>
      </c>
      <c r="N84" s="116">
        <f t="shared" si="17"/>
        <v>57569.49</v>
      </c>
      <c r="O84" s="123">
        <f t="shared" si="18"/>
        <v>109.44769961977185</v>
      </c>
      <c r="P84" s="5"/>
      <c r="Q84" s="5">
        <f t="shared" si="19"/>
        <v>1</v>
      </c>
      <c r="R84" s="7">
        <f t="shared" si="20"/>
        <v>526</v>
      </c>
      <c r="S84" s="5">
        <f t="shared" si="21"/>
        <v>0</v>
      </c>
      <c r="T84" s="7">
        <f t="shared" si="22"/>
        <v>0</v>
      </c>
    </row>
    <row r="85" spans="1:20">
      <c r="A85" s="23" t="s">
        <v>94</v>
      </c>
      <c r="B85" s="35" t="s">
        <v>93</v>
      </c>
      <c r="C85" s="36">
        <v>10052</v>
      </c>
      <c r="D85" s="6"/>
      <c r="E85" s="113">
        <v>475818152</v>
      </c>
      <c r="F85" s="116">
        <f t="shared" si="14"/>
        <v>47335.669717469158</v>
      </c>
      <c r="G85" s="117">
        <v>274716175</v>
      </c>
      <c r="H85" s="117">
        <f t="shared" si="15"/>
        <v>27329.504078790291</v>
      </c>
      <c r="I85" s="7"/>
      <c r="J85" s="10">
        <v>3.6269999999999998</v>
      </c>
      <c r="K85" s="117">
        <v>996395</v>
      </c>
      <c r="L85" s="120">
        <f t="shared" ref="L85:L90" si="24">(K85/C85)</f>
        <v>99.124054914444883</v>
      </c>
      <c r="M85" s="122">
        <f t="shared" si="16"/>
        <v>2747161.75</v>
      </c>
      <c r="N85" s="116">
        <f t="shared" si="17"/>
        <v>1750766.75</v>
      </c>
      <c r="O85" s="123">
        <f t="shared" si="18"/>
        <v>174.17098587345802</v>
      </c>
      <c r="P85" s="5"/>
      <c r="Q85" s="5">
        <f t="shared" si="19"/>
        <v>1</v>
      </c>
      <c r="R85" s="7">
        <f t="shared" si="20"/>
        <v>10052</v>
      </c>
      <c r="S85" s="5">
        <f t="shared" si="21"/>
        <v>1</v>
      </c>
      <c r="T85" s="7">
        <f t="shared" si="22"/>
        <v>10052</v>
      </c>
    </row>
    <row r="86" spans="1:20">
      <c r="A86" s="23" t="s">
        <v>95</v>
      </c>
      <c r="B86" s="35" t="s">
        <v>468</v>
      </c>
      <c r="C86" s="36">
        <v>6577</v>
      </c>
      <c r="D86" s="6"/>
      <c r="E86" s="113">
        <v>216746611</v>
      </c>
      <c r="F86" s="116">
        <f t="shared" si="14"/>
        <v>32955.239622928384</v>
      </c>
      <c r="G86" s="117">
        <v>118491694</v>
      </c>
      <c r="H86" s="117">
        <f t="shared" si="15"/>
        <v>18016.07024479246</v>
      </c>
      <c r="I86" s="9"/>
      <c r="J86" s="11">
        <v>8.1913999999999998</v>
      </c>
      <c r="K86" s="117">
        <v>970612</v>
      </c>
      <c r="L86" s="120">
        <f t="shared" si="24"/>
        <v>147.57670670518473</v>
      </c>
      <c r="M86" s="122">
        <f t="shared" si="16"/>
        <v>1184916.94</v>
      </c>
      <c r="N86" s="116">
        <f t="shared" si="17"/>
        <v>214304.93999999994</v>
      </c>
      <c r="O86" s="123">
        <f t="shared" si="18"/>
        <v>32.583995742739845</v>
      </c>
      <c r="P86" s="5"/>
      <c r="Q86" s="5">
        <f t="shared" si="19"/>
        <v>1</v>
      </c>
      <c r="R86" s="7">
        <f t="shared" si="20"/>
        <v>6577</v>
      </c>
      <c r="S86" s="5">
        <f t="shared" si="21"/>
        <v>1</v>
      </c>
      <c r="T86" s="7">
        <f t="shared" si="22"/>
        <v>6577</v>
      </c>
    </row>
    <row r="87" spans="1:20">
      <c r="A87" s="23" t="s">
        <v>96</v>
      </c>
      <c r="B87" s="35" t="s">
        <v>97</v>
      </c>
      <c r="C87" s="36">
        <v>2089</v>
      </c>
      <c r="D87" s="6"/>
      <c r="E87" s="113">
        <v>47388550</v>
      </c>
      <c r="F87" s="116">
        <f t="shared" si="14"/>
        <v>22684.801340354235</v>
      </c>
      <c r="G87" s="117">
        <v>16062508</v>
      </c>
      <c r="H87" s="117">
        <f t="shared" si="15"/>
        <v>7689.0895165150787</v>
      </c>
      <c r="I87" s="7"/>
      <c r="J87" s="10">
        <v>5</v>
      </c>
      <c r="K87" s="117">
        <v>80312</v>
      </c>
      <c r="L87" s="120">
        <f t="shared" si="24"/>
        <v>38.445189085686934</v>
      </c>
      <c r="M87" s="122">
        <f t="shared" si="16"/>
        <v>160625.08000000002</v>
      </c>
      <c r="N87" s="116">
        <f t="shared" si="17"/>
        <v>80313.080000000016</v>
      </c>
      <c r="O87" s="123">
        <f t="shared" si="18"/>
        <v>38.445706079463868</v>
      </c>
      <c r="P87" s="5"/>
      <c r="Q87" s="5">
        <f t="shared" si="19"/>
        <v>1</v>
      </c>
      <c r="R87" s="7">
        <f t="shared" si="20"/>
        <v>2089</v>
      </c>
      <c r="S87" s="5">
        <f t="shared" si="21"/>
        <v>1</v>
      </c>
      <c r="T87" s="7">
        <f t="shared" si="22"/>
        <v>2089</v>
      </c>
    </row>
    <row r="88" spans="1:20">
      <c r="A88" s="23" t="s">
        <v>98</v>
      </c>
      <c r="B88" s="35" t="s">
        <v>97</v>
      </c>
      <c r="C88" s="36">
        <v>199</v>
      </c>
      <c r="D88" s="6"/>
      <c r="E88" s="113">
        <v>9231544</v>
      </c>
      <c r="F88" s="116">
        <f t="shared" si="14"/>
        <v>46389.668341708544</v>
      </c>
      <c r="G88" s="117">
        <v>6937435</v>
      </c>
      <c r="H88" s="117">
        <f t="shared" si="15"/>
        <v>34861.482412060301</v>
      </c>
      <c r="I88" s="7"/>
      <c r="J88" s="10">
        <v>3</v>
      </c>
      <c r="K88" s="117">
        <v>20812</v>
      </c>
      <c r="L88" s="120">
        <f t="shared" si="24"/>
        <v>104.58291457286433</v>
      </c>
      <c r="M88" s="122">
        <f t="shared" si="16"/>
        <v>69374.350000000006</v>
      </c>
      <c r="N88" s="116">
        <f t="shared" si="17"/>
        <v>48562.350000000006</v>
      </c>
      <c r="O88" s="123">
        <f t="shared" si="18"/>
        <v>244.03190954773874</v>
      </c>
      <c r="P88" s="5"/>
      <c r="Q88" s="5">
        <f t="shared" si="19"/>
        <v>1</v>
      </c>
      <c r="R88" s="7">
        <f t="shared" si="20"/>
        <v>199</v>
      </c>
      <c r="S88" s="5">
        <f t="shared" si="21"/>
        <v>1</v>
      </c>
      <c r="T88" s="7">
        <f t="shared" si="22"/>
        <v>199</v>
      </c>
    </row>
    <row r="89" spans="1:20">
      <c r="A89" s="23" t="s">
        <v>99</v>
      </c>
      <c r="B89" s="35" t="s">
        <v>100</v>
      </c>
      <c r="C89" s="36">
        <v>13316</v>
      </c>
      <c r="D89" s="6"/>
      <c r="E89" s="113">
        <v>664782630</v>
      </c>
      <c r="F89" s="116">
        <f t="shared" si="14"/>
        <v>49923.597927305498</v>
      </c>
      <c r="G89" s="117">
        <v>543947127</v>
      </c>
      <c r="H89" s="117">
        <f t="shared" si="15"/>
        <v>40849.138404926402</v>
      </c>
      <c r="I89" s="8"/>
      <c r="J89" s="10">
        <v>2.9220999999999999</v>
      </c>
      <c r="K89" s="117">
        <v>1589467</v>
      </c>
      <c r="L89" s="120">
        <f t="shared" si="24"/>
        <v>119.3651997596876</v>
      </c>
      <c r="M89" s="122">
        <f t="shared" si="16"/>
        <v>5439471.2700000005</v>
      </c>
      <c r="N89" s="116">
        <f t="shared" si="17"/>
        <v>3850004.2700000005</v>
      </c>
      <c r="O89" s="123">
        <f t="shared" si="18"/>
        <v>289.12618428957649</v>
      </c>
      <c r="P89" s="5"/>
      <c r="Q89" s="5">
        <f t="shared" si="19"/>
        <v>1</v>
      </c>
      <c r="R89" s="7">
        <f t="shared" si="20"/>
        <v>13316</v>
      </c>
      <c r="S89" s="5">
        <f t="shared" si="21"/>
        <v>1</v>
      </c>
      <c r="T89" s="7">
        <f t="shared" si="22"/>
        <v>13316</v>
      </c>
    </row>
    <row r="90" spans="1:20">
      <c r="A90" s="23" t="s">
        <v>101</v>
      </c>
      <c r="B90" s="35" t="s">
        <v>100</v>
      </c>
      <c r="C90" s="36">
        <v>1565</v>
      </c>
      <c r="D90" s="6"/>
      <c r="E90" s="113">
        <v>49319022</v>
      </c>
      <c r="F90" s="116">
        <f t="shared" si="14"/>
        <v>31513.752076677316</v>
      </c>
      <c r="G90" s="117">
        <v>30861442</v>
      </c>
      <c r="H90" s="117">
        <f t="shared" si="15"/>
        <v>19719.771246006389</v>
      </c>
      <c r="I90" s="8"/>
      <c r="J90" s="10">
        <v>1.3703000000000001</v>
      </c>
      <c r="K90" s="117">
        <v>42289</v>
      </c>
      <c r="L90" s="120">
        <f t="shared" si="24"/>
        <v>27.021725239616615</v>
      </c>
      <c r="M90" s="122">
        <f t="shared" si="16"/>
        <v>308614.42</v>
      </c>
      <c r="N90" s="116">
        <f t="shared" si="17"/>
        <v>266325.42</v>
      </c>
      <c r="O90" s="123">
        <f t="shared" si="18"/>
        <v>170.17598722044727</v>
      </c>
      <c r="P90" s="5"/>
      <c r="Q90" s="5">
        <f t="shared" si="19"/>
        <v>1</v>
      </c>
      <c r="R90" s="7">
        <f t="shared" si="20"/>
        <v>1565</v>
      </c>
      <c r="S90" s="5">
        <f t="shared" si="21"/>
        <v>1</v>
      </c>
      <c r="T90" s="7">
        <f t="shared" si="22"/>
        <v>1565</v>
      </c>
    </row>
    <row r="91" spans="1:20">
      <c r="A91" s="23" t="s">
        <v>102</v>
      </c>
      <c r="B91" s="35" t="s">
        <v>100</v>
      </c>
      <c r="C91" s="36">
        <v>698735</v>
      </c>
      <c r="D91" s="36" t="s">
        <v>519</v>
      </c>
      <c r="E91" s="113"/>
      <c r="F91" s="116"/>
      <c r="G91" s="117"/>
      <c r="H91" s="117"/>
      <c r="I91" s="9"/>
      <c r="J91" s="11"/>
      <c r="K91" s="117"/>
      <c r="L91" s="120"/>
      <c r="M91" s="122">
        <f t="shared" si="16"/>
        <v>0</v>
      </c>
      <c r="N91" s="116">
        <f t="shared" si="17"/>
        <v>0</v>
      </c>
      <c r="O91" s="123">
        <f t="shared" si="18"/>
        <v>0</v>
      </c>
      <c r="P91" s="5"/>
      <c r="Q91" s="5">
        <f t="shared" si="19"/>
        <v>0</v>
      </c>
      <c r="R91" s="7">
        <f t="shared" si="20"/>
        <v>0</v>
      </c>
      <c r="S91" s="5">
        <f t="shared" si="21"/>
        <v>0</v>
      </c>
      <c r="T91" s="7">
        <f t="shared" si="22"/>
        <v>0</v>
      </c>
    </row>
    <row r="92" spans="1:20">
      <c r="A92" s="23" t="s">
        <v>103</v>
      </c>
      <c r="B92" s="35" t="s">
        <v>100</v>
      </c>
      <c r="C92" s="36">
        <v>20349</v>
      </c>
      <c r="D92" s="6"/>
      <c r="E92" s="113">
        <v>1041988172</v>
      </c>
      <c r="F92" s="116">
        <f t="shared" ref="F92:F155" si="25">(E92/C92)</f>
        <v>51205.866234212983</v>
      </c>
      <c r="G92" s="117">
        <v>832227015</v>
      </c>
      <c r="H92" s="117">
        <f t="shared" ref="H92:H155" si="26">(G92/C92)</f>
        <v>40897.686127082408</v>
      </c>
      <c r="I92" s="9"/>
      <c r="J92" s="10">
        <v>3.9070999999999998</v>
      </c>
      <c r="K92" s="117">
        <v>3251594</v>
      </c>
      <c r="L92" s="120">
        <f t="shared" ref="L92:L98" si="27">(K92/C92)</f>
        <v>159.79134109784263</v>
      </c>
      <c r="M92" s="122">
        <f t="shared" si="16"/>
        <v>8322270.1500000004</v>
      </c>
      <c r="N92" s="116">
        <f t="shared" si="17"/>
        <v>5070676.1500000004</v>
      </c>
      <c r="O92" s="123">
        <f t="shared" si="18"/>
        <v>249.18552017298148</v>
      </c>
      <c r="P92" s="5"/>
      <c r="Q92" s="5">
        <f t="shared" si="19"/>
        <v>1</v>
      </c>
      <c r="R92" s="7">
        <f t="shared" si="20"/>
        <v>20349</v>
      </c>
      <c r="S92" s="5">
        <f t="shared" si="21"/>
        <v>1</v>
      </c>
      <c r="T92" s="7">
        <f t="shared" si="22"/>
        <v>20349</v>
      </c>
    </row>
    <row r="93" spans="1:20">
      <c r="A93" s="23" t="s">
        <v>104</v>
      </c>
      <c r="B93" s="35" t="s">
        <v>100</v>
      </c>
      <c r="C93" s="36">
        <v>7543</v>
      </c>
      <c r="D93" s="6"/>
      <c r="E93" s="113">
        <v>359152378</v>
      </c>
      <c r="F93" s="116">
        <f t="shared" si="25"/>
        <v>47613.996818242078</v>
      </c>
      <c r="G93" s="117">
        <v>281475279</v>
      </c>
      <c r="H93" s="117">
        <f t="shared" si="26"/>
        <v>37316.091608113486</v>
      </c>
      <c r="I93" s="9"/>
      <c r="J93" s="10">
        <v>3.3828999999999998</v>
      </c>
      <c r="K93" s="117">
        <v>952202</v>
      </c>
      <c r="L93" s="120">
        <f t="shared" si="27"/>
        <v>126.23651067214637</v>
      </c>
      <c r="M93" s="122">
        <f t="shared" si="16"/>
        <v>2814752.79</v>
      </c>
      <c r="N93" s="116">
        <f t="shared" si="17"/>
        <v>1862550.79</v>
      </c>
      <c r="O93" s="123">
        <f t="shared" si="18"/>
        <v>246.92440540898846</v>
      </c>
      <c r="P93" s="5"/>
      <c r="Q93" s="5">
        <f t="shared" si="19"/>
        <v>1</v>
      </c>
      <c r="R93" s="7">
        <f t="shared" si="20"/>
        <v>7543</v>
      </c>
      <c r="S93" s="5">
        <f t="shared" si="21"/>
        <v>1</v>
      </c>
      <c r="T93" s="7">
        <f t="shared" si="22"/>
        <v>7543</v>
      </c>
    </row>
    <row r="94" spans="1:20">
      <c r="A94" s="23" t="s">
        <v>105</v>
      </c>
      <c r="B94" s="35" t="s">
        <v>106</v>
      </c>
      <c r="C94" s="36">
        <v>1968</v>
      </c>
      <c r="D94" s="6"/>
      <c r="E94" s="113">
        <v>38215640</v>
      </c>
      <c r="F94" s="116">
        <f t="shared" si="25"/>
        <v>19418.516260162603</v>
      </c>
      <c r="G94" s="117">
        <v>21743880</v>
      </c>
      <c r="H94" s="117">
        <f t="shared" si="26"/>
        <v>11048.719512195123</v>
      </c>
      <c r="I94" s="9"/>
      <c r="J94" s="10">
        <v>1.1279999999999999</v>
      </c>
      <c r="K94" s="117">
        <v>24527</v>
      </c>
      <c r="L94" s="120">
        <f t="shared" si="27"/>
        <v>12.462906504065041</v>
      </c>
      <c r="M94" s="122">
        <f t="shared" si="16"/>
        <v>217438.80000000002</v>
      </c>
      <c r="N94" s="116">
        <f t="shared" si="17"/>
        <v>192911.80000000002</v>
      </c>
      <c r="O94" s="123">
        <f t="shared" si="18"/>
        <v>98.024288617886185</v>
      </c>
      <c r="P94" s="5"/>
      <c r="Q94" s="5">
        <f t="shared" si="19"/>
        <v>1</v>
      </c>
      <c r="R94" s="7">
        <f t="shared" si="20"/>
        <v>1968</v>
      </c>
      <c r="S94" s="5">
        <f t="shared" si="21"/>
        <v>1</v>
      </c>
      <c r="T94" s="7">
        <f t="shared" si="22"/>
        <v>1968</v>
      </c>
    </row>
    <row r="95" spans="1:20">
      <c r="A95" s="23" t="s">
        <v>107</v>
      </c>
      <c r="B95" s="35" t="s">
        <v>106</v>
      </c>
      <c r="C95" s="36">
        <v>60591</v>
      </c>
      <c r="D95" s="6"/>
      <c r="E95" s="113">
        <v>2567471670</v>
      </c>
      <c r="F95" s="116">
        <f t="shared" si="25"/>
        <v>42373.812447393175</v>
      </c>
      <c r="G95" s="117">
        <v>1641747510</v>
      </c>
      <c r="H95" s="117">
        <f t="shared" si="26"/>
        <v>27095.567163440115</v>
      </c>
      <c r="I95" s="9"/>
      <c r="J95" s="10">
        <v>5.0570000000000004</v>
      </c>
      <c r="K95" s="117">
        <v>8302317</v>
      </c>
      <c r="L95" s="120">
        <f t="shared" si="27"/>
        <v>137.02228053671337</v>
      </c>
      <c r="M95" s="122">
        <f t="shared" si="16"/>
        <v>16417475.1</v>
      </c>
      <c r="N95" s="116">
        <f t="shared" si="17"/>
        <v>8115158.0999999996</v>
      </c>
      <c r="O95" s="123">
        <f t="shared" si="18"/>
        <v>133.93339109768777</v>
      </c>
      <c r="P95" s="5"/>
      <c r="Q95" s="5">
        <f t="shared" si="19"/>
        <v>1</v>
      </c>
      <c r="R95" s="7">
        <f t="shared" si="20"/>
        <v>60591</v>
      </c>
      <c r="S95" s="5">
        <f t="shared" si="21"/>
        <v>1</v>
      </c>
      <c r="T95" s="7">
        <f t="shared" si="22"/>
        <v>60591</v>
      </c>
    </row>
    <row r="96" spans="1:20">
      <c r="A96" s="23" t="s">
        <v>108</v>
      </c>
      <c r="B96" s="35" t="s">
        <v>109</v>
      </c>
      <c r="C96" s="36">
        <v>326</v>
      </c>
      <c r="D96" s="6"/>
      <c r="E96" s="113">
        <v>19583620</v>
      </c>
      <c r="F96" s="116">
        <f t="shared" si="25"/>
        <v>60072.453987730063</v>
      </c>
      <c r="G96" s="117">
        <v>16753098</v>
      </c>
      <c r="H96" s="117">
        <f t="shared" si="26"/>
        <v>51389.871165644174</v>
      </c>
      <c r="I96" s="7"/>
      <c r="J96" s="10">
        <v>0.95730000000000004</v>
      </c>
      <c r="K96" s="117">
        <v>16037</v>
      </c>
      <c r="L96" s="120">
        <f t="shared" si="27"/>
        <v>49.193251533742334</v>
      </c>
      <c r="M96" s="122">
        <f t="shared" si="16"/>
        <v>167530.98000000001</v>
      </c>
      <c r="N96" s="116">
        <f t="shared" si="17"/>
        <v>151493.98000000001</v>
      </c>
      <c r="O96" s="123">
        <f t="shared" si="18"/>
        <v>464.70546012269944</v>
      </c>
      <c r="P96" s="5"/>
      <c r="Q96" s="5">
        <f t="shared" si="19"/>
        <v>1</v>
      </c>
      <c r="R96" s="7">
        <f t="shared" si="20"/>
        <v>326</v>
      </c>
      <c r="S96" s="5">
        <f t="shared" si="21"/>
        <v>1</v>
      </c>
      <c r="T96" s="7">
        <f t="shared" si="22"/>
        <v>326</v>
      </c>
    </row>
    <row r="97" spans="1:20">
      <c r="A97" s="23" t="s">
        <v>110</v>
      </c>
      <c r="B97" s="35" t="s">
        <v>109</v>
      </c>
      <c r="C97" s="36">
        <v>2078</v>
      </c>
      <c r="D97" s="6"/>
      <c r="E97" s="113">
        <v>94184707</v>
      </c>
      <c r="F97" s="116">
        <f t="shared" si="25"/>
        <v>45324.690567853708</v>
      </c>
      <c r="G97" s="117">
        <v>51561507</v>
      </c>
      <c r="H97" s="117">
        <f t="shared" si="26"/>
        <v>24813.044754571703</v>
      </c>
      <c r="I97" s="7"/>
      <c r="J97" s="10">
        <v>4.75</v>
      </c>
      <c r="K97" s="117">
        <v>244917</v>
      </c>
      <c r="L97" s="120">
        <f t="shared" si="27"/>
        <v>117.8618864292589</v>
      </c>
      <c r="M97" s="122">
        <f t="shared" si="16"/>
        <v>515615.07</v>
      </c>
      <c r="N97" s="116">
        <f t="shared" si="17"/>
        <v>270698.07</v>
      </c>
      <c r="O97" s="123">
        <f t="shared" si="18"/>
        <v>130.26856111645813</v>
      </c>
      <c r="P97" s="5"/>
      <c r="Q97" s="5">
        <f t="shared" si="19"/>
        <v>1</v>
      </c>
      <c r="R97" s="7">
        <f t="shared" si="20"/>
        <v>2078</v>
      </c>
      <c r="S97" s="5">
        <f t="shared" si="21"/>
        <v>1</v>
      </c>
      <c r="T97" s="7">
        <f t="shared" si="22"/>
        <v>2078</v>
      </c>
    </row>
    <row r="98" spans="1:20">
      <c r="A98" s="23" t="s">
        <v>112</v>
      </c>
      <c r="B98" s="35" t="s">
        <v>109</v>
      </c>
      <c r="C98" s="36">
        <v>4246</v>
      </c>
      <c r="D98" s="6"/>
      <c r="E98" s="113">
        <v>290170303</v>
      </c>
      <c r="F98" s="116">
        <f t="shared" si="25"/>
        <v>68339.685115402739</v>
      </c>
      <c r="G98" s="117">
        <v>237434411</v>
      </c>
      <c r="H98" s="117">
        <f t="shared" si="26"/>
        <v>55919.550400376822</v>
      </c>
      <c r="I98" s="7"/>
      <c r="J98" s="10">
        <v>2.7736999999999998</v>
      </c>
      <c r="K98" s="117">
        <v>658571</v>
      </c>
      <c r="L98" s="120">
        <f t="shared" si="27"/>
        <v>155.10386245878473</v>
      </c>
      <c r="M98" s="122">
        <f t="shared" si="16"/>
        <v>2374344.11</v>
      </c>
      <c r="N98" s="116">
        <f t="shared" si="17"/>
        <v>1715773.1099999999</v>
      </c>
      <c r="O98" s="123">
        <f t="shared" si="18"/>
        <v>404.09164154498347</v>
      </c>
      <c r="P98" s="5"/>
      <c r="Q98" s="5">
        <f t="shared" si="19"/>
        <v>1</v>
      </c>
      <c r="R98" s="7">
        <f t="shared" si="20"/>
        <v>4246</v>
      </c>
      <c r="S98" s="5">
        <f t="shared" si="21"/>
        <v>1</v>
      </c>
      <c r="T98" s="7">
        <f t="shared" si="22"/>
        <v>4246</v>
      </c>
    </row>
    <row r="99" spans="1:20">
      <c r="A99" s="23" t="s">
        <v>111</v>
      </c>
      <c r="B99" s="35" t="s">
        <v>557</v>
      </c>
      <c r="C99" s="36">
        <v>17</v>
      </c>
      <c r="D99" s="6"/>
      <c r="E99" s="113">
        <v>6997257</v>
      </c>
      <c r="F99" s="116">
        <f t="shared" si="25"/>
        <v>411603.35294117645</v>
      </c>
      <c r="G99" s="117">
        <v>6268588</v>
      </c>
      <c r="H99" s="117">
        <f t="shared" si="26"/>
        <v>368740.4705882353</v>
      </c>
      <c r="I99" s="98" t="s">
        <v>528</v>
      </c>
      <c r="J99" s="10"/>
      <c r="K99" s="117"/>
      <c r="L99" s="120"/>
      <c r="M99" s="122">
        <f t="shared" si="16"/>
        <v>62685.880000000005</v>
      </c>
      <c r="N99" s="116">
        <f t="shared" si="17"/>
        <v>62685.880000000005</v>
      </c>
      <c r="O99" s="123">
        <f t="shared" si="18"/>
        <v>3687.404705882353</v>
      </c>
      <c r="P99" s="5"/>
      <c r="Q99" s="5">
        <f t="shared" si="19"/>
        <v>1</v>
      </c>
      <c r="R99" s="7">
        <f t="shared" si="20"/>
        <v>17</v>
      </c>
      <c r="S99" s="5">
        <f t="shared" si="21"/>
        <v>0</v>
      </c>
      <c r="T99" s="7">
        <f t="shared" si="22"/>
        <v>0</v>
      </c>
    </row>
    <row r="100" spans="1:20">
      <c r="A100" s="23" t="s">
        <v>114</v>
      </c>
      <c r="B100" s="35" t="s">
        <v>115</v>
      </c>
      <c r="C100" s="36">
        <v>2815</v>
      </c>
      <c r="D100" s="6"/>
      <c r="E100" s="113">
        <v>106558806</v>
      </c>
      <c r="F100" s="116">
        <f t="shared" si="25"/>
        <v>37853.927531083478</v>
      </c>
      <c r="G100" s="117">
        <v>59859604</v>
      </c>
      <c r="H100" s="117">
        <f t="shared" si="26"/>
        <v>21264.512966252219</v>
      </c>
      <c r="I100" s="7"/>
      <c r="J100" s="10">
        <v>8.2913999999999994</v>
      </c>
      <c r="K100" s="117">
        <v>496319</v>
      </c>
      <c r="L100" s="120">
        <f t="shared" ref="L100:L107" si="28">(K100/C100)</f>
        <v>176.31225577264652</v>
      </c>
      <c r="M100" s="122">
        <f t="shared" si="16"/>
        <v>598596.04</v>
      </c>
      <c r="N100" s="116">
        <f t="shared" si="17"/>
        <v>102277.04000000004</v>
      </c>
      <c r="O100" s="123">
        <f t="shared" si="18"/>
        <v>36.332873889875678</v>
      </c>
      <c r="P100" s="5"/>
      <c r="Q100" s="5">
        <f t="shared" si="19"/>
        <v>1</v>
      </c>
      <c r="R100" s="7">
        <f t="shared" si="20"/>
        <v>2815</v>
      </c>
      <c r="S100" s="5">
        <f t="shared" si="21"/>
        <v>1</v>
      </c>
      <c r="T100" s="7">
        <f t="shared" si="22"/>
        <v>2815</v>
      </c>
    </row>
    <row r="101" spans="1:20">
      <c r="A101" s="23" t="s">
        <v>116</v>
      </c>
      <c r="B101" s="35" t="s">
        <v>115</v>
      </c>
      <c r="C101" s="36">
        <v>1389</v>
      </c>
      <c r="D101" s="6"/>
      <c r="E101" s="113">
        <v>49036090</v>
      </c>
      <c r="F101" s="116">
        <f t="shared" si="25"/>
        <v>35303.160547156229</v>
      </c>
      <c r="G101" s="117">
        <v>27957380</v>
      </c>
      <c r="H101" s="117">
        <f t="shared" si="26"/>
        <v>20127.703383729302</v>
      </c>
      <c r="I101" s="9"/>
      <c r="J101" s="10">
        <v>8.0259999999999998</v>
      </c>
      <c r="K101" s="117">
        <v>224385</v>
      </c>
      <c r="L101" s="120">
        <f t="shared" si="28"/>
        <v>161.54427645788337</v>
      </c>
      <c r="M101" s="122">
        <f t="shared" si="16"/>
        <v>279573.8</v>
      </c>
      <c r="N101" s="116">
        <f t="shared" si="17"/>
        <v>55188.799999999988</v>
      </c>
      <c r="O101" s="123">
        <f t="shared" si="18"/>
        <v>39.732757379409641</v>
      </c>
      <c r="P101" s="5"/>
      <c r="Q101" s="5">
        <f t="shared" si="19"/>
        <v>1</v>
      </c>
      <c r="R101" s="7">
        <f t="shared" si="20"/>
        <v>1389</v>
      </c>
      <c r="S101" s="5">
        <f t="shared" si="21"/>
        <v>1</v>
      </c>
      <c r="T101" s="7">
        <f t="shared" si="22"/>
        <v>1389</v>
      </c>
    </row>
    <row r="102" spans="1:20">
      <c r="A102" s="23" t="s">
        <v>117</v>
      </c>
      <c r="B102" s="35" t="s">
        <v>118</v>
      </c>
      <c r="C102" s="36">
        <v>3917</v>
      </c>
      <c r="D102" s="6"/>
      <c r="E102" s="113">
        <v>178352390</v>
      </c>
      <c r="F102" s="116">
        <f t="shared" si="25"/>
        <v>45532.905284656626</v>
      </c>
      <c r="G102" s="117">
        <v>25808063</v>
      </c>
      <c r="H102" s="117">
        <f t="shared" si="26"/>
        <v>6588.7319377074291</v>
      </c>
      <c r="I102" s="7"/>
      <c r="J102" s="10">
        <v>1.0640000000000001</v>
      </c>
      <c r="K102" s="117">
        <v>27459</v>
      </c>
      <c r="L102" s="120">
        <f t="shared" si="28"/>
        <v>7.0102118968598415</v>
      </c>
      <c r="M102" s="122">
        <f t="shared" si="16"/>
        <v>258080.63</v>
      </c>
      <c r="N102" s="116">
        <f t="shared" si="17"/>
        <v>230621.63</v>
      </c>
      <c r="O102" s="123">
        <f t="shared" si="18"/>
        <v>58.877107480214448</v>
      </c>
      <c r="P102" s="5"/>
      <c r="Q102" s="5">
        <f t="shared" si="19"/>
        <v>1</v>
      </c>
      <c r="R102" s="7">
        <f t="shared" si="20"/>
        <v>3917</v>
      </c>
      <c r="S102" s="5">
        <f t="shared" si="21"/>
        <v>1</v>
      </c>
      <c r="T102" s="7">
        <f t="shared" si="22"/>
        <v>3917</v>
      </c>
    </row>
    <row r="103" spans="1:20">
      <c r="A103" s="23" t="s">
        <v>119</v>
      </c>
      <c r="B103" s="35" t="s">
        <v>118</v>
      </c>
      <c r="C103" s="36">
        <v>597</v>
      </c>
      <c r="D103" s="6"/>
      <c r="E103" s="113">
        <v>10201254</v>
      </c>
      <c r="F103" s="116">
        <f t="shared" si="25"/>
        <v>17087.527638190953</v>
      </c>
      <c r="G103" s="117">
        <v>4384647</v>
      </c>
      <c r="H103" s="117">
        <f t="shared" si="26"/>
        <v>7344.4673366834168</v>
      </c>
      <c r="I103" s="7"/>
      <c r="J103" s="10">
        <v>2</v>
      </c>
      <c r="K103" s="117">
        <v>8769</v>
      </c>
      <c r="L103" s="120">
        <f t="shared" si="28"/>
        <v>14.688442211055277</v>
      </c>
      <c r="M103" s="122">
        <f t="shared" si="16"/>
        <v>43846.47</v>
      </c>
      <c r="N103" s="116">
        <f t="shared" si="17"/>
        <v>35077.47</v>
      </c>
      <c r="O103" s="123">
        <f t="shared" si="18"/>
        <v>58.756231155778899</v>
      </c>
      <c r="P103" s="5"/>
      <c r="Q103" s="5">
        <f t="shared" si="19"/>
        <v>1</v>
      </c>
      <c r="R103" s="7">
        <f t="shared" si="20"/>
        <v>597</v>
      </c>
      <c r="S103" s="5">
        <f t="shared" si="21"/>
        <v>1</v>
      </c>
      <c r="T103" s="7">
        <f t="shared" si="22"/>
        <v>597</v>
      </c>
    </row>
    <row r="104" spans="1:20">
      <c r="A104" s="23" t="s">
        <v>120</v>
      </c>
      <c r="B104" s="35" t="s">
        <v>118</v>
      </c>
      <c r="C104" s="36">
        <v>2862</v>
      </c>
      <c r="D104" s="6"/>
      <c r="E104" s="113">
        <v>16000149</v>
      </c>
      <c r="F104" s="116">
        <f t="shared" si="25"/>
        <v>5590.5482180293502</v>
      </c>
      <c r="G104" s="117">
        <v>5281753</v>
      </c>
      <c r="H104" s="117">
        <f t="shared" si="26"/>
        <v>1845.4762403913348</v>
      </c>
      <c r="I104" s="7"/>
      <c r="J104" s="11">
        <v>2</v>
      </c>
      <c r="K104" s="117">
        <v>10563</v>
      </c>
      <c r="L104" s="120">
        <f t="shared" si="28"/>
        <v>3.690775681341719</v>
      </c>
      <c r="M104" s="122">
        <f t="shared" si="16"/>
        <v>52817.53</v>
      </c>
      <c r="N104" s="116">
        <f t="shared" si="17"/>
        <v>42254.53</v>
      </c>
      <c r="O104" s="123">
        <f t="shared" si="18"/>
        <v>14.763986722571628</v>
      </c>
      <c r="P104" s="5"/>
      <c r="Q104" s="5">
        <f t="shared" si="19"/>
        <v>1</v>
      </c>
      <c r="R104" s="7">
        <f t="shared" si="20"/>
        <v>2862</v>
      </c>
      <c r="S104" s="5">
        <f t="shared" si="21"/>
        <v>1</v>
      </c>
      <c r="T104" s="7">
        <f t="shared" si="22"/>
        <v>2862</v>
      </c>
    </row>
    <row r="105" spans="1:20">
      <c r="A105" s="23" t="s">
        <v>121</v>
      </c>
      <c r="B105" s="35" t="s">
        <v>118</v>
      </c>
      <c r="C105" s="36">
        <v>1801</v>
      </c>
      <c r="D105" s="6"/>
      <c r="E105" s="113">
        <v>46570355</v>
      </c>
      <c r="F105" s="116">
        <f t="shared" si="25"/>
        <v>25858.05385896724</v>
      </c>
      <c r="G105" s="117">
        <v>30521702</v>
      </c>
      <c r="H105" s="117">
        <f t="shared" si="26"/>
        <v>16947.086063298168</v>
      </c>
      <c r="I105" s="7"/>
      <c r="J105" s="10">
        <v>1.1020000000000001</v>
      </c>
      <c r="K105" s="117">
        <v>33634</v>
      </c>
      <c r="L105" s="120">
        <f t="shared" si="28"/>
        <v>18.675180455302609</v>
      </c>
      <c r="M105" s="122">
        <f t="shared" si="16"/>
        <v>305217.02</v>
      </c>
      <c r="N105" s="116">
        <f t="shared" si="17"/>
        <v>271583.02</v>
      </c>
      <c r="O105" s="123">
        <f t="shared" si="18"/>
        <v>150.79568017767909</v>
      </c>
      <c r="P105" s="5"/>
      <c r="Q105" s="5">
        <f t="shared" si="19"/>
        <v>1</v>
      </c>
      <c r="R105" s="7">
        <f t="shared" si="20"/>
        <v>1801</v>
      </c>
      <c r="S105" s="5">
        <f t="shared" si="21"/>
        <v>1</v>
      </c>
      <c r="T105" s="7">
        <f t="shared" si="22"/>
        <v>1801</v>
      </c>
    </row>
    <row r="106" spans="1:20">
      <c r="A106" s="23" t="s">
        <v>122</v>
      </c>
      <c r="B106" s="35" t="s">
        <v>118</v>
      </c>
      <c r="C106" s="36">
        <v>1175</v>
      </c>
      <c r="D106" s="6"/>
      <c r="E106" s="113">
        <v>15363348</v>
      </c>
      <c r="F106" s="116">
        <f t="shared" si="25"/>
        <v>13075.189787234043</v>
      </c>
      <c r="G106" s="117">
        <v>8808241</v>
      </c>
      <c r="H106" s="117">
        <f t="shared" si="26"/>
        <v>7496.3753191489359</v>
      </c>
      <c r="I106" s="7"/>
      <c r="J106" s="10">
        <v>5</v>
      </c>
      <c r="K106" s="117">
        <v>44041</v>
      </c>
      <c r="L106" s="120">
        <f t="shared" si="28"/>
        <v>37.481702127659574</v>
      </c>
      <c r="M106" s="122">
        <f t="shared" si="16"/>
        <v>88082.41</v>
      </c>
      <c r="N106" s="116">
        <f t="shared" si="17"/>
        <v>44041.41</v>
      </c>
      <c r="O106" s="123">
        <f t="shared" si="18"/>
        <v>37.482051063829793</v>
      </c>
      <c r="P106" s="5"/>
      <c r="Q106" s="5">
        <f t="shared" si="19"/>
        <v>1</v>
      </c>
      <c r="R106" s="7">
        <f t="shared" si="20"/>
        <v>1175</v>
      </c>
      <c r="S106" s="5">
        <f t="shared" si="21"/>
        <v>1</v>
      </c>
      <c r="T106" s="7">
        <f t="shared" si="22"/>
        <v>1175</v>
      </c>
    </row>
    <row r="107" spans="1:20">
      <c r="A107" s="23" t="s">
        <v>123</v>
      </c>
      <c r="B107" s="35" t="s">
        <v>118</v>
      </c>
      <c r="C107" s="36">
        <v>7374</v>
      </c>
      <c r="D107" s="6"/>
      <c r="E107" s="113">
        <v>232234132</v>
      </c>
      <c r="F107" s="116">
        <f t="shared" si="25"/>
        <v>31493.644155139678</v>
      </c>
      <c r="G107" s="117">
        <v>136269923</v>
      </c>
      <c r="H107" s="117">
        <f t="shared" si="26"/>
        <v>18479.78342826146</v>
      </c>
      <c r="I107" s="7"/>
      <c r="J107" s="10">
        <v>2</v>
      </c>
      <c r="K107" s="117">
        <v>272539</v>
      </c>
      <c r="L107" s="120">
        <f t="shared" si="28"/>
        <v>36.959452129102253</v>
      </c>
      <c r="M107" s="122">
        <f t="shared" si="16"/>
        <v>1362699.23</v>
      </c>
      <c r="N107" s="116">
        <f t="shared" si="17"/>
        <v>1090160.23</v>
      </c>
      <c r="O107" s="123">
        <f t="shared" si="18"/>
        <v>147.83838215351233</v>
      </c>
      <c r="P107" s="5"/>
      <c r="Q107" s="5">
        <f t="shared" si="19"/>
        <v>1</v>
      </c>
      <c r="R107" s="7">
        <f t="shared" si="20"/>
        <v>7374</v>
      </c>
      <c r="S107" s="5">
        <f t="shared" si="21"/>
        <v>1</v>
      </c>
      <c r="T107" s="7">
        <f t="shared" si="22"/>
        <v>7374</v>
      </c>
    </row>
    <row r="108" spans="1:20">
      <c r="A108" s="23" t="s">
        <v>124</v>
      </c>
      <c r="B108" s="35" t="s">
        <v>125</v>
      </c>
      <c r="C108" s="36">
        <v>284</v>
      </c>
      <c r="D108" s="6"/>
      <c r="E108" s="113">
        <v>7985302</v>
      </c>
      <c r="F108" s="116">
        <f t="shared" si="25"/>
        <v>28117.260563380281</v>
      </c>
      <c r="G108" s="117">
        <v>3777489</v>
      </c>
      <c r="H108" s="117">
        <f t="shared" si="26"/>
        <v>13301.017605633802</v>
      </c>
      <c r="I108" s="98" t="s">
        <v>528</v>
      </c>
      <c r="J108" s="10"/>
      <c r="K108" s="117"/>
      <c r="L108" s="120"/>
      <c r="M108" s="122">
        <f t="shared" si="16"/>
        <v>37774.89</v>
      </c>
      <c r="N108" s="116">
        <f t="shared" si="17"/>
        <v>37774.89</v>
      </c>
      <c r="O108" s="123">
        <f t="shared" si="18"/>
        <v>133.01017605633803</v>
      </c>
      <c r="P108" s="5"/>
      <c r="Q108" s="5">
        <f t="shared" si="19"/>
        <v>1</v>
      </c>
      <c r="R108" s="7">
        <f t="shared" si="20"/>
        <v>284</v>
      </c>
      <c r="S108" s="5">
        <f t="shared" si="21"/>
        <v>0</v>
      </c>
      <c r="T108" s="7">
        <f t="shared" si="22"/>
        <v>0</v>
      </c>
    </row>
    <row r="109" spans="1:20">
      <c r="A109" s="23" t="s">
        <v>126</v>
      </c>
      <c r="B109" s="35" t="s">
        <v>125</v>
      </c>
      <c r="C109" s="36">
        <v>1351</v>
      </c>
      <c r="D109" s="6"/>
      <c r="E109" s="113">
        <v>38866892</v>
      </c>
      <c r="F109" s="116">
        <f t="shared" si="25"/>
        <v>28768.980014803848</v>
      </c>
      <c r="G109" s="117">
        <v>21981789</v>
      </c>
      <c r="H109" s="117">
        <f t="shared" si="26"/>
        <v>16270.754256106587</v>
      </c>
      <c r="I109" s="98" t="s">
        <v>528</v>
      </c>
      <c r="J109" s="10"/>
      <c r="K109" s="117"/>
      <c r="L109" s="120"/>
      <c r="M109" s="122">
        <f t="shared" si="16"/>
        <v>219817.89</v>
      </c>
      <c r="N109" s="116">
        <f t="shared" si="17"/>
        <v>219817.89</v>
      </c>
      <c r="O109" s="123">
        <f t="shared" si="18"/>
        <v>162.70754256106588</v>
      </c>
      <c r="P109" s="5"/>
      <c r="Q109" s="5">
        <f t="shared" si="19"/>
        <v>1</v>
      </c>
      <c r="R109" s="7">
        <f t="shared" si="20"/>
        <v>1351</v>
      </c>
      <c r="S109" s="5">
        <f t="shared" si="21"/>
        <v>0</v>
      </c>
      <c r="T109" s="7">
        <f t="shared" si="22"/>
        <v>0</v>
      </c>
    </row>
    <row r="110" spans="1:20">
      <c r="A110" s="23" t="s">
        <v>127</v>
      </c>
      <c r="B110" s="35" t="s">
        <v>128</v>
      </c>
      <c r="C110" s="36">
        <v>534</v>
      </c>
      <c r="D110" s="6"/>
      <c r="E110" s="113">
        <v>20610224</v>
      </c>
      <c r="F110" s="116">
        <f t="shared" si="25"/>
        <v>38595.925093632955</v>
      </c>
      <c r="G110" s="117">
        <v>13614696</v>
      </c>
      <c r="H110" s="117">
        <f t="shared" si="26"/>
        <v>25495.685393258427</v>
      </c>
      <c r="I110" s="7"/>
      <c r="J110" s="10">
        <v>2</v>
      </c>
      <c r="K110" s="117">
        <v>27228</v>
      </c>
      <c r="L110" s="120">
        <f t="shared" ref="L110:L129" si="29">(K110/C110)</f>
        <v>50.988764044943821</v>
      </c>
      <c r="M110" s="122">
        <f t="shared" si="16"/>
        <v>136146.96</v>
      </c>
      <c r="N110" s="116">
        <f t="shared" si="17"/>
        <v>108918.95999999999</v>
      </c>
      <c r="O110" s="123">
        <f t="shared" si="18"/>
        <v>203.96808988764045</v>
      </c>
      <c r="P110" s="5"/>
      <c r="Q110" s="5">
        <f t="shared" si="19"/>
        <v>1</v>
      </c>
      <c r="R110" s="7">
        <f t="shared" si="20"/>
        <v>534</v>
      </c>
      <c r="S110" s="5">
        <f t="shared" si="21"/>
        <v>1</v>
      </c>
      <c r="T110" s="7">
        <f t="shared" si="22"/>
        <v>534</v>
      </c>
    </row>
    <row r="111" spans="1:20">
      <c r="A111" s="23" t="s">
        <v>129</v>
      </c>
      <c r="B111" s="35" t="s">
        <v>130</v>
      </c>
      <c r="C111" s="36">
        <v>1554</v>
      </c>
      <c r="D111" s="6"/>
      <c r="E111" s="113">
        <v>41592402</v>
      </c>
      <c r="F111" s="116">
        <f t="shared" si="25"/>
        <v>26764.737451737452</v>
      </c>
      <c r="G111" s="117">
        <v>22326989</v>
      </c>
      <c r="H111" s="117">
        <f t="shared" si="26"/>
        <v>14367.431788931788</v>
      </c>
      <c r="I111" s="9"/>
      <c r="J111" s="10">
        <v>4.0999999999999996</v>
      </c>
      <c r="K111" s="117">
        <v>91540</v>
      </c>
      <c r="L111" s="120">
        <f t="shared" si="29"/>
        <v>58.906048906048909</v>
      </c>
      <c r="M111" s="122">
        <f t="shared" si="16"/>
        <v>223269.89</v>
      </c>
      <c r="N111" s="116">
        <f t="shared" si="17"/>
        <v>131729.89000000001</v>
      </c>
      <c r="O111" s="123">
        <f t="shared" si="18"/>
        <v>84.768268983268996</v>
      </c>
      <c r="P111" s="5"/>
      <c r="Q111" s="5">
        <f t="shared" si="19"/>
        <v>1</v>
      </c>
      <c r="R111" s="7">
        <f t="shared" si="20"/>
        <v>1554</v>
      </c>
      <c r="S111" s="5">
        <f t="shared" si="21"/>
        <v>1</v>
      </c>
      <c r="T111" s="7">
        <f t="shared" si="22"/>
        <v>1554</v>
      </c>
    </row>
    <row r="112" spans="1:20">
      <c r="A112" s="23" t="s">
        <v>545</v>
      </c>
      <c r="B112" s="35" t="s">
        <v>131</v>
      </c>
      <c r="C112" s="36">
        <v>4117</v>
      </c>
      <c r="D112" s="6"/>
      <c r="E112" s="113">
        <v>335845151</v>
      </c>
      <c r="F112" s="116">
        <f t="shared" si="25"/>
        <v>81575.212776293411</v>
      </c>
      <c r="G112" s="117">
        <v>290704752</v>
      </c>
      <c r="H112" s="117">
        <f t="shared" si="26"/>
        <v>70610.821471945586</v>
      </c>
      <c r="I112" s="9"/>
      <c r="J112" s="10">
        <v>5.2408000000000001</v>
      </c>
      <c r="K112" s="117">
        <v>1523525</v>
      </c>
      <c r="L112" s="120">
        <f t="shared" si="29"/>
        <v>370.05708039834832</v>
      </c>
      <c r="M112" s="122">
        <f t="shared" si="16"/>
        <v>2907047.52</v>
      </c>
      <c r="N112" s="116">
        <f t="shared" si="17"/>
        <v>1383522.52</v>
      </c>
      <c r="O112" s="123">
        <f t="shared" si="18"/>
        <v>336.05113432110761</v>
      </c>
      <c r="P112" s="5"/>
      <c r="Q112" s="5">
        <f t="shared" si="19"/>
        <v>1</v>
      </c>
      <c r="R112" s="7">
        <f t="shared" si="20"/>
        <v>4117</v>
      </c>
      <c r="S112" s="5">
        <f t="shared" si="21"/>
        <v>1</v>
      </c>
      <c r="T112" s="7">
        <f t="shared" si="22"/>
        <v>4117</v>
      </c>
    </row>
    <row r="113" spans="1:20">
      <c r="A113" s="23" t="s">
        <v>132</v>
      </c>
      <c r="B113" s="35" t="s">
        <v>131</v>
      </c>
      <c r="C113" s="36">
        <v>1958</v>
      </c>
      <c r="D113" s="6"/>
      <c r="E113" s="113">
        <v>39011581</v>
      </c>
      <c r="F113" s="116">
        <f t="shared" si="25"/>
        <v>19924.198672114402</v>
      </c>
      <c r="G113" s="117">
        <v>22258883</v>
      </c>
      <c r="H113" s="117">
        <f t="shared" si="26"/>
        <v>11368.17313585291</v>
      </c>
      <c r="I113" s="7"/>
      <c r="J113" s="11">
        <v>2.6</v>
      </c>
      <c r="K113" s="117">
        <v>57873</v>
      </c>
      <c r="L113" s="120">
        <f t="shared" si="29"/>
        <v>29.557201225740553</v>
      </c>
      <c r="M113" s="122">
        <f t="shared" si="16"/>
        <v>222588.83000000002</v>
      </c>
      <c r="N113" s="116">
        <f t="shared" si="17"/>
        <v>164715.83000000002</v>
      </c>
      <c r="O113" s="123">
        <f t="shared" si="18"/>
        <v>84.124530132788564</v>
      </c>
      <c r="P113" s="5"/>
      <c r="Q113" s="5">
        <f t="shared" si="19"/>
        <v>1</v>
      </c>
      <c r="R113" s="7">
        <f t="shared" si="20"/>
        <v>1958</v>
      </c>
      <c r="S113" s="5">
        <f t="shared" si="21"/>
        <v>1</v>
      </c>
      <c r="T113" s="7">
        <f t="shared" si="22"/>
        <v>1958</v>
      </c>
    </row>
    <row r="114" spans="1:20">
      <c r="A114" s="23" t="s">
        <v>133</v>
      </c>
      <c r="B114" s="35" t="s">
        <v>134</v>
      </c>
      <c r="C114" s="36">
        <v>2096</v>
      </c>
      <c r="D114" s="6"/>
      <c r="E114" s="113">
        <v>68706161</v>
      </c>
      <c r="F114" s="116">
        <f t="shared" si="25"/>
        <v>32779.656965648857</v>
      </c>
      <c r="G114" s="117">
        <v>39314104</v>
      </c>
      <c r="H114" s="117">
        <f t="shared" si="26"/>
        <v>18756.729007633588</v>
      </c>
      <c r="I114" s="7"/>
      <c r="J114" s="11">
        <v>3.75</v>
      </c>
      <c r="K114" s="117">
        <v>147427</v>
      </c>
      <c r="L114" s="120">
        <f t="shared" si="29"/>
        <v>70.337309160305338</v>
      </c>
      <c r="M114" s="122">
        <f t="shared" si="16"/>
        <v>393141.04000000004</v>
      </c>
      <c r="N114" s="116">
        <f t="shared" si="17"/>
        <v>245714.04000000004</v>
      </c>
      <c r="O114" s="123">
        <f t="shared" si="18"/>
        <v>117.22998091603056</v>
      </c>
      <c r="P114" s="5"/>
      <c r="Q114" s="5">
        <f t="shared" si="19"/>
        <v>1</v>
      </c>
      <c r="R114" s="7">
        <f t="shared" si="20"/>
        <v>2096</v>
      </c>
      <c r="S114" s="5">
        <f t="shared" si="21"/>
        <v>1</v>
      </c>
      <c r="T114" s="7">
        <f t="shared" si="22"/>
        <v>2096</v>
      </c>
    </row>
    <row r="115" spans="1:20">
      <c r="A115" s="23" t="s">
        <v>135</v>
      </c>
      <c r="B115" s="35" t="s">
        <v>134</v>
      </c>
      <c r="C115" s="36">
        <v>798</v>
      </c>
      <c r="D115" s="6"/>
      <c r="E115" s="113">
        <v>14396201</v>
      </c>
      <c r="F115" s="116">
        <f t="shared" si="25"/>
        <v>18040.352130325813</v>
      </c>
      <c r="G115" s="117">
        <v>8855279</v>
      </c>
      <c r="H115" s="117">
        <f t="shared" si="26"/>
        <v>11096.840852130326</v>
      </c>
      <c r="I115" s="7"/>
      <c r="J115" s="10">
        <v>1.3945000000000001</v>
      </c>
      <c r="K115" s="117">
        <v>12348</v>
      </c>
      <c r="L115" s="120">
        <f t="shared" si="29"/>
        <v>15.473684210526315</v>
      </c>
      <c r="M115" s="122">
        <f t="shared" si="16"/>
        <v>88552.790000000008</v>
      </c>
      <c r="N115" s="116">
        <f t="shared" si="17"/>
        <v>76204.790000000008</v>
      </c>
      <c r="O115" s="123">
        <f t="shared" si="18"/>
        <v>95.494724310776959</v>
      </c>
      <c r="P115" s="5"/>
      <c r="Q115" s="5">
        <f t="shared" si="19"/>
        <v>1</v>
      </c>
      <c r="R115" s="7">
        <f t="shared" si="20"/>
        <v>798</v>
      </c>
      <c r="S115" s="5">
        <f t="shared" si="21"/>
        <v>1</v>
      </c>
      <c r="T115" s="7">
        <f t="shared" si="22"/>
        <v>798</v>
      </c>
    </row>
    <row r="116" spans="1:20">
      <c r="A116" s="23" t="s">
        <v>136</v>
      </c>
      <c r="B116" s="35" t="s">
        <v>134</v>
      </c>
      <c r="C116" s="36">
        <v>841</v>
      </c>
      <c r="D116" s="6"/>
      <c r="E116" s="113">
        <v>17392245</v>
      </c>
      <c r="F116" s="116">
        <f t="shared" si="25"/>
        <v>20680.434007134365</v>
      </c>
      <c r="G116" s="117">
        <v>7910208</v>
      </c>
      <c r="H116" s="117">
        <f t="shared" si="26"/>
        <v>9405.7170035671825</v>
      </c>
      <c r="I116" s="7"/>
      <c r="J116" s="10">
        <v>3.5230000000000001</v>
      </c>
      <c r="K116" s="117">
        <v>27867</v>
      </c>
      <c r="L116" s="120">
        <f t="shared" si="29"/>
        <v>33.135552913198573</v>
      </c>
      <c r="M116" s="122">
        <f t="shared" si="16"/>
        <v>79102.080000000002</v>
      </c>
      <c r="N116" s="116">
        <f t="shared" si="17"/>
        <v>51235.08</v>
      </c>
      <c r="O116" s="123">
        <f t="shared" si="18"/>
        <v>60.921617122473251</v>
      </c>
      <c r="P116" s="5"/>
      <c r="Q116" s="5">
        <f t="shared" si="19"/>
        <v>1</v>
      </c>
      <c r="R116" s="7">
        <f t="shared" si="20"/>
        <v>841</v>
      </c>
      <c r="S116" s="5">
        <f t="shared" si="21"/>
        <v>1</v>
      </c>
      <c r="T116" s="7">
        <f t="shared" si="22"/>
        <v>841</v>
      </c>
    </row>
    <row r="117" spans="1:20">
      <c r="A117" s="23" t="s">
        <v>137</v>
      </c>
      <c r="B117" s="35" t="s">
        <v>138</v>
      </c>
      <c r="C117" s="36">
        <v>1814</v>
      </c>
      <c r="D117" s="6"/>
      <c r="E117" s="113">
        <v>36334136</v>
      </c>
      <c r="F117" s="116">
        <f t="shared" si="25"/>
        <v>20029.843439911798</v>
      </c>
      <c r="G117" s="117">
        <v>16524319</v>
      </c>
      <c r="H117" s="117">
        <f t="shared" si="26"/>
        <v>9109.3269018743104</v>
      </c>
      <c r="I117" s="7"/>
      <c r="J117" s="10">
        <v>6</v>
      </c>
      <c r="K117" s="117">
        <v>99145</v>
      </c>
      <c r="L117" s="120">
        <f t="shared" si="29"/>
        <v>54.65545755237045</v>
      </c>
      <c r="M117" s="122">
        <f t="shared" si="16"/>
        <v>165243.19</v>
      </c>
      <c r="N117" s="116">
        <f t="shared" si="17"/>
        <v>66098.19</v>
      </c>
      <c r="O117" s="123">
        <f t="shared" si="18"/>
        <v>36.437811466372658</v>
      </c>
      <c r="P117" s="5"/>
      <c r="Q117" s="5">
        <f t="shared" si="19"/>
        <v>1</v>
      </c>
      <c r="R117" s="7">
        <f t="shared" si="20"/>
        <v>1814</v>
      </c>
      <c r="S117" s="5">
        <f t="shared" si="21"/>
        <v>1</v>
      </c>
      <c r="T117" s="7">
        <f t="shared" si="22"/>
        <v>1814</v>
      </c>
    </row>
    <row r="118" spans="1:20">
      <c r="A118" s="23" t="s">
        <v>139</v>
      </c>
      <c r="B118" s="35" t="s">
        <v>138</v>
      </c>
      <c r="C118" s="36">
        <v>3556</v>
      </c>
      <c r="D118" s="6"/>
      <c r="E118" s="113">
        <v>122088499</v>
      </c>
      <c r="F118" s="116">
        <f t="shared" si="25"/>
        <v>34333.0987064117</v>
      </c>
      <c r="G118" s="117">
        <v>61623409</v>
      </c>
      <c r="H118" s="117">
        <f t="shared" si="26"/>
        <v>17329.417604049493</v>
      </c>
      <c r="I118" s="7"/>
      <c r="J118" s="10">
        <v>5.0199999999999996</v>
      </c>
      <c r="K118" s="117">
        <v>309349</v>
      </c>
      <c r="L118" s="120">
        <f t="shared" si="29"/>
        <v>86.99353205849269</v>
      </c>
      <c r="M118" s="122">
        <f t="shared" si="16"/>
        <v>616234.09</v>
      </c>
      <c r="N118" s="116">
        <f t="shared" si="17"/>
        <v>306885.08999999997</v>
      </c>
      <c r="O118" s="123">
        <f t="shared" si="18"/>
        <v>86.300643982002242</v>
      </c>
      <c r="P118" s="5"/>
      <c r="Q118" s="5">
        <f t="shared" si="19"/>
        <v>1</v>
      </c>
      <c r="R118" s="7">
        <f t="shared" si="20"/>
        <v>3556</v>
      </c>
      <c r="S118" s="5">
        <f t="shared" si="21"/>
        <v>1</v>
      </c>
      <c r="T118" s="7">
        <f t="shared" si="22"/>
        <v>3556</v>
      </c>
    </row>
    <row r="119" spans="1:20">
      <c r="A119" s="23" t="s">
        <v>140</v>
      </c>
      <c r="B119" s="35" t="s">
        <v>138</v>
      </c>
      <c r="C119" s="36">
        <v>1254</v>
      </c>
      <c r="D119" s="6"/>
      <c r="E119" s="113">
        <v>29463154</v>
      </c>
      <c r="F119" s="116">
        <f t="shared" si="25"/>
        <v>23495.33811802233</v>
      </c>
      <c r="G119" s="117">
        <v>14242803</v>
      </c>
      <c r="H119" s="117">
        <f t="shared" si="26"/>
        <v>11357.897129186604</v>
      </c>
      <c r="I119" s="7"/>
      <c r="J119" s="10">
        <v>9.1120000000000001</v>
      </c>
      <c r="K119" s="117">
        <v>129780</v>
      </c>
      <c r="L119" s="120">
        <f t="shared" si="29"/>
        <v>103.49282296650718</v>
      </c>
      <c r="M119" s="122">
        <f t="shared" si="16"/>
        <v>142428.03</v>
      </c>
      <c r="N119" s="116">
        <f t="shared" si="17"/>
        <v>12648.029999999999</v>
      </c>
      <c r="O119" s="123">
        <f t="shared" si="18"/>
        <v>10.086148325358851</v>
      </c>
      <c r="P119" s="5"/>
      <c r="Q119" s="5">
        <f t="shared" si="19"/>
        <v>1</v>
      </c>
      <c r="R119" s="7">
        <f t="shared" si="20"/>
        <v>1254</v>
      </c>
      <c r="S119" s="5">
        <f t="shared" si="21"/>
        <v>1</v>
      </c>
      <c r="T119" s="7">
        <f t="shared" si="22"/>
        <v>1254</v>
      </c>
    </row>
    <row r="120" spans="1:20">
      <c r="A120" s="23" t="s">
        <v>141</v>
      </c>
      <c r="B120" s="35" t="s">
        <v>142</v>
      </c>
      <c r="C120" s="36">
        <v>6354</v>
      </c>
      <c r="D120" s="6"/>
      <c r="E120" s="113">
        <v>260791925</v>
      </c>
      <c r="F120" s="116">
        <f t="shared" si="25"/>
        <v>41043.740163676426</v>
      </c>
      <c r="G120" s="117">
        <v>147653585</v>
      </c>
      <c r="H120" s="117">
        <f t="shared" si="26"/>
        <v>23237.895026754799</v>
      </c>
      <c r="I120" s="7"/>
      <c r="J120" s="10">
        <v>5.2271000000000001</v>
      </c>
      <c r="K120" s="117">
        <v>771800</v>
      </c>
      <c r="L120" s="120">
        <f t="shared" si="29"/>
        <v>121.46679257160844</v>
      </c>
      <c r="M120" s="122">
        <f t="shared" si="16"/>
        <v>1476535.85</v>
      </c>
      <c r="N120" s="116">
        <f t="shared" si="17"/>
        <v>704735.85000000009</v>
      </c>
      <c r="O120" s="123">
        <f t="shared" si="18"/>
        <v>110.91215769593958</v>
      </c>
      <c r="P120" s="5"/>
      <c r="Q120" s="5">
        <f t="shared" si="19"/>
        <v>1</v>
      </c>
      <c r="R120" s="7">
        <f t="shared" si="20"/>
        <v>6354</v>
      </c>
      <c r="S120" s="5">
        <f t="shared" si="21"/>
        <v>1</v>
      </c>
      <c r="T120" s="7">
        <f t="shared" si="22"/>
        <v>6354</v>
      </c>
    </row>
    <row r="121" spans="1:20">
      <c r="A121" s="23" t="s">
        <v>558</v>
      </c>
      <c r="B121" s="35" t="s">
        <v>142</v>
      </c>
      <c r="C121" s="36">
        <v>3177</v>
      </c>
      <c r="D121" s="6"/>
      <c r="E121" s="113">
        <v>157769610</v>
      </c>
      <c r="F121" s="116">
        <f t="shared" si="25"/>
        <v>49659.933899905569</v>
      </c>
      <c r="G121" s="117">
        <v>97904630</v>
      </c>
      <c r="H121" s="117">
        <f t="shared" si="26"/>
        <v>30816.69184765502</v>
      </c>
      <c r="I121" s="7"/>
      <c r="J121" s="10">
        <v>3</v>
      </c>
      <c r="K121" s="117">
        <v>293713</v>
      </c>
      <c r="L121" s="120">
        <f t="shared" si="29"/>
        <v>92.449795404469626</v>
      </c>
      <c r="M121" s="122">
        <f t="shared" si="16"/>
        <v>979046.3</v>
      </c>
      <c r="N121" s="116">
        <f t="shared" si="17"/>
        <v>685333.3</v>
      </c>
      <c r="O121" s="123">
        <f t="shared" si="18"/>
        <v>215.7171230720806</v>
      </c>
      <c r="P121" s="5"/>
      <c r="Q121" s="5">
        <f t="shared" si="19"/>
        <v>1</v>
      </c>
      <c r="R121" s="7">
        <f t="shared" si="20"/>
        <v>3177</v>
      </c>
      <c r="S121" s="5">
        <f t="shared" si="21"/>
        <v>1</v>
      </c>
      <c r="T121" s="7">
        <f t="shared" si="22"/>
        <v>3177</v>
      </c>
    </row>
    <row r="122" spans="1:20">
      <c r="A122" s="23" t="s">
        <v>143</v>
      </c>
      <c r="B122" s="35" t="s">
        <v>144</v>
      </c>
      <c r="C122" s="36">
        <v>7798</v>
      </c>
      <c r="D122" s="6"/>
      <c r="E122" s="113">
        <v>392451894</v>
      </c>
      <c r="F122" s="116">
        <f t="shared" si="25"/>
        <v>50327.249807642984</v>
      </c>
      <c r="G122" s="117">
        <v>200938844</v>
      </c>
      <c r="H122" s="117">
        <f t="shared" si="26"/>
        <v>25767.997435239806</v>
      </c>
      <c r="I122" s="7"/>
      <c r="J122" s="10">
        <v>8</v>
      </c>
      <c r="K122" s="117">
        <v>1607510</v>
      </c>
      <c r="L122" s="120">
        <f t="shared" si="29"/>
        <v>206.14388304693512</v>
      </c>
      <c r="M122" s="122">
        <f t="shared" si="16"/>
        <v>2009388.44</v>
      </c>
      <c r="N122" s="116">
        <f t="shared" si="17"/>
        <v>401878.43999999994</v>
      </c>
      <c r="O122" s="123">
        <f t="shared" si="18"/>
        <v>51.536091305462932</v>
      </c>
      <c r="P122" s="5"/>
      <c r="Q122" s="5">
        <f t="shared" si="19"/>
        <v>1</v>
      </c>
      <c r="R122" s="7">
        <f t="shared" si="20"/>
        <v>7798</v>
      </c>
      <c r="S122" s="5">
        <f t="shared" si="21"/>
        <v>1</v>
      </c>
      <c r="T122" s="7">
        <f t="shared" si="22"/>
        <v>7798</v>
      </c>
    </row>
    <row r="123" spans="1:20">
      <c r="A123" s="23" t="s">
        <v>145</v>
      </c>
      <c r="B123" s="35" t="s">
        <v>144</v>
      </c>
      <c r="C123" s="36">
        <v>12</v>
      </c>
      <c r="D123" s="6"/>
      <c r="E123" s="113">
        <v>18660713</v>
      </c>
      <c r="F123" s="116">
        <f t="shared" si="25"/>
        <v>1555059.4166666667</v>
      </c>
      <c r="G123" s="117">
        <v>18642858</v>
      </c>
      <c r="H123" s="117">
        <f t="shared" si="26"/>
        <v>1553571.5</v>
      </c>
      <c r="I123" s="7"/>
      <c r="J123" s="10">
        <v>1.05</v>
      </c>
      <c r="K123" s="117">
        <v>19575</v>
      </c>
      <c r="L123" s="120">
        <f t="shared" si="29"/>
        <v>1631.25</v>
      </c>
      <c r="M123" s="122">
        <f t="shared" si="16"/>
        <v>186428.58000000002</v>
      </c>
      <c r="N123" s="116">
        <f t="shared" si="17"/>
        <v>166853.58000000002</v>
      </c>
      <c r="O123" s="123">
        <f t="shared" si="18"/>
        <v>13904.465000000002</v>
      </c>
      <c r="P123" s="5"/>
      <c r="Q123" s="5">
        <f t="shared" si="19"/>
        <v>1</v>
      </c>
      <c r="R123" s="7">
        <f t="shared" si="20"/>
        <v>12</v>
      </c>
      <c r="S123" s="5">
        <f t="shared" si="21"/>
        <v>1</v>
      </c>
      <c r="T123" s="7">
        <f t="shared" si="22"/>
        <v>12</v>
      </c>
    </row>
    <row r="124" spans="1:20">
      <c r="A124" s="23" t="s">
        <v>146</v>
      </c>
      <c r="B124" s="35" t="s">
        <v>147</v>
      </c>
      <c r="C124" s="36">
        <v>8183</v>
      </c>
      <c r="D124" s="6"/>
      <c r="E124" s="113">
        <v>225369433</v>
      </c>
      <c r="F124" s="116">
        <f t="shared" si="25"/>
        <v>27541.174752535746</v>
      </c>
      <c r="G124" s="117">
        <v>145621896</v>
      </c>
      <c r="H124" s="117">
        <f t="shared" si="26"/>
        <v>17795.661248930712</v>
      </c>
      <c r="I124" s="7"/>
      <c r="J124" s="10">
        <v>8.5</v>
      </c>
      <c r="K124" s="117">
        <v>1237786</v>
      </c>
      <c r="L124" s="120">
        <f t="shared" si="29"/>
        <v>151.26310644018085</v>
      </c>
      <c r="M124" s="122">
        <f t="shared" si="16"/>
        <v>1456218.96</v>
      </c>
      <c r="N124" s="116">
        <f t="shared" si="17"/>
        <v>218432.95999999996</v>
      </c>
      <c r="O124" s="123">
        <f t="shared" si="18"/>
        <v>26.693506049126231</v>
      </c>
      <c r="P124" s="5"/>
      <c r="Q124" s="5">
        <f t="shared" si="19"/>
        <v>1</v>
      </c>
      <c r="R124" s="7">
        <f t="shared" si="20"/>
        <v>8183</v>
      </c>
      <c r="S124" s="5">
        <f t="shared" si="21"/>
        <v>1</v>
      </c>
      <c r="T124" s="7">
        <f t="shared" si="22"/>
        <v>8183</v>
      </c>
    </row>
    <row r="125" spans="1:20">
      <c r="A125" s="23" t="s">
        <v>148</v>
      </c>
      <c r="B125" s="35" t="s">
        <v>147</v>
      </c>
      <c r="C125" s="36">
        <v>1409</v>
      </c>
      <c r="D125" s="6"/>
      <c r="E125" s="113">
        <v>88553098</v>
      </c>
      <c r="F125" s="116">
        <f t="shared" si="25"/>
        <v>62848.188786373314</v>
      </c>
      <c r="G125" s="117">
        <v>56707560</v>
      </c>
      <c r="H125" s="117">
        <f t="shared" si="26"/>
        <v>40246.671398154722</v>
      </c>
      <c r="I125" s="7"/>
      <c r="J125" s="10">
        <v>8.5</v>
      </c>
      <c r="K125" s="117">
        <v>482014</v>
      </c>
      <c r="L125" s="120">
        <f t="shared" si="29"/>
        <v>342.09652235628107</v>
      </c>
      <c r="M125" s="122">
        <f t="shared" si="16"/>
        <v>567075.6</v>
      </c>
      <c r="N125" s="116">
        <f t="shared" si="17"/>
        <v>85061.599999999977</v>
      </c>
      <c r="O125" s="123">
        <f t="shared" si="18"/>
        <v>60.370191625266131</v>
      </c>
      <c r="P125" s="5"/>
      <c r="Q125" s="5">
        <f t="shared" si="19"/>
        <v>1</v>
      </c>
      <c r="R125" s="7">
        <f t="shared" si="20"/>
        <v>1409</v>
      </c>
      <c r="S125" s="5">
        <f t="shared" si="21"/>
        <v>1</v>
      </c>
      <c r="T125" s="7">
        <f t="shared" si="22"/>
        <v>1409</v>
      </c>
    </row>
    <row r="126" spans="1:20">
      <c r="A126" s="23" t="s">
        <v>149</v>
      </c>
      <c r="B126" s="35" t="s">
        <v>147</v>
      </c>
      <c r="C126" s="36">
        <v>8845</v>
      </c>
      <c r="D126" s="6"/>
      <c r="E126" s="113">
        <v>345974730</v>
      </c>
      <c r="F126" s="116">
        <f t="shared" si="25"/>
        <v>39115.288863764836</v>
      </c>
      <c r="G126" s="117">
        <v>227799223</v>
      </c>
      <c r="H126" s="117">
        <f t="shared" si="26"/>
        <v>25754.575805539855</v>
      </c>
      <c r="I126" s="7"/>
      <c r="J126" s="10">
        <v>7.5</v>
      </c>
      <c r="K126" s="117">
        <v>1708494</v>
      </c>
      <c r="L126" s="120">
        <f t="shared" si="29"/>
        <v>193.15929903900508</v>
      </c>
      <c r="M126" s="122">
        <f t="shared" si="16"/>
        <v>2277992.23</v>
      </c>
      <c r="N126" s="116">
        <f t="shared" si="17"/>
        <v>569498.23</v>
      </c>
      <c r="O126" s="123">
        <f t="shared" si="18"/>
        <v>64.386459016393445</v>
      </c>
      <c r="P126" s="5"/>
      <c r="Q126" s="5">
        <f t="shared" si="19"/>
        <v>1</v>
      </c>
      <c r="R126" s="7">
        <f t="shared" si="20"/>
        <v>8845</v>
      </c>
      <c r="S126" s="5">
        <f t="shared" si="21"/>
        <v>1</v>
      </c>
      <c r="T126" s="7">
        <f t="shared" si="22"/>
        <v>8845</v>
      </c>
    </row>
    <row r="127" spans="1:20">
      <c r="A127" s="23" t="s">
        <v>150</v>
      </c>
      <c r="B127" s="35" t="s">
        <v>151</v>
      </c>
      <c r="C127" s="36">
        <v>26645</v>
      </c>
      <c r="D127" s="6"/>
      <c r="E127" s="113">
        <v>1191191771</v>
      </c>
      <c r="F127" s="116">
        <f t="shared" si="25"/>
        <v>44706.015049727903</v>
      </c>
      <c r="G127" s="117">
        <v>862476337</v>
      </c>
      <c r="H127" s="117">
        <f t="shared" si="26"/>
        <v>32369.162582097953</v>
      </c>
      <c r="I127" s="7"/>
      <c r="J127" s="10">
        <v>4.7</v>
      </c>
      <c r="K127" s="117">
        <v>4053638</v>
      </c>
      <c r="L127" s="120">
        <f t="shared" si="29"/>
        <v>152.13503471570652</v>
      </c>
      <c r="M127" s="122">
        <f t="shared" si="16"/>
        <v>8624763.370000001</v>
      </c>
      <c r="N127" s="116">
        <f t="shared" si="17"/>
        <v>4571125.370000001</v>
      </c>
      <c r="O127" s="123">
        <f t="shared" si="18"/>
        <v>171.55659110527307</v>
      </c>
      <c r="P127" s="5"/>
      <c r="Q127" s="5">
        <f t="shared" si="19"/>
        <v>1</v>
      </c>
      <c r="R127" s="7">
        <f t="shared" si="20"/>
        <v>26645</v>
      </c>
      <c r="S127" s="5">
        <f t="shared" si="21"/>
        <v>1</v>
      </c>
      <c r="T127" s="7">
        <f t="shared" si="22"/>
        <v>26645</v>
      </c>
    </row>
    <row r="128" spans="1:20">
      <c r="A128" s="23" t="s">
        <v>152</v>
      </c>
      <c r="B128" s="35" t="s">
        <v>151</v>
      </c>
      <c r="C128" s="36">
        <v>290886</v>
      </c>
      <c r="D128" s="6"/>
      <c r="E128" s="113">
        <v>16385211175</v>
      </c>
      <c r="F128" s="116">
        <f t="shared" si="25"/>
        <v>56328.634499425891</v>
      </c>
      <c r="G128" s="117">
        <v>10700405495</v>
      </c>
      <c r="H128" s="117">
        <f t="shared" si="26"/>
        <v>36785.563743184612</v>
      </c>
      <c r="I128" s="7"/>
      <c r="J128" s="10">
        <v>6.5389999999999997</v>
      </c>
      <c r="K128" s="117">
        <v>69969951</v>
      </c>
      <c r="L128" s="120">
        <f t="shared" si="29"/>
        <v>240.54079948845938</v>
      </c>
      <c r="M128" s="122">
        <f t="shared" si="16"/>
        <v>107004054.95</v>
      </c>
      <c r="N128" s="116">
        <f t="shared" si="17"/>
        <v>37034103.950000003</v>
      </c>
      <c r="O128" s="123">
        <f t="shared" si="18"/>
        <v>127.31483794338676</v>
      </c>
      <c r="P128" s="5"/>
      <c r="Q128" s="5">
        <f t="shared" si="19"/>
        <v>1</v>
      </c>
      <c r="R128" s="7">
        <f t="shared" si="20"/>
        <v>290886</v>
      </c>
      <c r="S128" s="5">
        <f t="shared" si="21"/>
        <v>1</v>
      </c>
      <c r="T128" s="7">
        <f t="shared" si="22"/>
        <v>290886</v>
      </c>
    </row>
    <row r="129" spans="1:20">
      <c r="A129" s="23" t="s">
        <v>153</v>
      </c>
      <c r="B129" s="35" t="s">
        <v>151</v>
      </c>
      <c r="C129" s="36">
        <v>20337</v>
      </c>
      <c r="D129" s="6"/>
      <c r="E129" s="113">
        <v>996665179</v>
      </c>
      <c r="F129" s="116">
        <f t="shared" si="25"/>
        <v>49007.482863745885</v>
      </c>
      <c r="G129" s="117">
        <v>802627709</v>
      </c>
      <c r="H129" s="117">
        <f t="shared" si="26"/>
        <v>39466.376997590596</v>
      </c>
      <c r="I129" s="7"/>
      <c r="J129" s="10">
        <v>4.41</v>
      </c>
      <c r="K129" s="117">
        <v>3539588</v>
      </c>
      <c r="L129" s="120">
        <f t="shared" si="29"/>
        <v>174.0467128878399</v>
      </c>
      <c r="M129" s="122">
        <f t="shared" si="16"/>
        <v>8026277.0899999999</v>
      </c>
      <c r="N129" s="116">
        <f t="shared" si="17"/>
        <v>4486689.09</v>
      </c>
      <c r="O129" s="123">
        <f t="shared" si="18"/>
        <v>220.61705708806608</v>
      </c>
      <c r="P129" s="5"/>
      <c r="Q129" s="5">
        <f t="shared" si="19"/>
        <v>1</v>
      </c>
      <c r="R129" s="7">
        <f t="shared" si="20"/>
        <v>20337</v>
      </c>
      <c r="S129" s="5">
        <f t="shared" si="21"/>
        <v>1</v>
      </c>
      <c r="T129" s="7">
        <f t="shared" si="22"/>
        <v>20337</v>
      </c>
    </row>
    <row r="130" spans="1:20">
      <c r="A130" s="23" t="s">
        <v>154</v>
      </c>
      <c r="B130" s="35" t="s">
        <v>155</v>
      </c>
      <c r="C130" s="36">
        <v>2784</v>
      </c>
      <c r="D130" s="6"/>
      <c r="E130" s="113">
        <v>83853696</v>
      </c>
      <c r="F130" s="116">
        <f t="shared" si="25"/>
        <v>30119.862068965518</v>
      </c>
      <c r="G130" s="117">
        <v>49389470</v>
      </c>
      <c r="H130" s="117">
        <f t="shared" si="26"/>
        <v>17740.470545977012</v>
      </c>
      <c r="I130" s="98" t="s">
        <v>528</v>
      </c>
      <c r="J130" s="10"/>
      <c r="K130" s="117"/>
      <c r="L130" s="120"/>
      <c r="M130" s="122">
        <f t="shared" si="16"/>
        <v>493894.7</v>
      </c>
      <c r="N130" s="116">
        <f t="shared" si="17"/>
        <v>493894.7</v>
      </c>
      <c r="O130" s="123">
        <f t="shared" si="18"/>
        <v>177.40470545977013</v>
      </c>
      <c r="P130" s="5"/>
      <c r="Q130" s="5">
        <f t="shared" si="19"/>
        <v>1</v>
      </c>
      <c r="R130" s="7">
        <f t="shared" si="20"/>
        <v>2784</v>
      </c>
      <c r="S130" s="5">
        <f t="shared" si="21"/>
        <v>0</v>
      </c>
      <c r="T130" s="7">
        <f t="shared" si="22"/>
        <v>0</v>
      </c>
    </row>
    <row r="131" spans="1:20">
      <c r="A131" s="23" t="s">
        <v>156</v>
      </c>
      <c r="B131" s="35" t="s">
        <v>155</v>
      </c>
      <c r="C131" s="36">
        <v>331</v>
      </c>
      <c r="D131" s="6"/>
      <c r="E131" s="113">
        <v>5682833</v>
      </c>
      <c r="F131" s="116">
        <f t="shared" si="25"/>
        <v>17168.679758308157</v>
      </c>
      <c r="G131" s="117">
        <v>2485282</v>
      </c>
      <c r="H131" s="117">
        <f t="shared" si="26"/>
        <v>7508.4048338368584</v>
      </c>
      <c r="I131" s="7"/>
      <c r="J131" s="10">
        <v>0.98</v>
      </c>
      <c r="K131" s="117">
        <v>2435</v>
      </c>
      <c r="L131" s="120">
        <f>(K131/C131)</f>
        <v>7.356495468277946</v>
      </c>
      <c r="M131" s="122">
        <f t="shared" si="16"/>
        <v>24852.82</v>
      </c>
      <c r="N131" s="116">
        <f t="shared" si="17"/>
        <v>22417.82</v>
      </c>
      <c r="O131" s="123">
        <f t="shared" si="18"/>
        <v>67.727552870090634</v>
      </c>
      <c r="P131" s="5"/>
      <c r="Q131" s="5">
        <f t="shared" si="19"/>
        <v>1</v>
      </c>
      <c r="R131" s="7">
        <f t="shared" si="20"/>
        <v>331</v>
      </c>
      <c r="S131" s="5">
        <f t="shared" si="21"/>
        <v>1</v>
      </c>
      <c r="T131" s="7">
        <f t="shared" si="22"/>
        <v>331</v>
      </c>
    </row>
    <row r="132" spans="1:20">
      <c r="A132" s="23" t="s">
        <v>157</v>
      </c>
      <c r="B132" s="35" t="s">
        <v>155</v>
      </c>
      <c r="C132" s="36">
        <v>229</v>
      </c>
      <c r="D132" s="6"/>
      <c r="E132" s="113">
        <v>2369860</v>
      </c>
      <c r="F132" s="116">
        <f t="shared" si="25"/>
        <v>10348.733624454149</v>
      </c>
      <c r="G132" s="117">
        <v>882215</v>
      </c>
      <c r="H132" s="117">
        <f t="shared" si="26"/>
        <v>3852.4672489082968</v>
      </c>
      <c r="I132" s="7"/>
      <c r="J132" s="10">
        <v>2.08</v>
      </c>
      <c r="K132" s="117">
        <v>1835</v>
      </c>
      <c r="L132" s="120">
        <f>(K132/C132)</f>
        <v>8.0131004366812224</v>
      </c>
      <c r="M132" s="122">
        <f t="shared" si="16"/>
        <v>8822.15</v>
      </c>
      <c r="N132" s="116">
        <f t="shared" si="17"/>
        <v>6987.15</v>
      </c>
      <c r="O132" s="123">
        <f t="shared" si="18"/>
        <v>30.511572052401746</v>
      </c>
      <c r="P132" s="5"/>
      <c r="Q132" s="5">
        <f t="shared" si="19"/>
        <v>1</v>
      </c>
      <c r="R132" s="7">
        <f t="shared" si="20"/>
        <v>229</v>
      </c>
      <c r="S132" s="5">
        <f t="shared" si="21"/>
        <v>1</v>
      </c>
      <c r="T132" s="7">
        <f t="shared" si="22"/>
        <v>229</v>
      </c>
    </row>
    <row r="133" spans="1:20">
      <c r="A133" s="23" t="s">
        <v>158</v>
      </c>
      <c r="B133" s="35" t="s">
        <v>155</v>
      </c>
      <c r="C133" s="36">
        <v>463</v>
      </c>
      <c r="D133" s="6"/>
      <c r="E133" s="113">
        <v>15007242</v>
      </c>
      <c r="F133" s="116">
        <f t="shared" si="25"/>
        <v>32413.049676025919</v>
      </c>
      <c r="G133" s="117">
        <v>8773369</v>
      </c>
      <c r="H133" s="117">
        <f t="shared" si="26"/>
        <v>18948.961123110152</v>
      </c>
      <c r="I133" s="98" t="s">
        <v>528</v>
      </c>
      <c r="J133" s="10"/>
      <c r="K133" s="117"/>
      <c r="L133" s="120"/>
      <c r="M133" s="122">
        <f t="shared" si="16"/>
        <v>87733.69</v>
      </c>
      <c r="N133" s="116">
        <f t="shared" si="17"/>
        <v>87733.69</v>
      </c>
      <c r="O133" s="123">
        <f t="shared" si="18"/>
        <v>189.48961123110152</v>
      </c>
      <c r="P133" s="5"/>
      <c r="Q133" s="5">
        <f t="shared" si="19"/>
        <v>1</v>
      </c>
      <c r="R133" s="7">
        <f t="shared" si="20"/>
        <v>463</v>
      </c>
      <c r="S133" s="5">
        <f t="shared" si="21"/>
        <v>0</v>
      </c>
      <c r="T133" s="7">
        <f t="shared" si="22"/>
        <v>0</v>
      </c>
    </row>
    <row r="134" spans="1:20">
      <c r="A134" s="23" t="s">
        <v>159</v>
      </c>
      <c r="B134" s="35" t="s">
        <v>155</v>
      </c>
      <c r="C134" s="36">
        <v>297</v>
      </c>
      <c r="D134" s="6"/>
      <c r="E134" s="113">
        <v>7151991</v>
      </c>
      <c r="F134" s="116">
        <f t="shared" si="25"/>
        <v>24080.777777777777</v>
      </c>
      <c r="G134" s="117">
        <v>2843680</v>
      </c>
      <c r="H134" s="117">
        <f t="shared" si="26"/>
        <v>9574.6801346801349</v>
      </c>
      <c r="I134" s="98" t="s">
        <v>528</v>
      </c>
      <c r="J134" s="10"/>
      <c r="K134" s="117"/>
      <c r="L134" s="120"/>
      <c r="M134" s="122">
        <f t="shared" ref="M134:M197" si="30">(G134*0.01)</f>
        <v>28436.799999999999</v>
      </c>
      <c r="N134" s="116">
        <f t="shared" ref="N134:N197" si="31">(M134-K134)</f>
        <v>28436.799999999999</v>
      </c>
      <c r="O134" s="123">
        <f t="shared" ref="O134:O197" si="32">(N134/C134)</f>
        <v>95.746801346801348</v>
      </c>
      <c r="P134" s="5"/>
      <c r="Q134" s="5">
        <f t="shared" si="19"/>
        <v>1</v>
      </c>
      <c r="R134" s="7">
        <f t="shared" si="20"/>
        <v>297</v>
      </c>
      <c r="S134" s="5">
        <f t="shared" si="21"/>
        <v>0</v>
      </c>
      <c r="T134" s="7">
        <f t="shared" si="22"/>
        <v>0</v>
      </c>
    </row>
    <row r="135" spans="1:20">
      <c r="A135" s="23" t="s">
        <v>160</v>
      </c>
      <c r="B135" s="35" t="s">
        <v>161</v>
      </c>
      <c r="C135" s="36">
        <v>2468</v>
      </c>
      <c r="D135" s="6"/>
      <c r="E135" s="113">
        <v>45496598</v>
      </c>
      <c r="F135" s="116">
        <f t="shared" si="25"/>
        <v>18434.602106969207</v>
      </c>
      <c r="G135" s="117">
        <v>26086728</v>
      </c>
      <c r="H135" s="117">
        <f t="shared" si="26"/>
        <v>10569.987034035656</v>
      </c>
      <c r="I135" s="7"/>
      <c r="J135" s="12">
        <v>5.7507000000000001</v>
      </c>
      <c r="K135" s="117">
        <v>150016</v>
      </c>
      <c r="L135" s="120">
        <f t="shared" ref="L135:L140" si="33">(K135/C135)</f>
        <v>60.784440842787681</v>
      </c>
      <c r="M135" s="122">
        <f t="shared" si="30"/>
        <v>260867.28</v>
      </c>
      <c r="N135" s="116">
        <f t="shared" si="31"/>
        <v>110851.28</v>
      </c>
      <c r="O135" s="123">
        <f t="shared" si="32"/>
        <v>44.91542949756888</v>
      </c>
      <c r="P135" s="5"/>
      <c r="Q135" s="5">
        <f t="shared" ref="Q135:Q198" si="34">IF(E135&gt;0,1,0)</f>
        <v>1</v>
      </c>
      <c r="R135" s="7">
        <f t="shared" ref="R135:R198" si="35">IF(E135&gt;0,C135,0)</f>
        <v>2468</v>
      </c>
      <c r="S135" s="5">
        <f t="shared" ref="S135:S198" si="36">IF(J135&gt;0,1,0)</f>
        <v>1</v>
      </c>
      <c r="T135" s="7">
        <f t="shared" ref="T135:T198" si="37">IF(J135&gt;0,C135,0)</f>
        <v>2468</v>
      </c>
    </row>
    <row r="136" spans="1:20">
      <c r="A136" s="23" t="s">
        <v>162</v>
      </c>
      <c r="B136" s="35" t="s">
        <v>161</v>
      </c>
      <c r="C136" s="36">
        <v>2689</v>
      </c>
      <c r="D136" s="6"/>
      <c r="E136" s="113">
        <v>950526695</v>
      </c>
      <c r="F136" s="116">
        <f t="shared" si="25"/>
        <v>353487.05652658979</v>
      </c>
      <c r="G136" s="117">
        <v>904916964</v>
      </c>
      <c r="H136" s="117">
        <f t="shared" si="26"/>
        <v>336525.46076608403</v>
      </c>
      <c r="I136" s="9"/>
      <c r="J136" s="10">
        <v>1.476</v>
      </c>
      <c r="K136" s="117">
        <v>1335657</v>
      </c>
      <c r="L136" s="120">
        <f t="shared" si="33"/>
        <v>496.71141688359984</v>
      </c>
      <c r="M136" s="122">
        <f t="shared" si="30"/>
        <v>9049169.6400000006</v>
      </c>
      <c r="N136" s="116">
        <f t="shared" si="31"/>
        <v>7713512.6400000006</v>
      </c>
      <c r="O136" s="123">
        <f t="shared" si="32"/>
        <v>2868.5431907772409</v>
      </c>
      <c r="P136" s="5"/>
      <c r="Q136" s="5">
        <f t="shared" si="34"/>
        <v>1</v>
      </c>
      <c r="R136" s="7">
        <f t="shared" si="35"/>
        <v>2689</v>
      </c>
      <c r="S136" s="5">
        <f t="shared" si="36"/>
        <v>1</v>
      </c>
      <c r="T136" s="7">
        <f t="shared" si="37"/>
        <v>2689</v>
      </c>
    </row>
    <row r="137" spans="1:20">
      <c r="A137" s="23" t="s">
        <v>163</v>
      </c>
      <c r="B137" s="35" t="s">
        <v>161</v>
      </c>
      <c r="C137" s="36">
        <v>45</v>
      </c>
      <c r="D137" s="6"/>
      <c r="E137" s="113">
        <v>64453633</v>
      </c>
      <c r="F137" s="116">
        <f t="shared" si="25"/>
        <v>1432302.9555555556</v>
      </c>
      <c r="G137" s="117">
        <v>59045443</v>
      </c>
      <c r="H137" s="117">
        <f t="shared" si="26"/>
        <v>1312120.9555555556</v>
      </c>
      <c r="I137" s="9"/>
      <c r="J137" s="10">
        <v>2.5920999999999998</v>
      </c>
      <c r="K137" s="117">
        <v>153051</v>
      </c>
      <c r="L137" s="120">
        <f t="shared" si="33"/>
        <v>3401.1333333333332</v>
      </c>
      <c r="M137" s="122">
        <f t="shared" si="30"/>
        <v>590454.43000000005</v>
      </c>
      <c r="N137" s="116">
        <f t="shared" si="31"/>
        <v>437403.43000000005</v>
      </c>
      <c r="O137" s="123">
        <f t="shared" si="32"/>
        <v>9720.0762222222238</v>
      </c>
      <c r="P137" s="5"/>
      <c r="Q137" s="5">
        <f t="shared" si="34"/>
        <v>1</v>
      </c>
      <c r="R137" s="7">
        <f t="shared" si="35"/>
        <v>45</v>
      </c>
      <c r="S137" s="5">
        <f t="shared" si="36"/>
        <v>1</v>
      </c>
      <c r="T137" s="7">
        <f t="shared" si="37"/>
        <v>45</v>
      </c>
    </row>
    <row r="138" spans="1:20">
      <c r="A138" s="23" t="s">
        <v>164</v>
      </c>
      <c r="B138" s="35" t="s">
        <v>161</v>
      </c>
      <c r="C138" s="36">
        <v>14470</v>
      </c>
      <c r="D138" s="6"/>
      <c r="E138" s="113">
        <v>594159092</v>
      </c>
      <c r="F138" s="116">
        <f t="shared" si="25"/>
        <v>41061.443814789222</v>
      </c>
      <c r="G138" s="117">
        <v>421680660</v>
      </c>
      <c r="H138" s="117">
        <f t="shared" si="26"/>
        <v>29141.718037318591</v>
      </c>
      <c r="I138" s="7"/>
      <c r="J138" s="11">
        <v>6.9</v>
      </c>
      <c r="K138" s="117">
        <v>2909596</v>
      </c>
      <c r="L138" s="120">
        <f t="shared" si="33"/>
        <v>201.07781617138909</v>
      </c>
      <c r="M138" s="122">
        <f t="shared" si="30"/>
        <v>4216806.5999999996</v>
      </c>
      <c r="N138" s="116">
        <f t="shared" si="31"/>
        <v>1307210.5999999996</v>
      </c>
      <c r="O138" s="123">
        <f t="shared" si="32"/>
        <v>90.339364201796798</v>
      </c>
      <c r="P138" s="5"/>
      <c r="Q138" s="5">
        <f t="shared" si="34"/>
        <v>1</v>
      </c>
      <c r="R138" s="7">
        <f t="shared" si="35"/>
        <v>14470</v>
      </c>
      <c r="S138" s="5">
        <f t="shared" si="36"/>
        <v>1</v>
      </c>
      <c r="T138" s="7">
        <f t="shared" si="37"/>
        <v>14470</v>
      </c>
    </row>
    <row r="139" spans="1:20">
      <c r="A139" s="23" t="s">
        <v>165</v>
      </c>
      <c r="B139" s="35" t="s">
        <v>161</v>
      </c>
      <c r="C139" s="36">
        <v>17787</v>
      </c>
      <c r="D139" s="6"/>
      <c r="E139" s="113">
        <v>1559526612</v>
      </c>
      <c r="F139" s="116">
        <f t="shared" si="25"/>
        <v>87677.889020070841</v>
      </c>
      <c r="G139" s="117">
        <v>1213891595</v>
      </c>
      <c r="H139" s="117">
        <f t="shared" si="26"/>
        <v>68245.999606454148</v>
      </c>
      <c r="I139" s="7"/>
      <c r="J139" s="11">
        <v>2.2189999999999999</v>
      </c>
      <c r="K139" s="117">
        <v>2693625</v>
      </c>
      <c r="L139" s="120">
        <f t="shared" si="33"/>
        <v>151.4378478664193</v>
      </c>
      <c r="M139" s="122">
        <f t="shared" si="30"/>
        <v>12138915.950000001</v>
      </c>
      <c r="N139" s="116">
        <f t="shared" si="31"/>
        <v>9445290.9500000011</v>
      </c>
      <c r="O139" s="123">
        <f t="shared" si="32"/>
        <v>531.0221481981223</v>
      </c>
      <c r="P139" s="5"/>
      <c r="Q139" s="5">
        <f t="shared" si="34"/>
        <v>1</v>
      </c>
      <c r="R139" s="7">
        <f t="shared" si="35"/>
        <v>17787</v>
      </c>
      <c r="S139" s="5">
        <f t="shared" si="36"/>
        <v>1</v>
      </c>
      <c r="T139" s="7">
        <f t="shared" si="37"/>
        <v>17787</v>
      </c>
    </row>
    <row r="140" spans="1:20">
      <c r="A140" s="23" t="s">
        <v>166</v>
      </c>
      <c r="B140" s="35" t="s">
        <v>167</v>
      </c>
      <c r="C140" s="36">
        <v>574</v>
      </c>
      <c r="D140" s="6"/>
      <c r="E140" s="113">
        <v>7353680</v>
      </c>
      <c r="F140" s="116">
        <f t="shared" si="25"/>
        <v>12811.289198606271</v>
      </c>
      <c r="G140" s="117">
        <v>3035253</v>
      </c>
      <c r="H140" s="117">
        <f t="shared" si="26"/>
        <v>5287.8972125435539</v>
      </c>
      <c r="I140" s="7"/>
      <c r="J140" s="10">
        <v>0.99299999999999999</v>
      </c>
      <c r="K140" s="117">
        <v>3014</v>
      </c>
      <c r="L140" s="120">
        <f t="shared" si="33"/>
        <v>5.2508710801393725</v>
      </c>
      <c r="M140" s="122">
        <f t="shared" si="30"/>
        <v>30352.53</v>
      </c>
      <c r="N140" s="116">
        <f t="shared" si="31"/>
        <v>27338.53</v>
      </c>
      <c r="O140" s="123">
        <f t="shared" si="32"/>
        <v>47.628101045296162</v>
      </c>
      <c r="P140" s="5"/>
      <c r="Q140" s="5">
        <f t="shared" si="34"/>
        <v>1</v>
      </c>
      <c r="R140" s="7">
        <f t="shared" si="35"/>
        <v>574</v>
      </c>
      <c r="S140" s="5">
        <f t="shared" si="36"/>
        <v>1</v>
      </c>
      <c r="T140" s="7">
        <f t="shared" si="37"/>
        <v>574</v>
      </c>
    </row>
    <row r="141" spans="1:20">
      <c r="A141" s="23" t="s">
        <v>168</v>
      </c>
      <c r="B141" s="35" t="s">
        <v>167</v>
      </c>
      <c r="C141" s="36">
        <v>123</v>
      </c>
      <c r="D141" s="6"/>
      <c r="E141" s="113">
        <v>1514095</v>
      </c>
      <c r="F141" s="116">
        <f t="shared" si="25"/>
        <v>12309.715447154471</v>
      </c>
      <c r="G141" s="117">
        <v>840231</v>
      </c>
      <c r="H141" s="117">
        <f t="shared" si="26"/>
        <v>6831.1463414634145</v>
      </c>
      <c r="I141" s="98" t="s">
        <v>528</v>
      </c>
      <c r="J141" s="10"/>
      <c r="K141" s="117"/>
      <c r="L141" s="120"/>
      <c r="M141" s="122">
        <f t="shared" si="30"/>
        <v>8402.31</v>
      </c>
      <c r="N141" s="116">
        <f t="shared" si="31"/>
        <v>8402.31</v>
      </c>
      <c r="O141" s="123">
        <f t="shared" si="32"/>
        <v>68.311463414634147</v>
      </c>
      <c r="P141" s="5"/>
      <c r="Q141" s="5">
        <f t="shared" si="34"/>
        <v>1</v>
      </c>
      <c r="R141" s="7">
        <f t="shared" si="35"/>
        <v>123</v>
      </c>
      <c r="S141" s="5">
        <f t="shared" si="36"/>
        <v>0</v>
      </c>
      <c r="T141" s="7">
        <f t="shared" si="37"/>
        <v>0</v>
      </c>
    </row>
    <row r="142" spans="1:20">
      <c r="A142" s="23" t="s">
        <v>169</v>
      </c>
      <c r="B142" s="35" t="s">
        <v>167</v>
      </c>
      <c r="C142" s="36">
        <v>255</v>
      </c>
      <c r="D142" s="6"/>
      <c r="E142" s="113">
        <v>4170656</v>
      </c>
      <c r="F142" s="116">
        <f t="shared" si="25"/>
        <v>16355.513725490197</v>
      </c>
      <c r="G142" s="117">
        <v>2333596</v>
      </c>
      <c r="H142" s="117">
        <f t="shared" si="26"/>
        <v>9151.3568627450986</v>
      </c>
      <c r="I142" s="7"/>
      <c r="J142" s="10">
        <v>2</v>
      </c>
      <c r="K142" s="117">
        <v>4667</v>
      </c>
      <c r="L142" s="120">
        <f>(K142/C142)</f>
        <v>18.301960784313724</v>
      </c>
      <c r="M142" s="122">
        <f t="shared" si="30"/>
        <v>23335.96</v>
      </c>
      <c r="N142" s="116">
        <f t="shared" si="31"/>
        <v>18668.96</v>
      </c>
      <c r="O142" s="123">
        <f t="shared" si="32"/>
        <v>73.211607843137259</v>
      </c>
      <c r="P142" s="5"/>
      <c r="Q142" s="5">
        <f t="shared" si="34"/>
        <v>1</v>
      </c>
      <c r="R142" s="7">
        <f t="shared" si="35"/>
        <v>255</v>
      </c>
      <c r="S142" s="5">
        <f t="shared" si="36"/>
        <v>1</v>
      </c>
      <c r="T142" s="7">
        <f t="shared" si="37"/>
        <v>255</v>
      </c>
    </row>
    <row r="143" spans="1:20">
      <c r="A143" s="23" t="s">
        <v>170</v>
      </c>
      <c r="B143" s="35" t="s">
        <v>167</v>
      </c>
      <c r="C143" s="36">
        <v>1157</v>
      </c>
      <c r="D143" s="6"/>
      <c r="E143" s="113">
        <v>18892599</v>
      </c>
      <c r="F143" s="116">
        <f t="shared" si="25"/>
        <v>16328.953327571306</v>
      </c>
      <c r="G143" s="117">
        <v>9908866</v>
      </c>
      <c r="H143" s="117">
        <f t="shared" si="26"/>
        <v>8564.2748487467597</v>
      </c>
      <c r="I143" s="7"/>
      <c r="J143" s="10">
        <v>2.798</v>
      </c>
      <c r="K143" s="117">
        <v>27725</v>
      </c>
      <c r="L143" s="120">
        <f>(K143/C143)</f>
        <v>23.962834917891097</v>
      </c>
      <c r="M143" s="122">
        <f t="shared" si="30"/>
        <v>99088.66</v>
      </c>
      <c r="N143" s="116">
        <f t="shared" si="31"/>
        <v>71363.66</v>
      </c>
      <c r="O143" s="123">
        <f t="shared" si="32"/>
        <v>61.679913569576492</v>
      </c>
      <c r="P143" s="5"/>
      <c r="Q143" s="5">
        <f t="shared" si="34"/>
        <v>1</v>
      </c>
      <c r="R143" s="7">
        <f t="shared" si="35"/>
        <v>1157</v>
      </c>
      <c r="S143" s="5">
        <f t="shared" si="36"/>
        <v>1</v>
      </c>
      <c r="T143" s="7">
        <f t="shared" si="37"/>
        <v>1157</v>
      </c>
    </row>
    <row r="144" spans="1:20">
      <c r="A144" s="23" t="s">
        <v>171</v>
      </c>
      <c r="B144" s="35" t="s">
        <v>167</v>
      </c>
      <c r="C144" s="36">
        <v>2654</v>
      </c>
      <c r="D144" s="6"/>
      <c r="E144" s="113">
        <v>65752051</v>
      </c>
      <c r="F144" s="116">
        <f t="shared" si="25"/>
        <v>24774.698944988697</v>
      </c>
      <c r="G144" s="117">
        <v>38015716</v>
      </c>
      <c r="H144" s="117">
        <f t="shared" si="26"/>
        <v>14323.932177844763</v>
      </c>
      <c r="I144" s="9"/>
      <c r="J144" s="10">
        <v>3</v>
      </c>
      <c r="K144" s="117">
        <v>114047</v>
      </c>
      <c r="L144" s="120">
        <f>(K144/C144)</f>
        <v>42.971740768651095</v>
      </c>
      <c r="M144" s="122">
        <f t="shared" si="30"/>
        <v>380157.16000000003</v>
      </c>
      <c r="N144" s="116">
        <f t="shared" si="31"/>
        <v>266110.16000000003</v>
      </c>
      <c r="O144" s="123">
        <f t="shared" si="32"/>
        <v>100.26758100979654</v>
      </c>
      <c r="P144" s="5"/>
      <c r="Q144" s="5">
        <f t="shared" si="34"/>
        <v>1</v>
      </c>
      <c r="R144" s="7">
        <f t="shared" si="35"/>
        <v>2654</v>
      </c>
      <c r="S144" s="5">
        <f t="shared" si="36"/>
        <v>1</v>
      </c>
      <c r="T144" s="7">
        <f t="shared" si="37"/>
        <v>2654</v>
      </c>
    </row>
    <row r="145" spans="1:20">
      <c r="A145" s="23" t="s">
        <v>172</v>
      </c>
      <c r="B145" s="35" t="s">
        <v>167</v>
      </c>
      <c r="C145" s="36">
        <v>722</v>
      </c>
      <c r="D145" s="6"/>
      <c r="E145" s="113">
        <v>9400954</v>
      </c>
      <c r="F145" s="116">
        <f t="shared" si="25"/>
        <v>13020.711911357341</v>
      </c>
      <c r="G145" s="117">
        <v>3630821</v>
      </c>
      <c r="H145" s="117">
        <f t="shared" si="26"/>
        <v>5028.8379501385043</v>
      </c>
      <c r="I145" s="98" t="s">
        <v>528</v>
      </c>
      <c r="J145" s="10"/>
      <c r="K145" s="117"/>
      <c r="L145" s="120"/>
      <c r="M145" s="122">
        <f t="shared" si="30"/>
        <v>36308.21</v>
      </c>
      <c r="N145" s="116">
        <f t="shared" si="31"/>
        <v>36308.21</v>
      </c>
      <c r="O145" s="123">
        <f t="shared" si="32"/>
        <v>50.288379501385037</v>
      </c>
      <c r="P145" s="5"/>
      <c r="Q145" s="5">
        <f t="shared" si="34"/>
        <v>1</v>
      </c>
      <c r="R145" s="7">
        <f t="shared" si="35"/>
        <v>722</v>
      </c>
      <c r="S145" s="5">
        <f t="shared" si="36"/>
        <v>0</v>
      </c>
      <c r="T145" s="7">
        <f t="shared" si="37"/>
        <v>0</v>
      </c>
    </row>
    <row r="146" spans="1:20">
      <c r="A146" s="23" t="s">
        <v>173</v>
      </c>
      <c r="B146" s="35" t="s">
        <v>167</v>
      </c>
      <c r="C146" s="36">
        <v>643</v>
      </c>
      <c r="D146" s="6"/>
      <c r="E146" s="113">
        <v>14165020</v>
      </c>
      <c r="F146" s="116">
        <f t="shared" si="25"/>
        <v>22029.580093312597</v>
      </c>
      <c r="G146" s="117">
        <v>7340314</v>
      </c>
      <c r="H146" s="117">
        <f t="shared" si="26"/>
        <v>11415.729393468118</v>
      </c>
      <c r="I146" s="7"/>
      <c r="J146" s="12">
        <v>1</v>
      </c>
      <c r="K146" s="117">
        <v>7340</v>
      </c>
      <c r="L146" s="120">
        <f>(K146/C146)</f>
        <v>11.415241057542769</v>
      </c>
      <c r="M146" s="122">
        <f t="shared" si="30"/>
        <v>73403.14</v>
      </c>
      <c r="N146" s="116">
        <f t="shared" si="31"/>
        <v>66063.14</v>
      </c>
      <c r="O146" s="123">
        <f t="shared" si="32"/>
        <v>102.74205287713842</v>
      </c>
      <c r="P146" s="5"/>
      <c r="Q146" s="5">
        <f t="shared" si="34"/>
        <v>1</v>
      </c>
      <c r="R146" s="7">
        <f t="shared" si="35"/>
        <v>643</v>
      </c>
      <c r="S146" s="5">
        <f t="shared" si="36"/>
        <v>1</v>
      </c>
      <c r="T146" s="7">
        <f t="shared" si="37"/>
        <v>643</v>
      </c>
    </row>
    <row r="147" spans="1:20">
      <c r="A147" s="23" t="s">
        <v>174</v>
      </c>
      <c r="B147" s="35" t="s">
        <v>167</v>
      </c>
      <c r="C147" s="36">
        <v>324</v>
      </c>
      <c r="D147" s="6"/>
      <c r="E147" s="113">
        <v>4256924</v>
      </c>
      <c r="F147" s="116">
        <f t="shared" si="25"/>
        <v>13138.654320987655</v>
      </c>
      <c r="G147" s="117">
        <v>1845488</v>
      </c>
      <c r="H147" s="117">
        <f t="shared" si="26"/>
        <v>5695.950617283951</v>
      </c>
      <c r="I147" s="7"/>
      <c r="J147" s="10">
        <v>4</v>
      </c>
      <c r="K147" s="117">
        <v>7381</v>
      </c>
      <c r="L147" s="120">
        <f>(K147/C147)</f>
        <v>22.780864197530864</v>
      </c>
      <c r="M147" s="122">
        <f t="shared" si="30"/>
        <v>18454.88</v>
      </c>
      <c r="N147" s="116">
        <f t="shared" si="31"/>
        <v>11073.880000000001</v>
      </c>
      <c r="O147" s="123">
        <f t="shared" si="32"/>
        <v>34.178641975308643</v>
      </c>
      <c r="P147" s="5"/>
      <c r="Q147" s="5">
        <f t="shared" si="34"/>
        <v>1</v>
      </c>
      <c r="R147" s="7">
        <f t="shared" si="35"/>
        <v>324</v>
      </c>
      <c r="S147" s="5">
        <f t="shared" si="36"/>
        <v>1</v>
      </c>
      <c r="T147" s="7">
        <f t="shared" si="37"/>
        <v>324</v>
      </c>
    </row>
    <row r="148" spans="1:20">
      <c r="A148" s="23" t="s">
        <v>175</v>
      </c>
      <c r="B148" s="35" t="s">
        <v>167</v>
      </c>
      <c r="C148" s="36">
        <v>2081</v>
      </c>
      <c r="D148" s="6"/>
      <c r="E148" s="113">
        <v>31851249</v>
      </c>
      <c r="F148" s="116">
        <f t="shared" si="25"/>
        <v>15305.741950985102</v>
      </c>
      <c r="G148" s="117">
        <v>6954999</v>
      </c>
      <c r="H148" s="117">
        <f t="shared" si="26"/>
        <v>3342.1427198462279</v>
      </c>
      <c r="I148" s="98" t="s">
        <v>528</v>
      </c>
      <c r="J148" s="10"/>
      <c r="K148" s="117"/>
      <c r="L148" s="120"/>
      <c r="M148" s="122">
        <f t="shared" si="30"/>
        <v>69549.990000000005</v>
      </c>
      <c r="N148" s="116">
        <f t="shared" si="31"/>
        <v>69549.990000000005</v>
      </c>
      <c r="O148" s="123">
        <f t="shared" si="32"/>
        <v>33.421427198462283</v>
      </c>
      <c r="P148" s="5"/>
      <c r="Q148" s="5">
        <f t="shared" si="34"/>
        <v>1</v>
      </c>
      <c r="R148" s="7">
        <f t="shared" si="35"/>
        <v>2081</v>
      </c>
      <c r="S148" s="5">
        <f t="shared" si="36"/>
        <v>0</v>
      </c>
      <c r="T148" s="7">
        <f t="shared" si="37"/>
        <v>0</v>
      </c>
    </row>
    <row r="149" spans="1:20">
      <c r="A149" s="23" t="s">
        <v>176</v>
      </c>
      <c r="B149" s="35" t="s">
        <v>167</v>
      </c>
      <c r="C149" s="36">
        <v>6750</v>
      </c>
      <c r="D149" s="6"/>
      <c r="E149" s="113">
        <v>207921816</v>
      </c>
      <c r="F149" s="116">
        <f t="shared" si="25"/>
        <v>30803.232</v>
      </c>
      <c r="G149" s="117">
        <v>118066747</v>
      </c>
      <c r="H149" s="117">
        <f t="shared" si="26"/>
        <v>17491.369925925927</v>
      </c>
      <c r="I149" s="7"/>
      <c r="J149" s="10">
        <v>2.11</v>
      </c>
      <c r="K149" s="117">
        <v>249120</v>
      </c>
      <c r="L149" s="120">
        <f t="shared" ref="L149:L192" si="38">(K149/C149)</f>
        <v>36.906666666666666</v>
      </c>
      <c r="M149" s="122">
        <f t="shared" si="30"/>
        <v>1180667.47</v>
      </c>
      <c r="N149" s="116">
        <f t="shared" si="31"/>
        <v>931547.47</v>
      </c>
      <c r="O149" s="123">
        <f t="shared" si="32"/>
        <v>138.00703259259259</v>
      </c>
      <c r="P149" s="5"/>
      <c r="Q149" s="5">
        <f t="shared" si="34"/>
        <v>1</v>
      </c>
      <c r="R149" s="7">
        <f t="shared" si="35"/>
        <v>6750</v>
      </c>
      <c r="S149" s="5">
        <f t="shared" si="36"/>
        <v>1</v>
      </c>
      <c r="T149" s="7">
        <f t="shared" si="37"/>
        <v>6750</v>
      </c>
    </row>
    <row r="150" spans="1:20">
      <c r="A150" s="23" t="s">
        <v>177</v>
      </c>
      <c r="B150" s="35" t="s">
        <v>167</v>
      </c>
      <c r="C150" s="36">
        <v>2143</v>
      </c>
      <c r="D150" s="6"/>
      <c r="E150" s="113">
        <v>34374517</v>
      </c>
      <c r="F150" s="116">
        <f t="shared" si="25"/>
        <v>16040.371908539431</v>
      </c>
      <c r="G150" s="117">
        <v>16263519</v>
      </c>
      <c r="H150" s="117">
        <f t="shared" si="26"/>
        <v>7589.136257582828</v>
      </c>
      <c r="I150" s="7"/>
      <c r="J150" s="11">
        <v>0.75</v>
      </c>
      <c r="K150" s="117">
        <v>12197</v>
      </c>
      <c r="L150" s="120">
        <f t="shared" si="38"/>
        <v>5.6915538964069059</v>
      </c>
      <c r="M150" s="122">
        <f t="shared" si="30"/>
        <v>162635.19</v>
      </c>
      <c r="N150" s="116">
        <f t="shared" si="31"/>
        <v>150438.19</v>
      </c>
      <c r="O150" s="123">
        <f t="shared" si="32"/>
        <v>70.199808679421366</v>
      </c>
      <c r="P150" s="5"/>
      <c r="Q150" s="5">
        <f t="shared" si="34"/>
        <v>1</v>
      </c>
      <c r="R150" s="7">
        <f t="shared" si="35"/>
        <v>2143</v>
      </c>
      <c r="S150" s="5">
        <f t="shared" si="36"/>
        <v>1</v>
      </c>
      <c r="T150" s="7">
        <f t="shared" si="37"/>
        <v>2143</v>
      </c>
    </row>
    <row r="151" spans="1:20">
      <c r="A151" s="23" t="s">
        <v>178</v>
      </c>
      <c r="B151" s="35" t="s">
        <v>179</v>
      </c>
      <c r="C151" s="36">
        <v>2907</v>
      </c>
      <c r="D151" s="6"/>
      <c r="E151" s="113">
        <v>78241620</v>
      </c>
      <c r="F151" s="116">
        <f t="shared" si="25"/>
        <v>26914.901960784315</v>
      </c>
      <c r="G151" s="117">
        <v>46621632</v>
      </c>
      <c r="H151" s="117">
        <f t="shared" si="26"/>
        <v>16037.71310629515</v>
      </c>
      <c r="I151" s="9"/>
      <c r="J151" s="10">
        <v>9.3354999999999997</v>
      </c>
      <c r="K151" s="117">
        <v>435236</v>
      </c>
      <c r="L151" s="120">
        <f t="shared" si="38"/>
        <v>149.71998624011007</v>
      </c>
      <c r="M151" s="122">
        <f t="shared" si="30"/>
        <v>466216.32</v>
      </c>
      <c r="N151" s="116">
        <f t="shared" si="31"/>
        <v>30980.320000000007</v>
      </c>
      <c r="O151" s="123">
        <f t="shared" si="32"/>
        <v>10.657144822841421</v>
      </c>
      <c r="P151" s="5"/>
      <c r="Q151" s="5">
        <f t="shared" si="34"/>
        <v>1</v>
      </c>
      <c r="R151" s="7">
        <f t="shared" si="35"/>
        <v>2907</v>
      </c>
      <c r="S151" s="5">
        <f t="shared" si="36"/>
        <v>1</v>
      </c>
      <c r="T151" s="7">
        <f t="shared" si="37"/>
        <v>2907</v>
      </c>
    </row>
    <row r="152" spans="1:20">
      <c r="A152" s="23" t="s">
        <v>180</v>
      </c>
      <c r="B152" s="35" t="s">
        <v>181</v>
      </c>
      <c r="C152" s="36">
        <v>967</v>
      </c>
      <c r="D152" s="6"/>
      <c r="E152" s="113">
        <v>19597680</v>
      </c>
      <c r="F152" s="116">
        <f t="shared" si="25"/>
        <v>20266.473629782835</v>
      </c>
      <c r="G152" s="117">
        <v>8517934</v>
      </c>
      <c r="H152" s="117">
        <f t="shared" si="26"/>
        <v>8808.6184074457087</v>
      </c>
      <c r="I152" s="7"/>
      <c r="J152" s="10">
        <v>2</v>
      </c>
      <c r="K152" s="117">
        <v>17035</v>
      </c>
      <c r="L152" s="120">
        <f t="shared" si="38"/>
        <v>17.616339193381592</v>
      </c>
      <c r="M152" s="122">
        <f t="shared" si="30"/>
        <v>85179.34</v>
      </c>
      <c r="N152" s="116">
        <f t="shared" si="31"/>
        <v>68144.34</v>
      </c>
      <c r="O152" s="123">
        <f t="shared" si="32"/>
        <v>70.469844881075488</v>
      </c>
      <c r="P152" s="5"/>
      <c r="Q152" s="5">
        <f t="shared" si="34"/>
        <v>1</v>
      </c>
      <c r="R152" s="7">
        <f t="shared" si="35"/>
        <v>967</v>
      </c>
      <c r="S152" s="5">
        <f t="shared" si="36"/>
        <v>1</v>
      </c>
      <c r="T152" s="7">
        <f t="shared" si="37"/>
        <v>967</v>
      </c>
    </row>
    <row r="153" spans="1:20">
      <c r="A153" s="23" t="s">
        <v>182</v>
      </c>
      <c r="B153" s="35" t="s">
        <v>183</v>
      </c>
      <c r="C153" s="36">
        <v>1219</v>
      </c>
      <c r="D153" s="6"/>
      <c r="E153" s="113">
        <v>25895829</v>
      </c>
      <c r="F153" s="116">
        <f t="shared" si="25"/>
        <v>21243.502050861363</v>
      </c>
      <c r="G153" s="117">
        <v>16380011</v>
      </c>
      <c r="H153" s="117">
        <f t="shared" si="26"/>
        <v>13437.25266611977</v>
      </c>
      <c r="I153" s="7"/>
      <c r="J153" s="11">
        <v>1.75</v>
      </c>
      <c r="K153" s="117">
        <v>28665</v>
      </c>
      <c r="L153" s="120">
        <f t="shared" si="38"/>
        <v>23.515176374077111</v>
      </c>
      <c r="M153" s="122">
        <f t="shared" si="30"/>
        <v>163800.11000000002</v>
      </c>
      <c r="N153" s="116">
        <f t="shared" si="31"/>
        <v>135135.11000000002</v>
      </c>
      <c r="O153" s="123">
        <f t="shared" si="32"/>
        <v>110.8573502871206</v>
      </c>
      <c r="P153" s="5"/>
      <c r="Q153" s="5">
        <f t="shared" si="34"/>
        <v>1</v>
      </c>
      <c r="R153" s="7">
        <f t="shared" si="35"/>
        <v>1219</v>
      </c>
      <c r="S153" s="5">
        <f t="shared" si="36"/>
        <v>1</v>
      </c>
      <c r="T153" s="7">
        <f t="shared" si="37"/>
        <v>1219</v>
      </c>
    </row>
    <row r="154" spans="1:20">
      <c r="A154" s="23" t="s">
        <v>184</v>
      </c>
      <c r="B154" s="35" t="s">
        <v>183</v>
      </c>
      <c r="C154" s="36">
        <v>7582</v>
      </c>
      <c r="D154" s="6"/>
      <c r="E154" s="113">
        <v>323076825</v>
      </c>
      <c r="F154" s="116">
        <f t="shared" si="25"/>
        <v>42611.029411764706</v>
      </c>
      <c r="G154" s="117">
        <v>247468178</v>
      </c>
      <c r="H154" s="117">
        <f t="shared" si="26"/>
        <v>32638.905038248482</v>
      </c>
      <c r="I154" s="7"/>
      <c r="J154" s="10">
        <v>2.9790000000000001</v>
      </c>
      <c r="K154" s="117">
        <v>737207</v>
      </c>
      <c r="L154" s="120">
        <f t="shared" si="38"/>
        <v>97.231205486678974</v>
      </c>
      <c r="M154" s="122">
        <f t="shared" si="30"/>
        <v>2474681.7800000003</v>
      </c>
      <c r="N154" s="116">
        <f t="shared" si="31"/>
        <v>1737474.7800000003</v>
      </c>
      <c r="O154" s="123">
        <f t="shared" si="32"/>
        <v>229.15784489580588</v>
      </c>
      <c r="P154" s="5"/>
      <c r="Q154" s="5">
        <f t="shared" si="34"/>
        <v>1</v>
      </c>
      <c r="R154" s="7">
        <f t="shared" si="35"/>
        <v>7582</v>
      </c>
      <c r="S154" s="5">
        <f t="shared" si="36"/>
        <v>1</v>
      </c>
      <c r="T154" s="7">
        <f t="shared" si="37"/>
        <v>7582</v>
      </c>
    </row>
    <row r="155" spans="1:20">
      <c r="A155" s="23" t="s">
        <v>185</v>
      </c>
      <c r="B155" s="35" t="s">
        <v>183</v>
      </c>
      <c r="C155" s="36">
        <v>14631</v>
      </c>
      <c r="D155" s="6"/>
      <c r="E155" s="113">
        <v>517743723</v>
      </c>
      <c r="F155" s="116">
        <f t="shared" si="25"/>
        <v>35386.762558950177</v>
      </c>
      <c r="G155" s="117">
        <v>370388244</v>
      </c>
      <c r="H155" s="117">
        <f t="shared" si="26"/>
        <v>25315.306130818128</v>
      </c>
      <c r="I155" s="7"/>
      <c r="J155" s="10">
        <v>5.4</v>
      </c>
      <c r="K155" s="117">
        <v>2000096</v>
      </c>
      <c r="L155" s="120">
        <f t="shared" si="38"/>
        <v>136.7026177294785</v>
      </c>
      <c r="M155" s="122">
        <f t="shared" si="30"/>
        <v>3703882.44</v>
      </c>
      <c r="N155" s="116">
        <f t="shared" si="31"/>
        <v>1703786.44</v>
      </c>
      <c r="O155" s="123">
        <f t="shared" si="32"/>
        <v>116.45044357870275</v>
      </c>
      <c r="P155" s="5"/>
      <c r="Q155" s="5">
        <f t="shared" si="34"/>
        <v>1</v>
      </c>
      <c r="R155" s="7">
        <f t="shared" si="35"/>
        <v>14631</v>
      </c>
      <c r="S155" s="5">
        <f t="shared" si="36"/>
        <v>1</v>
      </c>
      <c r="T155" s="7">
        <f t="shared" si="37"/>
        <v>14631</v>
      </c>
    </row>
    <row r="156" spans="1:20">
      <c r="A156" s="23" t="s">
        <v>186</v>
      </c>
      <c r="B156" s="35" t="s">
        <v>183</v>
      </c>
      <c r="C156" s="36">
        <v>2977</v>
      </c>
      <c r="D156" s="6"/>
      <c r="E156" s="113">
        <v>87532071</v>
      </c>
      <c r="F156" s="116">
        <f t="shared" ref="F156:F219" si="39">(E156/C156)</f>
        <v>29402.778300302318</v>
      </c>
      <c r="G156" s="117">
        <v>57587455</v>
      </c>
      <c r="H156" s="117">
        <f t="shared" ref="H156:H219" si="40">(G156/C156)</f>
        <v>19344.123278468258</v>
      </c>
      <c r="I156" s="7"/>
      <c r="J156" s="10">
        <v>3.39</v>
      </c>
      <c r="K156" s="117">
        <v>195221</v>
      </c>
      <c r="L156" s="120">
        <f t="shared" si="38"/>
        <v>65.576419213973793</v>
      </c>
      <c r="M156" s="122">
        <f t="shared" si="30"/>
        <v>575874.55000000005</v>
      </c>
      <c r="N156" s="116">
        <f t="shared" si="31"/>
        <v>380653.55000000005</v>
      </c>
      <c r="O156" s="123">
        <f t="shared" si="32"/>
        <v>127.86481357070878</v>
      </c>
      <c r="P156" s="5"/>
      <c r="Q156" s="5">
        <f t="shared" si="34"/>
        <v>1</v>
      </c>
      <c r="R156" s="7">
        <f t="shared" si="35"/>
        <v>2977</v>
      </c>
      <c r="S156" s="5">
        <f t="shared" si="36"/>
        <v>1</v>
      </c>
      <c r="T156" s="7">
        <f t="shared" si="37"/>
        <v>2977</v>
      </c>
    </row>
    <row r="157" spans="1:20">
      <c r="A157" s="23" t="s">
        <v>187</v>
      </c>
      <c r="B157" s="35" t="s">
        <v>183</v>
      </c>
      <c r="C157" s="36">
        <v>2523</v>
      </c>
      <c r="D157" s="6"/>
      <c r="E157" s="113">
        <v>64616541</v>
      </c>
      <c r="F157" s="116">
        <f t="shared" si="39"/>
        <v>25610.995243757432</v>
      </c>
      <c r="G157" s="117">
        <v>46672244</v>
      </c>
      <c r="H157" s="117">
        <f t="shared" si="40"/>
        <v>18498.709472849783</v>
      </c>
      <c r="I157" s="7"/>
      <c r="J157" s="10">
        <v>6</v>
      </c>
      <c r="K157" s="117">
        <v>280033</v>
      </c>
      <c r="L157" s="120">
        <f t="shared" si="38"/>
        <v>110.99207292905271</v>
      </c>
      <c r="M157" s="122">
        <f t="shared" si="30"/>
        <v>466722.44</v>
      </c>
      <c r="N157" s="116">
        <f t="shared" si="31"/>
        <v>186689.44</v>
      </c>
      <c r="O157" s="123">
        <f t="shared" si="32"/>
        <v>73.995021799445112</v>
      </c>
      <c r="P157" s="5"/>
      <c r="Q157" s="5">
        <f t="shared" si="34"/>
        <v>1</v>
      </c>
      <c r="R157" s="7">
        <f t="shared" si="35"/>
        <v>2523</v>
      </c>
      <c r="S157" s="5">
        <f t="shared" si="36"/>
        <v>1</v>
      </c>
      <c r="T157" s="7">
        <f t="shared" si="37"/>
        <v>2523</v>
      </c>
    </row>
    <row r="158" spans="1:20">
      <c r="A158" s="23" t="s">
        <v>188</v>
      </c>
      <c r="B158" s="35" t="s">
        <v>183</v>
      </c>
      <c r="C158" s="36">
        <v>829</v>
      </c>
      <c r="D158" s="6"/>
      <c r="E158" s="113">
        <v>49772887</v>
      </c>
      <c r="F158" s="116">
        <f t="shared" si="39"/>
        <v>60039.670687575395</v>
      </c>
      <c r="G158" s="117">
        <v>37223742</v>
      </c>
      <c r="H158" s="117">
        <f t="shared" si="40"/>
        <v>44901.980699638116</v>
      </c>
      <c r="I158" s="7"/>
      <c r="J158" s="10">
        <v>5.4450000000000003</v>
      </c>
      <c r="K158" s="117">
        <v>202683</v>
      </c>
      <c r="L158" s="120">
        <f t="shared" si="38"/>
        <v>244.4909529553679</v>
      </c>
      <c r="M158" s="122">
        <f t="shared" si="30"/>
        <v>372237.42</v>
      </c>
      <c r="N158" s="116">
        <f t="shared" si="31"/>
        <v>169554.41999999998</v>
      </c>
      <c r="O158" s="123">
        <f t="shared" si="32"/>
        <v>204.52885404101326</v>
      </c>
      <c r="P158" s="5"/>
      <c r="Q158" s="5">
        <f t="shared" si="34"/>
        <v>1</v>
      </c>
      <c r="R158" s="7">
        <f t="shared" si="35"/>
        <v>829</v>
      </c>
      <c r="S158" s="5">
        <f t="shared" si="36"/>
        <v>1</v>
      </c>
      <c r="T158" s="7">
        <f t="shared" si="37"/>
        <v>829</v>
      </c>
    </row>
    <row r="159" spans="1:20">
      <c r="A159" s="23" t="s">
        <v>189</v>
      </c>
      <c r="B159" s="35" t="s">
        <v>183</v>
      </c>
      <c r="C159" s="36">
        <v>12383</v>
      </c>
      <c r="D159" s="6"/>
      <c r="E159" s="113">
        <v>480284320</v>
      </c>
      <c r="F159" s="116">
        <f t="shared" si="39"/>
        <v>38785.78050553178</v>
      </c>
      <c r="G159" s="117">
        <v>325816914</v>
      </c>
      <c r="H159" s="117">
        <f t="shared" si="40"/>
        <v>26311.629976580796</v>
      </c>
      <c r="I159" s="7"/>
      <c r="J159" s="10">
        <v>2.72</v>
      </c>
      <c r="K159" s="117">
        <v>886222</v>
      </c>
      <c r="L159" s="120">
        <f t="shared" si="38"/>
        <v>71.567633045304049</v>
      </c>
      <c r="M159" s="122">
        <f t="shared" si="30"/>
        <v>3258169.14</v>
      </c>
      <c r="N159" s="116">
        <f t="shared" si="31"/>
        <v>2371947.14</v>
      </c>
      <c r="O159" s="123">
        <f t="shared" si="32"/>
        <v>191.54866672050392</v>
      </c>
      <c r="P159" s="5"/>
      <c r="Q159" s="5">
        <f t="shared" si="34"/>
        <v>1</v>
      </c>
      <c r="R159" s="7">
        <f t="shared" si="35"/>
        <v>12383</v>
      </c>
      <c r="S159" s="5">
        <f t="shared" si="36"/>
        <v>1</v>
      </c>
      <c r="T159" s="7">
        <f t="shared" si="37"/>
        <v>12383</v>
      </c>
    </row>
    <row r="160" spans="1:20">
      <c r="A160" s="23" t="s">
        <v>190</v>
      </c>
      <c r="B160" s="35" t="s">
        <v>183</v>
      </c>
      <c r="C160" s="36">
        <v>15409</v>
      </c>
      <c r="D160" s="6"/>
      <c r="E160" s="113">
        <v>848000449</v>
      </c>
      <c r="F160" s="116">
        <f t="shared" si="39"/>
        <v>55032.802193523268</v>
      </c>
      <c r="G160" s="117">
        <v>565285566</v>
      </c>
      <c r="H160" s="117">
        <f t="shared" si="40"/>
        <v>36685.415406580571</v>
      </c>
      <c r="I160" s="7"/>
      <c r="J160" s="10">
        <v>4.5</v>
      </c>
      <c r="K160" s="117">
        <v>2543785</v>
      </c>
      <c r="L160" s="120">
        <f t="shared" si="38"/>
        <v>165.08436627944707</v>
      </c>
      <c r="M160" s="122">
        <f t="shared" si="30"/>
        <v>5652855.6600000001</v>
      </c>
      <c r="N160" s="116">
        <f t="shared" si="31"/>
        <v>3109070.66</v>
      </c>
      <c r="O160" s="123">
        <f t="shared" si="32"/>
        <v>201.76978778635862</v>
      </c>
      <c r="P160" s="5"/>
      <c r="Q160" s="5">
        <f t="shared" si="34"/>
        <v>1</v>
      </c>
      <c r="R160" s="7">
        <f t="shared" si="35"/>
        <v>15409</v>
      </c>
      <c r="S160" s="5">
        <f t="shared" si="36"/>
        <v>1</v>
      </c>
      <c r="T160" s="7">
        <f t="shared" si="37"/>
        <v>15409</v>
      </c>
    </row>
    <row r="161" spans="1:20">
      <c r="A161" s="23" t="s">
        <v>191</v>
      </c>
      <c r="B161" s="35" t="s">
        <v>183</v>
      </c>
      <c r="C161" s="36">
        <v>2428</v>
      </c>
      <c r="D161" s="6"/>
      <c r="E161" s="113">
        <v>44233805</v>
      </c>
      <c r="F161" s="116">
        <f t="shared" si="39"/>
        <v>18218.206342668862</v>
      </c>
      <c r="G161" s="117">
        <v>27759178</v>
      </c>
      <c r="H161" s="117">
        <f t="shared" si="40"/>
        <v>11432.939868204283</v>
      </c>
      <c r="I161" s="7"/>
      <c r="J161" s="10">
        <v>5.3520000000000003</v>
      </c>
      <c r="K161" s="117">
        <v>148567</v>
      </c>
      <c r="L161" s="120">
        <f t="shared" si="38"/>
        <v>61.189044481054367</v>
      </c>
      <c r="M161" s="122">
        <f t="shared" si="30"/>
        <v>277591.78000000003</v>
      </c>
      <c r="N161" s="116">
        <f t="shared" si="31"/>
        <v>129024.78000000003</v>
      </c>
      <c r="O161" s="123">
        <f t="shared" si="32"/>
        <v>53.140354200988476</v>
      </c>
      <c r="P161" s="5"/>
      <c r="Q161" s="5">
        <f t="shared" si="34"/>
        <v>1</v>
      </c>
      <c r="R161" s="7">
        <f t="shared" si="35"/>
        <v>2428</v>
      </c>
      <c r="S161" s="5">
        <f t="shared" si="36"/>
        <v>1</v>
      </c>
      <c r="T161" s="7">
        <f t="shared" si="37"/>
        <v>2428</v>
      </c>
    </row>
    <row r="162" spans="1:20">
      <c r="A162" s="23" t="s">
        <v>192</v>
      </c>
      <c r="B162" s="35" t="s">
        <v>183</v>
      </c>
      <c r="C162" s="36">
        <v>2814</v>
      </c>
      <c r="D162" s="6"/>
      <c r="E162" s="113">
        <v>101832791</v>
      </c>
      <c r="F162" s="116">
        <f t="shared" si="39"/>
        <v>36187.914356787493</v>
      </c>
      <c r="G162" s="117">
        <v>76624262</v>
      </c>
      <c r="H162" s="117">
        <f t="shared" si="40"/>
        <v>27229.659559346128</v>
      </c>
      <c r="I162" s="7"/>
      <c r="J162" s="10">
        <v>3.5</v>
      </c>
      <c r="K162" s="117">
        <v>268184</v>
      </c>
      <c r="L162" s="120">
        <f t="shared" si="38"/>
        <v>95.303482587064678</v>
      </c>
      <c r="M162" s="122">
        <f t="shared" si="30"/>
        <v>766242.62</v>
      </c>
      <c r="N162" s="116">
        <f t="shared" si="31"/>
        <v>498058.62</v>
      </c>
      <c r="O162" s="123">
        <f t="shared" si="32"/>
        <v>176.99311300639658</v>
      </c>
      <c r="P162" s="5"/>
      <c r="Q162" s="5">
        <f t="shared" si="34"/>
        <v>1</v>
      </c>
      <c r="R162" s="7">
        <f t="shared" si="35"/>
        <v>2814</v>
      </c>
      <c r="S162" s="5">
        <f t="shared" si="36"/>
        <v>1</v>
      </c>
      <c r="T162" s="7">
        <f t="shared" si="37"/>
        <v>2814</v>
      </c>
    </row>
    <row r="163" spans="1:20">
      <c r="A163" s="23" t="s">
        <v>193</v>
      </c>
      <c r="B163" s="35" t="s">
        <v>183</v>
      </c>
      <c r="C163" s="36">
        <v>1138</v>
      </c>
      <c r="D163" s="6"/>
      <c r="E163" s="113">
        <v>32053765</v>
      </c>
      <c r="F163" s="116">
        <f t="shared" si="39"/>
        <v>28166.753075571178</v>
      </c>
      <c r="G163" s="117">
        <v>21401328</v>
      </c>
      <c r="H163" s="117">
        <f t="shared" si="40"/>
        <v>18806.087873462213</v>
      </c>
      <c r="I163" s="7"/>
      <c r="J163" s="10">
        <v>2.99</v>
      </c>
      <c r="K163" s="117">
        <v>63989</v>
      </c>
      <c r="L163" s="120">
        <f t="shared" si="38"/>
        <v>56.229349736379611</v>
      </c>
      <c r="M163" s="122">
        <f t="shared" si="30"/>
        <v>214013.28</v>
      </c>
      <c r="N163" s="116">
        <f t="shared" si="31"/>
        <v>150024.28</v>
      </c>
      <c r="O163" s="123">
        <f t="shared" si="32"/>
        <v>131.83152899824253</v>
      </c>
      <c r="P163" s="5"/>
      <c r="Q163" s="5">
        <f t="shared" si="34"/>
        <v>1</v>
      </c>
      <c r="R163" s="7">
        <f t="shared" si="35"/>
        <v>1138</v>
      </c>
      <c r="S163" s="5">
        <f t="shared" si="36"/>
        <v>1</v>
      </c>
      <c r="T163" s="7">
        <f t="shared" si="37"/>
        <v>1138</v>
      </c>
    </row>
    <row r="164" spans="1:20">
      <c r="A164" s="23" t="s">
        <v>194</v>
      </c>
      <c r="B164" s="35" t="s">
        <v>183</v>
      </c>
      <c r="C164" s="36">
        <v>8628</v>
      </c>
      <c r="D164" s="6"/>
      <c r="E164" s="113">
        <v>458342866</v>
      </c>
      <c r="F164" s="116">
        <f t="shared" si="39"/>
        <v>53122.724385720911</v>
      </c>
      <c r="G164" s="117">
        <v>351314762</v>
      </c>
      <c r="H164" s="117">
        <f t="shared" si="40"/>
        <v>40717.983541956419</v>
      </c>
      <c r="I164" s="7"/>
      <c r="J164" s="10">
        <v>6.181</v>
      </c>
      <c r="K164" s="117">
        <v>2171476</v>
      </c>
      <c r="L164" s="120">
        <f t="shared" si="38"/>
        <v>251.67779323133982</v>
      </c>
      <c r="M164" s="122">
        <f t="shared" si="30"/>
        <v>3513147.62</v>
      </c>
      <c r="N164" s="116">
        <f t="shared" si="31"/>
        <v>1341671.6200000001</v>
      </c>
      <c r="O164" s="123">
        <f t="shared" si="32"/>
        <v>155.50204218822441</v>
      </c>
      <c r="P164" s="5"/>
      <c r="Q164" s="5">
        <f t="shared" si="34"/>
        <v>1</v>
      </c>
      <c r="R164" s="7">
        <f t="shared" si="35"/>
        <v>8628</v>
      </c>
      <c r="S164" s="5">
        <f t="shared" si="36"/>
        <v>1</v>
      </c>
      <c r="T164" s="7">
        <f t="shared" si="37"/>
        <v>8628</v>
      </c>
    </row>
    <row r="165" spans="1:20">
      <c r="A165" s="23" t="s">
        <v>195</v>
      </c>
      <c r="B165" s="35" t="s">
        <v>183</v>
      </c>
      <c r="C165" s="36">
        <v>8331</v>
      </c>
      <c r="D165" s="6"/>
      <c r="E165" s="113">
        <v>419560602</v>
      </c>
      <c r="F165" s="116">
        <f t="shared" si="39"/>
        <v>50361.373424558878</v>
      </c>
      <c r="G165" s="117">
        <v>228334580</v>
      </c>
      <c r="H165" s="117">
        <f t="shared" si="40"/>
        <v>27407.823790661387</v>
      </c>
      <c r="I165" s="7"/>
      <c r="J165" s="10">
        <v>4.42</v>
      </c>
      <c r="K165" s="117">
        <v>1009238</v>
      </c>
      <c r="L165" s="120">
        <f t="shared" si="38"/>
        <v>121.14247989437042</v>
      </c>
      <c r="M165" s="122">
        <f t="shared" si="30"/>
        <v>2283345.8000000003</v>
      </c>
      <c r="N165" s="116">
        <f t="shared" si="31"/>
        <v>1274107.8000000003</v>
      </c>
      <c r="O165" s="123">
        <f t="shared" si="32"/>
        <v>152.93575801224347</v>
      </c>
      <c r="P165" s="5"/>
      <c r="Q165" s="5">
        <f t="shared" si="34"/>
        <v>1</v>
      </c>
      <c r="R165" s="7">
        <f t="shared" si="35"/>
        <v>8331</v>
      </c>
      <c r="S165" s="5">
        <f t="shared" si="36"/>
        <v>1</v>
      </c>
      <c r="T165" s="7">
        <f t="shared" si="37"/>
        <v>8331</v>
      </c>
    </row>
    <row r="166" spans="1:20">
      <c r="A166" s="23" t="s">
        <v>196</v>
      </c>
      <c r="B166" s="35" t="s">
        <v>183</v>
      </c>
      <c r="C166" s="36">
        <v>2434</v>
      </c>
      <c r="D166" s="6"/>
      <c r="E166" s="113">
        <v>78526810</v>
      </c>
      <c r="F166" s="116">
        <f t="shared" si="39"/>
        <v>32262.452752670502</v>
      </c>
      <c r="G166" s="117">
        <v>57077585</v>
      </c>
      <c r="H166" s="117">
        <f t="shared" si="40"/>
        <v>23450.117091207889</v>
      </c>
      <c r="I166" s="7"/>
      <c r="J166" s="10">
        <v>5.5140000000000002</v>
      </c>
      <c r="K166" s="117">
        <v>314725</v>
      </c>
      <c r="L166" s="120">
        <f t="shared" si="38"/>
        <v>129.30361544782252</v>
      </c>
      <c r="M166" s="122">
        <f t="shared" si="30"/>
        <v>570775.85</v>
      </c>
      <c r="N166" s="116">
        <f t="shared" si="31"/>
        <v>256050.84999999998</v>
      </c>
      <c r="O166" s="123">
        <f t="shared" si="32"/>
        <v>105.19755546425635</v>
      </c>
      <c r="P166" s="5"/>
      <c r="Q166" s="5">
        <f t="shared" si="34"/>
        <v>1</v>
      </c>
      <c r="R166" s="7">
        <f t="shared" si="35"/>
        <v>2434</v>
      </c>
      <c r="S166" s="5">
        <f t="shared" si="36"/>
        <v>1</v>
      </c>
      <c r="T166" s="7">
        <f t="shared" si="37"/>
        <v>2434</v>
      </c>
    </row>
    <row r="167" spans="1:20">
      <c r="A167" s="23" t="s">
        <v>197</v>
      </c>
      <c r="B167" s="35" t="s">
        <v>198</v>
      </c>
      <c r="C167" s="36">
        <v>90026</v>
      </c>
      <c r="D167" s="6"/>
      <c r="E167" s="113">
        <v>4600424000</v>
      </c>
      <c r="F167" s="116">
        <f t="shared" si="39"/>
        <v>51101.059693866213</v>
      </c>
      <c r="G167" s="117">
        <v>3638777570</v>
      </c>
      <c r="H167" s="117">
        <f t="shared" si="40"/>
        <v>40419.185235376448</v>
      </c>
      <c r="I167" s="7"/>
      <c r="J167" s="10">
        <v>5.4298000000000002</v>
      </c>
      <c r="K167" s="117">
        <v>19757834</v>
      </c>
      <c r="L167" s="120">
        <f t="shared" si="38"/>
        <v>219.46808699708973</v>
      </c>
      <c r="M167" s="122">
        <f t="shared" si="30"/>
        <v>36387775.700000003</v>
      </c>
      <c r="N167" s="116">
        <f t="shared" si="31"/>
        <v>16629941.700000003</v>
      </c>
      <c r="O167" s="123">
        <f t="shared" si="32"/>
        <v>184.72376535667476</v>
      </c>
      <c r="P167" s="5"/>
      <c r="Q167" s="5">
        <f t="shared" si="34"/>
        <v>1</v>
      </c>
      <c r="R167" s="7">
        <f t="shared" si="35"/>
        <v>90026</v>
      </c>
      <c r="S167" s="5">
        <f t="shared" si="36"/>
        <v>1</v>
      </c>
      <c r="T167" s="7">
        <f t="shared" si="37"/>
        <v>90026</v>
      </c>
    </row>
    <row r="168" spans="1:20">
      <c r="A168" s="23" t="s">
        <v>199</v>
      </c>
      <c r="B168" s="35" t="s">
        <v>198</v>
      </c>
      <c r="C168" s="36">
        <v>46522</v>
      </c>
      <c r="D168" s="6"/>
      <c r="E168" s="113">
        <v>2518103210</v>
      </c>
      <c r="F168" s="116">
        <f t="shared" si="39"/>
        <v>54127.14866084863</v>
      </c>
      <c r="G168" s="117">
        <v>1802612430</v>
      </c>
      <c r="H168" s="117">
        <f t="shared" si="40"/>
        <v>38747.526546580113</v>
      </c>
      <c r="I168" s="7"/>
      <c r="J168" s="10">
        <v>5.7359999999999998</v>
      </c>
      <c r="K168" s="117">
        <v>10339784</v>
      </c>
      <c r="L168" s="120">
        <f t="shared" si="38"/>
        <v>222.25579295817033</v>
      </c>
      <c r="M168" s="122">
        <f t="shared" si="30"/>
        <v>18026124.300000001</v>
      </c>
      <c r="N168" s="116">
        <f t="shared" si="31"/>
        <v>7686340.3000000007</v>
      </c>
      <c r="O168" s="123">
        <f t="shared" si="32"/>
        <v>165.21947250763083</v>
      </c>
      <c r="P168" s="5"/>
      <c r="Q168" s="5">
        <f t="shared" si="34"/>
        <v>1</v>
      </c>
      <c r="R168" s="7">
        <f t="shared" si="35"/>
        <v>46522</v>
      </c>
      <c r="S168" s="5">
        <f t="shared" si="36"/>
        <v>1</v>
      </c>
      <c r="T168" s="7">
        <f t="shared" si="37"/>
        <v>46522</v>
      </c>
    </row>
    <row r="169" spans="1:20">
      <c r="A169" s="23" t="s">
        <v>200</v>
      </c>
      <c r="B169" s="35" t="s">
        <v>198</v>
      </c>
      <c r="C169" s="36">
        <v>6034</v>
      </c>
      <c r="D169" s="6"/>
      <c r="E169" s="113">
        <v>1236638060</v>
      </c>
      <c r="F169" s="116">
        <f t="shared" si="39"/>
        <v>204944.98839907194</v>
      </c>
      <c r="G169" s="117">
        <v>1149535220</v>
      </c>
      <c r="H169" s="117">
        <f t="shared" si="40"/>
        <v>190509.64865760689</v>
      </c>
      <c r="I169" s="7"/>
      <c r="J169" s="10">
        <v>1.0961000000000001</v>
      </c>
      <c r="K169" s="117">
        <v>1260005</v>
      </c>
      <c r="L169" s="120">
        <f t="shared" si="38"/>
        <v>208.8175339741465</v>
      </c>
      <c r="M169" s="122">
        <f t="shared" si="30"/>
        <v>11495352.200000001</v>
      </c>
      <c r="N169" s="116">
        <f t="shared" si="31"/>
        <v>10235347.200000001</v>
      </c>
      <c r="O169" s="123">
        <f t="shared" si="32"/>
        <v>1696.2789526019226</v>
      </c>
      <c r="P169" s="5"/>
      <c r="Q169" s="5">
        <f t="shared" si="34"/>
        <v>1</v>
      </c>
      <c r="R169" s="7">
        <f t="shared" si="35"/>
        <v>6034</v>
      </c>
      <c r="S169" s="5">
        <f t="shared" si="36"/>
        <v>1</v>
      </c>
      <c r="T169" s="7">
        <f t="shared" si="37"/>
        <v>6034</v>
      </c>
    </row>
    <row r="170" spans="1:20">
      <c r="A170" s="23" t="s">
        <v>201</v>
      </c>
      <c r="B170" s="35" t="s">
        <v>198</v>
      </c>
      <c r="C170" s="36">
        <v>5884</v>
      </c>
      <c r="D170" s="6"/>
      <c r="E170" s="113">
        <v>2303133940</v>
      </c>
      <c r="F170" s="116">
        <f t="shared" si="39"/>
        <v>391423.17131203262</v>
      </c>
      <c r="G170" s="117">
        <v>2180750880</v>
      </c>
      <c r="H170" s="117">
        <f t="shared" si="40"/>
        <v>370623.8749150238</v>
      </c>
      <c r="I170" s="7"/>
      <c r="J170" s="10">
        <v>2.0693000000000001</v>
      </c>
      <c r="K170" s="117">
        <v>4512627</v>
      </c>
      <c r="L170" s="120">
        <f t="shared" si="38"/>
        <v>766.93184908225692</v>
      </c>
      <c r="M170" s="122">
        <f t="shared" si="30"/>
        <v>21807508.800000001</v>
      </c>
      <c r="N170" s="116">
        <f t="shared" si="31"/>
        <v>17294881.800000001</v>
      </c>
      <c r="O170" s="123">
        <f t="shared" si="32"/>
        <v>2939.3069000679811</v>
      </c>
      <c r="P170" s="5"/>
      <c r="Q170" s="5">
        <f t="shared" si="34"/>
        <v>1</v>
      </c>
      <c r="R170" s="7">
        <f t="shared" si="35"/>
        <v>5884</v>
      </c>
      <c r="S170" s="5">
        <f t="shared" si="36"/>
        <v>1</v>
      </c>
      <c r="T170" s="7">
        <f t="shared" si="37"/>
        <v>5884</v>
      </c>
    </row>
    <row r="171" spans="1:20">
      <c r="A171" s="23" t="s">
        <v>202</v>
      </c>
      <c r="B171" s="35" t="s">
        <v>203</v>
      </c>
      <c r="C171" s="36">
        <v>140643</v>
      </c>
      <c r="D171" s="6"/>
      <c r="E171" s="113">
        <v>9537873007</v>
      </c>
      <c r="F171" s="116">
        <f t="shared" si="39"/>
        <v>67816.194243581267</v>
      </c>
      <c r="G171" s="117">
        <v>4576295236</v>
      </c>
      <c r="H171" s="117">
        <f t="shared" si="40"/>
        <v>32538.378987933989</v>
      </c>
      <c r="I171" s="7"/>
      <c r="J171" s="10">
        <v>3.2</v>
      </c>
      <c r="K171" s="117">
        <v>14644144</v>
      </c>
      <c r="L171" s="120">
        <f t="shared" si="38"/>
        <v>104.12280739176497</v>
      </c>
      <c r="M171" s="122">
        <f t="shared" si="30"/>
        <v>45762952.359999999</v>
      </c>
      <c r="N171" s="116">
        <f t="shared" si="31"/>
        <v>31118808.359999999</v>
      </c>
      <c r="O171" s="123">
        <f t="shared" si="32"/>
        <v>221.26098248757492</v>
      </c>
      <c r="P171" s="5"/>
      <c r="Q171" s="5">
        <f t="shared" si="34"/>
        <v>1</v>
      </c>
      <c r="R171" s="7">
        <f t="shared" si="35"/>
        <v>140643</v>
      </c>
      <c r="S171" s="5">
        <f t="shared" si="36"/>
        <v>1</v>
      </c>
      <c r="T171" s="7">
        <f t="shared" si="37"/>
        <v>140643</v>
      </c>
    </row>
    <row r="172" spans="1:20">
      <c r="A172" s="23" t="s">
        <v>204</v>
      </c>
      <c r="B172" s="35" t="s">
        <v>205</v>
      </c>
      <c r="C172" s="36">
        <v>887</v>
      </c>
      <c r="D172" s="6"/>
      <c r="E172" s="113">
        <v>23958035</v>
      </c>
      <c r="F172" s="116">
        <f t="shared" si="39"/>
        <v>27010.186020293124</v>
      </c>
      <c r="G172" s="117">
        <v>13512487</v>
      </c>
      <c r="H172" s="117">
        <f t="shared" si="40"/>
        <v>15233.919954904171</v>
      </c>
      <c r="I172" s="7"/>
      <c r="J172" s="10">
        <v>3.4340000000000002</v>
      </c>
      <c r="K172" s="117">
        <v>46401</v>
      </c>
      <c r="L172" s="120">
        <f t="shared" si="38"/>
        <v>52.312288613303267</v>
      </c>
      <c r="M172" s="122">
        <f t="shared" si="30"/>
        <v>135124.87</v>
      </c>
      <c r="N172" s="116">
        <f t="shared" si="31"/>
        <v>88723.87</v>
      </c>
      <c r="O172" s="123">
        <f t="shared" si="32"/>
        <v>100.02691093573844</v>
      </c>
      <c r="P172" s="5"/>
      <c r="Q172" s="5">
        <f t="shared" si="34"/>
        <v>1</v>
      </c>
      <c r="R172" s="7">
        <f t="shared" si="35"/>
        <v>887</v>
      </c>
      <c r="S172" s="5">
        <f t="shared" si="36"/>
        <v>1</v>
      </c>
      <c r="T172" s="7">
        <f t="shared" si="37"/>
        <v>887</v>
      </c>
    </row>
    <row r="173" spans="1:20">
      <c r="A173" s="23" t="s">
        <v>206</v>
      </c>
      <c r="B173" s="35" t="s">
        <v>205</v>
      </c>
      <c r="C173" s="36">
        <v>731</v>
      </c>
      <c r="D173" s="6"/>
      <c r="E173" s="113">
        <v>67490833</v>
      </c>
      <c r="F173" s="116">
        <f t="shared" si="39"/>
        <v>92326.720930232565</v>
      </c>
      <c r="G173" s="117">
        <v>56820220</v>
      </c>
      <c r="H173" s="117">
        <f t="shared" si="40"/>
        <v>77729.439124487006</v>
      </c>
      <c r="I173" s="7"/>
      <c r="J173" s="10">
        <v>2.5</v>
      </c>
      <c r="K173" s="117">
        <v>142050</v>
      </c>
      <c r="L173" s="120">
        <f t="shared" si="38"/>
        <v>194.32284541723666</v>
      </c>
      <c r="M173" s="122">
        <f t="shared" si="30"/>
        <v>568202.20000000007</v>
      </c>
      <c r="N173" s="116">
        <f t="shared" si="31"/>
        <v>426152.20000000007</v>
      </c>
      <c r="O173" s="123">
        <f t="shared" si="32"/>
        <v>582.97154582763346</v>
      </c>
      <c r="P173" s="5"/>
      <c r="Q173" s="5">
        <f t="shared" si="34"/>
        <v>1</v>
      </c>
      <c r="R173" s="7">
        <f t="shared" si="35"/>
        <v>731</v>
      </c>
      <c r="S173" s="5">
        <f t="shared" si="36"/>
        <v>1</v>
      </c>
      <c r="T173" s="7">
        <f t="shared" si="37"/>
        <v>731</v>
      </c>
    </row>
    <row r="174" spans="1:20">
      <c r="A174" s="23" t="s">
        <v>207</v>
      </c>
      <c r="B174" s="35" t="s">
        <v>205</v>
      </c>
      <c r="C174" s="36">
        <v>1989</v>
      </c>
      <c r="D174" s="6"/>
      <c r="E174" s="113">
        <v>90482367</v>
      </c>
      <c r="F174" s="116">
        <f t="shared" si="39"/>
        <v>45491.38612368024</v>
      </c>
      <c r="G174" s="117">
        <v>69474146</v>
      </c>
      <c r="H174" s="117">
        <f t="shared" si="40"/>
        <v>34929.183509301154</v>
      </c>
      <c r="I174" s="7"/>
      <c r="J174" s="10">
        <v>5</v>
      </c>
      <c r="K174" s="117">
        <v>347370</v>
      </c>
      <c r="L174" s="120">
        <f t="shared" si="38"/>
        <v>174.64555052790348</v>
      </c>
      <c r="M174" s="122">
        <f t="shared" si="30"/>
        <v>694741.46</v>
      </c>
      <c r="N174" s="116">
        <f t="shared" si="31"/>
        <v>347371.45999999996</v>
      </c>
      <c r="O174" s="123">
        <f t="shared" si="32"/>
        <v>174.64628456510809</v>
      </c>
      <c r="P174" s="5"/>
      <c r="Q174" s="5">
        <f t="shared" si="34"/>
        <v>1</v>
      </c>
      <c r="R174" s="7">
        <f t="shared" si="35"/>
        <v>1989</v>
      </c>
      <c r="S174" s="5">
        <f t="shared" si="36"/>
        <v>1</v>
      </c>
      <c r="T174" s="7">
        <f t="shared" si="37"/>
        <v>1989</v>
      </c>
    </row>
    <row r="175" spans="1:20">
      <c r="A175" s="23" t="s">
        <v>208</v>
      </c>
      <c r="B175" s="35" t="s">
        <v>205</v>
      </c>
      <c r="C175" s="36">
        <v>1318</v>
      </c>
      <c r="D175" s="6"/>
      <c r="E175" s="113">
        <v>47888387</v>
      </c>
      <c r="F175" s="116">
        <f t="shared" si="39"/>
        <v>36334.132776934748</v>
      </c>
      <c r="G175" s="117">
        <v>35861891</v>
      </c>
      <c r="H175" s="117">
        <f t="shared" si="40"/>
        <v>27209.325493171473</v>
      </c>
      <c r="I175" s="7"/>
      <c r="J175" s="10">
        <v>4</v>
      </c>
      <c r="K175" s="117">
        <v>143447</v>
      </c>
      <c r="L175" s="120">
        <f t="shared" si="38"/>
        <v>108.83687405159333</v>
      </c>
      <c r="M175" s="122">
        <f t="shared" si="30"/>
        <v>358618.91000000003</v>
      </c>
      <c r="N175" s="116">
        <f t="shared" si="31"/>
        <v>215171.91000000003</v>
      </c>
      <c r="O175" s="123">
        <f t="shared" si="32"/>
        <v>163.25638088012141</v>
      </c>
      <c r="P175" s="5"/>
      <c r="Q175" s="5">
        <f t="shared" si="34"/>
        <v>1</v>
      </c>
      <c r="R175" s="7">
        <f t="shared" si="35"/>
        <v>1318</v>
      </c>
      <c r="S175" s="5">
        <f t="shared" si="36"/>
        <v>1</v>
      </c>
      <c r="T175" s="7">
        <f t="shared" si="37"/>
        <v>1318</v>
      </c>
    </row>
    <row r="176" spans="1:20">
      <c r="A176" s="23" t="s">
        <v>209</v>
      </c>
      <c r="B176" s="35" t="s">
        <v>205</v>
      </c>
      <c r="C176" s="36">
        <v>117</v>
      </c>
      <c r="D176" s="6"/>
      <c r="E176" s="113">
        <v>3589928</v>
      </c>
      <c r="F176" s="116">
        <f t="shared" si="39"/>
        <v>30683.145299145301</v>
      </c>
      <c r="G176" s="117">
        <v>2163046</v>
      </c>
      <c r="H176" s="117">
        <f t="shared" si="40"/>
        <v>18487.572649572649</v>
      </c>
      <c r="I176" s="7"/>
      <c r="J176" s="10">
        <v>2.9470000000000001</v>
      </c>
      <c r="K176" s="117">
        <v>6374</v>
      </c>
      <c r="L176" s="120">
        <f t="shared" si="38"/>
        <v>54.478632478632477</v>
      </c>
      <c r="M176" s="122">
        <f t="shared" si="30"/>
        <v>21630.46</v>
      </c>
      <c r="N176" s="116">
        <f t="shared" si="31"/>
        <v>15256.46</v>
      </c>
      <c r="O176" s="123">
        <f t="shared" si="32"/>
        <v>130.39709401709402</v>
      </c>
      <c r="P176" s="5"/>
      <c r="Q176" s="5">
        <f t="shared" si="34"/>
        <v>1</v>
      </c>
      <c r="R176" s="7">
        <f t="shared" si="35"/>
        <v>117</v>
      </c>
      <c r="S176" s="5">
        <f t="shared" si="36"/>
        <v>1</v>
      </c>
      <c r="T176" s="7">
        <f t="shared" si="37"/>
        <v>117</v>
      </c>
    </row>
    <row r="177" spans="1:20">
      <c r="A177" s="23" t="s">
        <v>210</v>
      </c>
      <c r="B177" s="35" t="s">
        <v>205</v>
      </c>
      <c r="C177" s="36">
        <v>2270</v>
      </c>
      <c r="D177" s="6"/>
      <c r="E177" s="113">
        <v>69525755</v>
      </c>
      <c r="F177" s="116">
        <f t="shared" si="39"/>
        <v>30628.085903083702</v>
      </c>
      <c r="G177" s="117">
        <v>46974847</v>
      </c>
      <c r="H177" s="117">
        <f t="shared" si="40"/>
        <v>20693.765198237885</v>
      </c>
      <c r="I177" s="7"/>
      <c r="J177" s="10">
        <v>3.5590000000000002</v>
      </c>
      <c r="K177" s="117">
        <v>167183</v>
      </c>
      <c r="L177" s="120">
        <f t="shared" si="38"/>
        <v>73.648898678414099</v>
      </c>
      <c r="M177" s="122">
        <f t="shared" si="30"/>
        <v>469748.47000000003</v>
      </c>
      <c r="N177" s="116">
        <f t="shared" si="31"/>
        <v>302565.47000000003</v>
      </c>
      <c r="O177" s="123">
        <f t="shared" si="32"/>
        <v>133.28875330396477</v>
      </c>
      <c r="P177" s="5"/>
      <c r="Q177" s="5">
        <f t="shared" si="34"/>
        <v>1</v>
      </c>
      <c r="R177" s="7">
        <f t="shared" si="35"/>
        <v>2270</v>
      </c>
      <c r="S177" s="5">
        <f t="shared" si="36"/>
        <v>1</v>
      </c>
      <c r="T177" s="7">
        <f t="shared" si="37"/>
        <v>2270</v>
      </c>
    </row>
    <row r="178" spans="1:20">
      <c r="A178" s="23" t="s">
        <v>211</v>
      </c>
      <c r="B178" s="35" t="s">
        <v>205</v>
      </c>
      <c r="C178" s="36">
        <v>612</v>
      </c>
      <c r="D178" s="6"/>
      <c r="E178" s="113">
        <v>30417033</v>
      </c>
      <c r="F178" s="116">
        <f t="shared" si="39"/>
        <v>49701.034313725489</v>
      </c>
      <c r="G178" s="117">
        <v>23430612</v>
      </c>
      <c r="H178" s="117">
        <f t="shared" si="40"/>
        <v>38285.313725490196</v>
      </c>
      <c r="I178" s="7"/>
      <c r="J178" s="10">
        <v>1.9510000000000001</v>
      </c>
      <c r="K178" s="117">
        <v>45713</v>
      </c>
      <c r="L178" s="120">
        <f t="shared" si="38"/>
        <v>74.694444444444443</v>
      </c>
      <c r="M178" s="122">
        <f t="shared" si="30"/>
        <v>234306.12</v>
      </c>
      <c r="N178" s="116">
        <f t="shared" si="31"/>
        <v>188593.12</v>
      </c>
      <c r="O178" s="123">
        <f t="shared" si="32"/>
        <v>308.15869281045752</v>
      </c>
      <c r="P178" s="5"/>
      <c r="Q178" s="5">
        <f t="shared" si="34"/>
        <v>1</v>
      </c>
      <c r="R178" s="7">
        <f t="shared" si="35"/>
        <v>612</v>
      </c>
      <c r="S178" s="5">
        <f t="shared" si="36"/>
        <v>1</v>
      </c>
      <c r="T178" s="7">
        <f t="shared" si="37"/>
        <v>612</v>
      </c>
    </row>
    <row r="179" spans="1:20">
      <c r="A179" s="23" t="s">
        <v>212</v>
      </c>
      <c r="B179" s="35" t="s">
        <v>213</v>
      </c>
      <c r="C179" s="36">
        <v>1241</v>
      </c>
      <c r="D179" s="6"/>
      <c r="E179" s="113">
        <v>22040896</v>
      </c>
      <c r="F179" s="116">
        <f t="shared" si="39"/>
        <v>17760.593070104755</v>
      </c>
      <c r="G179" s="117">
        <v>10651177</v>
      </c>
      <c r="H179" s="117">
        <f t="shared" si="40"/>
        <v>8582.7373086220796</v>
      </c>
      <c r="I179" s="7"/>
      <c r="J179" s="10">
        <v>1</v>
      </c>
      <c r="K179" s="117">
        <v>10651</v>
      </c>
      <c r="L179" s="120">
        <f t="shared" si="38"/>
        <v>8.582594681708299</v>
      </c>
      <c r="M179" s="122">
        <f t="shared" si="30"/>
        <v>106511.77</v>
      </c>
      <c r="N179" s="116">
        <f t="shared" si="31"/>
        <v>95860.77</v>
      </c>
      <c r="O179" s="123">
        <f t="shared" si="32"/>
        <v>77.244778404512488</v>
      </c>
      <c r="P179" s="5"/>
      <c r="Q179" s="5">
        <f t="shared" si="34"/>
        <v>1</v>
      </c>
      <c r="R179" s="7">
        <f t="shared" si="35"/>
        <v>1241</v>
      </c>
      <c r="S179" s="5">
        <f t="shared" si="36"/>
        <v>1</v>
      </c>
      <c r="T179" s="7">
        <f t="shared" si="37"/>
        <v>1241</v>
      </c>
    </row>
    <row r="180" spans="1:20">
      <c r="A180" s="23" t="s">
        <v>214</v>
      </c>
      <c r="B180" s="35" t="s">
        <v>215</v>
      </c>
      <c r="C180" s="36">
        <v>1002</v>
      </c>
      <c r="D180" s="6"/>
      <c r="E180" s="113">
        <v>15264249</v>
      </c>
      <c r="F180" s="116">
        <f t="shared" si="39"/>
        <v>15233.781437125748</v>
      </c>
      <c r="G180" s="117">
        <v>8090002</v>
      </c>
      <c r="H180" s="117">
        <f t="shared" si="40"/>
        <v>8073.8542914171658</v>
      </c>
      <c r="I180" s="7"/>
      <c r="J180" s="10">
        <v>9.65</v>
      </c>
      <c r="K180" s="117">
        <v>78068</v>
      </c>
      <c r="L180" s="120">
        <f t="shared" si="38"/>
        <v>77.9121756487026</v>
      </c>
      <c r="M180" s="122">
        <f t="shared" si="30"/>
        <v>80900.02</v>
      </c>
      <c r="N180" s="116">
        <f t="shared" si="31"/>
        <v>2832.0200000000041</v>
      </c>
      <c r="O180" s="123">
        <f t="shared" si="32"/>
        <v>2.8263672654690661</v>
      </c>
      <c r="P180" s="5"/>
      <c r="Q180" s="5">
        <f t="shared" si="34"/>
        <v>1</v>
      </c>
      <c r="R180" s="7">
        <f t="shared" si="35"/>
        <v>1002</v>
      </c>
      <c r="S180" s="5">
        <f t="shared" si="36"/>
        <v>1</v>
      </c>
      <c r="T180" s="7">
        <f t="shared" si="37"/>
        <v>1002</v>
      </c>
    </row>
    <row r="181" spans="1:20">
      <c r="A181" s="23" t="s">
        <v>198</v>
      </c>
      <c r="B181" s="35" t="s">
        <v>215</v>
      </c>
      <c r="C181" s="36">
        <v>338</v>
      </c>
      <c r="D181" s="6"/>
      <c r="E181" s="113">
        <v>5176552</v>
      </c>
      <c r="F181" s="116">
        <f t="shared" si="39"/>
        <v>15315.242603550296</v>
      </c>
      <c r="G181" s="117">
        <v>2525197</v>
      </c>
      <c r="H181" s="117">
        <f t="shared" si="40"/>
        <v>7470.997041420118</v>
      </c>
      <c r="I181" s="7"/>
      <c r="J181" s="10">
        <v>6.67</v>
      </c>
      <c r="K181" s="117">
        <v>16843</v>
      </c>
      <c r="L181" s="120">
        <f t="shared" si="38"/>
        <v>49.831360946745562</v>
      </c>
      <c r="M181" s="122">
        <f t="shared" si="30"/>
        <v>25251.97</v>
      </c>
      <c r="N181" s="116">
        <f t="shared" si="31"/>
        <v>8408.9700000000012</v>
      </c>
      <c r="O181" s="123">
        <f t="shared" si="32"/>
        <v>24.878609467455625</v>
      </c>
      <c r="P181" s="5"/>
      <c r="Q181" s="5">
        <f t="shared" si="34"/>
        <v>1</v>
      </c>
      <c r="R181" s="7">
        <f t="shared" si="35"/>
        <v>338</v>
      </c>
      <c r="S181" s="5">
        <f t="shared" si="36"/>
        <v>1</v>
      </c>
      <c r="T181" s="7">
        <f t="shared" si="37"/>
        <v>338</v>
      </c>
    </row>
    <row r="182" spans="1:20">
      <c r="A182" s="23" t="s">
        <v>215</v>
      </c>
      <c r="B182" s="35" t="s">
        <v>215</v>
      </c>
      <c r="C182" s="36">
        <v>3428</v>
      </c>
      <c r="D182" s="6"/>
      <c r="E182" s="113">
        <v>89286979</v>
      </c>
      <c r="F182" s="116">
        <f t="shared" si="39"/>
        <v>26046.376604434074</v>
      </c>
      <c r="G182" s="117">
        <v>54567881</v>
      </c>
      <c r="H182" s="117">
        <f t="shared" si="40"/>
        <v>15918.285005834307</v>
      </c>
      <c r="I182" s="7"/>
      <c r="J182" s="10">
        <v>4.6529999999999996</v>
      </c>
      <c r="K182" s="117">
        <v>253904</v>
      </c>
      <c r="L182" s="120">
        <f t="shared" si="38"/>
        <v>74.06767794632438</v>
      </c>
      <c r="M182" s="122">
        <f t="shared" si="30"/>
        <v>545678.81000000006</v>
      </c>
      <c r="N182" s="116">
        <f t="shared" si="31"/>
        <v>291774.81000000006</v>
      </c>
      <c r="O182" s="123">
        <f t="shared" si="32"/>
        <v>85.115172112018683</v>
      </c>
      <c r="P182" s="5"/>
      <c r="Q182" s="5">
        <f t="shared" si="34"/>
        <v>1</v>
      </c>
      <c r="R182" s="7">
        <f t="shared" si="35"/>
        <v>3428</v>
      </c>
      <c r="S182" s="5">
        <f t="shared" si="36"/>
        <v>1</v>
      </c>
      <c r="T182" s="7">
        <f t="shared" si="37"/>
        <v>3428</v>
      </c>
    </row>
    <row r="183" spans="1:20">
      <c r="A183" s="23" t="s">
        <v>216</v>
      </c>
      <c r="B183" s="35" t="s">
        <v>217</v>
      </c>
      <c r="C183" s="36">
        <v>1862</v>
      </c>
      <c r="D183" s="6"/>
      <c r="E183" s="113">
        <v>272382756</v>
      </c>
      <c r="F183" s="116">
        <f t="shared" si="39"/>
        <v>146285.04618689581</v>
      </c>
      <c r="G183" s="117">
        <v>235653292</v>
      </c>
      <c r="H183" s="117">
        <f t="shared" si="40"/>
        <v>126559.23308270676</v>
      </c>
      <c r="I183" s="7"/>
      <c r="J183" s="10">
        <v>1.7</v>
      </c>
      <c r="K183" s="117">
        <v>400610</v>
      </c>
      <c r="L183" s="120">
        <f t="shared" si="38"/>
        <v>215.15037593984962</v>
      </c>
      <c r="M183" s="122">
        <f t="shared" si="30"/>
        <v>2356532.92</v>
      </c>
      <c r="N183" s="116">
        <f t="shared" si="31"/>
        <v>1955922.92</v>
      </c>
      <c r="O183" s="123">
        <f t="shared" si="32"/>
        <v>1050.4419548872181</v>
      </c>
      <c r="P183" s="5"/>
      <c r="Q183" s="5">
        <f t="shared" si="34"/>
        <v>1</v>
      </c>
      <c r="R183" s="7">
        <f t="shared" si="35"/>
        <v>1862</v>
      </c>
      <c r="S183" s="5">
        <f t="shared" si="36"/>
        <v>1</v>
      </c>
      <c r="T183" s="7">
        <f t="shared" si="37"/>
        <v>1862</v>
      </c>
    </row>
    <row r="184" spans="1:20">
      <c r="A184" s="23" t="s">
        <v>218</v>
      </c>
      <c r="B184" s="35" t="s">
        <v>217</v>
      </c>
      <c r="C184" s="36">
        <v>48011</v>
      </c>
      <c r="D184" s="6"/>
      <c r="E184" s="113">
        <v>1994197732</v>
      </c>
      <c r="F184" s="116">
        <f t="shared" si="39"/>
        <v>41536.267355397722</v>
      </c>
      <c r="G184" s="117">
        <v>1487488264</v>
      </c>
      <c r="H184" s="117">
        <f t="shared" si="40"/>
        <v>30982.238736956115</v>
      </c>
      <c r="I184" s="7"/>
      <c r="J184" s="10">
        <v>2.1495000000000002</v>
      </c>
      <c r="K184" s="117">
        <v>3197356</v>
      </c>
      <c r="L184" s="120">
        <f t="shared" si="38"/>
        <v>66.596321676282514</v>
      </c>
      <c r="M184" s="122">
        <f t="shared" si="30"/>
        <v>14874882.640000001</v>
      </c>
      <c r="N184" s="116">
        <f t="shared" si="31"/>
        <v>11677526.640000001</v>
      </c>
      <c r="O184" s="123">
        <f t="shared" si="32"/>
        <v>243.22606569327863</v>
      </c>
      <c r="P184" s="5"/>
      <c r="Q184" s="5">
        <f t="shared" si="34"/>
        <v>1</v>
      </c>
      <c r="R184" s="7">
        <f t="shared" si="35"/>
        <v>48011</v>
      </c>
      <c r="S184" s="5">
        <f t="shared" si="36"/>
        <v>1</v>
      </c>
      <c r="T184" s="7">
        <f t="shared" si="37"/>
        <v>48011</v>
      </c>
    </row>
    <row r="185" spans="1:20">
      <c r="A185" s="23" t="s">
        <v>219</v>
      </c>
      <c r="B185" s="35" t="s">
        <v>217</v>
      </c>
      <c r="C185" s="36">
        <v>1692</v>
      </c>
      <c r="D185" s="6"/>
      <c r="E185" s="113">
        <v>173445235</v>
      </c>
      <c r="F185" s="116">
        <f t="shared" si="39"/>
        <v>102509.00413711584</v>
      </c>
      <c r="G185" s="117">
        <v>147858955</v>
      </c>
      <c r="H185" s="117">
        <f t="shared" si="40"/>
        <v>87387.08924349882</v>
      </c>
      <c r="I185" s="7"/>
      <c r="J185" s="10">
        <v>2.5508000000000002</v>
      </c>
      <c r="K185" s="117">
        <v>377158</v>
      </c>
      <c r="L185" s="120">
        <f t="shared" si="38"/>
        <v>222.90661938534279</v>
      </c>
      <c r="M185" s="122">
        <f t="shared" si="30"/>
        <v>1478589.55</v>
      </c>
      <c r="N185" s="116">
        <f t="shared" si="31"/>
        <v>1101431.55</v>
      </c>
      <c r="O185" s="123">
        <f t="shared" si="32"/>
        <v>650.96427304964539</v>
      </c>
      <c r="P185" s="5"/>
      <c r="Q185" s="5">
        <f t="shared" si="34"/>
        <v>1</v>
      </c>
      <c r="R185" s="7">
        <f t="shared" si="35"/>
        <v>1692</v>
      </c>
      <c r="S185" s="5">
        <f t="shared" si="36"/>
        <v>1</v>
      </c>
      <c r="T185" s="7">
        <f t="shared" si="37"/>
        <v>1692</v>
      </c>
    </row>
    <row r="186" spans="1:20">
      <c r="A186" s="23" t="s">
        <v>220</v>
      </c>
      <c r="B186" s="35" t="s">
        <v>217</v>
      </c>
      <c r="C186" s="36">
        <v>5082</v>
      </c>
      <c r="D186" s="6"/>
      <c r="E186" s="113">
        <v>555701962</v>
      </c>
      <c r="F186" s="116">
        <f t="shared" si="39"/>
        <v>109347.09996064541</v>
      </c>
      <c r="G186" s="117">
        <v>480028388</v>
      </c>
      <c r="H186" s="117">
        <f t="shared" si="40"/>
        <v>94456.589531680438</v>
      </c>
      <c r="I186" s="7"/>
      <c r="J186" s="10">
        <v>2.25</v>
      </c>
      <c r="K186" s="117">
        <v>1080063</v>
      </c>
      <c r="L186" s="120">
        <f t="shared" si="38"/>
        <v>212.5271546635183</v>
      </c>
      <c r="M186" s="122">
        <f t="shared" si="30"/>
        <v>4800283.88</v>
      </c>
      <c r="N186" s="116">
        <f t="shared" si="31"/>
        <v>3720220.88</v>
      </c>
      <c r="O186" s="123">
        <f t="shared" si="32"/>
        <v>732.03874065328614</v>
      </c>
      <c r="P186" s="5"/>
      <c r="Q186" s="5">
        <f t="shared" si="34"/>
        <v>1</v>
      </c>
      <c r="R186" s="7">
        <f t="shared" si="35"/>
        <v>5082</v>
      </c>
      <c r="S186" s="5">
        <f t="shared" si="36"/>
        <v>1</v>
      </c>
      <c r="T186" s="7">
        <f t="shared" si="37"/>
        <v>5082</v>
      </c>
    </row>
    <row r="187" spans="1:20">
      <c r="A187" s="23" t="s">
        <v>221</v>
      </c>
      <c r="B187" s="35" t="s">
        <v>217</v>
      </c>
      <c r="C187" s="36">
        <v>10115</v>
      </c>
      <c r="D187" s="6"/>
      <c r="E187" s="113">
        <v>381109508</v>
      </c>
      <c r="F187" s="116">
        <f t="shared" si="39"/>
        <v>37677.657736035588</v>
      </c>
      <c r="G187" s="117">
        <v>270314766</v>
      </c>
      <c r="H187" s="117">
        <f t="shared" si="40"/>
        <v>26724.148887790408</v>
      </c>
      <c r="I187" s="7"/>
      <c r="J187" s="10">
        <v>4.1645000000000003</v>
      </c>
      <c r="K187" s="117">
        <v>1125725</v>
      </c>
      <c r="L187" s="120">
        <f t="shared" si="38"/>
        <v>111.2926347009392</v>
      </c>
      <c r="M187" s="122">
        <f t="shared" si="30"/>
        <v>2703147.66</v>
      </c>
      <c r="N187" s="116">
        <f t="shared" si="31"/>
        <v>1577422.6600000001</v>
      </c>
      <c r="O187" s="123">
        <f t="shared" si="32"/>
        <v>155.94885417696491</v>
      </c>
      <c r="P187" s="5"/>
      <c r="Q187" s="5">
        <f t="shared" si="34"/>
        <v>1</v>
      </c>
      <c r="R187" s="7">
        <f t="shared" si="35"/>
        <v>10115</v>
      </c>
      <c r="S187" s="5">
        <f t="shared" si="36"/>
        <v>1</v>
      </c>
      <c r="T187" s="7">
        <f t="shared" si="37"/>
        <v>10115</v>
      </c>
    </row>
    <row r="188" spans="1:20">
      <c r="A188" s="23" t="s">
        <v>478</v>
      </c>
      <c r="B188" s="35" t="s">
        <v>222</v>
      </c>
      <c r="C188" s="36">
        <v>6604</v>
      </c>
      <c r="D188" s="6"/>
      <c r="E188" s="113">
        <v>2419160129</v>
      </c>
      <c r="F188" s="116">
        <f t="shared" si="39"/>
        <v>366317.40293761354</v>
      </c>
      <c r="G188" s="117">
        <v>2287415426</v>
      </c>
      <c r="H188" s="117">
        <f t="shared" si="40"/>
        <v>346368.17474258028</v>
      </c>
      <c r="I188" s="7"/>
      <c r="J188" s="10">
        <v>2.3220000000000001</v>
      </c>
      <c r="K188" s="117">
        <v>5311377</v>
      </c>
      <c r="L188" s="120">
        <f t="shared" si="38"/>
        <v>804.26665657177466</v>
      </c>
      <c r="M188" s="122">
        <f t="shared" si="30"/>
        <v>22874154.260000002</v>
      </c>
      <c r="N188" s="116">
        <f t="shared" si="31"/>
        <v>17562777.260000002</v>
      </c>
      <c r="O188" s="123">
        <f t="shared" si="32"/>
        <v>2659.4150908540282</v>
      </c>
      <c r="P188" s="5"/>
      <c r="Q188" s="5">
        <f t="shared" si="34"/>
        <v>1</v>
      </c>
      <c r="R188" s="7">
        <f t="shared" si="35"/>
        <v>6604</v>
      </c>
      <c r="S188" s="5">
        <f t="shared" si="36"/>
        <v>1</v>
      </c>
      <c r="T188" s="7">
        <f t="shared" si="37"/>
        <v>6604</v>
      </c>
    </row>
    <row r="189" spans="1:20">
      <c r="A189" s="23" t="s">
        <v>223</v>
      </c>
      <c r="B189" s="35" t="s">
        <v>224</v>
      </c>
      <c r="C189" s="36">
        <v>3463</v>
      </c>
      <c r="D189" s="6"/>
      <c r="E189" s="113">
        <v>102135654</v>
      </c>
      <c r="F189" s="116">
        <f t="shared" si="39"/>
        <v>29493.402829916256</v>
      </c>
      <c r="G189" s="117">
        <v>75513583</v>
      </c>
      <c r="H189" s="117">
        <f t="shared" si="40"/>
        <v>21805.828183655791</v>
      </c>
      <c r="I189" s="7"/>
      <c r="J189" s="10">
        <v>4.8490000000000002</v>
      </c>
      <c r="K189" s="117">
        <v>366165</v>
      </c>
      <c r="L189" s="120">
        <f t="shared" si="38"/>
        <v>105.73635576090095</v>
      </c>
      <c r="M189" s="122">
        <f t="shared" si="30"/>
        <v>755135.83</v>
      </c>
      <c r="N189" s="116">
        <f t="shared" si="31"/>
        <v>388970.82999999996</v>
      </c>
      <c r="O189" s="123">
        <f t="shared" si="32"/>
        <v>112.32192607565693</v>
      </c>
      <c r="P189" s="5"/>
      <c r="Q189" s="5">
        <f t="shared" si="34"/>
        <v>1</v>
      </c>
      <c r="R189" s="7">
        <f t="shared" si="35"/>
        <v>3463</v>
      </c>
      <c r="S189" s="5">
        <f t="shared" si="36"/>
        <v>1</v>
      </c>
      <c r="T189" s="7">
        <f t="shared" si="37"/>
        <v>3463</v>
      </c>
    </row>
    <row r="190" spans="1:20">
      <c r="A190" s="23" t="s">
        <v>225</v>
      </c>
      <c r="B190" s="35" t="s">
        <v>224</v>
      </c>
      <c r="C190" s="36">
        <v>1783</v>
      </c>
      <c r="D190" s="6"/>
      <c r="E190" s="113">
        <v>91212861</v>
      </c>
      <c r="F190" s="116">
        <f t="shared" si="39"/>
        <v>51156.960740325296</v>
      </c>
      <c r="G190" s="117">
        <v>68023511</v>
      </c>
      <c r="H190" s="117">
        <f t="shared" si="40"/>
        <v>38151.155916993834</v>
      </c>
      <c r="I190" s="7"/>
      <c r="J190" s="10">
        <v>6.3</v>
      </c>
      <c r="K190" s="117">
        <v>428548</v>
      </c>
      <c r="L190" s="120">
        <f t="shared" si="38"/>
        <v>240.35221536735838</v>
      </c>
      <c r="M190" s="122">
        <f t="shared" si="30"/>
        <v>680235.11</v>
      </c>
      <c r="N190" s="116">
        <f t="shared" si="31"/>
        <v>251687.11</v>
      </c>
      <c r="O190" s="123">
        <f t="shared" si="32"/>
        <v>141.15934380257991</v>
      </c>
      <c r="P190" s="5"/>
      <c r="Q190" s="5">
        <f t="shared" si="34"/>
        <v>1</v>
      </c>
      <c r="R190" s="7">
        <f t="shared" si="35"/>
        <v>1783</v>
      </c>
      <c r="S190" s="5">
        <f t="shared" si="36"/>
        <v>1</v>
      </c>
      <c r="T190" s="7">
        <f t="shared" si="37"/>
        <v>1783</v>
      </c>
    </row>
    <row r="191" spans="1:20">
      <c r="A191" s="23" t="s">
        <v>226</v>
      </c>
      <c r="B191" s="35" t="s">
        <v>224</v>
      </c>
      <c r="C191" s="36">
        <v>428</v>
      </c>
      <c r="D191" s="6"/>
      <c r="E191" s="113">
        <v>12529386</v>
      </c>
      <c r="F191" s="116">
        <f t="shared" si="39"/>
        <v>29274.266355140186</v>
      </c>
      <c r="G191" s="117">
        <v>7876773</v>
      </c>
      <c r="H191" s="117">
        <f t="shared" si="40"/>
        <v>18403.675233644859</v>
      </c>
      <c r="I191" s="7"/>
      <c r="J191" s="10">
        <v>2.4940000000000002</v>
      </c>
      <c r="K191" s="117">
        <v>19644</v>
      </c>
      <c r="L191" s="120">
        <f t="shared" si="38"/>
        <v>45.89719626168224</v>
      </c>
      <c r="M191" s="122">
        <f t="shared" si="30"/>
        <v>78767.73</v>
      </c>
      <c r="N191" s="116">
        <f t="shared" si="31"/>
        <v>59123.729999999996</v>
      </c>
      <c r="O191" s="123">
        <f t="shared" si="32"/>
        <v>138.13955607476635</v>
      </c>
      <c r="P191" s="5"/>
      <c r="Q191" s="5">
        <f t="shared" si="34"/>
        <v>1</v>
      </c>
      <c r="R191" s="7">
        <f t="shared" si="35"/>
        <v>428</v>
      </c>
      <c r="S191" s="5">
        <f t="shared" si="36"/>
        <v>1</v>
      </c>
      <c r="T191" s="7">
        <f t="shared" si="37"/>
        <v>428</v>
      </c>
    </row>
    <row r="192" spans="1:20">
      <c r="A192" s="23" t="s">
        <v>227</v>
      </c>
      <c r="B192" s="35" t="s">
        <v>224</v>
      </c>
      <c r="C192" s="36">
        <v>43630</v>
      </c>
      <c r="D192" s="6"/>
      <c r="E192" s="113">
        <v>2214256534</v>
      </c>
      <c r="F192" s="116">
        <f t="shared" si="39"/>
        <v>50750.780059592027</v>
      </c>
      <c r="G192" s="117">
        <v>1662531988</v>
      </c>
      <c r="H192" s="117">
        <f t="shared" si="40"/>
        <v>38105.248407059364</v>
      </c>
      <c r="I192" s="7"/>
      <c r="J192" s="10">
        <v>5.2237</v>
      </c>
      <c r="K192" s="117">
        <v>8684568</v>
      </c>
      <c r="L192" s="120">
        <f t="shared" si="38"/>
        <v>199.05037818015128</v>
      </c>
      <c r="M192" s="122">
        <f t="shared" si="30"/>
        <v>16625319.880000001</v>
      </c>
      <c r="N192" s="116">
        <f t="shared" si="31"/>
        <v>7940751.8800000008</v>
      </c>
      <c r="O192" s="123">
        <f t="shared" si="32"/>
        <v>182.00210589044238</v>
      </c>
      <c r="P192" s="5"/>
      <c r="Q192" s="5">
        <f t="shared" si="34"/>
        <v>1</v>
      </c>
      <c r="R192" s="7">
        <f t="shared" si="35"/>
        <v>43630</v>
      </c>
      <c r="S192" s="5">
        <f t="shared" si="36"/>
        <v>1</v>
      </c>
      <c r="T192" s="7">
        <f t="shared" si="37"/>
        <v>43630</v>
      </c>
    </row>
    <row r="193" spans="1:20">
      <c r="A193" s="23" t="s">
        <v>228</v>
      </c>
      <c r="B193" s="35" t="s">
        <v>224</v>
      </c>
      <c r="C193" s="36">
        <v>559</v>
      </c>
      <c r="D193" s="6"/>
      <c r="E193" s="113">
        <v>10775731</v>
      </c>
      <c r="F193" s="116">
        <f t="shared" si="39"/>
        <v>19276.799642218248</v>
      </c>
      <c r="G193" s="117">
        <v>5704438</v>
      </c>
      <c r="H193" s="117">
        <f t="shared" si="40"/>
        <v>10204.719141323792</v>
      </c>
      <c r="I193" s="98" t="s">
        <v>528</v>
      </c>
      <c r="J193" s="10"/>
      <c r="K193" s="117"/>
      <c r="L193" s="120"/>
      <c r="M193" s="122">
        <f t="shared" si="30"/>
        <v>57044.380000000005</v>
      </c>
      <c r="N193" s="116">
        <f t="shared" si="31"/>
        <v>57044.380000000005</v>
      </c>
      <c r="O193" s="123">
        <f t="shared" si="32"/>
        <v>102.04719141323794</v>
      </c>
      <c r="P193" s="5"/>
      <c r="Q193" s="5">
        <f t="shared" si="34"/>
        <v>1</v>
      </c>
      <c r="R193" s="7">
        <f t="shared" si="35"/>
        <v>559</v>
      </c>
      <c r="S193" s="5">
        <f t="shared" si="36"/>
        <v>0</v>
      </c>
      <c r="T193" s="7">
        <f t="shared" si="37"/>
        <v>0</v>
      </c>
    </row>
    <row r="194" spans="1:20">
      <c r="A194" s="23" t="s">
        <v>229</v>
      </c>
      <c r="B194" s="35" t="s">
        <v>230</v>
      </c>
      <c r="C194" s="36">
        <v>584</v>
      </c>
      <c r="D194" s="6"/>
      <c r="E194" s="113">
        <v>750126023</v>
      </c>
      <c r="F194" s="116">
        <f t="shared" si="39"/>
        <v>1284462.368150685</v>
      </c>
      <c r="G194" s="117">
        <v>697729182</v>
      </c>
      <c r="H194" s="117">
        <f t="shared" si="40"/>
        <v>1194741.75</v>
      </c>
      <c r="I194" s="7"/>
      <c r="J194" s="10">
        <v>3.3330000000000002</v>
      </c>
      <c r="K194" s="117">
        <v>2325531</v>
      </c>
      <c r="L194" s="120">
        <f>(K194/C194)</f>
        <v>3982.0736301369861</v>
      </c>
      <c r="M194" s="122">
        <f t="shared" si="30"/>
        <v>6977291.8200000003</v>
      </c>
      <c r="N194" s="116">
        <f t="shared" si="31"/>
        <v>4651760.82</v>
      </c>
      <c r="O194" s="123">
        <f t="shared" si="32"/>
        <v>7965.3438698630143</v>
      </c>
      <c r="P194" s="5"/>
      <c r="Q194" s="5">
        <f t="shared" si="34"/>
        <v>1</v>
      </c>
      <c r="R194" s="7">
        <f t="shared" si="35"/>
        <v>584</v>
      </c>
      <c r="S194" s="5">
        <f t="shared" si="36"/>
        <v>1</v>
      </c>
      <c r="T194" s="7">
        <f t="shared" si="37"/>
        <v>584</v>
      </c>
    </row>
    <row r="195" spans="1:20">
      <c r="A195" s="24" t="s">
        <v>582</v>
      </c>
      <c r="B195" s="35" t="s">
        <v>230</v>
      </c>
      <c r="C195" s="36">
        <v>514</v>
      </c>
      <c r="D195" s="6"/>
      <c r="E195" s="113">
        <v>13912282</v>
      </c>
      <c r="F195" s="116">
        <f t="shared" si="39"/>
        <v>27066.696498054476</v>
      </c>
      <c r="G195" s="117">
        <v>13905766</v>
      </c>
      <c r="H195" s="117">
        <f t="shared" si="40"/>
        <v>27054.019455252917</v>
      </c>
      <c r="I195" s="98" t="s">
        <v>528</v>
      </c>
      <c r="J195" s="10"/>
      <c r="K195" s="117"/>
      <c r="L195" s="120"/>
      <c r="M195" s="122">
        <f t="shared" si="30"/>
        <v>139057.66</v>
      </c>
      <c r="N195" s="116">
        <f t="shared" si="31"/>
        <v>139057.66</v>
      </c>
      <c r="O195" s="123">
        <f t="shared" si="32"/>
        <v>270.54019455252921</v>
      </c>
      <c r="P195" s="5"/>
      <c r="Q195" s="5">
        <f t="shared" si="34"/>
        <v>1</v>
      </c>
      <c r="R195" s="7">
        <f t="shared" si="35"/>
        <v>514</v>
      </c>
      <c r="S195" s="5">
        <f t="shared" si="36"/>
        <v>0</v>
      </c>
      <c r="T195" s="7">
        <f t="shared" si="37"/>
        <v>0</v>
      </c>
    </row>
    <row r="196" spans="1:20">
      <c r="A196" s="23" t="s">
        <v>446</v>
      </c>
      <c r="B196" s="35" t="s">
        <v>230</v>
      </c>
      <c r="C196" s="36">
        <v>1758</v>
      </c>
      <c r="D196" s="6"/>
      <c r="E196" s="113">
        <v>316621297</v>
      </c>
      <c r="F196" s="116">
        <f t="shared" si="39"/>
        <v>180103.1268486917</v>
      </c>
      <c r="G196" s="117">
        <v>294219562</v>
      </c>
      <c r="H196" s="117">
        <f t="shared" si="40"/>
        <v>167360.38794084187</v>
      </c>
      <c r="I196" s="7"/>
      <c r="J196" s="10">
        <v>1.7829999999999999</v>
      </c>
      <c r="K196" s="117">
        <v>524593</v>
      </c>
      <c r="L196" s="120">
        <f t="shared" ref="L196:L236" si="41">(K196/C196)</f>
        <v>298.40329920364053</v>
      </c>
      <c r="M196" s="122">
        <f t="shared" si="30"/>
        <v>2942195.62</v>
      </c>
      <c r="N196" s="116">
        <f t="shared" si="31"/>
        <v>2417602.62</v>
      </c>
      <c r="O196" s="123">
        <f t="shared" si="32"/>
        <v>1375.2005802047781</v>
      </c>
      <c r="P196" s="5"/>
      <c r="Q196" s="5">
        <f t="shared" si="34"/>
        <v>1</v>
      </c>
      <c r="R196" s="7">
        <f t="shared" si="35"/>
        <v>1758</v>
      </c>
      <c r="S196" s="5">
        <f t="shared" si="36"/>
        <v>1</v>
      </c>
      <c r="T196" s="7">
        <f t="shared" si="37"/>
        <v>1758</v>
      </c>
    </row>
    <row r="197" spans="1:20">
      <c r="A197" s="23" t="s">
        <v>231</v>
      </c>
      <c r="B197" s="35" t="s">
        <v>230</v>
      </c>
      <c r="C197" s="36">
        <v>13801</v>
      </c>
      <c r="D197" s="6"/>
      <c r="E197" s="113">
        <v>1030880988</v>
      </c>
      <c r="F197" s="116">
        <f t="shared" si="39"/>
        <v>74696.108108108107</v>
      </c>
      <c r="G197" s="117">
        <v>723483596</v>
      </c>
      <c r="H197" s="117">
        <f t="shared" si="40"/>
        <v>52422.548800811535</v>
      </c>
      <c r="I197" s="9"/>
      <c r="J197" s="10">
        <v>4.0639000000000003</v>
      </c>
      <c r="K197" s="117">
        <v>2940164</v>
      </c>
      <c r="L197" s="120">
        <f t="shared" si="41"/>
        <v>213.0399246431418</v>
      </c>
      <c r="M197" s="122">
        <f t="shared" si="30"/>
        <v>7234835.96</v>
      </c>
      <c r="N197" s="116">
        <f t="shared" si="31"/>
        <v>4294671.96</v>
      </c>
      <c r="O197" s="123">
        <f t="shared" si="32"/>
        <v>311.18556336497358</v>
      </c>
      <c r="P197" s="5"/>
      <c r="Q197" s="5">
        <f t="shared" si="34"/>
        <v>1</v>
      </c>
      <c r="R197" s="7">
        <f t="shared" si="35"/>
        <v>13801</v>
      </c>
      <c r="S197" s="5">
        <f t="shared" si="36"/>
        <v>1</v>
      </c>
      <c r="T197" s="7">
        <f t="shared" si="37"/>
        <v>13801</v>
      </c>
    </row>
    <row r="198" spans="1:20">
      <c r="A198" s="23" t="s">
        <v>232</v>
      </c>
      <c r="B198" s="35" t="s">
        <v>233</v>
      </c>
      <c r="C198" s="36">
        <v>20383</v>
      </c>
      <c r="D198" s="6"/>
      <c r="E198" s="113">
        <v>2998469899</v>
      </c>
      <c r="F198" s="116">
        <f t="shared" si="39"/>
        <v>147106.40725114066</v>
      </c>
      <c r="G198" s="117">
        <v>2773719920</v>
      </c>
      <c r="H198" s="117">
        <f t="shared" si="40"/>
        <v>136080.06279742924</v>
      </c>
      <c r="I198" s="7"/>
      <c r="J198" s="10">
        <v>2.2269999999999999</v>
      </c>
      <c r="K198" s="117">
        <v>6177074</v>
      </c>
      <c r="L198" s="120">
        <f t="shared" si="41"/>
        <v>303.05028700387578</v>
      </c>
      <c r="M198" s="122">
        <f t="shared" ref="M198:M261" si="42">(G198*0.01)</f>
        <v>27737199.199999999</v>
      </c>
      <c r="N198" s="116">
        <f t="shared" ref="N198:N261" si="43">(M198-K198)</f>
        <v>21560125.199999999</v>
      </c>
      <c r="O198" s="123">
        <f t="shared" ref="O198:O261" si="44">(N198/C198)</f>
        <v>1057.7503409704166</v>
      </c>
      <c r="P198" s="5"/>
      <c r="Q198" s="5">
        <f t="shared" si="34"/>
        <v>1</v>
      </c>
      <c r="R198" s="7">
        <f t="shared" si="35"/>
        <v>20383</v>
      </c>
      <c r="S198" s="5">
        <f t="shared" si="36"/>
        <v>1</v>
      </c>
      <c r="T198" s="7">
        <f t="shared" si="37"/>
        <v>20383</v>
      </c>
    </row>
    <row r="199" spans="1:20">
      <c r="A199" s="23" t="s">
        <v>234</v>
      </c>
      <c r="B199" s="35" t="s">
        <v>233</v>
      </c>
      <c r="C199" s="36">
        <v>3131</v>
      </c>
      <c r="D199" s="6"/>
      <c r="E199" s="113">
        <v>904245811</v>
      </c>
      <c r="F199" s="116">
        <f t="shared" si="39"/>
        <v>288804.15554136061</v>
      </c>
      <c r="G199" s="117">
        <v>862632985</v>
      </c>
      <c r="H199" s="117">
        <f t="shared" si="40"/>
        <v>275513.56914723729</v>
      </c>
      <c r="I199" s="9"/>
      <c r="J199" s="10">
        <v>3.33</v>
      </c>
      <c r="K199" s="117">
        <v>2872567</v>
      </c>
      <c r="L199" s="120">
        <f t="shared" si="41"/>
        <v>917.45991695943792</v>
      </c>
      <c r="M199" s="122">
        <f t="shared" si="42"/>
        <v>8626329.8499999996</v>
      </c>
      <c r="N199" s="116">
        <f t="shared" si="43"/>
        <v>5753762.8499999996</v>
      </c>
      <c r="O199" s="123">
        <f t="shared" si="44"/>
        <v>1837.675774512935</v>
      </c>
      <c r="P199" s="5"/>
      <c r="Q199" s="5">
        <f t="shared" ref="Q199:Q262" si="45">IF(E199&gt;0,1,0)</f>
        <v>1</v>
      </c>
      <c r="R199" s="7">
        <f t="shared" ref="R199:R262" si="46">IF(E199&gt;0,C199,0)</f>
        <v>3131</v>
      </c>
      <c r="S199" s="5">
        <f t="shared" ref="S199:S262" si="47">IF(J199&gt;0,1,0)</f>
        <v>1</v>
      </c>
      <c r="T199" s="7">
        <f t="shared" ref="T199:T262" si="48">IF(J199&gt;0,C199,0)</f>
        <v>3131</v>
      </c>
    </row>
    <row r="200" spans="1:20">
      <c r="A200" s="23" t="s">
        <v>235</v>
      </c>
      <c r="B200" s="35" t="s">
        <v>233</v>
      </c>
      <c r="C200" s="36">
        <v>4688</v>
      </c>
      <c r="D200" s="6"/>
      <c r="E200" s="113">
        <v>329289624</v>
      </c>
      <c r="F200" s="116">
        <f t="shared" si="39"/>
        <v>70240.960750853235</v>
      </c>
      <c r="G200" s="117">
        <v>274094664</v>
      </c>
      <c r="H200" s="117">
        <f t="shared" si="40"/>
        <v>58467.291808873721</v>
      </c>
      <c r="I200" s="7"/>
      <c r="J200" s="11">
        <v>4.8627000000000002</v>
      </c>
      <c r="K200" s="117">
        <v>1332840</v>
      </c>
      <c r="L200" s="120">
        <f t="shared" si="41"/>
        <v>284.30887372013655</v>
      </c>
      <c r="M200" s="122">
        <f t="shared" si="42"/>
        <v>2740946.64</v>
      </c>
      <c r="N200" s="116">
        <f t="shared" si="43"/>
        <v>1408106.6400000001</v>
      </c>
      <c r="O200" s="123">
        <f t="shared" si="44"/>
        <v>300.36404436860073</v>
      </c>
      <c r="P200" s="5"/>
      <c r="Q200" s="5">
        <f t="shared" si="45"/>
        <v>1</v>
      </c>
      <c r="R200" s="7">
        <f t="shared" si="46"/>
        <v>4688</v>
      </c>
      <c r="S200" s="5">
        <f t="shared" si="47"/>
        <v>1</v>
      </c>
      <c r="T200" s="7">
        <f t="shared" si="48"/>
        <v>4688</v>
      </c>
    </row>
    <row r="201" spans="1:20">
      <c r="A201" s="23" t="s">
        <v>236</v>
      </c>
      <c r="B201" s="35" t="s">
        <v>233</v>
      </c>
      <c r="C201" s="36">
        <v>3032</v>
      </c>
      <c r="D201" s="6"/>
      <c r="E201" s="113">
        <v>101152873</v>
      </c>
      <c r="F201" s="116">
        <f t="shared" si="39"/>
        <v>33361.765501319263</v>
      </c>
      <c r="G201" s="117">
        <v>77046010</v>
      </c>
      <c r="H201" s="117">
        <f t="shared" si="40"/>
        <v>25410.953166226915</v>
      </c>
      <c r="I201" s="7"/>
      <c r="J201" s="10">
        <v>8.76</v>
      </c>
      <c r="K201" s="117">
        <v>674923</v>
      </c>
      <c r="L201" s="120">
        <f t="shared" si="41"/>
        <v>222.59993403693932</v>
      </c>
      <c r="M201" s="122">
        <f t="shared" si="42"/>
        <v>770460.1</v>
      </c>
      <c r="N201" s="116">
        <f t="shared" si="43"/>
        <v>95537.099999999977</v>
      </c>
      <c r="O201" s="123">
        <f t="shared" si="44"/>
        <v>31.509597625329807</v>
      </c>
      <c r="P201" s="5"/>
      <c r="Q201" s="5">
        <f t="shared" si="45"/>
        <v>1</v>
      </c>
      <c r="R201" s="7">
        <f t="shared" si="46"/>
        <v>3032</v>
      </c>
      <c r="S201" s="5">
        <f t="shared" si="47"/>
        <v>1</v>
      </c>
      <c r="T201" s="7">
        <f t="shared" si="48"/>
        <v>3032</v>
      </c>
    </row>
    <row r="202" spans="1:20">
      <c r="A202" s="24" t="s">
        <v>237</v>
      </c>
      <c r="B202" s="37" t="s">
        <v>233</v>
      </c>
      <c r="C202" s="36">
        <v>42238</v>
      </c>
      <c r="D202" s="6"/>
      <c r="E202" s="113">
        <v>5996246505</v>
      </c>
      <c r="F202" s="116">
        <f t="shared" si="39"/>
        <v>141963.31514276244</v>
      </c>
      <c r="G202" s="117">
        <v>5173229434</v>
      </c>
      <c r="H202" s="117">
        <f t="shared" si="40"/>
        <v>122478.08688858374</v>
      </c>
      <c r="I202" s="7"/>
      <c r="J202" s="10">
        <v>5.5090000000000003</v>
      </c>
      <c r="K202" s="117">
        <v>28499320</v>
      </c>
      <c r="L202" s="120">
        <f t="shared" si="41"/>
        <v>674.73175813248736</v>
      </c>
      <c r="M202" s="122">
        <f t="shared" si="42"/>
        <v>51732294.340000004</v>
      </c>
      <c r="N202" s="116">
        <f t="shared" si="43"/>
        <v>23232974.340000004</v>
      </c>
      <c r="O202" s="123">
        <f t="shared" si="44"/>
        <v>550.04911075335019</v>
      </c>
      <c r="P202" s="5"/>
      <c r="Q202" s="5">
        <f t="shared" si="45"/>
        <v>1</v>
      </c>
      <c r="R202" s="7">
        <f t="shared" si="46"/>
        <v>42238</v>
      </c>
      <c r="S202" s="5">
        <f t="shared" si="47"/>
        <v>1</v>
      </c>
      <c r="T202" s="7">
        <f t="shared" si="48"/>
        <v>42238</v>
      </c>
    </row>
    <row r="203" spans="1:20">
      <c r="A203" s="23" t="s">
        <v>238</v>
      </c>
      <c r="B203" s="37" t="s">
        <v>233</v>
      </c>
      <c r="C203" s="36">
        <v>2510</v>
      </c>
      <c r="D203" s="6"/>
      <c r="E203" s="113">
        <v>64514476</v>
      </c>
      <c r="F203" s="116">
        <f t="shared" si="39"/>
        <v>25702.978486055777</v>
      </c>
      <c r="G203" s="117">
        <v>41601751</v>
      </c>
      <c r="H203" s="117">
        <f t="shared" si="40"/>
        <v>16574.402788844622</v>
      </c>
      <c r="I203" s="7"/>
      <c r="J203" s="11">
        <v>7.7</v>
      </c>
      <c r="K203" s="117">
        <v>320333</v>
      </c>
      <c r="L203" s="120">
        <f t="shared" si="41"/>
        <v>127.62270916334661</v>
      </c>
      <c r="M203" s="122">
        <f t="shared" si="42"/>
        <v>416017.51</v>
      </c>
      <c r="N203" s="116">
        <f t="shared" si="43"/>
        <v>95684.510000000009</v>
      </c>
      <c r="O203" s="123">
        <f t="shared" si="44"/>
        <v>38.121318725099606</v>
      </c>
      <c r="P203" s="5"/>
      <c r="Q203" s="5">
        <f t="shared" si="45"/>
        <v>1</v>
      </c>
      <c r="R203" s="7">
        <f t="shared" si="46"/>
        <v>2510</v>
      </c>
      <c r="S203" s="5">
        <f t="shared" si="47"/>
        <v>1</v>
      </c>
      <c r="T203" s="7">
        <f t="shared" si="48"/>
        <v>2510</v>
      </c>
    </row>
    <row r="204" spans="1:20">
      <c r="A204" s="23" t="s">
        <v>239</v>
      </c>
      <c r="B204" s="37" t="s">
        <v>233</v>
      </c>
      <c r="C204" s="36">
        <v>5978</v>
      </c>
      <c r="D204" s="6"/>
      <c r="E204" s="113">
        <v>204390970</v>
      </c>
      <c r="F204" s="116">
        <f t="shared" si="39"/>
        <v>34190.526932084307</v>
      </c>
      <c r="G204" s="117">
        <v>152888943</v>
      </c>
      <c r="H204" s="117">
        <f t="shared" si="40"/>
        <v>25575.266477082638</v>
      </c>
      <c r="I204" s="7"/>
      <c r="J204" s="10">
        <v>7.133</v>
      </c>
      <c r="K204" s="117">
        <v>1090556</v>
      </c>
      <c r="L204" s="120">
        <f t="shared" si="41"/>
        <v>182.4282368685179</v>
      </c>
      <c r="M204" s="122">
        <f t="shared" si="42"/>
        <v>1528889.43</v>
      </c>
      <c r="N204" s="116">
        <f t="shared" si="43"/>
        <v>438333.42999999993</v>
      </c>
      <c r="O204" s="123">
        <f t="shared" si="44"/>
        <v>73.324427902308457</v>
      </c>
      <c r="P204" s="5"/>
      <c r="Q204" s="5">
        <f t="shared" si="45"/>
        <v>1</v>
      </c>
      <c r="R204" s="7">
        <f t="shared" si="46"/>
        <v>5978</v>
      </c>
      <c r="S204" s="5">
        <f t="shared" si="47"/>
        <v>1</v>
      </c>
      <c r="T204" s="7">
        <f t="shared" si="48"/>
        <v>5978</v>
      </c>
    </row>
    <row r="205" spans="1:20">
      <c r="A205" s="23" t="s">
        <v>240</v>
      </c>
      <c r="B205" s="37" t="s">
        <v>233</v>
      </c>
      <c r="C205" s="36">
        <v>840</v>
      </c>
      <c r="D205" s="6"/>
      <c r="E205" s="113">
        <v>244352794</v>
      </c>
      <c r="F205" s="116">
        <f t="shared" si="39"/>
        <v>290896.18333333335</v>
      </c>
      <c r="G205" s="117">
        <v>227032639</v>
      </c>
      <c r="H205" s="117">
        <f t="shared" si="40"/>
        <v>270276.95119047619</v>
      </c>
      <c r="I205" s="7"/>
      <c r="J205" s="10">
        <v>8.7377000000000002</v>
      </c>
      <c r="K205" s="117">
        <v>1983743</v>
      </c>
      <c r="L205" s="120">
        <f t="shared" si="41"/>
        <v>2361.5988095238095</v>
      </c>
      <c r="M205" s="122">
        <f t="shared" si="42"/>
        <v>2270326.39</v>
      </c>
      <c r="N205" s="116">
        <f t="shared" si="43"/>
        <v>286583.39000000013</v>
      </c>
      <c r="O205" s="123">
        <f t="shared" si="44"/>
        <v>341.17070238095255</v>
      </c>
      <c r="P205" s="5"/>
      <c r="Q205" s="5">
        <f t="shared" si="45"/>
        <v>1</v>
      </c>
      <c r="R205" s="7">
        <f t="shared" si="46"/>
        <v>840</v>
      </c>
      <c r="S205" s="5">
        <f t="shared" si="47"/>
        <v>1</v>
      </c>
      <c r="T205" s="7">
        <f t="shared" si="48"/>
        <v>840</v>
      </c>
    </row>
    <row r="206" spans="1:20">
      <c r="A206" s="23" t="s">
        <v>241</v>
      </c>
      <c r="B206" s="37" t="s">
        <v>233</v>
      </c>
      <c r="C206" s="36">
        <v>207053</v>
      </c>
      <c r="D206" s="6"/>
      <c r="E206" s="113">
        <v>6290806762</v>
      </c>
      <c r="F206" s="116">
        <f t="shared" si="39"/>
        <v>30382.591713232843</v>
      </c>
      <c r="G206" s="117">
        <v>4834988877</v>
      </c>
      <c r="H206" s="117">
        <f t="shared" si="40"/>
        <v>23351.45531337387</v>
      </c>
      <c r="I206" s="7"/>
      <c r="J206" s="10">
        <v>7.4809999999999999</v>
      </c>
      <c r="K206" s="117">
        <v>36170551</v>
      </c>
      <c r="L206" s="120">
        <f t="shared" si="41"/>
        <v>174.69223338951863</v>
      </c>
      <c r="M206" s="122">
        <f t="shared" si="42"/>
        <v>48349888.770000003</v>
      </c>
      <c r="N206" s="116">
        <f t="shared" si="43"/>
        <v>12179337.770000003</v>
      </c>
      <c r="O206" s="123">
        <f t="shared" si="44"/>
        <v>58.822319744220096</v>
      </c>
      <c r="P206" s="5"/>
      <c r="Q206" s="5">
        <f t="shared" si="45"/>
        <v>1</v>
      </c>
      <c r="R206" s="7">
        <f t="shared" si="46"/>
        <v>207053</v>
      </c>
      <c r="S206" s="5">
        <f t="shared" si="47"/>
        <v>1</v>
      </c>
      <c r="T206" s="7">
        <f t="shared" si="48"/>
        <v>207053</v>
      </c>
    </row>
    <row r="207" spans="1:20">
      <c r="A207" s="23" t="s">
        <v>242</v>
      </c>
      <c r="B207" s="37" t="s">
        <v>233</v>
      </c>
      <c r="C207" s="36">
        <v>16630</v>
      </c>
      <c r="D207" s="6"/>
      <c r="E207" s="113">
        <v>500476648</v>
      </c>
      <c r="F207" s="116">
        <f t="shared" si="39"/>
        <v>30094.807456404091</v>
      </c>
      <c r="G207" s="117">
        <v>397398741</v>
      </c>
      <c r="H207" s="117">
        <f t="shared" si="40"/>
        <v>23896.496752856285</v>
      </c>
      <c r="I207" s="7"/>
      <c r="J207" s="10">
        <v>7.665</v>
      </c>
      <c r="K207" s="117">
        <v>3046061</v>
      </c>
      <c r="L207" s="120">
        <f t="shared" si="41"/>
        <v>183.16662657847263</v>
      </c>
      <c r="M207" s="122">
        <f t="shared" si="42"/>
        <v>3973987.41</v>
      </c>
      <c r="N207" s="116">
        <f t="shared" si="43"/>
        <v>927926.41000000015</v>
      </c>
      <c r="O207" s="123">
        <f t="shared" si="44"/>
        <v>55.798340950090207</v>
      </c>
      <c r="P207" s="5"/>
      <c r="Q207" s="5">
        <f t="shared" si="45"/>
        <v>1</v>
      </c>
      <c r="R207" s="7">
        <f t="shared" si="46"/>
        <v>16630</v>
      </c>
      <c r="S207" s="5">
        <f t="shared" si="47"/>
        <v>1</v>
      </c>
      <c r="T207" s="7">
        <f t="shared" si="48"/>
        <v>16630</v>
      </c>
    </row>
    <row r="208" spans="1:20">
      <c r="A208" s="23" t="s">
        <v>243</v>
      </c>
      <c r="B208" s="37" t="s">
        <v>233</v>
      </c>
      <c r="C208" s="36">
        <v>25865</v>
      </c>
      <c r="D208" s="6"/>
      <c r="E208" s="113">
        <v>876393358</v>
      </c>
      <c r="F208" s="116">
        <f t="shared" si="39"/>
        <v>33883.369727430894</v>
      </c>
      <c r="G208" s="117">
        <v>579107906</v>
      </c>
      <c r="H208" s="117">
        <f t="shared" si="40"/>
        <v>22389.634873381015</v>
      </c>
      <c r="I208" s="7"/>
      <c r="J208" s="10">
        <v>8.6815999999999995</v>
      </c>
      <c r="K208" s="117">
        <v>5027583</v>
      </c>
      <c r="L208" s="120">
        <f t="shared" si="41"/>
        <v>194.37784651072877</v>
      </c>
      <c r="M208" s="122">
        <f t="shared" si="42"/>
        <v>5791079.0600000005</v>
      </c>
      <c r="N208" s="116">
        <f t="shared" si="43"/>
        <v>763496.06000000052</v>
      </c>
      <c r="O208" s="123">
        <f t="shared" si="44"/>
        <v>29.518502223081406</v>
      </c>
      <c r="P208" s="5"/>
      <c r="Q208" s="5">
        <f t="shared" si="45"/>
        <v>1</v>
      </c>
      <c r="R208" s="7">
        <f t="shared" si="46"/>
        <v>25865</v>
      </c>
      <c r="S208" s="5">
        <f t="shared" si="47"/>
        <v>1</v>
      </c>
      <c r="T208" s="7">
        <f t="shared" si="48"/>
        <v>25865</v>
      </c>
    </row>
    <row r="209" spans="1:20">
      <c r="A209" s="23" t="s">
        <v>244</v>
      </c>
      <c r="B209" s="37" t="s">
        <v>233</v>
      </c>
      <c r="C209" s="36">
        <v>52</v>
      </c>
      <c r="D209" s="6"/>
      <c r="E209" s="113">
        <v>112923679</v>
      </c>
      <c r="F209" s="116">
        <f t="shared" si="39"/>
        <v>2171609.2115384615</v>
      </c>
      <c r="G209" s="117">
        <v>106594271</v>
      </c>
      <c r="H209" s="117">
        <f t="shared" si="40"/>
        <v>2049889.826923077</v>
      </c>
      <c r="I209" s="7"/>
      <c r="J209" s="10">
        <v>9.9960000000000004</v>
      </c>
      <c r="K209" s="117">
        <v>1065516</v>
      </c>
      <c r="L209" s="120">
        <f t="shared" si="41"/>
        <v>20490.692307692309</v>
      </c>
      <c r="M209" s="122">
        <f t="shared" si="42"/>
        <v>1065942.71</v>
      </c>
      <c r="N209" s="116">
        <f t="shared" si="43"/>
        <v>426.70999999996275</v>
      </c>
      <c r="O209" s="123">
        <f t="shared" si="44"/>
        <v>8.2059615384608229</v>
      </c>
      <c r="P209" s="5"/>
      <c r="Q209" s="5">
        <f t="shared" si="45"/>
        <v>1</v>
      </c>
      <c r="R209" s="7">
        <f t="shared" si="46"/>
        <v>52</v>
      </c>
      <c r="S209" s="5">
        <f t="shared" si="47"/>
        <v>1</v>
      </c>
      <c r="T209" s="7">
        <f t="shared" si="48"/>
        <v>52</v>
      </c>
    </row>
    <row r="210" spans="1:20">
      <c r="A210" s="23" t="s">
        <v>245</v>
      </c>
      <c r="B210" s="37" t="s">
        <v>233</v>
      </c>
      <c r="C210" s="36">
        <v>13</v>
      </c>
      <c r="D210" s="6"/>
      <c r="E210" s="113">
        <v>9327556</v>
      </c>
      <c r="F210" s="116">
        <f t="shared" si="39"/>
        <v>717504.30769230775</v>
      </c>
      <c r="G210" s="117">
        <v>342548</v>
      </c>
      <c r="H210" s="117">
        <f t="shared" si="40"/>
        <v>26349.846153846152</v>
      </c>
      <c r="I210" s="7"/>
      <c r="J210" s="10">
        <v>9.16</v>
      </c>
      <c r="K210" s="117">
        <v>3137</v>
      </c>
      <c r="L210" s="120">
        <f t="shared" si="41"/>
        <v>241.30769230769232</v>
      </c>
      <c r="M210" s="122">
        <f t="shared" si="42"/>
        <v>3425.48</v>
      </c>
      <c r="N210" s="116">
        <f t="shared" si="43"/>
        <v>288.48</v>
      </c>
      <c r="O210" s="123">
        <f t="shared" si="44"/>
        <v>22.190769230769231</v>
      </c>
      <c r="P210" s="5"/>
      <c r="Q210" s="5">
        <f t="shared" si="45"/>
        <v>1</v>
      </c>
      <c r="R210" s="7">
        <f t="shared" si="46"/>
        <v>13</v>
      </c>
      <c r="S210" s="5">
        <f t="shared" si="47"/>
        <v>1</v>
      </c>
      <c r="T210" s="7">
        <f t="shared" si="48"/>
        <v>13</v>
      </c>
    </row>
    <row r="211" spans="1:20">
      <c r="A211" s="23" t="s">
        <v>246</v>
      </c>
      <c r="B211" s="37" t="s">
        <v>233</v>
      </c>
      <c r="C211" s="36">
        <v>8937</v>
      </c>
      <c r="D211" s="6"/>
      <c r="E211" s="113">
        <v>2100078798</v>
      </c>
      <c r="F211" s="116">
        <f t="shared" si="39"/>
        <v>234986.9976502182</v>
      </c>
      <c r="G211" s="117">
        <v>2003661361</v>
      </c>
      <c r="H211" s="117">
        <f t="shared" si="40"/>
        <v>224198.42911491552</v>
      </c>
      <c r="I211" s="7"/>
      <c r="J211" s="10">
        <v>3.6059999999999999</v>
      </c>
      <c r="K211" s="117">
        <v>7225202</v>
      </c>
      <c r="L211" s="120">
        <f t="shared" si="41"/>
        <v>808.45943829025396</v>
      </c>
      <c r="M211" s="122">
        <f t="shared" si="42"/>
        <v>20036613.609999999</v>
      </c>
      <c r="N211" s="116">
        <f t="shared" si="43"/>
        <v>12811411.609999999</v>
      </c>
      <c r="O211" s="123">
        <f t="shared" si="44"/>
        <v>1433.5248528589011</v>
      </c>
      <c r="P211" s="5"/>
      <c r="Q211" s="5">
        <f t="shared" si="45"/>
        <v>1</v>
      </c>
      <c r="R211" s="7">
        <f t="shared" si="46"/>
        <v>8937</v>
      </c>
      <c r="S211" s="5">
        <f t="shared" si="47"/>
        <v>1</v>
      </c>
      <c r="T211" s="7">
        <f t="shared" si="48"/>
        <v>8937</v>
      </c>
    </row>
    <row r="212" spans="1:20">
      <c r="A212" s="23" t="s">
        <v>247</v>
      </c>
      <c r="B212" s="37" t="s">
        <v>233</v>
      </c>
      <c r="C212" s="36">
        <v>877</v>
      </c>
      <c r="D212" s="6"/>
      <c r="E212" s="113">
        <v>609002068</v>
      </c>
      <c r="F212" s="116">
        <f t="shared" si="39"/>
        <v>694415.12884834665</v>
      </c>
      <c r="G212" s="117">
        <v>602263805</v>
      </c>
      <c r="H212" s="117">
        <f t="shared" si="40"/>
        <v>686731.81870011403</v>
      </c>
      <c r="I212" s="7"/>
      <c r="J212" s="10">
        <v>7.923</v>
      </c>
      <c r="K212" s="117">
        <v>4771736</v>
      </c>
      <c r="L212" s="120">
        <f t="shared" si="41"/>
        <v>5440.9760547320411</v>
      </c>
      <c r="M212" s="122">
        <f t="shared" si="42"/>
        <v>6022638.0499999998</v>
      </c>
      <c r="N212" s="116">
        <f t="shared" si="43"/>
        <v>1250902.0499999998</v>
      </c>
      <c r="O212" s="123">
        <f t="shared" si="44"/>
        <v>1426.342132269099</v>
      </c>
      <c r="P212" s="5"/>
      <c r="Q212" s="5">
        <f t="shared" si="45"/>
        <v>1</v>
      </c>
      <c r="R212" s="7">
        <f t="shared" si="46"/>
        <v>877</v>
      </c>
      <c r="S212" s="5">
        <f t="shared" si="47"/>
        <v>1</v>
      </c>
      <c r="T212" s="7">
        <f t="shared" si="48"/>
        <v>877</v>
      </c>
    </row>
    <row r="213" spans="1:20">
      <c r="A213" s="23" t="s">
        <v>248</v>
      </c>
      <c r="B213" s="37" t="s">
        <v>233</v>
      </c>
      <c r="C213" s="36">
        <v>364719</v>
      </c>
      <c r="D213" s="6"/>
      <c r="E213" s="113">
        <v>17298326538</v>
      </c>
      <c r="F213" s="116">
        <f t="shared" si="39"/>
        <v>47429.189425283577</v>
      </c>
      <c r="G213" s="117">
        <v>11892158592</v>
      </c>
      <c r="H213" s="117">
        <f t="shared" si="40"/>
        <v>32606.358846125375</v>
      </c>
      <c r="I213" s="7"/>
      <c r="J213" s="10">
        <v>9.5995000000000008</v>
      </c>
      <c r="K213" s="117">
        <v>114158776</v>
      </c>
      <c r="L213" s="120">
        <f t="shared" si="41"/>
        <v>313.00474063594163</v>
      </c>
      <c r="M213" s="122">
        <f t="shared" si="42"/>
        <v>118921585.92</v>
      </c>
      <c r="N213" s="116">
        <f t="shared" si="43"/>
        <v>4762809.9200000018</v>
      </c>
      <c r="O213" s="123">
        <f t="shared" si="44"/>
        <v>13.058847825312094</v>
      </c>
      <c r="P213" s="5"/>
      <c r="Q213" s="5">
        <f t="shared" si="45"/>
        <v>1</v>
      </c>
      <c r="R213" s="7">
        <f t="shared" si="46"/>
        <v>364719</v>
      </c>
      <c r="S213" s="5">
        <f t="shared" si="47"/>
        <v>1</v>
      </c>
      <c r="T213" s="7">
        <f t="shared" si="48"/>
        <v>364719</v>
      </c>
    </row>
    <row r="214" spans="1:20">
      <c r="A214" s="23" t="s">
        <v>249</v>
      </c>
      <c r="B214" s="37" t="s">
        <v>233</v>
      </c>
      <c r="C214" s="36">
        <v>92927</v>
      </c>
      <c r="D214" s="6"/>
      <c r="E214" s="113">
        <v>7728227892</v>
      </c>
      <c r="F214" s="116">
        <f t="shared" si="39"/>
        <v>83164.504309834607</v>
      </c>
      <c r="G214" s="117">
        <v>6494134468</v>
      </c>
      <c r="H214" s="117">
        <f t="shared" si="40"/>
        <v>69884.258267242025</v>
      </c>
      <c r="I214" s="7"/>
      <c r="J214" s="10">
        <v>7.4989999999999997</v>
      </c>
      <c r="K214" s="117">
        <v>48699514</v>
      </c>
      <c r="L214" s="120">
        <f t="shared" si="41"/>
        <v>524.06204870489739</v>
      </c>
      <c r="M214" s="122">
        <f t="shared" si="42"/>
        <v>64941344.68</v>
      </c>
      <c r="N214" s="116">
        <f t="shared" si="43"/>
        <v>16241830.68</v>
      </c>
      <c r="O214" s="123">
        <f t="shared" si="44"/>
        <v>174.7805339675229</v>
      </c>
      <c r="P214" s="5"/>
      <c r="Q214" s="5">
        <f t="shared" si="45"/>
        <v>1</v>
      </c>
      <c r="R214" s="7">
        <f t="shared" si="46"/>
        <v>92927</v>
      </c>
      <c r="S214" s="5">
        <f t="shared" si="47"/>
        <v>1</v>
      </c>
      <c r="T214" s="7">
        <f t="shared" si="48"/>
        <v>92927</v>
      </c>
    </row>
    <row r="215" spans="1:20">
      <c r="A215" s="23" t="s">
        <v>250</v>
      </c>
      <c r="B215" s="37" t="s">
        <v>233</v>
      </c>
      <c r="C215" s="36">
        <v>10214</v>
      </c>
      <c r="D215" s="6"/>
      <c r="E215" s="113">
        <v>521971816</v>
      </c>
      <c r="F215" s="116">
        <f t="shared" si="39"/>
        <v>51103.565302525945</v>
      </c>
      <c r="G215" s="117">
        <v>357797574</v>
      </c>
      <c r="H215" s="117">
        <f t="shared" si="40"/>
        <v>35030.112982181323</v>
      </c>
      <c r="I215" s="7"/>
      <c r="J215" s="10">
        <v>8.74</v>
      </c>
      <c r="K215" s="117">
        <v>3127150</v>
      </c>
      <c r="L215" s="120">
        <f t="shared" si="41"/>
        <v>306.16310945760722</v>
      </c>
      <c r="M215" s="122">
        <f t="shared" si="42"/>
        <v>3577975.74</v>
      </c>
      <c r="N215" s="116">
        <f t="shared" si="43"/>
        <v>450825.74000000022</v>
      </c>
      <c r="O215" s="123">
        <f t="shared" si="44"/>
        <v>44.138020364206014</v>
      </c>
      <c r="P215" s="5"/>
      <c r="Q215" s="5">
        <f t="shared" si="45"/>
        <v>1</v>
      </c>
      <c r="R215" s="7">
        <f t="shared" si="46"/>
        <v>10214</v>
      </c>
      <c r="S215" s="5">
        <f t="shared" si="47"/>
        <v>1</v>
      </c>
      <c r="T215" s="7">
        <f t="shared" si="48"/>
        <v>10214</v>
      </c>
    </row>
    <row r="216" spans="1:20">
      <c r="A216" s="23" t="s">
        <v>251</v>
      </c>
      <c r="B216" s="37" t="s">
        <v>233</v>
      </c>
      <c r="C216" s="36">
        <v>13320</v>
      </c>
      <c r="D216" s="6"/>
      <c r="E216" s="113">
        <v>675318686</v>
      </c>
      <c r="F216" s="116">
        <f t="shared" si="39"/>
        <v>50699.601051051053</v>
      </c>
      <c r="G216" s="117">
        <v>538978623</v>
      </c>
      <c r="H216" s="117">
        <f t="shared" si="40"/>
        <v>40463.860585585586</v>
      </c>
      <c r="I216" s="7"/>
      <c r="J216" s="10">
        <v>6.95</v>
      </c>
      <c r="K216" s="117">
        <v>3745901</v>
      </c>
      <c r="L216" s="120">
        <f t="shared" si="41"/>
        <v>281.22379879879878</v>
      </c>
      <c r="M216" s="122">
        <f t="shared" si="42"/>
        <v>5389786.2300000004</v>
      </c>
      <c r="N216" s="116">
        <f t="shared" si="43"/>
        <v>1643885.2300000004</v>
      </c>
      <c r="O216" s="123">
        <f t="shared" si="44"/>
        <v>123.41480705705709</v>
      </c>
      <c r="P216" s="5"/>
      <c r="Q216" s="5">
        <f t="shared" si="45"/>
        <v>1</v>
      </c>
      <c r="R216" s="7">
        <f t="shared" si="46"/>
        <v>13320</v>
      </c>
      <c r="S216" s="5">
        <f t="shared" si="47"/>
        <v>1</v>
      </c>
      <c r="T216" s="7">
        <f t="shared" si="48"/>
        <v>13320</v>
      </c>
    </row>
    <row r="217" spans="1:20">
      <c r="A217" s="23" t="s">
        <v>252</v>
      </c>
      <c r="B217" s="37" t="s">
        <v>233</v>
      </c>
      <c r="C217" s="36">
        <v>5934</v>
      </c>
      <c r="D217" s="6"/>
      <c r="E217" s="113">
        <v>247265637</v>
      </c>
      <c r="F217" s="116">
        <f t="shared" si="39"/>
        <v>41669.30182002022</v>
      </c>
      <c r="G217" s="117">
        <v>222336868</v>
      </c>
      <c r="H217" s="117">
        <f t="shared" si="40"/>
        <v>37468.295921806537</v>
      </c>
      <c r="I217" s="7"/>
      <c r="J217" s="10">
        <v>4.8869999999999996</v>
      </c>
      <c r="K217" s="117">
        <v>1086560</v>
      </c>
      <c r="L217" s="120">
        <f t="shared" si="41"/>
        <v>183.10751600943715</v>
      </c>
      <c r="M217" s="122">
        <f t="shared" si="42"/>
        <v>2223368.6800000002</v>
      </c>
      <c r="N217" s="116">
        <f t="shared" si="43"/>
        <v>1136808.6800000002</v>
      </c>
      <c r="O217" s="123">
        <f t="shared" si="44"/>
        <v>191.57544320862829</v>
      </c>
      <c r="P217" s="5"/>
      <c r="Q217" s="5">
        <f t="shared" si="45"/>
        <v>1</v>
      </c>
      <c r="R217" s="7">
        <f t="shared" si="46"/>
        <v>5934</v>
      </c>
      <c r="S217" s="5">
        <f t="shared" si="47"/>
        <v>1</v>
      </c>
      <c r="T217" s="7">
        <f t="shared" si="48"/>
        <v>5934</v>
      </c>
    </row>
    <row r="218" spans="1:20">
      <c r="A218" s="23" t="s">
        <v>253</v>
      </c>
      <c r="B218" s="37" t="s">
        <v>233</v>
      </c>
      <c r="C218" s="36">
        <v>50393</v>
      </c>
      <c r="D218" s="6"/>
      <c r="E218" s="113">
        <v>1693508817</v>
      </c>
      <c r="F218" s="116">
        <f t="shared" si="39"/>
        <v>33606.032921239064</v>
      </c>
      <c r="G218" s="117">
        <v>1215280936</v>
      </c>
      <c r="H218" s="117">
        <f t="shared" si="40"/>
        <v>24116.066437798901</v>
      </c>
      <c r="I218" s="7"/>
      <c r="J218" s="10">
        <v>7.931</v>
      </c>
      <c r="K218" s="117">
        <v>9638393</v>
      </c>
      <c r="L218" s="120">
        <f t="shared" si="41"/>
        <v>191.26452086599329</v>
      </c>
      <c r="M218" s="122">
        <f t="shared" si="42"/>
        <v>12152809.359999999</v>
      </c>
      <c r="N218" s="116">
        <f t="shared" si="43"/>
        <v>2514416.3599999994</v>
      </c>
      <c r="O218" s="123">
        <f t="shared" si="44"/>
        <v>49.896143511995703</v>
      </c>
      <c r="P218" s="5"/>
      <c r="Q218" s="5">
        <f t="shared" si="45"/>
        <v>1</v>
      </c>
      <c r="R218" s="7">
        <f t="shared" si="46"/>
        <v>50393</v>
      </c>
      <c r="S218" s="5">
        <f t="shared" si="47"/>
        <v>1</v>
      </c>
      <c r="T218" s="7">
        <f t="shared" si="48"/>
        <v>50393</v>
      </c>
    </row>
    <row r="219" spans="1:20">
      <c r="A219" s="23" t="s">
        <v>254</v>
      </c>
      <c r="B219" s="37" t="s">
        <v>233</v>
      </c>
      <c r="C219" s="36">
        <v>37151</v>
      </c>
      <c r="D219" s="6"/>
      <c r="E219" s="113">
        <v>1427869995</v>
      </c>
      <c r="F219" s="116">
        <f t="shared" si="39"/>
        <v>38434.227746224868</v>
      </c>
      <c r="G219" s="117">
        <v>1072706865</v>
      </c>
      <c r="H219" s="117">
        <f t="shared" si="40"/>
        <v>28874.239320610483</v>
      </c>
      <c r="I219" s="7"/>
      <c r="J219" s="10">
        <v>7.6</v>
      </c>
      <c r="K219" s="117">
        <v>8152572</v>
      </c>
      <c r="L219" s="120">
        <f t="shared" si="41"/>
        <v>219.44421415305106</v>
      </c>
      <c r="M219" s="122">
        <f t="shared" si="42"/>
        <v>10727068.65</v>
      </c>
      <c r="N219" s="116">
        <f t="shared" si="43"/>
        <v>2574496.6500000004</v>
      </c>
      <c r="O219" s="123">
        <f t="shared" si="44"/>
        <v>69.298179053053758</v>
      </c>
      <c r="P219" s="5"/>
      <c r="Q219" s="5">
        <f t="shared" si="45"/>
        <v>1</v>
      </c>
      <c r="R219" s="7">
        <f t="shared" si="46"/>
        <v>37151</v>
      </c>
      <c r="S219" s="5">
        <f t="shared" si="47"/>
        <v>1</v>
      </c>
      <c r="T219" s="7">
        <f t="shared" si="48"/>
        <v>37151</v>
      </c>
    </row>
    <row r="220" spans="1:20">
      <c r="A220" s="23" t="s">
        <v>255</v>
      </c>
      <c r="B220" s="37" t="s">
        <v>233</v>
      </c>
      <c r="C220" s="36">
        <v>15771</v>
      </c>
      <c r="D220" s="6"/>
      <c r="E220" s="113">
        <v>487927674</v>
      </c>
      <c r="F220" s="116">
        <f t="shared" ref="F220:F283" si="49">(E220/C220)</f>
        <v>30938.283812060112</v>
      </c>
      <c r="G220" s="117">
        <v>384619887</v>
      </c>
      <c r="H220" s="117">
        <f t="shared" ref="H220:H283" si="50">(G220/C220)</f>
        <v>24387.793228076851</v>
      </c>
      <c r="I220" s="7"/>
      <c r="J220" s="10">
        <v>9.8000000000000007</v>
      </c>
      <c r="K220" s="117">
        <v>3769274</v>
      </c>
      <c r="L220" s="120">
        <f t="shared" si="41"/>
        <v>239.00031703760067</v>
      </c>
      <c r="M220" s="122">
        <f t="shared" si="42"/>
        <v>3846198.87</v>
      </c>
      <c r="N220" s="116">
        <f t="shared" si="43"/>
        <v>76924.870000000112</v>
      </c>
      <c r="O220" s="123">
        <f t="shared" si="44"/>
        <v>4.8776152431678472</v>
      </c>
      <c r="P220" s="5"/>
      <c r="Q220" s="5">
        <f t="shared" si="45"/>
        <v>1</v>
      </c>
      <c r="R220" s="7">
        <f t="shared" si="46"/>
        <v>15771</v>
      </c>
      <c r="S220" s="5">
        <f t="shared" si="47"/>
        <v>1</v>
      </c>
      <c r="T220" s="7">
        <f t="shared" si="48"/>
        <v>15771</v>
      </c>
    </row>
    <row r="221" spans="1:20">
      <c r="A221" s="23" t="s">
        <v>256</v>
      </c>
      <c r="B221" s="37" t="s">
        <v>233</v>
      </c>
      <c r="C221" s="36">
        <v>18431</v>
      </c>
      <c r="D221" s="6"/>
      <c r="E221" s="113">
        <v>1861501194</v>
      </c>
      <c r="F221" s="116">
        <f t="shared" si="49"/>
        <v>100998.38283327004</v>
      </c>
      <c r="G221" s="117">
        <v>1632289006</v>
      </c>
      <c r="H221" s="117">
        <f t="shared" si="50"/>
        <v>88562.151049861641</v>
      </c>
      <c r="I221" s="7"/>
      <c r="J221" s="10">
        <v>2.2770000000000001</v>
      </c>
      <c r="K221" s="117">
        <v>3716722</v>
      </c>
      <c r="L221" s="120">
        <f t="shared" si="41"/>
        <v>201.65601432369377</v>
      </c>
      <c r="M221" s="122">
        <f t="shared" si="42"/>
        <v>16322890.060000001</v>
      </c>
      <c r="N221" s="116">
        <f t="shared" si="43"/>
        <v>12606168.060000001</v>
      </c>
      <c r="O221" s="123">
        <f t="shared" si="44"/>
        <v>683.96549617492269</v>
      </c>
      <c r="P221" s="5"/>
      <c r="Q221" s="5">
        <f t="shared" si="45"/>
        <v>1</v>
      </c>
      <c r="R221" s="7">
        <f t="shared" si="46"/>
        <v>18431</v>
      </c>
      <c r="S221" s="5">
        <f t="shared" si="47"/>
        <v>1</v>
      </c>
      <c r="T221" s="7">
        <f t="shared" si="48"/>
        <v>18431</v>
      </c>
    </row>
    <row r="222" spans="1:20">
      <c r="A222" s="23" t="s">
        <v>257</v>
      </c>
      <c r="B222" s="37" t="s">
        <v>233</v>
      </c>
      <c r="C222" s="36">
        <v>10521</v>
      </c>
      <c r="D222" s="6"/>
      <c r="E222" s="113">
        <v>803524649</v>
      </c>
      <c r="F222" s="116">
        <f t="shared" si="49"/>
        <v>76373.410227164713</v>
      </c>
      <c r="G222" s="117">
        <v>567826830</v>
      </c>
      <c r="H222" s="117">
        <f t="shared" si="50"/>
        <v>53970.80410607357</v>
      </c>
      <c r="I222" s="7"/>
      <c r="J222" s="10">
        <v>6.59</v>
      </c>
      <c r="K222" s="117">
        <v>3741978</v>
      </c>
      <c r="L222" s="120">
        <f t="shared" si="41"/>
        <v>355.66752209865984</v>
      </c>
      <c r="M222" s="122">
        <f t="shared" si="42"/>
        <v>5678268.2999999998</v>
      </c>
      <c r="N222" s="116">
        <f t="shared" si="43"/>
        <v>1936290.2999999998</v>
      </c>
      <c r="O222" s="123">
        <f t="shared" si="44"/>
        <v>184.04051896207582</v>
      </c>
      <c r="P222" s="5"/>
      <c r="Q222" s="5">
        <f t="shared" si="45"/>
        <v>1</v>
      </c>
      <c r="R222" s="7">
        <f t="shared" si="46"/>
        <v>10521</v>
      </c>
      <c r="S222" s="5">
        <f t="shared" si="47"/>
        <v>1</v>
      </c>
      <c r="T222" s="7">
        <f t="shared" si="48"/>
        <v>10521</v>
      </c>
    </row>
    <row r="223" spans="1:20">
      <c r="A223" s="23" t="s">
        <v>259</v>
      </c>
      <c r="B223" s="37" t="s">
        <v>233</v>
      </c>
      <c r="C223" s="36">
        <v>4361</v>
      </c>
      <c r="D223" s="6"/>
      <c r="E223" s="113">
        <v>473382330</v>
      </c>
      <c r="F223" s="116">
        <f t="shared" si="49"/>
        <v>108549.03233203394</v>
      </c>
      <c r="G223" s="117">
        <v>417457389</v>
      </c>
      <c r="H223" s="117">
        <f t="shared" si="50"/>
        <v>95725.152258656279</v>
      </c>
      <c r="I223" s="7"/>
      <c r="J223" s="10">
        <v>5.6029999999999998</v>
      </c>
      <c r="K223" s="117">
        <v>2339013</v>
      </c>
      <c r="L223" s="120">
        <f t="shared" si="41"/>
        <v>536.34785599633108</v>
      </c>
      <c r="M223" s="122">
        <f t="shared" si="42"/>
        <v>4174573.89</v>
      </c>
      <c r="N223" s="116">
        <f t="shared" si="43"/>
        <v>1835560.8900000001</v>
      </c>
      <c r="O223" s="123">
        <f t="shared" si="44"/>
        <v>420.90366659023164</v>
      </c>
      <c r="P223" s="5"/>
      <c r="Q223" s="5">
        <f t="shared" si="45"/>
        <v>1</v>
      </c>
      <c r="R223" s="7">
        <f t="shared" si="46"/>
        <v>4361</v>
      </c>
      <c r="S223" s="5">
        <f t="shared" si="47"/>
        <v>1</v>
      </c>
      <c r="T223" s="7">
        <f t="shared" si="48"/>
        <v>4361</v>
      </c>
    </row>
    <row r="224" spans="1:20">
      <c r="A224" s="23" t="s">
        <v>260</v>
      </c>
      <c r="B224" s="37" t="s">
        <v>233</v>
      </c>
      <c r="C224" s="36">
        <v>14011</v>
      </c>
      <c r="D224" s="6"/>
      <c r="E224" s="113">
        <v>257261478</v>
      </c>
      <c r="F224" s="116">
        <f t="shared" si="49"/>
        <v>18361.393048319176</v>
      </c>
      <c r="G224" s="117">
        <v>207859271</v>
      </c>
      <c r="H224" s="117">
        <f t="shared" si="50"/>
        <v>14835.43437299265</v>
      </c>
      <c r="I224" s="7"/>
      <c r="J224" s="10">
        <v>3.5316000000000001</v>
      </c>
      <c r="K224" s="117">
        <v>734075</v>
      </c>
      <c r="L224" s="120">
        <f t="shared" si="41"/>
        <v>52.392762829205623</v>
      </c>
      <c r="M224" s="122">
        <f t="shared" si="42"/>
        <v>2078592.71</v>
      </c>
      <c r="N224" s="116">
        <f t="shared" si="43"/>
        <v>1344517.71</v>
      </c>
      <c r="O224" s="123">
        <f t="shared" si="44"/>
        <v>95.961580900720861</v>
      </c>
      <c r="P224" s="5"/>
      <c r="Q224" s="5">
        <f t="shared" si="45"/>
        <v>1</v>
      </c>
      <c r="R224" s="7">
        <f t="shared" si="46"/>
        <v>14011</v>
      </c>
      <c r="S224" s="5">
        <f t="shared" si="47"/>
        <v>1</v>
      </c>
      <c r="T224" s="7">
        <f t="shared" si="48"/>
        <v>14011</v>
      </c>
    </row>
    <row r="225" spans="1:20">
      <c r="A225" s="23" t="s">
        <v>261</v>
      </c>
      <c r="B225" s="37" t="s">
        <v>233</v>
      </c>
      <c r="C225" s="36">
        <v>2264</v>
      </c>
      <c r="D225" s="6"/>
      <c r="E225" s="113">
        <v>89960307</v>
      </c>
      <c r="F225" s="116">
        <f t="shared" si="49"/>
        <v>39735.117932862187</v>
      </c>
      <c r="G225" s="117">
        <v>76269096</v>
      </c>
      <c r="H225" s="117">
        <f t="shared" si="50"/>
        <v>33687.763250883392</v>
      </c>
      <c r="I225" s="7"/>
      <c r="J225" s="10">
        <v>3.2930000000000001</v>
      </c>
      <c r="K225" s="117">
        <v>251154</v>
      </c>
      <c r="L225" s="120">
        <f t="shared" si="41"/>
        <v>110.93374558303887</v>
      </c>
      <c r="M225" s="122">
        <f t="shared" si="42"/>
        <v>762690.96</v>
      </c>
      <c r="N225" s="116">
        <f t="shared" si="43"/>
        <v>511536.95999999996</v>
      </c>
      <c r="O225" s="123">
        <f t="shared" si="44"/>
        <v>225.94388692579503</v>
      </c>
      <c r="P225" s="5"/>
      <c r="Q225" s="5">
        <f t="shared" si="45"/>
        <v>1</v>
      </c>
      <c r="R225" s="7">
        <f t="shared" si="46"/>
        <v>2264</v>
      </c>
      <c r="S225" s="5">
        <f t="shared" si="47"/>
        <v>1</v>
      </c>
      <c r="T225" s="7">
        <f t="shared" si="48"/>
        <v>2264</v>
      </c>
    </row>
    <row r="226" spans="1:20">
      <c r="A226" s="23" t="s">
        <v>262</v>
      </c>
      <c r="B226" s="37" t="s">
        <v>233</v>
      </c>
      <c r="C226" s="36">
        <v>5819</v>
      </c>
      <c r="D226" s="6"/>
      <c r="E226" s="113">
        <v>208447147</v>
      </c>
      <c r="F226" s="116">
        <f t="shared" si="49"/>
        <v>35821.81594775735</v>
      </c>
      <c r="G226" s="117">
        <v>167583948</v>
      </c>
      <c r="H226" s="117">
        <f t="shared" si="50"/>
        <v>28799.441141089534</v>
      </c>
      <c r="I226" s="7"/>
      <c r="J226" s="10">
        <v>8.4949999999999992</v>
      </c>
      <c r="K226" s="117">
        <v>1423625</v>
      </c>
      <c r="L226" s="120">
        <f t="shared" si="41"/>
        <v>244.65114280804261</v>
      </c>
      <c r="M226" s="122">
        <f t="shared" si="42"/>
        <v>1675839.48</v>
      </c>
      <c r="N226" s="116">
        <f t="shared" si="43"/>
        <v>252214.47999999998</v>
      </c>
      <c r="O226" s="123">
        <f t="shared" si="44"/>
        <v>43.343268602852717</v>
      </c>
      <c r="P226" s="5"/>
      <c r="Q226" s="5">
        <f t="shared" si="45"/>
        <v>1</v>
      </c>
      <c r="R226" s="7">
        <f t="shared" si="46"/>
        <v>5819</v>
      </c>
      <c r="S226" s="5">
        <f t="shared" si="47"/>
        <v>1</v>
      </c>
      <c r="T226" s="7">
        <f t="shared" si="48"/>
        <v>5819</v>
      </c>
    </row>
    <row r="227" spans="1:20">
      <c r="A227" s="23" t="s">
        <v>265</v>
      </c>
      <c r="B227" s="37" t="s">
        <v>264</v>
      </c>
      <c r="C227" s="36">
        <v>1048</v>
      </c>
      <c r="D227" s="6"/>
      <c r="E227" s="113">
        <v>229981271</v>
      </c>
      <c r="F227" s="116">
        <f t="shared" si="49"/>
        <v>219447.77767175573</v>
      </c>
      <c r="G227" s="117">
        <v>219795286</v>
      </c>
      <c r="H227" s="117">
        <f t="shared" si="50"/>
        <v>209728.32633587785</v>
      </c>
      <c r="I227" s="7"/>
      <c r="J227" s="10">
        <v>1.56</v>
      </c>
      <c r="K227" s="117">
        <v>342880</v>
      </c>
      <c r="L227" s="120">
        <f t="shared" si="41"/>
        <v>327.17557251908397</v>
      </c>
      <c r="M227" s="122">
        <f t="shared" si="42"/>
        <v>2197952.86</v>
      </c>
      <c r="N227" s="116">
        <f t="shared" si="43"/>
        <v>1855072.8599999999</v>
      </c>
      <c r="O227" s="123">
        <f t="shared" si="44"/>
        <v>1770.1076908396944</v>
      </c>
      <c r="P227" s="5"/>
      <c r="Q227" s="5">
        <f t="shared" si="45"/>
        <v>1</v>
      </c>
      <c r="R227" s="7">
        <f t="shared" si="46"/>
        <v>1048</v>
      </c>
      <c r="S227" s="5">
        <f t="shared" si="47"/>
        <v>1</v>
      </c>
      <c r="T227" s="7">
        <f t="shared" si="48"/>
        <v>1048</v>
      </c>
    </row>
    <row r="228" spans="1:20">
      <c r="A228" s="23" t="s">
        <v>266</v>
      </c>
      <c r="B228" s="37" t="s">
        <v>264</v>
      </c>
      <c r="C228" s="36">
        <v>27305</v>
      </c>
      <c r="D228" s="6"/>
      <c r="E228" s="113">
        <v>4084644258</v>
      </c>
      <c r="F228" s="116">
        <f t="shared" si="49"/>
        <v>149593.27075627176</v>
      </c>
      <c r="G228" s="117">
        <v>2162799861</v>
      </c>
      <c r="H228" s="117">
        <f t="shared" si="50"/>
        <v>79208.931001648045</v>
      </c>
      <c r="I228" s="7"/>
      <c r="J228" s="10">
        <v>3.722</v>
      </c>
      <c r="K228" s="117">
        <v>8049941</v>
      </c>
      <c r="L228" s="120">
        <f t="shared" si="41"/>
        <v>294.8156381615089</v>
      </c>
      <c r="M228" s="122">
        <f t="shared" si="42"/>
        <v>21627998.609999999</v>
      </c>
      <c r="N228" s="116">
        <f t="shared" si="43"/>
        <v>13578057.609999999</v>
      </c>
      <c r="O228" s="123">
        <f t="shared" si="44"/>
        <v>497.27367185497161</v>
      </c>
      <c r="P228" s="5"/>
      <c r="Q228" s="5">
        <f t="shared" si="45"/>
        <v>1</v>
      </c>
      <c r="R228" s="7">
        <f t="shared" si="46"/>
        <v>27305</v>
      </c>
      <c r="S228" s="5">
        <f t="shared" si="47"/>
        <v>1</v>
      </c>
      <c r="T228" s="7">
        <f t="shared" si="48"/>
        <v>27305</v>
      </c>
    </row>
    <row r="229" spans="1:20">
      <c r="A229" s="23" t="s">
        <v>267</v>
      </c>
      <c r="B229" s="37" t="s">
        <v>264</v>
      </c>
      <c r="C229" s="36">
        <v>197</v>
      </c>
      <c r="D229" s="6"/>
      <c r="E229" s="113">
        <v>23201509</v>
      </c>
      <c r="F229" s="116">
        <f t="shared" si="49"/>
        <v>117774.1573604061</v>
      </c>
      <c r="G229" s="117">
        <v>19209209</v>
      </c>
      <c r="H229" s="117">
        <f t="shared" si="50"/>
        <v>97508.675126903559</v>
      </c>
      <c r="I229" s="7"/>
      <c r="J229" s="10">
        <v>1.4</v>
      </c>
      <c r="K229" s="117">
        <v>26892</v>
      </c>
      <c r="L229" s="120">
        <f t="shared" si="41"/>
        <v>136.50761421319797</v>
      </c>
      <c r="M229" s="122">
        <f t="shared" si="42"/>
        <v>192092.09</v>
      </c>
      <c r="N229" s="116">
        <f t="shared" si="43"/>
        <v>165200.09</v>
      </c>
      <c r="O229" s="123">
        <f t="shared" si="44"/>
        <v>838.57913705583758</v>
      </c>
      <c r="P229" s="5"/>
      <c r="Q229" s="5">
        <f t="shared" si="45"/>
        <v>1</v>
      </c>
      <c r="R229" s="7">
        <f t="shared" si="46"/>
        <v>197</v>
      </c>
      <c r="S229" s="5">
        <f t="shared" si="47"/>
        <v>1</v>
      </c>
      <c r="T229" s="7">
        <f t="shared" si="48"/>
        <v>197</v>
      </c>
    </row>
    <row r="230" spans="1:20">
      <c r="A230" s="23" t="s">
        <v>268</v>
      </c>
      <c r="B230" s="37" t="s">
        <v>269</v>
      </c>
      <c r="C230" s="36">
        <v>1018</v>
      </c>
      <c r="D230" s="6"/>
      <c r="E230" s="113">
        <v>53504660</v>
      </c>
      <c r="F230" s="116">
        <f t="shared" si="49"/>
        <v>52558.60510805501</v>
      </c>
      <c r="G230" s="117">
        <v>32680620</v>
      </c>
      <c r="H230" s="117">
        <f t="shared" si="50"/>
        <v>32102.77013752456</v>
      </c>
      <c r="I230" s="7"/>
      <c r="J230" s="10">
        <v>3</v>
      </c>
      <c r="K230" s="117">
        <v>98041</v>
      </c>
      <c r="L230" s="120">
        <f t="shared" si="41"/>
        <v>96.307465618860505</v>
      </c>
      <c r="M230" s="122">
        <f t="shared" si="42"/>
        <v>326806.2</v>
      </c>
      <c r="N230" s="116">
        <f t="shared" si="43"/>
        <v>228765.2</v>
      </c>
      <c r="O230" s="123">
        <f t="shared" si="44"/>
        <v>224.72023575638508</v>
      </c>
      <c r="P230" s="5"/>
      <c r="Q230" s="5">
        <f t="shared" si="45"/>
        <v>1</v>
      </c>
      <c r="R230" s="7">
        <f t="shared" si="46"/>
        <v>1018</v>
      </c>
      <c r="S230" s="5">
        <f t="shared" si="47"/>
        <v>1</v>
      </c>
      <c r="T230" s="7">
        <f t="shared" si="48"/>
        <v>1018</v>
      </c>
    </row>
    <row r="231" spans="1:20">
      <c r="A231" s="23" t="s">
        <v>270</v>
      </c>
      <c r="B231" s="37" t="s">
        <v>269</v>
      </c>
      <c r="C231" s="36">
        <v>10438</v>
      </c>
      <c r="D231" s="6"/>
      <c r="E231" s="113">
        <v>860097239</v>
      </c>
      <c r="F231" s="116">
        <f t="shared" si="49"/>
        <v>82400.578559110945</v>
      </c>
      <c r="G231" s="117">
        <v>644177937</v>
      </c>
      <c r="H231" s="117">
        <f t="shared" si="50"/>
        <v>61714.690266334546</v>
      </c>
      <c r="I231" s="7"/>
      <c r="J231" s="10">
        <v>6.9477000000000002</v>
      </c>
      <c r="K231" s="117">
        <v>4475555</v>
      </c>
      <c r="L231" s="120">
        <f t="shared" si="41"/>
        <v>428.77514849588044</v>
      </c>
      <c r="M231" s="122">
        <f t="shared" si="42"/>
        <v>6441779.3700000001</v>
      </c>
      <c r="N231" s="116">
        <f t="shared" si="43"/>
        <v>1966224.37</v>
      </c>
      <c r="O231" s="123">
        <f t="shared" si="44"/>
        <v>188.37175416746504</v>
      </c>
      <c r="P231" s="5"/>
      <c r="Q231" s="5">
        <f t="shared" si="45"/>
        <v>1</v>
      </c>
      <c r="R231" s="7">
        <f t="shared" si="46"/>
        <v>10438</v>
      </c>
      <c r="S231" s="5">
        <f t="shared" si="47"/>
        <v>1</v>
      </c>
      <c r="T231" s="7">
        <f t="shared" si="48"/>
        <v>10438</v>
      </c>
    </row>
    <row r="232" spans="1:20">
      <c r="A232" s="23" t="s">
        <v>271</v>
      </c>
      <c r="B232" s="37" t="s">
        <v>269</v>
      </c>
      <c r="C232" s="36">
        <v>2552</v>
      </c>
      <c r="D232" s="6"/>
      <c r="E232" s="113">
        <v>183051269</v>
      </c>
      <c r="F232" s="116">
        <f t="shared" si="49"/>
        <v>71728.553683385573</v>
      </c>
      <c r="G232" s="117">
        <v>34188648</v>
      </c>
      <c r="H232" s="117">
        <f t="shared" si="50"/>
        <v>13396.80564263323</v>
      </c>
      <c r="I232" s="7"/>
      <c r="J232" s="11">
        <v>0.76819999999999999</v>
      </c>
      <c r="K232" s="117">
        <v>26263</v>
      </c>
      <c r="L232" s="120">
        <f t="shared" si="41"/>
        <v>10.29114420062696</v>
      </c>
      <c r="M232" s="122">
        <f t="shared" si="42"/>
        <v>341886.48</v>
      </c>
      <c r="N232" s="116">
        <f t="shared" si="43"/>
        <v>315623.48</v>
      </c>
      <c r="O232" s="123">
        <f t="shared" si="44"/>
        <v>123.67691222570532</v>
      </c>
      <c r="P232" s="5"/>
      <c r="Q232" s="5">
        <f t="shared" si="45"/>
        <v>1</v>
      </c>
      <c r="R232" s="7">
        <f t="shared" si="46"/>
        <v>2552</v>
      </c>
      <c r="S232" s="5">
        <f t="shared" si="47"/>
        <v>1</v>
      </c>
      <c r="T232" s="7">
        <f t="shared" si="48"/>
        <v>2552</v>
      </c>
    </row>
    <row r="233" spans="1:20">
      <c r="A233" s="23" t="s">
        <v>272</v>
      </c>
      <c r="B233" s="37" t="s">
        <v>273</v>
      </c>
      <c r="C233" s="36">
        <v>413</v>
      </c>
      <c r="D233" s="6"/>
      <c r="E233" s="113">
        <v>33262778</v>
      </c>
      <c r="F233" s="116">
        <f t="shared" si="49"/>
        <v>80539.414043583529</v>
      </c>
      <c r="G233" s="117">
        <v>28513796</v>
      </c>
      <c r="H233" s="117">
        <f t="shared" si="50"/>
        <v>69040.668280871672</v>
      </c>
      <c r="I233" s="7"/>
      <c r="J233" s="10">
        <v>2.2999999999999998</v>
      </c>
      <c r="K233" s="117">
        <v>65581</v>
      </c>
      <c r="L233" s="120">
        <f t="shared" si="41"/>
        <v>158.79176755447941</v>
      </c>
      <c r="M233" s="122">
        <f t="shared" si="42"/>
        <v>285137.96000000002</v>
      </c>
      <c r="N233" s="116">
        <f t="shared" si="43"/>
        <v>219556.96000000002</v>
      </c>
      <c r="O233" s="123">
        <f t="shared" si="44"/>
        <v>531.6149152542373</v>
      </c>
      <c r="P233" s="5"/>
      <c r="Q233" s="5">
        <f t="shared" si="45"/>
        <v>1</v>
      </c>
      <c r="R233" s="7">
        <f t="shared" si="46"/>
        <v>413</v>
      </c>
      <c r="S233" s="5">
        <f t="shared" si="47"/>
        <v>1</v>
      </c>
      <c r="T233" s="7">
        <f t="shared" si="48"/>
        <v>413</v>
      </c>
    </row>
    <row r="234" spans="1:20">
      <c r="A234" s="23" t="s">
        <v>274</v>
      </c>
      <c r="B234" s="37" t="s">
        <v>273</v>
      </c>
      <c r="C234" s="36">
        <v>13018</v>
      </c>
      <c r="D234" s="6"/>
      <c r="E234" s="113">
        <v>409539929</v>
      </c>
      <c r="F234" s="116">
        <f t="shared" si="49"/>
        <v>31459.51213704102</v>
      </c>
      <c r="G234" s="117">
        <v>276763399</v>
      </c>
      <c r="H234" s="117">
        <f t="shared" si="50"/>
        <v>21260.055231218314</v>
      </c>
      <c r="I234" s="7"/>
      <c r="J234" s="10">
        <v>5.8609999999999998</v>
      </c>
      <c r="K234" s="117">
        <v>1622110</v>
      </c>
      <c r="L234" s="120">
        <f t="shared" si="41"/>
        <v>124.60516208326932</v>
      </c>
      <c r="M234" s="122">
        <f t="shared" si="42"/>
        <v>2767633.99</v>
      </c>
      <c r="N234" s="116">
        <f t="shared" si="43"/>
        <v>1145523.9900000002</v>
      </c>
      <c r="O234" s="123">
        <f t="shared" si="44"/>
        <v>87.995390228913834</v>
      </c>
      <c r="P234" s="5"/>
      <c r="Q234" s="5">
        <f t="shared" si="45"/>
        <v>1</v>
      </c>
      <c r="R234" s="7">
        <f t="shared" si="46"/>
        <v>13018</v>
      </c>
      <c r="S234" s="5">
        <f t="shared" si="47"/>
        <v>1</v>
      </c>
      <c r="T234" s="7">
        <f t="shared" si="48"/>
        <v>13018</v>
      </c>
    </row>
    <row r="235" spans="1:20">
      <c r="A235" s="23" t="s">
        <v>275</v>
      </c>
      <c r="B235" s="37" t="s">
        <v>273</v>
      </c>
      <c r="C235" s="36">
        <v>10690</v>
      </c>
      <c r="D235" s="6"/>
      <c r="E235" s="113">
        <v>1625111289</v>
      </c>
      <c r="F235" s="116">
        <f t="shared" si="49"/>
        <v>152021.63601496725</v>
      </c>
      <c r="G235" s="117">
        <v>1436361452</v>
      </c>
      <c r="H235" s="117">
        <f t="shared" si="50"/>
        <v>134364.96276894293</v>
      </c>
      <c r="I235" s="7"/>
      <c r="J235" s="10">
        <v>1.5490999999999999</v>
      </c>
      <c r="K235" s="117">
        <v>2225067</v>
      </c>
      <c r="L235" s="120">
        <f t="shared" si="41"/>
        <v>208.14471468662302</v>
      </c>
      <c r="M235" s="122">
        <f t="shared" si="42"/>
        <v>14363614.52</v>
      </c>
      <c r="N235" s="116">
        <f t="shared" si="43"/>
        <v>12138547.52</v>
      </c>
      <c r="O235" s="123">
        <f t="shared" si="44"/>
        <v>1135.5049130028062</v>
      </c>
      <c r="P235" s="5"/>
      <c r="Q235" s="5">
        <f t="shared" si="45"/>
        <v>1</v>
      </c>
      <c r="R235" s="7">
        <f t="shared" si="46"/>
        <v>10690</v>
      </c>
      <c r="S235" s="5">
        <f t="shared" si="47"/>
        <v>1</v>
      </c>
      <c r="T235" s="7">
        <f t="shared" si="48"/>
        <v>10690</v>
      </c>
    </row>
    <row r="236" spans="1:20">
      <c r="A236" s="23" t="s">
        <v>276</v>
      </c>
      <c r="B236" s="35" t="s">
        <v>273</v>
      </c>
      <c r="C236" s="36">
        <v>22044</v>
      </c>
      <c r="D236" s="6"/>
      <c r="E236" s="113">
        <v>961465925</v>
      </c>
      <c r="F236" s="116">
        <f t="shared" si="49"/>
        <v>43615.765060787518</v>
      </c>
      <c r="G236" s="117">
        <v>669647135</v>
      </c>
      <c r="H236" s="117">
        <f t="shared" si="50"/>
        <v>30377.750635093449</v>
      </c>
      <c r="I236" s="7"/>
      <c r="J236" s="11">
        <v>4.97</v>
      </c>
      <c r="K236" s="117">
        <v>3328146</v>
      </c>
      <c r="L236" s="120">
        <f t="shared" si="41"/>
        <v>150.97740881872619</v>
      </c>
      <c r="M236" s="122">
        <f t="shared" si="42"/>
        <v>6696471.3500000006</v>
      </c>
      <c r="N236" s="116">
        <f t="shared" si="43"/>
        <v>3368325.3500000006</v>
      </c>
      <c r="O236" s="123">
        <f t="shared" si="44"/>
        <v>152.80009753220833</v>
      </c>
      <c r="P236" s="5"/>
      <c r="Q236" s="5">
        <f t="shared" si="45"/>
        <v>1</v>
      </c>
      <c r="R236" s="7">
        <f t="shared" si="46"/>
        <v>22044</v>
      </c>
      <c r="S236" s="5">
        <f t="shared" si="47"/>
        <v>1</v>
      </c>
      <c r="T236" s="7">
        <f t="shared" si="48"/>
        <v>22044</v>
      </c>
    </row>
    <row r="237" spans="1:20">
      <c r="A237" s="23" t="s">
        <v>277</v>
      </c>
      <c r="B237" s="35" t="s">
        <v>273</v>
      </c>
      <c r="C237" s="36">
        <v>614</v>
      </c>
      <c r="D237" s="6"/>
      <c r="E237" s="113">
        <v>9802525</v>
      </c>
      <c r="F237" s="116">
        <f t="shared" si="49"/>
        <v>15965.024429967427</v>
      </c>
      <c r="G237" s="117">
        <v>3936160</v>
      </c>
      <c r="H237" s="117">
        <f t="shared" si="50"/>
        <v>6410.6840390879479</v>
      </c>
      <c r="I237" s="98" t="s">
        <v>528</v>
      </c>
      <c r="J237" s="10"/>
      <c r="K237" s="117"/>
      <c r="L237" s="120"/>
      <c r="M237" s="122">
        <f t="shared" si="42"/>
        <v>39361.599999999999</v>
      </c>
      <c r="N237" s="116">
        <f t="shared" si="43"/>
        <v>39361.599999999999</v>
      </c>
      <c r="O237" s="123">
        <f t="shared" si="44"/>
        <v>64.106840390879483</v>
      </c>
      <c r="P237" s="5"/>
      <c r="Q237" s="5">
        <f t="shared" si="45"/>
        <v>1</v>
      </c>
      <c r="R237" s="7">
        <f t="shared" si="46"/>
        <v>614</v>
      </c>
      <c r="S237" s="5">
        <f t="shared" si="47"/>
        <v>0</v>
      </c>
      <c r="T237" s="7">
        <f t="shared" si="48"/>
        <v>0</v>
      </c>
    </row>
    <row r="238" spans="1:20">
      <c r="A238" s="23" t="s">
        <v>278</v>
      </c>
      <c r="B238" s="35" t="s">
        <v>273</v>
      </c>
      <c r="C238" s="36">
        <v>4384</v>
      </c>
      <c r="D238" s="6"/>
      <c r="E238" s="113">
        <v>243598092</v>
      </c>
      <c r="F238" s="116">
        <f t="shared" si="49"/>
        <v>55565.258211678833</v>
      </c>
      <c r="G238" s="117">
        <v>190113352</v>
      </c>
      <c r="H238" s="117">
        <f t="shared" si="50"/>
        <v>43365.27189781022</v>
      </c>
      <c r="I238" s="7"/>
      <c r="J238" s="10">
        <v>2.7759999999999998</v>
      </c>
      <c r="K238" s="117">
        <v>527754</v>
      </c>
      <c r="L238" s="120">
        <f t="shared" ref="L238:L262" si="51">(K238/C238)</f>
        <v>120.38184306569343</v>
      </c>
      <c r="M238" s="122">
        <f t="shared" si="42"/>
        <v>1901133.52</v>
      </c>
      <c r="N238" s="116">
        <f t="shared" si="43"/>
        <v>1373379.52</v>
      </c>
      <c r="O238" s="123">
        <f t="shared" si="44"/>
        <v>313.27087591240877</v>
      </c>
      <c r="P238" s="5"/>
      <c r="Q238" s="5">
        <f t="shared" si="45"/>
        <v>1</v>
      </c>
      <c r="R238" s="7">
        <f t="shared" si="46"/>
        <v>4384</v>
      </c>
      <c r="S238" s="5">
        <f t="shared" si="47"/>
        <v>1</v>
      </c>
      <c r="T238" s="7">
        <f t="shared" si="48"/>
        <v>4384</v>
      </c>
    </row>
    <row r="239" spans="1:20">
      <c r="A239" s="23" t="s">
        <v>279</v>
      </c>
      <c r="B239" s="35" t="s">
        <v>273</v>
      </c>
      <c r="C239" s="36">
        <v>11815</v>
      </c>
      <c r="D239" s="6"/>
      <c r="E239" s="113">
        <v>454198743</v>
      </c>
      <c r="F239" s="116">
        <f t="shared" si="49"/>
        <v>38442.551248413038</v>
      </c>
      <c r="G239" s="117">
        <v>319180913</v>
      </c>
      <c r="H239" s="117">
        <f t="shared" si="50"/>
        <v>27014.888954718579</v>
      </c>
      <c r="I239" s="7"/>
      <c r="J239" s="10">
        <v>2.73</v>
      </c>
      <c r="K239" s="117">
        <v>871363</v>
      </c>
      <c r="L239" s="120">
        <f t="shared" si="51"/>
        <v>73.750571307659754</v>
      </c>
      <c r="M239" s="122">
        <f t="shared" si="42"/>
        <v>3191809.13</v>
      </c>
      <c r="N239" s="116">
        <f t="shared" si="43"/>
        <v>2320446.13</v>
      </c>
      <c r="O239" s="123">
        <f t="shared" si="44"/>
        <v>196.39831823952602</v>
      </c>
      <c r="P239" s="5"/>
      <c r="Q239" s="5">
        <f t="shared" si="45"/>
        <v>1</v>
      </c>
      <c r="R239" s="7">
        <f t="shared" si="46"/>
        <v>11815</v>
      </c>
      <c r="S239" s="5">
        <f t="shared" si="47"/>
        <v>1</v>
      </c>
      <c r="T239" s="7">
        <f t="shared" si="48"/>
        <v>11815</v>
      </c>
    </row>
    <row r="240" spans="1:20">
      <c r="A240" s="23" t="s">
        <v>280</v>
      </c>
      <c r="B240" s="35" t="s">
        <v>273</v>
      </c>
      <c r="C240" s="36">
        <v>647</v>
      </c>
      <c r="D240" s="6"/>
      <c r="E240" s="113">
        <v>64564703</v>
      </c>
      <c r="F240" s="116">
        <f t="shared" si="49"/>
        <v>99790.885625965995</v>
      </c>
      <c r="G240" s="117">
        <v>49169721</v>
      </c>
      <c r="H240" s="117">
        <f t="shared" si="50"/>
        <v>75996.477588871712</v>
      </c>
      <c r="I240" s="7"/>
      <c r="J240" s="10">
        <v>3.2</v>
      </c>
      <c r="K240" s="117">
        <v>157343</v>
      </c>
      <c r="L240" s="120">
        <f t="shared" si="51"/>
        <v>243.1885625965997</v>
      </c>
      <c r="M240" s="122">
        <f t="shared" si="42"/>
        <v>491697.21</v>
      </c>
      <c r="N240" s="116">
        <f t="shared" si="43"/>
        <v>334354.21000000002</v>
      </c>
      <c r="O240" s="123">
        <f t="shared" si="44"/>
        <v>516.77621329211752</v>
      </c>
      <c r="P240" s="5"/>
      <c r="Q240" s="5">
        <f t="shared" si="45"/>
        <v>1</v>
      </c>
      <c r="R240" s="7">
        <f t="shared" si="46"/>
        <v>647</v>
      </c>
      <c r="S240" s="5">
        <f t="shared" si="47"/>
        <v>1</v>
      </c>
      <c r="T240" s="7">
        <f t="shared" si="48"/>
        <v>647</v>
      </c>
    </row>
    <row r="241" spans="1:20">
      <c r="A241" s="23" t="s">
        <v>281</v>
      </c>
      <c r="B241" s="35" t="s">
        <v>273</v>
      </c>
      <c r="C241" s="36">
        <v>6645</v>
      </c>
      <c r="D241" s="6"/>
      <c r="E241" s="113">
        <v>161195133</v>
      </c>
      <c r="F241" s="116">
        <f t="shared" si="49"/>
        <v>24258.10880361174</v>
      </c>
      <c r="G241" s="117">
        <v>106139447</v>
      </c>
      <c r="H241" s="117">
        <f t="shared" si="50"/>
        <v>15972.828743416103</v>
      </c>
      <c r="I241" s="7"/>
      <c r="J241" s="10">
        <v>2.75</v>
      </c>
      <c r="K241" s="117">
        <v>291883</v>
      </c>
      <c r="L241" s="120">
        <f t="shared" si="51"/>
        <v>43.92520692249812</v>
      </c>
      <c r="M241" s="122">
        <f t="shared" si="42"/>
        <v>1061394.47</v>
      </c>
      <c r="N241" s="116">
        <f t="shared" si="43"/>
        <v>769511.47</v>
      </c>
      <c r="O241" s="123">
        <f t="shared" si="44"/>
        <v>115.8030805116629</v>
      </c>
      <c r="P241" s="5"/>
      <c r="Q241" s="5">
        <f t="shared" si="45"/>
        <v>1</v>
      </c>
      <c r="R241" s="7">
        <f t="shared" si="46"/>
        <v>6645</v>
      </c>
      <c r="S241" s="5">
        <f t="shared" si="47"/>
        <v>1</v>
      </c>
      <c r="T241" s="7">
        <f t="shared" si="48"/>
        <v>6645</v>
      </c>
    </row>
    <row r="242" spans="1:20">
      <c r="A242" s="23" t="s">
        <v>282</v>
      </c>
      <c r="B242" s="35" t="s">
        <v>282</v>
      </c>
      <c r="C242" s="36">
        <v>5071</v>
      </c>
      <c r="D242" s="6"/>
      <c r="E242" s="113">
        <v>225863548</v>
      </c>
      <c r="F242" s="116">
        <f t="shared" si="49"/>
        <v>44540.238217314138</v>
      </c>
      <c r="G242" s="117">
        <v>159112521</v>
      </c>
      <c r="H242" s="117">
        <f t="shared" si="50"/>
        <v>31376.951488858213</v>
      </c>
      <c r="I242" s="7"/>
      <c r="J242" s="10">
        <v>4.9398999999999997</v>
      </c>
      <c r="K242" s="117">
        <v>785999</v>
      </c>
      <c r="L242" s="120">
        <f t="shared" si="51"/>
        <v>154.99881680141985</v>
      </c>
      <c r="M242" s="122">
        <f t="shared" si="42"/>
        <v>1591125.21</v>
      </c>
      <c r="N242" s="116">
        <f t="shared" si="43"/>
        <v>805126.21</v>
      </c>
      <c r="O242" s="123">
        <f t="shared" si="44"/>
        <v>158.77069808716229</v>
      </c>
      <c r="P242" s="5"/>
      <c r="Q242" s="5">
        <f t="shared" si="45"/>
        <v>1</v>
      </c>
      <c r="R242" s="7">
        <f t="shared" si="46"/>
        <v>5071</v>
      </c>
      <c r="S242" s="5">
        <f t="shared" si="47"/>
        <v>1</v>
      </c>
      <c r="T242" s="7">
        <f t="shared" si="48"/>
        <v>5071</v>
      </c>
    </row>
    <row r="243" spans="1:20">
      <c r="A243" s="23" t="s">
        <v>283</v>
      </c>
      <c r="B243" s="35" t="s">
        <v>284</v>
      </c>
      <c r="C243" s="36">
        <v>20373</v>
      </c>
      <c r="D243" s="6"/>
      <c r="E243" s="113">
        <v>988371299</v>
      </c>
      <c r="F243" s="116">
        <f t="shared" si="49"/>
        <v>48513.782898934864</v>
      </c>
      <c r="G243" s="117">
        <v>755628012</v>
      </c>
      <c r="H243" s="117">
        <f t="shared" si="50"/>
        <v>37089.678103372113</v>
      </c>
      <c r="I243" s="7"/>
      <c r="J243" s="10">
        <v>3.7618999999999998</v>
      </c>
      <c r="K243" s="117">
        <v>2842597</v>
      </c>
      <c r="L243" s="120">
        <f t="shared" si="51"/>
        <v>139.52765915672705</v>
      </c>
      <c r="M243" s="122">
        <f t="shared" si="42"/>
        <v>7556280.1200000001</v>
      </c>
      <c r="N243" s="116">
        <f t="shared" si="43"/>
        <v>4713683.12</v>
      </c>
      <c r="O243" s="123">
        <f t="shared" si="44"/>
        <v>231.36912187699406</v>
      </c>
      <c r="P243" s="5"/>
      <c r="Q243" s="5">
        <f t="shared" si="45"/>
        <v>1</v>
      </c>
      <c r="R243" s="7">
        <f t="shared" si="46"/>
        <v>20373</v>
      </c>
      <c r="S243" s="5">
        <f t="shared" si="47"/>
        <v>1</v>
      </c>
      <c r="T243" s="7">
        <f t="shared" si="48"/>
        <v>20373</v>
      </c>
    </row>
    <row r="244" spans="1:20">
      <c r="A244" s="23" t="s">
        <v>285</v>
      </c>
      <c r="B244" s="35" t="s">
        <v>284</v>
      </c>
      <c r="C244" s="36">
        <v>24</v>
      </c>
      <c r="D244" s="6"/>
      <c r="E244" s="113">
        <v>3460354728</v>
      </c>
      <c r="F244" s="116">
        <f t="shared" si="49"/>
        <v>144181447</v>
      </c>
      <c r="G244" s="117">
        <v>3305112286</v>
      </c>
      <c r="H244" s="117">
        <f t="shared" si="50"/>
        <v>137713011.91666666</v>
      </c>
      <c r="I244" s="7"/>
      <c r="J244" s="10">
        <v>0.17499999999999999</v>
      </c>
      <c r="K244" s="117">
        <v>578394</v>
      </c>
      <c r="L244" s="120">
        <f t="shared" si="51"/>
        <v>24099.75</v>
      </c>
      <c r="M244" s="122">
        <f t="shared" si="42"/>
        <v>33051122.859999999</v>
      </c>
      <c r="N244" s="116">
        <f t="shared" si="43"/>
        <v>32472728.859999999</v>
      </c>
      <c r="O244" s="123">
        <f t="shared" si="44"/>
        <v>1353030.3691666666</v>
      </c>
      <c r="P244" s="5"/>
      <c r="Q244" s="5">
        <f t="shared" si="45"/>
        <v>1</v>
      </c>
      <c r="R244" s="7">
        <f t="shared" si="46"/>
        <v>24</v>
      </c>
      <c r="S244" s="5">
        <f t="shared" si="47"/>
        <v>1</v>
      </c>
      <c r="T244" s="7">
        <f t="shared" si="48"/>
        <v>24</v>
      </c>
    </row>
    <row r="245" spans="1:20">
      <c r="A245" s="23" t="s">
        <v>286</v>
      </c>
      <c r="B245" s="35" t="s">
        <v>284</v>
      </c>
      <c r="C245" s="36">
        <v>5603</v>
      </c>
      <c r="D245" s="6"/>
      <c r="E245" s="113">
        <v>317006235</v>
      </c>
      <c r="F245" s="116">
        <f t="shared" si="49"/>
        <v>56577.946635730856</v>
      </c>
      <c r="G245" s="117">
        <v>266667276</v>
      </c>
      <c r="H245" s="117">
        <f t="shared" si="50"/>
        <v>47593.659825093702</v>
      </c>
      <c r="I245" s="7"/>
      <c r="J245" s="10">
        <v>3</v>
      </c>
      <c r="K245" s="117">
        <v>800001</v>
      </c>
      <c r="L245" s="120">
        <f t="shared" si="51"/>
        <v>142.78083169730502</v>
      </c>
      <c r="M245" s="122">
        <f t="shared" si="42"/>
        <v>2666672.7600000002</v>
      </c>
      <c r="N245" s="116">
        <f t="shared" si="43"/>
        <v>1866671.7600000002</v>
      </c>
      <c r="O245" s="123">
        <f t="shared" si="44"/>
        <v>333.15576655363202</v>
      </c>
      <c r="P245" s="5"/>
      <c r="Q245" s="5">
        <f t="shared" si="45"/>
        <v>1</v>
      </c>
      <c r="R245" s="7">
        <f t="shared" si="46"/>
        <v>5603</v>
      </c>
      <c r="S245" s="5">
        <f t="shared" si="47"/>
        <v>1</v>
      </c>
      <c r="T245" s="7">
        <f t="shared" si="48"/>
        <v>5603</v>
      </c>
    </row>
    <row r="246" spans="1:20">
      <c r="A246" s="23" t="s">
        <v>287</v>
      </c>
      <c r="B246" s="35" t="s">
        <v>284</v>
      </c>
      <c r="C246" s="36">
        <v>2479</v>
      </c>
      <c r="D246" s="6"/>
      <c r="E246" s="113">
        <v>94787319</v>
      </c>
      <c r="F246" s="116">
        <f t="shared" si="49"/>
        <v>38236.110931827352</v>
      </c>
      <c r="G246" s="117">
        <v>63723672</v>
      </c>
      <c r="H246" s="117">
        <f t="shared" si="50"/>
        <v>25705.394110528439</v>
      </c>
      <c r="I246" s="7"/>
      <c r="J246" s="10">
        <v>7.3719999999999999</v>
      </c>
      <c r="K246" s="117">
        <v>469770</v>
      </c>
      <c r="L246" s="120">
        <f t="shared" si="51"/>
        <v>189.49979830576845</v>
      </c>
      <c r="M246" s="122">
        <f t="shared" si="42"/>
        <v>637236.72</v>
      </c>
      <c r="N246" s="116">
        <f t="shared" si="43"/>
        <v>167466.71999999997</v>
      </c>
      <c r="O246" s="123">
        <f t="shared" si="44"/>
        <v>67.55414279951593</v>
      </c>
      <c r="P246" s="5"/>
      <c r="Q246" s="5">
        <f t="shared" si="45"/>
        <v>1</v>
      </c>
      <c r="R246" s="7">
        <f t="shared" si="46"/>
        <v>2479</v>
      </c>
      <c r="S246" s="5">
        <f t="shared" si="47"/>
        <v>1</v>
      </c>
      <c r="T246" s="7">
        <f t="shared" si="48"/>
        <v>2479</v>
      </c>
    </row>
    <row r="247" spans="1:20">
      <c r="A247" s="23" t="s">
        <v>288</v>
      </c>
      <c r="B247" s="35" t="s">
        <v>284</v>
      </c>
      <c r="C247" s="36">
        <v>1534</v>
      </c>
      <c r="D247" s="6"/>
      <c r="E247" s="113">
        <v>164098091</v>
      </c>
      <c r="F247" s="116">
        <f t="shared" si="49"/>
        <v>106973.98370273794</v>
      </c>
      <c r="G247" s="117">
        <v>142564794</v>
      </c>
      <c r="H247" s="117">
        <f t="shared" si="50"/>
        <v>92936.63233376792</v>
      </c>
      <c r="I247" s="7"/>
      <c r="J247" s="10">
        <v>3.4</v>
      </c>
      <c r="K247" s="117">
        <v>484720</v>
      </c>
      <c r="L247" s="120">
        <f t="shared" si="51"/>
        <v>315.98435462842241</v>
      </c>
      <c r="M247" s="122">
        <f t="shared" si="42"/>
        <v>1425647.94</v>
      </c>
      <c r="N247" s="116">
        <f t="shared" si="43"/>
        <v>940927.94</v>
      </c>
      <c r="O247" s="123">
        <f t="shared" si="44"/>
        <v>613.38196870925685</v>
      </c>
      <c r="P247" s="5"/>
      <c r="Q247" s="5">
        <f t="shared" si="45"/>
        <v>1</v>
      </c>
      <c r="R247" s="7">
        <f t="shared" si="46"/>
        <v>1534</v>
      </c>
      <c r="S247" s="5">
        <f t="shared" si="47"/>
        <v>1</v>
      </c>
      <c r="T247" s="7">
        <f t="shared" si="48"/>
        <v>1534</v>
      </c>
    </row>
    <row r="248" spans="1:20">
      <c r="A248" s="23" t="s">
        <v>289</v>
      </c>
      <c r="B248" s="35" t="s">
        <v>284</v>
      </c>
      <c r="C248" s="36">
        <v>23</v>
      </c>
      <c r="D248" s="6"/>
      <c r="E248" s="113">
        <v>1310949784</v>
      </c>
      <c r="F248" s="116">
        <f t="shared" si="49"/>
        <v>56997816.695652172</v>
      </c>
      <c r="G248" s="117">
        <v>1256408389</v>
      </c>
      <c r="H248" s="117">
        <f t="shared" si="50"/>
        <v>54626451.695652172</v>
      </c>
      <c r="I248" s="9"/>
      <c r="J248" s="10">
        <v>0.22500000000000001</v>
      </c>
      <c r="K248" s="117">
        <v>282691</v>
      </c>
      <c r="L248" s="120">
        <f t="shared" si="51"/>
        <v>12290.91304347826</v>
      </c>
      <c r="M248" s="122">
        <f t="shared" si="42"/>
        <v>12564083.890000001</v>
      </c>
      <c r="N248" s="116">
        <f t="shared" si="43"/>
        <v>12281392.890000001</v>
      </c>
      <c r="O248" s="123">
        <f t="shared" si="44"/>
        <v>533973.60391304351</v>
      </c>
      <c r="P248" s="5"/>
      <c r="Q248" s="5">
        <f t="shared" si="45"/>
        <v>1</v>
      </c>
      <c r="R248" s="7">
        <f t="shared" si="46"/>
        <v>23</v>
      </c>
      <c r="S248" s="5">
        <f t="shared" si="47"/>
        <v>1</v>
      </c>
      <c r="T248" s="7">
        <f t="shared" si="48"/>
        <v>23</v>
      </c>
    </row>
    <row r="249" spans="1:20">
      <c r="A249" s="23" t="s">
        <v>290</v>
      </c>
      <c r="B249" s="35" t="s">
        <v>284</v>
      </c>
      <c r="C249" s="36">
        <v>9892</v>
      </c>
      <c r="D249" s="6"/>
      <c r="E249" s="113">
        <v>1205184112</v>
      </c>
      <c r="F249" s="116">
        <f t="shared" si="49"/>
        <v>121834.2207844723</v>
      </c>
      <c r="G249" s="117">
        <v>1015830895</v>
      </c>
      <c r="H249" s="117">
        <f t="shared" si="50"/>
        <v>102692.16488071169</v>
      </c>
      <c r="I249" s="7"/>
      <c r="J249" s="10">
        <v>3.46</v>
      </c>
      <c r="K249" s="117">
        <v>3514774</v>
      </c>
      <c r="L249" s="120">
        <f t="shared" si="51"/>
        <v>355.31479983825312</v>
      </c>
      <c r="M249" s="122">
        <f t="shared" si="42"/>
        <v>10158308.950000001</v>
      </c>
      <c r="N249" s="116">
        <f t="shared" si="43"/>
        <v>6643534.9500000011</v>
      </c>
      <c r="O249" s="123">
        <f t="shared" si="44"/>
        <v>671.6068489688638</v>
      </c>
      <c r="P249" s="5"/>
      <c r="Q249" s="5">
        <f t="shared" si="45"/>
        <v>1</v>
      </c>
      <c r="R249" s="7">
        <f t="shared" si="46"/>
        <v>9892</v>
      </c>
      <c r="S249" s="5">
        <f t="shared" si="47"/>
        <v>1</v>
      </c>
      <c r="T249" s="7">
        <f t="shared" si="48"/>
        <v>9892</v>
      </c>
    </row>
    <row r="250" spans="1:20">
      <c r="A250" s="23" t="s">
        <v>291</v>
      </c>
      <c r="B250" s="35" t="s">
        <v>284</v>
      </c>
      <c r="C250" s="36">
        <v>788</v>
      </c>
      <c r="D250" s="6"/>
      <c r="E250" s="113">
        <v>36562937</v>
      </c>
      <c r="F250" s="116">
        <f t="shared" si="49"/>
        <v>46399.666243654821</v>
      </c>
      <c r="G250" s="117">
        <v>24565657</v>
      </c>
      <c r="H250" s="117">
        <f t="shared" si="50"/>
        <v>31174.691624365481</v>
      </c>
      <c r="I250" s="7"/>
      <c r="J250" s="11">
        <v>5.15</v>
      </c>
      <c r="K250" s="117">
        <v>126513</v>
      </c>
      <c r="L250" s="120">
        <f t="shared" si="51"/>
        <v>160.54949238578681</v>
      </c>
      <c r="M250" s="122">
        <f t="shared" si="42"/>
        <v>245656.57</v>
      </c>
      <c r="N250" s="116">
        <f t="shared" si="43"/>
        <v>119143.57</v>
      </c>
      <c r="O250" s="123">
        <f t="shared" si="44"/>
        <v>151.19742385786802</v>
      </c>
      <c r="P250" s="5"/>
      <c r="Q250" s="5">
        <f t="shared" si="45"/>
        <v>1</v>
      </c>
      <c r="R250" s="7">
        <f t="shared" si="46"/>
        <v>788</v>
      </c>
      <c r="S250" s="5">
        <f t="shared" si="47"/>
        <v>1</v>
      </c>
      <c r="T250" s="7">
        <f t="shared" si="48"/>
        <v>788</v>
      </c>
    </row>
    <row r="251" spans="1:20">
      <c r="A251" s="23" t="s">
        <v>292</v>
      </c>
      <c r="B251" s="35" t="s">
        <v>284</v>
      </c>
      <c r="C251" s="36">
        <v>20560</v>
      </c>
      <c r="D251" s="6"/>
      <c r="E251" s="113">
        <v>1002714567</v>
      </c>
      <c r="F251" s="116">
        <f t="shared" si="49"/>
        <v>48770.163764591438</v>
      </c>
      <c r="G251" s="117">
        <v>748101632</v>
      </c>
      <c r="H251" s="117">
        <f t="shared" si="50"/>
        <v>36386.266147859926</v>
      </c>
      <c r="I251" s="7"/>
      <c r="J251" s="10">
        <v>4</v>
      </c>
      <c r="K251" s="117">
        <v>2992406</v>
      </c>
      <c r="L251" s="120">
        <f t="shared" si="51"/>
        <v>145.54503891050584</v>
      </c>
      <c r="M251" s="122">
        <f t="shared" si="42"/>
        <v>7481016.3200000003</v>
      </c>
      <c r="N251" s="116">
        <f t="shared" si="43"/>
        <v>4488610.32</v>
      </c>
      <c r="O251" s="123">
        <f t="shared" si="44"/>
        <v>218.31762256809341</v>
      </c>
      <c r="P251" s="5"/>
      <c r="Q251" s="5">
        <f t="shared" si="45"/>
        <v>1</v>
      </c>
      <c r="R251" s="7">
        <f t="shared" si="46"/>
        <v>20560</v>
      </c>
      <c r="S251" s="5">
        <f t="shared" si="47"/>
        <v>1</v>
      </c>
      <c r="T251" s="7">
        <f t="shared" si="48"/>
        <v>20560</v>
      </c>
    </row>
    <row r="252" spans="1:20">
      <c r="A252" s="23" t="s">
        <v>293</v>
      </c>
      <c r="B252" s="35" t="s">
        <v>284</v>
      </c>
      <c r="C252" s="36">
        <v>176373</v>
      </c>
      <c r="D252" s="6"/>
      <c r="E252" s="113">
        <v>14322533029</v>
      </c>
      <c r="F252" s="116">
        <f t="shared" si="49"/>
        <v>81205.927375505315</v>
      </c>
      <c r="G252" s="117">
        <v>8754782602</v>
      </c>
      <c r="H252" s="117">
        <f t="shared" si="50"/>
        <v>49637.884494792284</v>
      </c>
      <c r="I252" s="7"/>
      <c r="J252" s="10">
        <v>6.0666000000000002</v>
      </c>
      <c r="K252" s="117">
        <v>53111764</v>
      </c>
      <c r="L252" s="120">
        <f t="shared" si="51"/>
        <v>301.13318932036083</v>
      </c>
      <c r="M252" s="122">
        <f t="shared" si="42"/>
        <v>87547826.019999996</v>
      </c>
      <c r="N252" s="116">
        <f t="shared" si="43"/>
        <v>34436062.019999996</v>
      </c>
      <c r="O252" s="123">
        <f t="shared" si="44"/>
        <v>195.24565562756203</v>
      </c>
      <c r="P252" s="5"/>
      <c r="Q252" s="5">
        <f t="shared" si="45"/>
        <v>1</v>
      </c>
      <c r="R252" s="7">
        <f t="shared" si="46"/>
        <v>176373</v>
      </c>
      <c r="S252" s="5">
        <f t="shared" si="47"/>
        <v>1</v>
      </c>
      <c r="T252" s="7">
        <f t="shared" si="48"/>
        <v>176373</v>
      </c>
    </row>
    <row r="253" spans="1:20">
      <c r="A253" s="23" t="s">
        <v>294</v>
      </c>
      <c r="B253" s="35" t="s">
        <v>284</v>
      </c>
      <c r="C253" s="36">
        <v>1763</v>
      </c>
      <c r="D253" s="6"/>
      <c r="E253" s="113">
        <v>198686181</v>
      </c>
      <c r="F253" s="116">
        <f t="shared" si="49"/>
        <v>112697.77708451504</v>
      </c>
      <c r="G253" s="117">
        <v>174240453</v>
      </c>
      <c r="H253" s="117">
        <f t="shared" si="50"/>
        <v>98831.794100964267</v>
      </c>
      <c r="I253" s="7"/>
      <c r="J253" s="10">
        <v>2.4</v>
      </c>
      <c r="K253" s="117">
        <v>418177</v>
      </c>
      <c r="L253" s="120">
        <f t="shared" si="51"/>
        <v>237.19625638116847</v>
      </c>
      <c r="M253" s="122">
        <f t="shared" si="42"/>
        <v>1742404.53</v>
      </c>
      <c r="N253" s="116">
        <f t="shared" si="43"/>
        <v>1324227.53</v>
      </c>
      <c r="O253" s="123">
        <f t="shared" si="44"/>
        <v>751.12168462847421</v>
      </c>
      <c r="P253" s="5"/>
      <c r="Q253" s="5">
        <f t="shared" si="45"/>
        <v>1</v>
      </c>
      <c r="R253" s="7">
        <f t="shared" si="46"/>
        <v>1763</v>
      </c>
      <c r="S253" s="5">
        <f t="shared" si="47"/>
        <v>1</v>
      </c>
      <c r="T253" s="7">
        <f t="shared" si="48"/>
        <v>1763</v>
      </c>
    </row>
    <row r="254" spans="1:20">
      <c r="A254" s="23" t="s">
        <v>295</v>
      </c>
      <c r="B254" s="35" t="s">
        <v>284</v>
      </c>
      <c r="C254" s="36">
        <v>12738</v>
      </c>
      <c r="D254" s="6"/>
      <c r="E254" s="113">
        <v>475361779</v>
      </c>
      <c r="F254" s="116">
        <f t="shared" si="49"/>
        <v>37318.399984298951</v>
      </c>
      <c r="G254" s="117">
        <v>344363041</v>
      </c>
      <c r="H254" s="117">
        <f t="shared" si="50"/>
        <v>27034.310017271157</v>
      </c>
      <c r="I254" s="7"/>
      <c r="J254" s="10">
        <v>4.3040000000000003</v>
      </c>
      <c r="K254" s="117">
        <v>1482138</v>
      </c>
      <c r="L254" s="120">
        <f t="shared" si="51"/>
        <v>116.35562882713141</v>
      </c>
      <c r="M254" s="122">
        <f t="shared" si="42"/>
        <v>3443630.41</v>
      </c>
      <c r="N254" s="116">
        <f t="shared" si="43"/>
        <v>1961492.4100000001</v>
      </c>
      <c r="O254" s="123">
        <f t="shared" si="44"/>
        <v>153.98747134558016</v>
      </c>
      <c r="P254" s="5"/>
      <c r="Q254" s="5">
        <f t="shared" si="45"/>
        <v>1</v>
      </c>
      <c r="R254" s="7">
        <f t="shared" si="46"/>
        <v>12738</v>
      </c>
      <c r="S254" s="5">
        <f t="shared" si="47"/>
        <v>1</v>
      </c>
      <c r="T254" s="7">
        <f t="shared" si="48"/>
        <v>12738</v>
      </c>
    </row>
    <row r="255" spans="1:20">
      <c r="A255" s="23" t="s">
        <v>296</v>
      </c>
      <c r="B255" s="35" t="s">
        <v>284</v>
      </c>
      <c r="C255" s="36">
        <v>24855</v>
      </c>
      <c r="D255" s="6"/>
      <c r="E255" s="113">
        <v>2414447726</v>
      </c>
      <c r="F255" s="116">
        <f t="shared" si="49"/>
        <v>97141.328746731044</v>
      </c>
      <c r="G255" s="117">
        <v>1893483747</v>
      </c>
      <c r="H255" s="117">
        <f t="shared" si="50"/>
        <v>76181.200844900421</v>
      </c>
      <c r="I255" s="7"/>
      <c r="J255" s="10">
        <v>3.8530000000000002</v>
      </c>
      <c r="K255" s="117">
        <v>7295592</v>
      </c>
      <c r="L255" s="120">
        <f t="shared" si="51"/>
        <v>293.5261315630658</v>
      </c>
      <c r="M255" s="122">
        <f t="shared" si="42"/>
        <v>18934837.469999999</v>
      </c>
      <c r="N255" s="116">
        <f t="shared" si="43"/>
        <v>11639245.469999999</v>
      </c>
      <c r="O255" s="123">
        <f t="shared" si="44"/>
        <v>468.28587688593842</v>
      </c>
      <c r="P255" s="5"/>
      <c r="Q255" s="5">
        <f t="shared" si="45"/>
        <v>1</v>
      </c>
      <c r="R255" s="7">
        <f t="shared" si="46"/>
        <v>24855</v>
      </c>
      <c r="S255" s="5">
        <f t="shared" si="47"/>
        <v>1</v>
      </c>
      <c r="T255" s="7">
        <f t="shared" si="48"/>
        <v>24855</v>
      </c>
    </row>
    <row r="256" spans="1:20">
      <c r="A256" s="23" t="s">
        <v>297</v>
      </c>
      <c r="B256" s="35" t="s">
        <v>298</v>
      </c>
      <c r="C256" s="36">
        <v>38787</v>
      </c>
      <c r="D256" s="6"/>
      <c r="E256" s="113">
        <v>1473003689</v>
      </c>
      <c r="F256" s="116">
        <f t="shared" si="49"/>
        <v>37976.736767473638</v>
      </c>
      <c r="G256" s="117">
        <v>1134736071</v>
      </c>
      <c r="H256" s="117">
        <f t="shared" si="50"/>
        <v>29255.577152138601</v>
      </c>
      <c r="I256" s="7"/>
      <c r="J256" s="10">
        <v>4.5453000000000001</v>
      </c>
      <c r="K256" s="117">
        <v>5157715</v>
      </c>
      <c r="L256" s="120">
        <f t="shared" si="51"/>
        <v>132.97535256658159</v>
      </c>
      <c r="M256" s="122">
        <f t="shared" si="42"/>
        <v>11347360.710000001</v>
      </c>
      <c r="N256" s="116">
        <f t="shared" si="43"/>
        <v>6189645.7100000009</v>
      </c>
      <c r="O256" s="123">
        <f t="shared" si="44"/>
        <v>159.58041895480446</v>
      </c>
      <c r="P256" s="5"/>
      <c r="Q256" s="5">
        <f t="shared" si="45"/>
        <v>1</v>
      </c>
      <c r="R256" s="7">
        <f t="shared" si="46"/>
        <v>38787</v>
      </c>
      <c r="S256" s="5">
        <f t="shared" si="47"/>
        <v>1</v>
      </c>
      <c r="T256" s="7">
        <f t="shared" si="48"/>
        <v>38787</v>
      </c>
    </row>
    <row r="257" spans="1:20">
      <c r="A257" s="23" t="s">
        <v>546</v>
      </c>
      <c r="B257" s="35" t="s">
        <v>298</v>
      </c>
      <c r="C257" s="36">
        <v>16969</v>
      </c>
      <c r="D257" s="6"/>
      <c r="E257" s="113">
        <v>598806448</v>
      </c>
      <c r="F257" s="116">
        <f t="shared" si="49"/>
        <v>35288.257882020152</v>
      </c>
      <c r="G257" s="117">
        <v>413052018</v>
      </c>
      <c r="H257" s="117">
        <f t="shared" si="50"/>
        <v>24341.565089280452</v>
      </c>
      <c r="I257" s="7"/>
      <c r="J257" s="10">
        <v>4.1790000000000003</v>
      </c>
      <c r="K257" s="117">
        <v>1726144</v>
      </c>
      <c r="L257" s="120">
        <f t="shared" si="51"/>
        <v>101.72337792445047</v>
      </c>
      <c r="M257" s="122">
        <f t="shared" si="42"/>
        <v>4130520.18</v>
      </c>
      <c r="N257" s="116">
        <f t="shared" si="43"/>
        <v>2404376.1800000002</v>
      </c>
      <c r="O257" s="123">
        <f t="shared" si="44"/>
        <v>141.69227296835408</v>
      </c>
      <c r="P257" s="5"/>
      <c r="Q257" s="5">
        <f t="shared" si="45"/>
        <v>1</v>
      </c>
      <c r="R257" s="7">
        <f t="shared" si="46"/>
        <v>16969</v>
      </c>
      <c r="S257" s="5">
        <f t="shared" si="47"/>
        <v>1</v>
      </c>
      <c r="T257" s="7">
        <f t="shared" si="48"/>
        <v>16969</v>
      </c>
    </row>
    <row r="258" spans="1:20">
      <c r="A258" s="23" t="s">
        <v>299</v>
      </c>
      <c r="B258" s="35" t="s">
        <v>300</v>
      </c>
      <c r="C258" s="36">
        <v>1696</v>
      </c>
      <c r="D258" s="6"/>
      <c r="E258" s="113">
        <v>294057884</v>
      </c>
      <c r="F258" s="116">
        <f t="shared" si="49"/>
        <v>173383.18632075473</v>
      </c>
      <c r="G258" s="117">
        <v>271792313</v>
      </c>
      <c r="H258" s="117">
        <f t="shared" si="50"/>
        <v>160254.90153301886</v>
      </c>
      <c r="I258" s="7"/>
      <c r="J258" s="10">
        <v>7.7694999999999999</v>
      </c>
      <c r="K258" s="117">
        <v>2111690</v>
      </c>
      <c r="L258" s="120">
        <f t="shared" si="51"/>
        <v>1245.1002358490566</v>
      </c>
      <c r="M258" s="122">
        <f t="shared" si="42"/>
        <v>2717923.13</v>
      </c>
      <c r="N258" s="116">
        <f t="shared" si="43"/>
        <v>606233.12999999989</v>
      </c>
      <c r="O258" s="123">
        <f t="shared" si="44"/>
        <v>357.44877948113202</v>
      </c>
      <c r="P258" s="5"/>
      <c r="Q258" s="5">
        <f t="shared" si="45"/>
        <v>1</v>
      </c>
      <c r="R258" s="7">
        <f t="shared" si="46"/>
        <v>1696</v>
      </c>
      <c r="S258" s="5">
        <f t="shared" si="47"/>
        <v>1</v>
      </c>
      <c r="T258" s="7">
        <f t="shared" si="48"/>
        <v>1696</v>
      </c>
    </row>
    <row r="259" spans="1:20">
      <c r="A259" s="23" t="s">
        <v>301</v>
      </c>
      <c r="B259" s="35" t="s">
        <v>300</v>
      </c>
      <c r="C259" s="36">
        <v>16763</v>
      </c>
      <c r="D259" s="6"/>
      <c r="E259" s="113">
        <v>311682898</v>
      </c>
      <c r="F259" s="116">
        <f t="shared" si="49"/>
        <v>18593.503430173598</v>
      </c>
      <c r="G259" s="117">
        <v>183417725</v>
      </c>
      <c r="H259" s="117">
        <f t="shared" si="50"/>
        <v>10941.819781661994</v>
      </c>
      <c r="I259" s="7"/>
      <c r="J259" s="10">
        <v>9.1647999999999996</v>
      </c>
      <c r="K259" s="117">
        <v>1680986</v>
      </c>
      <c r="L259" s="120">
        <f t="shared" si="51"/>
        <v>100.2795442343256</v>
      </c>
      <c r="M259" s="122">
        <f t="shared" si="42"/>
        <v>1834177.25</v>
      </c>
      <c r="N259" s="116">
        <f t="shared" si="43"/>
        <v>153191.25</v>
      </c>
      <c r="O259" s="123">
        <f t="shared" si="44"/>
        <v>9.1386535822943387</v>
      </c>
      <c r="P259" s="5"/>
      <c r="Q259" s="5">
        <f t="shared" si="45"/>
        <v>1</v>
      </c>
      <c r="R259" s="7">
        <f t="shared" si="46"/>
        <v>16763</v>
      </c>
      <c r="S259" s="5">
        <f t="shared" si="47"/>
        <v>1</v>
      </c>
      <c r="T259" s="7">
        <f t="shared" si="48"/>
        <v>16763</v>
      </c>
    </row>
    <row r="260" spans="1:20">
      <c r="A260" s="23" t="s">
        <v>302</v>
      </c>
      <c r="B260" s="35" t="s">
        <v>300</v>
      </c>
      <c r="C260" s="36">
        <v>68432</v>
      </c>
      <c r="D260" s="6"/>
      <c r="E260" s="113">
        <v>9557943822</v>
      </c>
      <c r="F260" s="116">
        <f t="shared" si="49"/>
        <v>139670.67778232406</v>
      </c>
      <c r="G260" s="117">
        <v>8049497089</v>
      </c>
      <c r="H260" s="117">
        <f t="shared" si="50"/>
        <v>117627.67548807575</v>
      </c>
      <c r="I260" s="7"/>
      <c r="J260" s="10">
        <v>3.1271</v>
      </c>
      <c r="K260" s="117">
        <v>25171582</v>
      </c>
      <c r="L260" s="120">
        <f t="shared" si="51"/>
        <v>367.83349894786068</v>
      </c>
      <c r="M260" s="122">
        <f t="shared" si="42"/>
        <v>80494970.890000001</v>
      </c>
      <c r="N260" s="116">
        <f t="shared" si="43"/>
        <v>55323388.890000001</v>
      </c>
      <c r="O260" s="123">
        <f t="shared" si="44"/>
        <v>808.44325593289693</v>
      </c>
      <c r="P260" s="5"/>
      <c r="Q260" s="5">
        <f t="shared" si="45"/>
        <v>1</v>
      </c>
      <c r="R260" s="7">
        <f t="shared" si="46"/>
        <v>68432</v>
      </c>
      <c r="S260" s="5">
        <f t="shared" si="47"/>
        <v>1</v>
      </c>
      <c r="T260" s="7">
        <f t="shared" si="48"/>
        <v>68432</v>
      </c>
    </row>
    <row r="261" spans="1:20">
      <c r="A261" s="23" t="s">
        <v>303</v>
      </c>
      <c r="B261" s="35" t="s">
        <v>300</v>
      </c>
      <c r="C261" s="36">
        <v>52311</v>
      </c>
      <c r="D261" s="6"/>
      <c r="E261" s="113">
        <v>2954088835</v>
      </c>
      <c r="F261" s="116">
        <f t="shared" si="49"/>
        <v>56471.656726118788</v>
      </c>
      <c r="G261" s="117">
        <v>2245940786</v>
      </c>
      <c r="H261" s="117">
        <f t="shared" si="50"/>
        <v>42934.38829309323</v>
      </c>
      <c r="I261" s="7"/>
      <c r="J261" s="10">
        <v>7.9250999999999996</v>
      </c>
      <c r="K261" s="117">
        <v>17799305</v>
      </c>
      <c r="L261" s="120">
        <f t="shared" si="51"/>
        <v>340.25931448452525</v>
      </c>
      <c r="M261" s="122">
        <f t="shared" si="42"/>
        <v>22459407.859999999</v>
      </c>
      <c r="N261" s="116">
        <f t="shared" si="43"/>
        <v>4660102.8599999994</v>
      </c>
      <c r="O261" s="123">
        <f t="shared" si="44"/>
        <v>89.084568446407047</v>
      </c>
      <c r="P261" s="5"/>
      <c r="Q261" s="5">
        <f t="shared" si="45"/>
        <v>1</v>
      </c>
      <c r="R261" s="7">
        <f t="shared" si="46"/>
        <v>52311</v>
      </c>
      <c r="S261" s="5">
        <f t="shared" si="47"/>
        <v>1</v>
      </c>
      <c r="T261" s="7">
        <f t="shared" si="48"/>
        <v>52311</v>
      </c>
    </row>
    <row r="262" spans="1:20">
      <c r="A262" s="23" t="s">
        <v>304</v>
      </c>
      <c r="B262" s="35" t="s">
        <v>300</v>
      </c>
      <c r="C262" s="36">
        <v>399</v>
      </c>
      <c r="D262" s="6"/>
      <c r="E262" s="113">
        <v>19226054</v>
      </c>
      <c r="F262" s="116">
        <f t="shared" si="49"/>
        <v>48185.598997493733</v>
      </c>
      <c r="G262" s="117">
        <v>15180165</v>
      </c>
      <c r="H262" s="117">
        <f t="shared" si="50"/>
        <v>38045.526315789473</v>
      </c>
      <c r="I262" s="7"/>
      <c r="J262" s="10">
        <v>1.2901</v>
      </c>
      <c r="K262" s="117">
        <v>19583</v>
      </c>
      <c r="L262" s="120">
        <f t="shared" si="51"/>
        <v>49.080200501253131</v>
      </c>
      <c r="M262" s="122">
        <f t="shared" ref="M262:M325" si="52">(G262*0.01)</f>
        <v>151801.65</v>
      </c>
      <c r="N262" s="116">
        <f t="shared" ref="N262:N325" si="53">(M262-K262)</f>
        <v>132218.65</v>
      </c>
      <c r="O262" s="123">
        <f t="shared" ref="O262:O325" si="54">(N262/C262)</f>
        <v>331.3750626566416</v>
      </c>
      <c r="P262" s="5"/>
      <c r="Q262" s="5">
        <f t="shared" si="45"/>
        <v>1</v>
      </c>
      <c r="R262" s="7">
        <f t="shared" si="46"/>
        <v>399</v>
      </c>
      <c r="S262" s="5">
        <f t="shared" si="47"/>
        <v>1</v>
      </c>
      <c r="T262" s="7">
        <f t="shared" si="48"/>
        <v>399</v>
      </c>
    </row>
    <row r="263" spans="1:20">
      <c r="A263" s="23" t="s">
        <v>305</v>
      </c>
      <c r="B263" s="35" t="s">
        <v>300</v>
      </c>
      <c r="C263" s="36">
        <v>116</v>
      </c>
      <c r="D263" s="6"/>
      <c r="E263" s="113">
        <v>4415727</v>
      </c>
      <c r="F263" s="116">
        <f t="shared" si="49"/>
        <v>38066.612068965514</v>
      </c>
      <c r="G263" s="117">
        <v>3568615</v>
      </c>
      <c r="H263" s="117">
        <f t="shared" si="50"/>
        <v>30763.922413793105</v>
      </c>
      <c r="I263" s="98" t="s">
        <v>528</v>
      </c>
      <c r="J263" s="10"/>
      <c r="K263" s="117"/>
      <c r="L263" s="120"/>
      <c r="M263" s="122">
        <f t="shared" si="52"/>
        <v>35686.15</v>
      </c>
      <c r="N263" s="116">
        <f t="shared" si="53"/>
        <v>35686.15</v>
      </c>
      <c r="O263" s="123">
        <f t="shared" si="54"/>
        <v>307.63922413793102</v>
      </c>
      <c r="P263" s="5"/>
      <c r="Q263" s="5">
        <f t="shared" ref="Q263:Q326" si="55">IF(E263&gt;0,1,0)</f>
        <v>1</v>
      </c>
      <c r="R263" s="7">
        <f t="shared" ref="R263:R326" si="56">IF(E263&gt;0,C263,0)</f>
        <v>116</v>
      </c>
      <c r="S263" s="5">
        <f t="shared" ref="S263:S326" si="57">IF(J263&gt;0,1,0)</f>
        <v>0</v>
      </c>
      <c r="T263" s="7">
        <f t="shared" ref="T263:T326" si="58">IF(J263&gt;0,C263,0)</f>
        <v>0</v>
      </c>
    </row>
    <row r="264" spans="1:20">
      <c r="A264" s="23" t="s">
        <v>306</v>
      </c>
      <c r="B264" s="35" t="s">
        <v>300</v>
      </c>
      <c r="C264" s="36">
        <v>52920</v>
      </c>
      <c r="D264" s="6"/>
      <c r="E264" s="113">
        <v>3433513828</v>
      </c>
      <c r="F264" s="116">
        <f t="shared" si="49"/>
        <v>64881.21368102797</v>
      </c>
      <c r="G264" s="117">
        <v>2758936396</v>
      </c>
      <c r="H264" s="117">
        <f t="shared" si="50"/>
        <v>52134.096674225242</v>
      </c>
      <c r="I264" s="7"/>
      <c r="J264" s="10">
        <v>6.95</v>
      </c>
      <c r="K264" s="117">
        <v>19174607</v>
      </c>
      <c r="L264" s="120">
        <f>(K264/C264)</f>
        <v>362.3319538926682</v>
      </c>
      <c r="M264" s="122">
        <f t="shared" si="52"/>
        <v>27589363.960000001</v>
      </c>
      <c r="N264" s="116">
        <f t="shared" si="53"/>
        <v>8414756.9600000009</v>
      </c>
      <c r="O264" s="123">
        <f t="shared" si="54"/>
        <v>159.00901284958431</v>
      </c>
      <c r="P264" s="5"/>
      <c r="Q264" s="5">
        <f t="shared" si="55"/>
        <v>1</v>
      </c>
      <c r="R264" s="7">
        <f t="shared" si="56"/>
        <v>52920</v>
      </c>
      <c r="S264" s="5">
        <f t="shared" si="57"/>
        <v>1</v>
      </c>
      <c r="T264" s="7">
        <f t="shared" si="58"/>
        <v>52920</v>
      </c>
    </row>
    <row r="265" spans="1:20">
      <c r="A265" s="23" t="s">
        <v>307</v>
      </c>
      <c r="B265" s="35" t="s">
        <v>300</v>
      </c>
      <c r="C265" s="36">
        <v>219</v>
      </c>
      <c r="D265" s="6"/>
      <c r="E265" s="113">
        <v>11052106</v>
      </c>
      <c r="F265" s="116">
        <f t="shared" si="49"/>
        <v>50466.237442922371</v>
      </c>
      <c r="G265" s="117">
        <v>9348198</v>
      </c>
      <c r="H265" s="117">
        <f t="shared" si="50"/>
        <v>42685.835616438359</v>
      </c>
      <c r="I265" s="98" t="s">
        <v>528</v>
      </c>
      <c r="J265" s="10"/>
      <c r="K265" s="117"/>
      <c r="L265" s="120"/>
      <c r="M265" s="122">
        <f t="shared" si="52"/>
        <v>93481.98</v>
      </c>
      <c r="N265" s="116">
        <f t="shared" si="53"/>
        <v>93481.98</v>
      </c>
      <c r="O265" s="123">
        <f t="shared" si="54"/>
        <v>426.85835616438357</v>
      </c>
      <c r="P265" s="5"/>
      <c r="Q265" s="5">
        <f t="shared" si="55"/>
        <v>1</v>
      </c>
      <c r="R265" s="7">
        <f t="shared" si="56"/>
        <v>219</v>
      </c>
      <c r="S265" s="5">
        <f t="shared" si="57"/>
        <v>0</v>
      </c>
      <c r="T265" s="7">
        <f t="shared" si="58"/>
        <v>0</v>
      </c>
    </row>
    <row r="266" spans="1:20">
      <c r="A266" s="23" t="s">
        <v>308</v>
      </c>
      <c r="B266" s="35" t="s">
        <v>300</v>
      </c>
      <c r="C266" s="36">
        <v>191</v>
      </c>
      <c r="D266" s="6"/>
      <c r="E266" s="113">
        <v>76307743</v>
      </c>
      <c r="F266" s="116">
        <f t="shared" si="49"/>
        <v>399516.97905759164</v>
      </c>
      <c r="G266" s="117">
        <v>63578815</v>
      </c>
      <c r="H266" s="117">
        <f t="shared" si="50"/>
        <v>332873.37696335081</v>
      </c>
      <c r="I266" s="7"/>
      <c r="J266" s="10">
        <v>6.6505000000000001</v>
      </c>
      <c r="K266" s="117">
        <v>422830</v>
      </c>
      <c r="L266" s="120">
        <f t="shared" ref="L266:L297" si="59">(K266/C266)</f>
        <v>2213.7696335078535</v>
      </c>
      <c r="M266" s="122">
        <f t="shared" si="52"/>
        <v>635788.15</v>
      </c>
      <c r="N266" s="116">
        <f t="shared" si="53"/>
        <v>212958.15000000002</v>
      </c>
      <c r="O266" s="123">
        <f t="shared" si="54"/>
        <v>1114.9641361256545</v>
      </c>
      <c r="P266" s="5"/>
      <c r="Q266" s="5">
        <f t="shared" si="55"/>
        <v>1</v>
      </c>
      <c r="R266" s="7">
        <f t="shared" si="56"/>
        <v>191</v>
      </c>
      <c r="S266" s="5">
        <f t="shared" si="57"/>
        <v>1</v>
      </c>
      <c r="T266" s="7">
        <f t="shared" si="58"/>
        <v>191</v>
      </c>
    </row>
    <row r="267" spans="1:20">
      <c r="A267" s="23" t="s">
        <v>481</v>
      </c>
      <c r="B267" s="35" t="s">
        <v>300</v>
      </c>
      <c r="C267" s="36">
        <v>153</v>
      </c>
      <c r="D267" s="6"/>
      <c r="E267" s="113">
        <v>13237873</v>
      </c>
      <c r="F267" s="116">
        <f t="shared" si="49"/>
        <v>86522.045751633981</v>
      </c>
      <c r="G267" s="117">
        <v>11548640</v>
      </c>
      <c r="H267" s="117">
        <f t="shared" si="50"/>
        <v>75481.30718954248</v>
      </c>
      <c r="I267" s="7"/>
      <c r="J267" s="10">
        <v>3.0592000000000001</v>
      </c>
      <c r="K267" s="117">
        <v>35329</v>
      </c>
      <c r="L267" s="120">
        <f t="shared" si="59"/>
        <v>230.90849673202615</v>
      </c>
      <c r="M267" s="122">
        <f t="shared" si="52"/>
        <v>115486.40000000001</v>
      </c>
      <c r="N267" s="116">
        <f t="shared" si="53"/>
        <v>80157.400000000009</v>
      </c>
      <c r="O267" s="123">
        <f t="shared" si="54"/>
        <v>523.9045751633987</v>
      </c>
      <c r="P267" s="5"/>
      <c r="Q267" s="5">
        <f t="shared" si="55"/>
        <v>1</v>
      </c>
      <c r="R267" s="7">
        <f t="shared" si="56"/>
        <v>153</v>
      </c>
      <c r="S267" s="5">
        <f t="shared" si="57"/>
        <v>1</v>
      </c>
      <c r="T267" s="7">
        <f t="shared" si="58"/>
        <v>153</v>
      </c>
    </row>
    <row r="268" spans="1:20">
      <c r="A268" s="23" t="s">
        <v>309</v>
      </c>
      <c r="B268" s="35" t="s">
        <v>300</v>
      </c>
      <c r="C268" s="36">
        <v>24065</v>
      </c>
      <c r="D268" s="6"/>
      <c r="E268" s="113">
        <v>817258225</v>
      </c>
      <c r="F268" s="116">
        <f t="shared" si="49"/>
        <v>33960.449823394971</v>
      </c>
      <c r="G268" s="117">
        <v>620219288</v>
      </c>
      <c r="H268" s="117">
        <f t="shared" si="50"/>
        <v>25772.669353833367</v>
      </c>
      <c r="I268" s="7"/>
      <c r="J268" s="10">
        <v>5.9</v>
      </c>
      <c r="K268" s="117">
        <v>3659293</v>
      </c>
      <c r="L268" s="120">
        <f t="shared" si="59"/>
        <v>152.05871597756078</v>
      </c>
      <c r="M268" s="122">
        <f t="shared" si="52"/>
        <v>6202192.8799999999</v>
      </c>
      <c r="N268" s="116">
        <f t="shared" si="53"/>
        <v>2542899.88</v>
      </c>
      <c r="O268" s="123">
        <f t="shared" si="54"/>
        <v>105.6679775607729</v>
      </c>
      <c r="P268" s="5"/>
      <c r="Q268" s="5">
        <f t="shared" si="55"/>
        <v>1</v>
      </c>
      <c r="R268" s="7">
        <f t="shared" si="56"/>
        <v>24065</v>
      </c>
      <c r="S268" s="5">
        <f t="shared" si="57"/>
        <v>1</v>
      </c>
      <c r="T268" s="7">
        <f t="shared" si="58"/>
        <v>24065</v>
      </c>
    </row>
    <row r="269" spans="1:20">
      <c r="A269" s="23" t="s">
        <v>310</v>
      </c>
      <c r="B269" s="35" t="s">
        <v>300</v>
      </c>
      <c r="C269" s="36">
        <v>709</v>
      </c>
      <c r="D269" s="6"/>
      <c r="E269" s="113">
        <v>318401778</v>
      </c>
      <c r="F269" s="116">
        <f t="shared" si="49"/>
        <v>449085.72355430183</v>
      </c>
      <c r="G269" s="117">
        <v>297015850</v>
      </c>
      <c r="H269" s="117">
        <f t="shared" si="50"/>
        <v>418922.21438645979</v>
      </c>
      <c r="I269" s="7"/>
      <c r="J269" s="10">
        <v>4.0856000000000003</v>
      </c>
      <c r="K269" s="117">
        <v>1213487</v>
      </c>
      <c r="L269" s="120">
        <f t="shared" si="59"/>
        <v>1711.5472496473908</v>
      </c>
      <c r="M269" s="122">
        <f t="shared" si="52"/>
        <v>2970158.5</v>
      </c>
      <c r="N269" s="116">
        <f t="shared" si="53"/>
        <v>1756671.5</v>
      </c>
      <c r="O269" s="123">
        <f t="shared" si="54"/>
        <v>2477.6748942172071</v>
      </c>
      <c r="P269" s="5"/>
      <c r="Q269" s="5">
        <f t="shared" si="55"/>
        <v>1</v>
      </c>
      <c r="R269" s="7">
        <f t="shared" si="56"/>
        <v>709</v>
      </c>
      <c r="S269" s="5">
        <f t="shared" si="57"/>
        <v>1</v>
      </c>
      <c r="T269" s="7">
        <f t="shared" si="58"/>
        <v>709</v>
      </c>
    </row>
    <row r="270" spans="1:20">
      <c r="A270" s="23" t="s">
        <v>311</v>
      </c>
      <c r="B270" s="35" t="s">
        <v>300</v>
      </c>
      <c r="C270" s="36">
        <v>1184</v>
      </c>
      <c r="D270" s="6"/>
      <c r="E270" s="113">
        <v>50580452</v>
      </c>
      <c r="F270" s="116">
        <f t="shared" si="49"/>
        <v>42719.976351351354</v>
      </c>
      <c r="G270" s="117">
        <v>36215640</v>
      </c>
      <c r="H270" s="117">
        <f t="shared" si="50"/>
        <v>30587.533783783783</v>
      </c>
      <c r="I270" s="7"/>
      <c r="J270" s="10">
        <v>4</v>
      </c>
      <c r="K270" s="117">
        <v>144862</v>
      </c>
      <c r="L270" s="120">
        <f t="shared" si="59"/>
        <v>122.34966216216216</v>
      </c>
      <c r="M270" s="122">
        <f t="shared" si="52"/>
        <v>362156.4</v>
      </c>
      <c r="N270" s="116">
        <f t="shared" si="53"/>
        <v>217294.40000000002</v>
      </c>
      <c r="O270" s="123">
        <f t="shared" si="54"/>
        <v>183.5256756756757</v>
      </c>
      <c r="P270" s="5"/>
      <c r="Q270" s="5">
        <f t="shared" si="55"/>
        <v>1</v>
      </c>
      <c r="R270" s="7">
        <f t="shared" si="56"/>
        <v>1184</v>
      </c>
      <c r="S270" s="5">
        <f t="shared" si="57"/>
        <v>1</v>
      </c>
      <c r="T270" s="7">
        <f t="shared" si="58"/>
        <v>1184</v>
      </c>
    </row>
    <row r="271" spans="1:20">
      <c r="A271" s="23" t="s">
        <v>312</v>
      </c>
      <c r="B271" s="35" t="s">
        <v>300</v>
      </c>
      <c r="C271" s="36">
        <v>3285</v>
      </c>
      <c r="D271" s="6"/>
      <c r="E271" s="113">
        <v>772325019</v>
      </c>
      <c r="F271" s="116">
        <f t="shared" si="49"/>
        <v>235106.55068493151</v>
      </c>
      <c r="G271" s="117">
        <v>721608034</v>
      </c>
      <c r="H271" s="117">
        <f t="shared" si="50"/>
        <v>219667.59025875191</v>
      </c>
      <c r="I271" s="7"/>
      <c r="J271" s="10">
        <v>3.7252000000000001</v>
      </c>
      <c r="K271" s="117">
        <v>2688134</v>
      </c>
      <c r="L271" s="120">
        <f t="shared" si="59"/>
        <v>818.3056316590563</v>
      </c>
      <c r="M271" s="122">
        <f t="shared" si="52"/>
        <v>7216080.3399999999</v>
      </c>
      <c r="N271" s="116">
        <f t="shared" si="53"/>
        <v>4527946.34</v>
      </c>
      <c r="O271" s="123">
        <f t="shared" si="54"/>
        <v>1378.3702709284626</v>
      </c>
      <c r="P271" s="5"/>
      <c r="Q271" s="5">
        <f t="shared" si="55"/>
        <v>1</v>
      </c>
      <c r="R271" s="7">
        <f t="shared" si="56"/>
        <v>3285</v>
      </c>
      <c r="S271" s="5">
        <f t="shared" si="57"/>
        <v>1</v>
      </c>
      <c r="T271" s="7">
        <f t="shared" si="58"/>
        <v>3285</v>
      </c>
    </row>
    <row r="272" spans="1:20">
      <c r="A272" s="23" t="s">
        <v>313</v>
      </c>
      <c r="B272" s="35" t="s">
        <v>300</v>
      </c>
      <c r="C272" s="36">
        <v>1380</v>
      </c>
      <c r="D272" s="6"/>
      <c r="E272" s="113">
        <v>160159907</v>
      </c>
      <c r="F272" s="116">
        <f t="shared" si="49"/>
        <v>116057.90362318841</v>
      </c>
      <c r="G272" s="117">
        <v>147895684</v>
      </c>
      <c r="H272" s="117">
        <f t="shared" si="50"/>
        <v>107170.78550724637</v>
      </c>
      <c r="I272" s="7"/>
      <c r="J272" s="10">
        <v>3.25</v>
      </c>
      <c r="K272" s="117">
        <v>480660</v>
      </c>
      <c r="L272" s="120">
        <f t="shared" si="59"/>
        <v>348.30434782608694</v>
      </c>
      <c r="M272" s="122">
        <f t="shared" si="52"/>
        <v>1478956.84</v>
      </c>
      <c r="N272" s="116">
        <f t="shared" si="53"/>
        <v>998296.84000000008</v>
      </c>
      <c r="O272" s="123">
        <f t="shared" si="54"/>
        <v>723.40350724637688</v>
      </c>
      <c r="P272" s="5"/>
      <c r="Q272" s="5">
        <f t="shared" si="55"/>
        <v>1</v>
      </c>
      <c r="R272" s="7">
        <f t="shared" si="56"/>
        <v>1380</v>
      </c>
      <c r="S272" s="5">
        <f t="shared" si="57"/>
        <v>1</v>
      </c>
      <c r="T272" s="7">
        <f t="shared" si="58"/>
        <v>1380</v>
      </c>
    </row>
    <row r="273" spans="1:20">
      <c r="A273" s="23" t="s">
        <v>314</v>
      </c>
      <c r="B273" s="35" t="s">
        <v>300</v>
      </c>
      <c r="C273" s="36">
        <v>2845</v>
      </c>
      <c r="D273" s="6"/>
      <c r="E273" s="113">
        <v>502564715</v>
      </c>
      <c r="F273" s="116">
        <f t="shared" si="49"/>
        <v>176648.40597539544</v>
      </c>
      <c r="G273" s="117">
        <v>448462645</v>
      </c>
      <c r="H273" s="117">
        <f t="shared" si="50"/>
        <v>157631.86115992971</v>
      </c>
      <c r="I273" s="9"/>
      <c r="J273" s="10">
        <v>4.0708000000000002</v>
      </c>
      <c r="K273" s="117">
        <v>1825601</v>
      </c>
      <c r="L273" s="120">
        <f t="shared" si="59"/>
        <v>641.68752196836556</v>
      </c>
      <c r="M273" s="122">
        <f t="shared" si="52"/>
        <v>4484626.45</v>
      </c>
      <c r="N273" s="116">
        <f t="shared" si="53"/>
        <v>2659025.4500000002</v>
      </c>
      <c r="O273" s="123">
        <f t="shared" si="54"/>
        <v>934.63108963093157</v>
      </c>
      <c r="P273" s="5"/>
      <c r="Q273" s="5">
        <f t="shared" si="55"/>
        <v>1</v>
      </c>
      <c r="R273" s="7">
        <f t="shared" si="56"/>
        <v>2845</v>
      </c>
      <c r="S273" s="5">
        <f t="shared" si="57"/>
        <v>1</v>
      </c>
      <c r="T273" s="7">
        <f t="shared" si="58"/>
        <v>2845</v>
      </c>
    </row>
    <row r="274" spans="1:20">
      <c r="A274" s="23" t="s">
        <v>315</v>
      </c>
      <c r="B274" s="35" t="s">
        <v>300</v>
      </c>
      <c r="C274" s="36">
        <v>30992</v>
      </c>
      <c r="D274" s="6"/>
      <c r="E274" s="113">
        <v>3260657863</v>
      </c>
      <c r="F274" s="116">
        <f t="shared" si="49"/>
        <v>105209.66259034589</v>
      </c>
      <c r="G274" s="117">
        <v>2663681301</v>
      </c>
      <c r="H274" s="117">
        <f t="shared" si="50"/>
        <v>85947.383227929793</v>
      </c>
      <c r="I274" s="9"/>
      <c r="J274" s="10">
        <v>2.2679999999999998</v>
      </c>
      <c r="K274" s="117">
        <v>6041229</v>
      </c>
      <c r="L274" s="120">
        <f t="shared" si="59"/>
        <v>194.92865900877646</v>
      </c>
      <c r="M274" s="122">
        <f t="shared" si="52"/>
        <v>26636813.010000002</v>
      </c>
      <c r="N274" s="116">
        <f t="shared" si="53"/>
        <v>20595584.010000002</v>
      </c>
      <c r="O274" s="123">
        <f t="shared" si="54"/>
        <v>664.54517327052145</v>
      </c>
      <c r="P274" s="5"/>
      <c r="Q274" s="5">
        <f t="shared" si="55"/>
        <v>1</v>
      </c>
      <c r="R274" s="7">
        <f t="shared" si="56"/>
        <v>30992</v>
      </c>
      <c r="S274" s="5">
        <f t="shared" si="57"/>
        <v>1</v>
      </c>
      <c r="T274" s="7">
        <f t="shared" si="58"/>
        <v>30992</v>
      </c>
    </row>
    <row r="275" spans="1:20">
      <c r="A275" s="23" t="s">
        <v>316</v>
      </c>
      <c r="B275" s="35" t="s">
        <v>300</v>
      </c>
      <c r="C275" s="36">
        <v>414</v>
      </c>
      <c r="D275" s="6"/>
      <c r="E275" s="113">
        <v>97547671</v>
      </c>
      <c r="F275" s="116">
        <f t="shared" si="49"/>
        <v>235622.39371980677</v>
      </c>
      <c r="G275" s="117">
        <v>85531087</v>
      </c>
      <c r="H275" s="117">
        <f t="shared" si="50"/>
        <v>206596.82850241545</v>
      </c>
      <c r="I275" s="7"/>
      <c r="J275" s="10">
        <v>5.4702999999999999</v>
      </c>
      <c r="K275" s="117">
        <v>467880</v>
      </c>
      <c r="L275" s="120">
        <f t="shared" si="59"/>
        <v>1130.144927536232</v>
      </c>
      <c r="M275" s="122">
        <f t="shared" si="52"/>
        <v>855310.87</v>
      </c>
      <c r="N275" s="116">
        <f t="shared" si="53"/>
        <v>387430.87</v>
      </c>
      <c r="O275" s="123">
        <f t="shared" si="54"/>
        <v>935.82335748792275</v>
      </c>
      <c r="P275" s="5"/>
      <c r="Q275" s="5">
        <f t="shared" si="55"/>
        <v>1</v>
      </c>
      <c r="R275" s="7">
        <f t="shared" si="56"/>
        <v>414</v>
      </c>
      <c r="S275" s="5">
        <f t="shared" si="57"/>
        <v>1</v>
      </c>
      <c r="T275" s="7">
        <f t="shared" si="58"/>
        <v>414</v>
      </c>
    </row>
    <row r="276" spans="1:20">
      <c r="A276" s="23" t="s">
        <v>317</v>
      </c>
      <c r="B276" s="35" t="s">
        <v>300</v>
      </c>
      <c r="C276" s="36">
        <v>3648</v>
      </c>
      <c r="D276" s="6"/>
      <c r="E276" s="113">
        <v>174459533</v>
      </c>
      <c r="F276" s="116">
        <f t="shared" si="49"/>
        <v>47823.336896929824</v>
      </c>
      <c r="G276" s="117">
        <v>139053838</v>
      </c>
      <c r="H276" s="117">
        <f t="shared" si="50"/>
        <v>38117.828399122809</v>
      </c>
      <c r="I276" s="9"/>
      <c r="J276" s="11">
        <v>4.3163999999999998</v>
      </c>
      <c r="K276" s="117">
        <v>600211</v>
      </c>
      <c r="L276" s="120">
        <f t="shared" si="59"/>
        <v>164.53152412280701</v>
      </c>
      <c r="M276" s="122">
        <f t="shared" si="52"/>
        <v>1390538.3800000001</v>
      </c>
      <c r="N276" s="116">
        <f t="shared" si="53"/>
        <v>790327.38000000012</v>
      </c>
      <c r="O276" s="123">
        <f t="shared" si="54"/>
        <v>216.6467598684211</v>
      </c>
      <c r="P276" s="5"/>
      <c r="Q276" s="5">
        <f t="shared" si="55"/>
        <v>1</v>
      </c>
      <c r="R276" s="7">
        <f t="shared" si="56"/>
        <v>3648</v>
      </c>
      <c r="S276" s="5">
        <f t="shared" si="57"/>
        <v>1</v>
      </c>
      <c r="T276" s="7">
        <f t="shared" si="58"/>
        <v>3648</v>
      </c>
    </row>
    <row r="277" spans="1:20">
      <c r="A277" s="23" t="s">
        <v>318</v>
      </c>
      <c r="B277" s="35" t="s">
        <v>300</v>
      </c>
      <c r="C277" s="36">
        <v>6864</v>
      </c>
      <c r="D277" s="6"/>
      <c r="E277" s="113">
        <v>328638884</v>
      </c>
      <c r="F277" s="116">
        <f t="shared" si="49"/>
        <v>47878.625291375291</v>
      </c>
      <c r="G277" s="117">
        <v>267198028</v>
      </c>
      <c r="H277" s="117">
        <f t="shared" si="50"/>
        <v>38927.451631701631</v>
      </c>
      <c r="I277" s="7"/>
      <c r="J277" s="10">
        <v>8.3914000000000009</v>
      </c>
      <c r="K277" s="117">
        <v>2242165</v>
      </c>
      <c r="L277" s="120">
        <f t="shared" si="59"/>
        <v>326.65574009324007</v>
      </c>
      <c r="M277" s="122">
        <f t="shared" si="52"/>
        <v>2671980.2800000003</v>
      </c>
      <c r="N277" s="116">
        <f t="shared" si="53"/>
        <v>429815.28000000026</v>
      </c>
      <c r="O277" s="123">
        <f t="shared" si="54"/>
        <v>62.618776223776258</v>
      </c>
      <c r="P277" s="5"/>
      <c r="Q277" s="5">
        <f t="shared" si="55"/>
        <v>1</v>
      </c>
      <c r="R277" s="7">
        <f t="shared" si="56"/>
        <v>6864</v>
      </c>
      <c r="S277" s="5">
        <f t="shared" si="57"/>
        <v>1</v>
      </c>
      <c r="T277" s="7">
        <f t="shared" si="58"/>
        <v>6864</v>
      </c>
    </row>
    <row r="278" spans="1:20">
      <c r="A278" s="24" t="s">
        <v>628</v>
      </c>
      <c r="B278" s="35" t="s">
        <v>300</v>
      </c>
      <c r="C278" s="36">
        <v>30295</v>
      </c>
      <c r="D278" s="6"/>
      <c r="E278" s="113">
        <v>985071511</v>
      </c>
      <c r="F278" s="116">
        <f t="shared" si="49"/>
        <v>32515.976596798151</v>
      </c>
      <c r="G278" s="117">
        <v>667451327</v>
      </c>
      <c r="H278" s="117">
        <f t="shared" si="50"/>
        <v>22031.73220003301</v>
      </c>
      <c r="I278" s="7"/>
      <c r="J278" s="12">
        <v>8.1</v>
      </c>
      <c r="K278" s="117">
        <v>5406355</v>
      </c>
      <c r="L278" s="120">
        <f t="shared" si="59"/>
        <v>178.45700610661825</v>
      </c>
      <c r="M278" s="122">
        <f t="shared" si="52"/>
        <v>6674513.2700000005</v>
      </c>
      <c r="N278" s="116">
        <f t="shared" si="53"/>
        <v>1268158.2700000005</v>
      </c>
      <c r="O278" s="123">
        <f t="shared" si="54"/>
        <v>41.860315893711849</v>
      </c>
      <c r="P278" s="5"/>
      <c r="Q278" s="5">
        <f t="shared" si="55"/>
        <v>1</v>
      </c>
      <c r="R278" s="7">
        <f t="shared" si="56"/>
        <v>30295</v>
      </c>
      <c r="S278" s="5">
        <f t="shared" si="57"/>
        <v>1</v>
      </c>
      <c r="T278" s="7">
        <f t="shared" si="58"/>
        <v>30295</v>
      </c>
    </row>
    <row r="279" spans="1:20">
      <c r="A279" s="23" t="s">
        <v>319</v>
      </c>
      <c r="B279" s="35" t="s">
        <v>300</v>
      </c>
      <c r="C279" s="36">
        <v>8595</v>
      </c>
      <c r="D279" s="6"/>
      <c r="E279" s="113">
        <v>439404003</v>
      </c>
      <c r="F279" s="116">
        <f t="shared" si="49"/>
        <v>51123.211518324606</v>
      </c>
      <c r="G279" s="117">
        <v>341966726</v>
      </c>
      <c r="H279" s="117">
        <f t="shared" si="50"/>
        <v>39786.70459569517</v>
      </c>
      <c r="I279" s="7"/>
      <c r="J279" s="10">
        <v>6.4813999999999998</v>
      </c>
      <c r="K279" s="117">
        <v>2216423</v>
      </c>
      <c r="L279" s="120">
        <f t="shared" si="59"/>
        <v>257.87353112274576</v>
      </c>
      <c r="M279" s="122">
        <f t="shared" si="52"/>
        <v>3419667.2600000002</v>
      </c>
      <c r="N279" s="116">
        <f t="shared" si="53"/>
        <v>1203244.2600000002</v>
      </c>
      <c r="O279" s="123">
        <f t="shared" si="54"/>
        <v>139.99351483420597</v>
      </c>
      <c r="P279" s="5"/>
      <c r="Q279" s="5">
        <f t="shared" si="55"/>
        <v>1</v>
      </c>
      <c r="R279" s="7">
        <f t="shared" si="56"/>
        <v>8595</v>
      </c>
      <c r="S279" s="5">
        <f t="shared" si="57"/>
        <v>1</v>
      </c>
      <c r="T279" s="7">
        <f t="shared" si="58"/>
        <v>8595</v>
      </c>
    </row>
    <row r="280" spans="1:20">
      <c r="A280" s="23" t="s">
        <v>320</v>
      </c>
      <c r="B280" s="35" t="s">
        <v>300</v>
      </c>
      <c r="C280" s="36">
        <v>335</v>
      </c>
      <c r="D280" s="6"/>
      <c r="E280" s="113">
        <v>375837290</v>
      </c>
      <c r="F280" s="116">
        <f t="shared" si="49"/>
        <v>1121902.3582089553</v>
      </c>
      <c r="G280" s="117">
        <v>366247963</v>
      </c>
      <c r="H280" s="117">
        <f t="shared" si="50"/>
        <v>1093277.5014925373</v>
      </c>
      <c r="I280" s="7"/>
      <c r="J280" s="10">
        <v>3</v>
      </c>
      <c r="K280" s="117">
        <v>1098743</v>
      </c>
      <c r="L280" s="120">
        <f t="shared" si="59"/>
        <v>3279.8298507462687</v>
      </c>
      <c r="M280" s="122">
        <f t="shared" si="52"/>
        <v>3662479.63</v>
      </c>
      <c r="N280" s="116">
        <f t="shared" si="53"/>
        <v>2563736.63</v>
      </c>
      <c r="O280" s="123">
        <f t="shared" si="54"/>
        <v>7652.9451641791038</v>
      </c>
      <c r="P280" s="5"/>
      <c r="Q280" s="5">
        <f t="shared" si="55"/>
        <v>1</v>
      </c>
      <c r="R280" s="7">
        <f t="shared" si="56"/>
        <v>335</v>
      </c>
      <c r="S280" s="5">
        <f t="shared" si="57"/>
        <v>1</v>
      </c>
      <c r="T280" s="7">
        <f t="shared" si="58"/>
        <v>335</v>
      </c>
    </row>
    <row r="281" spans="1:20">
      <c r="A281" s="23" t="s">
        <v>321</v>
      </c>
      <c r="B281" s="35" t="s">
        <v>300</v>
      </c>
      <c r="C281" s="36">
        <v>1383</v>
      </c>
      <c r="D281" s="6"/>
      <c r="E281" s="113">
        <v>124729819</v>
      </c>
      <c r="F281" s="116">
        <f t="shared" si="49"/>
        <v>90187.866232827189</v>
      </c>
      <c r="G281" s="117">
        <v>110073501</v>
      </c>
      <c r="H281" s="117">
        <f t="shared" si="50"/>
        <v>79590.383947939263</v>
      </c>
      <c r="I281" s="7"/>
      <c r="J281" s="10">
        <v>7.99</v>
      </c>
      <c r="K281" s="117">
        <v>879487</v>
      </c>
      <c r="L281" s="120">
        <f t="shared" si="59"/>
        <v>635.92697035430228</v>
      </c>
      <c r="M281" s="122">
        <f t="shared" si="52"/>
        <v>1100735.01</v>
      </c>
      <c r="N281" s="116">
        <f t="shared" si="53"/>
        <v>221248.01</v>
      </c>
      <c r="O281" s="123">
        <f t="shared" si="54"/>
        <v>159.97686912509039</v>
      </c>
      <c r="P281" s="5"/>
      <c r="Q281" s="5">
        <f t="shared" si="55"/>
        <v>1</v>
      </c>
      <c r="R281" s="7">
        <f t="shared" si="56"/>
        <v>1383</v>
      </c>
      <c r="S281" s="5">
        <f t="shared" si="57"/>
        <v>1</v>
      </c>
      <c r="T281" s="7">
        <f t="shared" si="58"/>
        <v>1383</v>
      </c>
    </row>
    <row r="282" spans="1:20">
      <c r="A282" s="23" t="s">
        <v>322</v>
      </c>
      <c r="B282" s="35" t="s">
        <v>300</v>
      </c>
      <c r="C282" s="36">
        <v>12141</v>
      </c>
      <c r="D282" s="6"/>
      <c r="E282" s="113">
        <v>954683777</v>
      </c>
      <c r="F282" s="116">
        <f t="shared" si="49"/>
        <v>78633.043159542052</v>
      </c>
      <c r="G282" s="117">
        <v>760220910</v>
      </c>
      <c r="H282" s="117">
        <f t="shared" si="50"/>
        <v>62616.004447739069</v>
      </c>
      <c r="I282" s="7"/>
      <c r="J282" s="10">
        <v>5.4</v>
      </c>
      <c r="K282" s="117">
        <v>4105192</v>
      </c>
      <c r="L282" s="120">
        <f t="shared" si="59"/>
        <v>338.12634873568896</v>
      </c>
      <c r="M282" s="122">
        <f t="shared" si="52"/>
        <v>7602209.1000000006</v>
      </c>
      <c r="N282" s="116">
        <f t="shared" si="53"/>
        <v>3497017.1000000006</v>
      </c>
      <c r="O282" s="123">
        <f t="shared" si="54"/>
        <v>288.03369574170171</v>
      </c>
      <c r="P282" s="5"/>
      <c r="Q282" s="5">
        <f t="shared" si="55"/>
        <v>1</v>
      </c>
      <c r="R282" s="7">
        <f t="shared" si="56"/>
        <v>12141</v>
      </c>
      <c r="S282" s="5">
        <f t="shared" si="57"/>
        <v>1</v>
      </c>
      <c r="T282" s="7">
        <f t="shared" si="58"/>
        <v>12141</v>
      </c>
    </row>
    <row r="283" spans="1:20">
      <c r="A283" s="23" t="s">
        <v>323</v>
      </c>
      <c r="B283" s="35" t="s">
        <v>300</v>
      </c>
      <c r="C283" s="36">
        <v>1646</v>
      </c>
      <c r="D283" s="6"/>
      <c r="E283" s="113">
        <v>351503198</v>
      </c>
      <c r="F283" s="116">
        <f t="shared" si="49"/>
        <v>213549.93803159174</v>
      </c>
      <c r="G283" s="117">
        <v>306488038</v>
      </c>
      <c r="H283" s="117">
        <f t="shared" si="50"/>
        <v>186201.72417982988</v>
      </c>
      <c r="I283" s="7"/>
      <c r="J283" s="10">
        <v>3.6901000000000002</v>
      </c>
      <c r="K283" s="117">
        <v>1130971</v>
      </c>
      <c r="L283" s="120">
        <f t="shared" si="59"/>
        <v>687.1026731470231</v>
      </c>
      <c r="M283" s="122">
        <f t="shared" si="52"/>
        <v>3064880.38</v>
      </c>
      <c r="N283" s="116">
        <f t="shared" si="53"/>
        <v>1933909.38</v>
      </c>
      <c r="O283" s="123">
        <f t="shared" si="54"/>
        <v>1174.9145686512757</v>
      </c>
      <c r="P283" s="5"/>
      <c r="Q283" s="5">
        <f t="shared" si="55"/>
        <v>1</v>
      </c>
      <c r="R283" s="7">
        <f t="shared" si="56"/>
        <v>1646</v>
      </c>
      <c r="S283" s="5">
        <f t="shared" si="57"/>
        <v>1</v>
      </c>
      <c r="T283" s="7">
        <f t="shared" si="58"/>
        <v>1646</v>
      </c>
    </row>
    <row r="284" spans="1:20">
      <c r="A284" s="23" t="s">
        <v>324</v>
      </c>
      <c r="B284" s="35" t="s">
        <v>300</v>
      </c>
      <c r="C284" s="36">
        <v>6983</v>
      </c>
      <c r="D284" s="6"/>
      <c r="E284" s="113">
        <v>121811719</v>
      </c>
      <c r="F284" s="116">
        <f t="shared" ref="F284:F347" si="60">(E284/C284)</f>
        <v>17444.03823571531</v>
      </c>
      <c r="G284" s="117">
        <v>56156754</v>
      </c>
      <c r="H284" s="117">
        <f t="shared" ref="H284:H347" si="61">(G284/C284)</f>
        <v>8041.9238149792354</v>
      </c>
      <c r="I284" s="7"/>
      <c r="J284" s="10">
        <v>7.3506</v>
      </c>
      <c r="K284" s="117">
        <v>412785</v>
      </c>
      <c r="L284" s="120">
        <f t="shared" si="59"/>
        <v>59.112845481884577</v>
      </c>
      <c r="M284" s="122">
        <f t="shared" si="52"/>
        <v>561567.54</v>
      </c>
      <c r="N284" s="116">
        <f t="shared" si="53"/>
        <v>148782.54000000004</v>
      </c>
      <c r="O284" s="123">
        <f t="shared" si="54"/>
        <v>21.306392667907783</v>
      </c>
      <c r="P284" s="5"/>
      <c r="Q284" s="5">
        <f t="shared" si="55"/>
        <v>1</v>
      </c>
      <c r="R284" s="7">
        <f t="shared" si="56"/>
        <v>6983</v>
      </c>
      <c r="S284" s="5">
        <f t="shared" si="57"/>
        <v>1</v>
      </c>
      <c r="T284" s="7">
        <f t="shared" si="58"/>
        <v>6983</v>
      </c>
    </row>
    <row r="285" spans="1:20">
      <c r="A285" s="23" t="s">
        <v>300</v>
      </c>
      <c r="B285" s="35" t="s">
        <v>300</v>
      </c>
      <c r="C285" s="36">
        <v>9781</v>
      </c>
      <c r="D285" s="6"/>
      <c r="E285" s="113">
        <v>5067691701</v>
      </c>
      <c r="F285" s="116">
        <f t="shared" si="60"/>
        <v>518115.90849606378</v>
      </c>
      <c r="G285" s="117">
        <v>4710632410</v>
      </c>
      <c r="H285" s="117">
        <f t="shared" si="61"/>
        <v>481610.5111951743</v>
      </c>
      <c r="I285" s="7"/>
      <c r="J285" s="10">
        <v>4.3587999999999996</v>
      </c>
      <c r="K285" s="117">
        <v>20532704</v>
      </c>
      <c r="L285" s="120">
        <f t="shared" si="59"/>
        <v>2099.2438400981496</v>
      </c>
      <c r="M285" s="122">
        <f t="shared" si="52"/>
        <v>47106324.100000001</v>
      </c>
      <c r="N285" s="116">
        <f t="shared" si="53"/>
        <v>26573620.100000001</v>
      </c>
      <c r="O285" s="123">
        <f t="shared" si="54"/>
        <v>2716.8612718535937</v>
      </c>
      <c r="P285" s="5"/>
      <c r="Q285" s="5">
        <f t="shared" si="55"/>
        <v>1</v>
      </c>
      <c r="R285" s="7">
        <f t="shared" si="56"/>
        <v>9781</v>
      </c>
      <c r="S285" s="5">
        <f t="shared" si="57"/>
        <v>1</v>
      </c>
      <c r="T285" s="7">
        <f t="shared" si="58"/>
        <v>9781</v>
      </c>
    </row>
    <row r="286" spans="1:20">
      <c r="A286" s="23" t="s">
        <v>325</v>
      </c>
      <c r="B286" s="35" t="s">
        <v>300</v>
      </c>
      <c r="C286" s="36">
        <v>33229</v>
      </c>
      <c r="D286" s="6"/>
      <c r="E286" s="113">
        <v>3776722113</v>
      </c>
      <c r="F286" s="116">
        <f t="shared" si="60"/>
        <v>113657.41108670138</v>
      </c>
      <c r="G286" s="117">
        <v>3089273251</v>
      </c>
      <c r="H286" s="117">
        <f t="shared" si="61"/>
        <v>92969.191098137177</v>
      </c>
      <c r="I286" s="7"/>
      <c r="J286" s="10">
        <v>3.8448000000000002</v>
      </c>
      <c r="K286" s="117">
        <v>11877637</v>
      </c>
      <c r="L286" s="120">
        <f t="shared" si="59"/>
        <v>357.44792199584703</v>
      </c>
      <c r="M286" s="122">
        <f t="shared" si="52"/>
        <v>30892732.510000002</v>
      </c>
      <c r="N286" s="116">
        <f t="shared" si="53"/>
        <v>19015095.510000002</v>
      </c>
      <c r="O286" s="123">
        <f t="shared" si="54"/>
        <v>572.24398898552477</v>
      </c>
      <c r="P286" s="5"/>
      <c r="Q286" s="5">
        <f t="shared" si="55"/>
        <v>1</v>
      </c>
      <c r="R286" s="7">
        <f t="shared" si="56"/>
        <v>33229</v>
      </c>
      <c r="S286" s="5">
        <f t="shared" si="57"/>
        <v>1</v>
      </c>
      <c r="T286" s="7">
        <f t="shared" si="58"/>
        <v>33229</v>
      </c>
    </row>
    <row r="287" spans="1:20">
      <c r="A287" s="23" t="s">
        <v>326</v>
      </c>
      <c r="B287" s="35" t="s">
        <v>300</v>
      </c>
      <c r="C287" s="36">
        <v>1026</v>
      </c>
      <c r="D287" s="6"/>
      <c r="E287" s="113">
        <v>164571165</v>
      </c>
      <c r="F287" s="116">
        <f t="shared" si="60"/>
        <v>160400.74561403508</v>
      </c>
      <c r="G287" s="117">
        <v>149972270</v>
      </c>
      <c r="H287" s="117">
        <f t="shared" si="61"/>
        <v>146171.80311890837</v>
      </c>
      <c r="I287" s="7"/>
      <c r="J287" s="10">
        <v>5.9</v>
      </c>
      <c r="K287" s="117">
        <v>884836</v>
      </c>
      <c r="L287" s="120">
        <f t="shared" si="59"/>
        <v>862.41325536062379</v>
      </c>
      <c r="M287" s="122">
        <f t="shared" si="52"/>
        <v>1499722.7</v>
      </c>
      <c r="N287" s="116">
        <f t="shared" si="53"/>
        <v>614886.69999999995</v>
      </c>
      <c r="O287" s="123">
        <f t="shared" si="54"/>
        <v>599.30477582846004</v>
      </c>
      <c r="P287" s="5"/>
      <c r="Q287" s="5">
        <f t="shared" si="55"/>
        <v>1</v>
      </c>
      <c r="R287" s="7">
        <f t="shared" si="56"/>
        <v>1026</v>
      </c>
      <c r="S287" s="5">
        <f t="shared" si="57"/>
        <v>1</v>
      </c>
      <c r="T287" s="7">
        <f t="shared" si="58"/>
        <v>1026</v>
      </c>
    </row>
    <row r="288" spans="1:20">
      <c r="A288" s="23" t="s">
        <v>327</v>
      </c>
      <c r="B288" s="35" t="s">
        <v>300</v>
      </c>
      <c r="C288" s="36">
        <v>10146</v>
      </c>
      <c r="D288" s="6"/>
      <c r="E288" s="113">
        <v>265081163</v>
      </c>
      <c r="F288" s="116">
        <f t="shared" si="60"/>
        <v>26126.666962349693</v>
      </c>
      <c r="G288" s="117">
        <v>177676316</v>
      </c>
      <c r="H288" s="117">
        <f t="shared" si="61"/>
        <v>17511.95702739996</v>
      </c>
      <c r="I288" s="7"/>
      <c r="J288" s="10">
        <v>5.2632000000000003</v>
      </c>
      <c r="K288" s="117">
        <v>935145</v>
      </c>
      <c r="L288" s="120">
        <f t="shared" si="59"/>
        <v>92.168835008870488</v>
      </c>
      <c r="M288" s="122">
        <f t="shared" si="52"/>
        <v>1776763.1600000001</v>
      </c>
      <c r="N288" s="116">
        <f t="shared" si="53"/>
        <v>841618.16000000015</v>
      </c>
      <c r="O288" s="123">
        <f t="shared" si="54"/>
        <v>82.950735265129126</v>
      </c>
      <c r="P288" s="5"/>
      <c r="Q288" s="5">
        <f t="shared" si="55"/>
        <v>1</v>
      </c>
      <c r="R288" s="7">
        <f t="shared" si="56"/>
        <v>10146</v>
      </c>
      <c r="S288" s="5">
        <f t="shared" si="57"/>
        <v>1</v>
      </c>
      <c r="T288" s="7">
        <f t="shared" si="58"/>
        <v>10146</v>
      </c>
    </row>
    <row r="289" spans="1:20">
      <c r="A289" s="23" t="s">
        <v>328</v>
      </c>
      <c r="B289" s="35" t="s">
        <v>300</v>
      </c>
      <c r="C289" s="36">
        <v>28318</v>
      </c>
      <c r="D289" s="6"/>
      <c r="E289" s="113">
        <v>1848811257</v>
      </c>
      <c r="F289" s="116">
        <f t="shared" si="60"/>
        <v>65287.494067377636</v>
      </c>
      <c r="G289" s="117">
        <v>1376589416</v>
      </c>
      <c r="H289" s="117">
        <f t="shared" si="61"/>
        <v>48611.816371212655</v>
      </c>
      <c r="I289" s="7"/>
      <c r="J289" s="10">
        <v>8.7996999999999996</v>
      </c>
      <c r="K289" s="117">
        <v>12113573</v>
      </c>
      <c r="L289" s="120">
        <f t="shared" si="59"/>
        <v>427.76936930574192</v>
      </c>
      <c r="M289" s="122">
        <f t="shared" si="52"/>
        <v>13765894.16</v>
      </c>
      <c r="N289" s="116">
        <f t="shared" si="53"/>
        <v>1652321.1600000001</v>
      </c>
      <c r="O289" s="123">
        <f t="shared" si="54"/>
        <v>58.348794406384634</v>
      </c>
      <c r="P289" s="5"/>
      <c r="Q289" s="5">
        <f t="shared" si="55"/>
        <v>1</v>
      </c>
      <c r="R289" s="7">
        <f t="shared" si="56"/>
        <v>28318</v>
      </c>
      <c r="S289" s="5">
        <f t="shared" si="57"/>
        <v>1</v>
      </c>
      <c r="T289" s="7">
        <f t="shared" si="58"/>
        <v>28318</v>
      </c>
    </row>
    <row r="290" spans="1:20">
      <c r="A290" s="23" t="s">
        <v>329</v>
      </c>
      <c r="B290" s="35" t="s">
        <v>300</v>
      </c>
      <c r="C290" s="36">
        <v>18221</v>
      </c>
      <c r="D290" s="6"/>
      <c r="E290" s="113">
        <v>826867212</v>
      </c>
      <c r="F290" s="116">
        <f t="shared" si="60"/>
        <v>45379.902969101589</v>
      </c>
      <c r="G290" s="117">
        <v>618251609</v>
      </c>
      <c r="H290" s="117">
        <f t="shared" si="61"/>
        <v>33930.717798145</v>
      </c>
      <c r="I290" s="7"/>
      <c r="J290" s="10">
        <v>6.95</v>
      </c>
      <c r="K290" s="117">
        <v>4296848</v>
      </c>
      <c r="L290" s="120">
        <f t="shared" si="59"/>
        <v>235.81845123758302</v>
      </c>
      <c r="M290" s="122">
        <f t="shared" si="52"/>
        <v>6182516.0899999999</v>
      </c>
      <c r="N290" s="116">
        <f t="shared" si="53"/>
        <v>1885668.0899999999</v>
      </c>
      <c r="O290" s="123">
        <f t="shared" si="54"/>
        <v>103.48872674386696</v>
      </c>
      <c r="P290" s="5"/>
      <c r="Q290" s="5">
        <f t="shared" si="55"/>
        <v>1</v>
      </c>
      <c r="R290" s="7">
        <f t="shared" si="56"/>
        <v>18221</v>
      </c>
      <c r="S290" s="5">
        <f t="shared" si="57"/>
        <v>1</v>
      </c>
      <c r="T290" s="7">
        <f t="shared" si="58"/>
        <v>18221</v>
      </c>
    </row>
    <row r="291" spans="1:20">
      <c r="A291" s="23" t="s">
        <v>330</v>
      </c>
      <c r="B291" s="35" t="s">
        <v>300</v>
      </c>
      <c r="C291" s="36">
        <v>3362</v>
      </c>
      <c r="D291" s="6"/>
      <c r="E291" s="113">
        <v>62510950</v>
      </c>
      <c r="F291" s="116">
        <f t="shared" si="60"/>
        <v>18593.381915526472</v>
      </c>
      <c r="G291" s="117">
        <v>37557176</v>
      </c>
      <c r="H291" s="117">
        <f t="shared" si="61"/>
        <v>11171.081499107673</v>
      </c>
      <c r="I291" s="7"/>
      <c r="J291" s="10">
        <v>9.2888999999999999</v>
      </c>
      <c r="K291" s="117">
        <v>348864</v>
      </c>
      <c r="L291" s="120">
        <f t="shared" si="59"/>
        <v>103.76680547293277</v>
      </c>
      <c r="M291" s="122">
        <f t="shared" si="52"/>
        <v>375571.76</v>
      </c>
      <c r="N291" s="116">
        <f t="shared" si="53"/>
        <v>26707.760000000009</v>
      </c>
      <c r="O291" s="123">
        <f t="shared" si="54"/>
        <v>7.9440095181439645</v>
      </c>
      <c r="P291" s="5"/>
      <c r="Q291" s="5">
        <f t="shared" si="55"/>
        <v>1</v>
      </c>
      <c r="R291" s="7">
        <f t="shared" si="56"/>
        <v>3362</v>
      </c>
      <c r="S291" s="5">
        <f t="shared" si="57"/>
        <v>1</v>
      </c>
      <c r="T291" s="7">
        <f t="shared" si="58"/>
        <v>3362</v>
      </c>
    </row>
    <row r="292" spans="1:20">
      <c r="A292" s="23" t="s">
        <v>331</v>
      </c>
      <c r="B292" s="35" t="s">
        <v>300</v>
      </c>
      <c r="C292" s="36">
        <v>1502</v>
      </c>
      <c r="D292" s="6"/>
      <c r="E292" s="113">
        <v>183768221</v>
      </c>
      <c r="F292" s="116">
        <f t="shared" si="60"/>
        <v>122349.01531291612</v>
      </c>
      <c r="G292" s="117">
        <v>163259960</v>
      </c>
      <c r="H292" s="117">
        <f t="shared" si="61"/>
        <v>108695.04660452729</v>
      </c>
      <c r="I292" s="7"/>
      <c r="J292" s="10">
        <v>4.0999999999999996</v>
      </c>
      <c r="K292" s="117">
        <v>669365</v>
      </c>
      <c r="L292" s="120">
        <f t="shared" si="59"/>
        <v>445.64913448735018</v>
      </c>
      <c r="M292" s="122">
        <f t="shared" si="52"/>
        <v>1632599.6</v>
      </c>
      <c r="N292" s="116">
        <f t="shared" si="53"/>
        <v>963234.60000000009</v>
      </c>
      <c r="O292" s="123">
        <f t="shared" si="54"/>
        <v>641.30133155792282</v>
      </c>
      <c r="P292" s="5"/>
      <c r="Q292" s="5">
        <f t="shared" si="55"/>
        <v>1</v>
      </c>
      <c r="R292" s="7">
        <f t="shared" si="56"/>
        <v>1502</v>
      </c>
      <c r="S292" s="5">
        <f t="shared" si="57"/>
        <v>1</v>
      </c>
      <c r="T292" s="7">
        <f t="shared" si="58"/>
        <v>1502</v>
      </c>
    </row>
    <row r="293" spans="1:20">
      <c r="A293" s="23" t="s">
        <v>332</v>
      </c>
      <c r="B293" s="35" t="s">
        <v>300</v>
      </c>
      <c r="C293" s="36">
        <v>4686</v>
      </c>
      <c r="D293" s="6"/>
      <c r="E293" s="113">
        <v>474991764</v>
      </c>
      <c r="F293" s="116">
        <f t="shared" si="60"/>
        <v>101364.01280409731</v>
      </c>
      <c r="G293" s="117">
        <v>384054333</v>
      </c>
      <c r="H293" s="117">
        <f t="shared" si="61"/>
        <v>81957.817541613316</v>
      </c>
      <c r="I293" s="7"/>
      <c r="J293" s="10">
        <v>6.6310000000000002</v>
      </c>
      <c r="K293" s="117">
        <v>2546664</v>
      </c>
      <c r="L293" s="120">
        <f t="shared" si="59"/>
        <v>543.46222791293212</v>
      </c>
      <c r="M293" s="122">
        <f t="shared" si="52"/>
        <v>3840543.33</v>
      </c>
      <c r="N293" s="116">
        <f t="shared" si="53"/>
        <v>1293879.33</v>
      </c>
      <c r="O293" s="123">
        <f t="shared" si="54"/>
        <v>276.11594750320103</v>
      </c>
      <c r="P293" s="5"/>
      <c r="Q293" s="5">
        <f t="shared" si="55"/>
        <v>1</v>
      </c>
      <c r="R293" s="7">
        <f t="shared" si="56"/>
        <v>4686</v>
      </c>
      <c r="S293" s="5">
        <f t="shared" si="57"/>
        <v>1</v>
      </c>
      <c r="T293" s="7">
        <f t="shared" si="58"/>
        <v>4686</v>
      </c>
    </row>
    <row r="294" spans="1:20">
      <c r="A294" s="23" t="s">
        <v>333</v>
      </c>
      <c r="B294" s="35" t="s">
        <v>300</v>
      </c>
      <c r="C294" s="36">
        <v>27039</v>
      </c>
      <c r="D294" s="6"/>
      <c r="E294" s="113">
        <v>1990672750</v>
      </c>
      <c r="F294" s="116">
        <f t="shared" si="60"/>
        <v>73622.277081253007</v>
      </c>
      <c r="G294" s="117">
        <v>1668296300</v>
      </c>
      <c r="H294" s="117">
        <f t="shared" si="61"/>
        <v>61699.630163837421</v>
      </c>
      <c r="I294" s="7"/>
      <c r="J294" s="10">
        <v>1.9350000000000001</v>
      </c>
      <c r="K294" s="117">
        <v>3228153</v>
      </c>
      <c r="L294" s="120">
        <f t="shared" si="59"/>
        <v>119.38877177410407</v>
      </c>
      <c r="M294" s="122">
        <f t="shared" si="52"/>
        <v>16682963</v>
      </c>
      <c r="N294" s="116">
        <f t="shared" si="53"/>
        <v>13454810</v>
      </c>
      <c r="O294" s="123">
        <f t="shared" si="54"/>
        <v>497.60752986427013</v>
      </c>
      <c r="P294" s="5"/>
      <c r="Q294" s="5">
        <f t="shared" si="55"/>
        <v>1</v>
      </c>
      <c r="R294" s="7">
        <f t="shared" si="56"/>
        <v>27039</v>
      </c>
      <c r="S294" s="5">
        <f t="shared" si="57"/>
        <v>1</v>
      </c>
      <c r="T294" s="7">
        <f t="shared" si="58"/>
        <v>27039</v>
      </c>
    </row>
    <row r="295" spans="1:20">
      <c r="A295" s="23" t="s">
        <v>334</v>
      </c>
      <c r="B295" s="35" t="s">
        <v>300</v>
      </c>
      <c r="C295" s="36">
        <v>79783</v>
      </c>
      <c r="D295" s="6"/>
      <c r="E295" s="113">
        <v>5352156580</v>
      </c>
      <c r="F295" s="116">
        <f t="shared" si="60"/>
        <v>67083.922389481464</v>
      </c>
      <c r="G295" s="117">
        <v>3866748937</v>
      </c>
      <c r="H295" s="117">
        <f t="shared" si="61"/>
        <v>48465.825263527317</v>
      </c>
      <c r="I295" s="7"/>
      <c r="J295" s="10">
        <v>8.5368999999999993</v>
      </c>
      <c r="K295" s="117">
        <v>33010049</v>
      </c>
      <c r="L295" s="120">
        <f t="shared" si="59"/>
        <v>413.74790368875574</v>
      </c>
      <c r="M295" s="122">
        <f t="shared" si="52"/>
        <v>38667489.369999997</v>
      </c>
      <c r="N295" s="116">
        <f t="shared" si="53"/>
        <v>5657440.3699999973</v>
      </c>
      <c r="O295" s="123">
        <f t="shared" si="54"/>
        <v>70.910348946517388</v>
      </c>
      <c r="P295" s="5"/>
      <c r="Q295" s="5">
        <f t="shared" si="55"/>
        <v>1</v>
      </c>
      <c r="R295" s="7">
        <f t="shared" si="56"/>
        <v>79783</v>
      </c>
      <c r="S295" s="5">
        <f t="shared" si="57"/>
        <v>1</v>
      </c>
      <c r="T295" s="7">
        <f t="shared" si="58"/>
        <v>79783</v>
      </c>
    </row>
    <row r="296" spans="1:20">
      <c r="A296" s="23" t="s">
        <v>335</v>
      </c>
      <c r="B296" s="35" t="s">
        <v>336</v>
      </c>
      <c r="C296" s="36">
        <v>6136</v>
      </c>
      <c r="D296" s="6"/>
      <c r="E296" s="113">
        <v>223805103</v>
      </c>
      <c r="F296" s="116">
        <f t="shared" si="60"/>
        <v>36474.104139504561</v>
      </c>
      <c r="G296" s="117">
        <v>128116397</v>
      </c>
      <c r="H296" s="117">
        <f t="shared" si="61"/>
        <v>20879.464960886569</v>
      </c>
      <c r="I296" s="9"/>
      <c r="J296" s="10">
        <v>7.4965000000000002</v>
      </c>
      <c r="K296" s="117">
        <v>960424</v>
      </c>
      <c r="L296" s="120">
        <f t="shared" si="59"/>
        <v>156.52281616688396</v>
      </c>
      <c r="M296" s="122">
        <f t="shared" si="52"/>
        <v>1281163.97</v>
      </c>
      <c r="N296" s="116">
        <f t="shared" si="53"/>
        <v>320739.96999999997</v>
      </c>
      <c r="O296" s="123">
        <f t="shared" si="54"/>
        <v>52.271833441981741</v>
      </c>
      <c r="P296" s="5"/>
      <c r="Q296" s="5">
        <f t="shared" si="55"/>
        <v>1</v>
      </c>
      <c r="R296" s="7">
        <f t="shared" si="56"/>
        <v>6136</v>
      </c>
      <c r="S296" s="5">
        <f t="shared" si="57"/>
        <v>1</v>
      </c>
      <c r="T296" s="7">
        <f t="shared" si="58"/>
        <v>6136</v>
      </c>
    </row>
    <row r="297" spans="1:20">
      <c r="A297" s="23" t="s">
        <v>337</v>
      </c>
      <c r="B297" s="35" t="s">
        <v>336</v>
      </c>
      <c r="C297" s="36">
        <v>14622</v>
      </c>
      <c r="D297" s="6"/>
      <c r="E297" s="113">
        <v>569907583</v>
      </c>
      <c r="F297" s="116">
        <f t="shared" si="60"/>
        <v>38976.034947339627</v>
      </c>
      <c r="G297" s="117">
        <v>412440423</v>
      </c>
      <c r="H297" s="117">
        <f t="shared" si="61"/>
        <v>28206.840582683628</v>
      </c>
      <c r="I297" s="7"/>
      <c r="J297" s="10">
        <v>5.25</v>
      </c>
      <c r="K297" s="117">
        <v>2165312</v>
      </c>
      <c r="L297" s="120">
        <f t="shared" si="59"/>
        <v>148.08589796197509</v>
      </c>
      <c r="M297" s="122">
        <f t="shared" si="52"/>
        <v>4124404.23</v>
      </c>
      <c r="N297" s="116">
        <f t="shared" si="53"/>
        <v>1959092.23</v>
      </c>
      <c r="O297" s="123">
        <f t="shared" si="54"/>
        <v>133.98250786486116</v>
      </c>
      <c r="P297" s="5"/>
      <c r="Q297" s="5">
        <f t="shared" si="55"/>
        <v>1</v>
      </c>
      <c r="R297" s="7">
        <f t="shared" si="56"/>
        <v>14622</v>
      </c>
      <c r="S297" s="5">
        <f t="shared" si="57"/>
        <v>1</v>
      </c>
      <c r="T297" s="7">
        <f t="shared" si="58"/>
        <v>14622</v>
      </c>
    </row>
    <row r="298" spans="1:20">
      <c r="A298" s="23" t="s">
        <v>338</v>
      </c>
      <c r="B298" s="35" t="s">
        <v>336</v>
      </c>
      <c r="C298" s="36">
        <v>2670</v>
      </c>
      <c r="D298" s="6"/>
      <c r="E298" s="113">
        <v>151832034</v>
      </c>
      <c r="F298" s="116">
        <f t="shared" si="60"/>
        <v>56865.930337078651</v>
      </c>
      <c r="G298" s="117">
        <v>126245343</v>
      </c>
      <c r="H298" s="117">
        <f t="shared" si="61"/>
        <v>47282.9</v>
      </c>
      <c r="I298" s="7"/>
      <c r="J298" s="10">
        <v>4.32</v>
      </c>
      <c r="K298" s="117">
        <v>545379</v>
      </c>
      <c r="L298" s="120">
        <f t="shared" ref="L298:L329" si="62">(K298/C298)</f>
        <v>204.261797752809</v>
      </c>
      <c r="M298" s="122">
        <f t="shared" si="52"/>
        <v>1262453.43</v>
      </c>
      <c r="N298" s="116">
        <f t="shared" si="53"/>
        <v>717074.42999999993</v>
      </c>
      <c r="O298" s="123">
        <f t="shared" si="54"/>
        <v>268.56720224719101</v>
      </c>
      <c r="P298" s="5"/>
      <c r="Q298" s="5">
        <f t="shared" si="55"/>
        <v>1</v>
      </c>
      <c r="R298" s="7">
        <f t="shared" si="56"/>
        <v>2670</v>
      </c>
      <c r="S298" s="5">
        <f t="shared" si="57"/>
        <v>1</v>
      </c>
      <c r="T298" s="7">
        <f t="shared" si="58"/>
        <v>2670</v>
      </c>
    </row>
    <row r="299" spans="1:20">
      <c r="A299" s="23" t="s">
        <v>339</v>
      </c>
      <c r="B299" s="35" t="s">
        <v>336</v>
      </c>
      <c r="C299" s="36">
        <v>889</v>
      </c>
      <c r="D299" s="6"/>
      <c r="E299" s="113">
        <v>22428292</v>
      </c>
      <c r="F299" s="116">
        <f t="shared" si="60"/>
        <v>25228.674915635547</v>
      </c>
      <c r="G299" s="117">
        <v>13799879</v>
      </c>
      <c r="H299" s="117">
        <f t="shared" si="61"/>
        <v>15522.923509561304</v>
      </c>
      <c r="I299" s="7"/>
      <c r="J299" s="10">
        <v>3</v>
      </c>
      <c r="K299" s="117">
        <v>41399</v>
      </c>
      <c r="L299" s="120">
        <f t="shared" si="62"/>
        <v>46.568053993250842</v>
      </c>
      <c r="M299" s="122">
        <f t="shared" si="52"/>
        <v>137998.79</v>
      </c>
      <c r="N299" s="116">
        <f t="shared" si="53"/>
        <v>96599.790000000008</v>
      </c>
      <c r="O299" s="123">
        <f t="shared" si="54"/>
        <v>108.66118110236222</v>
      </c>
      <c r="P299" s="5"/>
      <c r="Q299" s="5">
        <f t="shared" si="55"/>
        <v>1</v>
      </c>
      <c r="R299" s="7">
        <f t="shared" si="56"/>
        <v>889</v>
      </c>
      <c r="S299" s="5">
        <f t="shared" si="57"/>
        <v>1</v>
      </c>
      <c r="T299" s="7">
        <f t="shared" si="58"/>
        <v>889</v>
      </c>
    </row>
    <row r="300" spans="1:20">
      <c r="A300" s="23" t="s">
        <v>547</v>
      </c>
      <c r="B300" s="35" t="s">
        <v>336</v>
      </c>
      <c r="C300" s="36">
        <v>714</v>
      </c>
      <c r="D300" s="6"/>
      <c r="E300" s="113">
        <v>23866353</v>
      </c>
      <c r="F300" s="116">
        <f t="shared" si="60"/>
        <v>33426.26470588235</v>
      </c>
      <c r="G300" s="117">
        <v>5877446</v>
      </c>
      <c r="H300" s="117">
        <f t="shared" si="61"/>
        <v>8231.7170868347348</v>
      </c>
      <c r="I300" s="7"/>
      <c r="J300" s="10">
        <v>3</v>
      </c>
      <c r="K300" s="117">
        <v>17632</v>
      </c>
      <c r="L300" s="120">
        <f t="shared" si="62"/>
        <v>24.69467787114846</v>
      </c>
      <c r="M300" s="122">
        <f t="shared" si="52"/>
        <v>58774.46</v>
      </c>
      <c r="N300" s="116">
        <f t="shared" si="53"/>
        <v>41142.46</v>
      </c>
      <c r="O300" s="123">
        <f t="shared" si="54"/>
        <v>57.622492997198876</v>
      </c>
      <c r="P300" s="5"/>
      <c r="Q300" s="5">
        <f t="shared" si="55"/>
        <v>1</v>
      </c>
      <c r="R300" s="7">
        <f t="shared" si="56"/>
        <v>714</v>
      </c>
      <c r="S300" s="5">
        <f t="shared" si="57"/>
        <v>1</v>
      </c>
      <c r="T300" s="7">
        <f t="shared" si="58"/>
        <v>714</v>
      </c>
    </row>
    <row r="301" spans="1:20">
      <c r="A301" s="23" t="s">
        <v>340</v>
      </c>
      <c r="B301" s="35" t="s">
        <v>336</v>
      </c>
      <c r="C301" s="36">
        <v>8913</v>
      </c>
      <c r="D301" s="6"/>
      <c r="E301" s="113">
        <v>446432144</v>
      </c>
      <c r="F301" s="116">
        <f t="shared" si="60"/>
        <v>50087.753169527656</v>
      </c>
      <c r="G301" s="117">
        <v>279083192</v>
      </c>
      <c r="H301" s="117">
        <f t="shared" si="61"/>
        <v>31311.925502075621</v>
      </c>
      <c r="I301" s="7"/>
      <c r="J301" s="10">
        <v>6.42</v>
      </c>
      <c r="K301" s="117">
        <v>1791714</v>
      </c>
      <c r="L301" s="120">
        <f t="shared" si="62"/>
        <v>201.02255132951868</v>
      </c>
      <c r="M301" s="122">
        <f t="shared" si="52"/>
        <v>2790831.92</v>
      </c>
      <c r="N301" s="116">
        <f t="shared" si="53"/>
        <v>999117.91999999993</v>
      </c>
      <c r="O301" s="123">
        <f t="shared" si="54"/>
        <v>112.09670369123751</v>
      </c>
      <c r="P301" s="5"/>
      <c r="Q301" s="5">
        <f t="shared" si="55"/>
        <v>1</v>
      </c>
      <c r="R301" s="7">
        <f t="shared" si="56"/>
        <v>8913</v>
      </c>
      <c r="S301" s="5">
        <f t="shared" si="57"/>
        <v>1</v>
      </c>
      <c r="T301" s="7">
        <f t="shared" si="58"/>
        <v>8913</v>
      </c>
    </row>
    <row r="302" spans="1:20">
      <c r="A302" s="23" t="s">
        <v>341</v>
      </c>
      <c r="B302" s="35" t="s">
        <v>342</v>
      </c>
      <c r="C302" s="36">
        <v>4104</v>
      </c>
      <c r="D302" s="6"/>
      <c r="E302" s="113">
        <v>425048990</v>
      </c>
      <c r="F302" s="116">
        <f t="shared" si="60"/>
        <v>103569.44200779728</v>
      </c>
      <c r="G302" s="117">
        <v>360124240</v>
      </c>
      <c r="H302" s="117">
        <f t="shared" si="61"/>
        <v>87749.571150097472</v>
      </c>
      <c r="I302" s="7"/>
      <c r="J302" s="10">
        <v>4.4082999999999997</v>
      </c>
      <c r="K302" s="117">
        <v>1587535</v>
      </c>
      <c r="L302" s="120">
        <f t="shared" si="62"/>
        <v>386.82626705653024</v>
      </c>
      <c r="M302" s="122">
        <f t="shared" si="52"/>
        <v>3601242.4</v>
      </c>
      <c r="N302" s="116">
        <f t="shared" si="53"/>
        <v>2013707.4</v>
      </c>
      <c r="O302" s="123">
        <f t="shared" si="54"/>
        <v>490.66944444444442</v>
      </c>
      <c r="P302" s="5"/>
      <c r="Q302" s="5">
        <f t="shared" si="55"/>
        <v>1</v>
      </c>
      <c r="R302" s="7">
        <f t="shared" si="56"/>
        <v>4104</v>
      </c>
      <c r="S302" s="5">
        <f t="shared" si="57"/>
        <v>1</v>
      </c>
      <c r="T302" s="7">
        <f t="shared" si="58"/>
        <v>4104</v>
      </c>
    </row>
    <row r="303" spans="1:20">
      <c r="A303" s="23" t="s">
        <v>343</v>
      </c>
      <c r="B303" s="35" t="s">
        <v>342</v>
      </c>
      <c r="C303" s="36">
        <v>2154</v>
      </c>
      <c r="D303" s="6"/>
      <c r="E303" s="113">
        <v>205229970</v>
      </c>
      <c r="F303" s="116">
        <f t="shared" si="60"/>
        <v>95278.537604456826</v>
      </c>
      <c r="G303" s="117">
        <v>180547140</v>
      </c>
      <c r="H303" s="117">
        <f t="shared" si="61"/>
        <v>83819.470752089139</v>
      </c>
      <c r="I303" s="7"/>
      <c r="J303" s="10">
        <v>2.36</v>
      </c>
      <c r="K303" s="117">
        <v>426091</v>
      </c>
      <c r="L303" s="120">
        <f t="shared" si="62"/>
        <v>197.81383472609099</v>
      </c>
      <c r="M303" s="122">
        <f t="shared" si="52"/>
        <v>1805471.4000000001</v>
      </c>
      <c r="N303" s="116">
        <f t="shared" si="53"/>
        <v>1379380.4000000001</v>
      </c>
      <c r="O303" s="123">
        <f t="shared" si="54"/>
        <v>640.38087279480044</v>
      </c>
      <c r="P303" s="5"/>
      <c r="Q303" s="5">
        <f t="shared" si="55"/>
        <v>1</v>
      </c>
      <c r="R303" s="7">
        <f t="shared" si="56"/>
        <v>2154</v>
      </c>
      <c r="S303" s="5">
        <f t="shared" si="57"/>
        <v>1</v>
      </c>
      <c r="T303" s="7">
        <f t="shared" si="58"/>
        <v>2154</v>
      </c>
    </row>
    <row r="304" spans="1:20">
      <c r="A304" s="23" t="s">
        <v>344</v>
      </c>
      <c r="B304" s="35" t="s">
        <v>342</v>
      </c>
      <c r="C304" s="36">
        <v>2217</v>
      </c>
      <c r="D304" s="6"/>
      <c r="E304" s="113">
        <v>131433080</v>
      </c>
      <c r="F304" s="116">
        <f t="shared" si="60"/>
        <v>59284.203879115921</v>
      </c>
      <c r="G304" s="117">
        <v>106571880</v>
      </c>
      <c r="H304" s="117">
        <f t="shared" si="61"/>
        <v>48070.311231393775</v>
      </c>
      <c r="I304" s="7"/>
      <c r="J304" s="10">
        <v>4.3499999999999996</v>
      </c>
      <c r="K304" s="117">
        <v>463587</v>
      </c>
      <c r="L304" s="120">
        <f t="shared" si="62"/>
        <v>209.10554803788904</v>
      </c>
      <c r="M304" s="122">
        <f t="shared" si="52"/>
        <v>1065718.8</v>
      </c>
      <c r="N304" s="116">
        <f t="shared" si="53"/>
        <v>602131.80000000005</v>
      </c>
      <c r="O304" s="123">
        <f t="shared" si="54"/>
        <v>271.59756427604873</v>
      </c>
      <c r="P304" s="5"/>
      <c r="Q304" s="5">
        <f t="shared" si="55"/>
        <v>1</v>
      </c>
      <c r="R304" s="7">
        <f t="shared" si="56"/>
        <v>2217</v>
      </c>
      <c r="S304" s="5">
        <f t="shared" si="57"/>
        <v>1</v>
      </c>
      <c r="T304" s="7">
        <f t="shared" si="58"/>
        <v>2217</v>
      </c>
    </row>
    <row r="305" spans="1:20">
      <c r="A305" s="23" t="s">
        <v>345</v>
      </c>
      <c r="B305" s="35" t="s">
        <v>342</v>
      </c>
      <c r="C305" s="36">
        <v>59</v>
      </c>
      <c r="D305" s="6"/>
      <c r="E305" s="113">
        <v>39373740</v>
      </c>
      <c r="F305" s="116">
        <f t="shared" si="60"/>
        <v>667351.52542372886</v>
      </c>
      <c r="G305" s="117">
        <v>37062440</v>
      </c>
      <c r="H305" s="117">
        <f t="shared" si="61"/>
        <v>628176.94915254239</v>
      </c>
      <c r="I305" s="7"/>
      <c r="J305" s="10">
        <v>1.19</v>
      </c>
      <c r="K305" s="117">
        <v>44104</v>
      </c>
      <c r="L305" s="120">
        <f t="shared" si="62"/>
        <v>747.52542372881351</v>
      </c>
      <c r="M305" s="122">
        <f t="shared" si="52"/>
        <v>370624.4</v>
      </c>
      <c r="N305" s="116">
        <f t="shared" si="53"/>
        <v>326520.40000000002</v>
      </c>
      <c r="O305" s="123">
        <f t="shared" si="54"/>
        <v>5534.2440677966106</v>
      </c>
      <c r="P305" s="5"/>
      <c r="Q305" s="5">
        <f t="shared" si="55"/>
        <v>1</v>
      </c>
      <c r="R305" s="7">
        <f t="shared" si="56"/>
        <v>59</v>
      </c>
      <c r="S305" s="5">
        <f t="shared" si="57"/>
        <v>1</v>
      </c>
      <c r="T305" s="7">
        <f t="shared" si="58"/>
        <v>59</v>
      </c>
    </row>
    <row r="306" spans="1:20">
      <c r="A306" s="23" t="s">
        <v>346</v>
      </c>
      <c r="B306" s="35" t="s">
        <v>342</v>
      </c>
      <c r="C306" s="36">
        <v>104472</v>
      </c>
      <c r="D306" s="6"/>
      <c r="E306" s="113">
        <v>6049571226</v>
      </c>
      <c r="F306" s="116">
        <f t="shared" si="60"/>
        <v>57906.149264874803</v>
      </c>
      <c r="G306" s="117">
        <v>4494262759</v>
      </c>
      <c r="H306" s="117">
        <f t="shared" si="61"/>
        <v>43018.825704494986</v>
      </c>
      <c r="I306" s="7"/>
      <c r="J306" s="10">
        <v>5.1158000000000001</v>
      </c>
      <c r="K306" s="117">
        <v>22991749</v>
      </c>
      <c r="L306" s="120">
        <f t="shared" si="62"/>
        <v>220.07570449498431</v>
      </c>
      <c r="M306" s="122">
        <f t="shared" si="52"/>
        <v>44942627.590000004</v>
      </c>
      <c r="N306" s="116">
        <f t="shared" si="53"/>
        <v>21950878.590000004</v>
      </c>
      <c r="O306" s="123">
        <f t="shared" si="54"/>
        <v>210.11255254996559</v>
      </c>
      <c r="P306" s="5"/>
      <c r="Q306" s="5">
        <f t="shared" si="55"/>
        <v>1</v>
      </c>
      <c r="R306" s="7">
        <f t="shared" si="56"/>
        <v>104472</v>
      </c>
      <c r="S306" s="5">
        <f t="shared" si="57"/>
        <v>1</v>
      </c>
      <c r="T306" s="7">
        <f t="shared" si="58"/>
        <v>104472</v>
      </c>
    </row>
    <row r="307" spans="1:20">
      <c r="A307" s="23" t="s">
        <v>347</v>
      </c>
      <c r="B307" s="35" t="s">
        <v>342</v>
      </c>
      <c r="C307" s="36">
        <v>35586</v>
      </c>
      <c r="D307" s="6"/>
      <c r="E307" s="113">
        <v>1639839680</v>
      </c>
      <c r="F307" s="116">
        <f t="shared" si="60"/>
        <v>46081.034114539427</v>
      </c>
      <c r="G307" s="117">
        <v>1053376160</v>
      </c>
      <c r="H307" s="117">
        <f t="shared" si="61"/>
        <v>29600.85876468274</v>
      </c>
      <c r="I307" s="7"/>
      <c r="J307" s="10">
        <v>4.5739999999999998</v>
      </c>
      <c r="K307" s="117">
        <v>4818142</v>
      </c>
      <c r="L307" s="120">
        <f t="shared" si="62"/>
        <v>135.39431237003316</v>
      </c>
      <c r="M307" s="122">
        <f t="shared" si="52"/>
        <v>10533761.6</v>
      </c>
      <c r="N307" s="116">
        <f t="shared" si="53"/>
        <v>5715619.5999999996</v>
      </c>
      <c r="O307" s="123">
        <f t="shared" si="54"/>
        <v>160.61427527679425</v>
      </c>
      <c r="P307" s="5"/>
      <c r="Q307" s="5">
        <f t="shared" si="55"/>
        <v>1</v>
      </c>
      <c r="R307" s="7">
        <f t="shared" si="56"/>
        <v>35586</v>
      </c>
      <c r="S307" s="5">
        <f t="shared" si="57"/>
        <v>1</v>
      </c>
      <c r="T307" s="7">
        <f t="shared" si="58"/>
        <v>35586</v>
      </c>
    </row>
    <row r="308" spans="1:20">
      <c r="A308" s="23" t="s">
        <v>348</v>
      </c>
      <c r="B308" s="35" t="s">
        <v>342</v>
      </c>
      <c r="C308" s="36">
        <v>11886</v>
      </c>
      <c r="D308" s="6"/>
      <c r="E308" s="113">
        <v>493120930</v>
      </c>
      <c r="F308" s="116">
        <f t="shared" si="60"/>
        <v>41487.54248695945</v>
      </c>
      <c r="G308" s="117">
        <v>342472890</v>
      </c>
      <c r="H308" s="117">
        <f t="shared" si="61"/>
        <v>28813.132256436144</v>
      </c>
      <c r="I308" s="7"/>
      <c r="J308" s="10">
        <v>4.3</v>
      </c>
      <c r="K308" s="117">
        <v>1472633</v>
      </c>
      <c r="L308" s="120">
        <f t="shared" si="62"/>
        <v>123.89643277805823</v>
      </c>
      <c r="M308" s="122">
        <f t="shared" si="52"/>
        <v>3424728.9</v>
      </c>
      <c r="N308" s="116">
        <f t="shared" si="53"/>
        <v>1952095.9</v>
      </c>
      <c r="O308" s="123">
        <f t="shared" si="54"/>
        <v>164.2348897863032</v>
      </c>
      <c r="P308" s="5"/>
      <c r="Q308" s="5">
        <f t="shared" si="55"/>
        <v>1</v>
      </c>
      <c r="R308" s="7">
        <f t="shared" si="56"/>
        <v>11886</v>
      </c>
      <c r="S308" s="5">
        <f t="shared" si="57"/>
        <v>1</v>
      </c>
      <c r="T308" s="7">
        <f t="shared" si="58"/>
        <v>11886</v>
      </c>
    </row>
    <row r="309" spans="1:20">
      <c r="A309" s="23" t="s">
        <v>349</v>
      </c>
      <c r="B309" s="35" t="s">
        <v>342</v>
      </c>
      <c r="C309" s="36">
        <v>4214</v>
      </c>
      <c r="D309" s="6"/>
      <c r="E309" s="113">
        <v>385326740</v>
      </c>
      <c r="F309" s="116">
        <f t="shared" si="60"/>
        <v>91439.663028001902</v>
      </c>
      <c r="G309" s="117">
        <v>340174180</v>
      </c>
      <c r="H309" s="117">
        <f t="shared" si="61"/>
        <v>80724.769814902698</v>
      </c>
      <c r="I309" s="7"/>
      <c r="J309" s="10">
        <v>2.5185</v>
      </c>
      <c r="K309" s="117">
        <v>856728</v>
      </c>
      <c r="L309" s="120">
        <f t="shared" si="62"/>
        <v>203.30517323208352</v>
      </c>
      <c r="M309" s="122">
        <f t="shared" si="52"/>
        <v>3401741.8000000003</v>
      </c>
      <c r="N309" s="116">
        <f t="shared" si="53"/>
        <v>2545013.8000000003</v>
      </c>
      <c r="O309" s="123">
        <f t="shared" si="54"/>
        <v>603.94252491694363</v>
      </c>
      <c r="P309" s="5"/>
      <c r="Q309" s="5">
        <f t="shared" si="55"/>
        <v>1</v>
      </c>
      <c r="R309" s="7">
        <f t="shared" si="56"/>
        <v>4214</v>
      </c>
      <c r="S309" s="5">
        <f t="shared" si="57"/>
        <v>1</v>
      </c>
      <c r="T309" s="7">
        <f t="shared" si="58"/>
        <v>4214</v>
      </c>
    </row>
    <row r="310" spans="1:20">
      <c r="A310" s="23" t="s">
        <v>350</v>
      </c>
      <c r="B310" s="35" t="s">
        <v>342</v>
      </c>
      <c r="C310" s="36">
        <v>1484</v>
      </c>
      <c r="D310" s="6"/>
      <c r="E310" s="113">
        <v>269026750</v>
      </c>
      <c r="F310" s="116">
        <f t="shared" si="60"/>
        <v>181284.871967655</v>
      </c>
      <c r="G310" s="117">
        <v>249536070</v>
      </c>
      <c r="H310" s="117">
        <f t="shared" si="61"/>
        <v>168150.99056603774</v>
      </c>
      <c r="I310" s="7"/>
      <c r="J310" s="10">
        <v>1.7129000000000001</v>
      </c>
      <c r="K310" s="117">
        <v>427430</v>
      </c>
      <c r="L310" s="120">
        <f t="shared" si="62"/>
        <v>288.0256064690027</v>
      </c>
      <c r="M310" s="122">
        <f t="shared" si="52"/>
        <v>2495360.7000000002</v>
      </c>
      <c r="N310" s="116">
        <f t="shared" si="53"/>
        <v>2067930.7000000002</v>
      </c>
      <c r="O310" s="123">
        <f t="shared" si="54"/>
        <v>1393.4842991913747</v>
      </c>
      <c r="P310" s="5"/>
      <c r="Q310" s="5">
        <f t="shared" si="55"/>
        <v>1</v>
      </c>
      <c r="R310" s="7">
        <f t="shared" si="56"/>
        <v>1484</v>
      </c>
      <c r="S310" s="5">
        <f t="shared" si="57"/>
        <v>1</v>
      </c>
      <c r="T310" s="7">
        <f t="shared" si="58"/>
        <v>1484</v>
      </c>
    </row>
    <row r="311" spans="1:20">
      <c r="A311" s="23" t="s">
        <v>351</v>
      </c>
      <c r="B311" s="35" t="s">
        <v>342</v>
      </c>
      <c r="C311" s="36">
        <v>4347</v>
      </c>
      <c r="D311" s="6"/>
      <c r="E311" s="113">
        <v>122881970</v>
      </c>
      <c r="F311" s="116">
        <f t="shared" si="60"/>
        <v>28268.224062571888</v>
      </c>
      <c r="G311" s="117">
        <v>84078620</v>
      </c>
      <c r="H311" s="117">
        <f t="shared" si="61"/>
        <v>19341.757533931446</v>
      </c>
      <c r="I311" s="7"/>
      <c r="J311" s="10">
        <v>3.754</v>
      </c>
      <c r="K311" s="117">
        <v>315631</v>
      </c>
      <c r="L311" s="120">
        <f t="shared" si="62"/>
        <v>72.60892569588222</v>
      </c>
      <c r="M311" s="122">
        <f t="shared" si="52"/>
        <v>840786.20000000007</v>
      </c>
      <c r="N311" s="116">
        <f t="shared" si="53"/>
        <v>525155.20000000007</v>
      </c>
      <c r="O311" s="123">
        <f t="shared" si="54"/>
        <v>120.80864964343226</v>
      </c>
      <c r="P311" s="5"/>
      <c r="Q311" s="5">
        <f t="shared" si="55"/>
        <v>1</v>
      </c>
      <c r="R311" s="7">
        <f t="shared" si="56"/>
        <v>4347</v>
      </c>
      <c r="S311" s="5">
        <f t="shared" si="57"/>
        <v>1</v>
      </c>
      <c r="T311" s="7">
        <f t="shared" si="58"/>
        <v>4347</v>
      </c>
    </row>
    <row r="312" spans="1:20">
      <c r="A312" s="23" t="s">
        <v>352</v>
      </c>
      <c r="B312" s="35" t="s">
        <v>342</v>
      </c>
      <c r="C312" s="36">
        <v>68038</v>
      </c>
      <c r="D312" s="6"/>
      <c r="E312" s="113">
        <v>2459885100</v>
      </c>
      <c r="F312" s="116">
        <f t="shared" si="60"/>
        <v>36154.576854110936</v>
      </c>
      <c r="G312" s="117">
        <v>1849440960</v>
      </c>
      <c r="H312" s="117">
        <f t="shared" si="61"/>
        <v>27182.470972103823</v>
      </c>
      <c r="I312" s="7"/>
      <c r="J312" s="10">
        <v>3.4</v>
      </c>
      <c r="K312" s="117">
        <v>6288099</v>
      </c>
      <c r="L312" s="120">
        <f t="shared" si="62"/>
        <v>92.420397424968399</v>
      </c>
      <c r="M312" s="122">
        <f t="shared" si="52"/>
        <v>18494409.600000001</v>
      </c>
      <c r="N312" s="116">
        <f t="shared" si="53"/>
        <v>12206310.600000001</v>
      </c>
      <c r="O312" s="123">
        <f t="shared" si="54"/>
        <v>179.40431229606986</v>
      </c>
      <c r="P312" s="5"/>
      <c r="Q312" s="5">
        <f t="shared" si="55"/>
        <v>1</v>
      </c>
      <c r="R312" s="7">
        <f t="shared" si="56"/>
        <v>68038</v>
      </c>
      <c r="S312" s="5">
        <f t="shared" si="57"/>
        <v>1</v>
      </c>
      <c r="T312" s="7">
        <f t="shared" si="58"/>
        <v>68038</v>
      </c>
    </row>
    <row r="313" spans="1:20">
      <c r="A313" s="23" t="s">
        <v>353</v>
      </c>
      <c r="B313" s="35" t="s">
        <v>342</v>
      </c>
      <c r="C313" s="36">
        <v>4160</v>
      </c>
      <c r="D313" s="6"/>
      <c r="E313" s="113">
        <v>460507770</v>
      </c>
      <c r="F313" s="116">
        <f t="shared" si="60"/>
        <v>110698.98317307692</v>
      </c>
      <c r="G313" s="117">
        <v>396160230</v>
      </c>
      <c r="H313" s="117">
        <f t="shared" si="61"/>
        <v>95230.824519230766</v>
      </c>
      <c r="I313" s="7"/>
      <c r="J313" s="10">
        <v>2.2000000000000002</v>
      </c>
      <c r="K313" s="117">
        <v>871552</v>
      </c>
      <c r="L313" s="120">
        <f t="shared" si="62"/>
        <v>209.50769230769231</v>
      </c>
      <c r="M313" s="122">
        <f t="shared" si="52"/>
        <v>3961602.3000000003</v>
      </c>
      <c r="N313" s="116">
        <f t="shared" si="53"/>
        <v>3090050.3000000003</v>
      </c>
      <c r="O313" s="123">
        <f t="shared" si="54"/>
        <v>742.8005528846154</v>
      </c>
      <c r="P313" s="5"/>
      <c r="Q313" s="5">
        <f t="shared" si="55"/>
        <v>1</v>
      </c>
      <c r="R313" s="7">
        <f t="shared" si="56"/>
        <v>4160</v>
      </c>
      <c r="S313" s="5">
        <f t="shared" si="57"/>
        <v>1</v>
      </c>
      <c r="T313" s="7">
        <f t="shared" si="58"/>
        <v>4160</v>
      </c>
    </row>
    <row r="314" spans="1:20">
      <c r="A314" s="23" t="s">
        <v>354</v>
      </c>
      <c r="B314" s="35" t="s">
        <v>342</v>
      </c>
      <c r="C314" s="36">
        <v>1149</v>
      </c>
      <c r="D314" s="6"/>
      <c r="E314" s="113">
        <v>149932030</v>
      </c>
      <c r="F314" s="116">
        <f t="shared" si="60"/>
        <v>130489.14708442123</v>
      </c>
      <c r="G314" s="117">
        <v>138353330</v>
      </c>
      <c r="H314" s="117">
        <f t="shared" si="61"/>
        <v>120411.94952132289</v>
      </c>
      <c r="I314" s="7"/>
      <c r="J314" s="10">
        <v>1.36</v>
      </c>
      <c r="K314" s="117">
        <v>188160</v>
      </c>
      <c r="L314" s="120">
        <f t="shared" si="62"/>
        <v>163.7597911227154</v>
      </c>
      <c r="M314" s="122">
        <f t="shared" si="52"/>
        <v>1383533.3</v>
      </c>
      <c r="N314" s="116">
        <f t="shared" si="53"/>
        <v>1195373.3</v>
      </c>
      <c r="O314" s="123">
        <f t="shared" si="54"/>
        <v>1040.3597040905136</v>
      </c>
      <c r="P314" s="5"/>
      <c r="Q314" s="5">
        <f t="shared" si="55"/>
        <v>1</v>
      </c>
      <c r="R314" s="7">
        <f t="shared" si="56"/>
        <v>1149</v>
      </c>
      <c r="S314" s="5">
        <f t="shared" si="57"/>
        <v>1</v>
      </c>
      <c r="T314" s="7">
        <f t="shared" si="58"/>
        <v>1149</v>
      </c>
    </row>
    <row r="315" spans="1:20">
      <c r="A315" s="23" t="s">
        <v>355</v>
      </c>
      <c r="B315" s="35" t="s">
        <v>342</v>
      </c>
      <c r="C315" s="36">
        <v>9734</v>
      </c>
      <c r="D315" s="6"/>
      <c r="E315" s="113">
        <v>505703387</v>
      </c>
      <c r="F315" s="116">
        <f t="shared" si="60"/>
        <v>51952.269056913909</v>
      </c>
      <c r="G315" s="117">
        <v>399613956</v>
      </c>
      <c r="H315" s="117">
        <f t="shared" si="61"/>
        <v>41053.416478323401</v>
      </c>
      <c r="I315" s="7"/>
      <c r="J315" s="10">
        <v>4.6500000000000004</v>
      </c>
      <c r="K315" s="117">
        <v>1858204</v>
      </c>
      <c r="L315" s="120">
        <f t="shared" si="62"/>
        <v>190.89829463735362</v>
      </c>
      <c r="M315" s="122">
        <f t="shared" si="52"/>
        <v>3996139.56</v>
      </c>
      <c r="N315" s="116">
        <f t="shared" si="53"/>
        <v>2137935.56</v>
      </c>
      <c r="O315" s="123">
        <f t="shared" si="54"/>
        <v>219.63587014588043</v>
      </c>
      <c r="P315" s="5"/>
      <c r="Q315" s="5">
        <f t="shared" si="55"/>
        <v>1</v>
      </c>
      <c r="R315" s="7">
        <f t="shared" si="56"/>
        <v>9734</v>
      </c>
      <c r="S315" s="5">
        <f t="shared" si="57"/>
        <v>1</v>
      </c>
      <c r="T315" s="7">
        <f t="shared" si="58"/>
        <v>9734</v>
      </c>
    </row>
    <row r="316" spans="1:20">
      <c r="A316" s="23" t="s">
        <v>356</v>
      </c>
      <c r="B316" s="35" t="s">
        <v>342</v>
      </c>
      <c r="C316" s="36">
        <v>44625</v>
      </c>
      <c r="D316" s="6"/>
      <c r="E316" s="113">
        <v>1993836313</v>
      </c>
      <c r="F316" s="116">
        <f t="shared" si="60"/>
        <v>44679.80533333333</v>
      </c>
      <c r="G316" s="117">
        <v>1530265088</v>
      </c>
      <c r="H316" s="117">
        <f t="shared" si="61"/>
        <v>34291.654633053222</v>
      </c>
      <c r="I316" s="7"/>
      <c r="J316" s="10">
        <v>4.3807999999999998</v>
      </c>
      <c r="K316" s="117">
        <v>6703785</v>
      </c>
      <c r="L316" s="120">
        <f t="shared" si="62"/>
        <v>150.22487394957983</v>
      </c>
      <c r="M316" s="122">
        <f t="shared" si="52"/>
        <v>15302650.880000001</v>
      </c>
      <c r="N316" s="116">
        <f t="shared" si="53"/>
        <v>8598865.8800000008</v>
      </c>
      <c r="O316" s="123">
        <f t="shared" si="54"/>
        <v>192.69167238095241</v>
      </c>
      <c r="P316" s="5"/>
      <c r="Q316" s="5">
        <f t="shared" si="55"/>
        <v>1</v>
      </c>
      <c r="R316" s="7">
        <f t="shared" si="56"/>
        <v>44625</v>
      </c>
      <c r="S316" s="5">
        <f t="shared" si="57"/>
        <v>1</v>
      </c>
      <c r="T316" s="7">
        <f t="shared" si="58"/>
        <v>44625</v>
      </c>
    </row>
    <row r="317" spans="1:20">
      <c r="A317" s="23" t="s">
        <v>357</v>
      </c>
      <c r="B317" s="35" t="s">
        <v>342</v>
      </c>
      <c r="C317" s="36">
        <v>1615</v>
      </c>
      <c r="D317" s="6"/>
      <c r="E317" s="113">
        <v>140329250</v>
      </c>
      <c r="F317" s="116">
        <f t="shared" si="60"/>
        <v>86891.176470588238</v>
      </c>
      <c r="G317" s="117">
        <v>118976750</v>
      </c>
      <c r="H317" s="117">
        <f t="shared" si="61"/>
        <v>73669.814241486063</v>
      </c>
      <c r="I317" s="7"/>
      <c r="J317" s="10">
        <v>3.3</v>
      </c>
      <c r="K317" s="117">
        <v>392623</v>
      </c>
      <c r="L317" s="120">
        <f t="shared" si="62"/>
        <v>243.11021671826626</v>
      </c>
      <c r="M317" s="122">
        <f t="shared" si="52"/>
        <v>1189767.5</v>
      </c>
      <c r="N317" s="116">
        <f t="shared" si="53"/>
        <v>797144.5</v>
      </c>
      <c r="O317" s="123">
        <f t="shared" si="54"/>
        <v>493.58792569659443</v>
      </c>
      <c r="P317" s="5"/>
      <c r="Q317" s="5">
        <f t="shared" si="55"/>
        <v>1</v>
      </c>
      <c r="R317" s="7">
        <f t="shared" si="56"/>
        <v>1615</v>
      </c>
      <c r="S317" s="5">
        <f t="shared" si="57"/>
        <v>1</v>
      </c>
      <c r="T317" s="7">
        <f t="shared" si="58"/>
        <v>1615</v>
      </c>
    </row>
    <row r="318" spans="1:20">
      <c r="A318" s="23" t="s">
        <v>358</v>
      </c>
      <c r="B318" s="35" t="s">
        <v>342</v>
      </c>
      <c r="C318" s="36">
        <v>2415</v>
      </c>
      <c r="D318" s="6"/>
      <c r="E318" s="113">
        <v>210347860</v>
      </c>
      <c r="F318" s="116">
        <f t="shared" si="60"/>
        <v>87100.563146997927</v>
      </c>
      <c r="G318" s="117">
        <v>184299720</v>
      </c>
      <c r="H318" s="117">
        <f t="shared" si="61"/>
        <v>76314.583850931682</v>
      </c>
      <c r="I318" s="7"/>
      <c r="J318" s="10">
        <v>1.49</v>
      </c>
      <c r="K318" s="117">
        <v>274606</v>
      </c>
      <c r="L318" s="120">
        <f t="shared" si="62"/>
        <v>113.70848861283643</v>
      </c>
      <c r="M318" s="122">
        <f t="shared" si="52"/>
        <v>1842997.2</v>
      </c>
      <c r="N318" s="116">
        <f t="shared" si="53"/>
        <v>1568391.2</v>
      </c>
      <c r="O318" s="123">
        <f t="shared" si="54"/>
        <v>649.43734989648033</v>
      </c>
      <c r="P318" s="5"/>
      <c r="Q318" s="5">
        <f t="shared" si="55"/>
        <v>1</v>
      </c>
      <c r="R318" s="7">
        <f t="shared" si="56"/>
        <v>2415</v>
      </c>
      <c r="S318" s="5">
        <f t="shared" si="57"/>
        <v>1</v>
      </c>
      <c r="T318" s="7">
        <f t="shared" si="58"/>
        <v>2415</v>
      </c>
    </row>
    <row r="319" spans="1:20">
      <c r="A319" s="23" t="s">
        <v>359</v>
      </c>
      <c r="B319" s="35" t="s">
        <v>342</v>
      </c>
      <c r="C319" s="36">
        <v>16884</v>
      </c>
      <c r="D319" s="6"/>
      <c r="E319" s="113">
        <v>844544124</v>
      </c>
      <c r="F319" s="116">
        <f t="shared" si="60"/>
        <v>50020.381663113003</v>
      </c>
      <c r="G319" s="117">
        <v>597633864</v>
      </c>
      <c r="H319" s="117">
        <f t="shared" si="61"/>
        <v>35396.461975835111</v>
      </c>
      <c r="I319" s="7"/>
      <c r="J319" s="10">
        <v>3.6120999999999999</v>
      </c>
      <c r="K319" s="117">
        <v>2158713</v>
      </c>
      <c r="L319" s="120">
        <f t="shared" si="62"/>
        <v>127.85554371002132</v>
      </c>
      <c r="M319" s="122">
        <f t="shared" si="52"/>
        <v>5976338.6399999997</v>
      </c>
      <c r="N319" s="116">
        <f t="shared" si="53"/>
        <v>3817625.6399999997</v>
      </c>
      <c r="O319" s="123">
        <f t="shared" si="54"/>
        <v>226.10907604832977</v>
      </c>
      <c r="P319" s="5"/>
      <c r="Q319" s="5">
        <f t="shared" si="55"/>
        <v>1</v>
      </c>
      <c r="R319" s="7">
        <f t="shared" si="56"/>
        <v>16884</v>
      </c>
      <c r="S319" s="5">
        <f t="shared" si="57"/>
        <v>1</v>
      </c>
      <c r="T319" s="7">
        <f t="shared" si="58"/>
        <v>16884</v>
      </c>
    </row>
    <row r="320" spans="1:20">
      <c r="A320" s="23" t="s">
        <v>360</v>
      </c>
      <c r="B320" s="35" t="s">
        <v>342</v>
      </c>
      <c r="C320" s="36">
        <v>9717</v>
      </c>
      <c r="D320" s="6"/>
      <c r="E320" s="113">
        <v>424490260</v>
      </c>
      <c r="F320" s="116">
        <f t="shared" si="60"/>
        <v>43685.320572193064</v>
      </c>
      <c r="G320" s="117">
        <v>322789200</v>
      </c>
      <c r="H320" s="117">
        <f t="shared" si="61"/>
        <v>33219.018215498611</v>
      </c>
      <c r="I320" s="7"/>
      <c r="J320" s="10">
        <v>3.5057999999999998</v>
      </c>
      <c r="K320" s="117">
        <v>1131634</v>
      </c>
      <c r="L320" s="120">
        <f t="shared" si="62"/>
        <v>116.45919522486363</v>
      </c>
      <c r="M320" s="122">
        <f t="shared" si="52"/>
        <v>3227892</v>
      </c>
      <c r="N320" s="116">
        <f t="shared" si="53"/>
        <v>2096258</v>
      </c>
      <c r="O320" s="123">
        <f t="shared" si="54"/>
        <v>215.73098693012247</v>
      </c>
      <c r="P320" s="5"/>
      <c r="Q320" s="5">
        <f t="shared" si="55"/>
        <v>1</v>
      </c>
      <c r="R320" s="7">
        <f t="shared" si="56"/>
        <v>9717</v>
      </c>
      <c r="S320" s="5">
        <f t="shared" si="57"/>
        <v>1</v>
      </c>
      <c r="T320" s="7">
        <f t="shared" si="58"/>
        <v>9717</v>
      </c>
    </row>
    <row r="321" spans="1:20">
      <c r="A321" s="23" t="s">
        <v>361</v>
      </c>
      <c r="B321" s="35" t="s">
        <v>342</v>
      </c>
      <c r="C321" s="36">
        <v>5897</v>
      </c>
      <c r="D321" s="6"/>
      <c r="E321" s="113">
        <v>363796650</v>
      </c>
      <c r="F321" s="116">
        <f t="shared" si="60"/>
        <v>61691.817873494998</v>
      </c>
      <c r="G321" s="117">
        <v>304393060</v>
      </c>
      <c r="H321" s="117">
        <f t="shared" si="61"/>
        <v>51618.290656265897</v>
      </c>
      <c r="I321" s="7"/>
      <c r="J321" s="10">
        <v>1.3935999999999999</v>
      </c>
      <c r="K321" s="117">
        <v>424202</v>
      </c>
      <c r="L321" s="120">
        <f t="shared" si="62"/>
        <v>71.935221298965573</v>
      </c>
      <c r="M321" s="122">
        <f t="shared" si="52"/>
        <v>3043930.6</v>
      </c>
      <c r="N321" s="116">
        <f t="shared" si="53"/>
        <v>2619728.6</v>
      </c>
      <c r="O321" s="123">
        <f t="shared" si="54"/>
        <v>444.24768526369343</v>
      </c>
      <c r="P321" s="5"/>
      <c r="Q321" s="5">
        <f t="shared" si="55"/>
        <v>1</v>
      </c>
      <c r="R321" s="7">
        <f t="shared" si="56"/>
        <v>5897</v>
      </c>
      <c r="S321" s="5">
        <f t="shared" si="57"/>
        <v>1</v>
      </c>
      <c r="T321" s="7">
        <f t="shared" si="58"/>
        <v>5897</v>
      </c>
    </row>
    <row r="322" spans="1:20">
      <c r="A322" s="24" t="s">
        <v>561</v>
      </c>
      <c r="B322" s="35" t="s">
        <v>342</v>
      </c>
      <c r="C322" s="36">
        <v>9597</v>
      </c>
      <c r="D322" s="6"/>
      <c r="E322" s="113">
        <v>1205069420</v>
      </c>
      <c r="F322" s="116">
        <f t="shared" si="60"/>
        <v>125567.3043659477</v>
      </c>
      <c r="G322" s="117">
        <v>1038169010</v>
      </c>
      <c r="H322" s="117">
        <f t="shared" si="61"/>
        <v>108176.41033656351</v>
      </c>
      <c r="I322" s="7"/>
      <c r="J322" s="10">
        <v>2.8</v>
      </c>
      <c r="K322" s="117">
        <v>2906873</v>
      </c>
      <c r="L322" s="120">
        <f t="shared" si="62"/>
        <v>302.89392518495362</v>
      </c>
      <c r="M322" s="122">
        <f t="shared" si="52"/>
        <v>10381690.1</v>
      </c>
      <c r="N322" s="116">
        <f t="shared" si="53"/>
        <v>7474817.0999999996</v>
      </c>
      <c r="O322" s="123">
        <f t="shared" si="54"/>
        <v>778.87017818068148</v>
      </c>
      <c r="P322" s="5"/>
      <c r="Q322" s="5">
        <f t="shared" si="55"/>
        <v>1</v>
      </c>
      <c r="R322" s="7">
        <f t="shared" si="56"/>
        <v>9597</v>
      </c>
      <c r="S322" s="5">
        <f t="shared" si="57"/>
        <v>1</v>
      </c>
      <c r="T322" s="7">
        <f t="shared" si="58"/>
        <v>9597</v>
      </c>
    </row>
    <row r="323" spans="1:20">
      <c r="A323" s="23" t="s">
        <v>548</v>
      </c>
      <c r="B323" s="35" t="s">
        <v>342</v>
      </c>
      <c r="C323" s="36">
        <v>241413</v>
      </c>
      <c r="D323" s="6"/>
      <c r="E323" s="113">
        <v>10200105928</v>
      </c>
      <c r="F323" s="116">
        <f t="shared" si="60"/>
        <v>42251.684573738778</v>
      </c>
      <c r="G323" s="117">
        <v>7057885755</v>
      </c>
      <c r="H323" s="117">
        <f t="shared" si="61"/>
        <v>29235.731940699134</v>
      </c>
      <c r="I323" s="7"/>
      <c r="J323" s="10">
        <v>7.35</v>
      </c>
      <c r="K323" s="117">
        <v>51875460</v>
      </c>
      <c r="L323" s="120">
        <f t="shared" si="62"/>
        <v>214.88262852456165</v>
      </c>
      <c r="M323" s="122">
        <f t="shared" si="52"/>
        <v>70578857.549999997</v>
      </c>
      <c r="N323" s="116">
        <f t="shared" si="53"/>
        <v>18703397.549999997</v>
      </c>
      <c r="O323" s="123">
        <f t="shared" si="54"/>
        <v>77.474690882429684</v>
      </c>
      <c r="P323" s="5"/>
      <c r="Q323" s="5">
        <f t="shared" si="55"/>
        <v>1</v>
      </c>
      <c r="R323" s="7">
        <f t="shared" si="56"/>
        <v>241413</v>
      </c>
      <c r="S323" s="5">
        <f t="shared" si="57"/>
        <v>1</v>
      </c>
      <c r="T323" s="7">
        <f t="shared" si="58"/>
        <v>241413</v>
      </c>
    </row>
    <row r="324" spans="1:20">
      <c r="A324" s="23" t="s">
        <v>362</v>
      </c>
      <c r="B324" s="35" t="s">
        <v>342</v>
      </c>
      <c r="C324" s="36">
        <v>19827</v>
      </c>
      <c r="D324" s="6"/>
      <c r="E324" s="113">
        <v>997344610</v>
      </c>
      <c r="F324" s="116">
        <f t="shared" si="60"/>
        <v>50302.345791092957</v>
      </c>
      <c r="G324" s="117">
        <v>728254530</v>
      </c>
      <c r="H324" s="117">
        <f t="shared" si="61"/>
        <v>36730.444847934632</v>
      </c>
      <c r="I324" s="7"/>
      <c r="J324" s="10">
        <v>5.4541000000000004</v>
      </c>
      <c r="K324" s="117">
        <v>3971973</v>
      </c>
      <c r="L324" s="120">
        <f t="shared" si="62"/>
        <v>200.33151762747769</v>
      </c>
      <c r="M324" s="122">
        <f t="shared" si="52"/>
        <v>7282545.2999999998</v>
      </c>
      <c r="N324" s="116">
        <f t="shared" si="53"/>
        <v>3310572.3</v>
      </c>
      <c r="O324" s="123">
        <f t="shared" si="54"/>
        <v>166.97293085186865</v>
      </c>
      <c r="P324" s="5"/>
      <c r="Q324" s="5">
        <f t="shared" si="55"/>
        <v>1</v>
      </c>
      <c r="R324" s="7">
        <f t="shared" si="56"/>
        <v>19827</v>
      </c>
      <c r="S324" s="5">
        <f t="shared" si="57"/>
        <v>1</v>
      </c>
      <c r="T324" s="7">
        <f t="shared" si="58"/>
        <v>19827</v>
      </c>
    </row>
    <row r="325" spans="1:20">
      <c r="A325" s="23" t="s">
        <v>363</v>
      </c>
      <c r="B325" s="35" t="s">
        <v>342</v>
      </c>
      <c r="C325" s="36">
        <v>7353</v>
      </c>
      <c r="D325" s="6"/>
      <c r="E325" s="113">
        <v>847863700</v>
      </c>
      <c r="F325" s="116">
        <f t="shared" si="60"/>
        <v>115308.54073167415</v>
      </c>
      <c r="G325" s="117">
        <v>640791720</v>
      </c>
      <c r="H325" s="117">
        <f t="shared" si="61"/>
        <v>87146.976744186046</v>
      </c>
      <c r="I325" s="7"/>
      <c r="J325" s="10">
        <v>1.5271999999999999</v>
      </c>
      <c r="K325" s="117">
        <v>978617</v>
      </c>
      <c r="L325" s="120">
        <f t="shared" si="62"/>
        <v>133.09084727322181</v>
      </c>
      <c r="M325" s="122">
        <f t="shared" si="52"/>
        <v>6407917.2000000002</v>
      </c>
      <c r="N325" s="116">
        <f t="shared" si="53"/>
        <v>5429300.2000000002</v>
      </c>
      <c r="O325" s="123">
        <f t="shared" si="54"/>
        <v>738.37892016863873</v>
      </c>
      <c r="P325" s="5"/>
      <c r="Q325" s="5">
        <f t="shared" si="55"/>
        <v>1</v>
      </c>
      <c r="R325" s="7">
        <f t="shared" si="56"/>
        <v>7353</v>
      </c>
      <c r="S325" s="5">
        <f t="shared" si="57"/>
        <v>1</v>
      </c>
      <c r="T325" s="7">
        <f t="shared" si="58"/>
        <v>7353</v>
      </c>
    </row>
    <row r="326" spans="1:20">
      <c r="A326" s="23" t="s">
        <v>364</v>
      </c>
      <c r="B326" s="35" t="s">
        <v>365</v>
      </c>
      <c r="C326" s="36">
        <v>9378</v>
      </c>
      <c r="D326" s="6"/>
      <c r="E326" s="113">
        <v>353484173</v>
      </c>
      <c r="F326" s="116">
        <f t="shared" si="60"/>
        <v>37692.916719982939</v>
      </c>
      <c r="G326" s="117">
        <v>248068850</v>
      </c>
      <c r="H326" s="117">
        <f t="shared" si="61"/>
        <v>26452.212625293239</v>
      </c>
      <c r="I326" s="7"/>
      <c r="J326" s="10">
        <v>4.516</v>
      </c>
      <c r="K326" s="117">
        <v>1120278</v>
      </c>
      <c r="L326" s="120">
        <f t="shared" si="62"/>
        <v>119.45809341010876</v>
      </c>
      <c r="M326" s="122">
        <f t="shared" ref="M326:M389" si="63">(G326*0.01)</f>
        <v>2480688.5</v>
      </c>
      <c r="N326" s="116">
        <f t="shared" ref="N326:N389" si="64">(M326-K326)</f>
        <v>1360410.5</v>
      </c>
      <c r="O326" s="123">
        <f t="shared" ref="O326:O389" si="65">(N326/C326)</f>
        <v>145.06403284282362</v>
      </c>
      <c r="P326" s="5"/>
      <c r="Q326" s="5">
        <f t="shared" si="55"/>
        <v>1</v>
      </c>
      <c r="R326" s="7">
        <f t="shared" si="56"/>
        <v>9378</v>
      </c>
      <c r="S326" s="5">
        <f t="shared" si="57"/>
        <v>1</v>
      </c>
      <c r="T326" s="7">
        <f t="shared" si="58"/>
        <v>9378</v>
      </c>
    </row>
    <row r="327" spans="1:20">
      <c r="A327" s="23" t="s">
        <v>366</v>
      </c>
      <c r="B327" s="35" t="s">
        <v>365</v>
      </c>
      <c r="C327" s="36">
        <v>14925</v>
      </c>
      <c r="D327" s="6"/>
      <c r="E327" s="113">
        <v>508306620</v>
      </c>
      <c r="F327" s="116">
        <f t="shared" si="60"/>
        <v>34057.394974874369</v>
      </c>
      <c r="G327" s="117">
        <v>268197375</v>
      </c>
      <c r="H327" s="117">
        <f t="shared" si="61"/>
        <v>17969.673366834169</v>
      </c>
      <c r="I327" s="7"/>
      <c r="J327" s="10">
        <v>0.78200000000000003</v>
      </c>
      <c r="K327" s="117">
        <v>209730</v>
      </c>
      <c r="L327" s="120">
        <f t="shared" si="62"/>
        <v>14.052261306532664</v>
      </c>
      <c r="M327" s="122">
        <f t="shared" si="63"/>
        <v>2681973.75</v>
      </c>
      <c r="N327" s="116">
        <f t="shared" si="64"/>
        <v>2472243.75</v>
      </c>
      <c r="O327" s="123">
        <f t="shared" si="65"/>
        <v>165.64447236180905</v>
      </c>
      <c r="P327" s="5"/>
      <c r="Q327" s="5">
        <f t="shared" ref="Q327:Q390" si="66">IF(E327&gt;0,1,0)</f>
        <v>1</v>
      </c>
      <c r="R327" s="7">
        <f t="shared" ref="R327:R390" si="67">IF(E327&gt;0,C327,0)</f>
        <v>14925</v>
      </c>
      <c r="S327" s="5">
        <f t="shared" ref="S327:S390" si="68">IF(J327&gt;0,1,0)</f>
        <v>1</v>
      </c>
      <c r="T327" s="7">
        <f t="shared" ref="T327:T390" si="69">IF(J327&gt;0,C327,0)</f>
        <v>14925</v>
      </c>
    </row>
    <row r="328" spans="1:20">
      <c r="A328" s="23" t="s">
        <v>367</v>
      </c>
      <c r="B328" s="35" t="s">
        <v>365</v>
      </c>
      <c r="C328" s="36">
        <v>2123</v>
      </c>
      <c r="D328" s="6"/>
      <c r="E328" s="113">
        <v>55393550</v>
      </c>
      <c r="F328" s="116">
        <f t="shared" si="60"/>
        <v>26092.110221384832</v>
      </c>
      <c r="G328" s="117">
        <v>34621336</v>
      </c>
      <c r="H328" s="117">
        <f t="shared" si="61"/>
        <v>16307.741874705605</v>
      </c>
      <c r="I328" s="7"/>
      <c r="J328" s="10">
        <v>5.6</v>
      </c>
      <c r="K328" s="117">
        <v>193879</v>
      </c>
      <c r="L328" s="120">
        <f t="shared" si="62"/>
        <v>91.323127649552518</v>
      </c>
      <c r="M328" s="122">
        <f t="shared" si="63"/>
        <v>346213.36</v>
      </c>
      <c r="N328" s="116">
        <f t="shared" si="64"/>
        <v>152334.35999999999</v>
      </c>
      <c r="O328" s="123">
        <f t="shared" si="65"/>
        <v>71.754291097503526</v>
      </c>
      <c r="P328" s="5"/>
      <c r="Q328" s="5">
        <f t="shared" si="66"/>
        <v>1</v>
      </c>
      <c r="R328" s="7">
        <f t="shared" si="67"/>
        <v>2123</v>
      </c>
      <c r="S328" s="5">
        <f t="shared" si="68"/>
        <v>1</v>
      </c>
      <c r="T328" s="7">
        <f t="shared" si="69"/>
        <v>2123</v>
      </c>
    </row>
    <row r="329" spans="1:20">
      <c r="A329" s="23" t="s">
        <v>368</v>
      </c>
      <c r="B329" s="35" t="s">
        <v>365</v>
      </c>
      <c r="C329" s="36">
        <v>2601</v>
      </c>
      <c r="D329" s="6"/>
      <c r="E329" s="113">
        <v>86042046</v>
      </c>
      <c r="F329" s="116">
        <f t="shared" si="60"/>
        <v>33080.371395617069</v>
      </c>
      <c r="G329" s="117">
        <v>63733919</v>
      </c>
      <c r="H329" s="117">
        <f t="shared" si="61"/>
        <v>24503.621299500192</v>
      </c>
      <c r="I329" s="7"/>
      <c r="J329" s="10">
        <v>4.49</v>
      </c>
      <c r="K329" s="117">
        <v>286165</v>
      </c>
      <c r="L329" s="120">
        <f t="shared" si="62"/>
        <v>110.02114571318724</v>
      </c>
      <c r="M329" s="122">
        <f t="shared" si="63"/>
        <v>637339.19000000006</v>
      </c>
      <c r="N329" s="116">
        <f t="shared" si="64"/>
        <v>351174.19000000006</v>
      </c>
      <c r="O329" s="123">
        <f t="shared" si="65"/>
        <v>135.01506728181471</v>
      </c>
      <c r="P329" s="5"/>
      <c r="Q329" s="5">
        <f t="shared" si="66"/>
        <v>1</v>
      </c>
      <c r="R329" s="7">
        <f t="shared" si="67"/>
        <v>2601</v>
      </c>
      <c r="S329" s="5">
        <f t="shared" si="68"/>
        <v>1</v>
      </c>
      <c r="T329" s="7">
        <f t="shared" si="69"/>
        <v>2601</v>
      </c>
    </row>
    <row r="330" spans="1:20">
      <c r="A330" s="23" t="s">
        <v>369</v>
      </c>
      <c r="B330" s="35" t="s">
        <v>365</v>
      </c>
      <c r="C330" s="36">
        <v>1909</v>
      </c>
      <c r="D330" s="6"/>
      <c r="E330" s="113">
        <v>37750811</v>
      </c>
      <c r="F330" s="116">
        <f t="shared" si="60"/>
        <v>19775.17600838135</v>
      </c>
      <c r="G330" s="117">
        <v>20413563</v>
      </c>
      <c r="H330" s="117">
        <f t="shared" si="61"/>
        <v>10693.327920377162</v>
      </c>
      <c r="I330" s="7"/>
      <c r="J330" s="10">
        <v>5.4889999999999999</v>
      </c>
      <c r="K330" s="117">
        <v>112050</v>
      </c>
      <c r="L330" s="120">
        <f>(K330/C330)</f>
        <v>58.695652173913047</v>
      </c>
      <c r="M330" s="122">
        <f t="shared" si="63"/>
        <v>204135.63</v>
      </c>
      <c r="N330" s="116">
        <f t="shared" si="64"/>
        <v>92085.63</v>
      </c>
      <c r="O330" s="123">
        <f t="shared" si="65"/>
        <v>48.237627029858565</v>
      </c>
      <c r="P330" s="5"/>
      <c r="Q330" s="5">
        <f t="shared" si="66"/>
        <v>1</v>
      </c>
      <c r="R330" s="7">
        <f t="shared" si="67"/>
        <v>1909</v>
      </c>
      <c r="S330" s="5">
        <f t="shared" si="68"/>
        <v>1</v>
      </c>
      <c r="T330" s="7">
        <f t="shared" si="69"/>
        <v>1909</v>
      </c>
    </row>
    <row r="331" spans="1:20">
      <c r="A331" s="23" t="s">
        <v>370</v>
      </c>
      <c r="B331" s="35" t="s">
        <v>365</v>
      </c>
      <c r="C331" s="36">
        <v>5465</v>
      </c>
      <c r="D331" s="6"/>
      <c r="E331" s="113">
        <v>108185370</v>
      </c>
      <c r="F331" s="116">
        <f t="shared" si="60"/>
        <v>19796.042086001831</v>
      </c>
      <c r="G331" s="117">
        <v>59302172</v>
      </c>
      <c r="H331" s="117">
        <f t="shared" si="61"/>
        <v>10851.266605672461</v>
      </c>
      <c r="I331" s="98" t="s">
        <v>528</v>
      </c>
      <c r="J331" s="10"/>
      <c r="K331" s="117"/>
      <c r="L331" s="120"/>
      <c r="M331" s="122">
        <f t="shared" si="63"/>
        <v>593021.72</v>
      </c>
      <c r="N331" s="116">
        <f t="shared" si="64"/>
        <v>593021.72</v>
      </c>
      <c r="O331" s="123">
        <f t="shared" si="65"/>
        <v>108.51266605672461</v>
      </c>
      <c r="P331" s="5"/>
      <c r="Q331" s="5">
        <f t="shared" si="66"/>
        <v>1</v>
      </c>
      <c r="R331" s="7">
        <f t="shared" si="67"/>
        <v>5465</v>
      </c>
      <c r="S331" s="5">
        <f t="shared" si="68"/>
        <v>0</v>
      </c>
      <c r="T331" s="7">
        <f t="shared" si="69"/>
        <v>0</v>
      </c>
    </row>
    <row r="332" spans="1:20">
      <c r="A332" s="23" t="s">
        <v>371</v>
      </c>
      <c r="B332" s="35" t="s">
        <v>365</v>
      </c>
      <c r="C332" s="36">
        <v>2890</v>
      </c>
      <c r="D332" s="6"/>
      <c r="E332" s="113">
        <v>129185851</v>
      </c>
      <c r="F332" s="116">
        <f t="shared" si="60"/>
        <v>44700.986505190311</v>
      </c>
      <c r="G332" s="117">
        <v>98816553</v>
      </c>
      <c r="H332" s="117">
        <f t="shared" si="61"/>
        <v>34192.578892733567</v>
      </c>
      <c r="I332" s="7"/>
      <c r="J332" s="10">
        <v>6.25</v>
      </c>
      <c r="K332" s="117">
        <v>617603</v>
      </c>
      <c r="L332" s="120">
        <f t="shared" ref="L332:L368" si="70">(K332/C332)</f>
        <v>213.70346020761247</v>
      </c>
      <c r="M332" s="122">
        <f t="shared" si="63"/>
        <v>988165.53</v>
      </c>
      <c r="N332" s="116">
        <f t="shared" si="64"/>
        <v>370562.53</v>
      </c>
      <c r="O332" s="123">
        <f t="shared" si="65"/>
        <v>128.22232871972318</v>
      </c>
      <c r="P332" s="5"/>
      <c r="Q332" s="5">
        <f t="shared" si="66"/>
        <v>1</v>
      </c>
      <c r="R332" s="7">
        <f t="shared" si="67"/>
        <v>2890</v>
      </c>
      <c r="S332" s="5">
        <f t="shared" si="68"/>
        <v>1</v>
      </c>
      <c r="T332" s="7">
        <f t="shared" si="69"/>
        <v>2890</v>
      </c>
    </row>
    <row r="333" spans="1:20">
      <c r="A333" s="23" t="s">
        <v>372</v>
      </c>
      <c r="B333" s="35" t="s">
        <v>365</v>
      </c>
      <c r="C333" s="36">
        <v>13341</v>
      </c>
      <c r="D333" s="6"/>
      <c r="E333" s="113">
        <v>354012465</v>
      </c>
      <c r="F333" s="116">
        <f t="shared" si="60"/>
        <v>26535.676860805037</v>
      </c>
      <c r="G333" s="117">
        <v>237162591</v>
      </c>
      <c r="H333" s="117">
        <f t="shared" si="61"/>
        <v>17776.972565774679</v>
      </c>
      <c r="I333" s="7"/>
      <c r="J333" s="10">
        <v>8</v>
      </c>
      <c r="K333" s="117">
        <v>1897300</v>
      </c>
      <c r="L333" s="120">
        <f t="shared" si="70"/>
        <v>142.21572595757439</v>
      </c>
      <c r="M333" s="122">
        <f t="shared" si="63"/>
        <v>2371625.91</v>
      </c>
      <c r="N333" s="116">
        <f t="shared" si="64"/>
        <v>474325.91000000015</v>
      </c>
      <c r="O333" s="123">
        <f t="shared" si="65"/>
        <v>35.553999700172412</v>
      </c>
      <c r="P333" s="5"/>
      <c r="Q333" s="5">
        <f t="shared" si="66"/>
        <v>1</v>
      </c>
      <c r="R333" s="7">
        <f t="shared" si="67"/>
        <v>13341</v>
      </c>
      <c r="S333" s="5">
        <f t="shared" si="68"/>
        <v>1</v>
      </c>
      <c r="T333" s="7">
        <f t="shared" si="69"/>
        <v>13341</v>
      </c>
    </row>
    <row r="334" spans="1:20">
      <c r="A334" s="23" t="s">
        <v>373</v>
      </c>
      <c r="B334" s="35" t="s">
        <v>365</v>
      </c>
      <c r="C334" s="36">
        <v>157</v>
      </c>
      <c r="D334" s="6"/>
      <c r="E334" s="113">
        <v>11953474</v>
      </c>
      <c r="F334" s="116">
        <f t="shared" si="60"/>
        <v>76136.77707006369</v>
      </c>
      <c r="G334" s="117">
        <v>10334403</v>
      </c>
      <c r="H334" s="117">
        <f t="shared" si="61"/>
        <v>65824.22292993631</v>
      </c>
      <c r="I334" s="7"/>
      <c r="J334" s="10">
        <v>6.5039999999999996</v>
      </c>
      <c r="K334" s="117">
        <v>67214</v>
      </c>
      <c r="L334" s="120">
        <f t="shared" si="70"/>
        <v>428.11464968152865</v>
      </c>
      <c r="M334" s="122">
        <f t="shared" si="63"/>
        <v>103344.03</v>
      </c>
      <c r="N334" s="116">
        <f t="shared" si="64"/>
        <v>36130.03</v>
      </c>
      <c r="O334" s="123">
        <f t="shared" si="65"/>
        <v>230.12757961783439</v>
      </c>
      <c r="P334" s="5"/>
      <c r="Q334" s="5">
        <f t="shared" si="66"/>
        <v>1</v>
      </c>
      <c r="R334" s="7">
        <f t="shared" si="67"/>
        <v>157</v>
      </c>
      <c r="S334" s="5">
        <f t="shared" si="68"/>
        <v>1</v>
      </c>
      <c r="T334" s="7">
        <f t="shared" si="69"/>
        <v>157</v>
      </c>
    </row>
    <row r="335" spans="1:20">
      <c r="A335" s="23" t="s">
        <v>374</v>
      </c>
      <c r="B335" s="35" t="s">
        <v>365</v>
      </c>
      <c r="C335" s="36">
        <v>237</v>
      </c>
      <c r="D335" s="6"/>
      <c r="E335" s="113">
        <v>8858960</v>
      </c>
      <c r="F335" s="116">
        <f t="shared" si="60"/>
        <v>37379.578059071733</v>
      </c>
      <c r="G335" s="117">
        <v>6577610</v>
      </c>
      <c r="H335" s="117">
        <f t="shared" si="61"/>
        <v>27753.628691983122</v>
      </c>
      <c r="I335" s="7"/>
      <c r="J335" s="10">
        <v>2.93</v>
      </c>
      <c r="K335" s="117">
        <v>19272</v>
      </c>
      <c r="L335" s="120">
        <f t="shared" si="70"/>
        <v>81.316455696202539</v>
      </c>
      <c r="M335" s="122">
        <f t="shared" si="63"/>
        <v>65776.100000000006</v>
      </c>
      <c r="N335" s="116">
        <f t="shared" si="64"/>
        <v>46504.100000000006</v>
      </c>
      <c r="O335" s="123">
        <f t="shared" si="65"/>
        <v>196.21983122362872</v>
      </c>
      <c r="P335" s="5"/>
      <c r="Q335" s="5">
        <f t="shared" si="66"/>
        <v>1</v>
      </c>
      <c r="R335" s="7">
        <f t="shared" si="67"/>
        <v>237</v>
      </c>
      <c r="S335" s="5">
        <f t="shared" si="68"/>
        <v>1</v>
      </c>
      <c r="T335" s="7">
        <f t="shared" si="69"/>
        <v>237</v>
      </c>
    </row>
    <row r="336" spans="1:20">
      <c r="A336" s="23" t="s">
        <v>375</v>
      </c>
      <c r="B336" s="35" t="s">
        <v>365</v>
      </c>
      <c r="C336" s="36">
        <v>3799</v>
      </c>
      <c r="D336" s="6"/>
      <c r="E336" s="113">
        <v>108598521</v>
      </c>
      <c r="F336" s="116">
        <f t="shared" si="60"/>
        <v>28586.08081073967</v>
      </c>
      <c r="G336" s="117">
        <v>76598936</v>
      </c>
      <c r="H336" s="117">
        <f t="shared" si="61"/>
        <v>20162.92076862332</v>
      </c>
      <c r="I336" s="7"/>
      <c r="J336" s="10">
        <v>7.0579999999999998</v>
      </c>
      <c r="K336" s="117">
        <v>540635</v>
      </c>
      <c r="L336" s="120">
        <f t="shared" si="70"/>
        <v>142.30981837325612</v>
      </c>
      <c r="M336" s="122">
        <f t="shared" si="63"/>
        <v>765989.36</v>
      </c>
      <c r="N336" s="116">
        <f t="shared" si="64"/>
        <v>225354.36</v>
      </c>
      <c r="O336" s="123">
        <f t="shared" si="65"/>
        <v>59.319389312977094</v>
      </c>
      <c r="P336" s="5"/>
      <c r="Q336" s="5">
        <f t="shared" si="66"/>
        <v>1</v>
      </c>
      <c r="R336" s="7">
        <f t="shared" si="67"/>
        <v>3799</v>
      </c>
      <c r="S336" s="5">
        <f t="shared" si="68"/>
        <v>1</v>
      </c>
      <c r="T336" s="7">
        <f t="shared" si="69"/>
        <v>3799</v>
      </c>
    </row>
    <row r="337" spans="1:20">
      <c r="A337" s="23" t="s">
        <v>376</v>
      </c>
      <c r="B337" s="35" t="s">
        <v>365</v>
      </c>
      <c r="C337" s="36">
        <v>1146</v>
      </c>
      <c r="D337" s="6"/>
      <c r="E337" s="113">
        <v>42281363</v>
      </c>
      <c r="F337" s="116">
        <f t="shared" si="60"/>
        <v>36894.732111692843</v>
      </c>
      <c r="G337" s="117">
        <v>31598265</v>
      </c>
      <c r="H337" s="117">
        <f t="shared" si="61"/>
        <v>27572.657068062828</v>
      </c>
      <c r="I337" s="7"/>
      <c r="J337" s="10">
        <v>6.6479999999999997</v>
      </c>
      <c r="K337" s="117">
        <v>210065</v>
      </c>
      <c r="L337" s="120">
        <f t="shared" si="70"/>
        <v>183.30279232111693</v>
      </c>
      <c r="M337" s="122">
        <f t="shared" si="63"/>
        <v>315982.65000000002</v>
      </c>
      <c r="N337" s="116">
        <f t="shared" si="64"/>
        <v>105917.65000000002</v>
      </c>
      <c r="O337" s="123">
        <f t="shared" si="65"/>
        <v>92.42377835951136</v>
      </c>
      <c r="P337" s="5"/>
      <c r="Q337" s="5">
        <f t="shared" si="66"/>
        <v>1</v>
      </c>
      <c r="R337" s="7">
        <f t="shared" si="67"/>
        <v>1146</v>
      </c>
      <c r="S337" s="5">
        <f t="shared" si="68"/>
        <v>1</v>
      </c>
      <c r="T337" s="7">
        <f t="shared" si="69"/>
        <v>1146</v>
      </c>
    </row>
    <row r="338" spans="1:20">
      <c r="A338" s="23" t="s">
        <v>377</v>
      </c>
      <c r="B338" s="35" t="s">
        <v>365</v>
      </c>
      <c r="C338" s="36">
        <v>10027</v>
      </c>
      <c r="D338" s="6"/>
      <c r="E338" s="113">
        <v>387186936</v>
      </c>
      <c r="F338" s="116">
        <f t="shared" si="60"/>
        <v>38614.434626508424</v>
      </c>
      <c r="G338" s="117">
        <v>269255370</v>
      </c>
      <c r="H338" s="117">
        <f t="shared" si="61"/>
        <v>26853.033808716467</v>
      </c>
      <c r="I338" s="7"/>
      <c r="J338" s="10">
        <v>7.75</v>
      </c>
      <c r="K338" s="117">
        <v>2086729</v>
      </c>
      <c r="L338" s="120">
        <f t="shared" si="70"/>
        <v>208.11100029919217</v>
      </c>
      <c r="M338" s="122">
        <f t="shared" si="63"/>
        <v>2692553.7</v>
      </c>
      <c r="N338" s="116">
        <f t="shared" si="64"/>
        <v>605824.70000000019</v>
      </c>
      <c r="O338" s="123">
        <f t="shared" si="65"/>
        <v>60.419337787972495</v>
      </c>
      <c r="P338" s="5"/>
      <c r="Q338" s="5">
        <f t="shared" si="66"/>
        <v>1</v>
      </c>
      <c r="R338" s="7">
        <f t="shared" si="67"/>
        <v>10027</v>
      </c>
      <c r="S338" s="5">
        <f t="shared" si="68"/>
        <v>1</v>
      </c>
      <c r="T338" s="7">
        <f t="shared" si="69"/>
        <v>10027</v>
      </c>
    </row>
    <row r="339" spans="1:20">
      <c r="A339" s="23" t="s">
        <v>378</v>
      </c>
      <c r="B339" s="35" t="s">
        <v>365</v>
      </c>
      <c r="C339" s="36">
        <v>75265</v>
      </c>
      <c r="D339" s="6"/>
      <c r="E339" s="113">
        <v>3639966260</v>
      </c>
      <c r="F339" s="116">
        <f t="shared" si="60"/>
        <v>48362.004384508073</v>
      </c>
      <c r="G339" s="117">
        <v>2276431377</v>
      </c>
      <c r="H339" s="117">
        <f t="shared" si="61"/>
        <v>30245.550747359332</v>
      </c>
      <c r="I339" s="7"/>
      <c r="J339" s="10">
        <v>2.9950000000000001</v>
      </c>
      <c r="K339" s="117">
        <v>6817911</v>
      </c>
      <c r="L339" s="120">
        <f t="shared" si="70"/>
        <v>90.585411545871253</v>
      </c>
      <c r="M339" s="122">
        <f t="shared" si="63"/>
        <v>22764313.77</v>
      </c>
      <c r="N339" s="116">
        <f t="shared" si="64"/>
        <v>15946402.77</v>
      </c>
      <c r="O339" s="123">
        <f t="shared" si="65"/>
        <v>211.87009592772205</v>
      </c>
      <c r="P339" s="5"/>
      <c r="Q339" s="5">
        <f t="shared" si="66"/>
        <v>1</v>
      </c>
      <c r="R339" s="7">
        <f t="shared" si="67"/>
        <v>75265</v>
      </c>
      <c r="S339" s="5">
        <f t="shared" si="68"/>
        <v>1</v>
      </c>
      <c r="T339" s="7">
        <f t="shared" si="69"/>
        <v>75265</v>
      </c>
    </row>
    <row r="340" spans="1:20">
      <c r="A340" s="23" t="s">
        <v>379</v>
      </c>
      <c r="B340" s="35" t="s">
        <v>365</v>
      </c>
      <c r="C340" s="36">
        <v>3327</v>
      </c>
      <c r="D340" s="6"/>
      <c r="E340" s="113">
        <v>110762903</v>
      </c>
      <c r="F340" s="116">
        <f t="shared" si="60"/>
        <v>33292.12593928464</v>
      </c>
      <c r="G340" s="117">
        <v>84230572</v>
      </c>
      <c r="H340" s="117">
        <f t="shared" si="61"/>
        <v>25317.27442140066</v>
      </c>
      <c r="I340" s="7"/>
      <c r="J340" s="10">
        <v>8.5</v>
      </c>
      <c r="K340" s="117">
        <v>715959</v>
      </c>
      <c r="L340" s="120">
        <f t="shared" si="70"/>
        <v>215.19657348963031</v>
      </c>
      <c r="M340" s="122">
        <f t="shared" si="63"/>
        <v>842305.72</v>
      </c>
      <c r="N340" s="116">
        <f t="shared" si="64"/>
        <v>126346.71999999997</v>
      </c>
      <c r="O340" s="123">
        <f t="shared" si="65"/>
        <v>37.97617072437631</v>
      </c>
      <c r="P340" s="5"/>
      <c r="Q340" s="5">
        <f t="shared" si="66"/>
        <v>1</v>
      </c>
      <c r="R340" s="7">
        <f t="shared" si="67"/>
        <v>3327</v>
      </c>
      <c r="S340" s="5">
        <f t="shared" si="68"/>
        <v>1</v>
      </c>
      <c r="T340" s="7">
        <f t="shared" si="69"/>
        <v>3327</v>
      </c>
    </row>
    <row r="341" spans="1:20">
      <c r="A341" s="23" t="s">
        <v>380</v>
      </c>
      <c r="B341" s="35" t="s">
        <v>365</v>
      </c>
      <c r="C341" s="36">
        <v>1822</v>
      </c>
      <c r="D341" s="6"/>
      <c r="E341" s="113">
        <v>30053955</v>
      </c>
      <c r="F341" s="116">
        <f t="shared" si="60"/>
        <v>16495.035675082327</v>
      </c>
      <c r="G341" s="117">
        <v>19186283</v>
      </c>
      <c r="H341" s="117">
        <f t="shared" si="61"/>
        <v>10530.341931942919</v>
      </c>
      <c r="I341" s="9"/>
      <c r="J341" s="10">
        <v>5.5</v>
      </c>
      <c r="K341" s="117">
        <v>105524</v>
      </c>
      <c r="L341" s="120">
        <f t="shared" si="70"/>
        <v>57.916575192096595</v>
      </c>
      <c r="M341" s="122">
        <f t="shared" si="63"/>
        <v>191862.83000000002</v>
      </c>
      <c r="N341" s="116">
        <f t="shared" si="64"/>
        <v>86338.830000000016</v>
      </c>
      <c r="O341" s="123">
        <f t="shared" si="65"/>
        <v>47.386844127332608</v>
      </c>
      <c r="P341" s="5"/>
      <c r="Q341" s="5">
        <f t="shared" si="66"/>
        <v>1</v>
      </c>
      <c r="R341" s="7">
        <f t="shared" si="67"/>
        <v>1822</v>
      </c>
      <c r="S341" s="5">
        <f t="shared" si="68"/>
        <v>1</v>
      </c>
      <c r="T341" s="7">
        <f t="shared" si="69"/>
        <v>1822</v>
      </c>
    </row>
    <row r="342" spans="1:20">
      <c r="A342" s="23" t="s">
        <v>381</v>
      </c>
      <c r="B342" s="35" t="s">
        <v>365</v>
      </c>
      <c r="C342" s="36">
        <v>25638</v>
      </c>
      <c r="D342" s="6"/>
      <c r="E342" s="113">
        <v>1129408043</v>
      </c>
      <c r="F342" s="116">
        <f t="shared" si="60"/>
        <v>44052.111826195491</v>
      </c>
      <c r="G342" s="117">
        <v>770417113</v>
      </c>
      <c r="H342" s="117">
        <f t="shared" si="61"/>
        <v>30049.813284967626</v>
      </c>
      <c r="I342" s="7"/>
      <c r="J342" s="10">
        <v>6.35</v>
      </c>
      <c r="K342" s="117">
        <v>4892148</v>
      </c>
      <c r="L342" s="120">
        <f t="shared" si="70"/>
        <v>190.81628832202199</v>
      </c>
      <c r="M342" s="122">
        <f t="shared" si="63"/>
        <v>7704171.1299999999</v>
      </c>
      <c r="N342" s="116">
        <f t="shared" si="64"/>
        <v>2812023.13</v>
      </c>
      <c r="O342" s="123">
        <f t="shared" si="65"/>
        <v>109.68184452765426</v>
      </c>
      <c r="P342" s="5"/>
      <c r="Q342" s="5">
        <f t="shared" si="66"/>
        <v>1</v>
      </c>
      <c r="R342" s="7">
        <f t="shared" si="67"/>
        <v>25638</v>
      </c>
      <c r="S342" s="5">
        <f t="shared" si="68"/>
        <v>1</v>
      </c>
      <c r="T342" s="7">
        <f t="shared" si="69"/>
        <v>25638</v>
      </c>
    </row>
    <row r="343" spans="1:20">
      <c r="A343" s="23" t="s">
        <v>382</v>
      </c>
      <c r="B343" s="35" t="s">
        <v>383</v>
      </c>
      <c r="C343" s="36">
        <v>1843</v>
      </c>
      <c r="D343" s="6"/>
      <c r="E343" s="113">
        <v>69097447</v>
      </c>
      <c r="F343" s="116">
        <f t="shared" si="60"/>
        <v>37491.832338578402</v>
      </c>
      <c r="G343" s="117">
        <v>40795989</v>
      </c>
      <c r="H343" s="117">
        <f t="shared" si="61"/>
        <v>22135.642430819316</v>
      </c>
      <c r="I343" s="7"/>
      <c r="J343" s="10">
        <v>8.25</v>
      </c>
      <c r="K343" s="117">
        <v>336566</v>
      </c>
      <c r="L343" s="120">
        <f t="shared" si="70"/>
        <v>182.61855670103094</v>
      </c>
      <c r="M343" s="122">
        <f t="shared" si="63"/>
        <v>407959.89</v>
      </c>
      <c r="N343" s="116">
        <f t="shared" si="64"/>
        <v>71393.890000000014</v>
      </c>
      <c r="O343" s="123">
        <f t="shared" si="65"/>
        <v>38.737867607162244</v>
      </c>
      <c r="P343" s="5"/>
      <c r="Q343" s="5">
        <f t="shared" si="66"/>
        <v>1</v>
      </c>
      <c r="R343" s="7">
        <f t="shared" si="67"/>
        <v>1843</v>
      </c>
      <c r="S343" s="5">
        <f t="shared" si="68"/>
        <v>1</v>
      </c>
      <c r="T343" s="7">
        <f t="shared" si="69"/>
        <v>1843</v>
      </c>
    </row>
    <row r="344" spans="1:20">
      <c r="A344" s="23" t="s">
        <v>384</v>
      </c>
      <c r="B344" s="35" t="s">
        <v>383</v>
      </c>
      <c r="C344" s="36">
        <v>1403</v>
      </c>
      <c r="D344" s="6"/>
      <c r="E344" s="113">
        <v>57926001</v>
      </c>
      <c r="F344" s="116">
        <f t="shared" si="60"/>
        <v>41287.24233784747</v>
      </c>
      <c r="G344" s="117">
        <v>24609620</v>
      </c>
      <c r="H344" s="117">
        <f t="shared" si="61"/>
        <v>17540.71275837491</v>
      </c>
      <c r="I344" s="7"/>
      <c r="J344" s="11">
        <v>7.38</v>
      </c>
      <c r="K344" s="117">
        <v>181618</v>
      </c>
      <c r="L344" s="120">
        <f t="shared" si="70"/>
        <v>129.44975053456878</v>
      </c>
      <c r="M344" s="122">
        <f t="shared" si="63"/>
        <v>246096.2</v>
      </c>
      <c r="N344" s="116">
        <f t="shared" si="64"/>
        <v>64478.200000000012</v>
      </c>
      <c r="O344" s="123">
        <f t="shared" si="65"/>
        <v>45.957377049180337</v>
      </c>
      <c r="P344" s="5"/>
      <c r="Q344" s="5">
        <f t="shared" si="66"/>
        <v>1</v>
      </c>
      <c r="R344" s="7">
        <f t="shared" si="67"/>
        <v>1403</v>
      </c>
      <c r="S344" s="5">
        <f t="shared" si="68"/>
        <v>1</v>
      </c>
      <c r="T344" s="7">
        <f t="shared" si="69"/>
        <v>1403</v>
      </c>
    </row>
    <row r="345" spans="1:20">
      <c r="A345" s="23" t="s">
        <v>385</v>
      </c>
      <c r="B345" s="35" t="s">
        <v>383</v>
      </c>
      <c r="C345" s="36">
        <v>10666</v>
      </c>
      <c r="D345" s="6"/>
      <c r="E345" s="113">
        <v>415993469</v>
      </c>
      <c r="F345" s="116">
        <f t="shared" si="60"/>
        <v>39001.825332833301</v>
      </c>
      <c r="G345" s="117">
        <v>208976323</v>
      </c>
      <c r="H345" s="117">
        <f t="shared" si="61"/>
        <v>19592.754828426776</v>
      </c>
      <c r="I345" s="7"/>
      <c r="J345" s="10">
        <v>7.5549999999999997</v>
      </c>
      <c r="K345" s="117">
        <v>1578816</v>
      </c>
      <c r="L345" s="120">
        <f t="shared" si="70"/>
        <v>148.02325145321583</v>
      </c>
      <c r="M345" s="122">
        <f t="shared" si="63"/>
        <v>2089763.23</v>
      </c>
      <c r="N345" s="116">
        <f t="shared" si="64"/>
        <v>510947.23</v>
      </c>
      <c r="O345" s="123">
        <f t="shared" si="65"/>
        <v>47.904296831051937</v>
      </c>
      <c r="P345" s="5"/>
      <c r="Q345" s="5">
        <f t="shared" si="66"/>
        <v>1</v>
      </c>
      <c r="R345" s="7">
        <f t="shared" si="67"/>
        <v>10666</v>
      </c>
      <c r="S345" s="5">
        <f t="shared" si="68"/>
        <v>1</v>
      </c>
      <c r="T345" s="7">
        <f t="shared" si="69"/>
        <v>10666</v>
      </c>
    </row>
    <row r="346" spans="1:20">
      <c r="A346" s="23" t="s">
        <v>386</v>
      </c>
      <c r="B346" s="35" t="s">
        <v>383</v>
      </c>
      <c r="C346" s="36">
        <v>756</v>
      </c>
      <c r="D346" s="6"/>
      <c r="E346" s="113">
        <v>23147225</v>
      </c>
      <c r="F346" s="116">
        <f t="shared" si="60"/>
        <v>30618.022486772486</v>
      </c>
      <c r="G346" s="117">
        <v>14907385</v>
      </c>
      <c r="H346" s="117">
        <f t="shared" si="61"/>
        <v>19718.763227513227</v>
      </c>
      <c r="I346" s="7"/>
      <c r="J346" s="10">
        <v>5.7290000000000001</v>
      </c>
      <c r="K346" s="117">
        <v>85404</v>
      </c>
      <c r="L346" s="120">
        <f t="shared" si="70"/>
        <v>112.96825396825396</v>
      </c>
      <c r="M346" s="122">
        <f t="shared" si="63"/>
        <v>149073.85</v>
      </c>
      <c r="N346" s="116">
        <f t="shared" si="64"/>
        <v>63669.850000000006</v>
      </c>
      <c r="O346" s="123">
        <f t="shared" si="65"/>
        <v>84.219378306878312</v>
      </c>
      <c r="P346" s="5"/>
      <c r="Q346" s="5">
        <f t="shared" si="66"/>
        <v>1</v>
      </c>
      <c r="R346" s="7">
        <f t="shared" si="67"/>
        <v>756</v>
      </c>
      <c r="S346" s="5">
        <f t="shared" si="68"/>
        <v>1</v>
      </c>
      <c r="T346" s="7">
        <f t="shared" si="69"/>
        <v>756</v>
      </c>
    </row>
    <row r="347" spans="1:20">
      <c r="A347" s="23" t="s">
        <v>387</v>
      </c>
      <c r="B347" s="35" t="s">
        <v>383</v>
      </c>
      <c r="C347" s="36">
        <v>596</v>
      </c>
      <c r="D347" s="6"/>
      <c r="E347" s="113">
        <v>27001280</v>
      </c>
      <c r="F347" s="116">
        <f t="shared" si="60"/>
        <v>45304.161073825504</v>
      </c>
      <c r="G347" s="117">
        <v>20255461</v>
      </c>
      <c r="H347" s="117">
        <f t="shared" si="61"/>
        <v>33985.672818791943</v>
      </c>
      <c r="I347" s="7"/>
      <c r="J347" s="10">
        <v>5</v>
      </c>
      <c r="K347" s="117">
        <v>101277</v>
      </c>
      <c r="L347" s="120">
        <f t="shared" si="70"/>
        <v>169.9278523489933</v>
      </c>
      <c r="M347" s="122">
        <f t="shared" si="63"/>
        <v>202554.61000000002</v>
      </c>
      <c r="N347" s="116">
        <f t="shared" si="64"/>
        <v>101277.61000000002</v>
      </c>
      <c r="O347" s="123">
        <f t="shared" si="65"/>
        <v>169.92887583892619</v>
      </c>
      <c r="P347" s="5"/>
      <c r="Q347" s="5">
        <f t="shared" si="66"/>
        <v>1</v>
      </c>
      <c r="R347" s="7">
        <f t="shared" si="67"/>
        <v>596</v>
      </c>
      <c r="S347" s="5">
        <f t="shared" si="68"/>
        <v>1</v>
      </c>
      <c r="T347" s="7">
        <f t="shared" si="69"/>
        <v>596</v>
      </c>
    </row>
    <row r="348" spans="1:20">
      <c r="A348" s="23" t="s">
        <v>390</v>
      </c>
      <c r="B348" s="35" t="s">
        <v>391</v>
      </c>
      <c r="C348" s="36">
        <v>5987</v>
      </c>
      <c r="D348" s="6"/>
      <c r="E348" s="113">
        <v>511007888</v>
      </c>
      <c r="F348" s="116">
        <f t="shared" ref="F348:F403" si="71">(E348/C348)</f>
        <v>85352.912644062133</v>
      </c>
      <c r="G348" s="117">
        <v>325924120</v>
      </c>
      <c r="H348" s="117">
        <f t="shared" ref="H348:H403" si="72">(G348/C348)</f>
        <v>54438.63704693503</v>
      </c>
      <c r="I348" s="7"/>
      <c r="J348" s="10">
        <v>1.83</v>
      </c>
      <c r="K348" s="117">
        <v>596441</v>
      </c>
      <c r="L348" s="120">
        <f t="shared" si="70"/>
        <v>99.622682478703865</v>
      </c>
      <c r="M348" s="122">
        <f t="shared" si="63"/>
        <v>3259241.2</v>
      </c>
      <c r="N348" s="116">
        <f t="shared" si="64"/>
        <v>2662800.2000000002</v>
      </c>
      <c r="O348" s="123">
        <f t="shared" si="65"/>
        <v>444.76368799064642</v>
      </c>
      <c r="P348" s="5"/>
      <c r="Q348" s="5">
        <f t="shared" si="66"/>
        <v>1</v>
      </c>
      <c r="R348" s="7">
        <f t="shared" si="67"/>
        <v>5987</v>
      </c>
      <c r="S348" s="5">
        <f t="shared" si="68"/>
        <v>1</v>
      </c>
      <c r="T348" s="7">
        <f t="shared" si="69"/>
        <v>5987</v>
      </c>
    </row>
    <row r="349" spans="1:20">
      <c r="A349" s="23" t="s">
        <v>392</v>
      </c>
      <c r="B349" s="35" t="s">
        <v>391</v>
      </c>
      <c r="C349" s="36">
        <v>672</v>
      </c>
      <c r="D349" s="6"/>
      <c r="E349" s="113">
        <v>37979431</v>
      </c>
      <c r="F349" s="116">
        <f t="shared" si="71"/>
        <v>56517.010416666664</v>
      </c>
      <c r="G349" s="117">
        <v>28680852</v>
      </c>
      <c r="H349" s="117">
        <f t="shared" si="72"/>
        <v>42679.839285714283</v>
      </c>
      <c r="I349" s="7"/>
      <c r="J349" s="10">
        <v>2</v>
      </c>
      <c r="K349" s="117">
        <v>57361</v>
      </c>
      <c r="L349" s="120">
        <f t="shared" si="70"/>
        <v>85.358630952380949</v>
      </c>
      <c r="M349" s="122">
        <f t="shared" si="63"/>
        <v>286808.52</v>
      </c>
      <c r="N349" s="116">
        <f t="shared" si="64"/>
        <v>229447.52000000002</v>
      </c>
      <c r="O349" s="123">
        <f t="shared" si="65"/>
        <v>341.43976190476195</v>
      </c>
      <c r="P349" s="5"/>
      <c r="Q349" s="5">
        <f t="shared" si="66"/>
        <v>1</v>
      </c>
      <c r="R349" s="7">
        <f t="shared" si="67"/>
        <v>672</v>
      </c>
      <c r="S349" s="5">
        <f t="shared" si="68"/>
        <v>1</v>
      </c>
      <c r="T349" s="7">
        <f t="shared" si="69"/>
        <v>672</v>
      </c>
    </row>
    <row r="350" spans="1:20">
      <c r="A350" s="23" t="s">
        <v>393</v>
      </c>
      <c r="B350" s="35" t="s">
        <v>391</v>
      </c>
      <c r="C350" s="36">
        <v>7665</v>
      </c>
      <c r="D350" s="6"/>
      <c r="E350" s="113">
        <v>227776501</v>
      </c>
      <c r="F350" s="116">
        <f t="shared" si="71"/>
        <v>29716.438486627529</v>
      </c>
      <c r="G350" s="117">
        <v>144265594</v>
      </c>
      <c r="H350" s="117">
        <f t="shared" si="72"/>
        <v>18821.342987606</v>
      </c>
      <c r="I350" s="7"/>
      <c r="J350" s="10">
        <v>2.75</v>
      </c>
      <c r="K350" s="117">
        <v>396730</v>
      </c>
      <c r="L350" s="120">
        <f t="shared" si="70"/>
        <v>51.75864318330072</v>
      </c>
      <c r="M350" s="122">
        <f t="shared" si="63"/>
        <v>1442655.94</v>
      </c>
      <c r="N350" s="116">
        <f t="shared" si="64"/>
        <v>1045925.94</v>
      </c>
      <c r="O350" s="123">
        <f t="shared" si="65"/>
        <v>136.45478669275928</v>
      </c>
      <c r="P350" s="5"/>
      <c r="Q350" s="5">
        <f t="shared" si="66"/>
        <v>1</v>
      </c>
      <c r="R350" s="7">
        <f t="shared" si="67"/>
        <v>7665</v>
      </c>
      <c r="S350" s="5">
        <f t="shared" si="68"/>
        <v>1</v>
      </c>
      <c r="T350" s="7">
        <f t="shared" si="69"/>
        <v>7665</v>
      </c>
    </row>
    <row r="351" spans="1:20">
      <c r="A351" s="23" t="s">
        <v>394</v>
      </c>
      <c r="B351" s="35" t="s">
        <v>395</v>
      </c>
      <c r="C351" s="36">
        <v>16708</v>
      </c>
      <c r="D351" s="6"/>
      <c r="E351" s="113">
        <v>741849353</v>
      </c>
      <c r="F351" s="116">
        <f t="shared" si="71"/>
        <v>44400.847079243475</v>
      </c>
      <c r="G351" s="117">
        <v>537234187</v>
      </c>
      <c r="H351" s="117">
        <f t="shared" si="72"/>
        <v>32154.308534833614</v>
      </c>
      <c r="I351" s="7"/>
      <c r="J351" s="10">
        <v>5</v>
      </c>
      <c r="K351" s="117">
        <v>2686170</v>
      </c>
      <c r="L351" s="120">
        <f t="shared" si="70"/>
        <v>160.77148671295188</v>
      </c>
      <c r="M351" s="122">
        <f t="shared" si="63"/>
        <v>5372341.8700000001</v>
      </c>
      <c r="N351" s="116">
        <f t="shared" si="64"/>
        <v>2686171.87</v>
      </c>
      <c r="O351" s="123">
        <f t="shared" si="65"/>
        <v>160.77159863538427</v>
      </c>
      <c r="P351" s="5"/>
      <c r="Q351" s="5">
        <f t="shared" si="66"/>
        <v>1</v>
      </c>
      <c r="R351" s="7">
        <f t="shared" si="67"/>
        <v>16708</v>
      </c>
      <c r="S351" s="5">
        <f t="shared" si="68"/>
        <v>1</v>
      </c>
      <c r="T351" s="7">
        <f t="shared" si="69"/>
        <v>16708</v>
      </c>
    </row>
    <row r="352" spans="1:20">
      <c r="A352" s="23" t="s">
        <v>395</v>
      </c>
      <c r="B352" s="35" t="s">
        <v>395</v>
      </c>
      <c r="C352" s="36">
        <v>51315</v>
      </c>
      <c r="D352" s="6"/>
      <c r="E352" s="113">
        <v>4202013308</v>
      </c>
      <c r="F352" s="116">
        <f t="shared" si="71"/>
        <v>81886.647335087211</v>
      </c>
      <c r="G352" s="117">
        <v>3070423985</v>
      </c>
      <c r="H352" s="117">
        <f t="shared" si="72"/>
        <v>59834.823833187176</v>
      </c>
      <c r="I352" s="7"/>
      <c r="J352" s="10">
        <v>3.1949000000000001</v>
      </c>
      <c r="K352" s="117">
        <v>9809697</v>
      </c>
      <c r="L352" s="120">
        <f t="shared" si="70"/>
        <v>191.16626717334114</v>
      </c>
      <c r="M352" s="122">
        <f t="shared" si="63"/>
        <v>30704239.850000001</v>
      </c>
      <c r="N352" s="116">
        <f t="shared" si="64"/>
        <v>20894542.850000001</v>
      </c>
      <c r="O352" s="123">
        <f t="shared" si="65"/>
        <v>407.1819711585307</v>
      </c>
      <c r="P352" s="5"/>
      <c r="Q352" s="5">
        <f t="shared" si="66"/>
        <v>1</v>
      </c>
      <c r="R352" s="7">
        <f t="shared" si="67"/>
        <v>51315</v>
      </c>
      <c r="S352" s="5">
        <f t="shared" si="68"/>
        <v>1</v>
      </c>
      <c r="T352" s="7">
        <f t="shared" si="69"/>
        <v>51315</v>
      </c>
    </row>
    <row r="353" spans="1:20">
      <c r="A353" s="23" t="s">
        <v>396</v>
      </c>
      <c r="B353" s="35" t="s">
        <v>395</v>
      </c>
      <c r="C353" s="36">
        <v>18886</v>
      </c>
      <c r="D353" s="6"/>
      <c r="E353" s="113">
        <v>1501737789</v>
      </c>
      <c r="F353" s="116">
        <f t="shared" si="71"/>
        <v>79515.926559356143</v>
      </c>
      <c r="G353" s="117">
        <v>1163789265</v>
      </c>
      <c r="H353" s="117">
        <f t="shared" si="72"/>
        <v>61621.797363126127</v>
      </c>
      <c r="I353" s="7"/>
      <c r="J353" s="10">
        <v>3.4060000000000001</v>
      </c>
      <c r="K353" s="117">
        <v>3963866</v>
      </c>
      <c r="L353" s="120">
        <f t="shared" si="70"/>
        <v>209.88382929153872</v>
      </c>
      <c r="M353" s="122">
        <f t="shared" si="63"/>
        <v>11637892.65</v>
      </c>
      <c r="N353" s="116">
        <f t="shared" si="64"/>
        <v>7674026.6500000004</v>
      </c>
      <c r="O353" s="123">
        <f t="shared" si="65"/>
        <v>406.33414433972257</v>
      </c>
      <c r="P353" s="5"/>
      <c r="Q353" s="5">
        <f t="shared" si="66"/>
        <v>1</v>
      </c>
      <c r="R353" s="7">
        <f t="shared" si="67"/>
        <v>18886</v>
      </c>
      <c r="S353" s="5">
        <f t="shared" si="68"/>
        <v>1</v>
      </c>
      <c r="T353" s="7">
        <f t="shared" si="69"/>
        <v>18886</v>
      </c>
    </row>
    <row r="354" spans="1:20">
      <c r="A354" s="23" t="s">
        <v>397</v>
      </c>
      <c r="B354" s="35" t="s">
        <v>360</v>
      </c>
      <c r="C354" s="36">
        <v>39153</v>
      </c>
      <c r="D354" s="6"/>
      <c r="E354" s="113">
        <v>2053889399</v>
      </c>
      <c r="F354" s="116">
        <f t="shared" si="71"/>
        <v>52458.033841595789</v>
      </c>
      <c r="G354" s="117">
        <v>1719960229</v>
      </c>
      <c r="H354" s="117">
        <f t="shared" si="72"/>
        <v>43929.206676372181</v>
      </c>
      <c r="I354" s="7"/>
      <c r="J354" s="10">
        <v>4.75</v>
      </c>
      <c r="K354" s="117">
        <v>8169811</v>
      </c>
      <c r="L354" s="120">
        <f t="shared" si="70"/>
        <v>208.66372947156029</v>
      </c>
      <c r="M354" s="122">
        <f t="shared" si="63"/>
        <v>17199602.289999999</v>
      </c>
      <c r="N354" s="116">
        <f t="shared" si="64"/>
        <v>9029791.2899999991</v>
      </c>
      <c r="O354" s="123">
        <f t="shared" si="65"/>
        <v>230.62833729216149</v>
      </c>
      <c r="P354" s="5"/>
      <c r="Q354" s="5">
        <f t="shared" si="66"/>
        <v>1</v>
      </c>
      <c r="R354" s="7">
        <f t="shared" si="67"/>
        <v>39153</v>
      </c>
      <c r="S354" s="5">
        <f t="shared" si="68"/>
        <v>1</v>
      </c>
      <c r="T354" s="7">
        <f t="shared" si="69"/>
        <v>39153</v>
      </c>
    </row>
    <row r="355" spans="1:20">
      <c r="A355" s="23" t="s">
        <v>398</v>
      </c>
      <c r="B355" s="35" t="s">
        <v>360</v>
      </c>
      <c r="C355" s="36">
        <v>24552</v>
      </c>
      <c r="D355" s="6"/>
      <c r="E355" s="113">
        <v>822011172</v>
      </c>
      <c r="F355" s="116">
        <f t="shared" si="71"/>
        <v>33480.415933528835</v>
      </c>
      <c r="G355" s="117">
        <v>662796519</v>
      </c>
      <c r="H355" s="117">
        <f t="shared" si="72"/>
        <v>26995.622311827956</v>
      </c>
      <c r="I355" s="7"/>
      <c r="J355" s="10">
        <v>3.7</v>
      </c>
      <c r="K355" s="117">
        <v>2452347</v>
      </c>
      <c r="L355" s="120">
        <f t="shared" si="70"/>
        <v>99.88379765395895</v>
      </c>
      <c r="M355" s="122">
        <f t="shared" si="63"/>
        <v>6627965.1900000004</v>
      </c>
      <c r="N355" s="116">
        <f t="shared" si="64"/>
        <v>4175618.1900000004</v>
      </c>
      <c r="O355" s="123">
        <f t="shared" si="65"/>
        <v>170.07242546432065</v>
      </c>
      <c r="P355" s="5"/>
      <c r="Q355" s="5">
        <f t="shared" si="66"/>
        <v>1</v>
      </c>
      <c r="R355" s="7">
        <f t="shared" si="67"/>
        <v>24552</v>
      </c>
      <c r="S355" s="5">
        <f t="shared" si="68"/>
        <v>1</v>
      </c>
      <c r="T355" s="7">
        <f t="shared" si="69"/>
        <v>24552</v>
      </c>
    </row>
    <row r="356" spans="1:20">
      <c r="A356" s="23" t="s">
        <v>399</v>
      </c>
      <c r="B356" s="35" t="s">
        <v>360</v>
      </c>
      <c r="C356" s="36">
        <v>8289</v>
      </c>
      <c r="D356" s="6"/>
      <c r="E356" s="113">
        <v>782390068</v>
      </c>
      <c r="F356" s="116">
        <f t="shared" si="71"/>
        <v>94388.957413439493</v>
      </c>
      <c r="G356" s="117">
        <v>663186878</v>
      </c>
      <c r="H356" s="117">
        <f t="shared" si="72"/>
        <v>80008.068283266985</v>
      </c>
      <c r="I356" s="7"/>
      <c r="J356" s="10">
        <v>3.7648000000000001</v>
      </c>
      <c r="K356" s="117">
        <v>2496765</v>
      </c>
      <c r="L356" s="120">
        <f t="shared" si="70"/>
        <v>301.21425986246834</v>
      </c>
      <c r="M356" s="122">
        <f t="shared" si="63"/>
        <v>6631868.7800000003</v>
      </c>
      <c r="N356" s="116">
        <f t="shared" si="64"/>
        <v>4135103.7800000003</v>
      </c>
      <c r="O356" s="123">
        <f t="shared" si="65"/>
        <v>498.86642297020148</v>
      </c>
      <c r="P356" s="5"/>
      <c r="Q356" s="5">
        <f t="shared" si="66"/>
        <v>1</v>
      </c>
      <c r="R356" s="7">
        <f t="shared" si="67"/>
        <v>8289</v>
      </c>
      <c r="S356" s="5">
        <f t="shared" si="68"/>
        <v>1</v>
      </c>
      <c r="T356" s="7">
        <f t="shared" si="69"/>
        <v>8289</v>
      </c>
    </row>
    <row r="357" spans="1:20">
      <c r="A357" s="23" t="s">
        <v>400</v>
      </c>
      <c r="B357" s="35" t="s">
        <v>360</v>
      </c>
      <c r="C357" s="36">
        <v>13674</v>
      </c>
      <c r="D357" s="6"/>
      <c r="E357" s="113">
        <v>700882518</v>
      </c>
      <c r="F357" s="116">
        <f t="shared" si="71"/>
        <v>51256.583150504608</v>
      </c>
      <c r="G357" s="117">
        <v>583446352</v>
      </c>
      <c r="H357" s="117">
        <f t="shared" si="72"/>
        <v>42668.301301740532</v>
      </c>
      <c r="I357" s="7"/>
      <c r="J357" s="10">
        <v>5.0601000000000003</v>
      </c>
      <c r="K357" s="117">
        <v>2952296</v>
      </c>
      <c r="L357" s="120">
        <f t="shared" si="70"/>
        <v>215.90580664033934</v>
      </c>
      <c r="M357" s="122">
        <f t="shared" si="63"/>
        <v>5834463.5200000005</v>
      </c>
      <c r="N357" s="116">
        <f t="shared" si="64"/>
        <v>2882167.5200000005</v>
      </c>
      <c r="O357" s="123">
        <f t="shared" si="65"/>
        <v>210.77720637706599</v>
      </c>
      <c r="P357" s="5"/>
      <c r="Q357" s="5">
        <f t="shared" si="66"/>
        <v>1</v>
      </c>
      <c r="R357" s="7">
        <f t="shared" si="67"/>
        <v>13674</v>
      </c>
      <c r="S357" s="5">
        <f t="shared" si="68"/>
        <v>1</v>
      </c>
      <c r="T357" s="7">
        <f t="shared" si="69"/>
        <v>13674</v>
      </c>
    </row>
    <row r="358" spans="1:20">
      <c r="A358" s="23" t="s">
        <v>401</v>
      </c>
      <c r="B358" s="35" t="s">
        <v>360</v>
      </c>
      <c r="C358" s="36">
        <v>20497</v>
      </c>
      <c r="D358" s="6"/>
      <c r="E358" s="113">
        <v>930325066</v>
      </c>
      <c r="F358" s="116">
        <f t="shared" si="71"/>
        <v>45388.352734546519</v>
      </c>
      <c r="G358" s="117">
        <v>709837813</v>
      </c>
      <c r="H358" s="117">
        <f t="shared" si="72"/>
        <v>34631.302776016004</v>
      </c>
      <c r="I358" s="7"/>
      <c r="J358" s="10">
        <v>4.9950000000000001</v>
      </c>
      <c r="K358" s="117">
        <v>3545639</v>
      </c>
      <c r="L358" s="120">
        <f t="shared" si="70"/>
        <v>172.98331463140948</v>
      </c>
      <c r="M358" s="122">
        <f t="shared" si="63"/>
        <v>7098378.1299999999</v>
      </c>
      <c r="N358" s="116">
        <f t="shared" si="64"/>
        <v>3552739.13</v>
      </c>
      <c r="O358" s="123">
        <f t="shared" si="65"/>
        <v>173.32971312875054</v>
      </c>
      <c r="P358" s="5"/>
      <c r="Q358" s="5">
        <f t="shared" si="66"/>
        <v>1</v>
      </c>
      <c r="R358" s="7">
        <f t="shared" si="67"/>
        <v>20497</v>
      </c>
      <c r="S358" s="5">
        <f t="shared" si="68"/>
        <v>1</v>
      </c>
      <c r="T358" s="7">
        <f t="shared" si="69"/>
        <v>20497</v>
      </c>
    </row>
    <row r="359" spans="1:20">
      <c r="A359" s="23" t="s">
        <v>402</v>
      </c>
      <c r="B359" s="35" t="s">
        <v>360</v>
      </c>
      <c r="C359" s="36">
        <v>35529</v>
      </c>
      <c r="D359" s="6"/>
      <c r="E359" s="113">
        <v>1437021422</v>
      </c>
      <c r="F359" s="116">
        <f t="shared" si="71"/>
        <v>40446.435925581922</v>
      </c>
      <c r="G359" s="117">
        <v>1011892733</v>
      </c>
      <c r="H359" s="117">
        <f t="shared" si="72"/>
        <v>28480.754679276084</v>
      </c>
      <c r="I359" s="7"/>
      <c r="J359" s="10">
        <v>6.8758999999999997</v>
      </c>
      <c r="K359" s="117">
        <v>6957673</v>
      </c>
      <c r="L359" s="120">
        <f t="shared" si="70"/>
        <v>195.83081426440373</v>
      </c>
      <c r="M359" s="122">
        <f t="shared" si="63"/>
        <v>10118927.33</v>
      </c>
      <c r="N359" s="116">
        <f t="shared" si="64"/>
        <v>3161254.33</v>
      </c>
      <c r="O359" s="123">
        <f t="shared" si="65"/>
        <v>88.976732528357118</v>
      </c>
      <c r="P359" s="5"/>
      <c r="Q359" s="5">
        <f t="shared" si="66"/>
        <v>1</v>
      </c>
      <c r="R359" s="7">
        <f t="shared" si="67"/>
        <v>35529</v>
      </c>
      <c r="S359" s="5">
        <f t="shared" si="68"/>
        <v>1</v>
      </c>
      <c r="T359" s="7">
        <f t="shared" si="69"/>
        <v>35529</v>
      </c>
    </row>
    <row r="360" spans="1:20">
      <c r="A360" s="23" t="s">
        <v>403</v>
      </c>
      <c r="B360" s="35" t="s">
        <v>360</v>
      </c>
      <c r="C360" s="36">
        <v>27466</v>
      </c>
      <c r="D360" s="6"/>
      <c r="E360" s="113">
        <v>1089684154</v>
      </c>
      <c r="F360" s="116">
        <f t="shared" si="71"/>
        <v>39673.929731304161</v>
      </c>
      <c r="G360" s="117">
        <v>854119200</v>
      </c>
      <c r="H360" s="117">
        <f t="shared" si="72"/>
        <v>31097.327605038958</v>
      </c>
      <c r="I360" s="7"/>
      <c r="J360" s="10">
        <v>3.6</v>
      </c>
      <c r="K360" s="117">
        <v>3074829</v>
      </c>
      <c r="L360" s="120">
        <f t="shared" si="70"/>
        <v>111.95037500910216</v>
      </c>
      <c r="M360" s="122">
        <f t="shared" si="63"/>
        <v>8541192</v>
      </c>
      <c r="N360" s="116">
        <f t="shared" si="64"/>
        <v>5466363</v>
      </c>
      <c r="O360" s="123">
        <f t="shared" si="65"/>
        <v>199.02290104128741</v>
      </c>
      <c r="P360" s="5"/>
      <c r="Q360" s="5">
        <f t="shared" si="66"/>
        <v>1</v>
      </c>
      <c r="R360" s="7">
        <f t="shared" si="67"/>
        <v>27466</v>
      </c>
      <c r="S360" s="5">
        <f t="shared" si="68"/>
        <v>1</v>
      </c>
      <c r="T360" s="7">
        <f t="shared" si="69"/>
        <v>27466</v>
      </c>
    </row>
    <row r="361" spans="1:20">
      <c r="A361" s="23" t="s">
        <v>388</v>
      </c>
      <c r="B361" s="35" t="s">
        <v>551</v>
      </c>
      <c r="C361" s="36">
        <v>661</v>
      </c>
      <c r="D361" s="6"/>
      <c r="E361" s="113">
        <v>17143967</v>
      </c>
      <c r="F361" s="116">
        <f t="shared" si="71"/>
        <v>25936.409984871407</v>
      </c>
      <c r="G361" s="117">
        <v>10262356</v>
      </c>
      <c r="H361" s="117">
        <f t="shared" si="72"/>
        <v>15525.500756429652</v>
      </c>
      <c r="I361" s="7"/>
      <c r="J361" s="10">
        <v>8.6</v>
      </c>
      <c r="K361" s="117">
        <v>88256</v>
      </c>
      <c r="L361" s="120">
        <f t="shared" si="70"/>
        <v>133.51891074130106</v>
      </c>
      <c r="M361" s="122">
        <f t="shared" si="63"/>
        <v>102623.56</v>
      </c>
      <c r="N361" s="116">
        <f t="shared" si="64"/>
        <v>14367.559999999998</v>
      </c>
      <c r="O361" s="123">
        <f t="shared" si="65"/>
        <v>21.736096822995457</v>
      </c>
      <c r="P361" s="5"/>
      <c r="Q361" s="5">
        <f t="shared" si="66"/>
        <v>1</v>
      </c>
      <c r="R361" s="7">
        <f t="shared" si="67"/>
        <v>661</v>
      </c>
      <c r="S361" s="5">
        <f t="shared" si="68"/>
        <v>1</v>
      </c>
      <c r="T361" s="7">
        <f t="shared" si="69"/>
        <v>661</v>
      </c>
    </row>
    <row r="362" spans="1:20">
      <c r="A362" s="23" t="s">
        <v>549</v>
      </c>
      <c r="B362" s="35" t="s">
        <v>551</v>
      </c>
      <c r="C362" s="36">
        <v>12342</v>
      </c>
      <c r="D362" s="6"/>
      <c r="E362" s="113">
        <v>669291312</v>
      </c>
      <c r="F362" s="116">
        <f t="shared" si="71"/>
        <v>54228.756441419544</v>
      </c>
      <c r="G362" s="117">
        <v>413244850</v>
      </c>
      <c r="H362" s="117">
        <f t="shared" si="72"/>
        <v>33482.810727596821</v>
      </c>
      <c r="I362" s="7"/>
      <c r="J362" s="10">
        <v>7.5</v>
      </c>
      <c r="K362" s="117">
        <v>3099336</v>
      </c>
      <c r="L362" s="120">
        <f t="shared" si="70"/>
        <v>251.12105007292172</v>
      </c>
      <c r="M362" s="122">
        <f t="shared" si="63"/>
        <v>4132448.5</v>
      </c>
      <c r="N362" s="116">
        <f t="shared" si="64"/>
        <v>1033112.5</v>
      </c>
      <c r="O362" s="123">
        <f t="shared" si="65"/>
        <v>83.707057203046503</v>
      </c>
      <c r="P362" s="5"/>
      <c r="Q362" s="5">
        <f t="shared" si="66"/>
        <v>1</v>
      </c>
      <c r="R362" s="7">
        <f t="shared" si="67"/>
        <v>12342</v>
      </c>
      <c r="S362" s="5">
        <f t="shared" si="68"/>
        <v>1</v>
      </c>
      <c r="T362" s="7">
        <f t="shared" si="69"/>
        <v>12342</v>
      </c>
    </row>
    <row r="363" spans="1:20">
      <c r="A363" s="23" t="s">
        <v>550</v>
      </c>
      <c r="B363" s="35" t="s">
        <v>551</v>
      </c>
      <c r="C363" s="36">
        <v>4108</v>
      </c>
      <c r="D363" s="6"/>
      <c r="E363" s="113">
        <v>294839613</v>
      </c>
      <c r="F363" s="116">
        <f t="shared" si="71"/>
        <v>71772.057692307688</v>
      </c>
      <c r="G363" s="117">
        <v>256394054</v>
      </c>
      <c r="H363" s="117">
        <f t="shared" si="72"/>
        <v>62413.352969814994</v>
      </c>
      <c r="I363" s="9"/>
      <c r="J363" s="10">
        <v>2</v>
      </c>
      <c r="K363" s="117">
        <v>512788</v>
      </c>
      <c r="L363" s="120">
        <f t="shared" si="70"/>
        <v>124.82667964946447</v>
      </c>
      <c r="M363" s="122">
        <f t="shared" si="63"/>
        <v>2563940.54</v>
      </c>
      <c r="N363" s="116">
        <f t="shared" si="64"/>
        <v>2051152.54</v>
      </c>
      <c r="O363" s="123">
        <f t="shared" si="65"/>
        <v>499.30685004868548</v>
      </c>
      <c r="P363" s="5"/>
      <c r="Q363" s="5">
        <f t="shared" si="66"/>
        <v>1</v>
      </c>
      <c r="R363" s="7">
        <f t="shared" si="67"/>
        <v>4108</v>
      </c>
      <c r="S363" s="5">
        <f t="shared" si="68"/>
        <v>1</v>
      </c>
      <c r="T363" s="7">
        <f t="shared" si="69"/>
        <v>4108</v>
      </c>
    </row>
    <row r="364" spans="1:20">
      <c r="A364" s="23" t="s">
        <v>389</v>
      </c>
      <c r="B364" s="35" t="s">
        <v>552</v>
      </c>
      <c r="C364" s="36">
        <v>37484</v>
      </c>
      <c r="D364" s="6"/>
      <c r="E364" s="113">
        <v>1558866191</v>
      </c>
      <c r="F364" s="116">
        <f t="shared" si="71"/>
        <v>41587.50909721481</v>
      </c>
      <c r="G364" s="117">
        <v>949622262</v>
      </c>
      <c r="H364" s="117">
        <f t="shared" si="72"/>
        <v>25334.069522996477</v>
      </c>
      <c r="I364" s="9"/>
      <c r="J364" s="10">
        <v>7.3304999999999998</v>
      </c>
      <c r="K364" s="117">
        <v>6961205</v>
      </c>
      <c r="L364" s="120">
        <f t="shared" si="70"/>
        <v>185.71137018461209</v>
      </c>
      <c r="M364" s="122">
        <f t="shared" si="63"/>
        <v>9496222.620000001</v>
      </c>
      <c r="N364" s="116">
        <f t="shared" si="64"/>
        <v>2535017.620000001</v>
      </c>
      <c r="O364" s="123">
        <f t="shared" si="65"/>
        <v>67.629325045352715</v>
      </c>
      <c r="P364" s="5"/>
      <c r="Q364" s="5">
        <f t="shared" si="66"/>
        <v>1</v>
      </c>
      <c r="R364" s="7">
        <f t="shared" si="67"/>
        <v>37484</v>
      </c>
      <c r="S364" s="5">
        <f t="shared" si="68"/>
        <v>1</v>
      </c>
      <c r="T364" s="7">
        <f t="shared" si="69"/>
        <v>37484</v>
      </c>
    </row>
    <row r="365" spans="1:20">
      <c r="A365" s="23" t="s">
        <v>553</v>
      </c>
      <c r="B365" s="35" t="s">
        <v>552</v>
      </c>
      <c r="C365" s="36">
        <v>77985</v>
      </c>
      <c r="D365" s="6"/>
      <c r="E365" s="113">
        <v>3363182056</v>
      </c>
      <c r="F365" s="116">
        <f t="shared" si="71"/>
        <v>43126.012130537922</v>
      </c>
      <c r="G365" s="117">
        <v>2562662599</v>
      </c>
      <c r="H365" s="117">
        <f t="shared" si="72"/>
        <v>32860.968122074759</v>
      </c>
      <c r="I365" s="9"/>
      <c r="J365" s="10">
        <v>3.94</v>
      </c>
      <c r="K365" s="117">
        <v>10096890</v>
      </c>
      <c r="L365" s="120">
        <f t="shared" si="70"/>
        <v>129.47220619349875</v>
      </c>
      <c r="M365" s="122">
        <f t="shared" si="63"/>
        <v>25626625.990000002</v>
      </c>
      <c r="N365" s="116">
        <f t="shared" si="64"/>
        <v>15529735.990000002</v>
      </c>
      <c r="O365" s="123">
        <f t="shared" si="65"/>
        <v>199.13747502724885</v>
      </c>
      <c r="P365" s="5"/>
      <c r="Q365" s="5">
        <f t="shared" si="66"/>
        <v>1</v>
      </c>
      <c r="R365" s="7">
        <f t="shared" si="67"/>
        <v>77985</v>
      </c>
      <c r="S365" s="5">
        <f t="shared" si="68"/>
        <v>1</v>
      </c>
      <c r="T365" s="7">
        <f t="shared" si="69"/>
        <v>77985</v>
      </c>
    </row>
    <row r="366" spans="1:20">
      <c r="A366" s="23" t="s">
        <v>554</v>
      </c>
      <c r="B366" s="35" t="s">
        <v>552</v>
      </c>
      <c r="C366" s="36">
        <v>606</v>
      </c>
      <c r="D366" s="6"/>
      <c r="E366" s="113">
        <v>29305555</v>
      </c>
      <c r="F366" s="116">
        <f t="shared" si="71"/>
        <v>48359.001650165017</v>
      </c>
      <c r="G366" s="117">
        <v>23785175</v>
      </c>
      <c r="H366" s="117">
        <f t="shared" si="72"/>
        <v>39249.463696369639</v>
      </c>
      <c r="I366" s="7"/>
      <c r="J366" s="10">
        <v>0.89549999999999996</v>
      </c>
      <c r="K366" s="117">
        <v>21299</v>
      </c>
      <c r="L366" s="120">
        <f t="shared" si="70"/>
        <v>35.146864686468646</v>
      </c>
      <c r="M366" s="122">
        <f t="shared" si="63"/>
        <v>237851.75</v>
      </c>
      <c r="N366" s="116">
        <f t="shared" si="64"/>
        <v>216552.75</v>
      </c>
      <c r="O366" s="123">
        <f t="shared" si="65"/>
        <v>357.3477722772277</v>
      </c>
      <c r="P366" s="5"/>
      <c r="Q366" s="5">
        <f t="shared" si="66"/>
        <v>1</v>
      </c>
      <c r="R366" s="7">
        <f t="shared" si="67"/>
        <v>606</v>
      </c>
      <c r="S366" s="5">
        <f t="shared" si="68"/>
        <v>1</v>
      </c>
      <c r="T366" s="7">
        <f t="shared" si="69"/>
        <v>606</v>
      </c>
    </row>
    <row r="367" spans="1:20">
      <c r="A367" s="23" t="s">
        <v>404</v>
      </c>
      <c r="B367" s="35" t="s">
        <v>405</v>
      </c>
      <c r="C367" s="36">
        <v>2384</v>
      </c>
      <c r="D367" s="6"/>
      <c r="E367" s="113">
        <v>67108271</v>
      </c>
      <c r="F367" s="116">
        <f t="shared" si="71"/>
        <v>28149.442533557049</v>
      </c>
      <c r="G367" s="117">
        <v>44689547</v>
      </c>
      <c r="H367" s="117">
        <f t="shared" si="72"/>
        <v>18745.615352348992</v>
      </c>
      <c r="I367" s="7"/>
      <c r="J367" s="10">
        <v>2.1880000000000002</v>
      </c>
      <c r="K367" s="117">
        <v>97780</v>
      </c>
      <c r="L367" s="120">
        <f t="shared" si="70"/>
        <v>41.015100671140942</v>
      </c>
      <c r="M367" s="122">
        <f t="shared" si="63"/>
        <v>446895.47000000003</v>
      </c>
      <c r="N367" s="116">
        <f t="shared" si="64"/>
        <v>349115.47000000003</v>
      </c>
      <c r="O367" s="123">
        <f t="shared" si="65"/>
        <v>146.441052852349</v>
      </c>
      <c r="P367" s="5"/>
      <c r="Q367" s="5">
        <f t="shared" si="66"/>
        <v>1</v>
      </c>
      <c r="R367" s="7">
        <f t="shared" si="67"/>
        <v>2384</v>
      </c>
      <c r="S367" s="5">
        <f t="shared" si="68"/>
        <v>1</v>
      </c>
      <c r="T367" s="7">
        <f t="shared" si="69"/>
        <v>2384</v>
      </c>
    </row>
    <row r="368" spans="1:20">
      <c r="A368" s="23" t="s">
        <v>406</v>
      </c>
      <c r="B368" s="35" t="s">
        <v>405</v>
      </c>
      <c r="C368" s="36">
        <v>783</v>
      </c>
      <c r="D368" s="6"/>
      <c r="E368" s="113">
        <v>12156077</v>
      </c>
      <c r="F368" s="116">
        <f t="shared" si="71"/>
        <v>15525.002554278417</v>
      </c>
      <c r="G368" s="117">
        <v>6602461</v>
      </c>
      <c r="H368" s="117">
        <f t="shared" si="72"/>
        <v>8432.2618135376761</v>
      </c>
      <c r="I368" s="7"/>
      <c r="J368" s="10">
        <v>0.87</v>
      </c>
      <c r="K368" s="117">
        <v>5744</v>
      </c>
      <c r="L368" s="120">
        <f t="shared" si="70"/>
        <v>7.3358876117496807</v>
      </c>
      <c r="M368" s="122">
        <f t="shared" si="63"/>
        <v>66024.61</v>
      </c>
      <c r="N368" s="116">
        <f t="shared" si="64"/>
        <v>60280.61</v>
      </c>
      <c r="O368" s="123">
        <f t="shared" si="65"/>
        <v>76.986730523627074</v>
      </c>
      <c r="P368" s="5"/>
      <c r="Q368" s="5">
        <f t="shared" si="66"/>
        <v>1</v>
      </c>
      <c r="R368" s="7">
        <f t="shared" si="67"/>
        <v>783</v>
      </c>
      <c r="S368" s="5">
        <f t="shared" si="68"/>
        <v>1</v>
      </c>
      <c r="T368" s="7">
        <f t="shared" si="69"/>
        <v>783</v>
      </c>
    </row>
    <row r="369" spans="1:20">
      <c r="A369" s="23" t="s">
        <v>407</v>
      </c>
      <c r="B369" s="35" t="s">
        <v>405</v>
      </c>
      <c r="C369" s="36">
        <v>849</v>
      </c>
      <c r="D369" s="6"/>
      <c r="E369" s="113">
        <v>11057171</v>
      </c>
      <c r="F369" s="116">
        <f t="shared" si="71"/>
        <v>13023.758539458186</v>
      </c>
      <c r="G369" s="117">
        <v>6151779</v>
      </c>
      <c r="H369" s="117">
        <f t="shared" si="72"/>
        <v>7245.9116607773849</v>
      </c>
      <c r="I369" s="98" t="s">
        <v>528</v>
      </c>
      <c r="J369" s="10"/>
      <c r="K369" s="117"/>
      <c r="L369" s="120"/>
      <c r="M369" s="122">
        <f t="shared" si="63"/>
        <v>61517.79</v>
      </c>
      <c r="N369" s="116">
        <f t="shared" si="64"/>
        <v>61517.79</v>
      </c>
      <c r="O369" s="123">
        <f t="shared" si="65"/>
        <v>72.459116607773851</v>
      </c>
      <c r="P369" s="5"/>
      <c r="Q369" s="5">
        <f t="shared" si="66"/>
        <v>1</v>
      </c>
      <c r="R369" s="7">
        <f t="shared" si="67"/>
        <v>849</v>
      </c>
      <c r="S369" s="5">
        <f t="shared" si="68"/>
        <v>0</v>
      </c>
      <c r="T369" s="7">
        <f t="shared" si="69"/>
        <v>0</v>
      </c>
    </row>
    <row r="370" spans="1:20">
      <c r="A370" s="23" t="s">
        <v>408</v>
      </c>
      <c r="B370" s="35" t="s">
        <v>405</v>
      </c>
      <c r="C370" s="36">
        <v>818</v>
      </c>
      <c r="D370" s="6"/>
      <c r="E370" s="113">
        <v>12063025</v>
      </c>
      <c r="F370" s="116">
        <f t="shared" si="71"/>
        <v>14746.974327628363</v>
      </c>
      <c r="G370" s="117">
        <v>7849374</v>
      </c>
      <c r="H370" s="117">
        <f t="shared" si="72"/>
        <v>9595.8117359413209</v>
      </c>
      <c r="I370" s="7"/>
      <c r="J370" s="10">
        <v>5.2</v>
      </c>
      <c r="K370" s="117">
        <v>40816</v>
      </c>
      <c r="L370" s="120">
        <f t="shared" ref="L370:L375" si="73">(K370/C370)</f>
        <v>49.89731051344743</v>
      </c>
      <c r="M370" s="122">
        <f t="shared" si="63"/>
        <v>78493.740000000005</v>
      </c>
      <c r="N370" s="116">
        <f t="shared" si="64"/>
        <v>37677.740000000005</v>
      </c>
      <c r="O370" s="123">
        <f t="shared" si="65"/>
        <v>46.060806845965779</v>
      </c>
      <c r="P370" s="5"/>
      <c r="Q370" s="5">
        <f t="shared" si="66"/>
        <v>1</v>
      </c>
      <c r="R370" s="7">
        <f t="shared" si="67"/>
        <v>818</v>
      </c>
      <c r="S370" s="5">
        <f t="shared" si="68"/>
        <v>1</v>
      </c>
      <c r="T370" s="7">
        <f t="shared" si="69"/>
        <v>818</v>
      </c>
    </row>
    <row r="371" spans="1:20">
      <c r="A371" s="23" t="s">
        <v>409</v>
      </c>
      <c r="B371" s="35" t="s">
        <v>405</v>
      </c>
      <c r="C371" s="36">
        <v>4015</v>
      </c>
      <c r="D371" s="6"/>
      <c r="E371" s="113">
        <v>86693018</v>
      </c>
      <c r="F371" s="116">
        <f t="shared" si="71"/>
        <v>21592.283437110833</v>
      </c>
      <c r="G371" s="117">
        <v>68665692</v>
      </c>
      <c r="H371" s="117">
        <f t="shared" si="72"/>
        <v>17102.289414694893</v>
      </c>
      <c r="I371" s="7"/>
      <c r="J371" s="10">
        <v>5.5579999999999998</v>
      </c>
      <c r="K371" s="117">
        <v>381643</v>
      </c>
      <c r="L371" s="120">
        <f t="shared" si="73"/>
        <v>95.054296388542966</v>
      </c>
      <c r="M371" s="122">
        <f t="shared" si="63"/>
        <v>686656.92</v>
      </c>
      <c r="N371" s="116">
        <f t="shared" si="64"/>
        <v>305013.92000000004</v>
      </c>
      <c r="O371" s="123">
        <f t="shared" si="65"/>
        <v>75.968597758405991</v>
      </c>
      <c r="P371" s="5"/>
      <c r="Q371" s="5">
        <f t="shared" si="66"/>
        <v>1</v>
      </c>
      <c r="R371" s="7">
        <f t="shared" si="67"/>
        <v>4015</v>
      </c>
      <c r="S371" s="5">
        <f t="shared" si="68"/>
        <v>1</v>
      </c>
      <c r="T371" s="7">
        <f t="shared" si="69"/>
        <v>4015</v>
      </c>
    </row>
    <row r="372" spans="1:20">
      <c r="A372" s="23" t="s">
        <v>410</v>
      </c>
      <c r="B372" s="35" t="s">
        <v>411</v>
      </c>
      <c r="C372" s="36">
        <v>646</v>
      </c>
      <c r="D372" s="6"/>
      <c r="E372" s="113">
        <v>18721791</v>
      </c>
      <c r="F372" s="116">
        <f t="shared" si="71"/>
        <v>28981.100619195047</v>
      </c>
      <c r="G372" s="117">
        <v>10439012</v>
      </c>
      <c r="H372" s="117">
        <f t="shared" si="72"/>
        <v>16159.461300309598</v>
      </c>
      <c r="I372" s="7"/>
      <c r="J372" s="10">
        <v>4.25</v>
      </c>
      <c r="K372" s="117">
        <v>44365</v>
      </c>
      <c r="L372" s="120">
        <f t="shared" si="73"/>
        <v>68.67647058823529</v>
      </c>
      <c r="M372" s="122">
        <f t="shared" si="63"/>
        <v>104390.12</v>
      </c>
      <c r="N372" s="116">
        <f t="shared" si="64"/>
        <v>60025.119999999995</v>
      </c>
      <c r="O372" s="123">
        <f t="shared" si="65"/>
        <v>92.918142414860668</v>
      </c>
      <c r="P372" s="5"/>
      <c r="Q372" s="5">
        <f t="shared" si="66"/>
        <v>1</v>
      </c>
      <c r="R372" s="7">
        <f t="shared" si="67"/>
        <v>646</v>
      </c>
      <c r="S372" s="5">
        <f t="shared" si="68"/>
        <v>1</v>
      </c>
      <c r="T372" s="7">
        <f t="shared" si="69"/>
        <v>646</v>
      </c>
    </row>
    <row r="373" spans="1:20">
      <c r="A373" s="23" t="s">
        <v>412</v>
      </c>
      <c r="B373" s="35" t="s">
        <v>411</v>
      </c>
      <c r="C373" s="36">
        <v>6578</v>
      </c>
      <c r="D373" s="6"/>
      <c r="E373" s="113">
        <v>130550248</v>
      </c>
      <c r="F373" s="116">
        <f t="shared" si="71"/>
        <v>19846.495591365157</v>
      </c>
      <c r="G373" s="117">
        <v>72424863</v>
      </c>
      <c r="H373" s="117">
        <f t="shared" si="72"/>
        <v>11010.164639708119</v>
      </c>
      <c r="I373" s="7"/>
      <c r="J373" s="10">
        <v>4.7</v>
      </c>
      <c r="K373" s="117">
        <v>340396</v>
      </c>
      <c r="L373" s="120">
        <f t="shared" si="73"/>
        <v>51.747643660687139</v>
      </c>
      <c r="M373" s="122">
        <f t="shared" si="63"/>
        <v>724248.63</v>
      </c>
      <c r="N373" s="116">
        <f t="shared" si="64"/>
        <v>383852.63</v>
      </c>
      <c r="O373" s="123">
        <f t="shared" si="65"/>
        <v>58.354002736394044</v>
      </c>
      <c r="P373" s="5"/>
      <c r="Q373" s="5">
        <f t="shared" si="66"/>
        <v>1</v>
      </c>
      <c r="R373" s="7">
        <f t="shared" si="67"/>
        <v>6578</v>
      </c>
      <c r="S373" s="5">
        <f t="shared" si="68"/>
        <v>1</v>
      </c>
      <c r="T373" s="7">
        <f t="shared" si="69"/>
        <v>6578</v>
      </c>
    </row>
    <row r="374" spans="1:20">
      <c r="A374" s="23" t="s">
        <v>413</v>
      </c>
      <c r="B374" s="35" t="s">
        <v>414</v>
      </c>
      <c r="C374" s="36">
        <v>7210</v>
      </c>
      <c r="D374" s="6"/>
      <c r="E374" s="113">
        <v>251426490</v>
      </c>
      <c r="F374" s="116">
        <f t="shared" si="71"/>
        <v>34871.912621359224</v>
      </c>
      <c r="G374" s="117">
        <v>144897435</v>
      </c>
      <c r="H374" s="117">
        <f t="shared" si="72"/>
        <v>20096.731622746185</v>
      </c>
      <c r="I374" s="7"/>
      <c r="J374" s="10">
        <v>4.7300000000000004</v>
      </c>
      <c r="K374" s="117">
        <v>685364</v>
      </c>
      <c r="L374" s="120">
        <f t="shared" si="73"/>
        <v>95.057420249653262</v>
      </c>
      <c r="M374" s="122">
        <f t="shared" si="63"/>
        <v>1448974.35</v>
      </c>
      <c r="N374" s="116">
        <f t="shared" si="64"/>
        <v>763610.35000000009</v>
      </c>
      <c r="O374" s="123">
        <f t="shared" si="65"/>
        <v>105.90989597780862</v>
      </c>
      <c r="P374" s="5"/>
      <c r="Q374" s="5">
        <f t="shared" si="66"/>
        <v>1</v>
      </c>
      <c r="R374" s="7">
        <f t="shared" si="67"/>
        <v>7210</v>
      </c>
      <c r="S374" s="5">
        <f t="shared" si="68"/>
        <v>1</v>
      </c>
      <c r="T374" s="7">
        <f t="shared" si="69"/>
        <v>7210</v>
      </c>
    </row>
    <row r="375" spans="1:20">
      <c r="A375" s="23" t="s">
        <v>415</v>
      </c>
      <c r="B375" s="35" t="s">
        <v>416</v>
      </c>
      <c r="C375" s="36">
        <v>2073</v>
      </c>
      <c r="D375" s="6"/>
      <c r="E375" s="113">
        <v>44394288</v>
      </c>
      <c r="F375" s="116">
        <f t="shared" si="71"/>
        <v>21415.479015918958</v>
      </c>
      <c r="G375" s="117">
        <v>20189670</v>
      </c>
      <c r="H375" s="117">
        <f t="shared" si="72"/>
        <v>9739.3487698986974</v>
      </c>
      <c r="I375" s="7"/>
      <c r="J375" s="10">
        <v>2.4790000000000001</v>
      </c>
      <c r="K375" s="117">
        <v>50050</v>
      </c>
      <c r="L375" s="120">
        <f t="shared" si="73"/>
        <v>24.143753014954171</v>
      </c>
      <c r="M375" s="122">
        <f t="shared" si="63"/>
        <v>201896.7</v>
      </c>
      <c r="N375" s="116">
        <f t="shared" si="64"/>
        <v>151846.70000000001</v>
      </c>
      <c r="O375" s="123">
        <f t="shared" si="65"/>
        <v>73.249734684032802</v>
      </c>
      <c r="P375" s="5"/>
      <c r="Q375" s="5">
        <f t="shared" si="66"/>
        <v>1</v>
      </c>
      <c r="R375" s="7">
        <f t="shared" si="67"/>
        <v>2073</v>
      </c>
      <c r="S375" s="5">
        <f t="shared" si="68"/>
        <v>1</v>
      </c>
      <c r="T375" s="7">
        <f t="shared" si="69"/>
        <v>2073</v>
      </c>
    </row>
    <row r="376" spans="1:20">
      <c r="A376" s="23" t="s">
        <v>417</v>
      </c>
      <c r="B376" s="35" t="s">
        <v>416</v>
      </c>
      <c r="C376" s="36">
        <v>236</v>
      </c>
      <c r="D376" s="6"/>
      <c r="E376" s="113">
        <v>3323908</v>
      </c>
      <c r="F376" s="116">
        <f t="shared" si="71"/>
        <v>14084.355932203391</v>
      </c>
      <c r="G376" s="117">
        <v>1694709</v>
      </c>
      <c r="H376" s="117">
        <f t="shared" si="72"/>
        <v>7180.9703389830511</v>
      </c>
      <c r="I376" s="98" t="s">
        <v>528</v>
      </c>
      <c r="J376" s="10"/>
      <c r="K376" s="117"/>
      <c r="L376" s="120"/>
      <c r="M376" s="122">
        <f t="shared" si="63"/>
        <v>16947.09</v>
      </c>
      <c r="N376" s="116">
        <f t="shared" si="64"/>
        <v>16947.09</v>
      </c>
      <c r="O376" s="123">
        <f t="shared" si="65"/>
        <v>71.809703389830503</v>
      </c>
      <c r="P376" s="5"/>
      <c r="Q376" s="5">
        <f t="shared" si="66"/>
        <v>1</v>
      </c>
      <c r="R376" s="7">
        <f t="shared" si="67"/>
        <v>236</v>
      </c>
      <c r="S376" s="5">
        <f t="shared" si="68"/>
        <v>0</v>
      </c>
      <c r="T376" s="7">
        <f t="shared" si="69"/>
        <v>0</v>
      </c>
    </row>
    <row r="377" spans="1:20">
      <c r="A377" s="23" t="s">
        <v>418</v>
      </c>
      <c r="B377" s="35" t="s">
        <v>416</v>
      </c>
      <c r="C377" s="36">
        <v>189</v>
      </c>
      <c r="D377" s="6"/>
      <c r="E377" s="113">
        <v>4016449</v>
      </c>
      <c r="F377" s="116">
        <f t="shared" si="71"/>
        <v>21251.052910052909</v>
      </c>
      <c r="G377" s="117">
        <v>2675856</v>
      </c>
      <c r="H377" s="117">
        <f t="shared" si="72"/>
        <v>14157.968253968254</v>
      </c>
      <c r="I377" s="7"/>
      <c r="J377" s="10">
        <v>10</v>
      </c>
      <c r="K377" s="117">
        <v>26758</v>
      </c>
      <c r="L377" s="120">
        <f t="shared" ref="L377:L393" si="74">(K377/C377)</f>
        <v>141.57671957671957</v>
      </c>
      <c r="M377" s="122">
        <f t="shared" si="63"/>
        <v>26758.560000000001</v>
      </c>
      <c r="N377" s="116">
        <f t="shared" si="64"/>
        <v>0.56000000000130967</v>
      </c>
      <c r="O377" s="123">
        <f t="shared" si="65"/>
        <v>2.9629629629698926E-3</v>
      </c>
      <c r="P377" s="5"/>
      <c r="Q377" s="5">
        <f t="shared" si="66"/>
        <v>1</v>
      </c>
      <c r="R377" s="7">
        <f t="shared" si="67"/>
        <v>189</v>
      </c>
      <c r="S377" s="5">
        <f t="shared" si="68"/>
        <v>1</v>
      </c>
      <c r="T377" s="7">
        <f t="shared" si="69"/>
        <v>189</v>
      </c>
    </row>
    <row r="378" spans="1:20">
      <c r="A378" s="23" t="s">
        <v>419</v>
      </c>
      <c r="B378" s="35" t="s">
        <v>420</v>
      </c>
      <c r="C378" s="36">
        <v>64138</v>
      </c>
      <c r="D378" s="6"/>
      <c r="E378" s="113">
        <v>3047238004</v>
      </c>
      <c r="F378" s="116">
        <f t="shared" si="71"/>
        <v>47510.648975646262</v>
      </c>
      <c r="G378" s="117">
        <v>2160932187</v>
      </c>
      <c r="H378" s="117">
        <f t="shared" si="72"/>
        <v>33691.917225357822</v>
      </c>
      <c r="I378" s="7"/>
      <c r="J378" s="10">
        <v>6.4950999999999999</v>
      </c>
      <c r="K378" s="117">
        <v>14035470</v>
      </c>
      <c r="L378" s="120">
        <f t="shared" si="74"/>
        <v>218.83236147057906</v>
      </c>
      <c r="M378" s="122">
        <f t="shared" si="63"/>
        <v>21609321.870000001</v>
      </c>
      <c r="N378" s="116">
        <f t="shared" si="64"/>
        <v>7573851.870000001</v>
      </c>
      <c r="O378" s="123">
        <f t="shared" si="65"/>
        <v>118.08681078299918</v>
      </c>
      <c r="P378" s="5"/>
      <c r="Q378" s="5">
        <f t="shared" si="66"/>
        <v>1</v>
      </c>
      <c r="R378" s="7">
        <f t="shared" si="67"/>
        <v>64138</v>
      </c>
      <c r="S378" s="5">
        <f t="shared" si="68"/>
        <v>1</v>
      </c>
      <c r="T378" s="7">
        <f t="shared" si="69"/>
        <v>64138</v>
      </c>
    </row>
    <row r="379" spans="1:20">
      <c r="A379" s="23" t="s">
        <v>421</v>
      </c>
      <c r="B379" s="35" t="s">
        <v>420</v>
      </c>
      <c r="C379" s="36">
        <v>2901</v>
      </c>
      <c r="D379" s="6"/>
      <c r="E379" s="113">
        <v>597031708</v>
      </c>
      <c r="F379" s="116">
        <f t="shared" si="71"/>
        <v>205802.03653912444</v>
      </c>
      <c r="G379" s="117">
        <v>551733933</v>
      </c>
      <c r="H379" s="117">
        <f t="shared" si="72"/>
        <v>190187.49844881074</v>
      </c>
      <c r="I379" s="9"/>
      <c r="J379" s="10">
        <v>3.69</v>
      </c>
      <c r="K379" s="117">
        <v>2035898</v>
      </c>
      <c r="L379" s="120">
        <f t="shared" si="74"/>
        <v>701.79179593243714</v>
      </c>
      <c r="M379" s="122">
        <f t="shared" si="63"/>
        <v>5517339.3300000001</v>
      </c>
      <c r="N379" s="116">
        <f t="shared" si="64"/>
        <v>3481441.33</v>
      </c>
      <c r="O379" s="123">
        <f t="shared" si="65"/>
        <v>1200.0831885556704</v>
      </c>
      <c r="P379" s="5"/>
      <c r="Q379" s="5">
        <f t="shared" si="66"/>
        <v>1</v>
      </c>
      <c r="R379" s="7">
        <f t="shared" si="67"/>
        <v>2901</v>
      </c>
      <c r="S379" s="5">
        <f t="shared" si="68"/>
        <v>1</v>
      </c>
      <c r="T379" s="7">
        <f t="shared" si="69"/>
        <v>2901</v>
      </c>
    </row>
    <row r="380" spans="1:20">
      <c r="A380" s="23" t="s">
        <v>462</v>
      </c>
      <c r="B380" s="35" t="s">
        <v>420</v>
      </c>
      <c r="C380" s="36">
        <v>12321</v>
      </c>
      <c r="D380" s="6"/>
      <c r="E380" s="113">
        <v>715366184</v>
      </c>
      <c r="F380" s="116">
        <f t="shared" si="71"/>
        <v>58060.724291859427</v>
      </c>
      <c r="G380" s="117">
        <v>571433540</v>
      </c>
      <c r="H380" s="117">
        <f t="shared" si="72"/>
        <v>46378.828017206397</v>
      </c>
      <c r="I380" s="7"/>
      <c r="J380" s="10">
        <v>2.5876000000000001</v>
      </c>
      <c r="K380" s="117">
        <v>1478641</v>
      </c>
      <c r="L380" s="120">
        <f t="shared" si="74"/>
        <v>120.00982063144225</v>
      </c>
      <c r="M380" s="122">
        <f t="shared" si="63"/>
        <v>5714335.4000000004</v>
      </c>
      <c r="N380" s="116">
        <f t="shared" si="64"/>
        <v>4235694.4000000004</v>
      </c>
      <c r="O380" s="123">
        <f t="shared" si="65"/>
        <v>343.77845954062172</v>
      </c>
      <c r="P380" s="5"/>
      <c r="Q380" s="5">
        <f t="shared" si="66"/>
        <v>1</v>
      </c>
      <c r="R380" s="7">
        <f t="shared" si="67"/>
        <v>12321</v>
      </c>
      <c r="S380" s="5">
        <f t="shared" si="68"/>
        <v>1</v>
      </c>
      <c r="T380" s="7">
        <f t="shared" si="69"/>
        <v>12321</v>
      </c>
    </row>
    <row r="381" spans="1:20">
      <c r="A381" s="23" t="s">
        <v>463</v>
      </c>
      <c r="B381" s="35" t="s">
        <v>420</v>
      </c>
      <c r="C381" s="36">
        <v>18371</v>
      </c>
      <c r="D381" s="6"/>
      <c r="E381" s="113">
        <v>874345782</v>
      </c>
      <c r="F381" s="116">
        <f t="shared" si="71"/>
        <v>47593.804474443416</v>
      </c>
      <c r="G381" s="117">
        <v>592310312</v>
      </c>
      <c r="H381" s="117">
        <f t="shared" si="72"/>
        <v>32241.593380872026</v>
      </c>
      <c r="I381" s="7"/>
      <c r="J381" s="10">
        <v>5.9</v>
      </c>
      <c r="K381" s="117">
        <v>3494630</v>
      </c>
      <c r="L381" s="120">
        <f t="shared" si="74"/>
        <v>190.22535517935879</v>
      </c>
      <c r="M381" s="122">
        <f t="shared" si="63"/>
        <v>5923103.1200000001</v>
      </c>
      <c r="N381" s="116">
        <f t="shared" si="64"/>
        <v>2428473.12</v>
      </c>
      <c r="O381" s="123">
        <f t="shared" si="65"/>
        <v>132.19057862936151</v>
      </c>
      <c r="P381" s="5"/>
      <c r="Q381" s="5">
        <f t="shared" si="66"/>
        <v>1</v>
      </c>
      <c r="R381" s="7">
        <f t="shared" si="67"/>
        <v>18371</v>
      </c>
      <c r="S381" s="5">
        <f t="shared" si="68"/>
        <v>1</v>
      </c>
      <c r="T381" s="7">
        <f t="shared" si="69"/>
        <v>18371</v>
      </c>
    </row>
    <row r="382" spans="1:20">
      <c r="A382" s="23" t="s">
        <v>422</v>
      </c>
      <c r="B382" s="35" t="s">
        <v>420</v>
      </c>
      <c r="C382" s="36">
        <v>58434</v>
      </c>
      <c r="D382" s="6"/>
      <c r="E382" s="113">
        <v>1823843885</v>
      </c>
      <c r="F382" s="116">
        <f t="shared" si="71"/>
        <v>31212.032121709963</v>
      </c>
      <c r="G382" s="117">
        <v>1283095367</v>
      </c>
      <c r="H382" s="117">
        <f t="shared" si="72"/>
        <v>21958.027295752472</v>
      </c>
      <c r="I382" s="7"/>
      <c r="J382" s="11">
        <v>4.1980000000000004</v>
      </c>
      <c r="K382" s="117">
        <v>5386434</v>
      </c>
      <c r="L382" s="120">
        <f t="shared" si="74"/>
        <v>92.179792586507858</v>
      </c>
      <c r="M382" s="122">
        <f t="shared" si="63"/>
        <v>12830953.67</v>
      </c>
      <c r="N382" s="116">
        <f t="shared" si="64"/>
        <v>7444519.6699999999</v>
      </c>
      <c r="O382" s="123">
        <f t="shared" si="65"/>
        <v>127.40048037101687</v>
      </c>
      <c r="P382" s="5"/>
      <c r="Q382" s="5">
        <f t="shared" si="66"/>
        <v>1</v>
      </c>
      <c r="R382" s="7">
        <f t="shared" si="67"/>
        <v>58434</v>
      </c>
      <c r="S382" s="5">
        <f t="shared" si="68"/>
        <v>1</v>
      </c>
      <c r="T382" s="7">
        <f t="shared" si="69"/>
        <v>58434</v>
      </c>
    </row>
    <row r="383" spans="1:20">
      <c r="A383" s="23" t="s">
        <v>423</v>
      </c>
      <c r="B383" s="35" t="s">
        <v>420</v>
      </c>
      <c r="C383" s="36">
        <v>18077</v>
      </c>
      <c r="D383" s="6"/>
      <c r="E383" s="113">
        <v>561103038</v>
      </c>
      <c r="F383" s="116">
        <f t="shared" si="71"/>
        <v>31039.610444210877</v>
      </c>
      <c r="G383" s="117">
        <v>400060875</v>
      </c>
      <c r="H383" s="117">
        <f t="shared" si="72"/>
        <v>22130.932953476793</v>
      </c>
      <c r="I383" s="7"/>
      <c r="J383" s="10">
        <v>6.44</v>
      </c>
      <c r="K383" s="117">
        <v>2576392</v>
      </c>
      <c r="L383" s="120">
        <f t="shared" si="74"/>
        <v>142.52320628422856</v>
      </c>
      <c r="M383" s="122">
        <f t="shared" si="63"/>
        <v>4000608.75</v>
      </c>
      <c r="N383" s="116">
        <f t="shared" si="64"/>
        <v>1424216.75</v>
      </c>
      <c r="O383" s="123">
        <f t="shared" si="65"/>
        <v>78.786123250539362</v>
      </c>
      <c r="P383" s="5"/>
      <c r="Q383" s="5">
        <f t="shared" si="66"/>
        <v>1</v>
      </c>
      <c r="R383" s="7">
        <f t="shared" si="67"/>
        <v>18077</v>
      </c>
      <c r="S383" s="5">
        <f t="shared" si="68"/>
        <v>1</v>
      </c>
      <c r="T383" s="7">
        <f t="shared" si="69"/>
        <v>18077</v>
      </c>
    </row>
    <row r="384" spans="1:20">
      <c r="A384" s="23" t="s">
        <v>424</v>
      </c>
      <c r="B384" s="35" t="s">
        <v>420</v>
      </c>
      <c r="C384" s="36">
        <v>11269</v>
      </c>
      <c r="D384" s="6"/>
      <c r="E384" s="113">
        <v>381194462</v>
      </c>
      <c r="F384" s="116">
        <f t="shared" si="71"/>
        <v>33826.82243322389</v>
      </c>
      <c r="G384" s="117">
        <v>270865719</v>
      </c>
      <c r="H384" s="117">
        <f t="shared" si="72"/>
        <v>24036.358061939834</v>
      </c>
      <c r="I384" s="7"/>
      <c r="J384" s="10">
        <v>5.5183</v>
      </c>
      <c r="K384" s="117">
        <v>1494718</v>
      </c>
      <c r="L384" s="120">
        <f t="shared" si="74"/>
        <v>132.63980832371993</v>
      </c>
      <c r="M384" s="122">
        <f t="shared" si="63"/>
        <v>2708657.19</v>
      </c>
      <c r="N384" s="116">
        <f t="shared" si="64"/>
        <v>1213939.19</v>
      </c>
      <c r="O384" s="123">
        <f t="shared" si="65"/>
        <v>107.7237722956784</v>
      </c>
      <c r="P384" s="5"/>
      <c r="Q384" s="5">
        <f t="shared" si="66"/>
        <v>1</v>
      </c>
      <c r="R384" s="7">
        <f t="shared" si="67"/>
        <v>11269</v>
      </c>
      <c r="S384" s="5">
        <f t="shared" si="68"/>
        <v>1</v>
      </c>
      <c r="T384" s="7">
        <f t="shared" si="69"/>
        <v>11269</v>
      </c>
    </row>
    <row r="385" spans="1:20">
      <c r="A385" s="23" t="s">
        <v>425</v>
      </c>
      <c r="B385" s="35" t="s">
        <v>420</v>
      </c>
      <c r="C385" s="36">
        <v>2515</v>
      </c>
      <c r="D385" s="6"/>
      <c r="E385" s="113">
        <v>67131862</v>
      </c>
      <c r="F385" s="116">
        <f t="shared" si="71"/>
        <v>26692.58926441352</v>
      </c>
      <c r="G385" s="117">
        <v>43820946</v>
      </c>
      <c r="H385" s="117">
        <f t="shared" si="72"/>
        <v>17423.835387673957</v>
      </c>
      <c r="I385" s="7"/>
      <c r="J385" s="10">
        <v>4.9684999999999997</v>
      </c>
      <c r="K385" s="117">
        <v>217724</v>
      </c>
      <c r="L385" s="120">
        <f t="shared" si="74"/>
        <v>86.570178926441358</v>
      </c>
      <c r="M385" s="122">
        <f t="shared" si="63"/>
        <v>438209.46</v>
      </c>
      <c r="N385" s="116">
        <f t="shared" si="64"/>
        <v>220485.46000000002</v>
      </c>
      <c r="O385" s="123">
        <f t="shared" si="65"/>
        <v>87.668174950298223</v>
      </c>
      <c r="P385" s="5"/>
      <c r="Q385" s="5">
        <f t="shared" si="66"/>
        <v>1</v>
      </c>
      <c r="R385" s="7">
        <f t="shared" si="67"/>
        <v>2515</v>
      </c>
      <c r="S385" s="5">
        <f t="shared" si="68"/>
        <v>1</v>
      </c>
      <c r="T385" s="7">
        <f t="shared" si="69"/>
        <v>2515</v>
      </c>
    </row>
    <row r="386" spans="1:20">
      <c r="A386" s="23" t="s">
        <v>426</v>
      </c>
      <c r="B386" s="35" t="s">
        <v>420</v>
      </c>
      <c r="C386" s="36">
        <v>18425</v>
      </c>
      <c r="D386" s="6"/>
      <c r="E386" s="113">
        <v>1336740476</v>
      </c>
      <c r="F386" s="116">
        <f t="shared" si="71"/>
        <v>72550.365047489817</v>
      </c>
      <c r="G386" s="117">
        <v>1084476000</v>
      </c>
      <c r="H386" s="117">
        <f t="shared" si="72"/>
        <v>58858.941655359566</v>
      </c>
      <c r="I386" s="9"/>
      <c r="J386" s="10">
        <v>5.3289</v>
      </c>
      <c r="K386" s="117">
        <v>5779064</v>
      </c>
      <c r="L386" s="120">
        <f t="shared" si="74"/>
        <v>313.65340569877884</v>
      </c>
      <c r="M386" s="122">
        <f t="shared" si="63"/>
        <v>10844760</v>
      </c>
      <c r="N386" s="116">
        <f t="shared" si="64"/>
        <v>5065696</v>
      </c>
      <c r="O386" s="123">
        <f t="shared" si="65"/>
        <v>274.9360108548168</v>
      </c>
      <c r="P386" s="5"/>
      <c r="Q386" s="5">
        <f t="shared" si="66"/>
        <v>1</v>
      </c>
      <c r="R386" s="7">
        <f t="shared" si="67"/>
        <v>18425</v>
      </c>
      <c r="S386" s="5">
        <f t="shared" si="68"/>
        <v>1</v>
      </c>
      <c r="T386" s="7">
        <f t="shared" si="69"/>
        <v>18425</v>
      </c>
    </row>
    <row r="387" spans="1:20">
      <c r="A387" s="23" t="s">
        <v>427</v>
      </c>
      <c r="B387" s="35" t="s">
        <v>420</v>
      </c>
      <c r="C387" s="36">
        <v>1104</v>
      </c>
      <c r="D387" s="6"/>
      <c r="E387" s="113">
        <v>42366717</v>
      </c>
      <c r="F387" s="116">
        <f t="shared" si="71"/>
        <v>38375.649456521736</v>
      </c>
      <c r="G387" s="117">
        <v>27462081</v>
      </c>
      <c r="H387" s="117">
        <f t="shared" si="72"/>
        <v>24875.073369565216</v>
      </c>
      <c r="I387" s="7"/>
      <c r="J387" s="10">
        <v>4</v>
      </c>
      <c r="K387" s="117">
        <v>109848</v>
      </c>
      <c r="L387" s="120">
        <f t="shared" si="74"/>
        <v>99.5</v>
      </c>
      <c r="M387" s="122">
        <f t="shared" si="63"/>
        <v>274620.81</v>
      </c>
      <c r="N387" s="116">
        <f t="shared" si="64"/>
        <v>164772.81</v>
      </c>
      <c r="O387" s="123">
        <f t="shared" si="65"/>
        <v>149.25073369565217</v>
      </c>
      <c r="P387" s="5"/>
      <c r="Q387" s="5">
        <f t="shared" si="66"/>
        <v>1</v>
      </c>
      <c r="R387" s="7">
        <f t="shared" si="67"/>
        <v>1104</v>
      </c>
      <c r="S387" s="5">
        <f t="shared" si="68"/>
        <v>1</v>
      </c>
      <c r="T387" s="7">
        <f t="shared" si="69"/>
        <v>1104</v>
      </c>
    </row>
    <row r="388" spans="1:20">
      <c r="A388" s="23" t="s">
        <v>428</v>
      </c>
      <c r="B388" s="35" t="s">
        <v>420</v>
      </c>
      <c r="C388" s="36">
        <v>6248</v>
      </c>
      <c r="D388" s="6"/>
      <c r="E388" s="113">
        <v>285350072</v>
      </c>
      <c r="F388" s="116">
        <f t="shared" si="71"/>
        <v>45670.626120358516</v>
      </c>
      <c r="G388" s="117">
        <v>238287669</v>
      </c>
      <c r="H388" s="117">
        <f t="shared" si="72"/>
        <v>38138.231274007681</v>
      </c>
      <c r="I388" s="7"/>
      <c r="J388" s="10">
        <v>5.3794000000000004</v>
      </c>
      <c r="K388" s="117">
        <v>1281844</v>
      </c>
      <c r="L388" s="120">
        <f t="shared" si="74"/>
        <v>205.1606914212548</v>
      </c>
      <c r="M388" s="122">
        <f t="shared" si="63"/>
        <v>2382876.69</v>
      </c>
      <c r="N388" s="116">
        <f t="shared" si="64"/>
        <v>1101032.69</v>
      </c>
      <c r="O388" s="123">
        <f t="shared" si="65"/>
        <v>176.221621318822</v>
      </c>
      <c r="P388" s="5"/>
      <c r="Q388" s="5">
        <f t="shared" si="66"/>
        <v>1</v>
      </c>
      <c r="R388" s="7">
        <f t="shared" si="67"/>
        <v>6248</v>
      </c>
      <c r="S388" s="5">
        <f t="shared" si="68"/>
        <v>1</v>
      </c>
      <c r="T388" s="7">
        <f t="shared" si="69"/>
        <v>6248</v>
      </c>
    </row>
    <row r="389" spans="1:20">
      <c r="A389" s="23" t="s">
        <v>429</v>
      </c>
      <c r="B389" s="35" t="s">
        <v>420</v>
      </c>
      <c r="C389" s="36">
        <v>34038</v>
      </c>
      <c r="D389" s="6"/>
      <c r="E389" s="113">
        <v>1947569516</v>
      </c>
      <c r="F389" s="116">
        <f t="shared" si="71"/>
        <v>57217.507374111286</v>
      </c>
      <c r="G389" s="117">
        <v>1542577963</v>
      </c>
      <c r="H389" s="117">
        <f t="shared" si="72"/>
        <v>45319.289118044537</v>
      </c>
      <c r="I389" s="7"/>
      <c r="J389" s="11">
        <v>2.9605999999999999</v>
      </c>
      <c r="K389" s="117">
        <v>4566956</v>
      </c>
      <c r="L389" s="120">
        <f t="shared" si="74"/>
        <v>134.17227804218814</v>
      </c>
      <c r="M389" s="122">
        <f t="shared" si="63"/>
        <v>15425779.630000001</v>
      </c>
      <c r="N389" s="116">
        <f t="shared" si="64"/>
        <v>10858823.630000001</v>
      </c>
      <c r="O389" s="123">
        <f t="shared" si="65"/>
        <v>319.02061313825726</v>
      </c>
      <c r="P389" s="5"/>
      <c r="Q389" s="5">
        <f t="shared" si="66"/>
        <v>1</v>
      </c>
      <c r="R389" s="7">
        <f t="shared" si="67"/>
        <v>34038</v>
      </c>
      <c r="S389" s="5">
        <f t="shared" si="68"/>
        <v>1</v>
      </c>
      <c r="T389" s="7">
        <f t="shared" si="69"/>
        <v>34038</v>
      </c>
    </row>
    <row r="390" spans="1:20">
      <c r="A390" s="23" t="s">
        <v>430</v>
      </c>
      <c r="B390" s="35" t="s">
        <v>420</v>
      </c>
      <c r="C390" s="36">
        <v>1249</v>
      </c>
      <c r="D390" s="6"/>
      <c r="E390" s="113">
        <v>50709579</v>
      </c>
      <c r="F390" s="116">
        <f t="shared" si="71"/>
        <v>40600.143314651723</v>
      </c>
      <c r="G390" s="117">
        <v>29721430</v>
      </c>
      <c r="H390" s="117">
        <f t="shared" si="72"/>
        <v>23796.180944755804</v>
      </c>
      <c r="I390" s="7"/>
      <c r="J390" s="10">
        <v>4.4029999999999996</v>
      </c>
      <c r="K390" s="117">
        <v>130863</v>
      </c>
      <c r="L390" s="120">
        <f t="shared" si="74"/>
        <v>104.77421937550039</v>
      </c>
      <c r="M390" s="122">
        <f t="shared" ref="M390:M403" si="75">(G390*0.01)</f>
        <v>297214.3</v>
      </c>
      <c r="N390" s="116">
        <f t="shared" ref="N390:N403" si="76">(M390-K390)</f>
        <v>166351.29999999999</v>
      </c>
      <c r="O390" s="123">
        <f t="shared" ref="O390:O403" si="77">(N390/C390)</f>
        <v>133.18759007205765</v>
      </c>
      <c r="P390" s="5"/>
      <c r="Q390" s="5">
        <f t="shared" si="66"/>
        <v>1</v>
      </c>
      <c r="R390" s="7">
        <f t="shared" si="67"/>
        <v>1249</v>
      </c>
      <c r="S390" s="5">
        <f t="shared" si="68"/>
        <v>1</v>
      </c>
      <c r="T390" s="7">
        <f t="shared" si="69"/>
        <v>1249</v>
      </c>
    </row>
    <row r="391" spans="1:20">
      <c r="A391" s="23" t="s">
        <v>431</v>
      </c>
      <c r="B391" s="35" t="s">
        <v>420</v>
      </c>
      <c r="C391" s="36">
        <v>2408</v>
      </c>
      <c r="D391" s="6"/>
      <c r="E391" s="113">
        <v>266928684</v>
      </c>
      <c r="F391" s="116">
        <f t="shared" si="71"/>
        <v>110850.78239202658</v>
      </c>
      <c r="G391" s="117">
        <v>231329723</v>
      </c>
      <c r="H391" s="117">
        <f t="shared" si="72"/>
        <v>96067.16071428571</v>
      </c>
      <c r="I391" s="7"/>
      <c r="J391" s="10">
        <v>4.4385000000000003</v>
      </c>
      <c r="K391" s="117">
        <v>1026756</v>
      </c>
      <c r="L391" s="120">
        <f t="shared" si="74"/>
        <v>426.39368770764122</v>
      </c>
      <c r="M391" s="122">
        <f t="shared" si="75"/>
        <v>2313297.23</v>
      </c>
      <c r="N391" s="116">
        <f t="shared" si="76"/>
        <v>1286541.23</v>
      </c>
      <c r="O391" s="123">
        <f t="shared" si="77"/>
        <v>534.27791943521595</v>
      </c>
      <c r="P391" s="5"/>
      <c r="Q391" s="5">
        <f t="shared" ref="Q391:Q403" si="78">IF(E391&gt;0,1,0)</f>
        <v>1</v>
      </c>
      <c r="R391" s="7">
        <f t="shared" ref="R391:R403" si="79">IF(E391&gt;0,C391,0)</f>
        <v>2408</v>
      </c>
      <c r="S391" s="5">
        <f t="shared" ref="S391:S403" si="80">IF(J391&gt;0,1,0)</f>
        <v>1</v>
      </c>
      <c r="T391" s="7">
        <f t="shared" ref="T391:T403" si="81">IF(J391&gt;0,C391,0)</f>
        <v>2408</v>
      </c>
    </row>
    <row r="392" spans="1:20">
      <c r="A392" s="23" t="s">
        <v>432</v>
      </c>
      <c r="B392" s="35" t="s">
        <v>420</v>
      </c>
      <c r="C392" s="36">
        <v>41561</v>
      </c>
      <c r="D392" s="6"/>
      <c r="E392" s="113">
        <v>1480156195</v>
      </c>
      <c r="F392" s="116">
        <f t="shared" si="71"/>
        <v>35614.065951252378</v>
      </c>
      <c r="G392" s="117">
        <v>1079450615</v>
      </c>
      <c r="H392" s="117">
        <f t="shared" si="72"/>
        <v>25972.681480233874</v>
      </c>
      <c r="I392" s="7"/>
      <c r="J392" s="10">
        <v>4.407</v>
      </c>
      <c r="K392" s="117">
        <v>4757138</v>
      </c>
      <c r="L392" s="120">
        <f t="shared" si="74"/>
        <v>114.46158658357595</v>
      </c>
      <c r="M392" s="122">
        <f t="shared" si="75"/>
        <v>10794506.15</v>
      </c>
      <c r="N392" s="116">
        <f t="shared" si="76"/>
        <v>6037368.1500000004</v>
      </c>
      <c r="O392" s="123">
        <f t="shared" si="77"/>
        <v>145.26522821876279</v>
      </c>
      <c r="P392" s="5"/>
      <c r="Q392" s="5">
        <f t="shared" si="78"/>
        <v>1</v>
      </c>
      <c r="R392" s="7">
        <f t="shared" si="79"/>
        <v>41561</v>
      </c>
      <c r="S392" s="5">
        <f t="shared" si="80"/>
        <v>1</v>
      </c>
      <c r="T392" s="7">
        <f t="shared" si="81"/>
        <v>41561</v>
      </c>
    </row>
    <row r="393" spans="1:20">
      <c r="A393" s="23" t="s">
        <v>433</v>
      </c>
      <c r="B393" s="35" t="s">
        <v>420</v>
      </c>
      <c r="C393" s="36">
        <v>12945</v>
      </c>
      <c r="D393" s="6"/>
      <c r="E393" s="113">
        <v>450066928</v>
      </c>
      <c r="F393" s="116">
        <f t="shared" si="71"/>
        <v>34767.626728466588</v>
      </c>
      <c r="G393" s="117">
        <v>351566904</v>
      </c>
      <c r="H393" s="117">
        <f t="shared" si="72"/>
        <v>27158.509385863268</v>
      </c>
      <c r="I393" s="7"/>
      <c r="J393" s="10">
        <v>4.2683999999999997</v>
      </c>
      <c r="K393" s="117">
        <v>1500628</v>
      </c>
      <c r="L393" s="120">
        <f t="shared" si="74"/>
        <v>115.92336809578988</v>
      </c>
      <c r="M393" s="122">
        <f t="shared" si="75"/>
        <v>3515669.04</v>
      </c>
      <c r="N393" s="116">
        <f t="shared" si="76"/>
        <v>2015041.04</v>
      </c>
      <c r="O393" s="123">
        <f t="shared" si="77"/>
        <v>155.66172576284279</v>
      </c>
      <c r="P393" s="5"/>
      <c r="Q393" s="5">
        <f t="shared" si="78"/>
        <v>1</v>
      </c>
      <c r="R393" s="7">
        <f t="shared" si="79"/>
        <v>12945</v>
      </c>
      <c r="S393" s="5">
        <f t="shared" si="80"/>
        <v>1</v>
      </c>
      <c r="T393" s="7">
        <f t="shared" si="81"/>
        <v>12945</v>
      </c>
    </row>
    <row r="394" spans="1:20">
      <c r="A394" s="23" t="s">
        <v>435</v>
      </c>
      <c r="B394" s="35" t="s">
        <v>434</v>
      </c>
      <c r="C394" s="36">
        <v>423</v>
      </c>
      <c r="D394" s="6"/>
      <c r="E394" s="113">
        <v>50403691</v>
      </c>
      <c r="F394" s="116">
        <f t="shared" si="71"/>
        <v>119157.66193853428</v>
      </c>
      <c r="G394" s="117">
        <v>28363347</v>
      </c>
      <c r="H394" s="117">
        <f t="shared" si="72"/>
        <v>67052.829787234048</v>
      </c>
      <c r="I394" s="98" t="s">
        <v>528</v>
      </c>
      <c r="J394" s="10"/>
      <c r="K394" s="117"/>
      <c r="L394" s="120"/>
      <c r="M394" s="122">
        <f t="shared" si="75"/>
        <v>283633.47000000003</v>
      </c>
      <c r="N394" s="116">
        <f t="shared" si="76"/>
        <v>283633.47000000003</v>
      </c>
      <c r="O394" s="123">
        <f t="shared" si="77"/>
        <v>670.52829787234054</v>
      </c>
      <c r="P394" s="5"/>
      <c r="Q394" s="5">
        <f t="shared" si="78"/>
        <v>1</v>
      </c>
      <c r="R394" s="7">
        <f t="shared" si="79"/>
        <v>423</v>
      </c>
      <c r="S394" s="5">
        <f t="shared" si="80"/>
        <v>0</v>
      </c>
      <c r="T394" s="7">
        <f t="shared" si="81"/>
        <v>0</v>
      </c>
    </row>
    <row r="395" spans="1:20">
      <c r="A395" s="23" t="s">
        <v>555</v>
      </c>
      <c r="B395" s="35" t="s">
        <v>434</v>
      </c>
      <c r="C395" s="36">
        <v>308</v>
      </c>
      <c r="D395" s="6"/>
      <c r="E395" s="113">
        <v>52688522</v>
      </c>
      <c r="F395" s="116">
        <f t="shared" si="71"/>
        <v>171066.62987012987</v>
      </c>
      <c r="G395" s="117">
        <v>10226020</v>
      </c>
      <c r="H395" s="117">
        <f t="shared" si="72"/>
        <v>33201.36363636364</v>
      </c>
      <c r="I395" s="7"/>
      <c r="J395" s="10">
        <v>4</v>
      </c>
      <c r="K395" s="117">
        <v>40904</v>
      </c>
      <c r="L395" s="120">
        <f>(K395/C395)</f>
        <v>132.80519480519482</v>
      </c>
      <c r="M395" s="122">
        <f t="shared" si="75"/>
        <v>102260.2</v>
      </c>
      <c r="N395" s="116">
        <f t="shared" si="76"/>
        <v>61356.2</v>
      </c>
      <c r="O395" s="123">
        <f t="shared" si="77"/>
        <v>199.20844155844154</v>
      </c>
      <c r="P395" s="5"/>
      <c r="Q395" s="5">
        <f t="shared" si="78"/>
        <v>1</v>
      </c>
      <c r="R395" s="7">
        <f t="shared" si="79"/>
        <v>308</v>
      </c>
      <c r="S395" s="5">
        <f t="shared" si="80"/>
        <v>1</v>
      </c>
      <c r="T395" s="7">
        <f t="shared" si="81"/>
        <v>308</v>
      </c>
    </row>
    <row r="396" spans="1:20">
      <c r="A396" s="23" t="s">
        <v>436</v>
      </c>
      <c r="B396" s="35" t="s">
        <v>437</v>
      </c>
      <c r="C396" s="36">
        <v>5466</v>
      </c>
      <c r="D396" s="6"/>
      <c r="E396" s="113">
        <v>165596515</v>
      </c>
      <c r="F396" s="116">
        <f t="shared" si="71"/>
        <v>30295.740029271863</v>
      </c>
      <c r="G396" s="117">
        <v>103191191</v>
      </c>
      <c r="H396" s="117">
        <f t="shared" si="72"/>
        <v>18878.739663373581</v>
      </c>
      <c r="I396" s="7"/>
      <c r="J396" s="10">
        <v>4.5</v>
      </c>
      <c r="K396" s="117">
        <v>464360</v>
      </c>
      <c r="L396" s="120">
        <f>(K396/C396)</f>
        <v>84.954262714965239</v>
      </c>
      <c r="M396" s="122">
        <f t="shared" si="75"/>
        <v>1031911.91</v>
      </c>
      <c r="N396" s="116">
        <f t="shared" si="76"/>
        <v>567551.91</v>
      </c>
      <c r="O396" s="123">
        <f t="shared" si="77"/>
        <v>103.83313391877059</v>
      </c>
      <c r="P396" s="5"/>
      <c r="Q396" s="5">
        <f t="shared" si="78"/>
        <v>1</v>
      </c>
      <c r="R396" s="7">
        <f t="shared" si="79"/>
        <v>5466</v>
      </c>
      <c r="S396" s="5">
        <f t="shared" si="80"/>
        <v>1</v>
      </c>
      <c r="T396" s="7">
        <f t="shared" si="81"/>
        <v>5466</v>
      </c>
    </row>
    <row r="397" spans="1:20">
      <c r="A397" s="23" t="s">
        <v>438</v>
      </c>
      <c r="B397" s="35" t="s">
        <v>437</v>
      </c>
      <c r="C397" s="36">
        <v>1103</v>
      </c>
      <c r="D397" s="6"/>
      <c r="E397" s="113">
        <v>27535357</v>
      </c>
      <c r="F397" s="116">
        <f t="shared" si="71"/>
        <v>24964.058930190389</v>
      </c>
      <c r="G397" s="117">
        <v>17029619</v>
      </c>
      <c r="H397" s="117">
        <f t="shared" si="72"/>
        <v>15439.364460562103</v>
      </c>
      <c r="I397" s="7"/>
      <c r="J397" s="10">
        <v>3.93</v>
      </c>
      <c r="K397" s="117">
        <v>66926</v>
      </c>
      <c r="L397" s="120">
        <f>(K397/C397)</f>
        <v>60.676337262012694</v>
      </c>
      <c r="M397" s="122">
        <f t="shared" si="75"/>
        <v>170296.19</v>
      </c>
      <c r="N397" s="116">
        <f t="shared" si="76"/>
        <v>103370.19</v>
      </c>
      <c r="O397" s="123">
        <f t="shared" si="77"/>
        <v>93.71730734360834</v>
      </c>
      <c r="P397" s="5"/>
      <c r="Q397" s="5">
        <f t="shared" si="78"/>
        <v>1</v>
      </c>
      <c r="R397" s="7">
        <f t="shared" si="79"/>
        <v>1103</v>
      </c>
      <c r="S397" s="5">
        <f t="shared" si="80"/>
        <v>1</v>
      </c>
      <c r="T397" s="7">
        <f t="shared" si="81"/>
        <v>1103</v>
      </c>
    </row>
    <row r="398" spans="1:20">
      <c r="A398" s="23" t="s">
        <v>439</v>
      </c>
      <c r="B398" s="35" t="s">
        <v>437</v>
      </c>
      <c r="C398" s="36">
        <v>630</v>
      </c>
      <c r="D398" s="6"/>
      <c r="E398" s="113">
        <v>11418849</v>
      </c>
      <c r="F398" s="116">
        <f t="shared" si="71"/>
        <v>18125.157142857144</v>
      </c>
      <c r="G398" s="117">
        <v>4537946</v>
      </c>
      <c r="H398" s="117">
        <f t="shared" si="72"/>
        <v>7203.0888888888885</v>
      </c>
      <c r="I398" s="98" t="s">
        <v>528</v>
      </c>
      <c r="J398" s="10"/>
      <c r="K398" s="117"/>
      <c r="L398" s="120"/>
      <c r="M398" s="122">
        <f t="shared" si="75"/>
        <v>45379.46</v>
      </c>
      <c r="N398" s="116">
        <f t="shared" si="76"/>
        <v>45379.46</v>
      </c>
      <c r="O398" s="123">
        <f t="shared" si="77"/>
        <v>72.030888888888882</v>
      </c>
      <c r="P398" s="5"/>
      <c r="Q398" s="5">
        <f t="shared" si="78"/>
        <v>1</v>
      </c>
      <c r="R398" s="7">
        <f t="shared" si="79"/>
        <v>630</v>
      </c>
      <c r="S398" s="5">
        <f t="shared" si="80"/>
        <v>0</v>
      </c>
      <c r="T398" s="7">
        <f t="shared" si="81"/>
        <v>0</v>
      </c>
    </row>
    <row r="399" spans="1:20">
      <c r="A399" s="23" t="s">
        <v>440</v>
      </c>
      <c r="B399" s="35" t="s">
        <v>441</v>
      </c>
      <c r="C399" s="36">
        <v>333</v>
      </c>
      <c r="D399" s="6"/>
      <c r="E399" s="113">
        <v>5743635</v>
      </c>
      <c r="F399" s="116">
        <f t="shared" si="71"/>
        <v>17248.153153153155</v>
      </c>
      <c r="G399" s="117">
        <v>1396002</v>
      </c>
      <c r="H399" s="117">
        <f t="shared" si="72"/>
        <v>4192.198198198198</v>
      </c>
      <c r="I399" s="98" t="s">
        <v>528</v>
      </c>
      <c r="J399" s="10"/>
      <c r="K399" s="117"/>
      <c r="L399" s="120"/>
      <c r="M399" s="122">
        <f t="shared" si="75"/>
        <v>13960.02</v>
      </c>
      <c r="N399" s="116">
        <f t="shared" si="76"/>
        <v>13960.02</v>
      </c>
      <c r="O399" s="123">
        <f t="shared" si="77"/>
        <v>41.921981981981986</v>
      </c>
      <c r="P399" s="5"/>
      <c r="Q399" s="5">
        <f t="shared" si="78"/>
        <v>1</v>
      </c>
      <c r="R399" s="7">
        <f t="shared" si="79"/>
        <v>333</v>
      </c>
      <c r="S399" s="5">
        <f t="shared" si="80"/>
        <v>0</v>
      </c>
      <c r="T399" s="7">
        <f t="shared" si="81"/>
        <v>0</v>
      </c>
    </row>
    <row r="400" spans="1:20">
      <c r="A400" s="23" t="s">
        <v>442</v>
      </c>
      <c r="B400" s="35" t="s">
        <v>441</v>
      </c>
      <c r="C400" s="36">
        <v>4091</v>
      </c>
      <c r="D400" s="6"/>
      <c r="E400" s="113">
        <v>131932392</v>
      </c>
      <c r="F400" s="116">
        <f t="shared" si="71"/>
        <v>32249.423612808605</v>
      </c>
      <c r="G400" s="117">
        <v>83526983</v>
      </c>
      <c r="H400" s="117">
        <f t="shared" si="72"/>
        <v>20417.253238816917</v>
      </c>
      <c r="I400" s="7"/>
      <c r="J400" s="10">
        <v>5.54</v>
      </c>
      <c r="K400" s="117">
        <v>462739</v>
      </c>
      <c r="L400" s="120">
        <f>(K400/C400)</f>
        <v>113.11146418968467</v>
      </c>
      <c r="M400" s="122">
        <f t="shared" si="75"/>
        <v>835269.83000000007</v>
      </c>
      <c r="N400" s="116">
        <f t="shared" si="76"/>
        <v>372530.83000000007</v>
      </c>
      <c r="O400" s="123">
        <f t="shared" si="77"/>
        <v>91.061068198484492</v>
      </c>
      <c r="P400" s="5"/>
      <c r="Q400" s="5">
        <f t="shared" si="78"/>
        <v>1</v>
      </c>
      <c r="R400" s="7">
        <f t="shared" si="79"/>
        <v>4091</v>
      </c>
      <c r="S400" s="5">
        <f t="shared" si="80"/>
        <v>1</v>
      </c>
      <c r="T400" s="7">
        <f t="shared" si="81"/>
        <v>4091</v>
      </c>
    </row>
    <row r="401" spans="1:20">
      <c r="A401" s="23" t="s">
        <v>443</v>
      </c>
      <c r="B401" s="35" t="s">
        <v>441</v>
      </c>
      <c r="C401" s="36">
        <v>269</v>
      </c>
      <c r="D401" s="6"/>
      <c r="E401" s="113">
        <v>7327728</v>
      </c>
      <c r="F401" s="116">
        <f t="shared" si="71"/>
        <v>27240.624535315987</v>
      </c>
      <c r="G401" s="117">
        <v>5354205</v>
      </c>
      <c r="H401" s="117">
        <f t="shared" si="72"/>
        <v>19904.107806691449</v>
      </c>
      <c r="I401" s="98" t="s">
        <v>528</v>
      </c>
      <c r="J401" s="10"/>
      <c r="K401" s="117"/>
      <c r="L401" s="120"/>
      <c r="M401" s="122">
        <f t="shared" si="75"/>
        <v>53542.05</v>
      </c>
      <c r="N401" s="116">
        <f t="shared" si="76"/>
        <v>53542.05</v>
      </c>
      <c r="O401" s="123">
        <f t="shared" si="77"/>
        <v>199.04107806691451</v>
      </c>
      <c r="P401" s="5"/>
      <c r="Q401" s="5">
        <f t="shared" si="78"/>
        <v>1</v>
      </c>
      <c r="R401" s="7">
        <f t="shared" si="79"/>
        <v>269</v>
      </c>
      <c r="S401" s="5">
        <f t="shared" si="80"/>
        <v>0</v>
      </c>
      <c r="T401" s="7">
        <f t="shared" si="81"/>
        <v>0</v>
      </c>
    </row>
    <row r="402" spans="1:20">
      <c r="A402" s="23" t="s">
        <v>444</v>
      </c>
      <c r="B402" s="35" t="s">
        <v>441</v>
      </c>
      <c r="C402" s="36">
        <v>909</v>
      </c>
      <c r="D402" s="6"/>
      <c r="E402" s="113">
        <v>15398540</v>
      </c>
      <c r="F402" s="116">
        <f t="shared" si="71"/>
        <v>16940.088008800882</v>
      </c>
      <c r="G402" s="117">
        <v>7107553</v>
      </c>
      <c r="H402" s="117">
        <f t="shared" si="72"/>
        <v>7819.090209020902</v>
      </c>
      <c r="I402" s="7"/>
      <c r="J402" s="10">
        <v>2.86</v>
      </c>
      <c r="K402" s="117">
        <v>20327</v>
      </c>
      <c r="L402" s="120">
        <f>(K402/C402)</f>
        <v>22.361936193619361</v>
      </c>
      <c r="M402" s="122">
        <f t="shared" si="75"/>
        <v>71075.53</v>
      </c>
      <c r="N402" s="116">
        <f t="shared" si="76"/>
        <v>50748.53</v>
      </c>
      <c r="O402" s="123">
        <f t="shared" si="77"/>
        <v>55.828965896589658</v>
      </c>
      <c r="P402" s="5"/>
      <c r="Q402" s="5">
        <f t="shared" si="78"/>
        <v>1</v>
      </c>
      <c r="R402" s="7">
        <f t="shared" si="79"/>
        <v>909</v>
      </c>
      <c r="S402" s="5">
        <f t="shared" si="80"/>
        <v>1</v>
      </c>
      <c r="T402" s="7">
        <f t="shared" si="81"/>
        <v>909</v>
      </c>
    </row>
    <row r="403" spans="1:20">
      <c r="A403" s="23" t="s">
        <v>445</v>
      </c>
      <c r="B403" s="35" t="s">
        <v>441</v>
      </c>
      <c r="C403" s="36">
        <v>343</v>
      </c>
      <c r="D403" s="6"/>
      <c r="E403" s="113">
        <v>5317719</v>
      </c>
      <c r="F403" s="116">
        <f t="shared" si="71"/>
        <v>15503.553935860058</v>
      </c>
      <c r="G403" s="117">
        <v>1981777</v>
      </c>
      <c r="H403" s="117">
        <f t="shared" si="72"/>
        <v>5777.7755102040819</v>
      </c>
      <c r="I403" s="98" t="s">
        <v>528</v>
      </c>
      <c r="J403" s="10"/>
      <c r="K403" s="117"/>
      <c r="L403" s="120"/>
      <c r="M403" s="122">
        <f t="shared" si="75"/>
        <v>19817.77</v>
      </c>
      <c r="N403" s="116">
        <f t="shared" si="76"/>
        <v>19817.77</v>
      </c>
      <c r="O403" s="123">
        <f t="shared" si="77"/>
        <v>57.777755102040821</v>
      </c>
      <c r="P403" s="5"/>
      <c r="Q403" s="5">
        <f t="shared" si="78"/>
        <v>1</v>
      </c>
      <c r="R403" s="7">
        <f t="shared" si="79"/>
        <v>343</v>
      </c>
      <c r="S403" s="5">
        <f t="shared" si="80"/>
        <v>0</v>
      </c>
      <c r="T403" s="7">
        <f t="shared" si="81"/>
        <v>0</v>
      </c>
    </row>
    <row r="404" spans="1:20">
      <c r="A404" s="70" t="s">
        <v>451</v>
      </c>
      <c r="B404" s="71"/>
      <c r="C404" s="72">
        <f>SUM(C6:C403)</f>
        <v>7253318</v>
      </c>
      <c r="D404" s="73"/>
      <c r="E404" s="73">
        <f>SUM(E6:E403)</f>
        <v>382284690173</v>
      </c>
      <c r="F404" s="74">
        <f>(E404/R404)</f>
        <v>58323.26635775304</v>
      </c>
      <c r="G404" s="75">
        <f>SUM(G6:G403)</f>
        <v>285950997304</v>
      </c>
      <c r="H404" s="76">
        <f>(G404/R404)</f>
        <v>43626.115849627655</v>
      </c>
      <c r="I404" s="71"/>
      <c r="J404" s="77"/>
      <c r="K404" s="78">
        <f>SUM(K6:K403)</f>
        <v>1403699640</v>
      </c>
      <c r="L404" s="79">
        <f>(K404/T404)</f>
        <v>217.46551063043634</v>
      </c>
      <c r="M404" s="79">
        <f>SUM(M6:M403)</f>
        <v>2859509973.0400004</v>
      </c>
      <c r="N404" s="78">
        <f>SUM(N6:N403)</f>
        <v>1455810333.04</v>
      </c>
      <c r="O404" s="80">
        <f>(N404/R404)</f>
        <v>222.10571336727293</v>
      </c>
      <c r="P404" s="20"/>
      <c r="Q404" s="20">
        <f>SUM(Q6:Q403)</f>
        <v>397</v>
      </c>
      <c r="R404" s="21">
        <f>SUM(R6:R403)</f>
        <v>6554583</v>
      </c>
      <c r="S404" s="20">
        <f>SUM(S6:S403)</f>
        <v>362</v>
      </c>
      <c r="T404" s="21">
        <f>SUM(T6:T403)</f>
        <v>6454815</v>
      </c>
    </row>
    <row r="405" spans="1:20">
      <c r="A405" s="27" t="s">
        <v>453</v>
      </c>
      <c r="B405" s="13"/>
      <c r="C405" s="60">
        <f>(S404)</f>
        <v>362</v>
      </c>
      <c r="D405" s="14"/>
      <c r="E405" s="14"/>
      <c r="F405" s="16"/>
      <c r="G405" s="16"/>
      <c r="H405" s="16"/>
      <c r="I405" s="16"/>
      <c r="J405" s="14"/>
      <c r="K405" s="17"/>
      <c r="L405" s="17"/>
      <c r="M405" s="2"/>
      <c r="N405" s="2"/>
      <c r="O405" s="63"/>
      <c r="P405" s="2"/>
      <c r="Q405" s="2"/>
      <c r="R405" s="2"/>
      <c r="S405" s="2"/>
      <c r="T405" s="2"/>
    </row>
    <row r="406" spans="1:20">
      <c r="A406" s="22"/>
      <c r="B406" s="16"/>
      <c r="C406" s="16"/>
      <c r="D406" s="16"/>
      <c r="E406" s="16"/>
      <c r="F406" s="16"/>
      <c r="G406" s="16"/>
      <c r="H406" s="16"/>
      <c r="I406" s="16"/>
      <c r="J406" s="17"/>
      <c r="K406" s="17"/>
      <c r="L406" s="17"/>
      <c r="M406" s="2"/>
      <c r="N406" s="2"/>
      <c r="O406" s="63"/>
      <c r="P406" s="2"/>
      <c r="Q406" s="2"/>
      <c r="R406" s="2"/>
      <c r="S406" s="2"/>
      <c r="T406" s="2"/>
    </row>
    <row r="407" spans="1:20">
      <c r="A407" s="28" t="s">
        <v>498</v>
      </c>
      <c r="B407" s="25"/>
      <c r="C407" s="25"/>
      <c r="D407" s="25"/>
      <c r="E407" s="25"/>
      <c r="F407" s="25"/>
      <c r="G407" s="25"/>
      <c r="H407" s="25"/>
      <c r="I407" s="25"/>
      <c r="J407" s="26"/>
      <c r="K407" s="26"/>
      <c r="L407" s="26"/>
      <c r="M407" s="1"/>
      <c r="N407" s="1"/>
      <c r="O407" s="64"/>
      <c r="P407" s="1"/>
      <c r="Q407" s="1"/>
      <c r="R407" s="1"/>
      <c r="S407" s="1"/>
      <c r="T407" s="1"/>
    </row>
    <row r="408" spans="1:20">
      <c r="A408" s="96" t="s">
        <v>566</v>
      </c>
      <c r="B408" s="25"/>
      <c r="C408" s="25"/>
      <c r="D408" s="25"/>
      <c r="E408" s="25"/>
      <c r="F408" s="25"/>
      <c r="G408" s="25"/>
      <c r="H408" s="25"/>
      <c r="I408" s="25"/>
      <c r="J408" s="26"/>
      <c r="K408" s="26"/>
      <c r="L408" s="26"/>
      <c r="M408" s="1"/>
      <c r="N408" s="1"/>
      <c r="O408" s="64"/>
      <c r="P408" s="1"/>
      <c r="Q408" s="1"/>
      <c r="R408" s="1"/>
      <c r="S408" s="1"/>
      <c r="T408" s="1"/>
    </row>
    <row r="409" spans="1:20">
      <c r="A409" s="96" t="s">
        <v>570</v>
      </c>
      <c r="B409" s="25"/>
      <c r="C409" s="25"/>
      <c r="D409" s="25"/>
      <c r="E409" s="25"/>
      <c r="F409" s="25"/>
      <c r="G409" s="25"/>
      <c r="H409" s="25"/>
      <c r="I409" s="25"/>
      <c r="J409" s="26"/>
      <c r="K409" s="26"/>
      <c r="L409" s="26"/>
      <c r="M409" s="1"/>
      <c r="N409" s="1"/>
      <c r="O409" s="64"/>
      <c r="P409" s="1"/>
      <c r="Q409" s="1"/>
      <c r="R409" s="1"/>
      <c r="S409" s="1"/>
      <c r="T409" s="1"/>
    </row>
    <row r="410" spans="1:20">
      <c r="A410" s="96" t="s">
        <v>571</v>
      </c>
      <c r="B410" s="25"/>
      <c r="C410" s="25"/>
      <c r="D410" s="25"/>
      <c r="E410" s="25"/>
      <c r="F410" s="25"/>
      <c r="G410" s="25"/>
      <c r="H410" s="25"/>
      <c r="I410" s="25"/>
      <c r="J410" s="26"/>
      <c r="K410" s="26"/>
      <c r="L410" s="26"/>
      <c r="M410" s="1"/>
      <c r="N410" s="1"/>
      <c r="O410" s="64"/>
      <c r="P410" s="1"/>
      <c r="Q410" s="1"/>
      <c r="R410" s="1"/>
      <c r="S410" s="1"/>
      <c r="T410" s="1"/>
    </row>
    <row r="411" spans="1:20">
      <c r="A411" s="96" t="s">
        <v>572</v>
      </c>
      <c r="B411" s="25"/>
      <c r="C411" s="25"/>
      <c r="D411" s="25"/>
      <c r="E411" s="25"/>
      <c r="F411" s="25"/>
      <c r="G411" s="25"/>
      <c r="H411" s="25"/>
      <c r="I411" s="25"/>
      <c r="J411" s="26"/>
      <c r="K411" s="26"/>
      <c r="L411" s="26"/>
      <c r="M411" s="1"/>
      <c r="N411" s="1"/>
      <c r="O411" s="64"/>
      <c r="P411" s="1"/>
      <c r="Q411" s="1"/>
      <c r="R411" s="1"/>
      <c r="S411" s="1"/>
      <c r="T411" s="1"/>
    </row>
    <row r="412" spans="1:20">
      <c r="A412" s="29" t="s">
        <v>505</v>
      </c>
      <c r="B412" s="25"/>
      <c r="C412" s="25"/>
      <c r="D412" s="25"/>
      <c r="E412" s="25"/>
      <c r="F412" s="25"/>
      <c r="G412" s="25"/>
      <c r="H412" s="25"/>
      <c r="I412" s="25"/>
      <c r="J412" s="26"/>
      <c r="K412" s="26"/>
      <c r="L412" s="26"/>
      <c r="M412" s="1"/>
      <c r="N412" s="1"/>
      <c r="O412" s="64"/>
      <c r="P412" s="1"/>
      <c r="Q412" s="1"/>
      <c r="R412" s="1"/>
      <c r="S412" s="1"/>
      <c r="T412" s="1"/>
    </row>
    <row r="413" spans="1:20">
      <c r="A413" s="29"/>
      <c r="B413" s="25"/>
      <c r="C413" s="25"/>
      <c r="D413" s="25"/>
      <c r="E413" s="25"/>
      <c r="F413" s="25"/>
      <c r="G413" s="25"/>
      <c r="H413" s="25"/>
      <c r="I413" s="25"/>
      <c r="J413" s="26"/>
      <c r="K413" s="26"/>
      <c r="L413" s="26"/>
      <c r="M413" s="1"/>
      <c r="N413" s="1"/>
      <c r="O413" s="64"/>
      <c r="P413" s="1"/>
      <c r="Q413" s="1"/>
      <c r="R413" s="1"/>
      <c r="S413" s="1"/>
      <c r="T413" s="1"/>
    </row>
    <row r="414" spans="1:20">
      <c r="A414" s="96" t="s">
        <v>579</v>
      </c>
      <c r="B414" s="25"/>
      <c r="C414" s="25"/>
      <c r="D414" s="25"/>
      <c r="E414" s="25"/>
      <c r="F414" s="25"/>
      <c r="G414" s="25"/>
      <c r="H414" s="25"/>
      <c r="I414" s="25"/>
      <c r="J414" s="26"/>
      <c r="K414" s="26"/>
      <c r="L414" s="26"/>
      <c r="M414" s="1"/>
      <c r="N414" s="1"/>
      <c r="O414" s="64"/>
      <c r="P414" s="1"/>
      <c r="Q414" s="1"/>
      <c r="R414" s="1"/>
      <c r="S414" s="1"/>
      <c r="T414" s="1"/>
    </row>
    <row r="415" spans="1:20">
      <c r="A415" s="28" t="s">
        <v>473</v>
      </c>
      <c r="B415" s="25"/>
      <c r="C415" s="25"/>
      <c r="D415" s="25"/>
      <c r="E415" s="25"/>
      <c r="F415" s="25"/>
      <c r="G415" s="25"/>
      <c r="H415" s="25"/>
      <c r="I415" s="25"/>
      <c r="J415" s="26"/>
      <c r="K415" s="26"/>
      <c r="L415" s="26"/>
      <c r="M415" s="1"/>
      <c r="N415" s="1"/>
      <c r="O415" s="64"/>
      <c r="P415" s="1"/>
      <c r="Q415" s="1"/>
      <c r="R415" s="1"/>
      <c r="S415" s="1"/>
      <c r="T415" s="1"/>
    </row>
    <row r="416" spans="1:20" ht="13.5" thickBot="1">
      <c r="A416" s="30" t="s">
        <v>488</v>
      </c>
      <c r="B416" s="31"/>
      <c r="C416" s="31"/>
      <c r="D416" s="31"/>
      <c r="E416" s="31"/>
      <c r="F416" s="31"/>
      <c r="G416" s="31"/>
      <c r="H416" s="31"/>
      <c r="I416" s="31"/>
      <c r="J416" s="32"/>
      <c r="K416" s="32"/>
      <c r="L416" s="32"/>
      <c r="M416" s="31"/>
      <c r="N416" s="31"/>
      <c r="O416" s="81"/>
      <c r="P416" s="1"/>
      <c r="Q416" s="1"/>
      <c r="R416" s="1"/>
      <c r="S416" s="1"/>
      <c r="T416" s="1"/>
    </row>
    <row r="417" spans="1:20">
      <c r="A417" s="4"/>
      <c r="B417" s="1"/>
      <c r="C417" s="1"/>
      <c r="D417" s="1"/>
      <c r="E417" s="1"/>
      <c r="F417" s="1"/>
      <c r="G417" s="1"/>
      <c r="H417" s="1"/>
      <c r="I417" s="1"/>
      <c r="J417" s="3"/>
      <c r="K417" s="3"/>
      <c r="L417" s="3"/>
      <c r="M417" s="1"/>
      <c r="N417" s="1"/>
      <c r="O417" s="1"/>
      <c r="P417" s="1"/>
      <c r="Q417" s="1"/>
      <c r="R417" s="1"/>
      <c r="S417" s="1"/>
      <c r="T417" s="1"/>
    </row>
    <row r="418" spans="1:20">
      <c r="A418" s="4"/>
      <c r="B418" s="1"/>
      <c r="C418" s="1"/>
      <c r="D418" s="1"/>
      <c r="E418" s="1"/>
      <c r="F418" s="1"/>
      <c r="G418" s="1"/>
      <c r="H418" s="1"/>
      <c r="I418" s="1"/>
      <c r="J418" s="3"/>
      <c r="K418" s="3"/>
      <c r="L418" s="3"/>
      <c r="M418" s="1"/>
      <c r="N418" s="1"/>
      <c r="O418" s="1"/>
      <c r="P418" s="1"/>
      <c r="Q418" s="1"/>
      <c r="R418" s="1"/>
      <c r="S418" s="1"/>
      <c r="T418" s="1"/>
    </row>
    <row r="419" spans="1:20">
      <c r="A419" s="2"/>
      <c r="B419" s="2"/>
      <c r="C419" s="2"/>
      <c r="D419" s="2"/>
      <c r="E419" s="2"/>
      <c r="F419" s="2"/>
      <c r="G419" s="2"/>
      <c r="H419" s="2"/>
      <c r="I419" s="2"/>
      <c r="J419" s="2"/>
      <c r="K419" s="2"/>
      <c r="L419" s="2"/>
      <c r="M419" s="2"/>
      <c r="N419" s="2"/>
      <c r="O419" s="2"/>
      <c r="P419" s="2"/>
      <c r="Q419" s="2"/>
      <c r="R419" s="2"/>
      <c r="S419" s="2"/>
      <c r="T419"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ignoredErrors>
    <ignoredError sqref="F404 L40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T418"/>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7" t="s">
        <v>474</v>
      </c>
      <c r="B1" s="198"/>
      <c r="C1" s="198"/>
      <c r="D1" s="198"/>
      <c r="E1" s="198"/>
      <c r="F1" s="198"/>
      <c r="G1" s="198"/>
      <c r="H1" s="198"/>
      <c r="I1" s="198"/>
      <c r="J1" s="198"/>
      <c r="K1" s="198"/>
      <c r="L1" s="198"/>
      <c r="M1" s="198"/>
      <c r="N1" s="198"/>
      <c r="O1" s="199"/>
    </row>
    <row r="2" spans="1:20" ht="18">
      <c r="A2" s="41"/>
      <c r="B2" s="42"/>
      <c r="C2" s="43"/>
      <c r="D2" s="200" t="s">
        <v>483</v>
      </c>
      <c r="E2" s="201"/>
      <c r="F2" s="201"/>
      <c r="G2" s="201"/>
      <c r="H2" s="202"/>
      <c r="I2" s="44"/>
      <c r="J2" s="61" t="s">
        <v>456</v>
      </c>
      <c r="K2" s="45"/>
      <c r="L2" s="68"/>
      <c r="M2" s="201" t="s">
        <v>503</v>
      </c>
      <c r="N2" s="201"/>
      <c r="O2" s="203"/>
    </row>
    <row r="3" spans="1:20" ht="12.75" customHeight="1">
      <c r="A3" s="46"/>
      <c r="B3" s="47"/>
      <c r="C3" s="48">
        <v>1996</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5882</v>
      </c>
      <c r="D6" s="18"/>
      <c r="E6" s="18">
        <v>269087864</v>
      </c>
      <c r="F6" s="38">
        <f>(E6/C6)</f>
        <v>45747.681740904452</v>
      </c>
      <c r="G6" s="18">
        <v>153835117</v>
      </c>
      <c r="H6" s="39">
        <f t="shared" ref="H6:H37" si="0">(G6/C6)</f>
        <v>26153.539102346142</v>
      </c>
      <c r="I6" s="15"/>
      <c r="J6" s="17">
        <v>5.5</v>
      </c>
      <c r="K6" s="40">
        <v>846093</v>
      </c>
      <c r="L6" s="84">
        <f t="shared" ref="L6:L14" si="1">(K6/C6)</f>
        <v>143.84444066643999</v>
      </c>
      <c r="M6" s="65">
        <f>(G6*0.01)</f>
        <v>1538351.17</v>
      </c>
      <c r="N6" s="83">
        <f>(M6-K6)</f>
        <v>692258.16999999993</v>
      </c>
      <c r="O6" s="62">
        <f>(N6/C6)</f>
        <v>117.69095035702141</v>
      </c>
      <c r="P6" s="5"/>
      <c r="Q6" s="5">
        <f>IF(E6&gt;0,1,0)</f>
        <v>1</v>
      </c>
      <c r="R6" s="7">
        <f>IF(E6&gt;0,C6,0)</f>
        <v>5882</v>
      </c>
      <c r="S6" s="5">
        <f>IF(J6&gt;0,1,0)</f>
        <v>1</v>
      </c>
      <c r="T6" s="7">
        <f>IF(J6&gt;0,C6,0)</f>
        <v>5882</v>
      </c>
    </row>
    <row r="7" spans="1:20">
      <c r="A7" s="23" t="s">
        <v>9</v>
      </c>
      <c r="B7" s="35" t="s">
        <v>8</v>
      </c>
      <c r="C7" s="36">
        <v>1407</v>
      </c>
      <c r="D7" s="6"/>
      <c r="E7" s="113">
        <v>24214883</v>
      </c>
      <c r="F7" s="116">
        <f>(E7/C7)</f>
        <v>17210.29353233831</v>
      </c>
      <c r="G7" s="113">
        <v>13793625</v>
      </c>
      <c r="H7" s="117">
        <f t="shared" si="0"/>
        <v>9803.5714285714294</v>
      </c>
      <c r="I7" s="7"/>
      <c r="J7" s="10">
        <v>3.01</v>
      </c>
      <c r="K7" s="117">
        <v>41518</v>
      </c>
      <c r="L7" s="120">
        <f t="shared" si="1"/>
        <v>29.50817341862118</v>
      </c>
      <c r="M7" s="122">
        <f>(G7*0.01)</f>
        <v>137936.25</v>
      </c>
      <c r="N7" s="116">
        <f>(M7-K7)</f>
        <v>96418.25</v>
      </c>
      <c r="O7" s="123">
        <f>(N7/C7)</f>
        <v>68.527540867093109</v>
      </c>
      <c r="P7" s="5"/>
      <c r="Q7" s="5">
        <f t="shared" ref="Q7:Q70" si="2">IF(E7&gt;0,1,0)</f>
        <v>1</v>
      </c>
      <c r="R7" s="7">
        <f t="shared" ref="R7:R70" si="3">IF(E7&gt;0,C7,0)</f>
        <v>1407</v>
      </c>
      <c r="S7" s="5">
        <f t="shared" ref="S7:S70" si="4">IF(J7&gt;0,1,0)</f>
        <v>1</v>
      </c>
      <c r="T7" s="7">
        <f t="shared" ref="T7:T70" si="5">IF(J7&gt;0,C7,0)</f>
        <v>1407</v>
      </c>
    </row>
    <row r="8" spans="1:20">
      <c r="A8" s="23" t="s">
        <v>10</v>
      </c>
      <c r="B8" s="35" t="s">
        <v>8</v>
      </c>
      <c r="C8" s="36">
        <v>97693</v>
      </c>
      <c r="D8" s="6"/>
      <c r="E8" s="113">
        <v>5407243370</v>
      </c>
      <c r="F8" s="116">
        <f t="shared" ref="F8:F71" si="6">(E8/C8)</f>
        <v>55349.343044025671</v>
      </c>
      <c r="G8" s="113">
        <v>2031119313</v>
      </c>
      <c r="H8" s="117">
        <f t="shared" si="0"/>
        <v>20790.837757055266</v>
      </c>
      <c r="I8" s="7"/>
      <c r="J8" s="10">
        <v>4.9416000000000002</v>
      </c>
      <c r="K8" s="117">
        <v>10036979</v>
      </c>
      <c r="L8" s="120">
        <f t="shared" si="1"/>
        <v>102.74000184250663</v>
      </c>
      <c r="M8" s="122">
        <f t="shared" ref="M8:M71" si="7">(G8*0.01)</f>
        <v>20311193.129999999</v>
      </c>
      <c r="N8" s="116">
        <f t="shared" ref="N8:N71" si="8">(M8-K8)</f>
        <v>10274214.129999999</v>
      </c>
      <c r="O8" s="123">
        <f t="shared" ref="O8:O71" si="9">(N8/C8)</f>
        <v>105.16837572804602</v>
      </c>
      <c r="P8" s="5"/>
      <c r="Q8" s="5">
        <f t="shared" si="2"/>
        <v>1</v>
      </c>
      <c r="R8" s="7">
        <f t="shared" si="3"/>
        <v>97693</v>
      </c>
      <c r="S8" s="5">
        <f t="shared" si="4"/>
        <v>1</v>
      </c>
      <c r="T8" s="7">
        <f t="shared" si="5"/>
        <v>97693</v>
      </c>
    </row>
    <row r="9" spans="1:20">
      <c r="A9" s="23" t="s">
        <v>11</v>
      </c>
      <c r="B9" s="35" t="s">
        <v>8</v>
      </c>
      <c r="C9" s="36">
        <v>1381</v>
      </c>
      <c r="D9" s="6"/>
      <c r="E9" s="113">
        <v>45132442</v>
      </c>
      <c r="F9" s="116">
        <f t="shared" si="6"/>
        <v>32680.98624185373</v>
      </c>
      <c r="G9" s="117">
        <v>20537574</v>
      </c>
      <c r="H9" s="117">
        <f t="shared" si="0"/>
        <v>14871.523533671252</v>
      </c>
      <c r="I9" s="7"/>
      <c r="J9" s="10">
        <v>5.3616999999999999</v>
      </c>
      <c r="K9" s="117">
        <v>110116</v>
      </c>
      <c r="L9" s="120">
        <f t="shared" si="1"/>
        <v>79.736422881969588</v>
      </c>
      <c r="M9" s="122">
        <f t="shared" si="7"/>
        <v>205375.74</v>
      </c>
      <c r="N9" s="116">
        <f t="shared" si="8"/>
        <v>95259.739999999991</v>
      </c>
      <c r="O9" s="123">
        <f t="shared" si="9"/>
        <v>68.978812454742936</v>
      </c>
      <c r="P9" s="5"/>
      <c r="Q9" s="5">
        <f t="shared" si="2"/>
        <v>1</v>
      </c>
      <c r="R9" s="7">
        <f t="shared" si="3"/>
        <v>1381</v>
      </c>
      <c r="S9" s="5">
        <f t="shared" si="4"/>
        <v>1</v>
      </c>
      <c r="T9" s="7">
        <f t="shared" si="5"/>
        <v>1381</v>
      </c>
    </row>
    <row r="10" spans="1:20">
      <c r="A10" s="23" t="s">
        <v>12</v>
      </c>
      <c r="B10" s="35" t="s">
        <v>8</v>
      </c>
      <c r="C10" s="36">
        <v>3571</v>
      </c>
      <c r="D10" s="6"/>
      <c r="E10" s="113">
        <v>111560415</v>
      </c>
      <c r="F10" s="116">
        <f t="shared" si="6"/>
        <v>31240.665079809576</v>
      </c>
      <c r="G10" s="117">
        <v>62266184</v>
      </c>
      <c r="H10" s="117">
        <f t="shared" si="0"/>
        <v>17436.623914869786</v>
      </c>
      <c r="I10" s="7"/>
      <c r="J10" s="10">
        <v>5.9539999999999997</v>
      </c>
      <c r="K10" s="117">
        <v>370732</v>
      </c>
      <c r="L10" s="120">
        <f t="shared" si="1"/>
        <v>103.81741809017082</v>
      </c>
      <c r="M10" s="122">
        <f t="shared" si="7"/>
        <v>622661.84</v>
      </c>
      <c r="N10" s="116">
        <f t="shared" si="8"/>
        <v>251929.83999999997</v>
      </c>
      <c r="O10" s="123">
        <f t="shared" si="9"/>
        <v>70.548821058527011</v>
      </c>
      <c r="P10" s="5"/>
      <c r="Q10" s="5">
        <f t="shared" si="2"/>
        <v>1</v>
      </c>
      <c r="R10" s="7">
        <f t="shared" si="3"/>
        <v>3571</v>
      </c>
      <c r="S10" s="5">
        <f t="shared" si="4"/>
        <v>1</v>
      </c>
      <c r="T10" s="7">
        <f t="shared" si="5"/>
        <v>3571</v>
      </c>
    </row>
    <row r="11" spans="1:20">
      <c r="A11" s="23" t="s">
        <v>559</v>
      </c>
      <c r="B11" s="35" t="s">
        <v>8</v>
      </c>
      <c r="C11" s="36">
        <v>139</v>
      </c>
      <c r="D11" s="6"/>
      <c r="E11" s="113">
        <v>4671836</v>
      </c>
      <c r="F11" s="116">
        <f t="shared" si="6"/>
        <v>33610.330935251797</v>
      </c>
      <c r="G11" s="117">
        <v>2565746</v>
      </c>
      <c r="H11" s="117">
        <f t="shared" si="0"/>
        <v>18458.604316546764</v>
      </c>
      <c r="I11" s="7"/>
      <c r="J11" s="10">
        <v>5</v>
      </c>
      <c r="K11" s="117">
        <v>12828</v>
      </c>
      <c r="L11" s="120">
        <f t="shared" si="1"/>
        <v>92.287769784172667</v>
      </c>
      <c r="M11" s="122">
        <f t="shared" si="7"/>
        <v>25657.46</v>
      </c>
      <c r="N11" s="116">
        <f t="shared" si="8"/>
        <v>12829.46</v>
      </c>
      <c r="O11" s="123">
        <f t="shared" si="9"/>
        <v>92.298273381294962</v>
      </c>
      <c r="P11" s="5"/>
      <c r="Q11" s="5">
        <f t="shared" si="2"/>
        <v>1</v>
      </c>
      <c r="R11" s="7">
        <f t="shared" si="3"/>
        <v>139</v>
      </c>
      <c r="S11" s="5">
        <f t="shared" si="4"/>
        <v>1</v>
      </c>
      <c r="T11" s="7">
        <f t="shared" si="5"/>
        <v>139</v>
      </c>
    </row>
    <row r="12" spans="1:20">
      <c r="A12" s="23" t="s">
        <v>13</v>
      </c>
      <c r="B12" s="35" t="s">
        <v>8</v>
      </c>
      <c r="C12" s="36">
        <v>645</v>
      </c>
      <c r="D12" s="6"/>
      <c r="E12" s="113">
        <v>16262430</v>
      </c>
      <c r="F12" s="116">
        <f t="shared" si="6"/>
        <v>25213.069767441859</v>
      </c>
      <c r="G12" s="117">
        <v>9710730</v>
      </c>
      <c r="H12" s="117">
        <f t="shared" si="0"/>
        <v>15055.39534883721</v>
      </c>
      <c r="I12" s="7"/>
      <c r="J12" s="10">
        <v>6</v>
      </c>
      <c r="K12" s="117">
        <v>58264</v>
      </c>
      <c r="L12" s="120">
        <f t="shared" si="1"/>
        <v>90.331782945736435</v>
      </c>
      <c r="M12" s="122">
        <f t="shared" si="7"/>
        <v>97107.3</v>
      </c>
      <c r="N12" s="116">
        <f t="shared" si="8"/>
        <v>38843.300000000003</v>
      </c>
      <c r="O12" s="123">
        <f t="shared" si="9"/>
        <v>60.222170542635666</v>
      </c>
      <c r="P12" s="5"/>
      <c r="Q12" s="5">
        <f t="shared" si="2"/>
        <v>1</v>
      </c>
      <c r="R12" s="7">
        <f t="shared" si="3"/>
        <v>645</v>
      </c>
      <c r="S12" s="5">
        <f t="shared" si="4"/>
        <v>1</v>
      </c>
      <c r="T12" s="7">
        <f t="shared" si="5"/>
        <v>645</v>
      </c>
    </row>
    <row r="13" spans="1:20">
      <c r="A13" s="23" t="s">
        <v>14</v>
      </c>
      <c r="B13" s="35" t="s">
        <v>8</v>
      </c>
      <c r="C13" s="36">
        <v>2289</v>
      </c>
      <c r="D13" s="6"/>
      <c r="E13" s="113">
        <v>108229163</v>
      </c>
      <c r="F13" s="116">
        <f t="shared" si="6"/>
        <v>47282.290519877679</v>
      </c>
      <c r="G13" s="117">
        <v>39311785</v>
      </c>
      <c r="H13" s="117">
        <f t="shared" si="0"/>
        <v>17174.217999126256</v>
      </c>
      <c r="I13" s="7"/>
      <c r="J13" s="10">
        <v>3.09</v>
      </c>
      <c r="K13" s="117">
        <v>121473</v>
      </c>
      <c r="L13" s="120">
        <f t="shared" si="1"/>
        <v>53.068152031454787</v>
      </c>
      <c r="M13" s="122">
        <f t="shared" si="7"/>
        <v>393117.85000000003</v>
      </c>
      <c r="N13" s="116">
        <f t="shared" si="8"/>
        <v>271644.85000000003</v>
      </c>
      <c r="O13" s="123">
        <f t="shared" si="9"/>
        <v>118.67402795980779</v>
      </c>
      <c r="P13" s="5"/>
      <c r="Q13" s="5">
        <f t="shared" si="2"/>
        <v>1</v>
      </c>
      <c r="R13" s="7">
        <f t="shared" si="3"/>
        <v>2289</v>
      </c>
      <c r="S13" s="5">
        <f t="shared" si="4"/>
        <v>1</v>
      </c>
      <c r="T13" s="7">
        <f t="shared" si="5"/>
        <v>2289</v>
      </c>
    </row>
    <row r="14" spans="1:20">
      <c r="A14" s="23" t="s">
        <v>15</v>
      </c>
      <c r="B14" s="35" t="s">
        <v>8</v>
      </c>
      <c r="C14" s="36">
        <v>1042</v>
      </c>
      <c r="D14" s="6"/>
      <c r="E14" s="113">
        <v>17497593</v>
      </c>
      <c r="F14" s="116">
        <f t="shared" si="6"/>
        <v>16792.315738963531</v>
      </c>
      <c r="G14" s="117">
        <v>8205448</v>
      </c>
      <c r="H14" s="117">
        <f t="shared" si="0"/>
        <v>7874.7101727447216</v>
      </c>
      <c r="I14" s="7"/>
      <c r="J14" s="10">
        <v>5.0313999999999997</v>
      </c>
      <c r="K14" s="117">
        <v>41284</v>
      </c>
      <c r="L14" s="120">
        <f t="shared" si="1"/>
        <v>39.619961612284072</v>
      </c>
      <c r="M14" s="122">
        <f t="shared" si="7"/>
        <v>82054.48</v>
      </c>
      <c r="N14" s="116">
        <f t="shared" si="8"/>
        <v>40770.479999999996</v>
      </c>
      <c r="O14" s="123">
        <f t="shared" si="9"/>
        <v>39.127140115163144</v>
      </c>
      <c r="P14" s="5"/>
      <c r="Q14" s="5">
        <f t="shared" si="2"/>
        <v>1</v>
      </c>
      <c r="R14" s="7">
        <f t="shared" si="3"/>
        <v>1042</v>
      </c>
      <c r="S14" s="5">
        <f t="shared" si="4"/>
        <v>1</v>
      </c>
      <c r="T14" s="7">
        <f t="shared" si="5"/>
        <v>1042</v>
      </c>
    </row>
    <row r="15" spans="1:20">
      <c r="A15" s="23" t="s">
        <v>544</v>
      </c>
      <c r="B15" s="35" t="s">
        <v>16</v>
      </c>
      <c r="C15" s="36">
        <v>460</v>
      </c>
      <c r="D15" s="6"/>
      <c r="E15" s="113">
        <v>8114502</v>
      </c>
      <c r="F15" s="116">
        <f t="shared" si="6"/>
        <v>17640.221739130433</v>
      </c>
      <c r="G15" s="117">
        <v>3974157</v>
      </c>
      <c r="H15" s="117">
        <f t="shared" si="0"/>
        <v>8639.4717391304348</v>
      </c>
      <c r="I15" s="98" t="s">
        <v>528</v>
      </c>
      <c r="J15" s="10"/>
      <c r="K15" s="117"/>
      <c r="L15" s="120"/>
      <c r="M15" s="122">
        <f t="shared" si="7"/>
        <v>39741.57</v>
      </c>
      <c r="N15" s="116">
        <f t="shared" si="8"/>
        <v>39741.57</v>
      </c>
      <c r="O15" s="123">
        <f t="shared" si="9"/>
        <v>86.394717391304354</v>
      </c>
      <c r="P15" s="5"/>
      <c r="Q15" s="5">
        <f t="shared" si="2"/>
        <v>1</v>
      </c>
      <c r="R15" s="7">
        <f t="shared" si="3"/>
        <v>460</v>
      </c>
      <c r="S15" s="5">
        <f t="shared" si="4"/>
        <v>0</v>
      </c>
      <c r="T15" s="7">
        <f t="shared" si="5"/>
        <v>0</v>
      </c>
    </row>
    <row r="16" spans="1:20">
      <c r="A16" s="23" t="s">
        <v>17</v>
      </c>
      <c r="B16" s="35" t="s">
        <v>16</v>
      </c>
      <c r="C16" s="36">
        <v>4253</v>
      </c>
      <c r="D16" s="6"/>
      <c r="E16" s="113">
        <v>106835948</v>
      </c>
      <c r="F16" s="116">
        <f t="shared" si="6"/>
        <v>25120.138255349164</v>
      </c>
      <c r="G16" s="117">
        <v>70509599</v>
      </c>
      <c r="H16" s="117">
        <f t="shared" si="0"/>
        <v>16578.791206207385</v>
      </c>
      <c r="I16" s="7"/>
      <c r="J16" s="10">
        <v>3.83</v>
      </c>
      <c r="K16" s="117">
        <v>270051</v>
      </c>
      <c r="L16" s="120">
        <f>(K16/C16)</f>
        <v>63.496590641899836</v>
      </c>
      <c r="M16" s="122">
        <f t="shared" si="7"/>
        <v>705095.99</v>
      </c>
      <c r="N16" s="116">
        <f t="shared" si="8"/>
        <v>435044.99</v>
      </c>
      <c r="O16" s="123">
        <f t="shared" si="9"/>
        <v>102.29132142017399</v>
      </c>
      <c r="P16" s="5"/>
      <c r="Q16" s="5">
        <f t="shared" si="2"/>
        <v>1</v>
      </c>
      <c r="R16" s="7">
        <f t="shared" si="3"/>
        <v>4253</v>
      </c>
      <c r="S16" s="5">
        <f t="shared" si="4"/>
        <v>1</v>
      </c>
      <c r="T16" s="7">
        <f t="shared" si="5"/>
        <v>4253</v>
      </c>
    </row>
    <row r="17" spans="1:20">
      <c r="A17" s="23" t="s">
        <v>18</v>
      </c>
      <c r="B17" s="35" t="s">
        <v>19</v>
      </c>
      <c r="C17" s="36">
        <v>14044</v>
      </c>
      <c r="D17" s="6"/>
      <c r="E17" s="113">
        <v>278418628</v>
      </c>
      <c r="F17" s="116">
        <f t="shared" si="6"/>
        <v>19824.738536029621</v>
      </c>
      <c r="G17" s="117">
        <v>194904951</v>
      </c>
      <c r="H17" s="117">
        <f t="shared" si="0"/>
        <v>13878.165123896326</v>
      </c>
      <c r="I17" s="98" t="s">
        <v>528</v>
      </c>
      <c r="J17" s="10"/>
      <c r="K17" s="117"/>
      <c r="L17" s="120"/>
      <c r="M17" s="122">
        <f t="shared" si="7"/>
        <v>1949049.51</v>
      </c>
      <c r="N17" s="116">
        <f t="shared" si="8"/>
        <v>1949049.51</v>
      </c>
      <c r="O17" s="123">
        <f t="shared" si="9"/>
        <v>138.78165123896326</v>
      </c>
      <c r="P17" s="5"/>
      <c r="Q17" s="5">
        <f t="shared" si="2"/>
        <v>1</v>
      </c>
      <c r="R17" s="7">
        <f t="shared" si="3"/>
        <v>14044</v>
      </c>
      <c r="S17" s="5">
        <f t="shared" si="4"/>
        <v>0</v>
      </c>
      <c r="T17" s="7">
        <f t="shared" si="5"/>
        <v>0</v>
      </c>
    </row>
    <row r="18" spans="1:20">
      <c r="A18" s="23" t="s">
        <v>20</v>
      </c>
      <c r="B18" s="35" t="s">
        <v>19</v>
      </c>
      <c r="C18" s="36">
        <v>2102</v>
      </c>
      <c r="D18" s="6"/>
      <c r="E18" s="113">
        <v>50537476</v>
      </c>
      <c r="F18" s="116">
        <f t="shared" si="6"/>
        <v>24042.567078972406</v>
      </c>
      <c r="G18" s="117">
        <v>25238844</v>
      </c>
      <c r="H18" s="117">
        <f t="shared" si="0"/>
        <v>12007.061845861084</v>
      </c>
      <c r="I18" s="98" t="s">
        <v>528</v>
      </c>
      <c r="J18" s="10"/>
      <c r="K18" s="117"/>
      <c r="L18" s="120"/>
      <c r="M18" s="122">
        <f t="shared" si="7"/>
        <v>252388.44</v>
      </c>
      <c r="N18" s="116">
        <f t="shared" si="8"/>
        <v>252388.44</v>
      </c>
      <c r="O18" s="123">
        <f t="shared" si="9"/>
        <v>120.07061845861085</v>
      </c>
      <c r="P18" s="5"/>
      <c r="Q18" s="5">
        <f t="shared" si="2"/>
        <v>1</v>
      </c>
      <c r="R18" s="7">
        <f t="shared" si="3"/>
        <v>2102</v>
      </c>
      <c r="S18" s="5">
        <f t="shared" si="4"/>
        <v>0</v>
      </c>
      <c r="T18" s="7">
        <f t="shared" si="5"/>
        <v>0</v>
      </c>
    </row>
    <row r="19" spans="1:20">
      <c r="A19" s="23" t="s">
        <v>21</v>
      </c>
      <c r="B19" s="35" t="s">
        <v>19</v>
      </c>
      <c r="C19" s="36">
        <v>11353</v>
      </c>
      <c r="D19" s="6"/>
      <c r="E19" s="113">
        <v>380368585</v>
      </c>
      <c r="F19" s="116">
        <f t="shared" si="6"/>
        <v>33503.79503215009</v>
      </c>
      <c r="G19" s="117">
        <v>202968782</v>
      </c>
      <c r="H19" s="117">
        <f t="shared" si="0"/>
        <v>17877.986611468335</v>
      </c>
      <c r="I19" s="7"/>
      <c r="J19" s="10">
        <v>2.5</v>
      </c>
      <c r="K19" s="117">
        <v>507421</v>
      </c>
      <c r="L19" s="120">
        <f>(K19/C19)</f>
        <v>44.694882409935701</v>
      </c>
      <c r="M19" s="122">
        <f t="shared" si="7"/>
        <v>2029687.82</v>
      </c>
      <c r="N19" s="116">
        <f t="shared" si="8"/>
        <v>1522266.82</v>
      </c>
      <c r="O19" s="123">
        <f t="shared" si="9"/>
        <v>134.08498370474766</v>
      </c>
      <c r="P19" s="5"/>
      <c r="Q19" s="5">
        <f t="shared" si="2"/>
        <v>1</v>
      </c>
      <c r="R19" s="7">
        <f t="shared" si="3"/>
        <v>11353</v>
      </c>
      <c r="S19" s="5">
        <f t="shared" si="4"/>
        <v>1</v>
      </c>
      <c r="T19" s="7">
        <f t="shared" si="5"/>
        <v>11353</v>
      </c>
    </row>
    <row r="20" spans="1:20">
      <c r="A20" s="23" t="s">
        <v>22</v>
      </c>
      <c r="B20" s="35" t="s">
        <v>19</v>
      </c>
      <c r="C20" s="36">
        <v>973</v>
      </c>
      <c r="D20" s="6"/>
      <c r="E20" s="113">
        <v>80168569</v>
      </c>
      <c r="F20" s="116">
        <f t="shared" si="6"/>
        <v>82393.184994861251</v>
      </c>
      <c r="G20" s="117">
        <v>61497233</v>
      </c>
      <c r="H20" s="117">
        <f t="shared" si="0"/>
        <v>63203.733812949642</v>
      </c>
      <c r="I20" s="7"/>
      <c r="J20" s="11">
        <v>5.32</v>
      </c>
      <c r="K20" s="117">
        <v>327165</v>
      </c>
      <c r="L20" s="120">
        <f>(K20/C20)</f>
        <v>336.24357656731758</v>
      </c>
      <c r="M20" s="122">
        <f t="shared" si="7"/>
        <v>614972.32999999996</v>
      </c>
      <c r="N20" s="116">
        <f t="shared" si="8"/>
        <v>287807.32999999996</v>
      </c>
      <c r="O20" s="123">
        <f t="shared" si="9"/>
        <v>295.79376156217876</v>
      </c>
      <c r="P20" s="5"/>
      <c r="Q20" s="5">
        <f t="shared" si="2"/>
        <v>1</v>
      </c>
      <c r="R20" s="7">
        <f t="shared" si="3"/>
        <v>973</v>
      </c>
      <c r="S20" s="5">
        <f t="shared" si="4"/>
        <v>1</v>
      </c>
      <c r="T20" s="7">
        <f t="shared" si="5"/>
        <v>973</v>
      </c>
    </row>
    <row r="21" spans="1:20">
      <c r="A21" s="23" t="s">
        <v>23</v>
      </c>
      <c r="B21" s="35" t="s">
        <v>19</v>
      </c>
      <c r="C21" s="36">
        <v>37236</v>
      </c>
      <c r="D21" s="6"/>
      <c r="E21" s="113">
        <v>1501558696</v>
      </c>
      <c r="F21" s="116">
        <f t="shared" si="6"/>
        <v>40325.456440004295</v>
      </c>
      <c r="G21" s="117">
        <v>941250931</v>
      </c>
      <c r="H21" s="117">
        <f t="shared" si="0"/>
        <v>25277.981818670105</v>
      </c>
      <c r="I21" s="7"/>
      <c r="J21" s="10">
        <v>5</v>
      </c>
      <c r="K21" s="117">
        <v>4706254</v>
      </c>
      <c r="L21" s="120">
        <f>(K21/C21)</f>
        <v>126.38989150284671</v>
      </c>
      <c r="M21" s="122">
        <f t="shared" si="7"/>
        <v>9412509.3100000005</v>
      </c>
      <c r="N21" s="116">
        <f t="shared" si="8"/>
        <v>4706255.3100000005</v>
      </c>
      <c r="O21" s="123">
        <f t="shared" si="9"/>
        <v>126.38992668385436</v>
      </c>
      <c r="P21" s="5"/>
      <c r="Q21" s="5">
        <f t="shared" si="2"/>
        <v>1</v>
      </c>
      <c r="R21" s="7">
        <f t="shared" si="3"/>
        <v>37236</v>
      </c>
      <c r="S21" s="5">
        <f t="shared" si="4"/>
        <v>1</v>
      </c>
      <c r="T21" s="7">
        <f t="shared" si="5"/>
        <v>37236</v>
      </c>
    </row>
    <row r="22" spans="1:20">
      <c r="A22" s="23" t="s">
        <v>24</v>
      </c>
      <c r="B22" s="35" t="s">
        <v>19</v>
      </c>
      <c r="C22" s="36">
        <v>4554</v>
      </c>
      <c r="D22" s="6"/>
      <c r="E22" s="113">
        <v>768101632</v>
      </c>
      <c r="F22" s="116">
        <f t="shared" si="6"/>
        <v>168665.2683355292</v>
      </c>
      <c r="G22" s="117">
        <v>688358246</v>
      </c>
      <c r="H22" s="117">
        <f t="shared" si="0"/>
        <v>151154.643390426</v>
      </c>
      <c r="I22" s="98" t="s">
        <v>528</v>
      </c>
      <c r="J22" s="12"/>
      <c r="K22" s="117"/>
      <c r="L22" s="120"/>
      <c r="M22" s="122">
        <f t="shared" si="7"/>
        <v>6883582.46</v>
      </c>
      <c r="N22" s="116">
        <f t="shared" si="8"/>
        <v>6883582.46</v>
      </c>
      <c r="O22" s="123">
        <f t="shared" si="9"/>
        <v>1511.5464339042601</v>
      </c>
      <c r="P22" s="5"/>
      <c r="Q22" s="5">
        <f t="shared" si="2"/>
        <v>1</v>
      </c>
      <c r="R22" s="7">
        <f t="shared" si="3"/>
        <v>4554</v>
      </c>
      <c r="S22" s="5">
        <f t="shared" si="4"/>
        <v>0</v>
      </c>
      <c r="T22" s="7">
        <f t="shared" si="5"/>
        <v>0</v>
      </c>
    </row>
    <row r="23" spans="1:20">
      <c r="A23" s="23" t="s">
        <v>25</v>
      </c>
      <c r="B23" s="35" t="s">
        <v>19</v>
      </c>
      <c r="C23" s="36">
        <v>4976</v>
      </c>
      <c r="D23" s="6"/>
      <c r="E23" s="113">
        <v>119839553</v>
      </c>
      <c r="F23" s="116">
        <f t="shared" si="6"/>
        <v>24083.511454983924</v>
      </c>
      <c r="G23" s="117">
        <v>87097296</v>
      </c>
      <c r="H23" s="117">
        <f t="shared" si="0"/>
        <v>17503.475884244373</v>
      </c>
      <c r="I23" s="98" t="s">
        <v>528</v>
      </c>
      <c r="J23" s="12"/>
      <c r="K23" s="117"/>
      <c r="L23" s="120"/>
      <c r="M23" s="122">
        <f t="shared" si="7"/>
        <v>870972.96</v>
      </c>
      <c r="N23" s="116">
        <f t="shared" si="8"/>
        <v>870972.96</v>
      </c>
      <c r="O23" s="123">
        <f t="shared" si="9"/>
        <v>175.03475884244372</v>
      </c>
      <c r="P23" s="5"/>
      <c r="Q23" s="5">
        <f t="shared" si="2"/>
        <v>1</v>
      </c>
      <c r="R23" s="7">
        <f t="shared" si="3"/>
        <v>4976</v>
      </c>
      <c r="S23" s="5">
        <f t="shared" si="4"/>
        <v>0</v>
      </c>
      <c r="T23" s="7">
        <f t="shared" si="5"/>
        <v>0</v>
      </c>
    </row>
    <row r="24" spans="1:20">
      <c r="A24" s="23" t="s">
        <v>26</v>
      </c>
      <c r="B24" s="35" t="s">
        <v>19</v>
      </c>
      <c r="C24" s="36">
        <v>9482</v>
      </c>
      <c r="D24" s="6"/>
      <c r="E24" s="113">
        <v>138811234</v>
      </c>
      <c r="F24" s="116">
        <f t="shared" si="6"/>
        <v>14639.44674119384</v>
      </c>
      <c r="G24" s="117">
        <v>68072215</v>
      </c>
      <c r="H24" s="117">
        <f t="shared" si="0"/>
        <v>7179.0988188145957</v>
      </c>
      <c r="I24" s="98" t="s">
        <v>528</v>
      </c>
      <c r="J24" s="10"/>
      <c r="K24" s="117"/>
      <c r="L24" s="120"/>
      <c r="M24" s="122">
        <f t="shared" si="7"/>
        <v>680722.15</v>
      </c>
      <c r="N24" s="116">
        <f t="shared" si="8"/>
        <v>680722.15</v>
      </c>
      <c r="O24" s="123">
        <f t="shared" si="9"/>
        <v>71.79098818814596</v>
      </c>
      <c r="P24" s="5"/>
      <c r="Q24" s="5">
        <f t="shared" si="2"/>
        <v>1</v>
      </c>
      <c r="R24" s="7">
        <f t="shared" si="3"/>
        <v>9482</v>
      </c>
      <c r="S24" s="5">
        <f t="shared" si="4"/>
        <v>0</v>
      </c>
      <c r="T24" s="7">
        <f t="shared" si="5"/>
        <v>0</v>
      </c>
    </row>
    <row r="25" spans="1:20">
      <c r="A25" s="23" t="s">
        <v>27</v>
      </c>
      <c r="B25" s="35" t="s">
        <v>28</v>
      </c>
      <c r="C25" s="36">
        <v>331</v>
      </c>
      <c r="D25" s="6"/>
      <c r="E25" s="113">
        <v>6597955</v>
      </c>
      <c r="F25" s="116">
        <f t="shared" si="6"/>
        <v>19933.398791540785</v>
      </c>
      <c r="G25" s="117">
        <v>3032707</v>
      </c>
      <c r="H25" s="117">
        <f t="shared" si="0"/>
        <v>9162.2567975830807</v>
      </c>
      <c r="I25" s="7"/>
      <c r="J25" s="10">
        <v>0.53400000000000003</v>
      </c>
      <c r="K25" s="117">
        <v>1619</v>
      </c>
      <c r="L25" s="120">
        <f>(K25/C25)</f>
        <v>4.8912386706948636</v>
      </c>
      <c r="M25" s="122">
        <f t="shared" si="7"/>
        <v>30327.07</v>
      </c>
      <c r="N25" s="116">
        <f t="shared" si="8"/>
        <v>28708.07</v>
      </c>
      <c r="O25" s="123">
        <f t="shared" si="9"/>
        <v>86.731329305135944</v>
      </c>
      <c r="P25" s="5"/>
      <c r="Q25" s="5">
        <f t="shared" si="2"/>
        <v>1</v>
      </c>
      <c r="R25" s="7">
        <f t="shared" si="3"/>
        <v>331</v>
      </c>
      <c r="S25" s="5">
        <f t="shared" si="4"/>
        <v>1</v>
      </c>
      <c r="T25" s="7">
        <f t="shared" si="5"/>
        <v>331</v>
      </c>
    </row>
    <row r="26" spans="1:20">
      <c r="A26" s="23" t="s">
        <v>29</v>
      </c>
      <c r="B26" s="35" t="s">
        <v>28</v>
      </c>
      <c r="C26" s="36">
        <v>312</v>
      </c>
      <c r="D26" s="6"/>
      <c r="E26" s="113">
        <v>5165386</v>
      </c>
      <c r="F26" s="116">
        <f t="shared" si="6"/>
        <v>16555.724358974359</v>
      </c>
      <c r="G26" s="117">
        <v>2483055</v>
      </c>
      <c r="H26" s="117">
        <f t="shared" si="0"/>
        <v>7958.5096153846152</v>
      </c>
      <c r="I26" s="7"/>
      <c r="J26" s="10">
        <v>0.62260000000000004</v>
      </c>
      <c r="K26" s="117">
        <v>1545</v>
      </c>
      <c r="L26" s="120">
        <f>(K26/C26)</f>
        <v>4.9519230769230766</v>
      </c>
      <c r="M26" s="122">
        <f t="shared" si="7"/>
        <v>24830.55</v>
      </c>
      <c r="N26" s="116">
        <f t="shared" si="8"/>
        <v>23285.55</v>
      </c>
      <c r="O26" s="123">
        <f t="shared" si="9"/>
        <v>74.633173076923072</v>
      </c>
      <c r="P26" s="5"/>
      <c r="Q26" s="5">
        <f t="shared" si="2"/>
        <v>1</v>
      </c>
      <c r="R26" s="7">
        <f t="shared" si="3"/>
        <v>312</v>
      </c>
      <c r="S26" s="5">
        <f t="shared" si="4"/>
        <v>1</v>
      </c>
      <c r="T26" s="7">
        <f t="shared" si="5"/>
        <v>312</v>
      </c>
    </row>
    <row r="27" spans="1:20">
      <c r="A27" s="23" t="s">
        <v>30</v>
      </c>
      <c r="B27" s="35" t="s">
        <v>28</v>
      </c>
      <c r="C27" s="36">
        <v>668</v>
      </c>
      <c r="D27" s="6"/>
      <c r="E27" s="113">
        <v>12103139</v>
      </c>
      <c r="F27" s="116">
        <f t="shared" si="6"/>
        <v>18118.471556886227</v>
      </c>
      <c r="G27" s="117">
        <v>6344256</v>
      </c>
      <c r="H27" s="117">
        <f t="shared" si="0"/>
        <v>9497.3892215568867</v>
      </c>
      <c r="I27" s="7"/>
      <c r="J27" s="11">
        <v>2.2610000000000001</v>
      </c>
      <c r="K27" s="117">
        <v>14344</v>
      </c>
      <c r="L27" s="120">
        <f>(K27/C27)</f>
        <v>21.473053892215567</v>
      </c>
      <c r="M27" s="122">
        <f t="shared" si="7"/>
        <v>63442.560000000005</v>
      </c>
      <c r="N27" s="116">
        <f t="shared" si="8"/>
        <v>49098.560000000005</v>
      </c>
      <c r="O27" s="123">
        <f t="shared" si="9"/>
        <v>73.500838323353307</v>
      </c>
      <c r="P27" s="5"/>
      <c r="Q27" s="5">
        <f t="shared" si="2"/>
        <v>1</v>
      </c>
      <c r="R27" s="7">
        <f t="shared" si="3"/>
        <v>668</v>
      </c>
      <c r="S27" s="5">
        <f t="shared" si="4"/>
        <v>1</v>
      </c>
      <c r="T27" s="7">
        <f t="shared" si="5"/>
        <v>668</v>
      </c>
    </row>
    <row r="28" spans="1:20">
      <c r="A28" s="23" t="s">
        <v>31</v>
      </c>
      <c r="B28" s="35" t="s">
        <v>28</v>
      </c>
      <c r="C28" s="36">
        <v>5163</v>
      </c>
      <c r="D28" s="6"/>
      <c r="E28" s="113">
        <v>197881190</v>
      </c>
      <c r="F28" s="116">
        <f t="shared" si="6"/>
        <v>38326.78481503002</v>
      </c>
      <c r="G28" s="117">
        <v>105031994</v>
      </c>
      <c r="H28" s="117">
        <f t="shared" si="0"/>
        <v>20343.210149138096</v>
      </c>
      <c r="I28" s="7"/>
      <c r="J28" s="11">
        <v>3.8620000000000001</v>
      </c>
      <c r="K28" s="117">
        <v>405633</v>
      </c>
      <c r="L28" s="120">
        <f>(K28/C28)</f>
        <v>78.565368971528187</v>
      </c>
      <c r="M28" s="122">
        <f t="shared" si="7"/>
        <v>1050319.94</v>
      </c>
      <c r="N28" s="116">
        <f t="shared" si="8"/>
        <v>644686.93999999994</v>
      </c>
      <c r="O28" s="123">
        <f t="shared" si="9"/>
        <v>124.86673251985279</v>
      </c>
      <c r="P28" s="5"/>
      <c r="Q28" s="5">
        <f t="shared" si="2"/>
        <v>1</v>
      </c>
      <c r="R28" s="7">
        <f t="shared" si="3"/>
        <v>5163</v>
      </c>
      <c r="S28" s="5">
        <f t="shared" si="4"/>
        <v>1</v>
      </c>
      <c r="T28" s="7">
        <f t="shared" si="5"/>
        <v>5163</v>
      </c>
    </row>
    <row r="29" spans="1:20">
      <c r="A29" s="23" t="s">
        <v>32</v>
      </c>
      <c r="B29" s="35" t="s">
        <v>33</v>
      </c>
      <c r="C29" s="36">
        <v>8375</v>
      </c>
      <c r="D29" s="6"/>
      <c r="E29" s="113">
        <v>398631166</v>
      </c>
      <c r="F29" s="116">
        <f t="shared" si="6"/>
        <v>47597.751164179106</v>
      </c>
      <c r="G29" s="117">
        <v>344184916</v>
      </c>
      <c r="H29" s="117">
        <f t="shared" si="0"/>
        <v>41096.706388059698</v>
      </c>
      <c r="I29" s="98" t="s">
        <v>528</v>
      </c>
      <c r="J29" s="11"/>
      <c r="K29" s="117"/>
      <c r="L29" s="120"/>
      <c r="M29" s="122">
        <f t="shared" si="7"/>
        <v>3441849.16</v>
      </c>
      <c r="N29" s="116">
        <f t="shared" si="8"/>
        <v>3441849.16</v>
      </c>
      <c r="O29" s="123">
        <f t="shared" si="9"/>
        <v>410.96706388059704</v>
      </c>
      <c r="P29" s="5"/>
      <c r="Q29" s="5">
        <f t="shared" si="2"/>
        <v>1</v>
      </c>
      <c r="R29" s="7">
        <f t="shared" si="3"/>
        <v>8375</v>
      </c>
      <c r="S29" s="5">
        <f t="shared" si="4"/>
        <v>0</v>
      </c>
      <c r="T29" s="7">
        <f t="shared" si="5"/>
        <v>0</v>
      </c>
    </row>
    <row r="30" spans="1:20">
      <c r="A30" s="23" t="s">
        <v>34</v>
      </c>
      <c r="B30" s="35" t="s">
        <v>33</v>
      </c>
      <c r="C30" s="36">
        <v>17874</v>
      </c>
      <c r="D30" s="6"/>
      <c r="E30" s="113">
        <v>567727458</v>
      </c>
      <c r="F30" s="116">
        <f t="shared" si="6"/>
        <v>31762.753608593488</v>
      </c>
      <c r="G30" s="117">
        <v>334139608</v>
      </c>
      <c r="H30" s="117">
        <f t="shared" si="0"/>
        <v>18694.170750811234</v>
      </c>
      <c r="I30" s="7"/>
      <c r="J30" s="10">
        <v>4.2</v>
      </c>
      <c r="K30" s="117">
        <v>1403386</v>
      </c>
      <c r="L30" s="120">
        <f t="shared" ref="L30:L38" si="10">(K30/C30)</f>
        <v>78.515497370482265</v>
      </c>
      <c r="M30" s="122">
        <f t="shared" si="7"/>
        <v>3341396.08</v>
      </c>
      <c r="N30" s="116">
        <f t="shared" si="8"/>
        <v>1938010.08</v>
      </c>
      <c r="O30" s="123">
        <f t="shared" si="9"/>
        <v>108.42621013763008</v>
      </c>
      <c r="P30" s="5"/>
      <c r="Q30" s="5">
        <f t="shared" si="2"/>
        <v>1</v>
      </c>
      <c r="R30" s="7">
        <f t="shared" si="3"/>
        <v>17874</v>
      </c>
      <c r="S30" s="5">
        <f t="shared" si="4"/>
        <v>1</v>
      </c>
      <c r="T30" s="7">
        <f t="shared" si="5"/>
        <v>17874</v>
      </c>
    </row>
    <row r="31" spans="1:20">
      <c r="A31" s="23" t="s">
        <v>35</v>
      </c>
      <c r="B31" s="35" t="s">
        <v>33</v>
      </c>
      <c r="C31" s="36">
        <v>12794</v>
      </c>
      <c r="D31" s="6"/>
      <c r="E31" s="113">
        <v>1029333777</v>
      </c>
      <c r="F31" s="116">
        <f t="shared" si="6"/>
        <v>80454.414334844463</v>
      </c>
      <c r="G31" s="117">
        <v>815479297</v>
      </c>
      <c r="H31" s="117">
        <f t="shared" si="0"/>
        <v>63739.197827106458</v>
      </c>
      <c r="I31" s="7"/>
      <c r="J31" s="10">
        <v>4.9184000000000001</v>
      </c>
      <c r="K31" s="117">
        <v>4010853</v>
      </c>
      <c r="L31" s="120">
        <f t="shared" si="10"/>
        <v>313.49484133187434</v>
      </c>
      <c r="M31" s="122">
        <f t="shared" si="7"/>
        <v>8154792.9699999997</v>
      </c>
      <c r="N31" s="116">
        <f t="shared" si="8"/>
        <v>4143939.9699999997</v>
      </c>
      <c r="O31" s="123">
        <f t="shared" si="9"/>
        <v>323.8971369391902</v>
      </c>
      <c r="P31" s="5"/>
      <c r="Q31" s="5">
        <f t="shared" si="2"/>
        <v>1</v>
      </c>
      <c r="R31" s="7">
        <f t="shared" si="3"/>
        <v>12794</v>
      </c>
      <c r="S31" s="5">
        <f t="shared" si="4"/>
        <v>1</v>
      </c>
      <c r="T31" s="7">
        <f t="shared" si="5"/>
        <v>12794</v>
      </c>
    </row>
    <row r="32" spans="1:20">
      <c r="A32" s="23" t="s">
        <v>36</v>
      </c>
      <c r="B32" s="35" t="s">
        <v>33</v>
      </c>
      <c r="C32" s="36">
        <v>2938</v>
      </c>
      <c r="D32" s="6"/>
      <c r="E32" s="113">
        <v>177606487</v>
      </c>
      <c r="F32" s="116">
        <f t="shared" si="6"/>
        <v>60451.493192648057</v>
      </c>
      <c r="G32" s="117">
        <v>146022487</v>
      </c>
      <c r="H32" s="117">
        <f t="shared" si="0"/>
        <v>49701.323008849555</v>
      </c>
      <c r="I32" s="7"/>
      <c r="J32" s="10">
        <v>4.9954999999999998</v>
      </c>
      <c r="K32" s="117">
        <v>729455</v>
      </c>
      <c r="L32" s="120">
        <f t="shared" si="10"/>
        <v>248.28284547311097</v>
      </c>
      <c r="M32" s="122">
        <f t="shared" si="7"/>
        <v>1460224.87</v>
      </c>
      <c r="N32" s="116">
        <f t="shared" si="8"/>
        <v>730769.87000000011</v>
      </c>
      <c r="O32" s="123">
        <f t="shared" si="9"/>
        <v>248.73038461538465</v>
      </c>
      <c r="P32" s="5"/>
      <c r="Q32" s="5">
        <f t="shared" si="2"/>
        <v>1</v>
      </c>
      <c r="R32" s="7">
        <f t="shared" si="3"/>
        <v>2938</v>
      </c>
      <c r="S32" s="5">
        <f t="shared" si="4"/>
        <v>1</v>
      </c>
      <c r="T32" s="7">
        <f t="shared" si="5"/>
        <v>2938</v>
      </c>
    </row>
    <row r="33" spans="1:20">
      <c r="A33" s="23" t="s">
        <v>37</v>
      </c>
      <c r="B33" s="35" t="s">
        <v>33</v>
      </c>
      <c r="C33" s="36">
        <v>7579</v>
      </c>
      <c r="D33" s="6"/>
      <c r="E33" s="113">
        <v>401603770</v>
      </c>
      <c r="F33" s="116">
        <f t="shared" si="6"/>
        <v>52989.018340150418</v>
      </c>
      <c r="G33" s="117">
        <v>326925940</v>
      </c>
      <c r="H33" s="117">
        <f t="shared" si="0"/>
        <v>43135.761973875182</v>
      </c>
      <c r="I33" s="7"/>
      <c r="J33" s="10">
        <v>3.4346000000000001</v>
      </c>
      <c r="K33" s="117">
        <v>1122859</v>
      </c>
      <c r="L33" s="120">
        <f t="shared" si="10"/>
        <v>148.15397809737433</v>
      </c>
      <c r="M33" s="122">
        <f t="shared" si="7"/>
        <v>3269259.4</v>
      </c>
      <c r="N33" s="116">
        <f t="shared" si="8"/>
        <v>2146400.4</v>
      </c>
      <c r="O33" s="123">
        <f t="shared" si="9"/>
        <v>283.20364164137749</v>
      </c>
      <c r="P33" s="5"/>
      <c r="Q33" s="5">
        <f t="shared" si="2"/>
        <v>1</v>
      </c>
      <c r="R33" s="7">
        <f t="shared" si="3"/>
        <v>7579</v>
      </c>
      <c r="S33" s="5">
        <f t="shared" si="4"/>
        <v>1</v>
      </c>
      <c r="T33" s="7">
        <f t="shared" si="5"/>
        <v>7579</v>
      </c>
    </row>
    <row r="34" spans="1:20">
      <c r="A34" s="23" t="s">
        <v>38</v>
      </c>
      <c r="B34" s="35" t="s">
        <v>33</v>
      </c>
      <c r="C34" s="36">
        <v>2364</v>
      </c>
      <c r="D34" s="6"/>
      <c r="E34" s="113">
        <v>146048124</v>
      </c>
      <c r="F34" s="116">
        <f t="shared" si="6"/>
        <v>61780.086294416244</v>
      </c>
      <c r="G34" s="117">
        <v>116141184</v>
      </c>
      <c r="H34" s="117">
        <f t="shared" si="0"/>
        <v>49129.096446700511</v>
      </c>
      <c r="I34" s="7"/>
      <c r="J34" s="10">
        <v>1.2704</v>
      </c>
      <c r="K34" s="117">
        <v>147545</v>
      </c>
      <c r="L34" s="120">
        <f t="shared" si="10"/>
        <v>62.413282571912013</v>
      </c>
      <c r="M34" s="122">
        <f t="shared" si="7"/>
        <v>1161411.8400000001</v>
      </c>
      <c r="N34" s="116">
        <f t="shared" si="8"/>
        <v>1013866.8400000001</v>
      </c>
      <c r="O34" s="123">
        <f t="shared" si="9"/>
        <v>428.87768189509308</v>
      </c>
      <c r="P34" s="5"/>
      <c r="Q34" s="5">
        <f t="shared" si="2"/>
        <v>1</v>
      </c>
      <c r="R34" s="7">
        <f t="shared" si="3"/>
        <v>2364</v>
      </c>
      <c r="S34" s="5">
        <f t="shared" si="4"/>
        <v>1</v>
      </c>
      <c r="T34" s="7">
        <f t="shared" si="5"/>
        <v>2364</v>
      </c>
    </row>
    <row r="35" spans="1:20">
      <c r="A35" s="23" t="s">
        <v>39</v>
      </c>
      <c r="B35" s="35" t="s">
        <v>33</v>
      </c>
      <c r="C35" s="36">
        <v>66970</v>
      </c>
      <c r="D35" s="6"/>
      <c r="E35" s="113">
        <v>2949374109</v>
      </c>
      <c r="F35" s="116">
        <f t="shared" si="6"/>
        <v>44040.228594893233</v>
      </c>
      <c r="G35" s="117">
        <v>1973745513</v>
      </c>
      <c r="H35" s="117">
        <f t="shared" si="0"/>
        <v>29472.084709571449</v>
      </c>
      <c r="I35" s="7"/>
      <c r="J35" s="10">
        <v>4.1605999999999996</v>
      </c>
      <c r="K35" s="117">
        <v>8211965</v>
      </c>
      <c r="L35" s="120">
        <f t="shared" si="10"/>
        <v>122.62154696132596</v>
      </c>
      <c r="M35" s="122">
        <f t="shared" si="7"/>
        <v>19737455.129999999</v>
      </c>
      <c r="N35" s="116">
        <f t="shared" si="8"/>
        <v>11525490.129999999</v>
      </c>
      <c r="O35" s="123">
        <f t="shared" si="9"/>
        <v>172.09930013438853</v>
      </c>
      <c r="P35" s="5"/>
      <c r="Q35" s="5">
        <f t="shared" si="2"/>
        <v>1</v>
      </c>
      <c r="R35" s="7">
        <f t="shared" si="3"/>
        <v>66970</v>
      </c>
      <c r="S35" s="5">
        <f t="shared" si="4"/>
        <v>1</v>
      </c>
      <c r="T35" s="7">
        <f t="shared" si="5"/>
        <v>66970</v>
      </c>
    </row>
    <row r="36" spans="1:20">
      <c r="A36" s="23" t="s">
        <v>40</v>
      </c>
      <c r="B36" s="35" t="s">
        <v>33</v>
      </c>
      <c r="C36" s="36">
        <v>3198</v>
      </c>
      <c r="D36" s="6"/>
      <c r="E36" s="113">
        <v>188948935</v>
      </c>
      <c r="F36" s="116">
        <f t="shared" si="6"/>
        <v>59083.469355847403</v>
      </c>
      <c r="G36" s="117">
        <v>151659675</v>
      </c>
      <c r="H36" s="117">
        <f t="shared" si="0"/>
        <v>47423.287992495309</v>
      </c>
      <c r="I36" s="7"/>
      <c r="J36" s="10">
        <v>3.5943999999999998</v>
      </c>
      <c r="K36" s="117">
        <v>545125</v>
      </c>
      <c r="L36" s="120">
        <f t="shared" si="10"/>
        <v>170.45809881175734</v>
      </c>
      <c r="M36" s="122">
        <f t="shared" si="7"/>
        <v>1516596.75</v>
      </c>
      <c r="N36" s="116">
        <f t="shared" si="8"/>
        <v>971471.75</v>
      </c>
      <c r="O36" s="123">
        <f t="shared" si="9"/>
        <v>303.77478111319573</v>
      </c>
      <c r="P36" s="5"/>
      <c r="Q36" s="5">
        <f t="shared" si="2"/>
        <v>1</v>
      </c>
      <c r="R36" s="7">
        <f t="shared" si="3"/>
        <v>3198</v>
      </c>
      <c r="S36" s="5">
        <f t="shared" si="4"/>
        <v>1</v>
      </c>
      <c r="T36" s="7">
        <f t="shared" si="5"/>
        <v>3198</v>
      </c>
    </row>
    <row r="37" spans="1:20">
      <c r="A37" s="23" t="s">
        <v>41</v>
      </c>
      <c r="B37" s="35" t="s">
        <v>33</v>
      </c>
      <c r="C37" s="36">
        <v>612</v>
      </c>
      <c r="D37" s="6"/>
      <c r="E37" s="113">
        <v>35991694</v>
      </c>
      <c r="F37" s="116">
        <f t="shared" si="6"/>
        <v>58809.957516339869</v>
      </c>
      <c r="G37" s="117">
        <v>28920344</v>
      </c>
      <c r="H37" s="117">
        <f t="shared" si="0"/>
        <v>47255.464052287585</v>
      </c>
      <c r="I37" s="7"/>
      <c r="J37" s="10">
        <v>3.2124999999999999</v>
      </c>
      <c r="K37" s="117">
        <v>92906</v>
      </c>
      <c r="L37" s="120">
        <f t="shared" si="10"/>
        <v>151.80718954248366</v>
      </c>
      <c r="M37" s="122">
        <f t="shared" si="7"/>
        <v>289203.44</v>
      </c>
      <c r="N37" s="116">
        <f t="shared" si="8"/>
        <v>196297.44</v>
      </c>
      <c r="O37" s="123">
        <f t="shared" si="9"/>
        <v>320.74745098039216</v>
      </c>
      <c r="P37" s="5"/>
      <c r="Q37" s="5">
        <f t="shared" si="2"/>
        <v>1</v>
      </c>
      <c r="R37" s="7">
        <f t="shared" si="3"/>
        <v>612</v>
      </c>
      <c r="S37" s="5">
        <f t="shared" si="4"/>
        <v>1</v>
      </c>
      <c r="T37" s="7">
        <f t="shared" si="5"/>
        <v>612</v>
      </c>
    </row>
    <row r="38" spans="1:20">
      <c r="A38" s="23" t="s">
        <v>42</v>
      </c>
      <c r="B38" s="35" t="s">
        <v>33</v>
      </c>
      <c r="C38" s="36">
        <v>74395</v>
      </c>
      <c r="D38" s="6"/>
      <c r="E38" s="113">
        <v>2411577795</v>
      </c>
      <c r="F38" s="116">
        <f t="shared" si="6"/>
        <v>32415.858525438536</v>
      </c>
      <c r="G38" s="117">
        <v>1741620686</v>
      </c>
      <c r="H38" s="117">
        <f t="shared" ref="H38:H69" si="11">(G38/C38)</f>
        <v>23410.453471335441</v>
      </c>
      <c r="I38" s="7"/>
      <c r="J38" s="10">
        <v>3.2942</v>
      </c>
      <c r="K38" s="117">
        <v>5737246</v>
      </c>
      <c r="L38" s="120">
        <f t="shared" si="10"/>
        <v>77.118704213992871</v>
      </c>
      <c r="M38" s="122">
        <f t="shared" si="7"/>
        <v>17416206.859999999</v>
      </c>
      <c r="N38" s="116">
        <f t="shared" si="8"/>
        <v>11678960.859999999</v>
      </c>
      <c r="O38" s="123">
        <f t="shared" si="9"/>
        <v>156.9858304993615</v>
      </c>
      <c r="P38" s="5"/>
      <c r="Q38" s="5">
        <f t="shared" si="2"/>
        <v>1</v>
      </c>
      <c r="R38" s="7">
        <f t="shared" si="3"/>
        <v>74395</v>
      </c>
      <c r="S38" s="5">
        <f t="shared" si="4"/>
        <v>1</v>
      </c>
      <c r="T38" s="7">
        <f t="shared" si="5"/>
        <v>74395</v>
      </c>
    </row>
    <row r="39" spans="1:20">
      <c r="A39" s="23" t="s">
        <v>43</v>
      </c>
      <c r="B39" s="35" t="s">
        <v>33</v>
      </c>
      <c r="C39" s="36">
        <v>578</v>
      </c>
      <c r="D39" s="6"/>
      <c r="E39" s="113">
        <v>26961019</v>
      </c>
      <c r="F39" s="116">
        <f t="shared" si="6"/>
        <v>46645.361591695502</v>
      </c>
      <c r="G39" s="117">
        <v>22276549</v>
      </c>
      <c r="H39" s="117">
        <f t="shared" si="11"/>
        <v>38540.742214532875</v>
      </c>
      <c r="I39" s="98" t="s">
        <v>528</v>
      </c>
      <c r="J39" s="10"/>
      <c r="K39" s="117"/>
      <c r="L39" s="120"/>
      <c r="M39" s="122">
        <f t="shared" si="7"/>
        <v>222765.49</v>
      </c>
      <c r="N39" s="116">
        <f t="shared" si="8"/>
        <v>222765.49</v>
      </c>
      <c r="O39" s="123">
        <f t="shared" si="9"/>
        <v>385.40742214532872</v>
      </c>
      <c r="P39" s="5"/>
      <c r="Q39" s="5">
        <f t="shared" si="2"/>
        <v>1</v>
      </c>
      <c r="R39" s="7">
        <f t="shared" si="3"/>
        <v>578</v>
      </c>
      <c r="S39" s="5">
        <f t="shared" si="4"/>
        <v>0</v>
      </c>
      <c r="T39" s="7">
        <f t="shared" si="5"/>
        <v>0</v>
      </c>
    </row>
    <row r="40" spans="1:20">
      <c r="A40" s="23" t="s">
        <v>44</v>
      </c>
      <c r="B40" s="35" t="s">
        <v>33</v>
      </c>
      <c r="C40" s="36">
        <v>18434</v>
      </c>
      <c r="D40" s="6"/>
      <c r="E40" s="113">
        <v>745600045</v>
      </c>
      <c r="F40" s="116">
        <f t="shared" si="6"/>
        <v>40447.002549636542</v>
      </c>
      <c r="G40" s="117">
        <v>509024805</v>
      </c>
      <c r="H40" s="117">
        <f t="shared" si="11"/>
        <v>27613.366876423999</v>
      </c>
      <c r="I40" s="7"/>
      <c r="J40" s="10">
        <v>5.29</v>
      </c>
      <c r="K40" s="117">
        <v>2692741</v>
      </c>
      <c r="L40" s="120">
        <f>(K40/C40)</f>
        <v>146.07469892589779</v>
      </c>
      <c r="M40" s="122">
        <f t="shared" si="7"/>
        <v>5090248.05</v>
      </c>
      <c r="N40" s="116">
        <f t="shared" si="8"/>
        <v>2397507.0499999998</v>
      </c>
      <c r="O40" s="123">
        <f t="shared" si="9"/>
        <v>130.05896983834219</v>
      </c>
      <c r="P40" s="5"/>
      <c r="Q40" s="5">
        <f t="shared" si="2"/>
        <v>1</v>
      </c>
      <c r="R40" s="7">
        <f t="shared" si="3"/>
        <v>18434</v>
      </c>
      <c r="S40" s="5">
        <f t="shared" si="4"/>
        <v>1</v>
      </c>
      <c r="T40" s="7">
        <f t="shared" si="5"/>
        <v>18434</v>
      </c>
    </row>
    <row r="41" spans="1:20">
      <c r="A41" s="23" t="s">
        <v>45</v>
      </c>
      <c r="B41" s="35" t="s">
        <v>33</v>
      </c>
      <c r="C41" s="36">
        <v>10106</v>
      </c>
      <c r="D41" s="6"/>
      <c r="E41" s="113">
        <v>458582864</v>
      </c>
      <c r="F41" s="116">
        <f t="shared" si="6"/>
        <v>45377.287156144863</v>
      </c>
      <c r="G41" s="117">
        <v>348025254</v>
      </c>
      <c r="H41" s="117">
        <f t="shared" si="11"/>
        <v>34437.488026914703</v>
      </c>
      <c r="I41" s="7"/>
      <c r="J41" s="10">
        <v>5.8209999999999997</v>
      </c>
      <c r="K41" s="121">
        <v>2025855</v>
      </c>
      <c r="L41" s="120">
        <f>(K41/C41)</f>
        <v>200.46061745497724</v>
      </c>
      <c r="M41" s="122">
        <f t="shared" si="7"/>
        <v>3480252.54</v>
      </c>
      <c r="N41" s="116">
        <f t="shared" si="8"/>
        <v>1454397.54</v>
      </c>
      <c r="O41" s="123">
        <f t="shared" si="9"/>
        <v>143.9142628141698</v>
      </c>
      <c r="P41" s="5"/>
      <c r="Q41" s="5">
        <f t="shared" si="2"/>
        <v>1</v>
      </c>
      <c r="R41" s="7">
        <f t="shared" si="3"/>
        <v>10106</v>
      </c>
      <c r="S41" s="5">
        <f t="shared" si="4"/>
        <v>1</v>
      </c>
      <c r="T41" s="7">
        <f t="shared" si="5"/>
        <v>10106</v>
      </c>
    </row>
    <row r="42" spans="1:20">
      <c r="A42" s="23" t="s">
        <v>46</v>
      </c>
      <c r="B42" s="35" t="s">
        <v>33</v>
      </c>
      <c r="C42" s="36">
        <v>41321</v>
      </c>
      <c r="D42" s="6"/>
      <c r="E42" s="113">
        <v>1424448341</v>
      </c>
      <c r="F42" s="116">
        <f t="shared" si="6"/>
        <v>34472.746085525519</v>
      </c>
      <c r="G42" s="117">
        <v>961914902</v>
      </c>
      <c r="H42" s="117">
        <f t="shared" si="11"/>
        <v>23279.080903172722</v>
      </c>
      <c r="I42" s="7"/>
      <c r="J42" s="10">
        <v>4.2744999999999997</v>
      </c>
      <c r="K42" s="117">
        <v>4111705</v>
      </c>
      <c r="L42" s="120">
        <f>(K42/C42)</f>
        <v>99.506425304324679</v>
      </c>
      <c r="M42" s="122">
        <f t="shared" si="7"/>
        <v>9619149.0199999996</v>
      </c>
      <c r="N42" s="116">
        <f t="shared" si="8"/>
        <v>5507444.0199999996</v>
      </c>
      <c r="O42" s="123">
        <f t="shared" si="9"/>
        <v>133.28438372740251</v>
      </c>
      <c r="P42" s="5"/>
      <c r="Q42" s="5">
        <f t="shared" si="2"/>
        <v>1</v>
      </c>
      <c r="R42" s="7">
        <f t="shared" si="3"/>
        <v>41321</v>
      </c>
      <c r="S42" s="5">
        <f t="shared" si="4"/>
        <v>1</v>
      </c>
      <c r="T42" s="7">
        <f t="shared" si="5"/>
        <v>41321</v>
      </c>
    </row>
    <row r="43" spans="1:20">
      <c r="A43" s="23" t="s">
        <v>47</v>
      </c>
      <c r="B43" s="35" t="s">
        <v>33</v>
      </c>
      <c r="C43" s="36">
        <v>9171</v>
      </c>
      <c r="D43" s="6"/>
      <c r="E43" s="113">
        <v>447811234</v>
      </c>
      <c r="F43" s="116">
        <f t="shared" si="6"/>
        <v>48829.051793697523</v>
      </c>
      <c r="G43" s="117">
        <v>340866444</v>
      </c>
      <c r="H43" s="117">
        <f t="shared" si="11"/>
        <v>37167.859993457641</v>
      </c>
      <c r="I43" s="98" t="s">
        <v>528</v>
      </c>
      <c r="J43" s="10"/>
      <c r="K43" s="117"/>
      <c r="L43" s="120"/>
      <c r="M43" s="122">
        <f t="shared" si="7"/>
        <v>3408664.44</v>
      </c>
      <c r="N43" s="116">
        <f t="shared" si="8"/>
        <v>3408664.44</v>
      </c>
      <c r="O43" s="123">
        <f t="shared" si="9"/>
        <v>371.67859993457637</v>
      </c>
      <c r="P43" s="5"/>
      <c r="Q43" s="5">
        <f t="shared" si="2"/>
        <v>1</v>
      </c>
      <c r="R43" s="7">
        <f t="shared" si="3"/>
        <v>9171</v>
      </c>
      <c r="S43" s="5">
        <f t="shared" si="4"/>
        <v>0</v>
      </c>
      <c r="T43" s="7">
        <f t="shared" si="5"/>
        <v>0</v>
      </c>
    </row>
    <row r="44" spans="1:20">
      <c r="A44" s="23" t="s">
        <v>48</v>
      </c>
      <c r="B44" s="35" t="s">
        <v>49</v>
      </c>
      <c r="C44" s="36">
        <v>34528</v>
      </c>
      <c r="D44" s="6"/>
      <c r="E44" s="113">
        <v>1539539428</v>
      </c>
      <c r="F44" s="116">
        <f t="shared" si="6"/>
        <v>44588.143767377202</v>
      </c>
      <c r="G44" s="117">
        <v>1123623870</v>
      </c>
      <c r="H44" s="117">
        <f t="shared" si="11"/>
        <v>32542.396605653383</v>
      </c>
      <c r="I44" s="7"/>
      <c r="J44" s="11">
        <v>4.6573000000000002</v>
      </c>
      <c r="K44" s="117">
        <v>5233053</v>
      </c>
      <c r="L44" s="120">
        <f t="shared" ref="L44:L71" si="12">(K44/C44)</f>
        <v>151.55969068582021</v>
      </c>
      <c r="M44" s="122">
        <f t="shared" si="7"/>
        <v>11236238.700000001</v>
      </c>
      <c r="N44" s="116">
        <f t="shared" si="8"/>
        <v>6003185.7000000011</v>
      </c>
      <c r="O44" s="123">
        <f t="shared" si="9"/>
        <v>173.86427537071364</v>
      </c>
      <c r="P44" s="5"/>
      <c r="Q44" s="5">
        <f t="shared" si="2"/>
        <v>1</v>
      </c>
      <c r="R44" s="7">
        <f t="shared" si="3"/>
        <v>34528</v>
      </c>
      <c r="S44" s="5">
        <f t="shared" si="4"/>
        <v>1</v>
      </c>
      <c r="T44" s="7">
        <f t="shared" si="5"/>
        <v>34528</v>
      </c>
    </row>
    <row r="45" spans="1:20">
      <c r="A45" s="23" t="s">
        <v>50</v>
      </c>
      <c r="B45" s="35" t="s">
        <v>49</v>
      </c>
      <c r="C45" s="36">
        <v>27686</v>
      </c>
      <c r="D45" s="6"/>
      <c r="E45" s="113">
        <v>1220791296</v>
      </c>
      <c r="F45" s="116">
        <f t="shared" si="6"/>
        <v>44094.173806255872</v>
      </c>
      <c r="G45" s="117">
        <v>923388542</v>
      </c>
      <c r="H45" s="117">
        <f t="shared" si="11"/>
        <v>33352.183125045151</v>
      </c>
      <c r="I45" s="7"/>
      <c r="J45" s="10">
        <v>4.9569999999999999</v>
      </c>
      <c r="K45" s="117">
        <v>4577237</v>
      </c>
      <c r="L45" s="120">
        <f t="shared" si="12"/>
        <v>165.32677165354332</v>
      </c>
      <c r="M45" s="122">
        <f t="shared" si="7"/>
        <v>9233885.4199999999</v>
      </c>
      <c r="N45" s="116">
        <f t="shared" si="8"/>
        <v>4656648.42</v>
      </c>
      <c r="O45" s="123">
        <f t="shared" si="9"/>
        <v>168.19505959690818</v>
      </c>
      <c r="P45" s="5"/>
      <c r="Q45" s="5">
        <f t="shared" si="2"/>
        <v>1</v>
      </c>
      <c r="R45" s="7">
        <f t="shared" si="3"/>
        <v>27686</v>
      </c>
      <c r="S45" s="5">
        <f t="shared" si="4"/>
        <v>1</v>
      </c>
      <c r="T45" s="7">
        <f t="shared" si="5"/>
        <v>27686</v>
      </c>
    </row>
    <row r="46" spans="1:20">
      <c r="A46" s="23" t="s">
        <v>51</v>
      </c>
      <c r="B46" s="35" t="s">
        <v>49</v>
      </c>
      <c r="C46" s="36">
        <v>98553</v>
      </c>
      <c r="D46" s="6"/>
      <c r="E46" s="113">
        <v>4574026579</v>
      </c>
      <c r="F46" s="116">
        <f t="shared" si="6"/>
        <v>46411.845189897824</v>
      </c>
      <c r="G46" s="117">
        <v>3844437162</v>
      </c>
      <c r="H46" s="117">
        <f t="shared" si="11"/>
        <v>39008.829381145173</v>
      </c>
      <c r="I46" s="7"/>
      <c r="J46" s="10">
        <v>3.4011</v>
      </c>
      <c r="K46" s="117">
        <v>13075315</v>
      </c>
      <c r="L46" s="120">
        <f t="shared" si="12"/>
        <v>132.67292725741478</v>
      </c>
      <c r="M46" s="122">
        <f t="shared" si="7"/>
        <v>38444371.619999997</v>
      </c>
      <c r="N46" s="116">
        <f t="shared" si="8"/>
        <v>25369056.619999997</v>
      </c>
      <c r="O46" s="123">
        <f t="shared" si="9"/>
        <v>257.41536655403689</v>
      </c>
      <c r="P46" s="5"/>
      <c r="Q46" s="5">
        <f t="shared" si="2"/>
        <v>1</v>
      </c>
      <c r="R46" s="7">
        <f t="shared" si="3"/>
        <v>98553</v>
      </c>
      <c r="S46" s="5">
        <f t="shared" si="4"/>
        <v>1</v>
      </c>
      <c r="T46" s="7">
        <f t="shared" si="5"/>
        <v>98553</v>
      </c>
    </row>
    <row r="47" spans="1:20">
      <c r="A47" s="23" t="s">
        <v>464</v>
      </c>
      <c r="B47" s="35" t="s">
        <v>49</v>
      </c>
      <c r="C47" s="36">
        <v>17320</v>
      </c>
      <c r="D47" s="6"/>
      <c r="E47" s="113">
        <v>1049325312</v>
      </c>
      <c r="F47" s="116">
        <f t="shared" si="6"/>
        <v>60584.602309468821</v>
      </c>
      <c r="G47" s="117">
        <v>838821353</v>
      </c>
      <c r="H47" s="117">
        <f t="shared" si="11"/>
        <v>48430.794053117781</v>
      </c>
      <c r="I47" s="7"/>
      <c r="J47" s="10">
        <v>5.8</v>
      </c>
      <c r="K47" s="117">
        <v>4865163</v>
      </c>
      <c r="L47" s="120">
        <f t="shared" si="12"/>
        <v>280.89855658198616</v>
      </c>
      <c r="M47" s="122">
        <f t="shared" si="7"/>
        <v>8388213.5300000003</v>
      </c>
      <c r="N47" s="116">
        <f t="shared" si="8"/>
        <v>3523050.5300000003</v>
      </c>
      <c r="O47" s="123">
        <f t="shared" si="9"/>
        <v>203.40938394919169</v>
      </c>
      <c r="P47" s="5"/>
      <c r="Q47" s="5">
        <f t="shared" si="2"/>
        <v>1</v>
      </c>
      <c r="R47" s="7">
        <f t="shared" si="3"/>
        <v>17320</v>
      </c>
      <c r="S47" s="5">
        <f t="shared" si="4"/>
        <v>1</v>
      </c>
      <c r="T47" s="7">
        <f t="shared" si="5"/>
        <v>17320</v>
      </c>
    </row>
    <row r="48" spans="1:20">
      <c r="A48" s="23" t="s">
        <v>52</v>
      </c>
      <c r="B48" s="35" t="s">
        <v>49</v>
      </c>
      <c r="C48" s="36">
        <v>59393</v>
      </c>
      <c r="D48" s="6"/>
      <c r="E48" s="113">
        <v>2966915435</v>
      </c>
      <c r="F48" s="116">
        <f t="shared" si="6"/>
        <v>49953.958126378529</v>
      </c>
      <c r="G48" s="117">
        <v>2237742303</v>
      </c>
      <c r="H48" s="117">
        <f t="shared" si="11"/>
        <v>37676.869378546297</v>
      </c>
      <c r="I48" s="7"/>
      <c r="J48" s="11">
        <v>5.1086</v>
      </c>
      <c r="K48" s="117">
        <v>11431730</v>
      </c>
      <c r="L48" s="120">
        <f t="shared" si="12"/>
        <v>192.47604936608693</v>
      </c>
      <c r="M48" s="122">
        <f t="shared" si="7"/>
        <v>22377423.030000001</v>
      </c>
      <c r="N48" s="116">
        <f t="shared" si="8"/>
        <v>10945693.030000001</v>
      </c>
      <c r="O48" s="123">
        <f t="shared" si="9"/>
        <v>184.29264441937605</v>
      </c>
      <c r="P48" s="5"/>
      <c r="Q48" s="5">
        <f t="shared" si="2"/>
        <v>1</v>
      </c>
      <c r="R48" s="7">
        <f t="shared" si="3"/>
        <v>59393</v>
      </c>
      <c r="S48" s="5">
        <f t="shared" si="4"/>
        <v>1</v>
      </c>
      <c r="T48" s="7">
        <f t="shared" si="5"/>
        <v>59393</v>
      </c>
    </row>
    <row r="49" spans="1:20">
      <c r="A49" s="23" t="s">
        <v>53</v>
      </c>
      <c r="B49" s="35" t="s">
        <v>49</v>
      </c>
      <c r="C49" s="36">
        <v>48974</v>
      </c>
      <c r="D49" s="6"/>
      <c r="E49" s="113">
        <v>2838394099</v>
      </c>
      <c r="F49" s="116">
        <f t="shared" si="6"/>
        <v>57957.162964021729</v>
      </c>
      <c r="G49" s="117">
        <v>2303113846</v>
      </c>
      <c r="H49" s="117">
        <f t="shared" si="11"/>
        <v>47027.276636582676</v>
      </c>
      <c r="I49" s="7"/>
      <c r="J49" s="10">
        <v>5.6143999999999998</v>
      </c>
      <c r="K49" s="117">
        <v>12930602</v>
      </c>
      <c r="L49" s="120">
        <f t="shared" si="12"/>
        <v>264.02993425082695</v>
      </c>
      <c r="M49" s="122">
        <f t="shared" si="7"/>
        <v>23031138.460000001</v>
      </c>
      <c r="N49" s="116">
        <f t="shared" si="8"/>
        <v>10100536.460000001</v>
      </c>
      <c r="O49" s="123">
        <f t="shared" si="9"/>
        <v>206.24283211499983</v>
      </c>
      <c r="P49" s="5"/>
      <c r="Q49" s="5">
        <f t="shared" si="2"/>
        <v>1</v>
      </c>
      <c r="R49" s="7">
        <f t="shared" si="3"/>
        <v>48974</v>
      </c>
      <c r="S49" s="5">
        <f t="shared" si="4"/>
        <v>1</v>
      </c>
      <c r="T49" s="7">
        <f t="shared" si="5"/>
        <v>48974</v>
      </c>
    </row>
    <row r="50" spans="1:20">
      <c r="A50" s="23" t="s">
        <v>54</v>
      </c>
      <c r="B50" s="35" t="s">
        <v>49</v>
      </c>
      <c r="C50" s="36">
        <v>150150</v>
      </c>
      <c r="D50" s="6"/>
      <c r="E50" s="113">
        <v>11999410361</v>
      </c>
      <c r="F50" s="116">
        <f t="shared" si="6"/>
        <v>79916.152920412918</v>
      </c>
      <c r="G50" s="117">
        <v>9721166871</v>
      </c>
      <c r="H50" s="117">
        <f t="shared" si="11"/>
        <v>64743.036103896105</v>
      </c>
      <c r="I50" s="7"/>
      <c r="J50" s="10">
        <v>5.2569999999999997</v>
      </c>
      <c r="K50" s="117">
        <v>51104174</v>
      </c>
      <c r="L50" s="120">
        <f t="shared" si="12"/>
        <v>340.35413919413918</v>
      </c>
      <c r="M50" s="122">
        <f t="shared" si="7"/>
        <v>97211668.710000008</v>
      </c>
      <c r="N50" s="116">
        <f t="shared" si="8"/>
        <v>46107494.710000008</v>
      </c>
      <c r="O50" s="123">
        <f t="shared" si="9"/>
        <v>307.07622184482187</v>
      </c>
      <c r="P50" s="5"/>
      <c r="Q50" s="5">
        <f t="shared" si="2"/>
        <v>1</v>
      </c>
      <c r="R50" s="7">
        <f t="shared" si="3"/>
        <v>150150</v>
      </c>
      <c r="S50" s="5">
        <f t="shared" si="4"/>
        <v>1</v>
      </c>
      <c r="T50" s="7">
        <f t="shared" si="5"/>
        <v>150150</v>
      </c>
    </row>
    <row r="51" spans="1:20">
      <c r="A51" s="23" t="s">
        <v>465</v>
      </c>
      <c r="B51" s="35" t="s">
        <v>49</v>
      </c>
      <c r="C51" s="36">
        <v>31458</v>
      </c>
      <c r="D51" s="6"/>
      <c r="E51" s="113">
        <v>1604369368</v>
      </c>
      <c r="F51" s="116">
        <f t="shared" si="6"/>
        <v>51000.361370716513</v>
      </c>
      <c r="G51" s="117">
        <v>1326738380</v>
      </c>
      <c r="H51" s="117">
        <f t="shared" si="11"/>
        <v>42174.911946086846</v>
      </c>
      <c r="I51" s="7"/>
      <c r="J51" s="10">
        <v>6.7214</v>
      </c>
      <c r="K51" s="117">
        <v>8917539</v>
      </c>
      <c r="L51" s="120">
        <f t="shared" si="12"/>
        <v>283.47444211329389</v>
      </c>
      <c r="M51" s="122">
        <f t="shared" si="7"/>
        <v>13267383.800000001</v>
      </c>
      <c r="N51" s="116">
        <f t="shared" si="8"/>
        <v>4349844.8000000007</v>
      </c>
      <c r="O51" s="123">
        <f t="shared" si="9"/>
        <v>138.27467734757457</v>
      </c>
      <c r="P51" s="5"/>
      <c r="Q51" s="5">
        <f t="shared" si="2"/>
        <v>1</v>
      </c>
      <c r="R51" s="7">
        <f t="shared" si="3"/>
        <v>31458</v>
      </c>
      <c r="S51" s="5">
        <f t="shared" si="4"/>
        <v>1</v>
      </c>
      <c r="T51" s="7">
        <f t="shared" si="5"/>
        <v>31458</v>
      </c>
    </row>
    <row r="52" spans="1:20">
      <c r="A52" s="23" t="s">
        <v>55</v>
      </c>
      <c r="B52" s="35" t="s">
        <v>49</v>
      </c>
      <c r="C52" s="36">
        <v>1753</v>
      </c>
      <c r="D52" s="6"/>
      <c r="E52" s="113">
        <v>409581825</v>
      </c>
      <c r="F52" s="116">
        <f t="shared" si="6"/>
        <v>233646.22076440387</v>
      </c>
      <c r="G52" s="117">
        <v>385558815</v>
      </c>
      <c r="H52" s="117">
        <f t="shared" si="11"/>
        <v>219942.27895037079</v>
      </c>
      <c r="I52" s="7"/>
      <c r="J52" s="10">
        <v>4.2050000000000001</v>
      </c>
      <c r="K52" s="117">
        <v>1621274</v>
      </c>
      <c r="L52" s="120">
        <f t="shared" si="12"/>
        <v>924.85681688533941</v>
      </c>
      <c r="M52" s="122">
        <f t="shared" si="7"/>
        <v>3855588.15</v>
      </c>
      <c r="N52" s="116">
        <f t="shared" si="8"/>
        <v>2234314.15</v>
      </c>
      <c r="O52" s="123">
        <f t="shared" si="9"/>
        <v>1274.5659726183685</v>
      </c>
      <c r="P52" s="5"/>
      <c r="Q52" s="5">
        <f t="shared" si="2"/>
        <v>1</v>
      </c>
      <c r="R52" s="7">
        <f t="shared" si="3"/>
        <v>1753</v>
      </c>
      <c r="S52" s="5">
        <f t="shared" si="4"/>
        <v>1</v>
      </c>
      <c r="T52" s="7">
        <f t="shared" si="5"/>
        <v>1753</v>
      </c>
    </row>
    <row r="53" spans="1:20">
      <c r="A53" s="23" t="s">
        <v>56</v>
      </c>
      <c r="B53" s="35" t="s">
        <v>49</v>
      </c>
      <c r="C53" s="36">
        <v>125689</v>
      </c>
      <c r="D53" s="6"/>
      <c r="E53" s="113">
        <v>6408713656</v>
      </c>
      <c r="F53" s="116">
        <f t="shared" si="6"/>
        <v>50988.659755428082</v>
      </c>
      <c r="G53" s="117">
        <v>5016916639</v>
      </c>
      <c r="H53" s="117">
        <f t="shared" si="11"/>
        <v>39915.319868882718</v>
      </c>
      <c r="I53" s="7"/>
      <c r="J53" s="10">
        <v>5.9999000000000002</v>
      </c>
      <c r="K53" s="117">
        <v>30100998</v>
      </c>
      <c r="L53" s="120">
        <f t="shared" si="12"/>
        <v>239.48792654886267</v>
      </c>
      <c r="M53" s="122">
        <f t="shared" si="7"/>
        <v>50169166.390000001</v>
      </c>
      <c r="N53" s="116">
        <f t="shared" si="8"/>
        <v>20068168.390000001</v>
      </c>
      <c r="O53" s="123">
        <f t="shared" si="9"/>
        <v>159.66527213996451</v>
      </c>
      <c r="P53" s="5"/>
      <c r="Q53" s="5">
        <f t="shared" si="2"/>
        <v>1</v>
      </c>
      <c r="R53" s="7">
        <f t="shared" si="3"/>
        <v>125689</v>
      </c>
      <c r="S53" s="5">
        <f t="shared" si="4"/>
        <v>1</v>
      </c>
      <c r="T53" s="7">
        <f t="shared" si="5"/>
        <v>125689</v>
      </c>
    </row>
    <row r="54" spans="1:20">
      <c r="A54" s="23" t="s">
        <v>57</v>
      </c>
      <c r="B54" s="35" t="s">
        <v>49</v>
      </c>
      <c r="C54" s="36">
        <v>27859</v>
      </c>
      <c r="D54" s="6"/>
      <c r="E54" s="113">
        <v>835221112</v>
      </c>
      <c r="F54" s="116">
        <f t="shared" si="6"/>
        <v>29980.297641695681</v>
      </c>
      <c r="G54" s="117">
        <v>608579599</v>
      </c>
      <c r="H54" s="117">
        <f t="shared" si="11"/>
        <v>21844.990810869018</v>
      </c>
      <c r="I54" s="7"/>
      <c r="J54" s="10">
        <v>5.95</v>
      </c>
      <c r="K54" s="117">
        <v>3621048</v>
      </c>
      <c r="L54" s="120">
        <f t="shared" si="12"/>
        <v>129.97767328331958</v>
      </c>
      <c r="M54" s="122">
        <f t="shared" si="7"/>
        <v>6085795.9900000002</v>
      </c>
      <c r="N54" s="116">
        <f t="shared" si="8"/>
        <v>2464747.9900000002</v>
      </c>
      <c r="O54" s="123">
        <f t="shared" si="9"/>
        <v>88.47223482537062</v>
      </c>
      <c r="P54" s="5"/>
      <c r="Q54" s="5">
        <f t="shared" si="2"/>
        <v>1</v>
      </c>
      <c r="R54" s="7">
        <f t="shared" si="3"/>
        <v>27859</v>
      </c>
      <c r="S54" s="5">
        <f t="shared" si="4"/>
        <v>1</v>
      </c>
      <c r="T54" s="7">
        <f t="shared" si="5"/>
        <v>27859</v>
      </c>
    </row>
    <row r="55" spans="1:20">
      <c r="A55" s="24" t="s">
        <v>560</v>
      </c>
      <c r="B55" s="35" t="s">
        <v>49</v>
      </c>
      <c r="C55" s="36">
        <v>3000</v>
      </c>
      <c r="D55" s="6"/>
      <c r="E55" s="113">
        <v>295690050</v>
      </c>
      <c r="F55" s="116">
        <f t="shared" si="6"/>
        <v>98563.35</v>
      </c>
      <c r="G55" s="117">
        <v>271531306</v>
      </c>
      <c r="H55" s="117">
        <f t="shared" si="11"/>
        <v>90510.435333333327</v>
      </c>
      <c r="I55" s="7"/>
      <c r="J55" s="10">
        <v>4.8499999999999996</v>
      </c>
      <c r="K55" s="117">
        <v>1316926</v>
      </c>
      <c r="L55" s="120">
        <f t="shared" si="12"/>
        <v>438.97533333333331</v>
      </c>
      <c r="M55" s="122">
        <f t="shared" si="7"/>
        <v>2715313.06</v>
      </c>
      <c r="N55" s="116">
        <f t="shared" si="8"/>
        <v>1398387.06</v>
      </c>
      <c r="O55" s="123">
        <f t="shared" si="9"/>
        <v>466.12902000000003</v>
      </c>
      <c r="P55" s="5"/>
      <c r="Q55" s="5">
        <f t="shared" si="2"/>
        <v>1</v>
      </c>
      <c r="R55" s="7">
        <f t="shared" si="3"/>
        <v>3000</v>
      </c>
      <c r="S55" s="5">
        <f t="shared" si="4"/>
        <v>1</v>
      </c>
      <c r="T55" s="7">
        <f t="shared" si="5"/>
        <v>3000</v>
      </c>
    </row>
    <row r="56" spans="1:20">
      <c r="A56" s="23" t="s">
        <v>58</v>
      </c>
      <c r="B56" s="35" t="s">
        <v>49</v>
      </c>
      <c r="C56" s="36">
        <v>50020</v>
      </c>
      <c r="D56" s="6"/>
      <c r="E56" s="113">
        <v>1520601388</v>
      </c>
      <c r="F56" s="116">
        <f t="shared" si="6"/>
        <v>30399.867812874851</v>
      </c>
      <c r="G56" s="117">
        <v>1200926334</v>
      </c>
      <c r="H56" s="117">
        <f t="shared" si="11"/>
        <v>24008.923110755699</v>
      </c>
      <c r="I56" s="7"/>
      <c r="J56" s="10">
        <v>4.0999999999999996</v>
      </c>
      <c r="K56" s="117">
        <v>4923797</v>
      </c>
      <c r="L56" s="120">
        <f t="shared" si="12"/>
        <v>98.436565373850456</v>
      </c>
      <c r="M56" s="122">
        <f t="shared" si="7"/>
        <v>12009263.34</v>
      </c>
      <c r="N56" s="116">
        <f t="shared" si="8"/>
        <v>7085466.3399999999</v>
      </c>
      <c r="O56" s="123">
        <f t="shared" si="9"/>
        <v>141.65266573370653</v>
      </c>
      <c r="P56" s="5"/>
      <c r="Q56" s="5">
        <f t="shared" si="2"/>
        <v>1</v>
      </c>
      <c r="R56" s="7">
        <f t="shared" si="3"/>
        <v>50020</v>
      </c>
      <c r="S56" s="5">
        <f t="shared" si="4"/>
        <v>1</v>
      </c>
      <c r="T56" s="7">
        <f t="shared" si="5"/>
        <v>50020</v>
      </c>
    </row>
    <row r="57" spans="1:20">
      <c r="A57" s="23" t="s">
        <v>59</v>
      </c>
      <c r="B57" s="35" t="s">
        <v>49</v>
      </c>
      <c r="C57" s="36">
        <v>40</v>
      </c>
      <c r="D57" s="6"/>
      <c r="E57" s="113">
        <v>2135309</v>
      </c>
      <c r="F57" s="116">
        <f t="shared" si="6"/>
        <v>53382.724999999999</v>
      </c>
      <c r="G57" s="117">
        <v>1913589</v>
      </c>
      <c r="H57" s="117">
        <f t="shared" si="11"/>
        <v>47839.724999999999</v>
      </c>
      <c r="I57" s="7"/>
      <c r="J57" s="10">
        <v>2.1</v>
      </c>
      <c r="K57" s="117">
        <v>4018</v>
      </c>
      <c r="L57" s="120">
        <f t="shared" si="12"/>
        <v>100.45</v>
      </c>
      <c r="M57" s="122">
        <f t="shared" si="7"/>
        <v>19135.89</v>
      </c>
      <c r="N57" s="116">
        <f t="shared" si="8"/>
        <v>15117.89</v>
      </c>
      <c r="O57" s="123">
        <f t="shared" si="9"/>
        <v>377.94725</v>
      </c>
      <c r="P57" s="5"/>
      <c r="Q57" s="5">
        <f t="shared" si="2"/>
        <v>1</v>
      </c>
      <c r="R57" s="7">
        <f t="shared" si="3"/>
        <v>40</v>
      </c>
      <c r="S57" s="5">
        <f t="shared" si="4"/>
        <v>1</v>
      </c>
      <c r="T57" s="7">
        <f t="shared" si="5"/>
        <v>40</v>
      </c>
    </row>
    <row r="58" spans="1:20">
      <c r="A58" s="23" t="s">
        <v>60</v>
      </c>
      <c r="B58" s="35" t="s">
        <v>49</v>
      </c>
      <c r="C58" s="36">
        <v>10470</v>
      </c>
      <c r="D58" s="6"/>
      <c r="E58" s="113">
        <v>900581978</v>
      </c>
      <c r="F58" s="116">
        <f t="shared" si="6"/>
        <v>86015.470678127982</v>
      </c>
      <c r="G58" s="117">
        <v>785152185</v>
      </c>
      <c r="H58" s="117">
        <f t="shared" si="11"/>
        <v>74990.657593123207</v>
      </c>
      <c r="I58" s="7"/>
      <c r="J58" s="10">
        <v>3.8807999999999998</v>
      </c>
      <c r="K58" s="117">
        <v>3047018</v>
      </c>
      <c r="L58" s="120">
        <f t="shared" si="12"/>
        <v>291.02368672397324</v>
      </c>
      <c r="M58" s="122">
        <f t="shared" si="7"/>
        <v>7851521.8500000006</v>
      </c>
      <c r="N58" s="116">
        <f t="shared" si="8"/>
        <v>4804503.8500000006</v>
      </c>
      <c r="O58" s="123">
        <f t="shared" si="9"/>
        <v>458.88288920725887</v>
      </c>
      <c r="P58" s="5"/>
      <c r="Q58" s="5">
        <f t="shared" si="2"/>
        <v>1</v>
      </c>
      <c r="R58" s="7">
        <f t="shared" si="3"/>
        <v>10470</v>
      </c>
      <c r="S58" s="5">
        <f t="shared" si="4"/>
        <v>1</v>
      </c>
      <c r="T58" s="7">
        <f t="shared" si="5"/>
        <v>10470</v>
      </c>
    </row>
    <row r="59" spans="1:20">
      <c r="A59" s="23" t="s">
        <v>61</v>
      </c>
      <c r="B59" s="35" t="s">
        <v>49</v>
      </c>
      <c r="C59" s="36">
        <v>48168</v>
      </c>
      <c r="D59" s="6"/>
      <c r="E59" s="113">
        <v>1754893052</v>
      </c>
      <c r="F59" s="116">
        <f t="shared" si="6"/>
        <v>36432.757266234847</v>
      </c>
      <c r="G59" s="117">
        <v>1315261877</v>
      </c>
      <c r="H59" s="117">
        <f t="shared" si="11"/>
        <v>27305.719087360903</v>
      </c>
      <c r="I59" s="7"/>
      <c r="J59" s="10">
        <v>6.4766000000000004</v>
      </c>
      <c r="K59" s="117">
        <v>8518425</v>
      </c>
      <c r="L59" s="120">
        <f t="shared" si="12"/>
        <v>176.84821873442951</v>
      </c>
      <c r="M59" s="122">
        <f t="shared" si="7"/>
        <v>13152618.77</v>
      </c>
      <c r="N59" s="116">
        <f t="shared" si="8"/>
        <v>4634193.7699999996</v>
      </c>
      <c r="O59" s="123">
        <f t="shared" si="9"/>
        <v>96.208972139179522</v>
      </c>
      <c r="P59" s="5"/>
      <c r="Q59" s="5">
        <f t="shared" si="2"/>
        <v>1</v>
      </c>
      <c r="R59" s="7">
        <f t="shared" si="3"/>
        <v>48168</v>
      </c>
      <c r="S59" s="5">
        <f t="shared" si="4"/>
        <v>1</v>
      </c>
      <c r="T59" s="7">
        <f t="shared" si="5"/>
        <v>48168</v>
      </c>
    </row>
    <row r="60" spans="1:20">
      <c r="A60" s="23" t="s">
        <v>62</v>
      </c>
      <c r="B60" s="35" t="s">
        <v>49</v>
      </c>
      <c r="C60" s="36">
        <v>46490</v>
      </c>
      <c r="D60" s="6"/>
      <c r="E60" s="113">
        <v>1763083731</v>
      </c>
      <c r="F60" s="116">
        <f t="shared" si="6"/>
        <v>37923.934846203483</v>
      </c>
      <c r="G60" s="117">
        <v>1292335801</v>
      </c>
      <c r="H60" s="117">
        <f t="shared" si="11"/>
        <v>27798.145859324584</v>
      </c>
      <c r="I60" s="7"/>
      <c r="J60" s="10">
        <v>6.9226000000000001</v>
      </c>
      <c r="K60" s="117">
        <v>8946323</v>
      </c>
      <c r="L60" s="120">
        <f t="shared" si="12"/>
        <v>192.43542697354269</v>
      </c>
      <c r="M60" s="122">
        <f t="shared" si="7"/>
        <v>12923358.01</v>
      </c>
      <c r="N60" s="116">
        <f t="shared" si="8"/>
        <v>3977035.01</v>
      </c>
      <c r="O60" s="123">
        <f t="shared" si="9"/>
        <v>85.546031619703157</v>
      </c>
      <c r="P60" s="5"/>
      <c r="Q60" s="5">
        <f t="shared" si="2"/>
        <v>1</v>
      </c>
      <c r="R60" s="7">
        <f t="shared" si="3"/>
        <v>46490</v>
      </c>
      <c r="S60" s="5">
        <f t="shared" si="4"/>
        <v>1</v>
      </c>
      <c r="T60" s="7">
        <f t="shared" si="5"/>
        <v>46490</v>
      </c>
    </row>
    <row r="61" spans="1:20">
      <c r="A61" s="23" t="s">
        <v>63</v>
      </c>
      <c r="B61" s="35" t="s">
        <v>49</v>
      </c>
      <c r="C61" s="36">
        <v>27354</v>
      </c>
      <c r="D61" s="6"/>
      <c r="E61" s="113">
        <v>744956071</v>
      </c>
      <c r="F61" s="116">
        <f t="shared" si="6"/>
        <v>27233.898917891351</v>
      </c>
      <c r="G61" s="117">
        <v>496747185</v>
      </c>
      <c r="H61" s="117">
        <f t="shared" si="11"/>
        <v>18159.946808510638</v>
      </c>
      <c r="I61" s="7"/>
      <c r="J61" s="10">
        <v>4.6871</v>
      </c>
      <c r="K61" s="117">
        <v>2328303</v>
      </c>
      <c r="L61" s="120">
        <f t="shared" si="12"/>
        <v>85.117459969291517</v>
      </c>
      <c r="M61" s="122">
        <f t="shared" si="7"/>
        <v>4967471.8500000006</v>
      </c>
      <c r="N61" s="116">
        <f t="shared" si="8"/>
        <v>2639168.8500000006</v>
      </c>
      <c r="O61" s="123">
        <f t="shared" si="9"/>
        <v>96.482008115814892</v>
      </c>
      <c r="P61" s="5"/>
      <c r="Q61" s="5">
        <f t="shared" si="2"/>
        <v>1</v>
      </c>
      <c r="R61" s="7">
        <f t="shared" si="3"/>
        <v>27354</v>
      </c>
      <c r="S61" s="5">
        <f t="shared" si="4"/>
        <v>1</v>
      </c>
      <c r="T61" s="7">
        <f t="shared" si="5"/>
        <v>27354</v>
      </c>
    </row>
    <row r="62" spans="1:20">
      <c r="A62" s="23" t="s">
        <v>64</v>
      </c>
      <c r="B62" s="35" t="s">
        <v>49</v>
      </c>
      <c r="C62" s="36">
        <v>28144</v>
      </c>
      <c r="D62" s="6"/>
      <c r="E62" s="113">
        <v>1383714347</v>
      </c>
      <c r="F62" s="116">
        <f t="shared" si="6"/>
        <v>49165.518298749288</v>
      </c>
      <c r="G62" s="117">
        <v>1100628777</v>
      </c>
      <c r="H62" s="117">
        <f t="shared" si="11"/>
        <v>39107.04864269471</v>
      </c>
      <c r="I62" s="7"/>
      <c r="J62" s="10">
        <v>5.5145</v>
      </c>
      <c r="K62" s="117">
        <v>6069417</v>
      </c>
      <c r="L62" s="120">
        <f t="shared" si="12"/>
        <v>215.65580585559977</v>
      </c>
      <c r="M62" s="122">
        <f t="shared" si="7"/>
        <v>11006287.77</v>
      </c>
      <c r="N62" s="116">
        <f t="shared" si="8"/>
        <v>4936870.7699999996</v>
      </c>
      <c r="O62" s="123">
        <f t="shared" si="9"/>
        <v>175.41468057134733</v>
      </c>
      <c r="P62" s="5"/>
      <c r="Q62" s="5">
        <f t="shared" si="2"/>
        <v>1</v>
      </c>
      <c r="R62" s="7">
        <f t="shared" si="3"/>
        <v>28144</v>
      </c>
      <c r="S62" s="5">
        <f t="shared" si="4"/>
        <v>1</v>
      </c>
      <c r="T62" s="7">
        <f t="shared" si="5"/>
        <v>28144</v>
      </c>
    </row>
    <row r="63" spans="1:20">
      <c r="A63" s="23" t="s">
        <v>65</v>
      </c>
      <c r="B63" s="35" t="s">
        <v>49</v>
      </c>
      <c r="C63" s="36">
        <v>10378</v>
      </c>
      <c r="D63" s="6"/>
      <c r="E63" s="113">
        <v>866314456</v>
      </c>
      <c r="F63" s="116">
        <f t="shared" si="6"/>
        <v>83476.05087685489</v>
      </c>
      <c r="G63" s="117">
        <v>706071866</v>
      </c>
      <c r="H63" s="117">
        <f t="shared" si="11"/>
        <v>68035.446714203121</v>
      </c>
      <c r="I63" s="7"/>
      <c r="J63" s="10">
        <v>4.0999999999999996</v>
      </c>
      <c r="K63" s="117">
        <v>2894894</v>
      </c>
      <c r="L63" s="120">
        <f t="shared" si="12"/>
        <v>278.94526883792639</v>
      </c>
      <c r="M63" s="122">
        <f t="shared" si="7"/>
        <v>7060718.6600000001</v>
      </c>
      <c r="N63" s="116">
        <f t="shared" si="8"/>
        <v>4165824.66</v>
      </c>
      <c r="O63" s="123">
        <f t="shared" si="9"/>
        <v>401.40919830410485</v>
      </c>
      <c r="P63" s="5"/>
      <c r="Q63" s="5">
        <f t="shared" si="2"/>
        <v>1</v>
      </c>
      <c r="R63" s="7">
        <f t="shared" si="3"/>
        <v>10378</v>
      </c>
      <c r="S63" s="5">
        <f t="shared" si="4"/>
        <v>1</v>
      </c>
      <c r="T63" s="7">
        <f t="shared" si="5"/>
        <v>10378</v>
      </c>
    </row>
    <row r="64" spans="1:20">
      <c r="A64" s="23" t="s">
        <v>66</v>
      </c>
      <c r="B64" s="35" t="s">
        <v>49</v>
      </c>
      <c r="C64" s="36">
        <v>4949</v>
      </c>
      <c r="D64" s="6"/>
      <c r="E64" s="113">
        <v>225316328</v>
      </c>
      <c r="F64" s="116">
        <f t="shared" si="6"/>
        <v>45527.647605576887</v>
      </c>
      <c r="G64" s="117">
        <v>200838470</v>
      </c>
      <c r="H64" s="117">
        <f t="shared" si="11"/>
        <v>40581.626591230553</v>
      </c>
      <c r="I64" s="7"/>
      <c r="J64" s="10">
        <v>6.25</v>
      </c>
      <c r="K64" s="117">
        <v>1255240</v>
      </c>
      <c r="L64" s="120">
        <f t="shared" si="12"/>
        <v>253.63507779349362</v>
      </c>
      <c r="M64" s="122">
        <f t="shared" si="7"/>
        <v>2008384.7</v>
      </c>
      <c r="N64" s="116">
        <f t="shared" si="8"/>
        <v>753144.7</v>
      </c>
      <c r="O64" s="123">
        <f t="shared" si="9"/>
        <v>152.18118811881186</v>
      </c>
      <c r="P64" s="5"/>
      <c r="Q64" s="5">
        <f t="shared" si="2"/>
        <v>1</v>
      </c>
      <c r="R64" s="7">
        <f t="shared" si="3"/>
        <v>4949</v>
      </c>
      <c r="S64" s="5">
        <f t="shared" si="4"/>
        <v>1</v>
      </c>
      <c r="T64" s="7">
        <f t="shared" si="5"/>
        <v>4949</v>
      </c>
    </row>
    <row r="65" spans="1:20">
      <c r="A65" s="23" t="s">
        <v>67</v>
      </c>
      <c r="B65" s="35" t="s">
        <v>49</v>
      </c>
      <c r="C65" s="36">
        <v>94354</v>
      </c>
      <c r="D65" s="6"/>
      <c r="E65" s="113">
        <v>4538100928</v>
      </c>
      <c r="F65" s="116">
        <f t="shared" si="6"/>
        <v>48096.539924115568</v>
      </c>
      <c r="G65" s="117">
        <v>3459152897</v>
      </c>
      <c r="H65" s="117">
        <f t="shared" si="11"/>
        <v>36661.433505733723</v>
      </c>
      <c r="I65" s="7"/>
      <c r="J65" s="10">
        <v>3.9034</v>
      </c>
      <c r="K65" s="117">
        <v>13502457</v>
      </c>
      <c r="L65" s="120">
        <f t="shared" si="12"/>
        <v>143.10423511456855</v>
      </c>
      <c r="M65" s="122">
        <f t="shared" si="7"/>
        <v>34591528.969999999</v>
      </c>
      <c r="N65" s="116">
        <f t="shared" si="8"/>
        <v>21089071.969999999</v>
      </c>
      <c r="O65" s="123">
        <f t="shared" si="9"/>
        <v>223.5100999427687</v>
      </c>
      <c r="P65" s="5"/>
      <c r="Q65" s="5">
        <f t="shared" si="2"/>
        <v>1</v>
      </c>
      <c r="R65" s="7">
        <f t="shared" si="3"/>
        <v>94354</v>
      </c>
      <c r="S65" s="5">
        <f t="shared" si="4"/>
        <v>1</v>
      </c>
      <c r="T65" s="7">
        <f t="shared" si="5"/>
        <v>94354</v>
      </c>
    </row>
    <row r="66" spans="1:20">
      <c r="A66" s="23" t="s">
        <v>68</v>
      </c>
      <c r="B66" s="35" t="s">
        <v>49</v>
      </c>
      <c r="C66" s="36">
        <v>76223</v>
      </c>
      <c r="D66" s="6"/>
      <c r="E66" s="113">
        <v>4643408223</v>
      </c>
      <c r="F66" s="116">
        <f t="shared" si="6"/>
        <v>60918.728244755519</v>
      </c>
      <c r="G66" s="117">
        <v>3786994223</v>
      </c>
      <c r="H66" s="117">
        <f t="shared" si="11"/>
        <v>49683.090707529227</v>
      </c>
      <c r="I66" s="7"/>
      <c r="J66" s="10">
        <v>3.8359999999999999</v>
      </c>
      <c r="K66" s="117">
        <v>14526909</v>
      </c>
      <c r="L66" s="120">
        <f t="shared" si="12"/>
        <v>190.58432494129067</v>
      </c>
      <c r="M66" s="122">
        <f t="shared" si="7"/>
        <v>37869942.230000004</v>
      </c>
      <c r="N66" s="116">
        <f t="shared" si="8"/>
        <v>23343033.230000004</v>
      </c>
      <c r="O66" s="123">
        <f t="shared" si="9"/>
        <v>306.24658213400159</v>
      </c>
      <c r="P66" s="5"/>
      <c r="Q66" s="5">
        <f t="shared" si="2"/>
        <v>1</v>
      </c>
      <c r="R66" s="7">
        <f t="shared" si="3"/>
        <v>76223</v>
      </c>
      <c r="S66" s="5">
        <f t="shared" si="4"/>
        <v>1</v>
      </c>
      <c r="T66" s="7">
        <f t="shared" si="5"/>
        <v>76223</v>
      </c>
    </row>
    <row r="67" spans="1:20">
      <c r="A67" s="23" t="s">
        <v>69</v>
      </c>
      <c r="B67" s="35" t="s">
        <v>49</v>
      </c>
      <c r="C67" s="36">
        <v>74271</v>
      </c>
      <c r="D67" s="6"/>
      <c r="E67" s="113">
        <v>4868455696</v>
      </c>
      <c r="F67" s="116">
        <f t="shared" si="6"/>
        <v>65549.887520028002</v>
      </c>
      <c r="G67" s="117">
        <v>4099850473</v>
      </c>
      <c r="H67" s="117">
        <f t="shared" si="11"/>
        <v>55201.228918420376</v>
      </c>
      <c r="I67" s="7"/>
      <c r="J67" s="10">
        <v>6.0506000000000002</v>
      </c>
      <c r="K67" s="117">
        <v>24806555</v>
      </c>
      <c r="L67" s="120">
        <f t="shared" si="12"/>
        <v>334.00055203242181</v>
      </c>
      <c r="M67" s="122">
        <f t="shared" si="7"/>
        <v>40998504.730000004</v>
      </c>
      <c r="N67" s="116">
        <f t="shared" si="8"/>
        <v>16191949.730000004</v>
      </c>
      <c r="O67" s="123">
        <f t="shared" si="9"/>
        <v>218.01173715178206</v>
      </c>
      <c r="P67" s="5"/>
      <c r="Q67" s="5">
        <f t="shared" si="2"/>
        <v>1</v>
      </c>
      <c r="R67" s="7">
        <f t="shared" si="3"/>
        <v>74271</v>
      </c>
      <c r="S67" s="5">
        <f t="shared" si="4"/>
        <v>1</v>
      </c>
      <c r="T67" s="7">
        <f t="shared" si="5"/>
        <v>74271</v>
      </c>
    </row>
    <row r="68" spans="1:20">
      <c r="A68" s="23" t="s">
        <v>70</v>
      </c>
      <c r="B68" s="35" t="s">
        <v>49</v>
      </c>
      <c r="C68" s="36">
        <v>619</v>
      </c>
      <c r="D68" s="6"/>
      <c r="E68" s="113">
        <v>90022785</v>
      </c>
      <c r="F68" s="116">
        <f t="shared" si="6"/>
        <v>145432.60904684977</v>
      </c>
      <c r="G68" s="117">
        <v>84983645</v>
      </c>
      <c r="H68" s="117">
        <f t="shared" si="11"/>
        <v>137291.83360258481</v>
      </c>
      <c r="I68" s="7"/>
      <c r="J68" s="10">
        <v>5.45</v>
      </c>
      <c r="K68" s="117">
        <v>463160</v>
      </c>
      <c r="L68" s="120">
        <f t="shared" si="12"/>
        <v>748.2390953150242</v>
      </c>
      <c r="M68" s="122">
        <f t="shared" si="7"/>
        <v>849836.45000000007</v>
      </c>
      <c r="N68" s="116">
        <f t="shared" si="8"/>
        <v>386676.45000000007</v>
      </c>
      <c r="O68" s="123">
        <f t="shared" si="9"/>
        <v>624.67924071082405</v>
      </c>
      <c r="P68" s="5"/>
      <c r="Q68" s="5">
        <f t="shared" si="2"/>
        <v>1</v>
      </c>
      <c r="R68" s="7">
        <f t="shared" si="3"/>
        <v>619</v>
      </c>
      <c r="S68" s="5">
        <f t="shared" si="4"/>
        <v>1</v>
      </c>
      <c r="T68" s="7">
        <f t="shared" si="5"/>
        <v>619</v>
      </c>
    </row>
    <row r="69" spans="1:20">
      <c r="A69" s="23" t="s">
        <v>71</v>
      </c>
      <c r="B69" s="35" t="s">
        <v>49</v>
      </c>
      <c r="C69" s="36">
        <v>74766</v>
      </c>
      <c r="D69" s="6"/>
      <c r="E69" s="113">
        <v>3266793550</v>
      </c>
      <c r="F69" s="116">
        <f t="shared" si="6"/>
        <v>43693.571275713562</v>
      </c>
      <c r="G69" s="117">
        <v>2519392008</v>
      </c>
      <c r="H69" s="117">
        <f t="shared" si="11"/>
        <v>33697.0281678838</v>
      </c>
      <c r="I69" s="7"/>
      <c r="J69" s="10">
        <v>6.4</v>
      </c>
      <c r="K69" s="117">
        <v>16124108</v>
      </c>
      <c r="L69" s="120">
        <f t="shared" si="12"/>
        <v>215.66096888960223</v>
      </c>
      <c r="M69" s="122">
        <f t="shared" si="7"/>
        <v>25193920.080000002</v>
      </c>
      <c r="N69" s="116">
        <f t="shared" si="8"/>
        <v>9069812.0800000019</v>
      </c>
      <c r="O69" s="123">
        <f t="shared" si="9"/>
        <v>121.30931278923578</v>
      </c>
      <c r="P69" s="5"/>
      <c r="Q69" s="5">
        <f t="shared" si="2"/>
        <v>1</v>
      </c>
      <c r="R69" s="7">
        <f t="shared" si="3"/>
        <v>74766</v>
      </c>
      <c r="S69" s="5">
        <f t="shared" si="4"/>
        <v>1</v>
      </c>
      <c r="T69" s="7">
        <f t="shared" si="5"/>
        <v>74766</v>
      </c>
    </row>
    <row r="70" spans="1:20">
      <c r="A70" s="23" t="s">
        <v>72</v>
      </c>
      <c r="B70" s="35" t="s">
        <v>49</v>
      </c>
      <c r="C70" s="36">
        <v>50051</v>
      </c>
      <c r="D70" s="6"/>
      <c r="E70" s="113">
        <v>2101446671</v>
      </c>
      <c r="F70" s="116">
        <f t="shared" si="6"/>
        <v>41986.10759025794</v>
      </c>
      <c r="G70" s="117">
        <v>1560049026</v>
      </c>
      <c r="H70" s="117">
        <f t="shared" ref="H70:H89" si="13">(G70/C70)</f>
        <v>31169.18794829274</v>
      </c>
      <c r="I70" s="7"/>
      <c r="J70" s="10">
        <v>4.9999000000000002</v>
      </c>
      <c r="K70" s="117">
        <v>7800089</v>
      </c>
      <c r="L70" s="120">
        <f t="shared" si="12"/>
        <v>155.84282032327027</v>
      </c>
      <c r="M70" s="122">
        <f t="shared" si="7"/>
        <v>15600490.26</v>
      </c>
      <c r="N70" s="116">
        <f t="shared" si="8"/>
        <v>7800401.2599999998</v>
      </c>
      <c r="O70" s="123">
        <f t="shared" si="9"/>
        <v>155.84905915965714</v>
      </c>
      <c r="P70" s="5"/>
      <c r="Q70" s="5">
        <f t="shared" si="2"/>
        <v>1</v>
      </c>
      <c r="R70" s="7">
        <f t="shared" si="3"/>
        <v>50051</v>
      </c>
      <c r="S70" s="5">
        <f t="shared" si="4"/>
        <v>1</v>
      </c>
      <c r="T70" s="7">
        <f t="shared" si="5"/>
        <v>50051</v>
      </c>
    </row>
    <row r="71" spans="1:20">
      <c r="A71" s="23" t="s">
        <v>74</v>
      </c>
      <c r="B71" s="35" t="s">
        <v>49</v>
      </c>
      <c r="C71" s="36">
        <v>11886</v>
      </c>
      <c r="D71" s="6"/>
      <c r="E71" s="113">
        <v>450562466</v>
      </c>
      <c r="F71" s="116">
        <f t="shared" si="6"/>
        <v>37906.988557967357</v>
      </c>
      <c r="G71" s="117">
        <v>346452102</v>
      </c>
      <c r="H71" s="117">
        <f t="shared" si="13"/>
        <v>29147.913679959616</v>
      </c>
      <c r="I71" s="7"/>
      <c r="J71" s="10">
        <v>5.62</v>
      </c>
      <c r="K71" s="117">
        <v>1947060</v>
      </c>
      <c r="L71" s="120">
        <f t="shared" si="12"/>
        <v>163.81120646138314</v>
      </c>
      <c r="M71" s="122">
        <f t="shared" si="7"/>
        <v>3464521.02</v>
      </c>
      <c r="N71" s="116">
        <f t="shared" si="8"/>
        <v>1517461.02</v>
      </c>
      <c r="O71" s="123">
        <f t="shared" si="9"/>
        <v>127.66793033821303</v>
      </c>
      <c r="P71" s="5"/>
      <c r="Q71" s="5">
        <f t="shared" ref="Q71:Q134" si="14">IF(E71&gt;0,1,0)</f>
        <v>1</v>
      </c>
      <c r="R71" s="7">
        <f t="shared" ref="R71:R134" si="15">IF(E71&gt;0,C71,0)</f>
        <v>11886</v>
      </c>
      <c r="S71" s="5">
        <f t="shared" ref="S71:S134" si="16">IF(J71&gt;0,1,0)</f>
        <v>1</v>
      </c>
      <c r="T71" s="7">
        <f t="shared" ref="T71:T134" si="17">IF(J71&gt;0,C71,0)</f>
        <v>11886</v>
      </c>
    </row>
    <row r="72" spans="1:20">
      <c r="A72" s="23" t="s">
        <v>75</v>
      </c>
      <c r="B72" s="35" t="s">
        <v>76</v>
      </c>
      <c r="C72" s="36">
        <v>604</v>
      </c>
      <c r="D72" s="6"/>
      <c r="E72" s="113">
        <v>7803938</v>
      </c>
      <c r="F72" s="116">
        <f t="shared" ref="F72:F135" si="18">(E72/C72)</f>
        <v>12920.427152317881</v>
      </c>
      <c r="G72" s="117">
        <v>3876935</v>
      </c>
      <c r="H72" s="117">
        <f t="shared" si="13"/>
        <v>6418.7665562913908</v>
      </c>
      <c r="I72" s="98" t="s">
        <v>528</v>
      </c>
      <c r="J72" s="10"/>
      <c r="K72" s="117"/>
      <c r="L72" s="120"/>
      <c r="M72" s="122">
        <f t="shared" ref="M72:M135" si="19">(G72*0.01)</f>
        <v>38769.35</v>
      </c>
      <c r="N72" s="116">
        <f t="shared" ref="N72:N135" si="20">(M72-K72)</f>
        <v>38769.35</v>
      </c>
      <c r="O72" s="123">
        <f t="shared" ref="O72:O135" si="21">(N72/C72)</f>
        <v>64.187665562913907</v>
      </c>
      <c r="P72" s="5"/>
      <c r="Q72" s="5">
        <f t="shared" si="14"/>
        <v>1</v>
      </c>
      <c r="R72" s="7">
        <f t="shared" si="15"/>
        <v>604</v>
      </c>
      <c r="S72" s="5">
        <f t="shared" si="16"/>
        <v>0</v>
      </c>
      <c r="T72" s="7">
        <f t="shared" si="17"/>
        <v>0</v>
      </c>
    </row>
    <row r="73" spans="1:20">
      <c r="A73" s="23" t="s">
        <v>77</v>
      </c>
      <c r="B73" s="35" t="s">
        <v>76</v>
      </c>
      <c r="C73" s="36">
        <v>2484</v>
      </c>
      <c r="D73" s="6"/>
      <c r="E73" s="113">
        <v>62828164</v>
      </c>
      <c r="F73" s="116">
        <f t="shared" si="18"/>
        <v>25293.141706924314</v>
      </c>
      <c r="G73" s="117">
        <v>35646367</v>
      </c>
      <c r="H73" s="117">
        <f t="shared" si="13"/>
        <v>14350.389291465379</v>
      </c>
      <c r="I73" s="7"/>
      <c r="J73" s="10">
        <v>1.5</v>
      </c>
      <c r="K73" s="117">
        <v>53469</v>
      </c>
      <c r="L73" s="120">
        <f t="shared" ref="L73:L79" si="22">(K73/C73)</f>
        <v>21.525362318840578</v>
      </c>
      <c r="M73" s="122">
        <f t="shared" si="19"/>
        <v>356463.67</v>
      </c>
      <c r="N73" s="116">
        <f t="shared" si="20"/>
        <v>302994.67</v>
      </c>
      <c r="O73" s="123">
        <f t="shared" si="21"/>
        <v>121.9785305958132</v>
      </c>
      <c r="P73" s="5"/>
      <c r="Q73" s="5">
        <f t="shared" si="14"/>
        <v>1</v>
      </c>
      <c r="R73" s="7">
        <f t="shared" si="15"/>
        <v>2484</v>
      </c>
      <c r="S73" s="5">
        <f t="shared" si="16"/>
        <v>1</v>
      </c>
      <c r="T73" s="7">
        <f t="shared" si="17"/>
        <v>2484</v>
      </c>
    </row>
    <row r="74" spans="1:20">
      <c r="A74" s="23" t="s">
        <v>78</v>
      </c>
      <c r="B74" s="35" t="s">
        <v>79</v>
      </c>
      <c r="C74" s="36">
        <v>12308</v>
      </c>
      <c r="D74" s="6"/>
      <c r="E74" s="113">
        <v>1267126053</v>
      </c>
      <c r="F74" s="116">
        <f t="shared" si="18"/>
        <v>102951.41802079948</v>
      </c>
      <c r="G74" s="117">
        <v>1058202217</v>
      </c>
      <c r="H74" s="117">
        <f t="shared" si="13"/>
        <v>85976.780711732208</v>
      </c>
      <c r="I74" s="9"/>
      <c r="J74" s="10">
        <v>3.2368999999999999</v>
      </c>
      <c r="K74" s="117">
        <v>3425294</v>
      </c>
      <c r="L74" s="120">
        <f t="shared" si="22"/>
        <v>278.29818004549884</v>
      </c>
      <c r="M74" s="122">
        <f t="shared" si="19"/>
        <v>10582022.17</v>
      </c>
      <c r="N74" s="116">
        <f t="shared" si="20"/>
        <v>7156728.1699999999</v>
      </c>
      <c r="O74" s="123">
        <f t="shared" si="21"/>
        <v>581.4696270718232</v>
      </c>
      <c r="P74" s="5"/>
      <c r="Q74" s="5">
        <f t="shared" si="14"/>
        <v>1</v>
      </c>
      <c r="R74" s="7">
        <f t="shared" si="15"/>
        <v>12308</v>
      </c>
      <c r="S74" s="5">
        <f t="shared" si="16"/>
        <v>1</v>
      </c>
      <c r="T74" s="7">
        <f t="shared" si="17"/>
        <v>12308</v>
      </c>
    </row>
    <row r="75" spans="1:20">
      <c r="A75" s="23" t="s">
        <v>80</v>
      </c>
      <c r="B75" s="35" t="s">
        <v>81</v>
      </c>
      <c r="C75" s="36">
        <v>4072</v>
      </c>
      <c r="D75" s="6"/>
      <c r="E75" s="113">
        <v>251810224</v>
      </c>
      <c r="F75" s="116">
        <f t="shared" si="18"/>
        <v>61839.445972495087</v>
      </c>
      <c r="G75" s="117">
        <v>212173291</v>
      </c>
      <c r="H75" s="117">
        <f t="shared" si="13"/>
        <v>52105.425098231826</v>
      </c>
      <c r="I75" s="7"/>
      <c r="J75" s="10">
        <v>5.5</v>
      </c>
      <c r="K75" s="117">
        <v>1166953</v>
      </c>
      <c r="L75" s="120">
        <f t="shared" si="22"/>
        <v>286.57981335952849</v>
      </c>
      <c r="M75" s="122">
        <f t="shared" si="19"/>
        <v>2121732.91</v>
      </c>
      <c r="N75" s="116">
        <f t="shared" si="20"/>
        <v>954779.91000000015</v>
      </c>
      <c r="O75" s="123">
        <f t="shared" si="21"/>
        <v>234.47443762278982</v>
      </c>
      <c r="P75" s="5"/>
      <c r="Q75" s="5">
        <f t="shared" si="14"/>
        <v>1</v>
      </c>
      <c r="R75" s="7">
        <f t="shared" si="15"/>
        <v>4072</v>
      </c>
      <c r="S75" s="5">
        <f t="shared" si="16"/>
        <v>1</v>
      </c>
      <c r="T75" s="7">
        <f t="shared" si="17"/>
        <v>4072</v>
      </c>
    </row>
    <row r="76" spans="1:20">
      <c r="A76" s="23" t="s">
        <v>82</v>
      </c>
      <c r="B76" s="35" t="s">
        <v>81</v>
      </c>
      <c r="C76" s="36">
        <v>6741</v>
      </c>
      <c r="D76" s="6"/>
      <c r="E76" s="113">
        <v>331860141</v>
      </c>
      <c r="F76" s="116">
        <f t="shared" si="18"/>
        <v>49230.10547396529</v>
      </c>
      <c r="G76" s="117">
        <v>202093480</v>
      </c>
      <c r="H76" s="117">
        <f t="shared" si="13"/>
        <v>29979.747811897345</v>
      </c>
      <c r="I76" s="7"/>
      <c r="J76" s="10">
        <v>6.8154000000000003</v>
      </c>
      <c r="K76" s="117">
        <v>1377347</v>
      </c>
      <c r="L76" s="120">
        <f t="shared" si="22"/>
        <v>204.32383919299807</v>
      </c>
      <c r="M76" s="122">
        <f t="shared" si="19"/>
        <v>2020934.8</v>
      </c>
      <c r="N76" s="116">
        <f t="shared" si="20"/>
        <v>643587.80000000005</v>
      </c>
      <c r="O76" s="123">
        <f t="shared" si="21"/>
        <v>95.473638925975379</v>
      </c>
      <c r="P76" s="5"/>
      <c r="Q76" s="5">
        <f t="shared" si="14"/>
        <v>1</v>
      </c>
      <c r="R76" s="7">
        <f t="shared" si="15"/>
        <v>6741</v>
      </c>
      <c r="S76" s="5">
        <f t="shared" si="16"/>
        <v>1</v>
      </c>
      <c r="T76" s="7">
        <f t="shared" si="17"/>
        <v>6741</v>
      </c>
    </row>
    <row r="77" spans="1:20">
      <c r="A77" s="23" t="s">
        <v>83</v>
      </c>
      <c r="B77" s="35" t="s">
        <v>84</v>
      </c>
      <c r="C77" s="36">
        <v>4988</v>
      </c>
      <c r="D77" s="6"/>
      <c r="E77" s="113">
        <v>195667348</v>
      </c>
      <c r="F77" s="116">
        <f t="shared" si="18"/>
        <v>39227.615878107456</v>
      </c>
      <c r="G77" s="117">
        <v>142568759</v>
      </c>
      <c r="H77" s="117">
        <f t="shared" si="13"/>
        <v>28582.349438652767</v>
      </c>
      <c r="I77" s="7"/>
      <c r="J77" s="10">
        <v>2.6110000000000002</v>
      </c>
      <c r="K77" s="117">
        <v>372247</v>
      </c>
      <c r="L77" s="120">
        <f t="shared" si="22"/>
        <v>74.628508420208505</v>
      </c>
      <c r="M77" s="122">
        <f t="shared" si="19"/>
        <v>1425687.59</v>
      </c>
      <c r="N77" s="116">
        <f t="shared" si="20"/>
        <v>1053440.5900000001</v>
      </c>
      <c r="O77" s="123">
        <f t="shared" si="21"/>
        <v>211.19498596631919</v>
      </c>
      <c r="P77" s="5"/>
      <c r="Q77" s="5">
        <f t="shared" si="14"/>
        <v>1</v>
      </c>
      <c r="R77" s="7">
        <f t="shared" si="15"/>
        <v>4988</v>
      </c>
      <c r="S77" s="5">
        <f t="shared" si="16"/>
        <v>1</v>
      </c>
      <c r="T77" s="7">
        <f t="shared" si="17"/>
        <v>4988</v>
      </c>
    </row>
    <row r="78" spans="1:20">
      <c r="A78" s="23" t="s">
        <v>85</v>
      </c>
      <c r="B78" s="35" t="s">
        <v>84</v>
      </c>
      <c r="C78" s="36">
        <v>1340</v>
      </c>
      <c r="D78" s="6"/>
      <c r="E78" s="113">
        <v>46020366</v>
      </c>
      <c r="F78" s="116">
        <f t="shared" si="18"/>
        <v>34343.556716417908</v>
      </c>
      <c r="G78" s="117">
        <v>27168827</v>
      </c>
      <c r="H78" s="117">
        <f t="shared" si="13"/>
        <v>20275.244029850746</v>
      </c>
      <c r="I78" s="7"/>
      <c r="J78" s="11">
        <v>2</v>
      </c>
      <c r="K78" s="117">
        <v>54337</v>
      </c>
      <c r="L78" s="120">
        <f t="shared" si="22"/>
        <v>40.549999999999997</v>
      </c>
      <c r="M78" s="122">
        <f t="shared" si="19"/>
        <v>271688.27</v>
      </c>
      <c r="N78" s="116">
        <f t="shared" si="20"/>
        <v>217351.27000000002</v>
      </c>
      <c r="O78" s="123">
        <f t="shared" si="21"/>
        <v>162.20244029850747</v>
      </c>
      <c r="P78" s="5"/>
      <c r="Q78" s="5">
        <f t="shared" si="14"/>
        <v>1</v>
      </c>
      <c r="R78" s="7">
        <f t="shared" si="15"/>
        <v>1340</v>
      </c>
      <c r="S78" s="5">
        <f t="shared" si="16"/>
        <v>1</v>
      </c>
      <c r="T78" s="7">
        <f t="shared" si="17"/>
        <v>1340</v>
      </c>
    </row>
    <row r="79" spans="1:20">
      <c r="A79" s="23" t="s">
        <v>86</v>
      </c>
      <c r="B79" s="35" t="s">
        <v>84</v>
      </c>
      <c r="C79" s="36">
        <v>9508</v>
      </c>
      <c r="D79" s="6"/>
      <c r="E79" s="113">
        <v>397143388</v>
      </c>
      <c r="F79" s="116">
        <f t="shared" si="18"/>
        <v>41769.392932267561</v>
      </c>
      <c r="G79" s="117">
        <v>277428694</v>
      </c>
      <c r="H79" s="117">
        <f t="shared" si="13"/>
        <v>29178.449095498527</v>
      </c>
      <c r="I79" s="7"/>
      <c r="J79" s="10">
        <v>5</v>
      </c>
      <c r="K79" s="117">
        <v>1387143</v>
      </c>
      <c r="L79" s="120">
        <f t="shared" si="22"/>
        <v>145.89219604543541</v>
      </c>
      <c r="M79" s="122">
        <f t="shared" si="19"/>
        <v>2774286.94</v>
      </c>
      <c r="N79" s="116">
        <f t="shared" si="20"/>
        <v>1387143.94</v>
      </c>
      <c r="O79" s="123">
        <f t="shared" si="21"/>
        <v>145.89229490954986</v>
      </c>
      <c r="P79" s="5"/>
      <c r="Q79" s="5">
        <f t="shared" si="14"/>
        <v>1</v>
      </c>
      <c r="R79" s="7">
        <f t="shared" si="15"/>
        <v>9508</v>
      </c>
      <c r="S79" s="5">
        <f t="shared" si="16"/>
        <v>1</v>
      </c>
      <c r="T79" s="7">
        <f t="shared" si="17"/>
        <v>9508</v>
      </c>
    </row>
    <row r="80" spans="1:20">
      <c r="A80" s="23" t="s">
        <v>87</v>
      </c>
      <c r="B80" s="35" t="s">
        <v>84</v>
      </c>
      <c r="C80" s="36">
        <v>636</v>
      </c>
      <c r="D80" s="6"/>
      <c r="E80" s="113">
        <v>14126488</v>
      </c>
      <c r="F80" s="116">
        <f t="shared" si="18"/>
        <v>22211.459119496856</v>
      </c>
      <c r="G80" s="117">
        <v>4293317</v>
      </c>
      <c r="H80" s="117">
        <f t="shared" si="13"/>
        <v>6750.4984276729556</v>
      </c>
      <c r="I80" s="98" t="s">
        <v>528</v>
      </c>
      <c r="J80" s="10"/>
      <c r="K80" s="117"/>
      <c r="L80" s="120"/>
      <c r="M80" s="122">
        <f t="shared" si="19"/>
        <v>42933.17</v>
      </c>
      <c r="N80" s="116">
        <f t="shared" si="20"/>
        <v>42933.17</v>
      </c>
      <c r="O80" s="123">
        <f t="shared" si="21"/>
        <v>67.504984276729559</v>
      </c>
      <c r="P80" s="5"/>
      <c r="Q80" s="5">
        <f t="shared" si="14"/>
        <v>1</v>
      </c>
      <c r="R80" s="7">
        <f t="shared" si="15"/>
        <v>636</v>
      </c>
      <c r="S80" s="5">
        <f t="shared" si="16"/>
        <v>0</v>
      </c>
      <c r="T80" s="7">
        <f t="shared" si="17"/>
        <v>0</v>
      </c>
    </row>
    <row r="81" spans="1:20">
      <c r="A81" s="23" t="s">
        <v>88</v>
      </c>
      <c r="B81" s="35" t="s">
        <v>89</v>
      </c>
      <c r="C81" s="36">
        <v>541</v>
      </c>
      <c r="D81" s="6"/>
      <c r="E81" s="113">
        <v>33567412</v>
      </c>
      <c r="F81" s="116">
        <f t="shared" si="18"/>
        <v>62046.972273567466</v>
      </c>
      <c r="G81" s="117">
        <v>25721146</v>
      </c>
      <c r="H81" s="117">
        <f t="shared" si="13"/>
        <v>47543.707948243995</v>
      </c>
      <c r="I81" s="7"/>
      <c r="J81" s="10">
        <v>6.27</v>
      </c>
      <c r="K81" s="117">
        <v>161271</v>
      </c>
      <c r="L81" s="120">
        <f>(K81/C81)</f>
        <v>298.09796672828094</v>
      </c>
      <c r="M81" s="122">
        <f t="shared" si="19"/>
        <v>257211.46</v>
      </c>
      <c r="N81" s="116">
        <f t="shared" si="20"/>
        <v>95940.459999999992</v>
      </c>
      <c r="O81" s="123">
        <f t="shared" si="21"/>
        <v>177.33911275415895</v>
      </c>
      <c r="P81" s="5"/>
      <c r="Q81" s="5">
        <f t="shared" si="14"/>
        <v>1</v>
      </c>
      <c r="R81" s="7">
        <f t="shared" si="15"/>
        <v>541</v>
      </c>
      <c r="S81" s="5">
        <f t="shared" si="16"/>
        <v>1</v>
      </c>
      <c r="T81" s="7">
        <f t="shared" si="17"/>
        <v>541</v>
      </c>
    </row>
    <row r="82" spans="1:20">
      <c r="A82" s="23" t="s">
        <v>91</v>
      </c>
      <c r="B82" s="35" t="s">
        <v>89</v>
      </c>
      <c r="C82" s="36">
        <v>21127</v>
      </c>
      <c r="D82" s="6"/>
      <c r="E82" s="113">
        <v>5121865459</v>
      </c>
      <c r="F82" s="116">
        <f t="shared" si="18"/>
        <v>242432.21749420173</v>
      </c>
      <c r="G82" s="117">
        <v>4480631775</v>
      </c>
      <c r="H82" s="117">
        <f t="shared" si="13"/>
        <v>212080.83376721729</v>
      </c>
      <c r="I82" s="9"/>
      <c r="J82" s="10">
        <v>1.18</v>
      </c>
      <c r="K82" s="117">
        <v>5287145</v>
      </c>
      <c r="L82" s="120">
        <f>(K82/C82)</f>
        <v>250.25536043924836</v>
      </c>
      <c r="M82" s="122">
        <f t="shared" si="19"/>
        <v>44806317.75</v>
      </c>
      <c r="N82" s="116">
        <f t="shared" si="20"/>
        <v>39519172.75</v>
      </c>
      <c r="O82" s="123">
        <f t="shared" si="21"/>
        <v>1870.5529772329246</v>
      </c>
      <c r="P82" s="5"/>
      <c r="Q82" s="5">
        <f t="shared" si="14"/>
        <v>1</v>
      </c>
      <c r="R82" s="7">
        <f t="shared" si="15"/>
        <v>21127</v>
      </c>
      <c r="S82" s="5">
        <f t="shared" si="16"/>
        <v>1</v>
      </c>
      <c r="T82" s="7">
        <f t="shared" si="17"/>
        <v>21127</v>
      </c>
    </row>
    <row r="83" spans="1:20">
      <c r="A83" s="23" t="s">
        <v>92</v>
      </c>
      <c r="B83" s="35" t="s">
        <v>93</v>
      </c>
      <c r="C83" s="36">
        <v>517</v>
      </c>
      <c r="D83" s="6"/>
      <c r="E83" s="113">
        <v>13239798</v>
      </c>
      <c r="F83" s="116">
        <f t="shared" si="18"/>
        <v>25608.893617021276</v>
      </c>
      <c r="G83" s="117">
        <v>5059310</v>
      </c>
      <c r="H83" s="117">
        <f t="shared" si="13"/>
        <v>9785.8994197292068</v>
      </c>
      <c r="I83" s="98" t="s">
        <v>528</v>
      </c>
      <c r="J83" s="10"/>
      <c r="K83" s="117"/>
      <c r="L83" s="120"/>
      <c r="M83" s="122">
        <f t="shared" si="19"/>
        <v>50593.1</v>
      </c>
      <c r="N83" s="116">
        <f t="shared" si="20"/>
        <v>50593.1</v>
      </c>
      <c r="O83" s="123">
        <f t="shared" si="21"/>
        <v>97.858994197292063</v>
      </c>
      <c r="P83" s="5"/>
      <c r="Q83" s="5">
        <f t="shared" si="14"/>
        <v>1</v>
      </c>
      <c r="R83" s="7">
        <f t="shared" si="15"/>
        <v>517</v>
      </c>
      <c r="S83" s="5">
        <f t="shared" si="16"/>
        <v>0</v>
      </c>
      <c r="T83" s="7">
        <f t="shared" si="17"/>
        <v>0</v>
      </c>
    </row>
    <row r="84" spans="1:20">
      <c r="A84" s="23" t="s">
        <v>94</v>
      </c>
      <c r="B84" s="35" t="s">
        <v>93</v>
      </c>
      <c r="C84" s="36">
        <v>10049</v>
      </c>
      <c r="D84" s="6"/>
      <c r="E84" s="113">
        <v>447430774</v>
      </c>
      <c r="F84" s="116">
        <f t="shared" si="18"/>
        <v>44524.905363717786</v>
      </c>
      <c r="G84" s="117">
        <v>251966708</v>
      </c>
      <c r="H84" s="117">
        <f t="shared" si="13"/>
        <v>25073.809135237338</v>
      </c>
      <c r="I84" s="7"/>
      <c r="J84" s="10">
        <v>3.6269999999999998</v>
      </c>
      <c r="K84" s="117">
        <v>913883</v>
      </c>
      <c r="L84" s="120">
        <f>(K84/C84)</f>
        <v>90.942680863767535</v>
      </c>
      <c r="M84" s="122">
        <f t="shared" si="19"/>
        <v>2519667.08</v>
      </c>
      <c r="N84" s="116">
        <f t="shared" si="20"/>
        <v>1605784.08</v>
      </c>
      <c r="O84" s="123">
        <f t="shared" si="21"/>
        <v>159.79541048860582</v>
      </c>
      <c r="P84" s="5"/>
      <c r="Q84" s="5">
        <f t="shared" si="14"/>
        <v>1</v>
      </c>
      <c r="R84" s="7">
        <f t="shared" si="15"/>
        <v>10049</v>
      </c>
      <c r="S84" s="5">
        <f t="shared" si="16"/>
        <v>1</v>
      </c>
      <c r="T84" s="7">
        <f t="shared" si="17"/>
        <v>10049</v>
      </c>
    </row>
    <row r="85" spans="1:20">
      <c r="A85" s="23" t="s">
        <v>95</v>
      </c>
      <c r="B85" s="35" t="s">
        <v>468</v>
      </c>
      <c r="C85" s="36">
        <v>6600</v>
      </c>
      <c r="D85" s="6"/>
      <c r="E85" s="113">
        <v>212947811</v>
      </c>
      <c r="F85" s="116">
        <f t="shared" si="18"/>
        <v>32264.819848484847</v>
      </c>
      <c r="G85" s="117">
        <v>115957668</v>
      </c>
      <c r="H85" s="117">
        <f t="shared" si="13"/>
        <v>17569.343636363636</v>
      </c>
      <c r="I85" s="7"/>
      <c r="J85" s="10">
        <v>8.2731999999999992</v>
      </c>
      <c r="K85" s="117">
        <v>959340</v>
      </c>
      <c r="L85" s="120">
        <f>(K85/C85)</f>
        <v>145.35454545454544</v>
      </c>
      <c r="M85" s="122">
        <f t="shared" si="19"/>
        <v>1159576.68</v>
      </c>
      <c r="N85" s="116">
        <f t="shared" si="20"/>
        <v>200236.67999999993</v>
      </c>
      <c r="O85" s="123">
        <f t="shared" si="21"/>
        <v>30.3388909090909</v>
      </c>
      <c r="P85" s="5"/>
      <c r="Q85" s="5">
        <f t="shared" si="14"/>
        <v>1</v>
      </c>
      <c r="R85" s="7">
        <f t="shared" si="15"/>
        <v>6600</v>
      </c>
      <c r="S85" s="5">
        <f t="shared" si="16"/>
        <v>1</v>
      </c>
      <c r="T85" s="7">
        <f t="shared" si="17"/>
        <v>6600</v>
      </c>
    </row>
    <row r="86" spans="1:20">
      <c r="A86" s="23" t="s">
        <v>96</v>
      </c>
      <c r="B86" s="35" t="s">
        <v>97</v>
      </c>
      <c r="C86" s="36">
        <v>2070</v>
      </c>
      <c r="D86" s="6"/>
      <c r="E86" s="113">
        <v>45970212</v>
      </c>
      <c r="F86" s="116">
        <f t="shared" si="18"/>
        <v>22207.83188405797</v>
      </c>
      <c r="G86" s="117">
        <v>14929987</v>
      </c>
      <c r="H86" s="117">
        <f t="shared" si="13"/>
        <v>7212.5541062801931</v>
      </c>
      <c r="I86" s="98" t="s">
        <v>528</v>
      </c>
      <c r="J86" s="11"/>
      <c r="K86" s="117"/>
      <c r="L86" s="120"/>
      <c r="M86" s="122">
        <f t="shared" si="19"/>
        <v>149299.87</v>
      </c>
      <c r="N86" s="116">
        <f t="shared" si="20"/>
        <v>149299.87</v>
      </c>
      <c r="O86" s="123">
        <f t="shared" si="21"/>
        <v>72.125541062801929</v>
      </c>
      <c r="P86" s="5"/>
      <c r="Q86" s="5">
        <f t="shared" si="14"/>
        <v>1</v>
      </c>
      <c r="R86" s="7">
        <f t="shared" si="15"/>
        <v>2070</v>
      </c>
      <c r="S86" s="5">
        <f t="shared" si="16"/>
        <v>0</v>
      </c>
      <c r="T86" s="7">
        <f t="shared" si="17"/>
        <v>0</v>
      </c>
    </row>
    <row r="87" spans="1:20">
      <c r="A87" s="23" t="s">
        <v>98</v>
      </c>
      <c r="B87" s="35" t="s">
        <v>97</v>
      </c>
      <c r="C87" s="36">
        <v>194</v>
      </c>
      <c r="D87" s="6"/>
      <c r="E87" s="113">
        <v>8232500</v>
      </c>
      <c r="F87" s="116">
        <f t="shared" si="18"/>
        <v>42435.567010309278</v>
      </c>
      <c r="G87" s="117">
        <v>6050236</v>
      </c>
      <c r="H87" s="117">
        <f t="shared" si="13"/>
        <v>31186.783505154639</v>
      </c>
      <c r="I87" s="7"/>
      <c r="J87" s="10">
        <v>3</v>
      </c>
      <c r="K87" s="117">
        <v>18150</v>
      </c>
      <c r="L87" s="120">
        <f>(K87/C87)</f>
        <v>93.55670103092784</v>
      </c>
      <c r="M87" s="122">
        <f t="shared" si="19"/>
        <v>60502.36</v>
      </c>
      <c r="N87" s="116">
        <f t="shared" si="20"/>
        <v>42352.36</v>
      </c>
      <c r="O87" s="123">
        <f t="shared" si="21"/>
        <v>218.31113402061857</v>
      </c>
      <c r="P87" s="5"/>
      <c r="Q87" s="5">
        <f t="shared" si="14"/>
        <v>1</v>
      </c>
      <c r="R87" s="7">
        <f t="shared" si="15"/>
        <v>194</v>
      </c>
      <c r="S87" s="5">
        <f t="shared" si="16"/>
        <v>1</v>
      </c>
      <c r="T87" s="7">
        <f t="shared" si="17"/>
        <v>194</v>
      </c>
    </row>
    <row r="88" spans="1:20">
      <c r="A88" s="23" t="s">
        <v>99</v>
      </c>
      <c r="B88" s="35" t="s">
        <v>100</v>
      </c>
      <c r="C88" s="36">
        <v>13116</v>
      </c>
      <c r="D88" s="6"/>
      <c r="E88" s="113">
        <v>617118102</v>
      </c>
      <c r="F88" s="116">
        <f t="shared" si="18"/>
        <v>47050.785452881973</v>
      </c>
      <c r="G88" s="117">
        <v>505384870</v>
      </c>
      <c r="H88" s="117">
        <f t="shared" si="13"/>
        <v>38531.935803598659</v>
      </c>
      <c r="I88" s="7"/>
      <c r="J88" s="10">
        <v>2.9220999999999999</v>
      </c>
      <c r="K88" s="117">
        <v>1476785</v>
      </c>
      <c r="L88" s="120">
        <f>(K88/C88)</f>
        <v>112.59415980481855</v>
      </c>
      <c r="M88" s="122">
        <f t="shared" si="19"/>
        <v>5053848.7</v>
      </c>
      <c r="N88" s="116">
        <f t="shared" si="20"/>
        <v>3577063.7</v>
      </c>
      <c r="O88" s="123">
        <f t="shared" si="21"/>
        <v>272.72519823116806</v>
      </c>
      <c r="P88" s="5"/>
      <c r="Q88" s="5">
        <f t="shared" si="14"/>
        <v>1</v>
      </c>
      <c r="R88" s="7">
        <f t="shared" si="15"/>
        <v>13116</v>
      </c>
      <c r="S88" s="5">
        <f t="shared" si="16"/>
        <v>1</v>
      </c>
      <c r="T88" s="7">
        <f t="shared" si="17"/>
        <v>13116</v>
      </c>
    </row>
    <row r="89" spans="1:20">
      <c r="A89" s="23" t="s">
        <v>101</v>
      </c>
      <c r="B89" s="35" t="s">
        <v>100</v>
      </c>
      <c r="C89" s="36">
        <v>1560</v>
      </c>
      <c r="D89" s="6"/>
      <c r="E89" s="113">
        <v>46009393</v>
      </c>
      <c r="F89" s="116">
        <f t="shared" si="18"/>
        <v>29493.20064102564</v>
      </c>
      <c r="G89" s="117">
        <v>27910862</v>
      </c>
      <c r="H89" s="117">
        <f t="shared" si="13"/>
        <v>17891.578205128204</v>
      </c>
      <c r="I89" s="8"/>
      <c r="J89" s="10">
        <v>1.4494</v>
      </c>
      <c r="K89" s="117">
        <v>40454</v>
      </c>
      <c r="L89" s="120">
        <f>(K89/C89)</f>
        <v>25.932051282051283</v>
      </c>
      <c r="M89" s="122">
        <f t="shared" si="19"/>
        <v>279108.62</v>
      </c>
      <c r="N89" s="116">
        <f t="shared" si="20"/>
        <v>238654.62</v>
      </c>
      <c r="O89" s="123">
        <f t="shared" si="21"/>
        <v>152.98373076923076</v>
      </c>
      <c r="P89" s="5"/>
      <c r="Q89" s="5">
        <f t="shared" si="14"/>
        <v>1</v>
      </c>
      <c r="R89" s="7">
        <f t="shared" si="15"/>
        <v>1560</v>
      </c>
      <c r="S89" s="5">
        <f t="shared" si="16"/>
        <v>1</v>
      </c>
      <c r="T89" s="7">
        <f t="shared" si="17"/>
        <v>1560</v>
      </c>
    </row>
    <row r="90" spans="1:20">
      <c r="A90" s="23" t="s">
        <v>102</v>
      </c>
      <c r="B90" s="35" t="s">
        <v>100</v>
      </c>
      <c r="C90" s="36">
        <v>686172</v>
      </c>
      <c r="D90" s="36" t="s">
        <v>520</v>
      </c>
      <c r="E90" s="116"/>
      <c r="F90" s="116"/>
      <c r="G90" s="117"/>
      <c r="H90" s="117"/>
      <c r="I90" s="8"/>
      <c r="J90" s="10"/>
      <c r="K90" s="117"/>
      <c r="L90" s="120"/>
      <c r="M90" s="122">
        <f t="shared" si="19"/>
        <v>0</v>
      </c>
      <c r="N90" s="116">
        <f t="shared" si="20"/>
        <v>0</v>
      </c>
      <c r="O90" s="123">
        <f t="shared" si="21"/>
        <v>0</v>
      </c>
      <c r="P90" s="5"/>
      <c r="Q90" s="5">
        <f t="shared" si="14"/>
        <v>0</v>
      </c>
      <c r="R90" s="7">
        <f t="shared" si="15"/>
        <v>0</v>
      </c>
      <c r="S90" s="5">
        <f t="shared" si="16"/>
        <v>0</v>
      </c>
      <c r="T90" s="7">
        <f t="shared" si="17"/>
        <v>0</v>
      </c>
    </row>
    <row r="91" spans="1:20">
      <c r="A91" s="23" t="s">
        <v>103</v>
      </c>
      <c r="B91" s="35" t="s">
        <v>100</v>
      </c>
      <c r="C91" s="36">
        <v>20086</v>
      </c>
      <c r="D91" s="6"/>
      <c r="E91" s="113">
        <v>972512270</v>
      </c>
      <c r="F91" s="116">
        <f t="shared" si="18"/>
        <v>48417.418600019912</v>
      </c>
      <c r="G91" s="117">
        <v>768488704</v>
      </c>
      <c r="H91" s="117">
        <f t="shared" ref="H91:H122" si="23">(G91/C91)</f>
        <v>38259.917554515581</v>
      </c>
      <c r="I91" s="9"/>
      <c r="J91" s="11">
        <v>3.9070999999999998</v>
      </c>
      <c r="K91" s="117">
        <v>3002562</v>
      </c>
      <c r="L91" s="120">
        <f t="shared" ref="L91:L97" si="24">(K91/C91)</f>
        <v>149.48531315344022</v>
      </c>
      <c r="M91" s="122">
        <f t="shared" si="19"/>
        <v>7684887.04</v>
      </c>
      <c r="N91" s="116">
        <f t="shared" si="20"/>
        <v>4682325.04</v>
      </c>
      <c r="O91" s="123">
        <f t="shared" si="21"/>
        <v>233.11386239171563</v>
      </c>
      <c r="P91" s="5"/>
      <c r="Q91" s="5">
        <f t="shared" si="14"/>
        <v>1</v>
      </c>
      <c r="R91" s="7">
        <f t="shared" si="15"/>
        <v>20086</v>
      </c>
      <c r="S91" s="5">
        <f t="shared" si="16"/>
        <v>1</v>
      </c>
      <c r="T91" s="7">
        <f t="shared" si="17"/>
        <v>20086</v>
      </c>
    </row>
    <row r="92" spans="1:20">
      <c r="A92" s="23" t="s">
        <v>104</v>
      </c>
      <c r="B92" s="35" t="s">
        <v>100</v>
      </c>
      <c r="C92" s="36">
        <v>7503</v>
      </c>
      <c r="D92" s="6"/>
      <c r="E92" s="113">
        <v>343463752</v>
      </c>
      <c r="F92" s="116">
        <f t="shared" si="18"/>
        <v>45776.85619085699</v>
      </c>
      <c r="G92" s="117">
        <v>265529063</v>
      </c>
      <c r="H92" s="117">
        <f t="shared" si="23"/>
        <v>35389.719178995067</v>
      </c>
      <c r="I92" s="9"/>
      <c r="J92" s="10">
        <v>3.5392999999999999</v>
      </c>
      <c r="K92" s="117">
        <v>939787</v>
      </c>
      <c r="L92" s="120">
        <f t="shared" si="24"/>
        <v>125.25483140077303</v>
      </c>
      <c r="M92" s="122">
        <f t="shared" si="19"/>
        <v>2655290.63</v>
      </c>
      <c r="N92" s="116">
        <f t="shared" si="20"/>
        <v>1715503.63</v>
      </c>
      <c r="O92" s="123">
        <f t="shared" si="21"/>
        <v>228.64236038917764</v>
      </c>
      <c r="P92" s="5"/>
      <c r="Q92" s="5">
        <f t="shared" si="14"/>
        <v>1</v>
      </c>
      <c r="R92" s="7">
        <f t="shared" si="15"/>
        <v>7503</v>
      </c>
      <c r="S92" s="5">
        <f t="shared" si="16"/>
        <v>1</v>
      </c>
      <c r="T92" s="7">
        <f t="shared" si="17"/>
        <v>7503</v>
      </c>
    </row>
    <row r="93" spans="1:20">
      <c r="A93" s="23" t="s">
        <v>105</v>
      </c>
      <c r="B93" s="35" t="s">
        <v>106</v>
      </c>
      <c r="C93" s="36">
        <v>2040</v>
      </c>
      <c r="D93" s="6"/>
      <c r="E93" s="113">
        <v>37420210</v>
      </c>
      <c r="F93" s="116">
        <f t="shared" si="18"/>
        <v>18343.24019607843</v>
      </c>
      <c r="G93" s="117">
        <v>20901210</v>
      </c>
      <c r="H93" s="117">
        <f t="shared" si="23"/>
        <v>10245.691176470587</v>
      </c>
      <c r="I93" s="9"/>
      <c r="J93" s="10">
        <v>1.155</v>
      </c>
      <c r="K93" s="117">
        <v>24140</v>
      </c>
      <c r="L93" s="120">
        <f t="shared" si="24"/>
        <v>11.833333333333334</v>
      </c>
      <c r="M93" s="122">
        <f t="shared" si="19"/>
        <v>209012.1</v>
      </c>
      <c r="N93" s="116">
        <f t="shared" si="20"/>
        <v>184872.1</v>
      </c>
      <c r="O93" s="123">
        <f t="shared" si="21"/>
        <v>90.62357843137255</v>
      </c>
      <c r="P93" s="5"/>
      <c r="Q93" s="5">
        <f t="shared" si="14"/>
        <v>1</v>
      </c>
      <c r="R93" s="7">
        <f t="shared" si="15"/>
        <v>2040</v>
      </c>
      <c r="S93" s="5">
        <f t="shared" si="16"/>
        <v>1</v>
      </c>
      <c r="T93" s="7">
        <f t="shared" si="17"/>
        <v>2040</v>
      </c>
    </row>
    <row r="94" spans="1:20">
      <c r="A94" s="23" t="s">
        <v>107</v>
      </c>
      <c r="B94" s="35" t="s">
        <v>106</v>
      </c>
      <c r="C94" s="36">
        <v>60658</v>
      </c>
      <c r="D94" s="6"/>
      <c r="E94" s="113">
        <v>2311072580</v>
      </c>
      <c r="F94" s="116">
        <f t="shared" si="18"/>
        <v>38100.045830723073</v>
      </c>
      <c r="G94" s="117">
        <v>1511782250</v>
      </c>
      <c r="H94" s="117">
        <f t="shared" si="23"/>
        <v>24923.048072801608</v>
      </c>
      <c r="I94" s="9"/>
      <c r="J94" s="10">
        <v>5.0570000000000004</v>
      </c>
      <c r="K94" s="117">
        <v>7645082</v>
      </c>
      <c r="L94" s="120">
        <f t="shared" si="24"/>
        <v>126.03584028487586</v>
      </c>
      <c r="M94" s="122">
        <f t="shared" si="19"/>
        <v>15117822.5</v>
      </c>
      <c r="N94" s="116">
        <f t="shared" si="20"/>
        <v>7472740.5</v>
      </c>
      <c r="O94" s="123">
        <f t="shared" si="21"/>
        <v>123.19464044314023</v>
      </c>
      <c r="P94" s="5"/>
      <c r="Q94" s="5">
        <f t="shared" si="14"/>
        <v>1</v>
      </c>
      <c r="R94" s="7">
        <f t="shared" si="15"/>
        <v>60658</v>
      </c>
      <c r="S94" s="5">
        <f t="shared" si="16"/>
        <v>1</v>
      </c>
      <c r="T94" s="7">
        <f t="shared" si="17"/>
        <v>60658</v>
      </c>
    </row>
    <row r="95" spans="1:20">
      <c r="A95" s="23" t="s">
        <v>108</v>
      </c>
      <c r="B95" s="35" t="s">
        <v>109</v>
      </c>
      <c r="C95" s="36">
        <v>324</v>
      </c>
      <c r="D95" s="6"/>
      <c r="E95" s="113">
        <v>19410506</v>
      </c>
      <c r="F95" s="116">
        <f t="shared" si="18"/>
        <v>59908.969135802472</v>
      </c>
      <c r="G95" s="117">
        <v>16658575</v>
      </c>
      <c r="H95" s="117">
        <f t="shared" si="23"/>
        <v>51415.354938271608</v>
      </c>
      <c r="I95" s="9"/>
      <c r="J95" s="10">
        <v>0.96</v>
      </c>
      <c r="K95" s="117">
        <v>15992</v>
      </c>
      <c r="L95" s="120">
        <f t="shared" si="24"/>
        <v>49.358024691358025</v>
      </c>
      <c r="M95" s="122">
        <f t="shared" si="19"/>
        <v>166585.75</v>
      </c>
      <c r="N95" s="116">
        <f t="shared" si="20"/>
        <v>150593.75</v>
      </c>
      <c r="O95" s="123">
        <f t="shared" si="21"/>
        <v>464.79552469135803</v>
      </c>
      <c r="P95" s="5"/>
      <c r="Q95" s="5">
        <f t="shared" si="14"/>
        <v>1</v>
      </c>
      <c r="R95" s="7">
        <f t="shared" si="15"/>
        <v>324</v>
      </c>
      <c r="S95" s="5">
        <f t="shared" si="16"/>
        <v>1</v>
      </c>
      <c r="T95" s="7">
        <f t="shared" si="17"/>
        <v>324</v>
      </c>
    </row>
    <row r="96" spans="1:20">
      <c r="A96" s="23" t="s">
        <v>110</v>
      </c>
      <c r="B96" s="35" t="s">
        <v>109</v>
      </c>
      <c r="C96" s="36">
        <v>2048</v>
      </c>
      <c r="D96" s="6"/>
      <c r="E96" s="113">
        <v>94534937</v>
      </c>
      <c r="F96" s="116">
        <f t="shared" si="18"/>
        <v>46159.63720703125</v>
      </c>
      <c r="G96" s="117">
        <v>49586008</v>
      </c>
      <c r="H96" s="117">
        <f t="shared" si="23"/>
        <v>24211.91796875</v>
      </c>
      <c r="I96" s="7"/>
      <c r="J96" s="10">
        <v>4.95</v>
      </c>
      <c r="K96" s="117">
        <v>245450</v>
      </c>
      <c r="L96" s="120">
        <f t="shared" si="24"/>
        <v>119.8486328125</v>
      </c>
      <c r="M96" s="122">
        <f t="shared" si="19"/>
        <v>495860.08</v>
      </c>
      <c r="N96" s="116">
        <f t="shared" si="20"/>
        <v>250410.08000000002</v>
      </c>
      <c r="O96" s="123">
        <f t="shared" si="21"/>
        <v>122.27054687500001</v>
      </c>
      <c r="P96" s="5"/>
      <c r="Q96" s="5">
        <f t="shared" si="14"/>
        <v>1</v>
      </c>
      <c r="R96" s="7">
        <f t="shared" si="15"/>
        <v>2048</v>
      </c>
      <c r="S96" s="5">
        <f t="shared" si="16"/>
        <v>1</v>
      </c>
      <c r="T96" s="7">
        <f t="shared" si="17"/>
        <v>2048</v>
      </c>
    </row>
    <row r="97" spans="1:20">
      <c r="A97" s="23" t="s">
        <v>112</v>
      </c>
      <c r="B97" s="35" t="s">
        <v>109</v>
      </c>
      <c r="C97" s="36">
        <v>4225</v>
      </c>
      <c r="D97" s="6"/>
      <c r="E97" s="113">
        <v>282317390</v>
      </c>
      <c r="F97" s="116">
        <f t="shared" si="18"/>
        <v>66820.68402366864</v>
      </c>
      <c r="G97" s="117">
        <v>231478421</v>
      </c>
      <c r="H97" s="117">
        <f t="shared" si="23"/>
        <v>54787.791952662723</v>
      </c>
      <c r="I97" s="7"/>
      <c r="J97" s="10">
        <v>2.7736999999999998</v>
      </c>
      <c r="K97" s="117">
        <v>642051</v>
      </c>
      <c r="L97" s="120">
        <f t="shared" si="24"/>
        <v>151.96473372781065</v>
      </c>
      <c r="M97" s="122">
        <f t="shared" si="19"/>
        <v>2314784.21</v>
      </c>
      <c r="N97" s="116">
        <f t="shared" si="20"/>
        <v>1672733.21</v>
      </c>
      <c r="O97" s="123">
        <f t="shared" si="21"/>
        <v>395.91318579881658</v>
      </c>
      <c r="P97" s="5"/>
      <c r="Q97" s="5">
        <f t="shared" si="14"/>
        <v>1</v>
      </c>
      <c r="R97" s="7">
        <f t="shared" si="15"/>
        <v>4225</v>
      </c>
      <c r="S97" s="5">
        <f t="shared" si="16"/>
        <v>1</v>
      </c>
      <c r="T97" s="7">
        <f t="shared" si="17"/>
        <v>4225</v>
      </c>
    </row>
    <row r="98" spans="1:20">
      <c r="A98" s="23" t="s">
        <v>111</v>
      </c>
      <c r="B98" s="35" t="s">
        <v>557</v>
      </c>
      <c r="C98" s="36">
        <v>12</v>
      </c>
      <c r="D98" s="6"/>
      <c r="E98" s="113">
        <v>7039072</v>
      </c>
      <c r="F98" s="116">
        <f t="shared" si="18"/>
        <v>586589.33333333337</v>
      </c>
      <c r="G98" s="117">
        <v>6310403</v>
      </c>
      <c r="H98" s="117">
        <f t="shared" si="23"/>
        <v>525866.91666666663</v>
      </c>
      <c r="I98" s="98" t="s">
        <v>528</v>
      </c>
      <c r="J98" s="10"/>
      <c r="K98" s="117"/>
      <c r="L98" s="120"/>
      <c r="M98" s="122">
        <f t="shared" si="19"/>
        <v>63104.03</v>
      </c>
      <c r="N98" s="116">
        <f t="shared" si="20"/>
        <v>63104.03</v>
      </c>
      <c r="O98" s="123">
        <f t="shared" si="21"/>
        <v>5258.6691666666666</v>
      </c>
      <c r="P98" s="5"/>
      <c r="Q98" s="5">
        <f t="shared" si="14"/>
        <v>1</v>
      </c>
      <c r="R98" s="7">
        <f t="shared" si="15"/>
        <v>12</v>
      </c>
      <c r="S98" s="5">
        <f t="shared" si="16"/>
        <v>0</v>
      </c>
      <c r="T98" s="7">
        <f t="shared" si="17"/>
        <v>0</v>
      </c>
    </row>
    <row r="99" spans="1:20">
      <c r="A99" s="23" t="s">
        <v>114</v>
      </c>
      <c r="B99" s="35" t="s">
        <v>115</v>
      </c>
      <c r="C99" s="36">
        <v>2798</v>
      </c>
      <c r="D99" s="6"/>
      <c r="E99" s="113">
        <v>84264350</v>
      </c>
      <c r="F99" s="116">
        <f t="shared" si="18"/>
        <v>30115.922087205148</v>
      </c>
      <c r="G99" s="117">
        <v>48086272</v>
      </c>
      <c r="H99" s="117">
        <f t="shared" si="23"/>
        <v>17185.944245889921</v>
      </c>
      <c r="I99" s="7"/>
      <c r="J99" s="10">
        <v>8.8914000000000009</v>
      </c>
      <c r="K99" s="117">
        <v>427554</v>
      </c>
      <c r="L99" s="120">
        <f t="shared" ref="L99:L106" si="25">(K99/C99)</f>
        <v>152.80700500357398</v>
      </c>
      <c r="M99" s="122">
        <f t="shared" si="19"/>
        <v>480862.72000000003</v>
      </c>
      <c r="N99" s="116">
        <f t="shared" si="20"/>
        <v>53308.72000000003</v>
      </c>
      <c r="O99" s="123">
        <f t="shared" si="21"/>
        <v>19.052437455325244</v>
      </c>
      <c r="P99" s="5"/>
      <c r="Q99" s="5">
        <f t="shared" si="14"/>
        <v>1</v>
      </c>
      <c r="R99" s="7">
        <f t="shared" si="15"/>
        <v>2798</v>
      </c>
      <c r="S99" s="5">
        <f t="shared" si="16"/>
        <v>1</v>
      </c>
      <c r="T99" s="7">
        <f t="shared" si="17"/>
        <v>2798</v>
      </c>
    </row>
    <row r="100" spans="1:20">
      <c r="A100" s="23" t="s">
        <v>116</v>
      </c>
      <c r="B100" s="35" t="s">
        <v>115</v>
      </c>
      <c r="C100" s="36">
        <v>1361</v>
      </c>
      <c r="D100" s="6"/>
      <c r="E100" s="113">
        <v>44686162</v>
      </c>
      <c r="F100" s="116">
        <f t="shared" si="18"/>
        <v>32833.329904482001</v>
      </c>
      <c r="G100" s="117">
        <v>24846408</v>
      </c>
      <c r="H100" s="117">
        <f t="shared" si="23"/>
        <v>18255.994121969139</v>
      </c>
      <c r="I100" s="7"/>
      <c r="J100" s="10">
        <v>8.0259999999999998</v>
      </c>
      <c r="K100" s="117">
        <v>199417</v>
      </c>
      <c r="L100" s="120">
        <f t="shared" si="25"/>
        <v>146.52240999265246</v>
      </c>
      <c r="M100" s="122">
        <f t="shared" si="19"/>
        <v>248464.08000000002</v>
      </c>
      <c r="N100" s="116">
        <f t="shared" si="20"/>
        <v>49047.080000000016</v>
      </c>
      <c r="O100" s="123">
        <f t="shared" si="21"/>
        <v>36.037531227038954</v>
      </c>
      <c r="P100" s="5"/>
      <c r="Q100" s="5">
        <f t="shared" si="14"/>
        <v>1</v>
      </c>
      <c r="R100" s="7">
        <f t="shared" si="15"/>
        <v>1361</v>
      </c>
      <c r="S100" s="5">
        <f t="shared" si="16"/>
        <v>1</v>
      </c>
      <c r="T100" s="7">
        <f t="shared" si="17"/>
        <v>1361</v>
      </c>
    </row>
    <row r="101" spans="1:20">
      <c r="A101" s="23" t="s">
        <v>117</v>
      </c>
      <c r="B101" s="35" t="s">
        <v>118</v>
      </c>
      <c r="C101" s="36">
        <v>4104</v>
      </c>
      <c r="D101" s="6"/>
      <c r="E101" s="113">
        <v>173402738</v>
      </c>
      <c r="F101" s="116">
        <f t="shared" si="18"/>
        <v>42252.129142300197</v>
      </c>
      <c r="G101" s="117">
        <v>25774709</v>
      </c>
      <c r="H101" s="117">
        <f t="shared" si="23"/>
        <v>6280.3871832358673</v>
      </c>
      <c r="I101" s="9"/>
      <c r="J101" s="10">
        <v>1.0609999999999999</v>
      </c>
      <c r="K101" s="117">
        <v>27346</v>
      </c>
      <c r="L101" s="120">
        <f t="shared" si="25"/>
        <v>6.6632553606237819</v>
      </c>
      <c r="M101" s="122">
        <f t="shared" si="19"/>
        <v>257747.09</v>
      </c>
      <c r="N101" s="116">
        <f t="shared" si="20"/>
        <v>230401.09</v>
      </c>
      <c r="O101" s="123">
        <f t="shared" si="21"/>
        <v>56.140616471734894</v>
      </c>
      <c r="P101" s="5"/>
      <c r="Q101" s="5">
        <f t="shared" si="14"/>
        <v>1</v>
      </c>
      <c r="R101" s="7">
        <f t="shared" si="15"/>
        <v>4104</v>
      </c>
      <c r="S101" s="5">
        <f t="shared" si="16"/>
        <v>1</v>
      </c>
      <c r="T101" s="7">
        <f t="shared" si="17"/>
        <v>4104</v>
      </c>
    </row>
    <row r="102" spans="1:20">
      <c r="A102" s="23" t="s">
        <v>119</v>
      </c>
      <c r="B102" s="35" t="s">
        <v>118</v>
      </c>
      <c r="C102" s="36">
        <v>592</v>
      </c>
      <c r="D102" s="6"/>
      <c r="E102" s="113">
        <v>9963057</v>
      </c>
      <c r="F102" s="116">
        <f t="shared" si="18"/>
        <v>16829.488175675677</v>
      </c>
      <c r="G102" s="117">
        <v>4245932</v>
      </c>
      <c r="H102" s="117">
        <f t="shared" si="23"/>
        <v>7172.1824324324325</v>
      </c>
      <c r="I102" s="7"/>
      <c r="J102" s="10">
        <v>2</v>
      </c>
      <c r="K102" s="117">
        <v>8491</v>
      </c>
      <c r="L102" s="120">
        <f t="shared" si="25"/>
        <v>14.342905405405405</v>
      </c>
      <c r="M102" s="122">
        <f t="shared" si="19"/>
        <v>42459.32</v>
      </c>
      <c r="N102" s="116">
        <f t="shared" si="20"/>
        <v>33968.32</v>
      </c>
      <c r="O102" s="123">
        <f t="shared" si="21"/>
        <v>57.37891891891892</v>
      </c>
      <c r="P102" s="5"/>
      <c r="Q102" s="5">
        <f t="shared" si="14"/>
        <v>1</v>
      </c>
      <c r="R102" s="7">
        <f t="shared" si="15"/>
        <v>592</v>
      </c>
      <c r="S102" s="5">
        <f t="shared" si="16"/>
        <v>1</v>
      </c>
      <c r="T102" s="7">
        <f t="shared" si="17"/>
        <v>592</v>
      </c>
    </row>
    <row r="103" spans="1:20">
      <c r="A103" s="23" t="s">
        <v>120</v>
      </c>
      <c r="B103" s="35" t="s">
        <v>118</v>
      </c>
      <c r="C103" s="36">
        <v>2841</v>
      </c>
      <c r="D103" s="6"/>
      <c r="E103" s="113">
        <v>15295267</v>
      </c>
      <c r="F103" s="116">
        <f t="shared" si="18"/>
        <v>5383.7617036254842</v>
      </c>
      <c r="G103" s="117">
        <v>4796828</v>
      </c>
      <c r="H103" s="117">
        <f t="shared" si="23"/>
        <v>1688.4294262583596</v>
      </c>
      <c r="I103" s="7"/>
      <c r="J103" s="10">
        <v>2</v>
      </c>
      <c r="K103" s="117">
        <v>9593</v>
      </c>
      <c r="L103" s="120">
        <f t="shared" si="25"/>
        <v>3.3766279479056669</v>
      </c>
      <c r="M103" s="122">
        <f t="shared" si="19"/>
        <v>47968.28</v>
      </c>
      <c r="N103" s="116">
        <f t="shared" si="20"/>
        <v>38375.279999999999</v>
      </c>
      <c r="O103" s="123">
        <f t="shared" si="21"/>
        <v>13.50766631467793</v>
      </c>
      <c r="P103" s="5"/>
      <c r="Q103" s="5">
        <f t="shared" si="14"/>
        <v>1</v>
      </c>
      <c r="R103" s="7">
        <f t="shared" si="15"/>
        <v>2841</v>
      </c>
      <c r="S103" s="5">
        <f t="shared" si="16"/>
        <v>1</v>
      </c>
      <c r="T103" s="7">
        <f t="shared" si="17"/>
        <v>2841</v>
      </c>
    </row>
    <row r="104" spans="1:20">
      <c r="A104" s="23" t="s">
        <v>121</v>
      </c>
      <c r="B104" s="35" t="s">
        <v>118</v>
      </c>
      <c r="C104" s="36">
        <v>1864</v>
      </c>
      <c r="D104" s="6"/>
      <c r="E104" s="113">
        <v>44134599</v>
      </c>
      <c r="F104" s="116">
        <f t="shared" si="18"/>
        <v>23677.359978540771</v>
      </c>
      <c r="G104" s="117">
        <v>28484215</v>
      </c>
      <c r="H104" s="117">
        <f t="shared" si="23"/>
        <v>15281.231223175966</v>
      </c>
      <c r="I104" s="7"/>
      <c r="J104" s="11">
        <v>1.1020000000000001</v>
      </c>
      <c r="K104" s="117">
        <v>31389</v>
      </c>
      <c r="L104" s="120">
        <f t="shared" si="25"/>
        <v>16.839592274678111</v>
      </c>
      <c r="M104" s="122">
        <f t="shared" si="19"/>
        <v>284842.15000000002</v>
      </c>
      <c r="N104" s="116">
        <f t="shared" si="20"/>
        <v>253453.15000000002</v>
      </c>
      <c r="O104" s="123">
        <f t="shared" si="21"/>
        <v>135.97271995708155</v>
      </c>
      <c r="P104" s="5"/>
      <c r="Q104" s="5">
        <f t="shared" si="14"/>
        <v>1</v>
      </c>
      <c r="R104" s="7">
        <f t="shared" si="15"/>
        <v>1864</v>
      </c>
      <c r="S104" s="5">
        <f t="shared" si="16"/>
        <v>1</v>
      </c>
      <c r="T104" s="7">
        <f t="shared" si="17"/>
        <v>1864</v>
      </c>
    </row>
    <row r="105" spans="1:20">
      <c r="A105" s="23" t="s">
        <v>122</v>
      </c>
      <c r="B105" s="35" t="s">
        <v>118</v>
      </c>
      <c r="C105" s="36">
        <v>1172</v>
      </c>
      <c r="D105" s="6"/>
      <c r="E105" s="113">
        <v>14106322</v>
      </c>
      <c r="F105" s="116">
        <f t="shared" si="18"/>
        <v>12036.110921501706</v>
      </c>
      <c r="G105" s="117">
        <v>8212781</v>
      </c>
      <c r="H105" s="117">
        <f t="shared" si="23"/>
        <v>7007.492320819113</v>
      </c>
      <c r="I105" s="7"/>
      <c r="J105" s="10">
        <v>5</v>
      </c>
      <c r="K105" s="117">
        <v>41063</v>
      </c>
      <c r="L105" s="120">
        <f t="shared" si="25"/>
        <v>35.036689419795223</v>
      </c>
      <c r="M105" s="122">
        <f t="shared" si="19"/>
        <v>82127.81</v>
      </c>
      <c r="N105" s="116">
        <f t="shared" si="20"/>
        <v>41064.81</v>
      </c>
      <c r="O105" s="123">
        <f t="shared" si="21"/>
        <v>35.0382337883959</v>
      </c>
      <c r="P105" s="5"/>
      <c r="Q105" s="5">
        <f t="shared" si="14"/>
        <v>1</v>
      </c>
      <c r="R105" s="7">
        <f t="shared" si="15"/>
        <v>1172</v>
      </c>
      <c r="S105" s="5">
        <f t="shared" si="16"/>
        <v>1</v>
      </c>
      <c r="T105" s="7">
        <f t="shared" si="17"/>
        <v>1172</v>
      </c>
    </row>
    <row r="106" spans="1:20">
      <c r="A106" s="23" t="s">
        <v>123</v>
      </c>
      <c r="B106" s="35" t="s">
        <v>118</v>
      </c>
      <c r="C106" s="36">
        <v>7336</v>
      </c>
      <c r="D106" s="6"/>
      <c r="E106" s="113">
        <v>228238132</v>
      </c>
      <c r="F106" s="116">
        <f t="shared" si="18"/>
        <v>31112.068157033806</v>
      </c>
      <c r="G106" s="117">
        <v>132717734</v>
      </c>
      <c r="H106" s="117">
        <f t="shared" si="23"/>
        <v>18091.294165757907</v>
      </c>
      <c r="I106" s="7"/>
      <c r="J106" s="10">
        <v>1.254</v>
      </c>
      <c r="K106" s="117">
        <v>166428</v>
      </c>
      <c r="L106" s="120">
        <f t="shared" si="25"/>
        <v>22.686477644492911</v>
      </c>
      <c r="M106" s="122">
        <f t="shared" si="19"/>
        <v>1327177.3400000001</v>
      </c>
      <c r="N106" s="116">
        <f t="shared" si="20"/>
        <v>1160749.3400000001</v>
      </c>
      <c r="O106" s="123">
        <f t="shared" si="21"/>
        <v>158.22646401308617</v>
      </c>
      <c r="P106" s="5"/>
      <c r="Q106" s="5">
        <f t="shared" si="14"/>
        <v>1</v>
      </c>
      <c r="R106" s="7">
        <f t="shared" si="15"/>
        <v>7336</v>
      </c>
      <c r="S106" s="5">
        <f t="shared" si="16"/>
        <v>1</v>
      </c>
      <c r="T106" s="7">
        <f t="shared" si="17"/>
        <v>7336</v>
      </c>
    </row>
    <row r="107" spans="1:20">
      <c r="A107" s="23" t="s">
        <v>124</v>
      </c>
      <c r="B107" s="35" t="s">
        <v>125</v>
      </c>
      <c r="C107" s="36">
        <v>286</v>
      </c>
      <c r="D107" s="6"/>
      <c r="E107" s="113">
        <v>7345249</v>
      </c>
      <c r="F107" s="116">
        <f t="shared" si="18"/>
        <v>25682.688811188811</v>
      </c>
      <c r="G107" s="117">
        <v>3174673</v>
      </c>
      <c r="H107" s="117">
        <f t="shared" si="23"/>
        <v>11100.255244755244</v>
      </c>
      <c r="I107" s="98" t="s">
        <v>528</v>
      </c>
      <c r="J107" s="10"/>
      <c r="K107" s="117"/>
      <c r="L107" s="120"/>
      <c r="M107" s="122">
        <f t="shared" si="19"/>
        <v>31746.73</v>
      </c>
      <c r="N107" s="116">
        <f t="shared" si="20"/>
        <v>31746.73</v>
      </c>
      <c r="O107" s="123">
        <f t="shared" si="21"/>
        <v>111.00255244755245</v>
      </c>
      <c r="P107" s="5"/>
      <c r="Q107" s="5">
        <f t="shared" si="14"/>
        <v>1</v>
      </c>
      <c r="R107" s="7">
        <f t="shared" si="15"/>
        <v>286</v>
      </c>
      <c r="S107" s="5">
        <f t="shared" si="16"/>
        <v>0</v>
      </c>
      <c r="T107" s="7">
        <f t="shared" si="17"/>
        <v>0</v>
      </c>
    </row>
    <row r="108" spans="1:20">
      <c r="A108" s="23" t="s">
        <v>126</v>
      </c>
      <c r="B108" s="35" t="s">
        <v>125</v>
      </c>
      <c r="C108" s="36">
        <v>1346</v>
      </c>
      <c r="D108" s="6"/>
      <c r="E108" s="113">
        <v>36153829</v>
      </c>
      <c r="F108" s="116">
        <f t="shared" si="18"/>
        <v>26860.199851411591</v>
      </c>
      <c r="G108" s="117">
        <v>20057650</v>
      </c>
      <c r="H108" s="117">
        <f t="shared" si="23"/>
        <v>14901.671619613669</v>
      </c>
      <c r="I108" s="98" t="s">
        <v>528</v>
      </c>
      <c r="J108" s="10"/>
      <c r="K108" s="117"/>
      <c r="L108" s="120"/>
      <c r="M108" s="122">
        <f t="shared" si="19"/>
        <v>200576.5</v>
      </c>
      <c r="N108" s="116">
        <f t="shared" si="20"/>
        <v>200576.5</v>
      </c>
      <c r="O108" s="123">
        <f t="shared" si="21"/>
        <v>149.01671619613671</v>
      </c>
      <c r="P108" s="5"/>
      <c r="Q108" s="5">
        <f t="shared" si="14"/>
        <v>1</v>
      </c>
      <c r="R108" s="7">
        <f t="shared" si="15"/>
        <v>1346</v>
      </c>
      <c r="S108" s="5">
        <f t="shared" si="16"/>
        <v>0</v>
      </c>
      <c r="T108" s="7">
        <f t="shared" si="17"/>
        <v>0</v>
      </c>
    </row>
    <row r="109" spans="1:20">
      <c r="A109" s="23" t="s">
        <v>127</v>
      </c>
      <c r="B109" s="35" t="s">
        <v>128</v>
      </c>
      <c r="C109" s="36">
        <v>534</v>
      </c>
      <c r="D109" s="6"/>
      <c r="E109" s="113">
        <v>19440362</v>
      </c>
      <c r="F109" s="116">
        <f t="shared" si="18"/>
        <v>36405.172284644192</v>
      </c>
      <c r="G109" s="117">
        <v>13446433</v>
      </c>
      <c r="H109" s="117">
        <f t="shared" si="23"/>
        <v>25180.586142322096</v>
      </c>
      <c r="I109" s="7"/>
      <c r="J109" s="10">
        <v>2</v>
      </c>
      <c r="K109" s="117">
        <v>26891</v>
      </c>
      <c r="L109" s="120">
        <f t="shared" ref="L109:L128" si="26">(K109/C109)</f>
        <v>50.357677902621724</v>
      </c>
      <c r="M109" s="122">
        <f t="shared" si="19"/>
        <v>134464.33000000002</v>
      </c>
      <c r="N109" s="116">
        <f t="shared" si="20"/>
        <v>107573.33000000002</v>
      </c>
      <c r="O109" s="123">
        <f t="shared" si="21"/>
        <v>201.44818352059929</v>
      </c>
      <c r="P109" s="5"/>
      <c r="Q109" s="5">
        <f t="shared" si="14"/>
        <v>1</v>
      </c>
      <c r="R109" s="7">
        <f t="shared" si="15"/>
        <v>534</v>
      </c>
      <c r="S109" s="5">
        <f t="shared" si="16"/>
        <v>1</v>
      </c>
      <c r="T109" s="7">
        <f t="shared" si="17"/>
        <v>534</v>
      </c>
    </row>
    <row r="110" spans="1:20">
      <c r="A110" s="23" t="s">
        <v>129</v>
      </c>
      <c r="B110" s="35" t="s">
        <v>130</v>
      </c>
      <c r="C110" s="36">
        <v>1548</v>
      </c>
      <c r="D110" s="6"/>
      <c r="E110" s="113">
        <v>38841276</v>
      </c>
      <c r="F110" s="116">
        <f t="shared" si="18"/>
        <v>25091.263565891473</v>
      </c>
      <c r="G110" s="117">
        <v>20513562</v>
      </c>
      <c r="H110" s="117">
        <f t="shared" si="23"/>
        <v>13251.655038759691</v>
      </c>
      <c r="I110" s="7"/>
      <c r="J110" s="10">
        <v>4.6379999999999999</v>
      </c>
      <c r="K110" s="117">
        <v>95141</v>
      </c>
      <c r="L110" s="120">
        <f t="shared" si="26"/>
        <v>61.46059431524548</v>
      </c>
      <c r="M110" s="122">
        <f t="shared" si="19"/>
        <v>205135.62</v>
      </c>
      <c r="N110" s="116">
        <f t="shared" si="20"/>
        <v>109994.62</v>
      </c>
      <c r="O110" s="123">
        <f t="shared" si="21"/>
        <v>71.055956072351421</v>
      </c>
      <c r="P110" s="5"/>
      <c r="Q110" s="5">
        <f t="shared" si="14"/>
        <v>1</v>
      </c>
      <c r="R110" s="7">
        <f t="shared" si="15"/>
        <v>1548</v>
      </c>
      <c r="S110" s="5">
        <f t="shared" si="16"/>
        <v>1</v>
      </c>
      <c r="T110" s="7">
        <f t="shared" si="17"/>
        <v>1548</v>
      </c>
    </row>
    <row r="111" spans="1:20">
      <c r="A111" s="23" t="s">
        <v>545</v>
      </c>
      <c r="B111" s="35" t="s">
        <v>131</v>
      </c>
      <c r="C111" s="36">
        <v>4128</v>
      </c>
      <c r="D111" s="6"/>
      <c r="E111" s="113">
        <v>326948928</v>
      </c>
      <c r="F111" s="116">
        <f t="shared" si="18"/>
        <v>79202.744186046519</v>
      </c>
      <c r="G111" s="117">
        <v>284120640</v>
      </c>
      <c r="H111" s="117">
        <f t="shared" si="23"/>
        <v>68827.674418604656</v>
      </c>
      <c r="I111" s="9"/>
      <c r="J111" s="10">
        <v>5.2408000000000001</v>
      </c>
      <c r="K111" s="117">
        <v>1489019</v>
      </c>
      <c r="L111" s="120">
        <f t="shared" si="26"/>
        <v>360.71196705426354</v>
      </c>
      <c r="M111" s="122">
        <f t="shared" si="19"/>
        <v>2841206.4</v>
      </c>
      <c r="N111" s="116">
        <f t="shared" si="20"/>
        <v>1352187.4</v>
      </c>
      <c r="O111" s="123">
        <f t="shared" si="21"/>
        <v>327.56477713178293</v>
      </c>
      <c r="P111" s="5"/>
      <c r="Q111" s="5">
        <f t="shared" si="14"/>
        <v>1</v>
      </c>
      <c r="R111" s="7">
        <f t="shared" si="15"/>
        <v>4128</v>
      </c>
      <c r="S111" s="5">
        <f t="shared" si="16"/>
        <v>1</v>
      </c>
      <c r="T111" s="7">
        <f t="shared" si="17"/>
        <v>4128</v>
      </c>
    </row>
    <row r="112" spans="1:20">
      <c r="A112" s="23" t="s">
        <v>132</v>
      </c>
      <c r="B112" s="35" t="s">
        <v>131</v>
      </c>
      <c r="C112" s="36">
        <v>1830</v>
      </c>
      <c r="D112" s="6"/>
      <c r="E112" s="113">
        <v>35408936</v>
      </c>
      <c r="F112" s="116">
        <f t="shared" si="18"/>
        <v>19349.145355191256</v>
      </c>
      <c r="G112" s="117">
        <v>20841902</v>
      </c>
      <c r="H112" s="117">
        <f t="shared" si="23"/>
        <v>11389.017486338798</v>
      </c>
      <c r="I112" s="9"/>
      <c r="J112" s="10">
        <v>5.3</v>
      </c>
      <c r="K112" s="117">
        <v>110462</v>
      </c>
      <c r="L112" s="120">
        <f t="shared" si="26"/>
        <v>60.361748633879785</v>
      </c>
      <c r="M112" s="122">
        <f t="shared" si="19"/>
        <v>208419.02000000002</v>
      </c>
      <c r="N112" s="116">
        <f t="shared" si="20"/>
        <v>97957.020000000019</v>
      </c>
      <c r="O112" s="123">
        <f t="shared" si="21"/>
        <v>53.528426229508206</v>
      </c>
      <c r="P112" s="5"/>
      <c r="Q112" s="5">
        <f t="shared" si="14"/>
        <v>1</v>
      </c>
      <c r="R112" s="7">
        <f t="shared" si="15"/>
        <v>1830</v>
      </c>
      <c r="S112" s="5">
        <f t="shared" si="16"/>
        <v>1</v>
      </c>
      <c r="T112" s="7">
        <f t="shared" si="17"/>
        <v>1830</v>
      </c>
    </row>
    <row r="113" spans="1:20">
      <c r="A113" s="23" t="s">
        <v>133</v>
      </c>
      <c r="B113" s="35" t="s">
        <v>134</v>
      </c>
      <c r="C113" s="36">
        <v>2075</v>
      </c>
      <c r="D113" s="6"/>
      <c r="E113" s="113">
        <v>67889403</v>
      </c>
      <c r="F113" s="116">
        <f t="shared" si="18"/>
        <v>32717.784578313254</v>
      </c>
      <c r="G113" s="117">
        <v>39238055</v>
      </c>
      <c r="H113" s="117">
        <f t="shared" si="23"/>
        <v>18909.906024096384</v>
      </c>
      <c r="I113" s="7"/>
      <c r="J113" s="11">
        <v>3.2578</v>
      </c>
      <c r="K113" s="117">
        <v>127829</v>
      </c>
      <c r="L113" s="120">
        <f t="shared" si="26"/>
        <v>61.604337349397589</v>
      </c>
      <c r="M113" s="122">
        <f t="shared" si="19"/>
        <v>392380.55</v>
      </c>
      <c r="N113" s="116">
        <f t="shared" si="20"/>
        <v>264551.55</v>
      </c>
      <c r="O113" s="123">
        <f t="shared" si="21"/>
        <v>127.49472289156625</v>
      </c>
      <c r="P113" s="5"/>
      <c r="Q113" s="5">
        <f t="shared" si="14"/>
        <v>1</v>
      </c>
      <c r="R113" s="7">
        <f t="shared" si="15"/>
        <v>2075</v>
      </c>
      <c r="S113" s="5">
        <f t="shared" si="16"/>
        <v>1</v>
      </c>
      <c r="T113" s="7">
        <f t="shared" si="17"/>
        <v>2075</v>
      </c>
    </row>
    <row r="114" spans="1:20">
      <c r="A114" s="23" t="s">
        <v>135</v>
      </c>
      <c r="B114" s="35" t="s">
        <v>134</v>
      </c>
      <c r="C114" s="36">
        <v>783</v>
      </c>
      <c r="D114" s="6"/>
      <c r="E114" s="113">
        <v>14176580</v>
      </c>
      <c r="F114" s="116">
        <f t="shared" si="18"/>
        <v>18105.466155810984</v>
      </c>
      <c r="G114" s="117">
        <v>8762087</v>
      </c>
      <c r="H114" s="117">
        <f t="shared" si="23"/>
        <v>11190.404853128992</v>
      </c>
      <c r="I114" s="7"/>
      <c r="J114" s="11">
        <v>1.3806</v>
      </c>
      <c r="K114" s="117">
        <v>12096</v>
      </c>
      <c r="L114" s="120">
        <f t="shared" si="26"/>
        <v>15.448275862068966</v>
      </c>
      <c r="M114" s="122">
        <f t="shared" si="19"/>
        <v>87620.87</v>
      </c>
      <c r="N114" s="116">
        <f t="shared" si="20"/>
        <v>75524.87</v>
      </c>
      <c r="O114" s="123">
        <f t="shared" si="21"/>
        <v>96.455772669220934</v>
      </c>
      <c r="P114" s="5"/>
      <c r="Q114" s="5">
        <f t="shared" si="14"/>
        <v>1</v>
      </c>
      <c r="R114" s="7">
        <f t="shared" si="15"/>
        <v>783</v>
      </c>
      <c r="S114" s="5">
        <f t="shared" si="16"/>
        <v>1</v>
      </c>
      <c r="T114" s="7">
        <f t="shared" si="17"/>
        <v>783</v>
      </c>
    </row>
    <row r="115" spans="1:20">
      <c r="A115" s="23" t="s">
        <v>136</v>
      </c>
      <c r="B115" s="35" t="s">
        <v>134</v>
      </c>
      <c r="C115" s="36">
        <v>817</v>
      </c>
      <c r="D115" s="6"/>
      <c r="E115" s="113">
        <v>16083365</v>
      </c>
      <c r="F115" s="116">
        <f t="shared" si="18"/>
        <v>19685.881272949817</v>
      </c>
      <c r="G115" s="117">
        <v>7355189</v>
      </c>
      <c r="H115" s="117">
        <f t="shared" si="23"/>
        <v>9002.6793145654829</v>
      </c>
      <c r="I115" s="7"/>
      <c r="J115" s="10">
        <v>3.66</v>
      </c>
      <c r="K115" s="117">
        <v>26919</v>
      </c>
      <c r="L115" s="120">
        <f t="shared" si="26"/>
        <v>32.948592411260712</v>
      </c>
      <c r="M115" s="122">
        <f t="shared" si="19"/>
        <v>73551.89</v>
      </c>
      <c r="N115" s="116">
        <f t="shared" si="20"/>
        <v>46632.89</v>
      </c>
      <c r="O115" s="123">
        <f t="shared" si="21"/>
        <v>57.078200734394123</v>
      </c>
      <c r="P115" s="5"/>
      <c r="Q115" s="5">
        <f t="shared" si="14"/>
        <v>1</v>
      </c>
      <c r="R115" s="7">
        <f t="shared" si="15"/>
        <v>817</v>
      </c>
      <c r="S115" s="5">
        <f t="shared" si="16"/>
        <v>1</v>
      </c>
      <c r="T115" s="7">
        <f t="shared" si="17"/>
        <v>817</v>
      </c>
    </row>
    <row r="116" spans="1:20">
      <c r="A116" s="23" t="s">
        <v>137</v>
      </c>
      <c r="B116" s="35" t="s">
        <v>138</v>
      </c>
      <c r="C116" s="36">
        <v>1876</v>
      </c>
      <c r="D116" s="6"/>
      <c r="E116" s="113">
        <v>36806629</v>
      </c>
      <c r="F116" s="116">
        <f t="shared" si="18"/>
        <v>19619.738272921109</v>
      </c>
      <c r="G116" s="117">
        <v>17056454</v>
      </c>
      <c r="H116" s="117">
        <f t="shared" si="23"/>
        <v>9091.9264392324094</v>
      </c>
      <c r="I116" s="7"/>
      <c r="J116" s="10">
        <v>6</v>
      </c>
      <c r="K116" s="117">
        <v>102338</v>
      </c>
      <c r="L116" s="120">
        <f t="shared" si="26"/>
        <v>54.551172707889123</v>
      </c>
      <c r="M116" s="122">
        <f t="shared" si="19"/>
        <v>170564.54</v>
      </c>
      <c r="N116" s="116">
        <f t="shared" si="20"/>
        <v>68226.540000000008</v>
      </c>
      <c r="O116" s="123">
        <f t="shared" si="21"/>
        <v>36.368091684434972</v>
      </c>
      <c r="P116" s="5"/>
      <c r="Q116" s="5">
        <f t="shared" si="14"/>
        <v>1</v>
      </c>
      <c r="R116" s="7">
        <f t="shared" si="15"/>
        <v>1876</v>
      </c>
      <c r="S116" s="5">
        <f t="shared" si="16"/>
        <v>1</v>
      </c>
      <c r="T116" s="7">
        <f t="shared" si="17"/>
        <v>1876</v>
      </c>
    </row>
    <row r="117" spans="1:20">
      <c r="A117" s="23" t="s">
        <v>139</v>
      </c>
      <c r="B117" s="35" t="s">
        <v>138</v>
      </c>
      <c r="C117" s="36">
        <v>3573</v>
      </c>
      <c r="D117" s="6"/>
      <c r="E117" s="113">
        <v>118740476</v>
      </c>
      <c r="F117" s="116">
        <f t="shared" si="18"/>
        <v>33232.710887209629</v>
      </c>
      <c r="G117" s="117">
        <v>61018771</v>
      </c>
      <c r="H117" s="117">
        <f t="shared" si="23"/>
        <v>17077.74167366359</v>
      </c>
      <c r="I117" s="7"/>
      <c r="J117" s="10">
        <v>5.0199999999999996</v>
      </c>
      <c r="K117" s="117">
        <v>306314</v>
      </c>
      <c r="L117" s="120">
        <f t="shared" si="26"/>
        <v>85.730198712566477</v>
      </c>
      <c r="M117" s="122">
        <f t="shared" si="19"/>
        <v>610187.71</v>
      </c>
      <c r="N117" s="116">
        <f t="shared" si="20"/>
        <v>303873.70999999996</v>
      </c>
      <c r="O117" s="123">
        <f t="shared" si="21"/>
        <v>85.047218024069394</v>
      </c>
      <c r="P117" s="5"/>
      <c r="Q117" s="5">
        <f t="shared" si="14"/>
        <v>1</v>
      </c>
      <c r="R117" s="7">
        <f t="shared" si="15"/>
        <v>3573</v>
      </c>
      <c r="S117" s="5">
        <f t="shared" si="16"/>
        <v>1</v>
      </c>
      <c r="T117" s="7">
        <f t="shared" si="17"/>
        <v>3573</v>
      </c>
    </row>
    <row r="118" spans="1:20">
      <c r="A118" s="23" t="s">
        <v>140</v>
      </c>
      <c r="B118" s="35" t="s">
        <v>138</v>
      </c>
      <c r="C118" s="36">
        <v>1247</v>
      </c>
      <c r="D118" s="6"/>
      <c r="E118" s="113">
        <v>28905505</v>
      </c>
      <c r="F118" s="116">
        <f t="shared" si="18"/>
        <v>23180.036086607859</v>
      </c>
      <c r="G118" s="117">
        <v>13901036</v>
      </c>
      <c r="H118" s="117">
        <f t="shared" si="23"/>
        <v>11147.582999198075</v>
      </c>
      <c r="I118" s="7"/>
      <c r="J118" s="10">
        <v>9.1120000000000001</v>
      </c>
      <c r="K118" s="117">
        <v>126666</v>
      </c>
      <c r="L118" s="120">
        <f t="shared" si="26"/>
        <v>101.57658380112269</v>
      </c>
      <c r="M118" s="122">
        <f t="shared" si="19"/>
        <v>139010.36000000002</v>
      </c>
      <c r="N118" s="116">
        <f t="shared" si="20"/>
        <v>12344.360000000015</v>
      </c>
      <c r="O118" s="123">
        <f t="shared" si="21"/>
        <v>9.8992461908580722</v>
      </c>
      <c r="P118" s="5"/>
      <c r="Q118" s="5">
        <f t="shared" si="14"/>
        <v>1</v>
      </c>
      <c r="R118" s="7">
        <f t="shared" si="15"/>
        <v>1247</v>
      </c>
      <c r="S118" s="5">
        <f t="shared" si="16"/>
        <v>1</v>
      </c>
      <c r="T118" s="7">
        <f t="shared" si="17"/>
        <v>1247</v>
      </c>
    </row>
    <row r="119" spans="1:20">
      <c r="A119" s="23" t="s">
        <v>141</v>
      </c>
      <c r="B119" s="35" t="s">
        <v>142</v>
      </c>
      <c r="C119" s="36">
        <v>6349</v>
      </c>
      <c r="D119" s="6"/>
      <c r="E119" s="113">
        <v>254415627</v>
      </c>
      <c r="F119" s="116">
        <f t="shared" si="18"/>
        <v>40071.763584816508</v>
      </c>
      <c r="G119" s="117">
        <v>141995767</v>
      </c>
      <c r="H119" s="117">
        <f t="shared" si="23"/>
        <v>22365.060166955427</v>
      </c>
      <c r="I119" s="7"/>
      <c r="J119" s="10">
        <v>5</v>
      </c>
      <c r="K119" s="117">
        <v>709978</v>
      </c>
      <c r="L119" s="120">
        <f t="shared" si="26"/>
        <v>111.82516931800284</v>
      </c>
      <c r="M119" s="122">
        <f t="shared" si="19"/>
        <v>1419957.67</v>
      </c>
      <c r="N119" s="116">
        <f t="shared" si="20"/>
        <v>709979.66999999993</v>
      </c>
      <c r="O119" s="123">
        <f t="shared" si="21"/>
        <v>111.82543235155141</v>
      </c>
      <c r="P119" s="5"/>
      <c r="Q119" s="5">
        <f t="shared" si="14"/>
        <v>1</v>
      </c>
      <c r="R119" s="7">
        <f t="shared" si="15"/>
        <v>6349</v>
      </c>
      <c r="S119" s="5">
        <f t="shared" si="16"/>
        <v>1</v>
      </c>
      <c r="T119" s="7">
        <f t="shared" si="17"/>
        <v>6349</v>
      </c>
    </row>
    <row r="120" spans="1:20">
      <c r="A120" s="23" t="s">
        <v>558</v>
      </c>
      <c r="B120" s="35" t="s">
        <v>142</v>
      </c>
      <c r="C120" s="36">
        <v>3125</v>
      </c>
      <c r="D120" s="6"/>
      <c r="E120" s="113">
        <v>155331240</v>
      </c>
      <c r="F120" s="116">
        <f t="shared" si="18"/>
        <v>49705.996800000001</v>
      </c>
      <c r="G120" s="117">
        <v>97480980</v>
      </c>
      <c r="H120" s="117">
        <f t="shared" si="23"/>
        <v>31193.9136</v>
      </c>
      <c r="I120" s="7"/>
      <c r="J120" s="10">
        <v>3</v>
      </c>
      <c r="K120" s="117">
        <v>292442</v>
      </c>
      <c r="L120" s="120">
        <f t="shared" si="26"/>
        <v>93.581440000000001</v>
      </c>
      <c r="M120" s="122">
        <f t="shared" si="19"/>
        <v>974809.8</v>
      </c>
      <c r="N120" s="116">
        <f t="shared" si="20"/>
        <v>682367.8</v>
      </c>
      <c r="O120" s="123">
        <f t="shared" si="21"/>
        <v>218.357696</v>
      </c>
      <c r="P120" s="5"/>
      <c r="Q120" s="5">
        <f t="shared" si="14"/>
        <v>1</v>
      </c>
      <c r="R120" s="7">
        <f t="shared" si="15"/>
        <v>3125</v>
      </c>
      <c r="S120" s="5">
        <f t="shared" si="16"/>
        <v>1</v>
      </c>
      <c r="T120" s="7">
        <f t="shared" si="17"/>
        <v>3125</v>
      </c>
    </row>
    <row r="121" spans="1:20">
      <c r="A121" s="23" t="s">
        <v>143</v>
      </c>
      <c r="B121" s="35" t="s">
        <v>144</v>
      </c>
      <c r="C121" s="36">
        <v>7794</v>
      </c>
      <c r="D121" s="6"/>
      <c r="E121" s="113">
        <v>342740992</v>
      </c>
      <c r="F121" s="116">
        <f t="shared" si="18"/>
        <v>43974.979727995895</v>
      </c>
      <c r="G121" s="117">
        <v>197093296</v>
      </c>
      <c r="H121" s="117">
        <f t="shared" si="23"/>
        <v>25287.823453938927</v>
      </c>
      <c r="I121" s="7"/>
      <c r="J121" s="10">
        <v>8.2174999999999994</v>
      </c>
      <c r="K121" s="117">
        <v>1619614</v>
      </c>
      <c r="L121" s="120">
        <f t="shared" si="26"/>
        <v>207.80266871952784</v>
      </c>
      <c r="M121" s="122">
        <f t="shared" si="19"/>
        <v>1970932.96</v>
      </c>
      <c r="N121" s="116">
        <f t="shared" si="20"/>
        <v>351318.95999999996</v>
      </c>
      <c r="O121" s="123">
        <f t="shared" si="21"/>
        <v>45.075565819861424</v>
      </c>
      <c r="P121" s="5"/>
      <c r="Q121" s="5">
        <f t="shared" si="14"/>
        <v>1</v>
      </c>
      <c r="R121" s="7">
        <f t="shared" si="15"/>
        <v>7794</v>
      </c>
      <c r="S121" s="5">
        <f t="shared" si="16"/>
        <v>1</v>
      </c>
      <c r="T121" s="7">
        <f t="shared" si="17"/>
        <v>7794</v>
      </c>
    </row>
    <row r="122" spans="1:20">
      <c r="A122" s="23" t="s">
        <v>145</v>
      </c>
      <c r="B122" s="35" t="s">
        <v>144</v>
      </c>
      <c r="C122" s="36">
        <v>11</v>
      </c>
      <c r="D122" s="6"/>
      <c r="E122" s="113">
        <v>19237761</v>
      </c>
      <c r="F122" s="116">
        <f t="shared" si="18"/>
        <v>1748887.3636363635</v>
      </c>
      <c r="G122" s="117">
        <v>19219795</v>
      </c>
      <c r="H122" s="117">
        <f t="shared" si="23"/>
        <v>1747254.0909090908</v>
      </c>
      <c r="I122" s="7"/>
      <c r="J122" s="10">
        <v>1.02</v>
      </c>
      <c r="K122" s="117">
        <v>19604</v>
      </c>
      <c r="L122" s="120">
        <f t="shared" si="26"/>
        <v>1782.1818181818182</v>
      </c>
      <c r="M122" s="122">
        <f t="shared" si="19"/>
        <v>192197.95</v>
      </c>
      <c r="N122" s="116">
        <f t="shared" si="20"/>
        <v>172593.95</v>
      </c>
      <c r="O122" s="123">
        <f t="shared" si="21"/>
        <v>15690.359090909093</v>
      </c>
      <c r="P122" s="5"/>
      <c r="Q122" s="5">
        <f t="shared" si="14"/>
        <v>1</v>
      </c>
      <c r="R122" s="7">
        <f t="shared" si="15"/>
        <v>11</v>
      </c>
      <c r="S122" s="5">
        <f t="shared" si="16"/>
        <v>1</v>
      </c>
      <c r="T122" s="7">
        <f t="shared" si="17"/>
        <v>11</v>
      </c>
    </row>
    <row r="123" spans="1:20">
      <c r="A123" s="23" t="s">
        <v>146</v>
      </c>
      <c r="B123" s="35" t="s">
        <v>147</v>
      </c>
      <c r="C123" s="36">
        <v>8110</v>
      </c>
      <c r="D123" s="6"/>
      <c r="E123" s="113">
        <v>222869795</v>
      </c>
      <c r="F123" s="116">
        <f t="shared" si="18"/>
        <v>27480.862515413071</v>
      </c>
      <c r="G123" s="117">
        <v>139371372</v>
      </c>
      <c r="H123" s="117">
        <f t="shared" ref="H123:H154" si="27">(G123/C123)</f>
        <v>17185.126017262639</v>
      </c>
      <c r="I123" s="7"/>
      <c r="J123" s="10">
        <v>8.5</v>
      </c>
      <c r="K123" s="117">
        <v>1184656</v>
      </c>
      <c r="L123" s="120">
        <f t="shared" si="26"/>
        <v>146.0734895191122</v>
      </c>
      <c r="M123" s="122">
        <f t="shared" si="19"/>
        <v>1393713.72</v>
      </c>
      <c r="N123" s="116">
        <f t="shared" si="20"/>
        <v>209057.71999999997</v>
      </c>
      <c r="O123" s="123">
        <f t="shared" si="21"/>
        <v>25.777770653514178</v>
      </c>
      <c r="P123" s="5"/>
      <c r="Q123" s="5">
        <f t="shared" si="14"/>
        <v>1</v>
      </c>
      <c r="R123" s="7">
        <f t="shared" si="15"/>
        <v>8110</v>
      </c>
      <c r="S123" s="5">
        <f t="shared" si="16"/>
        <v>1</v>
      </c>
      <c r="T123" s="7">
        <f t="shared" si="17"/>
        <v>8110</v>
      </c>
    </row>
    <row r="124" spans="1:20">
      <c r="A124" s="23" t="s">
        <v>148</v>
      </c>
      <c r="B124" s="35" t="s">
        <v>147</v>
      </c>
      <c r="C124" s="36">
        <v>1427</v>
      </c>
      <c r="D124" s="6"/>
      <c r="E124" s="113">
        <v>83157847</v>
      </c>
      <c r="F124" s="116">
        <f t="shared" si="18"/>
        <v>58274.594954449894</v>
      </c>
      <c r="G124" s="117">
        <v>51520954</v>
      </c>
      <c r="H124" s="117">
        <f t="shared" si="27"/>
        <v>36104.382620882971</v>
      </c>
      <c r="I124" s="7"/>
      <c r="J124" s="10">
        <v>5.2</v>
      </c>
      <c r="K124" s="117">
        <v>267908</v>
      </c>
      <c r="L124" s="120">
        <f t="shared" si="26"/>
        <v>187.74211632796076</v>
      </c>
      <c r="M124" s="122">
        <f t="shared" si="19"/>
        <v>515209.54000000004</v>
      </c>
      <c r="N124" s="116">
        <f t="shared" si="20"/>
        <v>247301.54000000004</v>
      </c>
      <c r="O124" s="123">
        <f t="shared" si="21"/>
        <v>173.30170988086897</v>
      </c>
      <c r="P124" s="5"/>
      <c r="Q124" s="5">
        <f t="shared" si="14"/>
        <v>1</v>
      </c>
      <c r="R124" s="7">
        <f t="shared" si="15"/>
        <v>1427</v>
      </c>
      <c r="S124" s="5">
        <f t="shared" si="16"/>
        <v>1</v>
      </c>
      <c r="T124" s="7">
        <f t="shared" si="17"/>
        <v>1427</v>
      </c>
    </row>
    <row r="125" spans="1:20">
      <c r="A125" s="23" t="s">
        <v>149</v>
      </c>
      <c r="B125" s="35" t="s">
        <v>147</v>
      </c>
      <c r="C125" s="36">
        <v>8955</v>
      </c>
      <c r="D125" s="6"/>
      <c r="E125" s="113">
        <v>339294700</v>
      </c>
      <c r="F125" s="116">
        <f t="shared" si="18"/>
        <v>37888.855388051365</v>
      </c>
      <c r="G125" s="117">
        <v>224738504</v>
      </c>
      <c r="H125" s="117">
        <f t="shared" si="27"/>
        <v>25096.427024008932</v>
      </c>
      <c r="I125" s="7"/>
      <c r="J125" s="10">
        <v>8.3260000000000005</v>
      </c>
      <c r="K125" s="117">
        <v>1871172</v>
      </c>
      <c r="L125" s="120">
        <f t="shared" si="26"/>
        <v>208.95276381909548</v>
      </c>
      <c r="M125" s="122">
        <f t="shared" si="19"/>
        <v>2247385.04</v>
      </c>
      <c r="N125" s="116">
        <f t="shared" si="20"/>
        <v>376213.04000000004</v>
      </c>
      <c r="O125" s="123">
        <f t="shared" si="21"/>
        <v>42.011506420993861</v>
      </c>
      <c r="P125" s="5"/>
      <c r="Q125" s="5">
        <f t="shared" si="14"/>
        <v>1</v>
      </c>
      <c r="R125" s="7">
        <f t="shared" si="15"/>
        <v>8955</v>
      </c>
      <c r="S125" s="5">
        <f t="shared" si="16"/>
        <v>1</v>
      </c>
      <c r="T125" s="7">
        <f t="shared" si="17"/>
        <v>8955</v>
      </c>
    </row>
    <row r="126" spans="1:20">
      <c r="A126" s="23" t="s">
        <v>150</v>
      </c>
      <c r="B126" s="35" t="s">
        <v>151</v>
      </c>
      <c r="C126" s="36">
        <v>26081</v>
      </c>
      <c r="D126" s="6"/>
      <c r="E126" s="113">
        <v>1110736151</v>
      </c>
      <c r="F126" s="116">
        <f t="shared" si="18"/>
        <v>42587.943368735861</v>
      </c>
      <c r="G126" s="117">
        <v>793030157</v>
      </c>
      <c r="H126" s="117">
        <f t="shared" si="27"/>
        <v>30406.43215367509</v>
      </c>
      <c r="I126" s="7"/>
      <c r="J126" s="10">
        <v>4.7</v>
      </c>
      <c r="K126" s="117">
        <v>3727241</v>
      </c>
      <c r="L126" s="120">
        <f t="shared" si="26"/>
        <v>142.9102028296461</v>
      </c>
      <c r="M126" s="122">
        <f t="shared" si="19"/>
        <v>7930301.5700000003</v>
      </c>
      <c r="N126" s="116">
        <f t="shared" si="20"/>
        <v>4203060.57</v>
      </c>
      <c r="O126" s="123">
        <f t="shared" si="21"/>
        <v>161.1541187071048</v>
      </c>
      <c r="P126" s="5"/>
      <c r="Q126" s="5">
        <f t="shared" si="14"/>
        <v>1</v>
      </c>
      <c r="R126" s="7">
        <f t="shared" si="15"/>
        <v>26081</v>
      </c>
      <c r="S126" s="5">
        <f t="shared" si="16"/>
        <v>1</v>
      </c>
      <c r="T126" s="7">
        <f t="shared" si="17"/>
        <v>26081</v>
      </c>
    </row>
    <row r="127" spans="1:20">
      <c r="A127" s="23" t="s">
        <v>152</v>
      </c>
      <c r="B127" s="35" t="s">
        <v>151</v>
      </c>
      <c r="C127" s="36">
        <v>289337</v>
      </c>
      <c r="D127" s="6"/>
      <c r="E127" s="113">
        <v>15390606316</v>
      </c>
      <c r="F127" s="116">
        <f t="shared" si="18"/>
        <v>53192.665701241116</v>
      </c>
      <c r="G127" s="117">
        <v>9923233994</v>
      </c>
      <c r="H127" s="117">
        <f t="shared" si="27"/>
        <v>34296.457051811558</v>
      </c>
      <c r="I127" s="7"/>
      <c r="J127" s="10">
        <v>6.5389999999999997</v>
      </c>
      <c r="K127" s="117">
        <v>64888027</v>
      </c>
      <c r="L127" s="120">
        <f t="shared" si="26"/>
        <v>224.26453236191708</v>
      </c>
      <c r="M127" s="122">
        <f t="shared" si="19"/>
        <v>99232339.939999998</v>
      </c>
      <c r="N127" s="116">
        <f t="shared" si="20"/>
        <v>34344312.939999998</v>
      </c>
      <c r="O127" s="123">
        <f t="shared" si="21"/>
        <v>118.70003815619847</v>
      </c>
      <c r="P127" s="5"/>
      <c r="Q127" s="5">
        <f t="shared" si="14"/>
        <v>1</v>
      </c>
      <c r="R127" s="7">
        <f t="shared" si="15"/>
        <v>289337</v>
      </c>
      <c r="S127" s="5">
        <f t="shared" si="16"/>
        <v>1</v>
      </c>
      <c r="T127" s="7">
        <f t="shared" si="17"/>
        <v>289337</v>
      </c>
    </row>
    <row r="128" spans="1:20">
      <c r="A128" s="23" t="s">
        <v>153</v>
      </c>
      <c r="B128" s="35" t="s">
        <v>151</v>
      </c>
      <c r="C128" s="36">
        <v>19138</v>
      </c>
      <c r="D128" s="6"/>
      <c r="E128" s="113">
        <v>953366357</v>
      </c>
      <c r="F128" s="116">
        <f t="shared" si="18"/>
        <v>49815.359859964468</v>
      </c>
      <c r="G128" s="117">
        <v>774585887</v>
      </c>
      <c r="H128" s="117">
        <f t="shared" si="27"/>
        <v>40473.711307346639</v>
      </c>
      <c r="I128" s="7"/>
      <c r="J128" s="10">
        <v>4.41</v>
      </c>
      <c r="K128" s="117">
        <v>3415923</v>
      </c>
      <c r="L128" s="120">
        <f t="shared" si="26"/>
        <v>178.48902706656912</v>
      </c>
      <c r="M128" s="122">
        <f t="shared" si="19"/>
        <v>7745858.8700000001</v>
      </c>
      <c r="N128" s="116">
        <f t="shared" si="20"/>
        <v>4329935.87</v>
      </c>
      <c r="O128" s="123">
        <f t="shared" si="21"/>
        <v>226.24808600689727</v>
      </c>
      <c r="P128" s="5"/>
      <c r="Q128" s="5">
        <f t="shared" si="14"/>
        <v>1</v>
      </c>
      <c r="R128" s="7">
        <f t="shared" si="15"/>
        <v>19138</v>
      </c>
      <c r="S128" s="5">
        <f t="shared" si="16"/>
        <v>1</v>
      </c>
      <c r="T128" s="7">
        <f t="shared" si="17"/>
        <v>19138</v>
      </c>
    </row>
    <row r="129" spans="1:20">
      <c r="A129" s="23" t="s">
        <v>154</v>
      </c>
      <c r="B129" s="35" t="s">
        <v>155</v>
      </c>
      <c r="C129" s="36">
        <v>2759</v>
      </c>
      <c r="D129" s="6"/>
      <c r="E129" s="113">
        <v>81710013</v>
      </c>
      <c r="F129" s="116">
        <f t="shared" si="18"/>
        <v>29615.807538963392</v>
      </c>
      <c r="G129" s="117">
        <v>48004272</v>
      </c>
      <c r="H129" s="117">
        <f t="shared" si="27"/>
        <v>17399.156216020296</v>
      </c>
      <c r="I129" s="98" t="s">
        <v>528</v>
      </c>
      <c r="J129" s="10"/>
      <c r="K129" s="117"/>
      <c r="L129" s="120"/>
      <c r="M129" s="122">
        <f t="shared" si="19"/>
        <v>480042.72000000003</v>
      </c>
      <c r="N129" s="116">
        <f t="shared" si="20"/>
        <v>480042.72000000003</v>
      </c>
      <c r="O129" s="123">
        <f t="shared" si="21"/>
        <v>173.99156216020299</v>
      </c>
      <c r="P129" s="5"/>
      <c r="Q129" s="5">
        <f t="shared" si="14"/>
        <v>1</v>
      </c>
      <c r="R129" s="7">
        <f t="shared" si="15"/>
        <v>2759</v>
      </c>
      <c r="S129" s="5">
        <f t="shared" si="16"/>
        <v>0</v>
      </c>
      <c r="T129" s="7">
        <f t="shared" si="17"/>
        <v>0</v>
      </c>
    </row>
    <row r="130" spans="1:20">
      <c r="A130" s="23" t="s">
        <v>156</v>
      </c>
      <c r="B130" s="35" t="s">
        <v>155</v>
      </c>
      <c r="C130" s="36">
        <v>321</v>
      </c>
      <c r="D130" s="6"/>
      <c r="E130" s="113">
        <v>5407613</v>
      </c>
      <c r="F130" s="116">
        <f t="shared" si="18"/>
        <v>16846.146417445481</v>
      </c>
      <c r="G130" s="117">
        <v>2358776</v>
      </c>
      <c r="H130" s="117">
        <f t="shared" si="27"/>
        <v>7348.2118380062302</v>
      </c>
      <c r="I130" s="7"/>
      <c r="J130" s="10">
        <v>1.04</v>
      </c>
      <c r="K130" s="117">
        <v>2453</v>
      </c>
      <c r="L130" s="120">
        <f>(K130/C130)</f>
        <v>7.6417445482866047</v>
      </c>
      <c r="M130" s="122">
        <f t="shared" si="19"/>
        <v>23587.760000000002</v>
      </c>
      <c r="N130" s="116">
        <f t="shared" si="20"/>
        <v>21134.760000000002</v>
      </c>
      <c r="O130" s="123">
        <f t="shared" si="21"/>
        <v>65.840373831775707</v>
      </c>
      <c r="P130" s="5"/>
      <c r="Q130" s="5">
        <f t="shared" si="14"/>
        <v>1</v>
      </c>
      <c r="R130" s="7">
        <f t="shared" si="15"/>
        <v>321</v>
      </c>
      <c r="S130" s="5">
        <f t="shared" si="16"/>
        <v>1</v>
      </c>
      <c r="T130" s="7">
        <f t="shared" si="17"/>
        <v>321</v>
      </c>
    </row>
    <row r="131" spans="1:20">
      <c r="A131" s="23" t="s">
        <v>157</v>
      </c>
      <c r="B131" s="35" t="s">
        <v>155</v>
      </c>
      <c r="C131" s="36">
        <v>219</v>
      </c>
      <c r="D131" s="6"/>
      <c r="E131" s="113">
        <v>2228759</v>
      </c>
      <c r="F131" s="116">
        <f t="shared" si="18"/>
        <v>10176.981735159818</v>
      </c>
      <c r="G131" s="117">
        <v>774352</v>
      </c>
      <c r="H131" s="117">
        <f t="shared" si="27"/>
        <v>3535.8538812785387</v>
      </c>
      <c r="I131" s="7"/>
      <c r="J131" s="10">
        <v>2.36</v>
      </c>
      <c r="K131" s="117">
        <v>1827</v>
      </c>
      <c r="L131" s="120">
        <f>(K131/C131)</f>
        <v>8.3424657534246567</v>
      </c>
      <c r="M131" s="122">
        <f t="shared" si="19"/>
        <v>7743.52</v>
      </c>
      <c r="N131" s="116">
        <f t="shared" si="20"/>
        <v>5916.52</v>
      </c>
      <c r="O131" s="123">
        <f t="shared" si="21"/>
        <v>27.016073059360732</v>
      </c>
      <c r="P131" s="5"/>
      <c r="Q131" s="5">
        <f t="shared" si="14"/>
        <v>1</v>
      </c>
      <c r="R131" s="7">
        <f t="shared" si="15"/>
        <v>219</v>
      </c>
      <c r="S131" s="5">
        <f t="shared" si="16"/>
        <v>1</v>
      </c>
      <c r="T131" s="7">
        <f t="shared" si="17"/>
        <v>219</v>
      </c>
    </row>
    <row r="132" spans="1:20">
      <c r="A132" s="23" t="s">
        <v>158</v>
      </c>
      <c r="B132" s="35" t="s">
        <v>155</v>
      </c>
      <c r="C132" s="36">
        <v>466</v>
      </c>
      <c r="D132" s="6"/>
      <c r="E132" s="113">
        <v>14372217</v>
      </c>
      <c r="F132" s="116">
        <f t="shared" si="18"/>
        <v>30841.66738197425</v>
      </c>
      <c r="G132" s="117">
        <v>8326844</v>
      </c>
      <c r="H132" s="117">
        <f t="shared" si="27"/>
        <v>17868.763948497854</v>
      </c>
      <c r="I132" s="98" t="s">
        <v>528</v>
      </c>
      <c r="J132" s="10"/>
      <c r="K132" s="117"/>
      <c r="L132" s="120"/>
      <c r="M132" s="122">
        <f t="shared" si="19"/>
        <v>83268.44</v>
      </c>
      <c r="N132" s="116">
        <f t="shared" si="20"/>
        <v>83268.44</v>
      </c>
      <c r="O132" s="123">
        <f t="shared" si="21"/>
        <v>178.68763948497855</v>
      </c>
      <c r="P132" s="5"/>
      <c r="Q132" s="5">
        <f t="shared" si="14"/>
        <v>1</v>
      </c>
      <c r="R132" s="7">
        <f t="shared" si="15"/>
        <v>466</v>
      </c>
      <c r="S132" s="5">
        <f t="shared" si="16"/>
        <v>0</v>
      </c>
      <c r="T132" s="7">
        <f t="shared" si="17"/>
        <v>0</v>
      </c>
    </row>
    <row r="133" spans="1:20">
      <c r="A133" s="23" t="s">
        <v>159</v>
      </c>
      <c r="B133" s="35" t="s">
        <v>155</v>
      </c>
      <c r="C133" s="36">
        <v>292</v>
      </c>
      <c r="D133" s="6"/>
      <c r="E133" s="113">
        <v>6739162</v>
      </c>
      <c r="F133" s="116">
        <f t="shared" si="18"/>
        <v>23079.321917808218</v>
      </c>
      <c r="G133" s="117">
        <v>2797146</v>
      </c>
      <c r="H133" s="117">
        <f t="shared" si="27"/>
        <v>9579.267123287671</v>
      </c>
      <c r="I133" s="98" t="s">
        <v>528</v>
      </c>
      <c r="J133" s="10"/>
      <c r="K133" s="117"/>
      <c r="L133" s="120"/>
      <c r="M133" s="122">
        <f t="shared" si="19"/>
        <v>27971.46</v>
      </c>
      <c r="N133" s="116">
        <f t="shared" si="20"/>
        <v>27971.46</v>
      </c>
      <c r="O133" s="123">
        <f t="shared" si="21"/>
        <v>95.792671232876714</v>
      </c>
      <c r="P133" s="5"/>
      <c r="Q133" s="5">
        <f t="shared" si="14"/>
        <v>1</v>
      </c>
      <c r="R133" s="7">
        <f t="shared" si="15"/>
        <v>292</v>
      </c>
      <c r="S133" s="5">
        <f t="shared" si="16"/>
        <v>0</v>
      </c>
      <c r="T133" s="7">
        <f t="shared" si="17"/>
        <v>0</v>
      </c>
    </row>
    <row r="134" spans="1:20">
      <c r="A134" s="23" t="s">
        <v>160</v>
      </c>
      <c r="B134" s="35" t="s">
        <v>161</v>
      </c>
      <c r="C134" s="36">
        <v>2412</v>
      </c>
      <c r="D134" s="6"/>
      <c r="E134" s="113">
        <v>42359758</v>
      </c>
      <c r="F134" s="116">
        <f t="shared" si="18"/>
        <v>17562.088723051409</v>
      </c>
      <c r="G134" s="117">
        <v>24027702</v>
      </c>
      <c r="H134" s="117">
        <f t="shared" si="27"/>
        <v>9961.7338308457711</v>
      </c>
      <c r="I134" s="7"/>
      <c r="J134" s="10">
        <v>5.9</v>
      </c>
      <c r="K134" s="117">
        <v>141763</v>
      </c>
      <c r="L134" s="120">
        <f t="shared" ref="L134:L139" si="28">(K134/C134)</f>
        <v>58.774046434494196</v>
      </c>
      <c r="M134" s="122">
        <f t="shared" si="19"/>
        <v>240277.02000000002</v>
      </c>
      <c r="N134" s="116">
        <f t="shared" si="20"/>
        <v>98514.020000000019</v>
      </c>
      <c r="O134" s="123">
        <f t="shared" si="21"/>
        <v>40.843291873963523</v>
      </c>
      <c r="P134" s="5"/>
      <c r="Q134" s="5">
        <f t="shared" si="14"/>
        <v>1</v>
      </c>
      <c r="R134" s="7">
        <f t="shared" si="15"/>
        <v>2412</v>
      </c>
      <c r="S134" s="5">
        <f t="shared" si="16"/>
        <v>1</v>
      </c>
      <c r="T134" s="7">
        <f t="shared" si="17"/>
        <v>2412</v>
      </c>
    </row>
    <row r="135" spans="1:20">
      <c r="A135" s="23" t="s">
        <v>162</v>
      </c>
      <c r="B135" s="35" t="s">
        <v>161</v>
      </c>
      <c r="C135" s="36">
        <v>2640</v>
      </c>
      <c r="D135" s="6"/>
      <c r="E135" s="113">
        <v>1117921141</v>
      </c>
      <c r="F135" s="116">
        <f t="shared" si="18"/>
        <v>423454.97765151516</v>
      </c>
      <c r="G135" s="117">
        <v>1066708506</v>
      </c>
      <c r="H135" s="117">
        <f t="shared" si="27"/>
        <v>404056.25227272726</v>
      </c>
      <c r="I135" s="7"/>
      <c r="J135" s="12">
        <v>1.3771</v>
      </c>
      <c r="K135" s="117">
        <v>1468964</v>
      </c>
      <c r="L135" s="120">
        <f t="shared" si="28"/>
        <v>556.42575757575753</v>
      </c>
      <c r="M135" s="122">
        <f t="shared" si="19"/>
        <v>10667085.060000001</v>
      </c>
      <c r="N135" s="116">
        <f t="shared" si="20"/>
        <v>9198121.0600000005</v>
      </c>
      <c r="O135" s="123">
        <f t="shared" si="21"/>
        <v>3484.1367651515152</v>
      </c>
      <c r="P135" s="5"/>
      <c r="Q135" s="5">
        <f t="shared" ref="Q135:Q198" si="29">IF(E135&gt;0,1,0)</f>
        <v>1</v>
      </c>
      <c r="R135" s="7">
        <f t="shared" ref="R135:R198" si="30">IF(E135&gt;0,C135,0)</f>
        <v>2640</v>
      </c>
      <c r="S135" s="5">
        <f t="shared" ref="S135:S198" si="31">IF(J135&gt;0,1,0)</f>
        <v>1</v>
      </c>
      <c r="T135" s="7">
        <f t="shared" ref="T135:T198" si="32">IF(J135&gt;0,C135,0)</f>
        <v>2640</v>
      </c>
    </row>
    <row r="136" spans="1:20">
      <c r="A136" s="23" t="s">
        <v>163</v>
      </c>
      <c r="B136" s="35" t="s">
        <v>161</v>
      </c>
      <c r="C136" s="36">
        <v>29</v>
      </c>
      <c r="D136" s="6"/>
      <c r="E136" s="113">
        <v>58004947</v>
      </c>
      <c r="F136" s="116">
        <f t="shared" ref="F136:F199" si="33">(E136/C136)</f>
        <v>2000170.5862068965</v>
      </c>
      <c r="G136" s="117">
        <v>52627277</v>
      </c>
      <c r="H136" s="117">
        <f t="shared" si="27"/>
        <v>1814733.6896551724</v>
      </c>
      <c r="I136" s="9"/>
      <c r="J136" s="10">
        <v>2.7978999999999998</v>
      </c>
      <c r="K136" s="117">
        <v>147245</v>
      </c>
      <c r="L136" s="120">
        <f t="shared" si="28"/>
        <v>5077.4137931034484</v>
      </c>
      <c r="M136" s="122">
        <f t="shared" ref="M136:M199" si="34">(G136*0.01)</f>
        <v>526272.77</v>
      </c>
      <c r="N136" s="116">
        <f t="shared" ref="N136:N199" si="35">(M136-K136)</f>
        <v>379027.77</v>
      </c>
      <c r="O136" s="123">
        <f t="shared" ref="O136:O199" si="36">(N136/C136)</f>
        <v>13069.923103448276</v>
      </c>
      <c r="P136" s="5"/>
      <c r="Q136" s="5">
        <f t="shared" si="29"/>
        <v>1</v>
      </c>
      <c r="R136" s="7">
        <f t="shared" si="30"/>
        <v>29</v>
      </c>
      <c r="S136" s="5">
        <f t="shared" si="31"/>
        <v>1</v>
      </c>
      <c r="T136" s="7">
        <f t="shared" si="32"/>
        <v>29</v>
      </c>
    </row>
    <row r="137" spans="1:20">
      <c r="A137" s="23" t="s">
        <v>164</v>
      </c>
      <c r="B137" s="35" t="s">
        <v>161</v>
      </c>
      <c r="C137" s="36">
        <v>13967</v>
      </c>
      <c r="D137" s="6"/>
      <c r="E137" s="113">
        <v>556236540</v>
      </c>
      <c r="F137" s="116">
        <f t="shared" si="33"/>
        <v>39825.054771962481</v>
      </c>
      <c r="G137" s="117">
        <v>395229445</v>
      </c>
      <c r="H137" s="117">
        <f t="shared" si="27"/>
        <v>28297.375599627692</v>
      </c>
      <c r="I137" s="9"/>
      <c r="J137" s="10">
        <v>6.9</v>
      </c>
      <c r="K137" s="117">
        <v>2727083</v>
      </c>
      <c r="L137" s="120">
        <f t="shared" si="28"/>
        <v>195.25187943008521</v>
      </c>
      <c r="M137" s="122">
        <f t="shared" si="34"/>
        <v>3952294.45</v>
      </c>
      <c r="N137" s="116">
        <f t="shared" si="35"/>
        <v>1225211.4500000002</v>
      </c>
      <c r="O137" s="123">
        <f t="shared" si="36"/>
        <v>87.721876566191753</v>
      </c>
      <c r="P137" s="5"/>
      <c r="Q137" s="5">
        <f t="shared" si="29"/>
        <v>1</v>
      </c>
      <c r="R137" s="7">
        <f t="shared" si="30"/>
        <v>13967</v>
      </c>
      <c r="S137" s="5">
        <f t="shared" si="31"/>
        <v>1</v>
      </c>
      <c r="T137" s="7">
        <f t="shared" si="32"/>
        <v>13967</v>
      </c>
    </row>
    <row r="138" spans="1:20">
      <c r="A138" s="23" t="s">
        <v>165</v>
      </c>
      <c r="B138" s="35" t="s">
        <v>161</v>
      </c>
      <c r="C138" s="36">
        <v>17697</v>
      </c>
      <c r="D138" s="6"/>
      <c r="E138" s="113">
        <v>1514526648</v>
      </c>
      <c r="F138" s="116">
        <f t="shared" si="33"/>
        <v>85580.982539413453</v>
      </c>
      <c r="G138" s="117">
        <v>1175643594</v>
      </c>
      <c r="H138" s="117">
        <f t="shared" si="27"/>
        <v>66431.801661298523</v>
      </c>
      <c r="I138" s="7"/>
      <c r="J138" s="11">
        <v>2.2645</v>
      </c>
      <c r="K138" s="117">
        <v>2662244</v>
      </c>
      <c r="L138" s="120">
        <f t="shared" si="28"/>
        <v>150.43476295417301</v>
      </c>
      <c r="M138" s="122">
        <f t="shared" si="34"/>
        <v>11756435.939999999</v>
      </c>
      <c r="N138" s="116">
        <f t="shared" si="35"/>
        <v>9094191.9399999995</v>
      </c>
      <c r="O138" s="123">
        <f t="shared" si="36"/>
        <v>513.88325365881224</v>
      </c>
      <c r="P138" s="5"/>
      <c r="Q138" s="5">
        <f t="shared" si="29"/>
        <v>1</v>
      </c>
      <c r="R138" s="7">
        <f t="shared" si="30"/>
        <v>17697</v>
      </c>
      <c r="S138" s="5">
        <f t="shared" si="31"/>
        <v>1</v>
      </c>
      <c r="T138" s="7">
        <f t="shared" si="32"/>
        <v>17697</v>
      </c>
    </row>
    <row r="139" spans="1:20">
      <c r="A139" s="23" t="s">
        <v>166</v>
      </c>
      <c r="B139" s="35" t="s">
        <v>167</v>
      </c>
      <c r="C139" s="36">
        <v>536</v>
      </c>
      <c r="D139" s="6"/>
      <c r="E139" s="113">
        <v>6762598</v>
      </c>
      <c r="F139" s="116">
        <f t="shared" si="33"/>
        <v>12616.787313432837</v>
      </c>
      <c r="G139" s="117">
        <v>2748379</v>
      </c>
      <c r="H139" s="117">
        <f t="shared" si="27"/>
        <v>5127.5727611940301</v>
      </c>
      <c r="I139" s="7"/>
      <c r="J139" s="11">
        <v>0.99299999999999999</v>
      </c>
      <c r="K139" s="117">
        <v>2729</v>
      </c>
      <c r="L139" s="120">
        <f t="shared" si="28"/>
        <v>5.0914179104477615</v>
      </c>
      <c r="M139" s="122">
        <f t="shared" si="34"/>
        <v>27483.79</v>
      </c>
      <c r="N139" s="116">
        <f t="shared" si="35"/>
        <v>24754.79</v>
      </c>
      <c r="O139" s="123">
        <f t="shared" si="36"/>
        <v>46.184309701492538</v>
      </c>
      <c r="P139" s="5"/>
      <c r="Q139" s="5">
        <f t="shared" si="29"/>
        <v>1</v>
      </c>
      <c r="R139" s="7">
        <f t="shared" si="30"/>
        <v>536</v>
      </c>
      <c r="S139" s="5">
        <f t="shared" si="31"/>
        <v>1</v>
      </c>
      <c r="T139" s="7">
        <f t="shared" si="32"/>
        <v>536</v>
      </c>
    </row>
    <row r="140" spans="1:20">
      <c r="A140" s="23" t="s">
        <v>168</v>
      </c>
      <c r="B140" s="35" t="s">
        <v>167</v>
      </c>
      <c r="C140" s="36">
        <v>117</v>
      </c>
      <c r="D140" s="6"/>
      <c r="E140" s="113">
        <v>1409877</v>
      </c>
      <c r="F140" s="116">
        <f t="shared" si="33"/>
        <v>12050.23076923077</v>
      </c>
      <c r="G140" s="117">
        <v>747621</v>
      </c>
      <c r="H140" s="117">
        <f t="shared" si="27"/>
        <v>6389.9230769230771</v>
      </c>
      <c r="I140" s="98" t="s">
        <v>528</v>
      </c>
      <c r="J140" s="10"/>
      <c r="K140" s="117"/>
      <c r="L140" s="120"/>
      <c r="M140" s="122">
        <f t="shared" si="34"/>
        <v>7476.21</v>
      </c>
      <c r="N140" s="116">
        <f t="shared" si="35"/>
        <v>7476.21</v>
      </c>
      <c r="O140" s="123">
        <f t="shared" si="36"/>
        <v>63.899230769230769</v>
      </c>
      <c r="P140" s="5"/>
      <c r="Q140" s="5">
        <f t="shared" si="29"/>
        <v>1</v>
      </c>
      <c r="R140" s="7">
        <f t="shared" si="30"/>
        <v>117</v>
      </c>
      <c r="S140" s="5">
        <f t="shared" si="31"/>
        <v>0</v>
      </c>
      <c r="T140" s="7">
        <f t="shared" si="32"/>
        <v>0</v>
      </c>
    </row>
    <row r="141" spans="1:20">
      <c r="A141" s="23" t="s">
        <v>169</v>
      </c>
      <c r="B141" s="35" t="s">
        <v>167</v>
      </c>
      <c r="C141" s="36">
        <v>251</v>
      </c>
      <c r="D141" s="6"/>
      <c r="E141" s="113">
        <v>4024801</v>
      </c>
      <c r="F141" s="116">
        <f t="shared" si="33"/>
        <v>16035.063745019921</v>
      </c>
      <c r="G141" s="117">
        <v>2275237</v>
      </c>
      <c r="H141" s="117">
        <f t="shared" si="27"/>
        <v>9064.6892430278876</v>
      </c>
      <c r="I141" s="7"/>
      <c r="J141" s="10">
        <v>2</v>
      </c>
      <c r="K141" s="117">
        <v>4550</v>
      </c>
      <c r="L141" s="120">
        <f>(K141/C141)</f>
        <v>18.127490039840637</v>
      </c>
      <c r="M141" s="122">
        <f t="shared" si="34"/>
        <v>22752.37</v>
      </c>
      <c r="N141" s="116">
        <f t="shared" si="35"/>
        <v>18202.37</v>
      </c>
      <c r="O141" s="123">
        <f t="shared" si="36"/>
        <v>72.519402390438245</v>
      </c>
      <c r="P141" s="5"/>
      <c r="Q141" s="5">
        <f t="shared" si="29"/>
        <v>1</v>
      </c>
      <c r="R141" s="7">
        <f t="shared" si="30"/>
        <v>251</v>
      </c>
      <c r="S141" s="5">
        <f t="shared" si="31"/>
        <v>1</v>
      </c>
      <c r="T141" s="7">
        <f t="shared" si="32"/>
        <v>251</v>
      </c>
    </row>
    <row r="142" spans="1:20">
      <c r="A142" s="23" t="s">
        <v>170</v>
      </c>
      <c r="B142" s="35" t="s">
        <v>167</v>
      </c>
      <c r="C142" s="36">
        <v>1079</v>
      </c>
      <c r="D142" s="6"/>
      <c r="E142" s="113">
        <v>17683339</v>
      </c>
      <c r="F142" s="116">
        <f t="shared" si="33"/>
        <v>16388.636700648749</v>
      </c>
      <c r="G142" s="117">
        <v>9133376</v>
      </c>
      <c r="H142" s="117">
        <f t="shared" si="27"/>
        <v>8464.6672845227058</v>
      </c>
      <c r="I142" s="7"/>
      <c r="J142" s="10">
        <v>2.798</v>
      </c>
      <c r="K142" s="117">
        <v>25555</v>
      </c>
      <c r="L142" s="120">
        <f>(K142/C142)</f>
        <v>23.683966635773864</v>
      </c>
      <c r="M142" s="122">
        <f t="shared" si="34"/>
        <v>91333.759999999995</v>
      </c>
      <c r="N142" s="116">
        <f t="shared" si="35"/>
        <v>65778.759999999995</v>
      </c>
      <c r="O142" s="123">
        <f t="shared" si="36"/>
        <v>60.962706209453195</v>
      </c>
      <c r="P142" s="5"/>
      <c r="Q142" s="5">
        <f t="shared" si="29"/>
        <v>1</v>
      </c>
      <c r="R142" s="7">
        <f t="shared" si="30"/>
        <v>1079</v>
      </c>
      <c r="S142" s="5">
        <f t="shared" si="31"/>
        <v>1</v>
      </c>
      <c r="T142" s="7">
        <f t="shared" si="32"/>
        <v>1079</v>
      </c>
    </row>
    <row r="143" spans="1:20">
      <c r="A143" s="23" t="s">
        <v>171</v>
      </c>
      <c r="B143" s="35" t="s">
        <v>167</v>
      </c>
      <c r="C143" s="36">
        <v>2688</v>
      </c>
      <c r="D143" s="6"/>
      <c r="E143" s="113">
        <v>61452104</v>
      </c>
      <c r="F143" s="116">
        <f t="shared" si="33"/>
        <v>22861.645833333332</v>
      </c>
      <c r="G143" s="117">
        <v>36186058</v>
      </c>
      <c r="H143" s="117">
        <f t="shared" si="27"/>
        <v>13462.075148809523</v>
      </c>
      <c r="I143" s="7"/>
      <c r="J143" s="10">
        <v>3</v>
      </c>
      <c r="K143" s="117">
        <v>108558</v>
      </c>
      <c r="L143" s="120">
        <f>(K143/C143)</f>
        <v>40.386160714285715</v>
      </c>
      <c r="M143" s="122">
        <f t="shared" si="34"/>
        <v>361860.58</v>
      </c>
      <c r="N143" s="116">
        <f t="shared" si="35"/>
        <v>253302.58000000002</v>
      </c>
      <c r="O143" s="123">
        <f t="shared" si="36"/>
        <v>94.234590773809529</v>
      </c>
      <c r="P143" s="5"/>
      <c r="Q143" s="5">
        <f t="shared" si="29"/>
        <v>1</v>
      </c>
      <c r="R143" s="7">
        <f t="shared" si="30"/>
        <v>2688</v>
      </c>
      <c r="S143" s="5">
        <f t="shared" si="31"/>
        <v>1</v>
      </c>
      <c r="T143" s="7">
        <f t="shared" si="32"/>
        <v>2688</v>
      </c>
    </row>
    <row r="144" spans="1:20">
      <c r="A144" s="23" t="s">
        <v>172</v>
      </c>
      <c r="B144" s="35" t="s">
        <v>167</v>
      </c>
      <c r="C144" s="36">
        <v>703</v>
      </c>
      <c r="D144" s="6"/>
      <c r="E144" s="113">
        <v>8807675</v>
      </c>
      <c r="F144" s="116">
        <f t="shared" si="33"/>
        <v>12528.698435277383</v>
      </c>
      <c r="G144" s="117">
        <v>3227843</v>
      </c>
      <c r="H144" s="117">
        <f t="shared" si="27"/>
        <v>4591.5263157894733</v>
      </c>
      <c r="I144" s="98" t="s">
        <v>528</v>
      </c>
      <c r="J144" s="10"/>
      <c r="K144" s="117"/>
      <c r="L144" s="120"/>
      <c r="M144" s="122">
        <f t="shared" si="34"/>
        <v>32278.43</v>
      </c>
      <c r="N144" s="116">
        <f t="shared" si="35"/>
        <v>32278.43</v>
      </c>
      <c r="O144" s="123">
        <f t="shared" si="36"/>
        <v>45.915263157894735</v>
      </c>
      <c r="P144" s="5"/>
      <c r="Q144" s="5">
        <f t="shared" si="29"/>
        <v>1</v>
      </c>
      <c r="R144" s="7">
        <f t="shared" si="30"/>
        <v>703</v>
      </c>
      <c r="S144" s="5">
        <f t="shared" si="31"/>
        <v>0</v>
      </c>
      <c r="T144" s="7">
        <f t="shared" si="32"/>
        <v>0</v>
      </c>
    </row>
    <row r="145" spans="1:20">
      <c r="A145" s="23" t="s">
        <v>173</v>
      </c>
      <c r="B145" s="35" t="s">
        <v>167</v>
      </c>
      <c r="C145" s="36">
        <v>627</v>
      </c>
      <c r="D145" s="6"/>
      <c r="E145" s="113">
        <v>13298039</v>
      </c>
      <c r="F145" s="116">
        <f t="shared" si="33"/>
        <v>21208.993620414672</v>
      </c>
      <c r="G145" s="117">
        <v>6306804</v>
      </c>
      <c r="H145" s="117">
        <f t="shared" si="27"/>
        <v>10058.698564593302</v>
      </c>
      <c r="I145" s="7"/>
      <c r="J145" s="10">
        <v>1</v>
      </c>
      <c r="K145" s="117">
        <v>6306</v>
      </c>
      <c r="L145" s="120">
        <f>(K145/C145)</f>
        <v>10.057416267942584</v>
      </c>
      <c r="M145" s="122">
        <f t="shared" si="34"/>
        <v>63068.04</v>
      </c>
      <c r="N145" s="116">
        <f t="shared" si="35"/>
        <v>56762.04</v>
      </c>
      <c r="O145" s="123">
        <f t="shared" si="36"/>
        <v>90.529569377990427</v>
      </c>
      <c r="P145" s="5"/>
      <c r="Q145" s="5">
        <f t="shared" si="29"/>
        <v>1</v>
      </c>
      <c r="R145" s="7">
        <f t="shared" si="30"/>
        <v>627</v>
      </c>
      <c r="S145" s="5">
        <f t="shared" si="31"/>
        <v>1</v>
      </c>
      <c r="T145" s="7">
        <f t="shared" si="32"/>
        <v>627</v>
      </c>
    </row>
    <row r="146" spans="1:20">
      <c r="A146" s="23" t="s">
        <v>174</v>
      </c>
      <c r="B146" s="35" t="s">
        <v>167</v>
      </c>
      <c r="C146" s="36">
        <v>320</v>
      </c>
      <c r="D146" s="6"/>
      <c r="E146" s="113">
        <v>4015254</v>
      </c>
      <c r="F146" s="116">
        <f t="shared" si="33"/>
        <v>12547.668750000001</v>
      </c>
      <c r="G146" s="117">
        <v>1755952</v>
      </c>
      <c r="H146" s="117">
        <f t="shared" si="27"/>
        <v>5487.35</v>
      </c>
      <c r="I146" s="7"/>
      <c r="J146" s="12">
        <v>4</v>
      </c>
      <c r="K146" s="117">
        <v>7023</v>
      </c>
      <c r="L146" s="120">
        <f>(K146/C146)</f>
        <v>21.946874999999999</v>
      </c>
      <c r="M146" s="122">
        <f t="shared" si="34"/>
        <v>17559.52</v>
      </c>
      <c r="N146" s="116">
        <f t="shared" si="35"/>
        <v>10536.52</v>
      </c>
      <c r="O146" s="123">
        <f t="shared" si="36"/>
        <v>32.926625000000001</v>
      </c>
      <c r="P146" s="5"/>
      <c r="Q146" s="5">
        <f t="shared" si="29"/>
        <v>1</v>
      </c>
      <c r="R146" s="7">
        <f t="shared" si="30"/>
        <v>320</v>
      </c>
      <c r="S146" s="5">
        <f t="shared" si="31"/>
        <v>1</v>
      </c>
      <c r="T146" s="7">
        <f t="shared" si="32"/>
        <v>320</v>
      </c>
    </row>
    <row r="147" spans="1:20">
      <c r="A147" s="23" t="s">
        <v>175</v>
      </c>
      <c r="B147" s="35" t="s">
        <v>167</v>
      </c>
      <c r="C147" s="36">
        <v>2205</v>
      </c>
      <c r="D147" s="6"/>
      <c r="E147" s="113">
        <v>30919762</v>
      </c>
      <c r="F147" s="116">
        <f t="shared" si="33"/>
        <v>14022.567800453515</v>
      </c>
      <c r="G147" s="117">
        <v>6444839</v>
      </c>
      <c r="H147" s="117">
        <f t="shared" si="27"/>
        <v>2922.8294784580498</v>
      </c>
      <c r="I147" s="98" t="s">
        <v>528</v>
      </c>
      <c r="J147" s="10"/>
      <c r="K147" s="117"/>
      <c r="L147" s="120"/>
      <c r="M147" s="122">
        <f t="shared" si="34"/>
        <v>64448.39</v>
      </c>
      <c r="N147" s="116">
        <f t="shared" si="35"/>
        <v>64448.39</v>
      </c>
      <c r="O147" s="123">
        <f t="shared" si="36"/>
        <v>29.228294784580498</v>
      </c>
      <c r="P147" s="5"/>
      <c r="Q147" s="5">
        <f t="shared" si="29"/>
        <v>1</v>
      </c>
      <c r="R147" s="7">
        <f t="shared" si="30"/>
        <v>2205</v>
      </c>
      <c r="S147" s="5">
        <f t="shared" si="31"/>
        <v>0</v>
      </c>
      <c r="T147" s="7">
        <f t="shared" si="32"/>
        <v>0</v>
      </c>
    </row>
    <row r="148" spans="1:20">
      <c r="A148" s="23" t="s">
        <v>176</v>
      </c>
      <c r="B148" s="35" t="s">
        <v>167</v>
      </c>
      <c r="C148" s="36">
        <v>6546</v>
      </c>
      <c r="D148" s="6"/>
      <c r="E148" s="113">
        <v>193478989</v>
      </c>
      <c r="F148" s="116">
        <f t="shared" si="33"/>
        <v>29556.826917201346</v>
      </c>
      <c r="G148" s="117">
        <v>108349876</v>
      </c>
      <c r="H148" s="117">
        <f t="shared" si="27"/>
        <v>16552.07393828292</v>
      </c>
      <c r="I148" s="9"/>
      <c r="J148" s="10">
        <v>2.11</v>
      </c>
      <c r="K148" s="117">
        <v>228618</v>
      </c>
      <c r="L148" s="120">
        <f t="shared" ref="L148:L191" si="37">(K148/C148)</f>
        <v>34.924839596700274</v>
      </c>
      <c r="M148" s="122">
        <f t="shared" si="34"/>
        <v>1083498.76</v>
      </c>
      <c r="N148" s="116">
        <f t="shared" si="35"/>
        <v>854880.76</v>
      </c>
      <c r="O148" s="123">
        <f t="shared" si="36"/>
        <v>130.59589978612894</v>
      </c>
      <c r="P148" s="5"/>
      <c r="Q148" s="5">
        <f t="shared" si="29"/>
        <v>1</v>
      </c>
      <c r="R148" s="7">
        <f t="shared" si="30"/>
        <v>6546</v>
      </c>
      <c r="S148" s="5">
        <f t="shared" si="31"/>
        <v>1</v>
      </c>
      <c r="T148" s="7">
        <f t="shared" si="32"/>
        <v>6546</v>
      </c>
    </row>
    <row r="149" spans="1:20">
      <c r="A149" s="23" t="s">
        <v>177</v>
      </c>
      <c r="B149" s="35" t="s">
        <v>167</v>
      </c>
      <c r="C149" s="36">
        <v>2096</v>
      </c>
      <c r="D149" s="6"/>
      <c r="E149" s="113">
        <v>31631108</v>
      </c>
      <c r="F149" s="116">
        <f t="shared" si="33"/>
        <v>15091.177480916031</v>
      </c>
      <c r="G149" s="117">
        <v>14548143</v>
      </c>
      <c r="H149" s="117">
        <f t="shared" si="27"/>
        <v>6940.9079198473282</v>
      </c>
      <c r="I149" s="7"/>
      <c r="J149" s="10">
        <v>0.81</v>
      </c>
      <c r="K149" s="117">
        <v>11783</v>
      </c>
      <c r="L149" s="120">
        <f t="shared" si="37"/>
        <v>5.6216603053435117</v>
      </c>
      <c r="M149" s="122">
        <f t="shared" si="34"/>
        <v>145481.43</v>
      </c>
      <c r="N149" s="116">
        <f t="shared" si="35"/>
        <v>133698.43</v>
      </c>
      <c r="O149" s="123">
        <f t="shared" si="36"/>
        <v>63.787418893129768</v>
      </c>
      <c r="P149" s="5"/>
      <c r="Q149" s="5">
        <f t="shared" si="29"/>
        <v>1</v>
      </c>
      <c r="R149" s="7">
        <f t="shared" si="30"/>
        <v>2096</v>
      </c>
      <c r="S149" s="5">
        <f t="shared" si="31"/>
        <v>1</v>
      </c>
      <c r="T149" s="7">
        <f t="shared" si="32"/>
        <v>2096</v>
      </c>
    </row>
    <row r="150" spans="1:20">
      <c r="A150" s="23" t="s">
        <v>178</v>
      </c>
      <c r="B150" s="35" t="s">
        <v>179</v>
      </c>
      <c r="C150" s="36">
        <v>2884</v>
      </c>
      <c r="D150" s="6"/>
      <c r="E150" s="113">
        <v>76164102</v>
      </c>
      <c r="F150" s="116">
        <f t="shared" si="33"/>
        <v>26409.189320388348</v>
      </c>
      <c r="G150" s="117">
        <v>45508084</v>
      </c>
      <c r="H150" s="117">
        <f t="shared" si="27"/>
        <v>15779.502080443828</v>
      </c>
      <c r="I150" s="7"/>
      <c r="J150" s="11">
        <v>9.3828999999999994</v>
      </c>
      <c r="K150" s="117">
        <v>426997</v>
      </c>
      <c r="L150" s="120">
        <f t="shared" si="37"/>
        <v>148.05721220527045</v>
      </c>
      <c r="M150" s="122">
        <f t="shared" si="34"/>
        <v>455080.84</v>
      </c>
      <c r="N150" s="116">
        <f t="shared" si="35"/>
        <v>28083.840000000026</v>
      </c>
      <c r="O150" s="123">
        <f t="shared" si="36"/>
        <v>9.7378085991678311</v>
      </c>
      <c r="P150" s="5"/>
      <c r="Q150" s="5">
        <f t="shared" si="29"/>
        <v>1</v>
      </c>
      <c r="R150" s="7">
        <f t="shared" si="30"/>
        <v>2884</v>
      </c>
      <c r="S150" s="5">
        <f t="shared" si="31"/>
        <v>1</v>
      </c>
      <c r="T150" s="7">
        <f t="shared" si="32"/>
        <v>2884</v>
      </c>
    </row>
    <row r="151" spans="1:20">
      <c r="A151" s="23" t="s">
        <v>180</v>
      </c>
      <c r="B151" s="35" t="s">
        <v>181</v>
      </c>
      <c r="C151" s="36">
        <v>930</v>
      </c>
      <c r="D151" s="6"/>
      <c r="E151" s="113">
        <v>18986284</v>
      </c>
      <c r="F151" s="116">
        <f t="shared" si="33"/>
        <v>20415.359139784945</v>
      </c>
      <c r="G151" s="117">
        <v>8256928</v>
      </c>
      <c r="H151" s="117">
        <f t="shared" si="27"/>
        <v>8878.4172043010749</v>
      </c>
      <c r="I151" s="9"/>
      <c r="J151" s="10">
        <v>2</v>
      </c>
      <c r="K151" s="117">
        <v>16513</v>
      </c>
      <c r="L151" s="120">
        <f t="shared" si="37"/>
        <v>17.755913978494625</v>
      </c>
      <c r="M151" s="122">
        <f t="shared" si="34"/>
        <v>82569.279999999999</v>
      </c>
      <c r="N151" s="116">
        <f t="shared" si="35"/>
        <v>66056.28</v>
      </c>
      <c r="O151" s="123">
        <f t="shared" si="36"/>
        <v>71.028258064516123</v>
      </c>
      <c r="P151" s="5"/>
      <c r="Q151" s="5">
        <f t="shared" si="29"/>
        <v>1</v>
      </c>
      <c r="R151" s="7">
        <f t="shared" si="30"/>
        <v>930</v>
      </c>
      <c r="S151" s="5">
        <f t="shared" si="31"/>
        <v>1</v>
      </c>
      <c r="T151" s="7">
        <f t="shared" si="32"/>
        <v>930</v>
      </c>
    </row>
    <row r="152" spans="1:20">
      <c r="A152" s="23" t="s">
        <v>182</v>
      </c>
      <c r="B152" s="35" t="s">
        <v>183</v>
      </c>
      <c r="C152" s="36">
        <v>1175</v>
      </c>
      <c r="D152" s="6"/>
      <c r="E152" s="113">
        <v>24301020</v>
      </c>
      <c r="F152" s="116">
        <f t="shared" si="33"/>
        <v>20681.719148936168</v>
      </c>
      <c r="G152" s="117">
        <v>15008332</v>
      </c>
      <c r="H152" s="117">
        <f t="shared" si="27"/>
        <v>12773.048510638298</v>
      </c>
      <c r="I152" s="7"/>
      <c r="J152" s="10">
        <v>1.5</v>
      </c>
      <c r="K152" s="117">
        <v>22512</v>
      </c>
      <c r="L152" s="120">
        <f t="shared" si="37"/>
        <v>19.159148936170212</v>
      </c>
      <c r="M152" s="122">
        <f t="shared" si="34"/>
        <v>150083.32</v>
      </c>
      <c r="N152" s="116">
        <f t="shared" si="35"/>
        <v>127571.32</v>
      </c>
      <c r="O152" s="123">
        <f t="shared" si="36"/>
        <v>108.57133617021277</v>
      </c>
      <c r="P152" s="5"/>
      <c r="Q152" s="5">
        <f t="shared" si="29"/>
        <v>1</v>
      </c>
      <c r="R152" s="7">
        <f t="shared" si="30"/>
        <v>1175</v>
      </c>
      <c r="S152" s="5">
        <f t="shared" si="31"/>
        <v>1</v>
      </c>
      <c r="T152" s="7">
        <f t="shared" si="32"/>
        <v>1175</v>
      </c>
    </row>
    <row r="153" spans="1:20">
      <c r="A153" s="23" t="s">
        <v>184</v>
      </c>
      <c r="B153" s="35" t="s">
        <v>183</v>
      </c>
      <c r="C153" s="36">
        <v>7291</v>
      </c>
      <c r="D153" s="6"/>
      <c r="E153" s="113">
        <v>278574470</v>
      </c>
      <c r="F153" s="116">
        <f t="shared" si="33"/>
        <v>38207.992044986968</v>
      </c>
      <c r="G153" s="117">
        <v>213141778</v>
      </c>
      <c r="H153" s="117">
        <f t="shared" si="27"/>
        <v>29233.545192703332</v>
      </c>
      <c r="I153" s="7"/>
      <c r="J153" s="11">
        <v>2.9790000000000001</v>
      </c>
      <c r="K153" s="117">
        <v>634949</v>
      </c>
      <c r="L153" s="120">
        <f t="shared" si="37"/>
        <v>87.086682210945</v>
      </c>
      <c r="M153" s="122">
        <f t="shared" si="34"/>
        <v>2131417.7800000003</v>
      </c>
      <c r="N153" s="116">
        <f t="shared" si="35"/>
        <v>1496468.7800000003</v>
      </c>
      <c r="O153" s="123">
        <f t="shared" si="36"/>
        <v>205.24876971608836</v>
      </c>
      <c r="P153" s="5"/>
      <c r="Q153" s="5">
        <f t="shared" si="29"/>
        <v>1</v>
      </c>
      <c r="R153" s="7">
        <f t="shared" si="30"/>
        <v>7291</v>
      </c>
      <c r="S153" s="5">
        <f t="shared" si="31"/>
        <v>1</v>
      </c>
      <c r="T153" s="7">
        <f t="shared" si="32"/>
        <v>7291</v>
      </c>
    </row>
    <row r="154" spans="1:20">
      <c r="A154" s="23" t="s">
        <v>185</v>
      </c>
      <c r="B154" s="35" t="s">
        <v>183</v>
      </c>
      <c r="C154" s="36">
        <v>14286</v>
      </c>
      <c r="D154" s="6"/>
      <c r="E154" s="113">
        <v>499294956</v>
      </c>
      <c r="F154" s="116">
        <f t="shared" si="33"/>
        <v>34949.947921041581</v>
      </c>
      <c r="G154" s="117">
        <v>354786385</v>
      </c>
      <c r="H154" s="117">
        <f t="shared" si="27"/>
        <v>24834.550258994819</v>
      </c>
      <c r="I154" s="7"/>
      <c r="J154" s="10">
        <v>5.5</v>
      </c>
      <c r="K154" s="117">
        <v>1951325</v>
      </c>
      <c r="L154" s="120">
        <f t="shared" si="37"/>
        <v>136.59001819963601</v>
      </c>
      <c r="M154" s="122">
        <f t="shared" si="34"/>
        <v>3547863.85</v>
      </c>
      <c r="N154" s="116">
        <f t="shared" si="35"/>
        <v>1596538.85</v>
      </c>
      <c r="O154" s="123">
        <f t="shared" si="36"/>
        <v>111.7554843903122</v>
      </c>
      <c r="P154" s="5"/>
      <c r="Q154" s="5">
        <f t="shared" si="29"/>
        <v>1</v>
      </c>
      <c r="R154" s="7">
        <f t="shared" si="30"/>
        <v>14286</v>
      </c>
      <c r="S154" s="5">
        <f t="shared" si="31"/>
        <v>1</v>
      </c>
      <c r="T154" s="7">
        <f t="shared" si="32"/>
        <v>14286</v>
      </c>
    </row>
    <row r="155" spans="1:20">
      <c r="A155" s="23" t="s">
        <v>186</v>
      </c>
      <c r="B155" s="35" t="s">
        <v>183</v>
      </c>
      <c r="C155" s="36">
        <v>2981</v>
      </c>
      <c r="D155" s="6"/>
      <c r="E155" s="113">
        <v>80317622</v>
      </c>
      <c r="F155" s="116">
        <f t="shared" si="33"/>
        <v>26943.180811808117</v>
      </c>
      <c r="G155" s="117">
        <v>53313917</v>
      </c>
      <c r="H155" s="117">
        <f t="shared" ref="H155:H186" si="38">(G155/C155)</f>
        <v>17884.574639382758</v>
      </c>
      <c r="I155" s="7"/>
      <c r="J155" s="10">
        <v>3.39</v>
      </c>
      <c r="K155" s="117">
        <v>180734</v>
      </c>
      <c r="L155" s="120">
        <f t="shared" si="37"/>
        <v>60.628648104662865</v>
      </c>
      <c r="M155" s="122">
        <f t="shared" si="34"/>
        <v>533139.17000000004</v>
      </c>
      <c r="N155" s="116">
        <f t="shared" si="35"/>
        <v>352405.17000000004</v>
      </c>
      <c r="O155" s="123">
        <f t="shared" si="36"/>
        <v>118.21709828916472</v>
      </c>
      <c r="P155" s="5"/>
      <c r="Q155" s="5">
        <f t="shared" si="29"/>
        <v>1</v>
      </c>
      <c r="R155" s="7">
        <f t="shared" si="30"/>
        <v>2981</v>
      </c>
      <c r="S155" s="5">
        <f t="shared" si="31"/>
        <v>1</v>
      </c>
      <c r="T155" s="7">
        <f t="shared" si="32"/>
        <v>2981</v>
      </c>
    </row>
    <row r="156" spans="1:20">
      <c r="A156" s="23" t="s">
        <v>187</v>
      </c>
      <c r="B156" s="35" t="s">
        <v>183</v>
      </c>
      <c r="C156" s="36">
        <v>2487</v>
      </c>
      <c r="D156" s="6"/>
      <c r="E156" s="113">
        <v>60988871</v>
      </c>
      <c r="F156" s="116">
        <f t="shared" si="33"/>
        <v>24523.068355448333</v>
      </c>
      <c r="G156" s="117">
        <v>43788118</v>
      </c>
      <c r="H156" s="117">
        <f t="shared" si="38"/>
        <v>17606.802573381585</v>
      </c>
      <c r="I156" s="7"/>
      <c r="J156" s="10">
        <v>6</v>
      </c>
      <c r="K156" s="117">
        <v>262728</v>
      </c>
      <c r="L156" s="120">
        <f t="shared" si="37"/>
        <v>105.64053075995174</v>
      </c>
      <c r="M156" s="122">
        <f t="shared" si="34"/>
        <v>437881.18</v>
      </c>
      <c r="N156" s="116">
        <f t="shared" si="35"/>
        <v>175153.18</v>
      </c>
      <c r="O156" s="123">
        <f t="shared" si="36"/>
        <v>70.427494973864086</v>
      </c>
      <c r="P156" s="5"/>
      <c r="Q156" s="5">
        <f t="shared" si="29"/>
        <v>1</v>
      </c>
      <c r="R156" s="7">
        <f t="shared" si="30"/>
        <v>2487</v>
      </c>
      <c r="S156" s="5">
        <f t="shared" si="31"/>
        <v>1</v>
      </c>
      <c r="T156" s="7">
        <f t="shared" si="32"/>
        <v>2487</v>
      </c>
    </row>
    <row r="157" spans="1:20">
      <c r="A157" s="23" t="s">
        <v>188</v>
      </c>
      <c r="B157" s="35" t="s">
        <v>183</v>
      </c>
      <c r="C157" s="36">
        <v>796</v>
      </c>
      <c r="D157" s="6"/>
      <c r="E157" s="113">
        <v>46571904</v>
      </c>
      <c r="F157" s="116">
        <f t="shared" si="33"/>
        <v>58507.417085427136</v>
      </c>
      <c r="G157" s="117">
        <v>35048162</v>
      </c>
      <c r="H157" s="117">
        <f t="shared" si="38"/>
        <v>44030.35427135678</v>
      </c>
      <c r="I157" s="7"/>
      <c r="J157" s="10">
        <v>5.4450000000000003</v>
      </c>
      <c r="K157" s="117">
        <v>190837</v>
      </c>
      <c r="L157" s="120">
        <f t="shared" si="37"/>
        <v>239.74497487437185</v>
      </c>
      <c r="M157" s="122">
        <f t="shared" si="34"/>
        <v>350481.62</v>
      </c>
      <c r="N157" s="116">
        <f t="shared" si="35"/>
        <v>159644.62</v>
      </c>
      <c r="O157" s="123">
        <f t="shared" si="36"/>
        <v>200.55856783919597</v>
      </c>
      <c r="P157" s="5"/>
      <c r="Q157" s="5">
        <f t="shared" si="29"/>
        <v>1</v>
      </c>
      <c r="R157" s="7">
        <f t="shared" si="30"/>
        <v>796</v>
      </c>
      <c r="S157" s="5">
        <f t="shared" si="31"/>
        <v>1</v>
      </c>
      <c r="T157" s="7">
        <f t="shared" si="32"/>
        <v>796</v>
      </c>
    </row>
    <row r="158" spans="1:20">
      <c r="A158" s="23" t="s">
        <v>189</v>
      </c>
      <c r="B158" s="35" t="s">
        <v>183</v>
      </c>
      <c r="C158" s="36">
        <v>12287</v>
      </c>
      <c r="D158" s="6"/>
      <c r="E158" s="113">
        <v>445649214</v>
      </c>
      <c r="F158" s="116">
        <f t="shared" si="33"/>
        <v>36269.977537234474</v>
      </c>
      <c r="G158" s="117">
        <v>311804727</v>
      </c>
      <c r="H158" s="117">
        <f t="shared" si="38"/>
        <v>25376.798811752258</v>
      </c>
      <c r="I158" s="7"/>
      <c r="J158" s="10">
        <v>2.72</v>
      </c>
      <c r="K158" s="117">
        <v>848108</v>
      </c>
      <c r="L158" s="120">
        <f t="shared" si="37"/>
        <v>69.024822983641243</v>
      </c>
      <c r="M158" s="122">
        <f t="shared" si="34"/>
        <v>3118047.27</v>
      </c>
      <c r="N158" s="116">
        <f t="shared" si="35"/>
        <v>2269939.27</v>
      </c>
      <c r="O158" s="123">
        <f t="shared" si="36"/>
        <v>184.74316513388135</v>
      </c>
      <c r="P158" s="5"/>
      <c r="Q158" s="5">
        <f t="shared" si="29"/>
        <v>1</v>
      </c>
      <c r="R158" s="7">
        <f t="shared" si="30"/>
        <v>12287</v>
      </c>
      <c r="S158" s="5">
        <f t="shared" si="31"/>
        <v>1</v>
      </c>
      <c r="T158" s="7">
        <f t="shared" si="32"/>
        <v>12287</v>
      </c>
    </row>
    <row r="159" spans="1:20">
      <c r="A159" s="23" t="s">
        <v>190</v>
      </c>
      <c r="B159" s="35" t="s">
        <v>183</v>
      </c>
      <c r="C159" s="36">
        <v>15352</v>
      </c>
      <c r="D159" s="6"/>
      <c r="E159" s="113">
        <v>802430571</v>
      </c>
      <c r="F159" s="116">
        <f t="shared" si="33"/>
        <v>52268.796964564877</v>
      </c>
      <c r="G159" s="117">
        <v>552619560</v>
      </c>
      <c r="H159" s="117">
        <f t="shared" si="38"/>
        <v>35996.584158415841</v>
      </c>
      <c r="I159" s="7"/>
      <c r="J159" s="10">
        <v>4.5</v>
      </c>
      <c r="K159" s="117">
        <v>2486788</v>
      </c>
      <c r="L159" s="120">
        <f t="shared" si="37"/>
        <v>161.98462741010943</v>
      </c>
      <c r="M159" s="122">
        <f t="shared" si="34"/>
        <v>5526195.6000000006</v>
      </c>
      <c r="N159" s="116">
        <f t="shared" si="35"/>
        <v>3039407.6000000006</v>
      </c>
      <c r="O159" s="123">
        <f t="shared" si="36"/>
        <v>197.98121417404903</v>
      </c>
      <c r="P159" s="5"/>
      <c r="Q159" s="5">
        <f t="shared" si="29"/>
        <v>1</v>
      </c>
      <c r="R159" s="7">
        <f t="shared" si="30"/>
        <v>15352</v>
      </c>
      <c r="S159" s="5">
        <f t="shared" si="31"/>
        <v>1</v>
      </c>
      <c r="T159" s="7">
        <f t="shared" si="32"/>
        <v>15352</v>
      </c>
    </row>
    <row r="160" spans="1:20">
      <c r="A160" s="23" t="s">
        <v>191</v>
      </c>
      <c r="B160" s="35" t="s">
        <v>183</v>
      </c>
      <c r="C160" s="36">
        <v>2376</v>
      </c>
      <c r="D160" s="6"/>
      <c r="E160" s="113">
        <v>40709531</v>
      </c>
      <c r="F160" s="116">
        <f t="shared" si="33"/>
        <v>17133.640993265992</v>
      </c>
      <c r="G160" s="117">
        <v>25852328</v>
      </c>
      <c r="H160" s="117">
        <f t="shared" si="38"/>
        <v>10880.609427609428</v>
      </c>
      <c r="I160" s="7"/>
      <c r="J160" s="10">
        <v>5.3520000000000003</v>
      </c>
      <c r="K160" s="117">
        <v>138361</v>
      </c>
      <c r="L160" s="120">
        <f t="shared" si="37"/>
        <v>58.232744107744111</v>
      </c>
      <c r="M160" s="122">
        <f t="shared" si="34"/>
        <v>258523.28</v>
      </c>
      <c r="N160" s="116">
        <f t="shared" si="35"/>
        <v>120162.28</v>
      </c>
      <c r="O160" s="123">
        <f t="shared" si="36"/>
        <v>50.573350168350167</v>
      </c>
      <c r="P160" s="5"/>
      <c r="Q160" s="5">
        <f t="shared" si="29"/>
        <v>1</v>
      </c>
      <c r="R160" s="7">
        <f t="shared" si="30"/>
        <v>2376</v>
      </c>
      <c r="S160" s="5">
        <f t="shared" si="31"/>
        <v>1</v>
      </c>
      <c r="T160" s="7">
        <f t="shared" si="32"/>
        <v>2376</v>
      </c>
    </row>
    <row r="161" spans="1:20">
      <c r="A161" s="23" t="s">
        <v>192</v>
      </c>
      <c r="B161" s="35" t="s">
        <v>183</v>
      </c>
      <c r="C161" s="36">
        <v>2463</v>
      </c>
      <c r="D161" s="6"/>
      <c r="E161" s="113">
        <v>81972734</v>
      </c>
      <c r="F161" s="116">
        <f t="shared" si="33"/>
        <v>33281.662200568411</v>
      </c>
      <c r="G161" s="117">
        <v>61491676</v>
      </c>
      <c r="H161" s="117">
        <f t="shared" si="38"/>
        <v>24966.169711733659</v>
      </c>
      <c r="I161" s="7"/>
      <c r="J161" s="10">
        <v>3.97</v>
      </c>
      <c r="K161" s="117">
        <v>244121</v>
      </c>
      <c r="L161" s="120">
        <f t="shared" si="37"/>
        <v>99.115306536743802</v>
      </c>
      <c r="M161" s="122">
        <f t="shared" si="34"/>
        <v>614916.76</v>
      </c>
      <c r="N161" s="116">
        <f t="shared" si="35"/>
        <v>370795.76</v>
      </c>
      <c r="O161" s="123">
        <f t="shared" si="36"/>
        <v>150.54639058059277</v>
      </c>
      <c r="P161" s="5"/>
      <c r="Q161" s="5">
        <f t="shared" si="29"/>
        <v>1</v>
      </c>
      <c r="R161" s="7">
        <f t="shared" si="30"/>
        <v>2463</v>
      </c>
      <c r="S161" s="5">
        <f t="shared" si="31"/>
        <v>1</v>
      </c>
      <c r="T161" s="7">
        <f t="shared" si="32"/>
        <v>2463</v>
      </c>
    </row>
    <row r="162" spans="1:20">
      <c r="A162" s="23" t="s">
        <v>193</v>
      </c>
      <c r="B162" s="35" t="s">
        <v>183</v>
      </c>
      <c r="C162" s="36">
        <v>1111</v>
      </c>
      <c r="D162" s="6"/>
      <c r="E162" s="113">
        <v>30632639</v>
      </c>
      <c r="F162" s="116">
        <f t="shared" si="33"/>
        <v>27572.132313231323</v>
      </c>
      <c r="G162" s="117">
        <v>19989318</v>
      </c>
      <c r="H162" s="117">
        <f t="shared" si="38"/>
        <v>17992.185418541852</v>
      </c>
      <c r="I162" s="7"/>
      <c r="J162" s="10">
        <v>2.99</v>
      </c>
      <c r="K162" s="117">
        <v>59768</v>
      </c>
      <c r="L162" s="120">
        <f t="shared" si="37"/>
        <v>53.796579657965793</v>
      </c>
      <c r="M162" s="122">
        <f t="shared" si="34"/>
        <v>199893.18</v>
      </c>
      <c r="N162" s="116">
        <f t="shared" si="35"/>
        <v>140125.18</v>
      </c>
      <c r="O162" s="123">
        <f t="shared" si="36"/>
        <v>126.12527452745275</v>
      </c>
      <c r="P162" s="5"/>
      <c r="Q162" s="5">
        <f t="shared" si="29"/>
        <v>1</v>
      </c>
      <c r="R162" s="7">
        <f t="shared" si="30"/>
        <v>1111</v>
      </c>
      <c r="S162" s="5">
        <f t="shared" si="31"/>
        <v>1</v>
      </c>
      <c r="T162" s="7">
        <f t="shared" si="32"/>
        <v>1111</v>
      </c>
    </row>
    <row r="163" spans="1:20">
      <c r="A163" s="23" t="s">
        <v>194</v>
      </c>
      <c r="B163" s="35" t="s">
        <v>183</v>
      </c>
      <c r="C163" s="36">
        <v>8483</v>
      </c>
      <c r="D163" s="6"/>
      <c r="E163" s="113">
        <v>420516181</v>
      </c>
      <c r="F163" s="116">
        <f t="shared" si="33"/>
        <v>49571.635152658258</v>
      </c>
      <c r="G163" s="117">
        <v>323411518</v>
      </c>
      <c r="H163" s="117">
        <f t="shared" si="38"/>
        <v>38124.663208770486</v>
      </c>
      <c r="I163" s="7"/>
      <c r="J163" s="10">
        <v>6.181</v>
      </c>
      <c r="K163" s="117">
        <v>1999006</v>
      </c>
      <c r="L163" s="120">
        <f t="shared" si="37"/>
        <v>235.64847341742308</v>
      </c>
      <c r="M163" s="122">
        <f t="shared" si="34"/>
        <v>3234115.18</v>
      </c>
      <c r="N163" s="116">
        <f t="shared" si="35"/>
        <v>1235109.1800000002</v>
      </c>
      <c r="O163" s="123">
        <f t="shared" si="36"/>
        <v>145.59815867028175</v>
      </c>
      <c r="P163" s="5"/>
      <c r="Q163" s="5">
        <f t="shared" si="29"/>
        <v>1</v>
      </c>
      <c r="R163" s="7">
        <f t="shared" si="30"/>
        <v>8483</v>
      </c>
      <c r="S163" s="5">
        <f t="shared" si="31"/>
        <v>1</v>
      </c>
      <c r="T163" s="7">
        <f t="shared" si="32"/>
        <v>8483</v>
      </c>
    </row>
    <row r="164" spans="1:20">
      <c r="A164" s="23" t="s">
        <v>195</v>
      </c>
      <c r="B164" s="35" t="s">
        <v>183</v>
      </c>
      <c r="C164" s="36">
        <v>8233</v>
      </c>
      <c r="D164" s="6"/>
      <c r="E164" s="113">
        <v>401169641</v>
      </c>
      <c r="F164" s="116">
        <f t="shared" si="33"/>
        <v>48727.030365601844</v>
      </c>
      <c r="G164" s="117">
        <v>212648691</v>
      </c>
      <c r="H164" s="117">
        <f t="shared" si="38"/>
        <v>25828.821936110773</v>
      </c>
      <c r="I164" s="7"/>
      <c r="J164" s="10">
        <v>4.42</v>
      </c>
      <c r="K164" s="117">
        <v>939907</v>
      </c>
      <c r="L164" s="120">
        <f t="shared" si="37"/>
        <v>114.16336693793271</v>
      </c>
      <c r="M164" s="122">
        <f t="shared" si="34"/>
        <v>2126486.91</v>
      </c>
      <c r="N164" s="116">
        <f t="shared" si="35"/>
        <v>1186579.9100000001</v>
      </c>
      <c r="O164" s="123">
        <f t="shared" si="36"/>
        <v>144.12485242317504</v>
      </c>
      <c r="P164" s="5"/>
      <c r="Q164" s="5">
        <f t="shared" si="29"/>
        <v>1</v>
      </c>
      <c r="R164" s="7">
        <f t="shared" si="30"/>
        <v>8233</v>
      </c>
      <c r="S164" s="5">
        <f t="shared" si="31"/>
        <v>1</v>
      </c>
      <c r="T164" s="7">
        <f t="shared" si="32"/>
        <v>8233</v>
      </c>
    </row>
    <row r="165" spans="1:20">
      <c r="A165" s="23" t="s">
        <v>196</v>
      </c>
      <c r="B165" s="35" t="s">
        <v>183</v>
      </c>
      <c r="C165" s="36">
        <v>2432</v>
      </c>
      <c r="D165" s="6"/>
      <c r="E165" s="113">
        <v>76156941</v>
      </c>
      <c r="F165" s="116">
        <f t="shared" si="33"/>
        <v>31314.53166118421</v>
      </c>
      <c r="G165" s="117">
        <v>54744781</v>
      </c>
      <c r="H165" s="117">
        <f t="shared" si="38"/>
        <v>22510.189555921053</v>
      </c>
      <c r="I165" s="7"/>
      <c r="J165" s="10">
        <v>5.5140000000000002</v>
      </c>
      <c r="K165" s="117">
        <v>301862</v>
      </c>
      <c r="L165" s="120">
        <f t="shared" si="37"/>
        <v>124.12088815789474</v>
      </c>
      <c r="M165" s="122">
        <f t="shared" si="34"/>
        <v>547447.81000000006</v>
      </c>
      <c r="N165" s="116">
        <f t="shared" si="35"/>
        <v>245585.81000000006</v>
      </c>
      <c r="O165" s="123">
        <f t="shared" si="36"/>
        <v>100.98100740131581</v>
      </c>
      <c r="P165" s="5"/>
      <c r="Q165" s="5">
        <f t="shared" si="29"/>
        <v>1</v>
      </c>
      <c r="R165" s="7">
        <f t="shared" si="30"/>
        <v>2432</v>
      </c>
      <c r="S165" s="5">
        <f t="shared" si="31"/>
        <v>1</v>
      </c>
      <c r="T165" s="7">
        <f t="shared" si="32"/>
        <v>2432</v>
      </c>
    </row>
    <row r="166" spans="1:20">
      <c r="A166" s="23" t="s">
        <v>197</v>
      </c>
      <c r="B166" s="35" t="s">
        <v>198</v>
      </c>
      <c r="C166" s="36">
        <v>87632</v>
      </c>
      <c r="D166" s="6"/>
      <c r="E166" s="113">
        <v>4576329820</v>
      </c>
      <c r="F166" s="116">
        <f t="shared" si="33"/>
        <v>52222.131413182396</v>
      </c>
      <c r="G166" s="117">
        <v>3632010230</v>
      </c>
      <c r="H166" s="117">
        <f t="shared" si="38"/>
        <v>41446.163844257804</v>
      </c>
      <c r="I166" s="7"/>
      <c r="J166" s="10">
        <v>5.4298000000000002</v>
      </c>
      <c r="K166" s="117">
        <v>19721089</v>
      </c>
      <c r="L166" s="120">
        <f t="shared" si="37"/>
        <v>225.04437876574767</v>
      </c>
      <c r="M166" s="122">
        <f t="shared" si="34"/>
        <v>36320102.300000004</v>
      </c>
      <c r="N166" s="116">
        <f t="shared" si="35"/>
        <v>16599013.300000004</v>
      </c>
      <c r="O166" s="123">
        <f t="shared" si="36"/>
        <v>189.41725967683044</v>
      </c>
      <c r="P166" s="5"/>
      <c r="Q166" s="5">
        <f t="shared" si="29"/>
        <v>1</v>
      </c>
      <c r="R166" s="7">
        <f t="shared" si="30"/>
        <v>87632</v>
      </c>
      <c r="S166" s="5">
        <f t="shared" si="31"/>
        <v>1</v>
      </c>
      <c r="T166" s="7">
        <f t="shared" si="32"/>
        <v>87632</v>
      </c>
    </row>
    <row r="167" spans="1:20">
      <c r="A167" s="23" t="s">
        <v>199</v>
      </c>
      <c r="B167" s="35" t="s">
        <v>198</v>
      </c>
      <c r="C167" s="36">
        <v>46328</v>
      </c>
      <c r="D167" s="6"/>
      <c r="E167" s="113">
        <v>2519175340</v>
      </c>
      <c r="F167" s="116">
        <f t="shared" si="33"/>
        <v>54376.950008634085</v>
      </c>
      <c r="G167" s="117">
        <v>1803482840</v>
      </c>
      <c r="H167" s="117">
        <f t="shared" si="38"/>
        <v>38928.571058539113</v>
      </c>
      <c r="I167" s="7"/>
      <c r="J167" s="10">
        <v>5.66</v>
      </c>
      <c r="K167" s="117">
        <v>10207712</v>
      </c>
      <c r="L167" s="120">
        <f t="shared" si="37"/>
        <v>220.33569331721637</v>
      </c>
      <c r="M167" s="122">
        <f t="shared" si="34"/>
        <v>18034828.400000002</v>
      </c>
      <c r="N167" s="116">
        <f t="shared" si="35"/>
        <v>7827116.4000000022</v>
      </c>
      <c r="O167" s="123">
        <f t="shared" si="36"/>
        <v>168.9500172681748</v>
      </c>
      <c r="P167" s="5"/>
      <c r="Q167" s="5">
        <f t="shared" si="29"/>
        <v>1</v>
      </c>
      <c r="R167" s="7">
        <f t="shared" si="30"/>
        <v>46328</v>
      </c>
      <c r="S167" s="5">
        <f t="shared" si="31"/>
        <v>1</v>
      </c>
      <c r="T167" s="7">
        <f t="shared" si="32"/>
        <v>46328</v>
      </c>
    </row>
    <row r="168" spans="1:20">
      <c r="A168" s="23" t="s">
        <v>200</v>
      </c>
      <c r="B168" s="35" t="s">
        <v>198</v>
      </c>
      <c r="C168" s="36">
        <v>6039</v>
      </c>
      <c r="D168" s="6"/>
      <c r="E168" s="113">
        <v>1174398550</v>
      </c>
      <c r="F168" s="116">
        <f t="shared" si="33"/>
        <v>194469.04288789534</v>
      </c>
      <c r="G168" s="117">
        <v>1097095620</v>
      </c>
      <c r="H168" s="117">
        <f t="shared" si="38"/>
        <v>181668.42523596622</v>
      </c>
      <c r="I168" s="7"/>
      <c r="J168" s="10">
        <v>1.0604</v>
      </c>
      <c r="K168" s="117">
        <v>1163360</v>
      </c>
      <c r="L168" s="120">
        <f t="shared" si="37"/>
        <v>192.64116575591984</v>
      </c>
      <c r="M168" s="122">
        <f t="shared" si="34"/>
        <v>10970956.200000001</v>
      </c>
      <c r="N168" s="116">
        <f t="shared" si="35"/>
        <v>9807596.2000000011</v>
      </c>
      <c r="O168" s="123">
        <f t="shared" si="36"/>
        <v>1624.0430866037425</v>
      </c>
      <c r="P168" s="5"/>
      <c r="Q168" s="5">
        <f t="shared" si="29"/>
        <v>1</v>
      </c>
      <c r="R168" s="7">
        <f t="shared" si="30"/>
        <v>6039</v>
      </c>
      <c r="S168" s="5">
        <f t="shared" si="31"/>
        <v>1</v>
      </c>
      <c r="T168" s="7">
        <f t="shared" si="32"/>
        <v>6039</v>
      </c>
    </row>
    <row r="169" spans="1:20">
      <c r="A169" s="23" t="s">
        <v>201</v>
      </c>
      <c r="B169" s="35" t="s">
        <v>198</v>
      </c>
      <c r="C169" s="36">
        <v>5838</v>
      </c>
      <c r="D169" s="6"/>
      <c r="E169" s="113">
        <v>2220950510</v>
      </c>
      <c r="F169" s="116">
        <f t="shared" si="33"/>
        <v>380430.02911956148</v>
      </c>
      <c r="G169" s="117">
        <v>2104092230</v>
      </c>
      <c r="H169" s="117">
        <f t="shared" si="38"/>
        <v>360413.19458718738</v>
      </c>
      <c r="I169" s="7"/>
      <c r="J169" s="10">
        <v>2.1181999999999999</v>
      </c>
      <c r="K169" s="117">
        <v>4456888</v>
      </c>
      <c r="L169" s="120">
        <f t="shared" si="37"/>
        <v>763.42720109626589</v>
      </c>
      <c r="M169" s="122">
        <f t="shared" si="34"/>
        <v>21040922.300000001</v>
      </c>
      <c r="N169" s="116">
        <f t="shared" si="35"/>
        <v>16584034.300000001</v>
      </c>
      <c r="O169" s="123">
        <f t="shared" si="36"/>
        <v>2840.7047447756081</v>
      </c>
      <c r="P169" s="5"/>
      <c r="Q169" s="5">
        <f t="shared" si="29"/>
        <v>1</v>
      </c>
      <c r="R169" s="7">
        <f t="shared" si="30"/>
        <v>5838</v>
      </c>
      <c r="S169" s="5">
        <f t="shared" si="31"/>
        <v>1</v>
      </c>
      <c r="T169" s="7">
        <f t="shared" si="32"/>
        <v>5838</v>
      </c>
    </row>
    <row r="170" spans="1:20">
      <c r="A170" s="23" t="s">
        <v>202</v>
      </c>
      <c r="B170" s="35" t="s">
        <v>203</v>
      </c>
      <c r="C170" s="36">
        <v>138863</v>
      </c>
      <c r="D170" s="6"/>
      <c r="E170" s="113">
        <v>9043725180</v>
      </c>
      <c r="F170" s="116">
        <f t="shared" si="33"/>
        <v>65126.960961523226</v>
      </c>
      <c r="G170" s="117">
        <v>4270650119</v>
      </c>
      <c r="H170" s="117">
        <f t="shared" si="38"/>
        <v>30754.413479472572</v>
      </c>
      <c r="I170" s="7"/>
      <c r="J170" s="10">
        <v>3.2</v>
      </c>
      <c r="K170" s="117">
        <v>13666080</v>
      </c>
      <c r="L170" s="120">
        <f t="shared" si="37"/>
        <v>98.41412039204107</v>
      </c>
      <c r="M170" s="122">
        <f t="shared" si="34"/>
        <v>42706501.189999998</v>
      </c>
      <c r="N170" s="116">
        <f t="shared" si="35"/>
        <v>29040421.189999998</v>
      </c>
      <c r="O170" s="123">
        <f t="shared" si="36"/>
        <v>209.13001440268465</v>
      </c>
      <c r="P170" s="5"/>
      <c r="Q170" s="5">
        <f t="shared" si="29"/>
        <v>1</v>
      </c>
      <c r="R170" s="7">
        <f t="shared" si="30"/>
        <v>138863</v>
      </c>
      <c r="S170" s="5">
        <f t="shared" si="31"/>
        <v>1</v>
      </c>
      <c r="T170" s="7">
        <f t="shared" si="32"/>
        <v>138863</v>
      </c>
    </row>
    <row r="171" spans="1:20">
      <c r="A171" s="23" t="s">
        <v>204</v>
      </c>
      <c r="B171" s="35" t="s">
        <v>205</v>
      </c>
      <c r="C171" s="36">
        <v>854</v>
      </c>
      <c r="D171" s="6"/>
      <c r="E171" s="113">
        <v>23553996</v>
      </c>
      <c r="F171" s="116">
        <f t="shared" si="33"/>
        <v>27580.79156908665</v>
      </c>
      <c r="G171" s="117">
        <v>13249636</v>
      </c>
      <c r="H171" s="117">
        <f t="shared" si="38"/>
        <v>15514.796252927401</v>
      </c>
      <c r="I171" s="7"/>
      <c r="J171" s="10">
        <v>3.49</v>
      </c>
      <c r="K171" s="117">
        <v>46241</v>
      </c>
      <c r="L171" s="120">
        <f t="shared" si="37"/>
        <v>54.146370023419202</v>
      </c>
      <c r="M171" s="122">
        <f t="shared" si="34"/>
        <v>132496.36000000002</v>
      </c>
      <c r="N171" s="116">
        <f t="shared" si="35"/>
        <v>86255.360000000015</v>
      </c>
      <c r="O171" s="123">
        <f t="shared" si="36"/>
        <v>101.00159250585482</v>
      </c>
      <c r="P171" s="5"/>
      <c r="Q171" s="5">
        <f t="shared" si="29"/>
        <v>1</v>
      </c>
      <c r="R171" s="7">
        <f t="shared" si="30"/>
        <v>854</v>
      </c>
      <c r="S171" s="5">
        <f t="shared" si="31"/>
        <v>1</v>
      </c>
      <c r="T171" s="7">
        <f t="shared" si="32"/>
        <v>854</v>
      </c>
    </row>
    <row r="172" spans="1:20">
      <c r="A172" s="23" t="s">
        <v>206</v>
      </c>
      <c r="B172" s="35" t="s">
        <v>205</v>
      </c>
      <c r="C172" s="36">
        <v>742</v>
      </c>
      <c r="D172" s="6"/>
      <c r="E172" s="113">
        <v>63713043</v>
      </c>
      <c r="F172" s="116">
        <f t="shared" si="33"/>
        <v>85866.63477088949</v>
      </c>
      <c r="G172" s="117">
        <v>53776563</v>
      </c>
      <c r="H172" s="117">
        <f t="shared" si="38"/>
        <v>72475.152291105114</v>
      </c>
      <c r="I172" s="7"/>
      <c r="J172" s="10">
        <v>2.5</v>
      </c>
      <c r="K172" s="117">
        <v>134441</v>
      </c>
      <c r="L172" s="120">
        <f t="shared" si="37"/>
        <v>181.18733153638814</v>
      </c>
      <c r="M172" s="122">
        <f t="shared" si="34"/>
        <v>537765.63</v>
      </c>
      <c r="N172" s="116">
        <f t="shared" si="35"/>
        <v>403324.63</v>
      </c>
      <c r="O172" s="123">
        <f t="shared" si="36"/>
        <v>543.5641913746631</v>
      </c>
      <c r="P172" s="5"/>
      <c r="Q172" s="5">
        <f t="shared" si="29"/>
        <v>1</v>
      </c>
      <c r="R172" s="7">
        <f t="shared" si="30"/>
        <v>742</v>
      </c>
      <c r="S172" s="5">
        <f t="shared" si="31"/>
        <v>1</v>
      </c>
      <c r="T172" s="7">
        <f t="shared" si="32"/>
        <v>742</v>
      </c>
    </row>
    <row r="173" spans="1:20">
      <c r="A173" s="23" t="s">
        <v>207</v>
      </c>
      <c r="B173" s="35" t="s">
        <v>205</v>
      </c>
      <c r="C173" s="36">
        <v>1989</v>
      </c>
      <c r="D173" s="6"/>
      <c r="E173" s="113">
        <v>84363658</v>
      </c>
      <c r="F173" s="116">
        <f t="shared" si="33"/>
        <v>42415.112116641525</v>
      </c>
      <c r="G173" s="117">
        <v>63753824</v>
      </c>
      <c r="H173" s="117">
        <f t="shared" si="38"/>
        <v>32053.204625439921</v>
      </c>
      <c r="I173" s="7"/>
      <c r="J173" s="10">
        <v>5</v>
      </c>
      <c r="K173" s="117">
        <v>318769</v>
      </c>
      <c r="L173" s="120">
        <f t="shared" si="37"/>
        <v>160.26596279537455</v>
      </c>
      <c r="M173" s="122">
        <f t="shared" si="34"/>
        <v>637538.24</v>
      </c>
      <c r="N173" s="116">
        <f t="shared" si="35"/>
        <v>318769.24</v>
      </c>
      <c r="O173" s="123">
        <f t="shared" si="36"/>
        <v>160.26608345902463</v>
      </c>
      <c r="P173" s="5"/>
      <c r="Q173" s="5">
        <f t="shared" si="29"/>
        <v>1</v>
      </c>
      <c r="R173" s="7">
        <f t="shared" si="30"/>
        <v>1989</v>
      </c>
      <c r="S173" s="5">
        <f t="shared" si="31"/>
        <v>1</v>
      </c>
      <c r="T173" s="7">
        <f t="shared" si="32"/>
        <v>1989</v>
      </c>
    </row>
    <row r="174" spans="1:20">
      <c r="A174" s="23" t="s">
        <v>208</v>
      </c>
      <c r="B174" s="35" t="s">
        <v>205</v>
      </c>
      <c r="C174" s="36">
        <v>1295</v>
      </c>
      <c r="D174" s="6"/>
      <c r="E174" s="113">
        <v>46939881</v>
      </c>
      <c r="F174" s="116">
        <f t="shared" si="33"/>
        <v>36247.012355212355</v>
      </c>
      <c r="G174" s="117">
        <v>35605314</v>
      </c>
      <c r="H174" s="117">
        <f t="shared" si="38"/>
        <v>27494.450965250966</v>
      </c>
      <c r="I174" s="7"/>
      <c r="J174" s="10">
        <v>4</v>
      </c>
      <c r="K174" s="117">
        <v>142421</v>
      </c>
      <c r="L174" s="120">
        <f t="shared" si="37"/>
        <v>109.97760617760618</v>
      </c>
      <c r="M174" s="122">
        <f t="shared" si="34"/>
        <v>356053.14</v>
      </c>
      <c r="N174" s="116">
        <f t="shared" si="35"/>
        <v>213632.14</v>
      </c>
      <c r="O174" s="123">
        <f t="shared" si="36"/>
        <v>164.96690347490349</v>
      </c>
      <c r="P174" s="5"/>
      <c r="Q174" s="5">
        <f t="shared" si="29"/>
        <v>1</v>
      </c>
      <c r="R174" s="7">
        <f t="shared" si="30"/>
        <v>1295</v>
      </c>
      <c r="S174" s="5">
        <f t="shared" si="31"/>
        <v>1</v>
      </c>
      <c r="T174" s="7">
        <f t="shared" si="32"/>
        <v>1295</v>
      </c>
    </row>
    <row r="175" spans="1:20">
      <c r="A175" s="23" t="s">
        <v>209</v>
      </c>
      <c r="B175" s="35" t="s">
        <v>205</v>
      </c>
      <c r="C175" s="36">
        <v>126</v>
      </c>
      <c r="D175" s="6"/>
      <c r="E175" s="113">
        <v>3532365</v>
      </c>
      <c r="F175" s="116">
        <f t="shared" si="33"/>
        <v>28034.642857142859</v>
      </c>
      <c r="G175" s="117">
        <v>2120236</v>
      </c>
      <c r="H175" s="117">
        <f t="shared" si="38"/>
        <v>16827.269841269841</v>
      </c>
      <c r="I175" s="7"/>
      <c r="J175" s="10">
        <v>3</v>
      </c>
      <c r="K175" s="117">
        <v>6360</v>
      </c>
      <c r="L175" s="120">
        <f t="shared" si="37"/>
        <v>50.476190476190474</v>
      </c>
      <c r="M175" s="122">
        <f t="shared" si="34"/>
        <v>21202.36</v>
      </c>
      <c r="N175" s="116">
        <f t="shared" si="35"/>
        <v>14842.36</v>
      </c>
      <c r="O175" s="123">
        <f t="shared" si="36"/>
        <v>117.79650793650794</v>
      </c>
      <c r="P175" s="5"/>
      <c r="Q175" s="5">
        <f t="shared" si="29"/>
        <v>1</v>
      </c>
      <c r="R175" s="7">
        <f t="shared" si="30"/>
        <v>126</v>
      </c>
      <c r="S175" s="5">
        <f t="shared" si="31"/>
        <v>1</v>
      </c>
      <c r="T175" s="7">
        <f t="shared" si="32"/>
        <v>126</v>
      </c>
    </row>
    <row r="176" spans="1:20">
      <c r="A176" s="23" t="s">
        <v>210</v>
      </c>
      <c r="B176" s="35" t="s">
        <v>205</v>
      </c>
      <c r="C176" s="36">
        <v>2269</v>
      </c>
      <c r="D176" s="6"/>
      <c r="E176" s="113">
        <v>66065295</v>
      </c>
      <c r="F176" s="116">
        <f t="shared" si="33"/>
        <v>29116.480828558837</v>
      </c>
      <c r="G176" s="117">
        <v>44212920</v>
      </c>
      <c r="H176" s="117">
        <f t="shared" si="38"/>
        <v>19485.641251652709</v>
      </c>
      <c r="I176" s="7"/>
      <c r="J176" s="10">
        <v>3.7080000000000002</v>
      </c>
      <c r="K176" s="117">
        <v>163941</v>
      </c>
      <c r="L176" s="120">
        <f t="shared" si="37"/>
        <v>72.252534156015869</v>
      </c>
      <c r="M176" s="122">
        <f t="shared" si="34"/>
        <v>442129.2</v>
      </c>
      <c r="N176" s="116">
        <f t="shared" si="35"/>
        <v>278188.2</v>
      </c>
      <c r="O176" s="123">
        <f t="shared" si="36"/>
        <v>122.60387836051125</v>
      </c>
      <c r="P176" s="5"/>
      <c r="Q176" s="5">
        <f t="shared" si="29"/>
        <v>1</v>
      </c>
      <c r="R176" s="7">
        <f t="shared" si="30"/>
        <v>2269</v>
      </c>
      <c r="S176" s="5">
        <f t="shared" si="31"/>
        <v>1</v>
      </c>
      <c r="T176" s="7">
        <f t="shared" si="32"/>
        <v>2269</v>
      </c>
    </row>
    <row r="177" spans="1:20">
      <c r="A177" s="23" t="s">
        <v>211</v>
      </c>
      <c r="B177" s="35" t="s">
        <v>205</v>
      </c>
      <c r="C177" s="36">
        <v>612</v>
      </c>
      <c r="D177" s="6"/>
      <c r="E177" s="113">
        <v>30059623</v>
      </c>
      <c r="F177" s="116">
        <f t="shared" si="33"/>
        <v>49117.031045751632</v>
      </c>
      <c r="G177" s="117">
        <v>23047878</v>
      </c>
      <c r="H177" s="117">
        <f t="shared" si="38"/>
        <v>37659.931372549021</v>
      </c>
      <c r="I177" s="7"/>
      <c r="J177" s="10">
        <v>1.9510000000000001</v>
      </c>
      <c r="K177" s="117">
        <v>44966</v>
      </c>
      <c r="L177" s="120">
        <f t="shared" si="37"/>
        <v>73.473856209150327</v>
      </c>
      <c r="M177" s="122">
        <f t="shared" si="34"/>
        <v>230478.78</v>
      </c>
      <c r="N177" s="116">
        <f t="shared" si="35"/>
        <v>185512.78</v>
      </c>
      <c r="O177" s="123">
        <f t="shared" si="36"/>
        <v>303.12545751633985</v>
      </c>
      <c r="P177" s="5"/>
      <c r="Q177" s="5">
        <f t="shared" si="29"/>
        <v>1</v>
      </c>
      <c r="R177" s="7">
        <f t="shared" si="30"/>
        <v>612</v>
      </c>
      <c r="S177" s="5">
        <f t="shared" si="31"/>
        <v>1</v>
      </c>
      <c r="T177" s="7">
        <f t="shared" si="32"/>
        <v>612</v>
      </c>
    </row>
    <row r="178" spans="1:20">
      <c r="A178" s="23" t="s">
        <v>212</v>
      </c>
      <c r="B178" s="35" t="s">
        <v>213</v>
      </c>
      <c r="C178" s="36">
        <v>1130</v>
      </c>
      <c r="D178" s="6"/>
      <c r="E178" s="113">
        <v>20315233</v>
      </c>
      <c r="F178" s="116">
        <f t="shared" si="33"/>
        <v>17978.082300884955</v>
      </c>
      <c r="G178" s="117">
        <v>10100020</v>
      </c>
      <c r="H178" s="117">
        <f t="shared" si="38"/>
        <v>8938.070796460177</v>
      </c>
      <c r="I178" s="7"/>
      <c r="J178" s="10">
        <v>1</v>
      </c>
      <c r="K178" s="117">
        <v>10100</v>
      </c>
      <c r="L178" s="120">
        <f t="shared" si="37"/>
        <v>8.9380530973451329</v>
      </c>
      <c r="M178" s="122">
        <f t="shared" si="34"/>
        <v>101000.2</v>
      </c>
      <c r="N178" s="116">
        <f t="shared" si="35"/>
        <v>90900.2</v>
      </c>
      <c r="O178" s="123">
        <f t="shared" si="36"/>
        <v>80.442654867256635</v>
      </c>
      <c r="P178" s="5"/>
      <c r="Q178" s="5">
        <f t="shared" si="29"/>
        <v>1</v>
      </c>
      <c r="R178" s="7">
        <f t="shared" si="30"/>
        <v>1130</v>
      </c>
      <c r="S178" s="5">
        <f t="shared" si="31"/>
        <v>1</v>
      </c>
      <c r="T178" s="7">
        <f t="shared" si="32"/>
        <v>1130</v>
      </c>
    </row>
    <row r="179" spans="1:20">
      <c r="A179" s="23" t="s">
        <v>214</v>
      </c>
      <c r="B179" s="35" t="s">
        <v>215</v>
      </c>
      <c r="C179" s="36">
        <v>1010</v>
      </c>
      <c r="D179" s="6"/>
      <c r="E179" s="113">
        <v>14469517</v>
      </c>
      <c r="F179" s="116">
        <f t="shared" si="33"/>
        <v>14326.254455445545</v>
      </c>
      <c r="G179" s="117">
        <v>7446893</v>
      </c>
      <c r="H179" s="117">
        <f t="shared" si="38"/>
        <v>7373.161386138614</v>
      </c>
      <c r="I179" s="7"/>
      <c r="J179" s="10">
        <v>10</v>
      </c>
      <c r="K179" s="117">
        <v>74468</v>
      </c>
      <c r="L179" s="120">
        <f t="shared" si="37"/>
        <v>73.730693069306938</v>
      </c>
      <c r="M179" s="122">
        <f t="shared" si="34"/>
        <v>74468.930000000008</v>
      </c>
      <c r="N179" s="116">
        <f t="shared" si="35"/>
        <v>0.930000000007567</v>
      </c>
      <c r="O179" s="123">
        <f t="shared" si="36"/>
        <v>9.207920792154129E-4</v>
      </c>
      <c r="P179" s="5"/>
      <c r="Q179" s="5">
        <f t="shared" si="29"/>
        <v>1</v>
      </c>
      <c r="R179" s="7">
        <f t="shared" si="30"/>
        <v>1010</v>
      </c>
      <c r="S179" s="5">
        <f t="shared" si="31"/>
        <v>1</v>
      </c>
      <c r="T179" s="7">
        <f t="shared" si="32"/>
        <v>1010</v>
      </c>
    </row>
    <row r="180" spans="1:20">
      <c r="A180" s="23" t="s">
        <v>198</v>
      </c>
      <c r="B180" s="35" t="s">
        <v>215</v>
      </c>
      <c r="C180" s="36">
        <v>314</v>
      </c>
      <c r="D180" s="6"/>
      <c r="E180" s="113">
        <v>6292561</v>
      </c>
      <c r="F180" s="116">
        <f t="shared" si="33"/>
        <v>20040.003184713376</v>
      </c>
      <c r="G180" s="117">
        <v>3595337</v>
      </c>
      <c r="H180" s="117">
        <f t="shared" si="38"/>
        <v>11450.117834394905</v>
      </c>
      <c r="I180" s="7"/>
      <c r="J180" s="10">
        <v>6.67</v>
      </c>
      <c r="K180" s="117">
        <v>23980</v>
      </c>
      <c r="L180" s="120">
        <f t="shared" si="37"/>
        <v>76.369426751592357</v>
      </c>
      <c r="M180" s="122">
        <f t="shared" si="34"/>
        <v>35953.370000000003</v>
      </c>
      <c r="N180" s="116">
        <f t="shared" si="35"/>
        <v>11973.370000000003</v>
      </c>
      <c r="O180" s="123">
        <f t="shared" si="36"/>
        <v>38.131751592356693</v>
      </c>
      <c r="P180" s="5"/>
      <c r="Q180" s="5">
        <f t="shared" si="29"/>
        <v>1</v>
      </c>
      <c r="R180" s="7">
        <f t="shared" si="30"/>
        <v>314</v>
      </c>
      <c r="S180" s="5">
        <f t="shared" si="31"/>
        <v>1</v>
      </c>
      <c r="T180" s="7">
        <f t="shared" si="32"/>
        <v>314</v>
      </c>
    </row>
    <row r="181" spans="1:20">
      <c r="A181" s="23" t="s">
        <v>215</v>
      </c>
      <c r="B181" s="35" t="s">
        <v>215</v>
      </c>
      <c r="C181" s="36">
        <v>3463</v>
      </c>
      <c r="D181" s="6"/>
      <c r="E181" s="113">
        <v>86693770</v>
      </c>
      <c r="F181" s="116">
        <f t="shared" si="33"/>
        <v>25034.296852440082</v>
      </c>
      <c r="G181" s="117">
        <v>52125905</v>
      </c>
      <c r="H181" s="117">
        <f t="shared" si="38"/>
        <v>15052.239387814034</v>
      </c>
      <c r="I181" s="7"/>
      <c r="J181" s="10">
        <v>4.6529999999999996</v>
      </c>
      <c r="K181" s="117">
        <v>242541</v>
      </c>
      <c r="L181" s="120">
        <f t="shared" si="37"/>
        <v>70.03782847242276</v>
      </c>
      <c r="M181" s="122">
        <f t="shared" si="34"/>
        <v>521259.05</v>
      </c>
      <c r="N181" s="116">
        <f t="shared" si="35"/>
        <v>278718.05</v>
      </c>
      <c r="O181" s="123">
        <f t="shared" si="36"/>
        <v>80.484565405717589</v>
      </c>
      <c r="P181" s="5"/>
      <c r="Q181" s="5">
        <f t="shared" si="29"/>
        <v>1</v>
      </c>
      <c r="R181" s="7">
        <f t="shared" si="30"/>
        <v>3463</v>
      </c>
      <c r="S181" s="5">
        <f t="shared" si="31"/>
        <v>1</v>
      </c>
      <c r="T181" s="7">
        <f t="shared" si="32"/>
        <v>3463</v>
      </c>
    </row>
    <row r="182" spans="1:20">
      <c r="A182" s="23" t="s">
        <v>216</v>
      </c>
      <c r="B182" s="35" t="s">
        <v>217</v>
      </c>
      <c r="C182" s="36">
        <v>1843</v>
      </c>
      <c r="D182" s="6"/>
      <c r="E182" s="113">
        <v>255142172</v>
      </c>
      <c r="F182" s="116">
        <f t="shared" si="33"/>
        <v>138438.50895279436</v>
      </c>
      <c r="G182" s="117">
        <v>221362924</v>
      </c>
      <c r="H182" s="117">
        <f t="shared" si="38"/>
        <v>120110.10526315789</v>
      </c>
      <c r="I182" s="7"/>
      <c r="J182" s="10">
        <v>1.7</v>
      </c>
      <c r="K182" s="117">
        <v>376316</v>
      </c>
      <c r="L182" s="120">
        <f t="shared" si="37"/>
        <v>204.18665219750406</v>
      </c>
      <c r="M182" s="122">
        <f t="shared" si="34"/>
        <v>2213629.2400000002</v>
      </c>
      <c r="N182" s="116">
        <f t="shared" si="35"/>
        <v>1837313.2400000002</v>
      </c>
      <c r="O182" s="123">
        <f t="shared" si="36"/>
        <v>996.91440043407499</v>
      </c>
      <c r="P182" s="5"/>
      <c r="Q182" s="5">
        <f t="shared" si="29"/>
        <v>1</v>
      </c>
      <c r="R182" s="7">
        <f t="shared" si="30"/>
        <v>1843</v>
      </c>
      <c r="S182" s="5">
        <f t="shared" si="31"/>
        <v>1</v>
      </c>
      <c r="T182" s="7">
        <f t="shared" si="32"/>
        <v>1843</v>
      </c>
    </row>
    <row r="183" spans="1:20">
      <c r="A183" s="23" t="s">
        <v>218</v>
      </c>
      <c r="B183" s="35" t="s">
        <v>217</v>
      </c>
      <c r="C183" s="36">
        <v>48031</v>
      </c>
      <c r="D183" s="6"/>
      <c r="E183" s="113">
        <v>1955035647</v>
      </c>
      <c r="F183" s="116">
        <f t="shared" si="33"/>
        <v>40703.621556911159</v>
      </c>
      <c r="G183" s="117">
        <v>1450805464</v>
      </c>
      <c r="H183" s="117">
        <f t="shared" si="38"/>
        <v>30205.606046095229</v>
      </c>
      <c r="I183" s="7"/>
      <c r="J183" s="10">
        <v>2.1600999999999999</v>
      </c>
      <c r="K183" s="117">
        <v>3133884</v>
      </c>
      <c r="L183" s="120">
        <f t="shared" si="37"/>
        <v>65.247111240657077</v>
      </c>
      <c r="M183" s="122">
        <f t="shared" si="34"/>
        <v>14508054.640000001</v>
      </c>
      <c r="N183" s="116">
        <f t="shared" si="35"/>
        <v>11374170.640000001</v>
      </c>
      <c r="O183" s="123">
        <f t="shared" si="36"/>
        <v>236.80894922029523</v>
      </c>
      <c r="P183" s="5"/>
      <c r="Q183" s="5">
        <f t="shared" si="29"/>
        <v>1</v>
      </c>
      <c r="R183" s="7">
        <f t="shared" si="30"/>
        <v>48031</v>
      </c>
      <c r="S183" s="5">
        <f t="shared" si="31"/>
        <v>1</v>
      </c>
      <c r="T183" s="7">
        <f t="shared" si="32"/>
        <v>48031</v>
      </c>
    </row>
    <row r="184" spans="1:20">
      <c r="A184" s="23" t="s">
        <v>219</v>
      </c>
      <c r="B184" s="35" t="s">
        <v>217</v>
      </c>
      <c r="C184" s="36">
        <v>1682</v>
      </c>
      <c r="D184" s="6"/>
      <c r="E184" s="113">
        <v>162939689</v>
      </c>
      <c r="F184" s="116">
        <f t="shared" si="33"/>
        <v>96872.585612366238</v>
      </c>
      <c r="G184" s="117">
        <v>138598778</v>
      </c>
      <c r="H184" s="117">
        <f t="shared" si="38"/>
        <v>82401.175980975037</v>
      </c>
      <c r="I184" s="7"/>
      <c r="J184" s="10">
        <v>2.5954000000000002</v>
      </c>
      <c r="K184" s="117">
        <v>359719</v>
      </c>
      <c r="L184" s="120">
        <f t="shared" si="37"/>
        <v>213.86385255648037</v>
      </c>
      <c r="M184" s="122">
        <f t="shared" si="34"/>
        <v>1385987.78</v>
      </c>
      <c r="N184" s="116">
        <f t="shared" si="35"/>
        <v>1026268.78</v>
      </c>
      <c r="O184" s="123">
        <f t="shared" si="36"/>
        <v>610.14790725326998</v>
      </c>
      <c r="P184" s="5"/>
      <c r="Q184" s="5">
        <f t="shared" si="29"/>
        <v>1</v>
      </c>
      <c r="R184" s="7">
        <f t="shared" si="30"/>
        <v>1682</v>
      </c>
      <c r="S184" s="5">
        <f t="shared" si="31"/>
        <v>1</v>
      </c>
      <c r="T184" s="7">
        <f t="shared" si="32"/>
        <v>1682</v>
      </c>
    </row>
    <row r="185" spans="1:20">
      <c r="A185" s="23" t="s">
        <v>220</v>
      </c>
      <c r="B185" s="35" t="s">
        <v>217</v>
      </c>
      <c r="C185" s="36">
        <v>5043</v>
      </c>
      <c r="D185" s="6"/>
      <c r="E185" s="113">
        <v>515759960</v>
      </c>
      <c r="F185" s="116">
        <f t="shared" si="33"/>
        <v>102272.44893912354</v>
      </c>
      <c r="G185" s="117">
        <v>451210067</v>
      </c>
      <c r="H185" s="117">
        <f t="shared" si="38"/>
        <v>89472.549474519139</v>
      </c>
      <c r="I185" s="7"/>
      <c r="J185" s="10">
        <v>1.75</v>
      </c>
      <c r="K185" s="117">
        <v>789617</v>
      </c>
      <c r="L185" s="120">
        <f t="shared" si="37"/>
        <v>156.57683918302598</v>
      </c>
      <c r="M185" s="122">
        <f t="shared" si="34"/>
        <v>4512100.67</v>
      </c>
      <c r="N185" s="116">
        <f t="shared" si="35"/>
        <v>3722483.67</v>
      </c>
      <c r="O185" s="123">
        <f t="shared" si="36"/>
        <v>738.14865556216535</v>
      </c>
      <c r="P185" s="5"/>
      <c r="Q185" s="5">
        <f t="shared" si="29"/>
        <v>1</v>
      </c>
      <c r="R185" s="7">
        <f t="shared" si="30"/>
        <v>5043</v>
      </c>
      <c r="S185" s="5">
        <f t="shared" si="31"/>
        <v>1</v>
      </c>
      <c r="T185" s="7">
        <f t="shared" si="32"/>
        <v>5043</v>
      </c>
    </row>
    <row r="186" spans="1:20">
      <c r="A186" s="23" t="s">
        <v>221</v>
      </c>
      <c r="B186" s="35" t="s">
        <v>217</v>
      </c>
      <c r="C186" s="36">
        <v>9860</v>
      </c>
      <c r="D186" s="6"/>
      <c r="E186" s="113">
        <v>357766090</v>
      </c>
      <c r="F186" s="116">
        <f t="shared" si="33"/>
        <v>36284.593306288036</v>
      </c>
      <c r="G186" s="117">
        <v>254212353</v>
      </c>
      <c r="H186" s="117">
        <f t="shared" si="38"/>
        <v>25782.185902636917</v>
      </c>
      <c r="I186" s="7"/>
      <c r="J186" s="10">
        <v>4.1645000000000003</v>
      </c>
      <c r="K186" s="117">
        <v>1058667</v>
      </c>
      <c r="L186" s="120">
        <f t="shared" si="37"/>
        <v>107.36987829614604</v>
      </c>
      <c r="M186" s="122">
        <f t="shared" si="34"/>
        <v>2542123.5300000003</v>
      </c>
      <c r="N186" s="116">
        <f t="shared" si="35"/>
        <v>1483456.5300000003</v>
      </c>
      <c r="O186" s="123">
        <f t="shared" si="36"/>
        <v>150.45198073022314</v>
      </c>
      <c r="P186" s="5"/>
      <c r="Q186" s="5">
        <f t="shared" si="29"/>
        <v>1</v>
      </c>
      <c r="R186" s="7">
        <f t="shared" si="30"/>
        <v>9860</v>
      </c>
      <c r="S186" s="5">
        <f t="shared" si="31"/>
        <v>1</v>
      </c>
      <c r="T186" s="7">
        <f t="shared" si="32"/>
        <v>9860</v>
      </c>
    </row>
    <row r="187" spans="1:20">
      <c r="A187" s="23" t="s">
        <v>478</v>
      </c>
      <c r="B187" s="35" t="s">
        <v>222</v>
      </c>
      <c r="C187" s="36">
        <v>6556</v>
      </c>
      <c r="D187" s="6"/>
      <c r="E187" s="113">
        <v>2289154534</v>
      </c>
      <c r="F187" s="116">
        <f t="shared" si="33"/>
        <v>349169.39200732153</v>
      </c>
      <c r="G187" s="117">
        <v>2158673097</v>
      </c>
      <c r="H187" s="117">
        <f t="shared" ref="H187:H218" si="39">(G187/C187)</f>
        <v>329266.79331909702</v>
      </c>
      <c r="I187" s="7"/>
      <c r="J187" s="10">
        <v>2.3220000000000001</v>
      </c>
      <c r="K187" s="117">
        <v>5012438</v>
      </c>
      <c r="L187" s="120">
        <f t="shared" si="37"/>
        <v>764.5573520439292</v>
      </c>
      <c r="M187" s="122">
        <f t="shared" si="34"/>
        <v>21586730.969999999</v>
      </c>
      <c r="N187" s="116">
        <f t="shared" si="35"/>
        <v>16574292.969999999</v>
      </c>
      <c r="O187" s="123">
        <f t="shared" si="36"/>
        <v>2528.1105811470406</v>
      </c>
      <c r="P187" s="5"/>
      <c r="Q187" s="5">
        <f t="shared" si="29"/>
        <v>1</v>
      </c>
      <c r="R187" s="7">
        <f t="shared" si="30"/>
        <v>6556</v>
      </c>
      <c r="S187" s="5">
        <f t="shared" si="31"/>
        <v>1</v>
      </c>
      <c r="T187" s="7">
        <f t="shared" si="32"/>
        <v>6556</v>
      </c>
    </row>
    <row r="188" spans="1:20">
      <c r="A188" s="23" t="s">
        <v>223</v>
      </c>
      <c r="B188" s="35" t="s">
        <v>224</v>
      </c>
      <c r="C188" s="36">
        <v>3307</v>
      </c>
      <c r="D188" s="6"/>
      <c r="E188" s="113">
        <v>97878565</v>
      </c>
      <c r="F188" s="116">
        <f t="shared" si="33"/>
        <v>29597.388872089508</v>
      </c>
      <c r="G188" s="117">
        <v>72135086</v>
      </c>
      <c r="H188" s="117">
        <f t="shared" si="39"/>
        <v>21812.847293619594</v>
      </c>
      <c r="I188" s="7"/>
      <c r="J188" s="10">
        <v>4.8490000000000002</v>
      </c>
      <c r="K188" s="117">
        <v>349783</v>
      </c>
      <c r="L188" s="120">
        <f t="shared" si="37"/>
        <v>105.77048684608407</v>
      </c>
      <c r="M188" s="122">
        <f t="shared" si="34"/>
        <v>721350.86</v>
      </c>
      <c r="N188" s="116">
        <f t="shared" si="35"/>
        <v>371567.86</v>
      </c>
      <c r="O188" s="123">
        <f t="shared" si="36"/>
        <v>112.35798609011188</v>
      </c>
      <c r="P188" s="5"/>
      <c r="Q188" s="5">
        <f t="shared" si="29"/>
        <v>1</v>
      </c>
      <c r="R188" s="7">
        <f t="shared" si="30"/>
        <v>3307</v>
      </c>
      <c r="S188" s="5">
        <f t="shared" si="31"/>
        <v>1</v>
      </c>
      <c r="T188" s="7">
        <f t="shared" si="32"/>
        <v>3307</v>
      </c>
    </row>
    <row r="189" spans="1:20">
      <c r="A189" s="23" t="s">
        <v>225</v>
      </c>
      <c r="B189" s="35" t="s">
        <v>224</v>
      </c>
      <c r="C189" s="36">
        <v>1785</v>
      </c>
      <c r="D189" s="6"/>
      <c r="E189" s="113">
        <v>90757847</v>
      </c>
      <c r="F189" s="116">
        <f t="shared" si="33"/>
        <v>50844.732212885152</v>
      </c>
      <c r="G189" s="117">
        <v>67267822</v>
      </c>
      <c r="H189" s="117">
        <f t="shared" si="39"/>
        <v>37685.054341736693</v>
      </c>
      <c r="I189" s="7"/>
      <c r="J189" s="10">
        <v>6.3</v>
      </c>
      <c r="K189" s="117">
        <v>423787</v>
      </c>
      <c r="L189" s="120">
        <f t="shared" si="37"/>
        <v>237.4156862745098</v>
      </c>
      <c r="M189" s="122">
        <f t="shared" si="34"/>
        <v>672678.22</v>
      </c>
      <c r="N189" s="116">
        <f t="shared" si="35"/>
        <v>248891.21999999997</v>
      </c>
      <c r="O189" s="123">
        <f t="shared" si="36"/>
        <v>139.43485714285714</v>
      </c>
      <c r="P189" s="5"/>
      <c r="Q189" s="5">
        <f t="shared" si="29"/>
        <v>1</v>
      </c>
      <c r="R189" s="7">
        <f t="shared" si="30"/>
        <v>1785</v>
      </c>
      <c r="S189" s="5">
        <f t="shared" si="31"/>
        <v>1</v>
      </c>
      <c r="T189" s="7">
        <f t="shared" si="32"/>
        <v>1785</v>
      </c>
    </row>
    <row r="190" spans="1:20">
      <c r="A190" s="23" t="s">
        <v>226</v>
      </c>
      <c r="B190" s="35" t="s">
        <v>224</v>
      </c>
      <c r="C190" s="36">
        <v>422</v>
      </c>
      <c r="D190" s="6"/>
      <c r="E190" s="113">
        <v>12483474</v>
      </c>
      <c r="F190" s="116">
        <f t="shared" si="33"/>
        <v>29581.691943127964</v>
      </c>
      <c r="G190" s="117">
        <v>7844580</v>
      </c>
      <c r="H190" s="117">
        <f t="shared" si="39"/>
        <v>18589.052132701421</v>
      </c>
      <c r="I190" s="7"/>
      <c r="J190" s="10">
        <v>2.4870000000000001</v>
      </c>
      <c r="K190" s="117">
        <v>19509</v>
      </c>
      <c r="L190" s="120">
        <f t="shared" si="37"/>
        <v>46.229857819905213</v>
      </c>
      <c r="M190" s="122">
        <f t="shared" si="34"/>
        <v>78445.8</v>
      </c>
      <c r="N190" s="116">
        <f t="shared" si="35"/>
        <v>58936.800000000003</v>
      </c>
      <c r="O190" s="123">
        <f t="shared" si="36"/>
        <v>139.66066350710901</v>
      </c>
      <c r="P190" s="5"/>
      <c r="Q190" s="5">
        <f t="shared" si="29"/>
        <v>1</v>
      </c>
      <c r="R190" s="7">
        <f t="shared" si="30"/>
        <v>422</v>
      </c>
      <c r="S190" s="5">
        <f t="shared" si="31"/>
        <v>1</v>
      </c>
      <c r="T190" s="7">
        <f t="shared" si="32"/>
        <v>422</v>
      </c>
    </row>
    <row r="191" spans="1:20">
      <c r="A191" s="23" t="s">
        <v>227</v>
      </c>
      <c r="B191" s="35" t="s">
        <v>224</v>
      </c>
      <c r="C191" s="36">
        <v>43332</v>
      </c>
      <c r="D191" s="6"/>
      <c r="E191" s="113">
        <v>2172878748</v>
      </c>
      <c r="F191" s="116">
        <f t="shared" si="33"/>
        <v>50144.898643035172</v>
      </c>
      <c r="G191" s="117">
        <v>1634063072</v>
      </c>
      <c r="H191" s="117">
        <f t="shared" si="39"/>
        <v>37710.308132557926</v>
      </c>
      <c r="I191" s="7"/>
      <c r="J191" s="10">
        <v>5.2237</v>
      </c>
      <c r="K191" s="117">
        <v>8535855</v>
      </c>
      <c r="L191" s="120">
        <f t="shared" si="37"/>
        <v>196.9873303793963</v>
      </c>
      <c r="M191" s="122">
        <f t="shared" si="34"/>
        <v>16340630.720000001</v>
      </c>
      <c r="N191" s="116">
        <f t="shared" si="35"/>
        <v>7804775.7200000007</v>
      </c>
      <c r="O191" s="123">
        <f t="shared" si="36"/>
        <v>180.11575094618297</v>
      </c>
      <c r="P191" s="5"/>
      <c r="Q191" s="5">
        <f t="shared" si="29"/>
        <v>1</v>
      </c>
      <c r="R191" s="7">
        <f t="shared" si="30"/>
        <v>43332</v>
      </c>
      <c r="S191" s="5">
        <f t="shared" si="31"/>
        <v>1</v>
      </c>
      <c r="T191" s="7">
        <f t="shared" si="32"/>
        <v>43332</v>
      </c>
    </row>
    <row r="192" spans="1:20">
      <c r="A192" s="23" t="s">
        <v>228</v>
      </c>
      <c r="B192" s="35" t="s">
        <v>224</v>
      </c>
      <c r="C192" s="36">
        <v>570</v>
      </c>
      <c r="D192" s="6"/>
      <c r="E192" s="113">
        <v>10718586</v>
      </c>
      <c r="F192" s="116">
        <f t="shared" si="33"/>
        <v>18804.536842105263</v>
      </c>
      <c r="G192" s="117">
        <v>5744282</v>
      </c>
      <c r="H192" s="117">
        <f t="shared" si="39"/>
        <v>10077.687719298247</v>
      </c>
      <c r="I192" s="98" t="s">
        <v>528</v>
      </c>
      <c r="J192" s="10"/>
      <c r="K192" s="117"/>
      <c r="L192" s="120"/>
      <c r="M192" s="122">
        <f t="shared" si="34"/>
        <v>57442.82</v>
      </c>
      <c r="N192" s="116">
        <f t="shared" si="35"/>
        <v>57442.82</v>
      </c>
      <c r="O192" s="123">
        <f t="shared" si="36"/>
        <v>100.77687719298245</v>
      </c>
      <c r="P192" s="5"/>
      <c r="Q192" s="5">
        <f t="shared" si="29"/>
        <v>1</v>
      </c>
      <c r="R192" s="7">
        <f t="shared" si="30"/>
        <v>570</v>
      </c>
      <c r="S192" s="5">
        <f t="shared" si="31"/>
        <v>0</v>
      </c>
      <c r="T192" s="7">
        <f t="shared" si="32"/>
        <v>0</v>
      </c>
    </row>
    <row r="193" spans="1:20">
      <c r="A193" s="23" t="s">
        <v>229</v>
      </c>
      <c r="B193" s="35" t="s">
        <v>230</v>
      </c>
      <c r="C193" s="36">
        <v>581</v>
      </c>
      <c r="D193" s="6"/>
      <c r="E193" s="113">
        <v>748919210</v>
      </c>
      <c r="F193" s="116">
        <f t="shared" si="33"/>
        <v>1289017.5731497419</v>
      </c>
      <c r="G193" s="117">
        <v>694509836</v>
      </c>
      <c r="H193" s="117">
        <f t="shared" si="39"/>
        <v>1195369.769363167</v>
      </c>
      <c r="I193" s="7"/>
      <c r="J193" s="10">
        <v>2.9470000000000001</v>
      </c>
      <c r="K193" s="117">
        <v>2046720</v>
      </c>
      <c r="L193" s="120">
        <f>(K193/C193)</f>
        <v>3522.7538726333905</v>
      </c>
      <c r="M193" s="122">
        <f t="shared" si="34"/>
        <v>6945098.3600000003</v>
      </c>
      <c r="N193" s="116">
        <f t="shared" si="35"/>
        <v>4898378.3600000003</v>
      </c>
      <c r="O193" s="123">
        <f t="shared" si="36"/>
        <v>8430.94382099828</v>
      </c>
      <c r="P193" s="5"/>
      <c r="Q193" s="5">
        <f t="shared" si="29"/>
        <v>1</v>
      </c>
      <c r="R193" s="7">
        <f t="shared" si="30"/>
        <v>581</v>
      </c>
      <c r="S193" s="5">
        <f t="shared" si="31"/>
        <v>1</v>
      </c>
      <c r="T193" s="7">
        <f t="shared" si="32"/>
        <v>581</v>
      </c>
    </row>
    <row r="194" spans="1:20">
      <c r="A194" s="24" t="s">
        <v>582</v>
      </c>
      <c r="B194" s="35" t="s">
        <v>230</v>
      </c>
      <c r="C194" s="36">
        <v>510</v>
      </c>
      <c r="D194" s="6"/>
      <c r="E194" s="113">
        <v>13403237</v>
      </c>
      <c r="F194" s="116">
        <f t="shared" si="33"/>
        <v>26280.856862745099</v>
      </c>
      <c r="G194" s="117">
        <v>13394158</v>
      </c>
      <c r="H194" s="117">
        <f t="shared" si="39"/>
        <v>26263.054901960786</v>
      </c>
      <c r="I194" s="98" t="s">
        <v>528</v>
      </c>
      <c r="J194" s="10"/>
      <c r="K194" s="117"/>
      <c r="L194" s="120"/>
      <c r="M194" s="122">
        <f t="shared" si="34"/>
        <v>133941.58000000002</v>
      </c>
      <c r="N194" s="116">
        <f t="shared" si="35"/>
        <v>133941.58000000002</v>
      </c>
      <c r="O194" s="123">
        <f t="shared" si="36"/>
        <v>262.63054901960788</v>
      </c>
      <c r="P194" s="5"/>
      <c r="Q194" s="5">
        <f t="shared" si="29"/>
        <v>1</v>
      </c>
      <c r="R194" s="7">
        <f t="shared" si="30"/>
        <v>510</v>
      </c>
      <c r="S194" s="5">
        <f t="shared" si="31"/>
        <v>0</v>
      </c>
      <c r="T194" s="7">
        <f t="shared" si="32"/>
        <v>0</v>
      </c>
    </row>
    <row r="195" spans="1:20">
      <c r="A195" s="23" t="s">
        <v>446</v>
      </c>
      <c r="B195" s="35" t="s">
        <v>230</v>
      </c>
      <c r="C195" s="36">
        <v>1736</v>
      </c>
      <c r="D195" s="6"/>
      <c r="E195" s="113">
        <v>311889221</v>
      </c>
      <c r="F195" s="116">
        <f t="shared" si="33"/>
        <v>179659.68951612903</v>
      </c>
      <c r="G195" s="117">
        <v>287910552</v>
      </c>
      <c r="H195" s="117">
        <f t="shared" si="39"/>
        <v>165847.09216589862</v>
      </c>
      <c r="I195" s="7"/>
      <c r="J195" s="10">
        <v>1.7829999999999999</v>
      </c>
      <c r="K195" s="117">
        <v>513344</v>
      </c>
      <c r="L195" s="120">
        <f t="shared" ref="L195:L219" si="40">(K195/C195)</f>
        <v>295.70506912442397</v>
      </c>
      <c r="M195" s="122">
        <f t="shared" si="34"/>
        <v>2879105.52</v>
      </c>
      <c r="N195" s="116">
        <f t="shared" si="35"/>
        <v>2365761.52</v>
      </c>
      <c r="O195" s="123">
        <f t="shared" si="36"/>
        <v>1362.7658525345623</v>
      </c>
      <c r="P195" s="5"/>
      <c r="Q195" s="5">
        <f t="shared" si="29"/>
        <v>1</v>
      </c>
      <c r="R195" s="7">
        <f t="shared" si="30"/>
        <v>1736</v>
      </c>
      <c r="S195" s="5">
        <f t="shared" si="31"/>
        <v>1</v>
      </c>
      <c r="T195" s="7">
        <f t="shared" si="32"/>
        <v>1736</v>
      </c>
    </row>
    <row r="196" spans="1:20">
      <c r="A196" s="23" t="s">
        <v>231</v>
      </c>
      <c r="B196" s="35" t="s">
        <v>230</v>
      </c>
      <c r="C196" s="36">
        <v>13773</v>
      </c>
      <c r="D196" s="6"/>
      <c r="E196" s="113">
        <v>1016266424</v>
      </c>
      <c r="F196" s="116">
        <f t="shared" si="33"/>
        <v>73786.860088579109</v>
      </c>
      <c r="G196" s="117">
        <v>710496963</v>
      </c>
      <c r="H196" s="117">
        <f t="shared" si="39"/>
        <v>51586.216728381616</v>
      </c>
      <c r="I196" s="7"/>
      <c r="J196" s="10">
        <v>4.1001000000000003</v>
      </c>
      <c r="K196" s="117">
        <v>2913108</v>
      </c>
      <c r="L196" s="120">
        <f t="shared" si="40"/>
        <v>211.50860379002395</v>
      </c>
      <c r="M196" s="122">
        <f t="shared" si="34"/>
        <v>7104969.6299999999</v>
      </c>
      <c r="N196" s="116">
        <f t="shared" si="35"/>
        <v>4191861.63</v>
      </c>
      <c r="O196" s="123">
        <f t="shared" si="36"/>
        <v>304.35356349379219</v>
      </c>
      <c r="P196" s="5"/>
      <c r="Q196" s="5">
        <f t="shared" si="29"/>
        <v>1</v>
      </c>
      <c r="R196" s="7">
        <f t="shared" si="30"/>
        <v>13773</v>
      </c>
      <c r="S196" s="5">
        <f t="shared" si="31"/>
        <v>1</v>
      </c>
      <c r="T196" s="7">
        <f t="shared" si="32"/>
        <v>13773</v>
      </c>
    </row>
    <row r="197" spans="1:20">
      <c r="A197" s="23" t="s">
        <v>232</v>
      </c>
      <c r="B197" s="35" t="s">
        <v>233</v>
      </c>
      <c r="C197" s="36">
        <v>16996</v>
      </c>
      <c r="D197" s="6"/>
      <c r="E197" s="113">
        <v>2841042752</v>
      </c>
      <c r="F197" s="116">
        <f t="shared" si="33"/>
        <v>167159.4935278889</v>
      </c>
      <c r="G197" s="117">
        <v>2614435649</v>
      </c>
      <c r="H197" s="117">
        <f t="shared" si="39"/>
        <v>153826.52677100495</v>
      </c>
      <c r="I197" s="9"/>
      <c r="J197" s="10">
        <v>2.2269999999999999</v>
      </c>
      <c r="K197" s="117">
        <v>5822348</v>
      </c>
      <c r="L197" s="120">
        <f t="shared" si="40"/>
        <v>342.57166392092256</v>
      </c>
      <c r="M197" s="122">
        <f t="shared" si="34"/>
        <v>26144356.490000002</v>
      </c>
      <c r="N197" s="116">
        <f t="shared" si="35"/>
        <v>20322008.490000002</v>
      </c>
      <c r="O197" s="123">
        <f t="shared" si="36"/>
        <v>1195.6936037891269</v>
      </c>
      <c r="P197" s="5"/>
      <c r="Q197" s="5">
        <f t="shared" si="29"/>
        <v>1</v>
      </c>
      <c r="R197" s="7">
        <f t="shared" si="30"/>
        <v>16996</v>
      </c>
      <c r="S197" s="5">
        <f t="shared" si="31"/>
        <v>1</v>
      </c>
      <c r="T197" s="7">
        <f t="shared" si="32"/>
        <v>16996</v>
      </c>
    </row>
    <row r="198" spans="1:20">
      <c r="A198" s="23" t="s">
        <v>234</v>
      </c>
      <c r="B198" s="35" t="s">
        <v>233</v>
      </c>
      <c r="C198" s="36">
        <v>3117</v>
      </c>
      <c r="D198" s="6"/>
      <c r="E198" s="113">
        <v>850781217</v>
      </c>
      <c r="F198" s="116">
        <f t="shared" si="33"/>
        <v>272948.73820981715</v>
      </c>
      <c r="G198" s="117">
        <v>821841743</v>
      </c>
      <c r="H198" s="117">
        <f t="shared" si="39"/>
        <v>263664.33846647415</v>
      </c>
      <c r="I198" s="7"/>
      <c r="J198" s="10">
        <v>3.5</v>
      </c>
      <c r="K198" s="117">
        <v>2876446</v>
      </c>
      <c r="L198" s="120">
        <f t="shared" si="40"/>
        <v>922.82515239011866</v>
      </c>
      <c r="M198" s="122">
        <f t="shared" si="34"/>
        <v>8218417.4300000006</v>
      </c>
      <c r="N198" s="116">
        <f t="shared" si="35"/>
        <v>5341971.4300000006</v>
      </c>
      <c r="O198" s="123">
        <f t="shared" si="36"/>
        <v>1713.8182322746231</v>
      </c>
      <c r="P198" s="5"/>
      <c r="Q198" s="5">
        <f t="shared" si="29"/>
        <v>1</v>
      </c>
      <c r="R198" s="7">
        <f t="shared" si="30"/>
        <v>3117</v>
      </c>
      <c r="S198" s="5">
        <f t="shared" si="31"/>
        <v>1</v>
      </c>
      <c r="T198" s="7">
        <f t="shared" si="32"/>
        <v>3117</v>
      </c>
    </row>
    <row r="199" spans="1:20">
      <c r="A199" s="23" t="s">
        <v>235</v>
      </c>
      <c r="B199" s="35" t="s">
        <v>233</v>
      </c>
      <c r="C199" s="36">
        <v>4663</v>
      </c>
      <c r="D199" s="6"/>
      <c r="E199" s="113">
        <v>318791951</v>
      </c>
      <c r="F199" s="116">
        <f t="shared" si="33"/>
        <v>68366.277289298741</v>
      </c>
      <c r="G199" s="117">
        <v>267756113</v>
      </c>
      <c r="H199" s="117">
        <f t="shared" si="39"/>
        <v>57421.426763885909</v>
      </c>
      <c r="I199" s="9"/>
      <c r="J199" s="10">
        <v>5</v>
      </c>
      <c r="K199" s="117">
        <v>1338780</v>
      </c>
      <c r="L199" s="120">
        <f t="shared" si="40"/>
        <v>287.10701265279863</v>
      </c>
      <c r="M199" s="122">
        <f t="shared" si="34"/>
        <v>2677561.13</v>
      </c>
      <c r="N199" s="116">
        <f t="shared" si="35"/>
        <v>1338781.1299999999</v>
      </c>
      <c r="O199" s="123">
        <f t="shared" si="36"/>
        <v>287.10725498606047</v>
      </c>
      <c r="P199" s="5"/>
      <c r="Q199" s="5">
        <f t="shared" ref="Q199:Q262" si="41">IF(E199&gt;0,1,0)</f>
        <v>1</v>
      </c>
      <c r="R199" s="7">
        <f t="shared" ref="R199:R262" si="42">IF(E199&gt;0,C199,0)</f>
        <v>4663</v>
      </c>
      <c r="S199" s="5">
        <f t="shared" ref="S199:S262" si="43">IF(J199&gt;0,1,0)</f>
        <v>1</v>
      </c>
      <c r="T199" s="7">
        <f t="shared" ref="T199:T262" si="44">IF(J199&gt;0,C199,0)</f>
        <v>4663</v>
      </c>
    </row>
    <row r="200" spans="1:20">
      <c r="A200" s="23" t="s">
        <v>236</v>
      </c>
      <c r="B200" s="35" t="s">
        <v>233</v>
      </c>
      <c r="C200" s="36">
        <v>3030</v>
      </c>
      <c r="D200" s="6"/>
      <c r="E200" s="113">
        <v>96408912</v>
      </c>
      <c r="F200" s="116">
        <f t="shared" ref="F200:F219" si="45">(E200/C200)</f>
        <v>31818.122772277227</v>
      </c>
      <c r="G200" s="117">
        <v>73281917</v>
      </c>
      <c r="H200" s="117">
        <f t="shared" si="39"/>
        <v>24185.451155115512</v>
      </c>
      <c r="I200" s="7"/>
      <c r="J200" s="11">
        <v>8.1780000000000008</v>
      </c>
      <c r="K200" s="117">
        <v>599299</v>
      </c>
      <c r="L200" s="120">
        <f t="shared" si="40"/>
        <v>197.7884488448845</v>
      </c>
      <c r="M200" s="122">
        <f t="shared" ref="M200:M263" si="46">(G200*0.01)</f>
        <v>732819.17</v>
      </c>
      <c r="N200" s="116">
        <f t="shared" ref="N200:N263" si="47">(M200-K200)</f>
        <v>133520.17000000004</v>
      </c>
      <c r="O200" s="123">
        <f t="shared" ref="O200:O263" si="48">(N200/C200)</f>
        <v>44.066062706270642</v>
      </c>
      <c r="P200" s="5"/>
      <c r="Q200" s="5">
        <f t="shared" si="41"/>
        <v>1</v>
      </c>
      <c r="R200" s="7">
        <f t="shared" si="42"/>
        <v>3030</v>
      </c>
      <c r="S200" s="5">
        <f t="shared" si="43"/>
        <v>1</v>
      </c>
      <c r="T200" s="7">
        <f t="shared" si="44"/>
        <v>3030</v>
      </c>
    </row>
    <row r="201" spans="1:20">
      <c r="A201" s="23" t="s">
        <v>237</v>
      </c>
      <c r="B201" s="35" t="s">
        <v>233</v>
      </c>
      <c r="C201" s="36">
        <v>41205</v>
      </c>
      <c r="D201" s="6"/>
      <c r="E201" s="113">
        <v>5549472504</v>
      </c>
      <c r="F201" s="116">
        <f t="shared" si="45"/>
        <v>134679.58995267565</v>
      </c>
      <c r="G201" s="117">
        <v>4757303253</v>
      </c>
      <c r="H201" s="117">
        <f t="shared" si="39"/>
        <v>115454.51408809611</v>
      </c>
      <c r="I201" s="7"/>
      <c r="J201" s="10">
        <v>5.3650000000000002</v>
      </c>
      <c r="K201" s="117">
        <v>25522931</v>
      </c>
      <c r="L201" s="120">
        <f t="shared" si="40"/>
        <v>619.41344497027058</v>
      </c>
      <c r="M201" s="122">
        <f t="shared" si="46"/>
        <v>47573032.530000001</v>
      </c>
      <c r="N201" s="116">
        <f t="shared" si="47"/>
        <v>22050101.530000001</v>
      </c>
      <c r="O201" s="123">
        <f t="shared" si="48"/>
        <v>535.1316959106905</v>
      </c>
      <c r="P201" s="5"/>
      <c r="Q201" s="5">
        <f t="shared" si="41"/>
        <v>1</v>
      </c>
      <c r="R201" s="7">
        <f t="shared" si="42"/>
        <v>41205</v>
      </c>
      <c r="S201" s="5">
        <f t="shared" si="43"/>
        <v>1</v>
      </c>
      <c r="T201" s="7">
        <f t="shared" si="44"/>
        <v>41205</v>
      </c>
    </row>
    <row r="202" spans="1:20">
      <c r="A202" s="24" t="s">
        <v>238</v>
      </c>
      <c r="B202" s="37" t="s">
        <v>233</v>
      </c>
      <c r="C202" s="36">
        <v>2485</v>
      </c>
      <c r="D202" s="6"/>
      <c r="E202" s="113">
        <v>62313899</v>
      </c>
      <c r="F202" s="116">
        <f t="shared" si="45"/>
        <v>25076.015694164991</v>
      </c>
      <c r="G202" s="117">
        <v>40235881</v>
      </c>
      <c r="H202" s="117">
        <f t="shared" si="39"/>
        <v>16191.501408450704</v>
      </c>
      <c r="I202" s="7"/>
      <c r="J202" s="10">
        <v>7.7</v>
      </c>
      <c r="K202" s="117">
        <v>309816</v>
      </c>
      <c r="L202" s="120">
        <f t="shared" si="40"/>
        <v>124.67444668008048</v>
      </c>
      <c r="M202" s="122">
        <f t="shared" si="46"/>
        <v>402358.81</v>
      </c>
      <c r="N202" s="116">
        <f t="shared" si="47"/>
        <v>92542.81</v>
      </c>
      <c r="O202" s="123">
        <f t="shared" si="48"/>
        <v>37.240567404426557</v>
      </c>
      <c r="P202" s="5"/>
      <c r="Q202" s="5">
        <f t="shared" si="41"/>
        <v>1</v>
      </c>
      <c r="R202" s="7">
        <f t="shared" si="42"/>
        <v>2485</v>
      </c>
      <c r="S202" s="5">
        <f t="shared" si="43"/>
        <v>1</v>
      </c>
      <c r="T202" s="7">
        <f t="shared" si="44"/>
        <v>2485</v>
      </c>
    </row>
    <row r="203" spans="1:20">
      <c r="A203" s="23" t="s">
        <v>239</v>
      </c>
      <c r="B203" s="37" t="s">
        <v>233</v>
      </c>
      <c r="C203" s="36">
        <v>5590</v>
      </c>
      <c r="D203" s="6"/>
      <c r="E203" s="113">
        <v>192091783</v>
      </c>
      <c r="F203" s="116">
        <f t="shared" si="45"/>
        <v>34363.467441860463</v>
      </c>
      <c r="G203" s="117">
        <v>142973984</v>
      </c>
      <c r="H203" s="117">
        <f t="shared" si="39"/>
        <v>25576.741323792485</v>
      </c>
      <c r="I203" s="7"/>
      <c r="J203" s="11">
        <v>7.133</v>
      </c>
      <c r="K203" s="117">
        <v>1019833</v>
      </c>
      <c r="L203" s="120">
        <f t="shared" si="40"/>
        <v>182.43881932021466</v>
      </c>
      <c r="M203" s="122">
        <f t="shared" si="46"/>
        <v>1429739.84</v>
      </c>
      <c r="N203" s="116">
        <f t="shared" si="47"/>
        <v>409906.84000000008</v>
      </c>
      <c r="O203" s="123">
        <f t="shared" si="48"/>
        <v>73.328593917710208</v>
      </c>
      <c r="P203" s="5"/>
      <c r="Q203" s="5">
        <f t="shared" si="41"/>
        <v>1</v>
      </c>
      <c r="R203" s="7">
        <f t="shared" si="42"/>
        <v>5590</v>
      </c>
      <c r="S203" s="5">
        <f t="shared" si="43"/>
        <v>1</v>
      </c>
      <c r="T203" s="7">
        <f t="shared" si="44"/>
        <v>5590</v>
      </c>
    </row>
    <row r="204" spans="1:20">
      <c r="A204" s="23" t="s">
        <v>240</v>
      </c>
      <c r="B204" s="37" t="s">
        <v>233</v>
      </c>
      <c r="C204" s="36">
        <v>835</v>
      </c>
      <c r="D204" s="6"/>
      <c r="E204" s="113">
        <v>234925330</v>
      </c>
      <c r="F204" s="116">
        <f t="shared" si="45"/>
        <v>281347.70059880242</v>
      </c>
      <c r="G204" s="117">
        <v>219568754</v>
      </c>
      <c r="H204" s="117">
        <f t="shared" si="39"/>
        <v>262956.59161676647</v>
      </c>
      <c r="I204" s="7"/>
      <c r="J204" s="10">
        <v>8.7377000000000002</v>
      </c>
      <c r="K204" s="117">
        <v>1918525</v>
      </c>
      <c r="L204" s="120">
        <f t="shared" si="40"/>
        <v>2297.6347305389222</v>
      </c>
      <c r="M204" s="122">
        <f t="shared" si="46"/>
        <v>2195687.54</v>
      </c>
      <c r="N204" s="116">
        <f t="shared" si="47"/>
        <v>277162.54000000004</v>
      </c>
      <c r="O204" s="123">
        <f t="shared" si="48"/>
        <v>331.93118562874258</v>
      </c>
      <c r="P204" s="5"/>
      <c r="Q204" s="5">
        <f t="shared" si="41"/>
        <v>1</v>
      </c>
      <c r="R204" s="7">
        <f t="shared" si="42"/>
        <v>835</v>
      </c>
      <c r="S204" s="5">
        <f t="shared" si="43"/>
        <v>1</v>
      </c>
      <c r="T204" s="7">
        <f t="shared" si="44"/>
        <v>835</v>
      </c>
    </row>
    <row r="205" spans="1:20">
      <c r="A205" s="23" t="s">
        <v>241</v>
      </c>
      <c r="B205" s="37" t="s">
        <v>233</v>
      </c>
      <c r="C205" s="36">
        <v>206500</v>
      </c>
      <c r="D205" s="6"/>
      <c r="E205" s="113">
        <v>5886447712</v>
      </c>
      <c r="F205" s="116">
        <f t="shared" si="45"/>
        <v>28505.800058111381</v>
      </c>
      <c r="G205" s="117">
        <v>4477226296</v>
      </c>
      <c r="H205" s="117">
        <f t="shared" si="39"/>
        <v>21681.483273607748</v>
      </c>
      <c r="I205" s="7"/>
      <c r="J205" s="10">
        <v>7.984</v>
      </c>
      <c r="K205" s="117">
        <v>35746174</v>
      </c>
      <c r="L205" s="120">
        <f t="shared" si="40"/>
        <v>173.10495883777239</v>
      </c>
      <c r="M205" s="122">
        <f t="shared" si="46"/>
        <v>44772262.960000001</v>
      </c>
      <c r="N205" s="116">
        <f t="shared" si="47"/>
        <v>9026088.9600000009</v>
      </c>
      <c r="O205" s="123">
        <f t="shared" si="48"/>
        <v>43.709873898305091</v>
      </c>
      <c r="P205" s="5"/>
      <c r="Q205" s="5">
        <f t="shared" si="41"/>
        <v>1</v>
      </c>
      <c r="R205" s="7">
        <f t="shared" si="42"/>
        <v>206500</v>
      </c>
      <c r="S205" s="5">
        <f t="shared" si="43"/>
        <v>1</v>
      </c>
      <c r="T205" s="7">
        <f t="shared" si="44"/>
        <v>206500</v>
      </c>
    </row>
    <row r="206" spans="1:20">
      <c r="A206" s="23" t="s">
        <v>242</v>
      </c>
      <c r="B206" s="37" t="s">
        <v>233</v>
      </c>
      <c r="C206" s="36">
        <v>12208</v>
      </c>
      <c r="D206" s="6"/>
      <c r="E206" s="113">
        <v>469610009</v>
      </c>
      <c r="F206" s="116">
        <f t="shared" si="45"/>
        <v>38467.399164482304</v>
      </c>
      <c r="G206" s="117">
        <v>377642700</v>
      </c>
      <c r="H206" s="117">
        <f t="shared" si="39"/>
        <v>30934.035058977719</v>
      </c>
      <c r="I206" s="7"/>
      <c r="J206" s="10">
        <v>7.78</v>
      </c>
      <c r="K206" s="117">
        <v>2938060</v>
      </c>
      <c r="L206" s="120">
        <f t="shared" si="40"/>
        <v>240.66677588466578</v>
      </c>
      <c r="M206" s="122">
        <f t="shared" si="46"/>
        <v>3776427</v>
      </c>
      <c r="N206" s="116">
        <f t="shared" si="47"/>
        <v>838367</v>
      </c>
      <c r="O206" s="123">
        <f t="shared" si="48"/>
        <v>68.673574705111406</v>
      </c>
      <c r="P206" s="5"/>
      <c r="Q206" s="5">
        <f t="shared" si="41"/>
        <v>1</v>
      </c>
      <c r="R206" s="7">
        <f t="shared" si="42"/>
        <v>12208</v>
      </c>
      <c r="S206" s="5">
        <f t="shared" si="43"/>
        <v>1</v>
      </c>
      <c r="T206" s="7">
        <f t="shared" si="44"/>
        <v>12208</v>
      </c>
    </row>
    <row r="207" spans="1:20">
      <c r="A207" s="23" t="s">
        <v>243</v>
      </c>
      <c r="B207" s="37" t="s">
        <v>233</v>
      </c>
      <c r="C207" s="36">
        <v>25385</v>
      </c>
      <c r="D207" s="6"/>
      <c r="E207" s="113">
        <v>829460176</v>
      </c>
      <c r="F207" s="116">
        <f t="shared" si="45"/>
        <v>32675.208824108726</v>
      </c>
      <c r="G207" s="117">
        <v>553055338</v>
      </c>
      <c r="H207" s="117">
        <f t="shared" si="39"/>
        <v>21786.698365176286</v>
      </c>
      <c r="I207" s="7"/>
      <c r="J207" s="10">
        <v>8.6815999999999995</v>
      </c>
      <c r="K207" s="117">
        <v>4801405</v>
      </c>
      <c r="L207" s="120">
        <f t="shared" si="40"/>
        <v>189.14339176679141</v>
      </c>
      <c r="M207" s="122">
        <f t="shared" si="46"/>
        <v>5530553.3799999999</v>
      </c>
      <c r="N207" s="116">
        <f t="shared" si="47"/>
        <v>729148.37999999989</v>
      </c>
      <c r="O207" s="123">
        <f t="shared" si="48"/>
        <v>28.723591884971434</v>
      </c>
      <c r="P207" s="5"/>
      <c r="Q207" s="5">
        <f t="shared" si="41"/>
        <v>1</v>
      </c>
      <c r="R207" s="7">
        <f t="shared" si="42"/>
        <v>25385</v>
      </c>
      <c r="S207" s="5">
        <f t="shared" si="43"/>
        <v>1</v>
      </c>
      <c r="T207" s="7">
        <f t="shared" si="44"/>
        <v>25385</v>
      </c>
    </row>
    <row r="208" spans="1:20">
      <c r="A208" s="23" t="s">
        <v>244</v>
      </c>
      <c r="B208" s="37" t="s">
        <v>233</v>
      </c>
      <c r="C208" s="36">
        <v>50</v>
      </c>
      <c r="D208" s="6"/>
      <c r="E208" s="113">
        <v>108411239</v>
      </c>
      <c r="F208" s="116">
        <f t="shared" si="45"/>
        <v>2168224.7799999998</v>
      </c>
      <c r="G208" s="117">
        <v>102192371</v>
      </c>
      <c r="H208" s="117">
        <f t="shared" si="39"/>
        <v>2043847.42</v>
      </c>
      <c r="I208" s="7"/>
      <c r="J208" s="10">
        <v>9.9600000000000009</v>
      </c>
      <c r="K208" s="117">
        <v>1017836</v>
      </c>
      <c r="L208" s="120">
        <f t="shared" si="40"/>
        <v>20356.72</v>
      </c>
      <c r="M208" s="122">
        <f t="shared" si="46"/>
        <v>1021923.7100000001</v>
      </c>
      <c r="N208" s="116">
        <f t="shared" si="47"/>
        <v>4087.7100000000792</v>
      </c>
      <c r="O208" s="123">
        <f t="shared" si="48"/>
        <v>81.754200000001589</v>
      </c>
      <c r="P208" s="5"/>
      <c r="Q208" s="5">
        <f t="shared" si="41"/>
        <v>1</v>
      </c>
      <c r="R208" s="7">
        <f t="shared" si="42"/>
        <v>50</v>
      </c>
      <c r="S208" s="5">
        <f t="shared" si="43"/>
        <v>1</v>
      </c>
      <c r="T208" s="7">
        <f t="shared" si="44"/>
        <v>50</v>
      </c>
    </row>
    <row r="209" spans="1:20">
      <c r="A209" s="23" t="s">
        <v>245</v>
      </c>
      <c r="B209" s="37" t="s">
        <v>233</v>
      </c>
      <c r="C209" s="36">
        <v>13</v>
      </c>
      <c r="D209" s="6"/>
      <c r="E209" s="113">
        <v>9341166</v>
      </c>
      <c r="F209" s="116">
        <f t="shared" si="45"/>
        <v>718551.23076923075</v>
      </c>
      <c r="G209" s="117">
        <v>333127</v>
      </c>
      <c r="H209" s="117">
        <f t="shared" si="39"/>
        <v>25625.153846153848</v>
      </c>
      <c r="I209" s="7"/>
      <c r="J209" s="10">
        <v>10</v>
      </c>
      <c r="K209" s="117">
        <v>3331</v>
      </c>
      <c r="L209" s="120">
        <f t="shared" si="40"/>
        <v>256.23076923076923</v>
      </c>
      <c r="M209" s="122">
        <f t="shared" si="46"/>
        <v>3331.27</v>
      </c>
      <c r="N209" s="116">
        <f t="shared" si="47"/>
        <v>0.26999999999998181</v>
      </c>
      <c r="O209" s="123">
        <f t="shared" si="48"/>
        <v>2.0769230769229371E-2</v>
      </c>
      <c r="P209" s="5"/>
      <c r="Q209" s="5">
        <f t="shared" si="41"/>
        <v>1</v>
      </c>
      <c r="R209" s="7">
        <f t="shared" si="42"/>
        <v>13</v>
      </c>
      <c r="S209" s="5">
        <f t="shared" si="43"/>
        <v>1</v>
      </c>
      <c r="T209" s="7">
        <f t="shared" si="44"/>
        <v>13</v>
      </c>
    </row>
    <row r="210" spans="1:20">
      <c r="A210" s="23" t="s">
        <v>246</v>
      </c>
      <c r="B210" s="37" t="s">
        <v>233</v>
      </c>
      <c r="C210" s="36">
        <v>8886</v>
      </c>
      <c r="D210" s="6"/>
      <c r="E210" s="113">
        <v>1959568610</v>
      </c>
      <c r="F210" s="116">
        <f t="shared" si="45"/>
        <v>220523.13864505963</v>
      </c>
      <c r="G210" s="117">
        <v>1862244231</v>
      </c>
      <c r="H210" s="117">
        <f t="shared" si="39"/>
        <v>209570.58642808913</v>
      </c>
      <c r="I210" s="7"/>
      <c r="J210" s="10">
        <v>3.6059999999999999</v>
      </c>
      <c r="K210" s="117">
        <v>6715252</v>
      </c>
      <c r="L210" s="120">
        <f t="shared" si="40"/>
        <v>755.71145622327253</v>
      </c>
      <c r="M210" s="122">
        <f t="shared" si="46"/>
        <v>18622442.309999999</v>
      </c>
      <c r="N210" s="116">
        <f t="shared" si="47"/>
        <v>11907190.309999999</v>
      </c>
      <c r="O210" s="123">
        <f t="shared" si="48"/>
        <v>1339.9944080576186</v>
      </c>
      <c r="P210" s="5"/>
      <c r="Q210" s="5">
        <f t="shared" si="41"/>
        <v>1</v>
      </c>
      <c r="R210" s="7">
        <f t="shared" si="42"/>
        <v>8886</v>
      </c>
      <c r="S210" s="5">
        <f t="shared" si="43"/>
        <v>1</v>
      </c>
      <c r="T210" s="7">
        <f t="shared" si="44"/>
        <v>8886</v>
      </c>
    </row>
    <row r="211" spans="1:20">
      <c r="A211" s="23" t="s">
        <v>247</v>
      </c>
      <c r="B211" s="37" t="s">
        <v>233</v>
      </c>
      <c r="C211" s="36">
        <v>884</v>
      </c>
      <c r="D211" s="6"/>
      <c r="E211" s="113">
        <v>565150046</v>
      </c>
      <c r="F211" s="116">
        <f t="shared" si="45"/>
        <v>639310.00678733026</v>
      </c>
      <c r="G211" s="117">
        <v>559360300</v>
      </c>
      <c r="H211" s="117">
        <f t="shared" si="39"/>
        <v>632760.5203619909</v>
      </c>
      <c r="I211" s="7"/>
      <c r="J211" s="10">
        <v>7.923</v>
      </c>
      <c r="K211" s="117">
        <v>4431811</v>
      </c>
      <c r="L211" s="120">
        <f t="shared" si="40"/>
        <v>5013.3608597285065</v>
      </c>
      <c r="M211" s="122">
        <f t="shared" si="46"/>
        <v>5593603</v>
      </c>
      <c r="N211" s="116">
        <f t="shared" si="47"/>
        <v>1161792</v>
      </c>
      <c r="O211" s="123">
        <f t="shared" si="48"/>
        <v>1314.2443438914027</v>
      </c>
      <c r="P211" s="5"/>
      <c r="Q211" s="5">
        <f t="shared" si="41"/>
        <v>1</v>
      </c>
      <c r="R211" s="7">
        <f t="shared" si="42"/>
        <v>884</v>
      </c>
      <c r="S211" s="5">
        <f t="shared" si="43"/>
        <v>1</v>
      </c>
      <c r="T211" s="7">
        <f t="shared" si="44"/>
        <v>884</v>
      </c>
    </row>
    <row r="212" spans="1:20">
      <c r="A212" s="23" t="s">
        <v>248</v>
      </c>
      <c r="B212" s="37" t="s">
        <v>233</v>
      </c>
      <c r="C212" s="36">
        <v>365127</v>
      </c>
      <c r="D212" s="6"/>
      <c r="E212" s="113">
        <v>16786629066</v>
      </c>
      <c r="F212" s="116">
        <f t="shared" si="45"/>
        <v>45974.767864332134</v>
      </c>
      <c r="G212" s="117">
        <v>11569868775</v>
      </c>
      <c r="H212" s="117">
        <f t="shared" si="39"/>
        <v>31687.245191399157</v>
      </c>
      <c r="I212" s="7"/>
      <c r="J212" s="10">
        <v>9.5995000000000008</v>
      </c>
      <c r="K212" s="117">
        <v>111064955</v>
      </c>
      <c r="L212" s="120">
        <f t="shared" si="40"/>
        <v>304.18170937783293</v>
      </c>
      <c r="M212" s="122">
        <f t="shared" si="46"/>
        <v>115698687.75</v>
      </c>
      <c r="N212" s="116">
        <f t="shared" si="47"/>
        <v>4633732.75</v>
      </c>
      <c r="O212" s="123">
        <f t="shared" si="48"/>
        <v>12.690742536158652</v>
      </c>
      <c r="P212" s="5"/>
      <c r="Q212" s="5">
        <f t="shared" si="41"/>
        <v>1</v>
      </c>
      <c r="R212" s="7">
        <f t="shared" si="42"/>
        <v>365127</v>
      </c>
      <c r="S212" s="5">
        <f t="shared" si="43"/>
        <v>1</v>
      </c>
      <c r="T212" s="7">
        <f t="shared" si="44"/>
        <v>365127</v>
      </c>
    </row>
    <row r="213" spans="1:20">
      <c r="A213" s="23" t="s">
        <v>249</v>
      </c>
      <c r="B213" s="37" t="s">
        <v>233</v>
      </c>
      <c r="C213" s="36">
        <v>91848</v>
      </c>
      <c r="D213" s="6"/>
      <c r="E213" s="113">
        <v>7332957513</v>
      </c>
      <c r="F213" s="116">
        <f t="shared" si="45"/>
        <v>79837.966128821528</v>
      </c>
      <c r="G213" s="117">
        <v>6128812027</v>
      </c>
      <c r="H213" s="117">
        <f t="shared" si="39"/>
        <v>66727.767910025257</v>
      </c>
      <c r="I213" s="7"/>
      <c r="J213" s="10">
        <v>7.4989999999999997</v>
      </c>
      <c r="K213" s="117">
        <v>45959961</v>
      </c>
      <c r="L213" s="120">
        <f t="shared" si="40"/>
        <v>500.3915273059838</v>
      </c>
      <c r="M213" s="122">
        <f t="shared" si="46"/>
        <v>61288120.270000003</v>
      </c>
      <c r="N213" s="116">
        <f t="shared" si="47"/>
        <v>15328159.270000003</v>
      </c>
      <c r="O213" s="123">
        <f t="shared" si="48"/>
        <v>166.88615179426884</v>
      </c>
      <c r="P213" s="5"/>
      <c r="Q213" s="5">
        <f t="shared" si="41"/>
        <v>1</v>
      </c>
      <c r="R213" s="7">
        <f t="shared" si="42"/>
        <v>91848</v>
      </c>
      <c r="S213" s="5">
        <f t="shared" si="43"/>
        <v>1</v>
      </c>
      <c r="T213" s="7">
        <f t="shared" si="44"/>
        <v>91848</v>
      </c>
    </row>
    <row r="214" spans="1:20">
      <c r="A214" s="23" t="s">
        <v>250</v>
      </c>
      <c r="B214" s="37" t="s">
        <v>233</v>
      </c>
      <c r="C214" s="36">
        <v>10162</v>
      </c>
      <c r="D214" s="6"/>
      <c r="E214" s="113">
        <v>504236217</v>
      </c>
      <c r="F214" s="116">
        <f t="shared" si="45"/>
        <v>49619.781243849633</v>
      </c>
      <c r="G214" s="117">
        <v>344444209</v>
      </c>
      <c r="H214" s="117">
        <f t="shared" si="39"/>
        <v>33895.316768352684</v>
      </c>
      <c r="I214" s="7"/>
      <c r="J214" s="10">
        <v>8.74</v>
      </c>
      <c r="K214" s="117">
        <v>3010442</v>
      </c>
      <c r="L214" s="120">
        <f t="shared" si="40"/>
        <v>296.24503050580597</v>
      </c>
      <c r="M214" s="122">
        <f t="shared" si="46"/>
        <v>3444442.09</v>
      </c>
      <c r="N214" s="116">
        <f t="shared" si="47"/>
        <v>434000.08999999985</v>
      </c>
      <c r="O214" s="123">
        <f t="shared" si="48"/>
        <v>42.708137177720907</v>
      </c>
      <c r="P214" s="5"/>
      <c r="Q214" s="5">
        <f t="shared" si="41"/>
        <v>1</v>
      </c>
      <c r="R214" s="7">
        <f t="shared" si="42"/>
        <v>10162</v>
      </c>
      <c r="S214" s="5">
        <f t="shared" si="43"/>
        <v>1</v>
      </c>
      <c r="T214" s="7">
        <f t="shared" si="44"/>
        <v>10162</v>
      </c>
    </row>
    <row r="215" spans="1:20">
      <c r="A215" s="23" t="s">
        <v>251</v>
      </c>
      <c r="B215" s="37" t="s">
        <v>233</v>
      </c>
      <c r="C215" s="36">
        <v>13358</v>
      </c>
      <c r="D215" s="6"/>
      <c r="E215" s="113">
        <v>653931352</v>
      </c>
      <c r="F215" s="116">
        <f t="shared" si="45"/>
        <v>48954.285970953737</v>
      </c>
      <c r="G215" s="117">
        <v>520570995</v>
      </c>
      <c r="H215" s="117">
        <f t="shared" si="39"/>
        <v>38970.72877676299</v>
      </c>
      <c r="I215" s="7"/>
      <c r="J215" s="10">
        <v>6.7</v>
      </c>
      <c r="K215" s="117">
        <v>3487825</v>
      </c>
      <c r="L215" s="120">
        <f t="shared" si="40"/>
        <v>261.10383290911813</v>
      </c>
      <c r="M215" s="122">
        <f t="shared" si="46"/>
        <v>5205709.95</v>
      </c>
      <c r="N215" s="116">
        <f t="shared" si="47"/>
        <v>1717884.9500000002</v>
      </c>
      <c r="O215" s="123">
        <f t="shared" si="48"/>
        <v>128.60345485851175</v>
      </c>
      <c r="P215" s="5"/>
      <c r="Q215" s="5">
        <f t="shared" si="41"/>
        <v>1</v>
      </c>
      <c r="R215" s="7">
        <f t="shared" si="42"/>
        <v>13358</v>
      </c>
      <c r="S215" s="5">
        <f t="shared" si="43"/>
        <v>1</v>
      </c>
      <c r="T215" s="7">
        <f t="shared" si="44"/>
        <v>13358</v>
      </c>
    </row>
    <row r="216" spans="1:20">
      <c r="A216" s="23" t="s">
        <v>252</v>
      </c>
      <c r="B216" s="37" t="s">
        <v>233</v>
      </c>
      <c r="C216" s="36">
        <v>5894</v>
      </c>
      <c r="D216" s="6"/>
      <c r="E216" s="113">
        <v>241940337</v>
      </c>
      <c r="F216" s="116">
        <f t="shared" si="45"/>
        <v>41048.581099423143</v>
      </c>
      <c r="G216" s="117">
        <v>217417782</v>
      </c>
      <c r="H216" s="117">
        <f t="shared" si="39"/>
        <v>36887.984730234137</v>
      </c>
      <c r="I216" s="7"/>
      <c r="J216" s="10">
        <v>5.1189999999999998</v>
      </c>
      <c r="K216" s="117">
        <v>1112961</v>
      </c>
      <c r="L216" s="120">
        <f t="shared" si="40"/>
        <v>188.82948761452323</v>
      </c>
      <c r="M216" s="122">
        <f t="shared" si="46"/>
        <v>2174177.8199999998</v>
      </c>
      <c r="N216" s="116">
        <f t="shared" si="47"/>
        <v>1061216.8199999998</v>
      </c>
      <c r="O216" s="123">
        <f t="shared" si="48"/>
        <v>180.05035968781809</v>
      </c>
      <c r="P216" s="5"/>
      <c r="Q216" s="5">
        <f t="shared" si="41"/>
        <v>1</v>
      </c>
      <c r="R216" s="7">
        <f t="shared" si="42"/>
        <v>5894</v>
      </c>
      <c r="S216" s="5">
        <f t="shared" si="43"/>
        <v>1</v>
      </c>
      <c r="T216" s="7">
        <f t="shared" si="44"/>
        <v>5894</v>
      </c>
    </row>
    <row r="217" spans="1:20">
      <c r="A217" s="23" t="s">
        <v>253</v>
      </c>
      <c r="B217" s="37" t="s">
        <v>233</v>
      </c>
      <c r="C217" s="36">
        <v>50757</v>
      </c>
      <c r="D217" s="6"/>
      <c r="E217" s="113">
        <v>1649406943</v>
      </c>
      <c r="F217" s="116">
        <f t="shared" si="45"/>
        <v>32496.14719152038</v>
      </c>
      <c r="G217" s="117">
        <v>1183225942</v>
      </c>
      <c r="H217" s="117">
        <f t="shared" si="39"/>
        <v>23311.581496148316</v>
      </c>
      <c r="I217" s="7"/>
      <c r="J217" s="10">
        <v>7.9349999999999996</v>
      </c>
      <c r="K217" s="117">
        <v>9388897</v>
      </c>
      <c r="L217" s="120">
        <f t="shared" si="40"/>
        <v>184.97738243000964</v>
      </c>
      <c r="M217" s="122">
        <f t="shared" si="46"/>
        <v>11832259.42</v>
      </c>
      <c r="N217" s="116">
        <f t="shared" si="47"/>
        <v>2443362.42</v>
      </c>
      <c r="O217" s="123">
        <f t="shared" si="48"/>
        <v>48.138432531473491</v>
      </c>
      <c r="P217" s="5"/>
      <c r="Q217" s="5">
        <f t="shared" si="41"/>
        <v>1</v>
      </c>
      <c r="R217" s="7">
        <f t="shared" si="42"/>
        <v>50757</v>
      </c>
      <c r="S217" s="5">
        <f t="shared" si="43"/>
        <v>1</v>
      </c>
      <c r="T217" s="7">
        <f t="shared" si="44"/>
        <v>50757</v>
      </c>
    </row>
    <row r="218" spans="1:20">
      <c r="A218" s="23" t="s">
        <v>254</v>
      </c>
      <c r="B218" s="37" t="s">
        <v>233</v>
      </c>
      <c r="C218" s="36">
        <v>38057</v>
      </c>
      <c r="D218" s="6"/>
      <c r="E218" s="113">
        <v>1381512930</v>
      </c>
      <c r="F218" s="116">
        <f t="shared" si="45"/>
        <v>36301.151693512365</v>
      </c>
      <c r="G218" s="117">
        <v>1016830353</v>
      </c>
      <c r="H218" s="117">
        <f t="shared" si="39"/>
        <v>26718.615576635046</v>
      </c>
      <c r="I218" s="7"/>
      <c r="J218" s="10">
        <v>7.7</v>
      </c>
      <c r="K218" s="117">
        <v>7829593</v>
      </c>
      <c r="L218" s="120">
        <f t="shared" si="40"/>
        <v>205.73332107102505</v>
      </c>
      <c r="M218" s="122">
        <f t="shared" si="46"/>
        <v>10168303.529999999</v>
      </c>
      <c r="N218" s="116">
        <f t="shared" si="47"/>
        <v>2338710.5299999993</v>
      </c>
      <c r="O218" s="123">
        <f t="shared" si="48"/>
        <v>61.452834695325414</v>
      </c>
      <c r="P218" s="5"/>
      <c r="Q218" s="5">
        <f t="shared" si="41"/>
        <v>1</v>
      </c>
      <c r="R218" s="7">
        <f t="shared" si="42"/>
        <v>38057</v>
      </c>
      <c r="S218" s="5">
        <f t="shared" si="43"/>
        <v>1</v>
      </c>
      <c r="T218" s="7">
        <f t="shared" si="44"/>
        <v>38057</v>
      </c>
    </row>
    <row r="219" spans="1:20">
      <c r="A219" s="23" t="s">
        <v>255</v>
      </c>
      <c r="B219" s="37" t="s">
        <v>233</v>
      </c>
      <c r="C219" s="36">
        <v>15790</v>
      </c>
      <c r="D219" s="6"/>
      <c r="E219" s="113">
        <v>489246374</v>
      </c>
      <c r="F219" s="116">
        <f t="shared" si="45"/>
        <v>30984.570867637747</v>
      </c>
      <c r="G219" s="117">
        <v>385770274</v>
      </c>
      <c r="H219" s="117">
        <f>(G219/C219)</f>
        <v>24431.302976567447</v>
      </c>
      <c r="I219" s="7"/>
      <c r="J219" s="10">
        <v>9.8000000000000007</v>
      </c>
      <c r="K219" s="117">
        <v>3780548</v>
      </c>
      <c r="L219" s="120">
        <f t="shared" si="40"/>
        <v>239.42672577580748</v>
      </c>
      <c r="M219" s="122">
        <f t="shared" si="46"/>
        <v>3857702.74</v>
      </c>
      <c r="N219" s="116">
        <f t="shared" si="47"/>
        <v>77154.740000000224</v>
      </c>
      <c r="O219" s="123">
        <f t="shared" si="48"/>
        <v>4.8863039898670184</v>
      </c>
      <c r="P219" s="5"/>
      <c r="Q219" s="5">
        <f t="shared" si="41"/>
        <v>1</v>
      </c>
      <c r="R219" s="7">
        <f t="shared" si="42"/>
        <v>15790</v>
      </c>
      <c r="S219" s="5">
        <f t="shared" si="43"/>
        <v>1</v>
      </c>
      <c r="T219" s="7">
        <f t="shared" si="44"/>
        <v>15790</v>
      </c>
    </row>
    <row r="220" spans="1:20">
      <c r="A220" s="24" t="s">
        <v>256</v>
      </c>
      <c r="B220" s="37" t="s">
        <v>233</v>
      </c>
      <c r="C220" s="36">
        <v>18988</v>
      </c>
      <c r="D220" s="6" t="s">
        <v>527</v>
      </c>
      <c r="E220" s="113"/>
      <c r="F220" s="116"/>
      <c r="G220" s="117"/>
      <c r="H220" s="117"/>
      <c r="I220" s="98" t="s">
        <v>528</v>
      </c>
      <c r="J220" s="10"/>
      <c r="K220" s="117"/>
      <c r="L220" s="120"/>
      <c r="M220" s="122">
        <f t="shared" si="46"/>
        <v>0</v>
      </c>
      <c r="N220" s="116">
        <f t="shared" si="47"/>
        <v>0</v>
      </c>
      <c r="O220" s="123">
        <f t="shared" si="48"/>
        <v>0</v>
      </c>
      <c r="P220" s="5"/>
      <c r="Q220" s="5">
        <f t="shared" si="41"/>
        <v>0</v>
      </c>
      <c r="R220" s="7">
        <f t="shared" si="42"/>
        <v>0</v>
      </c>
      <c r="S220" s="5">
        <f t="shared" si="43"/>
        <v>0</v>
      </c>
      <c r="T220" s="7">
        <f t="shared" si="44"/>
        <v>0</v>
      </c>
    </row>
    <row r="221" spans="1:20">
      <c r="A221" s="23" t="s">
        <v>257</v>
      </c>
      <c r="B221" s="37" t="s">
        <v>233</v>
      </c>
      <c r="C221" s="36">
        <v>10537</v>
      </c>
      <c r="D221" s="6"/>
      <c r="E221" s="113">
        <v>794091040</v>
      </c>
      <c r="F221" s="116">
        <f t="shared" ref="F221:F284" si="49">(E221/C221)</f>
        <v>75362.156211445385</v>
      </c>
      <c r="G221" s="117">
        <v>561019550</v>
      </c>
      <c r="H221" s="117">
        <f t="shared" ref="H221:H252" si="50">(G221/C221)</f>
        <v>53242.815791971152</v>
      </c>
      <c r="I221" s="7"/>
      <c r="J221" s="10">
        <v>6.8</v>
      </c>
      <c r="K221" s="117">
        <v>3814932</v>
      </c>
      <c r="L221" s="120">
        <f t="shared" ref="L221:L235" si="51">(K221/C221)</f>
        <v>362.05105817595143</v>
      </c>
      <c r="M221" s="122">
        <f t="shared" si="46"/>
        <v>5610195.5</v>
      </c>
      <c r="N221" s="116">
        <f t="shared" si="47"/>
        <v>1795263.5</v>
      </c>
      <c r="O221" s="123">
        <f t="shared" si="48"/>
        <v>170.37709974376008</v>
      </c>
      <c r="P221" s="5"/>
      <c r="Q221" s="5">
        <f t="shared" si="41"/>
        <v>1</v>
      </c>
      <c r="R221" s="7">
        <f t="shared" si="42"/>
        <v>10537</v>
      </c>
      <c r="S221" s="5">
        <f t="shared" si="43"/>
        <v>1</v>
      </c>
      <c r="T221" s="7">
        <f t="shared" si="44"/>
        <v>10537</v>
      </c>
    </row>
    <row r="222" spans="1:20">
      <c r="A222" s="23" t="s">
        <v>259</v>
      </c>
      <c r="B222" s="37" t="s">
        <v>233</v>
      </c>
      <c r="C222" s="36">
        <v>4361</v>
      </c>
      <c r="D222" s="6"/>
      <c r="E222" s="113">
        <v>464730257</v>
      </c>
      <c r="F222" s="116">
        <f t="shared" si="49"/>
        <v>106565.06695711993</v>
      </c>
      <c r="G222" s="117">
        <v>408061564</v>
      </c>
      <c r="H222" s="117">
        <f t="shared" si="50"/>
        <v>93570.64067874341</v>
      </c>
      <c r="I222" s="7"/>
      <c r="J222" s="10">
        <v>5.6029999999999998</v>
      </c>
      <c r="K222" s="117">
        <v>2286368</v>
      </c>
      <c r="L222" s="120">
        <f t="shared" si="51"/>
        <v>524.27608346709474</v>
      </c>
      <c r="M222" s="122">
        <f t="shared" si="46"/>
        <v>4080615.64</v>
      </c>
      <c r="N222" s="116">
        <f t="shared" si="47"/>
        <v>1794247.6400000001</v>
      </c>
      <c r="O222" s="123">
        <f t="shared" si="48"/>
        <v>411.43032332033943</v>
      </c>
      <c r="P222" s="5"/>
      <c r="Q222" s="5">
        <f t="shared" si="41"/>
        <v>1</v>
      </c>
      <c r="R222" s="7">
        <f t="shared" si="42"/>
        <v>4361</v>
      </c>
      <c r="S222" s="5">
        <f t="shared" si="43"/>
        <v>1</v>
      </c>
      <c r="T222" s="7">
        <f t="shared" si="44"/>
        <v>4361</v>
      </c>
    </row>
    <row r="223" spans="1:20">
      <c r="A223" s="23" t="s">
        <v>260</v>
      </c>
      <c r="B223" s="37" t="s">
        <v>233</v>
      </c>
      <c r="C223" s="36">
        <v>14060</v>
      </c>
      <c r="D223" s="6"/>
      <c r="E223" s="113">
        <v>250005106</v>
      </c>
      <c r="F223" s="116">
        <f t="shared" si="49"/>
        <v>17781.301991465149</v>
      </c>
      <c r="G223" s="117">
        <v>202181875</v>
      </c>
      <c r="H223" s="117">
        <f t="shared" si="50"/>
        <v>14379.934210526315</v>
      </c>
      <c r="I223" s="7"/>
      <c r="J223" s="10">
        <v>3.6566999999999998</v>
      </c>
      <c r="K223" s="117">
        <v>739318</v>
      </c>
      <c r="L223" s="120">
        <f t="shared" si="51"/>
        <v>52.58307254623044</v>
      </c>
      <c r="M223" s="122">
        <f t="shared" si="46"/>
        <v>2021818.75</v>
      </c>
      <c r="N223" s="116">
        <f t="shared" si="47"/>
        <v>1282500.75</v>
      </c>
      <c r="O223" s="123">
        <f t="shared" si="48"/>
        <v>91.21626955903271</v>
      </c>
      <c r="P223" s="5"/>
      <c r="Q223" s="5">
        <f t="shared" si="41"/>
        <v>1</v>
      </c>
      <c r="R223" s="7">
        <f t="shared" si="42"/>
        <v>14060</v>
      </c>
      <c r="S223" s="5">
        <f t="shared" si="43"/>
        <v>1</v>
      </c>
      <c r="T223" s="7">
        <f t="shared" si="44"/>
        <v>14060</v>
      </c>
    </row>
    <row r="224" spans="1:20">
      <c r="A224" s="23" t="s">
        <v>261</v>
      </c>
      <c r="B224" s="37" t="s">
        <v>233</v>
      </c>
      <c r="C224" s="36">
        <v>2267</v>
      </c>
      <c r="D224" s="6"/>
      <c r="E224" s="113">
        <v>89616931</v>
      </c>
      <c r="F224" s="116">
        <f t="shared" si="49"/>
        <v>39531.06793118659</v>
      </c>
      <c r="G224" s="117">
        <v>76281389</v>
      </c>
      <c r="H224" s="117">
        <f t="shared" si="50"/>
        <v>33648.605646228498</v>
      </c>
      <c r="I224" s="7"/>
      <c r="J224" s="10">
        <v>3.2949999999999999</v>
      </c>
      <c r="K224" s="117">
        <v>251347</v>
      </c>
      <c r="L224" s="120">
        <f t="shared" si="51"/>
        <v>110.87207763564182</v>
      </c>
      <c r="M224" s="122">
        <f t="shared" si="46"/>
        <v>762813.89</v>
      </c>
      <c r="N224" s="116">
        <f t="shared" si="47"/>
        <v>511466.89</v>
      </c>
      <c r="O224" s="123">
        <f t="shared" si="48"/>
        <v>225.61397882664315</v>
      </c>
      <c r="P224" s="5"/>
      <c r="Q224" s="5">
        <f t="shared" si="41"/>
        <v>1</v>
      </c>
      <c r="R224" s="7">
        <f t="shared" si="42"/>
        <v>2267</v>
      </c>
      <c r="S224" s="5">
        <f t="shared" si="43"/>
        <v>1</v>
      </c>
      <c r="T224" s="7">
        <f t="shared" si="44"/>
        <v>2267</v>
      </c>
    </row>
    <row r="225" spans="1:20">
      <c r="A225" s="23" t="s">
        <v>262</v>
      </c>
      <c r="B225" s="37" t="s">
        <v>233</v>
      </c>
      <c r="C225" s="36">
        <v>5832</v>
      </c>
      <c r="D225" s="6"/>
      <c r="E225" s="113">
        <v>202758894</v>
      </c>
      <c r="F225" s="116">
        <f t="shared" si="49"/>
        <v>34766.614197530864</v>
      </c>
      <c r="G225" s="117">
        <v>162742786</v>
      </c>
      <c r="H225" s="117">
        <f t="shared" si="50"/>
        <v>27905.141632373114</v>
      </c>
      <c r="I225" s="7"/>
      <c r="J225" s="10">
        <v>8.4949999999999992</v>
      </c>
      <c r="K225" s="117">
        <v>1382499</v>
      </c>
      <c r="L225" s="120">
        <f t="shared" si="51"/>
        <v>237.05401234567901</v>
      </c>
      <c r="M225" s="122">
        <f t="shared" si="46"/>
        <v>1627427.86</v>
      </c>
      <c r="N225" s="116">
        <f t="shared" si="47"/>
        <v>244928.8600000001</v>
      </c>
      <c r="O225" s="123">
        <f t="shared" si="48"/>
        <v>41.997403978052141</v>
      </c>
      <c r="P225" s="5"/>
      <c r="Q225" s="5">
        <f t="shared" si="41"/>
        <v>1</v>
      </c>
      <c r="R225" s="7">
        <f t="shared" si="42"/>
        <v>5832</v>
      </c>
      <c r="S225" s="5">
        <f t="shared" si="43"/>
        <v>1</v>
      </c>
      <c r="T225" s="7">
        <f t="shared" si="44"/>
        <v>5832</v>
      </c>
    </row>
    <row r="226" spans="1:20">
      <c r="A226" s="23" t="s">
        <v>265</v>
      </c>
      <c r="B226" s="37" t="s">
        <v>264</v>
      </c>
      <c r="C226" s="36">
        <v>1048</v>
      </c>
      <c r="D226" s="6"/>
      <c r="E226" s="113">
        <v>226659702</v>
      </c>
      <c r="F226" s="116">
        <f t="shared" si="49"/>
        <v>216278.34160305344</v>
      </c>
      <c r="G226" s="117">
        <v>216373925</v>
      </c>
      <c r="H226" s="117">
        <f t="shared" si="50"/>
        <v>206463.66889312977</v>
      </c>
      <c r="I226" s="7"/>
      <c r="J226" s="10">
        <v>1.5768</v>
      </c>
      <c r="K226" s="117">
        <v>341178</v>
      </c>
      <c r="L226" s="120">
        <f t="shared" si="51"/>
        <v>325.55152671755724</v>
      </c>
      <c r="M226" s="122">
        <f t="shared" si="46"/>
        <v>2163739.25</v>
      </c>
      <c r="N226" s="116">
        <f t="shared" si="47"/>
        <v>1822561.25</v>
      </c>
      <c r="O226" s="123">
        <f t="shared" si="48"/>
        <v>1739.0851622137404</v>
      </c>
      <c r="P226" s="5"/>
      <c r="Q226" s="5">
        <f t="shared" si="41"/>
        <v>1</v>
      </c>
      <c r="R226" s="7">
        <f t="shared" si="42"/>
        <v>1048</v>
      </c>
      <c r="S226" s="5">
        <f t="shared" si="43"/>
        <v>1</v>
      </c>
      <c r="T226" s="7">
        <f t="shared" si="44"/>
        <v>1048</v>
      </c>
    </row>
    <row r="227" spans="1:20">
      <c r="A227" s="23" t="s">
        <v>266</v>
      </c>
      <c r="B227" s="37" t="s">
        <v>264</v>
      </c>
      <c r="C227" s="36">
        <v>27009</v>
      </c>
      <c r="D227" s="6"/>
      <c r="E227" s="113">
        <v>3693457949</v>
      </c>
      <c r="F227" s="116">
        <f t="shared" si="49"/>
        <v>136749.15579991855</v>
      </c>
      <c r="G227" s="117">
        <v>1892549290</v>
      </c>
      <c r="H227" s="117">
        <f t="shared" si="50"/>
        <v>70071.06112777222</v>
      </c>
      <c r="I227" s="7"/>
      <c r="J227" s="10">
        <v>4.1097000000000001</v>
      </c>
      <c r="K227" s="117">
        <v>7777809</v>
      </c>
      <c r="L227" s="120">
        <f t="shared" si="51"/>
        <v>287.9710096634455</v>
      </c>
      <c r="M227" s="122">
        <f t="shared" si="46"/>
        <v>18925492.900000002</v>
      </c>
      <c r="N227" s="116">
        <f t="shared" si="47"/>
        <v>11147683.900000002</v>
      </c>
      <c r="O227" s="123">
        <f t="shared" si="48"/>
        <v>412.73960161427681</v>
      </c>
      <c r="P227" s="5"/>
      <c r="Q227" s="5">
        <f t="shared" si="41"/>
        <v>1</v>
      </c>
      <c r="R227" s="7">
        <f t="shared" si="42"/>
        <v>27009</v>
      </c>
      <c r="S227" s="5">
        <f t="shared" si="43"/>
        <v>1</v>
      </c>
      <c r="T227" s="7">
        <f t="shared" si="44"/>
        <v>27009</v>
      </c>
    </row>
    <row r="228" spans="1:20">
      <c r="A228" s="23" t="s">
        <v>267</v>
      </c>
      <c r="B228" s="37" t="s">
        <v>264</v>
      </c>
      <c r="C228" s="36">
        <v>200</v>
      </c>
      <c r="D228" s="6"/>
      <c r="E228" s="113">
        <v>23118919</v>
      </c>
      <c r="F228" s="116">
        <f t="shared" si="49"/>
        <v>115594.595</v>
      </c>
      <c r="G228" s="117">
        <v>19087742</v>
      </c>
      <c r="H228" s="117">
        <f t="shared" si="50"/>
        <v>95438.71</v>
      </c>
      <c r="I228" s="7"/>
      <c r="J228" s="10">
        <v>1.0442</v>
      </c>
      <c r="K228" s="117">
        <v>19931</v>
      </c>
      <c r="L228" s="120">
        <f t="shared" si="51"/>
        <v>99.655000000000001</v>
      </c>
      <c r="M228" s="122">
        <f t="shared" si="46"/>
        <v>190877.42</v>
      </c>
      <c r="N228" s="116">
        <f t="shared" si="47"/>
        <v>170946.42</v>
      </c>
      <c r="O228" s="123">
        <f t="shared" si="48"/>
        <v>854.73210000000006</v>
      </c>
      <c r="P228" s="5"/>
      <c r="Q228" s="5">
        <f t="shared" si="41"/>
        <v>1</v>
      </c>
      <c r="R228" s="7">
        <f t="shared" si="42"/>
        <v>200</v>
      </c>
      <c r="S228" s="5">
        <f t="shared" si="43"/>
        <v>1</v>
      </c>
      <c r="T228" s="7">
        <f t="shared" si="44"/>
        <v>200</v>
      </c>
    </row>
    <row r="229" spans="1:20">
      <c r="A229" s="23" t="s">
        <v>268</v>
      </c>
      <c r="B229" s="37" t="s">
        <v>269</v>
      </c>
      <c r="C229" s="36">
        <v>1018</v>
      </c>
      <c r="D229" s="6"/>
      <c r="E229" s="113">
        <v>47231221</v>
      </c>
      <c r="F229" s="116">
        <f t="shared" si="49"/>
        <v>46396.091355599216</v>
      </c>
      <c r="G229" s="117">
        <v>29073117</v>
      </c>
      <c r="H229" s="117">
        <f t="shared" si="50"/>
        <v>28559.054027504913</v>
      </c>
      <c r="I229" s="7"/>
      <c r="J229" s="10">
        <v>2.7869000000000002</v>
      </c>
      <c r="K229" s="117">
        <v>81023</v>
      </c>
      <c r="L229" s="120">
        <f t="shared" si="51"/>
        <v>79.590373280943027</v>
      </c>
      <c r="M229" s="122">
        <f t="shared" si="46"/>
        <v>290731.17</v>
      </c>
      <c r="N229" s="116">
        <f t="shared" si="47"/>
        <v>209708.16999999998</v>
      </c>
      <c r="O229" s="123">
        <f t="shared" si="48"/>
        <v>206.00016699410608</v>
      </c>
      <c r="P229" s="5"/>
      <c r="Q229" s="5">
        <f t="shared" si="41"/>
        <v>1</v>
      </c>
      <c r="R229" s="7">
        <f t="shared" si="42"/>
        <v>1018</v>
      </c>
      <c r="S229" s="5">
        <f t="shared" si="43"/>
        <v>1</v>
      </c>
      <c r="T229" s="7">
        <f t="shared" si="44"/>
        <v>1018</v>
      </c>
    </row>
    <row r="230" spans="1:20">
      <c r="A230" s="23" t="s">
        <v>270</v>
      </c>
      <c r="B230" s="37" t="s">
        <v>269</v>
      </c>
      <c r="C230" s="36">
        <v>9988</v>
      </c>
      <c r="D230" s="6"/>
      <c r="E230" s="113">
        <v>770639491</v>
      </c>
      <c r="F230" s="116">
        <f t="shared" si="49"/>
        <v>77156.536944333202</v>
      </c>
      <c r="G230" s="117">
        <v>590144295</v>
      </c>
      <c r="H230" s="117">
        <f t="shared" si="50"/>
        <v>59085.331898277931</v>
      </c>
      <c r="I230" s="7"/>
      <c r="J230" s="10">
        <v>6.9477000000000002</v>
      </c>
      <c r="K230" s="117">
        <v>4100145</v>
      </c>
      <c r="L230" s="120">
        <f t="shared" si="51"/>
        <v>410.50710853023628</v>
      </c>
      <c r="M230" s="122">
        <f t="shared" si="46"/>
        <v>5901442.9500000002</v>
      </c>
      <c r="N230" s="116">
        <f t="shared" si="47"/>
        <v>1801297.9500000002</v>
      </c>
      <c r="O230" s="123">
        <f t="shared" si="48"/>
        <v>180.34621045254306</v>
      </c>
      <c r="P230" s="5"/>
      <c r="Q230" s="5">
        <f t="shared" si="41"/>
        <v>1</v>
      </c>
      <c r="R230" s="7">
        <f t="shared" si="42"/>
        <v>9988</v>
      </c>
      <c r="S230" s="5">
        <f t="shared" si="43"/>
        <v>1</v>
      </c>
      <c r="T230" s="7">
        <f t="shared" si="44"/>
        <v>9988</v>
      </c>
    </row>
    <row r="231" spans="1:20">
      <c r="A231" s="23" t="s">
        <v>271</v>
      </c>
      <c r="B231" s="37" t="s">
        <v>269</v>
      </c>
      <c r="C231" s="36">
        <v>2509</v>
      </c>
      <c r="D231" s="6"/>
      <c r="E231" s="113">
        <v>176802166</v>
      </c>
      <c r="F231" s="116">
        <f t="shared" si="49"/>
        <v>70467.184535671578</v>
      </c>
      <c r="G231" s="117">
        <v>30702149</v>
      </c>
      <c r="H231" s="117">
        <f t="shared" si="50"/>
        <v>12236.807094459944</v>
      </c>
      <c r="I231" s="7"/>
      <c r="J231" s="10">
        <v>0.84699999999999998</v>
      </c>
      <c r="K231" s="117">
        <v>26004</v>
      </c>
      <c r="L231" s="120">
        <f t="shared" si="51"/>
        <v>10.364288561179754</v>
      </c>
      <c r="M231" s="122">
        <f t="shared" si="46"/>
        <v>307021.49</v>
      </c>
      <c r="N231" s="116">
        <f t="shared" si="47"/>
        <v>281017.49</v>
      </c>
      <c r="O231" s="123">
        <f t="shared" si="48"/>
        <v>112.00378238341969</v>
      </c>
      <c r="P231" s="5"/>
      <c r="Q231" s="5">
        <f t="shared" si="41"/>
        <v>1</v>
      </c>
      <c r="R231" s="7">
        <f t="shared" si="42"/>
        <v>2509</v>
      </c>
      <c r="S231" s="5">
        <f t="shared" si="43"/>
        <v>1</v>
      </c>
      <c r="T231" s="7">
        <f t="shared" si="44"/>
        <v>2509</v>
      </c>
    </row>
    <row r="232" spans="1:20">
      <c r="A232" s="23" t="s">
        <v>272</v>
      </c>
      <c r="B232" s="37" t="s">
        <v>273</v>
      </c>
      <c r="C232" s="36">
        <v>410</v>
      </c>
      <c r="D232" s="6"/>
      <c r="E232" s="113">
        <v>32196159</v>
      </c>
      <c r="F232" s="116">
        <f t="shared" si="49"/>
        <v>78527.21707317073</v>
      </c>
      <c r="G232" s="117">
        <v>27894300</v>
      </c>
      <c r="H232" s="117">
        <f t="shared" si="50"/>
        <v>68034.878048780491</v>
      </c>
      <c r="I232" s="7"/>
      <c r="J232" s="10">
        <v>2.2999999999999998</v>
      </c>
      <c r="K232" s="117">
        <v>64156</v>
      </c>
      <c r="L232" s="120">
        <f t="shared" si="51"/>
        <v>156.4780487804878</v>
      </c>
      <c r="M232" s="122">
        <f t="shared" si="46"/>
        <v>278943</v>
      </c>
      <c r="N232" s="116">
        <f t="shared" si="47"/>
        <v>214787</v>
      </c>
      <c r="O232" s="123">
        <f t="shared" si="48"/>
        <v>523.87073170731708</v>
      </c>
      <c r="P232" s="5"/>
      <c r="Q232" s="5">
        <f t="shared" si="41"/>
        <v>1</v>
      </c>
      <c r="R232" s="7">
        <f t="shared" si="42"/>
        <v>410</v>
      </c>
      <c r="S232" s="5">
        <f t="shared" si="43"/>
        <v>1</v>
      </c>
      <c r="T232" s="7">
        <f t="shared" si="44"/>
        <v>410</v>
      </c>
    </row>
    <row r="233" spans="1:20">
      <c r="A233" s="23" t="s">
        <v>274</v>
      </c>
      <c r="B233" s="37" t="s">
        <v>273</v>
      </c>
      <c r="C233" s="36">
        <v>12429</v>
      </c>
      <c r="D233" s="6"/>
      <c r="E233" s="113">
        <v>369196092</v>
      </c>
      <c r="F233" s="116">
        <f t="shared" si="49"/>
        <v>29704.408399710355</v>
      </c>
      <c r="G233" s="117">
        <v>244435772</v>
      </c>
      <c r="H233" s="117">
        <f t="shared" si="50"/>
        <v>19666.567865475903</v>
      </c>
      <c r="I233" s="7"/>
      <c r="J233" s="11">
        <v>5.25</v>
      </c>
      <c r="K233" s="117">
        <v>1283287</v>
      </c>
      <c r="L233" s="120">
        <f t="shared" si="51"/>
        <v>103.24941668678092</v>
      </c>
      <c r="M233" s="122">
        <f t="shared" si="46"/>
        <v>2444357.7200000002</v>
      </c>
      <c r="N233" s="116">
        <f t="shared" si="47"/>
        <v>1161070.7200000002</v>
      </c>
      <c r="O233" s="123">
        <f t="shared" si="48"/>
        <v>93.41626196797813</v>
      </c>
      <c r="P233" s="5"/>
      <c r="Q233" s="5">
        <f t="shared" si="41"/>
        <v>1</v>
      </c>
      <c r="R233" s="7">
        <f t="shared" si="42"/>
        <v>12429</v>
      </c>
      <c r="S233" s="5">
        <f t="shared" si="43"/>
        <v>1</v>
      </c>
      <c r="T233" s="7">
        <f t="shared" si="44"/>
        <v>12429</v>
      </c>
    </row>
    <row r="234" spans="1:20">
      <c r="A234" s="23" t="s">
        <v>275</v>
      </c>
      <c r="B234" s="37" t="s">
        <v>273</v>
      </c>
      <c r="C234" s="36">
        <v>9802</v>
      </c>
      <c r="D234" s="6"/>
      <c r="E234" s="113">
        <v>1177938128</v>
      </c>
      <c r="F234" s="116">
        <f t="shared" si="49"/>
        <v>120173.24301163029</v>
      </c>
      <c r="G234" s="117">
        <v>1024702402</v>
      </c>
      <c r="H234" s="117">
        <f t="shared" si="50"/>
        <v>104540.1348704346</v>
      </c>
      <c r="I234" s="7"/>
      <c r="J234" s="10">
        <v>1.5490999999999999</v>
      </c>
      <c r="K234" s="117">
        <v>1587366</v>
      </c>
      <c r="L234" s="120">
        <f t="shared" si="51"/>
        <v>161.94307284227708</v>
      </c>
      <c r="M234" s="122">
        <f t="shared" si="46"/>
        <v>10247024.02</v>
      </c>
      <c r="N234" s="116">
        <f t="shared" si="47"/>
        <v>8659658.0199999996</v>
      </c>
      <c r="O234" s="123">
        <f t="shared" si="48"/>
        <v>883.45827586206894</v>
      </c>
      <c r="P234" s="5"/>
      <c r="Q234" s="5">
        <f t="shared" si="41"/>
        <v>1</v>
      </c>
      <c r="R234" s="7">
        <f t="shared" si="42"/>
        <v>9802</v>
      </c>
      <c r="S234" s="5">
        <f t="shared" si="43"/>
        <v>1</v>
      </c>
      <c r="T234" s="7">
        <f t="shared" si="44"/>
        <v>9802</v>
      </c>
    </row>
    <row r="235" spans="1:20">
      <c r="A235" s="23" t="s">
        <v>276</v>
      </c>
      <c r="B235" s="37" t="s">
        <v>273</v>
      </c>
      <c r="C235" s="36">
        <v>22037</v>
      </c>
      <c r="D235" s="6"/>
      <c r="E235" s="113">
        <v>866533272</v>
      </c>
      <c r="F235" s="116">
        <f t="shared" si="49"/>
        <v>39321.743976040299</v>
      </c>
      <c r="G235" s="117">
        <v>633848975</v>
      </c>
      <c r="H235" s="117">
        <f t="shared" si="50"/>
        <v>28762.943004946228</v>
      </c>
      <c r="I235" s="7"/>
      <c r="J235" s="10">
        <v>4.97</v>
      </c>
      <c r="K235" s="117">
        <v>3150279</v>
      </c>
      <c r="L235" s="120">
        <f t="shared" si="51"/>
        <v>142.95407723374325</v>
      </c>
      <c r="M235" s="122">
        <f t="shared" si="46"/>
        <v>6338489.75</v>
      </c>
      <c r="N235" s="116">
        <f t="shared" si="47"/>
        <v>3188210.75</v>
      </c>
      <c r="O235" s="123">
        <f t="shared" si="48"/>
        <v>144.67535281571901</v>
      </c>
      <c r="P235" s="5"/>
      <c r="Q235" s="5">
        <f t="shared" si="41"/>
        <v>1</v>
      </c>
      <c r="R235" s="7">
        <f t="shared" si="42"/>
        <v>22037</v>
      </c>
      <c r="S235" s="5">
        <f t="shared" si="43"/>
        <v>1</v>
      </c>
      <c r="T235" s="7">
        <f t="shared" si="44"/>
        <v>22037</v>
      </c>
    </row>
    <row r="236" spans="1:20">
      <c r="A236" s="23" t="s">
        <v>277</v>
      </c>
      <c r="B236" s="37" t="s">
        <v>273</v>
      </c>
      <c r="C236" s="36">
        <v>600</v>
      </c>
      <c r="D236" s="6"/>
      <c r="E236" s="113">
        <v>9035850</v>
      </c>
      <c r="F236" s="116">
        <f t="shared" si="49"/>
        <v>15059.75</v>
      </c>
      <c r="G236" s="117">
        <v>3759027</v>
      </c>
      <c r="H236" s="117">
        <f t="shared" si="50"/>
        <v>6265.0450000000001</v>
      </c>
      <c r="I236" s="98" t="s">
        <v>528</v>
      </c>
      <c r="J236" s="10"/>
      <c r="K236" s="117"/>
      <c r="L236" s="120"/>
      <c r="M236" s="122">
        <f t="shared" si="46"/>
        <v>37590.270000000004</v>
      </c>
      <c r="N236" s="116">
        <f t="shared" si="47"/>
        <v>37590.270000000004</v>
      </c>
      <c r="O236" s="123">
        <f t="shared" si="48"/>
        <v>62.650450000000006</v>
      </c>
      <c r="P236" s="5"/>
      <c r="Q236" s="5">
        <f t="shared" si="41"/>
        <v>1</v>
      </c>
      <c r="R236" s="7">
        <f t="shared" si="42"/>
        <v>600</v>
      </c>
      <c r="S236" s="5">
        <f t="shared" si="43"/>
        <v>0</v>
      </c>
      <c r="T236" s="7">
        <f t="shared" si="44"/>
        <v>0</v>
      </c>
    </row>
    <row r="237" spans="1:20">
      <c r="A237" s="23" t="s">
        <v>278</v>
      </c>
      <c r="B237" s="35" t="s">
        <v>273</v>
      </c>
      <c r="C237" s="36">
        <v>4406</v>
      </c>
      <c r="D237" s="6"/>
      <c r="E237" s="113">
        <v>229026438</v>
      </c>
      <c r="F237" s="116">
        <f t="shared" si="49"/>
        <v>51980.580571947343</v>
      </c>
      <c r="G237" s="117">
        <v>179670100</v>
      </c>
      <c r="H237" s="117">
        <f t="shared" si="50"/>
        <v>40778.506581933725</v>
      </c>
      <c r="I237" s="7"/>
      <c r="J237" s="11">
        <v>2.7759999999999998</v>
      </c>
      <c r="K237" s="117">
        <v>498764</v>
      </c>
      <c r="L237" s="120">
        <f t="shared" ref="L237:L261" si="52">(K237/C237)</f>
        <v>113.20108942351339</v>
      </c>
      <c r="M237" s="122">
        <f t="shared" si="46"/>
        <v>1796701</v>
      </c>
      <c r="N237" s="116">
        <f t="shared" si="47"/>
        <v>1297937</v>
      </c>
      <c r="O237" s="123">
        <f t="shared" si="48"/>
        <v>294.58397639582387</v>
      </c>
      <c r="P237" s="5"/>
      <c r="Q237" s="5">
        <f t="shared" si="41"/>
        <v>1</v>
      </c>
      <c r="R237" s="7">
        <f t="shared" si="42"/>
        <v>4406</v>
      </c>
      <c r="S237" s="5">
        <f t="shared" si="43"/>
        <v>1</v>
      </c>
      <c r="T237" s="7">
        <f t="shared" si="44"/>
        <v>4406</v>
      </c>
    </row>
    <row r="238" spans="1:20">
      <c r="A238" s="23" t="s">
        <v>279</v>
      </c>
      <c r="B238" s="35" t="s">
        <v>273</v>
      </c>
      <c r="C238" s="36">
        <v>11705</v>
      </c>
      <c r="D238" s="6"/>
      <c r="E238" s="113">
        <v>432028214</v>
      </c>
      <c r="F238" s="116">
        <f t="shared" si="49"/>
        <v>36909.714993592483</v>
      </c>
      <c r="G238" s="117">
        <v>303340419</v>
      </c>
      <c r="H238" s="117">
        <f t="shared" si="50"/>
        <v>25915.456557026911</v>
      </c>
      <c r="I238" s="7"/>
      <c r="J238" s="10">
        <v>2.73</v>
      </c>
      <c r="K238" s="117">
        <v>828119</v>
      </c>
      <c r="L238" s="120">
        <f t="shared" si="52"/>
        <v>70.749167022639895</v>
      </c>
      <c r="M238" s="122">
        <f t="shared" si="46"/>
        <v>3033404.19</v>
      </c>
      <c r="N238" s="116">
        <f t="shared" si="47"/>
        <v>2205285.19</v>
      </c>
      <c r="O238" s="123">
        <f t="shared" si="48"/>
        <v>188.4053985476292</v>
      </c>
      <c r="P238" s="5"/>
      <c r="Q238" s="5">
        <f t="shared" si="41"/>
        <v>1</v>
      </c>
      <c r="R238" s="7">
        <f t="shared" si="42"/>
        <v>11705</v>
      </c>
      <c r="S238" s="5">
        <f t="shared" si="43"/>
        <v>1</v>
      </c>
      <c r="T238" s="7">
        <f t="shared" si="44"/>
        <v>11705</v>
      </c>
    </row>
    <row r="239" spans="1:20">
      <c r="A239" s="23" t="s">
        <v>280</v>
      </c>
      <c r="B239" s="35" t="s">
        <v>273</v>
      </c>
      <c r="C239" s="36">
        <v>630</v>
      </c>
      <c r="D239" s="6"/>
      <c r="E239" s="113">
        <v>57294270</v>
      </c>
      <c r="F239" s="116">
        <f t="shared" si="49"/>
        <v>90943.28571428571</v>
      </c>
      <c r="G239" s="117">
        <v>44011680</v>
      </c>
      <c r="H239" s="117">
        <f t="shared" si="50"/>
        <v>69859.809523809527</v>
      </c>
      <c r="I239" s="7"/>
      <c r="J239" s="10">
        <v>3.2</v>
      </c>
      <c r="K239" s="117">
        <v>140837</v>
      </c>
      <c r="L239" s="120">
        <f t="shared" si="52"/>
        <v>223.55079365079365</v>
      </c>
      <c r="M239" s="122">
        <f t="shared" si="46"/>
        <v>440116.8</v>
      </c>
      <c r="N239" s="116">
        <f t="shared" si="47"/>
        <v>299279.8</v>
      </c>
      <c r="O239" s="123">
        <f t="shared" si="48"/>
        <v>475.04730158730155</v>
      </c>
      <c r="P239" s="5"/>
      <c r="Q239" s="5">
        <f t="shared" si="41"/>
        <v>1</v>
      </c>
      <c r="R239" s="7">
        <f t="shared" si="42"/>
        <v>630</v>
      </c>
      <c r="S239" s="5">
        <f t="shared" si="43"/>
        <v>1</v>
      </c>
      <c r="T239" s="7">
        <f t="shared" si="44"/>
        <v>630</v>
      </c>
    </row>
    <row r="240" spans="1:20">
      <c r="A240" s="23" t="s">
        <v>281</v>
      </c>
      <c r="B240" s="35" t="s">
        <v>273</v>
      </c>
      <c r="C240" s="36">
        <v>6635</v>
      </c>
      <c r="D240" s="6"/>
      <c r="E240" s="113">
        <v>154916973</v>
      </c>
      <c r="F240" s="116">
        <f t="shared" si="49"/>
        <v>23348.45109269028</v>
      </c>
      <c r="G240" s="117">
        <v>100893038</v>
      </c>
      <c r="H240" s="117">
        <f t="shared" si="50"/>
        <v>15206.185079125848</v>
      </c>
      <c r="I240" s="7"/>
      <c r="J240" s="10">
        <v>2.75</v>
      </c>
      <c r="K240" s="117">
        <v>277455</v>
      </c>
      <c r="L240" s="120">
        <f t="shared" si="52"/>
        <v>41.81688018085908</v>
      </c>
      <c r="M240" s="122">
        <f t="shared" si="46"/>
        <v>1008930.38</v>
      </c>
      <c r="N240" s="116">
        <f t="shared" si="47"/>
        <v>731475.38</v>
      </c>
      <c r="O240" s="123">
        <f t="shared" si="48"/>
        <v>110.24497061039939</v>
      </c>
      <c r="P240" s="5"/>
      <c r="Q240" s="5">
        <f t="shared" si="41"/>
        <v>1</v>
      </c>
      <c r="R240" s="7">
        <f t="shared" si="42"/>
        <v>6635</v>
      </c>
      <c r="S240" s="5">
        <f t="shared" si="43"/>
        <v>1</v>
      </c>
      <c r="T240" s="7">
        <f t="shared" si="44"/>
        <v>6635</v>
      </c>
    </row>
    <row r="241" spans="1:20">
      <c r="A241" s="23" t="s">
        <v>282</v>
      </c>
      <c r="B241" s="35" t="s">
        <v>282</v>
      </c>
      <c r="C241" s="36">
        <v>5069</v>
      </c>
      <c r="D241" s="6"/>
      <c r="E241" s="113">
        <v>220977711</v>
      </c>
      <c r="F241" s="116">
        <f t="shared" si="49"/>
        <v>43593.945748668375</v>
      </c>
      <c r="G241" s="117">
        <v>153431514</v>
      </c>
      <c r="H241" s="117">
        <f t="shared" si="50"/>
        <v>30268.596172815152</v>
      </c>
      <c r="I241" s="7"/>
      <c r="J241" s="10">
        <v>3.94</v>
      </c>
      <c r="K241" s="117">
        <v>604520</v>
      </c>
      <c r="L241" s="120">
        <f t="shared" si="52"/>
        <v>119.25823633852831</v>
      </c>
      <c r="M241" s="122">
        <f t="shared" si="46"/>
        <v>1534315.1400000001</v>
      </c>
      <c r="N241" s="116">
        <f t="shared" si="47"/>
        <v>929795.14000000013</v>
      </c>
      <c r="O241" s="123">
        <f t="shared" si="48"/>
        <v>183.42772538962322</v>
      </c>
      <c r="P241" s="5"/>
      <c r="Q241" s="5">
        <f t="shared" si="41"/>
        <v>1</v>
      </c>
      <c r="R241" s="7">
        <f t="shared" si="42"/>
        <v>5069</v>
      </c>
      <c r="S241" s="5">
        <f t="shared" si="43"/>
        <v>1</v>
      </c>
      <c r="T241" s="7">
        <f t="shared" si="44"/>
        <v>5069</v>
      </c>
    </row>
    <row r="242" spans="1:20">
      <c r="A242" s="23" t="s">
        <v>283</v>
      </c>
      <c r="B242" s="35" t="s">
        <v>284</v>
      </c>
      <c r="C242" s="36">
        <v>19255</v>
      </c>
      <c r="D242" s="6"/>
      <c r="E242" s="113">
        <v>862329010</v>
      </c>
      <c r="F242" s="116">
        <f t="shared" si="49"/>
        <v>44784.679823422484</v>
      </c>
      <c r="G242" s="117">
        <v>645242466</v>
      </c>
      <c r="H242" s="117">
        <f t="shared" si="50"/>
        <v>33510.38514671514</v>
      </c>
      <c r="I242" s="7"/>
      <c r="J242" s="10">
        <v>3.7618999999999998</v>
      </c>
      <c r="K242" s="117">
        <v>2427337</v>
      </c>
      <c r="L242" s="120">
        <f t="shared" si="52"/>
        <v>126.06268501687873</v>
      </c>
      <c r="M242" s="122">
        <f t="shared" si="46"/>
        <v>6452424.6600000001</v>
      </c>
      <c r="N242" s="116">
        <f t="shared" si="47"/>
        <v>4025087.66</v>
      </c>
      <c r="O242" s="123">
        <f t="shared" si="48"/>
        <v>209.04116645027267</v>
      </c>
      <c r="P242" s="5"/>
      <c r="Q242" s="5">
        <f t="shared" si="41"/>
        <v>1</v>
      </c>
      <c r="R242" s="7">
        <f t="shared" si="42"/>
        <v>19255</v>
      </c>
      <c r="S242" s="5">
        <f t="shared" si="43"/>
        <v>1</v>
      </c>
      <c r="T242" s="7">
        <f t="shared" si="44"/>
        <v>19255</v>
      </c>
    </row>
    <row r="243" spans="1:20">
      <c r="A243" s="23" t="s">
        <v>285</v>
      </c>
      <c r="B243" s="35" t="s">
        <v>284</v>
      </c>
      <c r="C243" s="36">
        <v>24</v>
      </c>
      <c r="D243" s="6"/>
      <c r="E243" s="113">
        <v>3275626345</v>
      </c>
      <c r="F243" s="116">
        <f t="shared" si="49"/>
        <v>136484431.04166666</v>
      </c>
      <c r="G243" s="117">
        <v>3133525121</v>
      </c>
      <c r="H243" s="117">
        <f t="shared" si="50"/>
        <v>130563546.70833333</v>
      </c>
      <c r="I243" s="7"/>
      <c r="J243" s="10">
        <v>4.2500000000000003E-2</v>
      </c>
      <c r="K243" s="117">
        <v>133174</v>
      </c>
      <c r="L243" s="120">
        <f t="shared" si="52"/>
        <v>5548.916666666667</v>
      </c>
      <c r="M243" s="122">
        <f t="shared" si="46"/>
        <v>31335251.210000001</v>
      </c>
      <c r="N243" s="116">
        <f t="shared" si="47"/>
        <v>31202077.210000001</v>
      </c>
      <c r="O243" s="123">
        <f t="shared" si="48"/>
        <v>1300086.5504166668</v>
      </c>
      <c r="P243" s="5"/>
      <c r="Q243" s="5">
        <f t="shared" si="41"/>
        <v>1</v>
      </c>
      <c r="R243" s="7">
        <f t="shared" si="42"/>
        <v>24</v>
      </c>
      <c r="S243" s="5">
        <f t="shared" si="43"/>
        <v>1</v>
      </c>
      <c r="T243" s="7">
        <f t="shared" si="44"/>
        <v>24</v>
      </c>
    </row>
    <row r="244" spans="1:20">
      <c r="A244" s="23" t="s">
        <v>286</v>
      </c>
      <c r="B244" s="35" t="s">
        <v>284</v>
      </c>
      <c r="C244" s="36">
        <v>5596</v>
      </c>
      <c r="D244" s="6"/>
      <c r="E244" s="113">
        <v>305775138</v>
      </c>
      <c r="F244" s="116">
        <f t="shared" si="49"/>
        <v>54641.733023588276</v>
      </c>
      <c r="G244" s="117">
        <v>255810182</v>
      </c>
      <c r="H244" s="117">
        <f t="shared" si="50"/>
        <v>45713.041815582561</v>
      </c>
      <c r="I244" s="7"/>
      <c r="J244" s="10">
        <v>3.0973000000000002</v>
      </c>
      <c r="K244" s="117">
        <v>792320</v>
      </c>
      <c r="L244" s="120">
        <f t="shared" si="52"/>
        <v>141.5868477483917</v>
      </c>
      <c r="M244" s="122">
        <f t="shared" si="46"/>
        <v>2558101.8199999998</v>
      </c>
      <c r="N244" s="116">
        <f t="shared" si="47"/>
        <v>1765781.8199999998</v>
      </c>
      <c r="O244" s="123">
        <f t="shared" si="48"/>
        <v>315.54357040743383</v>
      </c>
      <c r="P244" s="5"/>
      <c r="Q244" s="5">
        <f t="shared" si="41"/>
        <v>1</v>
      </c>
      <c r="R244" s="7">
        <f t="shared" si="42"/>
        <v>5596</v>
      </c>
      <c r="S244" s="5">
        <f t="shared" si="43"/>
        <v>1</v>
      </c>
      <c r="T244" s="7">
        <f t="shared" si="44"/>
        <v>5596</v>
      </c>
    </row>
    <row r="245" spans="1:20">
      <c r="A245" s="23" t="s">
        <v>287</v>
      </c>
      <c r="B245" s="35" t="s">
        <v>284</v>
      </c>
      <c r="C245" s="36">
        <v>2506</v>
      </c>
      <c r="D245" s="6"/>
      <c r="E245" s="113">
        <v>94054847</v>
      </c>
      <c r="F245" s="116">
        <f t="shared" si="49"/>
        <v>37531.862330407021</v>
      </c>
      <c r="G245" s="117">
        <v>63404999</v>
      </c>
      <c r="H245" s="117">
        <f t="shared" si="50"/>
        <v>25301.276536312849</v>
      </c>
      <c r="I245" s="7"/>
      <c r="J245" s="10">
        <v>7.4740000000000002</v>
      </c>
      <c r="K245" s="117">
        <v>473888</v>
      </c>
      <c r="L245" s="120">
        <f t="shared" si="52"/>
        <v>189.10135674381485</v>
      </c>
      <c r="M245" s="122">
        <f t="shared" si="46"/>
        <v>634049.99</v>
      </c>
      <c r="N245" s="116">
        <f t="shared" si="47"/>
        <v>160161.99</v>
      </c>
      <c r="O245" s="123">
        <f t="shared" si="48"/>
        <v>63.91140861931364</v>
      </c>
      <c r="P245" s="5"/>
      <c r="Q245" s="5">
        <f t="shared" si="41"/>
        <v>1</v>
      </c>
      <c r="R245" s="7">
        <f t="shared" si="42"/>
        <v>2506</v>
      </c>
      <c r="S245" s="5">
        <f t="shared" si="43"/>
        <v>1</v>
      </c>
      <c r="T245" s="7">
        <f t="shared" si="44"/>
        <v>2506</v>
      </c>
    </row>
    <row r="246" spans="1:20">
      <c r="A246" s="23" t="s">
        <v>288</v>
      </c>
      <c r="B246" s="35" t="s">
        <v>284</v>
      </c>
      <c r="C246" s="36">
        <v>1479</v>
      </c>
      <c r="D246" s="6"/>
      <c r="E246" s="113">
        <v>155560839</v>
      </c>
      <c r="F246" s="116">
        <f t="shared" si="49"/>
        <v>105179.74239350912</v>
      </c>
      <c r="G246" s="117">
        <v>134916991</v>
      </c>
      <c r="H246" s="117">
        <f t="shared" si="50"/>
        <v>91221.76538201487</v>
      </c>
      <c r="I246" s="7"/>
      <c r="J246" s="10">
        <v>3.4</v>
      </c>
      <c r="K246" s="117">
        <v>458717</v>
      </c>
      <c r="L246" s="120">
        <f t="shared" si="52"/>
        <v>310.15348208248815</v>
      </c>
      <c r="M246" s="122">
        <f t="shared" si="46"/>
        <v>1349169.91</v>
      </c>
      <c r="N246" s="116">
        <f t="shared" si="47"/>
        <v>890452.90999999992</v>
      </c>
      <c r="O246" s="123">
        <f t="shared" si="48"/>
        <v>602.06417173766056</v>
      </c>
      <c r="P246" s="5"/>
      <c r="Q246" s="5">
        <f t="shared" si="41"/>
        <v>1</v>
      </c>
      <c r="R246" s="7">
        <f t="shared" si="42"/>
        <v>1479</v>
      </c>
      <c r="S246" s="5">
        <f t="shared" si="43"/>
        <v>1</v>
      </c>
      <c r="T246" s="7">
        <f t="shared" si="44"/>
        <v>1479</v>
      </c>
    </row>
    <row r="247" spans="1:20">
      <c r="A247" s="23" t="s">
        <v>289</v>
      </c>
      <c r="B247" s="35" t="s">
        <v>284</v>
      </c>
      <c r="C247" s="36">
        <v>23</v>
      </c>
      <c r="D247" s="6"/>
      <c r="E247" s="113">
        <v>1195502032</v>
      </c>
      <c r="F247" s="116">
        <f t="shared" si="49"/>
        <v>51978349.217391305</v>
      </c>
      <c r="G247" s="117">
        <v>1149237356</v>
      </c>
      <c r="H247" s="117">
        <f t="shared" si="50"/>
        <v>49966841.565217391</v>
      </c>
      <c r="I247" s="7"/>
      <c r="J247" s="10">
        <v>9.2999999999999999E-2</v>
      </c>
      <c r="K247" s="117">
        <v>106879</v>
      </c>
      <c r="L247" s="120">
        <f t="shared" si="52"/>
        <v>4646.913043478261</v>
      </c>
      <c r="M247" s="122">
        <f t="shared" si="46"/>
        <v>11492373.560000001</v>
      </c>
      <c r="N247" s="116">
        <f t="shared" si="47"/>
        <v>11385494.560000001</v>
      </c>
      <c r="O247" s="123">
        <f t="shared" si="48"/>
        <v>495021.50260869565</v>
      </c>
      <c r="P247" s="5"/>
      <c r="Q247" s="5">
        <f t="shared" si="41"/>
        <v>1</v>
      </c>
      <c r="R247" s="7">
        <f t="shared" si="42"/>
        <v>23</v>
      </c>
      <c r="S247" s="5">
        <f t="shared" si="43"/>
        <v>1</v>
      </c>
      <c r="T247" s="7">
        <f t="shared" si="44"/>
        <v>23</v>
      </c>
    </row>
    <row r="248" spans="1:20">
      <c r="A248" s="23" t="s">
        <v>290</v>
      </c>
      <c r="B248" s="35" t="s">
        <v>284</v>
      </c>
      <c r="C248" s="36">
        <v>9871</v>
      </c>
      <c r="D248" s="6"/>
      <c r="E248" s="113">
        <v>1126459142</v>
      </c>
      <c r="F248" s="116">
        <f t="shared" si="49"/>
        <v>114118.03687569649</v>
      </c>
      <c r="G248" s="117">
        <v>958458049</v>
      </c>
      <c r="H248" s="117">
        <f t="shared" si="50"/>
        <v>97098.373923614636</v>
      </c>
      <c r="I248" s="7"/>
      <c r="J248" s="10">
        <v>3.55</v>
      </c>
      <c r="K248" s="117">
        <v>3402526</v>
      </c>
      <c r="L248" s="120">
        <f t="shared" si="52"/>
        <v>344.69921993718975</v>
      </c>
      <c r="M248" s="122">
        <f t="shared" si="46"/>
        <v>9584580.4900000002</v>
      </c>
      <c r="N248" s="116">
        <f t="shared" si="47"/>
        <v>6182054.4900000002</v>
      </c>
      <c r="O248" s="123">
        <f t="shared" si="48"/>
        <v>626.28451929895652</v>
      </c>
      <c r="P248" s="5"/>
      <c r="Q248" s="5">
        <f t="shared" si="41"/>
        <v>1</v>
      </c>
      <c r="R248" s="7">
        <f t="shared" si="42"/>
        <v>9871</v>
      </c>
      <c r="S248" s="5">
        <f t="shared" si="43"/>
        <v>1</v>
      </c>
      <c r="T248" s="7">
        <f t="shared" si="44"/>
        <v>9871</v>
      </c>
    </row>
    <row r="249" spans="1:20">
      <c r="A249" s="23" t="s">
        <v>291</v>
      </c>
      <c r="B249" s="35" t="s">
        <v>284</v>
      </c>
      <c r="C249" s="36">
        <v>748</v>
      </c>
      <c r="D249" s="6"/>
      <c r="E249" s="113">
        <v>32040379</v>
      </c>
      <c r="F249" s="116">
        <f t="shared" si="49"/>
        <v>42834.731283422458</v>
      </c>
      <c r="G249" s="117">
        <v>21337262</v>
      </c>
      <c r="H249" s="117">
        <f t="shared" si="50"/>
        <v>28525.751336898396</v>
      </c>
      <c r="I249" s="9"/>
      <c r="J249" s="10">
        <v>5.15</v>
      </c>
      <c r="K249" s="117">
        <v>109886</v>
      </c>
      <c r="L249" s="120">
        <f t="shared" si="52"/>
        <v>146.90641711229947</v>
      </c>
      <c r="M249" s="122">
        <f t="shared" si="46"/>
        <v>213372.62</v>
      </c>
      <c r="N249" s="116">
        <f t="shared" si="47"/>
        <v>103486.62</v>
      </c>
      <c r="O249" s="123">
        <f t="shared" si="48"/>
        <v>138.35109625668449</v>
      </c>
      <c r="P249" s="5"/>
      <c r="Q249" s="5">
        <f t="shared" si="41"/>
        <v>1</v>
      </c>
      <c r="R249" s="7">
        <f t="shared" si="42"/>
        <v>748</v>
      </c>
      <c r="S249" s="5">
        <f t="shared" si="43"/>
        <v>1</v>
      </c>
      <c r="T249" s="7">
        <f t="shared" si="44"/>
        <v>748</v>
      </c>
    </row>
    <row r="250" spans="1:20">
      <c r="A250" s="23" t="s">
        <v>292</v>
      </c>
      <c r="B250" s="35" t="s">
        <v>284</v>
      </c>
      <c r="C250" s="36">
        <v>19261</v>
      </c>
      <c r="D250" s="6"/>
      <c r="E250" s="113">
        <v>824392510</v>
      </c>
      <c r="F250" s="116">
        <f t="shared" si="49"/>
        <v>42801.127148123152</v>
      </c>
      <c r="G250" s="117">
        <v>581613385</v>
      </c>
      <c r="H250" s="117">
        <f t="shared" si="50"/>
        <v>30196.427236384403</v>
      </c>
      <c r="I250" s="7"/>
      <c r="J250" s="10">
        <v>4</v>
      </c>
      <c r="K250" s="117">
        <v>2326453</v>
      </c>
      <c r="L250" s="120">
        <f t="shared" si="52"/>
        <v>120.78568090961009</v>
      </c>
      <c r="M250" s="122">
        <f t="shared" si="46"/>
        <v>5816133.8500000006</v>
      </c>
      <c r="N250" s="116">
        <f t="shared" si="47"/>
        <v>3489680.8500000006</v>
      </c>
      <c r="O250" s="123">
        <f t="shared" si="48"/>
        <v>181.17859145423398</v>
      </c>
      <c r="P250" s="5"/>
      <c r="Q250" s="5">
        <f t="shared" si="41"/>
        <v>1</v>
      </c>
      <c r="R250" s="7">
        <f t="shared" si="42"/>
        <v>19261</v>
      </c>
      <c r="S250" s="5">
        <f t="shared" si="43"/>
        <v>1</v>
      </c>
      <c r="T250" s="7">
        <f t="shared" si="44"/>
        <v>19261</v>
      </c>
    </row>
    <row r="251" spans="1:20">
      <c r="A251" s="23" t="s">
        <v>293</v>
      </c>
      <c r="B251" s="35" t="s">
        <v>284</v>
      </c>
      <c r="C251" s="36">
        <v>173122</v>
      </c>
      <c r="D251" s="6"/>
      <c r="E251" s="113">
        <v>13185678613</v>
      </c>
      <c r="F251" s="116">
        <f t="shared" si="49"/>
        <v>76164.084362472713</v>
      </c>
      <c r="G251" s="117">
        <v>8022826577</v>
      </c>
      <c r="H251" s="117">
        <f t="shared" si="50"/>
        <v>46342.039584801467</v>
      </c>
      <c r="I251" s="7"/>
      <c r="J251" s="11">
        <v>6.0666000000000002</v>
      </c>
      <c r="K251" s="117">
        <v>48671279</v>
      </c>
      <c r="L251" s="120">
        <f t="shared" si="52"/>
        <v>281.13861323228707</v>
      </c>
      <c r="M251" s="122">
        <f t="shared" si="46"/>
        <v>80228265.769999996</v>
      </c>
      <c r="N251" s="116">
        <f t="shared" si="47"/>
        <v>31556986.769999996</v>
      </c>
      <c r="O251" s="123">
        <f t="shared" si="48"/>
        <v>182.28178261572762</v>
      </c>
      <c r="P251" s="5"/>
      <c r="Q251" s="5">
        <f t="shared" si="41"/>
        <v>1</v>
      </c>
      <c r="R251" s="7">
        <f t="shared" si="42"/>
        <v>173122</v>
      </c>
      <c r="S251" s="5">
        <f t="shared" si="43"/>
        <v>1</v>
      </c>
      <c r="T251" s="7">
        <f t="shared" si="44"/>
        <v>173122</v>
      </c>
    </row>
    <row r="252" spans="1:20">
      <c r="A252" s="23" t="s">
        <v>294</v>
      </c>
      <c r="B252" s="35" t="s">
        <v>284</v>
      </c>
      <c r="C252" s="36">
        <v>1776</v>
      </c>
      <c r="D252" s="6"/>
      <c r="E252" s="113">
        <v>192285939</v>
      </c>
      <c r="F252" s="116">
        <f t="shared" si="49"/>
        <v>108269.10979729729</v>
      </c>
      <c r="G252" s="117">
        <v>168381575</v>
      </c>
      <c r="H252" s="117">
        <f t="shared" si="50"/>
        <v>94809.445382882885</v>
      </c>
      <c r="I252" s="7"/>
      <c r="J252" s="10">
        <v>2.4</v>
      </c>
      <c r="K252" s="117">
        <v>404115</v>
      </c>
      <c r="L252" s="120">
        <f t="shared" si="52"/>
        <v>227.54222972972974</v>
      </c>
      <c r="M252" s="122">
        <f t="shared" si="46"/>
        <v>1683815.75</v>
      </c>
      <c r="N252" s="116">
        <f t="shared" si="47"/>
        <v>1279700.75</v>
      </c>
      <c r="O252" s="123">
        <f t="shared" si="48"/>
        <v>720.55222409909913</v>
      </c>
      <c r="P252" s="5"/>
      <c r="Q252" s="5">
        <f t="shared" si="41"/>
        <v>1</v>
      </c>
      <c r="R252" s="7">
        <f t="shared" si="42"/>
        <v>1776</v>
      </c>
      <c r="S252" s="5">
        <f t="shared" si="43"/>
        <v>1</v>
      </c>
      <c r="T252" s="7">
        <f t="shared" si="44"/>
        <v>1776</v>
      </c>
    </row>
    <row r="253" spans="1:20">
      <c r="A253" s="23" t="s">
        <v>295</v>
      </c>
      <c r="B253" s="35" t="s">
        <v>284</v>
      </c>
      <c r="C253" s="36">
        <v>12413</v>
      </c>
      <c r="D253" s="6"/>
      <c r="E253" s="113">
        <v>434454774</v>
      </c>
      <c r="F253" s="116">
        <f t="shared" si="49"/>
        <v>34999.981793281237</v>
      </c>
      <c r="G253" s="117">
        <v>318041424</v>
      </c>
      <c r="H253" s="117">
        <f t="shared" ref="H253:H284" si="53">(G253/C253)</f>
        <v>25621.640538145493</v>
      </c>
      <c r="I253" s="7"/>
      <c r="J253" s="10">
        <v>4.3040000000000003</v>
      </c>
      <c r="K253" s="117">
        <v>1368850</v>
      </c>
      <c r="L253" s="120">
        <f t="shared" si="52"/>
        <v>110.27551760251349</v>
      </c>
      <c r="M253" s="122">
        <f t="shared" si="46"/>
        <v>3180414.24</v>
      </c>
      <c r="N253" s="116">
        <f t="shared" si="47"/>
        <v>1811564.2400000002</v>
      </c>
      <c r="O253" s="123">
        <f t="shared" si="48"/>
        <v>145.94088777894146</v>
      </c>
      <c r="P253" s="5"/>
      <c r="Q253" s="5">
        <f t="shared" si="41"/>
        <v>1</v>
      </c>
      <c r="R253" s="7">
        <f t="shared" si="42"/>
        <v>12413</v>
      </c>
      <c r="S253" s="5">
        <f t="shared" si="43"/>
        <v>1</v>
      </c>
      <c r="T253" s="7">
        <f t="shared" si="44"/>
        <v>12413</v>
      </c>
    </row>
    <row r="254" spans="1:20">
      <c r="A254" s="23" t="s">
        <v>296</v>
      </c>
      <c r="B254" s="35" t="s">
        <v>284</v>
      </c>
      <c r="C254" s="36">
        <v>24750</v>
      </c>
      <c r="D254" s="6"/>
      <c r="E254" s="113">
        <v>2278458168</v>
      </c>
      <c r="F254" s="116">
        <f t="shared" si="49"/>
        <v>92058.915878787884</v>
      </c>
      <c r="G254" s="117">
        <v>1819762161</v>
      </c>
      <c r="H254" s="117">
        <f t="shared" si="53"/>
        <v>73525.743878787878</v>
      </c>
      <c r="I254" s="7"/>
      <c r="J254" s="10">
        <v>3.8929999999999998</v>
      </c>
      <c r="K254" s="117">
        <v>7084334</v>
      </c>
      <c r="L254" s="120">
        <f t="shared" si="52"/>
        <v>286.23571717171717</v>
      </c>
      <c r="M254" s="122">
        <f t="shared" si="46"/>
        <v>18197621.609999999</v>
      </c>
      <c r="N254" s="116">
        <f t="shared" si="47"/>
        <v>11113287.609999999</v>
      </c>
      <c r="O254" s="123">
        <f t="shared" si="48"/>
        <v>449.02172161616159</v>
      </c>
      <c r="P254" s="5"/>
      <c r="Q254" s="5">
        <f t="shared" si="41"/>
        <v>1</v>
      </c>
      <c r="R254" s="7">
        <f t="shared" si="42"/>
        <v>24750</v>
      </c>
      <c r="S254" s="5">
        <f t="shared" si="43"/>
        <v>1</v>
      </c>
      <c r="T254" s="7">
        <f t="shared" si="44"/>
        <v>24750</v>
      </c>
    </row>
    <row r="255" spans="1:20">
      <c r="A255" s="23" t="s">
        <v>297</v>
      </c>
      <c r="B255" s="35" t="s">
        <v>298</v>
      </c>
      <c r="C255" s="36">
        <v>38175</v>
      </c>
      <c r="D255" s="6"/>
      <c r="E255" s="113">
        <v>1381642223</v>
      </c>
      <c r="F255" s="116">
        <f t="shared" si="49"/>
        <v>36192.330661427637</v>
      </c>
      <c r="G255" s="117">
        <v>1069845814</v>
      </c>
      <c r="H255" s="117">
        <f t="shared" si="53"/>
        <v>28024.775743287493</v>
      </c>
      <c r="I255" s="7"/>
      <c r="J255" s="10">
        <v>4.5453000000000001</v>
      </c>
      <c r="K255" s="117">
        <v>4862770</v>
      </c>
      <c r="L255" s="120">
        <f t="shared" si="52"/>
        <v>127.38100851342502</v>
      </c>
      <c r="M255" s="122">
        <f t="shared" si="46"/>
        <v>10698458.140000001</v>
      </c>
      <c r="N255" s="116">
        <f t="shared" si="47"/>
        <v>5835688.1400000006</v>
      </c>
      <c r="O255" s="123">
        <f t="shared" si="48"/>
        <v>152.86674891944992</v>
      </c>
      <c r="P255" s="5"/>
      <c r="Q255" s="5">
        <f t="shared" si="41"/>
        <v>1</v>
      </c>
      <c r="R255" s="7">
        <f t="shared" si="42"/>
        <v>38175</v>
      </c>
      <c r="S255" s="5">
        <f t="shared" si="43"/>
        <v>1</v>
      </c>
      <c r="T255" s="7">
        <f t="shared" si="44"/>
        <v>38175</v>
      </c>
    </row>
    <row r="256" spans="1:20">
      <c r="A256" s="23" t="s">
        <v>546</v>
      </c>
      <c r="B256" s="35" t="s">
        <v>298</v>
      </c>
      <c r="C256" s="36">
        <v>16601</v>
      </c>
      <c r="D256" s="6"/>
      <c r="E256" s="113">
        <v>567660570</v>
      </c>
      <c r="F256" s="116">
        <f t="shared" si="49"/>
        <v>34194.359978314562</v>
      </c>
      <c r="G256" s="117">
        <v>388562329</v>
      </c>
      <c r="H256" s="117">
        <f t="shared" si="53"/>
        <v>23405.959219324137</v>
      </c>
      <c r="I256" s="7"/>
      <c r="J256" s="10">
        <v>4.1790000000000003</v>
      </c>
      <c r="K256" s="117">
        <v>1623801</v>
      </c>
      <c r="L256" s="120">
        <f t="shared" si="52"/>
        <v>97.813444973194379</v>
      </c>
      <c r="M256" s="122">
        <f t="shared" si="46"/>
        <v>3885623.29</v>
      </c>
      <c r="N256" s="116">
        <f t="shared" si="47"/>
        <v>2261822.29</v>
      </c>
      <c r="O256" s="123">
        <f t="shared" si="48"/>
        <v>136.24614722004699</v>
      </c>
      <c r="P256" s="5"/>
      <c r="Q256" s="5">
        <f t="shared" si="41"/>
        <v>1</v>
      </c>
      <c r="R256" s="7">
        <f t="shared" si="42"/>
        <v>16601</v>
      </c>
      <c r="S256" s="5">
        <f t="shared" si="43"/>
        <v>1</v>
      </c>
      <c r="T256" s="7">
        <f t="shared" si="44"/>
        <v>16601</v>
      </c>
    </row>
    <row r="257" spans="1:20">
      <c r="A257" s="23" t="s">
        <v>299</v>
      </c>
      <c r="B257" s="35" t="s">
        <v>300</v>
      </c>
      <c r="C257" s="36">
        <v>1694</v>
      </c>
      <c r="D257" s="6"/>
      <c r="E257" s="113">
        <v>285911687</v>
      </c>
      <c r="F257" s="116">
        <f t="shared" si="49"/>
        <v>168779.03600944509</v>
      </c>
      <c r="G257" s="117">
        <v>265294434</v>
      </c>
      <c r="H257" s="117">
        <f t="shared" si="53"/>
        <v>156608.28453364817</v>
      </c>
      <c r="I257" s="7"/>
      <c r="J257" s="10">
        <v>7.8615000000000004</v>
      </c>
      <c r="K257" s="117">
        <v>2085612</v>
      </c>
      <c r="L257" s="120">
        <f t="shared" si="52"/>
        <v>1231.1759149940967</v>
      </c>
      <c r="M257" s="122">
        <f t="shared" si="46"/>
        <v>2652944.34</v>
      </c>
      <c r="N257" s="116">
        <f t="shared" si="47"/>
        <v>567332.33999999985</v>
      </c>
      <c r="O257" s="123">
        <f t="shared" si="48"/>
        <v>334.90693034238478</v>
      </c>
      <c r="P257" s="5"/>
      <c r="Q257" s="5">
        <f t="shared" si="41"/>
        <v>1</v>
      </c>
      <c r="R257" s="7">
        <f t="shared" si="42"/>
        <v>1694</v>
      </c>
      <c r="S257" s="5">
        <f t="shared" si="43"/>
        <v>1</v>
      </c>
      <c r="T257" s="7">
        <f t="shared" si="44"/>
        <v>1694</v>
      </c>
    </row>
    <row r="258" spans="1:20">
      <c r="A258" s="23" t="s">
        <v>301</v>
      </c>
      <c r="B258" s="35" t="s">
        <v>300</v>
      </c>
      <c r="C258" s="36">
        <v>16858</v>
      </c>
      <c r="D258" s="6"/>
      <c r="E258" s="113">
        <v>289135485</v>
      </c>
      <c r="F258" s="116">
        <f t="shared" si="49"/>
        <v>17151.232945782416</v>
      </c>
      <c r="G258" s="117">
        <v>168534234</v>
      </c>
      <c r="H258" s="117">
        <f t="shared" si="53"/>
        <v>9997.2852058369917</v>
      </c>
      <c r="I258" s="7"/>
      <c r="J258" s="10">
        <v>9.1647999999999996</v>
      </c>
      <c r="K258" s="117">
        <v>1544582</v>
      </c>
      <c r="L258" s="120">
        <f t="shared" si="52"/>
        <v>91.623086961679917</v>
      </c>
      <c r="M258" s="122">
        <f t="shared" si="46"/>
        <v>1685342.34</v>
      </c>
      <c r="N258" s="116">
        <f t="shared" si="47"/>
        <v>140760.34000000008</v>
      </c>
      <c r="O258" s="123">
        <f t="shared" si="48"/>
        <v>8.3497650966900032</v>
      </c>
      <c r="P258" s="5"/>
      <c r="Q258" s="5">
        <f t="shared" si="41"/>
        <v>1</v>
      </c>
      <c r="R258" s="7">
        <f t="shared" si="42"/>
        <v>16858</v>
      </c>
      <c r="S258" s="5">
        <f t="shared" si="43"/>
        <v>1</v>
      </c>
      <c r="T258" s="7">
        <f t="shared" si="44"/>
        <v>16858</v>
      </c>
    </row>
    <row r="259" spans="1:20">
      <c r="A259" s="23" t="s">
        <v>302</v>
      </c>
      <c r="B259" s="35" t="s">
        <v>300</v>
      </c>
      <c r="C259" s="36">
        <v>67754</v>
      </c>
      <c r="D259" s="6"/>
      <c r="E259" s="113">
        <v>9101407164</v>
      </c>
      <c r="F259" s="116">
        <f t="shared" si="49"/>
        <v>134330.18218850548</v>
      </c>
      <c r="G259" s="117">
        <v>7756727645</v>
      </c>
      <c r="H259" s="117">
        <f t="shared" si="53"/>
        <v>114483.68576025032</v>
      </c>
      <c r="I259" s="7"/>
      <c r="J259" s="10">
        <v>3.1848000000000001</v>
      </c>
      <c r="K259" s="117">
        <v>24703626</v>
      </c>
      <c r="L259" s="120">
        <f t="shared" si="52"/>
        <v>364.60763940136377</v>
      </c>
      <c r="M259" s="122">
        <f t="shared" si="46"/>
        <v>77567276.450000003</v>
      </c>
      <c r="N259" s="116">
        <f t="shared" si="47"/>
        <v>52863650.450000003</v>
      </c>
      <c r="O259" s="123">
        <f t="shared" si="48"/>
        <v>780.22921820113947</v>
      </c>
      <c r="P259" s="5"/>
      <c r="Q259" s="5">
        <f t="shared" si="41"/>
        <v>1</v>
      </c>
      <c r="R259" s="7">
        <f t="shared" si="42"/>
        <v>67754</v>
      </c>
      <c r="S259" s="5">
        <f t="shared" si="43"/>
        <v>1</v>
      </c>
      <c r="T259" s="7">
        <f t="shared" si="44"/>
        <v>67754</v>
      </c>
    </row>
    <row r="260" spans="1:20">
      <c r="A260" s="23" t="s">
        <v>303</v>
      </c>
      <c r="B260" s="35" t="s">
        <v>300</v>
      </c>
      <c r="C260" s="36">
        <v>50940</v>
      </c>
      <c r="D260" s="6"/>
      <c r="E260" s="113">
        <v>2812532015</v>
      </c>
      <c r="F260" s="116">
        <f t="shared" si="49"/>
        <v>55212.642618767175</v>
      </c>
      <c r="G260" s="117">
        <v>2147322374</v>
      </c>
      <c r="H260" s="117">
        <f t="shared" si="53"/>
        <v>42153.953160581077</v>
      </c>
      <c r="I260" s="7"/>
      <c r="J260" s="10">
        <v>7.9250999999999996</v>
      </c>
      <c r="K260" s="117">
        <v>17017744</v>
      </c>
      <c r="L260" s="120">
        <f t="shared" si="52"/>
        <v>334.07428347074989</v>
      </c>
      <c r="M260" s="122">
        <f t="shared" si="46"/>
        <v>21473223.740000002</v>
      </c>
      <c r="N260" s="116">
        <f t="shared" si="47"/>
        <v>4455479.7400000021</v>
      </c>
      <c r="O260" s="123">
        <f t="shared" si="48"/>
        <v>87.465248135060904</v>
      </c>
      <c r="P260" s="5"/>
      <c r="Q260" s="5">
        <f t="shared" si="41"/>
        <v>1</v>
      </c>
      <c r="R260" s="7">
        <f t="shared" si="42"/>
        <v>50940</v>
      </c>
      <c r="S260" s="5">
        <f t="shared" si="43"/>
        <v>1</v>
      </c>
      <c r="T260" s="7">
        <f t="shared" si="44"/>
        <v>50940</v>
      </c>
    </row>
    <row r="261" spans="1:20">
      <c r="A261" s="23" t="s">
        <v>304</v>
      </c>
      <c r="B261" s="35" t="s">
        <v>300</v>
      </c>
      <c r="C261" s="36">
        <v>398</v>
      </c>
      <c r="D261" s="6"/>
      <c r="E261" s="113">
        <v>19065822</v>
      </c>
      <c r="F261" s="116">
        <f t="shared" si="49"/>
        <v>47904.075376884422</v>
      </c>
      <c r="G261" s="117">
        <v>14898976</v>
      </c>
      <c r="H261" s="117">
        <f t="shared" si="53"/>
        <v>37434.61306532663</v>
      </c>
      <c r="I261" s="7"/>
      <c r="J261" s="10">
        <v>1.31</v>
      </c>
      <c r="K261" s="117">
        <v>19517</v>
      </c>
      <c r="L261" s="120">
        <f t="shared" si="52"/>
        <v>49.037688442211056</v>
      </c>
      <c r="M261" s="122">
        <f t="shared" si="46"/>
        <v>148989.76000000001</v>
      </c>
      <c r="N261" s="116">
        <f t="shared" si="47"/>
        <v>129472.76000000001</v>
      </c>
      <c r="O261" s="123">
        <f t="shared" si="48"/>
        <v>325.30844221105531</v>
      </c>
      <c r="P261" s="5"/>
      <c r="Q261" s="5">
        <f t="shared" si="41"/>
        <v>1</v>
      </c>
      <c r="R261" s="7">
        <f t="shared" si="42"/>
        <v>398</v>
      </c>
      <c r="S261" s="5">
        <f t="shared" si="43"/>
        <v>1</v>
      </c>
      <c r="T261" s="7">
        <f t="shared" si="44"/>
        <v>398</v>
      </c>
    </row>
    <row r="262" spans="1:20">
      <c r="A262" s="23" t="s">
        <v>305</v>
      </c>
      <c r="B262" s="35" t="s">
        <v>300</v>
      </c>
      <c r="C262" s="36">
        <v>121</v>
      </c>
      <c r="D262" s="6"/>
      <c r="E262" s="113">
        <v>4335467</v>
      </c>
      <c r="F262" s="116">
        <f t="shared" si="49"/>
        <v>35830.305785123965</v>
      </c>
      <c r="G262" s="117">
        <v>3483297</v>
      </c>
      <c r="H262" s="117">
        <f t="shared" si="53"/>
        <v>28787.578512396693</v>
      </c>
      <c r="I262" s="98" t="s">
        <v>528</v>
      </c>
      <c r="J262" s="10"/>
      <c r="K262" s="117"/>
      <c r="L262" s="120"/>
      <c r="M262" s="122">
        <f t="shared" si="46"/>
        <v>34832.97</v>
      </c>
      <c r="N262" s="116">
        <f t="shared" si="47"/>
        <v>34832.97</v>
      </c>
      <c r="O262" s="123">
        <f t="shared" si="48"/>
        <v>287.87578512396698</v>
      </c>
      <c r="P262" s="5"/>
      <c r="Q262" s="5">
        <f t="shared" si="41"/>
        <v>1</v>
      </c>
      <c r="R262" s="7">
        <f t="shared" si="42"/>
        <v>121</v>
      </c>
      <c r="S262" s="5">
        <f t="shared" si="43"/>
        <v>0</v>
      </c>
      <c r="T262" s="7">
        <f t="shared" si="44"/>
        <v>0</v>
      </c>
    </row>
    <row r="263" spans="1:20">
      <c r="A263" s="23" t="s">
        <v>306</v>
      </c>
      <c r="B263" s="35" t="s">
        <v>300</v>
      </c>
      <c r="C263" s="36">
        <v>52039</v>
      </c>
      <c r="D263" s="6"/>
      <c r="E263" s="113">
        <v>3253171941</v>
      </c>
      <c r="F263" s="116">
        <f t="shared" si="49"/>
        <v>62514.113280424295</v>
      </c>
      <c r="G263" s="117">
        <v>2631550201</v>
      </c>
      <c r="H263" s="117">
        <f t="shared" si="53"/>
        <v>50568.808028593936</v>
      </c>
      <c r="I263" s="7"/>
      <c r="J263" s="10">
        <v>6.95</v>
      </c>
      <c r="K263" s="117">
        <v>18289273</v>
      </c>
      <c r="L263" s="120">
        <f>(K263/C263)</f>
        <v>351.45319856261648</v>
      </c>
      <c r="M263" s="122">
        <f t="shared" si="46"/>
        <v>26315502.010000002</v>
      </c>
      <c r="N263" s="116">
        <f t="shared" si="47"/>
        <v>8026229.0100000016</v>
      </c>
      <c r="O263" s="123">
        <f t="shared" si="48"/>
        <v>154.23488172332293</v>
      </c>
      <c r="P263" s="5"/>
      <c r="Q263" s="5">
        <f t="shared" ref="Q263:Q326" si="54">IF(E263&gt;0,1,0)</f>
        <v>1</v>
      </c>
      <c r="R263" s="7">
        <f t="shared" ref="R263:R326" si="55">IF(E263&gt;0,C263,0)</f>
        <v>52039</v>
      </c>
      <c r="S263" s="5">
        <f t="shared" ref="S263:S326" si="56">IF(J263&gt;0,1,0)</f>
        <v>1</v>
      </c>
      <c r="T263" s="7">
        <f t="shared" ref="T263:T326" si="57">IF(J263&gt;0,C263,0)</f>
        <v>52039</v>
      </c>
    </row>
    <row r="264" spans="1:20">
      <c r="A264" s="23" t="s">
        <v>307</v>
      </c>
      <c r="B264" s="35" t="s">
        <v>300</v>
      </c>
      <c r="C264" s="36">
        <v>219</v>
      </c>
      <c r="D264" s="6"/>
      <c r="E264" s="113">
        <v>10995157</v>
      </c>
      <c r="F264" s="116">
        <f t="shared" si="49"/>
        <v>50206.196347031961</v>
      </c>
      <c r="G264" s="117">
        <v>9268777</v>
      </c>
      <c r="H264" s="117">
        <f t="shared" si="53"/>
        <v>42323.182648401824</v>
      </c>
      <c r="I264" s="98" t="s">
        <v>528</v>
      </c>
      <c r="J264" s="10"/>
      <c r="K264" s="117"/>
      <c r="L264" s="120"/>
      <c r="M264" s="122">
        <f t="shared" ref="M264:M327" si="58">(G264*0.01)</f>
        <v>92687.77</v>
      </c>
      <c r="N264" s="116">
        <f t="shared" ref="N264:N327" si="59">(M264-K264)</f>
        <v>92687.77</v>
      </c>
      <c r="O264" s="123">
        <f t="shared" ref="O264:O327" si="60">(N264/C264)</f>
        <v>423.23182648401826</v>
      </c>
      <c r="P264" s="5"/>
      <c r="Q264" s="5">
        <f t="shared" si="54"/>
        <v>1</v>
      </c>
      <c r="R264" s="7">
        <f t="shared" si="55"/>
        <v>219</v>
      </c>
      <c r="S264" s="5">
        <f t="shared" si="56"/>
        <v>0</v>
      </c>
      <c r="T264" s="7">
        <f t="shared" si="57"/>
        <v>0</v>
      </c>
    </row>
    <row r="265" spans="1:20">
      <c r="A265" s="23" t="s">
        <v>308</v>
      </c>
      <c r="B265" s="35" t="s">
        <v>300</v>
      </c>
      <c r="C265" s="36">
        <v>195</v>
      </c>
      <c r="D265" s="6"/>
      <c r="E265" s="113">
        <v>67956314</v>
      </c>
      <c r="F265" s="116">
        <f t="shared" si="49"/>
        <v>348493.91794871795</v>
      </c>
      <c r="G265" s="117">
        <v>60125290</v>
      </c>
      <c r="H265" s="117">
        <f t="shared" si="53"/>
        <v>308334.8205128205</v>
      </c>
      <c r="I265" s="7"/>
      <c r="J265" s="10">
        <v>7</v>
      </c>
      <c r="K265" s="117">
        <v>420877</v>
      </c>
      <c r="L265" s="120">
        <f t="shared" ref="L265:L296" si="61">(K265/C265)</f>
        <v>2158.3435897435897</v>
      </c>
      <c r="M265" s="122">
        <f t="shared" si="58"/>
        <v>601252.9</v>
      </c>
      <c r="N265" s="116">
        <f t="shared" si="59"/>
        <v>180375.90000000002</v>
      </c>
      <c r="O265" s="123">
        <f t="shared" si="60"/>
        <v>925.00461538461548</v>
      </c>
      <c r="P265" s="5"/>
      <c r="Q265" s="5">
        <f t="shared" si="54"/>
        <v>1</v>
      </c>
      <c r="R265" s="7">
        <f t="shared" si="55"/>
        <v>195</v>
      </c>
      <c r="S265" s="5">
        <f t="shared" si="56"/>
        <v>1</v>
      </c>
      <c r="T265" s="7">
        <f t="shared" si="57"/>
        <v>195</v>
      </c>
    </row>
    <row r="266" spans="1:20">
      <c r="A266" s="23" t="s">
        <v>481</v>
      </c>
      <c r="B266" s="35" t="s">
        <v>300</v>
      </c>
      <c r="C266" s="36">
        <v>153</v>
      </c>
      <c r="D266" s="6"/>
      <c r="E266" s="113">
        <v>12574718</v>
      </c>
      <c r="F266" s="116">
        <f t="shared" si="49"/>
        <v>82187.699346405236</v>
      </c>
      <c r="G266" s="117">
        <v>10859399</v>
      </c>
      <c r="H266" s="117">
        <f t="shared" si="53"/>
        <v>70976.464052287585</v>
      </c>
      <c r="I266" s="7"/>
      <c r="J266" s="10">
        <v>3.0644999999999998</v>
      </c>
      <c r="K266" s="117">
        <v>33278</v>
      </c>
      <c r="L266" s="120">
        <f t="shared" si="61"/>
        <v>217.5032679738562</v>
      </c>
      <c r="M266" s="122">
        <f t="shared" si="58"/>
        <v>108593.99</v>
      </c>
      <c r="N266" s="116">
        <f t="shared" si="59"/>
        <v>75315.990000000005</v>
      </c>
      <c r="O266" s="123">
        <f t="shared" si="60"/>
        <v>492.26137254901965</v>
      </c>
      <c r="P266" s="5"/>
      <c r="Q266" s="5">
        <f t="shared" si="54"/>
        <v>1</v>
      </c>
      <c r="R266" s="7">
        <f t="shared" si="55"/>
        <v>153</v>
      </c>
      <c r="S266" s="5">
        <f t="shared" si="56"/>
        <v>1</v>
      </c>
      <c r="T266" s="7">
        <f t="shared" si="57"/>
        <v>153</v>
      </c>
    </row>
    <row r="267" spans="1:20">
      <c r="A267" s="23" t="s">
        <v>309</v>
      </c>
      <c r="B267" s="35" t="s">
        <v>300</v>
      </c>
      <c r="C267" s="36">
        <v>23733</v>
      </c>
      <c r="D267" s="6"/>
      <c r="E267" s="113">
        <v>784277911</v>
      </c>
      <c r="F267" s="116">
        <f t="shared" si="49"/>
        <v>33045.881725866937</v>
      </c>
      <c r="G267" s="117">
        <v>600328249</v>
      </c>
      <c r="H267" s="117">
        <f t="shared" si="53"/>
        <v>25295.084860742427</v>
      </c>
      <c r="I267" s="7"/>
      <c r="J267" s="10">
        <v>5.9</v>
      </c>
      <c r="K267" s="117">
        <v>3541936</v>
      </c>
      <c r="L267" s="120">
        <f t="shared" si="61"/>
        <v>149.24097248556862</v>
      </c>
      <c r="M267" s="122">
        <f t="shared" si="58"/>
        <v>6003282.4900000002</v>
      </c>
      <c r="N267" s="116">
        <f t="shared" si="59"/>
        <v>2461346.4900000002</v>
      </c>
      <c r="O267" s="123">
        <f t="shared" si="60"/>
        <v>103.70987612185566</v>
      </c>
      <c r="P267" s="5"/>
      <c r="Q267" s="5">
        <f t="shared" si="54"/>
        <v>1</v>
      </c>
      <c r="R267" s="7">
        <f t="shared" si="55"/>
        <v>23733</v>
      </c>
      <c r="S267" s="5">
        <f t="shared" si="56"/>
        <v>1</v>
      </c>
      <c r="T267" s="7">
        <f t="shared" si="57"/>
        <v>23733</v>
      </c>
    </row>
    <row r="268" spans="1:20">
      <c r="A268" s="23" t="s">
        <v>310</v>
      </c>
      <c r="B268" s="35" t="s">
        <v>300</v>
      </c>
      <c r="C268" s="36">
        <v>707</v>
      </c>
      <c r="D268" s="6"/>
      <c r="E268" s="113">
        <v>301335518</v>
      </c>
      <c r="F268" s="116">
        <f t="shared" si="49"/>
        <v>426217.14002828853</v>
      </c>
      <c r="G268" s="117">
        <v>284759746</v>
      </c>
      <c r="H268" s="117">
        <f t="shared" si="53"/>
        <v>402771.91796322487</v>
      </c>
      <c r="I268" s="7"/>
      <c r="J268" s="10">
        <v>3.7437999999999998</v>
      </c>
      <c r="K268" s="117">
        <v>1066083</v>
      </c>
      <c r="L268" s="120">
        <f t="shared" si="61"/>
        <v>1507.896746817539</v>
      </c>
      <c r="M268" s="122">
        <f t="shared" si="58"/>
        <v>2847597.46</v>
      </c>
      <c r="N268" s="116">
        <f t="shared" si="59"/>
        <v>1781514.46</v>
      </c>
      <c r="O268" s="123">
        <f t="shared" si="60"/>
        <v>2519.8224328147098</v>
      </c>
      <c r="P268" s="5"/>
      <c r="Q268" s="5">
        <f t="shared" si="54"/>
        <v>1</v>
      </c>
      <c r="R268" s="7">
        <f t="shared" si="55"/>
        <v>707</v>
      </c>
      <c r="S268" s="5">
        <f t="shared" si="56"/>
        <v>1</v>
      </c>
      <c r="T268" s="7">
        <f t="shared" si="57"/>
        <v>707</v>
      </c>
    </row>
    <row r="269" spans="1:20">
      <c r="A269" s="23" t="s">
        <v>311</v>
      </c>
      <c r="B269" s="35" t="s">
        <v>300</v>
      </c>
      <c r="C269" s="36">
        <v>1187</v>
      </c>
      <c r="D269" s="6"/>
      <c r="E269" s="113">
        <v>48651760</v>
      </c>
      <c r="F269" s="116">
        <f t="shared" si="49"/>
        <v>40987.160909856779</v>
      </c>
      <c r="G269" s="117">
        <v>34838686</v>
      </c>
      <c r="H269" s="117">
        <f t="shared" si="53"/>
        <v>29350.198820556023</v>
      </c>
      <c r="I269" s="7"/>
      <c r="J269" s="10">
        <v>3.7728999999999999</v>
      </c>
      <c r="K269" s="117">
        <v>131442</v>
      </c>
      <c r="L269" s="120">
        <f t="shared" si="61"/>
        <v>110.7346251053075</v>
      </c>
      <c r="M269" s="122">
        <f t="shared" si="58"/>
        <v>348386.86</v>
      </c>
      <c r="N269" s="116">
        <f t="shared" si="59"/>
        <v>216944.86</v>
      </c>
      <c r="O269" s="123">
        <f t="shared" si="60"/>
        <v>182.76736310025274</v>
      </c>
      <c r="P269" s="5"/>
      <c r="Q269" s="5">
        <f t="shared" si="54"/>
        <v>1</v>
      </c>
      <c r="R269" s="7">
        <f t="shared" si="55"/>
        <v>1187</v>
      </c>
      <c r="S269" s="5">
        <f t="shared" si="56"/>
        <v>1</v>
      </c>
      <c r="T269" s="7">
        <f t="shared" si="57"/>
        <v>1187</v>
      </c>
    </row>
    <row r="270" spans="1:20">
      <c r="A270" s="23" t="s">
        <v>312</v>
      </c>
      <c r="B270" s="35" t="s">
        <v>300</v>
      </c>
      <c r="C270" s="36">
        <v>3264</v>
      </c>
      <c r="D270" s="6"/>
      <c r="E270" s="113">
        <v>754183330</v>
      </c>
      <c r="F270" s="116">
        <f t="shared" si="49"/>
        <v>231061.06924019608</v>
      </c>
      <c r="G270" s="117">
        <v>707294358</v>
      </c>
      <c r="H270" s="117">
        <f t="shared" si="53"/>
        <v>216695.57536764705</v>
      </c>
      <c r="I270" s="7"/>
      <c r="J270" s="10">
        <v>3.4079000000000002</v>
      </c>
      <c r="K270" s="117">
        <v>2410388</v>
      </c>
      <c r="L270" s="120">
        <f t="shared" si="61"/>
        <v>738.47671568627447</v>
      </c>
      <c r="M270" s="122">
        <f t="shared" si="58"/>
        <v>7072943.5800000001</v>
      </c>
      <c r="N270" s="116">
        <f t="shared" si="59"/>
        <v>4662555.58</v>
      </c>
      <c r="O270" s="123">
        <f t="shared" si="60"/>
        <v>1428.479037990196</v>
      </c>
      <c r="P270" s="5"/>
      <c r="Q270" s="5">
        <f t="shared" si="54"/>
        <v>1</v>
      </c>
      <c r="R270" s="7">
        <f t="shared" si="55"/>
        <v>3264</v>
      </c>
      <c r="S270" s="5">
        <f t="shared" si="56"/>
        <v>1</v>
      </c>
      <c r="T270" s="7">
        <f t="shared" si="57"/>
        <v>3264</v>
      </c>
    </row>
    <row r="271" spans="1:20">
      <c r="A271" s="23" t="s">
        <v>313</v>
      </c>
      <c r="B271" s="35" t="s">
        <v>300</v>
      </c>
      <c r="C271" s="36">
        <v>1371</v>
      </c>
      <c r="D271" s="6"/>
      <c r="E271" s="113">
        <v>151357770</v>
      </c>
      <c r="F271" s="116">
        <f t="shared" si="49"/>
        <v>110399.54048140044</v>
      </c>
      <c r="G271" s="117">
        <v>141529574</v>
      </c>
      <c r="H271" s="117">
        <f t="shared" si="53"/>
        <v>103230.90736688548</v>
      </c>
      <c r="I271" s="7"/>
      <c r="J271" s="10">
        <v>2</v>
      </c>
      <c r="K271" s="117">
        <v>283059</v>
      </c>
      <c r="L271" s="120">
        <f t="shared" si="61"/>
        <v>206.46170678336981</v>
      </c>
      <c r="M271" s="122">
        <f t="shared" si="58"/>
        <v>1415295.74</v>
      </c>
      <c r="N271" s="116">
        <f t="shared" si="59"/>
        <v>1132236.74</v>
      </c>
      <c r="O271" s="123">
        <f t="shared" si="60"/>
        <v>825.84736688548503</v>
      </c>
      <c r="P271" s="5"/>
      <c r="Q271" s="5">
        <f t="shared" si="54"/>
        <v>1</v>
      </c>
      <c r="R271" s="7">
        <f t="shared" si="55"/>
        <v>1371</v>
      </c>
      <c r="S271" s="5">
        <f t="shared" si="56"/>
        <v>1</v>
      </c>
      <c r="T271" s="7">
        <f t="shared" si="57"/>
        <v>1371</v>
      </c>
    </row>
    <row r="272" spans="1:20">
      <c r="A272" s="23" t="s">
        <v>314</v>
      </c>
      <c r="B272" s="35" t="s">
        <v>300</v>
      </c>
      <c r="C272" s="36">
        <v>2659</v>
      </c>
      <c r="D272" s="6"/>
      <c r="E272" s="113">
        <v>469580604</v>
      </c>
      <c r="F272" s="116">
        <f t="shared" si="49"/>
        <v>176600.45280180519</v>
      </c>
      <c r="G272" s="117">
        <v>419057685</v>
      </c>
      <c r="H272" s="117">
        <f t="shared" si="53"/>
        <v>157599.73110191801</v>
      </c>
      <c r="I272" s="7"/>
      <c r="J272" s="10">
        <v>4.0381999999999998</v>
      </c>
      <c r="K272" s="117">
        <v>1692238</v>
      </c>
      <c r="L272" s="120">
        <f t="shared" si="61"/>
        <v>636.41895449417075</v>
      </c>
      <c r="M272" s="122">
        <f t="shared" si="58"/>
        <v>4190576.85</v>
      </c>
      <c r="N272" s="116">
        <f t="shared" si="59"/>
        <v>2498338.85</v>
      </c>
      <c r="O272" s="123">
        <f t="shared" si="60"/>
        <v>939.57835652500944</v>
      </c>
      <c r="P272" s="5"/>
      <c r="Q272" s="5">
        <f t="shared" si="54"/>
        <v>1</v>
      </c>
      <c r="R272" s="7">
        <f t="shared" si="55"/>
        <v>2659</v>
      </c>
      <c r="S272" s="5">
        <f t="shared" si="56"/>
        <v>1</v>
      </c>
      <c r="T272" s="7">
        <f t="shared" si="57"/>
        <v>2659</v>
      </c>
    </row>
    <row r="273" spans="1:20">
      <c r="A273" s="23" t="s">
        <v>315</v>
      </c>
      <c r="B273" s="35" t="s">
        <v>300</v>
      </c>
      <c r="C273" s="36">
        <v>30599</v>
      </c>
      <c r="D273" s="6"/>
      <c r="E273" s="113">
        <v>3130163558</v>
      </c>
      <c r="F273" s="116">
        <f t="shared" si="49"/>
        <v>102296.26974737736</v>
      </c>
      <c r="G273" s="117">
        <v>2571525864</v>
      </c>
      <c r="H273" s="117">
        <f t="shared" si="53"/>
        <v>84039.539331350694</v>
      </c>
      <c r="I273" s="7"/>
      <c r="J273" s="10">
        <v>2.2679999999999998</v>
      </c>
      <c r="K273" s="117">
        <v>5832220</v>
      </c>
      <c r="L273" s="120">
        <f t="shared" si="61"/>
        <v>190.60165364881206</v>
      </c>
      <c r="M273" s="122">
        <f t="shared" si="58"/>
        <v>25715258.640000001</v>
      </c>
      <c r="N273" s="116">
        <f t="shared" si="59"/>
        <v>19883038.640000001</v>
      </c>
      <c r="O273" s="123">
        <f t="shared" si="60"/>
        <v>649.79373966469495</v>
      </c>
      <c r="P273" s="5"/>
      <c r="Q273" s="5">
        <f t="shared" si="54"/>
        <v>1</v>
      </c>
      <c r="R273" s="7">
        <f t="shared" si="55"/>
        <v>30599</v>
      </c>
      <c r="S273" s="5">
        <f t="shared" si="56"/>
        <v>1</v>
      </c>
      <c r="T273" s="7">
        <f t="shared" si="57"/>
        <v>30599</v>
      </c>
    </row>
    <row r="274" spans="1:20">
      <c r="A274" s="23" t="s">
        <v>316</v>
      </c>
      <c r="B274" s="35" t="s">
        <v>300</v>
      </c>
      <c r="C274" s="36">
        <v>421</v>
      </c>
      <c r="D274" s="6"/>
      <c r="E274" s="113">
        <v>86465303</v>
      </c>
      <c r="F274" s="116">
        <f t="shared" si="49"/>
        <v>205380.76722090261</v>
      </c>
      <c r="G274" s="117">
        <v>81112358</v>
      </c>
      <c r="H274" s="117">
        <f t="shared" si="53"/>
        <v>192665.93349168645</v>
      </c>
      <c r="I274" s="9"/>
      <c r="J274" s="10">
        <v>5.7629000000000001</v>
      </c>
      <c r="K274" s="117">
        <v>467442</v>
      </c>
      <c r="L274" s="120">
        <f t="shared" si="61"/>
        <v>1110.313539192399</v>
      </c>
      <c r="M274" s="122">
        <f t="shared" si="58"/>
        <v>811123.58000000007</v>
      </c>
      <c r="N274" s="116">
        <f t="shared" si="59"/>
        <v>343681.58000000007</v>
      </c>
      <c r="O274" s="123">
        <f t="shared" si="60"/>
        <v>816.34579572446569</v>
      </c>
      <c r="P274" s="5"/>
      <c r="Q274" s="5">
        <f t="shared" si="54"/>
        <v>1</v>
      </c>
      <c r="R274" s="7">
        <f t="shared" si="55"/>
        <v>421</v>
      </c>
      <c r="S274" s="5">
        <f t="shared" si="56"/>
        <v>1</v>
      </c>
      <c r="T274" s="7">
        <f t="shared" si="57"/>
        <v>421</v>
      </c>
    </row>
    <row r="275" spans="1:20">
      <c r="A275" s="23" t="s">
        <v>317</v>
      </c>
      <c r="B275" s="35" t="s">
        <v>300</v>
      </c>
      <c r="C275" s="36">
        <v>3640</v>
      </c>
      <c r="D275" s="6"/>
      <c r="E275" s="113">
        <v>173167330</v>
      </c>
      <c r="F275" s="116">
        <f t="shared" si="49"/>
        <v>47573.442307692305</v>
      </c>
      <c r="G275" s="117">
        <v>137459123</v>
      </c>
      <c r="H275" s="117">
        <f t="shared" si="53"/>
        <v>37763.495329670332</v>
      </c>
      <c r="I275" s="9"/>
      <c r="J275" s="10">
        <v>4.3578000000000001</v>
      </c>
      <c r="K275" s="117">
        <v>599019</v>
      </c>
      <c r="L275" s="120">
        <f t="shared" si="61"/>
        <v>164.56565934065935</v>
      </c>
      <c r="M275" s="122">
        <f t="shared" si="58"/>
        <v>1374591.23</v>
      </c>
      <c r="N275" s="116">
        <f t="shared" si="59"/>
        <v>775572.23</v>
      </c>
      <c r="O275" s="123">
        <f t="shared" si="60"/>
        <v>213.06929395604396</v>
      </c>
      <c r="P275" s="5"/>
      <c r="Q275" s="5">
        <f t="shared" si="54"/>
        <v>1</v>
      </c>
      <c r="R275" s="7">
        <f t="shared" si="55"/>
        <v>3640</v>
      </c>
      <c r="S275" s="5">
        <f t="shared" si="56"/>
        <v>1</v>
      </c>
      <c r="T275" s="7">
        <f t="shared" si="57"/>
        <v>3640</v>
      </c>
    </row>
    <row r="276" spans="1:20">
      <c r="A276" s="23" t="s">
        <v>318</v>
      </c>
      <c r="B276" s="35" t="s">
        <v>300</v>
      </c>
      <c r="C276" s="36">
        <v>6887</v>
      </c>
      <c r="D276" s="6"/>
      <c r="E276" s="113">
        <v>323547694</v>
      </c>
      <c r="F276" s="116">
        <f t="shared" si="49"/>
        <v>46979.482212864816</v>
      </c>
      <c r="G276" s="117">
        <v>263270448</v>
      </c>
      <c r="H276" s="117">
        <f t="shared" si="53"/>
        <v>38227.159576012775</v>
      </c>
      <c r="I276" s="7"/>
      <c r="J276" s="10">
        <v>8.3914000000000009</v>
      </c>
      <c r="K276" s="117">
        <v>2209207</v>
      </c>
      <c r="L276" s="120">
        <f t="shared" si="61"/>
        <v>320.77929432263687</v>
      </c>
      <c r="M276" s="122">
        <f t="shared" si="58"/>
        <v>2632704.48</v>
      </c>
      <c r="N276" s="116">
        <f t="shared" si="59"/>
        <v>423497.48</v>
      </c>
      <c r="O276" s="123">
        <f t="shared" si="60"/>
        <v>61.492301437490923</v>
      </c>
      <c r="P276" s="5"/>
      <c r="Q276" s="5">
        <f t="shared" si="54"/>
        <v>1</v>
      </c>
      <c r="R276" s="7">
        <f t="shared" si="55"/>
        <v>6887</v>
      </c>
      <c r="S276" s="5">
        <f t="shared" si="56"/>
        <v>1</v>
      </c>
      <c r="T276" s="7">
        <f t="shared" si="57"/>
        <v>6887</v>
      </c>
    </row>
    <row r="277" spans="1:20">
      <c r="A277" s="24" t="s">
        <v>628</v>
      </c>
      <c r="B277" s="35" t="s">
        <v>300</v>
      </c>
      <c r="C277" s="36">
        <v>29844</v>
      </c>
      <c r="D277" s="6"/>
      <c r="E277" s="113">
        <v>953135936</v>
      </c>
      <c r="F277" s="116">
        <f t="shared" si="49"/>
        <v>31937.271679399546</v>
      </c>
      <c r="G277" s="117">
        <v>648473800</v>
      </c>
      <c r="H277" s="117">
        <f t="shared" si="53"/>
        <v>21728.783004959121</v>
      </c>
      <c r="I277" s="9"/>
      <c r="J277" s="11">
        <v>8.1928000000000001</v>
      </c>
      <c r="K277" s="117">
        <v>5312816</v>
      </c>
      <c r="L277" s="120">
        <f t="shared" si="61"/>
        <v>178.01956842246346</v>
      </c>
      <c r="M277" s="122">
        <f t="shared" si="58"/>
        <v>6484738</v>
      </c>
      <c r="N277" s="116">
        <f t="shared" si="59"/>
        <v>1171922</v>
      </c>
      <c r="O277" s="123">
        <f t="shared" si="60"/>
        <v>39.268261627127728</v>
      </c>
      <c r="P277" s="5"/>
      <c r="Q277" s="5">
        <f t="shared" si="54"/>
        <v>1</v>
      </c>
      <c r="R277" s="7">
        <f t="shared" si="55"/>
        <v>29844</v>
      </c>
      <c r="S277" s="5">
        <f t="shared" si="56"/>
        <v>1</v>
      </c>
      <c r="T277" s="7">
        <f t="shared" si="57"/>
        <v>29844</v>
      </c>
    </row>
    <row r="278" spans="1:20">
      <c r="A278" s="23" t="s">
        <v>319</v>
      </c>
      <c r="B278" s="35" t="s">
        <v>300</v>
      </c>
      <c r="C278" s="36">
        <v>8477</v>
      </c>
      <c r="D278" s="6"/>
      <c r="E278" s="113">
        <v>426166377</v>
      </c>
      <c r="F278" s="116">
        <f t="shared" si="49"/>
        <v>50273.254335260113</v>
      </c>
      <c r="G278" s="117">
        <v>329908395</v>
      </c>
      <c r="H278" s="117">
        <f t="shared" si="53"/>
        <v>38918.06004482718</v>
      </c>
      <c r="I278" s="7"/>
      <c r="J278" s="10">
        <v>6.6660000000000004</v>
      </c>
      <c r="K278" s="117">
        <v>2199169</v>
      </c>
      <c r="L278" s="120">
        <f t="shared" si="61"/>
        <v>259.42774566473986</v>
      </c>
      <c r="M278" s="122">
        <f t="shared" si="58"/>
        <v>3299083.95</v>
      </c>
      <c r="N278" s="116">
        <f t="shared" si="59"/>
        <v>1099914.9500000002</v>
      </c>
      <c r="O278" s="123">
        <f t="shared" si="60"/>
        <v>129.75285478353194</v>
      </c>
      <c r="P278" s="5"/>
      <c r="Q278" s="5">
        <f t="shared" si="54"/>
        <v>1</v>
      </c>
      <c r="R278" s="7">
        <f t="shared" si="55"/>
        <v>8477</v>
      </c>
      <c r="S278" s="5">
        <f t="shared" si="56"/>
        <v>1</v>
      </c>
      <c r="T278" s="7">
        <f t="shared" si="57"/>
        <v>8477</v>
      </c>
    </row>
    <row r="279" spans="1:20">
      <c r="A279" s="23" t="s">
        <v>320</v>
      </c>
      <c r="B279" s="35" t="s">
        <v>300</v>
      </c>
      <c r="C279" s="36">
        <v>330</v>
      </c>
      <c r="D279" s="6"/>
      <c r="E279" s="113">
        <v>346339712</v>
      </c>
      <c r="F279" s="116">
        <f t="shared" si="49"/>
        <v>1049514.2787878788</v>
      </c>
      <c r="G279" s="117">
        <v>342240267</v>
      </c>
      <c r="H279" s="117">
        <f t="shared" si="53"/>
        <v>1037091.7181818181</v>
      </c>
      <c r="I279" s="7"/>
      <c r="J279" s="12">
        <v>2.6465999999999998</v>
      </c>
      <c r="K279" s="117">
        <v>905773</v>
      </c>
      <c r="L279" s="120">
        <f t="shared" si="61"/>
        <v>2744.7666666666669</v>
      </c>
      <c r="M279" s="122">
        <f t="shared" si="58"/>
        <v>3422402.67</v>
      </c>
      <c r="N279" s="116">
        <f t="shared" si="59"/>
        <v>2516629.67</v>
      </c>
      <c r="O279" s="123">
        <f t="shared" si="60"/>
        <v>7626.1505151515148</v>
      </c>
      <c r="P279" s="5"/>
      <c r="Q279" s="5">
        <f t="shared" si="54"/>
        <v>1</v>
      </c>
      <c r="R279" s="7">
        <f t="shared" si="55"/>
        <v>330</v>
      </c>
      <c r="S279" s="5">
        <f t="shared" si="56"/>
        <v>1</v>
      </c>
      <c r="T279" s="7">
        <f t="shared" si="57"/>
        <v>330</v>
      </c>
    </row>
    <row r="280" spans="1:20">
      <c r="A280" s="23" t="s">
        <v>321</v>
      </c>
      <c r="B280" s="35" t="s">
        <v>300</v>
      </c>
      <c r="C280" s="36">
        <v>1392</v>
      </c>
      <c r="D280" s="6"/>
      <c r="E280" s="113">
        <v>120897251</v>
      </c>
      <c r="F280" s="116">
        <f t="shared" si="49"/>
        <v>86851.473419540227</v>
      </c>
      <c r="G280" s="117">
        <v>108632002</v>
      </c>
      <c r="H280" s="117">
        <f t="shared" si="53"/>
        <v>78040.231321839077</v>
      </c>
      <c r="I280" s="7"/>
      <c r="J280" s="10">
        <v>7.99</v>
      </c>
      <c r="K280" s="117">
        <v>867969</v>
      </c>
      <c r="L280" s="120">
        <f t="shared" si="61"/>
        <v>623.54094827586209</v>
      </c>
      <c r="M280" s="122">
        <f t="shared" si="58"/>
        <v>1086320.02</v>
      </c>
      <c r="N280" s="116">
        <f t="shared" si="59"/>
        <v>218351.02000000002</v>
      </c>
      <c r="O280" s="123">
        <f t="shared" si="60"/>
        <v>156.86136494252875</v>
      </c>
      <c r="P280" s="5"/>
      <c r="Q280" s="5">
        <f t="shared" si="54"/>
        <v>1</v>
      </c>
      <c r="R280" s="7">
        <f t="shared" si="55"/>
        <v>1392</v>
      </c>
      <c r="S280" s="5">
        <f t="shared" si="56"/>
        <v>1</v>
      </c>
      <c r="T280" s="7">
        <f t="shared" si="57"/>
        <v>1392</v>
      </c>
    </row>
    <row r="281" spans="1:20">
      <c r="A281" s="23" t="s">
        <v>322</v>
      </c>
      <c r="B281" s="35" t="s">
        <v>300</v>
      </c>
      <c r="C281" s="36">
        <v>11855</v>
      </c>
      <c r="D281" s="6"/>
      <c r="E281" s="113">
        <v>912536051</v>
      </c>
      <c r="F281" s="116">
        <f t="shared" si="49"/>
        <v>76974.782876423444</v>
      </c>
      <c r="G281" s="117">
        <v>731437757</v>
      </c>
      <c r="H281" s="117">
        <f t="shared" si="53"/>
        <v>61698.672037115139</v>
      </c>
      <c r="I281" s="7"/>
      <c r="J281" s="10">
        <v>5.0599999999999996</v>
      </c>
      <c r="K281" s="117">
        <v>3701075</v>
      </c>
      <c r="L281" s="120">
        <f t="shared" si="61"/>
        <v>312.19527625474484</v>
      </c>
      <c r="M281" s="122">
        <f t="shared" si="58"/>
        <v>7314377.5700000003</v>
      </c>
      <c r="N281" s="116">
        <f t="shared" si="59"/>
        <v>3613302.5700000003</v>
      </c>
      <c r="O281" s="123">
        <f t="shared" si="60"/>
        <v>304.79144411640658</v>
      </c>
      <c r="P281" s="5"/>
      <c r="Q281" s="5">
        <f t="shared" si="54"/>
        <v>1</v>
      </c>
      <c r="R281" s="7">
        <f t="shared" si="55"/>
        <v>11855</v>
      </c>
      <c r="S281" s="5">
        <f t="shared" si="56"/>
        <v>1</v>
      </c>
      <c r="T281" s="7">
        <f t="shared" si="57"/>
        <v>11855</v>
      </c>
    </row>
    <row r="282" spans="1:20">
      <c r="A282" s="23" t="s">
        <v>323</v>
      </c>
      <c r="B282" s="35" t="s">
        <v>300</v>
      </c>
      <c r="C282" s="36">
        <v>1635</v>
      </c>
      <c r="D282" s="6"/>
      <c r="E282" s="113">
        <v>339594214</v>
      </c>
      <c r="F282" s="116">
        <f t="shared" si="49"/>
        <v>207702.88318042812</v>
      </c>
      <c r="G282" s="117">
        <v>297412124</v>
      </c>
      <c r="H282" s="117">
        <f t="shared" si="53"/>
        <v>181903.43975535169</v>
      </c>
      <c r="I282" s="7"/>
      <c r="J282" s="10">
        <v>3.7465999999999999</v>
      </c>
      <c r="K282" s="117">
        <v>1114284</v>
      </c>
      <c r="L282" s="120">
        <f t="shared" si="61"/>
        <v>681.51926605504582</v>
      </c>
      <c r="M282" s="122">
        <f t="shared" si="58"/>
        <v>2974121.24</v>
      </c>
      <c r="N282" s="116">
        <f t="shared" si="59"/>
        <v>1859837.2400000002</v>
      </c>
      <c r="O282" s="123">
        <f t="shared" si="60"/>
        <v>1137.5151314984712</v>
      </c>
      <c r="P282" s="5"/>
      <c r="Q282" s="5">
        <f t="shared" si="54"/>
        <v>1</v>
      </c>
      <c r="R282" s="7">
        <f t="shared" si="55"/>
        <v>1635</v>
      </c>
      <c r="S282" s="5">
        <f t="shared" si="56"/>
        <v>1</v>
      </c>
      <c r="T282" s="7">
        <f t="shared" si="57"/>
        <v>1635</v>
      </c>
    </row>
    <row r="283" spans="1:20">
      <c r="A283" s="23" t="s">
        <v>324</v>
      </c>
      <c r="B283" s="35" t="s">
        <v>300</v>
      </c>
      <c r="C283" s="36">
        <v>6935</v>
      </c>
      <c r="D283" s="6"/>
      <c r="E283" s="113">
        <v>115900125</v>
      </c>
      <c r="F283" s="116">
        <f t="shared" si="49"/>
        <v>16712.346791636624</v>
      </c>
      <c r="G283" s="117">
        <v>52419802</v>
      </c>
      <c r="H283" s="117">
        <f t="shared" si="53"/>
        <v>7558.7313626532086</v>
      </c>
      <c r="I283" s="7"/>
      <c r="J283" s="10">
        <v>7.6300999999999997</v>
      </c>
      <c r="K283" s="117">
        <v>399968</v>
      </c>
      <c r="L283" s="120">
        <f t="shared" si="61"/>
        <v>57.673828406633021</v>
      </c>
      <c r="M283" s="122">
        <f t="shared" si="58"/>
        <v>524198.02</v>
      </c>
      <c r="N283" s="116">
        <f t="shared" si="59"/>
        <v>124230.02000000002</v>
      </c>
      <c r="O283" s="123">
        <f t="shared" si="60"/>
        <v>17.913485219899066</v>
      </c>
      <c r="P283" s="5"/>
      <c r="Q283" s="5">
        <f t="shared" si="54"/>
        <v>1</v>
      </c>
      <c r="R283" s="7">
        <f t="shared" si="55"/>
        <v>6935</v>
      </c>
      <c r="S283" s="5">
        <f t="shared" si="56"/>
        <v>1</v>
      </c>
      <c r="T283" s="7">
        <f t="shared" si="57"/>
        <v>6935</v>
      </c>
    </row>
    <row r="284" spans="1:20">
      <c r="A284" s="23" t="s">
        <v>300</v>
      </c>
      <c r="B284" s="35" t="s">
        <v>300</v>
      </c>
      <c r="C284" s="36">
        <v>9790</v>
      </c>
      <c r="D284" s="6"/>
      <c r="E284" s="113">
        <v>4745553620</v>
      </c>
      <c r="F284" s="116">
        <f t="shared" si="49"/>
        <v>484734.79264555668</v>
      </c>
      <c r="G284" s="117">
        <v>4498027409</v>
      </c>
      <c r="H284" s="117">
        <f t="shared" si="53"/>
        <v>459451.21644535242</v>
      </c>
      <c r="I284" s="7"/>
      <c r="J284" s="10">
        <v>4.5319000000000003</v>
      </c>
      <c r="K284" s="117">
        <v>20384610</v>
      </c>
      <c r="L284" s="120">
        <f t="shared" si="61"/>
        <v>2082.1869254341163</v>
      </c>
      <c r="M284" s="122">
        <f t="shared" si="58"/>
        <v>44980274.090000004</v>
      </c>
      <c r="N284" s="116">
        <f t="shared" si="59"/>
        <v>24595664.090000004</v>
      </c>
      <c r="O284" s="123">
        <f t="shared" si="60"/>
        <v>2512.3252390194079</v>
      </c>
      <c r="P284" s="5"/>
      <c r="Q284" s="5">
        <f t="shared" si="54"/>
        <v>1</v>
      </c>
      <c r="R284" s="7">
        <f t="shared" si="55"/>
        <v>9790</v>
      </c>
      <c r="S284" s="5">
        <f t="shared" si="56"/>
        <v>1</v>
      </c>
      <c r="T284" s="7">
        <f t="shared" si="57"/>
        <v>9790</v>
      </c>
    </row>
    <row r="285" spans="1:20">
      <c r="A285" s="23" t="s">
        <v>325</v>
      </c>
      <c r="B285" s="35" t="s">
        <v>300</v>
      </c>
      <c r="C285" s="36">
        <v>31909</v>
      </c>
      <c r="D285" s="6"/>
      <c r="E285" s="113">
        <v>3553258508</v>
      </c>
      <c r="F285" s="116">
        <f t="shared" ref="F285:F348" si="62">(E285/C285)</f>
        <v>111355.99699144442</v>
      </c>
      <c r="G285" s="117">
        <v>2899386475</v>
      </c>
      <c r="H285" s="117">
        <f t="shared" ref="H285:H316" si="63">(G285/C285)</f>
        <v>90864.222476417315</v>
      </c>
      <c r="I285" s="7"/>
      <c r="J285" s="10">
        <v>3.9146999999999998</v>
      </c>
      <c r="K285" s="117">
        <v>11350228</v>
      </c>
      <c r="L285" s="120">
        <f t="shared" si="61"/>
        <v>355.70616440502681</v>
      </c>
      <c r="M285" s="122">
        <f t="shared" si="58"/>
        <v>28993864.75</v>
      </c>
      <c r="N285" s="116">
        <f t="shared" si="59"/>
        <v>17643636.75</v>
      </c>
      <c r="O285" s="123">
        <f t="shared" si="60"/>
        <v>552.93606035914627</v>
      </c>
      <c r="P285" s="5"/>
      <c r="Q285" s="5">
        <f t="shared" si="54"/>
        <v>1</v>
      </c>
      <c r="R285" s="7">
        <f t="shared" si="55"/>
        <v>31909</v>
      </c>
      <c r="S285" s="5">
        <f t="shared" si="56"/>
        <v>1</v>
      </c>
      <c r="T285" s="7">
        <f t="shared" si="57"/>
        <v>31909</v>
      </c>
    </row>
    <row r="286" spans="1:20">
      <c r="A286" s="23" t="s">
        <v>326</v>
      </c>
      <c r="B286" s="35" t="s">
        <v>300</v>
      </c>
      <c r="C286" s="36">
        <v>1028</v>
      </c>
      <c r="D286" s="6"/>
      <c r="E286" s="113">
        <v>163179534</v>
      </c>
      <c r="F286" s="116">
        <f t="shared" si="62"/>
        <v>158734.9552529183</v>
      </c>
      <c r="G286" s="117">
        <v>148975928</v>
      </c>
      <c r="H286" s="117">
        <f t="shared" si="63"/>
        <v>144918.21789883269</v>
      </c>
      <c r="I286" s="7"/>
      <c r="J286" s="10">
        <v>5.4198000000000004</v>
      </c>
      <c r="K286" s="117">
        <v>807419</v>
      </c>
      <c r="L286" s="120">
        <f t="shared" si="61"/>
        <v>785.42704280155647</v>
      </c>
      <c r="M286" s="122">
        <f t="shared" si="58"/>
        <v>1489759.28</v>
      </c>
      <c r="N286" s="116">
        <f t="shared" si="59"/>
        <v>682340.28</v>
      </c>
      <c r="O286" s="123">
        <f t="shared" si="60"/>
        <v>663.75513618677041</v>
      </c>
      <c r="P286" s="5"/>
      <c r="Q286" s="5">
        <f t="shared" si="54"/>
        <v>1</v>
      </c>
      <c r="R286" s="7">
        <f t="shared" si="55"/>
        <v>1028</v>
      </c>
      <c r="S286" s="5">
        <f t="shared" si="56"/>
        <v>1</v>
      </c>
      <c r="T286" s="7">
        <f t="shared" si="57"/>
        <v>1028</v>
      </c>
    </row>
    <row r="287" spans="1:20">
      <c r="A287" s="23" t="s">
        <v>327</v>
      </c>
      <c r="B287" s="35" t="s">
        <v>300</v>
      </c>
      <c r="C287" s="36">
        <v>9950</v>
      </c>
      <c r="D287" s="6"/>
      <c r="E287" s="113">
        <v>263411393</v>
      </c>
      <c r="F287" s="116">
        <f t="shared" si="62"/>
        <v>26473.506834170854</v>
      </c>
      <c r="G287" s="117">
        <v>176200318</v>
      </c>
      <c r="H287" s="117">
        <f t="shared" si="63"/>
        <v>17708.574673366835</v>
      </c>
      <c r="I287" s="7"/>
      <c r="J287" s="10">
        <v>5.3113999999999999</v>
      </c>
      <c r="K287" s="117">
        <v>935870</v>
      </c>
      <c r="L287" s="120">
        <f t="shared" si="61"/>
        <v>94.057286432160808</v>
      </c>
      <c r="M287" s="122">
        <f t="shared" si="58"/>
        <v>1762003.18</v>
      </c>
      <c r="N287" s="116">
        <f t="shared" si="59"/>
        <v>826133.17999999993</v>
      </c>
      <c r="O287" s="123">
        <f t="shared" si="60"/>
        <v>83.028460301507536</v>
      </c>
      <c r="P287" s="5"/>
      <c r="Q287" s="5">
        <f t="shared" si="54"/>
        <v>1</v>
      </c>
      <c r="R287" s="7">
        <f t="shared" si="55"/>
        <v>9950</v>
      </c>
      <c r="S287" s="5">
        <f t="shared" si="56"/>
        <v>1</v>
      </c>
      <c r="T287" s="7">
        <f t="shared" si="57"/>
        <v>9950</v>
      </c>
    </row>
    <row r="288" spans="1:20">
      <c r="A288" s="23" t="s">
        <v>328</v>
      </c>
      <c r="B288" s="35" t="s">
        <v>300</v>
      </c>
      <c r="C288" s="36">
        <v>27782</v>
      </c>
      <c r="D288" s="6"/>
      <c r="E288" s="113">
        <v>1801011862</v>
      </c>
      <c r="F288" s="116">
        <f t="shared" si="62"/>
        <v>64826.573392844286</v>
      </c>
      <c r="G288" s="117">
        <v>1347220670</v>
      </c>
      <c r="H288" s="117">
        <f t="shared" si="63"/>
        <v>48492.573248866174</v>
      </c>
      <c r="I288" s="7"/>
      <c r="J288" s="10">
        <v>8.9997000000000007</v>
      </c>
      <c r="K288" s="117">
        <v>12124581</v>
      </c>
      <c r="L288" s="120">
        <f t="shared" si="61"/>
        <v>436.41858037578288</v>
      </c>
      <c r="M288" s="122">
        <f t="shared" si="58"/>
        <v>13472206.700000001</v>
      </c>
      <c r="N288" s="116">
        <f t="shared" si="59"/>
        <v>1347625.7000000011</v>
      </c>
      <c r="O288" s="123">
        <f t="shared" si="60"/>
        <v>48.507152112878885</v>
      </c>
      <c r="P288" s="5"/>
      <c r="Q288" s="5">
        <f t="shared" si="54"/>
        <v>1</v>
      </c>
      <c r="R288" s="7">
        <f t="shared" si="55"/>
        <v>27782</v>
      </c>
      <c r="S288" s="5">
        <f t="shared" si="56"/>
        <v>1</v>
      </c>
      <c r="T288" s="7">
        <f t="shared" si="57"/>
        <v>27782</v>
      </c>
    </row>
    <row r="289" spans="1:20">
      <c r="A289" s="23" t="s">
        <v>329</v>
      </c>
      <c r="B289" s="35" t="s">
        <v>300</v>
      </c>
      <c r="C289" s="36">
        <v>17668</v>
      </c>
      <c r="D289" s="6"/>
      <c r="E289" s="113">
        <v>774917375</v>
      </c>
      <c r="F289" s="116">
        <f t="shared" si="62"/>
        <v>43859.937457550375</v>
      </c>
      <c r="G289" s="117">
        <v>577842879</v>
      </c>
      <c r="H289" s="117">
        <f t="shared" si="63"/>
        <v>32705.619141951553</v>
      </c>
      <c r="I289" s="7"/>
      <c r="J289" s="10">
        <v>6.98</v>
      </c>
      <c r="K289" s="117">
        <v>4033343</v>
      </c>
      <c r="L289" s="120">
        <f t="shared" si="61"/>
        <v>228.28520489019698</v>
      </c>
      <c r="M289" s="122">
        <f t="shared" si="58"/>
        <v>5778428.79</v>
      </c>
      <c r="N289" s="116">
        <f t="shared" si="59"/>
        <v>1745085.79</v>
      </c>
      <c r="O289" s="123">
        <f t="shared" si="60"/>
        <v>98.770986529318549</v>
      </c>
      <c r="P289" s="5"/>
      <c r="Q289" s="5">
        <f t="shared" si="54"/>
        <v>1</v>
      </c>
      <c r="R289" s="7">
        <f t="shared" si="55"/>
        <v>17668</v>
      </c>
      <c r="S289" s="5">
        <f t="shared" si="56"/>
        <v>1</v>
      </c>
      <c r="T289" s="7">
        <f t="shared" si="57"/>
        <v>17668</v>
      </c>
    </row>
    <row r="290" spans="1:20">
      <c r="A290" s="23" t="s">
        <v>330</v>
      </c>
      <c r="B290" s="35" t="s">
        <v>300</v>
      </c>
      <c r="C290" s="36">
        <v>3329</v>
      </c>
      <c r="D290" s="6"/>
      <c r="E290" s="113">
        <v>60539076</v>
      </c>
      <c r="F290" s="116">
        <f t="shared" si="62"/>
        <v>18185.363772904777</v>
      </c>
      <c r="G290" s="117">
        <v>35861512</v>
      </c>
      <c r="H290" s="117">
        <f t="shared" si="63"/>
        <v>10772.457795133674</v>
      </c>
      <c r="I290" s="7"/>
      <c r="J290" s="10">
        <v>9.2888999999999999</v>
      </c>
      <c r="K290" s="117">
        <v>333113</v>
      </c>
      <c r="L290" s="120">
        <f t="shared" si="61"/>
        <v>100.06398317813156</v>
      </c>
      <c r="M290" s="122">
        <f t="shared" si="58"/>
        <v>358615.12</v>
      </c>
      <c r="N290" s="116">
        <f t="shared" si="59"/>
        <v>25502.119999999995</v>
      </c>
      <c r="O290" s="123">
        <f t="shared" si="60"/>
        <v>7.6605947732051654</v>
      </c>
      <c r="P290" s="5"/>
      <c r="Q290" s="5">
        <f t="shared" si="54"/>
        <v>1</v>
      </c>
      <c r="R290" s="7">
        <f t="shared" si="55"/>
        <v>3329</v>
      </c>
      <c r="S290" s="5">
        <f t="shared" si="56"/>
        <v>1</v>
      </c>
      <c r="T290" s="7">
        <f t="shared" si="57"/>
        <v>3329</v>
      </c>
    </row>
    <row r="291" spans="1:20">
      <c r="A291" s="23" t="s">
        <v>331</v>
      </c>
      <c r="B291" s="35" t="s">
        <v>300</v>
      </c>
      <c r="C291" s="36">
        <v>1498</v>
      </c>
      <c r="D291" s="6"/>
      <c r="E291" s="113">
        <v>181375541</v>
      </c>
      <c r="F291" s="116">
        <f t="shared" si="62"/>
        <v>121078.4652870494</v>
      </c>
      <c r="G291" s="117">
        <v>162114173</v>
      </c>
      <c r="H291" s="117">
        <f t="shared" si="63"/>
        <v>108220.40921228305</v>
      </c>
      <c r="I291" s="7"/>
      <c r="J291" s="10">
        <v>3.9990000000000001</v>
      </c>
      <c r="K291" s="117">
        <v>648294</v>
      </c>
      <c r="L291" s="120">
        <f t="shared" si="61"/>
        <v>432.77303070761013</v>
      </c>
      <c r="M291" s="122">
        <f t="shared" si="58"/>
        <v>1621141.73</v>
      </c>
      <c r="N291" s="116">
        <f t="shared" si="59"/>
        <v>972847.73</v>
      </c>
      <c r="O291" s="123">
        <f t="shared" si="60"/>
        <v>649.43106141522026</v>
      </c>
      <c r="P291" s="5"/>
      <c r="Q291" s="5">
        <f t="shared" si="54"/>
        <v>1</v>
      </c>
      <c r="R291" s="7">
        <f t="shared" si="55"/>
        <v>1498</v>
      </c>
      <c r="S291" s="5">
        <f t="shared" si="56"/>
        <v>1</v>
      </c>
      <c r="T291" s="7">
        <f t="shared" si="57"/>
        <v>1498</v>
      </c>
    </row>
    <row r="292" spans="1:20">
      <c r="A292" s="23" t="s">
        <v>332</v>
      </c>
      <c r="B292" s="35" t="s">
        <v>300</v>
      </c>
      <c r="C292" s="36">
        <v>4673</v>
      </c>
      <c r="D292" s="6"/>
      <c r="E292" s="113">
        <v>448193804</v>
      </c>
      <c r="F292" s="116">
        <f t="shared" si="62"/>
        <v>95911.364005991869</v>
      </c>
      <c r="G292" s="117">
        <v>362944338</v>
      </c>
      <c r="H292" s="117">
        <f t="shared" si="63"/>
        <v>77668.379627648188</v>
      </c>
      <c r="I292" s="7"/>
      <c r="J292" s="10">
        <v>6.4692999999999996</v>
      </c>
      <c r="K292" s="117">
        <v>2347995</v>
      </c>
      <c r="L292" s="120">
        <f t="shared" si="61"/>
        <v>502.45987588273056</v>
      </c>
      <c r="M292" s="122">
        <f t="shared" si="58"/>
        <v>3629443.38</v>
      </c>
      <c r="N292" s="116">
        <f t="shared" si="59"/>
        <v>1281448.3799999999</v>
      </c>
      <c r="O292" s="123">
        <f t="shared" si="60"/>
        <v>274.22392039375131</v>
      </c>
      <c r="P292" s="5"/>
      <c r="Q292" s="5">
        <f t="shared" si="54"/>
        <v>1</v>
      </c>
      <c r="R292" s="7">
        <f t="shared" si="55"/>
        <v>4673</v>
      </c>
      <c r="S292" s="5">
        <f t="shared" si="56"/>
        <v>1</v>
      </c>
      <c r="T292" s="7">
        <f t="shared" si="57"/>
        <v>4673</v>
      </c>
    </row>
    <row r="293" spans="1:20">
      <c r="A293" s="23" t="s">
        <v>333</v>
      </c>
      <c r="B293" s="35" t="s">
        <v>300</v>
      </c>
      <c r="C293" s="36">
        <v>26148</v>
      </c>
      <c r="D293" s="6"/>
      <c r="E293" s="113">
        <v>1857608702</v>
      </c>
      <c r="F293" s="116">
        <f t="shared" si="62"/>
        <v>71042.095074193057</v>
      </c>
      <c r="G293" s="117">
        <v>1562939025</v>
      </c>
      <c r="H293" s="117">
        <f t="shared" si="63"/>
        <v>59772.794286369892</v>
      </c>
      <c r="I293" s="7"/>
      <c r="J293" s="10">
        <v>8.8747000000000007</v>
      </c>
      <c r="K293" s="117">
        <v>32329018</v>
      </c>
      <c r="L293" s="120">
        <f t="shared" si="61"/>
        <v>1236.3858803732599</v>
      </c>
      <c r="M293" s="122">
        <f t="shared" si="58"/>
        <v>15629390.25</v>
      </c>
      <c r="N293" s="116">
        <f t="shared" si="59"/>
        <v>-16699627.75</v>
      </c>
      <c r="O293" s="123">
        <f t="shared" si="60"/>
        <v>-638.65793750956095</v>
      </c>
      <c r="P293" s="5"/>
      <c r="Q293" s="5">
        <f t="shared" si="54"/>
        <v>1</v>
      </c>
      <c r="R293" s="7">
        <f t="shared" si="55"/>
        <v>26148</v>
      </c>
      <c r="S293" s="5">
        <f t="shared" si="56"/>
        <v>1</v>
      </c>
      <c r="T293" s="7">
        <f t="shared" si="57"/>
        <v>26148</v>
      </c>
    </row>
    <row r="294" spans="1:20">
      <c r="A294" s="23" t="s">
        <v>334</v>
      </c>
      <c r="B294" s="35" t="s">
        <v>300</v>
      </c>
      <c r="C294" s="36">
        <v>78370</v>
      </c>
      <c r="D294" s="6"/>
      <c r="E294" s="113">
        <v>5075972800</v>
      </c>
      <c r="F294" s="116">
        <f t="shared" si="62"/>
        <v>64769.335204797753</v>
      </c>
      <c r="G294" s="117">
        <v>3642829503</v>
      </c>
      <c r="H294" s="117">
        <f t="shared" si="63"/>
        <v>46482.448679341585</v>
      </c>
      <c r="I294" s="7"/>
      <c r="J294" s="10">
        <v>1.78</v>
      </c>
      <c r="K294" s="117">
        <v>2782031</v>
      </c>
      <c r="L294" s="120">
        <f t="shared" si="61"/>
        <v>35.498672961592447</v>
      </c>
      <c r="M294" s="122">
        <f t="shared" si="58"/>
        <v>36428295.030000001</v>
      </c>
      <c r="N294" s="116">
        <f t="shared" si="59"/>
        <v>33646264.030000001</v>
      </c>
      <c r="O294" s="123">
        <f t="shared" si="60"/>
        <v>429.32581383182344</v>
      </c>
      <c r="P294" s="5"/>
      <c r="Q294" s="5">
        <f t="shared" si="54"/>
        <v>1</v>
      </c>
      <c r="R294" s="7">
        <f t="shared" si="55"/>
        <v>78370</v>
      </c>
      <c r="S294" s="5">
        <f t="shared" si="56"/>
        <v>1</v>
      </c>
      <c r="T294" s="7">
        <f t="shared" si="57"/>
        <v>78370</v>
      </c>
    </row>
    <row r="295" spans="1:20">
      <c r="A295" s="23" t="s">
        <v>335</v>
      </c>
      <c r="B295" s="35" t="s">
        <v>336</v>
      </c>
      <c r="C295" s="36">
        <v>5963</v>
      </c>
      <c r="D295" s="6"/>
      <c r="E295" s="113">
        <v>221053490</v>
      </c>
      <c r="F295" s="116">
        <f t="shared" si="62"/>
        <v>37070.851920174406</v>
      </c>
      <c r="G295" s="117">
        <v>127485344</v>
      </c>
      <c r="H295" s="117">
        <f t="shared" si="63"/>
        <v>21379.396947845045</v>
      </c>
      <c r="I295" s="7"/>
      <c r="J295" s="10">
        <v>7.5</v>
      </c>
      <c r="K295" s="117">
        <v>956140</v>
      </c>
      <c r="L295" s="120">
        <f t="shared" si="61"/>
        <v>160.34546369277209</v>
      </c>
      <c r="M295" s="122">
        <f t="shared" si="58"/>
        <v>1274853.44</v>
      </c>
      <c r="N295" s="116">
        <f t="shared" si="59"/>
        <v>318713.43999999994</v>
      </c>
      <c r="O295" s="123">
        <f t="shared" si="60"/>
        <v>53.448505785678343</v>
      </c>
      <c r="P295" s="5"/>
      <c r="Q295" s="5">
        <f t="shared" si="54"/>
        <v>1</v>
      </c>
      <c r="R295" s="7">
        <f t="shared" si="55"/>
        <v>5963</v>
      </c>
      <c r="S295" s="5">
        <f t="shared" si="56"/>
        <v>1</v>
      </c>
      <c r="T295" s="7">
        <f t="shared" si="57"/>
        <v>5963</v>
      </c>
    </row>
    <row r="296" spans="1:20">
      <c r="A296" s="23" t="s">
        <v>337</v>
      </c>
      <c r="B296" s="35" t="s">
        <v>336</v>
      </c>
      <c r="C296" s="36">
        <v>14555</v>
      </c>
      <c r="D296" s="6"/>
      <c r="E296" s="113">
        <v>560206015</v>
      </c>
      <c r="F296" s="116">
        <f t="shared" si="62"/>
        <v>38488.905187220887</v>
      </c>
      <c r="G296" s="117">
        <v>408449693</v>
      </c>
      <c r="H296" s="117">
        <f t="shared" si="63"/>
        <v>28062.500377877019</v>
      </c>
      <c r="I296" s="7"/>
      <c r="J296" s="10">
        <v>5.25</v>
      </c>
      <c r="K296" s="117">
        <v>2144360</v>
      </c>
      <c r="L296" s="120">
        <f t="shared" si="61"/>
        <v>147.3280659567159</v>
      </c>
      <c r="M296" s="122">
        <f t="shared" si="58"/>
        <v>4084496.93</v>
      </c>
      <c r="N296" s="116">
        <f t="shared" si="59"/>
        <v>1940136.9300000002</v>
      </c>
      <c r="O296" s="123">
        <f t="shared" si="60"/>
        <v>133.29693782205428</v>
      </c>
      <c r="P296" s="5"/>
      <c r="Q296" s="5">
        <f t="shared" si="54"/>
        <v>1</v>
      </c>
      <c r="R296" s="7">
        <f t="shared" si="55"/>
        <v>14555</v>
      </c>
      <c r="S296" s="5">
        <f t="shared" si="56"/>
        <v>1</v>
      </c>
      <c r="T296" s="7">
        <f t="shared" si="57"/>
        <v>14555</v>
      </c>
    </row>
    <row r="297" spans="1:20">
      <c r="A297" s="23" t="s">
        <v>338</v>
      </c>
      <c r="B297" s="35" t="s">
        <v>336</v>
      </c>
      <c r="C297" s="36">
        <v>2629</v>
      </c>
      <c r="D297" s="6"/>
      <c r="E297" s="113">
        <v>145991349</v>
      </c>
      <c r="F297" s="116">
        <f t="shared" si="62"/>
        <v>55531.133130467861</v>
      </c>
      <c r="G297" s="117">
        <v>119531895</v>
      </c>
      <c r="H297" s="117">
        <f t="shared" si="63"/>
        <v>45466.677443895016</v>
      </c>
      <c r="I297" s="9"/>
      <c r="J297" s="10">
        <v>4.32</v>
      </c>
      <c r="K297" s="117">
        <v>516377</v>
      </c>
      <c r="L297" s="120">
        <f t="shared" ref="L297:L328" si="64">(K297/C297)</f>
        <v>196.41574743248384</v>
      </c>
      <c r="M297" s="122">
        <f t="shared" si="58"/>
        <v>1195318.95</v>
      </c>
      <c r="N297" s="116">
        <f t="shared" si="59"/>
        <v>678941.95</v>
      </c>
      <c r="O297" s="123">
        <f t="shared" si="60"/>
        <v>258.2510270064663</v>
      </c>
      <c r="P297" s="5"/>
      <c r="Q297" s="5">
        <f t="shared" si="54"/>
        <v>1</v>
      </c>
      <c r="R297" s="7">
        <f t="shared" si="55"/>
        <v>2629</v>
      </c>
      <c r="S297" s="5">
        <f t="shared" si="56"/>
        <v>1</v>
      </c>
      <c r="T297" s="7">
        <f t="shared" si="57"/>
        <v>2629</v>
      </c>
    </row>
    <row r="298" spans="1:20">
      <c r="A298" s="23" t="s">
        <v>339</v>
      </c>
      <c r="B298" s="35" t="s">
        <v>336</v>
      </c>
      <c r="C298" s="36">
        <v>831</v>
      </c>
      <c r="D298" s="6"/>
      <c r="E298" s="113">
        <v>21260051</v>
      </c>
      <c r="F298" s="116">
        <f t="shared" si="62"/>
        <v>25583.695547533094</v>
      </c>
      <c r="G298" s="117">
        <v>12929143</v>
      </c>
      <c r="H298" s="117">
        <f t="shared" si="63"/>
        <v>15558.535499398315</v>
      </c>
      <c r="I298" s="7"/>
      <c r="J298" s="10">
        <v>3.95</v>
      </c>
      <c r="K298" s="117">
        <v>51070</v>
      </c>
      <c r="L298" s="120">
        <f t="shared" si="64"/>
        <v>61.4560770156438</v>
      </c>
      <c r="M298" s="122">
        <f t="shared" si="58"/>
        <v>129291.43000000001</v>
      </c>
      <c r="N298" s="116">
        <f t="shared" si="59"/>
        <v>78221.430000000008</v>
      </c>
      <c r="O298" s="123">
        <f t="shared" si="60"/>
        <v>94.12927797833936</v>
      </c>
      <c r="P298" s="5"/>
      <c r="Q298" s="5">
        <f t="shared" si="54"/>
        <v>1</v>
      </c>
      <c r="R298" s="7">
        <f t="shared" si="55"/>
        <v>831</v>
      </c>
      <c r="S298" s="5">
        <f t="shared" si="56"/>
        <v>1</v>
      </c>
      <c r="T298" s="7">
        <f t="shared" si="57"/>
        <v>831</v>
      </c>
    </row>
    <row r="299" spans="1:20">
      <c r="A299" s="23" t="s">
        <v>547</v>
      </c>
      <c r="B299" s="35" t="s">
        <v>336</v>
      </c>
      <c r="C299" s="36">
        <v>690</v>
      </c>
      <c r="D299" s="6"/>
      <c r="E299" s="113">
        <v>23956672</v>
      </c>
      <c r="F299" s="116">
        <f t="shared" si="62"/>
        <v>34719.81449275362</v>
      </c>
      <c r="G299" s="117">
        <v>5142251</v>
      </c>
      <c r="H299" s="117">
        <f t="shared" si="63"/>
        <v>7452.5376811594206</v>
      </c>
      <c r="I299" s="7"/>
      <c r="J299" s="10">
        <v>7.5</v>
      </c>
      <c r="K299" s="117">
        <v>38566</v>
      </c>
      <c r="L299" s="120">
        <f t="shared" si="64"/>
        <v>55.892753623188405</v>
      </c>
      <c r="M299" s="122">
        <f t="shared" si="58"/>
        <v>51422.51</v>
      </c>
      <c r="N299" s="116">
        <f t="shared" si="59"/>
        <v>12856.510000000002</v>
      </c>
      <c r="O299" s="123">
        <f t="shared" si="60"/>
        <v>18.632623188405802</v>
      </c>
      <c r="P299" s="5"/>
      <c r="Q299" s="5">
        <f t="shared" si="54"/>
        <v>1</v>
      </c>
      <c r="R299" s="7">
        <f t="shared" si="55"/>
        <v>690</v>
      </c>
      <c r="S299" s="5">
        <f t="shared" si="56"/>
        <v>1</v>
      </c>
      <c r="T299" s="7">
        <f t="shared" si="57"/>
        <v>690</v>
      </c>
    </row>
    <row r="300" spans="1:20">
      <c r="A300" s="23" t="s">
        <v>340</v>
      </c>
      <c r="B300" s="35" t="s">
        <v>336</v>
      </c>
      <c r="C300" s="36">
        <v>8867</v>
      </c>
      <c r="D300" s="6"/>
      <c r="E300" s="113">
        <v>431730277</v>
      </c>
      <c r="F300" s="116">
        <f t="shared" si="62"/>
        <v>48689.55418969212</v>
      </c>
      <c r="G300" s="117">
        <v>268458323</v>
      </c>
      <c r="H300" s="117">
        <f t="shared" si="63"/>
        <v>30276.116273824293</v>
      </c>
      <c r="I300" s="7"/>
      <c r="J300" s="10">
        <v>6.42</v>
      </c>
      <c r="K300" s="117">
        <v>1723502</v>
      </c>
      <c r="L300" s="120">
        <f t="shared" si="64"/>
        <v>194.37261757076803</v>
      </c>
      <c r="M300" s="122">
        <f t="shared" si="58"/>
        <v>2684583.23</v>
      </c>
      <c r="N300" s="116">
        <f t="shared" si="59"/>
        <v>961081.23</v>
      </c>
      <c r="O300" s="123">
        <f t="shared" si="60"/>
        <v>108.3885451674749</v>
      </c>
      <c r="P300" s="5"/>
      <c r="Q300" s="5">
        <f t="shared" si="54"/>
        <v>1</v>
      </c>
      <c r="R300" s="7">
        <f t="shared" si="55"/>
        <v>8867</v>
      </c>
      <c r="S300" s="5">
        <f t="shared" si="56"/>
        <v>1</v>
      </c>
      <c r="T300" s="7">
        <f t="shared" si="57"/>
        <v>8867</v>
      </c>
    </row>
    <row r="301" spans="1:20">
      <c r="A301" s="23" t="s">
        <v>341</v>
      </c>
      <c r="B301" s="35" t="s">
        <v>342</v>
      </c>
      <c r="C301" s="36">
        <v>4080</v>
      </c>
      <c r="D301" s="6"/>
      <c r="E301" s="113">
        <v>411995090</v>
      </c>
      <c r="F301" s="116">
        <f t="shared" si="62"/>
        <v>100979.1887254902</v>
      </c>
      <c r="G301" s="117">
        <v>349299460</v>
      </c>
      <c r="H301" s="117">
        <f t="shared" si="63"/>
        <v>85612.612745098042</v>
      </c>
      <c r="I301" s="7"/>
      <c r="J301" s="10">
        <v>4.5354000000000001</v>
      </c>
      <c r="K301" s="117">
        <v>1584212</v>
      </c>
      <c r="L301" s="120">
        <f t="shared" si="64"/>
        <v>388.28725490196081</v>
      </c>
      <c r="M301" s="122">
        <f t="shared" si="58"/>
        <v>3492994.6</v>
      </c>
      <c r="N301" s="116">
        <f t="shared" si="59"/>
        <v>1908782.6</v>
      </c>
      <c r="O301" s="123">
        <f t="shared" si="60"/>
        <v>467.83887254901964</v>
      </c>
      <c r="P301" s="5"/>
      <c r="Q301" s="5">
        <f t="shared" si="54"/>
        <v>1</v>
      </c>
      <c r="R301" s="7">
        <f t="shared" si="55"/>
        <v>4080</v>
      </c>
      <c r="S301" s="5">
        <f t="shared" si="56"/>
        <v>1</v>
      </c>
      <c r="T301" s="7">
        <f t="shared" si="57"/>
        <v>4080</v>
      </c>
    </row>
    <row r="302" spans="1:20">
      <c r="A302" s="23" t="s">
        <v>343</v>
      </c>
      <c r="B302" s="35" t="s">
        <v>342</v>
      </c>
      <c r="C302" s="36">
        <v>2138</v>
      </c>
      <c r="D302" s="6"/>
      <c r="E302" s="113">
        <v>200017900</v>
      </c>
      <c r="F302" s="116">
        <f t="shared" si="62"/>
        <v>93553.741814780165</v>
      </c>
      <c r="G302" s="117">
        <v>174782970</v>
      </c>
      <c r="H302" s="117">
        <f t="shared" si="63"/>
        <v>81750.687558465856</v>
      </c>
      <c r="I302" s="7"/>
      <c r="J302" s="10">
        <v>2.0278999999999998</v>
      </c>
      <c r="K302" s="117">
        <v>354442</v>
      </c>
      <c r="L302" s="120">
        <f t="shared" si="64"/>
        <v>165.78203928905521</v>
      </c>
      <c r="M302" s="122">
        <f t="shared" si="58"/>
        <v>1747829.7</v>
      </c>
      <c r="N302" s="116">
        <f t="shared" si="59"/>
        <v>1393387.7</v>
      </c>
      <c r="O302" s="123">
        <f t="shared" si="60"/>
        <v>651.72483629560338</v>
      </c>
      <c r="P302" s="5"/>
      <c r="Q302" s="5">
        <f t="shared" si="54"/>
        <v>1</v>
      </c>
      <c r="R302" s="7">
        <f t="shared" si="55"/>
        <v>2138</v>
      </c>
      <c r="S302" s="5">
        <f t="shared" si="56"/>
        <v>1</v>
      </c>
      <c r="T302" s="7">
        <f t="shared" si="57"/>
        <v>2138</v>
      </c>
    </row>
    <row r="303" spans="1:20">
      <c r="A303" s="23" t="s">
        <v>344</v>
      </c>
      <c r="B303" s="35" t="s">
        <v>342</v>
      </c>
      <c r="C303" s="36">
        <v>2221</v>
      </c>
      <c r="D303" s="6"/>
      <c r="E303" s="113">
        <v>129489780</v>
      </c>
      <c r="F303" s="116">
        <f t="shared" si="62"/>
        <v>58302.467357046378</v>
      </c>
      <c r="G303" s="117">
        <v>105049450</v>
      </c>
      <c r="H303" s="117">
        <f t="shared" si="63"/>
        <v>47298.266546600629</v>
      </c>
      <c r="I303" s="7"/>
      <c r="J303" s="10">
        <v>4.3499999999999996</v>
      </c>
      <c r="K303" s="117">
        <v>456965</v>
      </c>
      <c r="L303" s="120">
        <f t="shared" si="64"/>
        <v>205.74741107609185</v>
      </c>
      <c r="M303" s="122">
        <f t="shared" si="58"/>
        <v>1050494.5</v>
      </c>
      <c r="N303" s="116">
        <f t="shared" si="59"/>
        <v>593529.5</v>
      </c>
      <c r="O303" s="123">
        <f t="shared" si="60"/>
        <v>267.23525438991447</v>
      </c>
      <c r="P303" s="5"/>
      <c r="Q303" s="5">
        <f t="shared" si="54"/>
        <v>1</v>
      </c>
      <c r="R303" s="7">
        <f t="shared" si="55"/>
        <v>2221</v>
      </c>
      <c r="S303" s="5">
        <f t="shared" si="56"/>
        <v>1</v>
      </c>
      <c r="T303" s="7">
        <f t="shared" si="57"/>
        <v>2221</v>
      </c>
    </row>
    <row r="304" spans="1:20">
      <c r="A304" s="23" t="s">
        <v>345</v>
      </c>
      <c r="B304" s="35" t="s">
        <v>342</v>
      </c>
      <c r="C304" s="36">
        <v>60</v>
      </c>
      <c r="D304" s="6"/>
      <c r="E304" s="113">
        <v>38613920</v>
      </c>
      <c r="F304" s="116">
        <f t="shared" si="62"/>
        <v>643565.33333333337</v>
      </c>
      <c r="G304" s="117">
        <v>36536020</v>
      </c>
      <c r="H304" s="117">
        <f t="shared" si="63"/>
        <v>608933.66666666663</v>
      </c>
      <c r="I304" s="7"/>
      <c r="J304" s="10">
        <v>1.2164999999999999</v>
      </c>
      <c r="K304" s="117">
        <v>44446</v>
      </c>
      <c r="L304" s="120">
        <f t="shared" si="64"/>
        <v>740.76666666666665</v>
      </c>
      <c r="M304" s="122">
        <f t="shared" si="58"/>
        <v>365360.2</v>
      </c>
      <c r="N304" s="116">
        <f t="shared" si="59"/>
        <v>320914.2</v>
      </c>
      <c r="O304" s="123">
        <f t="shared" si="60"/>
        <v>5348.5700000000006</v>
      </c>
      <c r="P304" s="5"/>
      <c r="Q304" s="5">
        <f t="shared" si="54"/>
        <v>1</v>
      </c>
      <c r="R304" s="7">
        <f t="shared" si="55"/>
        <v>60</v>
      </c>
      <c r="S304" s="5">
        <f t="shared" si="56"/>
        <v>1</v>
      </c>
      <c r="T304" s="7">
        <f t="shared" si="57"/>
        <v>60</v>
      </c>
    </row>
    <row r="305" spans="1:20">
      <c r="A305" s="23" t="s">
        <v>346</v>
      </c>
      <c r="B305" s="35" t="s">
        <v>342</v>
      </c>
      <c r="C305" s="36">
        <v>101867</v>
      </c>
      <c r="D305" s="6"/>
      <c r="E305" s="113">
        <v>5884592007</v>
      </c>
      <c r="F305" s="116">
        <f t="shared" si="62"/>
        <v>57767.402662294953</v>
      </c>
      <c r="G305" s="117">
        <v>4376559048</v>
      </c>
      <c r="H305" s="117">
        <f t="shared" si="63"/>
        <v>42963.46263264845</v>
      </c>
      <c r="I305" s="7"/>
      <c r="J305" s="10">
        <v>5.1158000000000001</v>
      </c>
      <c r="K305" s="117">
        <v>22389600</v>
      </c>
      <c r="L305" s="120">
        <f t="shared" si="64"/>
        <v>219.7924745010651</v>
      </c>
      <c r="M305" s="122">
        <f t="shared" si="58"/>
        <v>43765590.480000004</v>
      </c>
      <c r="N305" s="116">
        <f t="shared" si="59"/>
        <v>21375990.480000004</v>
      </c>
      <c r="O305" s="123">
        <f t="shared" si="60"/>
        <v>209.84215182541945</v>
      </c>
      <c r="P305" s="5"/>
      <c r="Q305" s="5">
        <f t="shared" si="54"/>
        <v>1</v>
      </c>
      <c r="R305" s="7">
        <f t="shared" si="55"/>
        <v>101867</v>
      </c>
      <c r="S305" s="5">
        <f t="shared" si="56"/>
        <v>1</v>
      </c>
      <c r="T305" s="7">
        <f t="shared" si="57"/>
        <v>101867</v>
      </c>
    </row>
    <row r="306" spans="1:20">
      <c r="A306" s="23" t="s">
        <v>347</v>
      </c>
      <c r="B306" s="35" t="s">
        <v>342</v>
      </c>
      <c r="C306" s="36">
        <v>35104</v>
      </c>
      <c r="D306" s="6"/>
      <c r="E306" s="113">
        <v>1599915545</v>
      </c>
      <c r="F306" s="116">
        <f t="shared" si="62"/>
        <v>45576.445561759341</v>
      </c>
      <c r="G306" s="117">
        <v>1025288220</v>
      </c>
      <c r="H306" s="117">
        <f t="shared" si="63"/>
        <v>29207.162146763902</v>
      </c>
      <c r="I306" s="7"/>
      <c r="J306" s="10">
        <v>4.5739999999999998</v>
      </c>
      <c r="K306" s="117">
        <v>4689668</v>
      </c>
      <c r="L306" s="120">
        <f t="shared" si="64"/>
        <v>133.59355059252508</v>
      </c>
      <c r="M306" s="122">
        <f t="shared" si="58"/>
        <v>10252882.200000001</v>
      </c>
      <c r="N306" s="116">
        <f t="shared" si="59"/>
        <v>5563214.2000000011</v>
      </c>
      <c r="O306" s="123">
        <f t="shared" si="60"/>
        <v>158.47807087511399</v>
      </c>
      <c r="P306" s="5"/>
      <c r="Q306" s="5">
        <f t="shared" si="54"/>
        <v>1</v>
      </c>
      <c r="R306" s="7">
        <f t="shared" si="55"/>
        <v>35104</v>
      </c>
      <c r="S306" s="5">
        <f t="shared" si="56"/>
        <v>1</v>
      </c>
      <c r="T306" s="7">
        <f t="shared" si="57"/>
        <v>35104</v>
      </c>
    </row>
    <row r="307" spans="1:20">
      <c r="A307" s="23" t="s">
        <v>348</v>
      </c>
      <c r="B307" s="35" t="s">
        <v>342</v>
      </c>
      <c r="C307" s="36">
        <v>11871</v>
      </c>
      <c r="D307" s="6"/>
      <c r="E307" s="113">
        <v>473817850</v>
      </c>
      <c r="F307" s="116">
        <f t="shared" si="62"/>
        <v>39913.895206806505</v>
      </c>
      <c r="G307" s="117">
        <v>328992280</v>
      </c>
      <c r="H307" s="117">
        <f t="shared" si="63"/>
        <v>27713.948277314463</v>
      </c>
      <c r="I307" s="7"/>
      <c r="J307" s="10">
        <v>4.3</v>
      </c>
      <c r="K307" s="117">
        <v>1414666</v>
      </c>
      <c r="L307" s="120">
        <f t="shared" si="64"/>
        <v>119.16990986437537</v>
      </c>
      <c r="M307" s="122">
        <f t="shared" si="58"/>
        <v>3289922.8000000003</v>
      </c>
      <c r="N307" s="116">
        <f t="shared" si="59"/>
        <v>1875256.8000000003</v>
      </c>
      <c r="O307" s="123">
        <f t="shared" si="60"/>
        <v>157.96957290876929</v>
      </c>
      <c r="P307" s="5"/>
      <c r="Q307" s="5">
        <f t="shared" si="54"/>
        <v>1</v>
      </c>
      <c r="R307" s="7">
        <f t="shared" si="55"/>
        <v>11871</v>
      </c>
      <c r="S307" s="5">
        <f t="shared" si="56"/>
        <v>1</v>
      </c>
      <c r="T307" s="7">
        <f t="shared" si="57"/>
        <v>11871</v>
      </c>
    </row>
    <row r="308" spans="1:20">
      <c r="A308" s="23" t="s">
        <v>349</v>
      </c>
      <c r="B308" s="35" t="s">
        <v>342</v>
      </c>
      <c r="C308" s="36">
        <v>4169</v>
      </c>
      <c r="D308" s="6"/>
      <c r="E308" s="113">
        <v>377109400</v>
      </c>
      <c r="F308" s="116">
        <f t="shared" si="62"/>
        <v>90455.600863516433</v>
      </c>
      <c r="G308" s="117">
        <v>333474630</v>
      </c>
      <c r="H308" s="117">
        <f t="shared" si="63"/>
        <v>79989.117294315191</v>
      </c>
      <c r="I308" s="7"/>
      <c r="J308" s="10">
        <v>2.5185</v>
      </c>
      <c r="K308" s="117">
        <v>839855</v>
      </c>
      <c r="L308" s="120">
        <f t="shared" si="64"/>
        <v>201.45238666346845</v>
      </c>
      <c r="M308" s="122">
        <f t="shared" si="58"/>
        <v>3334746.3000000003</v>
      </c>
      <c r="N308" s="116">
        <f t="shared" si="59"/>
        <v>2494891.3000000003</v>
      </c>
      <c r="O308" s="123">
        <f t="shared" si="60"/>
        <v>598.43878627968343</v>
      </c>
      <c r="P308" s="5"/>
      <c r="Q308" s="5">
        <f t="shared" si="54"/>
        <v>1</v>
      </c>
      <c r="R308" s="7">
        <f t="shared" si="55"/>
        <v>4169</v>
      </c>
      <c r="S308" s="5">
        <f t="shared" si="56"/>
        <v>1</v>
      </c>
      <c r="T308" s="7">
        <f t="shared" si="57"/>
        <v>4169</v>
      </c>
    </row>
    <row r="309" spans="1:20">
      <c r="A309" s="23" t="s">
        <v>350</v>
      </c>
      <c r="B309" s="35" t="s">
        <v>342</v>
      </c>
      <c r="C309" s="36">
        <v>1473</v>
      </c>
      <c r="D309" s="6"/>
      <c r="E309" s="113">
        <v>257439140</v>
      </c>
      <c r="F309" s="116">
        <f t="shared" si="62"/>
        <v>174771.98913781397</v>
      </c>
      <c r="G309" s="117">
        <v>238745160</v>
      </c>
      <c r="H309" s="117">
        <f t="shared" si="63"/>
        <v>162080.89613034623</v>
      </c>
      <c r="I309" s="7"/>
      <c r="J309" s="10">
        <v>1.7129000000000001</v>
      </c>
      <c r="K309" s="117">
        <v>408946</v>
      </c>
      <c r="L309" s="120">
        <f t="shared" si="64"/>
        <v>277.62797012898847</v>
      </c>
      <c r="M309" s="122">
        <f t="shared" si="58"/>
        <v>2387451.6</v>
      </c>
      <c r="N309" s="116">
        <f t="shared" si="59"/>
        <v>1978505.6</v>
      </c>
      <c r="O309" s="123">
        <f t="shared" si="60"/>
        <v>1343.180991174474</v>
      </c>
      <c r="P309" s="5"/>
      <c r="Q309" s="5">
        <f t="shared" si="54"/>
        <v>1</v>
      </c>
      <c r="R309" s="7">
        <f t="shared" si="55"/>
        <v>1473</v>
      </c>
      <c r="S309" s="5">
        <f t="shared" si="56"/>
        <v>1</v>
      </c>
      <c r="T309" s="7">
        <f t="shared" si="57"/>
        <v>1473</v>
      </c>
    </row>
    <row r="310" spans="1:20">
      <c r="A310" s="23" t="s">
        <v>351</v>
      </c>
      <c r="B310" s="35" t="s">
        <v>342</v>
      </c>
      <c r="C310" s="36">
        <v>4334</v>
      </c>
      <c r="D310" s="6"/>
      <c r="E310" s="113">
        <v>121933310</v>
      </c>
      <c r="F310" s="116">
        <f t="shared" si="62"/>
        <v>28134.127826488231</v>
      </c>
      <c r="G310" s="117">
        <v>83456400</v>
      </c>
      <c r="H310" s="117">
        <f t="shared" si="63"/>
        <v>19256.206737425011</v>
      </c>
      <c r="I310" s="7"/>
      <c r="J310" s="10">
        <v>3.754</v>
      </c>
      <c r="K310" s="117">
        <v>313295</v>
      </c>
      <c r="L310" s="120">
        <f t="shared" si="64"/>
        <v>72.287724965389941</v>
      </c>
      <c r="M310" s="122">
        <f t="shared" si="58"/>
        <v>834564</v>
      </c>
      <c r="N310" s="116">
        <f t="shared" si="59"/>
        <v>521269</v>
      </c>
      <c r="O310" s="123">
        <f t="shared" si="60"/>
        <v>120.27434240886018</v>
      </c>
      <c r="P310" s="5"/>
      <c r="Q310" s="5">
        <f t="shared" si="54"/>
        <v>1</v>
      </c>
      <c r="R310" s="7">
        <f t="shared" si="55"/>
        <v>4334</v>
      </c>
      <c r="S310" s="5">
        <f t="shared" si="56"/>
        <v>1</v>
      </c>
      <c r="T310" s="7">
        <f t="shared" si="57"/>
        <v>4334</v>
      </c>
    </row>
    <row r="311" spans="1:20">
      <c r="A311" s="23" t="s">
        <v>352</v>
      </c>
      <c r="B311" s="35" t="s">
        <v>342</v>
      </c>
      <c r="C311" s="36">
        <v>67798</v>
      </c>
      <c r="D311" s="6"/>
      <c r="E311" s="113">
        <v>2412668632</v>
      </c>
      <c r="F311" s="116">
        <f t="shared" si="62"/>
        <v>35586.13280627747</v>
      </c>
      <c r="G311" s="117">
        <v>1815974392</v>
      </c>
      <c r="H311" s="117">
        <f t="shared" si="63"/>
        <v>26785.073187999646</v>
      </c>
      <c r="I311" s="7"/>
      <c r="J311" s="10">
        <v>3.4</v>
      </c>
      <c r="K311" s="117">
        <v>6174312</v>
      </c>
      <c r="L311" s="120">
        <f t="shared" si="64"/>
        <v>91.069235080680841</v>
      </c>
      <c r="M311" s="122">
        <f t="shared" si="58"/>
        <v>18159743.920000002</v>
      </c>
      <c r="N311" s="116">
        <f t="shared" si="59"/>
        <v>11985431.920000002</v>
      </c>
      <c r="O311" s="123">
        <f t="shared" si="60"/>
        <v>176.78149679931565</v>
      </c>
      <c r="P311" s="5"/>
      <c r="Q311" s="5">
        <f t="shared" si="54"/>
        <v>1</v>
      </c>
      <c r="R311" s="7">
        <f t="shared" si="55"/>
        <v>67798</v>
      </c>
      <c r="S311" s="5">
        <f t="shared" si="56"/>
        <v>1</v>
      </c>
      <c r="T311" s="7">
        <f t="shared" si="57"/>
        <v>67798</v>
      </c>
    </row>
    <row r="312" spans="1:20">
      <c r="A312" s="23" t="s">
        <v>353</v>
      </c>
      <c r="B312" s="35" t="s">
        <v>342</v>
      </c>
      <c r="C312" s="36">
        <v>4225</v>
      </c>
      <c r="D312" s="6"/>
      <c r="E312" s="113">
        <v>450323000</v>
      </c>
      <c r="F312" s="116">
        <f t="shared" si="62"/>
        <v>106585.32544378698</v>
      </c>
      <c r="G312" s="117">
        <v>387552410</v>
      </c>
      <c r="H312" s="117">
        <f t="shared" si="63"/>
        <v>91728.381065088761</v>
      </c>
      <c r="I312" s="7"/>
      <c r="J312" s="10">
        <v>2.2000000000000002</v>
      </c>
      <c r="K312" s="117">
        <v>852615</v>
      </c>
      <c r="L312" s="120">
        <f t="shared" si="64"/>
        <v>201.80236686390532</v>
      </c>
      <c r="M312" s="122">
        <f t="shared" si="58"/>
        <v>3875524.1</v>
      </c>
      <c r="N312" s="116">
        <f t="shared" si="59"/>
        <v>3022909.1</v>
      </c>
      <c r="O312" s="123">
        <f t="shared" si="60"/>
        <v>715.48144378698225</v>
      </c>
      <c r="P312" s="5"/>
      <c r="Q312" s="5">
        <f t="shared" si="54"/>
        <v>1</v>
      </c>
      <c r="R312" s="7">
        <f t="shared" si="55"/>
        <v>4225</v>
      </c>
      <c r="S312" s="5">
        <f t="shared" si="56"/>
        <v>1</v>
      </c>
      <c r="T312" s="7">
        <f t="shared" si="57"/>
        <v>4225</v>
      </c>
    </row>
    <row r="313" spans="1:20">
      <c r="A313" s="23" t="s">
        <v>354</v>
      </c>
      <c r="B313" s="35" t="s">
        <v>342</v>
      </c>
      <c r="C313" s="36">
        <v>1147</v>
      </c>
      <c r="D313" s="6"/>
      <c r="E313" s="113">
        <v>148209260</v>
      </c>
      <c r="F313" s="116">
        <f t="shared" si="62"/>
        <v>129214.69921534437</v>
      </c>
      <c r="G313" s="117">
        <v>137625860</v>
      </c>
      <c r="H313" s="117">
        <f t="shared" si="63"/>
        <v>119987.67218831734</v>
      </c>
      <c r="I313" s="7"/>
      <c r="J313" s="10">
        <v>1.3633</v>
      </c>
      <c r="K313" s="117">
        <v>187625</v>
      </c>
      <c r="L313" s="120">
        <f t="shared" si="64"/>
        <v>163.57890148212729</v>
      </c>
      <c r="M313" s="122">
        <f t="shared" si="58"/>
        <v>1376258.6</v>
      </c>
      <c r="N313" s="116">
        <f t="shared" si="59"/>
        <v>1188633.6000000001</v>
      </c>
      <c r="O313" s="123">
        <f t="shared" si="60"/>
        <v>1036.2978204010462</v>
      </c>
      <c r="P313" s="5"/>
      <c r="Q313" s="5">
        <f t="shared" si="54"/>
        <v>1</v>
      </c>
      <c r="R313" s="7">
        <f t="shared" si="55"/>
        <v>1147</v>
      </c>
      <c r="S313" s="5">
        <f t="shared" si="56"/>
        <v>1</v>
      </c>
      <c r="T313" s="7">
        <f t="shared" si="57"/>
        <v>1147</v>
      </c>
    </row>
    <row r="314" spans="1:20">
      <c r="A314" s="23" t="s">
        <v>355</v>
      </c>
      <c r="B314" s="35" t="s">
        <v>342</v>
      </c>
      <c r="C314" s="36">
        <v>9224</v>
      </c>
      <c r="D314" s="6"/>
      <c r="E314" s="113">
        <v>464947936</v>
      </c>
      <c r="F314" s="116">
        <f t="shared" si="62"/>
        <v>50406.324371205548</v>
      </c>
      <c r="G314" s="117">
        <v>367436935</v>
      </c>
      <c r="H314" s="117">
        <f t="shared" si="63"/>
        <v>39834.88020381613</v>
      </c>
      <c r="I314" s="7"/>
      <c r="J314" s="10">
        <v>4.75</v>
      </c>
      <c r="K314" s="117">
        <v>1745325</v>
      </c>
      <c r="L314" s="120">
        <f t="shared" si="64"/>
        <v>189.21563313096271</v>
      </c>
      <c r="M314" s="122">
        <f t="shared" si="58"/>
        <v>3674369.35</v>
      </c>
      <c r="N314" s="116">
        <f t="shared" si="59"/>
        <v>1929044.35</v>
      </c>
      <c r="O314" s="123">
        <f t="shared" si="60"/>
        <v>209.13316890719861</v>
      </c>
      <c r="P314" s="5"/>
      <c r="Q314" s="5">
        <f t="shared" si="54"/>
        <v>1</v>
      </c>
      <c r="R314" s="7">
        <f t="shared" si="55"/>
        <v>9224</v>
      </c>
      <c r="S314" s="5">
        <f t="shared" si="56"/>
        <v>1</v>
      </c>
      <c r="T314" s="7">
        <f t="shared" si="57"/>
        <v>9224</v>
      </c>
    </row>
    <row r="315" spans="1:20">
      <c r="A315" s="23" t="s">
        <v>356</v>
      </c>
      <c r="B315" s="35" t="s">
        <v>342</v>
      </c>
      <c r="C315" s="36">
        <v>44472</v>
      </c>
      <c r="D315" s="6"/>
      <c r="E315" s="113">
        <v>1916045791</v>
      </c>
      <c r="F315" s="116">
        <f t="shared" si="62"/>
        <v>43084.318020327395</v>
      </c>
      <c r="G315" s="117">
        <v>1458820921</v>
      </c>
      <c r="H315" s="117">
        <f t="shared" si="63"/>
        <v>32803.132780176289</v>
      </c>
      <c r="I315" s="7"/>
      <c r="J315" s="10">
        <v>4.3807999999999998</v>
      </c>
      <c r="K315" s="117">
        <v>6390802</v>
      </c>
      <c r="L315" s="120">
        <f t="shared" si="64"/>
        <v>143.70394855189781</v>
      </c>
      <c r="M315" s="122">
        <f t="shared" si="58"/>
        <v>14588209.210000001</v>
      </c>
      <c r="N315" s="116">
        <f t="shared" si="59"/>
        <v>8197407.2100000009</v>
      </c>
      <c r="O315" s="123">
        <f t="shared" si="60"/>
        <v>184.32737924986512</v>
      </c>
      <c r="P315" s="5"/>
      <c r="Q315" s="5">
        <f t="shared" si="54"/>
        <v>1</v>
      </c>
      <c r="R315" s="7">
        <f t="shared" si="55"/>
        <v>44472</v>
      </c>
      <c r="S315" s="5">
        <f t="shared" si="56"/>
        <v>1</v>
      </c>
      <c r="T315" s="7">
        <f t="shared" si="57"/>
        <v>44472</v>
      </c>
    </row>
    <row r="316" spans="1:20">
      <c r="A316" s="23" t="s">
        <v>357</v>
      </c>
      <c r="B316" s="35" t="s">
        <v>342</v>
      </c>
      <c r="C316" s="36">
        <v>1605</v>
      </c>
      <c r="D316" s="6"/>
      <c r="E316" s="113">
        <v>136305780</v>
      </c>
      <c r="F316" s="116">
        <f t="shared" si="62"/>
        <v>84925.719626168226</v>
      </c>
      <c r="G316" s="117">
        <v>115282980</v>
      </c>
      <c r="H316" s="117">
        <f t="shared" si="63"/>
        <v>71827.401869158872</v>
      </c>
      <c r="I316" s="7"/>
      <c r="J316" s="10">
        <v>2.97</v>
      </c>
      <c r="K316" s="117">
        <v>342390</v>
      </c>
      <c r="L316" s="120">
        <f t="shared" si="64"/>
        <v>213.32710280373831</v>
      </c>
      <c r="M316" s="122">
        <f t="shared" si="58"/>
        <v>1152829.8</v>
      </c>
      <c r="N316" s="116">
        <f t="shared" si="59"/>
        <v>810439.8</v>
      </c>
      <c r="O316" s="123">
        <f t="shared" si="60"/>
        <v>504.94691588785048</v>
      </c>
      <c r="P316" s="5"/>
      <c r="Q316" s="5">
        <f t="shared" si="54"/>
        <v>1</v>
      </c>
      <c r="R316" s="7">
        <f t="shared" si="55"/>
        <v>1605</v>
      </c>
      <c r="S316" s="5">
        <f t="shared" si="56"/>
        <v>1</v>
      </c>
      <c r="T316" s="7">
        <f t="shared" si="57"/>
        <v>1605</v>
      </c>
    </row>
    <row r="317" spans="1:20">
      <c r="A317" s="23" t="s">
        <v>358</v>
      </c>
      <c r="B317" s="35" t="s">
        <v>342</v>
      </c>
      <c r="C317" s="36">
        <v>2411</v>
      </c>
      <c r="D317" s="6"/>
      <c r="E317" s="113">
        <v>208578140</v>
      </c>
      <c r="F317" s="116">
        <f t="shared" si="62"/>
        <v>86511.049357113225</v>
      </c>
      <c r="G317" s="117">
        <v>183560820</v>
      </c>
      <c r="H317" s="117">
        <f t="shared" ref="H317:H348" si="65">(G317/C317)</f>
        <v>76134.724180837831</v>
      </c>
      <c r="I317" s="7"/>
      <c r="J317" s="10">
        <v>1.2441</v>
      </c>
      <c r="K317" s="117">
        <v>228368</v>
      </c>
      <c r="L317" s="120">
        <f t="shared" si="64"/>
        <v>94.719203649937782</v>
      </c>
      <c r="M317" s="122">
        <f t="shared" si="58"/>
        <v>1835608.2</v>
      </c>
      <c r="N317" s="116">
        <f t="shared" si="59"/>
        <v>1607240.2</v>
      </c>
      <c r="O317" s="123">
        <f t="shared" si="60"/>
        <v>666.62803815844052</v>
      </c>
      <c r="P317" s="5"/>
      <c r="Q317" s="5">
        <f t="shared" si="54"/>
        <v>1</v>
      </c>
      <c r="R317" s="7">
        <f t="shared" si="55"/>
        <v>2411</v>
      </c>
      <c r="S317" s="5">
        <f t="shared" si="56"/>
        <v>1</v>
      </c>
      <c r="T317" s="7">
        <f t="shared" si="57"/>
        <v>2411</v>
      </c>
    </row>
    <row r="318" spans="1:20">
      <c r="A318" s="23" t="s">
        <v>359</v>
      </c>
      <c r="B318" s="35" t="s">
        <v>342</v>
      </c>
      <c r="C318" s="36">
        <v>16750</v>
      </c>
      <c r="D318" s="6"/>
      <c r="E318" s="113">
        <v>796842476</v>
      </c>
      <c r="F318" s="116">
        <f t="shared" si="62"/>
        <v>47572.685134328356</v>
      </c>
      <c r="G318" s="117">
        <v>565931586</v>
      </c>
      <c r="H318" s="117">
        <f t="shared" si="65"/>
        <v>33786.960358208955</v>
      </c>
      <c r="I318" s="7"/>
      <c r="J318" s="10">
        <v>3.7526999999999999</v>
      </c>
      <c r="K318" s="117">
        <v>2123771</v>
      </c>
      <c r="L318" s="120">
        <f t="shared" si="64"/>
        <v>126.79229850746269</v>
      </c>
      <c r="M318" s="122">
        <f t="shared" si="58"/>
        <v>5659315.8600000003</v>
      </c>
      <c r="N318" s="116">
        <f t="shared" si="59"/>
        <v>3535544.8600000003</v>
      </c>
      <c r="O318" s="123">
        <f t="shared" si="60"/>
        <v>211.07730507462688</v>
      </c>
      <c r="P318" s="5"/>
      <c r="Q318" s="5">
        <f t="shared" si="54"/>
        <v>1</v>
      </c>
      <c r="R318" s="7">
        <f t="shared" si="55"/>
        <v>16750</v>
      </c>
      <c r="S318" s="5">
        <f t="shared" si="56"/>
        <v>1</v>
      </c>
      <c r="T318" s="7">
        <f t="shared" si="57"/>
        <v>16750</v>
      </c>
    </row>
    <row r="319" spans="1:20">
      <c r="A319" s="23" t="s">
        <v>360</v>
      </c>
      <c r="B319" s="35" t="s">
        <v>342</v>
      </c>
      <c r="C319" s="36">
        <v>9658</v>
      </c>
      <c r="D319" s="6"/>
      <c r="E319" s="113">
        <v>438334742</v>
      </c>
      <c r="F319" s="116">
        <f t="shared" si="62"/>
        <v>45385.663905570509</v>
      </c>
      <c r="G319" s="117">
        <v>338982040</v>
      </c>
      <c r="H319" s="117">
        <f t="shared" si="65"/>
        <v>35098.575274383933</v>
      </c>
      <c r="I319" s="7"/>
      <c r="J319" s="10">
        <v>3.5057999999999998</v>
      </c>
      <c r="K319" s="117">
        <v>1188403</v>
      </c>
      <c r="L319" s="120">
        <f t="shared" si="64"/>
        <v>123.04856077862911</v>
      </c>
      <c r="M319" s="122">
        <f t="shared" si="58"/>
        <v>3389820.4</v>
      </c>
      <c r="N319" s="116">
        <f t="shared" si="59"/>
        <v>2201417.4</v>
      </c>
      <c r="O319" s="123">
        <f t="shared" si="60"/>
        <v>227.93719196521019</v>
      </c>
      <c r="P319" s="5"/>
      <c r="Q319" s="5">
        <f t="shared" si="54"/>
        <v>1</v>
      </c>
      <c r="R319" s="7">
        <f t="shared" si="55"/>
        <v>9658</v>
      </c>
      <c r="S319" s="5">
        <f t="shared" si="56"/>
        <v>1</v>
      </c>
      <c r="T319" s="7">
        <f t="shared" si="57"/>
        <v>9658</v>
      </c>
    </row>
    <row r="320" spans="1:20">
      <c r="A320" s="23" t="s">
        <v>361</v>
      </c>
      <c r="B320" s="35" t="s">
        <v>342</v>
      </c>
      <c r="C320" s="36">
        <v>5867</v>
      </c>
      <c r="D320" s="6"/>
      <c r="E320" s="113">
        <v>351566840</v>
      </c>
      <c r="F320" s="116">
        <f t="shared" si="62"/>
        <v>59922.761206749616</v>
      </c>
      <c r="G320" s="117">
        <v>292653650</v>
      </c>
      <c r="H320" s="117">
        <f t="shared" si="65"/>
        <v>49881.310720981761</v>
      </c>
      <c r="I320" s="7"/>
      <c r="J320" s="10">
        <v>1.4433</v>
      </c>
      <c r="K320" s="117">
        <v>422387</v>
      </c>
      <c r="L320" s="120">
        <f t="shared" si="64"/>
        <v>71.993693540139759</v>
      </c>
      <c r="M320" s="122">
        <f t="shared" si="58"/>
        <v>2926536.5</v>
      </c>
      <c r="N320" s="116">
        <f t="shared" si="59"/>
        <v>2504149.5</v>
      </c>
      <c r="O320" s="123">
        <f t="shared" si="60"/>
        <v>426.81941366967789</v>
      </c>
      <c r="P320" s="5"/>
      <c r="Q320" s="5">
        <f t="shared" si="54"/>
        <v>1</v>
      </c>
      <c r="R320" s="7">
        <f t="shared" si="55"/>
        <v>5867</v>
      </c>
      <c r="S320" s="5">
        <f t="shared" si="56"/>
        <v>1</v>
      </c>
      <c r="T320" s="7">
        <f t="shared" si="57"/>
        <v>5867</v>
      </c>
    </row>
    <row r="321" spans="1:20">
      <c r="A321" s="24" t="s">
        <v>561</v>
      </c>
      <c r="B321" s="35" t="s">
        <v>342</v>
      </c>
      <c r="C321" s="36">
        <v>9589</v>
      </c>
      <c r="D321" s="6"/>
      <c r="E321" s="113">
        <v>1195691580</v>
      </c>
      <c r="F321" s="116">
        <f t="shared" si="62"/>
        <v>124694.08488893523</v>
      </c>
      <c r="G321" s="117">
        <v>1023331230</v>
      </c>
      <c r="H321" s="117">
        <f t="shared" si="65"/>
        <v>106719.28563979561</v>
      </c>
      <c r="I321" s="7"/>
      <c r="J321" s="10">
        <v>2.8</v>
      </c>
      <c r="K321" s="117">
        <v>2865327</v>
      </c>
      <c r="L321" s="120">
        <f t="shared" si="64"/>
        <v>298.81395348837208</v>
      </c>
      <c r="M321" s="122">
        <f t="shared" si="58"/>
        <v>10233312.300000001</v>
      </c>
      <c r="N321" s="116">
        <f t="shared" si="59"/>
        <v>7367985.3000000007</v>
      </c>
      <c r="O321" s="123">
        <f t="shared" si="60"/>
        <v>768.37890290958399</v>
      </c>
      <c r="P321" s="5"/>
      <c r="Q321" s="5">
        <f t="shared" si="54"/>
        <v>1</v>
      </c>
      <c r="R321" s="7">
        <f t="shared" si="55"/>
        <v>9589</v>
      </c>
      <c r="S321" s="5">
        <f t="shared" si="56"/>
        <v>1</v>
      </c>
      <c r="T321" s="7">
        <f t="shared" si="57"/>
        <v>9589</v>
      </c>
    </row>
    <row r="322" spans="1:20">
      <c r="A322" s="23" t="s">
        <v>548</v>
      </c>
      <c r="B322" s="35" t="s">
        <v>342</v>
      </c>
      <c r="C322" s="36">
        <v>241276</v>
      </c>
      <c r="D322" s="6"/>
      <c r="E322" s="113">
        <v>9871474277</v>
      </c>
      <c r="F322" s="116">
        <f t="shared" si="62"/>
        <v>40913.618747824068</v>
      </c>
      <c r="G322" s="117">
        <v>6866431243</v>
      </c>
      <c r="H322" s="117">
        <f t="shared" si="65"/>
        <v>28458.824097713823</v>
      </c>
      <c r="I322" s="7"/>
      <c r="J322" s="10">
        <v>7.4619999999999997</v>
      </c>
      <c r="K322" s="117">
        <v>51237309</v>
      </c>
      <c r="L322" s="120">
        <f t="shared" si="64"/>
        <v>212.35974154080805</v>
      </c>
      <c r="M322" s="122">
        <f t="shared" si="58"/>
        <v>68664312.430000007</v>
      </c>
      <c r="N322" s="116">
        <f t="shared" si="59"/>
        <v>17427003.430000007</v>
      </c>
      <c r="O322" s="123">
        <f t="shared" si="60"/>
        <v>72.22849943633021</v>
      </c>
      <c r="P322" s="5"/>
      <c r="Q322" s="5">
        <f t="shared" si="54"/>
        <v>1</v>
      </c>
      <c r="R322" s="7">
        <f t="shared" si="55"/>
        <v>241276</v>
      </c>
      <c r="S322" s="5">
        <f t="shared" si="56"/>
        <v>1</v>
      </c>
      <c r="T322" s="7">
        <f t="shared" si="57"/>
        <v>241276</v>
      </c>
    </row>
    <row r="323" spans="1:20">
      <c r="A323" s="23" t="s">
        <v>362</v>
      </c>
      <c r="B323" s="35" t="s">
        <v>342</v>
      </c>
      <c r="C323" s="36">
        <v>19507</v>
      </c>
      <c r="D323" s="6"/>
      <c r="E323" s="113">
        <v>965267460</v>
      </c>
      <c r="F323" s="116">
        <f t="shared" si="62"/>
        <v>49483.132208950636</v>
      </c>
      <c r="G323" s="117">
        <v>709634750</v>
      </c>
      <c r="H323" s="117">
        <f t="shared" si="65"/>
        <v>36378.466704260012</v>
      </c>
      <c r="I323" s="7"/>
      <c r="J323" s="10">
        <v>5.4541000000000004</v>
      </c>
      <c r="K323" s="117">
        <v>3870418</v>
      </c>
      <c r="L323" s="120">
        <f t="shared" si="64"/>
        <v>198.41174962833855</v>
      </c>
      <c r="M323" s="122">
        <f t="shared" si="58"/>
        <v>7096347.5</v>
      </c>
      <c r="N323" s="116">
        <f t="shared" si="59"/>
        <v>3225929.5</v>
      </c>
      <c r="O323" s="123">
        <f t="shared" si="60"/>
        <v>165.37291741426154</v>
      </c>
      <c r="P323" s="5"/>
      <c r="Q323" s="5">
        <f t="shared" si="54"/>
        <v>1</v>
      </c>
      <c r="R323" s="7">
        <f t="shared" si="55"/>
        <v>19507</v>
      </c>
      <c r="S323" s="5">
        <f t="shared" si="56"/>
        <v>1</v>
      </c>
      <c r="T323" s="7">
        <f t="shared" si="57"/>
        <v>19507</v>
      </c>
    </row>
    <row r="324" spans="1:20">
      <c r="A324" s="23" t="s">
        <v>363</v>
      </c>
      <c r="B324" s="35" t="s">
        <v>342</v>
      </c>
      <c r="C324" s="36">
        <v>7347</v>
      </c>
      <c r="D324" s="6"/>
      <c r="E324" s="113">
        <v>837419250</v>
      </c>
      <c r="F324" s="116">
        <f t="shared" si="62"/>
        <v>113981.11474071049</v>
      </c>
      <c r="G324" s="117">
        <v>630863040</v>
      </c>
      <c r="H324" s="117">
        <f t="shared" si="65"/>
        <v>85866.753777051854</v>
      </c>
      <c r="I324" s="7"/>
      <c r="J324" s="10">
        <v>1.5271999999999999</v>
      </c>
      <c r="K324" s="117">
        <v>963454</v>
      </c>
      <c r="L324" s="120">
        <f t="shared" si="64"/>
        <v>131.13570164693073</v>
      </c>
      <c r="M324" s="122">
        <f t="shared" si="58"/>
        <v>6308630.4000000004</v>
      </c>
      <c r="N324" s="116">
        <f t="shared" si="59"/>
        <v>5345176.4000000004</v>
      </c>
      <c r="O324" s="123">
        <f t="shared" si="60"/>
        <v>727.53183612358794</v>
      </c>
      <c r="P324" s="5"/>
      <c r="Q324" s="5">
        <f t="shared" si="54"/>
        <v>1</v>
      </c>
      <c r="R324" s="7">
        <f t="shared" si="55"/>
        <v>7347</v>
      </c>
      <c r="S324" s="5">
        <f t="shared" si="56"/>
        <v>1</v>
      </c>
      <c r="T324" s="7">
        <f t="shared" si="57"/>
        <v>7347</v>
      </c>
    </row>
    <row r="325" spans="1:20">
      <c r="A325" s="23" t="s">
        <v>364</v>
      </c>
      <c r="B325" s="35" t="s">
        <v>365</v>
      </c>
      <c r="C325" s="36">
        <v>9323</v>
      </c>
      <c r="D325" s="6"/>
      <c r="E325" s="113">
        <v>326639273</v>
      </c>
      <c r="F325" s="116">
        <f t="shared" si="62"/>
        <v>35035.854660516998</v>
      </c>
      <c r="G325" s="117">
        <v>226403664</v>
      </c>
      <c r="H325" s="117">
        <f t="shared" si="65"/>
        <v>24284.421752654725</v>
      </c>
      <c r="I325" s="7"/>
      <c r="J325" s="10">
        <v>4.516</v>
      </c>
      <c r="K325" s="117">
        <v>1022438</v>
      </c>
      <c r="L325" s="120">
        <f t="shared" si="64"/>
        <v>109.66834709857342</v>
      </c>
      <c r="M325" s="122">
        <f t="shared" si="58"/>
        <v>2264036.64</v>
      </c>
      <c r="N325" s="116">
        <f t="shared" si="59"/>
        <v>1241598.6400000001</v>
      </c>
      <c r="O325" s="123">
        <f t="shared" si="60"/>
        <v>133.17587042797385</v>
      </c>
      <c r="P325" s="5"/>
      <c r="Q325" s="5">
        <f t="shared" si="54"/>
        <v>1</v>
      </c>
      <c r="R325" s="7">
        <f t="shared" si="55"/>
        <v>9323</v>
      </c>
      <c r="S325" s="5">
        <f t="shared" si="56"/>
        <v>1</v>
      </c>
      <c r="T325" s="7">
        <f t="shared" si="57"/>
        <v>9323</v>
      </c>
    </row>
    <row r="326" spans="1:20">
      <c r="A326" s="23" t="s">
        <v>366</v>
      </c>
      <c r="B326" s="35" t="s">
        <v>365</v>
      </c>
      <c r="C326" s="36">
        <v>15025</v>
      </c>
      <c r="D326" s="6"/>
      <c r="E326" s="113">
        <v>486975646</v>
      </c>
      <c r="F326" s="116">
        <f t="shared" si="62"/>
        <v>32411.024692179701</v>
      </c>
      <c r="G326" s="117">
        <v>254779318</v>
      </c>
      <c r="H326" s="117">
        <f t="shared" si="65"/>
        <v>16957.026156405991</v>
      </c>
      <c r="I326" s="7"/>
      <c r="J326" s="10">
        <v>0.78200000000000003</v>
      </c>
      <c r="K326" s="117">
        <v>199237</v>
      </c>
      <c r="L326" s="120">
        <f t="shared" si="64"/>
        <v>13.26036605657238</v>
      </c>
      <c r="M326" s="122">
        <f t="shared" si="58"/>
        <v>2547793.1800000002</v>
      </c>
      <c r="N326" s="116">
        <f t="shared" si="59"/>
        <v>2348556.1800000002</v>
      </c>
      <c r="O326" s="123">
        <f t="shared" si="60"/>
        <v>156.30989550748754</v>
      </c>
      <c r="P326" s="5"/>
      <c r="Q326" s="5">
        <f t="shared" si="54"/>
        <v>1</v>
      </c>
      <c r="R326" s="7">
        <f t="shared" si="55"/>
        <v>15025</v>
      </c>
      <c r="S326" s="5">
        <f t="shared" si="56"/>
        <v>1</v>
      </c>
      <c r="T326" s="7">
        <f t="shared" si="57"/>
        <v>15025</v>
      </c>
    </row>
    <row r="327" spans="1:20">
      <c r="A327" s="23" t="s">
        <v>367</v>
      </c>
      <c r="B327" s="35" t="s">
        <v>365</v>
      </c>
      <c r="C327" s="36">
        <v>1981</v>
      </c>
      <c r="D327" s="6"/>
      <c r="E327" s="113">
        <v>50601851</v>
      </c>
      <c r="F327" s="116">
        <f t="shared" si="62"/>
        <v>25543.589601211508</v>
      </c>
      <c r="G327" s="117">
        <v>31752190</v>
      </c>
      <c r="H327" s="117">
        <f t="shared" si="65"/>
        <v>16028.36446239273</v>
      </c>
      <c r="I327" s="7"/>
      <c r="J327" s="10">
        <v>5.6</v>
      </c>
      <c r="K327" s="117">
        <v>177812</v>
      </c>
      <c r="L327" s="120">
        <f t="shared" si="64"/>
        <v>89.758707723372041</v>
      </c>
      <c r="M327" s="122">
        <f t="shared" si="58"/>
        <v>317521.90000000002</v>
      </c>
      <c r="N327" s="116">
        <f t="shared" si="59"/>
        <v>139709.90000000002</v>
      </c>
      <c r="O327" s="123">
        <f t="shared" si="60"/>
        <v>70.524936900555289</v>
      </c>
      <c r="P327" s="5"/>
      <c r="Q327" s="5">
        <f t="shared" ref="Q327:Q390" si="66">IF(E327&gt;0,1,0)</f>
        <v>1</v>
      </c>
      <c r="R327" s="7">
        <f t="shared" ref="R327:R390" si="67">IF(E327&gt;0,C327,0)</f>
        <v>1981</v>
      </c>
      <c r="S327" s="5">
        <f t="shared" ref="S327:S390" si="68">IF(J327&gt;0,1,0)</f>
        <v>1</v>
      </c>
      <c r="T327" s="7">
        <f t="shared" ref="T327:T390" si="69">IF(J327&gt;0,C327,0)</f>
        <v>1981</v>
      </c>
    </row>
    <row r="328" spans="1:20">
      <c r="A328" s="23" t="s">
        <v>368</v>
      </c>
      <c r="B328" s="35" t="s">
        <v>365</v>
      </c>
      <c r="C328" s="36">
        <v>2572</v>
      </c>
      <c r="D328" s="6"/>
      <c r="E328" s="113">
        <v>79068313</v>
      </c>
      <c r="F328" s="116">
        <f t="shared" si="62"/>
        <v>30741.956842923795</v>
      </c>
      <c r="G328" s="117">
        <v>59356244</v>
      </c>
      <c r="H328" s="117">
        <f t="shared" si="65"/>
        <v>23077.855365474337</v>
      </c>
      <c r="I328" s="7"/>
      <c r="J328" s="10">
        <v>4.49</v>
      </c>
      <c r="K328" s="117">
        <v>266509</v>
      </c>
      <c r="L328" s="120">
        <f t="shared" si="64"/>
        <v>103.61936236391912</v>
      </c>
      <c r="M328" s="122">
        <f t="shared" ref="M328:M391" si="70">(G328*0.01)</f>
        <v>593562.44000000006</v>
      </c>
      <c r="N328" s="116">
        <f t="shared" ref="N328:N391" si="71">(M328-K328)</f>
        <v>327053.44000000006</v>
      </c>
      <c r="O328" s="123">
        <f t="shared" ref="O328:O391" si="72">(N328/C328)</f>
        <v>127.15919129082428</v>
      </c>
      <c r="P328" s="5"/>
      <c r="Q328" s="5">
        <f t="shared" si="66"/>
        <v>1</v>
      </c>
      <c r="R328" s="7">
        <f t="shared" si="67"/>
        <v>2572</v>
      </c>
      <c r="S328" s="5">
        <f t="shared" si="68"/>
        <v>1</v>
      </c>
      <c r="T328" s="7">
        <f t="shared" si="69"/>
        <v>2572</v>
      </c>
    </row>
    <row r="329" spans="1:20">
      <c r="A329" s="23" t="s">
        <v>369</v>
      </c>
      <c r="B329" s="35" t="s">
        <v>365</v>
      </c>
      <c r="C329" s="36">
        <v>1903</v>
      </c>
      <c r="D329" s="6"/>
      <c r="E329" s="113">
        <v>35255168</v>
      </c>
      <c r="F329" s="116">
        <f t="shared" si="62"/>
        <v>18526.099842354179</v>
      </c>
      <c r="G329" s="117">
        <v>19467473</v>
      </c>
      <c r="H329" s="117">
        <f t="shared" si="65"/>
        <v>10229.885969521807</v>
      </c>
      <c r="I329" s="7"/>
      <c r="J329" s="10">
        <v>5.5739999999999998</v>
      </c>
      <c r="K329" s="117">
        <v>108511</v>
      </c>
      <c r="L329" s="120">
        <f>(K329/C329)</f>
        <v>57.021019442984759</v>
      </c>
      <c r="M329" s="122">
        <f t="shared" si="70"/>
        <v>194674.73</v>
      </c>
      <c r="N329" s="116">
        <f t="shared" si="71"/>
        <v>86163.73000000001</v>
      </c>
      <c r="O329" s="123">
        <f t="shared" si="72"/>
        <v>45.277840252233318</v>
      </c>
      <c r="P329" s="5"/>
      <c r="Q329" s="5">
        <f t="shared" si="66"/>
        <v>1</v>
      </c>
      <c r="R329" s="7">
        <f t="shared" si="67"/>
        <v>1903</v>
      </c>
      <c r="S329" s="5">
        <f t="shared" si="68"/>
        <v>1</v>
      </c>
      <c r="T329" s="7">
        <f t="shared" si="69"/>
        <v>1903</v>
      </c>
    </row>
    <row r="330" spans="1:20">
      <c r="A330" s="23" t="s">
        <v>370</v>
      </c>
      <c r="B330" s="35" t="s">
        <v>365</v>
      </c>
      <c r="C330" s="36">
        <v>5455</v>
      </c>
      <c r="D330" s="6"/>
      <c r="E330" s="113">
        <v>101961436</v>
      </c>
      <c r="F330" s="116">
        <f t="shared" si="62"/>
        <v>18691.372318973419</v>
      </c>
      <c r="G330" s="117">
        <v>55461867</v>
      </c>
      <c r="H330" s="117">
        <f t="shared" si="65"/>
        <v>10167.161686526122</v>
      </c>
      <c r="I330" s="98" t="s">
        <v>528</v>
      </c>
      <c r="J330" s="10"/>
      <c r="K330" s="117"/>
      <c r="L330" s="120"/>
      <c r="M330" s="122">
        <f t="shared" si="70"/>
        <v>554618.67000000004</v>
      </c>
      <c r="N330" s="116">
        <f t="shared" si="71"/>
        <v>554618.67000000004</v>
      </c>
      <c r="O330" s="123">
        <f t="shared" si="72"/>
        <v>101.67161686526124</v>
      </c>
      <c r="P330" s="5"/>
      <c r="Q330" s="5">
        <f t="shared" si="66"/>
        <v>1</v>
      </c>
      <c r="R330" s="7">
        <f t="shared" si="67"/>
        <v>5455</v>
      </c>
      <c r="S330" s="5">
        <f t="shared" si="68"/>
        <v>0</v>
      </c>
      <c r="T330" s="7">
        <f t="shared" si="69"/>
        <v>0</v>
      </c>
    </row>
    <row r="331" spans="1:20">
      <c r="A331" s="23" t="s">
        <v>371</v>
      </c>
      <c r="B331" s="35" t="s">
        <v>365</v>
      </c>
      <c r="C331" s="36">
        <v>2904</v>
      </c>
      <c r="D331" s="6"/>
      <c r="E331" s="113">
        <v>120423344</v>
      </c>
      <c r="F331" s="116">
        <f t="shared" si="62"/>
        <v>41468.093663911844</v>
      </c>
      <c r="G331" s="117">
        <v>91800392</v>
      </c>
      <c r="H331" s="117">
        <f t="shared" si="65"/>
        <v>31611.705234159781</v>
      </c>
      <c r="I331" s="7"/>
      <c r="J331" s="10">
        <v>6.25</v>
      </c>
      <c r="K331" s="117">
        <v>573752</v>
      </c>
      <c r="L331" s="120">
        <f t="shared" ref="L331:L367" si="73">(K331/C331)</f>
        <v>197.57300275482095</v>
      </c>
      <c r="M331" s="122">
        <f t="shared" si="70"/>
        <v>918003.92</v>
      </c>
      <c r="N331" s="116">
        <f t="shared" si="71"/>
        <v>344251.92000000004</v>
      </c>
      <c r="O331" s="123">
        <f t="shared" si="72"/>
        <v>118.54404958677688</v>
      </c>
      <c r="P331" s="5"/>
      <c r="Q331" s="5">
        <f t="shared" si="66"/>
        <v>1</v>
      </c>
      <c r="R331" s="7">
        <f t="shared" si="67"/>
        <v>2904</v>
      </c>
      <c r="S331" s="5">
        <f t="shared" si="68"/>
        <v>1</v>
      </c>
      <c r="T331" s="7">
        <f t="shared" si="69"/>
        <v>2904</v>
      </c>
    </row>
    <row r="332" spans="1:20">
      <c r="A332" s="23" t="s">
        <v>372</v>
      </c>
      <c r="B332" s="35" t="s">
        <v>365</v>
      </c>
      <c r="C332" s="36">
        <v>12911</v>
      </c>
      <c r="D332" s="6"/>
      <c r="E332" s="113">
        <v>319519298</v>
      </c>
      <c r="F332" s="116">
        <f t="shared" si="62"/>
        <v>24747.835024397802</v>
      </c>
      <c r="G332" s="117">
        <v>219653497</v>
      </c>
      <c r="H332" s="117">
        <f t="shared" si="65"/>
        <v>17012.895747811945</v>
      </c>
      <c r="I332" s="7"/>
      <c r="J332" s="10">
        <v>8</v>
      </c>
      <c r="K332" s="117">
        <v>1757227</v>
      </c>
      <c r="L332" s="120">
        <f t="shared" si="73"/>
        <v>136.10309038804121</v>
      </c>
      <c r="M332" s="122">
        <f t="shared" si="70"/>
        <v>2196534.9700000002</v>
      </c>
      <c r="N332" s="116">
        <f t="shared" si="71"/>
        <v>439307.9700000002</v>
      </c>
      <c r="O332" s="123">
        <f t="shared" si="72"/>
        <v>34.025867090078243</v>
      </c>
      <c r="P332" s="5"/>
      <c r="Q332" s="5">
        <f t="shared" si="66"/>
        <v>1</v>
      </c>
      <c r="R332" s="7">
        <f t="shared" si="67"/>
        <v>12911</v>
      </c>
      <c r="S332" s="5">
        <f t="shared" si="68"/>
        <v>1</v>
      </c>
      <c r="T332" s="7">
        <f t="shared" si="69"/>
        <v>12911</v>
      </c>
    </row>
    <row r="333" spans="1:20">
      <c r="A333" s="23" t="s">
        <v>373</v>
      </c>
      <c r="B333" s="35" t="s">
        <v>365</v>
      </c>
      <c r="C333" s="36">
        <v>155</v>
      </c>
      <c r="D333" s="6"/>
      <c r="E333" s="113">
        <v>8748351</v>
      </c>
      <c r="F333" s="116">
        <f t="shared" si="62"/>
        <v>56440.974193548383</v>
      </c>
      <c r="G333" s="117">
        <v>7304911</v>
      </c>
      <c r="H333" s="117">
        <f t="shared" si="65"/>
        <v>47128.458064516126</v>
      </c>
      <c r="I333" s="7"/>
      <c r="J333" s="10">
        <v>6.8659999999999997</v>
      </c>
      <c r="K333" s="117">
        <v>50155</v>
      </c>
      <c r="L333" s="120">
        <f t="shared" si="73"/>
        <v>323.58064516129031</v>
      </c>
      <c r="M333" s="122">
        <f t="shared" si="70"/>
        <v>73049.11</v>
      </c>
      <c r="N333" s="116">
        <f t="shared" si="71"/>
        <v>22894.11</v>
      </c>
      <c r="O333" s="123">
        <f t="shared" si="72"/>
        <v>147.70393548387096</v>
      </c>
      <c r="P333" s="5"/>
      <c r="Q333" s="5">
        <f t="shared" si="66"/>
        <v>1</v>
      </c>
      <c r="R333" s="7">
        <f t="shared" si="67"/>
        <v>155</v>
      </c>
      <c r="S333" s="5">
        <f t="shared" si="68"/>
        <v>1</v>
      </c>
      <c r="T333" s="7">
        <f t="shared" si="69"/>
        <v>155</v>
      </c>
    </row>
    <row r="334" spans="1:20">
      <c r="A334" s="23" t="s">
        <v>374</v>
      </c>
      <c r="B334" s="35" t="s">
        <v>365</v>
      </c>
      <c r="C334" s="36">
        <v>235</v>
      </c>
      <c r="D334" s="6"/>
      <c r="E334" s="113">
        <v>8387370</v>
      </c>
      <c r="F334" s="116">
        <f t="shared" si="62"/>
        <v>35690.936170212764</v>
      </c>
      <c r="G334" s="117">
        <v>6447410</v>
      </c>
      <c r="H334" s="117">
        <f t="shared" si="65"/>
        <v>27435.787234042553</v>
      </c>
      <c r="I334" s="7"/>
      <c r="J334" s="10">
        <v>3.0049999999999999</v>
      </c>
      <c r="K334" s="117">
        <v>19374</v>
      </c>
      <c r="L334" s="120">
        <f t="shared" si="73"/>
        <v>82.442553191489367</v>
      </c>
      <c r="M334" s="122">
        <f t="shared" si="70"/>
        <v>64474.1</v>
      </c>
      <c r="N334" s="116">
        <f t="shared" si="71"/>
        <v>45100.1</v>
      </c>
      <c r="O334" s="123">
        <f t="shared" si="72"/>
        <v>191.91531914893616</v>
      </c>
      <c r="P334" s="5"/>
      <c r="Q334" s="5">
        <f t="shared" si="66"/>
        <v>1</v>
      </c>
      <c r="R334" s="7">
        <f t="shared" si="67"/>
        <v>235</v>
      </c>
      <c r="S334" s="5">
        <f t="shared" si="68"/>
        <v>1</v>
      </c>
      <c r="T334" s="7">
        <f t="shared" si="69"/>
        <v>235</v>
      </c>
    </row>
    <row r="335" spans="1:20">
      <c r="A335" s="23" t="s">
        <v>375</v>
      </c>
      <c r="B335" s="35" t="s">
        <v>365</v>
      </c>
      <c r="C335" s="36">
        <v>3771</v>
      </c>
      <c r="D335" s="6"/>
      <c r="E335" s="113">
        <v>103065602</v>
      </c>
      <c r="F335" s="116">
        <f t="shared" si="62"/>
        <v>27331.106337841422</v>
      </c>
      <c r="G335" s="117">
        <v>72886746</v>
      </c>
      <c r="H335" s="117">
        <f t="shared" si="65"/>
        <v>19328.227525855211</v>
      </c>
      <c r="I335" s="7"/>
      <c r="J335" s="10">
        <v>7.0579999999999998</v>
      </c>
      <c r="K335" s="117">
        <v>514434</v>
      </c>
      <c r="L335" s="120">
        <f t="shared" si="73"/>
        <v>136.41845664280032</v>
      </c>
      <c r="M335" s="122">
        <f t="shared" si="70"/>
        <v>728867.46</v>
      </c>
      <c r="N335" s="116">
        <f t="shared" si="71"/>
        <v>214433.45999999996</v>
      </c>
      <c r="O335" s="123">
        <f t="shared" si="72"/>
        <v>56.863818615751782</v>
      </c>
      <c r="P335" s="5"/>
      <c r="Q335" s="5">
        <f t="shared" si="66"/>
        <v>1</v>
      </c>
      <c r="R335" s="7">
        <f t="shared" si="67"/>
        <v>3771</v>
      </c>
      <c r="S335" s="5">
        <f t="shared" si="68"/>
        <v>1</v>
      </c>
      <c r="T335" s="7">
        <f t="shared" si="69"/>
        <v>3771</v>
      </c>
    </row>
    <row r="336" spans="1:20">
      <c r="A336" s="23" t="s">
        <v>376</v>
      </c>
      <c r="B336" s="35" t="s">
        <v>365</v>
      </c>
      <c r="C336" s="36">
        <v>1137</v>
      </c>
      <c r="D336" s="6"/>
      <c r="E336" s="113">
        <v>39275886</v>
      </c>
      <c r="F336" s="116">
        <f t="shared" si="62"/>
        <v>34543.435356200527</v>
      </c>
      <c r="G336" s="117">
        <v>29294792</v>
      </c>
      <c r="H336" s="117">
        <f t="shared" si="65"/>
        <v>25764.988566402815</v>
      </c>
      <c r="I336" s="7"/>
      <c r="J336" s="10">
        <v>5.6479999999999997</v>
      </c>
      <c r="K336" s="117">
        <v>165456</v>
      </c>
      <c r="L336" s="120">
        <f t="shared" si="73"/>
        <v>145.51978891820579</v>
      </c>
      <c r="M336" s="122">
        <f t="shared" si="70"/>
        <v>292947.92</v>
      </c>
      <c r="N336" s="116">
        <f t="shared" si="71"/>
        <v>127491.91999999998</v>
      </c>
      <c r="O336" s="123">
        <f t="shared" si="72"/>
        <v>112.13009674582233</v>
      </c>
      <c r="P336" s="5"/>
      <c r="Q336" s="5">
        <f t="shared" si="66"/>
        <v>1</v>
      </c>
      <c r="R336" s="7">
        <f t="shared" si="67"/>
        <v>1137</v>
      </c>
      <c r="S336" s="5">
        <f t="shared" si="68"/>
        <v>1</v>
      </c>
      <c r="T336" s="7">
        <f t="shared" si="69"/>
        <v>1137</v>
      </c>
    </row>
    <row r="337" spans="1:20">
      <c r="A337" s="23" t="s">
        <v>377</v>
      </c>
      <c r="B337" s="35" t="s">
        <v>365</v>
      </c>
      <c r="C337" s="36">
        <v>9928</v>
      </c>
      <c r="D337" s="6"/>
      <c r="E337" s="113">
        <v>321756716</v>
      </c>
      <c r="F337" s="116">
        <f t="shared" si="62"/>
        <v>32409.016518936343</v>
      </c>
      <c r="G337" s="117">
        <v>208693282</v>
      </c>
      <c r="H337" s="117">
        <f t="shared" si="65"/>
        <v>21020.677074939566</v>
      </c>
      <c r="I337" s="7"/>
      <c r="J337" s="10">
        <v>7.92</v>
      </c>
      <c r="K337" s="117">
        <v>1652850</v>
      </c>
      <c r="L337" s="120">
        <f t="shared" si="73"/>
        <v>166.48368251410153</v>
      </c>
      <c r="M337" s="122">
        <f t="shared" si="70"/>
        <v>2086932.82</v>
      </c>
      <c r="N337" s="116">
        <f t="shared" si="71"/>
        <v>434082.82000000007</v>
      </c>
      <c r="O337" s="123">
        <f t="shared" si="72"/>
        <v>43.723088235294121</v>
      </c>
      <c r="P337" s="5"/>
      <c r="Q337" s="5">
        <f t="shared" si="66"/>
        <v>1</v>
      </c>
      <c r="R337" s="7">
        <f t="shared" si="67"/>
        <v>9928</v>
      </c>
      <c r="S337" s="5">
        <f t="shared" si="68"/>
        <v>1</v>
      </c>
      <c r="T337" s="7">
        <f t="shared" si="69"/>
        <v>9928</v>
      </c>
    </row>
    <row r="338" spans="1:20">
      <c r="A338" s="23" t="s">
        <v>378</v>
      </c>
      <c r="B338" s="35" t="s">
        <v>365</v>
      </c>
      <c r="C338" s="36">
        <v>75422</v>
      </c>
      <c r="D338" s="6"/>
      <c r="E338" s="113">
        <v>3420959005</v>
      </c>
      <c r="F338" s="116">
        <f t="shared" si="62"/>
        <v>45357.574779242132</v>
      </c>
      <c r="G338" s="117">
        <v>2104694297</v>
      </c>
      <c r="H338" s="117">
        <f t="shared" si="65"/>
        <v>27905.575256556443</v>
      </c>
      <c r="I338" s="7"/>
      <c r="J338" s="10">
        <v>2.9950000000000001</v>
      </c>
      <c r="K338" s="117">
        <v>6303559</v>
      </c>
      <c r="L338" s="120">
        <f t="shared" si="73"/>
        <v>83.577192331150059</v>
      </c>
      <c r="M338" s="122">
        <f t="shared" si="70"/>
        <v>21046942.969999999</v>
      </c>
      <c r="N338" s="116">
        <f t="shared" si="71"/>
        <v>14743383.969999999</v>
      </c>
      <c r="O338" s="123">
        <f t="shared" si="72"/>
        <v>195.47856023441435</v>
      </c>
      <c r="P338" s="5"/>
      <c r="Q338" s="5">
        <f t="shared" si="66"/>
        <v>1</v>
      </c>
      <c r="R338" s="7">
        <f t="shared" si="67"/>
        <v>75422</v>
      </c>
      <c r="S338" s="5">
        <f t="shared" si="68"/>
        <v>1</v>
      </c>
      <c r="T338" s="7">
        <f t="shared" si="69"/>
        <v>75422</v>
      </c>
    </row>
    <row r="339" spans="1:20">
      <c r="A339" s="23" t="s">
        <v>379</v>
      </c>
      <c r="B339" s="35" t="s">
        <v>365</v>
      </c>
      <c r="C339" s="36">
        <v>3314</v>
      </c>
      <c r="D339" s="6"/>
      <c r="E339" s="113">
        <v>107822729</v>
      </c>
      <c r="F339" s="116">
        <f t="shared" si="62"/>
        <v>32535.524743512371</v>
      </c>
      <c r="G339" s="117">
        <v>81674719</v>
      </c>
      <c r="H339" s="117">
        <f t="shared" si="65"/>
        <v>24645.358780929389</v>
      </c>
      <c r="I339" s="7"/>
      <c r="J339" s="10">
        <v>8.5</v>
      </c>
      <c r="K339" s="117">
        <v>694235</v>
      </c>
      <c r="L339" s="120">
        <f t="shared" si="73"/>
        <v>209.485515992758</v>
      </c>
      <c r="M339" s="122">
        <f t="shared" si="70"/>
        <v>816747.19000000006</v>
      </c>
      <c r="N339" s="116">
        <f t="shared" si="71"/>
        <v>122512.19000000006</v>
      </c>
      <c r="O339" s="123">
        <f t="shared" si="72"/>
        <v>36.968071816535925</v>
      </c>
      <c r="P339" s="5"/>
      <c r="Q339" s="5">
        <f t="shared" si="66"/>
        <v>1</v>
      </c>
      <c r="R339" s="7">
        <f t="shared" si="67"/>
        <v>3314</v>
      </c>
      <c r="S339" s="5">
        <f t="shared" si="68"/>
        <v>1</v>
      </c>
      <c r="T339" s="7">
        <f t="shared" si="69"/>
        <v>3314</v>
      </c>
    </row>
    <row r="340" spans="1:20">
      <c r="A340" s="23" t="s">
        <v>380</v>
      </c>
      <c r="B340" s="35" t="s">
        <v>365</v>
      </c>
      <c r="C340" s="36">
        <v>1644</v>
      </c>
      <c r="D340" s="6"/>
      <c r="E340" s="113">
        <v>28405117</v>
      </c>
      <c r="F340" s="116">
        <f t="shared" si="62"/>
        <v>17278.051703163019</v>
      </c>
      <c r="G340" s="117">
        <v>17933115</v>
      </c>
      <c r="H340" s="117">
        <f t="shared" si="65"/>
        <v>10908.220802919708</v>
      </c>
      <c r="I340" s="7"/>
      <c r="J340" s="10">
        <v>3.5</v>
      </c>
      <c r="K340" s="117">
        <v>62765</v>
      </c>
      <c r="L340" s="120">
        <f t="shared" si="73"/>
        <v>38.178223844282236</v>
      </c>
      <c r="M340" s="122">
        <f t="shared" si="70"/>
        <v>179331.15</v>
      </c>
      <c r="N340" s="116">
        <f t="shared" si="71"/>
        <v>116566.15</v>
      </c>
      <c r="O340" s="123">
        <f t="shared" si="72"/>
        <v>70.903984184914833</v>
      </c>
      <c r="P340" s="5"/>
      <c r="Q340" s="5">
        <f t="shared" si="66"/>
        <v>1</v>
      </c>
      <c r="R340" s="7">
        <f t="shared" si="67"/>
        <v>1644</v>
      </c>
      <c r="S340" s="5">
        <f t="shared" si="68"/>
        <v>1</v>
      </c>
      <c r="T340" s="7">
        <f t="shared" si="69"/>
        <v>1644</v>
      </c>
    </row>
    <row r="341" spans="1:20">
      <c r="A341" s="23" t="s">
        <v>381</v>
      </c>
      <c r="B341" s="35" t="s">
        <v>365</v>
      </c>
      <c r="C341" s="36">
        <v>25485</v>
      </c>
      <c r="D341" s="6"/>
      <c r="E341" s="113">
        <v>1058282385</v>
      </c>
      <c r="F341" s="116">
        <f t="shared" si="62"/>
        <v>41525.696880517949</v>
      </c>
      <c r="G341" s="117">
        <v>710056193</v>
      </c>
      <c r="H341" s="117">
        <f t="shared" si="65"/>
        <v>27861.730154993133</v>
      </c>
      <c r="I341" s="7"/>
      <c r="J341" s="10">
        <v>6.375</v>
      </c>
      <c r="K341" s="117">
        <v>4526608</v>
      </c>
      <c r="L341" s="120">
        <f t="shared" si="73"/>
        <v>177.61852069845006</v>
      </c>
      <c r="M341" s="122">
        <f t="shared" si="70"/>
        <v>7100561.9299999997</v>
      </c>
      <c r="N341" s="116">
        <f t="shared" si="71"/>
        <v>2573953.9299999997</v>
      </c>
      <c r="O341" s="123">
        <f t="shared" si="72"/>
        <v>100.99878085148126</v>
      </c>
      <c r="P341" s="5"/>
      <c r="Q341" s="5">
        <f t="shared" si="66"/>
        <v>1</v>
      </c>
      <c r="R341" s="7">
        <f t="shared" si="67"/>
        <v>25485</v>
      </c>
      <c r="S341" s="5">
        <f t="shared" si="68"/>
        <v>1</v>
      </c>
      <c r="T341" s="7">
        <f t="shared" si="69"/>
        <v>25485</v>
      </c>
    </row>
    <row r="342" spans="1:20">
      <c r="A342" s="23" t="s">
        <v>382</v>
      </c>
      <c r="B342" s="35" t="s">
        <v>383</v>
      </c>
      <c r="C342" s="36">
        <v>1847</v>
      </c>
      <c r="D342" s="6"/>
      <c r="E342" s="113">
        <v>68493428</v>
      </c>
      <c r="F342" s="116">
        <f t="shared" si="62"/>
        <v>37083.61017866811</v>
      </c>
      <c r="G342" s="117">
        <v>40368481</v>
      </c>
      <c r="H342" s="117">
        <f t="shared" si="65"/>
        <v>21856.243096913913</v>
      </c>
      <c r="I342" s="9"/>
      <c r="J342" s="10">
        <v>8.25</v>
      </c>
      <c r="K342" s="117">
        <v>333039</v>
      </c>
      <c r="L342" s="120">
        <f t="shared" si="73"/>
        <v>180.31348132106118</v>
      </c>
      <c r="M342" s="122">
        <f t="shared" si="70"/>
        <v>403684.81</v>
      </c>
      <c r="N342" s="116">
        <f t="shared" si="71"/>
        <v>70645.81</v>
      </c>
      <c r="O342" s="123">
        <f t="shared" si="72"/>
        <v>38.248949648077961</v>
      </c>
      <c r="P342" s="5"/>
      <c r="Q342" s="5">
        <f t="shared" si="66"/>
        <v>1</v>
      </c>
      <c r="R342" s="7">
        <f t="shared" si="67"/>
        <v>1847</v>
      </c>
      <c r="S342" s="5">
        <f t="shared" si="68"/>
        <v>1</v>
      </c>
      <c r="T342" s="7">
        <f t="shared" si="69"/>
        <v>1847</v>
      </c>
    </row>
    <row r="343" spans="1:20">
      <c r="A343" s="23" t="s">
        <v>384</v>
      </c>
      <c r="B343" s="35" t="s">
        <v>383</v>
      </c>
      <c r="C343" s="36">
        <v>1390</v>
      </c>
      <c r="D343" s="6"/>
      <c r="E343" s="113">
        <v>56904615</v>
      </c>
      <c r="F343" s="116">
        <f t="shared" si="62"/>
        <v>40938.57194244604</v>
      </c>
      <c r="G343" s="117">
        <v>24283975</v>
      </c>
      <c r="H343" s="117">
        <f t="shared" si="65"/>
        <v>17470.48561151079</v>
      </c>
      <c r="I343" s="7"/>
      <c r="J343" s="10">
        <v>7.4</v>
      </c>
      <c r="K343" s="117">
        <v>179701</v>
      </c>
      <c r="L343" s="120">
        <f t="shared" si="73"/>
        <v>129.28129496402877</v>
      </c>
      <c r="M343" s="122">
        <f t="shared" si="70"/>
        <v>242839.75</v>
      </c>
      <c r="N343" s="116">
        <f t="shared" si="71"/>
        <v>63138.75</v>
      </c>
      <c r="O343" s="123">
        <f t="shared" si="72"/>
        <v>45.423561151079134</v>
      </c>
      <c r="P343" s="5"/>
      <c r="Q343" s="5">
        <f t="shared" si="66"/>
        <v>1</v>
      </c>
      <c r="R343" s="7">
        <f t="shared" si="67"/>
        <v>1390</v>
      </c>
      <c r="S343" s="5">
        <f t="shared" si="68"/>
        <v>1</v>
      </c>
      <c r="T343" s="7">
        <f t="shared" si="69"/>
        <v>1390</v>
      </c>
    </row>
    <row r="344" spans="1:20">
      <c r="A344" s="23" t="s">
        <v>385</v>
      </c>
      <c r="B344" s="35" t="s">
        <v>383</v>
      </c>
      <c r="C344" s="36">
        <v>10685</v>
      </c>
      <c r="D344" s="6"/>
      <c r="E344" s="113">
        <v>408600871</v>
      </c>
      <c r="F344" s="116">
        <f t="shared" si="62"/>
        <v>38240.605615348621</v>
      </c>
      <c r="G344" s="117">
        <v>203564231</v>
      </c>
      <c r="H344" s="117">
        <f t="shared" si="65"/>
        <v>19051.402058961161</v>
      </c>
      <c r="I344" s="7"/>
      <c r="J344" s="10">
        <v>7.6310000000000002</v>
      </c>
      <c r="K344" s="117">
        <v>1553398</v>
      </c>
      <c r="L344" s="120">
        <f t="shared" si="73"/>
        <v>145.38118858212448</v>
      </c>
      <c r="M344" s="122">
        <f t="shared" si="70"/>
        <v>2035642.31</v>
      </c>
      <c r="N344" s="116">
        <f t="shared" si="71"/>
        <v>482244.31000000006</v>
      </c>
      <c r="O344" s="123">
        <f t="shared" si="72"/>
        <v>45.132832007487139</v>
      </c>
      <c r="P344" s="5"/>
      <c r="Q344" s="5">
        <f t="shared" si="66"/>
        <v>1</v>
      </c>
      <c r="R344" s="7">
        <f t="shared" si="67"/>
        <v>10685</v>
      </c>
      <c r="S344" s="5">
        <f t="shared" si="68"/>
        <v>1</v>
      </c>
      <c r="T344" s="7">
        <f t="shared" si="69"/>
        <v>10685</v>
      </c>
    </row>
    <row r="345" spans="1:20">
      <c r="A345" s="23" t="s">
        <v>386</v>
      </c>
      <c r="B345" s="35" t="s">
        <v>383</v>
      </c>
      <c r="C345" s="36">
        <v>755</v>
      </c>
      <c r="D345" s="6"/>
      <c r="E345" s="113">
        <v>22267646</v>
      </c>
      <c r="F345" s="116">
        <f t="shared" si="62"/>
        <v>29493.570860927153</v>
      </c>
      <c r="G345" s="117">
        <v>14335314</v>
      </c>
      <c r="H345" s="117">
        <f t="shared" si="65"/>
        <v>18987.170860927152</v>
      </c>
      <c r="I345" s="7"/>
      <c r="J345" s="11">
        <v>5.9</v>
      </c>
      <c r="K345" s="117">
        <v>84578</v>
      </c>
      <c r="L345" s="120">
        <f t="shared" si="73"/>
        <v>112.02384105960265</v>
      </c>
      <c r="M345" s="122">
        <f t="shared" si="70"/>
        <v>143353.14000000001</v>
      </c>
      <c r="N345" s="116">
        <f t="shared" si="71"/>
        <v>58775.140000000014</v>
      </c>
      <c r="O345" s="123">
        <f t="shared" si="72"/>
        <v>77.847867549668891</v>
      </c>
      <c r="P345" s="5"/>
      <c r="Q345" s="5">
        <f t="shared" si="66"/>
        <v>1</v>
      </c>
      <c r="R345" s="7">
        <f t="shared" si="67"/>
        <v>755</v>
      </c>
      <c r="S345" s="5">
        <f t="shared" si="68"/>
        <v>1</v>
      </c>
      <c r="T345" s="7">
        <f t="shared" si="69"/>
        <v>755</v>
      </c>
    </row>
    <row r="346" spans="1:20">
      <c r="A346" s="23" t="s">
        <v>387</v>
      </c>
      <c r="B346" s="35" t="s">
        <v>383</v>
      </c>
      <c r="C346" s="36">
        <v>601</v>
      </c>
      <c r="D346" s="6"/>
      <c r="E346" s="113">
        <v>26135253</v>
      </c>
      <c r="F346" s="116">
        <f t="shared" si="62"/>
        <v>43486.277870216305</v>
      </c>
      <c r="G346" s="117">
        <v>18989062</v>
      </c>
      <c r="H346" s="117">
        <f t="shared" si="65"/>
        <v>31595.777038269549</v>
      </c>
      <c r="I346" s="7"/>
      <c r="J346" s="10">
        <v>5</v>
      </c>
      <c r="K346" s="117">
        <v>94945</v>
      </c>
      <c r="L346" s="120">
        <f t="shared" si="73"/>
        <v>157.97836938435941</v>
      </c>
      <c r="M346" s="122">
        <f t="shared" si="70"/>
        <v>189890.62</v>
      </c>
      <c r="N346" s="116">
        <f t="shared" si="71"/>
        <v>94945.62</v>
      </c>
      <c r="O346" s="123">
        <f t="shared" si="72"/>
        <v>157.9794009983361</v>
      </c>
      <c r="P346" s="5"/>
      <c r="Q346" s="5">
        <f t="shared" si="66"/>
        <v>1</v>
      </c>
      <c r="R346" s="7">
        <f t="shared" si="67"/>
        <v>601</v>
      </c>
      <c r="S346" s="5">
        <f t="shared" si="68"/>
        <v>1</v>
      </c>
      <c r="T346" s="7">
        <f t="shared" si="69"/>
        <v>601</v>
      </c>
    </row>
    <row r="347" spans="1:20">
      <c r="A347" s="23" t="s">
        <v>390</v>
      </c>
      <c r="B347" s="35" t="s">
        <v>391</v>
      </c>
      <c r="C347" s="36">
        <v>5959</v>
      </c>
      <c r="D347" s="6"/>
      <c r="E347" s="113">
        <v>472437086</v>
      </c>
      <c r="F347" s="116">
        <f t="shared" si="62"/>
        <v>79281.269676120151</v>
      </c>
      <c r="G347" s="117">
        <v>300502083</v>
      </c>
      <c r="H347" s="117">
        <f t="shared" si="65"/>
        <v>50428.273703641549</v>
      </c>
      <c r="I347" s="9"/>
      <c r="J347" s="10">
        <v>1.83</v>
      </c>
      <c r="K347" s="117">
        <v>549918</v>
      </c>
      <c r="L347" s="120">
        <f t="shared" si="73"/>
        <v>92.283604631649609</v>
      </c>
      <c r="M347" s="122">
        <f t="shared" si="70"/>
        <v>3005020.83</v>
      </c>
      <c r="N347" s="116">
        <f t="shared" si="71"/>
        <v>2455102.83</v>
      </c>
      <c r="O347" s="123">
        <f t="shared" si="72"/>
        <v>411.99913240476593</v>
      </c>
      <c r="P347" s="5"/>
      <c r="Q347" s="5">
        <f t="shared" si="66"/>
        <v>1</v>
      </c>
      <c r="R347" s="7">
        <f t="shared" si="67"/>
        <v>5959</v>
      </c>
      <c r="S347" s="5">
        <f t="shared" si="68"/>
        <v>1</v>
      </c>
      <c r="T347" s="7">
        <f t="shared" si="69"/>
        <v>5959</v>
      </c>
    </row>
    <row r="348" spans="1:20">
      <c r="A348" s="23" t="s">
        <v>392</v>
      </c>
      <c r="B348" s="35" t="s">
        <v>391</v>
      </c>
      <c r="C348" s="36">
        <v>683</v>
      </c>
      <c r="D348" s="6"/>
      <c r="E348" s="113">
        <v>34434370</v>
      </c>
      <c r="F348" s="116">
        <f t="shared" si="62"/>
        <v>50416.354319180085</v>
      </c>
      <c r="G348" s="117">
        <v>25302397</v>
      </c>
      <c r="H348" s="117">
        <f t="shared" si="65"/>
        <v>37045.969253294286</v>
      </c>
      <c r="I348" s="7"/>
      <c r="J348" s="10">
        <v>2</v>
      </c>
      <c r="K348" s="117">
        <v>50604</v>
      </c>
      <c r="L348" s="120">
        <f t="shared" si="73"/>
        <v>74.090775988286964</v>
      </c>
      <c r="M348" s="122">
        <f t="shared" si="70"/>
        <v>253023.97</v>
      </c>
      <c r="N348" s="116">
        <f t="shared" si="71"/>
        <v>202419.97</v>
      </c>
      <c r="O348" s="123">
        <f t="shared" si="72"/>
        <v>296.36891654465592</v>
      </c>
      <c r="P348" s="5"/>
      <c r="Q348" s="5">
        <f t="shared" si="66"/>
        <v>1</v>
      </c>
      <c r="R348" s="7">
        <f t="shared" si="67"/>
        <v>683</v>
      </c>
      <c r="S348" s="5">
        <f t="shared" si="68"/>
        <v>1</v>
      </c>
      <c r="T348" s="7">
        <f t="shared" si="69"/>
        <v>683</v>
      </c>
    </row>
    <row r="349" spans="1:20">
      <c r="A349" s="23" t="s">
        <v>393</v>
      </c>
      <c r="B349" s="35" t="s">
        <v>391</v>
      </c>
      <c r="C349" s="36">
        <v>7534</v>
      </c>
      <c r="D349" s="6"/>
      <c r="E349" s="113">
        <v>216879944</v>
      </c>
      <c r="F349" s="116">
        <f t="shared" ref="F349:F402" si="74">(E349/C349)</f>
        <v>28786.825590655695</v>
      </c>
      <c r="G349" s="117">
        <v>135656996</v>
      </c>
      <c r="H349" s="117">
        <f t="shared" ref="H349:H380" si="75">(G349/C349)</f>
        <v>18005.972391823732</v>
      </c>
      <c r="I349" s="7"/>
      <c r="J349" s="10">
        <v>2.75</v>
      </c>
      <c r="K349" s="117">
        <v>373056</v>
      </c>
      <c r="L349" s="120">
        <f t="shared" si="73"/>
        <v>49.516325988850546</v>
      </c>
      <c r="M349" s="122">
        <f t="shared" si="70"/>
        <v>1356569.96</v>
      </c>
      <c r="N349" s="116">
        <f t="shared" si="71"/>
        <v>983513.96</v>
      </c>
      <c r="O349" s="123">
        <f t="shared" si="72"/>
        <v>130.54339792938677</v>
      </c>
      <c r="P349" s="5"/>
      <c r="Q349" s="5">
        <f t="shared" si="66"/>
        <v>1</v>
      </c>
      <c r="R349" s="7">
        <f t="shared" si="67"/>
        <v>7534</v>
      </c>
      <c r="S349" s="5">
        <f t="shared" si="68"/>
        <v>1</v>
      </c>
      <c r="T349" s="7">
        <f t="shared" si="69"/>
        <v>7534</v>
      </c>
    </row>
    <row r="350" spans="1:20">
      <c r="A350" s="23" t="s">
        <v>394</v>
      </c>
      <c r="B350" s="35" t="s">
        <v>395</v>
      </c>
      <c r="C350" s="36">
        <v>15905</v>
      </c>
      <c r="D350" s="6"/>
      <c r="E350" s="113">
        <v>696773830</v>
      </c>
      <c r="F350" s="116">
        <f t="shared" si="74"/>
        <v>43808.477208425022</v>
      </c>
      <c r="G350" s="117">
        <v>503752689</v>
      </c>
      <c r="H350" s="117">
        <f t="shared" si="75"/>
        <v>31672.599119773655</v>
      </c>
      <c r="I350" s="7"/>
      <c r="J350" s="10">
        <v>5</v>
      </c>
      <c r="K350" s="117">
        <v>2518763</v>
      </c>
      <c r="L350" s="120">
        <f t="shared" si="73"/>
        <v>158.3629676202452</v>
      </c>
      <c r="M350" s="122">
        <f t="shared" si="70"/>
        <v>5037526.8899999997</v>
      </c>
      <c r="N350" s="116">
        <f t="shared" si="71"/>
        <v>2518763.8899999997</v>
      </c>
      <c r="O350" s="123">
        <f t="shared" si="72"/>
        <v>158.36302357749133</v>
      </c>
      <c r="P350" s="5"/>
      <c r="Q350" s="5">
        <f t="shared" si="66"/>
        <v>1</v>
      </c>
      <c r="R350" s="7">
        <f t="shared" si="67"/>
        <v>15905</v>
      </c>
      <c r="S350" s="5">
        <f t="shared" si="68"/>
        <v>1</v>
      </c>
      <c r="T350" s="7">
        <f t="shared" si="69"/>
        <v>15905</v>
      </c>
    </row>
    <row r="351" spans="1:20">
      <c r="A351" s="23" t="s">
        <v>395</v>
      </c>
      <c r="B351" s="35" t="s">
        <v>395</v>
      </c>
      <c r="C351" s="36">
        <v>51311</v>
      </c>
      <c r="D351" s="6"/>
      <c r="E351" s="113">
        <v>3923731711</v>
      </c>
      <c r="F351" s="116">
        <f t="shared" si="74"/>
        <v>76469.601274580506</v>
      </c>
      <c r="G351" s="117">
        <v>2844779043</v>
      </c>
      <c r="H351" s="117">
        <f t="shared" si="75"/>
        <v>55441.89438911734</v>
      </c>
      <c r="I351" s="7"/>
      <c r="J351" s="10">
        <v>3.7105000000000001</v>
      </c>
      <c r="K351" s="117">
        <v>10555552</v>
      </c>
      <c r="L351" s="120">
        <f t="shared" si="73"/>
        <v>205.7171366763462</v>
      </c>
      <c r="M351" s="122">
        <f t="shared" si="70"/>
        <v>28447790.43</v>
      </c>
      <c r="N351" s="116">
        <f t="shared" si="71"/>
        <v>17892238.43</v>
      </c>
      <c r="O351" s="123">
        <f t="shared" si="72"/>
        <v>348.70180721482723</v>
      </c>
      <c r="P351" s="5"/>
      <c r="Q351" s="5">
        <f t="shared" si="66"/>
        <v>1</v>
      </c>
      <c r="R351" s="7">
        <f t="shared" si="67"/>
        <v>51311</v>
      </c>
      <c r="S351" s="5">
        <f t="shared" si="68"/>
        <v>1</v>
      </c>
      <c r="T351" s="7">
        <f t="shared" si="69"/>
        <v>51311</v>
      </c>
    </row>
    <row r="352" spans="1:20">
      <c r="A352" s="23" t="s">
        <v>396</v>
      </c>
      <c r="B352" s="35" t="s">
        <v>395</v>
      </c>
      <c r="C352" s="36">
        <v>18619</v>
      </c>
      <c r="D352" s="6"/>
      <c r="E352" s="113">
        <v>1449242548</v>
      </c>
      <c r="F352" s="116">
        <f t="shared" si="74"/>
        <v>77836.755357430578</v>
      </c>
      <c r="G352" s="117">
        <v>1115210094</v>
      </c>
      <c r="H352" s="117">
        <f t="shared" si="75"/>
        <v>59896.347494494868</v>
      </c>
      <c r="I352" s="7"/>
      <c r="J352" s="10">
        <v>3.4060000000000001</v>
      </c>
      <c r="K352" s="117">
        <v>3798405</v>
      </c>
      <c r="L352" s="120">
        <f t="shared" si="73"/>
        <v>204.0069284064665</v>
      </c>
      <c r="M352" s="122">
        <f t="shared" si="70"/>
        <v>11152100.939999999</v>
      </c>
      <c r="N352" s="116">
        <f t="shared" si="71"/>
        <v>7353695.9399999995</v>
      </c>
      <c r="O352" s="123">
        <f t="shared" si="72"/>
        <v>394.95654653848214</v>
      </c>
      <c r="P352" s="5"/>
      <c r="Q352" s="5">
        <f t="shared" si="66"/>
        <v>1</v>
      </c>
      <c r="R352" s="7">
        <f t="shared" si="67"/>
        <v>18619</v>
      </c>
      <c r="S352" s="5">
        <f t="shared" si="68"/>
        <v>1</v>
      </c>
      <c r="T352" s="7">
        <f t="shared" si="69"/>
        <v>18619</v>
      </c>
    </row>
    <row r="353" spans="1:20">
      <c r="A353" s="23" t="s">
        <v>397</v>
      </c>
      <c r="B353" s="35" t="s">
        <v>360</v>
      </c>
      <c r="C353" s="36">
        <v>38200</v>
      </c>
      <c r="D353" s="6"/>
      <c r="E353" s="113">
        <v>1973131627</v>
      </c>
      <c r="F353" s="116">
        <f t="shared" si="74"/>
        <v>51652.660392670157</v>
      </c>
      <c r="G353" s="117">
        <v>1640311095</v>
      </c>
      <c r="H353" s="117">
        <f t="shared" si="75"/>
        <v>42940.081020942409</v>
      </c>
      <c r="I353" s="7"/>
      <c r="J353" s="10">
        <v>4.95</v>
      </c>
      <c r="K353" s="117">
        <v>8119539</v>
      </c>
      <c r="L353" s="120">
        <f t="shared" si="73"/>
        <v>212.55337696335079</v>
      </c>
      <c r="M353" s="122">
        <f t="shared" si="70"/>
        <v>16403110.950000001</v>
      </c>
      <c r="N353" s="116">
        <f t="shared" si="71"/>
        <v>8283571.9500000011</v>
      </c>
      <c r="O353" s="123">
        <f t="shared" si="72"/>
        <v>216.84743324607334</v>
      </c>
      <c r="P353" s="5"/>
      <c r="Q353" s="5">
        <f t="shared" si="66"/>
        <v>1</v>
      </c>
      <c r="R353" s="7">
        <f t="shared" si="67"/>
        <v>38200</v>
      </c>
      <c r="S353" s="5">
        <f t="shared" si="68"/>
        <v>1</v>
      </c>
      <c r="T353" s="7">
        <f t="shared" si="69"/>
        <v>38200</v>
      </c>
    </row>
    <row r="354" spans="1:20">
      <c r="A354" s="23" t="s">
        <v>398</v>
      </c>
      <c r="B354" s="35" t="s">
        <v>360</v>
      </c>
      <c r="C354" s="36">
        <v>24393</v>
      </c>
      <c r="D354" s="6"/>
      <c r="E354" s="113">
        <v>783223242</v>
      </c>
      <c r="F354" s="116">
        <f t="shared" si="74"/>
        <v>32108.524658713566</v>
      </c>
      <c r="G354" s="117">
        <v>630954392</v>
      </c>
      <c r="H354" s="117">
        <f t="shared" si="75"/>
        <v>25866.207190587462</v>
      </c>
      <c r="I354" s="7"/>
      <c r="J354" s="10">
        <v>3.8</v>
      </c>
      <c r="K354" s="117">
        <v>2397626</v>
      </c>
      <c r="L354" s="120">
        <f t="shared" si="73"/>
        <v>98.291559053826916</v>
      </c>
      <c r="M354" s="122">
        <f t="shared" si="70"/>
        <v>6309543.9199999999</v>
      </c>
      <c r="N354" s="116">
        <f t="shared" si="71"/>
        <v>3911917.92</v>
      </c>
      <c r="O354" s="123">
        <f t="shared" si="72"/>
        <v>160.37051285204771</v>
      </c>
      <c r="P354" s="5"/>
      <c r="Q354" s="5">
        <f t="shared" si="66"/>
        <v>1</v>
      </c>
      <c r="R354" s="7">
        <f t="shared" si="67"/>
        <v>24393</v>
      </c>
      <c r="S354" s="5">
        <f t="shared" si="68"/>
        <v>1</v>
      </c>
      <c r="T354" s="7">
        <f t="shared" si="69"/>
        <v>24393</v>
      </c>
    </row>
    <row r="355" spans="1:20">
      <c r="A355" s="23" t="s">
        <v>399</v>
      </c>
      <c r="B355" s="35" t="s">
        <v>360</v>
      </c>
      <c r="C355" s="36">
        <v>7470</v>
      </c>
      <c r="D355" s="6"/>
      <c r="E355" s="113">
        <v>694245528</v>
      </c>
      <c r="F355" s="116">
        <f t="shared" si="74"/>
        <v>92937.821686746989</v>
      </c>
      <c r="G355" s="117">
        <v>592155970</v>
      </c>
      <c r="H355" s="117">
        <f t="shared" si="75"/>
        <v>79271.214190093713</v>
      </c>
      <c r="I355" s="7"/>
      <c r="J355" s="10">
        <v>3.7648000000000001</v>
      </c>
      <c r="K355" s="117">
        <v>2229348</v>
      </c>
      <c r="L355" s="120">
        <f t="shared" si="73"/>
        <v>298.44016064257028</v>
      </c>
      <c r="M355" s="122">
        <f t="shared" si="70"/>
        <v>5921559.7000000002</v>
      </c>
      <c r="N355" s="116">
        <f t="shared" si="71"/>
        <v>3692211.7</v>
      </c>
      <c r="O355" s="123">
        <f t="shared" si="72"/>
        <v>494.27198125836685</v>
      </c>
      <c r="P355" s="5"/>
      <c r="Q355" s="5">
        <f t="shared" si="66"/>
        <v>1</v>
      </c>
      <c r="R355" s="7">
        <f t="shared" si="67"/>
        <v>7470</v>
      </c>
      <c r="S355" s="5">
        <f t="shared" si="68"/>
        <v>1</v>
      </c>
      <c r="T355" s="7">
        <f t="shared" si="69"/>
        <v>7470</v>
      </c>
    </row>
    <row r="356" spans="1:20">
      <c r="A356" s="23" t="s">
        <v>400</v>
      </c>
      <c r="B356" s="35" t="s">
        <v>360</v>
      </c>
      <c r="C356" s="36">
        <v>13598</v>
      </c>
      <c r="D356" s="6"/>
      <c r="E356" s="113">
        <v>682503849</v>
      </c>
      <c r="F356" s="116">
        <f t="shared" si="74"/>
        <v>50191.487645241948</v>
      </c>
      <c r="G356" s="117">
        <v>566098124</v>
      </c>
      <c r="H356" s="117">
        <f t="shared" si="75"/>
        <v>41630.984262391525</v>
      </c>
      <c r="I356" s="7"/>
      <c r="J356" s="10">
        <v>5.0601000000000003</v>
      </c>
      <c r="K356" s="117">
        <v>2864513</v>
      </c>
      <c r="L356" s="120">
        <f t="shared" si="73"/>
        <v>210.65693484335932</v>
      </c>
      <c r="M356" s="122">
        <f t="shared" si="70"/>
        <v>5660981.2400000002</v>
      </c>
      <c r="N356" s="116">
        <f t="shared" si="71"/>
        <v>2796468.24</v>
      </c>
      <c r="O356" s="123">
        <f t="shared" si="72"/>
        <v>205.65290778055598</v>
      </c>
      <c r="P356" s="5"/>
      <c r="Q356" s="5">
        <f t="shared" si="66"/>
        <v>1</v>
      </c>
      <c r="R356" s="7">
        <f t="shared" si="67"/>
        <v>13598</v>
      </c>
      <c r="S356" s="5">
        <f t="shared" si="68"/>
        <v>1</v>
      </c>
      <c r="T356" s="7">
        <f t="shared" si="69"/>
        <v>13598</v>
      </c>
    </row>
    <row r="357" spans="1:20">
      <c r="A357" s="23" t="s">
        <v>401</v>
      </c>
      <c r="B357" s="35" t="s">
        <v>360</v>
      </c>
      <c r="C357" s="36">
        <v>19247</v>
      </c>
      <c r="D357" s="6"/>
      <c r="E357" s="113">
        <v>854259911</v>
      </c>
      <c r="F357" s="116">
        <f t="shared" si="74"/>
        <v>44384.055229386395</v>
      </c>
      <c r="G357" s="117">
        <v>639490397</v>
      </c>
      <c r="H357" s="117">
        <f t="shared" si="75"/>
        <v>33225.45835714657</v>
      </c>
      <c r="I357" s="7"/>
      <c r="J357" s="10">
        <v>4.9950000000000001</v>
      </c>
      <c r="K357" s="117">
        <v>3194254</v>
      </c>
      <c r="L357" s="120">
        <f t="shared" si="73"/>
        <v>165.96113680054034</v>
      </c>
      <c r="M357" s="122">
        <f t="shared" si="70"/>
        <v>6394903.9699999997</v>
      </c>
      <c r="N357" s="116">
        <f t="shared" si="71"/>
        <v>3200649.9699999997</v>
      </c>
      <c r="O357" s="123">
        <f t="shared" si="72"/>
        <v>166.29344677092533</v>
      </c>
      <c r="P357" s="5"/>
      <c r="Q357" s="5">
        <f t="shared" si="66"/>
        <v>1</v>
      </c>
      <c r="R357" s="7">
        <f t="shared" si="67"/>
        <v>19247</v>
      </c>
      <c r="S357" s="5">
        <f t="shared" si="68"/>
        <v>1</v>
      </c>
      <c r="T357" s="7">
        <f t="shared" si="69"/>
        <v>19247</v>
      </c>
    </row>
    <row r="358" spans="1:20">
      <c r="A358" s="23" t="s">
        <v>402</v>
      </c>
      <c r="B358" s="35" t="s">
        <v>360</v>
      </c>
      <c r="C358" s="36">
        <v>35279</v>
      </c>
      <c r="D358" s="6"/>
      <c r="E358" s="113">
        <v>1284613869</v>
      </c>
      <c r="F358" s="116">
        <f t="shared" si="74"/>
        <v>36412.989852320075</v>
      </c>
      <c r="G358" s="117">
        <v>931856390</v>
      </c>
      <c r="H358" s="117">
        <f t="shared" si="75"/>
        <v>26413.911675501007</v>
      </c>
      <c r="I358" s="7"/>
      <c r="J358" s="10">
        <v>6.8758999999999997</v>
      </c>
      <c r="K358" s="117">
        <v>6407351</v>
      </c>
      <c r="L358" s="120">
        <f t="shared" si="73"/>
        <v>181.61940531194196</v>
      </c>
      <c r="M358" s="122">
        <f t="shared" si="70"/>
        <v>9318563.9000000004</v>
      </c>
      <c r="N358" s="116">
        <f t="shared" si="71"/>
        <v>2911212.9000000004</v>
      </c>
      <c r="O358" s="123">
        <f t="shared" si="72"/>
        <v>82.519711443068118</v>
      </c>
      <c r="P358" s="5"/>
      <c r="Q358" s="5">
        <f t="shared" si="66"/>
        <v>1</v>
      </c>
      <c r="R358" s="7">
        <f t="shared" si="67"/>
        <v>35279</v>
      </c>
      <c r="S358" s="5">
        <f t="shared" si="68"/>
        <v>1</v>
      </c>
      <c r="T358" s="7">
        <f t="shared" si="69"/>
        <v>35279</v>
      </c>
    </row>
    <row r="359" spans="1:20">
      <c r="A359" s="23" t="s">
        <v>403</v>
      </c>
      <c r="B359" s="35" t="s">
        <v>360</v>
      </c>
      <c r="C359" s="36">
        <v>26474</v>
      </c>
      <c r="D359" s="6"/>
      <c r="E359" s="113">
        <v>1019158397</v>
      </c>
      <c r="F359" s="116">
        <f t="shared" si="74"/>
        <v>38496.577661101459</v>
      </c>
      <c r="G359" s="117">
        <v>798928180</v>
      </c>
      <c r="H359" s="117">
        <f t="shared" si="75"/>
        <v>30177.841655964341</v>
      </c>
      <c r="I359" s="7"/>
      <c r="J359" s="10">
        <v>3.6082999999999998</v>
      </c>
      <c r="K359" s="117">
        <v>2882772</v>
      </c>
      <c r="L359" s="120">
        <f t="shared" si="73"/>
        <v>108.89068520057415</v>
      </c>
      <c r="M359" s="122">
        <f t="shared" si="70"/>
        <v>7989281.7999999998</v>
      </c>
      <c r="N359" s="116">
        <f t="shared" si="71"/>
        <v>5106509.8</v>
      </c>
      <c r="O359" s="123">
        <f t="shared" si="72"/>
        <v>192.88773135906928</v>
      </c>
      <c r="P359" s="5"/>
      <c r="Q359" s="5">
        <f t="shared" si="66"/>
        <v>1</v>
      </c>
      <c r="R359" s="7">
        <f t="shared" si="67"/>
        <v>26474</v>
      </c>
      <c r="S359" s="5">
        <f t="shared" si="68"/>
        <v>1</v>
      </c>
      <c r="T359" s="7">
        <f t="shared" si="69"/>
        <v>26474</v>
      </c>
    </row>
    <row r="360" spans="1:20">
      <c r="A360" s="23" t="s">
        <v>388</v>
      </c>
      <c r="B360" s="35" t="s">
        <v>551</v>
      </c>
      <c r="C360" s="36">
        <v>648</v>
      </c>
      <c r="D360" s="6"/>
      <c r="E360" s="113">
        <v>16624022</v>
      </c>
      <c r="F360" s="116">
        <f t="shared" si="74"/>
        <v>25654.354938271605</v>
      </c>
      <c r="G360" s="117">
        <v>9712755</v>
      </c>
      <c r="H360" s="117">
        <f t="shared" si="75"/>
        <v>14988.819444444445</v>
      </c>
      <c r="I360" s="7"/>
      <c r="J360" s="10">
        <v>8.3960000000000008</v>
      </c>
      <c r="K360" s="117">
        <v>81548</v>
      </c>
      <c r="L360" s="120">
        <f t="shared" si="73"/>
        <v>125.84567901234568</v>
      </c>
      <c r="M360" s="122">
        <f t="shared" si="70"/>
        <v>97127.55</v>
      </c>
      <c r="N360" s="116">
        <f t="shared" si="71"/>
        <v>15579.550000000003</v>
      </c>
      <c r="O360" s="123">
        <f t="shared" si="72"/>
        <v>24.042515432098771</v>
      </c>
      <c r="P360" s="5"/>
      <c r="Q360" s="5">
        <f t="shared" si="66"/>
        <v>1</v>
      </c>
      <c r="R360" s="7">
        <f t="shared" si="67"/>
        <v>648</v>
      </c>
      <c r="S360" s="5">
        <f t="shared" si="68"/>
        <v>1</v>
      </c>
      <c r="T360" s="7">
        <f t="shared" si="69"/>
        <v>648</v>
      </c>
    </row>
    <row r="361" spans="1:20">
      <c r="A361" s="23" t="s">
        <v>549</v>
      </c>
      <c r="B361" s="35" t="s">
        <v>551</v>
      </c>
      <c r="C361" s="36">
        <v>12149</v>
      </c>
      <c r="D361" s="6"/>
      <c r="E361" s="113">
        <v>579104338</v>
      </c>
      <c r="F361" s="116">
        <f t="shared" si="74"/>
        <v>47666.831673388755</v>
      </c>
      <c r="G361" s="117">
        <v>367523568</v>
      </c>
      <c r="H361" s="117">
        <f t="shared" si="75"/>
        <v>30251.343155815295</v>
      </c>
      <c r="I361" s="7"/>
      <c r="J361" s="10">
        <v>7.5</v>
      </c>
      <c r="K361" s="117">
        <v>2756426</v>
      </c>
      <c r="L361" s="120">
        <f t="shared" si="73"/>
        <v>226.88501111202569</v>
      </c>
      <c r="M361" s="122">
        <f t="shared" si="70"/>
        <v>3675235.68</v>
      </c>
      <c r="N361" s="116">
        <f t="shared" si="71"/>
        <v>918809.68000000017</v>
      </c>
      <c r="O361" s="123">
        <f t="shared" si="72"/>
        <v>75.628420446127265</v>
      </c>
      <c r="P361" s="5"/>
      <c r="Q361" s="5">
        <f t="shared" si="66"/>
        <v>1</v>
      </c>
      <c r="R361" s="7">
        <f t="shared" si="67"/>
        <v>12149</v>
      </c>
      <c r="S361" s="5">
        <f t="shared" si="68"/>
        <v>1</v>
      </c>
      <c r="T361" s="7">
        <f t="shared" si="69"/>
        <v>12149</v>
      </c>
    </row>
    <row r="362" spans="1:20">
      <c r="A362" s="23" t="s">
        <v>550</v>
      </c>
      <c r="B362" s="35" t="s">
        <v>551</v>
      </c>
      <c r="C362" s="36">
        <v>4116</v>
      </c>
      <c r="D362" s="6"/>
      <c r="E362" s="113">
        <v>270802176</v>
      </c>
      <c r="F362" s="116">
        <f t="shared" si="74"/>
        <v>65792.55976676385</v>
      </c>
      <c r="G362" s="117">
        <v>237998615</v>
      </c>
      <c r="H362" s="117">
        <f t="shared" si="75"/>
        <v>57822.792759961128</v>
      </c>
      <c r="I362" s="7"/>
      <c r="J362" s="10">
        <v>2</v>
      </c>
      <c r="K362" s="117">
        <v>475997</v>
      </c>
      <c r="L362" s="120">
        <f t="shared" si="73"/>
        <v>115.6455296404276</v>
      </c>
      <c r="M362" s="122">
        <f t="shared" si="70"/>
        <v>2379986.15</v>
      </c>
      <c r="N362" s="116">
        <f t="shared" si="71"/>
        <v>1903989.15</v>
      </c>
      <c r="O362" s="123">
        <f t="shared" si="72"/>
        <v>462.58239795918365</v>
      </c>
      <c r="P362" s="5"/>
      <c r="Q362" s="5">
        <f t="shared" si="66"/>
        <v>1</v>
      </c>
      <c r="R362" s="7">
        <f t="shared" si="67"/>
        <v>4116</v>
      </c>
      <c r="S362" s="5">
        <f t="shared" si="68"/>
        <v>1</v>
      </c>
      <c r="T362" s="7">
        <f t="shared" si="69"/>
        <v>4116</v>
      </c>
    </row>
    <row r="363" spans="1:20">
      <c r="A363" s="23" t="s">
        <v>389</v>
      </c>
      <c r="B363" s="35" t="s">
        <v>552</v>
      </c>
      <c r="C363" s="36">
        <v>37273</v>
      </c>
      <c r="D363" s="6"/>
      <c r="E363" s="113">
        <v>1407756717</v>
      </c>
      <c r="F363" s="116">
        <f t="shared" si="74"/>
        <v>37768.806294100286</v>
      </c>
      <c r="G363" s="117">
        <v>911607100</v>
      </c>
      <c r="H363" s="117">
        <f t="shared" si="75"/>
        <v>24457.572505567034</v>
      </c>
      <c r="I363" s="7"/>
      <c r="J363" s="10">
        <v>7.3304999999999998</v>
      </c>
      <c r="K363" s="117">
        <v>6682535</v>
      </c>
      <c r="L363" s="120">
        <f t="shared" si="73"/>
        <v>179.28621253990823</v>
      </c>
      <c r="M363" s="122">
        <f t="shared" si="70"/>
        <v>9116071</v>
      </c>
      <c r="N363" s="116">
        <f t="shared" si="71"/>
        <v>2433536</v>
      </c>
      <c r="O363" s="123">
        <f t="shared" si="72"/>
        <v>65.289512515762084</v>
      </c>
      <c r="P363" s="5"/>
      <c r="Q363" s="5">
        <f t="shared" si="66"/>
        <v>1</v>
      </c>
      <c r="R363" s="7">
        <f t="shared" si="67"/>
        <v>37273</v>
      </c>
      <c r="S363" s="5">
        <f t="shared" si="68"/>
        <v>1</v>
      </c>
      <c r="T363" s="7">
        <f t="shared" si="69"/>
        <v>37273</v>
      </c>
    </row>
    <row r="364" spans="1:20">
      <c r="A364" s="23" t="s">
        <v>553</v>
      </c>
      <c r="B364" s="35" t="s">
        <v>552</v>
      </c>
      <c r="C364" s="36">
        <v>74894</v>
      </c>
      <c r="D364" s="6"/>
      <c r="E364" s="113">
        <v>3171393038</v>
      </c>
      <c r="F364" s="116">
        <f t="shared" si="74"/>
        <v>42345.088231367001</v>
      </c>
      <c r="G364" s="117">
        <v>2426088141</v>
      </c>
      <c r="H364" s="117">
        <f t="shared" si="75"/>
        <v>32393.624869816005</v>
      </c>
      <c r="I364" s="9"/>
      <c r="J364" s="10">
        <v>3.84</v>
      </c>
      <c r="K364" s="117">
        <v>9316178</v>
      </c>
      <c r="L364" s="120">
        <f t="shared" si="73"/>
        <v>124.39151333885225</v>
      </c>
      <c r="M364" s="122">
        <f t="shared" si="70"/>
        <v>24260881.41</v>
      </c>
      <c r="N364" s="116">
        <f t="shared" si="71"/>
        <v>14944703.41</v>
      </c>
      <c r="O364" s="123">
        <f t="shared" si="72"/>
        <v>199.54473535930782</v>
      </c>
      <c r="P364" s="5"/>
      <c r="Q364" s="5">
        <f t="shared" si="66"/>
        <v>1</v>
      </c>
      <c r="R364" s="7">
        <f t="shared" si="67"/>
        <v>74894</v>
      </c>
      <c r="S364" s="5">
        <f t="shared" si="68"/>
        <v>1</v>
      </c>
      <c r="T364" s="7">
        <f t="shared" si="69"/>
        <v>74894</v>
      </c>
    </row>
    <row r="365" spans="1:20">
      <c r="A365" s="23" t="s">
        <v>554</v>
      </c>
      <c r="B365" s="35" t="s">
        <v>552</v>
      </c>
      <c r="C365" s="36">
        <v>633</v>
      </c>
      <c r="D365" s="6"/>
      <c r="E365" s="113">
        <v>27762352</v>
      </c>
      <c r="F365" s="116">
        <f t="shared" si="74"/>
        <v>43858.375987361767</v>
      </c>
      <c r="G365" s="117">
        <v>22481782</v>
      </c>
      <c r="H365" s="117">
        <f t="shared" si="75"/>
        <v>35516.243285939971</v>
      </c>
      <c r="I365" s="9"/>
      <c r="J365" s="10">
        <v>0.93379999999999996</v>
      </c>
      <c r="K365" s="117">
        <v>20993</v>
      </c>
      <c r="L365" s="120">
        <f t="shared" si="73"/>
        <v>33.16429699842022</v>
      </c>
      <c r="M365" s="122">
        <f t="shared" si="70"/>
        <v>224817.82</v>
      </c>
      <c r="N365" s="116">
        <f t="shared" si="71"/>
        <v>203824.82</v>
      </c>
      <c r="O365" s="123">
        <f t="shared" si="72"/>
        <v>321.99813586097946</v>
      </c>
      <c r="P365" s="5"/>
      <c r="Q365" s="5">
        <f t="shared" si="66"/>
        <v>1</v>
      </c>
      <c r="R365" s="7">
        <f t="shared" si="67"/>
        <v>633</v>
      </c>
      <c r="S365" s="5">
        <f t="shared" si="68"/>
        <v>1</v>
      </c>
      <c r="T365" s="7">
        <f t="shared" si="69"/>
        <v>633</v>
      </c>
    </row>
    <row r="366" spans="1:20">
      <c r="A366" s="23" t="s">
        <v>404</v>
      </c>
      <c r="B366" s="35" t="s">
        <v>405</v>
      </c>
      <c r="C366" s="36">
        <v>2358</v>
      </c>
      <c r="D366" s="6"/>
      <c r="E366" s="113">
        <v>64141361</v>
      </c>
      <c r="F366" s="116">
        <f t="shared" si="74"/>
        <v>27201.594995759118</v>
      </c>
      <c r="G366" s="117">
        <v>42016283</v>
      </c>
      <c r="H366" s="117">
        <f t="shared" si="75"/>
        <v>17818.61026293469</v>
      </c>
      <c r="I366" s="7"/>
      <c r="J366" s="10">
        <v>2.3519999999999999</v>
      </c>
      <c r="K366" s="117">
        <v>98822</v>
      </c>
      <c r="L366" s="120">
        <f t="shared" si="73"/>
        <v>41.909245122985581</v>
      </c>
      <c r="M366" s="122">
        <f t="shared" si="70"/>
        <v>420162.83</v>
      </c>
      <c r="N366" s="116">
        <f t="shared" si="71"/>
        <v>321340.83</v>
      </c>
      <c r="O366" s="123">
        <f t="shared" si="72"/>
        <v>136.27685750636132</v>
      </c>
      <c r="P366" s="5"/>
      <c r="Q366" s="5">
        <f t="shared" si="66"/>
        <v>1</v>
      </c>
      <c r="R366" s="7">
        <f t="shared" si="67"/>
        <v>2358</v>
      </c>
      <c r="S366" s="5">
        <f t="shared" si="68"/>
        <v>1</v>
      </c>
      <c r="T366" s="7">
        <f t="shared" si="69"/>
        <v>2358</v>
      </c>
    </row>
    <row r="367" spans="1:20">
      <c r="A367" s="23" t="s">
        <v>406</v>
      </c>
      <c r="B367" s="35" t="s">
        <v>405</v>
      </c>
      <c r="C367" s="36">
        <v>762</v>
      </c>
      <c r="D367" s="6"/>
      <c r="E367" s="113">
        <v>11401579</v>
      </c>
      <c r="F367" s="116">
        <f t="shared" si="74"/>
        <v>14962.702099737533</v>
      </c>
      <c r="G367" s="117">
        <v>6021597</v>
      </c>
      <c r="H367" s="117">
        <f t="shared" si="75"/>
        <v>7902.358267716535</v>
      </c>
      <c r="I367" s="7"/>
      <c r="J367" s="10">
        <v>0.87</v>
      </c>
      <c r="K367" s="117">
        <v>5238</v>
      </c>
      <c r="L367" s="120">
        <f t="shared" si="73"/>
        <v>6.8740157480314963</v>
      </c>
      <c r="M367" s="122">
        <f t="shared" si="70"/>
        <v>60215.97</v>
      </c>
      <c r="N367" s="116">
        <f t="shared" si="71"/>
        <v>54977.97</v>
      </c>
      <c r="O367" s="123">
        <f t="shared" si="72"/>
        <v>72.149566929133854</v>
      </c>
      <c r="P367" s="5"/>
      <c r="Q367" s="5">
        <f t="shared" si="66"/>
        <v>1</v>
      </c>
      <c r="R367" s="7">
        <f t="shared" si="67"/>
        <v>762</v>
      </c>
      <c r="S367" s="5">
        <f t="shared" si="68"/>
        <v>1</v>
      </c>
      <c r="T367" s="7">
        <f t="shared" si="69"/>
        <v>762</v>
      </c>
    </row>
    <row r="368" spans="1:20">
      <c r="A368" s="23" t="s">
        <v>407</v>
      </c>
      <c r="B368" s="35" t="s">
        <v>405</v>
      </c>
      <c r="C368" s="36">
        <v>847</v>
      </c>
      <c r="D368" s="6"/>
      <c r="E368" s="113">
        <v>10572736</v>
      </c>
      <c r="F368" s="116">
        <f t="shared" si="74"/>
        <v>12482.569067296339</v>
      </c>
      <c r="G368" s="117">
        <v>5605508</v>
      </c>
      <c r="H368" s="117">
        <f t="shared" si="75"/>
        <v>6618.0731995277447</v>
      </c>
      <c r="I368" s="98" t="s">
        <v>528</v>
      </c>
      <c r="J368" s="10"/>
      <c r="K368" s="117"/>
      <c r="L368" s="120"/>
      <c r="M368" s="122">
        <f t="shared" si="70"/>
        <v>56055.08</v>
      </c>
      <c r="N368" s="116">
        <f t="shared" si="71"/>
        <v>56055.08</v>
      </c>
      <c r="O368" s="123">
        <f t="shared" si="72"/>
        <v>66.180731995277455</v>
      </c>
      <c r="P368" s="5"/>
      <c r="Q368" s="5">
        <f t="shared" si="66"/>
        <v>1</v>
      </c>
      <c r="R368" s="7">
        <f t="shared" si="67"/>
        <v>847</v>
      </c>
      <c r="S368" s="5">
        <f t="shared" si="68"/>
        <v>0</v>
      </c>
      <c r="T368" s="7">
        <f t="shared" si="69"/>
        <v>0</v>
      </c>
    </row>
    <row r="369" spans="1:20">
      <c r="A369" s="23" t="s">
        <v>408</v>
      </c>
      <c r="B369" s="35" t="s">
        <v>405</v>
      </c>
      <c r="C369" s="36">
        <v>854</v>
      </c>
      <c r="D369" s="6"/>
      <c r="E369" s="113">
        <v>11770820</v>
      </c>
      <c r="F369" s="116">
        <f t="shared" si="74"/>
        <v>13783.161592505854</v>
      </c>
      <c r="G369" s="117">
        <v>7713413</v>
      </c>
      <c r="H369" s="117">
        <f t="shared" si="75"/>
        <v>9032.0995316159242</v>
      </c>
      <c r="I369" s="7"/>
      <c r="J369" s="10">
        <v>4.2130000000000001</v>
      </c>
      <c r="K369" s="117">
        <v>32496</v>
      </c>
      <c r="L369" s="120">
        <f t="shared" ref="L369:L374" si="76">(K369/C369)</f>
        <v>38.051522248243558</v>
      </c>
      <c r="M369" s="122">
        <f t="shared" si="70"/>
        <v>77134.13</v>
      </c>
      <c r="N369" s="116">
        <f t="shared" si="71"/>
        <v>44638.130000000005</v>
      </c>
      <c r="O369" s="123">
        <f t="shared" si="72"/>
        <v>52.269473067915698</v>
      </c>
      <c r="P369" s="5"/>
      <c r="Q369" s="5">
        <f t="shared" si="66"/>
        <v>1</v>
      </c>
      <c r="R369" s="7">
        <f t="shared" si="67"/>
        <v>854</v>
      </c>
      <c r="S369" s="5">
        <f t="shared" si="68"/>
        <v>1</v>
      </c>
      <c r="T369" s="7">
        <f t="shared" si="69"/>
        <v>854</v>
      </c>
    </row>
    <row r="370" spans="1:20">
      <c r="A370" s="23" t="s">
        <v>409</v>
      </c>
      <c r="B370" s="35" t="s">
        <v>405</v>
      </c>
      <c r="C370" s="36">
        <v>3989</v>
      </c>
      <c r="D370" s="6"/>
      <c r="E370" s="113">
        <v>82058457</v>
      </c>
      <c r="F370" s="116">
        <f t="shared" si="74"/>
        <v>20571.18500877413</v>
      </c>
      <c r="G370" s="117">
        <v>64425201</v>
      </c>
      <c r="H370" s="117">
        <f t="shared" si="75"/>
        <v>16150.714715467535</v>
      </c>
      <c r="I370" s="7"/>
      <c r="J370" s="10">
        <v>5.5579999999999998</v>
      </c>
      <c r="K370" s="117">
        <v>358075</v>
      </c>
      <c r="L370" s="120">
        <f t="shared" si="76"/>
        <v>89.765605414890956</v>
      </c>
      <c r="M370" s="122">
        <f t="shared" si="70"/>
        <v>644252.01</v>
      </c>
      <c r="N370" s="116">
        <f t="shared" si="71"/>
        <v>286177.01</v>
      </c>
      <c r="O370" s="123">
        <f t="shared" si="72"/>
        <v>71.74154173978441</v>
      </c>
      <c r="P370" s="5"/>
      <c r="Q370" s="5">
        <f t="shared" si="66"/>
        <v>1</v>
      </c>
      <c r="R370" s="7">
        <f t="shared" si="67"/>
        <v>3989</v>
      </c>
      <c r="S370" s="5">
        <f t="shared" si="68"/>
        <v>1</v>
      </c>
      <c r="T370" s="7">
        <f t="shared" si="69"/>
        <v>3989</v>
      </c>
    </row>
    <row r="371" spans="1:20">
      <c r="A371" s="23" t="s">
        <v>410</v>
      </c>
      <c r="B371" s="35" t="s">
        <v>411</v>
      </c>
      <c r="C371" s="36">
        <v>659</v>
      </c>
      <c r="D371" s="6"/>
      <c r="E371" s="113">
        <v>18161998</v>
      </c>
      <c r="F371" s="116">
        <f t="shared" si="74"/>
        <v>27559.93626707132</v>
      </c>
      <c r="G371" s="117">
        <v>10155232</v>
      </c>
      <c r="H371" s="117">
        <f t="shared" si="75"/>
        <v>15410.06373292868</v>
      </c>
      <c r="I371" s="7"/>
      <c r="J371" s="10">
        <v>4.25</v>
      </c>
      <c r="K371" s="117">
        <v>43159</v>
      </c>
      <c r="L371" s="120">
        <f t="shared" si="76"/>
        <v>65.491654021244315</v>
      </c>
      <c r="M371" s="122">
        <f t="shared" si="70"/>
        <v>101552.32000000001</v>
      </c>
      <c r="N371" s="116">
        <f t="shared" si="71"/>
        <v>58393.320000000007</v>
      </c>
      <c r="O371" s="123">
        <f t="shared" si="72"/>
        <v>88.608983308042497</v>
      </c>
      <c r="P371" s="5"/>
      <c r="Q371" s="5">
        <f t="shared" si="66"/>
        <v>1</v>
      </c>
      <c r="R371" s="7">
        <f t="shared" si="67"/>
        <v>659</v>
      </c>
      <c r="S371" s="5">
        <f t="shared" si="68"/>
        <v>1</v>
      </c>
      <c r="T371" s="7">
        <f t="shared" si="69"/>
        <v>659</v>
      </c>
    </row>
    <row r="372" spans="1:20">
      <c r="A372" s="23" t="s">
        <v>412</v>
      </c>
      <c r="B372" s="35" t="s">
        <v>411</v>
      </c>
      <c r="C372" s="36">
        <v>6465</v>
      </c>
      <c r="D372" s="6"/>
      <c r="E372" s="113">
        <v>126144676</v>
      </c>
      <c r="F372" s="116">
        <f t="shared" si="74"/>
        <v>19511.937509667441</v>
      </c>
      <c r="G372" s="117">
        <v>69707830</v>
      </c>
      <c r="H372" s="117">
        <f t="shared" si="75"/>
        <v>10782.340293890178</v>
      </c>
      <c r="I372" s="7"/>
      <c r="J372" s="10">
        <v>5</v>
      </c>
      <c r="K372" s="117">
        <v>348539</v>
      </c>
      <c r="L372" s="120">
        <f t="shared" si="76"/>
        <v>53.911678267594738</v>
      </c>
      <c r="M372" s="122">
        <f t="shared" si="70"/>
        <v>697078.3</v>
      </c>
      <c r="N372" s="116">
        <f t="shared" si="71"/>
        <v>348539.30000000005</v>
      </c>
      <c r="O372" s="123">
        <f t="shared" si="72"/>
        <v>53.911724671307049</v>
      </c>
      <c r="P372" s="5"/>
      <c r="Q372" s="5">
        <f t="shared" si="66"/>
        <v>1</v>
      </c>
      <c r="R372" s="7">
        <f t="shared" si="67"/>
        <v>6465</v>
      </c>
      <c r="S372" s="5">
        <f t="shared" si="68"/>
        <v>1</v>
      </c>
      <c r="T372" s="7">
        <f t="shared" si="69"/>
        <v>6465</v>
      </c>
    </row>
    <row r="373" spans="1:20">
      <c r="A373" s="23" t="s">
        <v>413</v>
      </c>
      <c r="B373" s="35" t="s">
        <v>414</v>
      </c>
      <c r="C373" s="36">
        <v>7216</v>
      </c>
      <c r="D373" s="6"/>
      <c r="E373" s="113">
        <v>229931770</v>
      </c>
      <c r="F373" s="116">
        <f t="shared" si="74"/>
        <v>31864.158813747228</v>
      </c>
      <c r="G373" s="117">
        <v>128779366</v>
      </c>
      <c r="H373" s="117">
        <f t="shared" si="75"/>
        <v>17846.364467849224</v>
      </c>
      <c r="I373" s="7"/>
      <c r="J373" s="10">
        <v>4.7300000000000004</v>
      </c>
      <c r="K373" s="117">
        <v>609126</v>
      </c>
      <c r="L373" s="120">
        <f t="shared" si="76"/>
        <v>84.413248337028818</v>
      </c>
      <c r="M373" s="122">
        <f t="shared" si="70"/>
        <v>1287793.6599999999</v>
      </c>
      <c r="N373" s="116">
        <f t="shared" si="71"/>
        <v>678667.65999999992</v>
      </c>
      <c r="O373" s="123">
        <f t="shared" si="72"/>
        <v>94.050396341463397</v>
      </c>
      <c r="P373" s="5"/>
      <c r="Q373" s="5">
        <f t="shared" si="66"/>
        <v>1</v>
      </c>
      <c r="R373" s="7">
        <f t="shared" si="67"/>
        <v>7216</v>
      </c>
      <c r="S373" s="5">
        <f t="shared" si="68"/>
        <v>1</v>
      </c>
      <c r="T373" s="7">
        <f t="shared" si="69"/>
        <v>7216</v>
      </c>
    </row>
    <row r="374" spans="1:20">
      <c r="A374" s="23" t="s">
        <v>415</v>
      </c>
      <c r="B374" s="35" t="s">
        <v>416</v>
      </c>
      <c r="C374" s="36">
        <v>2084</v>
      </c>
      <c r="D374" s="6"/>
      <c r="E374" s="113">
        <v>43187936</v>
      </c>
      <c r="F374" s="116">
        <f t="shared" si="74"/>
        <v>20723.57773512476</v>
      </c>
      <c r="G374" s="117">
        <v>19282630</v>
      </c>
      <c r="H374" s="117">
        <f t="shared" si="75"/>
        <v>9252.7015355086369</v>
      </c>
      <c r="I374" s="7"/>
      <c r="J374" s="10">
        <v>2.4790000000000001</v>
      </c>
      <c r="K374" s="117">
        <v>47801</v>
      </c>
      <c r="L374" s="120">
        <f t="shared" si="76"/>
        <v>22.93714011516315</v>
      </c>
      <c r="M374" s="122">
        <f t="shared" si="70"/>
        <v>192826.30000000002</v>
      </c>
      <c r="N374" s="116">
        <f t="shared" si="71"/>
        <v>145025.30000000002</v>
      </c>
      <c r="O374" s="123">
        <f t="shared" si="72"/>
        <v>69.589875239923231</v>
      </c>
      <c r="P374" s="5"/>
      <c r="Q374" s="5">
        <f t="shared" si="66"/>
        <v>1</v>
      </c>
      <c r="R374" s="7">
        <f t="shared" si="67"/>
        <v>2084</v>
      </c>
      <c r="S374" s="5">
        <f t="shared" si="68"/>
        <v>1</v>
      </c>
      <c r="T374" s="7">
        <f t="shared" si="69"/>
        <v>2084</v>
      </c>
    </row>
    <row r="375" spans="1:20">
      <c r="A375" s="23" t="s">
        <v>417</v>
      </c>
      <c r="B375" s="35" t="s">
        <v>416</v>
      </c>
      <c r="C375" s="36">
        <v>257</v>
      </c>
      <c r="D375" s="6"/>
      <c r="E375" s="113">
        <v>3039576</v>
      </c>
      <c r="F375" s="116">
        <f t="shared" si="74"/>
        <v>11827.143968871595</v>
      </c>
      <c r="G375" s="117">
        <v>1488666</v>
      </c>
      <c r="H375" s="117">
        <f t="shared" si="75"/>
        <v>5792.4747081712067</v>
      </c>
      <c r="I375" s="98" t="s">
        <v>528</v>
      </c>
      <c r="J375" s="10"/>
      <c r="K375" s="117"/>
      <c r="L375" s="120"/>
      <c r="M375" s="122">
        <f t="shared" si="70"/>
        <v>14886.66</v>
      </c>
      <c r="N375" s="116">
        <f t="shared" si="71"/>
        <v>14886.66</v>
      </c>
      <c r="O375" s="123">
        <f t="shared" si="72"/>
        <v>57.924747081712063</v>
      </c>
      <c r="P375" s="5"/>
      <c r="Q375" s="5">
        <f t="shared" si="66"/>
        <v>1</v>
      </c>
      <c r="R375" s="7">
        <f t="shared" si="67"/>
        <v>257</v>
      </c>
      <c r="S375" s="5">
        <f t="shared" si="68"/>
        <v>0</v>
      </c>
      <c r="T375" s="7">
        <f t="shared" si="69"/>
        <v>0</v>
      </c>
    </row>
    <row r="376" spans="1:20">
      <c r="A376" s="23" t="s">
        <v>418</v>
      </c>
      <c r="B376" s="35" t="s">
        <v>416</v>
      </c>
      <c r="C376" s="36">
        <v>178</v>
      </c>
      <c r="D376" s="6"/>
      <c r="E376" s="113">
        <v>3408393</v>
      </c>
      <c r="F376" s="116">
        <f t="shared" si="74"/>
        <v>19148.275280898877</v>
      </c>
      <c r="G376" s="117">
        <v>2150340</v>
      </c>
      <c r="H376" s="117">
        <f t="shared" si="75"/>
        <v>12080.561797752809</v>
      </c>
      <c r="I376" s="7"/>
      <c r="J376" s="10">
        <v>10</v>
      </c>
      <c r="K376" s="117">
        <v>21503</v>
      </c>
      <c r="L376" s="120">
        <f t="shared" ref="L376:L392" si="77">(K376/C376)</f>
        <v>120.80337078651685</v>
      </c>
      <c r="M376" s="122">
        <f t="shared" si="70"/>
        <v>21503.4</v>
      </c>
      <c r="N376" s="116">
        <f t="shared" si="71"/>
        <v>0.40000000000145519</v>
      </c>
      <c r="O376" s="123">
        <f t="shared" si="72"/>
        <v>2.2471910112441301E-3</v>
      </c>
      <c r="P376" s="5"/>
      <c r="Q376" s="5">
        <f t="shared" si="66"/>
        <v>1</v>
      </c>
      <c r="R376" s="7">
        <f t="shared" si="67"/>
        <v>178</v>
      </c>
      <c r="S376" s="5">
        <f t="shared" si="68"/>
        <v>1</v>
      </c>
      <c r="T376" s="7">
        <f t="shared" si="69"/>
        <v>178</v>
      </c>
    </row>
    <row r="377" spans="1:20">
      <c r="A377" s="23" t="s">
        <v>419</v>
      </c>
      <c r="B377" s="35" t="s">
        <v>420</v>
      </c>
      <c r="C377" s="36">
        <v>63796</v>
      </c>
      <c r="D377" s="6"/>
      <c r="E377" s="113">
        <v>2946537563</v>
      </c>
      <c r="F377" s="116">
        <f t="shared" si="74"/>
        <v>46186.870070223842</v>
      </c>
      <c r="G377" s="117">
        <v>2096572874</v>
      </c>
      <c r="H377" s="117">
        <f t="shared" si="75"/>
        <v>32863.704213430312</v>
      </c>
      <c r="I377" s="7"/>
      <c r="J377" s="10">
        <v>6.5919999999999996</v>
      </c>
      <c r="K377" s="117">
        <v>13820608</v>
      </c>
      <c r="L377" s="120">
        <f t="shared" si="77"/>
        <v>216.6375321336761</v>
      </c>
      <c r="M377" s="122">
        <f t="shared" si="70"/>
        <v>20965728.740000002</v>
      </c>
      <c r="N377" s="116">
        <f t="shared" si="71"/>
        <v>7145120.7400000021</v>
      </c>
      <c r="O377" s="123">
        <f t="shared" si="72"/>
        <v>111.99951000062703</v>
      </c>
      <c r="P377" s="5"/>
      <c r="Q377" s="5">
        <f t="shared" si="66"/>
        <v>1</v>
      </c>
      <c r="R377" s="7">
        <f t="shared" si="67"/>
        <v>63796</v>
      </c>
      <c r="S377" s="5">
        <f t="shared" si="68"/>
        <v>1</v>
      </c>
      <c r="T377" s="7">
        <f t="shared" si="69"/>
        <v>63796</v>
      </c>
    </row>
    <row r="378" spans="1:20">
      <c r="A378" s="23" t="s">
        <v>421</v>
      </c>
      <c r="B378" s="35" t="s">
        <v>420</v>
      </c>
      <c r="C378" s="36">
        <v>2870</v>
      </c>
      <c r="D378" s="6"/>
      <c r="E378" s="113">
        <v>556116169</v>
      </c>
      <c r="F378" s="116">
        <f t="shared" si="74"/>
        <v>193768.7</v>
      </c>
      <c r="G378" s="117">
        <v>516214986</v>
      </c>
      <c r="H378" s="117">
        <f t="shared" si="75"/>
        <v>179865.84878048781</v>
      </c>
      <c r="I378" s="7"/>
      <c r="J378" s="10">
        <v>3.72</v>
      </c>
      <c r="K378" s="117">
        <v>1920319</v>
      </c>
      <c r="L378" s="120">
        <f t="shared" si="77"/>
        <v>669.10069686411146</v>
      </c>
      <c r="M378" s="122">
        <f t="shared" si="70"/>
        <v>5162149.8600000003</v>
      </c>
      <c r="N378" s="116">
        <f t="shared" si="71"/>
        <v>3241830.8600000003</v>
      </c>
      <c r="O378" s="123">
        <f t="shared" si="72"/>
        <v>1129.5577909407666</v>
      </c>
      <c r="P378" s="5"/>
      <c r="Q378" s="5">
        <f t="shared" si="66"/>
        <v>1</v>
      </c>
      <c r="R378" s="7">
        <f t="shared" si="67"/>
        <v>2870</v>
      </c>
      <c r="S378" s="5">
        <f t="shared" si="68"/>
        <v>1</v>
      </c>
      <c r="T378" s="7">
        <f t="shared" si="69"/>
        <v>2870</v>
      </c>
    </row>
    <row r="379" spans="1:20">
      <c r="A379" s="23" t="s">
        <v>462</v>
      </c>
      <c r="B379" s="35" t="s">
        <v>420</v>
      </c>
      <c r="C379" s="36">
        <v>11568</v>
      </c>
      <c r="D379" s="6"/>
      <c r="E379" s="113">
        <v>663988231</v>
      </c>
      <c r="F379" s="116">
        <f t="shared" si="74"/>
        <v>57398.70599930844</v>
      </c>
      <c r="G379" s="117">
        <v>529010155</v>
      </c>
      <c r="H379" s="117">
        <f t="shared" si="75"/>
        <v>45730.476746196407</v>
      </c>
      <c r="I379" s="7"/>
      <c r="J379" s="10">
        <v>2.5876000000000001</v>
      </c>
      <c r="K379" s="117">
        <v>1368866</v>
      </c>
      <c r="L379" s="120">
        <f t="shared" si="77"/>
        <v>118.33212309820193</v>
      </c>
      <c r="M379" s="122">
        <f t="shared" si="70"/>
        <v>5290101.55</v>
      </c>
      <c r="N379" s="116">
        <f t="shared" si="71"/>
        <v>3921235.55</v>
      </c>
      <c r="O379" s="123">
        <f t="shared" si="72"/>
        <v>338.97264436376207</v>
      </c>
      <c r="P379" s="5"/>
      <c r="Q379" s="5">
        <f t="shared" si="66"/>
        <v>1</v>
      </c>
      <c r="R379" s="7">
        <f t="shared" si="67"/>
        <v>11568</v>
      </c>
      <c r="S379" s="5">
        <f t="shared" si="68"/>
        <v>1</v>
      </c>
      <c r="T379" s="7">
        <f t="shared" si="69"/>
        <v>11568</v>
      </c>
    </row>
    <row r="380" spans="1:20">
      <c r="A380" s="23" t="s">
        <v>463</v>
      </c>
      <c r="B380" s="35" t="s">
        <v>420</v>
      </c>
      <c r="C380" s="36">
        <v>18000</v>
      </c>
      <c r="D380" s="6"/>
      <c r="E380" s="113">
        <v>832304803</v>
      </c>
      <c r="F380" s="116">
        <f t="shared" si="74"/>
        <v>46239.155722222225</v>
      </c>
      <c r="G380" s="117">
        <v>565965054</v>
      </c>
      <c r="H380" s="117">
        <f t="shared" si="75"/>
        <v>31442.503000000001</v>
      </c>
      <c r="I380" s="9"/>
      <c r="J380" s="10">
        <v>5.95</v>
      </c>
      <c r="K380" s="117">
        <v>3367492</v>
      </c>
      <c r="L380" s="120">
        <f t="shared" si="77"/>
        <v>187.0828888888889</v>
      </c>
      <c r="M380" s="122">
        <f t="shared" si="70"/>
        <v>5659650.54</v>
      </c>
      <c r="N380" s="116">
        <f t="shared" si="71"/>
        <v>2292158.54</v>
      </c>
      <c r="O380" s="123">
        <f t="shared" si="72"/>
        <v>127.34214111111112</v>
      </c>
      <c r="P380" s="5"/>
      <c r="Q380" s="5">
        <f t="shared" si="66"/>
        <v>1</v>
      </c>
      <c r="R380" s="7">
        <f t="shared" si="67"/>
        <v>18000</v>
      </c>
      <c r="S380" s="5">
        <f t="shared" si="68"/>
        <v>1</v>
      </c>
      <c r="T380" s="7">
        <f t="shared" si="69"/>
        <v>18000</v>
      </c>
    </row>
    <row r="381" spans="1:20">
      <c r="A381" s="23" t="s">
        <v>422</v>
      </c>
      <c r="B381" s="35" t="s">
        <v>420</v>
      </c>
      <c r="C381" s="36">
        <v>56148</v>
      </c>
      <c r="D381" s="6"/>
      <c r="E381" s="113">
        <v>1778076739</v>
      </c>
      <c r="F381" s="116">
        <f t="shared" si="74"/>
        <v>31667.677192420033</v>
      </c>
      <c r="G381" s="117">
        <v>1244057374</v>
      </c>
      <c r="H381" s="117">
        <f t="shared" ref="H381:H402" si="78">(G381/C381)</f>
        <v>22156.75311676284</v>
      </c>
      <c r="I381" s="7"/>
      <c r="J381" s="10">
        <v>4.1980000000000004</v>
      </c>
      <c r="K381" s="117">
        <v>5222552</v>
      </c>
      <c r="L381" s="120">
        <f t="shared" si="77"/>
        <v>93.014034337821471</v>
      </c>
      <c r="M381" s="122">
        <f t="shared" si="70"/>
        <v>12440573.74</v>
      </c>
      <c r="N381" s="116">
        <f t="shared" si="71"/>
        <v>7218021.7400000002</v>
      </c>
      <c r="O381" s="123">
        <f t="shared" si="72"/>
        <v>128.55349682980693</v>
      </c>
      <c r="P381" s="5"/>
      <c r="Q381" s="5">
        <f t="shared" si="66"/>
        <v>1</v>
      </c>
      <c r="R381" s="7">
        <f t="shared" si="67"/>
        <v>56148</v>
      </c>
      <c r="S381" s="5">
        <f t="shared" si="68"/>
        <v>1</v>
      </c>
      <c r="T381" s="7">
        <f t="shared" si="69"/>
        <v>56148</v>
      </c>
    </row>
    <row r="382" spans="1:20">
      <c r="A382" s="23" t="s">
        <v>423</v>
      </c>
      <c r="B382" s="35" t="s">
        <v>420</v>
      </c>
      <c r="C382" s="36">
        <v>17761</v>
      </c>
      <c r="D382" s="6"/>
      <c r="E382" s="113">
        <v>542399246</v>
      </c>
      <c r="F382" s="116">
        <f t="shared" si="74"/>
        <v>30538.778559765778</v>
      </c>
      <c r="G382" s="117">
        <v>383761109</v>
      </c>
      <c r="H382" s="117">
        <f t="shared" si="78"/>
        <v>21606.953944034682</v>
      </c>
      <c r="I382" s="7"/>
      <c r="J382" s="10">
        <v>6.59</v>
      </c>
      <c r="K382" s="117">
        <v>2528985</v>
      </c>
      <c r="L382" s="120">
        <f t="shared" si="77"/>
        <v>142.38978661111423</v>
      </c>
      <c r="M382" s="122">
        <f t="shared" si="70"/>
        <v>3837611.09</v>
      </c>
      <c r="N382" s="116">
        <f t="shared" si="71"/>
        <v>1308626.0899999999</v>
      </c>
      <c r="O382" s="123">
        <f t="shared" si="72"/>
        <v>73.679752829232584</v>
      </c>
      <c r="P382" s="5"/>
      <c r="Q382" s="5">
        <f t="shared" si="66"/>
        <v>1</v>
      </c>
      <c r="R382" s="7">
        <f t="shared" si="67"/>
        <v>17761</v>
      </c>
      <c r="S382" s="5">
        <f t="shared" si="68"/>
        <v>1</v>
      </c>
      <c r="T382" s="7">
        <f t="shared" si="69"/>
        <v>17761</v>
      </c>
    </row>
    <row r="383" spans="1:20">
      <c r="A383" s="23" t="s">
        <v>424</v>
      </c>
      <c r="B383" s="35" t="s">
        <v>420</v>
      </c>
      <c r="C383" s="36">
        <v>11370</v>
      </c>
      <c r="D383" s="6"/>
      <c r="E383" s="113">
        <v>374322255</v>
      </c>
      <c r="F383" s="116">
        <f t="shared" si="74"/>
        <v>32921.922163588388</v>
      </c>
      <c r="G383" s="117">
        <v>265805432</v>
      </c>
      <c r="H383" s="117">
        <f t="shared" si="78"/>
        <v>23377.786455584872</v>
      </c>
      <c r="I383" s="7"/>
      <c r="J383" s="11">
        <v>5.5358999999999998</v>
      </c>
      <c r="K383" s="117">
        <v>1471472</v>
      </c>
      <c r="L383" s="120">
        <f t="shared" si="77"/>
        <v>129.41706244503078</v>
      </c>
      <c r="M383" s="122">
        <f t="shared" si="70"/>
        <v>2658054.3199999998</v>
      </c>
      <c r="N383" s="116">
        <f t="shared" si="71"/>
        <v>1186582.3199999998</v>
      </c>
      <c r="O383" s="123">
        <f t="shared" si="72"/>
        <v>104.36080211081793</v>
      </c>
      <c r="P383" s="5"/>
      <c r="Q383" s="5">
        <f t="shared" si="66"/>
        <v>1</v>
      </c>
      <c r="R383" s="7">
        <f t="shared" si="67"/>
        <v>11370</v>
      </c>
      <c r="S383" s="5">
        <f t="shared" si="68"/>
        <v>1</v>
      </c>
      <c r="T383" s="7">
        <f t="shared" si="69"/>
        <v>11370</v>
      </c>
    </row>
    <row r="384" spans="1:20">
      <c r="A384" s="23" t="s">
        <v>425</v>
      </c>
      <c r="B384" s="35" t="s">
        <v>420</v>
      </c>
      <c r="C384" s="36">
        <v>2435</v>
      </c>
      <c r="D384" s="6"/>
      <c r="E384" s="113">
        <v>64857284</v>
      </c>
      <c r="F384" s="116">
        <f t="shared" si="74"/>
        <v>26635.434907597537</v>
      </c>
      <c r="G384" s="117">
        <v>41987294</v>
      </c>
      <c r="H384" s="117">
        <f t="shared" si="78"/>
        <v>17243.241889117042</v>
      </c>
      <c r="I384" s="7"/>
      <c r="J384" s="10">
        <v>4.8941999999999997</v>
      </c>
      <c r="K384" s="117">
        <v>205494</v>
      </c>
      <c r="L384" s="120">
        <f t="shared" si="77"/>
        <v>84.391786447638609</v>
      </c>
      <c r="M384" s="122">
        <f t="shared" si="70"/>
        <v>419872.94</v>
      </c>
      <c r="N384" s="116">
        <f t="shared" si="71"/>
        <v>214378.94</v>
      </c>
      <c r="O384" s="123">
        <f t="shared" si="72"/>
        <v>88.040632443531834</v>
      </c>
      <c r="P384" s="5"/>
      <c r="Q384" s="5">
        <f t="shared" si="66"/>
        <v>1</v>
      </c>
      <c r="R384" s="7">
        <f t="shared" si="67"/>
        <v>2435</v>
      </c>
      <c r="S384" s="5">
        <f t="shared" si="68"/>
        <v>1</v>
      </c>
      <c r="T384" s="7">
        <f t="shared" si="69"/>
        <v>2435</v>
      </c>
    </row>
    <row r="385" spans="1:20">
      <c r="A385" s="23" t="s">
        <v>426</v>
      </c>
      <c r="B385" s="35" t="s">
        <v>420</v>
      </c>
      <c r="C385" s="36">
        <v>18239</v>
      </c>
      <c r="D385" s="6"/>
      <c r="E385" s="113">
        <v>1275231796</v>
      </c>
      <c r="F385" s="116">
        <f t="shared" si="74"/>
        <v>69917.857119359614</v>
      </c>
      <c r="G385" s="117">
        <v>1033635106</v>
      </c>
      <c r="H385" s="117">
        <f t="shared" si="78"/>
        <v>56671.698338724709</v>
      </c>
      <c r="I385" s="7"/>
      <c r="J385" s="10">
        <v>5.4869000000000003</v>
      </c>
      <c r="K385" s="117">
        <v>5671452</v>
      </c>
      <c r="L385" s="120">
        <f t="shared" si="77"/>
        <v>310.95191622347716</v>
      </c>
      <c r="M385" s="122">
        <f t="shared" si="70"/>
        <v>10336351.060000001</v>
      </c>
      <c r="N385" s="116">
        <f t="shared" si="71"/>
        <v>4664899.0600000005</v>
      </c>
      <c r="O385" s="123">
        <f t="shared" si="72"/>
        <v>255.76506716376997</v>
      </c>
      <c r="P385" s="5"/>
      <c r="Q385" s="5">
        <f t="shared" si="66"/>
        <v>1</v>
      </c>
      <c r="R385" s="7">
        <f t="shared" si="67"/>
        <v>18239</v>
      </c>
      <c r="S385" s="5">
        <f t="shared" si="68"/>
        <v>1</v>
      </c>
      <c r="T385" s="7">
        <f t="shared" si="69"/>
        <v>18239</v>
      </c>
    </row>
    <row r="386" spans="1:20">
      <c r="A386" s="23" t="s">
        <v>427</v>
      </c>
      <c r="B386" s="35" t="s">
        <v>420</v>
      </c>
      <c r="C386" s="36">
        <v>1083</v>
      </c>
      <c r="D386" s="6"/>
      <c r="E386" s="113">
        <v>40746025</v>
      </c>
      <c r="F386" s="116">
        <f t="shared" si="74"/>
        <v>37623.291782086795</v>
      </c>
      <c r="G386" s="117">
        <v>26416023</v>
      </c>
      <c r="H386" s="117">
        <f t="shared" si="78"/>
        <v>24391.526315789473</v>
      </c>
      <c r="I386" s="7"/>
      <c r="J386" s="10">
        <v>3.5825</v>
      </c>
      <c r="K386" s="117">
        <v>94635</v>
      </c>
      <c r="L386" s="120">
        <f t="shared" si="77"/>
        <v>87.38227146814404</v>
      </c>
      <c r="M386" s="122">
        <f t="shared" si="70"/>
        <v>264160.23</v>
      </c>
      <c r="N386" s="116">
        <f t="shared" si="71"/>
        <v>169525.22999999998</v>
      </c>
      <c r="O386" s="123">
        <f t="shared" si="72"/>
        <v>156.53299168975067</v>
      </c>
      <c r="P386" s="5"/>
      <c r="Q386" s="5">
        <f t="shared" si="66"/>
        <v>1</v>
      </c>
      <c r="R386" s="7">
        <f t="shared" si="67"/>
        <v>1083</v>
      </c>
      <c r="S386" s="5">
        <f t="shared" si="68"/>
        <v>1</v>
      </c>
      <c r="T386" s="7">
        <f t="shared" si="69"/>
        <v>1083</v>
      </c>
    </row>
    <row r="387" spans="1:20">
      <c r="A387" s="23" t="s">
        <v>428</v>
      </c>
      <c r="B387" s="35" t="s">
        <v>420</v>
      </c>
      <c r="C387" s="36">
        <v>6137</v>
      </c>
      <c r="D387" s="6"/>
      <c r="E387" s="113">
        <v>262569172</v>
      </c>
      <c r="F387" s="116">
        <f t="shared" si="74"/>
        <v>42784.613328988104</v>
      </c>
      <c r="G387" s="117">
        <v>216703137</v>
      </c>
      <c r="H387" s="117">
        <f t="shared" si="78"/>
        <v>35310.92341534952</v>
      </c>
      <c r="I387" s="9"/>
      <c r="J387" s="10">
        <v>5.5</v>
      </c>
      <c r="K387" s="117">
        <v>1191867</v>
      </c>
      <c r="L387" s="120">
        <f t="shared" si="77"/>
        <v>194.21003747759491</v>
      </c>
      <c r="M387" s="122">
        <f t="shared" si="70"/>
        <v>2167031.37</v>
      </c>
      <c r="N387" s="116">
        <f t="shared" si="71"/>
        <v>975164.37000000011</v>
      </c>
      <c r="O387" s="123">
        <f t="shared" si="72"/>
        <v>158.8991966759003</v>
      </c>
      <c r="P387" s="5"/>
      <c r="Q387" s="5">
        <f t="shared" si="66"/>
        <v>1</v>
      </c>
      <c r="R387" s="7">
        <f t="shared" si="67"/>
        <v>6137</v>
      </c>
      <c r="S387" s="5">
        <f t="shared" si="68"/>
        <v>1</v>
      </c>
      <c r="T387" s="7">
        <f t="shared" si="69"/>
        <v>6137</v>
      </c>
    </row>
    <row r="388" spans="1:20">
      <c r="A388" s="23" t="s">
        <v>429</v>
      </c>
      <c r="B388" s="35" t="s">
        <v>420</v>
      </c>
      <c r="C388" s="36">
        <v>32426</v>
      </c>
      <c r="D388" s="6"/>
      <c r="E388" s="113">
        <v>1826002698</v>
      </c>
      <c r="F388" s="116">
        <f t="shared" si="74"/>
        <v>56312.918583852465</v>
      </c>
      <c r="G388" s="117">
        <v>1441838901</v>
      </c>
      <c r="H388" s="117">
        <f t="shared" si="78"/>
        <v>44465.518441990993</v>
      </c>
      <c r="I388" s="7"/>
      <c r="J388" s="10">
        <v>3.0543999999999998</v>
      </c>
      <c r="K388" s="117">
        <v>4403952</v>
      </c>
      <c r="L388" s="120">
        <f t="shared" si="77"/>
        <v>135.8154567322519</v>
      </c>
      <c r="M388" s="122">
        <f t="shared" si="70"/>
        <v>14418389.01</v>
      </c>
      <c r="N388" s="116">
        <f t="shared" si="71"/>
        <v>10014437.01</v>
      </c>
      <c r="O388" s="123">
        <f t="shared" si="72"/>
        <v>308.83972768765807</v>
      </c>
      <c r="P388" s="5"/>
      <c r="Q388" s="5">
        <f t="shared" si="66"/>
        <v>1</v>
      </c>
      <c r="R388" s="7">
        <f t="shared" si="67"/>
        <v>32426</v>
      </c>
      <c r="S388" s="5">
        <f t="shared" si="68"/>
        <v>1</v>
      </c>
      <c r="T388" s="7">
        <f t="shared" si="69"/>
        <v>32426</v>
      </c>
    </row>
    <row r="389" spans="1:20">
      <c r="A389" s="23" t="s">
        <v>430</v>
      </c>
      <c r="B389" s="35" t="s">
        <v>420</v>
      </c>
      <c r="C389" s="36">
        <v>1240</v>
      </c>
      <c r="D389" s="6"/>
      <c r="E389" s="113">
        <v>49361781</v>
      </c>
      <c r="F389" s="116">
        <f t="shared" si="74"/>
        <v>39807.887903225805</v>
      </c>
      <c r="G389" s="117">
        <v>28821255</v>
      </c>
      <c r="H389" s="117">
        <f t="shared" si="78"/>
        <v>23242.947580645163</v>
      </c>
      <c r="I389" s="7"/>
      <c r="J389" s="10">
        <v>3.903</v>
      </c>
      <c r="K389" s="117">
        <v>112489</v>
      </c>
      <c r="L389" s="120">
        <f t="shared" si="77"/>
        <v>90.716935483870969</v>
      </c>
      <c r="M389" s="122">
        <f t="shared" si="70"/>
        <v>288212.55</v>
      </c>
      <c r="N389" s="116">
        <f t="shared" si="71"/>
        <v>175723.55</v>
      </c>
      <c r="O389" s="123">
        <f t="shared" si="72"/>
        <v>141.71254032258062</v>
      </c>
      <c r="P389" s="5"/>
      <c r="Q389" s="5">
        <f t="shared" si="66"/>
        <v>1</v>
      </c>
      <c r="R389" s="7">
        <f t="shared" si="67"/>
        <v>1240</v>
      </c>
      <c r="S389" s="5">
        <f t="shared" si="68"/>
        <v>1</v>
      </c>
      <c r="T389" s="7">
        <f t="shared" si="69"/>
        <v>1240</v>
      </c>
    </row>
    <row r="390" spans="1:20">
      <c r="A390" s="23" t="s">
        <v>431</v>
      </c>
      <c r="B390" s="35" t="s">
        <v>420</v>
      </c>
      <c r="C390" s="36">
        <v>2232</v>
      </c>
      <c r="D390" s="6"/>
      <c r="E390" s="113">
        <v>246081725</v>
      </c>
      <c r="F390" s="116">
        <f t="shared" si="74"/>
        <v>110251.66890681004</v>
      </c>
      <c r="G390" s="117">
        <v>214732949</v>
      </c>
      <c r="H390" s="117">
        <f t="shared" si="78"/>
        <v>96206.518369175625</v>
      </c>
      <c r="I390" s="7"/>
      <c r="J390" s="11">
        <v>4.0814000000000004</v>
      </c>
      <c r="K390" s="117">
        <v>876411</v>
      </c>
      <c r="L390" s="120">
        <f t="shared" si="77"/>
        <v>392.65725806451616</v>
      </c>
      <c r="M390" s="122">
        <f t="shared" si="70"/>
        <v>2147329.4900000002</v>
      </c>
      <c r="N390" s="116">
        <f t="shared" si="71"/>
        <v>1270918.4900000002</v>
      </c>
      <c r="O390" s="123">
        <f t="shared" si="72"/>
        <v>569.40792562724027</v>
      </c>
      <c r="P390" s="5"/>
      <c r="Q390" s="5">
        <f t="shared" si="66"/>
        <v>1</v>
      </c>
      <c r="R390" s="7">
        <f t="shared" si="67"/>
        <v>2232</v>
      </c>
      <c r="S390" s="5">
        <f t="shared" si="68"/>
        <v>1</v>
      </c>
      <c r="T390" s="7">
        <f t="shared" si="69"/>
        <v>2232</v>
      </c>
    </row>
    <row r="391" spans="1:20">
      <c r="A391" s="23" t="s">
        <v>432</v>
      </c>
      <c r="B391" s="35" t="s">
        <v>420</v>
      </c>
      <c r="C391" s="36">
        <v>40543</v>
      </c>
      <c r="D391" s="6"/>
      <c r="E391" s="113">
        <v>1392404307</v>
      </c>
      <c r="F391" s="116">
        <f t="shared" si="74"/>
        <v>34343.889376711144</v>
      </c>
      <c r="G391" s="117">
        <v>1004576705</v>
      </c>
      <c r="H391" s="117">
        <f t="shared" si="78"/>
        <v>24778.055521298375</v>
      </c>
      <c r="I391" s="7"/>
      <c r="J391" s="10">
        <v>4.5281000000000002</v>
      </c>
      <c r="K391" s="117">
        <v>4548823</v>
      </c>
      <c r="L391" s="120">
        <f t="shared" si="77"/>
        <v>112.1974940186962</v>
      </c>
      <c r="M391" s="122">
        <f t="shared" si="70"/>
        <v>10045767.050000001</v>
      </c>
      <c r="N391" s="116">
        <f t="shared" si="71"/>
        <v>5496944.0500000007</v>
      </c>
      <c r="O391" s="123">
        <f t="shared" si="72"/>
        <v>135.58306119428755</v>
      </c>
      <c r="P391" s="5"/>
      <c r="Q391" s="5">
        <f t="shared" ref="Q391:Q402" si="79">IF(E391&gt;0,1,0)</f>
        <v>1</v>
      </c>
      <c r="R391" s="7">
        <f t="shared" ref="R391:R402" si="80">IF(E391&gt;0,C391,0)</f>
        <v>40543</v>
      </c>
      <c r="S391" s="5">
        <f t="shared" ref="S391:S402" si="81">IF(J391&gt;0,1,0)</f>
        <v>1</v>
      </c>
      <c r="T391" s="7">
        <f t="shared" ref="T391:T402" si="82">IF(J391&gt;0,C391,0)</f>
        <v>40543</v>
      </c>
    </row>
    <row r="392" spans="1:20">
      <c r="A392" s="23" t="s">
        <v>433</v>
      </c>
      <c r="B392" s="35" t="s">
        <v>420</v>
      </c>
      <c r="C392" s="36">
        <v>12910</v>
      </c>
      <c r="D392" s="6"/>
      <c r="E392" s="113">
        <v>445632118</v>
      </c>
      <c r="F392" s="116">
        <f t="shared" si="74"/>
        <v>34518.367002323779</v>
      </c>
      <c r="G392" s="117">
        <v>349823236</v>
      </c>
      <c r="H392" s="117">
        <f t="shared" si="78"/>
        <v>27097.0748257165</v>
      </c>
      <c r="I392" s="7"/>
      <c r="J392" s="10">
        <v>4.2</v>
      </c>
      <c r="K392" s="117">
        <v>1469257</v>
      </c>
      <c r="L392" s="120">
        <f t="shared" si="77"/>
        <v>113.80766847405113</v>
      </c>
      <c r="M392" s="122">
        <f t="shared" ref="M392:M402" si="83">(G392*0.01)</f>
        <v>3498232.36</v>
      </c>
      <c r="N392" s="116">
        <f t="shared" ref="N392:N402" si="84">(M392-K392)</f>
        <v>2028975.3599999999</v>
      </c>
      <c r="O392" s="123">
        <f t="shared" ref="O392:O402" si="85">(N392/C392)</f>
        <v>157.16307978311386</v>
      </c>
      <c r="P392" s="5"/>
      <c r="Q392" s="5">
        <f t="shared" si="79"/>
        <v>1</v>
      </c>
      <c r="R392" s="7">
        <f t="shared" si="80"/>
        <v>12910</v>
      </c>
      <c r="S392" s="5">
        <f t="shared" si="81"/>
        <v>1</v>
      </c>
      <c r="T392" s="7">
        <f t="shared" si="82"/>
        <v>12910</v>
      </c>
    </row>
    <row r="393" spans="1:20">
      <c r="A393" s="23" t="s">
        <v>435</v>
      </c>
      <c r="B393" s="35" t="s">
        <v>434</v>
      </c>
      <c r="C393" s="36">
        <v>385</v>
      </c>
      <c r="D393" s="6"/>
      <c r="E393" s="113">
        <v>45062709</v>
      </c>
      <c r="F393" s="116">
        <f t="shared" si="74"/>
        <v>117045.99740259741</v>
      </c>
      <c r="G393" s="117">
        <v>25385408</v>
      </c>
      <c r="H393" s="117">
        <f t="shared" si="78"/>
        <v>65936.124675324681</v>
      </c>
      <c r="I393" s="98" t="s">
        <v>528</v>
      </c>
      <c r="J393" s="10"/>
      <c r="K393" s="117"/>
      <c r="L393" s="120"/>
      <c r="M393" s="122">
        <f t="shared" si="83"/>
        <v>253854.08000000002</v>
      </c>
      <c r="N393" s="116">
        <f t="shared" si="84"/>
        <v>253854.08000000002</v>
      </c>
      <c r="O393" s="123">
        <f t="shared" si="85"/>
        <v>659.36124675324675</v>
      </c>
      <c r="P393" s="5"/>
      <c r="Q393" s="5">
        <f t="shared" si="79"/>
        <v>1</v>
      </c>
      <c r="R393" s="7">
        <f t="shared" si="80"/>
        <v>385</v>
      </c>
      <c r="S393" s="5">
        <f t="shared" si="81"/>
        <v>0</v>
      </c>
      <c r="T393" s="7">
        <f t="shared" si="82"/>
        <v>0</v>
      </c>
    </row>
    <row r="394" spans="1:20">
      <c r="A394" s="23" t="s">
        <v>555</v>
      </c>
      <c r="B394" s="35" t="s">
        <v>434</v>
      </c>
      <c r="C394" s="36">
        <v>297</v>
      </c>
      <c r="D394" s="6"/>
      <c r="E394" s="113">
        <v>51501854</v>
      </c>
      <c r="F394" s="116">
        <f t="shared" si="74"/>
        <v>173406.91582491584</v>
      </c>
      <c r="G394" s="117">
        <v>9308497</v>
      </c>
      <c r="H394" s="117">
        <f t="shared" si="78"/>
        <v>31341.740740740741</v>
      </c>
      <c r="I394" s="7"/>
      <c r="J394" s="10">
        <v>3.75</v>
      </c>
      <c r="K394" s="117">
        <v>34906</v>
      </c>
      <c r="L394" s="120">
        <f>(K394/C394)</f>
        <v>117.52861952861953</v>
      </c>
      <c r="M394" s="122">
        <f t="shared" si="83"/>
        <v>93084.97</v>
      </c>
      <c r="N394" s="116">
        <f t="shared" si="84"/>
        <v>58178.97</v>
      </c>
      <c r="O394" s="123">
        <f t="shared" si="85"/>
        <v>195.88878787878789</v>
      </c>
      <c r="P394" s="5"/>
      <c r="Q394" s="5">
        <f t="shared" si="79"/>
        <v>1</v>
      </c>
      <c r="R394" s="7">
        <f t="shared" si="80"/>
        <v>297</v>
      </c>
      <c r="S394" s="5">
        <f t="shared" si="81"/>
        <v>1</v>
      </c>
      <c r="T394" s="7">
        <f t="shared" si="82"/>
        <v>297</v>
      </c>
    </row>
    <row r="395" spans="1:20">
      <c r="A395" s="23" t="s">
        <v>436</v>
      </c>
      <c r="B395" s="35" t="s">
        <v>437</v>
      </c>
      <c r="C395" s="36">
        <v>5511</v>
      </c>
      <c r="D395" s="6"/>
      <c r="E395" s="113">
        <v>153219259</v>
      </c>
      <c r="F395" s="116">
        <f t="shared" si="74"/>
        <v>27802.4422064961</v>
      </c>
      <c r="G395" s="117">
        <v>97396105</v>
      </c>
      <c r="H395" s="117">
        <f t="shared" si="78"/>
        <v>17673.036653964798</v>
      </c>
      <c r="I395" s="7"/>
      <c r="J395" s="10">
        <v>4.5</v>
      </c>
      <c r="K395" s="117">
        <v>438282</v>
      </c>
      <c r="L395" s="120">
        <f>(K395/C395)</f>
        <v>79.52857920522591</v>
      </c>
      <c r="M395" s="122">
        <f t="shared" si="83"/>
        <v>973961.05</v>
      </c>
      <c r="N395" s="116">
        <f t="shared" si="84"/>
        <v>535679.05000000005</v>
      </c>
      <c r="O395" s="123">
        <f t="shared" si="85"/>
        <v>97.201787334422079</v>
      </c>
      <c r="P395" s="5"/>
      <c r="Q395" s="5">
        <f t="shared" si="79"/>
        <v>1</v>
      </c>
      <c r="R395" s="7">
        <f t="shared" si="80"/>
        <v>5511</v>
      </c>
      <c r="S395" s="5">
        <f t="shared" si="81"/>
        <v>1</v>
      </c>
      <c r="T395" s="7">
        <f t="shared" si="82"/>
        <v>5511</v>
      </c>
    </row>
    <row r="396" spans="1:20">
      <c r="A396" s="23" t="s">
        <v>438</v>
      </c>
      <c r="B396" s="35" t="s">
        <v>437</v>
      </c>
      <c r="C396" s="36">
        <v>1080</v>
      </c>
      <c r="D396" s="6"/>
      <c r="E396" s="113">
        <v>24848113</v>
      </c>
      <c r="F396" s="116">
        <f t="shared" si="74"/>
        <v>23007.512037037039</v>
      </c>
      <c r="G396" s="117">
        <v>15907348</v>
      </c>
      <c r="H396" s="117">
        <f t="shared" si="78"/>
        <v>14729.025925925926</v>
      </c>
      <c r="I396" s="7"/>
      <c r="J396" s="10">
        <v>3.93</v>
      </c>
      <c r="K396" s="117">
        <v>62515</v>
      </c>
      <c r="L396" s="120">
        <f>(K396/C396)</f>
        <v>57.88425925925926</v>
      </c>
      <c r="M396" s="122">
        <f t="shared" si="83"/>
        <v>159073.48000000001</v>
      </c>
      <c r="N396" s="116">
        <f t="shared" si="84"/>
        <v>96558.48000000001</v>
      </c>
      <c r="O396" s="123">
        <f t="shared" si="85"/>
        <v>89.406000000000006</v>
      </c>
      <c r="P396" s="5"/>
      <c r="Q396" s="5">
        <f t="shared" si="79"/>
        <v>1</v>
      </c>
      <c r="R396" s="7">
        <f t="shared" si="80"/>
        <v>1080</v>
      </c>
      <c r="S396" s="5">
        <f t="shared" si="81"/>
        <v>1</v>
      </c>
      <c r="T396" s="7">
        <f t="shared" si="82"/>
        <v>1080</v>
      </c>
    </row>
    <row r="397" spans="1:20">
      <c r="A397" s="23" t="s">
        <v>439</v>
      </c>
      <c r="B397" s="35" t="s">
        <v>437</v>
      </c>
      <c r="C397" s="36">
        <v>625</v>
      </c>
      <c r="D397" s="6"/>
      <c r="E397" s="113">
        <v>9676142</v>
      </c>
      <c r="F397" s="116">
        <f t="shared" si="74"/>
        <v>15481.8272</v>
      </c>
      <c r="G397" s="117">
        <v>4149419</v>
      </c>
      <c r="H397" s="117">
        <f t="shared" si="78"/>
        <v>6639.0703999999996</v>
      </c>
      <c r="I397" s="98" t="s">
        <v>528</v>
      </c>
      <c r="J397" s="10"/>
      <c r="K397" s="117"/>
      <c r="L397" s="120"/>
      <c r="M397" s="122">
        <f t="shared" si="83"/>
        <v>41494.19</v>
      </c>
      <c r="N397" s="116">
        <f t="shared" si="84"/>
        <v>41494.19</v>
      </c>
      <c r="O397" s="123">
        <f t="shared" si="85"/>
        <v>66.390703999999999</v>
      </c>
      <c r="P397" s="5"/>
      <c r="Q397" s="5">
        <f t="shared" si="79"/>
        <v>1</v>
      </c>
      <c r="R397" s="7">
        <f t="shared" si="80"/>
        <v>625</v>
      </c>
      <c r="S397" s="5">
        <f t="shared" si="81"/>
        <v>0</v>
      </c>
      <c r="T397" s="7">
        <f t="shared" si="82"/>
        <v>0</v>
      </c>
    </row>
    <row r="398" spans="1:20">
      <c r="A398" s="23" t="s">
        <v>440</v>
      </c>
      <c r="B398" s="35" t="s">
        <v>441</v>
      </c>
      <c r="C398" s="36">
        <v>579</v>
      </c>
      <c r="D398" s="6"/>
      <c r="E398" s="113">
        <v>6112809</v>
      </c>
      <c r="F398" s="116">
        <f t="shared" si="74"/>
        <v>10557.528497409327</v>
      </c>
      <c r="G398" s="117">
        <v>2142014</v>
      </c>
      <c r="H398" s="117">
        <f t="shared" si="78"/>
        <v>3699.5060449050088</v>
      </c>
      <c r="I398" s="98" t="s">
        <v>528</v>
      </c>
      <c r="J398" s="10"/>
      <c r="K398" s="117"/>
      <c r="L398" s="120"/>
      <c r="M398" s="122">
        <f t="shared" si="83"/>
        <v>21420.14</v>
      </c>
      <c r="N398" s="116">
        <f t="shared" si="84"/>
        <v>21420.14</v>
      </c>
      <c r="O398" s="123">
        <f t="shared" si="85"/>
        <v>36.995060449050087</v>
      </c>
      <c r="P398" s="5"/>
      <c r="Q398" s="5">
        <f t="shared" si="79"/>
        <v>1</v>
      </c>
      <c r="R398" s="7">
        <f t="shared" si="80"/>
        <v>579</v>
      </c>
      <c r="S398" s="5">
        <f t="shared" si="81"/>
        <v>0</v>
      </c>
      <c r="T398" s="7">
        <f t="shared" si="82"/>
        <v>0</v>
      </c>
    </row>
    <row r="399" spans="1:20">
      <c r="A399" s="23" t="s">
        <v>442</v>
      </c>
      <c r="B399" s="35" t="s">
        <v>441</v>
      </c>
      <c r="C399" s="36">
        <v>4110</v>
      </c>
      <c r="D399" s="6"/>
      <c r="E399" s="113">
        <v>125884891</v>
      </c>
      <c r="F399" s="116">
        <f t="shared" si="74"/>
        <v>30628.927250608271</v>
      </c>
      <c r="G399" s="117">
        <v>80975301</v>
      </c>
      <c r="H399" s="117">
        <f t="shared" si="78"/>
        <v>19702.019708029198</v>
      </c>
      <c r="I399" s="7"/>
      <c r="J399" s="10">
        <v>5.54</v>
      </c>
      <c r="K399" s="117">
        <v>448603</v>
      </c>
      <c r="L399" s="120">
        <f>(K399/C399)</f>
        <v>109.14914841849148</v>
      </c>
      <c r="M399" s="122">
        <f t="shared" si="83"/>
        <v>809753.01</v>
      </c>
      <c r="N399" s="116">
        <f t="shared" si="84"/>
        <v>361150.01</v>
      </c>
      <c r="O399" s="123">
        <f t="shared" si="85"/>
        <v>87.871048661800486</v>
      </c>
      <c r="P399" s="5"/>
      <c r="Q399" s="5">
        <f t="shared" si="79"/>
        <v>1</v>
      </c>
      <c r="R399" s="7">
        <f t="shared" si="80"/>
        <v>4110</v>
      </c>
      <c r="S399" s="5">
        <f t="shared" si="81"/>
        <v>1</v>
      </c>
      <c r="T399" s="7">
        <f t="shared" si="82"/>
        <v>4110</v>
      </c>
    </row>
    <row r="400" spans="1:20">
      <c r="A400" s="23" t="s">
        <v>443</v>
      </c>
      <c r="B400" s="35" t="s">
        <v>441</v>
      </c>
      <c r="C400" s="36">
        <v>269</v>
      </c>
      <c r="D400" s="6"/>
      <c r="E400" s="113">
        <v>7080474</v>
      </c>
      <c r="F400" s="116">
        <f t="shared" si="74"/>
        <v>26321.464684014871</v>
      </c>
      <c r="G400" s="117">
        <v>5187915</v>
      </c>
      <c r="H400" s="117">
        <f t="shared" si="78"/>
        <v>19285.929368029741</v>
      </c>
      <c r="I400" s="98" t="s">
        <v>528</v>
      </c>
      <c r="J400" s="10"/>
      <c r="K400" s="117"/>
      <c r="L400" s="120"/>
      <c r="M400" s="122">
        <f t="shared" si="83"/>
        <v>51879.15</v>
      </c>
      <c r="N400" s="116">
        <f t="shared" si="84"/>
        <v>51879.15</v>
      </c>
      <c r="O400" s="123">
        <f t="shared" si="85"/>
        <v>192.85929368029741</v>
      </c>
      <c r="P400" s="5"/>
      <c r="Q400" s="5">
        <f t="shared" si="79"/>
        <v>1</v>
      </c>
      <c r="R400" s="7">
        <f t="shared" si="80"/>
        <v>269</v>
      </c>
      <c r="S400" s="5">
        <f t="shared" si="81"/>
        <v>0</v>
      </c>
      <c r="T400" s="7">
        <f t="shared" si="82"/>
        <v>0</v>
      </c>
    </row>
    <row r="401" spans="1:20">
      <c r="A401" s="23" t="s">
        <v>444</v>
      </c>
      <c r="B401" s="35" t="s">
        <v>441</v>
      </c>
      <c r="C401" s="36">
        <v>849</v>
      </c>
      <c r="D401" s="6"/>
      <c r="E401" s="113">
        <v>16914761</v>
      </c>
      <c r="F401" s="116">
        <f t="shared" si="74"/>
        <v>19923.157832744404</v>
      </c>
      <c r="G401" s="117">
        <v>6560339</v>
      </c>
      <c r="H401" s="117">
        <f t="shared" si="78"/>
        <v>7727.1366313309773</v>
      </c>
      <c r="I401" s="7"/>
      <c r="J401" s="10">
        <v>2.86</v>
      </c>
      <c r="K401" s="117">
        <v>18762</v>
      </c>
      <c r="L401" s="120">
        <f>(K401/C401)</f>
        <v>22.098939929328623</v>
      </c>
      <c r="M401" s="122">
        <f t="shared" si="83"/>
        <v>65603.39</v>
      </c>
      <c r="N401" s="116">
        <f t="shared" si="84"/>
        <v>46841.39</v>
      </c>
      <c r="O401" s="123">
        <f t="shared" si="85"/>
        <v>55.172426383981154</v>
      </c>
      <c r="P401" s="5"/>
      <c r="Q401" s="5">
        <f t="shared" si="79"/>
        <v>1</v>
      </c>
      <c r="R401" s="7">
        <f t="shared" si="80"/>
        <v>849</v>
      </c>
      <c r="S401" s="5">
        <f t="shared" si="81"/>
        <v>1</v>
      </c>
      <c r="T401" s="7">
        <f t="shared" si="82"/>
        <v>849</v>
      </c>
    </row>
    <row r="402" spans="1:20">
      <c r="A402" s="23" t="s">
        <v>445</v>
      </c>
      <c r="B402" s="35" t="s">
        <v>441</v>
      </c>
      <c r="C402" s="36">
        <v>332</v>
      </c>
      <c r="D402" s="6"/>
      <c r="E402" s="113">
        <v>5214673</v>
      </c>
      <c r="F402" s="116">
        <f t="shared" si="74"/>
        <v>15706.846385542169</v>
      </c>
      <c r="G402" s="117">
        <v>1915094</v>
      </c>
      <c r="H402" s="117">
        <f t="shared" si="78"/>
        <v>5768.3554216867469</v>
      </c>
      <c r="I402" s="98" t="s">
        <v>528</v>
      </c>
      <c r="J402" s="10"/>
      <c r="K402" s="117"/>
      <c r="L402" s="120"/>
      <c r="M402" s="122">
        <f t="shared" si="83"/>
        <v>19150.939999999999</v>
      </c>
      <c r="N402" s="116">
        <f t="shared" si="84"/>
        <v>19150.939999999999</v>
      </c>
      <c r="O402" s="123">
        <f t="shared" si="85"/>
        <v>57.683554216867464</v>
      </c>
      <c r="P402" s="5"/>
      <c r="Q402" s="5">
        <f t="shared" si="79"/>
        <v>1</v>
      </c>
      <c r="R402" s="7">
        <f t="shared" si="80"/>
        <v>332</v>
      </c>
      <c r="S402" s="5">
        <f t="shared" si="81"/>
        <v>0</v>
      </c>
      <c r="T402" s="7">
        <f t="shared" si="82"/>
        <v>0</v>
      </c>
    </row>
    <row r="403" spans="1:20">
      <c r="A403" s="70" t="s">
        <v>451</v>
      </c>
      <c r="B403" s="71"/>
      <c r="C403" s="72">
        <f>SUM(C6:C402)</f>
        <v>7116696</v>
      </c>
      <c r="D403" s="73"/>
      <c r="E403" s="73">
        <f>SUM(E6:E402)</f>
        <v>358130793313</v>
      </c>
      <c r="F403" s="74">
        <f>(E403/R403)</f>
        <v>55857.253755262391</v>
      </c>
      <c r="G403" s="75">
        <f>SUM(G6:G402)</f>
        <v>267382116533</v>
      </c>
      <c r="H403" s="76">
        <f>(G403/R403)</f>
        <v>41703.285536102427</v>
      </c>
      <c r="I403" s="71"/>
      <c r="J403" s="77"/>
      <c r="K403" s="78">
        <f>SUM(K6:K402)</f>
        <v>1341506388</v>
      </c>
      <c r="L403" s="79">
        <f>(K403/T403)</f>
        <v>211.76067038231341</v>
      </c>
      <c r="M403" s="79">
        <f>SUM(M6:M402)</f>
        <v>2673821165.329999</v>
      </c>
      <c r="N403" s="78">
        <f>SUM(N6:N402)</f>
        <v>1332314777.3300006</v>
      </c>
      <c r="O403" s="80">
        <f>(N403/R403)</f>
        <v>207.79962513350944</v>
      </c>
      <c r="P403" s="20"/>
      <c r="Q403" s="20">
        <f>SUM(Q6:Q402)</f>
        <v>395</v>
      </c>
      <c r="R403" s="21">
        <f>SUM(R6:R402)</f>
        <v>6411536</v>
      </c>
      <c r="S403" s="20">
        <f>SUM(S6:S402)</f>
        <v>360</v>
      </c>
      <c r="T403" s="21">
        <f>SUM(T6:T402)</f>
        <v>6335012</v>
      </c>
    </row>
    <row r="404" spans="1:20">
      <c r="A404" s="27" t="s">
        <v>453</v>
      </c>
      <c r="B404" s="13"/>
      <c r="C404" s="60">
        <f>(S403)</f>
        <v>360</v>
      </c>
      <c r="D404" s="14"/>
      <c r="E404" s="14"/>
      <c r="F404" s="16"/>
      <c r="G404" s="16"/>
      <c r="H404" s="16"/>
      <c r="I404" s="16"/>
      <c r="J404" s="14"/>
      <c r="K404" s="17"/>
      <c r="L404" s="17"/>
      <c r="M404" s="2"/>
      <c r="N404" s="2"/>
      <c r="O404" s="63"/>
      <c r="P404" s="2"/>
      <c r="Q404" s="2"/>
      <c r="R404" s="2"/>
      <c r="S404" s="2"/>
      <c r="T404" s="2"/>
    </row>
    <row r="405" spans="1:20">
      <c r="A405" s="22"/>
      <c r="B405" s="16"/>
      <c r="C405" s="16"/>
      <c r="D405" s="16"/>
      <c r="E405" s="16"/>
      <c r="F405" s="16"/>
      <c r="G405" s="16"/>
      <c r="H405" s="16"/>
      <c r="I405" s="16"/>
      <c r="J405" s="17"/>
      <c r="K405" s="17"/>
      <c r="L405" s="17"/>
      <c r="M405" s="2"/>
      <c r="N405" s="2"/>
      <c r="O405" s="63"/>
      <c r="P405" s="2"/>
      <c r="Q405" s="2"/>
      <c r="R405" s="2"/>
      <c r="S405" s="2"/>
      <c r="T405" s="2"/>
    </row>
    <row r="406" spans="1:20">
      <c r="A406" s="28" t="s">
        <v>498</v>
      </c>
      <c r="B406" s="25"/>
      <c r="C406" s="25"/>
      <c r="D406" s="25"/>
      <c r="E406" s="25"/>
      <c r="F406" s="25"/>
      <c r="G406" s="25"/>
      <c r="H406" s="25"/>
      <c r="I406" s="25"/>
      <c r="J406" s="26"/>
      <c r="K406" s="26"/>
      <c r="L406" s="26"/>
      <c r="M406" s="1"/>
      <c r="N406" s="1"/>
      <c r="O406" s="64"/>
      <c r="P406" s="1"/>
      <c r="Q406" s="1"/>
      <c r="R406" s="1"/>
      <c r="S406" s="1"/>
      <c r="T406" s="1"/>
    </row>
    <row r="407" spans="1:20">
      <c r="A407" s="96" t="s">
        <v>566</v>
      </c>
      <c r="B407" s="25"/>
      <c r="C407" s="25"/>
      <c r="D407" s="25"/>
      <c r="E407" s="25"/>
      <c r="F407" s="25"/>
      <c r="G407" s="25"/>
      <c r="H407" s="25"/>
      <c r="I407" s="25"/>
      <c r="J407" s="26"/>
      <c r="K407" s="26"/>
      <c r="L407" s="26"/>
      <c r="M407" s="1"/>
      <c r="N407" s="1"/>
      <c r="O407" s="64"/>
      <c r="P407" s="1"/>
      <c r="Q407" s="1"/>
      <c r="R407" s="1"/>
      <c r="S407" s="1"/>
      <c r="T407" s="1"/>
    </row>
    <row r="408" spans="1:20">
      <c r="A408" s="96" t="s">
        <v>570</v>
      </c>
      <c r="B408" s="25"/>
      <c r="C408" s="25"/>
      <c r="D408" s="25"/>
      <c r="E408" s="25"/>
      <c r="F408" s="25"/>
      <c r="G408" s="25"/>
      <c r="H408" s="25"/>
      <c r="I408" s="25"/>
      <c r="J408" s="26"/>
      <c r="K408" s="26"/>
      <c r="L408" s="26"/>
      <c r="M408" s="1"/>
      <c r="N408" s="1"/>
      <c r="O408" s="64"/>
      <c r="P408" s="1"/>
      <c r="Q408" s="1"/>
      <c r="R408" s="1"/>
      <c r="S408" s="1"/>
      <c r="T408" s="1"/>
    </row>
    <row r="409" spans="1:20">
      <c r="A409" s="96" t="s">
        <v>571</v>
      </c>
      <c r="B409" s="25"/>
      <c r="C409" s="25"/>
      <c r="D409" s="25"/>
      <c r="E409" s="25"/>
      <c r="F409" s="25"/>
      <c r="G409" s="25"/>
      <c r="H409" s="25"/>
      <c r="I409" s="25"/>
      <c r="J409" s="26"/>
      <c r="K409" s="26"/>
      <c r="L409" s="26"/>
      <c r="M409" s="1"/>
      <c r="N409" s="1"/>
      <c r="O409" s="64"/>
      <c r="P409" s="1"/>
      <c r="Q409" s="1"/>
      <c r="R409" s="1"/>
      <c r="S409" s="1"/>
      <c r="T409" s="1"/>
    </row>
    <row r="410" spans="1:20">
      <c r="A410" s="96" t="s">
        <v>572</v>
      </c>
      <c r="B410" s="25"/>
      <c r="C410" s="25"/>
      <c r="D410" s="25"/>
      <c r="E410" s="25"/>
      <c r="F410" s="25"/>
      <c r="G410" s="25"/>
      <c r="H410" s="25"/>
      <c r="I410" s="25"/>
      <c r="J410" s="26"/>
      <c r="K410" s="26"/>
      <c r="L410" s="26"/>
      <c r="M410" s="1"/>
      <c r="N410" s="1"/>
      <c r="O410" s="64"/>
      <c r="P410" s="1"/>
      <c r="Q410" s="1"/>
      <c r="R410" s="1"/>
      <c r="S410" s="1"/>
      <c r="T410" s="1"/>
    </row>
    <row r="411" spans="1:20">
      <c r="A411" s="29" t="s">
        <v>505</v>
      </c>
      <c r="B411" s="25"/>
      <c r="C411" s="25"/>
      <c r="D411" s="25"/>
      <c r="E411" s="25"/>
      <c r="F411" s="25"/>
      <c r="G411" s="25"/>
      <c r="H411" s="25"/>
      <c r="I411" s="25"/>
      <c r="J411" s="26"/>
      <c r="K411" s="26"/>
      <c r="L411" s="26"/>
      <c r="M411" s="1"/>
      <c r="N411" s="1"/>
      <c r="O411" s="64"/>
      <c r="P411" s="1"/>
      <c r="Q411" s="1"/>
      <c r="R411" s="1"/>
      <c r="S411" s="1"/>
      <c r="T411" s="1"/>
    </row>
    <row r="412" spans="1:20">
      <c r="A412" s="29"/>
      <c r="B412" s="25"/>
      <c r="C412" s="25"/>
      <c r="D412" s="25"/>
      <c r="E412" s="25"/>
      <c r="F412" s="25"/>
      <c r="G412" s="25"/>
      <c r="H412" s="25"/>
      <c r="I412" s="25"/>
      <c r="J412" s="26"/>
      <c r="K412" s="26"/>
      <c r="L412" s="26"/>
      <c r="M412" s="1"/>
      <c r="N412" s="1"/>
      <c r="O412" s="64"/>
      <c r="P412" s="1"/>
      <c r="Q412" s="1"/>
      <c r="R412" s="1"/>
      <c r="S412" s="1"/>
      <c r="T412" s="1"/>
    </row>
    <row r="413" spans="1:20">
      <c r="A413" s="96" t="s">
        <v>579</v>
      </c>
      <c r="B413" s="25"/>
      <c r="C413" s="25"/>
      <c r="D413" s="25"/>
      <c r="E413" s="25"/>
      <c r="F413" s="25"/>
      <c r="G413" s="25"/>
      <c r="H413" s="25"/>
      <c r="I413" s="25"/>
      <c r="J413" s="26"/>
      <c r="K413" s="26"/>
      <c r="L413" s="26"/>
      <c r="M413" s="1"/>
      <c r="N413" s="1"/>
      <c r="O413" s="64"/>
      <c r="P413" s="1"/>
      <c r="Q413" s="1"/>
      <c r="R413" s="1"/>
      <c r="S413" s="1"/>
      <c r="T413" s="1"/>
    </row>
    <row r="414" spans="1:20">
      <c r="A414" s="28" t="s">
        <v>475</v>
      </c>
      <c r="B414" s="25"/>
      <c r="C414" s="25"/>
      <c r="D414" s="25"/>
      <c r="E414" s="25"/>
      <c r="F414" s="25"/>
      <c r="G414" s="25"/>
      <c r="H414" s="25"/>
      <c r="I414" s="25"/>
      <c r="J414" s="26"/>
      <c r="K414" s="26"/>
      <c r="L414" s="26"/>
      <c r="M414" s="1"/>
      <c r="N414" s="1"/>
      <c r="O414" s="64"/>
      <c r="P414" s="1"/>
      <c r="Q414" s="1"/>
      <c r="R414" s="1"/>
      <c r="S414" s="1"/>
      <c r="T414" s="1"/>
    </row>
    <row r="415" spans="1:20" ht="13.5" thickBot="1">
      <c r="A415" s="30" t="s">
        <v>489</v>
      </c>
      <c r="B415" s="31"/>
      <c r="C415" s="31"/>
      <c r="D415" s="31"/>
      <c r="E415" s="31"/>
      <c r="F415" s="31"/>
      <c r="G415" s="31"/>
      <c r="H415" s="31"/>
      <c r="I415" s="31"/>
      <c r="J415" s="32"/>
      <c r="K415" s="32"/>
      <c r="L415" s="32"/>
      <c r="M415" s="31"/>
      <c r="N415" s="31"/>
      <c r="O415" s="81"/>
      <c r="P415" s="1"/>
      <c r="Q415" s="1"/>
      <c r="R415" s="1"/>
      <c r="S415" s="1"/>
      <c r="T415" s="1"/>
    </row>
    <row r="416" spans="1:20">
      <c r="A416" s="4"/>
      <c r="B416" s="1"/>
      <c r="C416" s="1"/>
      <c r="D416" s="1"/>
      <c r="E416" s="1"/>
      <c r="F416" s="1"/>
      <c r="G416" s="1"/>
      <c r="H416" s="1"/>
      <c r="I416" s="1"/>
      <c r="J416" s="3"/>
      <c r="K416" s="3"/>
      <c r="L416" s="3"/>
      <c r="M416" s="1"/>
      <c r="N416" s="1"/>
      <c r="O416" s="1"/>
      <c r="P416" s="1"/>
      <c r="Q416" s="1"/>
      <c r="R416" s="1"/>
      <c r="S416" s="1"/>
      <c r="T416" s="1"/>
    </row>
    <row r="417" spans="1:20">
      <c r="A417" s="4"/>
      <c r="B417" s="1"/>
      <c r="C417" s="1"/>
      <c r="D417" s="1"/>
      <c r="E417" s="1"/>
      <c r="F417" s="1"/>
      <c r="G417" s="1"/>
      <c r="H417" s="1"/>
      <c r="I417" s="1"/>
      <c r="J417" s="3"/>
      <c r="K417" s="3"/>
      <c r="L417" s="3"/>
      <c r="M417" s="1"/>
      <c r="N417" s="1"/>
      <c r="O417" s="1"/>
      <c r="P417" s="1"/>
      <c r="Q417" s="1"/>
      <c r="R417" s="1"/>
      <c r="S417" s="1"/>
      <c r="T417" s="1"/>
    </row>
    <row r="418" spans="1:20">
      <c r="A418" s="2"/>
      <c r="B418" s="2"/>
      <c r="C418" s="2"/>
      <c r="D418" s="2"/>
      <c r="E418" s="2"/>
      <c r="F418" s="2"/>
      <c r="G418" s="2"/>
      <c r="H418" s="2"/>
      <c r="I418" s="2"/>
      <c r="J418" s="2"/>
      <c r="K418" s="2"/>
      <c r="L418" s="2"/>
      <c r="M418" s="2"/>
      <c r="N418" s="2"/>
      <c r="O418" s="2"/>
      <c r="P418" s="2"/>
      <c r="Q418" s="2"/>
      <c r="R418" s="2"/>
      <c r="S418" s="2"/>
      <c r="T418"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ignoredErrors>
    <ignoredError sqref="F403 L40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431"/>
  <sheetViews>
    <sheetView workbookViewId="0">
      <selection sqref="A1:N1"/>
    </sheetView>
  </sheetViews>
  <sheetFormatPr defaultRowHeight="12.75"/>
  <cols>
    <col min="1" max="1" width="25.7109375" customWidth="1"/>
    <col min="2" max="2" width="16.7109375" customWidth="1"/>
    <col min="3" max="3" width="11.7109375" customWidth="1"/>
    <col min="4" max="4" width="19.7109375" style="163" customWidth="1"/>
    <col min="5" max="5" width="13.7109375" customWidth="1"/>
    <col min="6" max="6" width="19.7109375" style="163" customWidth="1"/>
    <col min="7" max="7" width="13.7109375" customWidth="1"/>
    <col min="8" max="8" width="1.7109375" customWidth="1"/>
    <col min="9" max="9" width="10.7109375" style="163" customWidth="1"/>
    <col min="10" max="10" width="15.7109375" style="163" customWidth="1"/>
    <col min="11" max="11" width="13.7109375" customWidth="1"/>
    <col min="12" max="12" width="16.7109375" customWidth="1"/>
    <col min="13" max="13" width="15.7109375" customWidth="1"/>
    <col min="14" max="14" width="14.7109375" customWidth="1"/>
    <col min="15" max="15" width="2.7109375" customWidth="1"/>
    <col min="16" max="16" width="4.5703125" customWidth="1"/>
    <col min="17" max="17" width="11.7109375" customWidth="1"/>
    <col min="19" max="20" width="17.7109375" customWidth="1"/>
    <col min="21" max="21" width="16.7109375" customWidth="1"/>
    <col min="23" max="23" width="15.7109375" customWidth="1"/>
  </cols>
  <sheetData>
    <row r="1" spans="1:24" ht="26.25">
      <c r="A1" s="197" t="s">
        <v>632</v>
      </c>
      <c r="B1" s="198"/>
      <c r="C1" s="198"/>
      <c r="D1" s="198"/>
      <c r="E1" s="198"/>
      <c r="F1" s="198"/>
      <c r="G1" s="198"/>
      <c r="H1" s="198"/>
      <c r="I1" s="198"/>
      <c r="J1" s="198"/>
      <c r="K1" s="198"/>
      <c r="L1" s="198"/>
      <c r="M1" s="198"/>
      <c r="N1" s="199"/>
    </row>
    <row r="2" spans="1:24" ht="18">
      <c r="A2" s="41"/>
      <c r="B2" s="42"/>
      <c r="C2" s="164"/>
      <c r="D2" s="200" t="s">
        <v>562</v>
      </c>
      <c r="E2" s="201"/>
      <c r="F2" s="201"/>
      <c r="G2" s="202"/>
      <c r="H2" s="44"/>
      <c r="I2" s="176" t="s">
        <v>456</v>
      </c>
      <c r="J2" s="177"/>
      <c r="K2" s="68"/>
      <c r="L2" s="201" t="s">
        <v>503</v>
      </c>
      <c r="M2" s="201"/>
      <c r="N2" s="203"/>
      <c r="S2" s="200" t="s">
        <v>591</v>
      </c>
      <c r="T2" s="201"/>
      <c r="U2" s="202"/>
    </row>
    <row r="3" spans="1:24" ht="12.75" customHeight="1">
      <c r="A3" s="46"/>
      <c r="B3" s="47"/>
      <c r="C3" s="48">
        <v>2022</v>
      </c>
      <c r="D3" s="165"/>
      <c r="E3" s="50" t="s">
        <v>1</v>
      </c>
      <c r="F3" s="173"/>
      <c r="G3" s="50" t="s">
        <v>1</v>
      </c>
      <c r="H3" s="52"/>
      <c r="I3" s="178"/>
      <c r="J3" s="179"/>
      <c r="K3" s="67" t="s">
        <v>1</v>
      </c>
      <c r="L3" s="66" t="s">
        <v>455</v>
      </c>
      <c r="M3" s="50" t="s">
        <v>455</v>
      </c>
      <c r="N3" s="59" t="s">
        <v>1</v>
      </c>
      <c r="S3" s="51"/>
      <c r="T3" s="51"/>
      <c r="U3" s="54"/>
    </row>
    <row r="4" spans="1:24">
      <c r="A4" s="46"/>
      <c r="B4" s="47"/>
      <c r="C4" s="48" t="s">
        <v>3</v>
      </c>
      <c r="D4" s="165" t="s">
        <v>563</v>
      </c>
      <c r="E4" s="56" t="s">
        <v>563</v>
      </c>
      <c r="F4" s="174" t="s">
        <v>2</v>
      </c>
      <c r="G4" s="56" t="s">
        <v>2</v>
      </c>
      <c r="H4" s="52"/>
      <c r="I4" s="180" t="s">
        <v>4</v>
      </c>
      <c r="J4" s="181" t="s">
        <v>455</v>
      </c>
      <c r="K4" s="69" t="s">
        <v>455</v>
      </c>
      <c r="L4" s="67" t="s">
        <v>454</v>
      </c>
      <c r="M4" s="82" t="s">
        <v>495</v>
      </c>
      <c r="N4" s="55" t="s">
        <v>495</v>
      </c>
      <c r="S4" s="48" t="s">
        <v>563</v>
      </c>
      <c r="T4" s="56" t="s">
        <v>2</v>
      </c>
      <c r="U4" s="58" t="s">
        <v>455</v>
      </c>
    </row>
    <row r="5" spans="1:24">
      <c r="A5" s="85" t="s">
        <v>5</v>
      </c>
      <c r="B5" s="86" t="s">
        <v>6</v>
      </c>
      <c r="C5" s="48" t="s">
        <v>458</v>
      </c>
      <c r="D5" s="166" t="s">
        <v>7</v>
      </c>
      <c r="E5" s="89" t="s">
        <v>7</v>
      </c>
      <c r="F5" s="175" t="s">
        <v>7</v>
      </c>
      <c r="G5" s="89" t="s">
        <v>7</v>
      </c>
      <c r="H5" s="91"/>
      <c r="I5" s="182" t="s">
        <v>587</v>
      </c>
      <c r="J5" s="175" t="s">
        <v>454</v>
      </c>
      <c r="K5" s="90" t="s">
        <v>454</v>
      </c>
      <c r="L5" s="93" t="s">
        <v>502</v>
      </c>
      <c r="M5" s="94" t="s">
        <v>496</v>
      </c>
      <c r="N5" s="95" t="s">
        <v>496</v>
      </c>
      <c r="O5" s="19"/>
      <c r="P5" s="19"/>
      <c r="Q5" s="19"/>
      <c r="S5" s="87" t="s">
        <v>7</v>
      </c>
      <c r="T5" s="90" t="s">
        <v>7</v>
      </c>
      <c r="U5" s="90" t="s">
        <v>454</v>
      </c>
    </row>
    <row r="6" spans="1:24">
      <c r="A6" s="22" t="s">
        <v>8</v>
      </c>
      <c r="B6" s="33" t="s">
        <v>8</v>
      </c>
      <c r="C6" s="97">
        <v>10844</v>
      </c>
      <c r="D6" s="141">
        <v>1753417666</v>
      </c>
      <c r="E6" s="38">
        <f t="shared" ref="E6:E14" si="0">(D6/C6)</f>
        <v>161694.7312799705</v>
      </c>
      <c r="F6" s="141">
        <v>1068774284</v>
      </c>
      <c r="G6" s="39">
        <f t="shared" ref="G6:G14" si="1">(F6/C6)</f>
        <v>98559.045001844337</v>
      </c>
      <c r="H6" s="15"/>
      <c r="I6" s="145">
        <v>5.39</v>
      </c>
      <c r="J6" s="146">
        <v>5760693.3907599989</v>
      </c>
      <c r="K6" s="84">
        <f t="shared" ref="K6:K14" si="2">(J6/C6)</f>
        <v>531.23325255994087</v>
      </c>
      <c r="L6" s="65">
        <f t="shared" ref="L6:L69" si="3">(F6*0.01)</f>
        <v>10687742.84</v>
      </c>
      <c r="M6" s="83">
        <f t="shared" ref="M6:M69" si="4">(L6-J6)</f>
        <v>4927049.4492400009</v>
      </c>
      <c r="N6" s="62">
        <f t="shared" ref="N6:N69" si="5">(M6/C6)</f>
        <v>454.35719745850247</v>
      </c>
      <c r="O6" s="5"/>
      <c r="P6" s="5">
        <f t="shared" ref="P6:P69" si="6">IF(I6&gt;0,1,0)</f>
        <v>1</v>
      </c>
      <c r="Q6" s="7">
        <f t="shared" ref="Q6:Q69" si="7">IF(I6&gt;0,C6,0)</f>
        <v>10844</v>
      </c>
      <c r="S6" s="124"/>
      <c r="W6" s="124">
        <f>F6*(I6/1000)</f>
        <v>5760693.3907599999</v>
      </c>
      <c r="X6">
        <f>IF(W6=J6,0,1)</f>
        <v>0</v>
      </c>
    </row>
    <row r="7" spans="1:24">
      <c r="A7" s="23" t="s">
        <v>9</v>
      </c>
      <c r="B7" s="35" t="s">
        <v>8</v>
      </c>
      <c r="C7" s="97">
        <v>1151</v>
      </c>
      <c r="D7" s="132">
        <v>100987120</v>
      </c>
      <c r="E7" s="116">
        <f t="shared" si="0"/>
        <v>87738.592528236317</v>
      </c>
      <c r="F7" s="132">
        <v>47693937</v>
      </c>
      <c r="G7" s="117">
        <f t="shared" si="1"/>
        <v>41436.95655951347</v>
      </c>
      <c r="H7" s="7"/>
      <c r="I7" s="136">
        <v>5.5202999999999998</v>
      </c>
      <c r="J7" s="134">
        <v>263284.84042109997</v>
      </c>
      <c r="K7" s="120">
        <f t="shared" si="2"/>
        <v>228.74443129548217</v>
      </c>
      <c r="L7" s="122">
        <f t="shared" si="3"/>
        <v>476939.37</v>
      </c>
      <c r="M7" s="116">
        <f t="shared" si="4"/>
        <v>213654.52957890002</v>
      </c>
      <c r="N7" s="123">
        <f t="shared" si="5"/>
        <v>185.6251342996525</v>
      </c>
      <c r="O7" s="5"/>
      <c r="P7" s="5">
        <f t="shared" si="6"/>
        <v>1</v>
      </c>
      <c r="Q7" s="7">
        <f t="shared" si="7"/>
        <v>1151</v>
      </c>
      <c r="S7" s="124"/>
      <c r="W7" s="124">
        <f t="shared" ref="W7:W70" si="8">F7*(I7/1000)</f>
        <v>263284.84042109997</v>
      </c>
      <c r="X7">
        <f t="shared" ref="X7:X70" si="9">IF(W7=J7,0,1)</f>
        <v>0</v>
      </c>
    </row>
    <row r="8" spans="1:24">
      <c r="A8" s="23" t="s">
        <v>10</v>
      </c>
      <c r="B8" s="35" t="s">
        <v>8</v>
      </c>
      <c r="C8" s="97">
        <v>145879</v>
      </c>
      <c r="D8" s="132">
        <v>19959656068</v>
      </c>
      <c r="E8" s="116">
        <f t="shared" si="0"/>
        <v>136823.36777740455</v>
      </c>
      <c r="F8" s="132">
        <v>8965992444</v>
      </c>
      <c r="G8" s="117">
        <f t="shared" si="1"/>
        <v>61461.844706914635</v>
      </c>
      <c r="H8" s="7"/>
      <c r="I8" s="136">
        <v>5.5</v>
      </c>
      <c r="J8" s="134">
        <v>49312958.442000002</v>
      </c>
      <c r="K8" s="120">
        <f t="shared" si="2"/>
        <v>338.04014588803051</v>
      </c>
      <c r="L8" s="122">
        <f t="shared" si="3"/>
        <v>89659924.439999998</v>
      </c>
      <c r="M8" s="116">
        <f t="shared" si="4"/>
        <v>40346965.997999996</v>
      </c>
      <c r="N8" s="123">
        <f t="shared" si="5"/>
        <v>276.57830118111582</v>
      </c>
      <c r="O8" s="5"/>
      <c r="P8" s="5">
        <f t="shared" si="6"/>
        <v>1</v>
      </c>
      <c r="Q8" s="7">
        <f t="shared" si="7"/>
        <v>145879</v>
      </c>
      <c r="S8" s="124"/>
      <c r="W8" s="124">
        <f t="shared" si="8"/>
        <v>49312958.441999994</v>
      </c>
      <c r="X8">
        <f t="shared" si="9"/>
        <v>0</v>
      </c>
    </row>
    <row r="9" spans="1:24">
      <c r="A9" s="23" t="s">
        <v>11</v>
      </c>
      <c r="B9" s="35" t="s">
        <v>8</v>
      </c>
      <c r="C9" s="97">
        <v>1480</v>
      </c>
      <c r="D9" s="132">
        <v>142268970</v>
      </c>
      <c r="E9" s="116">
        <f t="shared" si="0"/>
        <v>96127.682432432426</v>
      </c>
      <c r="F9" s="134">
        <v>57601012</v>
      </c>
      <c r="G9" s="117">
        <f t="shared" si="1"/>
        <v>38919.602702702701</v>
      </c>
      <c r="H9" s="7"/>
      <c r="I9" s="136">
        <v>5.8593999999999999</v>
      </c>
      <c r="J9" s="134">
        <v>337507.36971280002</v>
      </c>
      <c r="K9" s="120">
        <f t="shared" si="2"/>
        <v>228.04552007621623</v>
      </c>
      <c r="L9" s="122">
        <f t="shared" si="3"/>
        <v>576010.12</v>
      </c>
      <c r="M9" s="116">
        <f t="shared" si="4"/>
        <v>238502.75028719997</v>
      </c>
      <c r="N9" s="123">
        <f t="shared" si="5"/>
        <v>161.15050695081081</v>
      </c>
      <c r="O9" s="5"/>
      <c r="P9" s="5">
        <f t="shared" si="6"/>
        <v>1</v>
      </c>
      <c r="Q9" s="7">
        <f t="shared" si="7"/>
        <v>1480</v>
      </c>
      <c r="S9" s="124"/>
      <c r="W9" s="124">
        <f t="shared" si="8"/>
        <v>337507.36971280002</v>
      </c>
      <c r="X9">
        <f t="shared" si="9"/>
        <v>0</v>
      </c>
    </row>
    <row r="10" spans="1:24">
      <c r="A10" s="23" t="s">
        <v>12</v>
      </c>
      <c r="B10" s="35" t="s">
        <v>8</v>
      </c>
      <c r="C10" s="97">
        <v>6741</v>
      </c>
      <c r="D10" s="132">
        <v>721549643</v>
      </c>
      <c r="E10" s="116">
        <f t="shared" si="0"/>
        <v>107038.96202343865</v>
      </c>
      <c r="F10" s="134">
        <v>408442226</v>
      </c>
      <c r="G10" s="117">
        <f t="shared" si="1"/>
        <v>60590.747070167628</v>
      </c>
      <c r="H10" s="7"/>
      <c r="I10" s="136">
        <v>5.99</v>
      </c>
      <c r="J10" s="134">
        <v>2446568.9337400002</v>
      </c>
      <c r="K10" s="120">
        <f t="shared" si="2"/>
        <v>362.93857495030414</v>
      </c>
      <c r="L10" s="122">
        <f t="shared" si="3"/>
        <v>4084422.2600000002</v>
      </c>
      <c r="M10" s="116">
        <f t="shared" si="4"/>
        <v>1637853.32626</v>
      </c>
      <c r="N10" s="123">
        <f t="shared" si="5"/>
        <v>242.9688957513722</v>
      </c>
      <c r="O10" s="5"/>
      <c r="P10" s="5">
        <f t="shared" si="6"/>
        <v>1</v>
      </c>
      <c r="Q10" s="7">
        <f t="shared" si="7"/>
        <v>6741</v>
      </c>
      <c r="S10" s="124"/>
      <c r="W10" s="124">
        <f t="shared" si="8"/>
        <v>2446568.9337400002</v>
      </c>
      <c r="X10">
        <f t="shared" si="9"/>
        <v>0</v>
      </c>
    </row>
    <row r="11" spans="1:24">
      <c r="A11" s="23" t="s">
        <v>559</v>
      </c>
      <c r="B11" s="35" t="s">
        <v>8</v>
      </c>
      <c r="C11" s="97">
        <v>288</v>
      </c>
      <c r="D11" s="132">
        <v>26521611</v>
      </c>
      <c r="E11" s="116">
        <f t="shared" si="0"/>
        <v>92088.927083333328</v>
      </c>
      <c r="F11" s="134">
        <v>12357143</v>
      </c>
      <c r="G11" s="117">
        <f t="shared" si="1"/>
        <v>42906.746527777781</v>
      </c>
      <c r="H11" s="7"/>
      <c r="I11" s="136">
        <v>6.5410000000000004</v>
      </c>
      <c r="J11" s="134">
        <v>80828.072362999999</v>
      </c>
      <c r="K11" s="120">
        <f t="shared" si="2"/>
        <v>280.65302903819446</v>
      </c>
      <c r="L11" s="122">
        <f t="shared" si="3"/>
        <v>123571.43000000001</v>
      </c>
      <c r="M11" s="116">
        <f t="shared" si="4"/>
        <v>42743.357637000008</v>
      </c>
      <c r="N11" s="123">
        <f t="shared" si="5"/>
        <v>148.41443623958335</v>
      </c>
      <c r="O11" s="5"/>
      <c r="P11" s="5">
        <f t="shared" si="6"/>
        <v>1</v>
      </c>
      <c r="Q11" s="7">
        <f t="shared" si="7"/>
        <v>288</v>
      </c>
      <c r="S11" s="124"/>
      <c r="W11" s="124">
        <f t="shared" si="8"/>
        <v>80828.072362999999</v>
      </c>
      <c r="X11">
        <f t="shared" si="9"/>
        <v>0</v>
      </c>
    </row>
    <row r="12" spans="1:24">
      <c r="A12" s="23" t="s">
        <v>13</v>
      </c>
      <c r="B12" s="35" t="s">
        <v>8</v>
      </c>
      <c r="C12" s="97">
        <v>656</v>
      </c>
      <c r="D12" s="132">
        <v>75776659</v>
      </c>
      <c r="E12" s="116">
        <f t="shared" si="0"/>
        <v>115513.19969512195</v>
      </c>
      <c r="F12" s="134">
        <v>40647072</v>
      </c>
      <c r="G12" s="117">
        <f t="shared" si="1"/>
        <v>61962</v>
      </c>
      <c r="H12" s="7"/>
      <c r="I12" s="136">
        <v>5.2281000000000004</v>
      </c>
      <c r="J12" s="134">
        <v>212506.95712320003</v>
      </c>
      <c r="K12" s="120">
        <f t="shared" si="2"/>
        <v>323.94353220000005</v>
      </c>
      <c r="L12" s="122">
        <f t="shared" si="3"/>
        <v>406470.72000000003</v>
      </c>
      <c r="M12" s="116">
        <f t="shared" si="4"/>
        <v>193963.7628768</v>
      </c>
      <c r="N12" s="123">
        <f t="shared" si="5"/>
        <v>295.67646780000001</v>
      </c>
      <c r="O12" s="5"/>
      <c r="P12" s="5">
        <f t="shared" si="6"/>
        <v>1</v>
      </c>
      <c r="Q12" s="7">
        <f t="shared" si="7"/>
        <v>656</v>
      </c>
      <c r="S12" s="124"/>
      <c r="W12" s="124">
        <f t="shared" si="8"/>
        <v>212506.9571232</v>
      </c>
      <c r="X12">
        <f t="shared" si="9"/>
        <v>0</v>
      </c>
    </row>
    <row r="13" spans="1:24">
      <c r="A13" s="23" t="s">
        <v>14</v>
      </c>
      <c r="B13" s="35" t="s">
        <v>8</v>
      </c>
      <c r="C13" s="97">
        <v>8066</v>
      </c>
      <c r="D13" s="132">
        <v>1293041116</v>
      </c>
      <c r="E13" s="116">
        <f t="shared" si="0"/>
        <v>160307.60178527152</v>
      </c>
      <c r="F13" s="134">
        <v>594750721</v>
      </c>
      <c r="G13" s="117">
        <f t="shared" si="1"/>
        <v>73735.522067939499</v>
      </c>
      <c r="H13" s="7"/>
      <c r="I13" s="136">
        <v>5.9244000000000003</v>
      </c>
      <c r="J13" s="134">
        <v>3523541.1714924001</v>
      </c>
      <c r="K13" s="120">
        <f t="shared" si="2"/>
        <v>436.83872693930078</v>
      </c>
      <c r="L13" s="122">
        <f t="shared" si="3"/>
        <v>5947507.21</v>
      </c>
      <c r="M13" s="116">
        <f t="shared" si="4"/>
        <v>2423966.0385075998</v>
      </c>
      <c r="N13" s="123">
        <f t="shared" si="5"/>
        <v>300.51649374009418</v>
      </c>
      <c r="O13" s="5"/>
      <c r="P13" s="5">
        <f t="shared" si="6"/>
        <v>1</v>
      </c>
      <c r="Q13" s="7">
        <f t="shared" si="7"/>
        <v>8066</v>
      </c>
      <c r="S13" s="124"/>
      <c r="W13" s="124">
        <f t="shared" si="8"/>
        <v>3523541.1714924006</v>
      </c>
      <c r="X13">
        <f t="shared" si="9"/>
        <v>0</v>
      </c>
    </row>
    <row r="14" spans="1:24">
      <c r="A14" s="23" t="s">
        <v>15</v>
      </c>
      <c r="B14" s="35" t="s">
        <v>8</v>
      </c>
      <c r="C14" s="97">
        <v>875</v>
      </c>
      <c r="D14" s="132">
        <v>59991621</v>
      </c>
      <c r="E14" s="116">
        <f t="shared" si="0"/>
        <v>68561.852571428564</v>
      </c>
      <c r="F14" s="134">
        <v>34965794</v>
      </c>
      <c r="G14" s="117">
        <f t="shared" si="1"/>
        <v>39960.907428571431</v>
      </c>
      <c r="H14" s="7"/>
      <c r="I14" s="136">
        <v>6.4</v>
      </c>
      <c r="J14" s="134">
        <v>223781.08160000003</v>
      </c>
      <c r="K14" s="120">
        <f t="shared" si="2"/>
        <v>255.74980754285718</v>
      </c>
      <c r="L14" s="122">
        <f t="shared" si="3"/>
        <v>349657.94</v>
      </c>
      <c r="M14" s="116">
        <f t="shared" si="4"/>
        <v>125876.85839999997</v>
      </c>
      <c r="N14" s="123">
        <f t="shared" si="5"/>
        <v>143.8592667428571</v>
      </c>
      <c r="O14" s="5"/>
      <c r="P14" s="5">
        <f t="shared" si="6"/>
        <v>1</v>
      </c>
      <c r="Q14" s="7">
        <f t="shared" si="7"/>
        <v>875</v>
      </c>
      <c r="S14" s="124">
        <f>SUM(D6:D14)</f>
        <v>24133210474</v>
      </c>
      <c r="T14" s="184">
        <f>SUM(F6:F14)</f>
        <v>11231224633</v>
      </c>
      <c r="U14" s="184">
        <f>SUM(J6:J14)</f>
        <v>62161670.259212494</v>
      </c>
      <c r="W14" s="124">
        <f t="shared" si="8"/>
        <v>223781.0816</v>
      </c>
      <c r="X14">
        <f t="shared" si="9"/>
        <v>0</v>
      </c>
    </row>
    <row r="15" spans="1:24">
      <c r="A15" s="24" t="s">
        <v>544</v>
      </c>
      <c r="B15" s="35" t="s">
        <v>16</v>
      </c>
      <c r="C15" s="125">
        <v>467</v>
      </c>
      <c r="D15" s="147" t="s">
        <v>564</v>
      </c>
      <c r="E15" s="116"/>
      <c r="F15" s="134"/>
      <c r="G15" s="117"/>
      <c r="H15" s="98" t="s">
        <v>588</v>
      </c>
      <c r="I15" s="136"/>
      <c r="J15" s="134"/>
      <c r="K15" s="120"/>
      <c r="L15" s="122">
        <f t="shared" si="3"/>
        <v>0</v>
      </c>
      <c r="M15" s="116">
        <f t="shared" si="4"/>
        <v>0</v>
      </c>
      <c r="N15" s="123">
        <f t="shared" si="5"/>
        <v>0</v>
      </c>
      <c r="O15" s="5"/>
      <c r="P15" s="5">
        <f t="shared" si="6"/>
        <v>0</v>
      </c>
      <c r="Q15" s="7">
        <f t="shared" si="7"/>
        <v>0</v>
      </c>
      <c r="W15" s="124">
        <f t="shared" si="8"/>
        <v>0</v>
      </c>
      <c r="X15">
        <f t="shared" si="9"/>
        <v>0</v>
      </c>
    </row>
    <row r="16" spans="1:24">
      <c r="A16" s="23" t="s">
        <v>17</v>
      </c>
      <c r="B16" s="35" t="s">
        <v>16</v>
      </c>
      <c r="C16" s="125">
        <v>7600</v>
      </c>
      <c r="D16" s="132">
        <v>650191219</v>
      </c>
      <c r="E16" s="116">
        <f>(D16/C16)</f>
        <v>85551.476184210522</v>
      </c>
      <c r="F16" s="134">
        <v>363293586</v>
      </c>
      <c r="G16" s="117">
        <f>(F16/C16)</f>
        <v>47801.787631578947</v>
      </c>
      <c r="H16" s="7"/>
      <c r="I16" s="136">
        <v>3.6</v>
      </c>
      <c r="J16" s="134">
        <v>1307856.9096000001</v>
      </c>
      <c r="K16" s="120">
        <f>(J16/C16)</f>
        <v>172.08643547368422</v>
      </c>
      <c r="L16" s="122">
        <f t="shared" si="3"/>
        <v>3632935.86</v>
      </c>
      <c r="M16" s="116">
        <f t="shared" si="4"/>
        <v>2325078.9503999995</v>
      </c>
      <c r="N16" s="123">
        <f t="shared" si="5"/>
        <v>305.93144084210519</v>
      </c>
      <c r="O16" s="5"/>
      <c r="P16" s="5">
        <f t="shared" si="6"/>
        <v>1</v>
      </c>
      <c r="Q16" s="7">
        <f t="shared" si="7"/>
        <v>7600</v>
      </c>
      <c r="S16" s="124">
        <f>SUM(D15:D16)</f>
        <v>650191219</v>
      </c>
      <c r="T16" s="124">
        <f>SUM(F15:F16)</f>
        <v>363293586</v>
      </c>
      <c r="U16" s="124">
        <f>SUM(J15:J16)</f>
        <v>1307856.9096000001</v>
      </c>
      <c r="W16" s="124">
        <f t="shared" si="8"/>
        <v>1307856.9095999999</v>
      </c>
      <c r="X16">
        <f t="shared" si="9"/>
        <v>0</v>
      </c>
    </row>
    <row r="17" spans="1:24">
      <c r="A17" s="23" t="s">
        <v>18</v>
      </c>
      <c r="B17" s="35" t="s">
        <v>19</v>
      </c>
      <c r="C17" s="125">
        <v>13162</v>
      </c>
      <c r="D17" s="132">
        <v>979551500</v>
      </c>
      <c r="E17" s="116">
        <f>(D17/C17)</f>
        <v>74422.694119434731</v>
      </c>
      <c r="F17" s="134">
        <v>696119711</v>
      </c>
      <c r="G17" s="117">
        <f>(F17/C17)</f>
        <v>52888.596793800338</v>
      </c>
      <c r="H17" s="8"/>
      <c r="I17" s="136">
        <v>2.75</v>
      </c>
      <c r="J17" s="134">
        <v>1914329.2052500001</v>
      </c>
      <c r="K17" s="120">
        <f>(J17/C17)</f>
        <v>145.44364118295093</v>
      </c>
      <c r="L17" s="122">
        <f t="shared" si="3"/>
        <v>6961197.1100000003</v>
      </c>
      <c r="M17" s="116">
        <f t="shared" si="4"/>
        <v>5046867.9047500007</v>
      </c>
      <c r="N17" s="123">
        <f t="shared" si="5"/>
        <v>383.44232675505248</v>
      </c>
      <c r="O17" s="5"/>
      <c r="P17" s="5">
        <f t="shared" si="6"/>
        <v>1</v>
      </c>
      <c r="Q17" s="7">
        <f t="shared" si="7"/>
        <v>13162</v>
      </c>
      <c r="W17" s="124">
        <f t="shared" si="8"/>
        <v>1914329.2052499999</v>
      </c>
      <c r="X17">
        <f t="shared" si="9"/>
        <v>0</v>
      </c>
    </row>
    <row r="18" spans="1:24">
      <c r="A18" s="23" t="s">
        <v>21</v>
      </c>
      <c r="B18" s="35" t="s">
        <v>19</v>
      </c>
      <c r="C18" s="125">
        <v>19107</v>
      </c>
      <c r="D18" s="132">
        <v>2038659431</v>
      </c>
      <c r="E18" s="116">
        <f>(D18/C18)</f>
        <v>106696.9922541477</v>
      </c>
      <c r="F18" s="134">
        <v>1410219543</v>
      </c>
      <c r="G18" s="117">
        <f>(F18/C18)</f>
        <v>73806.434448108019</v>
      </c>
      <c r="H18" s="7"/>
      <c r="I18" s="136">
        <v>4.0999999999999996</v>
      </c>
      <c r="J18" s="134">
        <v>5781900.1262999997</v>
      </c>
      <c r="K18" s="120">
        <f>(J18/C18)</f>
        <v>302.60638123724289</v>
      </c>
      <c r="L18" s="122">
        <f t="shared" si="3"/>
        <v>14102195.43</v>
      </c>
      <c r="M18" s="116">
        <f t="shared" si="4"/>
        <v>8320295.3037</v>
      </c>
      <c r="N18" s="123">
        <f t="shared" si="5"/>
        <v>435.45796324383736</v>
      </c>
      <c r="O18" s="5"/>
      <c r="P18" s="5">
        <f t="shared" si="6"/>
        <v>1</v>
      </c>
      <c r="Q18" s="7">
        <f t="shared" si="7"/>
        <v>19107</v>
      </c>
      <c r="W18" s="124">
        <f t="shared" si="8"/>
        <v>5781900.1262999997</v>
      </c>
      <c r="X18">
        <f t="shared" si="9"/>
        <v>0</v>
      </c>
    </row>
    <row r="19" spans="1:24">
      <c r="A19" s="23" t="s">
        <v>22</v>
      </c>
      <c r="B19" s="35" t="s">
        <v>19</v>
      </c>
      <c r="C19" s="125">
        <v>1229</v>
      </c>
      <c r="D19" s="132">
        <v>733844893</v>
      </c>
      <c r="E19" s="116">
        <f>(D19/C19)</f>
        <v>597107.31733116356</v>
      </c>
      <c r="F19" s="134">
        <v>535222360</v>
      </c>
      <c r="G19" s="117">
        <f>(F19/C19)</f>
        <v>435494.19039869815</v>
      </c>
      <c r="H19" s="7"/>
      <c r="I19" s="150">
        <v>6.5</v>
      </c>
      <c r="J19" s="134">
        <v>3478945.34</v>
      </c>
      <c r="K19" s="120">
        <f>(J19/C19)</f>
        <v>2830.7122375915378</v>
      </c>
      <c r="L19" s="122">
        <f t="shared" si="3"/>
        <v>5352223.6000000006</v>
      </c>
      <c r="M19" s="116">
        <f t="shared" si="4"/>
        <v>1873278.2600000007</v>
      </c>
      <c r="N19" s="123">
        <f t="shared" si="5"/>
        <v>1524.2296663954439</v>
      </c>
      <c r="O19" s="5"/>
      <c r="P19" s="5">
        <f t="shared" si="6"/>
        <v>1</v>
      </c>
      <c r="Q19" s="7">
        <f t="shared" si="7"/>
        <v>1229</v>
      </c>
      <c r="W19" s="124">
        <f t="shared" si="8"/>
        <v>3478945.34</v>
      </c>
      <c r="X19">
        <f t="shared" si="9"/>
        <v>0</v>
      </c>
    </row>
    <row r="20" spans="1:24">
      <c r="A20" s="23" t="s">
        <v>23</v>
      </c>
      <c r="B20" s="35" t="s">
        <v>19</v>
      </c>
      <c r="C20" s="125">
        <v>36139</v>
      </c>
      <c r="D20" s="132">
        <v>4163135391</v>
      </c>
      <c r="E20" s="116">
        <f>(D20/C20)</f>
        <v>115197.85802042115</v>
      </c>
      <c r="F20" s="134">
        <v>2776503758</v>
      </c>
      <c r="G20" s="117">
        <f>(F20/C20)</f>
        <v>76828.461163839616</v>
      </c>
      <c r="H20" s="7"/>
      <c r="I20" s="136">
        <v>4.7999000000000001</v>
      </c>
      <c r="J20" s="134">
        <v>13326940.3880242</v>
      </c>
      <c r="K20" s="120">
        <f>(J20/C20)</f>
        <v>368.76893074031381</v>
      </c>
      <c r="L20" s="122">
        <f t="shared" si="3"/>
        <v>27765037.580000002</v>
      </c>
      <c r="M20" s="116">
        <f t="shared" si="4"/>
        <v>14438097.191975802</v>
      </c>
      <c r="N20" s="123">
        <f t="shared" si="5"/>
        <v>399.51568089808245</v>
      </c>
      <c r="O20" s="5"/>
      <c r="P20" s="5">
        <f t="shared" si="6"/>
        <v>1</v>
      </c>
      <c r="Q20" s="7">
        <f t="shared" si="7"/>
        <v>36139</v>
      </c>
      <c r="W20" s="124">
        <f t="shared" si="8"/>
        <v>13326940.3880242</v>
      </c>
      <c r="X20">
        <f t="shared" si="9"/>
        <v>0</v>
      </c>
    </row>
    <row r="21" spans="1:24">
      <c r="A21" s="23" t="s">
        <v>24</v>
      </c>
      <c r="B21" s="35" t="s">
        <v>19</v>
      </c>
      <c r="C21" s="125">
        <v>19078</v>
      </c>
      <c r="D21" s="147" t="s">
        <v>564</v>
      </c>
      <c r="E21" s="116"/>
      <c r="F21" s="134"/>
      <c r="G21" s="117"/>
      <c r="H21" s="98" t="s">
        <v>588</v>
      </c>
      <c r="I21" s="151"/>
      <c r="J21" s="134"/>
      <c r="K21" s="120"/>
      <c r="L21" s="122">
        <f t="shared" si="3"/>
        <v>0</v>
      </c>
      <c r="M21" s="116">
        <f t="shared" si="4"/>
        <v>0</v>
      </c>
      <c r="N21" s="123">
        <f t="shared" si="5"/>
        <v>0</v>
      </c>
      <c r="O21" s="5"/>
      <c r="P21" s="5">
        <f t="shared" si="6"/>
        <v>0</v>
      </c>
      <c r="Q21" s="7">
        <f t="shared" si="7"/>
        <v>0</v>
      </c>
      <c r="W21" s="124">
        <f t="shared" si="8"/>
        <v>0</v>
      </c>
      <c r="X21">
        <f t="shared" si="9"/>
        <v>0</v>
      </c>
    </row>
    <row r="22" spans="1:24">
      <c r="A22" s="23" t="s">
        <v>25</v>
      </c>
      <c r="B22" s="35" t="s">
        <v>19</v>
      </c>
      <c r="C22" s="125">
        <v>4251</v>
      </c>
      <c r="D22" s="147" t="s">
        <v>564</v>
      </c>
      <c r="E22" s="116"/>
      <c r="F22" s="134"/>
      <c r="G22" s="117"/>
      <c r="H22" s="98" t="s">
        <v>588</v>
      </c>
      <c r="I22" s="151"/>
      <c r="J22" s="134"/>
      <c r="K22" s="120"/>
      <c r="L22" s="122">
        <f t="shared" si="3"/>
        <v>0</v>
      </c>
      <c r="M22" s="116">
        <f t="shared" si="4"/>
        <v>0</v>
      </c>
      <c r="N22" s="123">
        <f t="shared" si="5"/>
        <v>0</v>
      </c>
      <c r="O22" s="5"/>
      <c r="P22" s="5">
        <f t="shared" si="6"/>
        <v>0</v>
      </c>
      <c r="Q22" s="7">
        <f t="shared" si="7"/>
        <v>0</v>
      </c>
      <c r="W22" s="124">
        <f t="shared" si="8"/>
        <v>0</v>
      </c>
      <c r="X22">
        <f t="shared" si="9"/>
        <v>0</v>
      </c>
    </row>
    <row r="23" spans="1:24">
      <c r="A23" s="23" t="s">
        <v>26</v>
      </c>
      <c r="B23" s="35" t="s">
        <v>19</v>
      </c>
      <c r="C23" s="125">
        <v>8431</v>
      </c>
      <c r="D23" s="147">
        <v>453360768</v>
      </c>
      <c r="E23" s="116">
        <f t="shared" ref="E23:E38" si="10">(D23/C23)</f>
        <v>53773.071758984697</v>
      </c>
      <c r="F23" s="134">
        <v>286627373</v>
      </c>
      <c r="G23" s="117">
        <f t="shared" ref="G23:G38" si="11">(F23/C23)</f>
        <v>33996.841774403983</v>
      </c>
      <c r="H23" s="98"/>
      <c r="I23" s="136">
        <v>4.8650000000000002</v>
      </c>
      <c r="J23" s="134">
        <v>1394442.169645</v>
      </c>
      <c r="K23" s="120">
        <f t="shared" ref="K23:K38" si="12">(J23/C23)</f>
        <v>165.39463523247539</v>
      </c>
      <c r="L23" s="122">
        <f t="shared" si="3"/>
        <v>2866273.73</v>
      </c>
      <c r="M23" s="116">
        <f t="shared" si="4"/>
        <v>1471831.560355</v>
      </c>
      <c r="N23" s="123">
        <f t="shared" si="5"/>
        <v>174.57378251156447</v>
      </c>
      <c r="O23" s="5"/>
      <c r="P23" s="5">
        <f t="shared" si="6"/>
        <v>1</v>
      </c>
      <c r="Q23" s="7">
        <f t="shared" si="7"/>
        <v>8431</v>
      </c>
      <c r="S23" s="124">
        <f>SUM(D17:D23)</f>
        <v>8368551983</v>
      </c>
      <c r="T23" s="124">
        <f>SUM(F17:F23)</f>
        <v>5704692745</v>
      </c>
      <c r="U23" s="124">
        <f>SUM(J17:J23)</f>
        <v>25896557.229219202</v>
      </c>
      <c r="W23" s="124">
        <f t="shared" si="8"/>
        <v>1394442.169645</v>
      </c>
      <c r="X23">
        <f t="shared" si="9"/>
        <v>0</v>
      </c>
    </row>
    <row r="24" spans="1:24">
      <c r="A24" s="23" t="s">
        <v>27</v>
      </c>
      <c r="B24" s="35" t="s">
        <v>28</v>
      </c>
      <c r="C24" s="125">
        <v>329</v>
      </c>
      <c r="D24" s="132">
        <v>20965056</v>
      </c>
      <c r="E24" s="116">
        <f t="shared" si="10"/>
        <v>63723.574468085106</v>
      </c>
      <c r="F24" s="134">
        <v>11110316</v>
      </c>
      <c r="G24" s="117">
        <f t="shared" si="11"/>
        <v>33769.957446808512</v>
      </c>
      <c r="H24" s="7"/>
      <c r="I24" s="136">
        <v>0.26619999999999999</v>
      </c>
      <c r="J24" s="134">
        <v>2957.5661192000002</v>
      </c>
      <c r="K24" s="120">
        <f t="shared" si="12"/>
        <v>8.9895626723404263</v>
      </c>
      <c r="L24" s="122">
        <f t="shared" si="3"/>
        <v>111103.16</v>
      </c>
      <c r="M24" s="116">
        <f t="shared" si="4"/>
        <v>108145.59388080001</v>
      </c>
      <c r="N24" s="123">
        <f t="shared" si="5"/>
        <v>328.71001179574472</v>
      </c>
      <c r="O24" s="5"/>
      <c r="P24" s="5">
        <f t="shared" si="6"/>
        <v>1</v>
      </c>
      <c r="Q24" s="7">
        <f t="shared" si="7"/>
        <v>329</v>
      </c>
      <c r="W24" s="124">
        <f t="shared" si="8"/>
        <v>2957.5661191999998</v>
      </c>
      <c r="X24">
        <f t="shared" si="9"/>
        <v>0</v>
      </c>
    </row>
    <row r="25" spans="1:24">
      <c r="A25" s="23" t="s">
        <v>29</v>
      </c>
      <c r="B25" s="35" t="s">
        <v>28</v>
      </c>
      <c r="C25" s="125">
        <v>479</v>
      </c>
      <c r="D25" s="132">
        <v>19905483</v>
      </c>
      <c r="E25" s="116">
        <f t="shared" si="10"/>
        <v>41556.331941544886</v>
      </c>
      <c r="F25" s="134">
        <v>11901143</v>
      </c>
      <c r="G25" s="117">
        <f t="shared" si="11"/>
        <v>24845.810020876826</v>
      </c>
      <c r="H25" s="7"/>
      <c r="I25" s="136">
        <v>1.5</v>
      </c>
      <c r="J25" s="134">
        <v>17851.714499999998</v>
      </c>
      <c r="K25" s="120">
        <f t="shared" si="12"/>
        <v>37.268715031315239</v>
      </c>
      <c r="L25" s="122">
        <f t="shared" si="3"/>
        <v>119011.43000000001</v>
      </c>
      <c r="M25" s="116">
        <f t="shared" si="4"/>
        <v>101159.71550000001</v>
      </c>
      <c r="N25" s="123">
        <f t="shared" si="5"/>
        <v>211.18938517745303</v>
      </c>
      <c r="O25" s="5"/>
      <c r="P25" s="5">
        <f t="shared" si="6"/>
        <v>1</v>
      </c>
      <c r="Q25" s="7">
        <f t="shared" si="7"/>
        <v>479</v>
      </c>
      <c r="W25" s="124">
        <f t="shared" si="8"/>
        <v>17851.714500000002</v>
      </c>
      <c r="X25">
        <f t="shared" si="9"/>
        <v>0</v>
      </c>
    </row>
    <row r="26" spans="1:24">
      <c r="A26" s="23" t="s">
        <v>30</v>
      </c>
      <c r="B26" s="35" t="s">
        <v>28</v>
      </c>
      <c r="C26" s="125">
        <v>663</v>
      </c>
      <c r="D26" s="132">
        <v>34390619</v>
      </c>
      <c r="E26" s="116">
        <f t="shared" si="10"/>
        <v>51871.220211161388</v>
      </c>
      <c r="F26" s="134">
        <v>20739840</v>
      </c>
      <c r="G26" s="117">
        <f t="shared" si="11"/>
        <v>31281.80995475113</v>
      </c>
      <c r="H26" s="7"/>
      <c r="I26" s="150">
        <v>1.6414</v>
      </c>
      <c r="J26" s="134">
        <v>34042.373376000003</v>
      </c>
      <c r="K26" s="120">
        <f t="shared" si="12"/>
        <v>51.345962859728509</v>
      </c>
      <c r="L26" s="122">
        <f t="shared" si="3"/>
        <v>207398.39999999999</v>
      </c>
      <c r="M26" s="116">
        <f t="shared" si="4"/>
        <v>173356.02662399999</v>
      </c>
      <c r="N26" s="123">
        <f t="shared" si="5"/>
        <v>261.47213668778278</v>
      </c>
      <c r="O26" s="5"/>
      <c r="P26" s="5">
        <f t="shared" si="6"/>
        <v>1</v>
      </c>
      <c r="Q26" s="7">
        <f t="shared" si="7"/>
        <v>663</v>
      </c>
      <c r="W26" s="124">
        <f t="shared" si="8"/>
        <v>34042.373375999996</v>
      </c>
      <c r="X26">
        <f t="shared" si="9"/>
        <v>0</v>
      </c>
    </row>
    <row r="27" spans="1:24">
      <c r="A27" s="23" t="s">
        <v>31</v>
      </c>
      <c r="B27" s="35" t="s">
        <v>28</v>
      </c>
      <c r="C27" s="125">
        <v>5867</v>
      </c>
      <c r="D27" s="132">
        <v>365087641</v>
      </c>
      <c r="E27" s="116">
        <f t="shared" si="10"/>
        <v>62227.312254985511</v>
      </c>
      <c r="F27" s="134">
        <v>236722344</v>
      </c>
      <c r="G27" s="117">
        <f t="shared" si="11"/>
        <v>40348.107039372764</v>
      </c>
      <c r="H27" s="7"/>
      <c r="I27" s="150">
        <v>4.8754</v>
      </c>
      <c r="J27" s="134">
        <v>1154116.1159375999</v>
      </c>
      <c r="K27" s="120">
        <f t="shared" si="12"/>
        <v>196.71316105975797</v>
      </c>
      <c r="L27" s="122">
        <f t="shared" si="3"/>
        <v>2367223.44</v>
      </c>
      <c r="M27" s="116">
        <f t="shared" si="4"/>
        <v>1213107.3240624</v>
      </c>
      <c r="N27" s="123">
        <f t="shared" si="5"/>
        <v>206.76790933396967</v>
      </c>
      <c r="O27" s="5"/>
      <c r="P27" s="5">
        <f t="shared" si="6"/>
        <v>1</v>
      </c>
      <c r="Q27" s="7">
        <f t="shared" si="7"/>
        <v>5867</v>
      </c>
      <c r="S27" s="124">
        <f>SUM(D24:D27)</f>
        <v>440348799</v>
      </c>
      <c r="T27" s="124">
        <f>SUM(F24:F27)</f>
        <v>280473643</v>
      </c>
      <c r="U27" s="124">
        <f>SUM(J24:J27)</f>
        <v>1208967.7699328</v>
      </c>
      <c r="W27" s="124">
        <f t="shared" si="8"/>
        <v>1154116.1159376001</v>
      </c>
      <c r="X27">
        <f t="shared" si="9"/>
        <v>0</v>
      </c>
    </row>
    <row r="28" spans="1:24">
      <c r="A28" s="23" t="s">
        <v>32</v>
      </c>
      <c r="B28" s="35" t="s">
        <v>33</v>
      </c>
      <c r="C28" s="125">
        <v>9988</v>
      </c>
      <c r="D28" s="132">
        <v>2452046126</v>
      </c>
      <c r="E28" s="116">
        <f t="shared" si="10"/>
        <v>245499.21165398479</v>
      </c>
      <c r="F28" s="134">
        <v>1706947203</v>
      </c>
      <c r="G28" s="117">
        <f t="shared" si="11"/>
        <v>170899.8000600721</v>
      </c>
      <c r="H28" s="7"/>
      <c r="I28" s="150">
        <v>3.3889999999999998</v>
      </c>
      <c r="J28" s="134">
        <v>5784844.070967</v>
      </c>
      <c r="K28" s="120">
        <f t="shared" si="12"/>
        <v>579.17942240358434</v>
      </c>
      <c r="L28" s="122">
        <f t="shared" si="3"/>
        <v>17069472.030000001</v>
      </c>
      <c r="M28" s="116">
        <f t="shared" si="4"/>
        <v>11284627.959033001</v>
      </c>
      <c r="N28" s="123">
        <f t="shared" si="5"/>
        <v>1129.8185781971367</v>
      </c>
      <c r="O28" s="5"/>
      <c r="P28" s="5">
        <f t="shared" si="6"/>
        <v>1</v>
      </c>
      <c r="Q28" s="7">
        <f t="shared" si="7"/>
        <v>9988</v>
      </c>
      <c r="W28" s="124">
        <f t="shared" si="8"/>
        <v>5784844.070966999</v>
      </c>
      <c r="X28">
        <f t="shared" si="9"/>
        <v>0</v>
      </c>
    </row>
    <row r="29" spans="1:24">
      <c r="A29" s="23" t="s">
        <v>34</v>
      </c>
      <c r="B29" s="35" t="s">
        <v>33</v>
      </c>
      <c r="C29" s="125">
        <v>19892</v>
      </c>
      <c r="D29" s="132">
        <v>2382618670</v>
      </c>
      <c r="E29" s="116">
        <f t="shared" si="10"/>
        <v>119777.73325960185</v>
      </c>
      <c r="F29" s="134">
        <v>1383126527</v>
      </c>
      <c r="G29" s="117">
        <f t="shared" si="11"/>
        <v>69531.798059521418</v>
      </c>
      <c r="H29" s="7"/>
      <c r="I29" s="136">
        <v>6.4531999999999998</v>
      </c>
      <c r="J29" s="134">
        <v>8925592.1040364001</v>
      </c>
      <c r="K29" s="120">
        <f t="shared" si="12"/>
        <v>448.70259923770362</v>
      </c>
      <c r="L29" s="122">
        <f t="shared" si="3"/>
        <v>13831265.27</v>
      </c>
      <c r="M29" s="116">
        <f t="shared" si="4"/>
        <v>4905673.1659635995</v>
      </c>
      <c r="N29" s="123">
        <f t="shared" si="5"/>
        <v>246.61538135751053</v>
      </c>
      <c r="O29" s="5"/>
      <c r="P29" s="5">
        <f t="shared" si="6"/>
        <v>1</v>
      </c>
      <c r="Q29" s="7">
        <f t="shared" si="7"/>
        <v>19892</v>
      </c>
      <c r="W29" s="124">
        <f t="shared" si="8"/>
        <v>8925592.1040364001</v>
      </c>
      <c r="X29">
        <f t="shared" si="9"/>
        <v>0</v>
      </c>
    </row>
    <row r="30" spans="1:24">
      <c r="A30" s="23" t="s">
        <v>35</v>
      </c>
      <c r="B30" s="35" t="s">
        <v>33</v>
      </c>
      <c r="C30" s="125">
        <v>11385</v>
      </c>
      <c r="D30" s="132">
        <v>4315865788</v>
      </c>
      <c r="E30" s="116">
        <f t="shared" si="10"/>
        <v>379083.51234079932</v>
      </c>
      <c r="F30" s="134">
        <v>2641996242</v>
      </c>
      <c r="G30" s="117">
        <f t="shared" si="11"/>
        <v>232059.39762845851</v>
      </c>
      <c r="H30" s="7"/>
      <c r="I30" s="136">
        <v>6.1643999999999997</v>
      </c>
      <c r="J30" s="134">
        <v>16286321.6341848</v>
      </c>
      <c r="K30" s="120">
        <f t="shared" si="12"/>
        <v>1430.5069507408696</v>
      </c>
      <c r="L30" s="122">
        <f t="shared" si="3"/>
        <v>26419962.420000002</v>
      </c>
      <c r="M30" s="116">
        <f t="shared" si="4"/>
        <v>10133640.785815202</v>
      </c>
      <c r="N30" s="123">
        <f t="shared" si="5"/>
        <v>890.08702554371553</v>
      </c>
      <c r="O30" s="5"/>
      <c r="P30" s="5">
        <f t="shared" si="6"/>
        <v>1</v>
      </c>
      <c r="Q30" s="7">
        <f t="shared" si="7"/>
        <v>11385</v>
      </c>
      <c r="W30" s="124">
        <f t="shared" si="8"/>
        <v>16286321.634184798</v>
      </c>
      <c r="X30">
        <f t="shared" si="9"/>
        <v>0</v>
      </c>
    </row>
    <row r="31" spans="1:24">
      <c r="A31" s="23" t="s">
        <v>530</v>
      </c>
      <c r="B31" s="35" t="s">
        <v>33</v>
      </c>
      <c r="C31" s="125">
        <v>4677</v>
      </c>
      <c r="D31" s="132">
        <v>1040942676</v>
      </c>
      <c r="E31" s="116">
        <f t="shared" si="10"/>
        <v>222566.31943553561</v>
      </c>
      <c r="F31" s="134">
        <v>554383312</v>
      </c>
      <c r="G31" s="117">
        <f t="shared" si="11"/>
        <v>118533.95595467179</v>
      </c>
      <c r="H31" s="9"/>
      <c r="I31" s="136">
        <v>1.3038000000000001</v>
      </c>
      <c r="J31" s="134">
        <v>722804.96218560007</v>
      </c>
      <c r="K31" s="120">
        <f t="shared" si="12"/>
        <v>154.54457177370111</v>
      </c>
      <c r="L31" s="122">
        <f t="shared" si="3"/>
        <v>5543833.1200000001</v>
      </c>
      <c r="M31" s="116">
        <f t="shared" si="4"/>
        <v>4821028.1578144003</v>
      </c>
      <c r="N31" s="123">
        <f t="shared" si="5"/>
        <v>1030.7949877730171</v>
      </c>
      <c r="O31" s="5"/>
      <c r="P31" s="5">
        <f t="shared" si="6"/>
        <v>1</v>
      </c>
      <c r="Q31" s="7">
        <f t="shared" si="7"/>
        <v>4677</v>
      </c>
      <c r="W31" s="124">
        <f t="shared" si="8"/>
        <v>722804.96218560007</v>
      </c>
      <c r="X31">
        <f t="shared" si="9"/>
        <v>0</v>
      </c>
    </row>
    <row r="32" spans="1:24">
      <c r="A32" s="23" t="s">
        <v>36</v>
      </c>
      <c r="B32" s="35" t="s">
        <v>33</v>
      </c>
      <c r="C32" s="125">
        <v>2998</v>
      </c>
      <c r="D32" s="132">
        <v>925630797</v>
      </c>
      <c r="E32" s="116">
        <f t="shared" si="10"/>
        <v>308749.43195463641</v>
      </c>
      <c r="F32" s="134">
        <v>547835553</v>
      </c>
      <c r="G32" s="117">
        <f t="shared" si="11"/>
        <v>182733.67344896597</v>
      </c>
      <c r="H32" s="7"/>
      <c r="I32" s="136">
        <v>5.9474999999999998</v>
      </c>
      <c r="J32" s="134">
        <v>3258251.9514674996</v>
      </c>
      <c r="K32" s="120">
        <f t="shared" si="12"/>
        <v>1086.8085228377249</v>
      </c>
      <c r="L32" s="122">
        <f t="shared" si="3"/>
        <v>5478355.5300000003</v>
      </c>
      <c r="M32" s="116">
        <f t="shared" si="4"/>
        <v>2220103.5785325007</v>
      </c>
      <c r="N32" s="123">
        <f t="shared" si="5"/>
        <v>740.52821165193484</v>
      </c>
      <c r="O32" s="5"/>
      <c r="P32" s="5">
        <f t="shared" si="6"/>
        <v>1</v>
      </c>
      <c r="Q32" s="7">
        <f t="shared" si="7"/>
        <v>2998</v>
      </c>
      <c r="W32" s="124">
        <f t="shared" si="8"/>
        <v>3258251.9514674996</v>
      </c>
      <c r="X32">
        <f t="shared" si="9"/>
        <v>0</v>
      </c>
    </row>
    <row r="33" spans="1:24">
      <c r="A33" s="23" t="s">
        <v>37</v>
      </c>
      <c r="B33" s="35" t="s">
        <v>33</v>
      </c>
      <c r="C33" s="125">
        <v>8978</v>
      </c>
      <c r="D33" s="132">
        <v>2008739655</v>
      </c>
      <c r="E33" s="116">
        <f t="shared" si="10"/>
        <v>223740.21552684339</v>
      </c>
      <c r="F33" s="134">
        <v>1206708514</v>
      </c>
      <c r="G33" s="117">
        <f t="shared" si="11"/>
        <v>134407.2748941858</v>
      </c>
      <c r="H33" s="7"/>
      <c r="I33" s="136">
        <v>5.5628000000000002</v>
      </c>
      <c r="J33" s="134">
        <v>6712678.1216791999</v>
      </c>
      <c r="K33" s="120">
        <f t="shared" si="12"/>
        <v>747.68078878137669</v>
      </c>
      <c r="L33" s="122">
        <f t="shared" si="3"/>
        <v>12067085.140000001</v>
      </c>
      <c r="M33" s="116">
        <f t="shared" si="4"/>
        <v>5354407.0183208007</v>
      </c>
      <c r="N33" s="123">
        <f t="shared" si="5"/>
        <v>596.39196016048129</v>
      </c>
      <c r="O33" s="5"/>
      <c r="P33" s="5">
        <f t="shared" si="6"/>
        <v>1</v>
      </c>
      <c r="Q33" s="7">
        <f t="shared" si="7"/>
        <v>8978</v>
      </c>
      <c r="W33" s="124">
        <f t="shared" si="8"/>
        <v>6712678.1216792008</v>
      </c>
      <c r="X33">
        <f t="shared" si="9"/>
        <v>0</v>
      </c>
    </row>
    <row r="34" spans="1:24">
      <c r="A34" s="23" t="s">
        <v>38</v>
      </c>
      <c r="B34" s="35" t="s">
        <v>33</v>
      </c>
      <c r="C34" s="125">
        <v>3019</v>
      </c>
      <c r="D34" s="132">
        <v>638918654</v>
      </c>
      <c r="E34" s="116">
        <f t="shared" si="10"/>
        <v>211632.5452136469</v>
      </c>
      <c r="F34" s="134">
        <v>344299000</v>
      </c>
      <c r="G34" s="117">
        <f t="shared" si="11"/>
        <v>114044.05432262339</v>
      </c>
      <c r="H34" s="7"/>
      <c r="I34" s="136">
        <v>4.5000999999999998</v>
      </c>
      <c r="J34" s="134">
        <v>1549379.9298999999</v>
      </c>
      <c r="K34" s="120">
        <f t="shared" si="12"/>
        <v>513.20964885723743</v>
      </c>
      <c r="L34" s="122">
        <f t="shared" si="3"/>
        <v>3442990</v>
      </c>
      <c r="M34" s="116">
        <f t="shared" si="4"/>
        <v>1893610.0701000001</v>
      </c>
      <c r="N34" s="123">
        <f t="shared" si="5"/>
        <v>627.23089436899636</v>
      </c>
      <c r="O34" s="5"/>
      <c r="P34" s="5">
        <f t="shared" si="6"/>
        <v>1</v>
      </c>
      <c r="Q34" s="7">
        <f t="shared" si="7"/>
        <v>3019</v>
      </c>
      <c r="W34" s="124">
        <f t="shared" si="8"/>
        <v>1549379.9298999999</v>
      </c>
      <c r="X34">
        <f t="shared" si="9"/>
        <v>0</v>
      </c>
    </row>
    <row r="35" spans="1:24">
      <c r="A35" s="23" t="s">
        <v>39</v>
      </c>
      <c r="B35" s="35" t="s">
        <v>33</v>
      </c>
      <c r="C35" s="125">
        <v>87007</v>
      </c>
      <c r="D35" s="132">
        <v>12817313007</v>
      </c>
      <c r="E35" s="116">
        <f t="shared" si="10"/>
        <v>147313.5840449619</v>
      </c>
      <c r="F35" s="134">
        <v>6901023456</v>
      </c>
      <c r="G35" s="117">
        <f t="shared" si="11"/>
        <v>79315.726964497109</v>
      </c>
      <c r="H35" s="7"/>
      <c r="I35" s="136">
        <v>6.7489999999999997</v>
      </c>
      <c r="J35" s="134">
        <v>46575007.304544002</v>
      </c>
      <c r="K35" s="120">
        <f t="shared" si="12"/>
        <v>535.30184128339101</v>
      </c>
      <c r="L35" s="122">
        <f t="shared" si="3"/>
        <v>69010234.560000002</v>
      </c>
      <c r="M35" s="116">
        <f t="shared" si="4"/>
        <v>22435227.255456001</v>
      </c>
      <c r="N35" s="123">
        <f t="shared" si="5"/>
        <v>257.8554283615801</v>
      </c>
      <c r="O35" s="5"/>
      <c r="P35" s="5">
        <f t="shared" si="6"/>
        <v>1</v>
      </c>
      <c r="Q35" s="7">
        <f t="shared" si="7"/>
        <v>87007</v>
      </c>
      <c r="W35" s="124">
        <f t="shared" si="8"/>
        <v>46575007.304544002</v>
      </c>
      <c r="X35">
        <f t="shared" si="9"/>
        <v>0</v>
      </c>
    </row>
    <row r="36" spans="1:24">
      <c r="A36" s="23" t="s">
        <v>40</v>
      </c>
      <c r="B36" s="35" t="s">
        <v>33</v>
      </c>
      <c r="C36" s="125">
        <v>3237</v>
      </c>
      <c r="D36" s="132">
        <v>1016223862</v>
      </c>
      <c r="E36" s="116">
        <f t="shared" si="10"/>
        <v>313940.0253320976</v>
      </c>
      <c r="F36" s="134">
        <v>545359923</v>
      </c>
      <c r="G36" s="117">
        <f t="shared" si="11"/>
        <v>168476.9610750695</v>
      </c>
      <c r="H36" s="7"/>
      <c r="I36" s="136">
        <v>4.58</v>
      </c>
      <c r="J36" s="134">
        <v>2497748.44734</v>
      </c>
      <c r="K36" s="120">
        <f t="shared" si="12"/>
        <v>771.62448172381835</v>
      </c>
      <c r="L36" s="122">
        <f t="shared" si="3"/>
        <v>5453599.2300000004</v>
      </c>
      <c r="M36" s="116">
        <f t="shared" si="4"/>
        <v>2955850.7826600005</v>
      </c>
      <c r="N36" s="123">
        <f t="shared" si="5"/>
        <v>913.14512902687693</v>
      </c>
      <c r="O36" s="5"/>
      <c r="P36" s="5">
        <f t="shared" si="6"/>
        <v>1</v>
      </c>
      <c r="Q36" s="7">
        <f t="shared" si="7"/>
        <v>3237</v>
      </c>
      <c r="W36" s="124">
        <f t="shared" si="8"/>
        <v>2497748.44734</v>
      </c>
      <c r="X36">
        <f t="shared" si="9"/>
        <v>0</v>
      </c>
    </row>
    <row r="37" spans="1:24">
      <c r="A37" s="23" t="s">
        <v>41</v>
      </c>
      <c r="B37" s="35" t="s">
        <v>33</v>
      </c>
      <c r="C37" s="125">
        <v>680</v>
      </c>
      <c r="D37" s="132">
        <v>121109429</v>
      </c>
      <c r="E37" s="116">
        <f t="shared" si="10"/>
        <v>178102.10147058824</v>
      </c>
      <c r="F37" s="134">
        <v>62429976</v>
      </c>
      <c r="G37" s="117">
        <f t="shared" si="11"/>
        <v>91808.788235294123</v>
      </c>
      <c r="H37" s="7"/>
      <c r="I37" s="136">
        <v>9.4381000000000004</v>
      </c>
      <c r="J37" s="134">
        <v>589220.3564856</v>
      </c>
      <c r="K37" s="120">
        <f t="shared" si="12"/>
        <v>866.50052424352941</v>
      </c>
      <c r="L37" s="122">
        <f t="shared" si="3"/>
        <v>624299.76</v>
      </c>
      <c r="M37" s="116">
        <f t="shared" si="4"/>
        <v>35079.403514400008</v>
      </c>
      <c r="N37" s="123">
        <f t="shared" si="5"/>
        <v>51.587358109411774</v>
      </c>
      <c r="O37" s="5"/>
      <c r="P37" s="5">
        <f t="shared" si="6"/>
        <v>1</v>
      </c>
      <c r="Q37" s="7">
        <f t="shared" si="7"/>
        <v>680</v>
      </c>
      <c r="W37" s="124">
        <f t="shared" si="8"/>
        <v>589220.3564856</v>
      </c>
      <c r="X37">
        <f t="shared" si="9"/>
        <v>0</v>
      </c>
    </row>
    <row r="38" spans="1:24">
      <c r="A38" s="23" t="s">
        <v>42</v>
      </c>
      <c r="B38" s="35" t="s">
        <v>33</v>
      </c>
      <c r="C38" s="125">
        <v>126748</v>
      </c>
      <c r="D38" s="132">
        <v>13637059164</v>
      </c>
      <c r="E38" s="116">
        <f t="shared" si="10"/>
        <v>107591.90806955534</v>
      </c>
      <c r="F38" s="134">
        <v>6593064161</v>
      </c>
      <c r="G38" s="117">
        <f t="shared" si="11"/>
        <v>52017.106076624485</v>
      </c>
      <c r="H38" s="7"/>
      <c r="I38" s="136">
        <v>7.5994999999999999</v>
      </c>
      <c r="J38" s="134">
        <v>50103991.091519497</v>
      </c>
      <c r="K38" s="120">
        <f t="shared" si="12"/>
        <v>395.30399762930773</v>
      </c>
      <c r="L38" s="122">
        <f t="shared" si="3"/>
        <v>65930641.609999999</v>
      </c>
      <c r="M38" s="116">
        <f t="shared" si="4"/>
        <v>15826650.518480502</v>
      </c>
      <c r="N38" s="123">
        <f t="shared" si="5"/>
        <v>124.86706313693709</v>
      </c>
      <c r="O38" s="5"/>
      <c r="P38" s="5">
        <f t="shared" si="6"/>
        <v>1</v>
      </c>
      <c r="Q38" s="7">
        <f t="shared" si="7"/>
        <v>126748</v>
      </c>
      <c r="W38" s="124">
        <f t="shared" si="8"/>
        <v>50103991.091519505</v>
      </c>
      <c r="X38">
        <f t="shared" si="9"/>
        <v>0</v>
      </c>
    </row>
    <row r="39" spans="1:24">
      <c r="A39" s="23" t="s">
        <v>43</v>
      </c>
      <c r="B39" s="35" t="s">
        <v>33</v>
      </c>
      <c r="C39" s="125">
        <v>1198</v>
      </c>
      <c r="D39" s="147" t="s">
        <v>564</v>
      </c>
      <c r="E39" s="116"/>
      <c r="F39" s="134"/>
      <c r="G39" s="117"/>
      <c r="H39" s="98" t="s">
        <v>588</v>
      </c>
      <c r="I39" s="136"/>
      <c r="J39" s="134"/>
      <c r="K39" s="120"/>
      <c r="L39" s="122">
        <f t="shared" si="3"/>
        <v>0</v>
      </c>
      <c r="M39" s="116">
        <f t="shared" si="4"/>
        <v>0</v>
      </c>
      <c r="N39" s="123">
        <f t="shared" si="5"/>
        <v>0</v>
      </c>
      <c r="O39" s="5"/>
      <c r="P39" s="5">
        <f t="shared" si="6"/>
        <v>0</v>
      </c>
      <c r="Q39" s="7">
        <f t="shared" si="7"/>
        <v>0</v>
      </c>
      <c r="W39" s="124">
        <f t="shared" si="8"/>
        <v>0</v>
      </c>
      <c r="X39">
        <f t="shared" si="9"/>
        <v>0</v>
      </c>
    </row>
    <row r="40" spans="1:24">
      <c r="A40" s="23" t="s">
        <v>44</v>
      </c>
      <c r="B40" s="35" t="s">
        <v>33</v>
      </c>
      <c r="C40" s="125">
        <v>28500</v>
      </c>
      <c r="D40" s="132">
        <v>3837847677</v>
      </c>
      <c r="E40" s="116">
        <f t="shared" ref="E40:E74" si="13">(D40/C40)</f>
        <v>134661.32199999999</v>
      </c>
      <c r="F40" s="134">
        <v>2071936810</v>
      </c>
      <c r="G40" s="117">
        <f t="shared" ref="G40:G74" si="14">(F40/C40)</f>
        <v>72699.537192982461</v>
      </c>
      <c r="H40" s="7"/>
      <c r="I40" s="136">
        <v>5.82</v>
      </c>
      <c r="J40" s="134">
        <v>12058672.234200001</v>
      </c>
      <c r="K40" s="120">
        <f t="shared" ref="K40:K74" si="15">(J40/C40)</f>
        <v>423.11130646315792</v>
      </c>
      <c r="L40" s="122">
        <f t="shared" si="3"/>
        <v>20719368.100000001</v>
      </c>
      <c r="M40" s="116">
        <f t="shared" si="4"/>
        <v>8660695.8658000007</v>
      </c>
      <c r="N40" s="123">
        <f t="shared" si="5"/>
        <v>303.8840654666667</v>
      </c>
      <c r="O40" s="5"/>
      <c r="P40" s="5">
        <f t="shared" si="6"/>
        <v>1</v>
      </c>
      <c r="Q40" s="7">
        <f t="shared" si="7"/>
        <v>28500</v>
      </c>
      <c r="W40" s="124">
        <f t="shared" si="8"/>
        <v>12058672.234200001</v>
      </c>
      <c r="X40">
        <f t="shared" si="9"/>
        <v>0</v>
      </c>
    </row>
    <row r="41" spans="1:24">
      <c r="A41" s="23" t="s">
        <v>45</v>
      </c>
      <c r="B41" s="35" t="s">
        <v>33</v>
      </c>
      <c r="C41" s="125">
        <v>11393</v>
      </c>
      <c r="D41" s="132">
        <v>2538821256</v>
      </c>
      <c r="E41" s="116">
        <f t="shared" si="13"/>
        <v>222840.45080312472</v>
      </c>
      <c r="F41" s="134">
        <v>1296171165</v>
      </c>
      <c r="G41" s="117">
        <f t="shared" si="14"/>
        <v>113769.08320898797</v>
      </c>
      <c r="H41" s="7"/>
      <c r="I41" s="136">
        <v>8.2311999999999994</v>
      </c>
      <c r="J41" s="153">
        <v>10669044.093348</v>
      </c>
      <c r="K41" s="120">
        <f t="shared" si="15"/>
        <v>936.45607770982178</v>
      </c>
      <c r="L41" s="122">
        <f t="shared" si="3"/>
        <v>12961711.65</v>
      </c>
      <c r="M41" s="116">
        <f t="shared" si="4"/>
        <v>2292667.5566520002</v>
      </c>
      <c r="N41" s="123">
        <f t="shared" si="5"/>
        <v>201.23475438005795</v>
      </c>
      <c r="O41" s="5"/>
      <c r="P41" s="5">
        <f t="shared" si="6"/>
        <v>1</v>
      </c>
      <c r="Q41" s="7">
        <f t="shared" si="7"/>
        <v>11393</v>
      </c>
      <c r="W41" s="124">
        <f t="shared" si="8"/>
        <v>10669044.093347998</v>
      </c>
      <c r="X41">
        <f t="shared" si="9"/>
        <v>0</v>
      </c>
    </row>
    <row r="42" spans="1:24">
      <c r="A42" s="23" t="s">
        <v>46</v>
      </c>
      <c r="B42" s="35" t="s">
        <v>33</v>
      </c>
      <c r="C42" s="125">
        <v>49493</v>
      </c>
      <c r="D42" s="132">
        <v>5482317274</v>
      </c>
      <c r="E42" s="116">
        <f t="shared" si="13"/>
        <v>110769.54870385712</v>
      </c>
      <c r="F42" s="134">
        <v>2795717898</v>
      </c>
      <c r="G42" s="117">
        <f t="shared" si="14"/>
        <v>56487.13753460085</v>
      </c>
      <c r="H42" s="7"/>
      <c r="I42" s="136">
        <v>6.9812000000000003</v>
      </c>
      <c r="J42" s="134">
        <v>19517465.7895176</v>
      </c>
      <c r="K42" s="120">
        <f t="shared" si="15"/>
        <v>394.34800455655545</v>
      </c>
      <c r="L42" s="122">
        <f t="shared" si="3"/>
        <v>27957178.98</v>
      </c>
      <c r="M42" s="116">
        <f t="shared" si="4"/>
        <v>8439713.1904824004</v>
      </c>
      <c r="N42" s="123">
        <f t="shared" si="5"/>
        <v>170.52337078945305</v>
      </c>
      <c r="O42" s="5"/>
      <c r="P42" s="5">
        <f t="shared" si="6"/>
        <v>1</v>
      </c>
      <c r="Q42" s="7">
        <f t="shared" si="7"/>
        <v>49493</v>
      </c>
      <c r="W42" s="124">
        <f t="shared" si="8"/>
        <v>19517465.7895176</v>
      </c>
      <c r="X42">
        <f t="shared" si="9"/>
        <v>0</v>
      </c>
    </row>
    <row r="43" spans="1:24">
      <c r="A43" s="23" t="s">
        <v>47</v>
      </c>
      <c r="B43" s="35" t="s">
        <v>33</v>
      </c>
      <c r="C43" s="125">
        <v>28857</v>
      </c>
      <c r="D43" s="132">
        <v>4100334932</v>
      </c>
      <c r="E43" s="116">
        <f t="shared" si="13"/>
        <v>142091.51789860346</v>
      </c>
      <c r="F43" s="134">
        <v>2522330107</v>
      </c>
      <c r="G43" s="117">
        <f t="shared" si="14"/>
        <v>87407.91166787954</v>
      </c>
      <c r="H43" s="98"/>
      <c r="I43" s="136">
        <v>2.1185999999999998</v>
      </c>
      <c r="J43" s="134">
        <v>5343808.5646901997</v>
      </c>
      <c r="K43" s="120">
        <f t="shared" si="15"/>
        <v>185.18240165956959</v>
      </c>
      <c r="L43" s="122">
        <f t="shared" si="3"/>
        <v>25223301.07</v>
      </c>
      <c r="M43" s="116">
        <f t="shared" si="4"/>
        <v>19879492.505309802</v>
      </c>
      <c r="N43" s="123">
        <f t="shared" si="5"/>
        <v>688.89671501922589</v>
      </c>
      <c r="O43" s="5"/>
      <c r="P43" s="5">
        <f t="shared" si="6"/>
        <v>1</v>
      </c>
      <c r="Q43" s="7">
        <f t="shared" si="7"/>
        <v>28857</v>
      </c>
      <c r="S43" s="124">
        <f>SUM(D28:D43)</f>
        <v>57315788967</v>
      </c>
      <c r="T43" s="124">
        <f>SUM(F28:F43)</f>
        <v>31173329847</v>
      </c>
      <c r="U43" s="124">
        <f>SUM(J28:J43)</f>
        <v>190594830.6560654</v>
      </c>
      <c r="W43" s="124">
        <f t="shared" si="8"/>
        <v>5343808.5646901997</v>
      </c>
      <c r="X43">
        <f t="shared" si="9"/>
        <v>0</v>
      </c>
    </row>
    <row r="44" spans="1:24">
      <c r="A44" s="23" t="s">
        <v>48</v>
      </c>
      <c r="B44" s="35" t="s">
        <v>49</v>
      </c>
      <c r="C44" s="125">
        <v>57937</v>
      </c>
      <c r="D44" s="132">
        <v>8543109435</v>
      </c>
      <c r="E44" s="116">
        <f t="shared" si="13"/>
        <v>147455.15706715916</v>
      </c>
      <c r="F44" s="134">
        <v>5203035099</v>
      </c>
      <c r="G44" s="117">
        <f t="shared" si="14"/>
        <v>89805.048569998442</v>
      </c>
      <c r="H44" s="98"/>
      <c r="I44" s="150">
        <v>6.4462999999999999</v>
      </c>
      <c r="J44" s="134">
        <v>33540325.158683702</v>
      </c>
      <c r="K44" s="120">
        <f t="shared" si="15"/>
        <v>578.91028459678103</v>
      </c>
      <c r="L44" s="122">
        <f t="shared" si="3"/>
        <v>52030350.990000002</v>
      </c>
      <c r="M44" s="116">
        <f t="shared" si="4"/>
        <v>18490025.8313163</v>
      </c>
      <c r="N44" s="123">
        <f t="shared" si="5"/>
        <v>319.14020110320348</v>
      </c>
      <c r="O44" s="5"/>
      <c r="P44" s="5">
        <f t="shared" si="6"/>
        <v>1</v>
      </c>
      <c r="Q44" s="7">
        <f t="shared" si="7"/>
        <v>57937</v>
      </c>
      <c r="W44" s="124">
        <f t="shared" si="8"/>
        <v>33540325.158683702</v>
      </c>
      <c r="X44">
        <f t="shared" si="9"/>
        <v>0</v>
      </c>
    </row>
    <row r="45" spans="1:24">
      <c r="A45" s="23" t="s">
        <v>50</v>
      </c>
      <c r="B45" s="35" t="s">
        <v>49</v>
      </c>
      <c r="C45" s="125">
        <v>34683</v>
      </c>
      <c r="D45" s="132">
        <v>6553410042</v>
      </c>
      <c r="E45" s="116">
        <f t="shared" si="13"/>
        <v>188951.64899230169</v>
      </c>
      <c r="F45" s="134">
        <v>3667905168</v>
      </c>
      <c r="G45" s="117">
        <f t="shared" si="14"/>
        <v>105755.12983305943</v>
      </c>
      <c r="H45" s="98"/>
      <c r="I45" s="136">
        <v>5.875</v>
      </c>
      <c r="J45" s="134">
        <v>21548942.862</v>
      </c>
      <c r="K45" s="120">
        <f t="shared" si="15"/>
        <v>621.3113877692241</v>
      </c>
      <c r="L45" s="122">
        <f t="shared" si="3"/>
        <v>36679051.68</v>
      </c>
      <c r="M45" s="116">
        <f t="shared" si="4"/>
        <v>15130108.818</v>
      </c>
      <c r="N45" s="123">
        <f t="shared" si="5"/>
        <v>436.2399105613701</v>
      </c>
      <c r="O45" s="5"/>
      <c r="P45" s="5">
        <f t="shared" si="6"/>
        <v>1</v>
      </c>
      <c r="Q45" s="7">
        <f t="shared" si="7"/>
        <v>34683</v>
      </c>
      <c r="W45" s="124">
        <f t="shared" si="8"/>
        <v>21548942.862</v>
      </c>
      <c r="X45">
        <f t="shared" si="9"/>
        <v>0</v>
      </c>
    </row>
    <row r="46" spans="1:24">
      <c r="A46" s="23" t="s">
        <v>51</v>
      </c>
      <c r="B46" s="35" t="s">
        <v>49</v>
      </c>
      <c r="C46" s="125">
        <v>134816</v>
      </c>
      <c r="D46" s="132">
        <v>19961273017</v>
      </c>
      <c r="E46" s="116">
        <f t="shared" si="13"/>
        <v>148063.08610995728</v>
      </c>
      <c r="F46" s="134">
        <v>12735374070</v>
      </c>
      <c r="G46" s="117">
        <f t="shared" si="14"/>
        <v>94464.856322691674</v>
      </c>
      <c r="H46" s="98"/>
      <c r="I46" s="136">
        <v>6.0232000000000001</v>
      </c>
      <c r="J46" s="134">
        <v>76707705.098424003</v>
      </c>
      <c r="K46" s="120">
        <f t="shared" si="15"/>
        <v>568.98072260283652</v>
      </c>
      <c r="L46" s="122">
        <f t="shared" si="3"/>
        <v>127353740.7</v>
      </c>
      <c r="M46" s="116">
        <f t="shared" si="4"/>
        <v>50646035.601576</v>
      </c>
      <c r="N46" s="123">
        <f t="shared" si="5"/>
        <v>375.66784062408021</v>
      </c>
      <c r="O46" s="5"/>
      <c r="P46" s="5">
        <f t="shared" si="6"/>
        <v>1</v>
      </c>
      <c r="Q46" s="7">
        <f t="shared" si="7"/>
        <v>134816</v>
      </c>
      <c r="W46" s="124">
        <f t="shared" si="8"/>
        <v>76707705.098424003</v>
      </c>
      <c r="X46">
        <f t="shared" si="9"/>
        <v>0</v>
      </c>
    </row>
    <row r="47" spans="1:24">
      <c r="A47" s="23" t="s">
        <v>464</v>
      </c>
      <c r="B47" s="35" t="s">
        <v>49</v>
      </c>
      <c r="C47" s="125">
        <v>32140</v>
      </c>
      <c r="D47" s="132">
        <v>6846598529</v>
      </c>
      <c r="E47" s="116">
        <f t="shared" si="13"/>
        <v>213024.2230553827</v>
      </c>
      <c r="F47" s="134">
        <v>5149046846</v>
      </c>
      <c r="G47" s="117">
        <f t="shared" si="14"/>
        <v>160206.80914747977</v>
      </c>
      <c r="H47" s="98"/>
      <c r="I47" s="136">
        <v>5.9997999999999996</v>
      </c>
      <c r="J47" s="134">
        <v>30893251.266630799</v>
      </c>
      <c r="K47" s="120">
        <f t="shared" si="15"/>
        <v>961.20881352304912</v>
      </c>
      <c r="L47" s="122">
        <f t="shared" si="3"/>
        <v>51490468.460000001</v>
      </c>
      <c r="M47" s="116">
        <f t="shared" si="4"/>
        <v>20597217.193369202</v>
      </c>
      <c r="N47" s="123">
        <f t="shared" si="5"/>
        <v>640.85927795174871</v>
      </c>
      <c r="O47" s="5"/>
      <c r="P47" s="5">
        <f t="shared" si="6"/>
        <v>1</v>
      </c>
      <c r="Q47" s="7">
        <f t="shared" si="7"/>
        <v>32140</v>
      </c>
      <c r="W47" s="124">
        <f t="shared" si="8"/>
        <v>30893251.266630799</v>
      </c>
      <c r="X47">
        <f t="shared" si="9"/>
        <v>0</v>
      </c>
    </row>
    <row r="48" spans="1:24">
      <c r="A48" s="23" t="s">
        <v>52</v>
      </c>
      <c r="B48" s="35" t="s">
        <v>49</v>
      </c>
      <c r="C48" s="125">
        <v>106984</v>
      </c>
      <c r="D48" s="132">
        <v>19721101971</v>
      </c>
      <c r="E48" s="116">
        <f t="shared" si="13"/>
        <v>184336.9286154939</v>
      </c>
      <c r="F48" s="134">
        <v>12413705990</v>
      </c>
      <c r="G48" s="117">
        <f t="shared" si="14"/>
        <v>116033.29460480071</v>
      </c>
      <c r="H48" s="98"/>
      <c r="I48" s="150">
        <v>5.625</v>
      </c>
      <c r="J48" s="134">
        <v>69827096.193749994</v>
      </c>
      <c r="K48" s="120">
        <f t="shared" si="15"/>
        <v>652.68728215200395</v>
      </c>
      <c r="L48" s="122">
        <f t="shared" si="3"/>
        <v>124137059.90000001</v>
      </c>
      <c r="M48" s="116">
        <f t="shared" si="4"/>
        <v>54309963.706250012</v>
      </c>
      <c r="N48" s="123">
        <f t="shared" si="5"/>
        <v>507.64566389600327</v>
      </c>
      <c r="O48" s="5"/>
      <c r="P48" s="5">
        <f t="shared" si="6"/>
        <v>1</v>
      </c>
      <c r="Q48" s="7">
        <f t="shared" si="7"/>
        <v>106984</v>
      </c>
      <c r="W48" s="124">
        <f t="shared" si="8"/>
        <v>69827096.193749994</v>
      </c>
      <c r="X48">
        <f t="shared" si="9"/>
        <v>0</v>
      </c>
    </row>
    <row r="49" spans="1:24">
      <c r="A49" s="23" t="s">
        <v>53</v>
      </c>
      <c r="B49" s="35" t="s">
        <v>49</v>
      </c>
      <c r="C49" s="125">
        <v>87414</v>
      </c>
      <c r="D49" s="132">
        <v>13589949590</v>
      </c>
      <c r="E49" s="116">
        <f t="shared" si="13"/>
        <v>155466.51097078272</v>
      </c>
      <c r="F49" s="134">
        <v>9296332548</v>
      </c>
      <c r="G49" s="117">
        <f t="shared" si="14"/>
        <v>106348.32576017572</v>
      </c>
      <c r="H49" s="98"/>
      <c r="I49" s="136">
        <v>6.0018000000000002</v>
      </c>
      <c r="J49" s="134">
        <v>55794728.686586402</v>
      </c>
      <c r="K49" s="120">
        <f t="shared" si="15"/>
        <v>638.2813815474226</v>
      </c>
      <c r="L49" s="122">
        <f t="shared" si="3"/>
        <v>92963325.480000004</v>
      </c>
      <c r="M49" s="116">
        <f t="shared" si="4"/>
        <v>37168596.793413602</v>
      </c>
      <c r="N49" s="123">
        <f t="shared" si="5"/>
        <v>425.20187605433455</v>
      </c>
      <c r="O49" s="5"/>
      <c r="P49" s="5">
        <f t="shared" si="6"/>
        <v>1</v>
      </c>
      <c r="Q49" s="7">
        <f t="shared" si="7"/>
        <v>87414</v>
      </c>
      <c r="W49" s="124">
        <f t="shared" si="8"/>
        <v>55794728.686586395</v>
      </c>
      <c r="X49">
        <f t="shared" si="9"/>
        <v>0</v>
      </c>
    </row>
    <row r="50" spans="1:24">
      <c r="A50" s="23" t="s">
        <v>54</v>
      </c>
      <c r="B50" s="35" t="s">
        <v>49</v>
      </c>
      <c r="C50" s="125">
        <v>189019</v>
      </c>
      <c r="D50" s="132">
        <v>67424762981</v>
      </c>
      <c r="E50" s="116">
        <f t="shared" si="13"/>
        <v>356708.91805056634</v>
      </c>
      <c r="F50" s="134">
        <v>48804360453</v>
      </c>
      <c r="G50" s="117">
        <f t="shared" si="14"/>
        <v>258198.17295086736</v>
      </c>
      <c r="H50" s="98"/>
      <c r="I50" s="136">
        <v>4.1193</v>
      </c>
      <c r="J50" s="134">
        <v>201039802.01404291</v>
      </c>
      <c r="K50" s="120">
        <f t="shared" si="15"/>
        <v>1063.5957338365081</v>
      </c>
      <c r="L50" s="122">
        <f t="shared" si="3"/>
        <v>488043604.53000003</v>
      </c>
      <c r="M50" s="116">
        <f t="shared" si="4"/>
        <v>287003802.51595712</v>
      </c>
      <c r="N50" s="123">
        <f t="shared" si="5"/>
        <v>1518.3859956721658</v>
      </c>
      <c r="O50" s="5"/>
      <c r="P50" s="5">
        <f t="shared" si="6"/>
        <v>1</v>
      </c>
      <c r="Q50" s="7">
        <f t="shared" si="7"/>
        <v>189019</v>
      </c>
      <c r="W50" s="124">
        <f t="shared" si="8"/>
        <v>201039802.01404291</v>
      </c>
      <c r="X50">
        <f t="shared" si="9"/>
        <v>0</v>
      </c>
    </row>
    <row r="51" spans="1:24">
      <c r="A51" s="23" t="s">
        <v>465</v>
      </c>
      <c r="B51" s="35" t="s">
        <v>49</v>
      </c>
      <c r="C51" s="125">
        <v>41677</v>
      </c>
      <c r="D51" s="132">
        <v>8639174859</v>
      </c>
      <c r="E51" s="116">
        <f t="shared" si="13"/>
        <v>207288.78899632892</v>
      </c>
      <c r="F51" s="134">
        <v>6586958194</v>
      </c>
      <c r="G51" s="117">
        <f t="shared" si="14"/>
        <v>158047.80080140126</v>
      </c>
      <c r="H51" s="98"/>
      <c r="I51" s="136">
        <v>8.2466000000000008</v>
      </c>
      <c r="J51" s="134">
        <v>54320009.442640401</v>
      </c>
      <c r="K51" s="120">
        <f t="shared" si="15"/>
        <v>1303.3569940888356</v>
      </c>
      <c r="L51" s="122">
        <f t="shared" si="3"/>
        <v>65869581.940000005</v>
      </c>
      <c r="M51" s="116">
        <f t="shared" si="4"/>
        <v>11549572.497359604</v>
      </c>
      <c r="N51" s="123">
        <f t="shared" si="5"/>
        <v>277.12101392517707</v>
      </c>
      <c r="O51" s="5"/>
      <c r="P51" s="5">
        <f t="shared" si="6"/>
        <v>1</v>
      </c>
      <c r="Q51" s="7">
        <f t="shared" si="7"/>
        <v>41677</v>
      </c>
      <c r="W51" s="124">
        <f t="shared" si="8"/>
        <v>54320009.442640409</v>
      </c>
      <c r="X51">
        <f t="shared" si="9"/>
        <v>0</v>
      </c>
    </row>
    <row r="52" spans="1:24">
      <c r="A52" s="23" t="s">
        <v>55</v>
      </c>
      <c r="B52" s="35" t="s">
        <v>49</v>
      </c>
      <c r="C52" s="125">
        <v>1981</v>
      </c>
      <c r="D52" s="132">
        <v>2031732913</v>
      </c>
      <c r="E52" s="116">
        <f t="shared" si="13"/>
        <v>1025609.7491166078</v>
      </c>
      <c r="F52" s="134">
        <v>1662016362</v>
      </c>
      <c r="G52" s="117">
        <f t="shared" si="14"/>
        <v>838978.4765270066</v>
      </c>
      <c r="H52" s="98"/>
      <c r="I52" s="136">
        <v>3.5</v>
      </c>
      <c r="J52" s="134">
        <v>5817057.267</v>
      </c>
      <c r="K52" s="120">
        <f t="shared" si="15"/>
        <v>2936.4246678445229</v>
      </c>
      <c r="L52" s="122">
        <f t="shared" si="3"/>
        <v>16620163.620000001</v>
      </c>
      <c r="M52" s="116">
        <f t="shared" si="4"/>
        <v>10803106.353</v>
      </c>
      <c r="N52" s="123">
        <f t="shared" si="5"/>
        <v>5453.3600974255423</v>
      </c>
      <c r="O52" s="5"/>
      <c r="P52" s="5">
        <f t="shared" si="6"/>
        <v>1</v>
      </c>
      <c r="Q52" s="7">
        <f t="shared" si="7"/>
        <v>1981</v>
      </c>
      <c r="W52" s="124">
        <f t="shared" si="8"/>
        <v>5817057.267</v>
      </c>
      <c r="X52">
        <f t="shared" si="9"/>
        <v>0</v>
      </c>
    </row>
    <row r="53" spans="1:24">
      <c r="A53" s="23" t="s">
        <v>56</v>
      </c>
      <c r="B53" s="35" t="s">
        <v>49</v>
      </c>
      <c r="C53" s="125">
        <v>154909</v>
      </c>
      <c r="D53" s="132">
        <v>31312044134</v>
      </c>
      <c r="E53" s="116">
        <f t="shared" si="13"/>
        <v>202131.85892362613</v>
      </c>
      <c r="F53" s="134">
        <v>20944931659</v>
      </c>
      <c r="G53" s="117">
        <f t="shared" si="14"/>
        <v>135207.97151230724</v>
      </c>
      <c r="H53" s="98"/>
      <c r="I53" s="136">
        <v>7.4664999999999999</v>
      </c>
      <c r="J53" s="134">
        <v>156385332.23192349</v>
      </c>
      <c r="K53" s="120">
        <f t="shared" si="15"/>
        <v>1009.5303192966419</v>
      </c>
      <c r="L53" s="122">
        <f t="shared" si="3"/>
        <v>209449316.59</v>
      </c>
      <c r="M53" s="116">
        <f t="shared" si="4"/>
        <v>53063984.358076513</v>
      </c>
      <c r="N53" s="123">
        <f t="shared" si="5"/>
        <v>342.54939582643044</v>
      </c>
      <c r="O53" s="5"/>
      <c r="P53" s="5">
        <f t="shared" si="6"/>
        <v>1</v>
      </c>
      <c r="Q53" s="7">
        <f t="shared" si="7"/>
        <v>154909</v>
      </c>
      <c r="W53" s="124">
        <f t="shared" si="8"/>
        <v>156385332.23192349</v>
      </c>
      <c r="X53">
        <f t="shared" si="9"/>
        <v>0</v>
      </c>
    </row>
    <row r="54" spans="1:24">
      <c r="A54" s="23" t="s">
        <v>57</v>
      </c>
      <c r="B54" s="35" t="s">
        <v>49</v>
      </c>
      <c r="C54" s="125">
        <v>36725</v>
      </c>
      <c r="D54" s="132">
        <v>3003008319</v>
      </c>
      <c r="E54" s="116">
        <f t="shared" si="13"/>
        <v>81770.138025867942</v>
      </c>
      <c r="F54" s="134">
        <v>1648930406</v>
      </c>
      <c r="G54" s="117">
        <f t="shared" si="14"/>
        <v>44899.398393464944</v>
      </c>
      <c r="H54" s="98"/>
      <c r="I54" s="136">
        <v>8.6</v>
      </c>
      <c r="J54" s="134">
        <v>14180801.491599999</v>
      </c>
      <c r="K54" s="120">
        <f t="shared" si="15"/>
        <v>386.13482618379851</v>
      </c>
      <c r="L54" s="122">
        <f t="shared" si="3"/>
        <v>16489304.060000001</v>
      </c>
      <c r="M54" s="116">
        <f t="shared" si="4"/>
        <v>2308502.5684000012</v>
      </c>
      <c r="N54" s="123">
        <f t="shared" si="5"/>
        <v>62.859157750850947</v>
      </c>
      <c r="O54" s="5"/>
      <c r="P54" s="5">
        <f t="shared" si="6"/>
        <v>1</v>
      </c>
      <c r="Q54" s="7">
        <f t="shared" si="7"/>
        <v>36725</v>
      </c>
      <c r="W54" s="124">
        <f t="shared" si="8"/>
        <v>14180801.491599999</v>
      </c>
      <c r="X54">
        <f t="shared" si="9"/>
        <v>0</v>
      </c>
    </row>
    <row r="55" spans="1:24">
      <c r="A55" s="23" t="s">
        <v>560</v>
      </c>
      <c r="B55" s="35" t="s">
        <v>49</v>
      </c>
      <c r="C55" s="125">
        <v>6205</v>
      </c>
      <c r="D55" s="132">
        <v>3861104665</v>
      </c>
      <c r="E55" s="116">
        <f t="shared" si="13"/>
        <v>622256.99677679292</v>
      </c>
      <c r="F55" s="134">
        <v>3034558581</v>
      </c>
      <c r="G55" s="117">
        <f t="shared" si="14"/>
        <v>489050.536825141</v>
      </c>
      <c r="H55" s="98"/>
      <c r="I55" s="136">
        <v>3.3923000000000001</v>
      </c>
      <c r="J55" s="134">
        <v>10294133.074326299</v>
      </c>
      <c r="K55" s="120">
        <f t="shared" si="15"/>
        <v>1659.0061360719258</v>
      </c>
      <c r="L55" s="122">
        <f t="shared" si="3"/>
        <v>30345585.810000002</v>
      </c>
      <c r="M55" s="116">
        <f t="shared" si="4"/>
        <v>20051452.735673703</v>
      </c>
      <c r="N55" s="123">
        <f t="shared" si="5"/>
        <v>3231.4992321794848</v>
      </c>
      <c r="O55" s="5"/>
      <c r="P55" s="5">
        <f t="shared" si="6"/>
        <v>1</v>
      </c>
      <c r="Q55" s="7">
        <f t="shared" si="7"/>
        <v>6205</v>
      </c>
      <c r="W55" s="124">
        <f t="shared" si="8"/>
        <v>10294133.074326299</v>
      </c>
      <c r="X55">
        <f t="shared" si="9"/>
        <v>0</v>
      </c>
    </row>
    <row r="56" spans="1:24">
      <c r="A56" s="23" t="s">
        <v>58</v>
      </c>
      <c r="B56" s="35" t="s">
        <v>49</v>
      </c>
      <c r="C56" s="125">
        <v>74887</v>
      </c>
      <c r="D56" s="132">
        <v>6411879903</v>
      </c>
      <c r="E56" s="116">
        <f t="shared" si="13"/>
        <v>85620.733945811691</v>
      </c>
      <c r="F56" s="134">
        <v>3590371698</v>
      </c>
      <c r="G56" s="117">
        <f t="shared" si="14"/>
        <v>47943.858052799551</v>
      </c>
      <c r="H56" s="98"/>
      <c r="I56" s="136">
        <v>8.1998999999999995</v>
      </c>
      <c r="J56" s="134">
        <v>29440688.8864302</v>
      </c>
      <c r="K56" s="120">
        <f t="shared" si="15"/>
        <v>393.13484164715106</v>
      </c>
      <c r="L56" s="122">
        <f t="shared" si="3"/>
        <v>35903716.980000004</v>
      </c>
      <c r="M56" s="116">
        <f t="shared" si="4"/>
        <v>6463028.093569804</v>
      </c>
      <c r="N56" s="123">
        <f t="shared" si="5"/>
        <v>86.30373888084452</v>
      </c>
      <c r="O56" s="5"/>
      <c r="P56" s="5">
        <f t="shared" si="6"/>
        <v>1</v>
      </c>
      <c r="Q56" s="7">
        <f t="shared" si="7"/>
        <v>74887</v>
      </c>
      <c r="W56" s="124">
        <f t="shared" si="8"/>
        <v>29440688.8864302</v>
      </c>
      <c r="X56">
        <f t="shared" si="9"/>
        <v>0</v>
      </c>
    </row>
    <row r="57" spans="1:24">
      <c r="A57" s="23" t="s">
        <v>59</v>
      </c>
      <c r="B57" s="35" t="s">
        <v>49</v>
      </c>
      <c r="C57" s="125">
        <v>31</v>
      </c>
      <c r="D57" s="147">
        <v>12612805</v>
      </c>
      <c r="E57" s="116">
        <f t="shared" si="13"/>
        <v>406864.67741935485</v>
      </c>
      <c r="F57" s="134">
        <v>10171320</v>
      </c>
      <c r="G57" s="117">
        <f t="shared" si="14"/>
        <v>328107.09677419357</v>
      </c>
      <c r="H57" s="98"/>
      <c r="I57" s="136">
        <v>6.5</v>
      </c>
      <c r="J57" s="134">
        <v>66113.58</v>
      </c>
      <c r="K57" s="120">
        <f t="shared" si="15"/>
        <v>2132.6961290322583</v>
      </c>
      <c r="L57" s="122">
        <f t="shared" si="3"/>
        <v>101713.2</v>
      </c>
      <c r="M57" s="116">
        <f t="shared" si="4"/>
        <v>35599.619999999995</v>
      </c>
      <c r="N57" s="123">
        <f t="shared" si="5"/>
        <v>1148.3748387096773</v>
      </c>
      <c r="O57" s="5"/>
      <c r="P57" s="5">
        <f t="shared" si="6"/>
        <v>1</v>
      </c>
      <c r="Q57" s="7">
        <f t="shared" si="7"/>
        <v>31</v>
      </c>
      <c r="W57" s="124">
        <f t="shared" si="8"/>
        <v>66113.58</v>
      </c>
      <c r="X57">
        <f t="shared" si="9"/>
        <v>0</v>
      </c>
    </row>
    <row r="58" spans="1:24">
      <c r="A58" s="23" t="s">
        <v>60</v>
      </c>
      <c r="B58" s="35" t="s">
        <v>49</v>
      </c>
      <c r="C58" s="125">
        <v>10506</v>
      </c>
      <c r="D58" s="132">
        <v>4843186090</v>
      </c>
      <c r="E58" s="116">
        <f t="shared" si="13"/>
        <v>460992.39387016941</v>
      </c>
      <c r="F58" s="134">
        <v>3085689794</v>
      </c>
      <c r="G58" s="117">
        <f t="shared" si="14"/>
        <v>293707.38568437082</v>
      </c>
      <c r="H58" s="98"/>
      <c r="I58" s="136">
        <v>3.7538999999999998</v>
      </c>
      <c r="J58" s="134">
        <v>11583370.917696601</v>
      </c>
      <c r="K58" s="120">
        <f t="shared" si="15"/>
        <v>1102.5481551205598</v>
      </c>
      <c r="L58" s="122">
        <f t="shared" si="3"/>
        <v>30856897.940000001</v>
      </c>
      <c r="M58" s="116">
        <f t="shared" si="4"/>
        <v>19273527.022303402</v>
      </c>
      <c r="N58" s="123">
        <f t="shared" si="5"/>
        <v>1834.5257017231488</v>
      </c>
      <c r="O58" s="5"/>
      <c r="P58" s="5">
        <f t="shared" si="6"/>
        <v>1</v>
      </c>
      <c r="Q58" s="7">
        <f t="shared" si="7"/>
        <v>10506</v>
      </c>
      <c r="W58" s="124">
        <f t="shared" si="8"/>
        <v>11583370.917696599</v>
      </c>
      <c r="X58">
        <f t="shared" si="9"/>
        <v>0</v>
      </c>
    </row>
    <row r="59" spans="1:24">
      <c r="A59" s="23" t="s">
        <v>61</v>
      </c>
      <c r="B59" s="35" t="s">
        <v>49</v>
      </c>
      <c r="C59" s="125">
        <v>58760</v>
      </c>
      <c r="D59" s="132">
        <v>6963939270</v>
      </c>
      <c r="E59" s="116">
        <f t="shared" si="13"/>
        <v>118514.96375085092</v>
      </c>
      <c r="F59" s="134">
        <v>4112549281</v>
      </c>
      <c r="G59" s="117">
        <f t="shared" si="14"/>
        <v>69988.925816882227</v>
      </c>
      <c r="H59" s="98"/>
      <c r="I59" s="136">
        <v>7.1170999999999998</v>
      </c>
      <c r="J59" s="134">
        <v>29269424.487805098</v>
      </c>
      <c r="K59" s="120">
        <f t="shared" si="15"/>
        <v>498.11818393133251</v>
      </c>
      <c r="L59" s="122">
        <f t="shared" si="3"/>
        <v>41125492.810000002</v>
      </c>
      <c r="M59" s="116">
        <f t="shared" si="4"/>
        <v>11856068.322194904</v>
      </c>
      <c r="N59" s="123">
        <f t="shared" si="5"/>
        <v>201.77107423748987</v>
      </c>
      <c r="O59" s="5"/>
      <c r="P59" s="5">
        <f t="shared" si="6"/>
        <v>1</v>
      </c>
      <c r="Q59" s="7">
        <f t="shared" si="7"/>
        <v>58760</v>
      </c>
      <c r="W59" s="124">
        <f t="shared" si="8"/>
        <v>29269424.487805098</v>
      </c>
      <c r="X59">
        <f t="shared" si="9"/>
        <v>0</v>
      </c>
    </row>
    <row r="60" spans="1:24">
      <c r="A60" s="23" t="s">
        <v>62</v>
      </c>
      <c r="B60" s="35" t="s">
        <v>49</v>
      </c>
      <c r="C60" s="125">
        <v>138237</v>
      </c>
      <c r="D60" s="132">
        <v>19915336955</v>
      </c>
      <c r="E60" s="116">
        <f t="shared" si="13"/>
        <v>144066.61715025644</v>
      </c>
      <c r="F60" s="134">
        <v>12504555600</v>
      </c>
      <c r="G60" s="117">
        <f t="shared" si="14"/>
        <v>90457.371036697848</v>
      </c>
      <c r="H60" s="98"/>
      <c r="I60" s="136">
        <v>7.1172000000000004</v>
      </c>
      <c r="J60" s="134">
        <v>88997423.116320014</v>
      </c>
      <c r="K60" s="120">
        <f t="shared" si="15"/>
        <v>643.803201142386</v>
      </c>
      <c r="L60" s="122">
        <f t="shared" si="3"/>
        <v>125045556</v>
      </c>
      <c r="M60" s="116">
        <f t="shared" si="4"/>
        <v>36048132.883679986</v>
      </c>
      <c r="N60" s="123">
        <f t="shared" si="5"/>
        <v>260.77050922459244</v>
      </c>
      <c r="O60" s="5"/>
      <c r="P60" s="5">
        <f t="shared" si="6"/>
        <v>1</v>
      </c>
      <c r="Q60" s="7">
        <f t="shared" si="7"/>
        <v>138237</v>
      </c>
      <c r="W60" s="124">
        <f t="shared" si="8"/>
        <v>88997423.116320014</v>
      </c>
      <c r="X60">
        <f t="shared" si="9"/>
        <v>0</v>
      </c>
    </row>
    <row r="61" spans="1:24">
      <c r="A61" s="23" t="s">
        <v>63</v>
      </c>
      <c r="B61" s="35" t="s">
        <v>49</v>
      </c>
      <c r="C61" s="125">
        <v>45077</v>
      </c>
      <c r="D61" s="132">
        <v>3699329418</v>
      </c>
      <c r="E61" s="116">
        <f t="shared" si="13"/>
        <v>82066.89482441156</v>
      </c>
      <c r="F61" s="134">
        <v>2037491063</v>
      </c>
      <c r="G61" s="117">
        <f t="shared" si="14"/>
        <v>45200.236550790869</v>
      </c>
      <c r="H61" s="98"/>
      <c r="I61" s="136">
        <v>7.4</v>
      </c>
      <c r="J61" s="134">
        <v>15077433.8662</v>
      </c>
      <c r="K61" s="120">
        <f t="shared" si="15"/>
        <v>334.48175047585244</v>
      </c>
      <c r="L61" s="122">
        <f t="shared" si="3"/>
        <v>20374910.629999999</v>
      </c>
      <c r="M61" s="116">
        <f t="shared" si="4"/>
        <v>5297476.7637999989</v>
      </c>
      <c r="N61" s="123">
        <f t="shared" si="5"/>
        <v>117.52061503205624</v>
      </c>
      <c r="O61" s="5"/>
      <c r="P61" s="5">
        <f t="shared" si="6"/>
        <v>1</v>
      </c>
      <c r="Q61" s="7">
        <f t="shared" si="7"/>
        <v>45077</v>
      </c>
      <c r="W61" s="124">
        <f t="shared" si="8"/>
        <v>15077433.8662</v>
      </c>
      <c r="X61">
        <f t="shared" si="9"/>
        <v>0</v>
      </c>
    </row>
    <row r="62" spans="1:24">
      <c r="A62" s="23" t="s">
        <v>64</v>
      </c>
      <c r="B62" s="35" t="s">
        <v>49</v>
      </c>
      <c r="C62" s="125">
        <v>44517</v>
      </c>
      <c r="D62" s="132">
        <v>7219828164</v>
      </c>
      <c r="E62" s="116">
        <f t="shared" si="13"/>
        <v>162181.37259923175</v>
      </c>
      <c r="F62" s="134">
        <v>4488068780</v>
      </c>
      <c r="G62" s="117">
        <f t="shared" si="14"/>
        <v>100816.96385650426</v>
      </c>
      <c r="H62" s="98"/>
      <c r="I62" s="136">
        <v>5.8550000000000004</v>
      </c>
      <c r="J62" s="134">
        <v>26277642.706900001</v>
      </c>
      <c r="K62" s="120">
        <f t="shared" si="15"/>
        <v>590.28332337983238</v>
      </c>
      <c r="L62" s="122">
        <f t="shared" si="3"/>
        <v>44880687.800000004</v>
      </c>
      <c r="M62" s="116">
        <f t="shared" si="4"/>
        <v>18603045.093100004</v>
      </c>
      <c r="N62" s="123">
        <f t="shared" si="5"/>
        <v>417.88631518521021</v>
      </c>
      <c r="O62" s="5"/>
      <c r="P62" s="5">
        <f t="shared" si="6"/>
        <v>1</v>
      </c>
      <c r="Q62" s="7">
        <f t="shared" si="7"/>
        <v>44517</v>
      </c>
      <c r="W62" s="124">
        <f t="shared" si="8"/>
        <v>26277642.706900004</v>
      </c>
      <c r="X62">
        <f t="shared" si="9"/>
        <v>0</v>
      </c>
    </row>
    <row r="63" spans="1:24">
      <c r="A63" s="23" t="s">
        <v>65</v>
      </c>
      <c r="B63" s="35" t="s">
        <v>49</v>
      </c>
      <c r="C63" s="125">
        <v>36390</v>
      </c>
      <c r="D63" s="132">
        <v>9352357801</v>
      </c>
      <c r="E63" s="116">
        <f t="shared" si="13"/>
        <v>257003.51198131355</v>
      </c>
      <c r="F63" s="134">
        <v>6637325767</v>
      </c>
      <c r="G63" s="117">
        <f t="shared" si="14"/>
        <v>182394.22278098378</v>
      </c>
      <c r="H63" s="98"/>
      <c r="I63" s="136">
        <v>4.2979000000000003</v>
      </c>
      <c r="J63" s="134">
        <v>28526562.413989302</v>
      </c>
      <c r="K63" s="120">
        <f t="shared" si="15"/>
        <v>783.91213009039029</v>
      </c>
      <c r="L63" s="122">
        <f t="shared" si="3"/>
        <v>66373257.670000002</v>
      </c>
      <c r="M63" s="116">
        <f t="shared" si="4"/>
        <v>37846695.256010696</v>
      </c>
      <c r="N63" s="123">
        <f t="shared" si="5"/>
        <v>1040.0300977194474</v>
      </c>
      <c r="O63" s="5"/>
      <c r="P63" s="5">
        <f t="shared" si="6"/>
        <v>1</v>
      </c>
      <c r="Q63" s="7">
        <f t="shared" si="7"/>
        <v>36390</v>
      </c>
      <c r="W63" s="124">
        <f t="shared" si="8"/>
        <v>28526562.413989302</v>
      </c>
      <c r="X63">
        <f t="shared" si="9"/>
        <v>0</v>
      </c>
    </row>
    <row r="64" spans="1:24">
      <c r="A64" s="23" t="s">
        <v>66</v>
      </c>
      <c r="B64" s="35" t="s">
        <v>49</v>
      </c>
      <c r="C64" s="125">
        <v>6255</v>
      </c>
      <c r="D64" s="132">
        <v>1145690116</v>
      </c>
      <c r="E64" s="116">
        <f t="shared" si="13"/>
        <v>183163.88745003997</v>
      </c>
      <c r="F64" s="134">
        <v>943884239</v>
      </c>
      <c r="G64" s="117">
        <f t="shared" si="14"/>
        <v>150900.75763389288</v>
      </c>
      <c r="H64" s="98"/>
      <c r="I64" s="136">
        <v>8.5</v>
      </c>
      <c r="J64" s="134">
        <v>8023016.0314999996</v>
      </c>
      <c r="K64" s="120">
        <f t="shared" si="15"/>
        <v>1282.6564398880894</v>
      </c>
      <c r="L64" s="122">
        <f t="shared" si="3"/>
        <v>9438842.3900000006</v>
      </c>
      <c r="M64" s="116">
        <f t="shared" si="4"/>
        <v>1415826.358500001</v>
      </c>
      <c r="N64" s="123">
        <f t="shared" si="5"/>
        <v>226.3511364508395</v>
      </c>
      <c r="O64" s="5"/>
      <c r="P64" s="5">
        <f t="shared" si="6"/>
        <v>1</v>
      </c>
      <c r="Q64" s="7">
        <f t="shared" si="7"/>
        <v>6255</v>
      </c>
      <c r="W64" s="124">
        <f t="shared" si="8"/>
        <v>8023016.0315000005</v>
      </c>
      <c r="X64">
        <f t="shared" si="9"/>
        <v>0</v>
      </c>
    </row>
    <row r="65" spans="1:24">
      <c r="A65" s="23" t="s">
        <v>67</v>
      </c>
      <c r="B65" s="35" t="s">
        <v>49</v>
      </c>
      <c r="C65" s="125">
        <v>171309</v>
      </c>
      <c r="D65" s="132">
        <v>26383174114</v>
      </c>
      <c r="E65" s="116">
        <f t="shared" si="13"/>
        <v>154009.27046448231</v>
      </c>
      <c r="F65" s="134">
        <v>16025043787</v>
      </c>
      <c r="G65" s="117">
        <f t="shared" si="14"/>
        <v>93544.669497808049</v>
      </c>
      <c r="H65" s="98"/>
      <c r="I65" s="136">
        <v>5.6689999999999996</v>
      </c>
      <c r="J65" s="134">
        <v>90845973.228502989</v>
      </c>
      <c r="K65" s="120">
        <f t="shared" si="15"/>
        <v>530.30473138307377</v>
      </c>
      <c r="L65" s="122">
        <f t="shared" si="3"/>
        <v>160250437.87</v>
      </c>
      <c r="M65" s="116">
        <f t="shared" si="4"/>
        <v>69404464.641497016</v>
      </c>
      <c r="N65" s="123">
        <f t="shared" si="5"/>
        <v>405.14196359500676</v>
      </c>
      <c r="O65" s="5"/>
      <c r="P65" s="5">
        <f t="shared" si="6"/>
        <v>1</v>
      </c>
      <c r="Q65" s="7">
        <f t="shared" si="7"/>
        <v>171309</v>
      </c>
      <c r="W65" s="124">
        <f t="shared" si="8"/>
        <v>90845973.228502989</v>
      </c>
      <c r="X65">
        <f t="shared" si="9"/>
        <v>0</v>
      </c>
    </row>
    <row r="66" spans="1:24">
      <c r="A66" s="23" t="s">
        <v>68</v>
      </c>
      <c r="B66" s="35" t="s">
        <v>49</v>
      </c>
      <c r="C66" s="125">
        <v>94048</v>
      </c>
      <c r="D66" s="132">
        <v>17698432095</v>
      </c>
      <c r="E66" s="116">
        <f t="shared" si="13"/>
        <v>188185.09798188158</v>
      </c>
      <c r="F66" s="134">
        <v>11593774140</v>
      </c>
      <c r="G66" s="117">
        <f t="shared" si="14"/>
        <v>123275.07379210615</v>
      </c>
      <c r="H66" s="98"/>
      <c r="I66" s="136">
        <v>5.8</v>
      </c>
      <c r="J66" s="134">
        <v>67243890.011999995</v>
      </c>
      <c r="K66" s="120">
        <f t="shared" si="15"/>
        <v>714.99542799421567</v>
      </c>
      <c r="L66" s="122">
        <f t="shared" si="3"/>
        <v>115937741.40000001</v>
      </c>
      <c r="M66" s="116">
        <f t="shared" si="4"/>
        <v>48693851.388000011</v>
      </c>
      <c r="N66" s="123">
        <f t="shared" si="5"/>
        <v>517.75530992684594</v>
      </c>
      <c r="O66" s="5"/>
      <c r="P66" s="5">
        <f t="shared" si="6"/>
        <v>1</v>
      </c>
      <c r="Q66" s="7">
        <f t="shared" si="7"/>
        <v>94048</v>
      </c>
      <c r="W66" s="124">
        <f t="shared" si="8"/>
        <v>67243890.011999995</v>
      </c>
      <c r="X66">
        <f t="shared" si="9"/>
        <v>0</v>
      </c>
    </row>
    <row r="67" spans="1:24">
      <c r="A67" s="23" t="s">
        <v>69</v>
      </c>
      <c r="B67" s="35" t="s">
        <v>49</v>
      </c>
      <c r="C67" s="125">
        <v>113789</v>
      </c>
      <c r="D67" s="132">
        <v>24166414233</v>
      </c>
      <c r="E67" s="116">
        <f t="shared" si="13"/>
        <v>212379.17753912945</v>
      </c>
      <c r="F67" s="134">
        <v>17039069507</v>
      </c>
      <c r="G67" s="117">
        <f t="shared" si="14"/>
        <v>149742.67729745407</v>
      </c>
      <c r="H67" s="98"/>
      <c r="I67" s="136">
        <v>5.2705000000000002</v>
      </c>
      <c r="J67" s="134">
        <v>89804415.836643502</v>
      </c>
      <c r="K67" s="120">
        <f t="shared" si="15"/>
        <v>789.21878069623165</v>
      </c>
      <c r="L67" s="122">
        <f t="shared" si="3"/>
        <v>170390695.06999999</v>
      </c>
      <c r="M67" s="116">
        <f t="shared" si="4"/>
        <v>80586279.233356491</v>
      </c>
      <c r="N67" s="123">
        <f t="shared" si="5"/>
        <v>708.20799227830889</v>
      </c>
      <c r="O67" s="5"/>
      <c r="P67" s="5">
        <f t="shared" si="6"/>
        <v>1</v>
      </c>
      <c r="Q67" s="7">
        <f t="shared" si="7"/>
        <v>113789</v>
      </c>
      <c r="W67" s="124">
        <f t="shared" si="8"/>
        <v>89804415.836643502</v>
      </c>
      <c r="X67">
        <f t="shared" si="9"/>
        <v>0</v>
      </c>
    </row>
    <row r="68" spans="1:24">
      <c r="A68" s="23" t="s">
        <v>70</v>
      </c>
      <c r="B68" s="35" t="s">
        <v>49</v>
      </c>
      <c r="C68" s="125">
        <v>540</v>
      </c>
      <c r="D68" s="132">
        <v>434738311</v>
      </c>
      <c r="E68" s="116">
        <f t="shared" si="13"/>
        <v>805070.94629629632</v>
      </c>
      <c r="F68" s="134">
        <v>278504485</v>
      </c>
      <c r="G68" s="117">
        <f t="shared" si="14"/>
        <v>515749.04629629629</v>
      </c>
      <c r="H68" s="98"/>
      <c r="I68" s="136">
        <v>7</v>
      </c>
      <c r="J68" s="134">
        <v>1949531.395</v>
      </c>
      <c r="K68" s="120">
        <f t="shared" si="15"/>
        <v>3610.2433240740743</v>
      </c>
      <c r="L68" s="122">
        <f t="shared" si="3"/>
        <v>2785044.85</v>
      </c>
      <c r="M68" s="116">
        <f t="shared" si="4"/>
        <v>835513.45500000007</v>
      </c>
      <c r="N68" s="123">
        <f t="shared" si="5"/>
        <v>1547.2471388888891</v>
      </c>
      <c r="O68" s="5"/>
      <c r="P68" s="5">
        <f t="shared" si="6"/>
        <v>1</v>
      </c>
      <c r="Q68" s="7">
        <f t="shared" si="7"/>
        <v>540</v>
      </c>
      <c r="W68" s="124">
        <f t="shared" si="8"/>
        <v>1949531.395</v>
      </c>
      <c r="X68">
        <f t="shared" si="9"/>
        <v>0</v>
      </c>
    </row>
    <row r="69" spans="1:24">
      <c r="A69" s="23" t="s">
        <v>450</v>
      </c>
      <c r="B69" s="35" t="s">
        <v>49</v>
      </c>
      <c r="C69" s="125">
        <v>7716</v>
      </c>
      <c r="D69" s="132">
        <v>3267738609</v>
      </c>
      <c r="E69" s="116">
        <f t="shared" si="13"/>
        <v>423501.63413685845</v>
      </c>
      <c r="F69" s="134">
        <v>1909600229</v>
      </c>
      <c r="G69" s="117">
        <f t="shared" si="14"/>
        <v>247485.77358735097</v>
      </c>
      <c r="H69" s="98"/>
      <c r="I69" s="136">
        <v>3.9</v>
      </c>
      <c r="J69" s="134">
        <v>7447440.8930999991</v>
      </c>
      <c r="K69" s="120">
        <f t="shared" si="15"/>
        <v>965.1945169906686</v>
      </c>
      <c r="L69" s="122">
        <f t="shared" si="3"/>
        <v>19096002.289999999</v>
      </c>
      <c r="M69" s="116">
        <f t="shared" si="4"/>
        <v>11648561.3969</v>
      </c>
      <c r="N69" s="123">
        <f t="shared" si="5"/>
        <v>1509.663218882841</v>
      </c>
      <c r="O69" s="5"/>
      <c r="P69" s="5">
        <f t="shared" si="6"/>
        <v>1</v>
      </c>
      <c r="Q69" s="7">
        <f t="shared" si="7"/>
        <v>7716</v>
      </c>
      <c r="W69" s="124">
        <f t="shared" si="8"/>
        <v>7447440.8931</v>
      </c>
      <c r="X69">
        <f t="shared" si="9"/>
        <v>0</v>
      </c>
    </row>
    <row r="70" spans="1:24">
      <c r="A70" s="23" t="s">
        <v>71</v>
      </c>
      <c r="B70" s="35" t="s">
        <v>49</v>
      </c>
      <c r="C70" s="125">
        <v>97479</v>
      </c>
      <c r="D70" s="132">
        <v>14689057642</v>
      </c>
      <c r="E70" s="116">
        <f t="shared" si="13"/>
        <v>150689.45764728813</v>
      </c>
      <c r="F70" s="134">
        <v>9315923763</v>
      </c>
      <c r="G70" s="117">
        <f t="shared" si="14"/>
        <v>95568.520019696545</v>
      </c>
      <c r="H70" s="98"/>
      <c r="I70" s="136">
        <v>6.0542999999999996</v>
      </c>
      <c r="J70" s="134">
        <v>56401397.238330893</v>
      </c>
      <c r="K70" s="120">
        <f t="shared" si="15"/>
        <v>578.60049075524876</v>
      </c>
      <c r="L70" s="122">
        <f t="shared" ref="L70:L133" si="16">(F70*0.01)</f>
        <v>93159237.629999995</v>
      </c>
      <c r="M70" s="116">
        <f t="shared" ref="M70:M133" si="17">(L70-J70)</f>
        <v>36757840.391669102</v>
      </c>
      <c r="N70" s="123">
        <f t="shared" ref="N70:N133" si="18">(M70/C70)</f>
        <v>377.08470944171671</v>
      </c>
      <c r="O70" s="5"/>
      <c r="P70" s="5">
        <f t="shared" ref="P70:P133" si="19">IF(I70&gt;0,1,0)</f>
        <v>1</v>
      </c>
      <c r="Q70" s="7">
        <f t="shared" ref="Q70:Q133" si="20">IF(I70&gt;0,C70,0)</f>
        <v>97479</v>
      </c>
      <c r="W70" s="124">
        <f t="shared" si="8"/>
        <v>56401397.238330893</v>
      </c>
      <c r="X70">
        <f t="shared" si="9"/>
        <v>0</v>
      </c>
    </row>
    <row r="71" spans="1:24">
      <c r="A71" s="23" t="s">
        <v>72</v>
      </c>
      <c r="B71" s="35" t="s">
        <v>49</v>
      </c>
      <c r="C71" s="125">
        <v>72740</v>
      </c>
      <c r="D71" s="132">
        <v>9066829485</v>
      </c>
      <c r="E71" s="116">
        <f t="shared" si="13"/>
        <v>124647.09217761892</v>
      </c>
      <c r="F71" s="154">
        <v>5281815405</v>
      </c>
      <c r="G71" s="117">
        <f t="shared" si="14"/>
        <v>72612.254674182012</v>
      </c>
      <c r="H71" s="98"/>
      <c r="I71" s="136">
        <v>7</v>
      </c>
      <c r="J71" s="134">
        <v>36972707.835000001</v>
      </c>
      <c r="K71" s="120">
        <f t="shared" si="15"/>
        <v>508.28578271927415</v>
      </c>
      <c r="L71" s="122">
        <f t="shared" si="16"/>
        <v>52818154.050000004</v>
      </c>
      <c r="M71" s="116">
        <f t="shared" si="17"/>
        <v>15845446.215000004</v>
      </c>
      <c r="N71" s="123">
        <f t="shared" si="18"/>
        <v>217.83676402254611</v>
      </c>
      <c r="O71" s="5"/>
      <c r="P71" s="5">
        <f t="shared" si="19"/>
        <v>1</v>
      </c>
      <c r="Q71" s="7">
        <f t="shared" si="20"/>
        <v>72740</v>
      </c>
      <c r="W71" s="124">
        <f t="shared" ref="W71:W134" si="21">F71*(I71/1000)</f>
        <v>36972707.835000001</v>
      </c>
      <c r="X71">
        <f t="shared" ref="X71:X134" si="22">IF(W71=J71,0,1)</f>
        <v>0</v>
      </c>
    </row>
    <row r="72" spans="1:24">
      <c r="A72" s="23" t="s">
        <v>507</v>
      </c>
      <c r="B72" s="35" t="s">
        <v>49</v>
      </c>
      <c r="C72" s="125">
        <v>15243</v>
      </c>
      <c r="D72" s="132">
        <v>1622931510</v>
      </c>
      <c r="E72" s="116">
        <f t="shared" si="13"/>
        <v>106470.61011611887</v>
      </c>
      <c r="F72" s="134">
        <v>814652805</v>
      </c>
      <c r="G72" s="117">
        <f t="shared" si="14"/>
        <v>53444.387915764615</v>
      </c>
      <c r="H72" s="98"/>
      <c r="I72" s="136">
        <v>8.1999999999999993</v>
      </c>
      <c r="J72" s="134">
        <v>6680153.0009999992</v>
      </c>
      <c r="K72" s="120">
        <f t="shared" si="15"/>
        <v>438.24398090926979</v>
      </c>
      <c r="L72" s="122">
        <f t="shared" si="16"/>
        <v>8146528.0499999998</v>
      </c>
      <c r="M72" s="116">
        <f t="shared" si="17"/>
        <v>1466375.0490000006</v>
      </c>
      <c r="N72" s="123">
        <f t="shared" si="18"/>
        <v>96.199898248376343</v>
      </c>
      <c r="O72" s="5"/>
      <c r="P72" s="5">
        <f t="shared" si="19"/>
        <v>1</v>
      </c>
      <c r="Q72" s="7">
        <f t="shared" si="20"/>
        <v>15243</v>
      </c>
      <c r="W72" s="124">
        <f t="shared" si="21"/>
        <v>6680153.0009999992</v>
      </c>
      <c r="X72">
        <f t="shared" si="22"/>
        <v>0</v>
      </c>
    </row>
    <row r="73" spans="1:24">
      <c r="A73" s="23" t="s">
        <v>73</v>
      </c>
      <c r="B73" s="35" t="s">
        <v>49</v>
      </c>
      <c r="C73" s="125">
        <v>68318</v>
      </c>
      <c r="D73" s="132">
        <v>15061024234</v>
      </c>
      <c r="E73" s="116">
        <f t="shared" si="13"/>
        <v>220454.70057671476</v>
      </c>
      <c r="F73" s="134">
        <v>10464193798</v>
      </c>
      <c r="G73" s="117">
        <f t="shared" si="14"/>
        <v>153168.91299511111</v>
      </c>
      <c r="H73" s="98"/>
      <c r="I73" s="136">
        <v>3.3464</v>
      </c>
      <c r="J73" s="134">
        <v>35017378.125627197</v>
      </c>
      <c r="K73" s="120">
        <f t="shared" si="15"/>
        <v>512.56445044683971</v>
      </c>
      <c r="L73" s="122">
        <f t="shared" si="16"/>
        <v>104641937.98</v>
      </c>
      <c r="M73" s="116">
        <f t="shared" si="17"/>
        <v>69624559.854372799</v>
      </c>
      <c r="N73" s="123">
        <f t="shared" si="18"/>
        <v>1019.1246795042712</v>
      </c>
      <c r="O73" s="5"/>
      <c r="P73" s="5">
        <f t="shared" si="19"/>
        <v>1</v>
      </c>
      <c r="Q73" s="7">
        <f t="shared" si="20"/>
        <v>68318</v>
      </c>
      <c r="W73" s="124">
        <f t="shared" si="21"/>
        <v>35017378.125627205</v>
      </c>
      <c r="X73">
        <f t="shared" si="22"/>
        <v>0</v>
      </c>
    </row>
    <row r="74" spans="1:24">
      <c r="A74" s="23" t="s">
        <v>74</v>
      </c>
      <c r="B74" s="35" t="s">
        <v>49</v>
      </c>
      <c r="C74" s="125">
        <v>11569</v>
      </c>
      <c r="D74" s="132">
        <v>2919725088</v>
      </c>
      <c r="E74" s="116">
        <f t="shared" si="13"/>
        <v>252374.88875442994</v>
      </c>
      <c r="F74" s="134">
        <v>1885260925</v>
      </c>
      <c r="G74" s="117">
        <f t="shared" si="14"/>
        <v>162957.9847004927</v>
      </c>
      <c r="H74" s="98"/>
      <c r="I74" s="136">
        <v>5.8360000000000003</v>
      </c>
      <c r="J74" s="134">
        <v>11002382.758300001</v>
      </c>
      <c r="K74" s="120">
        <f t="shared" si="15"/>
        <v>951.02279871207543</v>
      </c>
      <c r="L74" s="122">
        <f t="shared" si="16"/>
        <v>18852609.25</v>
      </c>
      <c r="M74" s="116">
        <f t="shared" si="17"/>
        <v>7850226.4916999992</v>
      </c>
      <c r="N74" s="123">
        <f t="shared" si="18"/>
        <v>678.5570482928515</v>
      </c>
      <c r="O74" s="5"/>
      <c r="P74" s="5">
        <f t="shared" si="19"/>
        <v>1</v>
      </c>
      <c r="Q74" s="7">
        <f t="shared" si="20"/>
        <v>11569</v>
      </c>
      <c r="S74" s="124">
        <f>SUM(D44:D74)</f>
        <v>366361496298</v>
      </c>
      <c r="T74" s="124">
        <f>SUM(F44:F74)</f>
        <v>243165101762</v>
      </c>
      <c r="U74" s="124">
        <f>SUM(J44:J74)</f>
        <v>1370976131.1179538</v>
      </c>
      <c r="W74" s="124">
        <f t="shared" si="21"/>
        <v>11002382.758300001</v>
      </c>
      <c r="X74">
        <f t="shared" si="22"/>
        <v>0</v>
      </c>
    </row>
    <row r="75" spans="1:24">
      <c r="A75" s="23" t="s">
        <v>75</v>
      </c>
      <c r="B75" s="35" t="s">
        <v>76</v>
      </c>
      <c r="C75" s="125">
        <v>498</v>
      </c>
      <c r="D75" s="147" t="s">
        <v>564</v>
      </c>
      <c r="E75" s="116"/>
      <c r="F75" s="134"/>
      <c r="G75" s="117"/>
      <c r="H75" s="98" t="s">
        <v>588</v>
      </c>
      <c r="I75" s="136"/>
      <c r="J75" s="134"/>
      <c r="K75" s="120"/>
      <c r="L75" s="122">
        <f t="shared" si="16"/>
        <v>0</v>
      </c>
      <c r="M75" s="116">
        <f t="shared" si="17"/>
        <v>0</v>
      </c>
      <c r="N75" s="123">
        <f t="shared" si="18"/>
        <v>0</v>
      </c>
      <c r="O75" s="5"/>
      <c r="P75" s="5">
        <f t="shared" si="19"/>
        <v>0</v>
      </c>
      <c r="Q75" s="7">
        <f t="shared" si="20"/>
        <v>0</v>
      </c>
      <c r="W75" s="124">
        <f t="shared" si="21"/>
        <v>0</v>
      </c>
      <c r="X75">
        <f t="shared" si="22"/>
        <v>0</v>
      </c>
    </row>
    <row r="76" spans="1:24">
      <c r="A76" s="23" t="s">
        <v>77</v>
      </c>
      <c r="B76" s="35" t="s">
        <v>76</v>
      </c>
      <c r="C76" s="125">
        <v>2280</v>
      </c>
      <c r="D76" s="132">
        <v>133609166</v>
      </c>
      <c r="E76" s="116">
        <f t="shared" ref="E76:E86" si="23">(D76/C76)</f>
        <v>58600.511403508775</v>
      </c>
      <c r="F76" s="134">
        <v>75368235</v>
      </c>
      <c r="G76" s="117">
        <f t="shared" ref="G76:G86" si="24">(F76/C76)</f>
        <v>33056.243421052633</v>
      </c>
      <c r="H76" s="7"/>
      <c r="I76" s="136">
        <v>1.5</v>
      </c>
      <c r="J76" s="134">
        <v>113052.35249999999</v>
      </c>
      <c r="K76" s="120">
        <f t="shared" ref="K76:K86" si="25">(J76/C76)</f>
        <v>49.584365131578942</v>
      </c>
      <c r="L76" s="122">
        <f t="shared" si="16"/>
        <v>753682.35</v>
      </c>
      <c r="M76" s="116">
        <f t="shared" si="17"/>
        <v>640629.99749999994</v>
      </c>
      <c r="N76" s="123">
        <f t="shared" si="18"/>
        <v>280.97806907894733</v>
      </c>
      <c r="O76" s="5"/>
      <c r="P76" s="5">
        <f t="shared" si="19"/>
        <v>1</v>
      </c>
      <c r="Q76" s="7">
        <f t="shared" si="20"/>
        <v>2280</v>
      </c>
      <c r="S76" s="124">
        <f>SUM(D75:D76)</f>
        <v>133609166</v>
      </c>
      <c r="T76" s="124">
        <f>SUM(F75:F76)</f>
        <v>75368235</v>
      </c>
      <c r="U76" s="124">
        <f>SUM(J75:J76)</f>
        <v>113052.35249999999</v>
      </c>
      <c r="W76" s="124">
        <f t="shared" si="21"/>
        <v>113052.35250000001</v>
      </c>
      <c r="X76">
        <f t="shared" si="22"/>
        <v>0</v>
      </c>
    </row>
    <row r="77" spans="1:24">
      <c r="A77" s="23" t="s">
        <v>78</v>
      </c>
      <c r="B77" s="35" t="s">
        <v>79</v>
      </c>
      <c r="C77" s="125">
        <v>19930</v>
      </c>
      <c r="D77" s="132">
        <v>6583362829</v>
      </c>
      <c r="E77" s="116">
        <f t="shared" si="23"/>
        <v>330324.27641746111</v>
      </c>
      <c r="F77" s="134">
        <v>4125070957</v>
      </c>
      <c r="G77" s="117">
        <f t="shared" si="24"/>
        <v>206977.97074761667</v>
      </c>
      <c r="H77" s="7"/>
      <c r="I77" s="136">
        <v>3.95</v>
      </c>
      <c r="J77" s="134">
        <v>16294030.280150002</v>
      </c>
      <c r="K77" s="120">
        <f t="shared" si="25"/>
        <v>817.56298445308585</v>
      </c>
      <c r="L77" s="122">
        <f t="shared" si="16"/>
        <v>41250709.57</v>
      </c>
      <c r="M77" s="116">
        <f t="shared" si="17"/>
        <v>24956679.289849997</v>
      </c>
      <c r="N77" s="123">
        <f t="shared" si="18"/>
        <v>1252.2167230230807</v>
      </c>
      <c r="O77" s="5"/>
      <c r="P77" s="5">
        <f t="shared" si="19"/>
        <v>1</v>
      </c>
      <c r="Q77" s="7">
        <f t="shared" si="20"/>
        <v>19930</v>
      </c>
      <c r="S77" s="124">
        <f>SUM(D77)</f>
        <v>6583362829</v>
      </c>
      <c r="T77" s="124">
        <f>SUM(F77)</f>
        <v>4125070957</v>
      </c>
      <c r="U77" s="124">
        <f>SUM(J77)</f>
        <v>16294030.280150002</v>
      </c>
      <c r="W77" s="124">
        <f t="shared" si="21"/>
        <v>16294030.280150002</v>
      </c>
      <c r="X77">
        <f t="shared" si="22"/>
        <v>0</v>
      </c>
    </row>
    <row r="78" spans="1:24">
      <c r="A78" s="23" t="s">
        <v>80</v>
      </c>
      <c r="B78" s="35" t="s">
        <v>81</v>
      </c>
      <c r="C78" s="125">
        <v>3474</v>
      </c>
      <c r="D78" s="132">
        <v>846200279</v>
      </c>
      <c r="E78" s="116">
        <f t="shared" si="23"/>
        <v>243580.96689694875</v>
      </c>
      <c r="F78" s="134">
        <v>594589888</v>
      </c>
      <c r="G78" s="117">
        <f t="shared" si="24"/>
        <v>171154.25676453655</v>
      </c>
      <c r="H78" s="7"/>
      <c r="I78" s="150">
        <v>6.59</v>
      </c>
      <c r="J78" s="134">
        <v>3918347.3619200001</v>
      </c>
      <c r="K78" s="120">
        <f t="shared" si="25"/>
        <v>1127.9065520782958</v>
      </c>
      <c r="L78" s="122">
        <f t="shared" si="16"/>
        <v>5945898.8799999999</v>
      </c>
      <c r="M78" s="116">
        <f t="shared" si="17"/>
        <v>2027551.5180799998</v>
      </c>
      <c r="N78" s="123">
        <f t="shared" si="18"/>
        <v>583.63601556706965</v>
      </c>
      <c r="O78" s="5"/>
      <c r="P78" s="5">
        <f t="shared" si="19"/>
        <v>1</v>
      </c>
      <c r="Q78" s="7">
        <f t="shared" si="20"/>
        <v>3474</v>
      </c>
      <c r="W78" s="124">
        <f t="shared" si="21"/>
        <v>3918347.3619199996</v>
      </c>
      <c r="X78">
        <f t="shared" si="22"/>
        <v>0</v>
      </c>
    </row>
    <row r="79" spans="1:24">
      <c r="A79" s="23" t="s">
        <v>82</v>
      </c>
      <c r="B79" s="35" t="s">
        <v>81</v>
      </c>
      <c r="C79" s="125">
        <v>7812</v>
      </c>
      <c r="D79" s="132">
        <v>980997684</v>
      </c>
      <c r="E79" s="116">
        <f t="shared" si="23"/>
        <v>125575.74039938556</v>
      </c>
      <c r="F79" s="134">
        <v>564568004</v>
      </c>
      <c r="G79" s="117">
        <f t="shared" si="24"/>
        <v>72269.329749103941</v>
      </c>
      <c r="H79" s="7"/>
      <c r="I79" s="136">
        <v>7.76</v>
      </c>
      <c r="J79" s="134">
        <v>4381047.7110399995</v>
      </c>
      <c r="K79" s="120">
        <f t="shared" si="25"/>
        <v>560.80999885304652</v>
      </c>
      <c r="L79" s="122">
        <f t="shared" si="16"/>
        <v>5645680.04</v>
      </c>
      <c r="M79" s="116">
        <f t="shared" si="17"/>
        <v>1264632.3289600005</v>
      </c>
      <c r="N79" s="123">
        <f t="shared" si="18"/>
        <v>161.88329863799291</v>
      </c>
      <c r="O79" s="5"/>
      <c r="P79" s="5">
        <f t="shared" si="19"/>
        <v>1</v>
      </c>
      <c r="Q79" s="7">
        <f t="shared" si="20"/>
        <v>7812</v>
      </c>
      <c r="S79" s="124">
        <f>SUM(D78:D79)</f>
        <v>1827197963</v>
      </c>
      <c r="T79" s="124">
        <f>SUM(F78:F79)</f>
        <v>1159157892</v>
      </c>
      <c r="U79" s="124">
        <f>SUM(J78:J79)</f>
        <v>8299395.0729599996</v>
      </c>
      <c r="W79" s="124">
        <f t="shared" si="21"/>
        <v>4381047.7110399995</v>
      </c>
      <c r="X79">
        <f t="shared" si="22"/>
        <v>0</v>
      </c>
    </row>
    <row r="80" spans="1:24">
      <c r="A80" s="23" t="s">
        <v>83</v>
      </c>
      <c r="B80" s="35" t="s">
        <v>84</v>
      </c>
      <c r="C80" s="125">
        <v>10234</v>
      </c>
      <c r="D80" s="132">
        <v>1089857394</v>
      </c>
      <c r="E80" s="116">
        <f t="shared" si="23"/>
        <v>106493.78483486417</v>
      </c>
      <c r="F80" s="134">
        <v>630187660</v>
      </c>
      <c r="G80" s="117">
        <f t="shared" si="24"/>
        <v>61577.844440101624</v>
      </c>
      <c r="H80" s="7"/>
      <c r="I80" s="136">
        <v>4.5</v>
      </c>
      <c r="J80" s="134">
        <v>2835844.47</v>
      </c>
      <c r="K80" s="120">
        <f t="shared" si="25"/>
        <v>277.10029998045729</v>
      </c>
      <c r="L80" s="122">
        <f t="shared" si="16"/>
        <v>6301876.6000000006</v>
      </c>
      <c r="M80" s="116">
        <f t="shared" si="17"/>
        <v>3466032.1300000004</v>
      </c>
      <c r="N80" s="123">
        <f t="shared" si="18"/>
        <v>338.67814442055897</v>
      </c>
      <c r="O80" s="5"/>
      <c r="P80" s="5">
        <f t="shared" si="19"/>
        <v>1</v>
      </c>
      <c r="Q80" s="7">
        <f t="shared" si="20"/>
        <v>10234</v>
      </c>
      <c r="W80" s="124">
        <f t="shared" si="21"/>
        <v>2835844.4699999997</v>
      </c>
      <c r="X80">
        <f t="shared" si="22"/>
        <v>0</v>
      </c>
    </row>
    <row r="81" spans="1:24">
      <c r="A81" s="23" t="s">
        <v>85</v>
      </c>
      <c r="B81" s="35" t="s">
        <v>84</v>
      </c>
      <c r="C81" s="125">
        <v>1454</v>
      </c>
      <c r="D81" s="132">
        <v>147544760</v>
      </c>
      <c r="E81" s="116">
        <f t="shared" si="23"/>
        <v>101475.07565337002</v>
      </c>
      <c r="F81" s="134">
        <v>80793050</v>
      </c>
      <c r="G81" s="117">
        <f t="shared" si="24"/>
        <v>55566.059147180189</v>
      </c>
      <c r="H81" s="7"/>
      <c r="I81" s="136">
        <v>4.2900999999999998</v>
      </c>
      <c r="J81" s="134">
        <v>346610.263805</v>
      </c>
      <c r="K81" s="120">
        <f t="shared" si="25"/>
        <v>238.38395034731775</v>
      </c>
      <c r="L81" s="122">
        <f t="shared" si="16"/>
        <v>807930.5</v>
      </c>
      <c r="M81" s="116">
        <f t="shared" si="17"/>
        <v>461320.236195</v>
      </c>
      <c r="N81" s="123">
        <f t="shared" si="18"/>
        <v>317.27664112448417</v>
      </c>
      <c r="O81" s="5"/>
      <c r="P81" s="5">
        <f t="shared" si="19"/>
        <v>1</v>
      </c>
      <c r="Q81" s="7">
        <f t="shared" si="20"/>
        <v>1454</v>
      </c>
      <c r="W81" s="124">
        <f t="shared" si="21"/>
        <v>346610.263805</v>
      </c>
      <c r="X81">
        <f t="shared" si="22"/>
        <v>0</v>
      </c>
    </row>
    <row r="82" spans="1:24">
      <c r="A82" s="23" t="s">
        <v>86</v>
      </c>
      <c r="B82" s="35" t="s">
        <v>84</v>
      </c>
      <c r="C82" s="125">
        <v>9157</v>
      </c>
      <c r="D82" s="132">
        <v>1165321924</v>
      </c>
      <c r="E82" s="116">
        <f t="shared" si="23"/>
        <v>127260.22976957519</v>
      </c>
      <c r="F82" s="134">
        <v>718369262</v>
      </c>
      <c r="G82" s="117">
        <f t="shared" si="24"/>
        <v>78450.285246259693</v>
      </c>
      <c r="H82" s="9"/>
      <c r="I82" s="136">
        <v>5.8780999999999999</v>
      </c>
      <c r="J82" s="134">
        <v>4222646.3589621997</v>
      </c>
      <c r="K82" s="120">
        <f t="shared" si="25"/>
        <v>461.13862170603903</v>
      </c>
      <c r="L82" s="122">
        <f t="shared" si="16"/>
        <v>7183692.6200000001</v>
      </c>
      <c r="M82" s="116">
        <f t="shared" si="17"/>
        <v>2961046.2610378005</v>
      </c>
      <c r="N82" s="123">
        <f t="shared" si="18"/>
        <v>323.3642307565579</v>
      </c>
      <c r="O82" s="5"/>
      <c r="P82" s="5">
        <f t="shared" si="19"/>
        <v>1</v>
      </c>
      <c r="Q82" s="7">
        <f t="shared" si="20"/>
        <v>9157</v>
      </c>
      <c r="W82" s="124">
        <f t="shared" si="21"/>
        <v>4222646.3589621997</v>
      </c>
      <c r="X82">
        <f t="shared" si="22"/>
        <v>0</v>
      </c>
    </row>
    <row r="83" spans="1:24">
      <c r="A83" s="23" t="s">
        <v>87</v>
      </c>
      <c r="B83" s="35" t="s">
        <v>84</v>
      </c>
      <c r="C83" s="125">
        <v>832</v>
      </c>
      <c r="D83" s="147">
        <v>53478734</v>
      </c>
      <c r="E83" s="116">
        <f t="shared" si="23"/>
        <v>64277.324519230766</v>
      </c>
      <c r="F83" s="134">
        <v>21756120</v>
      </c>
      <c r="G83" s="117">
        <f t="shared" si="24"/>
        <v>26149.182692307691</v>
      </c>
      <c r="H83" s="98"/>
      <c r="I83" s="136">
        <v>4.4535</v>
      </c>
      <c r="J83" s="134">
        <v>96890.880420000001</v>
      </c>
      <c r="K83" s="120">
        <f t="shared" si="25"/>
        <v>116.4553851201923</v>
      </c>
      <c r="L83" s="122">
        <f t="shared" si="16"/>
        <v>217561.2</v>
      </c>
      <c r="M83" s="116">
        <f t="shared" si="17"/>
        <v>120670.31958000001</v>
      </c>
      <c r="N83" s="123">
        <f t="shared" si="18"/>
        <v>145.03644180288464</v>
      </c>
      <c r="O83" s="5"/>
      <c r="P83" s="5">
        <f t="shared" si="19"/>
        <v>1</v>
      </c>
      <c r="Q83" s="7">
        <f t="shared" si="20"/>
        <v>832</v>
      </c>
      <c r="S83" s="124">
        <f>SUM(D80:D83)</f>
        <v>2456202812</v>
      </c>
      <c r="T83" s="124">
        <f>SUM(F80:F83)</f>
        <v>1451106092</v>
      </c>
      <c r="U83" s="124">
        <f>SUM(J80:J83)</f>
        <v>7501991.9731871998</v>
      </c>
      <c r="W83" s="124">
        <f t="shared" si="21"/>
        <v>96890.880420000001</v>
      </c>
      <c r="X83">
        <f t="shared" si="22"/>
        <v>0</v>
      </c>
    </row>
    <row r="84" spans="1:24">
      <c r="A84" s="23" t="s">
        <v>88</v>
      </c>
      <c r="B84" s="35" t="s">
        <v>89</v>
      </c>
      <c r="C84" s="125">
        <v>383</v>
      </c>
      <c r="D84" s="132">
        <v>168338326</v>
      </c>
      <c r="E84" s="116">
        <f t="shared" si="23"/>
        <v>439525.65535248042</v>
      </c>
      <c r="F84" s="134">
        <v>112416143</v>
      </c>
      <c r="G84" s="117">
        <f t="shared" si="24"/>
        <v>293514.73368146212</v>
      </c>
      <c r="H84" s="7"/>
      <c r="I84" s="136">
        <v>6.0754000000000001</v>
      </c>
      <c r="J84" s="134">
        <v>682973.03518220002</v>
      </c>
      <c r="K84" s="120">
        <f t="shared" si="25"/>
        <v>1783.2194130083551</v>
      </c>
      <c r="L84" s="122">
        <f t="shared" si="16"/>
        <v>1124161.43</v>
      </c>
      <c r="M84" s="116">
        <f t="shared" si="17"/>
        <v>441188.39481779991</v>
      </c>
      <c r="N84" s="123">
        <f t="shared" si="18"/>
        <v>1151.9279238062661</v>
      </c>
      <c r="O84" s="5"/>
      <c r="P84" s="5">
        <f t="shared" si="19"/>
        <v>1</v>
      </c>
      <c r="Q84" s="7">
        <f t="shared" si="20"/>
        <v>383</v>
      </c>
      <c r="W84" s="124">
        <f t="shared" si="21"/>
        <v>682973.03518220002</v>
      </c>
      <c r="X84">
        <f t="shared" si="22"/>
        <v>0</v>
      </c>
    </row>
    <row r="85" spans="1:24">
      <c r="A85" s="23" t="s">
        <v>90</v>
      </c>
      <c r="B85" s="35" t="s">
        <v>89</v>
      </c>
      <c r="C85" s="125">
        <v>16112</v>
      </c>
      <c r="D85" s="132">
        <v>20168665304</v>
      </c>
      <c r="E85" s="116">
        <f t="shared" si="23"/>
        <v>1251779.1276067528</v>
      </c>
      <c r="F85" s="134">
        <v>13819222094</v>
      </c>
      <c r="G85" s="117">
        <f t="shared" si="24"/>
        <v>857697.49838629598</v>
      </c>
      <c r="H85" s="7"/>
      <c r="I85" s="136">
        <v>1.4837</v>
      </c>
      <c r="J85" s="134">
        <v>20503579.820867803</v>
      </c>
      <c r="K85" s="120">
        <f t="shared" si="25"/>
        <v>1272.5657783557474</v>
      </c>
      <c r="L85" s="122">
        <f t="shared" si="16"/>
        <v>138192220.94</v>
      </c>
      <c r="M85" s="116">
        <f t="shared" si="17"/>
        <v>117688641.11913219</v>
      </c>
      <c r="N85" s="123">
        <f t="shared" si="18"/>
        <v>7304.4092055072115</v>
      </c>
      <c r="O85" s="5"/>
      <c r="P85" s="5">
        <f t="shared" si="19"/>
        <v>1</v>
      </c>
      <c r="Q85" s="7">
        <f t="shared" si="20"/>
        <v>16112</v>
      </c>
      <c r="W85" s="124">
        <f t="shared" si="21"/>
        <v>20503579.820867803</v>
      </c>
      <c r="X85">
        <f t="shared" si="22"/>
        <v>0</v>
      </c>
    </row>
    <row r="86" spans="1:24">
      <c r="A86" s="23" t="s">
        <v>91</v>
      </c>
      <c r="B86" s="35" t="s">
        <v>89</v>
      </c>
      <c r="C86" s="125">
        <v>19283</v>
      </c>
      <c r="D86" s="132">
        <v>46174909964</v>
      </c>
      <c r="E86" s="116">
        <f t="shared" si="23"/>
        <v>2394591.6073225122</v>
      </c>
      <c r="F86" s="134">
        <v>31217025207</v>
      </c>
      <c r="G86" s="117">
        <f t="shared" si="24"/>
        <v>1618888.4098428667</v>
      </c>
      <c r="H86" s="9"/>
      <c r="I86" s="150">
        <v>1.1499999999999999</v>
      </c>
      <c r="J86" s="134">
        <v>35899578.988049999</v>
      </c>
      <c r="K86" s="120">
        <f t="shared" si="25"/>
        <v>1861.7216713192968</v>
      </c>
      <c r="L86" s="122">
        <f t="shared" si="16"/>
        <v>312170252.06999999</v>
      </c>
      <c r="M86" s="116">
        <f t="shared" si="17"/>
        <v>276270673.08195001</v>
      </c>
      <c r="N86" s="123">
        <f t="shared" si="18"/>
        <v>14327.162427109371</v>
      </c>
      <c r="O86" s="5"/>
      <c r="P86" s="5">
        <f t="shared" si="19"/>
        <v>1</v>
      </c>
      <c r="Q86" s="7">
        <f t="shared" si="20"/>
        <v>19283</v>
      </c>
      <c r="S86" s="124">
        <f>SUM(D84:D86)</f>
        <v>66511913594</v>
      </c>
      <c r="T86" s="124">
        <f>SUM(F84:F86)</f>
        <v>45148663444</v>
      </c>
      <c r="U86" s="124">
        <f>SUM(J84:J86)</f>
        <v>57086131.844099998</v>
      </c>
      <c r="W86" s="124">
        <f t="shared" si="21"/>
        <v>35899578.988049999</v>
      </c>
      <c r="X86">
        <f t="shared" si="22"/>
        <v>0</v>
      </c>
    </row>
    <row r="87" spans="1:24">
      <c r="A87" s="23" t="s">
        <v>92</v>
      </c>
      <c r="B87" s="35" t="s">
        <v>93</v>
      </c>
      <c r="C87" s="125">
        <v>654</v>
      </c>
      <c r="D87" s="147" t="s">
        <v>564</v>
      </c>
      <c r="E87" s="116"/>
      <c r="F87" s="134"/>
      <c r="G87" s="117"/>
      <c r="H87" s="98" t="s">
        <v>588</v>
      </c>
      <c r="I87" s="136"/>
      <c r="J87" s="134"/>
      <c r="K87" s="120"/>
      <c r="L87" s="122">
        <f t="shared" si="16"/>
        <v>0</v>
      </c>
      <c r="M87" s="116">
        <f t="shared" si="17"/>
        <v>0</v>
      </c>
      <c r="N87" s="123">
        <f t="shared" si="18"/>
        <v>0</v>
      </c>
      <c r="O87" s="5"/>
      <c r="P87" s="5">
        <f t="shared" si="19"/>
        <v>0</v>
      </c>
      <c r="Q87" s="7">
        <f t="shared" si="20"/>
        <v>0</v>
      </c>
      <c r="W87" s="124">
        <f t="shared" si="21"/>
        <v>0</v>
      </c>
      <c r="X87">
        <f t="shared" si="22"/>
        <v>0</v>
      </c>
    </row>
    <row r="88" spans="1:24">
      <c r="A88" s="23" t="s">
        <v>94</v>
      </c>
      <c r="B88" s="35" t="s">
        <v>93</v>
      </c>
      <c r="C88" s="125">
        <v>12455</v>
      </c>
      <c r="D88" s="132">
        <v>1380127232</v>
      </c>
      <c r="E88" s="116">
        <f t="shared" ref="E88:E93" si="26">(D88/C88)</f>
        <v>110809.0912886391</v>
      </c>
      <c r="F88" s="134">
        <v>951180634</v>
      </c>
      <c r="G88" s="117">
        <f t="shared" ref="G88:G93" si="27">(F88/C88)</f>
        <v>76369.380489763149</v>
      </c>
      <c r="H88" s="7"/>
      <c r="I88" s="136">
        <v>4.9000000000000004</v>
      </c>
      <c r="J88" s="134">
        <v>4660785.1066000005</v>
      </c>
      <c r="K88" s="120">
        <f t="shared" ref="K88:K93" si="28">(J88/C88)</f>
        <v>374.20996439983946</v>
      </c>
      <c r="L88" s="122">
        <f t="shared" si="16"/>
        <v>9511806.3399999999</v>
      </c>
      <c r="M88" s="116">
        <f t="shared" si="17"/>
        <v>4851021.2333999993</v>
      </c>
      <c r="N88" s="123">
        <f t="shared" si="18"/>
        <v>389.48384049779202</v>
      </c>
      <c r="O88" s="5"/>
      <c r="P88" s="5">
        <f t="shared" si="19"/>
        <v>1</v>
      </c>
      <c r="Q88" s="7">
        <f t="shared" si="20"/>
        <v>12455</v>
      </c>
      <c r="S88" s="124">
        <f>SUM(D87:D88)</f>
        <v>1380127232</v>
      </c>
      <c r="T88" s="124">
        <f>SUM(F87:F88)</f>
        <v>951180634</v>
      </c>
      <c r="U88" s="124">
        <f>SUM(J87:J88)</f>
        <v>4660785.1066000005</v>
      </c>
      <c r="W88" s="124">
        <f t="shared" si="21"/>
        <v>4660785.1066000005</v>
      </c>
      <c r="X88">
        <f t="shared" si="22"/>
        <v>0</v>
      </c>
    </row>
    <row r="89" spans="1:24">
      <c r="A89" s="23" t="s">
        <v>95</v>
      </c>
      <c r="B89" s="37" t="s">
        <v>575</v>
      </c>
      <c r="C89" s="125">
        <v>7608</v>
      </c>
      <c r="D89" s="132">
        <v>534870601</v>
      </c>
      <c r="E89" s="116">
        <f t="shared" si="26"/>
        <v>70303.70675604626</v>
      </c>
      <c r="F89" s="134">
        <v>259385267</v>
      </c>
      <c r="G89" s="117">
        <f t="shared" si="27"/>
        <v>34093.752234490014</v>
      </c>
      <c r="H89" s="8"/>
      <c r="I89" s="136">
        <v>7.9</v>
      </c>
      <c r="J89" s="134">
        <v>2049143.6093000001</v>
      </c>
      <c r="K89" s="120">
        <f t="shared" si="28"/>
        <v>269.3406426524711</v>
      </c>
      <c r="L89" s="122">
        <f t="shared" si="16"/>
        <v>2593852.67</v>
      </c>
      <c r="M89" s="116">
        <f t="shared" si="17"/>
        <v>544709.0606999998</v>
      </c>
      <c r="N89" s="123">
        <f t="shared" si="18"/>
        <v>71.596879692428999</v>
      </c>
      <c r="O89" s="5"/>
      <c r="P89" s="5">
        <f t="shared" si="19"/>
        <v>1</v>
      </c>
      <c r="Q89" s="7">
        <f t="shared" si="20"/>
        <v>7608</v>
      </c>
      <c r="S89" s="124">
        <f>SUM(D89)</f>
        <v>534870601</v>
      </c>
      <c r="T89" s="124">
        <f>SUM(F89)</f>
        <v>259385267</v>
      </c>
      <c r="U89" s="124">
        <f>SUM(J89)</f>
        <v>2049143.6093000001</v>
      </c>
      <c r="W89" s="124">
        <f t="shared" si="21"/>
        <v>2049143.6093000001</v>
      </c>
      <c r="X89">
        <f t="shared" si="22"/>
        <v>0</v>
      </c>
    </row>
    <row r="90" spans="1:24">
      <c r="A90" s="23" t="s">
        <v>96</v>
      </c>
      <c r="B90" s="35" t="s">
        <v>97</v>
      </c>
      <c r="C90" s="125">
        <v>1717</v>
      </c>
      <c r="D90" s="132">
        <v>86305463</v>
      </c>
      <c r="E90" s="116">
        <f t="shared" si="26"/>
        <v>50265.266744321489</v>
      </c>
      <c r="F90" s="134">
        <v>41126164</v>
      </c>
      <c r="G90" s="117">
        <f t="shared" si="27"/>
        <v>23952.337798485732</v>
      </c>
      <c r="H90" s="8"/>
      <c r="I90" s="136">
        <v>4.93</v>
      </c>
      <c r="J90" s="134">
        <v>202751.98851999998</v>
      </c>
      <c r="K90" s="120">
        <f t="shared" si="28"/>
        <v>118.08502534653465</v>
      </c>
      <c r="L90" s="122">
        <f t="shared" si="16"/>
        <v>411261.64</v>
      </c>
      <c r="M90" s="116">
        <f t="shared" si="17"/>
        <v>208509.65148000003</v>
      </c>
      <c r="N90" s="123">
        <f t="shared" si="18"/>
        <v>121.43835263832267</v>
      </c>
      <c r="O90" s="5"/>
      <c r="P90" s="5">
        <f t="shared" si="19"/>
        <v>1</v>
      </c>
      <c r="Q90" s="7">
        <f t="shared" si="20"/>
        <v>1717</v>
      </c>
      <c r="W90" s="124">
        <f t="shared" si="21"/>
        <v>202751.98851999998</v>
      </c>
      <c r="X90">
        <f t="shared" si="22"/>
        <v>0</v>
      </c>
    </row>
    <row r="91" spans="1:24">
      <c r="A91" s="23" t="s">
        <v>98</v>
      </c>
      <c r="B91" s="35" t="s">
        <v>97</v>
      </c>
      <c r="C91" s="125">
        <v>165</v>
      </c>
      <c r="D91" s="132">
        <v>71897656</v>
      </c>
      <c r="E91" s="116">
        <f t="shared" si="26"/>
        <v>435743.36969696969</v>
      </c>
      <c r="F91" s="134">
        <v>56784854</v>
      </c>
      <c r="G91" s="117">
        <f t="shared" si="27"/>
        <v>344150.63030303031</v>
      </c>
      <c r="H91" s="9"/>
      <c r="I91" s="150">
        <v>2</v>
      </c>
      <c r="J91" s="134">
        <v>113569.708</v>
      </c>
      <c r="K91" s="120">
        <f t="shared" si="28"/>
        <v>688.30126060606062</v>
      </c>
      <c r="L91" s="122">
        <f t="shared" si="16"/>
        <v>567848.54</v>
      </c>
      <c r="M91" s="116">
        <f t="shared" si="17"/>
        <v>454278.83200000005</v>
      </c>
      <c r="N91" s="123">
        <f t="shared" si="18"/>
        <v>2753.2050424242429</v>
      </c>
      <c r="O91" s="5"/>
      <c r="P91" s="5">
        <f t="shared" si="19"/>
        <v>1</v>
      </c>
      <c r="Q91" s="7">
        <f t="shared" si="20"/>
        <v>165</v>
      </c>
      <c r="S91" s="124">
        <f>SUM(D90:D91)</f>
        <v>158203119</v>
      </c>
      <c r="T91" s="124">
        <f>SUM(F90:F91)</f>
        <v>97911018</v>
      </c>
      <c r="U91" s="124">
        <f>SUM(J90:J91)</f>
        <v>316321.69652</v>
      </c>
      <c r="W91" s="124">
        <f t="shared" si="21"/>
        <v>113569.708</v>
      </c>
      <c r="X91">
        <f t="shared" si="22"/>
        <v>0</v>
      </c>
    </row>
    <row r="92" spans="1:24">
      <c r="A92" s="23" t="s">
        <v>99</v>
      </c>
      <c r="B92" s="35" t="s">
        <v>100</v>
      </c>
      <c r="C92" s="125">
        <v>13500</v>
      </c>
      <c r="D92" s="132">
        <v>3905580783</v>
      </c>
      <c r="E92" s="116">
        <f t="shared" si="26"/>
        <v>289302.28022222221</v>
      </c>
      <c r="F92" s="134">
        <v>2401914148</v>
      </c>
      <c r="G92" s="117">
        <f t="shared" si="27"/>
        <v>177919.56651851852</v>
      </c>
      <c r="H92" s="9"/>
      <c r="I92" s="136">
        <v>3.1034999999999999</v>
      </c>
      <c r="J92" s="134">
        <v>7454340.5583180003</v>
      </c>
      <c r="K92" s="120">
        <f t="shared" si="28"/>
        <v>552.1733746902222</v>
      </c>
      <c r="L92" s="122">
        <f t="shared" si="16"/>
        <v>24019141.48</v>
      </c>
      <c r="M92" s="116">
        <f t="shared" si="17"/>
        <v>16564800.921682</v>
      </c>
      <c r="N92" s="123">
        <f t="shared" si="18"/>
        <v>1227.022290494963</v>
      </c>
      <c r="O92" s="5"/>
      <c r="P92" s="5">
        <f t="shared" si="19"/>
        <v>1</v>
      </c>
      <c r="Q92" s="7">
        <f t="shared" si="20"/>
        <v>13500</v>
      </c>
      <c r="W92" s="124">
        <f t="shared" si="21"/>
        <v>7454340.5583179994</v>
      </c>
      <c r="X92">
        <f t="shared" si="22"/>
        <v>0</v>
      </c>
    </row>
    <row r="93" spans="1:24">
      <c r="A93" s="23" t="s">
        <v>101</v>
      </c>
      <c r="B93" s="35" t="s">
        <v>100</v>
      </c>
      <c r="C93" s="125">
        <v>1403</v>
      </c>
      <c r="D93" s="132">
        <v>118095035</v>
      </c>
      <c r="E93" s="116">
        <f t="shared" si="26"/>
        <v>84173.225231646473</v>
      </c>
      <c r="F93" s="134">
        <v>60121418</v>
      </c>
      <c r="G93" s="117">
        <f t="shared" si="27"/>
        <v>42852.044191019246</v>
      </c>
      <c r="H93" s="9"/>
      <c r="I93" s="136">
        <v>2.3732000000000002</v>
      </c>
      <c r="J93" s="134">
        <v>142680.1491976</v>
      </c>
      <c r="K93" s="120">
        <f t="shared" si="28"/>
        <v>101.69647127412686</v>
      </c>
      <c r="L93" s="122">
        <f t="shared" si="16"/>
        <v>601214.18000000005</v>
      </c>
      <c r="M93" s="116">
        <f t="shared" si="17"/>
        <v>458534.03080240008</v>
      </c>
      <c r="N93" s="123">
        <f t="shared" si="18"/>
        <v>326.82397063606561</v>
      </c>
      <c r="O93" s="5"/>
      <c r="P93" s="5">
        <f t="shared" si="19"/>
        <v>1</v>
      </c>
      <c r="Q93" s="7">
        <f t="shared" si="20"/>
        <v>1403</v>
      </c>
      <c r="W93" s="124">
        <f t="shared" si="21"/>
        <v>142680.14919760003</v>
      </c>
      <c r="X93">
        <f t="shared" si="22"/>
        <v>0</v>
      </c>
    </row>
    <row r="94" spans="1:24">
      <c r="A94" s="23" t="s">
        <v>102</v>
      </c>
      <c r="B94" s="35" t="s">
        <v>100</v>
      </c>
      <c r="C94" s="125">
        <v>987247</v>
      </c>
      <c r="D94" s="155" t="s">
        <v>634</v>
      </c>
      <c r="E94" s="116"/>
      <c r="F94" s="134"/>
      <c r="G94" s="117"/>
      <c r="H94" s="9"/>
      <c r="I94" s="136"/>
      <c r="J94" s="134"/>
      <c r="K94" s="120"/>
      <c r="L94" s="122">
        <f t="shared" si="16"/>
        <v>0</v>
      </c>
      <c r="M94" s="116">
        <f t="shared" si="17"/>
        <v>0</v>
      </c>
      <c r="N94" s="123">
        <f t="shared" si="18"/>
        <v>0</v>
      </c>
      <c r="O94" s="5"/>
      <c r="P94" s="5">
        <f t="shared" si="19"/>
        <v>0</v>
      </c>
      <c r="Q94" s="7">
        <f t="shared" si="20"/>
        <v>0</v>
      </c>
      <c r="W94" s="124">
        <f t="shared" si="21"/>
        <v>0</v>
      </c>
      <c r="X94">
        <f t="shared" si="22"/>
        <v>0</v>
      </c>
    </row>
    <row r="95" spans="1:24">
      <c r="A95" s="23" t="s">
        <v>103</v>
      </c>
      <c r="B95" s="35" t="s">
        <v>100</v>
      </c>
      <c r="C95" s="125">
        <v>24112</v>
      </c>
      <c r="D95" s="132">
        <v>7507904083</v>
      </c>
      <c r="E95" s="116">
        <f t="shared" ref="E95:E132" si="29">(D95/C95)</f>
        <v>311376.24763603183</v>
      </c>
      <c r="F95" s="134">
        <v>4773052572</v>
      </c>
      <c r="G95" s="117">
        <f t="shared" ref="G95:G132" si="30">(F95/C95)</f>
        <v>197953.40792966157</v>
      </c>
      <c r="H95" s="9"/>
      <c r="I95" s="136">
        <v>3.9946999999999999</v>
      </c>
      <c r="J95" s="134">
        <v>19066913.109368399</v>
      </c>
      <c r="K95" s="120">
        <f t="shared" ref="K95:K132" si="31">(J95/C95)</f>
        <v>790.76447865661908</v>
      </c>
      <c r="L95" s="122">
        <f t="shared" si="16"/>
        <v>47730525.719999999</v>
      </c>
      <c r="M95" s="116">
        <f t="shared" si="17"/>
        <v>28663612.6106316</v>
      </c>
      <c r="N95" s="123">
        <f t="shared" si="18"/>
        <v>1188.7696006399967</v>
      </c>
      <c r="O95" s="5"/>
      <c r="P95" s="5">
        <f t="shared" si="19"/>
        <v>1</v>
      </c>
      <c r="Q95" s="7">
        <f t="shared" si="20"/>
        <v>24112</v>
      </c>
      <c r="W95" s="124">
        <f t="shared" si="21"/>
        <v>19066913.109368403</v>
      </c>
      <c r="X95">
        <f t="shared" si="22"/>
        <v>0</v>
      </c>
    </row>
    <row r="96" spans="1:24">
      <c r="A96" s="23" t="s">
        <v>104</v>
      </c>
      <c r="B96" s="35" t="s">
        <v>100</v>
      </c>
      <c r="C96" s="125">
        <v>7271</v>
      </c>
      <c r="D96" s="132">
        <v>1888805959</v>
      </c>
      <c r="E96" s="116">
        <f t="shared" si="29"/>
        <v>259772.51533489203</v>
      </c>
      <c r="F96" s="134">
        <v>1129994066</v>
      </c>
      <c r="G96" s="117">
        <f t="shared" si="30"/>
        <v>155411.09420987483</v>
      </c>
      <c r="H96" s="7"/>
      <c r="I96" s="136">
        <v>3.3656000000000001</v>
      </c>
      <c r="J96" s="134">
        <v>3803108.0285296002</v>
      </c>
      <c r="K96" s="120">
        <f t="shared" si="31"/>
        <v>523.05157867275477</v>
      </c>
      <c r="L96" s="122">
        <f t="shared" si="16"/>
        <v>11299940.66</v>
      </c>
      <c r="M96" s="116">
        <f t="shared" si="17"/>
        <v>7496832.6314703999</v>
      </c>
      <c r="N96" s="123">
        <f t="shared" si="18"/>
        <v>1031.0593634259938</v>
      </c>
      <c r="O96" s="5"/>
      <c r="P96" s="5">
        <f t="shared" si="19"/>
        <v>1</v>
      </c>
      <c r="Q96" s="7">
        <f t="shared" si="20"/>
        <v>7271</v>
      </c>
      <c r="S96" s="124">
        <f>SUM(D92:D96)</f>
        <v>13420385860</v>
      </c>
      <c r="T96" s="124">
        <f>SUM(F92:F96)</f>
        <v>8365082204</v>
      </c>
      <c r="U96" s="124">
        <f>SUM(J92:J96)</f>
        <v>30467041.845413599</v>
      </c>
      <c r="W96" s="124">
        <f t="shared" si="21"/>
        <v>3803108.0285296002</v>
      </c>
      <c r="X96">
        <f t="shared" si="22"/>
        <v>0</v>
      </c>
    </row>
    <row r="97" spans="1:24">
      <c r="A97" s="23" t="s">
        <v>105</v>
      </c>
      <c r="B97" s="35" t="s">
        <v>106</v>
      </c>
      <c r="C97" s="125">
        <v>1711</v>
      </c>
      <c r="D97" s="132">
        <v>85039892</v>
      </c>
      <c r="E97" s="116">
        <f t="shared" si="29"/>
        <v>49701.86557568673</v>
      </c>
      <c r="F97" s="134">
        <v>49454296</v>
      </c>
      <c r="G97" s="117">
        <f t="shared" si="30"/>
        <v>28903.738164815899</v>
      </c>
      <c r="H97" s="7"/>
      <c r="I97" s="136">
        <v>0.9204</v>
      </c>
      <c r="J97" s="134">
        <v>45517.734038400005</v>
      </c>
      <c r="K97" s="120">
        <f t="shared" si="31"/>
        <v>26.603000606896554</v>
      </c>
      <c r="L97" s="122">
        <f t="shared" si="16"/>
        <v>494542.96</v>
      </c>
      <c r="M97" s="116">
        <f t="shared" si="17"/>
        <v>449025.22596160002</v>
      </c>
      <c r="N97" s="123">
        <f t="shared" si="18"/>
        <v>262.43438104126244</v>
      </c>
      <c r="O97" s="5"/>
      <c r="P97" s="5">
        <f t="shared" si="19"/>
        <v>1</v>
      </c>
      <c r="Q97" s="7">
        <f t="shared" si="20"/>
        <v>1711</v>
      </c>
      <c r="W97" s="124">
        <f t="shared" si="21"/>
        <v>45517.734038400005</v>
      </c>
      <c r="X97">
        <f t="shared" si="22"/>
        <v>0</v>
      </c>
    </row>
    <row r="98" spans="1:24">
      <c r="A98" s="23" t="s">
        <v>107</v>
      </c>
      <c r="B98" s="35" t="s">
        <v>106</v>
      </c>
      <c r="C98" s="125">
        <v>54772</v>
      </c>
      <c r="D98" s="132">
        <v>8952231804</v>
      </c>
      <c r="E98" s="116">
        <f t="shared" si="29"/>
        <v>163445.40648506535</v>
      </c>
      <c r="F98" s="134">
        <v>5262159918</v>
      </c>
      <c r="G98" s="117">
        <f t="shared" si="30"/>
        <v>96073.904878405025</v>
      </c>
      <c r="H98" s="7"/>
      <c r="I98" s="136">
        <v>4.2895000000000003</v>
      </c>
      <c r="J98" s="134">
        <v>22572034.968261</v>
      </c>
      <c r="K98" s="120">
        <f t="shared" si="31"/>
        <v>412.10901497591834</v>
      </c>
      <c r="L98" s="122">
        <f t="shared" si="16"/>
        <v>52621599.18</v>
      </c>
      <c r="M98" s="116">
        <f t="shared" si="17"/>
        <v>30049564.211739</v>
      </c>
      <c r="N98" s="123">
        <f t="shared" si="18"/>
        <v>548.63003380813188</v>
      </c>
      <c r="O98" s="5"/>
      <c r="P98" s="5">
        <f t="shared" si="19"/>
        <v>1</v>
      </c>
      <c r="Q98" s="7">
        <f t="shared" si="20"/>
        <v>54772</v>
      </c>
      <c r="S98" s="124">
        <f>SUM(D97:D98)</f>
        <v>9037271696</v>
      </c>
      <c r="T98" s="124">
        <f>SUM(F97:F98)</f>
        <v>5311614214</v>
      </c>
      <c r="U98" s="124">
        <f>SUM(J97:J98)</f>
        <v>22617552.702299401</v>
      </c>
      <c r="W98" s="124">
        <f t="shared" si="21"/>
        <v>22572034.968261</v>
      </c>
      <c r="X98">
        <f t="shared" si="22"/>
        <v>0</v>
      </c>
    </row>
    <row r="99" spans="1:24">
      <c r="A99" s="23" t="s">
        <v>108</v>
      </c>
      <c r="B99" s="35" t="s">
        <v>109</v>
      </c>
      <c r="C99" s="125">
        <v>490</v>
      </c>
      <c r="D99" s="132">
        <v>153936273</v>
      </c>
      <c r="E99" s="116">
        <f t="shared" si="29"/>
        <v>314155.65918367344</v>
      </c>
      <c r="F99" s="134">
        <v>101896653</v>
      </c>
      <c r="G99" s="117">
        <f t="shared" si="30"/>
        <v>207952.35306122448</v>
      </c>
      <c r="H99" s="7"/>
      <c r="I99" s="136">
        <v>1.2274</v>
      </c>
      <c r="J99" s="134">
        <v>125067.95189220001</v>
      </c>
      <c r="K99" s="120">
        <f t="shared" si="31"/>
        <v>255.24071814734697</v>
      </c>
      <c r="L99" s="122">
        <f t="shared" si="16"/>
        <v>1018966.53</v>
      </c>
      <c r="M99" s="116">
        <f t="shared" si="17"/>
        <v>893898.57810779999</v>
      </c>
      <c r="N99" s="123">
        <f t="shared" si="18"/>
        <v>1824.2828124648979</v>
      </c>
      <c r="O99" s="5"/>
      <c r="P99" s="5">
        <f t="shared" si="19"/>
        <v>1</v>
      </c>
      <c r="Q99" s="7">
        <f t="shared" si="20"/>
        <v>490</v>
      </c>
      <c r="W99" s="124">
        <f t="shared" si="21"/>
        <v>125067.9518922</v>
      </c>
      <c r="X99">
        <f t="shared" si="22"/>
        <v>0</v>
      </c>
    </row>
    <row r="100" spans="1:24">
      <c r="A100" s="23" t="s">
        <v>110</v>
      </c>
      <c r="B100" s="35" t="s">
        <v>109</v>
      </c>
      <c r="C100" s="125">
        <v>3752</v>
      </c>
      <c r="D100" s="132">
        <v>708691407</v>
      </c>
      <c r="E100" s="116">
        <f t="shared" si="29"/>
        <v>188883.63726012793</v>
      </c>
      <c r="F100" s="134">
        <v>311548065</v>
      </c>
      <c r="G100" s="117">
        <f t="shared" si="30"/>
        <v>83035.198560767589</v>
      </c>
      <c r="H100" s="7"/>
      <c r="I100" s="136">
        <v>7.43</v>
      </c>
      <c r="J100" s="134">
        <v>2314802.1229499998</v>
      </c>
      <c r="K100" s="120">
        <f t="shared" si="31"/>
        <v>616.95152530650319</v>
      </c>
      <c r="L100" s="122">
        <f t="shared" si="16"/>
        <v>3115480.65</v>
      </c>
      <c r="M100" s="116">
        <f t="shared" si="17"/>
        <v>800678.52705000015</v>
      </c>
      <c r="N100" s="123">
        <f t="shared" si="18"/>
        <v>213.40046030117276</v>
      </c>
      <c r="O100" s="5"/>
      <c r="P100" s="5">
        <f t="shared" si="19"/>
        <v>1</v>
      </c>
      <c r="Q100" s="7">
        <f t="shared" si="20"/>
        <v>3752</v>
      </c>
      <c r="W100" s="124">
        <f t="shared" si="21"/>
        <v>2314802.1229500002</v>
      </c>
      <c r="X100">
        <f t="shared" si="22"/>
        <v>0</v>
      </c>
    </row>
    <row r="101" spans="1:24">
      <c r="A101" s="23" t="s">
        <v>447</v>
      </c>
      <c r="B101" s="35" t="s">
        <v>109</v>
      </c>
      <c r="C101" s="125">
        <v>96504</v>
      </c>
      <c r="D101" s="132">
        <v>14365047150</v>
      </c>
      <c r="E101" s="116">
        <f t="shared" si="29"/>
        <v>148854.42209649342</v>
      </c>
      <c r="F101" s="134">
        <v>7645411705</v>
      </c>
      <c r="G101" s="117">
        <f t="shared" si="30"/>
        <v>79223.780413247121</v>
      </c>
      <c r="H101" s="9"/>
      <c r="I101" s="136">
        <v>4.6100000000000003</v>
      </c>
      <c r="J101" s="134">
        <v>35245347.960050002</v>
      </c>
      <c r="K101" s="120">
        <f t="shared" si="31"/>
        <v>365.22162770506924</v>
      </c>
      <c r="L101" s="122">
        <f t="shared" si="16"/>
        <v>76454117.049999997</v>
      </c>
      <c r="M101" s="116">
        <f t="shared" si="17"/>
        <v>41208769.089949995</v>
      </c>
      <c r="N101" s="123">
        <f t="shared" si="18"/>
        <v>427.01617642740194</v>
      </c>
      <c r="O101" s="5"/>
      <c r="P101" s="5">
        <f t="shared" si="19"/>
        <v>1</v>
      </c>
      <c r="Q101" s="7">
        <f t="shared" si="20"/>
        <v>96504</v>
      </c>
      <c r="W101" s="124">
        <f t="shared" si="21"/>
        <v>35245347.960050002</v>
      </c>
      <c r="X101">
        <f t="shared" si="22"/>
        <v>0</v>
      </c>
    </row>
    <row r="102" spans="1:24">
      <c r="A102" s="23" t="s">
        <v>111</v>
      </c>
      <c r="B102" s="35" t="s">
        <v>557</v>
      </c>
      <c r="C102" s="125">
        <v>15</v>
      </c>
      <c r="D102" s="132">
        <v>19891709</v>
      </c>
      <c r="E102" s="116">
        <f t="shared" si="29"/>
        <v>1326113.9333333333</v>
      </c>
      <c r="F102" s="134">
        <v>12664250</v>
      </c>
      <c r="G102" s="117">
        <f t="shared" si="30"/>
        <v>844283.33333333337</v>
      </c>
      <c r="H102" s="7"/>
      <c r="I102" s="136">
        <v>10</v>
      </c>
      <c r="J102" s="134">
        <v>126642.5</v>
      </c>
      <c r="K102" s="120">
        <f t="shared" si="31"/>
        <v>8442.8333333333339</v>
      </c>
      <c r="L102" s="122">
        <f t="shared" si="16"/>
        <v>126642.5</v>
      </c>
      <c r="M102" s="116">
        <f t="shared" si="17"/>
        <v>0</v>
      </c>
      <c r="N102" s="123">
        <f t="shared" si="18"/>
        <v>0</v>
      </c>
      <c r="O102" s="5"/>
      <c r="P102" s="5">
        <f t="shared" si="19"/>
        <v>1</v>
      </c>
      <c r="Q102" s="7">
        <f t="shared" si="20"/>
        <v>15</v>
      </c>
      <c r="W102" s="124">
        <f t="shared" si="21"/>
        <v>126642.5</v>
      </c>
      <c r="X102">
        <f t="shared" si="22"/>
        <v>0</v>
      </c>
    </row>
    <row r="103" spans="1:24">
      <c r="A103" s="23" t="s">
        <v>112</v>
      </c>
      <c r="B103" s="35" t="s">
        <v>113</v>
      </c>
      <c r="C103" s="125">
        <v>5254</v>
      </c>
      <c r="D103" s="132">
        <f>(1544397645+17906590)</f>
        <v>1562304235</v>
      </c>
      <c r="E103" s="116">
        <f t="shared" si="29"/>
        <v>297355.20270270272</v>
      </c>
      <c r="F103" s="134">
        <f>(962827428+11370568)</f>
        <v>974197996</v>
      </c>
      <c r="G103" s="117">
        <f t="shared" si="30"/>
        <v>185420.25047582795</v>
      </c>
      <c r="H103" s="7"/>
      <c r="I103" s="136">
        <v>5.45</v>
      </c>
      <c r="J103" s="134">
        <f>(5247409.4826+61969.5956)</f>
        <v>5309379.0781999994</v>
      </c>
      <c r="K103" s="120">
        <f t="shared" si="31"/>
        <v>1010.5403650932622</v>
      </c>
      <c r="L103" s="122">
        <f t="shared" si="16"/>
        <v>9741979.9600000009</v>
      </c>
      <c r="M103" s="116">
        <f t="shared" si="17"/>
        <v>4432600.8818000015</v>
      </c>
      <c r="N103" s="123">
        <f t="shared" si="18"/>
        <v>843.66213966501743</v>
      </c>
      <c r="O103" s="5"/>
      <c r="P103" s="5">
        <f t="shared" si="19"/>
        <v>1</v>
      </c>
      <c r="Q103" s="7">
        <f t="shared" si="20"/>
        <v>5254</v>
      </c>
      <c r="S103" s="124">
        <f>SUM(D99:D103)</f>
        <v>16809870774</v>
      </c>
      <c r="T103" s="124">
        <f>SUM(F99:F103)</f>
        <v>9045718669</v>
      </c>
      <c r="U103" s="124">
        <f>SUM(J99:J103)</f>
        <v>43121239.613092199</v>
      </c>
      <c r="W103" s="124">
        <f t="shared" si="21"/>
        <v>5309379.0782000003</v>
      </c>
      <c r="X103">
        <f t="shared" si="22"/>
        <v>0</v>
      </c>
    </row>
    <row r="104" spans="1:24">
      <c r="A104" s="23" t="s">
        <v>114</v>
      </c>
      <c r="B104" s="35" t="s">
        <v>115</v>
      </c>
      <c r="C104" s="125">
        <v>2380</v>
      </c>
      <c r="D104" s="132">
        <v>343982292</v>
      </c>
      <c r="E104" s="116">
        <f t="shared" si="29"/>
        <v>144530.37478991598</v>
      </c>
      <c r="F104" s="134">
        <v>204925002</v>
      </c>
      <c r="G104" s="117">
        <f t="shared" si="30"/>
        <v>86102.94201680673</v>
      </c>
      <c r="H104" s="9"/>
      <c r="I104" s="150">
        <v>8.3457000000000008</v>
      </c>
      <c r="J104" s="134">
        <v>1710242.5891914</v>
      </c>
      <c r="K104" s="120">
        <f t="shared" si="31"/>
        <v>718.5893231896639</v>
      </c>
      <c r="L104" s="122">
        <f t="shared" si="16"/>
        <v>2049250.02</v>
      </c>
      <c r="M104" s="116">
        <f t="shared" si="17"/>
        <v>339007.43080860004</v>
      </c>
      <c r="N104" s="123">
        <f t="shared" si="18"/>
        <v>142.44009697840337</v>
      </c>
      <c r="O104" s="5"/>
      <c r="P104" s="5">
        <f t="shared" si="19"/>
        <v>1</v>
      </c>
      <c r="Q104" s="7">
        <f t="shared" si="20"/>
        <v>2380</v>
      </c>
      <c r="W104" s="124">
        <f t="shared" si="21"/>
        <v>1710242.5891914002</v>
      </c>
      <c r="X104">
        <f t="shared" si="22"/>
        <v>0</v>
      </c>
    </row>
    <row r="105" spans="1:24">
      <c r="A105" s="23" t="s">
        <v>116</v>
      </c>
      <c r="B105" s="35" t="s">
        <v>115</v>
      </c>
      <c r="C105" s="125">
        <v>2818</v>
      </c>
      <c r="D105" s="132">
        <v>226602650</v>
      </c>
      <c r="E105" s="116">
        <f t="shared" si="29"/>
        <v>80412.579843860891</v>
      </c>
      <c r="F105" s="134">
        <v>156432681</v>
      </c>
      <c r="G105" s="117">
        <f t="shared" si="30"/>
        <v>55511.952093683467</v>
      </c>
      <c r="H105" s="9"/>
      <c r="I105" s="136">
        <v>7.25</v>
      </c>
      <c r="J105" s="134">
        <v>1134136.93725</v>
      </c>
      <c r="K105" s="120">
        <f t="shared" si="31"/>
        <v>402.46165267920509</v>
      </c>
      <c r="L105" s="122">
        <f t="shared" si="16"/>
        <v>1564326.81</v>
      </c>
      <c r="M105" s="116">
        <f t="shared" si="17"/>
        <v>430189.8727500001</v>
      </c>
      <c r="N105" s="123">
        <f t="shared" si="18"/>
        <v>152.65786825762956</v>
      </c>
      <c r="O105" s="5"/>
      <c r="P105" s="5">
        <f t="shared" si="19"/>
        <v>1</v>
      </c>
      <c r="Q105" s="7">
        <f t="shared" si="20"/>
        <v>2818</v>
      </c>
      <c r="S105" s="124">
        <f>SUM(D104:D105)</f>
        <v>570584942</v>
      </c>
      <c r="T105" s="124">
        <f>SUM(F104:F105)</f>
        <v>361357683</v>
      </c>
      <c r="U105" s="124">
        <f>SUM(J104:J105)</f>
        <v>2844379.5264413999</v>
      </c>
      <c r="W105" s="124">
        <f t="shared" si="21"/>
        <v>1134136.93725</v>
      </c>
      <c r="X105">
        <f t="shared" si="22"/>
        <v>0</v>
      </c>
    </row>
    <row r="106" spans="1:24">
      <c r="A106" s="23" t="s">
        <v>117</v>
      </c>
      <c r="B106" s="35" t="s">
        <v>118</v>
      </c>
      <c r="C106" s="125">
        <v>2744</v>
      </c>
      <c r="D106" s="132">
        <v>227312237</v>
      </c>
      <c r="E106" s="116">
        <f t="shared" si="29"/>
        <v>82839.736516034987</v>
      </c>
      <c r="F106" s="134">
        <v>35359568</v>
      </c>
      <c r="G106" s="117">
        <f t="shared" si="30"/>
        <v>12886.139941690963</v>
      </c>
      <c r="H106" s="7"/>
      <c r="I106" s="136">
        <v>3</v>
      </c>
      <c r="J106" s="134">
        <v>106078.704</v>
      </c>
      <c r="K106" s="120">
        <f t="shared" si="31"/>
        <v>38.658419825072883</v>
      </c>
      <c r="L106" s="122">
        <f t="shared" si="16"/>
        <v>353595.68</v>
      </c>
      <c r="M106" s="116">
        <f t="shared" si="17"/>
        <v>247516.976</v>
      </c>
      <c r="N106" s="123">
        <f t="shared" si="18"/>
        <v>90.202979591836737</v>
      </c>
      <c r="O106" s="5"/>
      <c r="P106" s="5">
        <f t="shared" si="19"/>
        <v>1</v>
      </c>
      <c r="Q106" s="7">
        <f t="shared" si="20"/>
        <v>2744</v>
      </c>
      <c r="W106" s="124">
        <f t="shared" si="21"/>
        <v>106078.704</v>
      </c>
      <c r="X106">
        <f t="shared" si="22"/>
        <v>0</v>
      </c>
    </row>
    <row r="107" spans="1:24">
      <c r="A107" s="23" t="s">
        <v>119</v>
      </c>
      <c r="B107" s="35" t="s">
        <v>118</v>
      </c>
      <c r="C107" s="125">
        <v>467</v>
      </c>
      <c r="D107" s="132">
        <v>26918893</v>
      </c>
      <c r="E107" s="116">
        <f t="shared" si="29"/>
        <v>57642.169164882223</v>
      </c>
      <c r="F107" s="134">
        <v>9450217</v>
      </c>
      <c r="G107" s="117">
        <f t="shared" si="30"/>
        <v>20236.010706638117</v>
      </c>
      <c r="H107" s="7"/>
      <c r="I107" s="136">
        <v>5</v>
      </c>
      <c r="J107" s="134">
        <v>47251.084999999999</v>
      </c>
      <c r="K107" s="120">
        <f t="shared" si="31"/>
        <v>101.18005353319057</v>
      </c>
      <c r="L107" s="122">
        <f t="shared" si="16"/>
        <v>94502.17</v>
      </c>
      <c r="M107" s="116">
        <f t="shared" si="17"/>
        <v>47251.084999999999</v>
      </c>
      <c r="N107" s="123">
        <f t="shared" si="18"/>
        <v>101.18005353319057</v>
      </c>
      <c r="O107" s="5"/>
      <c r="P107" s="5">
        <f t="shared" si="19"/>
        <v>1</v>
      </c>
      <c r="Q107" s="7">
        <f t="shared" si="20"/>
        <v>467</v>
      </c>
      <c r="W107" s="124">
        <f t="shared" si="21"/>
        <v>47251.084999999999</v>
      </c>
      <c r="X107">
        <f t="shared" si="22"/>
        <v>0</v>
      </c>
    </row>
    <row r="108" spans="1:24">
      <c r="A108" s="23" t="s">
        <v>120</v>
      </c>
      <c r="B108" s="35" t="s">
        <v>118</v>
      </c>
      <c r="C108" s="125">
        <v>1362</v>
      </c>
      <c r="D108" s="132">
        <v>59880803</v>
      </c>
      <c r="E108" s="116">
        <f t="shared" si="29"/>
        <v>43965.347283406758</v>
      </c>
      <c r="F108" s="134">
        <v>32375171</v>
      </c>
      <c r="G108" s="117">
        <f t="shared" si="30"/>
        <v>23770.31644640235</v>
      </c>
      <c r="H108" s="7"/>
      <c r="I108" s="136">
        <v>4.7030000000000003</v>
      </c>
      <c r="J108" s="134">
        <v>152260.429213</v>
      </c>
      <c r="K108" s="120">
        <f t="shared" si="31"/>
        <v>111.79179824743025</v>
      </c>
      <c r="L108" s="122">
        <f t="shared" si="16"/>
        <v>323751.71000000002</v>
      </c>
      <c r="M108" s="116">
        <f t="shared" si="17"/>
        <v>171491.28078700003</v>
      </c>
      <c r="N108" s="123">
        <f t="shared" si="18"/>
        <v>125.91136621659327</v>
      </c>
      <c r="O108" s="5"/>
      <c r="P108" s="5">
        <f t="shared" si="19"/>
        <v>1</v>
      </c>
      <c r="Q108" s="7">
        <f t="shared" si="20"/>
        <v>1362</v>
      </c>
      <c r="W108" s="124">
        <f t="shared" si="21"/>
        <v>152260.42921300002</v>
      </c>
      <c r="X108">
        <f t="shared" si="22"/>
        <v>0</v>
      </c>
    </row>
    <row r="109" spans="1:24">
      <c r="A109" s="23" t="s">
        <v>121</v>
      </c>
      <c r="B109" s="35" t="s">
        <v>118</v>
      </c>
      <c r="C109" s="125">
        <v>1777</v>
      </c>
      <c r="D109" s="132">
        <v>136613418</v>
      </c>
      <c r="E109" s="116">
        <f t="shared" si="29"/>
        <v>76878.682048396178</v>
      </c>
      <c r="F109" s="134">
        <v>83502511</v>
      </c>
      <c r="G109" s="117">
        <f t="shared" si="30"/>
        <v>46990.720877884072</v>
      </c>
      <c r="H109" s="7"/>
      <c r="I109" s="136">
        <v>2.25</v>
      </c>
      <c r="J109" s="134">
        <v>187880.64975000001</v>
      </c>
      <c r="K109" s="120">
        <f t="shared" si="31"/>
        <v>105.72912197523917</v>
      </c>
      <c r="L109" s="122">
        <f t="shared" si="16"/>
        <v>835025.11</v>
      </c>
      <c r="M109" s="116">
        <f t="shared" si="17"/>
        <v>647144.46025</v>
      </c>
      <c r="N109" s="123">
        <f t="shared" si="18"/>
        <v>364.17808680360156</v>
      </c>
      <c r="O109" s="5"/>
      <c r="P109" s="5">
        <f t="shared" si="19"/>
        <v>1</v>
      </c>
      <c r="Q109" s="7">
        <f t="shared" si="20"/>
        <v>1777</v>
      </c>
      <c r="W109" s="124">
        <f t="shared" si="21"/>
        <v>187880.64974999998</v>
      </c>
      <c r="X109">
        <f t="shared" si="22"/>
        <v>0</v>
      </c>
    </row>
    <row r="110" spans="1:24">
      <c r="A110" s="23" t="s">
        <v>122</v>
      </c>
      <c r="B110" s="35" t="s">
        <v>118</v>
      </c>
      <c r="C110" s="125">
        <v>3647</v>
      </c>
      <c r="D110" s="132">
        <v>335551990</v>
      </c>
      <c r="E110" s="116">
        <f t="shared" si="29"/>
        <v>92007.674801206478</v>
      </c>
      <c r="F110" s="134">
        <v>219544061</v>
      </c>
      <c r="G110" s="117">
        <f t="shared" si="30"/>
        <v>60198.536057033176</v>
      </c>
      <c r="H110" s="7"/>
      <c r="I110" s="136">
        <v>4.6839000000000004</v>
      </c>
      <c r="J110" s="134">
        <v>1028322.4273179001</v>
      </c>
      <c r="K110" s="120">
        <f t="shared" si="31"/>
        <v>281.96392303753771</v>
      </c>
      <c r="L110" s="122">
        <f t="shared" si="16"/>
        <v>2195440.61</v>
      </c>
      <c r="M110" s="116">
        <f t="shared" si="17"/>
        <v>1167118.1826820998</v>
      </c>
      <c r="N110" s="123">
        <f t="shared" si="18"/>
        <v>320.02143753279398</v>
      </c>
      <c r="O110" s="5"/>
      <c r="P110" s="5">
        <f t="shared" si="19"/>
        <v>1</v>
      </c>
      <c r="Q110" s="7">
        <f t="shared" si="20"/>
        <v>3647</v>
      </c>
      <c r="W110" s="124">
        <f t="shared" si="21"/>
        <v>1028322.4273179001</v>
      </c>
      <c r="X110">
        <f t="shared" si="22"/>
        <v>0</v>
      </c>
    </row>
    <row r="111" spans="1:24">
      <c r="A111" s="23" t="s">
        <v>123</v>
      </c>
      <c r="B111" s="35" t="s">
        <v>118</v>
      </c>
      <c r="C111" s="125">
        <v>7923</v>
      </c>
      <c r="D111" s="132">
        <v>602032680</v>
      </c>
      <c r="E111" s="116">
        <f t="shared" si="29"/>
        <v>75985.444907232115</v>
      </c>
      <c r="F111" s="134">
        <v>272531759</v>
      </c>
      <c r="G111" s="117">
        <f t="shared" si="30"/>
        <v>34397.546257730661</v>
      </c>
      <c r="H111" s="9"/>
      <c r="I111" s="136">
        <v>6.4036999999999997</v>
      </c>
      <c r="J111" s="134">
        <v>1745211.6251083</v>
      </c>
      <c r="K111" s="120">
        <f t="shared" si="31"/>
        <v>220.27156697062981</v>
      </c>
      <c r="L111" s="122">
        <f t="shared" si="16"/>
        <v>2725317.59</v>
      </c>
      <c r="M111" s="116">
        <f t="shared" si="17"/>
        <v>980105.96489169984</v>
      </c>
      <c r="N111" s="123">
        <f t="shared" si="18"/>
        <v>123.70389560667674</v>
      </c>
      <c r="O111" s="5"/>
      <c r="P111" s="5">
        <f t="shared" si="19"/>
        <v>1</v>
      </c>
      <c r="Q111" s="7">
        <f t="shared" si="20"/>
        <v>7923</v>
      </c>
      <c r="S111" s="124">
        <f>SUM(D106:D111)</f>
        <v>1388310021</v>
      </c>
      <c r="T111" s="124">
        <f>SUM(F106:F111)</f>
        <v>652763287</v>
      </c>
      <c r="U111" s="124">
        <f>SUM(J106:J111)</f>
        <v>3267004.9203892001</v>
      </c>
      <c r="W111" s="124">
        <f t="shared" si="21"/>
        <v>1745211.6251083</v>
      </c>
      <c r="X111">
        <f t="shared" si="22"/>
        <v>0</v>
      </c>
    </row>
    <row r="112" spans="1:24">
      <c r="A112" s="23" t="s">
        <v>124</v>
      </c>
      <c r="B112" s="35" t="s">
        <v>125</v>
      </c>
      <c r="C112" s="125">
        <v>515</v>
      </c>
      <c r="D112" s="132">
        <v>53927891</v>
      </c>
      <c r="E112" s="116">
        <f t="shared" si="29"/>
        <v>104714.35145631067</v>
      </c>
      <c r="F112" s="134">
        <v>24429196</v>
      </c>
      <c r="G112" s="117">
        <f t="shared" si="30"/>
        <v>47435.332038834953</v>
      </c>
      <c r="H112" s="9"/>
      <c r="I112" s="136">
        <v>3</v>
      </c>
      <c r="J112" s="134">
        <v>73287.588000000003</v>
      </c>
      <c r="K112" s="120">
        <f t="shared" si="31"/>
        <v>142.30599611650487</v>
      </c>
      <c r="L112" s="122">
        <f t="shared" si="16"/>
        <v>244291.96</v>
      </c>
      <c r="M112" s="116">
        <f t="shared" si="17"/>
        <v>171004.37199999997</v>
      </c>
      <c r="N112" s="123">
        <f t="shared" si="18"/>
        <v>332.04732427184462</v>
      </c>
      <c r="O112" s="5"/>
      <c r="P112" s="5">
        <f t="shared" si="19"/>
        <v>1</v>
      </c>
      <c r="Q112" s="7">
        <f t="shared" si="20"/>
        <v>515</v>
      </c>
      <c r="W112" s="124">
        <f t="shared" si="21"/>
        <v>73287.588000000003</v>
      </c>
      <c r="X112">
        <f t="shared" si="22"/>
        <v>0</v>
      </c>
    </row>
    <row r="113" spans="1:24">
      <c r="A113" s="23" t="s">
        <v>126</v>
      </c>
      <c r="B113" s="35" t="s">
        <v>125</v>
      </c>
      <c r="C113" s="125">
        <v>2107</v>
      </c>
      <c r="D113" s="132">
        <v>158729520</v>
      </c>
      <c r="E113" s="116">
        <f t="shared" si="29"/>
        <v>75334.371143806362</v>
      </c>
      <c r="F113" s="134">
        <v>83807623</v>
      </c>
      <c r="G113" s="117">
        <f t="shared" si="30"/>
        <v>39775.805885144757</v>
      </c>
      <c r="H113" s="9"/>
      <c r="I113" s="150">
        <v>3</v>
      </c>
      <c r="J113" s="134">
        <v>251422.86900000001</v>
      </c>
      <c r="K113" s="120">
        <f t="shared" si="31"/>
        <v>119.32741765543427</v>
      </c>
      <c r="L113" s="122">
        <f t="shared" si="16"/>
        <v>838076.23</v>
      </c>
      <c r="M113" s="116">
        <f t="shared" si="17"/>
        <v>586653.36100000003</v>
      </c>
      <c r="N113" s="123">
        <f t="shared" si="18"/>
        <v>278.43064119601331</v>
      </c>
      <c r="O113" s="5"/>
      <c r="P113" s="5">
        <f t="shared" si="19"/>
        <v>1</v>
      </c>
      <c r="Q113" s="7">
        <f t="shared" si="20"/>
        <v>2107</v>
      </c>
      <c r="W113" s="124">
        <f t="shared" si="21"/>
        <v>251422.86900000001</v>
      </c>
      <c r="X113">
        <f t="shared" si="22"/>
        <v>0</v>
      </c>
    </row>
    <row r="114" spans="1:24">
      <c r="A114" s="23" t="s">
        <v>127</v>
      </c>
      <c r="B114" s="35" t="s">
        <v>128</v>
      </c>
      <c r="C114" s="125">
        <v>1228</v>
      </c>
      <c r="D114" s="132">
        <f>(49178876+53816149)</f>
        <v>102995025</v>
      </c>
      <c r="E114" s="116">
        <f t="shared" si="29"/>
        <v>83872.170195439743</v>
      </c>
      <c r="F114" s="134">
        <f>(26638143+26653688)</f>
        <v>53291831</v>
      </c>
      <c r="G114" s="117">
        <f t="shared" si="30"/>
        <v>43397.25651465798</v>
      </c>
      <c r="H114" s="7"/>
      <c r="I114" s="150">
        <v>3</v>
      </c>
      <c r="J114" s="134">
        <f>(79914.429+79961.064)</f>
        <v>159875.49300000002</v>
      </c>
      <c r="K114" s="120">
        <f t="shared" si="31"/>
        <v>130.19176954397395</v>
      </c>
      <c r="L114" s="122">
        <f t="shared" si="16"/>
        <v>532918.31000000006</v>
      </c>
      <c r="M114" s="116">
        <f t="shared" si="17"/>
        <v>373042.81700000004</v>
      </c>
      <c r="N114" s="123">
        <f t="shared" si="18"/>
        <v>303.78079560260591</v>
      </c>
      <c r="O114" s="5"/>
      <c r="P114" s="5">
        <f t="shared" si="19"/>
        <v>1</v>
      </c>
      <c r="Q114" s="7">
        <f t="shared" si="20"/>
        <v>1228</v>
      </c>
      <c r="S114" s="124">
        <f>SUM(D112:D114)</f>
        <v>315652436</v>
      </c>
      <c r="T114" s="124">
        <f>SUM(F112:F114)</f>
        <v>161528650</v>
      </c>
      <c r="U114" s="124">
        <f>SUM(J112:J114)</f>
        <v>484585.95</v>
      </c>
      <c r="W114" s="124">
        <f t="shared" si="21"/>
        <v>159875.49300000002</v>
      </c>
      <c r="X114">
        <f t="shared" si="22"/>
        <v>0</v>
      </c>
    </row>
    <row r="115" spans="1:24">
      <c r="A115" s="23" t="s">
        <v>129</v>
      </c>
      <c r="B115" s="35" t="s">
        <v>130</v>
      </c>
      <c r="C115" s="125">
        <v>1468</v>
      </c>
      <c r="D115" s="132">
        <v>143786288</v>
      </c>
      <c r="E115" s="116">
        <f t="shared" si="29"/>
        <v>97947.062670299725</v>
      </c>
      <c r="F115" s="134">
        <v>51970804</v>
      </c>
      <c r="G115" s="117">
        <f t="shared" si="30"/>
        <v>35402.455040871937</v>
      </c>
      <c r="H115" s="9"/>
      <c r="I115" s="136">
        <v>4.25</v>
      </c>
      <c r="J115" s="134">
        <v>220875.91699999999</v>
      </c>
      <c r="K115" s="120">
        <f t="shared" si="31"/>
        <v>150.46043392370572</v>
      </c>
      <c r="L115" s="122">
        <f t="shared" si="16"/>
        <v>519708.04000000004</v>
      </c>
      <c r="M115" s="116">
        <f t="shared" si="17"/>
        <v>298832.12300000002</v>
      </c>
      <c r="N115" s="123">
        <f t="shared" si="18"/>
        <v>203.56411648501364</v>
      </c>
      <c r="O115" s="5"/>
      <c r="P115" s="5">
        <f t="shared" si="19"/>
        <v>1</v>
      </c>
      <c r="Q115" s="7">
        <f t="shared" si="20"/>
        <v>1468</v>
      </c>
      <c r="S115" s="124">
        <f>SUM(D115)</f>
        <v>143786288</v>
      </c>
      <c r="T115" s="124">
        <f>SUM(F115)</f>
        <v>51970804</v>
      </c>
      <c r="U115" s="124">
        <f>SUM(J115)</f>
        <v>220875.91699999999</v>
      </c>
      <c r="W115" s="124">
        <f t="shared" si="21"/>
        <v>220875.91700000002</v>
      </c>
      <c r="X115">
        <f t="shared" si="22"/>
        <v>0</v>
      </c>
    </row>
    <row r="116" spans="1:24">
      <c r="A116" s="24" t="s">
        <v>545</v>
      </c>
      <c r="B116" s="35" t="s">
        <v>131</v>
      </c>
      <c r="C116" s="125">
        <v>3760</v>
      </c>
      <c r="D116" s="132">
        <v>801882477</v>
      </c>
      <c r="E116" s="116">
        <f t="shared" si="29"/>
        <v>213266.61622340424</v>
      </c>
      <c r="F116" s="134">
        <v>461441636</v>
      </c>
      <c r="G116" s="117">
        <f t="shared" si="30"/>
        <v>122723.83936170212</v>
      </c>
      <c r="H116" s="9"/>
      <c r="I116" s="136">
        <v>3.5914000000000001</v>
      </c>
      <c r="J116" s="134">
        <v>1657221.4915304</v>
      </c>
      <c r="K116" s="120">
        <f t="shared" si="31"/>
        <v>440.750396683617</v>
      </c>
      <c r="L116" s="122">
        <f t="shared" si="16"/>
        <v>4614416.3600000003</v>
      </c>
      <c r="M116" s="116">
        <f t="shared" si="17"/>
        <v>2957194.8684696006</v>
      </c>
      <c r="N116" s="123">
        <f t="shared" si="18"/>
        <v>786.48799693340436</v>
      </c>
      <c r="O116" s="5"/>
      <c r="P116" s="5">
        <f t="shared" si="19"/>
        <v>1</v>
      </c>
      <c r="Q116" s="7">
        <f t="shared" si="20"/>
        <v>3760</v>
      </c>
      <c r="W116" s="124">
        <f t="shared" si="21"/>
        <v>1657221.4915304</v>
      </c>
      <c r="X116">
        <f t="shared" si="22"/>
        <v>0</v>
      </c>
    </row>
    <row r="117" spans="1:24">
      <c r="A117" s="23" t="s">
        <v>132</v>
      </c>
      <c r="B117" s="35" t="s">
        <v>131</v>
      </c>
      <c r="C117" s="125">
        <v>2188</v>
      </c>
      <c r="D117" s="132">
        <v>169067407</v>
      </c>
      <c r="E117" s="116">
        <f t="shared" si="29"/>
        <v>77270.295703839118</v>
      </c>
      <c r="F117" s="134">
        <v>71192847</v>
      </c>
      <c r="G117" s="117">
        <f t="shared" si="30"/>
        <v>32537.864259597805</v>
      </c>
      <c r="H117" s="9"/>
      <c r="I117" s="136">
        <v>6.1132999999999997</v>
      </c>
      <c r="J117" s="134">
        <v>435223.23156509997</v>
      </c>
      <c r="K117" s="120">
        <f t="shared" si="31"/>
        <v>198.91372557819926</v>
      </c>
      <c r="L117" s="122">
        <f t="shared" si="16"/>
        <v>711928.47</v>
      </c>
      <c r="M117" s="116">
        <f t="shared" si="17"/>
        <v>276705.23843490001</v>
      </c>
      <c r="N117" s="123">
        <f t="shared" si="18"/>
        <v>126.4649170177788</v>
      </c>
      <c r="O117" s="5"/>
      <c r="P117" s="5">
        <f t="shared" si="19"/>
        <v>1</v>
      </c>
      <c r="Q117" s="7">
        <f t="shared" si="20"/>
        <v>2188</v>
      </c>
      <c r="S117" s="124">
        <f>SUM(D116:D117)</f>
        <v>970949884</v>
      </c>
      <c r="T117" s="124">
        <f>SUM(F116:F117)</f>
        <v>532634483</v>
      </c>
      <c r="U117" s="124">
        <f>SUM(J116:J117)</f>
        <v>2092444.7230954999</v>
      </c>
      <c r="W117" s="124">
        <f t="shared" si="21"/>
        <v>435223.23156509997</v>
      </c>
      <c r="X117">
        <f t="shared" si="22"/>
        <v>0</v>
      </c>
    </row>
    <row r="118" spans="1:24">
      <c r="A118" s="23" t="s">
        <v>133</v>
      </c>
      <c r="B118" s="35" t="s">
        <v>134</v>
      </c>
      <c r="C118" s="125">
        <v>3726</v>
      </c>
      <c r="D118" s="132">
        <v>148230935</v>
      </c>
      <c r="E118" s="116">
        <f t="shared" si="29"/>
        <v>39782.859634997316</v>
      </c>
      <c r="F118" s="134">
        <v>79742592</v>
      </c>
      <c r="G118" s="117">
        <f t="shared" si="30"/>
        <v>21401.661835748793</v>
      </c>
      <c r="H118" s="7"/>
      <c r="I118" s="136">
        <v>7.9489999999999998</v>
      </c>
      <c r="J118" s="134">
        <v>633873.86380799999</v>
      </c>
      <c r="K118" s="120">
        <f t="shared" si="31"/>
        <v>170.12180993236714</v>
      </c>
      <c r="L118" s="122">
        <f t="shared" si="16"/>
        <v>797425.92</v>
      </c>
      <c r="M118" s="116">
        <f t="shared" si="17"/>
        <v>163552.05619200005</v>
      </c>
      <c r="N118" s="123">
        <f t="shared" si="18"/>
        <v>43.894808425120786</v>
      </c>
      <c r="O118" s="5"/>
      <c r="P118" s="5">
        <f t="shared" si="19"/>
        <v>1</v>
      </c>
      <c r="Q118" s="7">
        <f t="shared" si="20"/>
        <v>3726</v>
      </c>
      <c r="W118" s="124">
        <f t="shared" si="21"/>
        <v>633873.86380799999</v>
      </c>
      <c r="X118">
        <f t="shared" si="22"/>
        <v>0</v>
      </c>
    </row>
    <row r="119" spans="1:24">
      <c r="A119" s="23" t="s">
        <v>135</v>
      </c>
      <c r="B119" s="35" t="s">
        <v>134</v>
      </c>
      <c r="C119" s="125">
        <v>757</v>
      </c>
      <c r="D119" s="132">
        <v>27286757</v>
      </c>
      <c r="E119" s="116">
        <f t="shared" si="29"/>
        <v>36045.914134742401</v>
      </c>
      <c r="F119" s="134">
        <v>15139910</v>
      </c>
      <c r="G119" s="117">
        <f t="shared" si="30"/>
        <v>19999.881109643327</v>
      </c>
      <c r="H119" s="7"/>
      <c r="I119" s="136">
        <v>4.95</v>
      </c>
      <c r="J119" s="134">
        <v>74942.554499999998</v>
      </c>
      <c r="K119" s="120">
        <f t="shared" si="31"/>
        <v>98.999411492734481</v>
      </c>
      <c r="L119" s="122">
        <f t="shared" si="16"/>
        <v>151399.1</v>
      </c>
      <c r="M119" s="116">
        <f t="shared" si="17"/>
        <v>76456.545500000007</v>
      </c>
      <c r="N119" s="123">
        <f t="shared" si="18"/>
        <v>100.99939960369882</v>
      </c>
      <c r="O119" s="5"/>
      <c r="P119" s="5">
        <f t="shared" si="19"/>
        <v>1</v>
      </c>
      <c r="Q119" s="7">
        <f t="shared" si="20"/>
        <v>757</v>
      </c>
      <c r="W119" s="124">
        <f t="shared" si="21"/>
        <v>74942.554500000013</v>
      </c>
      <c r="X119">
        <f t="shared" si="22"/>
        <v>0</v>
      </c>
    </row>
    <row r="120" spans="1:24">
      <c r="A120" s="23" t="s">
        <v>136</v>
      </c>
      <c r="B120" s="35" t="s">
        <v>134</v>
      </c>
      <c r="C120" s="125">
        <v>766</v>
      </c>
      <c r="D120" s="132">
        <v>47162629</v>
      </c>
      <c r="E120" s="116">
        <f t="shared" si="29"/>
        <v>61570.011749347257</v>
      </c>
      <c r="F120" s="134">
        <v>23209861</v>
      </c>
      <c r="G120" s="117">
        <f t="shared" si="30"/>
        <v>30300.079634464753</v>
      </c>
      <c r="H120" s="7"/>
      <c r="I120" s="136">
        <v>6</v>
      </c>
      <c r="J120" s="134">
        <v>139259.166</v>
      </c>
      <c r="K120" s="120">
        <f t="shared" si="31"/>
        <v>181.80047780678851</v>
      </c>
      <c r="L120" s="122">
        <f t="shared" si="16"/>
        <v>232098.61000000002</v>
      </c>
      <c r="M120" s="116">
        <f t="shared" si="17"/>
        <v>92839.444000000018</v>
      </c>
      <c r="N120" s="123">
        <f t="shared" si="18"/>
        <v>121.20031853785903</v>
      </c>
      <c r="O120" s="5"/>
      <c r="P120" s="5">
        <f t="shared" si="19"/>
        <v>1</v>
      </c>
      <c r="Q120" s="7">
        <f t="shared" si="20"/>
        <v>766</v>
      </c>
      <c r="S120" s="124">
        <f>SUM(D118:D120)</f>
        <v>222680321</v>
      </c>
      <c r="T120" s="124">
        <f>SUM(F118:F120)</f>
        <v>118092363</v>
      </c>
      <c r="U120" s="124">
        <f>SUM(J118:J120)</f>
        <v>848075.58430799993</v>
      </c>
      <c r="W120" s="124">
        <f t="shared" si="21"/>
        <v>139259.166</v>
      </c>
      <c r="X120">
        <f t="shared" si="22"/>
        <v>0</v>
      </c>
    </row>
    <row r="121" spans="1:24">
      <c r="A121" s="23" t="s">
        <v>137</v>
      </c>
      <c r="B121" s="35" t="s">
        <v>138</v>
      </c>
      <c r="C121" s="125">
        <v>2438</v>
      </c>
      <c r="D121" s="132">
        <v>111721010</v>
      </c>
      <c r="E121" s="116">
        <f t="shared" si="29"/>
        <v>45824.860541427399</v>
      </c>
      <c r="F121" s="134">
        <v>51418703</v>
      </c>
      <c r="G121" s="117">
        <f t="shared" si="30"/>
        <v>21090.526251025432</v>
      </c>
      <c r="H121" s="7"/>
      <c r="I121" s="136">
        <v>7.55</v>
      </c>
      <c r="J121" s="134">
        <v>388211.20765</v>
      </c>
      <c r="K121" s="120">
        <f t="shared" si="31"/>
        <v>159.233473195242</v>
      </c>
      <c r="L121" s="122">
        <f t="shared" si="16"/>
        <v>514187.03</v>
      </c>
      <c r="M121" s="116">
        <f t="shared" si="17"/>
        <v>125975.82235000003</v>
      </c>
      <c r="N121" s="123">
        <f t="shared" si="18"/>
        <v>51.671789315012319</v>
      </c>
      <c r="O121" s="5"/>
      <c r="P121" s="5">
        <f t="shared" si="19"/>
        <v>1</v>
      </c>
      <c r="Q121" s="7">
        <f t="shared" si="20"/>
        <v>2438</v>
      </c>
      <c r="W121" s="124">
        <f t="shared" si="21"/>
        <v>388211.20765</v>
      </c>
      <c r="X121">
        <f t="shared" si="22"/>
        <v>0</v>
      </c>
    </row>
    <row r="122" spans="1:24">
      <c r="A122" s="23" t="s">
        <v>139</v>
      </c>
      <c r="B122" s="35" t="s">
        <v>138</v>
      </c>
      <c r="C122" s="125">
        <v>4842</v>
      </c>
      <c r="D122" s="132">
        <v>351332577</v>
      </c>
      <c r="E122" s="116">
        <f t="shared" si="29"/>
        <v>72559.392193308551</v>
      </c>
      <c r="F122" s="134">
        <v>161629930</v>
      </c>
      <c r="G122" s="117">
        <f t="shared" si="30"/>
        <v>33380.819909128462</v>
      </c>
      <c r="H122" s="7"/>
      <c r="I122" s="136">
        <v>5.5532000000000004</v>
      </c>
      <c r="J122" s="134">
        <v>897563.32727600005</v>
      </c>
      <c r="K122" s="120">
        <f t="shared" si="31"/>
        <v>185.37036911937219</v>
      </c>
      <c r="L122" s="122">
        <f t="shared" si="16"/>
        <v>1616299.3</v>
      </c>
      <c r="M122" s="116">
        <f t="shared" si="17"/>
        <v>718735.97272399999</v>
      </c>
      <c r="N122" s="123">
        <f t="shared" si="18"/>
        <v>148.43782997191244</v>
      </c>
      <c r="O122" s="5"/>
      <c r="P122" s="5">
        <f t="shared" si="19"/>
        <v>1</v>
      </c>
      <c r="Q122" s="7">
        <f t="shared" si="20"/>
        <v>4842</v>
      </c>
      <c r="W122" s="124">
        <f t="shared" si="21"/>
        <v>897563.32727600005</v>
      </c>
      <c r="X122">
        <f t="shared" si="22"/>
        <v>0</v>
      </c>
    </row>
    <row r="123" spans="1:24">
      <c r="A123" s="23" t="s">
        <v>140</v>
      </c>
      <c r="B123" s="35" t="s">
        <v>138</v>
      </c>
      <c r="C123" s="125">
        <v>1758</v>
      </c>
      <c r="D123" s="132">
        <v>80718205</v>
      </c>
      <c r="E123" s="116">
        <f t="shared" si="29"/>
        <v>45914.792377701931</v>
      </c>
      <c r="F123" s="134">
        <v>36953509</v>
      </c>
      <c r="G123" s="117">
        <f t="shared" si="30"/>
        <v>21020.198521046645</v>
      </c>
      <c r="H123" s="7"/>
      <c r="I123" s="136">
        <v>8.5540000000000003</v>
      </c>
      <c r="J123" s="134">
        <v>316100.315986</v>
      </c>
      <c r="K123" s="120">
        <f t="shared" si="31"/>
        <v>179.80677814903299</v>
      </c>
      <c r="L123" s="122">
        <f t="shared" si="16"/>
        <v>369535.09</v>
      </c>
      <c r="M123" s="116">
        <f t="shared" si="17"/>
        <v>53434.774014000024</v>
      </c>
      <c r="N123" s="123">
        <f t="shared" si="18"/>
        <v>30.39520706143346</v>
      </c>
      <c r="O123" s="5"/>
      <c r="P123" s="5">
        <f t="shared" si="19"/>
        <v>1</v>
      </c>
      <c r="Q123" s="7">
        <f t="shared" si="20"/>
        <v>1758</v>
      </c>
      <c r="S123" s="124">
        <f>SUM(D121:D123)</f>
        <v>543771792</v>
      </c>
      <c r="T123" s="124">
        <f>SUM(F121:F123)</f>
        <v>250002142</v>
      </c>
      <c r="U123" s="124">
        <f>SUM(J121:J123)</f>
        <v>1601874.8509120001</v>
      </c>
      <c r="W123" s="124">
        <f t="shared" si="21"/>
        <v>316100.31598600006</v>
      </c>
      <c r="X123">
        <f t="shared" si="22"/>
        <v>0</v>
      </c>
    </row>
    <row r="124" spans="1:24">
      <c r="A124" s="23" t="s">
        <v>141</v>
      </c>
      <c r="B124" s="35" t="s">
        <v>142</v>
      </c>
      <c r="C124" s="125">
        <v>7316</v>
      </c>
      <c r="D124" s="132">
        <v>767505322</v>
      </c>
      <c r="E124" s="116">
        <f t="shared" si="29"/>
        <v>104907.78048113723</v>
      </c>
      <c r="F124" s="134">
        <v>315795971</v>
      </c>
      <c r="G124" s="117">
        <f t="shared" si="30"/>
        <v>43165.113586659376</v>
      </c>
      <c r="H124" s="7"/>
      <c r="I124" s="136">
        <v>6.5313999999999997</v>
      </c>
      <c r="J124" s="134">
        <v>2062589.8049893999</v>
      </c>
      <c r="K124" s="120">
        <f t="shared" si="31"/>
        <v>281.92862287990704</v>
      </c>
      <c r="L124" s="122">
        <f t="shared" si="16"/>
        <v>3157959.71</v>
      </c>
      <c r="M124" s="116">
        <f t="shared" si="17"/>
        <v>1095369.9050106001</v>
      </c>
      <c r="N124" s="123">
        <f t="shared" si="18"/>
        <v>149.72251298668672</v>
      </c>
      <c r="O124" s="5"/>
      <c r="P124" s="5">
        <f t="shared" si="19"/>
        <v>1</v>
      </c>
      <c r="Q124" s="7">
        <f t="shared" si="20"/>
        <v>7316</v>
      </c>
      <c r="W124" s="124">
        <f t="shared" si="21"/>
        <v>2062589.8049893999</v>
      </c>
      <c r="X124">
        <f t="shared" si="22"/>
        <v>0</v>
      </c>
    </row>
    <row r="125" spans="1:24">
      <c r="A125" s="23" t="s">
        <v>558</v>
      </c>
      <c r="B125" s="35" t="s">
        <v>142</v>
      </c>
      <c r="C125" s="125">
        <v>5041</v>
      </c>
      <c r="D125" s="132">
        <v>681764728</v>
      </c>
      <c r="E125" s="116">
        <f t="shared" si="29"/>
        <v>135243.94524895854</v>
      </c>
      <c r="F125" s="134">
        <v>306422398</v>
      </c>
      <c r="G125" s="117">
        <f t="shared" si="30"/>
        <v>60786.034120214244</v>
      </c>
      <c r="H125" s="7"/>
      <c r="I125" s="136">
        <v>4.25</v>
      </c>
      <c r="J125" s="134">
        <v>1302295.1915</v>
      </c>
      <c r="K125" s="120">
        <f t="shared" si="31"/>
        <v>258.34064501091052</v>
      </c>
      <c r="L125" s="122">
        <f t="shared" si="16"/>
        <v>3064223.98</v>
      </c>
      <c r="M125" s="116">
        <f t="shared" si="17"/>
        <v>1761928.7885</v>
      </c>
      <c r="N125" s="123">
        <f t="shared" si="18"/>
        <v>349.5196961912319</v>
      </c>
      <c r="O125" s="5"/>
      <c r="P125" s="5">
        <f t="shared" si="19"/>
        <v>1</v>
      </c>
      <c r="Q125" s="7">
        <f t="shared" si="20"/>
        <v>5041</v>
      </c>
      <c r="S125" s="124">
        <f>SUM(D124:D125)</f>
        <v>1449270050</v>
      </c>
      <c r="T125" s="124">
        <f>SUM(F124:F125)</f>
        <v>622218369</v>
      </c>
      <c r="U125" s="124">
        <f>SUM(J124:J125)</f>
        <v>3364884.9964894</v>
      </c>
      <c r="W125" s="124">
        <f t="shared" si="21"/>
        <v>1302295.1915000002</v>
      </c>
      <c r="X125">
        <f t="shared" si="22"/>
        <v>0</v>
      </c>
    </row>
    <row r="126" spans="1:24">
      <c r="A126" s="23" t="s">
        <v>143</v>
      </c>
      <c r="B126" s="35" t="s">
        <v>144</v>
      </c>
      <c r="C126" s="125">
        <v>9481</v>
      </c>
      <c r="D126" s="132">
        <v>1407972111</v>
      </c>
      <c r="E126" s="116">
        <f t="shared" si="29"/>
        <v>148504.59983124142</v>
      </c>
      <c r="F126" s="134">
        <v>602017780</v>
      </c>
      <c r="G126" s="117">
        <f t="shared" si="30"/>
        <v>63497.287205990928</v>
      </c>
      <c r="H126" s="7"/>
      <c r="I126" s="136">
        <v>5.9</v>
      </c>
      <c r="J126" s="134">
        <v>3551904.9019999998</v>
      </c>
      <c r="K126" s="120">
        <f t="shared" si="31"/>
        <v>374.63399451534644</v>
      </c>
      <c r="L126" s="122">
        <f t="shared" si="16"/>
        <v>6020177.7999999998</v>
      </c>
      <c r="M126" s="116">
        <f t="shared" si="17"/>
        <v>2468272.898</v>
      </c>
      <c r="N126" s="123">
        <f t="shared" si="18"/>
        <v>260.33887754456282</v>
      </c>
      <c r="O126" s="5"/>
      <c r="P126" s="5">
        <f t="shared" si="19"/>
        <v>1</v>
      </c>
      <c r="Q126" s="7">
        <f t="shared" si="20"/>
        <v>9481</v>
      </c>
      <c r="S126" s="124">
        <f>D126</f>
        <v>1407972111</v>
      </c>
      <c r="T126" s="124">
        <f>F126</f>
        <v>602017780</v>
      </c>
      <c r="U126" s="124">
        <f>J126</f>
        <v>3551904.9019999998</v>
      </c>
      <c r="W126" s="124">
        <f t="shared" si="21"/>
        <v>3551904.9020000002</v>
      </c>
      <c r="X126">
        <f t="shared" si="22"/>
        <v>0</v>
      </c>
    </row>
    <row r="127" spans="1:24">
      <c r="A127" s="23" t="s">
        <v>146</v>
      </c>
      <c r="B127" s="35" t="s">
        <v>147</v>
      </c>
      <c r="C127" s="125">
        <v>9769</v>
      </c>
      <c r="D127" s="132">
        <v>843365006</v>
      </c>
      <c r="E127" s="116">
        <f t="shared" si="29"/>
        <v>86330.740710410479</v>
      </c>
      <c r="F127" s="134">
        <v>384366380</v>
      </c>
      <c r="G127" s="117">
        <f t="shared" si="30"/>
        <v>39345.519500460643</v>
      </c>
      <c r="H127" s="7"/>
      <c r="I127" s="136">
        <v>4.3681000000000001</v>
      </c>
      <c r="J127" s="134">
        <v>1678950.7844779999</v>
      </c>
      <c r="K127" s="120">
        <f t="shared" si="31"/>
        <v>171.86516372996212</v>
      </c>
      <c r="L127" s="122">
        <f t="shared" si="16"/>
        <v>3843663.8000000003</v>
      </c>
      <c r="M127" s="116">
        <f t="shared" si="17"/>
        <v>2164713.0155220004</v>
      </c>
      <c r="N127" s="123">
        <f t="shared" si="18"/>
        <v>221.59003127464433</v>
      </c>
      <c r="O127" s="5"/>
      <c r="P127" s="5">
        <f t="shared" si="19"/>
        <v>1</v>
      </c>
      <c r="Q127" s="7">
        <f t="shared" si="20"/>
        <v>9769</v>
      </c>
      <c r="W127" s="124">
        <f t="shared" si="21"/>
        <v>1678950.7844779999</v>
      </c>
      <c r="X127">
        <f t="shared" si="22"/>
        <v>0</v>
      </c>
    </row>
    <row r="128" spans="1:24">
      <c r="A128" s="23" t="s">
        <v>148</v>
      </c>
      <c r="B128" s="35" t="s">
        <v>147</v>
      </c>
      <c r="C128" s="125">
        <v>2385</v>
      </c>
      <c r="D128" s="132">
        <v>431809249</v>
      </c>
      <c r="E128" s="116">
        <f t="shared" si="29"/>
        <v>181052.09601677148</v>
      </c>
      <c r="F128" s="134">
        <v>277738177</v>
      </c>
      <c r="G128" s="117">
        <f t="shared" si="30"/>
        <v>116452.06582809224</v>
      </c>
      <c r="H128" s="7"/>
      <c r="I128" s="136">
        <v>3.15</v>
      </c>
      <c r="J128" s="134">
        <v>874875.25754999998</v>
      </c>
      <c r="K128" s="120">
        <f t="shared" si="31"/>
        <v>366.82400735849058</v>
      </c>
      <c r="L128" s="122">
        <f t="shared" si="16"/>
        <v>2777381.77</v>
      </c>
      <c r="M128" s="116">
        <f t="shared" si="17"/>
        <v>1902506.51245</v>
      </c>
      <c r="N128" s="123">
        <f t="shared" si="18"/>
        <v>797.6966509224319</v>
      </c>
      <c r="O128" s="5"/>
      <c r="P128" s="5">
        <f t="shared" si="19"/>
        <v>1</v>
      </c>
      <c r="Q128" s="7">
        <f t="shared" si="20"/>
        <v>2385</v>
      </c>
      <c r="W128" s="124">
        <f t="shared" si="21"/>
        <v>874875.25754999998</v>
      </c>
      <c r="X128">
        <f t="shared" si="22"/>
        <v>0</v>
      </c>
    </row>
    <row r="129" spans="1:24">
      <c r="A129" s="23" t="s">
        <v>149</v>
      </c>
      <c r="B129" s="35" t="s">
        <v>147</v>
      </c>
      <c r="C129" s="125">
        <v>11361</v>
      </c>
      <c r="D129" s="132">
        <v>1337631669</v>
      </c>
      <c r="E129" s="116">
        <f t="shared" si="29"/>
        <v>117738.90229733298</v>
      </c>
      <c r="F129" s="134">
        <v>859153092</v>
      </c>
      <c r="G129" s="117">
        <f t="shared" si="30"/>
        <v>75623.016635859516</v>
      </c>
      <c r="H129" s="7"/>
      <c r="I129" s="136">
        <v>5.8183999999999996</v>
      </c>
      <c r="J129" s="134">
        <v>4998896.3504927997</v>
      </c>
      <c r="K129" s="120">
        <f t="shared" si="31"/>
        <v>440.00495999408497</v>
      </c>
      <c r="L129" s="122">
        <f t="shared" si="16"/>
        <v>8591530.9199999999</v>
      </c>
      <c r="M129" s="116">
        <f t="shared" si="17"/>
        <v>3592634.5695072003</v>
      </c>
      <c r="N129" s="123">
        <f t="shared" si="18"/>
        <v>316.2252063645102</v>
      </c>
      <c r="O129" s="5"/>
      <c r="P129" s="5">
        <f t="shared" si="19"/>
        <v>1</v>
      </c>
      <c r="Q129" s="7">
        <f t="shared" si="20"/>
        <v>11361</v>
      </c>
      <c r="S129" s="124">
        <f>SUM(D127:D129)</f>
        <v>2612805924</v>
      </c>
      <c r="T129" s="124">
        <f>SUM(F127:F129)</f>
        <v>1521257649</v>
      </c>
      <c r="U129" s="124">
        <f>SUM(J127:J129)</f>
        <v>7552722.3925207993</v>
      </c>
      <c r="W129" s="124">
        <f t="shared" si="21"/>
        <v>4998896.3504927997</v>
      </c>
      <c r="X129">
        <f t="shared" si="22"/>
        <v>0</v>
      </c>
    </row>
    <row r="130" spans="1:24">
      <c r="A130" s="23" t="s">
        <v>150</v>
      </c>
      <c r="B130" s="35" t="s">
        <v>151</v>
      </c>
      <c r="C130" s="125">
        <v>40365</v>
      </c>
      <c r="D130" s="132">
        <v>5583843047</v>
      </c>
      <c r="E130" s="116">
        <f t="shared" si="29"/>
        <v>138333.78042858912</v>
      </c>
      <c r="F130" s="134">
        <v>3495436440</v>
      </c>
      <c r="G130" s="117">
        <f t="shared" si="30"/>
        <v>86595.725009290225</v>
      </c>
      <c r="H130" s="7"/>
      <c r="I130" s="136">
        <v>5.7157</v>
      </c>
      <c r="J130" s="134">
        <v>19978866.060108002</v>
      </c>
      <c r="K130" s="120">
        <f t="shared" si="31"/>
        <v>494.95518543560019</v>
      </c>
      <c r="L130" s="122">
        <f t="shared" si="16"/>
        <v>34954364.399999999</v>
      </c>
      <c r="M130" s="116">
        <f t="shared" si="17"/>
        <v>14975498.339891996</v>
      </c>
      <c r="N130" s="123">
        <f t="shared" si="18"/>
        <v>371.00206465730201</v>
      </c>
      <c r="O130" s="5"/>
      <c r="P130" s="5">
        <f t="shared" si="19"/>
        <v>1</v>
      </c>
      <c r="Q130" s="7">
        <f t="shared" si="20"/>
        <v>40365</v>
      </c>
      <c r="W130" s="124">
        <f t="shared" si="21"/>
        <v>19978866.060107999</v>
      </c>
      <c r="X130">
        <f t="shared" si="22"/>
        <v>0</v>
      </c>
    </row>
    <row r="131" spans="1:24">
      <c r="A131" s="23" t="s">
        <v>152</v>
      </c>
      <c r="B131" s="35" t="s">
        <v>151</v>
      </c>
      <c r="C131" s="125">
        <v>401512</v>
      </c>
      <c r="D131" s="132">
        <v>84195533099</v>
      </c>
      <c r="E131" s="116">
        <f t="shared" si="29"/>
        <v>209696.18118262966</v>
      </c>
      <c r="F131" s="134">
        <v>50400806934</v>
      </c>
      <c r="G131" s="117">
        <f t="shared" si="30"/>
        <v>125527.52329693758</v>
      </c>
      <c r="H131" s="7"/>
      <c r="I131" s="136">
        <v>6.2076000000000002</v>
      </c>
      <c r="J131" s="134">
        <v>312868049.12349844</v>
      </c>
      <c r="K131" s="120">
        <f t="shared" si="31"/>
        <v>779.22465361806985</v>
      </c>
      <c r="L131" s="122">
        <f t="shared" si="16"/>
        <v>504008069.34000003</v>
      </c>
      <c r="M131" s="116">
        <f t="shared" si="17"/>
        <v>191140020.21650159</v>
      </c>
      <c r="N131" s="123">
        <f t="shared" si="18"/>
        <v>476.05057935130606</v>
      </c>
      <c r="O131" s="5"/>
      <c r="P131" s="5">
        <f t="shared" si="19"/>
        <v>1</v>
      </c>
      <c r="Q131" s="7">
        <f t="shared" si="20"/>
        <v>401512</v>
      </c>
      <c r="W131" s="124">
        <f t="shared" si="21"/>
        <v>312868049.12349844</v>
      </c>
      <c r="X131">
        <f t="shared" si="22"/>
        <v>0</v>
      </c>
    </row>
    <row r="132" spans="1:24">
      <c r="A132" s="23" t="s">
        <v>153</v>
      </c>
      <c r="B132" s="35" t="s">
        <v>151</v>
      </c>
      <c r="C132" s="125">
        <v>27251</v>
      </c>
      <c r="D132" s="132">
        <v>3942851496</v>
      </c>
      <c r="E132" s="116">
        <f t="shared" si="29"/>
        <v>144686.48842244322</v>
      </c>
      <c r="F132" s="134">
        <v>2662761362</v>
      </c>
      <c r="G132" s="117">
        <f t="shared" si="30"/>
        <v>97712.427507247441</v>
      </c>
      <c r="H132" s="9"/>
      <c r="I132" s="136">
        <v>6.4550000000000001</v>
      </c>
      <c r="J132" s="134">
        <v>17188124.591709998</v>
      </c>
      <c r="K132" s="120">
        <f t="shared" si="31"/>
        <v>630.73371955928212</v>
      </c>
      <c r="L132" s="122">
        <f t="shared" si="16"/>
        <v>26627613.620000001</v>
      </c>
      <c r="M132" s="116">
        <f t="shared" si="17"/>
        <v>9439489.0282900035</v>
      </c>
      <c r="N132" s="123">
        <f t="shared" si="18"/>
        <v>346.39055551319228</v>
      </c>
      <c r="O132" s="5"/>
      <c r="P132" s="5">
        <f t="shared" si="19"/>
        <v>1</v>
      </c>
      <c r="Q132" s="7">
        <f t="shared" si="20"/>
        <v>27251</v>
      </c>
      <c r="S132" s="124">
        <f>SUM(D130:D132)</f>
        <v>93722227642</v>
      </c>
      <c r="T132" s="124">
        <f>SUM(F130:F132)</f>
        <v>56559004736</v>
      </c>
      <c r="U132" s="124">
        <f>SUM(J130:J132)</f>
        <v>350035039.77531642</v>
      </c>
      <c r="W132" s="124">
        <f t="shared" si="21"/>
        <v>17188124.591710001</v>
      </c>
      <c r="X132">
        <f t="shared" si="22"/>
        <v>0</v>
      </c>
    </row>
    <row r="133" spans="1:24">
      <c r="A133" s="23" t="s">
        <v>154</v>
      </c>
      <c r="B133" s="35" t="s">
        <v>155</v>
      </c>
      <c r="C133" s="125">
        <v>2764</v>
      </c>
      <c r="D133" s="147" t="s">
        <v>564</v>
      </c>
      <c r="E133" s="116"/>
      <c r="F133" s="134"/>
      <c r="G133" s="117"/>
      <c r="H133" s="98" t="s">
        <v>588</v>
      </c>
      <c r="I133" s="136"/>
      <c r="J133" s="134"/>
      <c r="K133" s="120"/>
      <c r="L133" s="122">
        <f t="shared" si="16"/>
        <v>0</v>
      </c>
      <c r="M133" s="116">
        <f t="shared" si="17"/>
        <v>0</v>
      </c>
      <c r="N133" s="123">
        <f t="shared" si="18"/>
        <v>0</v>
      </c>
      <c r="O133" s="5"/>
      <c r="P133" s="5">
        <f t="shared" si="19"/>
        <v>0</v>
      </c>
      <c r="Q133" s="7">
        <f t="shared" si="20"/>
        <v>0</v>
      </c>
      <c r="W133" s="124">
        <f t="shared" si="21"/>
        <v>0</v>
      </c>
      <c r="X133">
        <f t="shared" si="22"/>
        <v>0</v>
      </c>
    </row>
    <row r="134" spans="1:24">
      <c r="A134" s="23" t="s">
        <v>156</v>
      </c>
      <c r="B134" s="35" t="s">
        <v>155</v>
      </c>
      <c r="C134" s="125">
        <v>350</v>
      </c>
      <c r="D134" s="132">
        <v>13477639</v>
      </c>
      <c r="E134" s="116">
        <f>(D134/C134)</f>
        <v>38507.54</v>
      </c>
      <c r="F134" s="134">
        <v>7571473</v>
      </c>
      <c r="G134" s="117">
        <f>(F134/C134)</f>
        <v>21632.78</v>
      </c>
      <c r="H134" s="7"/>
      <c r="I134" s="151">
        <v>2.5988000000000002</v>
      </c>
      <c r="J134" s="134">
        <v>19676.744032400002</v>
      </c>
      <c r="K134" s="120">
        <f>(J134/C134)</f>
        <v>56.219268664000005</v>
      </c>
      <c r="L134" s="122">
        <f t="shared" ref="L134:L197" si="32">(F134*0.01)</f>
        <v>75714.73</v>
      </c>
      <c r="M134" s="116">
        <f t="shared" ref="M134:M197" si="33">(L134-J134)</f>
        <v>56037.985967599991</v>
      </c>
      <c r="N134" s="123">
        <f t="shared" ref="N134:N197" si="34">(M134/C134)</f>
        <v>160.10853133599997</v>
      </c>
      <c r="O134" s="5"/>
      <c r="P134" s="5">
        <f t="shared" ref="P134:P198" si="35">IF(I134&gt;0,1,0)</f>
        <v>1</v>
      </c>
      <c r="Q134" s="7">
        <f t="shared" ref="Q134:Q198" si="36">IF(I134&gt;0,C134,0)</f>
        <v>350</v>
      </c>
      <c r="W134" s="124">
        <f t="shared" si="21"/>
        <v>19676.744032400002</v>
      </c>
      <c r="X134">
        <f t="shared" si="22"/>
        <v>0</v>
      </c>
    </row>
    <row r="135" spans="1:24">
      <c r="A135" s="23" t="s">
        <v>157</v>
      </c>
      <c r="B135" s="35" t="s">
        <v>155</v>
      </c>
      <c r="C135" s="125">
        <v>217</v>
      </c>
      <c r="D135" s="132">
        <v>5081881</v>
      </c>
      <c r="E135" s="116">
        <f>(D135/C135)</f>
        <v>23418.806451612902</v>
      </c>
      <c r="F135" s="134">
        <v>2409177</v>
      </c>
      <c r="G135" s="117">
        <f>(F135/C135)</f>
        <v>11102.198156682027</v>
      </c>
      <c r="H135" s="9"/>
      <c r="I135" s="136">
        <v>0.95130000000000003</v>
      </c>
      <c r="J135" s="134">
        <v>2291.8500801</v>
      </c>
      <c r="K135" s="120">
        <f>(J135/C135)</f>
        <v>10.561521106451613</v>
      </c>
      <c r="L135" s="122">
        <f t="shared" si="32"/>
        <v>24091.77</v>
      </c>
      <c r="M135" s="116">
        <f t="shared" si="33"/>
        <v>21799.9199199</v>
      </c>
      <c r="N135" s="123">
        <f t="shared" si="34"/>
        <v>100.46046046036867</v>
      </c>
      <c r="O135" s="5"/>
      <c r="P135" s="5">
        <f t="shared" si="35"/>
        <v>1</v>
      </c>
      <c r="Q135" s="7">
        <f t="shared" si="36"/>
        <v>217</v>
      </c>
      <c r="W135" s="124">
        <f t="shared" ref="W135:W198" si="37">F135*(I135/1000)</f>
        <v>2291.8500801</v>
      </c>
      <c r="X135">
        <f t="shared" ref="X135:X198" si="38">IF(W135=J135,0,1)</f>
        <v>0</v>
      </c>
    </row>
    <row r="136" spans="1:24">
      <c r="A136" s="23" t="s">
        <v>158</v>
      </c>
      <c r="B136" s="35" t="s">
        <v>155</v>
      </c>
      <c r="C136" s="125">
        <v>497</v>
      </c>
      <c r="D136" s="147">
        <v>29129894</v>
      </c>
      <c r="E136" s="116">
        <f>(D136/C136)</f>
        <v>58611.456740442656</v>
      </c>
      <c r="F136" s="134">
        <v>16216039</v>
      </c>
      <c r="G136" s="117">
        <f>(F136/C136)</f>
        <v>32627.845070422536</v>
      </c>
      <c r="H136" s="98"/>
      <c r="I136" s="136">
        <v>1</v>
      </c>
      <c r="J136" s="134">
        <v>16216.039000000001</v>
      </c>
      <c r="K136" s="120">
        <f>(J136/C136)</f>
        <v>32.627845070422538</v>
      </c>
      <c r="L136" s="122">
        <f t="shared" si="32"/>
        <v>162160.39000000001</v>
      </c>
      <c r="M136" s="116">
        <f t="shared" si="33"/>
        <v>145944.35100000002</v>
      </c>
      <c r="N136" s="123">
        <f t="shared" si="34"/>
        <v>293.65060563380285</v>
      </c>
      <c r="O136" s="5"/>
      <c r="P136" s="5">
        <f t="shared" si="35"/>
        <v>1</v>
      </c>
      <c r="Q136" s="7">
        <f t="shared" si="36"/>
        <v>497</v>
      </c>
      <c r="W136" s="124">
        <f t="shared" si="37"/>
        <v>16216.039000000001</v>
      </c>
      <c r="X136">
        <f t="shared" si="38"/>
        <v>0</v>
      </c>
    </row>
    <row r="137" spans="1:24">
      <c r="A137" s="23" t="s">
        <v>159</v>
      </c>
      <c r="B137" s="35" t="s">
        <v>155</v>
      </c>
      <c r="C137" s="125">
        <v>281</v>
      </c>
      <c r="D137" s="147" t="s">
        <v>564</v>
      </c>
      <c r="E137" s="116"/>
      <c r="F137" s="134"/>
      <c r="G137" s="117"/>
      <c r="H137" s="98" t="s">
        <v>588</v>
      </c>
      <c r="I137" s="136"/>
      <c r="J137" s="134"/>
      <c r="K137" s="120"/>
      <c r="L137" s="122">
        <f t="shared" si="32"/>
        <v>0</v>
      </c>
      <c r="M137" s="116">
        <f t="shared" si="33"/>
        <v>0</v>
      </c>
      <c r="N137" s="123">
        <f t="shared" si="34"/>
        <v>0</v>
      </c>
      <c r="O137" s="5"/>
      <c r="P137" s="5">
        <f t="shared" si="35"/>
        <v>0</v>
      </c>
      <c r="Q137" s="7">
        <f t="shared" si="36"/>
        <v>0</v>
      </c>
      <c r="S137" s="184">
        <f>SUM(D133:D137)</f>
        <v>47689414</v>
      </c>
      <c r="T137" s="184">
        <f>SUM(F133:F137)</f>
        <v>26196689</v>
      </c>
      <c r="U137" s="184">
        <f>SUM(J133:J137)</f>
        <v>38184.6331125</v>
      </c>
      <c r="W137" s="124">
        <f t="shared" si="37"/>
        <v>0</v>
      </c>
      <c r="X137">
        <f t="shared" si="38"/>
        <v>0</v>
      </c>
    </row>
    <row r="138" spans="1:24">
      <c r="A138" s="23" t="s">
        <v>160</v>
      </c>
      <c r="B138" s="35" t="s">
        <v>161</v>
      </c>
      <c r="C138" s="125">
        <v>4913</v>
      </c>
      <c r="D138" s="132">
        <v>533050731</v>
      </c>
      <c r="E138" s="116">
        <f t="shared" ref="E138:E143" si="39">(D138/C138)</f>
        <v>108498.01160187258</v>
      </c>
      <c r="F138" s="134">
        <v>135395854</v>
      </c>
      <c r="G138" s="117">
        <f t="shared" ref="G138:G143" si="40">(F138/C138)</f>
        <v>27558.692041522492</v>
      </c>
      <c r="H138" s="7"/>
      <c r="I138" s="150">
        <v>5.2210000000000001</v>
      </c>
      <c r="J138" s="134">
        <v>706901.75373399991</v>
      </c>
      <c r="K138" s="120">
        <f t="shared" ref="K138:K143" si="41">(J138/C138)</f>
        <v>143.88393114878892</v>
      </c>
      <c r="L138" s="122">
        <f t="shared" si="32"/>
        <v>1353958.54</v>
      </c>
      <c r="M138" s="116">
        <f t="shared" si="33"/>
        <v>647056.78626600013</v>
      </c>
      <c r="N138" s="123">
        <f t="shared" si="34"/>
        <v>131.70298926643602</v>
      </c>
      <c r="O138" s="5"/>
      <c r="P138" s="5">
        <f t="shared" si="35"/>
        <v>1</v>
      </c>
      <c r="Q138" s="7">
        <f t="shared" si="36"/>
        <v>4913</v>
      </c>
      <c r="W138" s="124">
        <f t="shared" si="37"/>
        <v>706901.75373400003</v>
      </c>
      <c r="X138">
        <f t="shared" si="38"/>
        <v>0</v>
      </c>
    </row>
    <row r="139" spans="1:24">
      <c r="A139" s="23" t="s">
        <v>162</v>
      </c>
      <c r="B139" s="35" t="s">
        <v>161</v>
      </c>
      <c r="C139" s="125">
        <v>4435</v>
      </c>
      <c r="D139" s="132">
        <v>5559585915</v>
      </c>
      <c r="E139" s="116">
        <f t="shared" si="39"/>
        <v>1253570.6685456596</v>
      </c>
      <c r="F139" s="134">
        <v>4094713781</v>
      </c>
      <c r="G139" s="117">
        <f t="shared" si="40"/>
        <v>923272.55490417138</v>
      </c>
      <c r="H139" s="7"/>
      <c r="I139" s="136">
        <v>1.3349</v>
      </c>
      <c r="J139" s="134">
        <v>5466033.4262568997</v>
      </c>
      <c r="K139" s="120">
        <f t="shared" si="41"/>
        <v>1232.4765335415782</v>
      </c>
      <c r="L139" s="122">
        <f t="shared" si="32"/>
        <v>40947137.810000002</v>
      </c>
      <c r="M139" s="116">
        <f t="shared" si="33"/>
        <v>35481104.3837431</v>
      </c>
      <c r="N139" s="123">
        <f t="shared" si="34"/>
        <v>8000.2490155001351</v>
      </c>
      <c r="O139" s="5"/>
      <c r="P139" s="5">
        <f t="shared" si="35"/>
        <v>1</v>
      </c>
      <c r="Q139" s="7">
        <f t="shared" si="36"/>
        <v>4435</v>
      </c>
      <c r="W139" s="124">
        <f t="shared" si="37"/>
        <v>5466033.4262568997</v>
      </c>
      <c r="X139">
        <f t="shared" si="38"/>
        <v>0</v>
      </c>
    </row>
    <row r="140" spans="1:24">
      <c r="A140" s="23" t="s">
        <v>163</v>
      </c>
      <c r="B140" s="35" t="s">
        <v>161</v>
      </c>
      <c r="C140" s="125">
        <v>520</v>
      </c>
      <c r="D140" s="132">
        <v>591463593</v>
      </c>
      <c r="E140" s="116">
        <f t="shared" si="39"/>
        <v>1137429.9865384616</v>
      </c>
      <c r="F140" s="134">
        <v>505918342</v>
      </c>
      <c r="G140" s="117">
        <f t="shared" si="40"/>
        <v>972919.88846153847</v>
      </c>
      <c r="H140" s="7"/>
      <c r="I140" s="136">
        <v>1.1000000000000001</v>
      </c>
      <c r="J140" s="134">
        <v>556510.1762000001</v>
      </c>
      <c r="K140" s="120">
        <f t="shared" si="41"/>
        <v>1070.2118773076925</v>
      </c>
      <c r="L140" s="122">
        <f t="shared" si="32"/>
        <v>5059183.42</v>
      </c>
      <c r="M140" s="116">
        <f t="shared" si="33"/>
        <v>4502673.2437999994</v>
      </c>
      <c r="N140" s="123">
        <f t="shared" si="34"/>
        <v>8658.9870073076909</v>
      </c>
      <c r="O140" s="5"/>
      <c r="P140" s="5">
        <f t="shared" si="35"/>
        <v>1</v>
      </c>
      <c r="Q140" s="7">
        <f t="shared" si="36"/>
        <v>520</v>
      </c>
      <c r="W140" s="124">
        <f t="shared" si="37"/>
        <v>556510.17619999999</v>
      </c>
      <c r="X140">
        <f t="shared" si="38"/>
        <v>0</v>
      </c>
    </row>
    <row r="141" spans="1:24">
      <c r="A141" s="23" t="s">
        <v>164</v>
      </c>
      <c r="B141" s="35" t="s">
        <v>161</v>
      </c>
      <c r="C141" s="125">
        <v>25915</v>
      </c>
      <c r="D141" s="132">
        <v>3446096494</v>
      </c>
      <c r="E141" s="116">
        <f t="shared" si="39"/>
        <v>132976.90503569361</v>
      </c>
      <c r="F141" s="134">
        <v>1812142967</v>
      </c>
      <c r="G141" s="117">
        <f t="shared" si="40"/>
        <v>69926.412000771757</v>
      </c>
      <c r="H141" s="7"/>
      <c r="I141" s="136">
        <v>2.9049999999999998</v>
      </c>
      <c r="J141" s="134">
        <v>5264275.3191349991</v>
      </c>
      <c r="K141" s="120">
        <f t="shared" si="41"/>
        <v>203.1362268622419</v>
      </c>
      <c r="L141" s="122">
        <f t="shared" si="32"/>
        <v>18121429.670000002</v>
      </c>
      <c r="M141" s="116">
        <f t="shared" si="33"/>
        <v>12857154.350865003</v>
      </c>
      <c r="N141" s="123">
        <f t="shared" si="34"/>
        <v>496.1278931454757</v>
      </c>
      <c r="O141" s="5"/>
      <c r="P141" s="5">
        <f t="shared" si="35"/>
        <v>1</v>
      </c>
      <c r="Q141" s="7">
        <f t="shared" si="36"/>
        <v>25915</v>
      </c>
      <c r="W141" s="124">
        <f t="shared" si="37"/>
        <v>5264275.3191349991</v>
      </c>
      <c r="X141">
        <f t="shared" si="38"/>
        <v>0</v>
      </c>
    </row>
    <row r="142" spans="1:24">
      <c r="A142" s="23" t="s">
        <v>165</v>
      </c>
      <c r="B142" s="35" t="s">
        <v>161</v>
      </c>
      <c r="C142" s="125">
        <v>16473</v>
      </c>
      <c r="D142" s="132">
        <v>5528782660</v>
      </c>
      <c r="E142" s="116">
        <f t="shared" si="39"/>
        <v>335626.94469738362</v>
      </c>
      <c r="F142" s="134">
        <v>3772050908</v>
      </c>
      <c r="G142" s="117">
        <f t="shared" si="40"/>
        <v>228983.84677957871</v>
      </c>
      <c r="H142" s="7"/>
      <c r="I142" s="136">
        <v>2.6964000000000001</v>
      </c>
      <c r="J142" s="134">
        <v>10170958.068331199</v>
      </c>
      <c r="K142" s="120">
        <f t="shared" si="41"/>
        <v>617.43204445645597</v>
      </c>
      <c r="L142" s="122">
        <f t="shared" si="32"/>
        <v>37720509.079999998</v>
      </c>
      <c r="M142" s="116">
        <f t="shared" si="33"/>
        <v>27549551.011668801</v>
      </c>
      <c r="N142" s="123">
        <f t="shared" si="34"/>
        <v>1672.406423339331</v>
      </c>
      <c r="O142" s="5"/>
      <c r="P142" s="5">
        <f t="shared" si="35"/>
        <v>1</v>
      </c>
      <c r="Q142" s="7">
        <f t="shared" si="36"/>
        <v>16473</v>
      </c>
      <c r="S142" s="124">
        <f>SUM(D138:D142)</f>
        <v>15658979393</v>
      </c>
      <c r="T142" s="124">
        <f>SUM(F138:F142)</f>
        <v>10320221852</v>
      </c>
      <c r="U142" s="124">
        <f>SUM(J138:J142)</f>
        <v>22164678.743657097</v>
      </c>
      <c r="W142" s="124">
        <f t="shared" si="37"/>
        <v>10170958.068331201</v>
      </c>
      <c r="X142">
        <f t="shared" si="38"/>
        <v>0</v>
      </c>
    </row>
    <row r="143" spans="1:24">
      <c r="A143" s="23" t="s">
        <v>166</v>
      </c>
      <c r="B143" s="35" t="s">
        <v>167</v>
      </c>
      <c r="C143" s="125">
        <v>466</v>
      </c>
      <c r="D143" s="132">
        <v>21418093</v>
      </c>
      <c r="E143" s="116">
        <f t="shared" si="39"/>
        <v>45961.572961373393</v>
      </c>
      <c r="F143" s="134">
        <v>12254235</v>
      </c>
      <c r="G143" s="117">
        <f t="shared" si="40"/>
        <v>26296.641630901289</v>
      </c>
      <c r="H143" s="9"/>
      <c r="I143" s="136">
        <v>1.5843</v>
      </c>
      <c r="J143" s="134">
        <v>19414.3845105</v>
      </c>
      <c r="K143" s="120">
        <f t="shared" si="41"/>
        <v>41.661769335836908</v>
      </c>
      <c r="L143" s="122">
        <f t="shared" si="32"/>
        <v>122542.35</v>
      </c>
      <c r="M143" s="116">
        <f t="shared" si="33"/>
        <v>103127.9654895</v>
      </c>
      <c r="N143" s="123">
        <f t="shared" si="34"/>
        <v>221.30464697317595</v>
      </c>
      <c r="O143" s="5"/>
      <c r="P143" s="5">
        <f t="shared" si="35"/>
        <v>1</v>
      </c>
      <c r="Q143" s="7">
        <f t="shared" si="36"/>
        <v>466</v>
      </c>
      <c r="W143" s="124">
        <f t="shared" si="37"/>
        <v>19414.3845105</v>
      </c>
      <c r="X143">
        <f t="shared" si="38"/>
        <v>0</v>
      </c>
    </row>
    <row r="144" spans="1:24">
      <c r="A144" s="23" t="s">
        <v>168</v>
      </c>
      <c r="B144" s="35" t="s">
        <v>167</v>
      </c>
      <c r="C144" s="125">
        <v>84</v>
      </c>
      <c r="D144" s="147" t="s">
        <v>564</v>
      </c>
      <c r="E144" s="116"/>
      <c r="F144" s="134"/>
      <c r="G144" s="117"/>
      <c r="H144" s="98" t="s">
        <v>588</v>
      </c>
      <c r="I144" s="136"/>
      <c r="J144" s="134"/>
      <c r="K144" s="120"/>
      <c r="L144" s="122">
        <f t="shared" si="32"/>
        <v>0</v>
      </c>
      <c r="M144" s="116">
        <f t="shared" si="33"/>
        <v>0</v>
      </c>
      <c r="N144" s="123">
        <f t="shared" si="34"/>
        <v>0</v>
      </c>
      <c r="O144" s="5"/>
      <c r="P144" s="5">
        <f t="shared" si="35"/>
        <v>0</v>
      </c>
      <c r="Q144" s="7">
        <f t="shared" si="36"/>
        <v>0</v>
      </c>
      <c r="W144" s="124">
        <f t="shared" si="37"/>
        <v>0</v>
      </c>
      <c r="X144">
        <f t="shared" si="38"/>
        <v>0</v>
      </c>
    </row>
    <row r="145" spans="1:24">
      <c r="A145" s="23" t="s">
        <v>169</v>
      </c>
      <c r="B145" s="35" t="s">
        <v>167</v>
      </c>
      <c r="C145" s="125">
        <v>191</v>
      </c>
      <c r="D145" s="132">
        <v>17998910</v>
      </c>
      <c r="E145" s="116">
        <f>(D145/C145)</f>
        <v>94235.130890052358</v>
      </c>
      <c r="F145" s="134">
        <v>11098535</v>
      </c>
      <c r="G145" s="117">
        <f>(F145/C145)</f>
        <v>58107.513089005239</v>
      </c>
      <c r="H145" s="7"/>
      <c r="I145" s="151">
        <v>2.9399000000000002</v>
      </c>
      <c r="J145" s="134">
        <v>32628.5830465</v>
      </c>
      <c r="K145" s="120">
        <f>(J145/C145)</f>
        <v>170.8302777303665</v>
      </c>
      <c r="L145" s="122">
        <f t="shared" si="32"/>
        <v>110985.35</v>
      </c>
      <c r="M145" s="116">
        <f t="shared" si="33"/>
        <v>78356.766953500002</v>
      </c>
      <c r="N145" s="123">
        <f t="shared" si="34"/>
        <v>410.24485315968587</v>
      </c>
      <c r="O145" s="5"/>
      <c r="P145" s="5">
        <f t="shared" si="35"/>
        <v>1</v>
      </c>
      <c r="Q145" s="7">
        <f t="shared" si="36"/>
        <v>191</v>
      </c>
      <c r="W145" s="124">
        <f t="shared" si="37"/>
        <v>32628.5830465</v>
      </c>
      <c r="X145">
        <f t="shared" si="38"/>
        <v>0</v>
      </c>
    </row>
    <row r="146" spans="1:24">
      <c r="A146" s="23" t="s">
        <v>170</v>
      </c>
      <c r="B146" s="35" t="s">
        <v>167</v>
      </c>
      <c r="C146" s="125">
        <v>852</v>
      </c>
      <c r="D146" s="132">
        <v>39290000</v>
      </c>
      <c r="E146" s="116">
        <f>(D146/C146)</f>
        <v>46115.023474178401</v>
      </c>
      <c r="F146" s="134">
        <v>19706096</v>
      </c>
      <c r="G146" s="117">
        <f>(F146/C146)</f>
        <v>23129.220657276994</v>
      </c>
      <c r="H146" s="7"/>
      <c r="I146" s="136">
        <v>4.3099999999999996</v>
      </c>
      <c r="J146" s="134">
        <v>84933.273759999996</v>
      </c>
      <c r="K146" s="120">
        <f>(J146/C146)</f>
        <v>99.686941032863842</v>
      </c>
      <c r="L146" s="122">
        <f t="shared" si="32"/>
        <v>197060.96</v>
      </c>
      <c r="M146" s="116">
        <f t="shared" si="33"/>
        <v>112127.68624</v>
      </c>
      <c r="N146" s="123">
        <f t="shared" si="34"/>
        <v>131.6052655399061</v>
      </c>
      <c r="O146" s="5"/>
      <c r="P146" s="5">
        <f t="shared" si="35"/>
        <v>1</v>
      </c>
      <c r="Q146" s="7">
        <f t="shared" si="36"/>
        <v>852</v>
      </c>
      <c r="W146" s="124">
        <f t="shared" si="37"/>
        <v>84933.273759999996</v>
      </c>
      <c r="X146">
        <f t="shared" si="38"/>
        <v>0</v>
      </c>
    </row>
    <row r="147" spans="1:24">
      <c r="A147" s="23" t="s">
        <v>171</v>
      </c>
      <c r="B147" s="35" t="s">
        <v>167</v>
      </c>
      <c r="C147" s="125">
        <v>2110</v>
      </c>
      <c r="D147" s="132">
        <v>151675274</v>
      </c>
      <c r="E147" s="116">
        <f>(D147/C147)</f>
        <v>71884.016113744074</v>
      </c>
      <c r="F147" s="134">
        <v>97720913</v>
      </c>
      <c r="G147" s="117">
        <f>(F147/C147)</f>
        <v>46313.22890995261</v>
      </c>
      <c r="H147" s="9"/>
      <c r="I147" s="136">
        <v>4</v>
      </c>
      <c r="J147" s="134">
        <v>390883.652</v>
      </c>
      <c r="K147" s="120">
        <f>(J147/C147)</f>
        <v>185.25291563981042</v>
      </c>
      <c r="L147" s="122">
        <f t="shared" si="32"/>
        <v>977209.13</v>
      </c>
      <c r="M147" s="116">
        <f t="shared" si="33"/>
        <v>586325.478</v>
      </c>
      <c r="N147" s="123">
        <f t="shared" si="34"/>
        <v>277.87937345971562</v>
      </c>
      <c r="O147" s="5"/>
      <c r="P147" s="5">
        <f t="shared" si="35"/>
        <v>1</v>
      </c>
      <c r="Q147" s="7">
        <f t="shared" si="36"/>
        <v>2110</v>
      </c>
      <c r="W147" s="124">
        <f t="shared" si="37"/>
        <v>390883.652</v>
      </c>
      <c r="X147">
        <f t="shared" si="38"/>
        <v>0</v>
      </c>
    </row>
    <row r="148" spans="1:24">
      <c r="A148" s="23" t="s">
        <v>172</v>
      </c>
      <c r="B148" s="35" t="s">
        <v>167</v>
      </c>
      <c r="C148" s="125">
        <v>892</v>
      </c>
      <c r="D148" s="147" t="s">
        <v>564</v>
      </c>
      <c r="E148" s="116"/>
      <c r="F148" s="134"/>
      <c r="G148" s="117"/>
      <c r="H148" s="98" t="s">
        <v>588</v>
      </c>
      <c r="I148" s="136"/>
      <c r="J148" s="134"/>
      <c r="K148" s="120"/>
      <c r="L148" s="122">
        <f t="shared" si="32"/>
        <v>0</v>
      </c>
      <c r="M148" s="116">
        <f t="shared" si="33"/>
        <v>0</v>
      </c>
      <c r="N148" s="123">
        <f t="shared" si="34"/>
        <v>0</v>
      </c>
      <c r="O148" s="5"/>
      <c r="P148" s="5">
        <f t="shared" si="35"/>
        <v>0</v>
      </c>
      <c r="Q148" s="7">
        <f t="shared" si="36"/>
        <v>0</v>
      </c>
      <c r="W148" s="124">
        <f t="shared" si="37"/>
        <v>0</v>
      </c>
      <c r="X148">
        <f t="shared" si="38"/>
        <v>0</v>
      </c>
    </row>
    <row r="149" spans="1:24">
      <c r="A149" s="23" t="s">
        <v>173</v>
      </c>
      <c r="B149" s="35" t="s">
        <v>167</v>
      </c>
      <c r="C149" s="125">
        <v>545</v>
      </c>
      <c r="D149" s="132">
        <v>32155022</v>
      </c>
      <c r="E149" s="116">
        <f t="shared" ref="E149:E197" si="42">(D149/C149)</f>
        <v>59000.040366972476</v>
      </c>
      <c r="F149" s="134">
        <v>15800566</v>
      </c>
      <c r="G149" s="117">
        <f t="shared" ref="G149:G197" si="43">(F149/C149)</f>
        <v>28991.864220183485</v>
      </c>
      <c r="H149" s="7"/>
      <c r="I149" s="150">
        <v>1</v>
      </c>
      <c r="J149" s="134">
        <v>15800.566000000001</v>
      </c>
      <c r="K149" s="120">
        <f t="shared" ref="K149:K197" si="44">(J149/C149)</f>
        <v>28.991864220183487</v>
      </c>
      <c r="L149" s="122">
        <f t="shared" si="32"/>
        <v>158005.66</v>
      </c>
      <c r="M149" s="116">
        <f t="shared" si="33"/>
        <v>142205.09400000001</v>
      </c>
      <c r="N149" s="123">
        <f t="shared" si="34"/>
        <v>260.92677798165141</v>
      </c>
      <c r="O149" s="5"/>
      <c r="P149" s="5">
        <f t="shared" si="35"/>
        <v>1</v>
      </c>
      <c r="Q149" s="7">
        <f t="shared" si="36"/>
        <v>545</v>
      </c>
      <c r="W149" s="124">
        <f t="shared" si="37"/>
        <v>15800.566000000001</v>
      </c>
      <c r="X149">
        <f t="shared" si="38"/>
        <v>0</v>
      </c>
    </row>
    <row r="150" spans="1:24">
      <c r="A150" s="23" t="s">
        <v>508</v>
      </c>
      <c r="B150" s="35" t="s">
        <v>167</v>
      </c>
      <c r="C150" s="125">
        <v>231</v>
      </c>
      <c r="D150" s="132">
        <v>10204459</v>
      </c>
      <c r="E150" s="116">
        <f t="shared" si="42"/>
        <v>44175.147186147187</v>
      </c>
      <c r="F150" s="134">
        <v>5010682</v>
      </c>
      <c r="G150" s="117">
        <f t="shared" si="43"/>
        <v>21691.264069264071</v>
      </c>
      <c r="H150" s="9"/>
      <c r="I150" s="136">
        <v>3.9878999999999998</v>
      </c>
      <c r="J150" s="134">
        <v>19982.098747799999</v>
      </c>
      <c r="K150" s="120">
        <f t="shared" si="44"/>
        <v>86.502591981818171</v>
      </c>
      <c r="L150" s="122">
        <f t="shared" si="32"/>
        <v>50106.82</v>
      </c>
      <c r="M150" s="116">
        <f t="shared" si="33"/>
        <v>30124.721252200001</v>
      </c>
      <c r="N150" s="123">
        <f t="shared" si="34"/>
        <v>130.41004871082251</v>
      </c>
      <c r="O150" s="5"/>
      <c r="P150" s="5">
        <f t="shared" si="35"/>
        <v>1</v>
      </c>
      <c r="Q150" s="7">
        <f t="shared" si="36"/>
        <v>231</v>
      </c>
      <c r="W150" s="124">
        <f t="shared" si="37"/>
        <v>19982.098747799999</v>
      </c>
      <c r="X150">
        <f t="shared" si="38"/>
        <v>0</v>
      </c>
    </row>
    <row r="151" spans="1:24">
      <c r="A151" s="23" t="s">
        <v>175</v>
      </c>
      <c r="B151" s="35" t="s">
        <v>167</v>
      </c>
      <c r="C151" s="125">
        <v>1574</v>
      </c>
      <c r="D151" s="147">
        <v>52899948</v>
      </c>
      <c r="E151" s="116">
        <f t="shared" si="42"/>
        <v>33608.607369758574</v>
      </c>
      <c r="F151" s="134">
        <v>17642714</v>
      </c>
      <c r="G151" s="117">
        <f t="shared" si="43"/>
        <v>11208.839898348158</v>
      </c>
      <c r="H151" s="98"/>
      <c r="I151" s="136">
        <v>1</v>
      </c>
      <c r="J151" s="134">
        <v>17642.714</v>
      </c>
      <c r="K151" s="120">
        <f t="shared" si="44"/>
        <v>11.208839898348158</v>
      </c>
      <c r="L151" s="122">
        <f t="shared" si="32"/>
        <v>176427.14</v>
      </c>
      <c r="M151" s="116">
        <f t="shared" si="33"/>
        <v>158784.42600000001</v>
      </c>
      <c r="N151" s="123">
        <f t="shared" si="34"/>
        <v>100.87955908513342</v>
      </c>
      <c r="O151" s="5"/>
      <c r="P151" s="5">
        <f t="shared" si="35"/>
        <v>1</v>
      </c>
      <c r="Q151" s="7">
        <f t="shared" si="36"/>
        <v>1574</v>
      </c>
      <c r="W151" s="124">
        <f t="shared" si="37"/>
        <v>17642.714</v>
      </c>
      <c r="X151">
        <f t="shared" si="38"/>
        <v>0</v>
      </c>
    </row>
    <row r="152" spans="1:24">
      <c r="A152" s="23" t="s">
        <v>176</v>
      </c>
      <c r="B152" s="35" t="s">
        <v>167</v>
      </c>
      <c r="C152" s="125">
        <v>7035</v>
      </c>
      <c r="D152" s="132">
        <v>535547328</v>
      </c>
      <c r="E152" s="116">
        <f t="shared" si="42"/>
        <v>76126.130490405121</v>
      </c>
      <c r="F152" s="134">
        <v>283145711</v>
      </c>
      <c r="G152" s="117">
        <f t="shared" si="43"/>
        <v>40248.14655294954</v>
      </c>
      <c r="H152" s="7"/>
      <c r="I152" s="150">
        <v>2.9984999999999999</v>
      </c>
      <c r="J152" s="134">
        <v>849012.41443349991</v>
      </c>
      <c r="K152" s="120">
        <f t="shared" si="44"/>
        <v>120.68406743901917</v>
      </c>
      <c r="L152" s="122">
        <f t="shared" si="32"/>
        <v>2831457.11</v>
      </c>
      <c r="M152" s="116">
        <f t="shared" si="33"/>
        <v>1982444.6955665001</v>
      </c>
      <c r="N152" s="123">
        <f t="shared" si="34"/>
        <v>281.79739809047618</v>
      </c>
      <c r="O152" s="5"/>
      <c r="P152" s="5">
        <f t="shared" si="35"/>
        <v>1</v>
      </c>
      <c r="Q152" s="7">
        <f t="shared" si="36"/>
        <v>7035</v>
      </c>
      <c r="W152" s="124">
        <f t="shared" si="37"/>
        <v>849012.41443349991</v>
      </c>
      <c r="X152">
        <f t="shared" si="38"/>
        <v>0</v>
      </c>
    </row>
    <row r="153" spans="1:24">
      <c r="A153" s="23" t="s">
        <v>177</v>
      </c>
      <c r="B153" s="35" t="s">
        <v>167</v>
      </c>
      <c r="C153" s="125">
        <v>1703</v>
      </c>
      <c r="D153" s="132">
        <v>77052140</v>
      </c>
      <c r="E153" s="116">
        <f t="shared" si="42"/>
        <v>45244.944216089258</v>
      </c>
      <c r="F153" s="134">
        <v>39550395</v>
      </c>
      <c r="G153" s="117">
        <f t="shared" si="43"/>
        <v>23223.954785672344</v>
      </c>
      <c r="H153" s="7"/>
      <c r="I153" s="136">
        <v>2.5882999999999998</v>
      </c>
      <c r="J153" s="134">
        <v>102368.2873785</v>
      </c>
      <c r="K153" s="120">
        <f t="shared" si="44"/>
        <v>60.110562171755724</v>
      </c>
      <c r="L153" s="122">
        <f t="shared" si="32"/>
        <v>395503.95</v>
      </c>
      <c r="M153" s="116">
        <f t="shared" si="33"/>
        <v>293135.66262150003</v>
      </c>
      <c r="N153" s="123">
        <f t="shared" si="34"/>
        <v>172.12898568496772</v>
      </c>
      <c r="O153" s="5"/>
      <c r="P153" s="5">
        <f t="shared" si="35"/>
        <v>1</v>
      </c>
      <c r="Q153" s="7">
        <f t="shared" si="36"/>
        <v>1703</v>
      </c>
      <c r="S153" s="124">
        <f>SUM(D143:D153)</f>
        <v>938241174</v>
      </c>
      <c r="T153" s="124">
        <f>SUM(F143:F153)</f>
        <v>501929847</v>
      </c>
      <c r="U153" s="124">
        <f>SUM(J143:J153)</f>
        <v>1532665.9738767999</v>
      </c>
      <c r="W153" s="124">
        <f t="shared" si="37"/>
        <v>102368.2873785</v>
      </c>
      <c r="X153">
        <f t="shared" si="38"/>
        <v>0</v>
      </c>
    </row>
    <row r="154" spans="1:24">
      <c r="A154" s="23" t="s">
        <v>178</v>
      </c>
      <c r="B154" s="35" t="s">
        <v>179</v>
      </c>
      <c r="C154" s="125">
        <v>2646</v>
      </c>
      <c r="D154" s="132">
        <v>211856218</v>
      </c>
      <c r="E154" s="116">
        <f t="shared" si="42"/>
        <v>80066.597883597889</v>
      </c>
      <c r="F154" s="134">
        <v>121387211</v>
      </c>
      <c r="G154" s="117">
        <f t="shared" si="43"/>
        <v>45875.741118669692</v>
      </c>
      <c r="H154" s="7"/>
      <c r="I154" s="136">
        <v>6.8</v>
      </c>
      <c r="J154" s="134">
        <v>825433.03479999991</v>
      </c>
      <c r="K154" s="120">
        <f t="shared" si="44"/>
        <v>311.95503960695385</v>
      </c>
      <c r="L154" s="122">
        <f t="shared" si="32"/>
        <v>1213872.1100000001</v>
      </c>
      <c r="M154" s="116">
        <f t="shared" si="33"/>
        <v>388439.0752000002</v>
      </c>
      <c r="N154" s="123">
        <f t="shared" si="34"/>
        <v>146.8023715797431</v>
      </c>
      <c r="O154" s="5"/>
      <c r="P154" s="5">
        <f t="shared" si="35"/>
        <v>1</v>
      </c>
      <c r="Q154" s="7">
        <f t="shared" si="36"/>
        <v>2646</v>
      </c>
      <c r="S154" s="124">
        <f>SUM(D154)</f>
        <v>211856218</v>
      </c>
      <c r="T154" s="124">
        <f>SUM(F154)</f>
        <v>121387211</v>
      </c>
      <c r="U154" s="124">
        <f>SUM(J154)</f>
        <v>825433.03479999991</v>
      </c>
      <c r="W154" s="124">
        <f t="shared" si="37"/>
        <v>825433.03479999991</v>
      </c>
      <c r="X154">
        <f t="shared" si="38"/>
        <v>0</v>
      </c>
    </row>
    <row r="155" spans="1:24">
      <c r="A155" s="23" t="s">
        <v>180</v>
      </c>
      <c r="B155" s="35" t="s">
        <v>181</v>
      </c>
      <c r="C155" s="125">
        <v>1075</v>
      </c>
      <c r="D155" s="132">
        <v>51138629</v>
      </c>
      <c r="E155" s="116">
        <f t="shared" si="42"/>
        <v>47570.817674418606</v>
      </c>
      <c r="F155" s="134">
        <v>26875698</v>
      </c>
      <c r="G155" s="117">
        <f t="shared" si="43"/>
        <v>25000.649302325583</v>
      </c>
      <c r="H155" s="7"/>
      <c r="I155" s="136">
        <v>7</v>
      </c>
      <c r="J155" s="134">
        <v>188129.886</v>
      </c>
      <c r="K155" s="120">
        <f t="shared" si="44"/>
        <v>175.00454511627908</v>
      </c>
      <c r="L155" s="122">
        <f t="shared" si="32"/>
        <v>268756.98</v>
      </c>
      <c r="M155" s="116">
        <f t="shared" si="33"/>
        <v>80627.093999999983</v>
      </c>
      <c r="N155" s="123">
        <f t="shared" si="34"/>
        <v>75.001947906976724</v>
      </c>
      <c r="O155" s="5"/>
      <c r="P155" s="5">
        <f t="shared" si="35"/>
        <v>1</v>
      </c>
      <c r="Q155" s="7">
        <f t="shared" si="36"/>
        <v>1075</v>
      </c>
      <c r="S155" s="124">
        <f>SUM(D155)</f>
        <v>51138629</v>
      </c>
      <c r="T155" s="124">
        <f>SUM(F155)</f>
        <v>26875698</v>
      </c>
      <c r="U155" s="124">
        <f>SUM(J155)</f>
        <v>188129.886</v>
      </c>
      <c r="W155" s="124">
        <f t="shared" si="37"/>
        <v>188129.886</v>
      </c>
      <c r="X155">
        <f t="shared" si="38"/>
        <v>0</v>
      </c>
    </row>
    <row r="156" spans="1:24">
      <c r="A156" s="23" t="s">
        <v>182</v>
      </c>
      <c r="B156" s="35" t="s">
        <v>183</v>
      </c>
      <c r="C156" s="125">
        <v>1995</v>
      </c>
      <c r="D156" s="147">
        <v>146437158</v>
      </c>
      <c r="E156" s="116">
        <f t="shared" si="42"/>
        <v>73402.084210526315</v>
      </c>
      <c r="F156" s="134">
        <v>80624428</v>
      </c>
      <c r="G156" s="117">
        <f t="shared" si="43"/>
        <v>40413.247117794483</v>
      </c>
      <c r="H156" s="9"/>
      <c r="I156" s="136">
        <v>7.5</v>
      </c>
      <c r="J156" s="134">
        <v>604683.21</v>
      </c>
      <c r="K156" s="120">
        <f t="shared" si="44"/>
        <v>303.09935338345861</v>
      </c>
      <c r="L156" s="122">
        <f t="shared" si="32"/>
        <v>806244.28</v>
      </c>
      <c r="M156" s="116">
        <f t="shared" si="33"/>
        <v>201561.07000000007</v>
      </c>
      <c r="N156" s="123">
        <f t="shared" si="34"/>
        <v>101.03311779448624</v>
      </c>
      <c r="O156" s="5"/>
      <c r="P156" s="5">
        <f t="shared" si="35"/>
        <v>1</v>
      </c>
      <c r="Q156" s="7">
        <f t="shared" si="36"/>
        <v>1995</v>
      </c>
      <c r="W156" s="124">
        <f t="shared" si="37"/>
        <v>604683.21</v>
      </c>
      <c r="X156">
        <f t="shared" si="38"/>
        <v>0</v>
      </c>
    </row>
    <row r="157" spans="1:24">
      <c r="A157" s="23" t="s">
        <v>184</v>
      </c>
      <c r="B157" s="35" t="s">
        <v>183</v>
      </c>
      <c r="C157" s="125">
        <v>45812</v>
      </c>
      <c r="D157" s="147">
        <v>6465536632</v>
      </c>
      <c r="E157" s="116">
        <f t="shared" si="42"/>
        <v>141131.94429407144</v>
      </c>
      <c r="F157" s="134">
        <v>4210584372</v>
      </c>
      <c r="G157" s="117">
        <f t="shared" si="43"/>
        <v>91910.075351436302</v>
      </c>
      <c r="H157" s="9"/>
      <c r="I157" s="136">
        <v>5.0599999999999996</v>
      </c>
      <c r="J157" s="134">
        <v>21305556.922320001</v>
      </c>
      <c r="K157" s="120">
        <f t="shared" si="44"/>
        <v>465.06498127826774</v>
      </c>
      <c r="L157" s="122">
        <f t="shared" si="32"/>
        <v>42105843.719999999</v>
      </c>
      <c r="M157" s="116">
        <f t="shared" si="33"/>
        <v>20800286.797679998</v>
      </c>
      <c r="N157" s="123">
        <f t="shared" si="34"/>
        <v>454.03577223609528</v>
      </c>
      <c r="O157" s="5"/>
      <c r="P157" s="5">
        <f t="shared" si="35"/>
        <v>1</v>
      </c>
      <c r="Q157" s="7">
        <f t="shared" si="36"/>
        <v>45812</v>
      </c>
      <c r="W157" s="124">
        <f t="shared" si="37"/>
        <v>21305556.922319997</v>
      </c>
      <c r="X157">
        <f t="shared" si="38"/>
        <v>0</v>
      </c>
    </row>
    <row r="158" spans="1:24">
      <c r="A158" s="23" t="s">
        <v>185</v>
      </c>
      <c r="B158" s="35" t="s">
        <v>183</v>
      </c>
      <c r="C158" s="125">
        <v>23595</v>
      </c>
      <c r="D158" s="132">
        <v>2207113293</v>
      </c>
      <c r="E158" s="116">
        <f t="shared" si="42"/>
        <v>93541.567832167828</v>
      </c>
      <c r="F158" s="134">
        <v>1346708137</v>
      </c>
      <c r="G158" s="117">
        <f t="shared" si="43"/>
        <v>57075.996482305571</v>
      </c>
      <c r="H158" s="7"/>
      <c r="I158" s="136">
        <v>7.5810000000000004</v>
      </c>
      <c r="J158" s="134">
        <v>10209394.386597</v>
      </c>
      <c r="K158" s="120">
        <f t="shared" si="44"/>
        <v>432.69312933235858</v>
      </c>
      <c r="L158" s="122">
        <f t="shared" si="32"/>
        <v>13467081.370000001</v>
      </c>
      <c r="M158" s="116">
        <f t="shared" si="33"/>
        <v>3257686.983403001</v>
      </c>
      <c r="N158" s="123">
        <f t="shared" si="34"/>
        <v>138.06683549069723</v>
      </c>
      <c r="O158" s="5"/>
      <c r="P158" s="5">
        <f t="shared" si="35"/>
        <v>1</v>
      </c>
      <c r="Q158" s="7">
        <f t="shared" si="36"/>
        <v>23595</v>
      </c>
      <c r="W158" s="124">
        <f t="shared" si="37"/>
        <v>10209394.386597</v>
      </c>
      <c r="X158">
        <f t="shared" si="38"/>
        <v>0</v>
      </c>
    </row>
    <row r="159" spans="1:24">
      <c r="A159" s="23" t="s">
        <v>186</v>
      </c>
      <c r="B159" s="35" t="s">
        <v>183</v>
      </c>
      <c r="C159" s="125">
        <v>8615</v>
      </c>
      <c r="D159" s="132">
        <v>1401592905</v>
      </c>
      <c r="E159" s="116">
        <f t="shared" si="42"/>
        <v>162692.153801509</v>
      </c>
      <c r="F159" s="134">
        <v>944762408</v>
      </c>
      <c r="G159" s="117">
        <f t="shared" si="43"/>
        <v>109664.81810795124</v>
      </c>
      <c r="H159" s="7"/>
      <c r="I159" s="136">
        <v>3.9134000000000002</v>
      </c>
      <c r="J159" s="134">
        <v>3697233.2074672002</v>
      </c>
      <c r="K159" s="120">
        <f t="shared" si="44"/>
        <v>429.16229918365644</v>
      </c>
      <c r="L159" s="122">
        <f t="shared" si="32"/>
        <v>9447624.0800000001</v>
      </c>
      <c r="M159" s="116">
        <f t="shared" si="33"/>
        <v>5750390.8725327998</v>
      </c>
      <c r="N159" s="123">
        <f t="shared" si="34"/>
        <v>667.4858818958561</v>
      </c>
      <c r="O159" s="5"/>
      <c r="P159" s="5">
        <f t="shared" si="35"/>
        <v>1</v>
      </c>
      <c r="Q159" s="7">
        <f t="shared" si="36"/>
        <v>8615</v>
      </c>
      <c r="W159" s="124">
        <f t="shared" si="37"/>
        <v>3697233.2074672002</v>
      </c>
      <c r="X159">
        <f t="shared" si="38"/>
        <v>0</v>
      </c>
    </row>
    <row r="160" spans="1:24">
      <c r="A160" s="23" t="s">
        <v>187</v>
      </c>
      <c r="B160" s="35" t="s">
        <v>183</v>
      </c>
      <c r="C160" s="125">
        <v>21633</v>
      </c>
      <c r="D160" s="132">
        <v>2581620835</v>
      </c>
      <c r="E160" s="116">
        <f t="shared" si="42"/>
        <v>119337.16243701751</v>
      </c>
      <c r="F160" s="134">
        <v>1680270335</v>
      </c>
      <c r="G160" s="117">
        <f t="shared" si="43"/>
        <v>77671.628299357457</v>
      </c>
      <c r="H160" s="7"/>
      <c r="I160" s="136">
        <v>5.2</v>
      </c>
      <c r="J160" s="134">
        <v>8737405.7420000006</v>
      </c>
      <c r="K160" s="120">
        <f t="shared" si="44"/>
        <v>403.89246715665882</v>
      </c>
      <c r="L160" s="122">
        <f t="shared" si="32"/>
        <v>16802703.350000001</v>
      </c>
      <c r="M160" s="116">
        <f t="shared" si="33"/>
        <v>8065297.6080000009</v>
      </c>
      <c r="N160" s="123">
        <f t="shared" si="34"/>
        <v>372.82381583691586</v>
      </c>
      <c r="O160" s="5"/>
      <c r="P160" s="5">
        <f t="shared" si="35"/>
        <v>1</v>
      </c>
      <c r="Q160" s="7">
        <f t="shared" si="36"/>
        <v>21633</v>
      </c>
      <c r="W160" s="124">
        <f t="shared" si="37"/>
        <v>8737405.7419999987</v>
      </c>
      <c r="X160">
        <f t="shared" si="38"/>
        <v>0</v>
      </c>
    </row>
    <row r="161" spans="1:24">
      <c r="A161" s="23" t="s">
        <v>188</v>
      </c>
      <c r="B161" s="35" t="s">
        <v>183</v>
      </c>
      <c r="C161" s="125">
        <v>1778</v>
      </c>
      <c r="D161" s="132">
        <v>260968617</v>
      </c>
      <c r="E161" s="116">
        <f t="shared" si="42"/>
        <v>146776.5</v>
      </c>
      <c r="F161" s="134">
        <v>152335282</v>
      </c>
      <c r="G161" s="117">
        <f t="shared" si="43"/>
        <v>85677.886389201347</v>
      </c>
      <c r="H161" s="7"/>
      <c r="I161" s="136">
        <v>7.5</v>
      </c>
      <c r="J161" s="134">
        <v>1142514.615</v>
      </c>
      <c r="K161" s="120">
        <f t="shared" si="44"/>
        <v>642.58414791901009</v>
      </c>
      <c r="L161" s="122">
        <f t="shared" si="32"/>
        <v>1523352.82</v>
      </c>
      <c r="M161" s="116">
        <f t="shared" si="33"/>
        <v>380838.20500000007</v>
      </c>
      <c r="N161" s="123">
        <f t="shared" si="34"/>
        <v>214.19471597300341</v>
      </c>
      <c r="O161" s="5"/>
      <c r="P161" s="5">
        <f t="shared" si="35"/>
        <v>1</v>
      </c>
      <c r="Q161" s="7">
        <f t="shared" si="36"/>
        <v>1778</v>
      </c>
      <c r="W161" s="124">
        <f t="shared" si="37"/>
        <v>1142514.615</v>
      </c>
      <c r="X161">
        <f t="shared" si="38"/>
        <v>0</v>
      </c>
    </row>
    <row r="162" spans="1:24">
      <c r="A162" s="23" t="s">
        <v>189</v>
      </c>
      <c r="B162" s="35" t="s">
        <v>183</v>
      </c>
      <c r="C162" s="125">
        <v>16174</v>
      </c>
      <c r="D162" s="132">
        <v>2203841373</v>
      </c>
      <c r="E162" s="116">
        <f t="shared" si="42"/>
        <v>136258.27704958577</v>
      </c>
      <c r="F162" s="134">
        <v>1484223126</v>
      </c>
      <c r="G162" s="117">
        <f t="shared" si="43"/>
        <v>91765.990231235322</v>
      </c>
      <c r="H162" s="7"/>
      <c r="I162" s="136">
        <v>3.3961999999999999</v>
      </c>
      <c r="J162" s="134">
        <v>5040718.5805211999</v>
      </c>
      <c r="K162" s="120">
        <f t="shared" si="44"/>
        <v>311.6556560233214</v>
      </c>
      <c r="L162" s="122">
        <f t="shared" si="32"/>
        <v>14842231.26</v>
      </c>
      <c r="M162" s="116">
        <f t="shared" si="33"/>
        <v>9801512.6794787999</v>
      </c>
      <c r="N162" s="123">
        <f t="shared" si="34"/>
        <v>606.00424628903181</v>
      </c>
      <c r="O162" s="5"/>
      <c r="P162" s="5">
        <f t="shared" si="35"/>
        <v>1</v>
      </c>
      <c r="Q162" s="7">
        <f t="shared" si="36"/>
        <v>16174</v>
      </c>
      <c r="W162" s="124">
        <f t="shared" si="37"/>
        <v>5040718.5805211999</v>
      </c>
      <c r="X162">
        <f t="shared" si="38"/>
        <v>0</v>
      </c>
    </row>
    <row r="163" spans="1:24">
      <c r="A163" s="23" t="s">
        <v>190</v>
      </c>
      <c r="B163" s="35" t="s">
        <v>183</v>
      </c>
      <c r="C163" s="125">
        <v>28833</v>
      </c>
      <c r="D163" s="132">
        <v>3159897461</v>
      </c>
      <c r="E163" s="116">
        <f t="shared" si="42"/>
        <v>109593.08642874483</v>
      </c>
      <c r="F163" s="134">
        <v>2023336002</v>
      </c>
      <c r="G163" s="117">
        <f t="shared" si="43"/>
        <v>70174.314223285823</v>
      </c>
      <c r="H163" s="7"/>
      <c r="I163" s="136">
        <v>4.0191999999999997</v>
      </c>
      <c r="J163" s="134">
        <v>8132192.0592383994</v>
      </c>
      <c r="K163" s="120">
        <f t="shared" si="44"/>
        <v>282.04460372623032</v>
      </c>
      <c r="L163" s="122">
        <f t="shared" si="32"/>
        <v>20233360.02</v>
      </c>
      <c r="M163" s="116">
        <f t="shared" si="33"/>
        <v>12101167.960761599</v>
      </c>
      <c r="N163" s="123">
        <f t="shared" si="34"/>
        <v>419.69853850662781</v>
      </c>
      <c r="O163" s="5"/>
      <c r="P163" s="5">
        <f t="shared" si="35"/>
        <v>1</v>
      </c>
      <c r="Q163" s="7">
        <f t="shared" si="36"/>
        <v>28833</v>
      </c>
      <c r="W163" s="124">
        <f t="shared" si="37"/>
        <v>8132192.0592383994</v>
      </c>
      <c r="X163">
        <f t="shared" si="38"/>
        <v>0</v>
      </c>
    </row>
    <row r="164" spans="1:24">
      <c r="A164" s="23" t="s">
        <v>191</v>
      </c>
      <c r="B164" s="35" t="s">
        <v>183</v>
      </c>
      <c r="C164" s="125">
        <v>8040</v>
      </c>
      <c r="D164" s="132">
        <v>581746981</v>
      </c>
      <c r="E164" s="116">
        <f t="shared" si="42"/>
        <v>72356.589676616917</v>
      </c>
      <c r="F164" s="134">
        <v>324554278</v>
      </c>
      <c r="G164" s="117">
        <f t="shared" si="43"/>
        <v>40367.447512437808</v>
      </c>
      <c r="H164" s="7"/>
      <c r="I164" s="136">
        <v>5</v>
      </c>
      <c r="J164" s="134">
        <v>1622771.39</v>
      </c>
      <c r="K164" s="120">
        <f t="shared" si="44"/>
        <v>201.83723756218905</v>
      </c>
      <c r="L164" s="122">
        <f t="shared" si="32"/>
        <v>3245542.7800000003</v>
      </c>
      <c r="M164" s="116">
        <f t="shared" si="33"/>
        <v>1622771.3900000004</v>
      </c>
      <c r="N164" s="123">
        <f t="shared" si="34"/>
        <v>201.8372375621891</v>
      </c>
      <c r="O164" s="5"/>
      <c r="P164" s="5">
        <f t="shared" si="35"/>
        <v>1</v>
      </c>
      <c r="Q164" s="7">
        <f t="shared" si="36"/>
        <v>8040</v>
      </c>
      <c r="W164" s="124">
        <f t="shared" si="37"/>
        <v>1622771.3900000001</v>
      </c>
      <c r="X164">
        <f t="shared" si="38"/>
        <v>0</v>
      </c>
    </row>
    <row r="165" spans="1:24">
      <c r="A165" s="23" t="s">
        <v>192</v>
      </c>
      <c r="B165" s="35" t="s">
        <v>183</v>
      </c>
      <c r="C165" s="125">
        <v>16446</v>
      </c>
      <c r="D165" s="147">
        <v>1819750027</v>
      </c>
      <c r="E165" s="116">
        <f t="shared" si="42"/>
        <v>110650.00772224249</v>
      </c>
      <c r="F165" s="134">
        <v>1116390207</v>
      </c>
      <c r="G165" s="117">
        <f t="shared" si="43"/>
        <v>67882.172382342207</v>
      </c>
      <c r="H165" s="7"/>
      <c r="I165" s="136">
        <v>5.8</v>
      </c>
      <c r="J165" s="134">
        <v>6475063.2005999992</v>
      </c>
      <c r="K165" s="120">
        <f t="shared" si="44"/>
        <v>393.71659981758478</v>
      </c>
      <c r="L165" s="122">
        <f t="shared" si="32"/>
        <v>11163902.07</v>
      </c>
      <c r="M165" s="116">
        <f t="shared" si="33"/>
        <v>4688838.8694000011</v>
      </c>
      <c r="N165" s="123">
        <f t="shared" si="34"/>
        <v>285.10512400583735</v>
      </c>
      <c r="O165" s="5"/>
      <c r="P165" s="5">
        <f t="shared" si="35"/>
        <v>1</v>
      </c>
      <c r="Q165" s="7">
        <f t="shared" si="36"/>
        <v>16446</v>
      </c>
      <c r="W165" s="124">
        <f t="shared" si="37"/>
        <v>6475063.2005999992</v>
      </c>
      <c r="X165">
        <f t="shared" si="38"/>
        <v>0</v>
      </c>
    </row>
    <row r="166" spans="1:24">
      <c r="A166" s="23" t="s">
        <v>193</v>
      </c>
      <c r="B166" s="35" t="s">
        <v>183</v>
      </c>
      <c r="C166" s="125">
        <v>1712</v>
      </c>
      <c r="D166" s="132">
        <v>261993678</v>
      </c>
      <c r="E166" s="116">
        <f t="shared" si="42"/>
        <v>153033.69042056074</v>
      </c>
      <c r="F166" s="134">
        <v>145194773</v>
      </c>
      <c r="G166" s="117">
        <f t="shared" si="43"/>
        <v>84810.03095794392</v>
      </c>
      <c r="H166" s="7"/>
      <c r="I166" s="136">
        <v>2.83</v>
      </c>
      <c r="J166" s="134">
        <v>410901.20759000001</v>
      </c>
      <c r="K166" s="120">
        <f t="shared" si="44"/>
        <v>240.01238761098131</v>
      </c>
      <c r="L166" s="122">
        <f t="shared" si="32"/>
        <v>1451947.73</v>
      </c>
      <c r="M166" s="116">
        <f t="shared" si="33"/>
        <v>1041046.52241</v>
      </c>
      <c r="N166" s="123">
        <f t="shared" si="34"/>
        <v>608.08792196845798</v>
      </c>
      <c r="O166" s="5"/>
      <c r="P166" s="5">
        <f t="shared" si="35"/>
        <v>1</v>
      </c>
      <c r="Q166" s="7">
        <f t="shared" si="36"/>
        <v>1712</v>
      </c>
      <c r="W166" s="124">
        <f t="shared" si="37"/>
        <v>410901.20759000001</v>
      </c>
      <c r="X166">
        <f t="shared" si="38"/>
        <v>0</v>
      </c>
    </row>
    <row r="167" spans="1:24">
      <c r="A167" s="23" t="s">
        <v>194</v>
      </c>
      <c r="B167" s="35" t="s">
        <v>183</v>
      </c>
      <c r="C167" s="125">
        <v>17129</v>
      </c>
      <c r="D167" s="132">
        <v>2312122649</v>
      </c>
      <c r="E167" s="116">
        <f t="shared" si="42"/>
        <v>134982.93239535292</v>
      </c>
      <c r="F167" s="134">
        <v>1548811273</v>
      </c>
      <c r="G167" s="117">
        <f t="shared" si="43"/>
        <v>90420.414093058556</v>
      </c>
      <c r="H167" s="7"/>
      <c r="I167" s="136">
        <v>5.9603000000000002</v>
      </c>
      <c r="J167" s="134">
        <v>9231379.8304619007</v>
      </c>
      <c r="K167" s="120">
        <f t="shared" si="44"/>
        <v>538.93279411885692</v>
      </c>
      <c r="L167" s="122">
        <f t="shared" si="32"/>
        <v>15488112.73</v>
      </c>
      <c r="M167" s="116">
        <f t="shared" si="33"/>
        <v>6256732.8995380998</v>
      </c>
      <c r="N167" s="123">
        <f t="shared" si="34"/>
        <v>365.27134681172862</v>
      </c>
      <c r="O167" s="5"/>
      <c r="P167" s="5">
        <f t="shared" si="35"/>
        <v>1</v>
      </c>
      <c r="Q167" s="7">
        <f t="shared" si="36"/>
        <v>17129</v>
      </c>
      <c r="W167" s="124">
        <f t="shared" si="37"/>
        <v>9231379.8304619007</v>
      </c>
      <c r="X167">
        <f t="shared" si="38"/>
        <v>0</v>
      </c>
    </row>
    <row r="168" spans="1:24">
      <c r="A168" s="23" t="s">
        <v>195</v>
      </c>
      <c r="B168" s="35" t="s">
        <v>183</v>
      </c>
      <c r="C168" s="125">
        <v>20296</v>
      </c>
      <c r="D168" s="132">
        <v>2404348608</v>
      </c>
      <c r="E168" s="116">
        <f t="shared" si="42"/>
        <v>118464.16081986598</v>
      </c>
      <c r="F168" s="134">
        <v>1306336436</v>
      </c>
      <c r="G168" s="117">
        <f t="shared" si="43"/>
        <v>64364.231178557355</v>
      </c>
      <c r="H168" s="7"/>
      <c r="I168" s="136">
        <v>6.6950000000000003</v>
      </c>
      <c r="J168" s="134">
        <v>8745922.4390200004</v>
      </c>
      <c r="K168" s="120">
        <f t="shared" si="44"/>
        <v>430.9185277404415</v>
      </c>
      <c r="L168" s="122">
        <f t="shared" si="32"/>
        <v>13063364.359999999</v>
      </c>
      <c r="M168" s="116">
        <f t="shared" si="33"/>
        <v>4317441.920979999</v>
      </c>
      <c r="N168" s="123">
        <f t="shared" si="34"/>
        <v>212.72378404513199</v>
      </c>
      <c r="O168" s="5"/>
      <c r="P168" s="5">
        <f t="shared" si="35"/>
        <v>1</v>
      </c>
      <c r="Q168" s="7">
        <f t="shared" si="36"/>
        <v>20296</v>
      </c>
      <c r="W168" s="124">
        <f t="shared" si="37"/>
        <v>8745922.4390200004</v>
      </c>
      <c r="X168">
        <f t="shared" si="38"/>
        <v>0</v>
      </c>
    </row>
    <row r="169" spans="1:24">
      <c r="A169" s="23" t="s">
        <v>196</v>
      </c>
      <c r="B169" s="35" t="s">
        <v>183</v>
      </c>
      <c r="C169" s="125">
        <v>3875</v>
      </c>
      <c r="D169" s="132">
        <v>356674211</v>
      </c>
      <c r="E169" s="116">
        <f t="shared" si="42"/>
        <v>92044.957677419356</v>
      </c>
      <c r="F169" s="134">
        <v>207338132</v>
      </c>
      <c r="G169" s="117">
        <f t="shared" si="43"/>
        <v>53506.614709677422</v>
      </c>
      <c r="H169" s="7"/>
      <c r="I169" s="136">
        <v>7.1089000000000002</v>
      </c>
      <c r="J169" s="134">
        <v>1473946.0465748</v>
      </c>
      <c r="K169" s="120">
        <f t="shared" si="44"/>
        <v>380.37317330962583</v>
      </c>
      <c r="L169" s="122">
        <f t="shared" si="32"/>
        <v>2073381.32</v>
      </c>
      <c r="M169" s="116">
        <f t="shared" si="33"/>
        <v>599435.27342520002</v>
      </c>
      <c r="N169" s="123">
        <f t="shared" si="34"/>
        <v>154.69297378714839</v>
      </c>
      <c r="O169" s="5"/>
      <c r="P169" s="5">
        <f t="shared" si="35"/>
        <v>1</v>
      </c>
      <c r="Q169" s="7">
        <f t="shared" si="36"/>
        <v>3875</v>
      </c>
      <c r="S169" s="124">
        <f>SUM(D156:D169)</f>
        <v>26163644428</v>
      </c>
      <c r="T169" s="124">
        <f>SUM(F156:F169)</f>
        <v>16571469189</v>
      </c>
      <c r="U169" s="124">
        <f>SUM(J156:J169)</f>
        <v>86829682.837390512</v>
      </c>
      <c r="W169" s="124">
        <f t="shared" si="37"/>
        <v>1473946.0465748</v>
      </c>
      <c r="X169">
        <f t="shared" si="38"/>
        <v>0</v>
      </c>
    </row>
    <row r="170" spans="1:24">
      <c r="A170" s="23" t="s">
        <v>448</v>
      </c>
      <c r="B170" s="35" t="s">
        <v>198</v>
      </c>
      <c r="C170" s="125">
        <v>55502</v>
      </c>
      <c r="D170" s="132">
        <v>20318742168</v>
      </c>
      <c r="E170" s="116">
        <f t="shared" si="42"/>
        <v>366090.27004432271</v>
      </c>
      <c r="F170" s="134">
        <v>14314866319</v>
      </c>
      <c r="G170" s="117">
        <f t="shared" si="43"/>
        <v>257916.22498288349</v>
      </c>
      <c r="H170" s="7"/>
      <c r="I170" s="136">
        <v>0.8</v>
      </c>
      <c r="J170" s="134">
        <v>11451893.055200001</v>
      </c>
      <c r="K170" s="120">
        <f t="shared" si="44"/>
        <v>206.33297998630681</v>
      </c>
      <c r="L170" s="122">
        <f t="shared" si="32"/>
        <v>143148663.19</v>
      </c>
      <c r="M170" s="116">
        <f t="shared" si="33"/>
        <v>131696770.1348</v>
      </c>
      <c r="N170" s="123">
        <f t="shared" si="34"/>
        <v>2372.8292698425284</v>
      </c>
      <c r="O170" s="5"/>
      <c r="P170" s="5">
        <f t="shared" si="35"/>
        <v>1</v>
      </c>
      <c r="Q170" s="7">
        <f t="shared" si="36"/>
        <v>55502</v>
      </c>
      <c r="W170" s="124">
        <f t="shared" si="37"/>
        <v>11451893.055200001</v>
      </c>
      <c r="X170">
        <f t="shared" si="38"/>
        <v>0</v>
      </c>
    </row>
    <row r="171" spans="1:24">
      <c r="A171" s="23" t="s">
        <v>197</v>
      </c>
      <c r="B171" s="35" t="s">
        <v>198</v>
      </c>
      <c r="C171" s="125">
        <v>208053</v>
      </c>
      <c r="D171" s="132">
        <v>39449126436</v>
      </c>
      <c r="E171" s="116">
        <f t="shared" si="42"/>
        <v>189610.94738359938</v>
      </c>
      <c r="F171" s="134">
        <v>22545069623</v>
      </c>
      <c r="G171" s="117">
        <f t="shared" si="43"/>
        <v>108362.14629445382</v>
      </c>
      <c r="H171" s="7"/>
      <c r="I171" s="136">
        <v>5.3693999999999997</v>
      </c>
      <c r="J171" s="134">
        <v>121053496.8337362</v>
      </c>
      <c r="K171" s="120">
        <f t="shared" si="44"/>
        <v>581.83970831344027</v>
      </c>
      <c r="L171" s="122">
        <f t="shared" si="32"/>
        <v>225450696.23000002</v>
      </c>
      <c r="M171" s="116">
        <f t="shared" si="33"/>
        <v>104397199.39626382</v>
      </c>
      <c r="N171" s="123">
        <f t="shared" si="34"/>
        <v>501.78175463109795</v>
      </c>
      <c r="O171" s="5"/>
      <c r="P171" s="5">
        <f t="shared" si="35"/>
        <v>1</v>
      </c>
      <c r="Q171" s="7">
        <f t="shared" si="36"/>
        <v>208053</v>
      </c>
      <c r="W171" s="124">
        <f t="shared" si="37"/>
        <v>121053496.8337362</v>
      </c>
      <c r="X171">
        <f t="shared" si="38"/>
        <v>0</v>
      </c>
    </row>
    <row r="172" spans="1:24">
      <c r="A172" s="24" t="s">
        <v>598</v>
      </c>
      <c r="B172" s="37" t="s">
        <v>198</v>
      </c>
      <c r="C172" s="125">
        <v>37842</v>
      </c>
      <c r="D172" s="147">
        <v>11132499571</v>
      </c>
      <c r="E172" s="116">
        <f t="shared" si="42"/>
        <v>294183.69988372707</v>
      </c>
      <c r="F172" s="134">
        <v>7929707459</v>
      </c>
      <c r="G172" s="117">
        <f t="shared" si="43"/>
        <v>209547.78973098673</v>
      </c>
      <c r="H172" s="98"/>
      <c r="I172" s="136">
        <v>0.75</v>
      </c>
      <c r="J172" s="134">
        <v>5947280.5942500001</v>
      </c>
      <c r="K172" s="120">
        <f t="shared" si="44"/>
        <v>157.16084229824006</v>
      </c>
      <c r="L172" s="122">
        <f t="shared" si="32"/>
        <v>79297074.590000004</v>
      </c>
      <c r="M172" s="116">
        <f t="shared" si="33"/>
        <v>73349793.99575001</v>
      </c>
      <c r="N172" s="123">
        <f t="shared" si="34"/>
        <v>1938.3170550116276</v>
      </c>
      <c r="O172" s="5"/>
      <c r="P172" s="5">
        <f>IF(I172&gt;0,1,0)</f>
        <v>1</v>
      </c>
      <c r="Q172" s="7">
        <f>IF(I172&gt;0,C172,0)</f>
        <v>37842</v>
      </c>
      <c r="W172" s="124">
        <f t="shared" si="37"/>
        <v>5947280.5942500001</v>
      </c>
      <c r="X172">
        <f t="shared" si="38"/>
        <v>0</v>
      </c>
    </row>
    <row r="173" spans="1:24">
      <c r="A173" s="23" t="s">
        <v>199</v>
      </c>
      <c r="B173" s="35" t="s">
        <v>198</v>
      </c>
      <c r="C173" s="125">
        <v>96755</v>
      </c>
      <c r="D173" s="132">
        <v>16535398888</v>
      </c>
      <c r="E173" s="116">
        <f t="shared" si="42"/>
        <v>170899.68361324997</v>
      </c>
      <c r="F173" s="134">
        <v>10319057041</v>
      </c>
      <c r="G173" s="117">
        <f t="shared" si="43"/>
        <v>106651.40861970957</v>
      </c>
      <c r="H173" s="7"/>
      <c r="I173" s="136">
        <v>6.9999000000000002</v>
      </c>
      <c r="J173" s="134">
        <v>72232367.381295905</v>
      </c>
      <c r="K173" s="120">
        <f t="shared" si="44"/>
        <v>746.54919519710506</v>
      </c>
      <c r="L173" s="122">
        <f t="shared" si="32"/>
        <v>103190570.41</v>
      </c>
      <c r="M173" s="116">
        <f t="shared" si="33"/>
        <v>30958203.028704092</v>
      </c>
      <c r="N173" s="123">
        <f t="shared" si="34"/>
        <v>319.96489099999059</v>
      </c>
      <c r="O173" s="5"/>
      <c r="P173" s="5">
        <f t="shared" si="35"/>
        <v>1</v>
      </c>
      <c r="Q173" s="7">
        <f t="shared" si="36"/>
        <v>96755</v>
      </c>
      <c r="W173" s="124">
        <f t="shared" si="37"/>
        <v>72232367.381295905</v>
      </c>
      <c r="X173">
        <f t="shared" si="38"/>
        <v>0</v>
      </c>
    </row>
    <row r="174" spans="1:24">
      <c r="A174" s="23" t="s">
        <v>200</v>
      </c>
      <c r="B174" s="35" t="s">
        <v>198</v>
      </c>
      <c r="C174" s="125">
        <v>5589</v>
      </c>
      <c r="D174" s="132">
        <v>6263620895</v>
      </c>
      <c r="E174" s="116">
        <f t="shared" si="42"/>
        <v>1120705.1162998748</v>
      </c>
      <c r="F174" s="134">
        <v>4469009246</v>
      </c>
      <c r="G174" s="117">
        <f t="shared" si="43"/>
        <v>799608.0239756665</v>
      </c>
      <c r="H174" s="7"/>
      <c r="I174" s="136">
        <v>0.99</v>
      </c>
      <c r="J174" s="134">
        <v>4424319.1535400003</v>
      </c>
      <c r="K174" s="120">
        <f t="shared" si="44"/>
        <v>791.6119437359099</v>
      </c>
      <c r="L174" s="122">
        <f t="shared" si="32"/>
        <v>44690092.460000001</v>
      </c>
      <c r="M174" s="116">
        <f t="shared" si="33"/>
        <v>40265773.306460001</v>
      </c>
      <c r="N174" s="123">
        <f t="shared" si="34"/>
        <v>7204.4682960207556</v>
      </c>
      <c r="O174" s="5"/>
      <c r="P174" s="5">
        <f t="shared" si="35"/>
        <v>1</v>
      </c>
      <c r="Q174" s="7">
        <f t="shared" si="36"/>
        <v>5589</v>
      </c>
      <c r="W174" s="124">
        <f t="shared" si="37"/>
        <v>4424319.1535400003</v>
      </c>
      <c r="X174">
        <f t="shared" si="38"/>
        <v>0</v>
      </c>
    </row>
    <row r="175" spans="1:24">
      <c r="A175" s="23" t="s">
        <v>201</v>
      </c>
      <c r="B175" s="35" t="s">
        <v>198</v>
      </c>
      <c r="C175" s="125">
        <v>6485</v>
      </c>
      <c r="D175" s="132">
        <v>8840510867</v>
      </c>
      <c r="E175" s="116">
        <f t="shared" si="42"/>
        <v>1363224.4976098689</v>
      </c>
      <c r="F175" s="134">
        <v>6338265027</v>
      </c>
      <c r="G175" s="117">
        <f t="shared" si="43"/>
        <v>977373.17301464919</v>
      </c>
      <c r="H175" s="98"/>
      <c r="I175" s="136">
        <v>1.9750000000000001</v>
      </c>
      <c r="J175" s="134">
        <v>12518073.428325001</v>
      </c>
      <c r="K175" s="120">
        <f t="shared" si="44"/>
        <v>1930.3120167039324</v>
      </c>
      <c r="L175" s="122">
        <f t="shared" si="32"/>
        <v>63382650.270000003</v>
      </c>
      <c r="M175" s="116">
        <f t="shared" si="33"/>
        <v>50864576.841674998</v>
      </c>
      <c r="N175" s="123">
        <f t="shared" si="34"/>
        <v>7843.4197134425594</v>
      </c>
      <c r="O175" s="5"/>
      <c r="P175" s="5">
        <f t="shared" si="35"/>
        <v>1</v>
      </c>
      <c r="Q175" s="7">
        <f t="shared" si="36"/>
        <v>6485</v>
      </c>
      <c r="S175" s="184">
        <f>SUM(D170:D175)</f>
        <v>102539898825</v>
      </c>
      <c r="T175" s="184">
        <f>SUM(F170:F175)</f>
        <v>65915974715</v>
      </c>
      <c r="U175" s="184">
        <f>SUM(J170:J175)</f>
        <v>227627430.44634712</v>
      </c>
      <c r="W175" s="124">
        <f t="shared" si="37"/>
        <v>12518073.428325001</v>
      </c>
      <c r="X175">
        <f t="shared" si="38"/>
        <v>0</v>
      </c>
    </row>
    <row r="176" spans="1:24">
      <c r="A176" s="23" t="s">
        <v>202</v>
      </c>
      <c r="B176" s="35" t="s">
        <v>203</v>
      </c>
      <c r="C176" s="125">
        <v>200289</v>
      </c>
      <c r="D176" s="132">
        <v>24992531864</v>
      </c>
      <c r="E176" s="116">
        <f t="shared" si="42"/>
        <v>124782.34882594651</v>
      </c>
      <c r="F176" s="134">
        <v>14397967347</v>
      </c>
      <c r="G176" s="117">
        <f t="shared" si="43"/>
        <v>71885.961520602723</v>
      </c>
      <c r="H176" s="7"/>
      <c r="I176" s="136">
        <v>4.0999999999999996</v>
      </c>
      <c r="J176" s="185">
        <v>59031666.122699998</v>
      </c>
      <c r="K176" s="120">
        <f t="shared" si="44"/>
        <v>294.73244223447119</v>
      </c>
      <c r="L176" s="122">
        <f t="shared" si="32"/>
        <v>143979673.47</v>
      </c>
      <c r="M176" s="116">
        <f t="shared" si="33"/>
        <v>84948007.347299993</v>
      </c>
      <c r="N176" s="123">
        <f t="shared" si="34"/>
        <v>424.12717297155609</v>
      </c>
      <c r="O176" s="5"/>
      <c r="P176" s="5">
        <f t="shared" si="35"/>
        <v>1</v>
      </c>
      <c r="Q176" s="7">
        <f t="shared" si="36"/>
        <v>200289</v>
      </c>
      <c r="S176" s="124">
        <f>SUM(D176)</f>
        <v>24992531864</v>
      </c>
      <c r="T176" s="124">
        <f>SUM(F176)</f>
        <v>14397967347</v>
      </c>
      <c r="U176" s="124">
        <f>SUM(J176)</f>
        <v>59031666.122699998</v>
      </c>
      <c r="W176" s="124">
        <f t="shared" si="37"/>
        <v>59031666.122699991</v>
      </c>
      <c r="X176">
        <f t="shared" si="38"/>
        <v>0</v>
      </c>
    </row>
    <row r="177" spans="1:24">
      <c r="A177" s="23" t="s">
        <v>204</v>
      </c>
      <c r="B177" s="35" t="s">
        <v>205</v>
      </c>
      <c r="C177" s="125">
        <v>1147</v>
      </c>
      <c r="D177" s="132">
        <v>109326521</v>
      </c>
      <c r="E177" s="116">
        <f t="shared" si="42"/>
        <v>95315.188317349603</v>
      </c>
      <c r="F177" s="134">
        <v>50377042</v>
      </c>
      <c r="G177" s="117">
        <f t="shared" si="43"/>
        <v>43920.699215344379</v>
      </c>
      <c r="H177" s="7"/>
      <c r="I177" s="136">
        <v>5.5380000000000003</v>
      </c>
      <c r="J177" s="134">
        <v>278988.05859600002</v>
      </c>
      <c r="K177" s="120">
        <f t="shared" si="44"/>
        <v>243.23283225457718</v>
      </c>
      <c r="L177" s="122">
        <f t="shared" si="32"/>
        <v>503770.42</v>
      </c>
      <c r="M177" s="116">
        <f t="shared" si="33"/>
        <v>224782.36140399997</v>
      </c>
      <c r="N177" s="123">
        <f t="shared" si="34"/>
        <v>195.97415989886659</v>
      </c>
      <c r="O177" s="5"/>
      <c r="P177" s="5">
        <f t="shared" si="35"/>
        <v>1</v>
      </c>
      <c r="Q177" s="7">
        <f t="shared" si="36"/>
        <v>1147</v>
      </c>
      <c r="W177" s="124">
        <f t="shared" si="37"/>
        <v>278988.05859600002</v>
      </c>
      <c r="X177">
        <f t="shared" si="38"/>
        <v>0</v>
      </c>
    </row>
    <row r="178" spans="1:24">
      <c r="A178" s="23" t="s">
        <v>206</v>
      </c>
      <c r="B178" s="35" t="s">
        <v>205</v>
      </c>
      <c r="C178" s="125">
        <v>689</v>
      </c>
      <c r="D178" s="132">
        <v>275270883</v>
      </c>
      <c r="E178" s="116">
        <f t="shared" si="42"/>
        <v>399522.32656023221</v>
      </c>
      <c r="F178" s="134">
        <v>186725773</v>
      </c>
      <c r="G178" s="117">
        <f t="shared" si="43"/>
        <v>271009.83018867922</v>
      </c>
      <c r="H178" s="7"/>
      <c r="I178" s="136">
        <v>4.7439999999999998</v>
      </c>
      <c r="J178" s="134">
        <v>885827.06711199996</v>
      </c>
      <c r="K178" s="120">
        <f t="shared" si="44"/>
        <v>1285.6706344150944</v>
      </c>
      <c r="L178" s="122">
        <f t="shared" si="32"/>
        <v>1867257.73</v>
      </c>
      <c r="M178" s="116">
        <f t="shared" si="33"/>
        <v>981430.66288800002</v>
      </c>
      <c r="N178" s="123">
        <f t="shared" si="34"/>
        <v>1424.4276674716982</v>
      </c>
      <c r="O178" s="5"/>
      <c r="P178" s="5">
        <f t="shared" si="35"/>
        <v>1</v>
      </c>
      <c r="Q178" s="7">
        <f t="shared" si="36"/>
        <v>689</v>
      </c>
      <c r="W178" s="124">
        <f t="shared" si="37"/>
        <v>885827.06711199996</v>
      </c>
      <c r="X178">
        <f t="shared" si="38"/>
        <v>0</v>
      </c>
    </row>
    <row r="179" spans="1:24">
      <c r="A179" s="23" t="s">
        <v>207</v>
      </c>
      <c r="B179" s="35" t="s">
        <v>205</v>
      </c>
      <c r="C179" s="125">
        <v>2321</v>
      </c>
      <c r="D179" s="132">
        <v>248226923</v>
      </c>
      <c r="E179" s="116">
        <f t="shared" si="42"/>
        <v>106948.26497199482</v>
      </c>
      <c r="F179" s="134">
        <v>163870193</v>
      </c>
      <c r="G179" s="117">
        <f t="shared" si="43"/>
        <v>70603.271434726412</v>
      </c>
      <c r="H179" s="7"/>
      <c r="I179" s="136">
        <v>8.5493000000000006</v>
      </c>
      <c r="J179" s="134">
        <v>1400975.4410149001</v>
      </c>
      <c r="K179" s="120">
        <f t="shared" si="44"/>
        <v>603.60854847690655</v>
      </c>
      <c r="L179" s="122">
        <f t="shared" si="32"/>
        <v>1638701.93</v>
      </c>
      <c r="M179" s="116">
        <f t="shared" si="33"/>
        <v>237726.48898509983</v>
      </c>
      <c r="N179" s="123">
        <f t="shared" si="34"/>
        <v>102.42416587035753</v>
      </c>
      <c r="O179" s="5"/>
      <c r="P179" s="5">
        <f t="shared" si="35"/>
        <v>1</v>
      </c>
      <c r="Q179" s="7">
        <f t="shared" si="36"/>
        <v>2321</v>
      </c>
      <c r="W179" s="124">
        <f t="shared" si="37"/>
        <v>1400975.4410149001</v>
      </c>
      <c r="X179">
        <f t="shared" si="38"/>
        <v>0</v>
      </c>
    </row>
    <row r="180" spans="1:24">
      <c r="A180" s="23" t="s">
        <v>208</v>
      </c>
      <c r="B180" s="35" t="s">
        <v>205</v>
      </c>
      <c r="C180" s="125">
        <v>1492</v>
      </c>
      <c r="D180" s="132">
        <v>138937105</v>
      </c>
      <c r="E180" s="116">
        <f t="shared" si="42"/>
        <v>93121.384048257372</v>
      </c>
      <c r="F180" s="134">
        <v>82202529</v>
      </c>
      <c r="G180" s="117">
        <f t="shared" si="43"/>
        <v>55095.528820375337</v>
      </c>
      <c r="H180" s="7"/>
      <c r="I180" s="136">
        <v>4.5312000000000001</v>
      </c>
      <c r="J180" s="134">
        <v>372476.09940479998</v>
      </c>
      <c r="K180" s="120">
        <f t="shared" si="44"/>
        <v>249.6488601908847</v>
      </c>
      <c r="L180" s="122">
        <f t="shared" si="32"/>
        <v>822025.29</v>
      </c>
      <c r="M180" s="116">
        <f t="shared" si="33"/>
        <v>449549.19059520005</v>
      </c>
      <c r="N180" s="123">
        <f t="shared" si="34"/>
        <v>301.30642801286865</v>
      </c>
      <c r="O180" s="5"/>
      <c r="P180" s="5">
        <f t="shared" si="35"/>
        <v>1</v>
      </c>
      <c r="Q180" s="7">
        <f t="shared" si="36"/>
        <v>1492</v>
      </c>
      <c r="W180" s="124">
        <f t="shared" si="37"/>
        <v>372476.09940479998</v>
      </c>
      <c r="X180">
        <f t="shared" si="38"/>
        <v>0</v>
      </c>
    </row>
    <row r="181" spans="1:24">
      <c r="A181" s="23" t="s">
        <v>209</v>
      </c>
      <c r="B181" s="35" t="s">
        <v>205</v>
      </c>
      <c r="C181" s="125">
        <v>108</v>
      </c>
      <c r="D181" s="132">
        <v>13450036</v>
      </c>
      <c r="E181" s="116">
        <f t="shared" si="42"/>
        <v>124537.37037037036</v>
      </c>
      <c r="F181" s="134">
        <v>7949442</v>
      </c>
      <c r="G181" s="117">
        <f t="shared" si="43"/>
        <v>73605.944444444438</v>
      </c>
      <c r="H181" s="7"/>
      <c r="I181" s="136">
        <v>6.9542999999999999</v>
      </c>
      <c r="J181" s="134">
        <v>55282.804500600003</v>
      </c>
      <c r="K181" s="120">
        <f t="shared" si="44"/>
        <v>511.87781945</v>
      </c>
      <c r="L181" s="122">
        <f t="shared" si="32"/>
        <v>79494.42</v>
      </c>
      <c r="M181" s="116">
        <f t="shared" si="33"/>
        <v>24211.615499399995</v>
      </c>
      <c r="N181" s="123">
        <f t="shared" si="34"/>
        <v>224.18162499444441</v>
      </c>
      <c r="O181" s="5"/>
      <c r="P181" s="5">
        <f t="shared" si="35"/>
        <v>1</v>
      </c>
      <c r="Q181" s="7">
        <f t="shared" si="36"/>
        <v>108</v>
      </c>
      <c r="W181" s="124">
        <f t="shared" si="37"/>
        <v>55282.804500600003</v>
      </c>
      <c r="X181">
        <f t="shared" si="38"/>
        <v>0</v>
      </c>
    </row>
    <row r="182" spans="1:24">
      <c r="A182" s="23" t="s">
        <v>210</v>
      </c>
      <c r="B182" s="35" t="s">
        <v>205</v>
      </c>
      <c r="C182" s="125">
        <v>3085</v>
      </c>
      <c r="D182" s="132">
        <v>264039174</v>
      </c>
      <c r="E182" s="116">
        <f t="shared" si="42"/>
        <v>85588.062884927072</v>
      </c>
      <c r="F182" s="134">
        <v>133423989</v>
      </c>
      <c r="G182" s="117">
        <f t="shared" si="43"/>
        <v>43249.267098865479</v>
      </c>
      <c r="H182" s="7"/>
      <c r="I182" s="136">
        <v>6.75</v>
      </c>
      <c r="J182" s="134">
        <v>900611.92575000005</v>
      </c>
      <c r="K182" s="120">
        <f t="shared" si="44"/>
        <v>291.93255291734198</v>
      </c>
      <c r="L182" s="122">
        <f t="shared" si="32"/>
        <v>1334239.8900000001</v>
      </c>
      <c r="M182" s="116">
        <f t="shared" si="33"/>
        <v>433627.96425000008</v>
      </c>
      <c r="N182" s="123">
        <f t="shared" si="34"/>
        <v>140.56011807131284</v>
      </c>
      <c r="O182" s="5"/>
      <c r="P182" s="5">
        <f t="shared" si="35"/>
        <v>1</v>
      </c>
      <c r="Q182" s="7">
        <f t="shared" si="36"/>
        <v>3085</v>
      </c>
      <c r="W182" s="124">
        <f t="shared" si="37"/>
        <v>900611.92574999994</v>
      </c>
      <c r="X182">
        <f t="shared" si="38"/>
        <v>0</v>
      </c>
    </row>
    <row r="183" spans="1:24">
      <c r="A183" s="23" t="s">
        <v>211</v>
      </c>
      <c r="B183" s="35" t="s">
        <v>205</v>
      </c>
      <c r="C183" s="125">
        <v>585</v>
      </c>
      <c r="D183" s="132">
        <v>127457277</v>
      </c>
      <c r="E183" s="116">
        <f t="shared" si="42"/>
        <v>217875.68717948717</v>
      </c>
      <c r="F183" s="134">
        <v>74872093</v>
      </c>
      <c r="G183" s="117">
        <f t="shared" si="43"/>
        <v>127986.48376068375</v>
      </c>
      <c r="H183" s="7"/>
      <c r="I183" s="136">
        <v>3.0442</v>
      </c>
      <c r="J183" s="134">
        <v>227925.62551059999</v>
      </c>
      <c r="K183" s="120">
        <f t="shared" si="44"/>
        <v>389.61645386427347</v>
      </c>
      <c r="L183" s="122">
        <f t="shared" si="32"/>
        <v>748720.93</v>
      </c>
      <c r="M183" s="116">
        <f t="shared" si="33"/>
        <v>520795.30448940006</v>
      </c>
      <c r="N183" s="123">
        <f t="shared" si="34"/>
        <v>890.24838374256422</v>
      </c>
      <c r="O183" s="5"/>
      <c r="P183" s="5">
        <f t="shared" si="35"/>
        <v>1</v>
      </c>
      <c r="Q183" s="7">
        <f t="shared" si="36"/>
        <v>585</v>
      </c>
      <c r="S183" s="124">
        <f>SUM(D177:D183)</f>
        <v>1176707919</v>
      </c>
      <c r="T183" s="124">
        <f>SUM(F177:F183)</f>
        <v>699421061</v>
      </c>
      <c r="U183" s="124">
        <f>SUM(J177:J183)</f>
        <v>4122087.0218889001</v>
      </c>
      <c r="W183" s="124">
        <f t="shared" si="37"/>
        <v>227925.62551059999</v>
      </c>
      <c r="X183">
        <f t="shared" si="38"/>
        <v>0</v>
      </c>
    </row>
    <row r="184" spans="1:24">
      <c r="A184" s="23" t="s">
        <v>212</v>
      </c>
      <c r="B184" s="35" t="s">
        <v>213</v>
      </c>
      <c r="C184" s="125">
        <v>945</v>
      </c>
      <c r="D184" s="132">
        <v>65519495</v>
      </c>
      <c r="E184" s="116">
        <f t="shared" si="42"/>
        <v>69332.798941798945</v>
      </c>
      <c r="F184" s="134">
        <v>28757314</v>
      </c>
      <c r="G184" s="117">
        <f t="shared" si="43"/>
        <v>30431.020105820106</v>
      </c>
      <c r="H184" s="7"/>
      <c r="I184" s="136">
        <v>6.3878000000000004</v>
      </c>
      <c r="J184" s="134">
        <v>183695.97036920002</v>
      </c>
      <c r="K184" s="120">
        <f t="shared" si="44"/>
        <v>194.3872702319577</v>
      </c>
      <c r="L184" s="122">
        <f t="shared" si="32"/>
        <v>287573.14</v>
      </c>
      <c r="M184" s="116">
        <f t="shared" si="33"/>
        <v>103877.1696308</v>
      </c>
      <c r="N184" s="123">
        <f t="shared" si="34"/>
        <v>109.92293082624339</v>
      </c>
      <c r="O184" s="5"/>
      <c r="P184" s="5">
        <f t="shared" si="35"/>
        <v>1</v>
      </c>
      <c r="Q184" s="7">
        <f t="shared" si="36"/>
        <v>945</v>
      </c>
      <c r="S184" s="124">
        <f>SUM(D184)</f>
        <v>65519495</v>
      </c>
      <c r="T184" s="124">
        <f>SUM(F184)</f>
        <v>28757314</v>
      </c>
      <c r="U184" s="124">
        <f>SUM(J184)</f>
        <v>183695.97036920002</v>
      </c>
      <c r="W184" s="124">
        <f t="shared" si="37"/>
        <v>183695.97036920002</v>
      </c>
      <c r="X184">
        <f t="shared" si="38"/>
        <v>0</v>
      </c>
    </row>
    <row r="185" spans="1:24">
      <c r="A185" s="23" t="s">
        <v>214</v>
      </c>
      <c r="B185" s="35" t="s">
        <v>215</v>
      </c>
      <c r="C185" s="125">
        <v>756</v>
      </c>
      <c r="D185" s="132">
        <v>26404370</v>
      </c>
      <c r="E185" s="116">
        <f t="shared" si="42"/>
        <v>34926.415343915345</v>
      </c>
      <c r="F185" s="134">
        <v>12743924</v>
      </c>
      <c r="G185" s="117">
        <f t="shared" si="43"/>
        <v>16857.042328042327</v>
      </c>
      <c r="H185" s="7"/>
      <c r="I185" s="136">
        <v>10</v>
      </c>
      <c r="J185" s="134">
        <v>127439.24</v>
      </c>
      <c r="K185" s="120">
        <f t="shared" si="44"/>
        <v>168.57042328042328</v>
      </c>
      <c r="L185" s="122">
        <f t="shared" si="32"/>
        <v>127439.24</v>
      </c>
      <c r="M185" s="116">
        <f t="shared" si="33"/>
        <v>0</v>
      </c>
      <c r="N185" s="123">
        <f t="shared" si="34"/>
        <v>0</v>
      </c>
      <c r="O185" s="5"/>
      <c r="P185" s="5">
        <f t="shared" si="35"/>
        <v>1</v>
      </c>
      <c r="Q185" s="7">
        <f t="shared" si="36"/>
        <v>756</v>
      </c>
      <c r="W185" s="124">
        <f t="shared" si="37"/>
        <v>127439.24</v>
      </c>
      <c r="X185">
        <f t="shared" si="38"/>
        <v>0</v>
      </c>
    </row>
    <row r="186" spans="1:24">
      <c r="A186" s="23" t="s">
        <v>198</v>
      </c>
      <c r="B186" s="35" t="s">
        <v>215</v>
      </c>
      <c r="C186" s="125">
        <v>388</v>
      </c>
      <c r="D186" s="132">
        <v>27398896</v>
      </c>
      <c r="E186" s="116">
        <f t="shared" si="42"/>
        <v>70615.71134020618</v>
      </c>
      <c r="F186" s="134">
        <v>11607604</v>
      </c>
      <c r="G186" s="117">
        <f t="shared" si="43"/>
        <v>29916.505154639177</v>
      </c>
      <c r="H186" s="7"/>
      <c r="I186" s="136">
        <v>7</v>
      </c>
      <c r="J186" s="134">
        <v>81253.228000000003</v>
      </c>
      <c r="K186" s="120">
        <f t="shared" si="44"/>
        <v>209.41553608247423</v>
      </c>
      <c r="L186" s="122">
        <f t="shared" si="32"/>
        <v>116076.04000000001</v>
      </c>
      <c r="M186" s="116">
        <f t="shared" si="33"/>
        <v>34822.812000000005</v>
      </c>
      <c r="N186" s="123">
        <f t="shared" si="34"/>
        <v>89.749515463917533</v>
      </c>
      <c r="O186" s="5"/>
      <c r="P186" s="5">
        <f t="shared" si="35"/>
        <v>1</v>
      </c>
      <c r="Q186" s="7">
        <f t="shared" si="36"/>
        <v>388</v>
      </c>
      <c r="W186" s="124">
        <f t="shared" si="37"/>
        <v>81253.228000000003</v>
      </c>
      <c r="X186">
        <f t="shared" si="38"/>
        <v>0</v>
      </c>
    </row>
    <row r="187" spans="1:24">
      <c r="A187" s="23" t="s">
        <v>215</v>
      </c>
      <c r="B187" s="35" t="s">
        <v>215</v>
      </c>
      <c r="C187" s="125">
        <v>3002</v>
      </c>
      <c r="D187" s="132">
        <v>190716384</v>
      </c>
      <c r="E187" s="116">
        <f t="shared" si="42"/>
        <v>63529.774816788806</v>
      </c>
      <c r="F187" s="134">
        <v>102885603</v>
      </c>
      <c r="G187" s="117">
        <f t="shared" si="43"/>
        <v>34272.352764823452</v>
      </c>
      <c r="H187" s="7"/>
      <c r="I187" s="136">
        <v>7</v>
      </c>
      <c r="J187" s="134">
        <v>720199.22100000002</v>
      </c>
      <c r="K187" s="120">
        <f t="shared" si="44"/>
        <v>239.90646935376415</v>
      </c>
      <c r="L187" s="122">
        <f t="shared" si="32"/>
        <v>1028856.03</v>
      </c>
      <c r="M187" s="116">
        <f t="shared" si="33"/>
        <v>308656.80900000001</v>
      </c>
      <c r="N187" s="123">
        <f t="shared" si="34"/>
        <v>102.81705829447036</v>
      </c>
      <c r="O187" s="5"/>
      <c r="P187" s="5">
        <f t="shared" si="35"/>
        <v>1</v>
      </c>
      <c r="Q187" s="7">
        <f t="shared" si="36"/>
        <v>3002</v>
      </c>
      <c r="S187" s="124">
        <f>SUM(D185:D187)</f>
        <v>244519650</v>
      </c>
      <c r="T187" s="124">
        <f>SUM(F185:F187)</f>
        <v>127237131</v>
      </c>
      <c r="U187" s="124">
        <f>SUM(J185:J187)</f>
        <v>928891.68900000001</v>
      </c>
      <c r="W187" s="124">
        <f t="shared" si="37"/>
        <v>720199.22100000002</v>
      </c>
      <c r="X187">
        <f t="shared" si="38"/>
        <v>0</v>
      </c>
    </row>
    <row r="188" spans="1:24">
      <c r="A188" s="23" t="s">
        <v>216</v>
      </c>
      <c r="B188" s="35" t="s">
        <v>217</v>
      </c>
      <c r="C188" s="125">
        <v>984</v>
      </c>
      <c r="D188" s="132">
        <v>2449377919</v>
      </c>
      <c r="E188" s="116">
        <f t="shared" si="42"/>
        <v>2489205.2022357723</v>
      </c>
      <c r="F188" s="134">
        <v>1732339169</v>
      </c>
      <c r="G188" s="117">
        <f t="shared" si="43"/>
        <v>1760507.2855691058</v>
      </c>
      <c r="H188" s="7"/>
      <c r="I188" s="136">
        <v>2.0499999999999998</v>
      </c>
      <c r="J188" s="134">
        <v>3551295.2964499998</v>
      </c>
      <c r="K188" s="120">
        <f t="shared" si="44"/>
        <v>3609.0399354166666</v>
      </c>
      <c r="L188" s="122">
        <f t="shared" si="32"/>
        <v>17323391.690000001</v>
      </c>
      <c r="M188" s="116">
        <f t="shared" si="33"/>
        <v>13772096.393550001</v>
      </c>
      <c r="N188" s="123">
        <f t="shared" si="34"/>
        <v>13996.032920274391</v>
      </c>
      <c r="O188" s="5"/>
      <c r="P188" s="5">
        <f t="shared" si="35"/>
        <v>1</v>
      </c>
      <c r="Q188" s="7">
        <f t="shared" si="36"/>
        <v>984</v>
      </c>
      <c r="W188" s="124">
        <f t="shared" si="37"/>
        <v>3551295.2964499993</v>
      </c>
      <c r="X188">
        <f t="shared" si="38"/>
        <v>0</v>
      </c>
    </row>
    <row r="189" spans="1:24">
      <c r="A189" s="23" t="s">
        <v>218</v>
      </c>
      <c r="B189" s="35" t="s">
        <v>217</v>
      </c>
      <c r="C189" s="125">
        <v>56957</v>
      </c>
      <c r="D189" s="132">
        <v>8172920422</v>
      </c>
      <c r="E189" s="116">
        <f t="shared" si="42"/>
        <v>143492.81777481257</v>
      </c>
      <c r="F189" s="134">
        <v>5161426083</v>
      </c>
      <c r="G189" s="117">
        <f t="shared" si="43"/>
        <v>90619.697017047947</v>
      </c>
      <c r="H189" s="7"/>
      <c r="I189" s="136">
        <v>5.8350999999999997</v>
      </c>
      <c r="J189" s="134">
        <v>30117437.336913299</v>
      </c>
      <c r="K189" s="120">
        <f t="shared" si="44"/>
        <v>528.77499406417644</v>
      </c>
      <c r="L189" s="122">
        <f t="shared" si="32"/>
        <v>51614260.829999998</v>
      </c>
      <c r="M189" s="116">
        <f t="shared" si="33"/>
        <v>21496823.493086699</v>
      </c>
      <c r="N189" s="123">
        <f t="shared" si="34"/>
        <v>377.42197610630296</v>
      </c>
      <c r="O189" s="5"/>
      <c r="P189" s="5">
        <f t="shared" si="35"/>
        <v>1</v>
      </c>
      <c r="Q189" s="7">
        <f t="shared" si="36"/>
        <v>56957</v>
      </c>
      <c r="W189" s="124">
        <f t="shared" si="37"/>
        <v>30117437.336913295</v>
      </c>
      <c r="X189">
        <f t="shared" si="38"/>
        <v>0</v>
      </c>
    </row>
    <row r="190" spans="1:24">
      <c r="A190" s="23" t="s">
        <v>219</v>
      </c>
      <c r="B190" s="35" t="s">
        <v>217</v>
      </c>
      <c r="C190" s="125">
        <v>897</v>
      </c>
      <c r="D190" s="132">
        <v>1177822519</v>
      </c>
      <c r="E190" s="116">
        <f t="shared" si="42"/>
        <v>1313068.5830546266</v>
      </c>
      <c r="F190" s="134">
        <v>857361046</v>
      </c>
      <c r="G190" s="117">
        <f t="shared" si="43"/>
        <v>955809.41583054629</v>
      </c>
      <c r="H190" s="7"/>
      <c r="I190" s="136">
        <v>2.3329</v>
      </c>
      <c r="J190" s="134">
        <v>2000137.5842133998</v>
      </c>
      <c r="K190" s="120">
        <f t="shared" si="44"/>
        <v>2229.807786191081</v>
      </c>
      <c r="L190" s="122">
        <f t="shared" si="32"/>
        <v>8573610.4600000009</v>
      </c>
      <c r="M190" s="116">
        <f t="shared" si="33"/>
        <v>6573472.8757866006</v>
      </c>
      <c r="N190" s="123">
        <f t="shared" si="34"/>
        <v>7328.2863721143822</v>
      </c>
      <c r="O190" s="5"/>
      <c r="P190" s="5">
        <f t="shared" si="35"/>
        <v>1</v>
      </c>
      <c r="Q190" s="7">
        <f t="shared" si="36"/>
        <v>897</v>
      </c>
      <c r="W190" s="124">
        <f t="shared" si="37"/>
        <v>2000137.5842134</v>
      </c>
      <c r="X190">
        <f t="shared" si="38"/>
        <v>0</v>
      </c>
    </row>
    <row r="191" spans="1:24">
      <c r="A191" s="23" t="s">
        <v>220</v>
      </c>
      <c r="B191" s="35" t="s">
        <v>217</v>
      </c>
      <c r="C191" s="125">
        <v>3023</v>
      </c>
      <c r="D191" s="132">
        <v>3865144429</v>
      </c>
      <c r="E191" s="116">
        <f t="shared" si="42"/>
        <v>1278579.0370492889</v>
      </c>
      <c r="F191" s="134">
        <v>2770184718</v>
      </c>
      <c r="G191" s="117">
        <f t="shared" si="43"/>
        <v>916369.40721137938</v>
      </c>
      <c r="H191" s="7"/>
      <c r="I191" s="136">
        <v>2.0699999999999998</v>
      </c>
      <c r="J191" s="134">
        <v>5734282.3662599996</v>
      </c>
      <c r="K191" s="120">
        <f t="shared" si="44"/>
        <v>1896.8846729275554</v>
      </c>
      <c r="L191" s="122">
        <f t="shared" si="32"/>
        <v>27701847.18</v>
      </c>
      <c r="M191" s="116">
        <f t="shared" si="33"/>
        <v>21967564.81374</v>
      </c>
      <c r="N191" s="123">
        <f t="shared" si="34"/>
        <v>7266.8093991862388</v>
      </c>
      <c r="O191" s="5"/>
      <c r="P191" s="5">
        <f t="shared" si="35"/>
        <v>1</v>
      </c>
      <c r="Q191" s="7">
        <f t="shared" si="36"/>
        <v>3023</v>
      </c>
      <c r="W191" s="124">
        <f t="shared" si="37"/>
        <v>5734282.3662599996</v>
      </c>
      <c r="X191">
        <f t="shared" si="38"/>
        <v>0</v>
      </c>
    </row>
    <row r="192" spans="1:24">
      <c r="A192" s="23" t="s">
        <v>221</v>
      </c>
      <c r="B192" s="35" t="s">
        <v>217</v>
      </c>
      <c r="C192" s="125">
        <v>13493</v>
      </c>
      <c r="D192" s="132">
        <v>2022230783</v>
      </c>
      <c r="E192" s="116">
        <f t="shared" si="42"/>
        <v>149872.58452530942</v>
      </c>
      <c r="F192" s="134">
        <v>1184803749</v>
      </c>
      <c r="G192" s="117">
        <f t="shared" si="43"/>
        <v>87808.771140591416</v>
      </c>
      <c r="H192" s="7"/>
      <c r="I192" s="136">
        <v>5.9671000000000003</v>
      </c>
      <c r="J192" s="134">
        <v>7069842.4506579004</v>
      </c>
      <c r="K192" s="120">
        <f t="shared" si="44"/>
        <v>523.96371827302312</v>
      </c>
      <c r="L192" s="122">
        <f t="shared" si="32"/>
        <v>11848037.49</v>
      </c>
      <c r="M192" s="116">
        <f t="shared" si="33"/>
        <v>4778195.0393420998</v>
      </c>
      <c r="N192" s="123">
        <f t="shared" si="34"/>
        <v>354.12399313289109</v>
      </c>
      <c r="O192" s="5"/>
      <c r="P192" s="5">
        <f t="shared" si="35"/>
        <v>1</v>
      </c>
      <c r="Q192" s="7">
        <f t="shared" si="36"/>
        <v>13493</v>
      </c>
      <c r="W192" s="124">
        <f t="shared" si="37"/>
        <v>7069842.4506579004</v>
      </c>
      <c r="X192">
        <f t="shared" si="38"/>
        <v>0</v>
      </c>
    </row>
    <row r="193" spans="1:24">
      <c r="A193" s="23" t="s">
        <v>478</v>
      </c>
      <c r="B193" s="35" t="s">
        <v>222</v>
      </c>
      <c r="C193" s="125">
        <v>7519</v>
      </c>
      <c r="D193" s="132">
        <f>(2995962905+7117907646)</f>
        <v>10113870551</v>
      </c>
      <c r="E193" s="116">
        <f t="shared" si="42"/>
        <v>1345108.4653544354</v>
      </c>
      <c r="F193" s="134">
        <f>(2296653504+5089028371)</f>
        <v>7385681875</v>
      </c>
      <c r="G193" s="117">
        <f t="shared" si="43"/>
        <v>982269.16810746107</v>
      </c>
      <c r="H193" s="7"/>
      <c r="I193" s="136">
        <v>1.99</v>
      </c>
      <c r="J193" s="134">
        <f>(4570340.47296+10127166.45829)</f>
        <v>14697506.931249999</v>
      </c>
      <c r="K193" s="120">
        <f t="shared" si="44"/>
        <v>1954.7156445338474</v>
      </c>
      <c r="L193" s="122">
        <f t="shared" si="32"/>
        <v>73856818.75</v>
      </c>
      <c r="M193" s="116">
        <f t="shared" si="33"/>
        <v>59159311.818750001</v>
      </c>
      <c r="N193" s="123">
        <f t="shared" si="34"/>
        <v>7867.9760365407637</v>
      </c>
      <c r="O193" s="5"/>
      <c r="P193" s="5">
        <f t="shared" si="35"/>
        <v>1</v>
      </c>
      <c r="Q193" s="7">
        <f t="shared" si="36"/>
        <v>7519</v>
      </c>
      <c r="S193" s="124">
        <f>SUM(D188:D193)</f>
        <v>27801366623</v>
      </c>
      <c r="T193" s="124">
        <f>SUM(F188:F193)</f>
        <v>19091796640</v>
      </c>
      <c r="U193" s="124">
        <f>SUM(J188:J193)</f>
        <v>63170501.965744592</v>
      </c>
      <c r="W193" s="124">
        <f t="shared" si="37"/>
        <v>14697506.93125</v>
      </c>
      <c r="X193">
        <f t="shared" si="38"/>
        <v>0</v>
      </c>
    </row>
    <row r="194" spans="1:24">
      <c r="A194" s="23" t="s">
        <v>223</v>
      </c>
      <c r="B194" s="35" t="s">
        <v>224</v>
      </c>
      <c r="C194" s="125">
        <v>5770</v>
      </c>
      <c r="D194" s="132">
        <v>507745780</v>
      </c>
      <c r="E194" s="116">
        <f t="shared" si="42"/>
        <v>87997.535528596185</v>
      </c>
      <c r="F194" s="134">
        <v>308538167</v>
      </c>
      <c r="G194" s="117">
        <f t="shared" si="43"/>
        <v>53472.819237435011</v>
      </c>
      <c r="H194" s="7"/>
      <c r="I194" s="136">
        <v>5</v>
      </c>
      <c r="J194" s="134">
        <v>1542690.835</v>
      </c>
      <c r="K194" s="120">
        <f t="shared" si="44"/>
        <v>267.36409618717505</v>
      </c>
      <c r="L194" s="122">
        <f t="shared" si="32"/>
        <v>3085381.67</v>
      </c>
      <c r="M194" s="116">
        <f t="shared" si="33"/>
        <v>1542690.835</v>
      </c>
      <c r="N194" s="123">
        <f t="shared" si="34"/>
        <v>267.36409618717505</v>
      </c>
      <c r="O194" s="5"/>
      <c r="P194" s="5">
        <f t="shared" si="35"/>
        <v>1</v>
      </c>
      <c r="Q194" s="7">
        <f t="shared" si="36"/>
        <v>5770</v>
      </c>
      <c r="W194" s="124">
        <f t="shared" si="37"/>
        <v>1542690.835</v>
      </c>
      <c r="X194">
        <f t="shared" si="38"/>
        <v>0</v>
      </c>
    </row>
    <row r="195" spans="1:24">
      <c r="A195" s="23" t="s">
        <v>225</v>
      </c>
      <c r="B195" s="35" t="s">
        <v>224</v>
      </c>
      <c r="C195" s="125">
        <v>1992</v>
      </c>
      <c r="D195" s="132">
        <v>347180906</v>
      </c>
      <c r="E195" s="116">
        <f t="shared" si="42"/>
        <v>174287.60341365461</v>
      </c>
      <c r="F195" s="134">
        <v>214407212</v>
      </c>
      <c r="G195" s="117">
        <f t="shared" si="43"/>
        <v>107634.14257028112</v>
      </c>
      <c r="H195" s="7"/>
      <c r="I195" s="136">
        <v>6.3</v>
      </c>
      <c r="J195" s="134">
        <v>1350765.4356</v>
      </c>
      <c r="K195" s="120">
        <f t="shared" si="44"/>
        <v>678.09509819277105</v>
      </c>
      <c r="L195" s="122">
        <f t="shared" si="32"/>
        <v>2144072.12</v>
      </c>
      <c r="M195" s="116">
        <f t="shared" si="33"/>
        <v>793306.68440000014</v>
      </c>
      <c r="N195" s="123">
        <f t="shared" si="34"/>
        <v>398.24632751004026</v>
      </c>
      <c r="O195" s="5"/>
      <c r="P195" s="5">
        <f t="shared" si="35"/>
        <v>1</v>
      </c>
      <c r="Q195" s="7">
        <f t="shared" si="36"/>
        <v>1992</v>
      </c>
      <c r="W195" s="124">
        <f t="shared" si="37"/>
        <v>1350765.4356</v>
      </c>
      <c r="X195">
        <f t="shared" si="38"/>
        <v>0</v>
      </c>
    </row>
    <row r="196" spans="1:24">
      <c r="A196" s="23" t="s">
        <v>226</v>
      </c>
      <c r="B196" s="35" t="s">
        <v>224</v>
      </c>
      <c r="C196" s="125">
        <v>465</v>
      </c>
      <c r="D196" s="132">
        <v>47802341</v>
      </c>
      <c r="E196" s="116">
        <f t="shared" si="42"/>
        <v>102800.73333333334</v>
      </c>
      <c r="F196" s="134">
        <v>25558721</v>
      </c>
      <c r="G196" s="117">
        <f t="shared" si="43"/>
        <v>54964.991397849459</v>
      </c>
      <c r="H196" s="7"/>
      <c r="I196" s="136">
        <v>2.2902999999999998</v>
      </c>
      <c r="J196" s="134">
        <v>58537.1387063</v>
      </c>
      <c r="K196" s="120">
        <f t="shared" si="44"/>
        <v>125.88631979849463</v>
      </c>
      <c r="L196" s="122">
        <f t="shared" si="32"/>
        <v>255587.21</v>
      </c>
      <c r="M196" s="116">
        <f t="shared" si="33"/>
        <v>197050.07129369999</v>
      </c>
      <c r="N196" s="123">
        <f t="shared" si="34"/>
        <v>423.76359417999998</v>
      </c>
      <c r="O196" s="5"/>
      <c r="P196" s="5">
        <f t="shared" si="35"/>
        <v>1</v>
      </c>
      <c r="Q196" s="7">
        <f t="shared" si="36"/>
        <v>465</v>
      </c>
      <c r="W196" s="124">
        <f t="shared" si="37"/>
        <v>58537.1387063</v>
      </c>
      <c r="X196">
        <f t="shared" si="38"/>
        <v>0</v>
      </c>
    </row>
    <row r="197" spans="1:24">
      <c r="A197" s="23" t="s">
        <v>227</v>
      </c>
      <c r="B197" s="35" t="s">
        <v>224</v>
      </c>
      <c r="C197" s="125">
        <v>64951</v>
      </c>
      <c r="D197" s="132">
        <v>9293390645</v>
      </c>
      <c r="E197" s="116">
        <f t="shared" si="42"/>
        <v>143083.10333944051</v>
      </c>
      <c r="F197" s="134">
        <v>6289341671</v>
      </c>
      <c r="G197" s="117">
        <f t="shared" si="43"/>
        <v>96832.099136271965</v>
      </c>
      <c r="H197" s="9"/>
      <c r="I197" s="136">
        <v>6.6177000000000001</v>
      </c>
      <c r="J197" s="134">
        <v>41620976.376176707</v>
      </c>
      <c r="K197" s="120">
        <f t="shared" si="44"/>
        <v>640.80578245410709</v>
      </c>
      <c r="L197" s="122">
        <f t="shared" si="32"/>
        <v>62893416.710000001</v>
      </c>
      <c r="M197" s="116">
        <f t="shared" si="33"/>
        <v>21272440.333823293</v>
      </c>
      <c r="N197" s="123">
        <f t="shared" si="34"/>
        <v>327.51520890861252</v>
      </c>
      <c r="O197" s="5"/>
      <c r="P197" s="5">
        <f t="shared" si="35"/>
        <v>1</v>
      </c>
      <c r="Q197" s="7">
        <f t="shared" si="36"/>
        <v>64951</v>
      </c>
      <c r="W197" s="124">
        <f t="shared" si="37"/>
        <v>41620976.3761767</v>
      </c>
      <c r="X197">
        <f t="shared" si="38"/>
        <v>0</v>
      </c>
    </row>
    <row r="198" spans="1:24">
      <c r="A198" s="23" t="s">
        <v>228</v>
      </c>
      <c r="B198" s="35" t="s">
        <v>224</v>
      </c>
      <c r="C198" s="125">
        <v>471</v>
      </c>
      <c r="D198" s="147" t="s">
        <v>564</v>
      </c>
      <c r="E198" s="116"/>
      <c r="F198" s="134"/>
      <c r="G198" s="117"/>
      <c r="H198" s="98" t="s">
        <v>588</v>
      </c>
      <c r="I198" s="136"/>
      <c r="J198" s="134"/>
      <c r="K198" s="120"/>
      <c r="L198" s="122">
        <f t="shared" ref="L198:L261" si="45">(F198*0.01)</f>
        <v>0</v>
      </c>
      <c r="M198" s="116">
        <f t="shared" ref="M198:M261" si="46">(L198-J198)</f>
        <v>0</v>
      </c>
      <c r="N198" s="123">
        <f t="shared" ref="N198:N261" si="47">(M198/C198)</f>
        <v>0</v>
      </c>
      <c r="O198" s="5"/>
      <c r="P198" s="5">
        <f t="shared" si="35"/>
        <v>0</v>
      </c>
      <c r="Q198" s="7">
        <f t="shared" si="36"/>
        <v>0</v>
      </c>
      <c r="S198" s="124">
        <f>SUM(D194:D198)</f>
        <v>10196119672</v>
      </c>
      <c r="T198" s="124">
        <f>SUM(F194:F198)</f>
        <v>6837845771</v>
      </c>
      <c r="U198" s="124">
        <f>SUM(J194:J198)</f>
        <v>44572969.78548301</v>
      </c>
      <c r="W198" s="124">
        <f t="shared" si="37"/>
        <v>0</v>
      </c>
      <c r="X198">
        <f t="shared" si="38"/>
        <v>0</v>
      </c>
    </row>
    <row r="199" spans="1:24">
      <c r="A199" s="23" t="s">
        <v>616</v>
      </c>
      <c r="B199" s="35" t="s">
        <v>230</v>
      </c>
      <c r="C199" s="125">
        <v>6590</v>
      </c>
      <c r="D199" s="132">
        <v>2409770859</v>
      </c>
      <c r="E199" s="116">
        <f t="shared" ref="E199:E262" si="48">(D199/C199)</f>
        <v>365670.84355083457</v>
      </c>
      <c r="F199" s="134">
        <v>2073435258</v>
      </c>
      <c r="G199" s="117">
        <f t="shared" ref="G199:G262" si="49">(F199/C199)</f>
        <v>314633.57481031865</v>
      </c>
      <c r="H199" s="9"/>
      <c r="I199" s="136">
        <v>1.6304000000000001</v>
      </c>
      <c r="J199" s="134">
        <v>3380528.8446431998</v>
      </c>
      <c r="K199" s="120">
        <f t="shared" ref="K199:K262" si="50">(J199/C199)</f>
        <v>512.97858037074354</v>
      </c>
      <c r="L199" s="122">
        <f t="shared" si="45"/>
        <v>20734352.580000002</v>
      </c>
      <c r="M199" s="116">
        <f t="shared" si="46"/>
        <v>17353823.7353568</v>
      </c>
      <c r="N199" s="123">
        <f t="shared" si="47"/>
        <v>2633.357167732443</v>
      </c>
      <c r="O199" s="5"/>
      <c r="P199" s="5">
        <f t="shared" ref="P199:P262" si="51">IF(I199&gt;0,1,0)</f>
        <v>1</v>
      </c>
      <c r="Q199" s="7">
        <f t="shared" ref="Q199:Q262" si="52">IF(I199&gt;0,C199,0)</f>
        <v>6590</v>
      </c>
      <c r="W199" s="124">
        <f t="shared" ref="W199:W261" si="53">F199*(I199/1000)</f>
        <v>3380528.8446432003</v>
      </c>
      <c r="X199">
        <f t="shared" ref="X199:X262" si="54">IF(W199=J199,0,1)</f>
        <v>0</v>
      </c>
    </row>
    <row r="200" spans="1:24">
      <c r="A200" s="24" t="s">
        <v>229</v>
      </c>
      <c r="B200" s="35" t="s">
        <v>230</v>
      </c>
      <c r="C200" s="125">
        <v>793</v>
      </c>
      <c r="D200" s="132">
        <v>4295888315</v>
      </c>
      <c r="E200" s="116">
        <f t="shared" si="48"/>
        <v>5417261.4312736448</v>
      </c>
      <c r="F200" s="134">
        <v>3058718976</v>
      </c>
      <c r="G200" s="117">
        <f t="shared" si="49"/>
        <v>3857148.7717528371</v>
      </c>
      <c r="H200" s="9"/>
      <c r="I200" s="150">
        <v>2.7887</v>
      </c>
      <c r="J200" s="134">
        <v>8529849.6083712</v>
      </c>
      <c r="K200" s="120">
        <f t="shared" si="50"/>
        <v>10756.430779787137</v>
      </c>
      <c r="L200" s="122">
        <f t="shared" si="45"/>
        <v>30587189.760000002</v>
      </c>
      <c r="M200" s="116">
        <f t="shared" si="46"/>
        <v>22057340.1516288</v>
      </c>
      <c r="N200" s="123">
        <f t="shared" si="47"/>
        <v>27815.056937741236</v>
      </c>
      <c r="O200" s="5"/>
      <c r="P200" s="5">
        <f t="shared" si="51"/>
        <v>1</v>
      </c>
      <c r="Q200" s="7">
        <f t="shared" si="52"/>
        <v>793</v>
      </c>
      <c r="W200" s="124">
        <f t="shared" si="53"/>
        <v>8529849.6083712</v>
      </c>
      <c r="X200">
        <f t="shared" si="54"/>
        <v>0</v>
      </c>
    </row>
    <row r="201" spans="1:24">
      <c r="A201" s="23" t="s">
        <v>582</v>
      </c>
      <c r="B201" s="35" t="s">
        <v>230</v>
      </c>
      <c r="C201" s="125">
        <v>396</v>
      </c>
      <c r="D201" s="132">
        <v>73035593</v>
      </c>
      <c r="E201" s="116">
        <f t="shared" si="48"/>
        <v>184433.31565656565</v>
      </c>
      <c r="F201" s="134">
        <v>66608164</v>
      </c>
      <c r="G201" s="117">
        <f t="shared" si="49"/>
        <v>168202.43434343435</v>
      </c>
      <c r="H201" s="9"/>
      <c r="I201" s="136">
        <v>1</v>
      </c>
      <c r="J201" s="134">
        <v>66608.164000000004</v>
      </c>
      <c r="K201" s="120">
        <f t="shared" si="50"/>
        <v>168.20243434343436</v>
      </c>
      <c r="L201" s="122">
        <f t="shared" si="45"/>
        <v>666081.64</v>
      </c>
      <c r="M201" s="116">
        <f t="shared" si="46"/>
        <v>599473.47600000002</v>
      </c>
      <c r="N201" s="123">
        <f t="shared" si="47"/>
        <v>1513.8219090909092</v>
      </c>
      <c r="O201" s="5"/>
      <c r="P201" s="5">
        <f t="shared" si="51"/>
        <v>1</v>
      </c>
      <c r="Q201" s="7">
        <f t="shared" si="52"/>
        <v>396</v>
      </c>
      <c r="W201" s="124">
        <f t="shared" si="53"/>
        <v>66608.164000000004</v>
      </c>
      <c r="X201">
        <f t="shared" si="54"/>
        <v>0</v>
      </c>
    </row>
    <row r="202" spans="1:24">
      <c r="A202" s="24" t="s">
        <v>446</v>
      </c>
      <c r="B202" s="37" t="s">
        <v>230</v>
      </c>
      <c r="C202" s="125">
        <v>2006</v>
      </c>
      <c r="D202" s="132">
        <v>1212425710</v>
      </c>
      <c r="E202" s="116">
        <f t="shared" si="48"/>
        <v>604399.65603190428</v>
      </c>
      <c r="F202" s="134">
        <v>828883900</v>
      </c>
      <c r="G202" s="117">
        <f t="shared" si="49"/>
        <v>413202.34297108673</v>
      </c>
      <c r="H202" s="9"/>
      <c r="I202" s="136">
        <v>3.27</v>
      </c>
      <c r="J202" s="134">
        <v>2710450.3530000001</v>
      </c>
      <c r="K202" s="120">
        <f t="shared" si="50"/>
        <v>1351.1716615154537</v>
      </c>
      <c r="L202" s="122">
        <f t="shared" si="45"/>
        <v>8288839</v>
      </c>
      <c r="M202" s="116">
        <f t="shared" si="46"/>
        <v>5578388.6469999999</v>
      </c>
      <c r="N202" s="123">
        <f t="shared" si="47"/>
        <v>2780.8517681954136</v>
      </c>
      <c r="O202" s="5"/>
      <c r="P202" s="5">
        <f t="shared" si="51"/>
        <v>1</v>
      </c>
      <c r="Q202" s="7">
        <f t="shared" si="52"/>
        <v>2006</v>
      </c>
      <c r="S202" s="124"/>
      <c r="T202" s="124"/>
      <c r="U202" s="124"/>
      <c r="W202" s="124">
        <f t="shared" si="53"/>
        <v>2710450.3530000001</v>
      </c>
      <c r="X202">
        <f t="shared" si="54"/>
        <v>0</v>
      </c>
    </row>
    <row r="203" spans="1:24">
      <c r="A203" s="23" t="s">
        <v>231</v>
      </c>
      <c r="B203" s="37" t="s">
        <v>230</v>
      </c>
      <c r="C203" s="125">
        <v>18788</v>
      </c>
      <c r="D203" s="132">
        <v>4105004365</v>
      </c>
      <c r="E203" s="116">
        <f t="shared" si="48"/>
        <v>218490.75819672132</v>
      </c>
      <c r="F203" s="134">
        <v>2734978214</v>
      </c>
      <c r="G203" s="117">
        <f t="shared" si="49"/>
        <v>145570.48190334256</v>
      </c>
      <c r="H203" s="9"/>
      <c r="I203" s="150">
        <v>5</v>
      </c>
      <c r="J203" s="134">
        <v>13674891.07</v>
      </c>
      <c r="K203" s="120">
        <f t="shared" si="50"/>
        <v>727.85240951671278</v>
      </c>
      <c r="L203" s="122">
        <f t="shared" si="45"/>
        <v>27349782.140000001</v>
      </c>
      <c r="M203" s="116">
        <f t="shared" si="46"/>
        <v>13674891.07</v>
      </c>
      <c r="N203" s="123">
        <f t="shared" si="47"/>
        <v>727.85240951671278</v>
      </c>
      <c r="O203" s="5"/>
      <c r="P203" s="5">
        <f t="shared" si="51"/>
        <v>1</v>
      </c>
      <c r="Q203" s="7">
        <f t="shared" si="52"/>
        <v>18788</v>
      </c>
      <c r="S203" s="124">
        <f>SUM(D199:D203)</f>
        <v>12096124842</v>
      </c>
      <c r="T203" s="124">
        <f>SUM(F199:F203)</f>
        <v>8762624512</v>
      </c>
      <c r="U203" s="124">
        <f>SUM(J199:J203)</f>
        <v>28362328.040014401</v>
      </c>
      <c r="W203" s="124">
        <f t="shared" si="53"/>
        <v>13674891.07</v>
      </c>
      <c r="X203">
        <f t="shared" si="54"/>
        <v>0</v>
      </c>
    </row>
    <row r="204" spans="1:24">
      <c r="A204" s="23" t="s">
        <v>232</v>
      </c>
      <c r="B204" s="37" t="s">
        <v>233</v>
      </c>
      <c r="C204" s="125">
        <v>40350</v>
      </c>
      <c r="D204" s="132">
        <v>13276910558</v>
      </c>
      <c r="E204" s="116">
        <f t="shared" si="48"/>
        <v>329043.63216852542</v>
      </c>
      <c r="F204" s="134">
        <v>11262665873</v>
      </c>
      <c r="G204" s="117">
        <f t="shared" si="49"/>
        <v>279124.30912019825</v>
      </c>
      <c r="H204" s="9"/>
      <c r="I204" s="136">
        <v>1.7261</v>
      </c>
      <c r="J204" s="134">
        <v>19440487.5633853</v>
      </c>
      <c r="K204" s="120">
        <f t="shared" si="50"/>
        <v>481.79646997237421</v>
      </c>
      <c r="L204" s="122">
        <f t="shared" si="45"/>
        <v>112626658.73</v>
      </c>
      <c r="M204" s="116">
        <f t="shared" si="46"/>
        <v>93186171.166614711</v>
      </c>
      <c r="N204" s="123">
        <f t="shared" si="47"/>
        <v>2309.4466212296088</v>
      </c>
      <c r="O204" s="5"/>
      <c r="P204" s="5">
        <f t="shared" si="51"/>
        <v>1</v>
      </c>
      <c r="Q204" s="7">
        <f t="shared" si="52"/>
        <v>40350</v>
      </c>
      <c r="W204" s="124">
        <f t="shared" si="53"/>
        <v>19440487.5633853</v>
      </c>
      <c r="X204">
        <f t="shared" si="54"/>
        <v>0</v>
      </c>
    </row>
    <row r="205" spans="1:24">
      <c r="A205" s="23" t="s">
        <v>234</v>
      </c>
      <c r="B205" s="37" t="s">
        <v>233</v>
      </c>
      <c r="C205" s="125">
        <v>3094</v>
      </c>
      <c r="D205" s="132">
        <v>6403290927</v>
      </c>
      <c r="E205" s="116">
        <f t="shared" si="48"/>
        <v>2069583.3636069812</v>
      </c>
      <c r="F205" s="134">
        <v>5604011430</v>
      </c>
      <c r="G205" s="117">
        <f t="shared" si="49"/>
        <v>1811251.2702003878</v>
      </c>
      <c r="H205" s="9"/>
      <c r="I205" s="136">
        <v>1.9654</v>
      </c>
      <c r="J205" s="134">
        <v>11014124.064522</v>
      </c>
      <c r="K205" s="120">
        <f t="shared" si="50"/>
        <v>3559.8332464518421</v>
      </c>
      <c r="L205" s="122">
        <f t="shared" si="45"/>
        <v>56040114.300000004</v>
      </c>
      <c r="M205" s="116">
        <f t="shared" si="46"/>
        <v>45025990.235478006</v>
      </c>
      <c r="N205" s="123">
        <f t="shared" si="47"/>
        <v>14552.679455552039</v>
      </c>
      <c r="O205" s="5"/>
      <c r="P205" s="5">
        <f t="shared" si="51"/>
        <v>1</v>
      </c>
      <c r="Q205" s="7">
        <f t="shared" si="52"/>
        <v>3094</v>
      </c>
      <c r="W205" s="124">
        <f t="shared" si="53"/>
        <v>11014124.064522</v>
      </c>
      <c r="X205">
        <f t="shared" si="54"/>
        <v>0</v>
      </c>
    </row>
    <row r="206" spans="1:24">
      <c r="A206" s="23" t="s">
        <v>235</v>
      </c>
      <c r="B206" s="37" t="s">
        <v>233</v>
      </c>
      <c r="C206" s="125">
        <v>5961</v>
      </c>
      <c r="D206" s="132">
        <v>2280866965</v>
      </c>
      <c r="E206" s="116">
        <f t="shared" si="48"/>
        <v>382631.59956383158</v>
      </c>
      <c r="F206" s="134">
        <v>1628542757</v>
      </c>
      <c r="G206" s="117">
        <f t="shared" si="49"/>
        <v>273199.59016943467</v>
      </c>
      <c r="H206" s="9"/>
      <c r="I206" s="136">
        <v>3.1728000000000001</v>
      </c>
      <c r="J206" s="134">
        <v>5167040.4594096001</v>
      </c>
      <c r="K206" s="120">
        <f t="shared" si="50"/>
        <v>866.80765968958235</v>
      </c>
      <c r="L206" s="122">
        <f t="shared" si="45"/>
        <v>16285427.57</v>
      </c>
      <c r="M206" s="116">
        <f t="shared" si="46"/>
        <v>11118387.1105904</v>
      </c>
      <c r="N206" s="123">
        <f t="shared" si="47"/>
        <v>1865.1882420047643</v>
      </c>
      <c r="O206" s="5"/>
      <c r="P206" s="5">
        <f t="shared" si="51"/>
        <v>1</v>
      </c>
      <c r="Q206" s="7">
        <f t="shared" si="52"/>
        <v>5961</v>
      </c>
      <c r="W206" s="124">
        <f t="shared" si="53"/>
        <v>5167040.4594096001</v>
      </c>
      <c r="X206">
        <f t="shared" si="54"/>
        <v>0</v>
      </c>
    </row>
    <row r="207" spans="1:24">
      <c r="A207" s="23" t="s">
        <v>236</v>
      </c>
      <c r="B207" s="37" t="s">
        <v>233</v>
      </c>
      <c r="C207" s="125">
        <v>3112</v>
      </c>
      <c r="D207" s="132">
        <v>590725369</v>
      </c>
      <c r="E207" s="116">
        <f t="shared" si="48"/>
        <v>189821.77667095116</v>
      </c>
      <c r="F207" s="134">
        <v>309355974</v>
      </c>
      <c r="G207" s="117">
        <f t="shared" si="49"/>
        <v>99407.446658097688</v>
      </c>
      <c r="H207" s="9"/>
      <c r="I207" s="136">
        <v>9.5</v>
      </c>
      <c r="J207" s="134">
        <v>2938881.753</v>
      </c>
      <c r="K207" s="120">
        <f t="shared" si="50"/>
        <v>944.37074325192805</v>
      </c>
      <c r="L207" s="122">
        <f t="shared" si="45"/>
        <v>3093559.74</v>
      </c>
      <c r="M207" s="116">
        <f t="shared" si="46"/>
        <v>154677.9870000002</v>
      </c>
      <c r="N207" s="123">
        <f t="shared" si="47"/>
        <v>49.703723329048906</v>
      </c>
      <c r="O207" s="5"/>
      <c r="P207" s="5">
        <f t="shared" si="51"/>
        <v>1</v>
      </c>
      <c r="Q207" s="7">
        <f t="shared" si="52"/>
        <v>3112</v>
      </c>
      <c r="W207" s="124">
        <f t="shared" si="53"/>
        <v>2938881.753</v>
      </c>
      <c r="X207">
        <f t="shared" si="54"/>
        <v>0</v>
      </c>
    </row>
    <row r="208" spans="1:24">
      <c r="A208" s="23" t="s">
        <v>237</v>
      </c>
      <c r="B208" s="37" t="s">
        <v>233</v>
      </c>
      <c r="C208" s="125">
        <v>52014</v>
      </c>
      <c r="D208" s="132">
        <v>28725421709</v>
      </c>
      <c r="E208" s="116">
        <f t="shared" si="48"/>
        <v>552263.26967739454</v>
      </c>
      <c r="F208" s="134">
        <v>19935848529</v>
      </c>
      <c r="G208" s="117">
        <f t="shared" si="49"/>
        <v>383278.51211212366</v>
      </c>
      <c r="H208" s="9"/>
      <c r="I208" s="136">
        <v>5.5590000000000002</v>
      </c>
      <c r="J208" s="134">
        <v>110823381.972711</v>
      </c>
      <c r="K208" s="120">
        <f t="shared" si="50"/>
        <v>2130.6452488312952</v>
      </c>
      <c r="L208" s="122">
        <f t="shared" si="45"/>
        <v>199358485.28999999</v>
      </c>
      <c r="M208" s="116">
        <f t="shared" si="46"/>
        <v>88535103.317288995</v>
      </c>
      <c r="N208" s="123">
        <f t="shared" si="47"/>
        <v>1702.139872289941</v>
      </c>
      <c r="O208" s="5"/>
      <c r="P208" s="5">
        <f t="shared" si="51"/>
        <v>1</v>
      </c>
      <c r="Q208" s="7">
        <f t="shared" si="52"/>
        <v>52014</v>
      </c>
      <c r="W208" s="124">
        <f t="shared" si="53"/>
        <v>110823381.97271101</v>
      </c>
      <c r="X208">
        <f t="shared" si="54"/>
        <v>0</v>
      </c>
    </row>
    <row r="209" spans="1:24">
      <c r="A209" s="23" t="s">
        <v>524</v>
      </c>
      <c r="B209" s="37" t="s">
        <v>233</v>
      </c>
      <c r="C209" s="125">
        <v>45545</v>
      </c>
      <c r="D209" s="132">
        <v>6010675943</v>
      </c>
      <c r="E209" s="116">
        <f t="shared" si="48"/>
        <v>131972.24597650676</v>
      </c>
      <c r="F209" s="134">
        <v>3226021164</v>
      </c>
      <c r="G209" s="117">
        <f t="shared" si="49"/>
        <v>70831.510901306407</v>
      </c>
      <c r="H209" s="9"/>
      <c r="I209" s="136">
        <v>2.8332000000000002</v>
      </c>
      <c r="J209" s="134">
        <v>9139963.1618448012</v>
      </c>
      <c r="K209" s="120">
        <f t="shared" si="50"/>
        <v>200.67983668558131</v>
      </c>
      <c r="L209" s="122">
        <f t="shared" si="45"/>
        <v>32260211.640000001</v>
      </c>
      <c r="M209" s="116">
        <f t="shared" si="46"/>
        <v>23120248.478155199</v>
      </c>
      <c r="N209" s="123">
        <f t="shared" si="47"/>
        <v>507.63527232748271</v>
      </c>
      <c r="O209" s="5"/>
      <c r="P209" s="5">
        <f t="shared" si="51"/>
        <v>1</v>
      </c>
      <c r="Q209" s="7">
        <f t="shared" si="52"/>
        <v>45545</v>
      </c>
      <c r="W209" s="124">
        <f t="shared" si="53"/>
        <v>9139963.1618448012</v>
      </c>
      <c r="X209">
        <f t="shared" si="54"/>
        <v>0</v>
      </c>
    </row>
    <row r="210" spans="1:24">
      <c r="A210" s="23" t="s">
        <v>501</v>
      </c>
      <c r="B210" s="37" t="s">
        <v>233</v>
      </c>
      <c r="C210" s="125">
        <v>81182</v>
      </c>
      <c r="D210" s="132">
        <v>20791399338</v>
      </c>
      <c r="E210" s="116">
        <f t="shared" si="48"/>
        <v>256108.4888029366</v>
      </c>
      <c r="F210" s="134">
        <v>16393576093</v>
      </c>
      <c r="G210" s="117">
        <f t="shared" si="49"/>
        <v>201936.09535364981</v>
      </c>
      <c r="H210" s="9"/>
      <c r="I210" s="136">
        <v>1.7165999999999999</v>
      </c>
      <c r="J210" s="134">
        <v>28141212.721243799</v>
      </c>
      <c r="K210" s="120">
        <f t="shared" si="50"/>
        <v>346.64350128407528</v>
      </c>
      <c r="L210" s="122">
        <f t="shared" si="45"/>
        <v>163935760.93000001</v>
      </c>
      <c r="M210" s="116">
        <f t="shared" si="46"/>
        <v>135794548.20875621</v>
      </c>
      <c r="N210" s="123">
        <f t="shared" si="47"/>
        <v>1672.7174522524231</v>
      </c>
      <c r="O210" s="5"/>
      <c r="P210" s="5">
        <f t="shared" si="51"/>
        <v>1</v>
      </c>
      <c r="Q210" s="7">
        <f t="shared" si="52"/>
        <v>81182</v>
      </c>
      <c r="W210" s="124">
        <f t="shared" si="53"/>
        <v>28141212.721243799</v>
      </c>
      <c r="X210">
        <f t="shared" si="54"/>
        <v>0</v>
      </c>
    </row>
    <row r="211" spans="1:24">
      <c r="A211" s="23" t="s">
        <v>238</v>
      </c>
      <c r="B211" s="37" t="s">
        <v>233</v>
      </c>
      <c r="C211" s="125">
        <v>1993</v>
      </c>
      <c r="D211" s="132">
        <v>449255891</v>
      </c>
      <c r="E211" s="116">
        <f t="shared" si="48"/>
        <v>225416.90466633215</v>
      </c>
      <c r="F211" s="134">
        <v>226146113</v>
      </c>
      <c r="G211" s="117">
        <f t="shared" si="49"/>
        <v>113470.20220772704</v>
      </c>
      <c r="H211" s="9"/>
      <c r="I211" s="136">
        <v>8.3000000000000007</v>
      </c>
      <c r="J211" s="134">
        <v>1877012.7379000001</v>
      </c>
      <c r="K211" s="120">
        <f t="shared" si="50"/>
        <v>941.80267832413449</v>
      </c>
      <c r="L211" s="122">
        <f t="shared" si="45"/>
        <v>2261461.13</v>
      </c>
      <c r="M211" s="116">
        <f t="shared" si="46"/>
        <v>384448.39209999982</v>
      </c>
      <c r="N211" s="123">
        <f t="shared" si="47"/>
        <v>192.89934375313589</v>
      </c>
      <c r="O211" s="5"/>
      <c r="P211" s="5">
        <f t="shared" si="51"/>
        <v>1</v>
      </c>
      <c r="Q211" s="7">
        <f t="shared" si="52"/>
        <v>1993</v>
      </c>
      <c r="W211" s="124">
        <f t="shared" si="53"/>
        <v>1877012.7379000001</v>
      </c>
      <c r="X211">
        <f t="shared" si="54"/>
        <v>0</v>
      </c>
    </row>
    <row r="212" spans="1:24">
      <c r="A212" s="23" t="s">
        <v>239</v>
      </c>
      <c r="B212" s="37" t="s">
        <v>233</v>
      </c>
      <c r="C212" s="125">
        <v>14320</v>
      </c>
      <c r="D212" s="132">
        <v>1407290756</v>
      </c>
      <c r="E212" s="116">
        <f t="shared" si="48"/>
        <v>98274.49413407821</v>
      </c>
      <c r="F212" s="134">
        <v>902314768</v>
      </c>
      <c r="G212" s="117">
        <f t="shared" si="49"/>
        <v>63010.807821229049</v>
      </c>
      <c r="H212" s="9"/>
      <c r="I212" s="136">
        <v>6.9298999999999999</v>
      </c>
      <c r="J212" s="134">
        <v>6252951.1107631996</v>
      </c>
      <c r="K212" s="120">
        <f t="shared" si="50"/>
        <v>436.65859712033517</v>
      </c>
      <c r="L212" s="122">
        <f t="shared" si="45"/>
        <v>9023147.6799999997</v>
      </c>
      <c r="M212" s="116">
        <f t="shared" si="46"/>
        <v>2770196.5692368001</v>
      </c>
      <c r="N212" s="123">
        <f t="shared" si="47"/>
        <v>193.44948109195531</v>
      </c>
      <c r="O212" s="5"/>
      <c r="P212" s="5">
        <f t="shared" si="51"/>
        <v>1</v>
      </c>
      <c r="Q212" s="7">
        <f t="shared" si="52"/>
        <v>14320</v>
      </c>
      <c r="W212" s="124">
        <f t="shared" si="53"/>
        <v>6252951.1107632006</v>
      </c>
      <c r="X212">
        <f t="shared" si="54"/>
        <v>0</v>
      </c>
    </row>
    <row r="213" spans="1:24">
      <c r="A213" s="23" t="s">
        <v>240</v>
      </c>
      <c r="B213" s="37" t="s">
        <v>233</v>
      </c>
      <c r="C213" s="125">
        <v>955</v>
      </c>
      <c r="D213" s="132">
        <v>2058181612</v>
      </c>
      <c r="E213" s="116">
        <f t="shared" si="48"/>
        <v>2155163.9916230366</v>
      </c>
      <c r="F213" s="134">
        <v>1424353589</v>
      </c>
      <c r="G213" s="117">
        <f t="shared" si="49"/>
        <v>1491469.7267015707</v>
      </c>
      <c r="H213" s="9"/>
      <c r="I213" s="136">
        <v>7.7350000000000003</v>
      </c>
      <c r="J213" s="134">
        <v>11017375.010915</v>
      </c>
      <c r="K213" s="120">
        <f t="shared" si="50"/>
        <v>11536.51833603665</v>
      </c>
      <c r="L213" s="122">
        <f t="shared" si="45"/>
        <v>14243535.890000001</v>
      </c>
      <c r="M213" s="116">
        <f t="shared" si="46"/>
        <v>3226160.8790850006</v>
      </c>
      <c r="N213" s="123">
        <f t="shared" si="47"/>
        <v>3378.1789309790584</v>
      </c>
      <c r="O213" s="5"/>
      <c r="P213" s="5">
        <f t="shared" si="51"/>
        <v>1</v>
      </c>
      <c r="Q213" s="7">
        <f t="shared" si="52"/>
        <v>955</v>
      </c>
      <c r="W213" s="124">
        <f t="shared" si="53"/>
        <v>11017375.010915</v>
      </c>
      <c r="X213">
        <f t="shared" si="54"/>
        <v>0</v>
      </c>
    </row>
    <row r="214" spans="1:24">
      <c r="A214" s="23" t="s">
        <v>241</v>
      </c>
      <c r="B214" s="37" t="s">
        <v>233</v>
      </c>
      <c r="C214" s="125">
        <v>228206</v>
      </c>
      <c r="D214" s="132">
        <v>24806344756</v>
      </c>
      <c r="E214" s="116">
        <f t="shared" si="48"/>
        <v>108701.54490241273</v>
      </c>
      <c r="F214" s="134">
        <v>15256284592</v>
      </c>
      <c r="G214" s="117">
        <f t="shared" si="49"/>
        <v>66853.126526033491</v>
      </c>
      <c r="H214" s="9"/>
      <c r="I214" s="136">
        <v>6.3018000000000001</v>
      </c>
      <c r="J214" s="134">
        <v>96142054.241865605</v>
      </c>
      <c r="K214" s="120">
        <f t="shared" si="50"/>
        <v>421.29503274175789</v>
      </c>
      <c r="L214" s="122">
        <f t="shared" si="45"/>
        <v>152562845.92000002</v>
      </c>
      <c r="M214" s="116">
        <f t="shared" si="46"/>
        <v>56420791.678134412</v>
      </c>
      <c r="N214" s="123">
        <f t="shared" si="47"/>
        <v>247.23623251857714</v>
      </c>
      <c r="O214" s="5"/>
      <c r="P214" s="5">
        <f t="shared" si="51"/>
        <v>1</v>
      </c>
      <c r="Q214" s="7">
        <f t="shared" si="52"/>
        <v>228206</v>
      </c>
      <c r="W214" s="124">
        <f t="shared" si="53"/>
        <v>96142054.24186559</v>
      </c>
      <c r="X214">
        <f t="shared" si="54"/>
        <v>0</v>
      </c>
    </row>
    <row r="215" spans="1:24">
      <c r="A215" s="23" t="s">
        <v>242</v>
      </c>
      <c r="B215" s="37" t="s">
        <v>233</v>
      </c>
      <c r="C215" s="125">
        <v>23076</v>
      </c>
      <c r="D215" s="132">
        <v>3047108931</v>
      </c>
      <c r="E215" s="116">
        <f t="shared" si="48"/>
        <v>132046.66887675508</v>
      </c>
      <c r="F215" s="134">
        <v>1773786253</v>
      </c>
      <c r="G215" s="117">
        <f t="shared" si="49"/>
        <v>76867.145649159298</v>
      </c>
      <c r="H215" s="9"/>
      <c r="I215" s="136">
        <v>5.1612999999999998</v>
      </c>
      <c r="J215" s="134">
        <v>9155042.9876089003</v>
      </c>
      <c r="K215" s="120">
        <f t="shared" si="50"/>
        <v>396.73439883900591</v>
      </c>
      <c r="L215" s="122">
        <f t="shared" si="45"/>
        <v>17737862.530000001</v>
      </c>
      <c r="M215" s="116">
        <f t="shared" si="46"/>
        <v>8582819.5423911009</v>
      </c>
      <c r="N215" s="123">
        <f t="shared" si="47"/>
        <v>371.93705765258716</v>
      </c>
      <c r="O215" s="5"/>
      <c r="P215" s="5">
        <f t="shared" si="51"/>
        <v>1</v>
      </c>
      <c r="Q215" s="7">
        <f t="shared" si="52"/>
        <v>23076</v>
      </c>
      <c r="W215" s="124">
        <f t="shared" si="53"/>
        <v>9155042.9876089003</v>
      </c>
      <c r="X215">
        <f t="shared" si="54"/>
        <v>0</v>
      </c>
    </row>
    <row r="216" spans="1:24">
      <c r="A216" s="23" t="s">
        <v>243</v>
      </c>
      <c r="B216" s="37" t="s">
        <v>233</v>
      </c>
      <c r="C216" s="125">
        <v>83012</v>
      </c>
      <c r="D216" s="132">
        <v>7472484196</v>
      </c>
      <c r="E216" s="116">
        <f t="shared" si="48"/>
        <v>90016.91557847058</v>
      </c>
      <c r="F216" s="134">
        <v>4304379253</v>
      </c>
      <c r="G216" s="117">
        <f t="shared" si="49"/>
        <v>51852.494253842815</v>
      </c>
      <c r="H216" s="9"/>
      <c r="I216" s="136">
        <v>6.1433999999999997</v>
      </c>
      <c r="J216" s="134">
        <v>26443523.502880201</v>
      </c>
      <c r="K216" s="120">
        <f t="shared" si="50"/>
        <v>318.55061319905798</v>
      </c>
      <c r="L216" s="122">
        <f t="shared" si="45"/>
        <v>43043792.530000001</v>
      </c>
      <c r="M216" s="116">
        <f t="shared" si="46"/>
        <v>16600269.0271198</v>
      </c>
      <c r="N216" s="123">
        <f t="shared" si="47"/>
        <v>199.97432933937023</v>
      </c>
      <c r="O216" s="5"/>
      <c r="P216" s="5">
        <f t="shared" si="51"/>
        <v>1</v>
      </c>
      <c r="Q216" s="7">
        <f t="shared" si="52"/>
        <v>83012</v>
      </c>
      <c r="W216" s="124">
        <f t="shared" si="53"/>
        <v>26443523.502880197</v>
      </c>
      <c r="X216">
        <f t="shared" si="54"/>
        <v>0</v>
      </c>
    </row>
    <row r="217" spans="1:24">
      <c r="A217" s="23" t="s">
        <v>244</v>
      </c>
      <c r="B217" s="37" t="s">
        <v>233</v>
      </c>
      <c r="C217" s="125">
        <v>89</v>
      </c>
      <c r="D217" s="132">
        <v>1240872474</v>
      </c>
      <c r="E217" s="116">
        <f t="shared" si="48"/>
        <v>13942387.348314608</v>
      </c>
      <c r="F217" s="134">
        <v>831472188</v>
      </c>
      <c r="G217" s="117">
        <f t="shared" si="49"/>
        <v>9342384.1348314602</v>
      </c>
      <c r="H217" s="9"/>
      <c r="I217" s="136">
        <v>6.3</v>
      </c>
      <c r="J217" s="134">
        <v>5238274.7843999993</v>
      </c>
      <c r="K217" s="120">
        <f t="shared" si="50"/>
        <v>58857.020049438193</v>
      </c>
      <c r="L217" s="122">
        <f t="shared" si="45"/>
        <v>8314721.8799999999</v>
      </c>
      <c r="M217" s="116">
        <f t="shared" si="46"/>
        <v>3076447.0956000006</v>
      </c>
      <c r="N217" s="123">
        <f t="shared" si="47"/>
        <v>34566.821298876413</v>
      </c>
      <c r="O217" s="5"/>
      <c r="P217" s="5">
        <f t="shared" si="51"/>
        <v>1</v>
      </c>
      <c r="Q217" s="7">
        <f t="shared" si="52"/>
        <v>89</v>
      </c>
      <c r="W217" s="124">
        <f t="shared" si="53"/>
        <v>5238274.7844000002</v>
      </c>
      <c r="X217">
        <f t="shared" si="54"/>
        <v>0</v>
      </c>
    </row>
    <row r="218" spans="1:24">
      <c r="A218" s="23" t="s">
        <v>246</v>
      </c>
      <c r="B218" s="37" t="s">
        <v>233</v>
      </c>
      <c r="C218" s="125">
        <v>14784</v>
      </c>
      <c r="D218" s="132">
        <v>11318537863</v>
      </c>
      <c r="E218" s="116">
        <f t="shared" si="48"/>
        <v>765593.74073322513</v>
      </c>
      <c r="F218" s="134">
        <v>9045685906</v>
      </c>
      <c r="G218" s="117">
        <f t="shared" si="49"/>
        <v>611856.46009199135</v>
      </c>
      <c r="H218" s="9"/>
      <c r="I218" s="136">
        <v>3.1533000000000002</v>
      </c>
      <c r="J218" s="134">
        <v>28523761.367389802</v>
      </c>
      <c r="K218" s="120">
        <f t="shared" si="50"/>
        <v>1929.3669756080765</v>
      </c>
      <c r="L218" s="122">
        <f t="shared" si="45"/>
        <v>90456859.060000002</v>
      </c>
      <c r="M218" s="116">
        <f t="shared" si="46"/>
        <v>61933097.692610204</v>
      </c>
      <c r="N218" s="123">
        <f t="shared" si="47"/>
        <v>4189.1976253118373</v>
      </c>
      <c r="O218" s="5"/>
      <c r="P218" s="5">
        <f t="shared" si="51"/>
        <v>1</v>
      </c>
      <c r="Q218" s="7">
        <f t="shared" si="52"/>
        <v>14784</v>
      </c>
      <c r="W218" s="124">
        <f t="shared" si="53"/>
        <v>28523761.367389802</v>
      </c>
      <c r="X218">
        <f t="shared" si="54"/>
        <v>0</v>
      </c>
    </row>
    <row r="219" spans="1:24">
      <c r="A219" s="23" t="s">
        <v>247</v>
      </c>
      <c r="B219" s="37" t="s">
        <v>233</v>
      </c>
      <c r="C219" s="125">
        <v>1056</v>
      </c>
      <c r="D219" s="132">
        <v>4279367264</v>
      </c>
      <c r="E219" s="116">
        <f t="shared" si="48"/>
        <v>4052431.1212121211</v>
      </c>
      <c r="F219" s="134">
        <v>3198104616</v>
      </c>
      <c r="G219" s="117">
        <f t="shared" si="49"/>
        <v>3028508.1590909092</v>
      </c>
      <c r="H219" s="9"/>
      <c r="I219" s="136">
        <v>3.2</v>
      </c>
      <c r="J219" s="134">
        <v>10233934.771200001</v>
      </c>
      <c r="K219" s="120">
        <f t="shared" si="50"/>
        <v>9691.2261090909105</v>
      </c>
      <c r="L219" s="122">
        <f t="shared" si="45"/>
        <v>31981046.16</v>
      </c>
      <c r="M219" s="116">
        <f t="shared" si="46"/>
        <v>21747111.388799999</v>
      </c>
      <c r="N219" s="123">
        <f t="shared" si="47"/>
        <v>20593.85548181818</v>
      </c>
      <c r="O219" s="5"/>
      <c r="P219" s="5">
        <f t="shared" si="51"/>
        <v>1</v>
      </c>
      <c r="Q219" s="7">
        <f t="shared" si="52"/>
        <v>1056</v>
      </c>
      <c r="W219" s="124">
        <f t="shared" si="53"/>
        <v>10233934.771200001</v>
      </c>
      <c r="X219">
        <f t="shared" si="54"/>
        <v>0</v>
      </c>
    </row>
    <row r="220" spans="1:24">
      <c r="A220" s="23" t="s">
        <v>248</v>
      </c>
      <c r="B220" s="37" t="s">
        <v>233</v>
      </c>
      <c r="C220" s="125">
        <v>459224</v>
      </c>
      <c r="D220" s="132">
        <v>104659112615</v>
      </c>
      <c r="E220" s="116">
        <f t="shared" si="48"/>
        <v>227904.27463503651</v>
      </c>
      <c r="F220" s="134">
        <v>72738344957</v>
      </c>
      <c r="G220" s="117">
        <f t="shared" si="49"/>
        <v>158394.04072304582</v>
      </c>
      <c r="H220" s="9"/>
      <c r="I220" s="136">
        <v>7.5538999999999996</v>
      </c>
      <c r="J220" s="134">
        <v>549458183.97068226</v>
      </c>
      <c r="K220" s="120">
        <f t="shared" si="50"/>
        <v>1196.4927442178159</v>
      </c>
      <c r="L220" s="122">
        <f t="shared" si="45"/>
        <v>727383449.57000005</v>
      </c>
      <c r="M220" s="116">
        <f t="shared" si="46"/>
        <v>177925265.59931779</v>
      </c>
      <c r="N220" s="123">
        <f t="shared" si="47"/>
        <v>387.44766301264264</v>
      </c>
      <c r="O220" s="5"/>
      <c r="P220" s="5">
        <f t="shared" si="51"/>
        <v>1</v>
      </c>
      <c r="Q220" s="7">
        <f t="shared" si="52"/>
        <v>459224</v>
      </c>
      <c r="W220" s="124">
        <f t="shared" si="53"/>
        <v>549458183.97068226</v>
      </c>
      <c r="X220">
        <f t="shared" si="54"/>
        <v>0</v>
      </c>
    </row>
    <row r="221" spans="1:24">
      <c r="A221" s="23" t="s">
        <v>249</v>
      </c>
      <c r="B221" s="37" t="s">
        <v>233</v>
      </c>
      <c r="C221" s="125">
        <v>83618</v>
      </c>
      <c r="D221" s="132">
        <v>58580706097</v>
      </c>
      <c r="E221" s="116">
        <f t="shared" si="48"/>
        <v>700575.30791217205</v>
      </c>
      <c r="F221" s="134">
        <v>45776001535</v>
      </c>
      <c r="G221" s="117">
        <f t="shared" si="49"/>
        <v>547441.95669592672</v>
      </c>
      <c r="H221" s="9"/>
      <c r="I221" s="136">
        <v>5.8155000000000001</v>
      </c>
      <c r="J221" s="134">
        <v>266210336.9267925</v>
      </c>
      <c r="K221" s="120">
        <f t="shared" si="50"/>
        <v>3183.6486991651618</v>
      </c>
      <c r="L221" s="122">
        <f t="shared" si="45"/>
        <v>457760015.35000002</v>
      </c>
      <c r="M221" s="116">
        <f t="shared" si="46"/>
        <v>191549678.42320752</v>
      </c>
      <c r="N221" s="123">
        <f t="shared" si="47"/>
        <v>2290.7708677941055</v>
      </c>
      <c r="O221" s="5"/>
      <c r="P221" s="5">
        <f t="shared" si="51"/>
        <v>1</v>
      </c>
      <c r="Q221" s="7">
        <f t="shared" si="52"/>
        <v>83618</v>
      </c>
      <c r="W221" s="124">
        <f t="shared" si="53"/>
        <v>266210336.9267925</v>
      </c>
      <c r="X221">
        <f t="shared" si="54"/>
        <v>0</v>
      </c>
    </row>
    <row r="222" spans="1:24">
      <c r="A222" s="23" t="s">
        <v>500</v>
      </c>
      <c r="B222" s="37" t="s">
        <v>233</v>
      </c>
      <c r="C222" s="125">
        <v>115053</v>
      </c>
      <c r="D222" s="132">
        <v>12522479195</v>
      </c>
      <c r="E222" s="116">
        <f t="shared" si="48"/>
        <v>108840.96194797181</v>
      </c>
      <c r="F222" s="134">
        <v>6715692490</v>
      </c>
      <c r="G222" s="117">
        <f t="shared" si="49"/>
        <v>58370.424847678893</v>
      </c>
      <c r="H222" s="9"/>
      <c r="I222" s="136">
        <v>6.9363000000000001</v>
      </c>
      <c r="J222" s="134">
        <v>46582057.818387002</v>
      </c>
      <c r="K222" s="120">
        <f t="shared" si="50"/>
        <v>404.87477787095514</v>
      </c>
      <c r="L222" s="122">
        <f t="shared" si="45"/>
        <v>67156924.900000006</v>
      </c>
      <c r="M222" s="116">
        <f t="shared" si="46"/>
        <v>20574867.081613004</v>
      </c>
      <c r="N222" s="123">
        <f t="shared" si="47"/>
        <v>178.82947060583388</v>
      </c>
      <c r="O222" s="5"/>
      <c r="P222" s="5">
        <f t="shared" si="51"/>
        <v>1</v>
      </c>
      <c r="Q222" s="7">
        <f t="shared" si="52"/>
        <v>115053</v>
      </c>
      <c r="W222" s="124">
        <f t="shared" si="53"/>
        <v>46582057.818387002</v>
      </c>
      <c r="X222">
        <f t="shared" si="54"/>
        <v>0</v>
      </c>
    </row>
    <row r="223" spans="1:24">
      <c r="A223" s="23" t="s">
        <v>459</v>
      </c>
      <c r="B223" s="37" t="s">
        <v>233</v>
      </c>
      <c r="C223" s="125">
        <v>30905</v>
      </c>
      <c r="D223" s="132">
        <v>6285070343</v>
      </c>
      <c r="E223" s="116">
        <f t="shared" si="48"/>
        <v>203367.42737421129</v>
      </c>
      <c r="F223" s="134">
        <v>4112845486</v>
      </c>
      <c r="G223" s="117">
        <f t="shared" si="49"/>
        <v>133080.26164051125</v>
      </c>
      <c r="H223" s="9"/>
      <c r="I223" s="136">
        <v>2.2664</v>
      </c>
      <c r="J223" s="134">
        <v>9321353.0094703995</v>
      </c>
      <c r="K223" s="120">
        <f t="shared" si="50"/>
        <v>301.61310498205467</v>
      </c>
      <c r="L223" s="122">
        <f t="shared" si="45"/>
        <v>41128454.859999999</v>
      </c>
      <c r="M223" s="116">
        <f t="shared" si="46"/>
        <v>31807101.8505296</v>
      </c>
      <c r="N223" s="123">
        <f t="shared" si="47"/>
        <v>1029.1895114230579</v>
      </c>
      <c r="O223" s="5"/>
      <c r="P223" s="5">
        <f t="shared" si="51"/>
        <v>1</v>
      </c>
      <c r="Q223" s="7">
        <f t="shared" si="52"/>
        <v>30905</v>
      </c>
      <c r="W223" s="124">
        <f t="shared" si="53"/>
        <v>9321353.0094703995</v>
      </c>
      <c r="X223">
        <f t="shared" si="54"/>
        <v>0</v>
      </c>
    </row>
    <row r="224" spans="1:24">
      <c r="A224" s="23" t="s">
        <v>250</v>
      </c>
      <c r="B224" s="37" t="s">
        <v>233</v>
      </c>
      <c r="C224" s="125">
        <v>11630</v>
      </c>
      <c r="D224" s="132">
        <v>2943843194</v>
      </c>
      <c r="E224" s="116">
        <f t="shared" si="48"/>
        <v>253124.95219260533</v>
      </c>
      <c r="F224" s="134">
        <v>1531260513</v>
      </c>
      <c r="G224" s="117">
        <f t="shared" si="49"/>
        <v>131664.70447119517</v>
      </c>
      <c r="H224" s="9"/>
      <c r="I224" s="136">
        <v>7.8</v>
      </c>
      <c r="J224" s="134">
        <v>11943832.001399999</v>
      </c>
      <c r="K224" s="120">
        <f t="shared" si="50"/>
        <v>1026.9846948753225</v>
      </c>
      <c r="L224" s="122">
        <f t="shared" si="45"/>
        <v>15312605.130000001</v>
      </c>
      <c r="M224" s="116">
        <f t="shared" si="46"/>
        <v>3368773.1286000013</v>
      </c>
      <c r="N224" s="123">
        <f t="shared" si="47"/>
        <v>289.66234983662952</v>
      </c>
      <c r="O224" s="5"/>
      <c r="P224" s="5">
        <f t="shared" si="51"/>
        <v>1</v>
      </c>
      <c r="Q224" s="7">
        <f t="shared" si="52"/>
        <v>11630</v>
      </c>
      <c r="W224" s="124">
        <f t="shared" si="53"/>
        <v>11943832.001399999</v>
      </c>
      <c r="X224">
        <f t="shared" si="54"/>
        <v>0</v>
      </c>
    </row>
    <row r="225" spans="1:24">
      <c r="A225" s="24" t="s">
        <v>251</v>
      </c>
      <c r="B225" s="37" t="s">
        <v>233</v>
      </c>
      <c r="C225" s="125">
        <v>13865</v>
      </c>
      <c r="D225" s="132">
        <v>2418688084</v>
      </c>
      <c r="E225" s="116">
        <f t="shared" si="48"/>
        <v>174445.58846015146</v>
      </c>
      <c r="F225" s="134">
        <v>1442897263</v>
      </c>
      <c r="G225" s="117">
        <f t="shared" si="49"/>
        <v>104067.59920663541</v>
      </c>
      <c r="H225" s="9"/>
      <c r="I225" s="136">
        <v>6.91</v>
      </c>
      <c r="J225" s="134">
        <v>9970420.0873300005</v>
      </c>
      <c r="K225" s="120">
        <f t="shared" si="50"/>
        <v>719.10711051785074</v>
      </c>
      <c r="L225" s="122">
        <f t="shared" si="45"/>
        <v>14428972.630000001</v>
      </c>
      <c r="M225" s="116">
        <f t="shared" si="46"/>
        <v>4458552.5426700003</v>
      </c>
      <c r="N225" s="123">
        <f t="shared" si="47"/>
        <v>321.56888154850344</v>
      </c>
      <c r="O225" s="5"/>
      <c r="P225" s="5">
        <f t="shared" si="51"/>
        <v>1</v>
      </c>
      <c r="Q225" s="7">
        <f t="shared" si="52"/>
        <v>13865</v>
      </c>
      <c r="W225" s="124">
        <f t="shared" si="53"/>
        <v>9970420.0873300005</v>
      </c>
      <c r="X225">
        <f t="shared" si="54"/>
        <v>0</v>
      </c>
    </row>
    <row r="226" spans="1:24">
      <c r="A226" s="23" t="s">
        <v>599</v>
      </c>
      <c r="B226" s="37" t="s">
        <v>233</v>
      </c>
      <c r="C226" s="125">
        <v>8206</v>
      </c>
      <c r="D226" s="132">
        <v>1643538786</v>
      </c>
      <c r="E226" s="116">
        <f t="shared" si="48"/>
        <v>200285.00926151595</v>
      </c>
      <c r="F226" s="134">
        <v>1297842916</v>
      </c>
      <c r="G226" s="117">
        <f t="shared" si="49"/>
        <v>158157.80112113088</v>
      </c>
      <c r="H226" s="9"/>
      <c r="I226" s="136">
        <v>5.7159000000000004</v>
      </c>
      <c r="J226" s="134">
        <v>7418340.3235644009</v>
      </c>
      <c r="K226" s="120">
        <f t="shared" si="50"/>
        <v>904.0141754282721</v>
      </c>
      <c r="L226" s="122">
        <f t="shared" si="45"/>
        <v>12978429.16</v>
      </c>
      <c r="M226" s="116">
        <f t="shared" si="46"/>
        <v>5560088.8364355993</v>
      </c>
      <c r="N226" s="123">
        <f t="shared" si="47"/>
        <v>677.56383578303667</v>
      </c>
      <c r="O226" s="5"/>
      <c r="P226" s="5">
        <f t="shared" si="51"/>
        <v>1</v>
      </c>
      <c r="Q226" s="7">
        <f t="shared" si="52"/>
        <v>8206</v>
      </c>
      <c r="W226" s="124">
        <f t="shared" si="53"/>
        <v>7418340.3235644</v>
      </c>
      <c r="X226">
        <f t="shared" si="54"/>
        <v>0</v>
      </c>
    </row>
    <row r="227" spans="1:24">
      <c r="A227" s="23" t="s">
        <v>253</v>
      </c>
      <c r="B227" s="37" t="s">
        <v>233</v>
      </c>
      <c r="C227" s="125">
        <v>60337</v>
      </c>
      <c r="D227" s="132">
        <v>7802772766</v>
      </c>
      <c r="E227" s="116">
        <f t="shared" si="48"/>
        <v>129319.86618492799</v>
      </c>
      <c r="F227" s="134">
        <v>4540652253</v>
      </c>
      <c r="G227" s="117">
        <f t="shared" si="49"/>
        <v>75254.856108192325</v>
      </c>
      <c r="H227" s="9"/>
      <c r="I227" s="136">
        <v>7.4</v>
      </c>
      <c r="J227" s="134">
        <v>33600826.672200002</v>
      </c>
      <c r="K227" s="120">
        <f t="shared" si="50"/>
        <v>556.88593520062318</v>
      </c>
      <c r="L227" s="122">
        <f t="shared" si="45"/>
        <v>45406522.530000001</v>
      </c>
      <c r="M227" s="116">
        <f t="shared" si="46"/>
        <v>11805695.857799999</v>
      </c>
      <c r="N227" s="123">
        <f t="shared" si="47"/>
        <v>195.66262588130002</v>
      </c>
      <c r="O227" s="5"/>
      <c r="P227" s="5">
        <f t="shared" si="51"/>
        <v>1</v>
      </c>
      <c r="Q227" s="7">
        <f t="shared" si="52"/>
        <v>60337</v>
      </c>
      <c r="W227" s="124">
        <f t="shared" si="53"/>
        <v>33600826.672200002</v>
      </c>
      <c r="X227">
        <f t="shared" si="54"/>
        <v>0</v>
      </c>
    </row>
    <row r="228" spans="1:24">
      <c r="A228" s="23" t="s">
        <v>254</v>
      </c>
      <c r="B228" s="37" t="s">
        <v>233</v>
      </c>
      <c r="C228" s="125">
        <v>43591</v>
      </c>
      <c r="D228" s="132">
        <v>6388034048</v>
      </c>
      <c r="E228" s="116">
        <f t="shared" si="48"/>
        <v>146544.79245715859</v>
      </c>
      <c r="F228" s="134">
        <v>4098528712</v>
      </c>
      <c r="G228" s="117">
        <f t="shared" si="49"/>
        <v>94022.360395494485</v>
      </c>
      <c r="H228" s="9"/>
      <c r="I228" s="136">
        <v>6.1</v>
      </c>
      <c r="J228" s="134">
        <v>25001025.143199995</v>
      </c>
      <c r="K228" s="120">
        <f t="shared" si="50"/>
        <v>573.53639841251618</v>
      </c>
      <c r="L228" s="122">
        <f t="shared" si="45"/>
        <v>40985287.119999997</v>
      </c>
      <c r="M228" s="116">
        <f t="shared" si="46"/>
        <v>15984261.976800002</v>
      </c>
      <c r="N228" s="123">
        <f t="shared" si="47"/>
        <v>366.68720554242856</v>
      </c>
      <c r="O228" s="5"/>
      <c r="P228" s="5">
        <f t="shared" si="51"/>
        <v>1</v>
      </c>
      <c r="Q228" s="7">
        <f t="shared" si="52"/>
        <v>43591</v>
      </c>
      <c r="W228" s="124">
        <f t="shared" si="53"/>
        <v>25001025.143199999</v>
      </c>
      <c r="X228">
        <f t="shared" si="54"/>
        <v>0</v>
      </c>
    </row>
    <row r="229" spans="1:24">
      <c r="A229" s="23" t="s">
        <v>255</v>
      </c>
      <c r="B229" s="37" t="s">
        <v>233</v>
      </c>
      <c r="C229" s="125">
        <v>16710</v>
      </c>
      <c r="D229" s="132">
        <v>2462054800</v>
      </c>
      <c r="E229" s="116">
        <f t="shared" si="48"/>
        <v>147340.20347097545</v>
      </c>
      <c r="F229" s="134">
        <v>1509405719</v>
      </c>
      <c r="G229" s="117">
        <f t="shared" si="49"/>
        <v>90329.486475164565</v>
      </c>
      <c r="H229" s="9"/>
      <c r="I229" s="136">
        <v>9.35</v>
      </c>
      <c r="J229" s="134">
        <v>14112943.472649999</v>
      </c>
      <c r="K229" s="120">
        <f t="shared" si="50"/>
        <v>844.5806985427887</v>
      </c>
      <c r="L229" s="122">
        <f t="shared" si="45"/>
        <v>15094057.189999999</v>
      </c>
      <c r="M229" s="116">
        <f t="shared" si="46"/>
        <v>981113.71735000052</v>
      </c>
      <c r="N229" s="123">
        <f t="shared" si="47"/>
        <v>58.714166208857002</v>
      </c>
      <c r="O229" s="5"/>
      <c r="P229" s="5">
        <f t="shared" si="51"/>
        <v>1</v>
      </c>
      <c r="Q229" s="7">
        <f t="shared" si="52"/>
        <v>16710</v>
      </c>
      <c r="W229" s="124">
        <f t="shared" si="53"/>
        <v>14112943.472649999</v>
      </c>
      <c r="X229">
        <f t="shared" si="54"/>
        <v>0</v>
      </c>
    </row>
    <row r="230" spans="1:24">
      <c r="A230" s="23" t="s">
        <v>493</v>
      </c>
      <c r="B230" s="37" t="s">
        <v>233</v>
      </c>
      <c r="C230" s="125">
        <v>25041</v>
      </c>
      <c r="D230" s="132">
        <v>6137868218</v>
      </c>
      <c r="E230" s="116">
        <f t="shared" si="48"/>
        <v>245112.74382013499</v>
      </c>
      <c r="F230" s="134">
        <v>3696662534</v>
      </c>
      <c r="G230" s="117">
        <f t="shared" si="49"/>
        <v>147624.39734834872</v>
      </c>
      <c r="H230" s="9"/>
      <c r="I230" s="136">
        <v>2.35</v>
      </c>
      <c r="J230" s="134">
        <v>8687156.9549000002</v>
      </c>
      <c r="K230" s="120">
        <f t="shared" si="50"/>
        <v>346.91733376861947</v>
      </c>
      <c r="L230" s="122">
        <f t="shared" si="45"/>
        <v>36966625.340000004</v>
      </c>
      <c r="M230" s="116">
        <f t="shared" si="46"/>
        <v>28279468.385100003</v>
      </c>
      <c r="N230" s="123">
        <f t="shared" si="47"/>
        <v>1129.3266397148677</v>
      </c>
      <c r="O230" s="5"/>
      <c r="P230" s="5">
        <f t="shared" si="51"/>
        <v>1</v>
      </c>
      <c r="Q230" s="7">
        <f t="shared" si="52"/>
        <v>25041</v>
      </c>
      <c r="W230" s="124">
        <f t="shared" si="53"/>
        <v>8687156.9549000002</v>
      </c>
      <c r="X230">
        <f t="shared" si="54"/>
        <v>0</v>
      </c>
    </row>
    <row r="231" spans="1:24">
      <c r="A231" s="23" t="s">
        <v>256</v>
      </c>
      <c r="B231" s="37" t="s">
        <v>233</v>
      </c>
      <c r="C231" s="125">
        <v>18394</v>
      </c>
      <c r="D231" s="132">
        <v>8976727914</v>
      </c>
      <c r="E231" s="116">
        <f t="shared" si="48"/>
        <v>488024.78601717949</v>
      </c>
      <c r="F231" s="134">
        <v>6019523740</v>
      </c>
      <c r="G231" s="117">
        <f t="shared" si="49"/>
        <v>327254.74285092967</v>
      </c>
      <c r="H231" s="9"/>
      <c r="I231" s="150">
        <v>2.35</v>
      </c>
      <c r="J231" s="134">
        <v>14145880.789000001</v>
      </c>
      <c r="K231" s="120">
        <f t="shared" si="50"/>
        <v>769.0486456996847</v>
      </c>
      <c r="L231" s="122">
        <f t="shared" si="45"/>
        <v>60195237.399999999</v>
      </c>
      <c r="M231" s="116">
        <f t="shared" si="46"/>
        <v>46049356.611000001</v>
      </c>
      <c r="N231" s="123">
        <f t="shared" si="47"/>
        <v>2503.4987828096118</v>
      </c>
      <c r="O231" s="5"/>
      <c r="P231" s="5">
        <f t="shared" si="51"/>
        <v>1</v>
      </c>
      <c r="Q231" s="7">
        <f t="shared" si="52"/>
        <v>18394</v>
      </c>
      <c r="W231" s="124">
        <f t="shared" si="53"/>
        <v>14145880.789000001</v>
      </c>
      <c r="X231">
        <f t="shared" si="54"/>
        <v>0</v>
      </c>
    </row>
    <row r="232" spans="1:24">
      <c r="A232" s="23" t="s">
        <v>257</v>
      </c>
      <c r="B232" s="37" t="s">
        <v>233</v>
      </c>
      <c r="C232" s="125">
        <v>12090</v>
      </c>
      <c r="D232" s="132">
        <v>3619611600</v>
      </c>
      <c r="E232" s="116">
        <f t="shared" si="48"/>
        <v>299388.88337468985</v>
      </c>
      <c r="F232" s="134">
        <v>2337417372</v>
      </c>
      <c r="G232" s="117">
        <f t="shared" si="49"/>
        <v>193334.77022332506</v>
      </c>
      <c r="H232" s="9"/>
      <c r="I232" s="136">
        <v>3.9998999999999998</v>
      </c>
      <c r="J232" s="134">
        <v>9349435.7462627999</v>
      </c>
      <c r="K232" s="120">
        <f t="shared" si="50"/>
        <v>773.31974741627789</v>
      </c>
      <c r="L232" s="122">
        <f t="shared" si="45"/>
        <v>23374173.719999999</v>
      </c>
      <c r="M232" s="116">
        <f t="shared" si="46"/>
        <v>14024737.973737199</v>
      </c>
      <c r="N232" s="123">
        <f t="shared" si="47"/>
        <v>1160.0279548169726</v>
      </c>
      <c r="O232" s="5"/>
      <c r="P232" s="5">
        <f t="shared" si="51"/>
        <v>1</v>
      </c>
      <c r="Q232" s="7">
        <f t="shared" si="52"/>
        <v>12090</v>
      </c>
      <c r="W232" s="124">
        <f t="shared" si="53"/>
        <v>9349435.7462627999</v>
      </c>
      <c r="X232">
        <f t="shared" si="54"/>
        <v>0</v>
      </c>
    </row>
    <row r="233" spans="1:24">
      <c r="A233" s="23" t="s">
        <v>258</v>
      </c>
      <c r="B233" s="37" t="s">
        <v>233</v>
      </c>
      <c r="C233" s="125">
        <v>22756</v>
      </c>
      <c r="D233" s="132">
        <v>15463178925</v>
      </c>
      <c r="E233" s="116">
        <f t="shared" si="48"/>
        <v>679520.95820882404</v>
      </c>
      <c r="F233" s="134">
        <v>13619528489</v>
      </c>
      <c r="G233" s="117">
        <f t="shared" si="49"/>
        <v>598502.7460449991</v>
      </c>
      <c r="H233" s="9"/>
      <c r="I233" s="136">
        <v>2</v>
      </c>
      <c r="J233" s="134">
        <v>27239056.978</v>
      </c>
      <c r="K233" s="120">
        <f t="shared" si="50"/>
        <v>1197.0054920899981</v>
      </c>
      <c r="L233" s="122">
        <f t="shared" si="45"/>
        <v>136195284.89000002</v>
      </c>
      <c r="M233" s="116">
        <f t="shared" si="46"/>
        <v>108956227.91200002</v>
      </c>
      <c r="N233" s="123">
        <f t="shared" si="47"/>
        <v>4788.0219683599935</v>
      </c>
      <c r="O233" s="5"/>
      <c r="P233" s="5">
        <f t="shared" si="51"/>
        <v>1</v>
      </c>
      <c r="Q233" s="7">
        <f t="shared" si="52"/>
        <v>22756</v>
      </c>
      <c r="W233" s="124">
        <f t="shared" si="53"/>
        <v>27239056.978</v>
      </c>
      <c r="X233">
        <f t="shared" si="54"/>
        <v>0</v>
      </c>
    </row>
    <row r="234" spans="1:24">
      <c r="A234" s="23" t="s">
        <v>259</v>
      </c>
      <c r="B234" s="37" t="s">
        <v>233</v>
      </c>
      <c r="C234" s="125">
        <v>5446</v>
      </c>
      <c r="D234" s="132">
        <v>4546106666</v>
      </c>
      <c r="E234" s="116">
        <f t="shared" si="48"/>
        <v>834760.68049944914</v>
      </c>
      <c r="F234" s="134">
        <v>3614857270</v>
      </c>
      <c r="G234" s="117">
        <f t="shared" si="49"/>
        <v>663763.72934263677</v>
      </c>
      <c r="H234" s="9"/>
      <c r="I234" s="136">
        <v>4.2</v>
      </c>
      <c r="J234" s="134">
        <v>15182400.534</v>
      </c>
      <c r="K234" s="120">
        <f t="shared" si="50"/>
        <v>2787.8076632390744</v>
      </c>
      <c r="L234" s="122">
        <f t="shared" si="45"/>
        <v>36148572.700000003</v>
      </c>
      <c r="M234" s="116">
        <f t="shared" si="46"/>
        <v>20966172.166000001</v>
      </c>
      <c r="N234" s="123">
        <f t="shared" si="47"/>
        <v>3849.8296301872938</v>
      </c>
      <c r="O234" s="5"/>
      <c r="P234" s="5">
        <f t="shared" si="51"/>
        <v>1</v>
      </c>
      <c r="Q234" s="7">
        <f t="shared" si="52"/>
        <v>5446</v>
      </c>
      <c r="W234" s="124">
        <f t="shared" si="53"/>
        <v>15182400.534000002</v>
      </c>
      <c r="X234">
        <f t="shared" si="54"/>
        <v>0</v>
      </c>
    </row>
    <row r="235" spans="1:24">
      <c r="A235" s="23" t="s">
        <v>260</v>
      </c>
      <c r="B235" s="35" t="s">
        <v>233</v>
      </c>
      <c r="C235" s="125">
        <v>20240</v>
      </c>
      <c r="D235" s="132">
        <v>4309437177</v>
      </c>
      <c r="E235" s="116">
        <f t="shared" si="48"/>
        <v>212916.85657114626</v>
      </c>
      <c r="F235" s="134">
        <v>3259091201</v>
      </c>
      <c r="G235" s="117">
        <f t="shared" si="49"/>
        <v>161022.29253952569</v>
      </c>
      <c r="H235" s="9"/>
      <c r="I235" s="150">
        <v>3.5634000000000001</v>
      </c>
      <c r="J235" s="134">
        <v>11613445.5856434</v>
      </c>
      <c r="K235" s="120">
        <f t="shared" si="50"/>
        <v>573.78683723534584</v>
      </c>
      <c r="L235" s="122">
        <f t="shared" si="45"/>
        <v>32590912.010000002</v>
      </c>
      <c r="M235" s="116">
        <f t="shared" si="46"/>
        <v>20977466.424356602</v>
      </c>
      <c r="N235" s="123">
        <f t="shared" si="47"/>
        <v>1036.4360881599112</v>
      </c>
      <c r="O235" s="5"/>
      <c r="P235" s="5">
        <f t="shared" si="51"/>
        <v>1</v>
      </c>
      <c r="Q235" s="7">
        <f t="shared" si="52"/>
        <v>20240</v>
      </c>
      <c r="W235" s="124">
        <f t="shared" si="53"/>
        <v>11613445.5856434</v>
      </c>
      <c r="X235">
        <f t="shared" si="54"/>
        <v>0</v>
      </c>
    </row>
    <row r="236" spans="1:24">
      <c r="A236" s="23" t="s">
        <v>261</v>
      </c>
      <c r="B236" s="35" t="s">
        <v>233</v>
      </c>
      <c r="C236" s="125">
        <v>2376</v>
      </c>
      <c r="D236" s="132">
        <v>473158206</v>
      </c>
      <c r="E236" s="116">
        <f t="shared" si="48"/>
        <v>199140.65909090909</v>
      </c>
      <c r="F236" s="134">
        <v>351821177</v>
      </c>
      <c r="G236" s="117">
        <f t="shared" si="49"/>
        <v>148072.88594276094</v>
      </c>
      <c r="H236" s="9"/>
      <c r="I236" s="136">
        <v>4.5999999999999996</v>
      </c>
      <c r="J236" s="134">
        <v>1618377.4141999998</v>
      </c>
      <c r="K236" s="120">
        <f t="shared" si="50"/>
        <v>681.13527533670026</v>
      </c>
      <c r="L236" s="122">
        <f t="shared" si="45"/>
        <v>3518211.77</v>
      </c>
      <c r="M236" s="116">
        <f t="shared" si="46"/>
        <v>1899834.3558000003</v>
      </c>
      <c r="N236" s="123">
        <f t="shared" si="47"/>
        <v>799.59358409090919</v>
      </c>
      <c r="O236" s="5"/>
      <c r="P236" s="5">
        <f t="shared" si="51"/>
        <v>1</v>
      </c>
      <c r="Q236" s="7">
        <f t="shared" si="52"/>
        <v>2376</v>
      </c>
      <c r="S236" s="124"/>
      <c r="T236" s="124"/>
      <c r="U236" s="124"/>
      <c r="W236" s="124">
        <f t="shared" si="53"/>
        <v>1618377.4142</v>
      </c>
      <c r="X236">
        <f t="shared" si="54"/>
        <v>0</v>
      </c>
    </row>
    <row r="237" spans="1:24">
      <c r="A237" s="23" t="s">
        <v>262</v>
      </c>
      <c r="B237" s="35" t="s">
        <v>233</v>
      </c>
      <c r="C237" s="125">
        <v>7313</v>
      </c>
      <c r="D237" s="132">
        <v>1150814428</v>
      </c>
      <c r="E237" s="116">
        <f t="shared" si="48"/>
        <v>157365.57199507725</v>
      </c>
      <c r="F237" s="134">
        <v>813039422</v>
      </c>
      <c r="G237" s="117">
        <f t="shared" si="49"/>
        <v>111177.27635717216</v>
      </c>
      <c r="H237" s="7"/>
      <c r="I237" s="136">
        <v>6.5896999999999997</v>
      </c>
      <c r="J237" s="134">
        <v>5357685.8791533997</v>
      </c>
      <c r="K237" s="120">
        <f t="shared" si="50"/>
        <v>732.62489801085735</v>
      </c>
      <c r="L237" s="122">
        <f t="shared" si="45"/>
        <v>8130394.2199999997</v>
      </c>
      <c r="M237" s="116">
        <f t="shared" si="46"/>
        <v>2772708.3408466</v>
      </c>
      <c r="N237" s="123">
        <f t="shared" si="47"/>
        <v>379.1478655608642</v>
      </c>
      <c r="O237" s="5"/>
      <c r="P237" s="5">
        <f t="shared" si="51"/>
        <v>1</v>
      </c>
      <c r="Q237" s="7">
        <f t="shared" si="52"/>
        <v>7313</v>
      </c>
      <c r="S237" s="124">
        <f>SUM(D204:D237)</f>
        <v>384541937614</v>
      </c>
      <c r="T237" s="124">
        <f>SUM(F204:F237)</f>
        <v>272797962147</v>
      </c>
      <c r="U237" s="124">
        <f>SUM(J204:J237)</f>
        <v>1448361781.5178752</v>
      </c>
      <c r="W237" s="124">
        <f t="shared" si="53"/>
        <v>5357685.8791533997</v>
      </c>
      <c r="X237">
        <f t="shared" si="54"/>
        <v>0</v>
      </c>
    </row>
    <row r="238" spans="1:24">
      <c r="A238" s="23" t="s">
        <v>263</v>
      </c>
      <c r="B238" s="35" t="s">
        <v>264</v>
      </c>
      <c r="C238" s="125">
        <v>7272</v>
      </c>
      <c r="D238" s="132">
        <v>7274012717</v>
      </c>
      <c r="E238" s="116">
        <f t="shared" si="48"/>
        <v>1000276.7762651265</v>
      </c>
      <c r="F238" s="134">
        <v>5094149033</v>
      </c>
      <c r="G238" s="117">
        <f t="shared" si="49"/>
        <v>700515.54359185917</v>
      </c>
      <c r="H238" s="7"/>
      <c r="I238" s="136">
        <v>3</v>
      </c>
      <c r="J238" s="134">
        <v>15282447.098999999</v>
      </c>
      <c r="K238" s="120">
        <f t="shared" si="50"/>
        <v>2101.5466307755773</v>
      </c>
      <c r="L238" s="122">
        <f t="shared" si="45"/>
        <v>50941490.329999998</v>
      </c>
      <c r="M238" s="116">
        <f t="shared" si="46"/>
        <v>35659043.230999999</v>
      </c>
      <c r="N238" s="123">
        <f t="shared" si="47"/>
        <v>4903.6088051430143</v>
      </c>
      <c r="O238" s="5"/>
      <c r="P238" s="5">
        <f t="shared" si="51"/>
        <v>1</v>
      </c>
      <c r="Q238" s="7">
        <f t="shared" si="52"/>
        <v>7272</v>
      </c>
      <c r="W238" s="124">
        <f t="shared" si="53"/>
        <v>15282447.098999999</v>
      </c>
      <c r="X238">
        <f t="shared" si="54"/>
        <v>0</v>
      </c>
    </row>
    <row r="239" spans="1:24">
      <c r="A239" s="23" t="s">
        <v>265</v>
      </c>
      <c r="B239" s="35" t="s">
        <v>264</v>
      </c>
      <c r="C239" s="125">
        <v>807</v>
      </c>
      <c r="D239" s="132">
        <v>1161514894</v>
      </c>
      <c r="E239" s="116">
        <f t="shared" si="48"/>
        <v>1439299.7447335811</v>
      </c>
      <c r="F239" s="134">
        <v>943606678</v>
      </c>
      <c r="G239" s="117">
        <f t="shared" si="49"/>
        <v>1169277.1722428747</v>
      </c>
      <c r="H239" s="7"/>
      <c r="I239" s="136">
        <v>2.8725999999999998</v>
      </c>
      <c r="J239" s="134">
        <v>2710604.5432227999</v>
      </c>
      <c r="K239" s="120">
        <f t="shared" si="50"/>
        <v>3358.8656049848823</v>
      </c>
      <c r="L239" s="122">
        <f t="shared" si="45"/>
        <v>9436066.7799999993</v>
      </c>
      <c r="M239" s="116">
        <f t="shared" si="46"/>
        <v>6725462.2367771994</v>
      </c>
      <c r="N239" s="123">
        <f t="shared" si="47"/>
        <v>8333.9061174438648</v>
      </c>
      <c r="O239" s="5"/>
      <c r="P239" s="5">
        <f t="shared" si="51"/>
        <v>1</v>
      </c>
      <c r="Q239" s="7">
        <f t="shared" si="52"/>
        <v>807</v>
      </c>
      <c r="W239" s="124">
        <f t="shared" si="53"/>
        <v>2710604.5432227999</v>
      </c>
      <c r="X239">
        <f t="shared" si="54"/>
        <v>0</v>
      </c>
    </row>
    <row r="240" spans="1:24">
      <c r="A240" s="23" t="s">
        <v>266</v>
      </c>
      <c r="B240" s="35" t="s">
        <v>264</v>
      </c>
      <c r="C240" s="125">
        <v>27040</v>
      </c>
      <c r="D240" s="132">
        <v>15952699523</v>
      </c>
      <c r="E240" s="116">
        <f t="shared" si="48"/>
        <v>589966.69833579881</v>
      </c>
      <c r="F240" s="134">
        <v>9329800838</v>
      </c>
      <c r="G240" s="117">
        <f t="shared" si="49"/>
        <v>345037.01323964499</v>
      </c>
      <c r="H240" s="7"/>
      <c r="I240" s="136">
        <v>2.0821999999999998</v>
      </c>
      <c r="J240" s="134">
        <v>19426511.304883599</v>
      </c>
      <c r="K240" s="120">
        <f t="shared" si="50"/>
        <v>718.43606896758877</v>
      </c>
      <c r="L240" s="122">
        <f t="shared" si="45"/>
        <v>93298008.379999995</v>
      </c>
      <c r="M240" s="116">
        <f t="shared" si="46"/>
        <v>73871497.075116396</v>
      </c>
      <c r="N240" s="123">
        <f t="shared" si="47"/>
        <v>2731.934063428861</v>
      </c>
      <c r="O240" s="5"/>
      <c r="P240" s="5">
        <f t="shared" si="51"/>
        <v>1</v>
      </c>
      <c r="Q240" s="7">
        <f t="shared" si="52"/>
        <v>27040</v>
      </c>
      <c r="W240" s="124">
        <f t="shared" si="53"/>
        <v>19426511.304883599</v>
      </c>
      <c r="X240">
        <f t="shared" si="54"/>
        <v>0</v>
      </c>
    </row>
    <row r="241" spans="1:24">
      <c r="A241" s="23" t="s">
        <v>267</v>
      </c>
      <c r="B241" s="35" t="s">
        <v>264</v>
      </c>
      <c r="C241" s="125">
        <v>214</v>
      </c>
      <c r="D241" s="132">
        <v>125994050</v>
      </c>
      <c r="E241" s="116">
        <f t="shared" si="48"/>
        <v>588757.24299065419</v>
      </c>
      <c r="F241" s="134">
        <v>88012272</v>
      </c>
      <c r="G241" s="117">
        <f t="shared" si="49"/>
        <v>411272.29906542058</v>
      </c>
      <c r="H241" s="7"/>
      <c r="I241" s="136">
        <v>2.4965000000000002</v>
      </c>
      <c r="J241" s="134">
        <v>219722.637048</v>
      </c>
      <c r="K241" s="120">
        <f t="shared" si="50"/>
        <v>1026.7412946168224</v>
      </c>
      <c r="L241" s="122">
        <f t="shared" si="45"/>
        <v>880122.72</v>
      </c>
      <c r="M241" s="116">
        <f t="shared" si="46"/>
        <v>660400.08295199997</v>
      </c>
      <c r="N241" s="123">
        <f t="shared" si="47"/>
        <v>3085.9816960373832</v>
      </c>
      <c r="O241" s="5"/>
      <c r="P241" s="5">
        <f t="shared" si="51"/>
        <v>1</v>
      </c>
      <c r="Q241" s="7">
        <f t="shared" si="52"/>
        <v>214</v>
      </c>
      <c r="W241" s="124">
        <f t="shared" si="53"/>
        <v>219722.637048</v>
      </c>
      <c r="X241">
        <f t="shared" si="54"/>
        <v>0</v>
      </c>
    </row>
    <row r="242" spans="1:24">
      <c r="A242" s="23" t="s">
        <v>449</v>
      </c>
      <c r="B242" s="35" t="s">
        <v>264</v>
      </c>
      <c r="C242" s="125">
        <v>9926</v>
      </c>
      <c r="D242" s="132">
        <v>5216236260</v>
      </c>
      <c r="E242" s="116">
        <f t="shared" si="48"/>
        <v>525512.41789240378</v>
      </c>
      <c r="F242" s="134">
        <v>3653521993</v>
      </c>
      <c r="G242" s="117">
        <f t="shared" si="49"/>
        <v>368075.96141446708</v>
      </c>
      <c r="H242" s="7"/>
      <c r="I242" s="136">
        <v>2.72</v>
      </c>
      <c r="J242" s="134">
        <v>9937579.8209600002</v>
      </c>
      <c r="K242" s="120">
        <f t="shared" si="50"/>
        <v>1001.1666150473504</v>
      </c>
      <c r="L242" s="122">
        <f t="shared" si="45"/>
        <v>36535219.93</v>
      </c>
      <c r="M242" s="116">
        <f t="shared" si="46"/>
        <v>26597640.10904</v>
      </c>
      <c r="N242" s="123">
        <f t="shared" si="47"/>
        <v>2679.59299909732</v>
      </c>
      <c r="O242" s="5"/>
      <c r="P242" s="5">
        <f t="shared" si="51"/>
        <v>1</v>
      </c>
      <c r="Q242" s="7">
        <f t="shared" si="52"/>
        <v>9926</v>
      </c>
      <c r="S242" s="124">
        <f>SUM(D238:D242)</f>
        <v>29730457444</v>
      </c>
      <c r="T242" s="124">
        <f>SUM(F238:F242)</f>
        <v>19109090814</v>
      </c>
      <c r="U242" s="124">
        <f>SUM(J238:J242)</f>
        <v>47576865.405114397</v>
      </c>
      <c r="W242" s="124">
        <f t="shared" si="53"/>
        <v>9937579.8209600002</v>
      </c>
      <c r="X242">
        <f t="shared" si="54"/>
        <v>0</v>
      </c>
    </row>
    <row r="243" spans="1:24">
      <c r="A243" s="23" t="s">
        <v>268</v>
      </c>
      <c r="B243" s="35" t="s">
        <v>269</v>
      </c>
      <c r="C243" s="125">
        <v>1597</v>
      </c>
      <c r="D243" s="132">
        <v>237040888</v>
      </c>
      <c r="E243" s="116">
        <f t="shared" si="48"/>
        <v>148428.85911083283</v>
      </c>
      <c r="F243" s="134">
        <v>138402917</v>
      </c>
      <c r="G243" s="117">
        <f t="shared" si="49"/>
        <v>86664.31872260489</v>
      </c>
      <c r="H243" s="7"/>
      <c r="I243" s="136">
        <v>2.0895999999999999</v>
      </c>
      <c r="J243" s="134">
        <v>289206.73536320002</v>
      </c>
      <c r="K243" s="120">
        <f t="shared" si="50"/>
        <v>181.09376040275518</v>
      </c>
      <c r="L243" s="122">
        <f t="shared" si="45"/>
        <v>1384029.17</v>
      </c>
      <c r="M243" s="116">
        <f t="shared" si="46"/>
        <v>1094822.4346367999</v>
      </c>
      <c r="N243" s="123">
        <f t="shared" si="47"/>
        <v>685.54942682329363</v>
      </c>
      <c r="O243" s="5"/>
      <c r="P243" s="5">
        <f t="shared" si="51"/>
        <v>1</v>
      </c>
      <c r="Q243" s="7">
        <f t="shared" si="52"/>
        <v>1597</v>
      </c>
      <c r="W243" s="124">
        <f t="shared" si="53"/>
        <v>289206.73536320002</v>
      </c>
      <c r="X243">
        <f t="shared" si="54"/>
        <v>0</v>
      </c>
    </row>
    <row r="244" spans="1:24">
      <c r="A244" s="23" t="s">
        <v>270</v>
      </c>
      <c r="B244" s="35" t="s">
        <v>269</v>
      </c>
      <c r="C244" s="125">
        <v>13188</v>
      </c>
      <c r="D244" s="132">
        <v>5550522512</v>
      </c>
      <c r="E244" s="116">
        <f t="shared" si="48"/>
        <v>420876.74491962389</v>
      </c>
      <c r="F244" s="134">
        <v>3468491262</v>
      </c>
      <c r="G244" s="117">
        <f t="shared" si="49"/>
        <v>263003.58371246589</v>
      </c>
      <c r="H244" s="7"/>
      <c r="I244" s="136">
        <v>5.3330000000000002</v>
      </c>
      <c r="J244" s="134">
        <v>18497463.900246002</v>
      </c>
      <c r="K244" s="120">
        <f t="shared" si="50"/>
        <v>1402.5981119385806</v>
      </c>
      <c r="L244" s="122">
        <f t="shared" si="45"/>
        <v>34684912.619999997</v>
      </c>
      <c r="M244" s="116">
        <f t="shared" si="46"/>
        <v>16187448.719753996</v>
      </c>
      <c r="N244" s="123">
        <f t="shared" si="47"/>
        <v>1227.4377251860778</v>
      </c>
      <c r="O244" s="5"/>
      <c r="P244" s="5">
        <f t="shared" si="51"/>
        <v>1</v>
      </c>
      <c r="Q244" s="7">
        <f t="shared" si="52"/>
        <v>13188</v>
      </c>
      <c r="S244" s="124"/>
      <c r="T244" s="124"/>
      <c r="U244" s="124"/>
      <c r="W244" s="124">
        <f t="shared" si="53"/>
        <v>18497463.900246002</v>
      </c>
      <c r="X244">
        <f t="shared" si="54"/>
        <v>0</v>
      </c>
    </row>
    <row r="245" spans="1:24">
      <c r="A245" s="23" t="s">
        <v>271</v>
      </c>
      <c r="B245" s="35" t="s">
        <v>269</v>
      </c>
      <c r="C245" s="125">
        <v>2988</v>
      </c>
      <c r="D245" s="132">
        <v>428858592</v>
      </c>
      <c r="E245" s="116">
        <f t="shared" si="48"/>
        <v>143526.9718875502</v>
      </c>
      <c r="F245" s="187">
        <v>130990332</v>
      </c>
      <c r="G245" s="117">
        <f t="shared" si="49"/>
        <v>43838.799196787149</v>
      </c>
      <c r="H245" s="7"/>
      <c r="I245" s="136">
        <v>3</v>
      </c>
      <c r="J245" s="134">
        <v>392970.99599999998</v>
      </c>
      <c r="K245" s="120">
        <f t="shared" si="50"/>
        <v>131.51639759036144</v>
      </c>
      <c r="L245" s="122">
        <f t="shared" si="45"/>
        <v>1309903.32</v>
      </c>
      <c r="M245" s="116">
        <f t="shared" si="46"/>
        <v>916932.32400000002</v>
      </c>
      <c r="N245" s="123">
        <f t="shared" si="47"/>
        <v>306.87159437751006</v>
      </c>
      <c r="O245" s="5"/>
      <c r="P245" s="5">
        <f t="shared" si="51"/>
        <v>1</v>
      </c>
      <c r="Q245" s="7">
        <f t="shared" si="52"/>
        <v>2988</v>
      </c>
      <c r="S245" s="124">
        <f>SUM(D243:D245)</f>
        <v>6216421992</v>
      </c>
      <c r="T245" s="124">
        <f>SUM(F243:F245)</f>
        <v>3737884511</v>
      </c>
      <c r="U245" s="124">
        <f>SUM(J243:J245)</f>
        <v>19179641.631609201</v>
      </c>
      <c r="W245" s="124">
        <f t="shared" si="53"/>
        <v>392970.99599999998</v>
      </c>
      <c r="X245">
        <f t="shared" si="54"/>
        <v>0</v>
      </c>
    </row>
    <row r="246" spans="1:24">
      <c r="A246" s="23" t="s">
        <v>272</v>
      </c>
      <c r="B246" s="35" t="s">
        <v>273</v>
      </c>
      <c r="C246" s="125">
        <v>455</v>
      </c>
      <c r="D246" s="132">
        <v>93155849</v>
      </c>
      <c r="E246" s="116">
        <f t="shared" si="48"/>
        <v>204738.12967032968</v>
      </c>
      <c r="F246" s="134">
        <v>67884096</v>
      </c>
      <c r="G246" s="117">
        <f t="shared" si="49"/>
        <v>149195.81538461539</v>
      </c>
      <c r="H246" s="7"/>
      <c r="I246" s="136">
        <v>3</v>
      </c>
      <c r="J246" s="134">
        <v>203652.288</v>
      </c>
      <c r="K246" s="120">
        <f t="shared" si="50"/>
        <v>447.58744615384614</v>
      </c>
      <c r="L246" s="122">
        <f t="shared" si="45"/>
        <v>678840.96</v>
      </c>
      <c r="M246" s="116">
        <f t="shared" si="46"/>
        <v>475188.67199999996</v>
      </c>
      <c r="N246" s="123">
        <f t="shared" si="47"/>
        <v>1044.3707076923076</v>
      </c>
      <c r="O246" s="5"/>
      <c r="P246" s="5">
        <f t="shared" si="51"/>
        <v>1</v>
      </c>
      <c r="Q246" s="7">
        <f t="shared" si="52"/>
        <v>455</v>
      </c>
      <c r="W246" s="124">
        <f t="shared" si="53"/>
        <v>203652.288</v>
      </c>
      <c r="X246">
        <f t="shared" si="54"/>
        <v>0</v>
      </c>
    </row>
    <row r="247" spans="1:24">
      <c r="A247" s="23" t="s">
        <v>274</v>
      </c>
      <c r="B247" s="35" t="s">
        <v>273</v>
      </c>
      <c r="C247" s="125">
        <v>27542</v>
      </c>
      <c r="D247" s="132">
        <v>2595575228</v>
      </c>
      <c r="E247" s="116">
        <f t="shared" si="48"/>
        <v>94240.622612736915</v>
      </c>
      <c r="F247" s="134">
        <v>1629444809</v>
      </c>
      <c r="G247" s="117">
        <f t="shared" si="49"/>
        <v>59162.181722460242</v>
      </c>
      <c r="H247" s="9"/>
      <c r="I247" s="136">
        <v>6.8465999999999996</v>
      </c>
      <c r="J247" s="134">
        <v>11156156.829299398</v>
      </c>
      <c r="K247" s="120">
        <f t="shared" si="50"/>
        <v>405.05979338099621</v>
      </c>
      <c r="L247" s="122">
        <f t="shared" si="45"/>
        <v>16294448.09</v>
      </c>
      <c r="M247" s="116">
        <f t="shared" si="46"/>
        <v>5138291.2607006021</v>
      </c>
      <c r="N247" s="123">
        <f t="shared" si="47"/>
        <v>186.5620238436062</v>
      </c>
      <c r="O247" s="5"/>
      <c r="P247" s="5">
        <f t="shared" si="51"/>
        <v>1</v>
      </c>
      <c r="Q247" s="7">
        <f t="shared" si="52"/>
        <v>27542</v>
      </c>
      <c r="W247" s="124">
        <f t="shared" si="53"/>
        <v>11156156.8292994</v>
      </c>
      <c r="X247">
        <f t="shared" si="54"/>
        <v>0</v>
      </c>
    </row>
    <row r="248" spans="1:24">
      <c r="A248" s="23" t="s">
        <v>275</v>
      </c>
      <c r="B248" s="35" t="s">
        <v>273</v>
      </c>
      <c r="C248" s="125">
        <v>14472</v>
      </c>
      <c r="D248" s="132">
        <v>8960897899</v>
      </c>
      <c r="E248" s="116">
        <f t="shared" si="48"/>
        <v>619188.63315367606</v>
      </c>
      <c r="F248" s="134">
        <v>6967477868</v>
      </c>
      <c r="G248" s="117">
        <f t="shared" si="49"/>
        <v>481445.40270867886</v>
      </c>
      <c r="H248" s="9"/>
      <c r="I248" s="136">
        <v>1.615</v>
      </c>
      <c r="J248" s="134">
        <v>11252476.756819999</v>
      </c>
      <c r="K248" s="120">
        <f t="shared" si="50"/>
        <v>777.53432537451624</v>
      </c>
      <c r="L248" s="122">
        <f t="shared" si="45"/>
        <v>69674778.680000007</v>
      </c>
      <c r="M248" s="116">
        <f t="shared" si="46"/>
        <v>58422301.923180006</v>
      </c>
      <c r="N248" s="123">
        <f t="shared" si="47"/>
        <v>4036.9197017122724</v>
      </c>
      <c r="O248" s="5"/>
      <c r="P248" s="5">
        <f t="shared" si="51"/>
        <v>1</v>
      </c>
      <c r="Q248" s="7">
        <f t="shared" si="52"/>
        <v>14472</v>
      </c>
      <c r="W248" s="124">
        <f t="shared" si="53"/>
        <v>11252476.756819999</v>
      </c>
      <c r="X248">
        <f t="shared" si="54"/>
        <v>0</v>
      </c>
    </row>
    <row r="249" spans="1:24">
      <c r="A249" s="23" t="s">
        <v>276</v>
      </c>
      <c r="B249" s="35" t="s">
        <v>273</v>
      </c>
      <c r="C249" s="125">
        <v>21011</v>
      </c>
      <c r="D249" s="132">
        <v>3082393955</v>
      </c>
      <c r="E249" s="116">
        <f t="shared" si="48"/>
        <v>146703.81966588928</v>
      </c>
      <c r="F249" s="134">
        <v>1886867521</v>
      </c>
      <c r="G249" s="117">
        <f t="shared" si="49"/>
        <v>89803.794250630628</v>
      </c>
      <c r="H249" s="7"/>
      <c r="I249" s="150">
        <v>4.9999000000000002</v>
      </c>
      <c r="J249" s="134">
        <v>9434148.9182479009</v>
      </c>
      <c r="K249" s="120">
        <f t="shared" si="50"/>
        <v>449.0099908737281</v>
      </c>
      <c r="L249" s="122">
        <f t="shared" si="45"/>
        <v>18868675.210000001</v>
      </c>
      <c r="M249" s="116">
        <f t="shared" si="46"/>
        <v>9434526.2917521</v>
      </c>
      <c r="N249" s="123">
        <f t="shared" si="47"/>
        <v>449.02795163257815</v>
      </c>
      <c r="O249" s="5"/>
      <c r="P249" s="5">
        <f t="shared" si="51"/>
        <v>1</v>
      </c>
      <c r="Q249" s="7">
        <f t="shared" si="52"/>
        <v>21011</v>
      </c>
      <c r="W249" s="124">
        <f t="shared" si="53"/>
        <v>9434148.918247899</v>
      </c>
      <c r="X249">
        <f t="shared" si="54"/>
        <v>0</v>
      </c>
    </row>
    <row r="250" spans="1:24">
      <c r="A250" s="23" t="s">
        <v>277</v>
      </c>
      <c r="B250" s="35" t="s">
        <v>273</v>
      </c>
      <c r="C250" s="125">
        <v>627</v>
      </c>
      <c r="D250" s="132">
        <v>45691232</v>
      </c>
      <c r="E250" s="116">
        <f t="shared" si="48"/>
        <v>72872.778309409885</v>
      </c>
      <c r="F250" s="134">
        <v>24176001</v>
      </c>
      <c r="G250" s="117">
        <f t="shared" si="49"/>
        <v>38558.215311004788</v>
      </c>
      <c r="H250" s="7"/>
      <c r="I250" s="136">
        <v>3.5</v>
      </c>
      <c r="J250" s="134">
        <v>84616.003500000006</v>
      </c>
      <c r="K250" s="120">
        <f t="shared" si="50"/>
        <v>134.95375358851675</v>
      </c>
      <c r="L250" s="122">
        <f t="shared" si="45"/>
        <v>241760.01</v>
      </c>
      <c r="M250" s="116">
        <f t="shared" si="46"/>
        <v>157144.00650000002</v>
      </c>
      <c r="N250" s="123">
        <f t="shared" si="47"/>
        <v>250.62839952153112</v>
      </c>
      <c r="O250" s="5"/>
      <c r="P250" s="5">
        <f t="shared" si="51"/>
        <v>1</v>
      </c>
      <c r="Q250" s="7">
        <f t="shared" si="52"/>
        <v>627</v>
      </c>
      <c r="W250" s="124">
        <f t="shared" si="53"/>
        <v>84616.003500000006</v>
      </c>
      <c r="X250">
        <f t="shared" si="54"/>
        <v>0</v>
      </c>
    </row>
    <row r="251" spans="1:24">
      <c r="A251" s="23" t="s">
        <v>278</v>
      </c>
      <c r="B251" s="35" t="s">
        <v>273</v>
      </c>
      <c r="C251" s="125">
        <v>4396</v>
      </c>
      <c r="D251" s="132">
        <v>646339358</v>
      </c>
      <c r="E251" s="116">
        <f t="shared" si="48"/>
        <v>147028.97133757963</v>
      </c>
      <c r="F251" s="134">
        <v>404860610</v>
      </c>
      <c r="G251" s="117">
        <f t="shared" si="49"/>
        <v>92097.5</v>
      </c>
      <c r="H251" s="7"/>
      <c r="I251" s="136">
        <v>5.0260999999999996</v>
      </c>
      <c r="J251" s="134">
        <v>2034869.9119209999</v>
      </c>
      <c r="K251" s="120">
        <f t="shared" si="50"/>
        <v>462.89124475</v>
      </c>
      <c r="L251" s="122">
        <f t="shared" si="45"/>
        <v>4048606.1</v>
      </c>
      <c r="M251" s="116">
        <f t="shared" si="46"/>
        <v>2013736.1880790002</v>
      </c>
      <c r="N251" s="123">
        <f t="shared" si="47"/>
        <v>458.08375525000002</v>
      </c>
      <c r="O251" s="5"/>
      <c r="P251" s="5">
        <f t="shared" si="51"/>
        <v>1</v>
      </c>
      <c r="Q251" s="7">
        <f t="shared" si="52"/>
        <v>4396</v>
      </c>
      <c r="W251" s="124">
        <f t="shared" si="53"/>
        <v>2034869.9119209999</v>
      </c>
      <c r="X251">
        <f t="shared" si="54"/>
        <v>0</v>
      </c>
    </row>
    <row r="252" spans="1:24">
      <c r="A252" s="23" t="s">
        <v>279</v>
      </c>
      <c r="B252" s="35" t="s">
        <v>273</v>
      </c>
      <c r="C252" s="125">
        <v>16186</v>
      </c>
      <c r="D252" s="132">
        <v>2582518128</v>
      </c>
      <c r="E252" s="116">
        <f t="shared" si="48"/>
        <v>159552.58420857531</v>
      </c>
      <c r="F252" s="134">
        <v>1523661468</v>
      </c>
      <c r="G252" s="117">
        <f t="shared" si="49"/>
        <v>94134.527863585812</v>
      </c>
      <c r="H252" s="7"/>
      <c r="I252" s="136">
        <v>3.7</v>
      </c>
      <c r="J252" s="134">
        <v>5637547.4316000007</v>
      </c>
      <c r="K252" s="120">
        <f t="shared" si="50"/>
        <v>348.29775309526758</v>
      </c>
      <c r="L252" s="122">
        <f t="shared" si="45"/>
        <v>15236614.68</v>
      </c>
      <c r="M252" s="116">
        <f t="shared" si="46"/>
        <v>9599067.248399999</v>
      </c>
      <c r="N252" s="123">
        <f t="shared" si="47"/>
        <v>593.04752554059053</v>
      </c>
      <c r="O252" s="5"/>
      <c r="P252" s="5">
        <f t="shared" si="51"/>
        <v>1</v>
      </c>
      <c r="Q252" s="7">
        <f t="shared" si="52"/>
        <v>16186</v>
      </c>
      <c r="W252" s="124">
        <f t="shared" si="53"/>
        <v>5637547.4316000007</v>
      </c>
      <c r="X252">
        <f t="shared" si="54"/>
        <v>0</v>
      </c>
    </row>
    <row r="253" spans="1:24">
      <c r="A253" s="23" t="s">
        <v>280</v>
      </c>
      <c r="B253" s="35" t="s">
        <v>273</v>
      </c>
      <c r="C253" s="125">
        <v>774</v>
      </c>
      <c r="D253" s="132">
        <v>192632354</v>
      </c>
      <c r="E253" s="116">
        <f t="shared" si="48"/>
        <v>248879.01033591732</v>
      </c>
      <c r="F253" s="134">
        <v>123303541</v>
      </c>
      <c r="G253" s="117">
        <f t="shared" si="49"/>
        <v>159306.90051679587</v>
      </c>
      <c r="H253" s="7"/>
      <c r="I253" s="136">
        <v>1.8</v>
      </c>
      <c r="J253" s="134">
        <v>221946.3738</v>
      </c>
      <c r="K253" s="120">
        <f t="shared" si="50"/>
        <v>286.75242093023257</v>
      </c>
      <c r="L253" s="122">
        <f t="shared" si="45"/>
        <v>1233035.4099999999</v>
      </c>
      <c r="M253" s="116">
        <f t="shared" si="46"/>
        <v>1011089.0362</v>
      </c>
      <c r="N253" s="123">
        <f t="shared" si="47"/>
        <v>1306.3165842377261</v>
      </c>
      <c r="O253" s="5"/>
      <c r="P253" s="5">
        <f t="shared" si="51"/>
        <v>1</v>
      </c>
      <c r="Q253" s="7">
        <f t="shared" si="52"/>
        <v>774</v>
      </c>
      <c r="S253" s="124"/>
      <c r="T253" s="124"/>
      <c r="U253" s="124"/>
      <c r="W253" s="124">
        <f t="shared" si="53"/>
        <v>221946.3738</v>
      </c>
      <c r="X253">
        <f t="shared" si="54"/>
        <v>0</v>
      </c>
    </row>
    <row r="254" spans="1:24">
      <c r="A254" s="23" t="s">
        <v>281</v>
      </c>
      <c r="B254" s="35" t="s">
        <v>273</v>
      </c>
      <c r="C254" s="125">
        <v>4926</v>
      </c>
      <c r="D254" s="132">
        <v>635241962</v>
      </c>
      <c r="E254" s="116">
        <f t="shared" si="48"/>
        <v>128956.95533901746</v>
      </c>
      <c r="F254" s="134">
        <v>351649418</v>
      </c>
      <c r="G254" s="117">
        <f t="shared" si="49"/>
        <v>71386.402354851802</v>
      </c>
      <c r="H254" s="7"/>
      <c r="I254" s="136">
        <v>5.024</v>
      </c>
      <c r="J254" s="134">
        <v>1766686.676032</v>
      </c>
      <c r="K254" s="120">
        <f t="shared" si="50"/>
        <v>358.64528543077546</v>
      </c>
      <c r="L254" s="122">
        <f t="shared" si="45"/>
        <v>3516494.18</v>
      </c>
      <c r="M254" s="116">
        <f t="shared" si="46"/>
        <v>1749807.5039680002</v>
      </c>
      <c r="N254" s="123">
        <f t="shared" si="47"/>
        <v>355.21873811774265</v>
      </c>
      <c r="O254" s="5"/>
      <c r="P254" s="5">
        <f t="shared" si="51"/>
        <v>1</v>
      </c>
      <c r="Q254" s="7">
        <f t="shared" si="52"/>
        <v>4926</v>
      </c>
      <c r="S254" s="124">
        <f>SUM(D246:D254)</f>
        <v>18834445965</v>
      </c>
      <c r="T254" s="124">
        <f>SUM(F246:F254)</f>
        <v>12979325332</v>
      </c>
      <c r="U254" s="124">
        <f>SUM(J246:J254)</f>
        <v>41792101.189220294</v>
      </c>
      <c r="W254" s="124">
        <f t="shared" si="53"/>
        <v>1766686.676032</v>
      </c>
      <c r="X254">
        <f t="shared" si="54"/>
        <v>0</v>
      </c>
    </row>
    <row r="255" spans="1:24">
      <c r="A255" s="23" t="s">
        <v>282</v>
      </c>
      <c r="B255" s="35" t="s">
        <v>282</v>
      </c>
      <c r="C255" s="125">
        <v>5352</v>
      </c>
      <c r="D255" s="132">
        <v>631638653</v>
      </c>
      <c r="E255" s="116">
        <f t="shared" si="48"/>
        <v>118019.1803064275</v>
      </c>
      <c r="F255" s="134">
        <v>394932354</v>
      </c>
      <c r="G255" s="117">
        <f t="shared" si="49"/>
        <v>73791.545964125558</v>
      </c>
      <c r="H255" s="7"/>
      <c r="I255" s="136">
        <v>6.8986999999999998</v>
      </c>
      <c r="J255" s="134">
        <v>2724519.8305398002</v>
      </c>
      <c r="K255" s="120">
        <f t="shared" si="50"/>
        <v>509.06573814271303</v>
      </c>
      <c r="L255" s="122">
        <f t="shared" si="45"/>
        <v>3949323.54</v>
      </c>
      <c r="M255" s="116">
        <f t="shared" si="46"/>
        <v>1224803.7094601998</v>
      </c>
      <c r="N255" s="123">
        <f t="shared" si="47"/>
        <v>228.84972149854258</v>
      </c>
      <c r="O255" s="5"/>
      <c r="P255" s="5">
        <f t="shared" si="51"/>
        <v>1</v>
      </c>
      <c r="Q255" s="7">
        <f t="shared" si="52"/>
        <v>5352</v>
      </c>
      <c r="S255" s="124">
        <f>SUM(D255)</f>
        <v>631638653</v>
      </c>
      <c r="T255" s="124">
        <f>SUM(F255)</f>
        <v>394932354</v>
      </c>
      <c r="U255" s="124">
        <f>SUM(J255)</f>
        <v>2724519.8305398002</v>
      </c>
      <c r="W255" s="124">
        <f t="shared" si="53"/>
        <v>2724519.8305397998</v>
      </c>
      <c r="X255">
        <f t="shared" si="54"/>
        <v>0</v>
      </c>
    </row>
    <row r="256" spans="1:24">
      <c r="A256" s="23" t="s">
        <v>283</v>
      </c>
      <c r="B256" s="35" t="s">
        <v>284</v>
      </c>
      <c r="C256" s="125">
        <v>57390</v>
      </c>
      <c r="D256" s="132">
        <v>8119979709</v>
      </c>
      <c r="E256" s="116">
        <f t="shared" si="48"/>
        <v>141487.71055933088</v>
      </c>
      <c r="F256" s="134">
        <v>5067764609</v>
      </c>
      <c r="G256" s="117">
        <f t="shared" si="49"/>
        <v>88303.966004530404</v>
      </c>
      <c r="H256" s="7"/>
      <c r="I256" s="136">
        <v>4.1875999999999998</v>
      </c>
      <c r="J256" s="134">
        <v>21221771.076648399</v>
      </c>
      <c r="K256" s="120">
        <f t="shared" si="50"/>
        <v>369.78168804057151</v>
      </c>
      <c r="L256" s="122">
        <f t="shared" si="45"/>
        <v>50677646.090000004</v>
      </c>
      <c r="M256" s="116">
        <f t="shared" si="46"/>
        <v>29455875.013351604</v>
      </c>
      <c r="N256" s="123">
        <f t="shared" si="47"/>
        <v>513.25797200473255</v>
      </c>
      <c r="O256" s="5"/>
      <c r="P256" s="5">
        <f t="shared" si="51"/>
        <v>1</v>
      </c>
      <c r="Q256" s="7">
        <f t="shared" si="52"/>
        <v>57390</v>
      </c>
      <c r="W256" s="124">
        <f t="shared" si="53"/>
        <v>21221771.076648399</v>
      </c>
      <c r="X256">
        <f t="shared" si="54"/>
        <v>0</v>
      </c>
    </row>
    <row r="257" spans="1:24">
      <c r="A257" s="23" t="s">
        <v>285</v>
      </c>
      <c r="B257" s="35" t="s">
        <v>284</v>
      </c>
      <c r="C257" s="125">
        <v>29</v>
      </c>
      <c r="D257" s="132">
        <v>11406748503</v>
      </c>
      <c r="E257" s="116">
        <f t="shared" si="48"/>
        <v>393336155.2758621</v>
      </c>
      <c r="F257" s="134">
        <v>9915407495</v>
      </c>
      <c r="G257" s="117">
        <f t="shared" si="49"/>
        <v>341910603.2758621</v>
      </c>
      <c r="H257" s="7"/>
      <c r="I257" s="136">
        <v>2.1278999999999999</v>
      </c>
      <c r="J257" s="134">
        <v>21098995.6086105</v>
      </c>
      <c r="K257" s="120">
        <f t="shared" si="50"/>
        <v>727551.57271070685</v>
      </c>
      <c r="L257" s="122">
        <f t="shared" si="45"/>
        <v>99154074.950000003</v>
      </c>
      <c r="M257" s="116">
        <f t="shared" si="46"/>
        <v>78055079.341389507</v>
      </c>
      <c r="N257" s="123">
        <f t="shared" si="47"/>
        <v>2691554.4600479142</v>
      </c>
      <c r="O257" s="5"/>
      <c r="P257" s="5">
        <f t="shared" si="51"/>
        <v>1</v>
      </c>
      <c r="Q257" s="7">
        <f t="shared" si="52"/>
        <v>29</v>
      </c>
      <c r="W257" s="124">
        <f t="shared" si="53"/>
        <v>21098995.6086105</v>
      </c>
      <c r="X257">
        <f t="shared" si="54"/>
        <v>0</v>
      </c>
    </row>
    <row r="258" spans="1:24">
      <c r="A258" s="23" t="s">
        <v>286</v>
      </c>
      <c r="B258" s="35" t="s">
        <v>284</v>
      </c>
      <c r="C258" s="125">
        <v>7042</v>
      </c>
      <c r="D258" s="132">
        <v>1458668881</v>
      </c>
      <c r="E258" s="116">
        <f t="shared" si="48"/>
        <v>207138.43808577108</v>
      </c>
      <c r="F258" s="134">
        <v>955343578</v>
      </c>
      <c r="G258" s="117">
        <f t="shared" si="49"/>
        <v>135663.67196819084</v>
      </c>
      <c r="H258" s="7"/>
      <c r="I258" s="136">
        <v>4.4017999999999997</v>
      </c>
      <c r="J258" s="134">
        <v>4205231.3616404003</v>
      </c>
      <c r="K258" s="120">
        <f t="shared" si="50"/>
        <v>597.16435126958254</v>
      </c>
      <c r="L258" s="122">
        <f t="shared" si="45"/>
        <v>9553435.7799999993</v>
      </c>
      <c r="M258" s="116">
        <f t="shared" si="46"/>
        <v>5348204.4183595991</v>
      </c>
      <c r="N258" s="123">
        <f t="shared" si="47"/>
        <v>759.47236841232586</v>
      </c>
      <c r="O258" s="5"/>
      <c r="P258" s="5">
        <f t="shared" si="51"/>
        <v>1</v>
      </c>
      <c r="Q258" s="7">
        <f t="shared" si="52"/>
        <v>7042</v>
      </c>
      <c r="W258" s="124">
        <f t="shared" si="53"/>
        <v>4205231.3616404003</v>
      </c>
      <c r="X258">
        <f t="shared" si="54"/>
        <v>0</v>
      </c>
    </row>
    <row r="259" spans="1:24">
      <c r="A259" s="23" t="s">
        <v>287</v>
      </c>
      <c r="B259" s="35" t="s">
        <v>284</v>
      </c>
      <c r="C259" s="125">
        <v>2371</v>
      </c>
      <c r="D259" s="132">
        <v>418184035</v>
      </c>
      <c r="E259" s="116">
        <f t="shared" si="48"/>
        <v>176374.54027836357</v>
      </c>
      <c r="F259" s="134">
        <v>274275970</v>
      </c>
      <c r="G259" s="117">
        <f t="shared" si="49"/>
        <v>115679.44749051033</v>
      </c>
      <c r="H259" s="7"/>
      <c r="I259" s="136">
        <v>7.2938000000000001</v>
      </c>
      <c r="J259" s="134">
        <v>2000514.069986</v>
      </c>
      <c r="K259" s="120">
        <f t="shared" si="50"/>
        <v>843.74275410628422</v>
      </c>
      <c r="L259" s="122">
        <f t="shared" si="45"/>
        <v>2742759.7</v>
      </c>
      <c r="M259" s="116">
        <f t="shared" si="46"/>
        <v>742245.63001400023</v>
      </c>
      <c r="N259" s="123">
        <f t="shared" si="47"/>
        <v>313.05172079881913</v>
      </c>
      <c r="O259" s="5"/>
      <c r="P259" s="5">
        <f t="shared" si="51"/>
        <v>1</v>
      </c>
      <c r="Q259" s="7">
        <f t="shared" si="52"/>
        <v>2371</v>
      </c>
      <c r="W259" s="124">
        <f t="shared" si="53"/>
        <v>2000514.0699860002</v>
      </c>
      <c r="X259">
        <f t="shared" si="54"/>
        <v>0</v>
      </c>
    </row>
    <row r="260" spans="1:24">
      <c r="A260" s="23" t="s">
        <v>288</v>
      </c>
      <c r="B260" s="35" t="s">
        <v>284</v>
      </c>
      <c r="C260" s="125">
        <v>2645</v>
      </c>
      <c r="D260" s="132">
        <v>678227288</v>
      </c>
      <c r="E260" s="116">
        <f t="shared" si="48"/>
        <v>256418.63440453686</v>
      </c>
      <c r="F260" s="134">
        <v>467823421</v>
      </c>
      <c r="G260" s="117">
        <f t="shared" si="49"/>
        <v>176870.85860113421</v>
      </c>
      <c r="H260" s="7"/>
      <c r="I260" s="136">
        <v>5.25</v>
      </c>
      <c r="J260" s="134">
        <v>2456072.96025</v>
      </c>
      <c r="K260" s="120">
        <f t="shared" si="50"/>
        <v>928.57200765595462</v>
      </c>
      <c r="L260" s="122">
        <f t="shared" si="45"/>
        <v>4678234.21</v>
      </c>
      <c r="M260" s="116">
        <f t="shared" si="46"/>
        <v>2222161.24975</v>
      </c>
      <c r="N260" s="123">
        <f t="shared" si="47"/>
        <v>840.13657835538754</v>
      </c>
      <c r="O260" s="5"/>
      <c r="P260" s="5">
        <f t="shared" si="51"/>
        <v>1</v>
      </c>
      <c r="Q260" s="7">
        <f t="shared" si="52"/>
        <v>2645</v>
      </c>
      <c r="W260" s="124">
        <f t="shared" si="53"/>
        <v>2456072.96025</v>
      </c>
      <c r="X260">
        <f t="shared" si="54"/>
        <v>0</v>
      </c>
    </row>
    <row r="261" spans="1:24">
      <c r="A261" s="23" t="s">
        <v>289</v>
      </c>
      <c r="B261" s="35" t="s">
        <v>284</v>
      </c>
      <c r="C261" s="125">
        <v>21</v>
      </c>
      <c r="D261" s="132">
        <v>3275025220</v>
      </c>
      <c r="E261" s="116">
        <f t="shared" si="48"/>
        <v>155953581.90476191</v>
      </c>
      <c r="F261" s="134">
        <v>2745502398</v>
      </c>
      <c r="G261" s="117">
        <f t="shared" si="49"/>
        <v>130738209.42857143</v>
      </c>
      <c r="H261" s="7"/>
      <c r="I261" s="136">
        <v>2.0991</v>
      </c>
      <c r="J261" s="134">
        <v>5763084.0836418001</v>
      </c>
      <c r="K261" s="120">
        <f t="shared" si="50"/>
        <v>274432.57541151426</v>
      </c>
      <c r="L261" s="122">
        <f t="shared" si="45"/>
        <v>27455023.98</v>
      </c>
      <c r="M261" s="116">
        <f t="shared" si="46"/>
        <v>21691939.896358199</v>
      </c>
      <c r="N261" s="123">
        <f t="shared" si="47"/>
        <v>1032949.5188741999</v>
      </c>
      <c r="O261" s="5"/>
      <c r="P261" s="5">
        <f t="shared" si="51"/>
        <v>1</v>
      </c>
      <c r="Q261" s="7">
        <f t="shared" si="52"/>
        <v>21</v>
      </c>
      <c r="W261" s="124">
        <f t="shared" si="53"/>
        <v>5763084.0836418001</v>
      </c>
      <c r="X261">
        <f t="shared" si="54"/>
        <v>0</v>
      </c>
    </row>
    <row r="262" spans="1:24">
      <c r="A262" s="23" t="s">
        <v>290</v>
      </c>
      <c r="B262" s="35" t="s">
        <v>284</v>
      </c>
      <c r="C262" s="125">
        <v>19944</v>
      </c>
      <c r="D262" s="132">
        <v>5196628331</v>
      </c>
      <c r="E262" s="116">
        <f t="shared" si="48"/>
        <v>260560.98731448053</v>
      </c>
      <c r="F262" s="134">
        <v>3909723151</v>
      </c>
      <c r="G262" s="117">
        <f t="shared" si="49"/>
        <v>196035.05570597673</v>
      </c>
      <c r="H262" s="7"/>
      <c r="I262" s="136">
        <v>4.3452999999999999</v>
      </c>
      <c r="J262" s="134">
        <v>16988920.008040302</v>
      </c>
      <c r="K262" s="120">
        <f t="shared" si="50"/>
        <v>851.8311275591808</v>
      </c>
      <c r="L262" s="122">
        <f t="shared" ref="L262:L325" si="55">(F262*0.01)</f>
        <v>39097231.509999998</v>
      </c>
      <c r="M262" s="116">
        <f t="shared" ref="M262:M325" si="56">(L262-J262)</f>
        <v>22108311.501959696</v>
      </c>
      <c r="N262" s="123">
        <f t="shared" ref="N262:N325" si="57">(M262/C262)</f>
        <v>1108.5194295005865</v>
      </c>
      <c r="O262" s="5"/>
      <c r="P262" s="5">
        <f t="shared" si="51"/>
        <v>1</v>
      </c>
      <c r="Q262" s="7">
        <f t="shared" si="52"/>
        <v>19944</v>
      </c>
      <c r="W262" s="124">
        <f>F262*(I262/1000)</f>
        <v>16988920.008040298</v>
      </c>
      <c r="X262">
        <f t="shared" si="54"/>
        <v>0</v>
      </c>
    </row>
    <row r="263" spans="1:24">
      <c r="A263" s="23" t="s">
        <v>291</v>
      </c>
      <c r="B263" s="35" t="s">
        <v>284</v>
      </c>
      <c r="C263" s="125">
        <v>5396</v>
      </c>
      <c r="D263" s="132">
        <v>901663820</v>
      </c>
      <c r="E263" s="116">
        <f t="shared" ref="E263:E275" si="58">(D263/C263)</f>
        <v>167098.55819125279</v>
      </c>
      <c r="F263" s="134">
        <v>646360748</v>
      </c>
      <c r="G263" s="117">
        <f t="shared" ref="G263:G275" si="59">(F263/C263)</f>
        <v>119785.16456634544</v>
      </c>
      <c r="H263" s="7"/>
      <c r="I263" s="136">
        <v>6.3</v>
      </c>
      <c r="J263" s="134">
        <v>4072072.7124000001</v>
      </c>
      <c r="K263" s="120">
        <f t="shared" ref="K263:K275" si="60">(J263/C263)</f>
        <v>754.64653676797627</v>
      </c>
      <c r="L263" s="122">
        <f t="shared" si="55"/>
        <v>6463607.4800000004</v>
      </c>
      <c r="M263" s="116">
        <f t="shared" si="56"/>
        <v>2391534.7676000004</v>
      </c>
      <c r="N263" s="123">
        <f t="shared" si="57"/>
        <v>443.20510889547819</v>
      </c>
      <c r="O263" s="5"/>
      <c r="P263" s="5">
        <f t="shared" ref="P263:P327" si="61">IF(I263&gt;0,1,0)</f>
        <v>1</v>
      </c>
      <c r="Q263" s="7">
        <f t="shared" ref="Q263:Q327" si="62">IF(I263&gt;0,C263,0)</f>
        <v>5396</v>
      </c>
      <c r="W263" s="124">
        <f>F263*(I263/1000)</f>
        <v>4072072.7124000001</v>
      </c>
      <c r="X263">
        <f t="shared" ref="X263:X326" si="63">IF(W263=J263,0,1)</f>
        <v>0</v>
      </c>
    </row>
    <row r="264" spans="1:24">
      <c r="A264" s="23" t="s">
        <v>292</v>
      </c>
      <c r="B264" s="35" t="s">
        <v>284</v>
      </c>
      <c r="C264" s="125">
        <v>49221</v>
      </c>
      <c r="D264" s="132">
        <v>6560103679</v>
      </c>
      <c r="E264" s="116">
        <f t="shared" si="58"/>
        <v>133278.55344263627</v>
      </c>
      <c r="F264" s="134">
        <v>4111473549</v>
      </c>
      <c r="G264" s="117">
        <f t="shared" si="59"/>
        <v>83530.882123483883</v>
      </c>
      <c r="H264" s="7"/>
      <c r="I264" s="136">
        <v>4.95</v>
      </c>
      <c r="J264" s="134">
        <v>20351794.06755</v>
      </c>
      <c r="K264" s="120">
        <f t="shared" si="60"/>
        <v>413.47786651124522</v>
      </c>
      <c r="L264" s="122">
        <f t="shared" si="55"/>
        <v>41114735.490000002</v>
      </c>
      <c r="M264" s="116">
        <f t="shared" si="56"/>
        <v>20762941.422450002</v>
      </c>
      <c r="N264" s="123">
        <f t="shared" si="57"/>
        <v>421.83095472359361</v>
      </c>
      <c r="O264" s="5"/>
      <c r="P264" s="5">
        <f t="shared" si="61"/>
        <v>1</v>
      </c>
      <c r="Q264" s="7">
        <f t="shared" si="62"/>
        <v>49221</v>
      </c>
      <c r="W264" s="124">
        <f t="shared" ref="W264:W327" si="64">F264*(I264/1000)</f>
        <v>20351794.067550004</v>
      </c>
      <c r="X264">
        <f t="shared" si="63"/>
        <v>0</v>
      </c>
    </row>
    <row r="265" spans="1:24">
      <c r="A265" s="23" t="s">
        <v>293</v>
      </c>
      <c r="B265" s="35" t="s">
        <v>284</v>
      </c>
      <c r="C265" s="125">
        <v>321904</v>
      </c>
      <c r="D265" s="132">
        <v>74551683346</v>
      </c>
      <c r="E265" s="116">
        <f t="shared" si="58"/>
        <v>231596.01417192703</v>
      </c>
      <c r="F265" s="134">
        <v>44221209602</v>
      </c>
      <c r="G265" s="117">
        <f t="shared" si="59"/>
        <v>137373.90526989414</v>
      </c>
      <c r="H265" s="7"/>
      <c r="I265" s="136">
        <v>6.65</v>
      </c>
      <c r="J265" s="134">
        <v>294071043.85329998</v>
      </c>
      <c r="K265" s="120">
        <f t="shared" si="60"/>
        <v>913.53647004479592</v>
      </c>
      <c r="L265" s="122">
        <f t="shared" si="55"/>
        <v>442212096.01999998</v>
      </c>
      <c r="M265" s="116">
        <f t="shared" si="56"/>
        <v>148141052.16670001</v>
      </c>
      <c r="N265" s="123">
        <f t="shared" si="57"/>
        <v>460.20258265414537</v>
      </c>
      <c r="O265" s="5"/>
      <c r="P265" s="5">
        <f t="shared" si="61"/>
        <v>1</v>
      </c>
      <c r="Q265" s="7">
        <f t="shared" si="62"/>
        <v>321904</v>
      </c>
      <c r="W265" s="124">
        <f t="shared" si="64"/>
        <v>294071043.85330003</v>
      </c>
      <c r="X265">
        <f t="shared" si="63"/>
        <v>0</v>
      </c>
    </row>
    <row r="266" spans="1:24">
      <c r="A266" s="23" t="s">
        <v>294</v>
      </c>
      <c r="B266" s="35" t="s">
        <v>284</v>
      </c>
      <c r="C266" s="125">
        <v>3038</v>
      </c>
      <c r="D266" s="132">
        <v>1201502507</v>
      </c>
      <c r="E266" s="116">
        <f t="shared" si="58"/>
        <v>395491.27946017118</v>
      </c>
      <c r="F266" s="134">
        <v>873037814</v>
      </c>
      <c r="G266" s="117">
        <f t="shared" si="59"/>
        <v>287372.55233706388</v>
      </c>
      <c r="H266" s="7"/>
      <c r="I266" s="136">
        <v>3.7425000000000002</v>
      </c>
      <c r="J266" s="134">
        <v>3267344.0188949998</v>
      </c>
      <c r="K266" s="120">
        <f t="shared" si="60"/>
        <v>1075.4917771214614</v>
      </c>
      <c r="L266" s="122">
        <f t="shared" si="55"/>
        <v>8730378.1400000006</v>
      </c>
      <c r="M266" s="116">
        <f t="shared" si="56"/>
        <v>5463034.1211050004</v>
      </c>
      <c r="N266" s="123">
        <f t="shared" si="57"/>
        <v>1798.2337462491771</v>
      </c>
      <c r="O266" s="5"/>
      <c r="P266" s="5">
        <f t="shared" si="61"/>
        <v>1</v>
      </c>
      <c r="Q266" s="7">
        <f t="shared" si="62"/>
        <v>3038</v>
      </c>
      <c r="W266" s="124">
        <f t="shared" si="64"/>
        <v>3267344.0188950002</v>
      </c>
      <c r="X266">
        <f t="shared" si="63"/>
        <v>0</v>
      </c>
    </row>
    <row r="267" spans="1:24">
      <c r="A267" s="23" t="s">
        <v>295</v>
      </c>
      <c r="B267" s="35" t="s">
        <v>284</v>
      </c>
      <c r="C267" s="125">
        <v>50318</v>
      </c>
      <c r="D267" s="132">
        <v>7610192576</v>
      </c>
      <c r="E267" s="116">
        <f t="shared" si="58"/>
        <v>151241.95270082276</v>
      </c>
      <c r="F267" s="134">
        <v>4931899296</v>
      </c>
      <c r="G267" s="117">
        <f t="shared" si="59"/>
        <v>98014.612981438055</v>
      </c>
      <c r="H267" s="7"/>
      <c r="I267" s="136">
        <v>4.5</v>
      </c>
      <c r="J267" s="134">
        <v>22193546.831999999</v>
      </c>
      <c r="K267" s="120">
        <f t="shared" si="60"/>
        <v>441.06575841647123</v>
      </c>
      <c r="L267" s="122">
        <f t="shared" si="55"/>
        <v>49318992.960000001</v>
      </c>
      <c r="M267" s="116">
        <f t="shared" si="56"/>
        <v>27125446.128000002</v>
      </c>
      <c r="N267" s="123">
        <f t="shared" si="57"/>
        <v>539.08037139790929</v>
      </c>
      <c r="O267" s="5"/>
      <c r="P267" s="5">
        <f t="shared" si="61"/>
        <v>1</v>
      </c>
      <c r="Q267" s="7">
        <f t="shared" si="62"/>
        <v>50318</v>
      </c>
      <c r="S267" s="124"/>
      <c r="T267" s="124"/>
      <c r="U267" s="124"/>
      <c r="W267" s="124">
        <f t="shared" si="64"/>
        <v>22193546.831999999</v>
      </c>
      <c r="X267">
        <f t="shared" si="63"/>
        <v>0</v>
      </c>
    </row>
    <row r="268" spans="1:24">
      <c r="A268" s="23" t="s">
        <v>296</v>
      </c>
      <c r="B268" s="35" t="s">
        <v>284</v>
      </c>
      <c r="C268" s="125">
        <v>30465</v>
      </c>
      <c r="D268" s="132">
        <v>11545796851</v>
      </c>
      <c r="E268" s="116">
        <f t="shared" si="58"/>
        <v>378985.61795503035</v>
      </c>
      <c r="F268" s="134">
        <v>7628258885</v>
      </c>
      <c r="G268" s="117">
        <f t="shared" si="59"/>
        <v>250394.18627933695</v>
      </c>
      <c r="H268" s="7"/>
      <c r="I268" s="136">
        <v>4.0922999999999998</v>
      </c>
      <c r="J268" s="134">
        <v>31217123.8350855</v>
      </c>
      <c r="K268" s="120">
        <f t="shared" si="60"/>
        <v>1024.6881285109305</v>
      </c>
      <c r="L268" s="122">
        <f t="shared" si="55"/>
        <v>76282588.850000009</v>
      </c>
      <c r="M268" s="116">
        <f t="shared" si="56"/>
        <v>45065465.014914513</v>
      </c>
      <c r="N268" s="123">
        <f t="shared" si="57"/>
        <v>1479.2537342824394</v>
      </c>
      <c r="O268" s="5"/>
      <c r="P268" s="5">
        <f t="shared" si="61"/>
        <v>1</v>
      </c>
      <c r="Q268" s="7">
        <f t="shared" si="62"/>
        <v>30465</v>
      </c>
      <c r="S268" s="124">
        <f>SUM(D256:D268)</f>
        <v>132924404746</v>
      </c>
      <c r="T268" s="124">
        <f>SUM(F256:F268)</f>
        <v>85748080516</v>
      </c>
      <c r="U268" s="124">
        <f>SUM(J256:J268)</f>
        <v>448907514.4880479</v>
      </c>
      <c r="W268" s="124">
        <f t="shared" si="64"/>
        <v>31217123.8350855</v>
      </c>
      <c r="X268">
        <f t="shared" si="63"/>
        <v>0</v>
      </c>
    </row>
    <row r="269" spans="1:24">
      <c r="A269" s="24" t="s">
        <v>297</v>
      </c>
      <c r="B269" s="35" t="s">
        <v>298</v>
      </c>
      <c r="C269" s="125">
        <v>82168</v>
      </c>
      <c r="D269" s="132">
        <v>8156556284</v>
      </c>
      <c r="E269" s="116">
        <f t="shared" si="58"/>
        <v>99266.822656021803</v>
      </c>
      <c r="F269" s="134">
        <v>4875072976</v>
      </c>
      <c r="G269" s="117">
        <f t="shared" si="59"/>
        <v>59330.554181676562</v>
      </c>
      <c r="H269" s="7"/>
      <c r="I269" s="136">
        <v>4.6253000000000002</v>
      </c>
      <c r="J269" s="134">
        <v>22548675.035892799</v>
      </c>
      <c r="K269" s="120">
        <f t="shared" si="60"/>
        <v>274.42161225650864</v>
      </c>
      <c r="L269" s="122">
        <f t="shared" si="55"/>
        <v>48750729.759999998</v>
      </c>
      <c r="M269" s="116">
        <f t="shared" si="56"/>
        <v>26202054.724107198</v>
      </c>
      <c r="N269" s="123">
        <f t="shared" si="57"/>
        <v>318.883929560257</v>
      </c>
      <c r="O269" s="5"/>
      <c r="P269" s="5">
        <f t="shared" si="61"/>
        <v>1</v>
      </c>
      <c r="Q269" s="7">
        <f t="shared" si="62"/>
        <v>82168</v>
      </c>
      <c r="S269" s="124"/>
      <c r="T269" s="124"/>
      <c r="U269" s="124"/>
      <c r="W269" s="124">
        <f t="shared" si="64"/>
        <v>22548675.035892803</v>
      </c>
      <c r="X269">
        <f t="shared" si="63"/>
        <v>0</v>
      </c>
    </row>
    <row r="270" spans="1:24">
      <c r="A270" s="23" t="s">
        <v>546</v>
      </c>
      <c r="B270" s="35" t="s">
        <v>298</v>
      </c>
      <c r="C270" s="125">
        <v>61331</v>
      </c>
      <c r="D270" s="132">
        <v>6762863436</v>
      </c>
      <c r="E270" s="116">
        <f t="shared" si="58"/>
        <v>110268.27274950678</v>
      </c>
      <c r="F270" s="134">
        <v>3715046646</v>
      </c>
      <c r="G270" s="117">
        <f t="shared" si="59"/>
        <v>60573.717141412992</v>
      </c>
      <c r="H270" s="7"/>
      <c r="I270" s="136">
        <v>5.1128</v>
      </c>
      <c r="J270" s="134">
        <v>18994290.491668802</v>
      </c>
      <c r="K270" s="120">
        <f t="shared" si="60"/>
        <v>309.70130100061635</v>
      </c>
      <c r="L270" s="122">
        <f t="shared" si="55"/>
        <v>37150466.460000001</v>
      </c>
      <c r="M270" s="116">
        <f t="shared" si="56"/>
        <v>18156175.968331199</v>
      </c>
      <c r="N270" s="123">
        <f t="shared" si="57"/>
        <v>296.03587041351352</v>
      </c>
      <c r="O270" s="5"/>
      <c r="P270" s="5">
        <f t="shared" si="61"/>
        <v>1</v>
      </c>
      <c r="Q270" s="7">
        <f t="shared" si="62"/>
        <v>61331</v>
      </c>
      <c r="S270" s="124">
        <f>SUM(D269:D270)</f>
        <v>14919419720</v>
      </c>
      <c r="T270" s="124">
        <f>SUM(F269:F270)</f>
        <v>8590119622</v>
      </c>
      <c r="U270" s="124">
        <f>SUM(J269:J270)</f>
        <v>41542965.527561605</v>
      </c>
      <c r="W270" s="124">
        <f t="shared" si="64"/>
        <v>18994290.491668798</v>
      </c>
      <c r="X270">
        <f t="shared" si="63"/>
        <v>0</v>
      </c>
    </row>
    <row r="271" spans="1:24">
      <c r="A271" s="23" t="s">
        <v>299</v>
      </c>
      <c r="B271" s="35" t="s">
        <v>300</v>
      </c>
      <c r="C271" s="125">
        <v>2145</v>
      </c>
      <c r="D271" s="132">
        <v>888269668</v>
      </c>
      <c r="E271" s="116">
        <f t="shared" si="58"/>
        <v>414111.73333333334</v>
      </c>
      <c r="F271" s="134">
        <v>671880693</v>
      </c>
      <c r="G271" s="117">
        <f t="shared" si="59"/>
        <v>313231.09230769234</v>
      </c>
      <c r="H271" s="7"/>
      <c r="I271" s="136">
        <v>7.41</v>
      </c>
      <c r="J271" s="134">
        <v>4978635.9351300001</v>
      </c>
      <c r="K271" s="120">
        <f t="shared" si="60"/>
        <v>2321.0423940000001</v>
      </c>
      <c r="L271" s="122">
        <f t="shared" si="55"/>
        <v>6718806.9299999997</v>
      </c>
      <c r="M271" s="116">
        <f t="shared" si="56"/>
        <v>1740170.9948699996</v>
      </c>
      <c r="N271" s="123">
        <f t="shared" si="57"/>
        <v>811.26852907692285</v>
      </c>
      <c r="O271" s="5"/>
      <c r="P271" s="5">
        <f t="shared" si="61"/>
        <v>1</v>
      </c>
      <c r="Q271" s="7">
        <f t="shared" si="62"/>
        <v>2145</v>
      </c>
      <c r="W271" s="124">
        <f t="shared" si="64"/>
        <v>4978635.9351300001</v>
      </c>
      <c r="X271">
        <f t="shared" si="63"/>
        <v>0</v>
      </c>
    </row>
    <row r="272" spans="1:24">
      <c r="A272" s="23" t="s">
        <v>301</v>
      </c>
      <c r="B272" s="35" t="s">
        <v>300</v>
      </c>
      <c r="C272" s="125">
        <v>17213</v>
      </c>
      <c r="D272" s="132">
        <v>896658411</v>
      </c>
      <c r="E272" s="116">
        <f t="shared" si="58"/>
        <v>52091.931156683902</v>
      </c>
      <c r="F272" s="134">
        <v>446312405</v>
      </c>
      <c r="G272" s="117">
        <f t="shared" si="59"/>
        <v>25928.798291988613</v>
      </c>
      <c r="H272" s="9"/>
      <c r="I272" s="136">
        <v>6.5419</v>
      </c>
      <c r="J272" s="134">
        <v>2919731.1222695</v>
      </c>
      <c r="K272" s="120">
        <f t="shared" si="60"/>
        <v>169.62360554636032</v>
      </c>
      <c r="L272" s="122">
        <f t="shared" si="55"/>
        <v>4463124.05</v>
      </c>
      <c r="M272" s="116">
        <f t="shared" si="56"/>
        <v>1543392.9277304998</v>
      </c>
      <c r="N272" s="123">
        <f t="shared" si="57"/>
        <v>89.664377373525809</v>
      </c>
      <c r="O272" s="5"/>
      <c r="P272" s="5">
        <f t="shared" si="61"/>
        <v>1</v>
      </c>
      <c r="Q272" s="7">
        <f t="shared" si="62"/>
        <v>17213</v>
      </c>
      <c r="W272" s="124">
        <f t="shared" si="64"/>
        <v>2919731.1222695</v>
      </c>
      <c r="X272">
        <f t="shared" si="63"/>
        <v>0</v>
      </c>
    </row>
    <row r="273" spans="1:24">
      <c r="A273" s="23" t="s">
        <v>302</v>
      </c>
      <c r="B273" s="35" t="s">
        <v>300</v>
      </c>
      <c r="C273" s="125">
        <v>99542</v>
      </c>
      <c r="D273" s="132">
        <v>45710610197</v>
      </c>
      <c r="E273" s="116">
        <f t="shared" si="58"/>
        <v>459209.28047457355</v>
      </c>
      <c r="F273" s="134">
        <v>30905680812</v>
      </c>
      <c r="G273" s="117">
        <f t="shared" si="59"/>
        <v>310478.80102871149</v>
      </c>
      <c r="H273" s="9"/>
      <c r="I273" s="136">
        <v>3.6556000000000002</v>
      </c>
      <c r="J273" s="134">
        <v>112978806.77634721</v>
      </c>
      <c r="K273" s="120">
        <f t="shared" si="60"/>
        <v>1134.9863050405579</v>
      </c>
      <c r="L273" s="122">
        <f t="shared" si="55"/>
        <v>309056808.12</v>
      </c>
      <c r="M273" s="116">
        <f t="shared" si="56"/>
        <v>196078001.34365278</v>
      </c>
      <c r="N273" s="123">
        <f t="shared" si="57"/>
        <v>1969.801705246557</v>
      </c>
      <c r="O273" s="5"/>
      <c r="P273" s="5">
        <f t="shared" si="61"/>
        <v>1</v>
      </c>
      <c r="Q273" s="7">
        <f t="shared" si="62"/>
        <v>99542</v>
      </c>
      <c r="W273" s="124">
        <f t="shared" si="64"/>
        <v>112978806.77634721</v>
      </c>
      <c r="X273">
        <f t="shared" si="63"/>
        <v>0</v>
      </c>
    </row>
    <row r="274" spans="1:24">
      <c r="A274" s="23" t="s">
        <v>303</v>
      </c>
      <c r="B274" s="35" t="s">
        <v>300</v>
      </c>
      <c r="C274" s="125">
        <v>81748</v>
      </c>
      <c r="D274" s="132">
        <v>12906483150</v>
      </c>
      <c r="E274" s="116">
        <f t="shared" si="58"/>
        <v>157881.33226500955</v>
      </c>
      <c r="F274" s="134">
        <v>8066818280</v>
      </c>
      <c r="G274" s="117">
        <f t="shared" si="59"/>
        <v>98679.090375299696</v>
      </c>
      <c r="H274" s="9"/>
      <c r="I274" s="136">
        <v>7.85</v>
      </c>
      <c r="J274" s="134">
        <v>63324523.498000003</v>
      </c>
      <c r="K274" s="120">
        <f t="shared" si="60"/>
        <v>774.6308594461027</v>
      </c>
      <c r="L274" s="122">
        <f t="shared" si="55"/>
        <v>80668182.799999997</v>
      </c>
      <c r="M274" s="116">
        <f t="shared" si="56"/>
        <v>17343659.301999994</v>
      </c>
      <c r="N274" s="123">
        <f t="shared" si="57"/>
        <v>212.16004430689429</v>
      </c>
      <c r="O274" s="5"/>
      <c r="P274" s="5">
        <f t="shared" si="61"/>
        <v>1</v>
      </c>
      <c r="Q274" s="7">
        <f t="shared" si="62"/>
        <v>81748</v>
      </c>
      <c r="W274" s="124">
        <f t="shared" si="64"/>
        <v>63324523.497999996</v>
      </c>
      <c r="X274">
        <f t="shared" si="63"/>
        <v>0</v>
      </c>
    </row>
    <row r="275" spans="1:24">
      <c r="A275" s="23" t="s">
        <v>304</v>
      </c>
      <c r="B275" s="35" t="s">
        <v>300</v>
      </c>
      <c r="C275" s="125">
        <v>498</v>
      </c>
      <c r="D275" s="147">
        <v>114396626</v>
      </c>
      <c r="E275" s="116">
        <f t="shared" si="58"/>
        <v>229712.10040160644</v>
      </c>
      <c r="F275" s="134">
        <v>74427529</v>
      </c>
      <c r="G275" s="117">
        <f t="shared" si="59"/>
        <v>149452.86947791165</v>
      </c>
      <c r="H275" s="98"/>
      <c r="I275" s="150">
        <v>10</v>
      </c>
      <c r="J275" s="134">
        <v>744275.29</v>
      </c>
      <c r="K275" s="120">
        <f t="shared" si="60"/>
        <v>1494.5286947791164</v>
      </c>
      <c r="L275" s="122">
        <f t="shared" si="55"/>
        <v>744275.29</v>
      </c>
      <c r="M275" s="116">
        <f t="shared" si="56"/>
        <v>0</v>
      </c>
      <c r="N275" s="123">
        <f t="shared" si="57"/>
        <v>0</v>
      </c>
      <c r="O275" s="5"/>
      <c r="P275" s="5">
        <f t="shared" si="61"/>
        <v>1</v>
      </c>
      <c r="Q275" s="7">
        <f t="shared" si="62"/>
        <v>498</v>
      </c>
      <c r="W275" s="124">
        <f t="shared" si="64"/>
        <v>744275.29</v>
      </c>
      <c r="X275">
        <f t="shared" si="63"/>
        <v>0</v>
      </c>
    </row>
    <row r="276" spans="1:24">
      <c r="A276" s="23" t="s">
        <v>305</v>
      </c>
      <c r="B276" s="35" t="s">
        <v>300</v>
      </c>
      <c r="C276" s="125">
        <v>139</v>
      </c>
      <c r="D276" s="132" t="s">
        <v>564</v>
      </c>
      <c r="E276" s="116"/>
      <c r="F276" s="134"/>
      <c r="G276" s="117"/>
      <c r="H276" s="9" t="s">
        <v>588</v>
      </c>
      <c r="I276" s="136"/>
      <c r="J276" s="134"/>
      <c r="K276" s="120"/>
      <c r="L276" s="122">
        <f t="shared" si="55"/>
        <v>0</v>
      </c>
      <c r="M276" s="116">
        <f t="shared" si="56"/>
        <v>0</v>
      </c>
      <c r="N276" s="123">
        <f t="shared" si="57"/>
        <v>0</v>
      </c>
      <c r="O276" s="5"/>
      <c r="P276" s="5">
        <f t="shared" si="61"/>
        <v>0</v>
      </c>
      <c r="Q276" s="7">
        <f t="shared" si="62"/>
        <v>0</v>
      </c>
      <c r="W276" s="124">
        <f t="shared" si="64"/>
        <v>0</v>
      </c>
      <c r="X276">
        <f t="shared" si="63"/>
        <v>0</v>
      </c>
    </row>
    <row r="277" spans="1:24">
      <c r="A277" s="23" t="s">
        <v>306</v>
      </c>
      <c r="B277" s="35" t="s">
        <v>300</v>
      </c>
      <c r="C277" s="125">
        <v>67073</v>
      </c>
      <c r="D277" s="147">
        <v>21505811325</v>
      </c>
      <c r="E277" s="116">
        <f>(D277/C277)</f>
        <v>320632.9122746858</v>
      </c>
      <c r="F277" s="134">
        <v>14404201390</v>
      </c>
      <c r="G277" s="117">
        <f>(F277/C277)</f>
        <v>214754.09464314999</v>
      </c>
      <c r="H277" s="98"/>
      <c r="I277" s="151">
        <v>6.5110999999999999</v>
      </c>
      <c r="J277" s="134">
        <v>93787195.670429006</v>
      </c>
      <c r="K277" s="120">
        <f>(J277/C277)</f>
        <v>1398.2853856310142</v>
      </c>
      <c r="L277" s="122">
        <f t="shared" si="55"/>
        <v>144042013.90000001</v>
      </c>
      <c r="M277" s="116">
        <f t="shared" si="56"/>
        <v>50254818.229571</v>
      </c>
      <c r="N277" s="123">
        <f t="shared" si="57"/>
        <v>749.25556080048602</v>
      </c>
      <c r="O277" s="5"/>
      <c r="P277" s="5">
        <f t="shared" si="61"/>
        <v>1</v>
      </c>
      <c r="Q277" s="7">
        <f t="shared" si="62"/>
        <v>67073</v>
      </c>
      <c r="W277" s="124">
        <f t="shared" si="64"/>
        <v>93787195.670428991</v>
      </c>
      <c r="X277">
        <f t="shared" si="63"/>
        <v>0</v>
      </c>
    </row>
    <row r="278" spans="1:24">
      <c r="A278" s="23" t="s">
        <v>307</v>
      </c>
      <c r="B278" s="35" t="s">
        <v>300</v>
      </c>
      <c r="C278" s="125">
        <v>217</v>
      </c>
      <c r="D278" s="132" t="s">
        <v>564</v>
      </c>
      <c r="E278" s="116"/>
      <c r="F278" s="134"/>
      <c r="G278" s="117"/>
      <c r="H278" s="9" t="s">
        <v>588</v>
      </c>
      <c r="I278" s="136"/>
      <c r="J278" s="134"/>
      <c r="K278" s="120"/>
      <c r="L278" s="122">
        <f t="shared" si="55"/>
        <v>0</v>
      </c>
      <c r="M278" s="116">
        <f t="shared" si="56"/>
        <v>0</v>
      </c>
      <c r="N278" s="123">
        <f t="shared" si="57"/>
        <v>0</v>
      </c>
      <c r="O278" s="5"/>
      <c r="P278" s="5">
        <f t="shared" si="61"/>
        <v>0</v>
      </c>
      <c r="Q278" s="7">
        <f t="shared" si="62"/>
        <v>0</v>
      </c>
      <c r="W278" s="124">
        <f t="shared" si="64"/>
        <v>0</v>
      </c>
      <c r="X278">
        <f t="shared" si="63"/>
        <v>0</v>
      </c>
    </row>
    <row r="279" spans="1:24">
      <c r="A279" s="23" t="s">
        <v>308</v>
      </c>
      <c r="B279" s="35" t="s">
        <v>300</v>
      </c>
      <c r="C279" s="125">
        <v>260</v>
      </c>
      <c r="D279" s="132">
        <v>406117042</v>
      </c>
      <c r="E279" s="116">
        <f t="shared" ref="E279:E342" si="65">(D279/C279)</f>
        <v>1561988.6230769232</v>
      </c>
      <c r="F279" s="134">
        <v>251582137</v>
      </c>
      <c r="G279" s="117">
        <f t="shared" ref="G279:G342" si="66">(F279/C279)</f>
        <v>967623.60384615383</v>
      </c>
      <c r="H279" s="7"/>
      <c r="I279" s="136">
        <v>6.5452000000000004</v>
      </c>
      <c r="J279" s="134">
        <v>1646655.4030924002</v>
      </c>
      <c r="K279" s="120">
        <f t="shared" ref="K279:K342" si="67">(J279/C279)</f>
        <v>6333.2900118938469</v>
      </c>
      <c r="L279" s="122">
        <f t="shared" si="55"/>
        <v>2515821.37</v>
      </c>
      <c r="M279" s="116">
        <f t="shared" si="56"/>
        <v>869165.96690759994</v>
      </c>
      <c r="N279" s="123">
        <f t="shared" si="57"/>
        <v>3342.9460265676921</v>
      </c>
      <c r="O279" s="5"/>
      <c r="P279" s="5">
        <f t="shared" si="61"/>
        <v>1</v>
      </c>
      <c r="Q279" s="7">
        <f t="shared" si="62"/>
        <v>260</v>
      </c>
      <c r="W279" s="124">
        <f t="shared" si="64"/>
        <v>1646655.4030923999</v>
      </c>
      <c r="X279">
        <f t="shared" si="63"/>
        <v>0</v>
      </c>
    </row>
    <row r="280" spans="1:24">
      <c r="A280" s="23" t="s">
        <v>309</v>
      </c>
      <c r="B280" s="35" t="s">
        <v>300</v>
      </c>
      <c r="C280" s="125">
        <v>44797</v>
      </c>
      <c r="D280" s="132">
        <v>4467409618</v>
      </c>
      <c r="E280" s="116">
        <f t="shared" si="65"/>
        <v>99725.642743933742</v>
      </c>
      <c r="F280" s="134">
        <v>2537488909</v>
      </c>
      <c r="G280" s="117">
        <f t="shared" si="66"/>
        <v>56644.170569457776</v>
      </c>
      <c r="H280" s="7"/>
      <c r="I280" s="136">
        <v>6.3</v>
      </c>
      <c r="J280" s="134">
        <v>15986180.126699999</v>
      </c>
      <c r="K280" s="120">
        <f t="shared" si="67"/>
        <v>356.85827458758399</v>
      </c>
      <c r="L280" s="122">
        <f t="shared" si="55"/>
        <v>25374889.09</v>
      </c>
      <c r="M280" s="116">
        <f t="shared" si="56"/>
        <v>9388708.9633000009</v>
      </c>
      <c r="N280" s="123">
        <f t="shared" si="57"/>
        <v>209.5834311069938</v>
      </c>
      <c r="O280" s="5"/>
      <c r="P280" s="5">
        <f t="shared" si="61"/>
        <v>1</v>
      </c>
      <c r="Q280" s="7">
        <f t="shared" si="62"/>
        <v>44797</v>
      </c>
      <c r="W280" s="124">
        <f t="shared" si="64"/>
        <v>15986180.126700001</v>
      </c>
      <c r="X280">
        <f t="shared" si="63"/>
        <v>0</v>
      </c>
    </row>
    <row r="281" spans="1:24">
      <c r="A281" s="23" t="s">
        <v>310</v>
      </c>
      <c r="B281" s="35" t="s">
        <v>300</v>
      </c>
      <c r="C281" s="125">
        <v>957</v>
      </c>
      <c r="D281" s="132">
        <v>2073711691</v>
      </c>
      <c r="E281" s="116">
        <f t="shared" si="65"/>
        <v>2166887.8693834902</v>
      </c>
      <c r="F281" s="134">
        <v>1432776368</v>
      </c>
      <c r="G281" s="117">
        <f t="shared" si="66"/>
        <v>1497153.9895506792</v>
      </c>
      <c r="H281" s="7"/>
      <c r="I281" s="136">
        <v>3.6724000000000001</v>
      </c>
      <c r="J281" s="134">
        <v>5261727.9338432001</v>
      </c>
      <c r="K281" s="120">
        <f t="shared" si="67"/>
        <v>5498.1483112259148</v>
      </c>
      <c r="L281" s="122">
        <f t="shared" si="55"/>
        <v>14327763.68</v>
      </c>
      <c r="M281" s="116">
        <f t="shared" si="56"/>
        <v>9066035.7461568005</v>
      </c>
      <c r="N281" s="123">
        <f t="shared" si="57"/>
        <v>9473.3915842808783</v>
      </c>
      <c r="O281" s="5"/>
      <c r="P281" s="5">
        <f t="shared" si="61"/>
        <v>1</v>
      </c>
      <c r="Q281" s="7">
        <f t="shared" si="62"/>
        <v>957</v>
      </c>
      <c r="W281" s="124">
        <f t="shared" si="64"/>
        <v>5261727.9338432001</v>
      </c>
      <c r="X281">
        <f t="shared" si="63"/>
        <v>0</v>
      </c>
    </row>
    <row r="282" spans="1:24">
      <c r="A282" s="23" t="s">
        <v>311</v>
      </c>
      <c r="B282" s="35" t="s">
        <v>300</v>
      </c>
      <c r="C282" s="125">
        <v>2190</v>
      </c>
      <c r="D282" s="132">
        <v>268482884</v>
      </c>
      <c r="E282" s="116">
        <f t="shared" si="65"/>
        <v>122594.92420091324</v>
      </c>
      <c r="F282" s="134">
        <v>130673297</v>
      </c>
      <c r="G282" s="117">
        <f t="shared" si="66"/>
        <v>59668.172146118719</v>
      </c>
      <c r="H282" s="7"/>
      <c r="I282" s="136">
        <v>4.3499999999999996</v>
      </c>
      <c r="J282" s="134">
        <v>568428.84194999991</v>
      </c>
      <c r="K282" s="120">
        <f t="shared" si="67"/>
        <v>259.55654883561641</v>
      </c>
      <c r="L282" s="122">
        <f t="shared" si="55"/>
        <v>1306732.97</v>
      </c>
      <c r="M282" s="116">
        <f t="shared" si="56"/>
        <v>738304.12805000006</v>
      </c>
      <c r="N282" s="123">
        <f t="shared" si="57"/>
        <v>337.12517262557083</v>
      </c>
      <c r="O282" s="5"/>
      <c r="P282" s="5">
        <f t="shared" si="61"/>
        <v>1</v>
      </c>
      <c r="Q282" s="7">
        <f t="shared" si="62"/>
        <v>2190</v>
      </c>
      <c r="W282" s="124">
        <f t="shared" si="64"/>
        <v>568428.84194999991</v>
      </c>
      <c r="X282">
        <f t="shared" si="63"/>
        <v>0</v>
      </c>
    </row>
    <row r="283" spans="1:24">
      <c r="A283" s="23" t="s">
        <v>312</v>
      </c>
      <c r="B283" s="35" t="s">
        <v>300</v>
      </c>
      <c r="C283" s="125">
        <v>4302</v>
      </c>
      <c r="D283" s="132">
        <v>4220554457</v>
      </c>
      <c r="E283" s="116">
        <f t="shared" si="65"/>
        <v>981067.98163644818</v>
      </c>
      <c r="F283" s="134">
        <v>3124267506</v>
      </c>
      <c r="G283" s="117">
        <f t="shared" si="66"/>
        <v>726236.05439330544</v>
      </c>
      <c r="H283" s="7"/>
      <c r="I283" s="136">
        <v>3.2294</v>
      </c>
      <c r="J283" s="134">
        <v>10089509.4838764</v>
      </c>
      <c r="K283" s="120">
        <f t="shared" si="67"/>
        <v>2345.3067140577405</v>
      </c>
      <c r="L283" s="122">
        <f t="shared" si="55"/>
        <v>31242675.060000002</v>
      </c>
      <c r="M283" s="116">
        <f t="shared" si="56"/>
        <v>21153165.576123603</v>
      </c>
      <c r="N283" s="123">
        <f t="shared" si="57"/>
        <v>4917.0538298753145</v>
      </c>
      <c r="O283" s="5"/>
      <c r="P283" s="5">
        <f t="shared" si="61"/>
        <v>1</v>
      </c>
      <c r="Q283" s="7">
        <f t="shared" si="62"/>
        <v>4302</v>
      </c>
      <c r="W283" s="124">
        <f t="shared" si="64"/>
        <v>10089509.4838764</v>
      </c>
      <c r="X283">
        <f t="shared" si="63"/>
        <v>0</v>
      </c>
    </row>
    <row r="284" spans="1:24">
      <c r="A284" s="23" t="s">
        <v>313</v>
      </c>
      <c r="B284" s="35" t="s">
        <v>300</v>
      </c>
      <c r="C284" s="125">
        <v>2686</v>
      </c>
      <c r="D284" s="132">
        <v>697173332</v>
      </c>
      <c r="E284" s="116">
        <f t="shared" si="65"/>
        <v>259558.20253164557</v>
      </c>
      <c r="F284" s="134">
        <v>458727547</v>
      </c>
      <c r="G284" s="117">
        <f t="shared" si="66"/>
        <v>170784.64147431124</v>
      </c>
      <c r="H284" s="7"/>
      <c r="I284" s="136">
        <v>3.2</v>
      </c>
      <c r="J284" s="134">
        <v>1467928.1504000002</v>
      </c>
      <c r="K284" s="120">
        <f t="shared" si="67"/>
        <v>546.51085271779607</v>
      </c>
      <c r="L284" s="122">
        <f t="shared" si="55"/>
        <v>4587275.47</v>
      </c>
      <c r="M284" s="116">
        <f t="shared" si="56"/>
        <v>3119347.3195999996</v>
      </c>
      <c r="N284" s="123">
        <f t="shared" si="57"/>
        <v>1161.3355620253162</v>
      </c>
      <c r="O284" s="5"/>
      <c r="P284" s="5">
        <f t="shared" si="61"/>
        <v>1</v>
      </c>
      <c r="Q284" s="7">
        <f t="shared" si="62"/>
        <v>2686</v>
      </c>
      <c r="W284" s="124">
        <f t="shared" si="64"/>
        <v>1467928.1504000002</v>
      </c>
      <c r="X284">
        <f t="shared" si="63"/>
        <v>0</v>
      </c>
    </row>
    <row r="285" spans="1:24">
      <c r="A285" s="23" t="s">
        <v>314</v>
      </c>
      <c r="B285" s="35" t="s">
        <v>300</v>
      </c>
      <c r="C285" s="125">
        <v>3869</v>
      </c>
      <c r="D285" s="132">
        <v>2565946704</v>
      </c>
      <c r="E285" s="116">
        <f t="shared" si="65"/>
        <v>663206.6952700956</v>
      </c>
      <c r="F285" s="134">
        <v>1933658037</v>
      </c>
      <c r="G285" s="117">
        <f t="shared" si="66"/>
        <v>499782.38226932025</v>
      </c>
      <c r="H285" s="7"/>
      <c r="I285" s="136">
        <v>1.8194999999999999</v>
      </c>
      <c r="J285" s="134">
        <v>3518290.7983215</v>
      </c>
      <c r="K285" s="120">
        <f t="shared" si="67"/>
        <v>909.35404453902811</v>
      </c>
      <c r="L285" s="122">
        <f t="shared" si="55"/>
        <v>19336580.370000001</v>
      </c>
      <c r="M285" s="116">
        <f t="shared" si="56"/>
        <v>15818289.571678501</v>
      </c>
      <c r="N285" s="123">
        <f t="shared" si="57"/>
        <v>4088.4697781541745</v>
      </c>
      <c r="O285" s="5"/>
      <c r="P285" s="5">
        <f t="shared" si="61"/>
        <v>1</v>
      </c>
      <c r="Q285" s="7">
        <f t="shared" si="62"/>
        <v>3869</v>
      </c>
      <c r="W285" s="124">
        <f t="shared" si="64"/>
        <v>3518290.7983215</v>
      </c>
      <c r="X285">
        <f t="shared" si="63"/>
        <v>0</v>
      </c>
    </row>
    <row r="286" spans="1:24">
      <c r="A286" s="23" t="s">
        <v>315</v>
      </c>
      <c r="B286" s="35" t="s">
        <v>300</v>
      </c>
      <c r="C286" s="125">
        <v>61341</v>
      </c>
      <c r="D286" s="132">
        <v>21768229615</v>
      </c>
      <c r="E286" s="116">
        <f t="shared" si="65"/>
        <v>354872.42814756848</v>
      </c>
      <c r="F286" s="134">
        <v>14073619777</v>
      </c>
      <c r="G286" s="117">
        <f t="shared" si="66"/>
        <v>229432.51295218532</v>
      </c>
      <c r="H286" s="7"/>
      <c r="I286" s="136">
        <v>2.4632999999999998</v>
      </c>
      <c r="J286" s="134">
        <v>34667547.596684098</v>
      </c>
      <c r="K286" s="120">
        <f t="shared" si="67"/>
        <v>565.16110915511808</v>
      </c>
      <c r="L286" s="122">
        <f t="shared" si="55"/>
        <v>140736197.77000001</v>
      </c>
      <c r="M286" s="116">
        <f t="shared" si="56"/>
        <v>106068650.17331591</v>
      </c>
      <c r="N286" s="123">
        <f t="shared" si="57"/>
        <v>1729.1640203667353</v>
      </c>
      <c r="O286" s="5"/>
      <c r="P286" s="5">
        <f t="shared" si="61"/>
        <v>1</v>
      </c>
      <c r="Q286" s="7">
        <f t="shared" si="62"/>
        <v>61341</v>
      </c>
      <c r="W286" s="124">
        <f t="shared" si="64"/>
        <v>34667547.596684098</v>
      </c>
      <c r="X286">
        <f t="shared" si="63"/>
        <v>0</v>
      </c>
    </row>
    <row r="287" spans="1:24">
      <c r="A287" s="23" t="s">
        <v>316</v>
      </c>
      <c r="B287" s="35" t="s">
        <v>300</v>
      </c>
      <c r="C287" s="125">
        <v>406</v>
      </c>
      <c r="D287" s="132">
        <v>793061139</v>
      </c>
      <c r="E287" s="116">
        <f t="shared" si="65"/>
        <v>1953352.5591133004</v>
      </c>
      <c r="F287" s="134">
        <v>476668815</v>
      </c>
      <c r="G287" s="117">
        <f t="shared" si="66"/>
        <v>1174061.1206896552</v>
      </c>
      <c r="H287" s="7"/>
      <c r="I287" s="136">
        <v>5.56</v>
      </c>
      <c r="J287" s="134">
        <v>2650278.6113999998</v>
      </c>
      <c r="K287" s="120">
        <f t="shared" si="67"/>
        <v>6527.7798310344824</v>
      </c>
      <c r="L287" s="122">
        <f t="shared" si="55"/>
        <v>4766688.1500000004</v>
      </c>
      <c r="M287" s="116">
        <f t="shared" si="56"/>
        <v>2116409.5386000006</v>
      </c>
      <c r="N287" s="123">
        <f t="shared" si="57"/>
        <v>5212.8313758620707</v>
      </c>
      <c r="O287" s="5"/>
      <c r="P287" s="5">
        <f t="shared" si="61"/>
        <v>1</v>
      </c>
      <c r="Q287" s="7">
        <f t="shared" si="62"/>
        <v>406</v>
      </c>
      <c r="W287" s="124">
        <f t="shared" si="64"/>
        <v>2650278.6113999998</v>
      </c>
      <c r="X287">
        <f t="shared" si="63"/>
        <v>0</v>
      </c>
    </row>
    <row r="288" spans="1:24">
      <c r="A288" s="23" t="s">
        <v>317</v>
      </c>
      <c r="B288" s="35" t="s">
        <v>300</v>
      </c>
      <c r="C288" s="125">
        <v>3565</v>
      </c>
      <c r="D288" s="132">
        <v>656758712</v>
      </c>
      <c r="E288" s="116">
        <f t="shared" si="65"/>
        <v>184224.04263674613</v>
      </c>
      <c r="F288" s="134">
        <v>338121344</v>
      </c>
      <c r="G288" s="117">
        <f t="shared" si="66"/>
        <v>94844.696774193551</v>
      </c>
      <c r="H288" s="7"/>
      <c r="I288" s="136">
        <v>6.2797999999999998</v>
      </c>
      <c r="J288" s="134">
        <v>2123334.4160512001</v>
      </c>
      <c r="K288" s="120">
        <f t="shared" si="67"/>
        <v>595.60572680258065</v>
      </c>
      <c r="L288" s="122">
        <f t="shared" si="55"/>
        <v>3381213.44</v>
      </c>
      <c r="M288" s="116">
        <f t="shared" si="56"/>
        <v>1257879.0239487998</v>
      </c>
      <c r="N288" s="123">
        <f t="shared" si="57"/>
        <v>352.8412409393548</v>
      </c>
      <c r="O288" s="5"/>
      <c r="P288" s="5">
        <f t="shared" si="61"/>
        <v>1</v>
      </c>
      <c r="Q288" s="7">
        <f t="shared" si="62"/>
        <v>3565</v>
      </c>
      <c r="W288" s="124">
        <f t="shared" si="64"/>
        <v>2123334.4160511997</v>
      </c>
      <c r="X288">
        <f t="shared" si="63"/>
        <v>0</v>
      </c>
    </row>
    <row r="289" spans="1:24">
      <c r="A289" s="23" t="s">
        <v>318</v>
      </c>
      <c r="B289" s="35" t="s">
        <v>300</v>
      </c>
      <c r="C289" s="125">
        <v>9030</v>
      </c>
      <c r="D289" s="132">
        <v>1410902643</v>
      </c>
      <c r="E289" s="116">
        <f t="shared" si="65"/>
        <v>156246.13986710962</v>
      </c>
      <c r="F289" s="134">
        <v>910468649</v>
      </c>
      <c r="G289" s="117">
        <f t="shared" si="66"/>
        <v>100827.09291251385</v>
      </c>
      <c r="H289" s="7"/>
      <c r="I289" s="136">
        <v>5.3474000000000004</v>
      </c>
      <c r="J289" s="134">
        <v>4868640.0536626009</v>
      </c>
      <c r="K289" s="120">
        <f t="shared" si="67"/>
        <v>539.16279664037665</v>
      </c>
      <c r="L289" s="122">
        <f t="shared" si="55"/>
        <v>9104686.4900000002</v>
      </c>
      <c r="M289" s="116">
        <f t="shared" si="56"/>
        <v>4236046.4363373993</v>
      </c>
      <c r="N289" s="123">
        <f t="shared" si="57"/>
        <v>469.10813248476182</v>
      </c>
      <c r="O289" s="5"/>
      <c r="P289" s="5">
        <f t="shared" si="61"/>
        <v>1</v>
      </c>
      <c r="Q289" s="7">
        <f t="shared" si="62"/>
        <v>9030</v>
      </c>
      <c r="W289" s="124">
        <f t="shared" si="64"/>
        <v>4868640.0536626</v>
      </c>
      <c r="X289">
        <f t="shared" si="63"/>
        <v>0</v>
      </c>
    </row>
    <row r="290" spans="1:24">
      <c r="A290" s="23" t="s">
        <v>628</v>
      </c>
      <c r="B290" s="35" t="s">
        <v>300</v>
      </c>
      <c r="C290" s="125">
        <v>42637</v>
      </c>
      <c r="D290" s="132">
        <v>4683291608</v>
      </c>
      <c r="E290" s="116">
        <f t="shared" si="65"/>
        <v>109841.02089734268</v>
      </c>
      <c r="F290" s="134">
        <v>2696797002</v>
      </c>
      <c r="G290" s="117">
        <f t="shared" si="66"/>
        <v>63250.158360109766</v>
      </c>
      <c r="H290" s="7"/>
      <c r="I290" s="136">
        <v>5.4945000000000004</v>
      </c>
      <c r="J290" s="134">
        <v>14817551.127489001</v>
      </c>
      <c r="K290" s="120">
        <f t="shared" si="67"/>
        <v>347.52799510962313</v>
      </c>
      <c r="L290" s="122">
        <f t="shared" si="55"/>
        <v>26967970.02</v>
      </c>
      <c r="M290" s="116">
        <f t="shared" si="56"/>
        <v>12150418.892510999</v>
      </c>
      <c r="N290" s="123">
        <f t="shared" si="57"/>
        <v>284.97358849147452</v>
      </c>
      <c r="O290" s="5"/>
      <c r="P290" s="5">
        <f t="shared" si="61"/>
        <v>1</v>
      </c>
      <c r="Q290" s="7">
        <f t="shared" si="62"/>
        <v>42637</v>
      </c>
      <c r="W290" s="124">
        <f t="shared" si="64"/>
        <v>14817551.127489001</v>
      </c>
      <c r="X290">
        <f t="shared" si="63"/>
        <v>0</v>
      </c>
    </row>
    <row r="291" spans="1:24">
      <c r="A291" s="23" t="s">
        <v>319</v>
      </c>
      <c r="B291" s="35" t="s">
        <v>300</v>
      </c>
      <c r="C291" s="125">
        <v>12132</v>
      </c>
      <c r="D291" s="132">
        <v>2485871815</v>
      </c>
      <c r="E291" s="116">
        <f t="shared" si="65"/>
        <v>204902.06190240686</v>
      </c>
      <c r="F291" s="134">
        <v>1531436404</v>
      </c>
      <c r="G291" s="117">
        <f t="shared" si="66"/>
        <v>126231.15759973624</v>
      </c>
      <c r="H291" s="9"/>
      <c r="I291" s="136">
        <v>3.75</v>
      </c>
      <c r="J291" s="134">
        <v>5742886.5149999997</v>
      </c>
      <c r="K291" s="120">
        <f t="shared" si="67"/>
        <v>473.36684099901083</v>
      </c>
      <c r="L291" s="122">
        <f t="shared" si="55"/>
        <v>15314364.040000001</v>
      </c>
      <c r="M291" s="116">
        <f t="shared" si="56"/>
        <v>9571477.5250000022</v>
      </c>
      <c r="N291" s="123">
        <f t="shared" si="57"/>
        <v>788.94473499835169</v>
      </c>
      <c r="O291" s="5"/>
      <c r="P291" s="5">
        <f t="shared" si="61"/>
        <v>1</v>
      </c>
      <c r="Q291" s="7">
        <f t="shared" si="62"/>
        <v>12132</v>
      </c>
      <c r="W291" s="124">
        <f t="shared" si="64"/>
        <v>5742886.5149999997</v>
      </c>
      <c r="X291">
        <f t="shared" si="63"/>
        <v>0</v>
      </c>
    </row>
    <row r="292" spans="1:24">
      <c r="A292" s="23" t="s">
        <v>531</v>
      </c>
      <c r="B292" s="35" t="s">
        <v>300</v>
      </c>
      <c r="C292" s="125">
        <v>3375</v>
      </c>
      <c r="D292" s="132">
        <v>1007540407</v>
      </c>
      <c r="E292" s="116">
        <f t="shared" si="65"/>
        <v>298530.49096296297</v>
      </c>
      <c r="F292" s="134">
        <v>442024556</v>
      </c>
      <c r="G292" s="117">
        <f t="shared" si="66"/>
        <v>130970.23881481482</v>
      </c>
      <c r="H292" s="7"/>
      <c r="I292" s="136">
        <v>3</v>
      </c>
      <c r="J292" s="134">
        <v>1326073.6680000001</v>
      </c>
      <c r="K292" s="120">
        <f t="shared" si="67"/>
        <v>392.91071644444446</v>
      </c>
      <c r="L292" s="122">
        <f t="shared" si="55"/>
        <v>4420245.5600000005</v>
      </c>
      <c r="M292" s="116">
        <f t="shared" si="56"/>
        <v>3094171.8920000005</v>
      </c>
      <c r="N292" s="123">
        <f t="shared" si="57"/>
        <v>916.79167170370386</v>
      </c>
      <c r="O292" s="5"/>
      <c r="P292" s="5">
        <f t="shared" si="61"/>
        <v>1</v>
      </c>
      <c r="Q292" s="7">
        <f t="shared" si="62"/>
        <v>3375</v>
      </c>
      <c r="W292" s="124">
        <f t="shared" si="64"/>
        <v>1326073.6680000001</v>
      </c>
      <c r="X292">
        <f t="shared" si="63"/>
        <v>0</v>
      </c>
    </row>
    <row r="293" spans="1:24">
      <c r="A293" s="23" t="s">
        <v>320</v>
      </c>
      <c r="B293" s="35" t="s">
        <v>300</v>
      </c>
      <c r="C293" s="125">
        <v>422</v>
      </c>
      <c r="D293" s="132">
        <v>2751194023</v>
      </c>
      <c r="E293" s="116">
        <f t="shared" si="65"/>
        <v>6519417.1161137437</v>
      </c>
      <c r="F293" s="134">
        <v>1876286858</v>
      </c>
      <c r="G293" s="117">
        <f t="shared" si="66"/>
        <v>4446177.388625592</v>
      </c>
      <c r="H293" s="7"/>
      <c r="I293" s="157">
        <v>3</v>
      </c>
      <c r="J293" s="134">
        <v>5628860.574</v>
      </c>
      <c r="K293" s="120">
        <f t="shared" si="67"/>
        <v>13338.532165876777</v>
      </c>
      <c r="L293" s="122">
        <f t="shared" si="55"/>
        <v>18762868.580000002</v>
      </c>
      <c r="M293" s="116">
        <f t="shared" si="56"/>
        <v>13134008.006000001</v>
      </c>
      <c r="N293" s="123">
        <f t="shared" si="57"/>
        <v>31123.241720379148</v>
      </c>
      <c r="O293" s="5"/>
      <c r="P293" s="5">
        <f t="shared" si="61"/>
        <v>1</v>
      </c>
      <c r="Q293" s="7">
        <f t="shared" si="62"/>
        <v>422</v>
      </c>
      <c r="W293" s="124">
        <f t="shared" si="64"/>
        <v>5628860.574</v>
      </c>
      <c r="X293">
        <f t="shared" si="63"/>
        <v>0</v>
      </c>
    </row>
    <row r="294" spans="1:24">
      <c r="A294" s="23" t="s">
        <v>321</v>
      </c>
      <c r="B294" s="35" t="s">
        <v>300</v>
      </c>
      <c r="C294" s="125">
        <v>2134</v>
      </c>
      <c r="D294" s="132">
        <v>365527257</v>
      </c>
      <c r="E294" s="116">
        <f t="shared" si="65"/>
        <v>171287.37441424554</v>
      </c>
      <c r="F294" s="134">
        <v>273564381</v>
      </c>
      <c r="G294" s="117">
        <f t="shared" si="66"/>
        <v>128193.24320524836</v>
      </c>
      <c r="H294" s="7"/>
      <c r="I294" s="136">
        <v>9.9</v>
      </c>
      <c r="J294" s="134">
        <v>2708287.3719000001</v>
      </c>
      <c r="K294" s="120">
        <f t="shared" si="67"/>
        <v>1269.1131077319587</v>
      </c>
      <c r="L294" s="122">
        <f t="shared" si="55"/>
        <v>2735643.81</v>
      </c>
      <c r="M294" s="116">
        <f t="shared" si="56"/>
        <v>27356.438099999912</v>
      </c>
      <c r="N294" s="123">
        <f t="shared" si="57"/>
        <v>12.819324320524794</v>
      </c>
      <c r="O294" s="5"/>
      <c r="P294" s="5">
        <f t="shared" si="61"/>
        <v>1</v>
      </c>
      <c r="Q294" s="7">
        <f t="shared" si="62"/>
        <v>2134</v>
      </c>
      <c r="W294" s="124">
        <f t="shared" si="64"/>
        <v>2708287.3719000001</v>
      </c>
      <c r="X294">
        <f t="shared" si="63"/>
        <v>0</v>
      </c>
    </row>
    <row r="295" spans="1:24">
      <c r="A295" s="23" t="s">
        <v>322</v>
      </c>
      <c r="B295" s="35" t="s">
        <v>300</v>
      </c>
      <c r="C295" s="125">
        <v>13166</v>
      </c>
      <c r="D295" s="132">
        <v>4801441408</v>
      </c>
      <c r="E295" s="116">
        <f t="shared" si="65"/>
        <v>364684.90110891691</v>
      </c>
      <c r="F295" s="134">
        <v>2953009292</v>
      </c>
      <c r="G295" s="117">
        <f t="shared" si="66"/>
        <v>224290.54321737809</v>
      </c>
      <c r="H295" s="7"/>
      <c r="I295" s="136">
        <v>7</v>
      </c>
      <c r="J295" s="134">
        <v>20671065.044</v>
      </c>
      <c r="K295" s="120">
        <f t="shared" si="67"/>
        <v>1570.0338025216467</v>
      </c>
      <c r="L295" s="122">
        <f t="shared" si="55"/>
        <v>29530092.920000002</v>
      </c>
      <c r="M295" s="116">
        <f t="shared" si="56"/>
        <v>8859027.876000002</v>
      </c>
      <c r="N295" s="123">
        <f t="shared" si="57"/>
        <v>672.8716296521344</v>
      </c>
      <c r="O295" s="5"/>
      <c r="P295" s="5">
        <f t="shared" si="61"/>
        <v>1</v>
      </c>
      <c r="Q295" s="7">
        <f t="shared" si="62"/>
        <v>13166</v>
      </c>
      <c r="W295" s="124">
        <f t="shared" si="64"/>
        <v>20671065.044</v>
      </c>
      <c r="X295">
        <f t="shared" si="63"/>
        <v>0</v>
      </c>
    </row>
    <row r="296" spans="1:24">
      <c r="A296" s="23" t="s">
        <v>323</v>
      </c>
      <c r="B296" s="35" t="s">
        <v>300</v>
      </c>
      <c r="C296" s="125">
        <v>1831</v>
      </c>
      <c r="D296" s="132">
        <v>2108948491</v>
      </c>
      <c r="E296" s="116">
        <f t="shared" si="65"/>
        <v>1151801.4696886947</v>
      </c>
      <c r="F296" s="134">
        <v>1355615977</v>
      </c>
      <c r="G296" s="117">
        <f t="shared" si="66"/>
        <v>740369.18459858</v>
      </c>
      <c r="H296" s="9"/>
      <c r="I296" s="136">
        <v>5.5</v>
      </c>
      <c r="J296" s="134">
        <v>7455887.8734999998</v>
      </c>
      <c r="K296" s="120">
        <f t="shared" si="67"/>
        <v>4072.0305152921901</v>
      </c>
      <c r="L296" s="122">
        <f t="shared" si="55"/>
        <v>13556159.77</v>
      </c>
      <c r="M296" s="116">
        <f t="shared" si="56"/>
        <v>6100271.8964999998</v>
      </c>
      <c r="N296" s="123">
        <f t="shared" si="57"/>
        <v>3331.6613306936101</v>
      </c>
      <c r="O296" s="5"/>
      <c r="P296" s="5">
        <f t="shared" si="61"/>
        <v>1</v>
      </c>
      <c r="Q296" s="7">
        <f t="shared" si="62"/>
        <v>1831</v>
      </c>
      <c r="W296" s="124">
        <f t="shared" si="64"/>
        <v>7455887.8734999998</v>
      </c>
      <c r="X296">
        <f t="shared" si="63"/>
        <v>0</v>
      </c>
    </row>
    <row r="297" spans="1:24">
      <c r="A297" s="23" t="s">
        <v>324</v>
      </c>
      <c r="B297" s="35" t="s">
        <v>300</v>
      </c>
      <c r="C297" s="125">
        <v>5579</v>
      </c>
      <c r="D297" s="132">
        <v>310458952</v>
      </c>
      <c r="E297" s="116">
        <f t="shared" si="65"/>
        <v>55647.777737945871</v>
      </c>
      <c r="F297" s="134">
        <v>105003951</v>
      </c>
      <c r="G297" s="117">
        <f t="shared" si="66"/>
        <v>18821.285355798529</v>
      </c>
      <c r="H297" s="7"/>
      <c r="I297" s="136">
        <v>6.5419</v>
      </c>
      <c r="J297" s="134">
        <v>686925.34704690007</v>
      </c>
      <c r="K297" s="120">
        <f t="shared" si="67"/>
        <v>123.12696666909842</v>
      </c>
      <c r="L297" s="122">
        <f t="shared" si="55"/>
        <v>1050039.51</v>
      </c>
      <c r="M297" s="116">
        <f t="shared" si="56"/>
        <v>363114.16295309993</v>
      </c>
      <c r="N297" s="123">
        <f t="shared" si="57"/>
        <v>65.08588688888689</v>
      </c>
      <c r="O297" s="5"/>
      <c r="P297" s="5">
        <f t="shared" si="61"/>
        <v>1</v>
      </c>
      <c r="Q297" s="7">
        <f t="shared" si="62"/>
        <v>5579</v>
      </c>
      <c r="W297" s="124">
        <f t="shared" si="64"/>
        <v>686925.34704689996</v>
      </c>
      <c r="X297">
        <f t="shared" si="63"/>
        <v>0</v>
      </c>
    </row>
    <row r="298" spans="1:24">
      <c r="A298" s="23" t="s">
        <v>300</v>
      </c>
      <c r="B298" s="35" t="s">
        <v>300</v>
      </c>
      <c r="C298" s="125">
        <v>9218</v>
      </c>
      <c r="D298" s="132">
        <v>40936318017</v>
      </c>
      <c r="E298" s="116">
        <f t="shared" si="65"/>
        <v>4440911.0454545459</v>
      </c>
      <c r="F298" s="134">
        <v>25516602944</v>
      </c>
      <c r="G298" s="117">
        <f t="shared" si="66"/>
        <v>2768127.8958559339</v>
      </c>
      <c r="H298" s="7"/>
      <c r="I298" s="136">
        <v>2.6932</v>
      </c>
      <c r="J298" s="134">
        <v>68721315.048780814</v>
      </c>
      <c r="K298" s="120">
        <f t="shared" si="67"/>
        <v>7455.1220491192034</v>
      </c>
      <c r="L298" s="122">
        <f t="shared" si="55"/>
        <v>255166029.44</v>
      </c>
      <c r="M298" s="116">
        <f t="shared" si="56"/>
        <v>186444714.3912192</v>
      </c>
      <c r="N298" s="123">
        <f t="shared" si="57"/>
        <v>20226.156909440138</v>
      </c>
      <c r="O298" s="5"/>
      <c r="P298" s="5">
        <f t="shared" si="61"/>
        <v>1</v>
      </c>
      <c r="Q298" s="7">
        <f t="shared" si="62"/>
        <v>9218</v>
      </c>
      <c r="W298" s="124">
        <f t="shared" si="64"/>
        <v>68721315.048780799</v>
      </c>
      <c r="X298">
        <f t="shared" si="63"/>
        <v>0</v>
      </c>
    </row>
    <row r="299" spans="1:24">
      <c r="A299" s="23" t="s">
        <v>325</v>
      </c>
      <c r="B299" s="35" t="s">
        <v>300</v>
      </c>
      <c r="C299" s="125">
        <v>60675</v>
      </c>
      <c r="D299" s="132">
        <v>22229583284</v>
      </c>
      <c r="E299" s="116">
        <f t="shared" si="65"/>
        <v>366371.37674495263</v>
      </c>
      <c r="F299" s="134">
        <v>15543339584</v>
      </c>
      <c r="G299" s="117">
        <f t="shared" si="66"/>
        <v>256173.70554594148</v>
      </c>
      <c r="H299" s="7"/>
      <c r="I299" s="136">
        <v>5.32</v>
      </c>
      <c r="J299" s="134">
        <v>82690566.586879998</v>
      </c>
      <c r="K299" s="120">
        <f t="shared" si="67"/>
        <v>1362.8441135044086</v>
      </c>
      <c r="L299" s="122">
        <f t="shared" si="55"/>
        <v>155433395.84</v>
      </c>
      <c r="M299" s="116">
        <f t="shared" si="56"/>
        <v>72742829.253120005</v>
      </c>
      <c r="N299" s="123">
        <f t="shared" si="57"/>
        <v>1198.8929419550063</v>
      </c>
      <c r="O299" s="5"/>
      <c r="P299" s="5">
        <f t="shared" si="61"/>
        <v>1</v>
      </c>
      <c r="Q299" s="7">
        <f t="shared" si="62"/>
        <v>60675</v>
      </c>
      <c r="W299" s="124">
        <f t="shared" si="64"/>
        <v>82690566.586879998</v>
      </c>
      <c r="X299">
        <f t="shared" si="63"/>
        <v>0</v>
      </c>
    </row>
    <row r="300" spans="1:24">
      <c r="A300" s="23" t="s">
        <v>326</v>
      </c>
      <c r="B300" s="35" t="s">
        <v>300</v>
      </c>
      <c r="C300" s="125">
        <v>1309</v>
      </c>
      <c r="D300" s="132">
        <v>896939110</v>
      </c>
      <c r="E300" s="116">
        <f t="shared" si="65"/>
        <v>685209.4041252865</v>
      </c>
      <c r="F300" s="134">
        <v>698275731</v>
      </c>
      <c r="G300" s="117">
        <f t="shared" si="66"/>
        <v>533442.11688311689</v>
      </c>
      <c r="H300" s="9"/>
      <c r="I300" s="136">
        <v>6.35</v>
      </c>
      <c r="J300" s="134">
        <v>4434050.8918499993</v>
      </c>
      <c r="K300" s="120">
        <f t="shared" si="67"/>
        <v>3387.3574422077918</v>
      </c>
      <c r="L300" s="122">
        <f t="shared" si="55"/>
        <v>6982757.3100000005</v>
      </c>
      <c r="M300" s="116">
        <f t="shared" si="56"/>
        <v>2548706.4181500012</v>
      </c>
      <c r="N300" s="123">
        <f t="shared" si="57"/>
        <v>1947.0637266233775</v>
      </c>
      <c r="O300" s="5"/>
      <c r="P300" s="5">
        <f t="shared" si="61"/>
        <v>1</v>
      </c>
      <c r="Q300" s="7">
        <f t="shared" si="62"/>
        <v>1309</v>
      </c>
      <c r="W300" s="124">
        <f t="shared" si="64"/>
        <v>4434050.8918500002</v>
      </c>
      <c r="X300">
        <f t="shared" si="63"/>
        <v>0</v>
      </c>
    </row>
    <row r="301" spans="1:24">
      <c r="A301" s="23" t="s">
        <v>327</v>
      </c>
      <c r="B301" s="35" t="s">
        <v>300</v>
      </c>
      <c r="C301" s="125">
        <v>26924</v>
      </c>
      <c r="D301" s="132">
        <v>2780509105</v>
      </c>
      <c r="E301" s="116">
        <f t="shared" si="65"/>
        <v>103272.51169959886</v>
      </c>
      <c r="F301" s="134">
        <v>1675867657</v>
      </c>
      <c r="G301" s="117">
        <f t="shared" si="66"/>
        <v>62244.378881295495</v>
      </c>
      <c r="H301" s="7"/>
      <c r="I301" s="136">
        <v>3.5</v>
      </c>
      <c r="J301" s="134">
        <v>5865536.7994999997</v>
      </c>
      <c r="K301" s="120">
        <f t="shared" si="67"/>
        <v>217.85532608453423</v>
      </c>
      <c r="L301" s="122">
        <f t="shared" si="55"/>
        <v>16758676.57</v>
      </c>
      <c r="M301" s="116">
        <f t="shared" si="56"/>
        <v>10893139.770500001</v>
      </c>
      <c r="N301" s="123">
        <f t="shared" si="57"/>
        <v>404.58846272842078</v>
      </c>
      <c r="O301" s="5"/>
      <c r="P301" s="5">
        <f t="shared" si="61"/>
        <v>1</v>
      </c>
      <c r="Q301" s="7">
        <f t="shared" si="62"/>
        <v>26924</v>
      </c>
      <c r="W301" s="124">
        <f t="shared" si="64"/>
        <v>5865536.7994999997</v>
      </c>
      <c r="X301">
        <f t="shared" si="63"/>
        <v>0</v>
      </c>
    </row>
    <row r="302" spans="1:24">
      <c r="A302" s="23" t="s">
        <v>328</v>
      </c>
      <c r="B302" s="35" t="s">
        <v>300</v>
      </c>
      <c r="C302" s="125">
        <v>38613</v>
      </c>
      <c r="D302" s="132">
        <v>10260062495</v>
      </c>
      <c r="E302" s="116">
        <f t="shared" si="65"/>
        <v>265715.23826172535</v>
      </c>
      <c r="F302" s="134">
        <v>7177322778</v>
      </c>
      <c r="G302" s="117">
        <f t="shared" si="66"/>
        <v>185878.40307668402</v>
      </c>
      <c r="H302" s="7"/>
      <c r="I302" s="136">
        <v>8.35</v>
      </c>
      <c r="J302" s="134">
        <v>59930645.196299993</v>
      </c>
      <c r="K302" s="120">
        <f t="shared" si="67"/>
        <v>1552.0846656903113</v>
      </c>
      <c r="L302" s="122">
        <f t="shared" si="55"/>
        <v>71773227.780000001</v>
      </c>
      <c r="M302" s="116">
        <f t="shared" si="56"/>
        <v>11842582.583700009</v>
      </c>
      <c r="N302" s="123">
        <f t="shared" si="57"/>
        <v>306.69936507652886</v>
      </c>
      <c r="O302" s="5"/>
      <c r="P302" s="5">
        <f t="shared" si="61"/>
        <v>1</v>
      </c>
      <c r="Q302" s="7">
        <f t="shared" si="62"/>
        <v>38613</v>
      </c>
      <c r="W302" s="124">
        <f t="shared" si="64"/>
        <v>59930645.1963</v>
      </c>
      <c r="X302">
        <f t="shared" si="63"/>
        <v>0</v>
      </c>
    </row>
    <row r="303" spans="1:24">
      <c r="A303" s="23" t="s">
        <v>329</v>
      </c>
      <c r="B303" s="35" t="s">
        <v>300</v>
      </c>
      <c r="C303" s="125">
        <v>39345</v>
      </c>
      <c r="D303" s="132">
        <v>6204351621</v>
      </c>
      <c r="E303" s="116">
        <f t="shared" si="65"/>
        <v>157690.98032786886</v>
      </c>
      <c r="F303" s="134">
        <v>3837144094</v>
      </c>
      <c r="G303" s="117">
        <f t="shared" si="66"/>
        <v>97525.583784470713</v>
      </c>
      <c r="H303" s="7"/>
      <c r="I303" s="136">
        <v>1.92</v>
      </c>
      <c r="J303" s="134">
        <v>7367316.6604799991</v>
      </c>
      <c r="K303" s="120">
        <f t="shared" si="67"/>
        <v>187.24912086618374</v>
      </c>
      <c r="L303" s="122">
        <f t="shared" si="55"/>
        <v>38371440.939999998</v>
      </c>
      <c r="M303" s="116">
        <f t="shared" si="56"/>
        <v>31004124.279519998</v>
      </c>
      <c r="N303" s="123">
        <f t="shared" si="57"/>
        <v>788.00671697852329</v>
      </c>
      <c r="O303" s="5"/>
      <c r="P303" s="5">
        <f t="shared" si="61"/>
        <v>1</v>
      </c>
      <c r="Q303" s="7">
        <f t="shared" si="62"/>
        <v>39345</v>
      </c>
      <c r="W303" s="124">
        <f t="shared" si="64"/>
        <v>7367316.6604799991</v>
      </c>
      <c r="X303">
        <f t="shared" si="63"/>
        <v>0</v>
      </c>
    </row>
    <row r="304" spans="1:24">
      <c r="A304" s="23" t="s">
        <v>330</v>
      </c>
      <c r="B304" s="35" t="s">
        <v>300</v>
      </c>
      <c r="C304" s="125">
        <v>5015</v>
      </c>
      <c r="D304" s="132">
        <v>236046956</v>
      </c>
      <c r="E304" s="116">
        <f t="shared" si="65"/>
        <v>47068.186640079759</v>
      </c>
      <c r="F304" s="134">
        <v>86136292</v>
      </c>
      <c r="G304" s="117">
        <f t="shared" si="66"/>
        <v>17175.731206380857</v>
      </c>
      <c r="H304" s="7"/>
      <c r="I304" s="136">
        <v>6.3089000000000004</v>
      </c>
      <c r="J304" s="134">
        <v>543425.25259880011</v>
      </c>
      <c r="K304" s="120">
        <f t="shared" si="67"/>
        <v>108.35997060793622</v>
      </c>
      <c r="L304" s="122">
        <f t="shared" si="55"/>
        <v>861362.92</v>
      </c>
      <c r="M304" s="116">
        <f t="shared" si="56"/>
        <v>317937.66740119993</v>
      </c>
      <c r="N304" s="123">
        <f t="shared" si="57"/>
        <v>63.397341455872372</v>
      </c>
      <c r="O304" s="5"/>
      <c r="P304" s="5">
        <f t="shared" si="61"/>
        <v>1</v>
      </c>
      <c r="Q304" s="7">
        <f t="shared" si="62"/>
        <v>5015</v>
      </c>
      <c r="W304" s="124">
        <f t="shared" si="64"/>
        <v>543425.2525988</v>
      </c>
      <c r="X304">
        <f t="shared" si="63"/>
        <v>0</v>
      </c>
    </row>
    <row r="305" spans="1:24">
      <c r="A305" s="23" t="s">
        <v>331</v>
      </c>
      <c r="B305" s="35" t="s">
        <v>300</v>
      </c>
      <c r="C305" s="125">
        <v>1472</v>
      </c>
      <c r="D305" s="132">
        <v>669346915</v>
      </c>
      <c r="E305" s="116">
        <f t="shared" si="65"/>
        <v>454719.37160326086</v>
      </c>
      <c r="F305" s="134">
        <v>515877617</v>
      </c>
      <c r="G305" s="117">
        <f t="shared" si="66"/>
        <v>350460.33763586957</v>
      </c>
      <c r="H305" s="7"/>
      <c r="I305" s="136">
        <v>3.4529999999999998</v>
      </c>
      <c r="J305" s="134">
        <v>1781325.4115009999</v>
      </c>
      <c r="K305" s="120">
        <f t="shared" si="67"/>
        <v>1210.1395458566576</v>
      </c>
      <c r="L305" s="122">
        <f t="shared" si="55"/>
        <v>5158776.17</v>
      </c>
      <c r="M305" s="116">
        <f t="shared" si="56"/>
        <v>3377450.7584990002</v>
      </c>
      <c r="N305" s="123">
        <f t="shared" si="57"/>
        <v>2294.463830502038</v>
      </c>
      <c r="O305" s="5"/>
      <c r="P305" s="5">
        <f t="shared" si="61"/>
        <v>1</v>
      </c>
      <c r="Q305" s="7">
        <f t="shared" si="62"/>
        <v>1472</v>
      </c>
      <c r="W305" s="124">
        <f t="shared" si="64"/>
        <v>1781325.4115009999</v>
      </c>
      <c r="X305">
        <f t="shared" si="63"/>
        <v>0</v>
      </c>
    </row>
    <row r="306" spans="1:24">
      <c r="A306" s="23" t="s">
        <v>332</v>
      </c>
      <c r="B306" s="35" t="s">
        <v>300</v>
      </c>
      <c r="C306" s="125">
        <v>6152</v>
      </c>
      <c r="D306" s="132">
        <v>2468682700</v>
      </c>
      <c r="E306" s="116">
        <f t="shared" si="65"/>
        <v>401281.32314694411</v>
      </c>
      <c r="F306" s="134">
        <v>1489569323</v>
      </c>
      <c r="G306" s="117">
        <f t="shared" si="66"/>
        <v>242127.65328348504</v>
      </c>
      <c r="H306" s="7"/>
      <c r="I306" s="136">
        <v>6.6289999999999996</v>
      </c>
      <c r="J306" s="134">
        <v>9874355.0421670005</v>
      </c>
      <c r="K306" s="120">
        <f t="shared" si="67"/>
        <v>1605.0642136162223</v>
      </c>
      <c r="L306" s="122">
        <f t="shared" si="55"/>
        <v>14895693.23</v>
      </c>
      <c r="M306" s="116">
        <f t="shared" si="56"/>
        <v>5021338.187833</v>
      </c>
      <c r="N306" s="123">
        <f t="shared" si="57"/>
        <v>816.21231921862807</v>
      </c>
      <c r="O306" s="5"/>
      <c r="P306" s="5">
        <f t="shared" si="61"/>
        <v>1</v>
      </c>
      <c r="Q306" s="7">
        <f t="shared" si="62"/>
        <v>6152</v>
      </c>
      <c r="W306" s="124">
        <f t="shared" si="64"/>
        <v>9874355.0421669986</v>
      </c>
      <c r="X306">
        <f t="shared" si="63"/>
        <v>0</v>
      </c>
    </row>
    <row r="307" spans="1:24">
      <c r="A307" s="23" t="s">
        <v>333</v>
      </c>
      <c r="B307" s="35" t="s">
        <v>300</v>
      </c>
      <c r="C307" s="125">
        <v>61807</v>
      </c>
      <c r="D307" s="132">
        <v>16688471027</v>
      </c>
      <c r="E307" s="116">
        <f t="shared" si="65"/>
        <v>270009.40066659119</v>
      </c>
      <c r="F307" s="134">
        <v>10321781544</v>
      </c>
      <c r="G307" s="117">
        <f t="shared" si="66"/>
        <v>167000.20295435793</v>
      </c>
      <c r="H307" s="7"/>
      <c r="I307" s="136">
        <v>2.4700000000000002</v>
      </c>
      <c r="J307" s="134">
        <v>25494800.413680002</v>
      </c>
      <c r="K307" s="120">
        <f t="shared" si="67"/>
        <v>412.49050129726407</v>
      </c>
      <c r="L307" s="122">
        <f t="shared" si="55"/>
        <v>103217815.44</v>
      </c>
      <c r="M307" s="116">
        <f t="shared" si="56"/>
        <v>77723015.026319996</v>
      </c>
      <c r="N307" s="123">
        <f t="shared" si="57"/>
        <v>1257.511528246315</v>
      </c>
      <c r="O307" s="5"/>
      <c r="P307" s="5">
        <f t="shared" si="61"/>
        <v>1</v>
      </c>
      <c r="Q307" s="7">
        <f t="shared" si="62"/>
        <v>61807</v>
      </c>
      <c r="W307" s="124">
        <f t="shared" si="64"/>
        <v>25494800.413680006</v>
      </c>
      <c r="X307">
        <f t="shared" si="63"/>
        <v>0</v>
      </c>
    </row>
    <row r="308" spans="1:24">
      <c r="A308" s="24" t="s">
        <v>334</v>
      </c>
      <c r="B308" s="35" t="s">
        <v>300</v>
      </c>
      <c r="C308" s="125">
        <v>119971</v>
      </c>
      <c r="D308" s="132">
        <v>28696502062</v>
      </c>
      <c r="E308" s="116">
        <f t="shared" si="65"/>
        <v>239195.32271965724</v>
      </c>
      <c r="F308" s="134">
        <v>18300968069</v>
      </c>
      <c r="G308" s="117">
        <f t="shared" si="66"/>
        <v>152544.93226696452</v>
      </c>
      <c r="H308" s="7"/>
      <c r="I308" s="136">
        <v>8.1965000000000003</v>
      </c>
      <c r="J308" s="134">
        <v>150003884.77755851</v>
      </c>
      <c r="K308" s="120">
        <f t="shared" si="67"/>
        <v>1250.3345373261748</v>
      </c>
      <c r="L308" s="122">
        <f t="shared" si="55"/>
        <v>183009680.69</v>
      </c>
      <c r="M308" s="116">
        <f t="shared" si="56"/>
        <v>33005795.912441492</v>
      </c>
      <c r="N308" s="123">
        <f t="shared" si="57"/>
        <v>275.11478534347043</v>
      </c>
      <c r="O308" s="5"/>
      <c r="P308" s="5">
        <f>IF(I308&gt;0,1,0)</f>
        <v>1</v>
      </c>
      <c r="Q308" s="7">
        <f>IF(I308&gt;0,C308,0)</f>
        <v>119971</v>
      </c>
      <c r="S308" s="124"/>
      <c r="T308" s="124"/>
      <c r="U308" s="124"/>
      <c r="W308" s="124">
        <f t="shared" si="64"/>
        <v>150003884.77755851</v>
      </c>
      <c r="X308">
        <f t="shared" si="63"/>
        <v>0</v>
      </c>
    </row>
    <row r="309" spans="1:24">
      <c r="A309" s="23" t="s">
        <v>614</v>
      </c>
      <c r="B309" s="35" t="s">
        <v>300</v>
      </c>
      <c r="C309" s="125">
        <v>2981</v>
      </c>
      <c r="D309" s="132">
        <v>1025267086</v>
      </c>
      <c r="E309" s="116">
        <f t="shared" si="65"/>
        <v>343933.94364307279</v>
      </c>
      <c r="F309" s="134">
        <v>608049797</v>
      </c>
      <c r="G309" s="117">
        <f t="shared" si="66"/>
        <v>203975.10801744382</v>
      </c>
      <c r="H309" s="7"/>
      <c r="I309" s="136">
        <v>5.0999999999999996</v>
      </c>
      <c r="J309" s="134">
        <v>3101053.9646999999</v>
      </c>
      <c r="K309" s="120">
        <f t="shared" si="67"/>
        <v>1040.2730508889633</v>
      </c>
      <c r="L309" s="122">
        <f t="shared" si="55"/>
        <v>6080497.9699999997</v>
      </c>
      <c r="M309" s="116">
        <f t="shared" si="56"/>
        <v>2979444.0052999998</v>
      </c>
      <c r="N309" s="123">
        <f t="shared" si="57"/>
        <v>999.47802928547458</v>
      </c>
      <c r="O309" s="5"/>
      <c r="P309" s="5">
        <f t="shared" si="61"/>
        <v>1</v>
      </c>
      <c r="Q309" s="7">
        <f t="shared" si="62"/>
        <v>2981</v>
      </c>
      <c r="S309" s="124">
        <f>SUM(D271:D309)</f>
        <v>272956931553</v>
      </c>
      <c r="T309" s="124">
        <f>SUM(F271:F309)</f>
        <v>177242047346</v>
      </c>
      <c r="U309" s="124">
        <f>SUM(J271:J309)</f>
        <v>840427503.27508903</v>
      </c>
      <c r="W309" s="124">
        <f t="shared" si="64"/>
        <v>3101053.9646999999</v>
      </c>
      <c r="X309">
        <f t="shared" si="63"/>
        <v>0</v>
      </c>
    </row>
    <row r="310" spans="1:24">
      <c r="A310" s="23" t="s">
        <v>335</v>
      </c>
      <c r="B310" s="35" t="s">
        <v>336</v>
      </c>
      <c r="C310" s="125">
        <v>7779</v>
      </c>
      <c r="D310" s="132">
        <v>877046545</v>
      </c>
      <c r="E310" s="116">
        <f t="shared" si="65"/>
        <v>112745.41007841624</v>
      </c>
      <c r="F310" s="134">
        <v>431599428</v>
      </c>
      <c r="G310" s="117">
        <f t="shared" si="66"/>
        <v>55482.63632857694</v>
      </c>
      <c r="H310" s="7"/>
      <c r="I310" s="136">
        <v>7.14</v>
      </c>
      <c r="J310" s="134">
        <v>3081619.9159200001</v>
      </c>
      <c r="K310" s="120">
        <f t="shared" si="67"/>
        <v>396.14602338603936</v>
      </c>
      <c r="L310" s="122">
        <f t="shared" si="55"/>
        <v>4315994.28</v>
      </c>
      <c r="M310" s="116">
        <f t="shared" si="56"/>
        <v>1234374.3640800002</v>
      </c>
      <c r="N310" s="123">
        <f t="shared" si="57"/>
        <v>158.68033989973006</v>
      </c>
      <c r="O310" s="5"/>
      <c r="P310" s="5">
        <f t="shared" si="61"/>
        <v>1</v>
      </c>
      <c r="Q310" s="7">
        <f t="shared" si="62"/>
        <v>7779</v>
      </c>
      <c r="W310" s="124">
        <f t="shared" si="64"/>
        <v>3081619.9159200001</v>
      </c>
      <c r="X310">
        <f t="shared" si="63"/>
        <v>0</v>
      </c>
    </row>
    <row r="311" spans="1:24">
      <c r="A311" s="23" t="s">
        <v>337</v>
      </c>
      <c r="B311" s="35" t="s">
        <v>336</v>
      </c>
      <c r="C311" s="125">
        <v>17165</v>
      </c>
      <c r="D311" s="132">
        <v>1508625953</v>
      </c>
      <c r="E311" s="116">
        <f t="shared" si="65"/>
        <v>87889.656452082723</v>
      </c>
      <c r="F311" s="134">
        <v>849950152</v>
      </c>
      <c r="G311" s="117">
        <f t="shared" si="66"/>
        <v>49516.46676376347</v>
      </c>
      <c r="H311" s="7"/>
      <c r="I311" s="136">
        <v>8.4499999999999993</v>
      </c>
      <c r="J311" s="134">
        <v>7182078.7843999993</v>
      </c>
      <c r="K311" s="120">
        <f t="shared" si="67"/>
        <v>418.41414415380132</v>
      </c>
      <c r="L311" s="122">
        <f t="shared" si="55"/>
        <v>8499501.5199999996</v>
      </c>
      <c r="M311" s="116">
        <f t="shared" si="56"/>
        <v>1317422.7356000002</v>
      </c>
      <c r="N311" s="123">
        <f t="shared" si="57"/>
        <v>76.750523483833391</v>
      </c>
      <c r="O311" s="5"/>
      <c r="P311" s="5">
        <f t="shared" si="61"/>
        <v>1</v>
      </c>
      <c r="Q311" s="7">
        <f t="shared" si="62"/>
        <v>17165</v>
      </c>
      <c r="W311" s="124">
        <f t="shared" si="64"/>
        <v>7182078.7843999993</v>
      </c>
      <c r="X311">
        <f t="shared" si="63"/>
        <v>0</v>
      </c>
    </row>
    <row r="312" spans="1:24">
      <c r="A312" s="23" t="s">
        <v>338</v>
      </c>
      <c r="B312" s="35" t="s">
        <v>336</v>
      </c>
      <c r="C312" s="125">
        <v>3250</v>
      </c>
      <c r="D312" s="132">
        <v>530802509</v>
      </c>
      <c r="E312" s="116">
        <f t="shared" si="65"/>
        <v>163323.84892307693</v>
      </c>
      <c r="F312" s="134">
        <v>371350271</v>
      </c>
      <c r="G312" s="117">
        <f t="shared" si="66"/>
        <v>114261.62184615385</v>
      </c>
      <c r="H312" s="7"/>
      <c r="I312" s="136">
        <v>6.35</v>
      </c>
      <c r="J312" s="134">
        <v>2358074.2208499997</v>
      </c>
      <c r="K312" s="120">
        <f t="shared" si="67"/>
        <v>725.56129872307679</v>
      </c>
      <c r="L312" s="122">
        <f t="shared" si="55"/>
        <v>3713502.71</v>
      </c>
      <c r="M312" s="116">
        <f t="shared" si="56"/>
        <v>1355428.4891500003</v>
      </c>
      <c r="N312" s="123">
        <f t="shared" si="57"/>
        <v>417.05491973846165</v>
      </c>
      <c r="O312" s="5"/>
      <c r="P312" s="5">
        <f t="shared" si="61"/>
        <v>1</v>
      </c>
      <c r="Q312" s="7">
        <f t="shared" si="62"/>
        <v>3250</v>
      </c>
      <c r="W312" s="124">
        <f t="shared" si="64"/>
        <v>2358074.2208499997</v>
      </c>
      <c r="X312">
        <f t="shared" si="63"/>
        <v>0</v>
      </c>
    </row>
    <row r="313" spans="1:24">
      <c r="A313" s="24" t="s">
        <v>339</v>
      </c>
      <c r="B313" s="35" t="s">
        <v>336</v>
      </c>
      <c r="C313" s="125">
        <v>1304</v>
      </c>
      <c r="D313" s="132">
        <v>175426559</v>
      </c>
      <c r="E313" s="116">
        <f t="shared" si="65"/>
        <v>134529.56978527608</v>
      </c>
      <c r="F313" s="134">
        <v>93662000</v>
      </c>
      <c r="G313" s="117">
        <f t="shared" si="66"/>
        <v>71826.687116564412</v>
      </c>
      <c r="H313" s="7"/>
      <c r="I313" s="136">
        <v>4.0199999999999996</v>
      </c>
      <c r="J313" s="134">
        <v>376521.23999999993</v>
      </c>
      <c r="K313" s="120">
        <f t="shared" si="67"/>
        <v>288.74328220858888</v>
      </c>
      <c r="L313" s="122">
        <f t="shared" si="55"/>
        <v>936620</v>
      </c>
      <c r="M313" s="116">
        <f t="shared" si="56"/>
        <v>560098.76</v>
      </c>
      <c r="N313" s="123">
        <f t="shared" si="57"/>
        <v>429.52358895705521</v>
      </c>
      <c r="O313" s="5"/>
      <c r="P313" s="5">
        <f t="shared" si="61"/>
        <v>1</v>
      </c>
      <c r="Q313" s="7">
        <f t="shared" si="62"/>
        <v>1304</v>
      </c>
      <c r="W313" s="124">
        <f t="shared" si="64"/>
        <v>376521.23999999993</v>
      </c>
      <c r="X313">
        <f t="shared" si="63"/>
        <v>0</v>
      </c>
    </row>
    <row r="314" spans="1:24">
      <c r="A314" s="23" t="s">
        <v>547</v>
      </c>
      <c r="B314" s="35" t="s">
        <v>336</v>
      </c>
      <c r="C314" s="125">
        <v>2462</v>
      </c>
      <c r="D314" s="132">
        <v>79564228</v>
      </c>
      <c r="E314" s="116">
        <f t="shared" si="65"/>
        <v>32316.908204711617</v>
      </c>
      <c r="F314" s="134">
        <v>11705721</v>
      </c>
      <c r="G314" s="117">
        <f t="shared" si="66"/>
        <v>4754.5576766856211</v>
      </c>
      <c r="H314" s="7"/>
      <c r="I314" s="136">
        <v>0.7</v>
      </c>
      <c r="J314" s="134">
        <v>8194.0046999999995</v>
      </c>
      <c r="K314" s="120">
        <f t="shared" si="67"/>
        <v>3.3281903736799348</v>
      </c>
      <c r="L314" s="122">
        <f t="shared" si="55"/>
        <v>117057.21</v>
      </c>
      <c r="M314" s="116">
        <f t="shared" si="56"/>
        <v>108863.2053</v>
      </c>
      <c r="N314" s="123">
        <f t="shared" si="57"/>
        <v>44.217386393176277</v>
      </c>
      <c r="O314" s="5"/>
      <c r="P314" s="5">
        <f t="shared" si="61"/>
        <v>1</v>
      </c>
      <c r="Q314" s="7">
        <f t="shared" si="62"/>
        <v>2462</v>
      </c>
      <c r="S314" s="124"/>
      <c r="T314" s="124"/>
      <c r="U314" s="124"/>
      <c r="W314" s="124">
        <f t="shared" si="64"/>
        <v>8194.0046999999995</v>
      </c>
      <c r="X314">
        <f t="shared" si="63"/>
        <v>0</v>
      </c>
    </row>
    <row r="315" spans="1:24">
      <c r="A315" s="23" t="s">
        <v>340</v>
      </c>
      <c r="B315" s="35" t="s">
        <v>336</v>
      </c>
      <c r="C315" s="125">
        <v>18631</v>
      </c>
      <c r="D315" s="132">
        <v>1811625829</v>
      </c>
      <c r="E315" s="116">
        <f t="shared" si="65"/>
        <v>97237.176158016213</v>
      </c>
      <c r="F315" s="134">
        <v>1115113999</v>
      </c>
      <c r="G315" s="117">
        <f t="shared" si="66"/>
        <v>59852.611185658308</v>
      </c>
      <c r="H315" s="7"/>
      <c r="I315" s="136">
        <v>6.25</v>
      </c>
      <c r="J315" s="134">
        <v>6969462.4937500004</v>
      </c>
      <c r="K315" s="120">
        <f t="shared" si="67"/>
        <v>374.07881991036447</v>
      </c>
      <c r="L315" s="122">
        <f t="shared" si="55"/>
        <v>11151139.99</v>
      </c>
      <c r="M315" s="116">
        <f t="shared" si="56"/>
        <v>4181677.4962499999</v>
      </c>
      <c r="N315" s="123">
        <f t="shared" si="57"/>
        <v>224.44729194621866</v>
      </c>
      <c r="O315" s="5"/>
      <c r="P315" s="5">
        <f t="shared" si="61"/>
        <v>1</v>
      </c>
      <c r="Q315" s="7">
        <f t="shared" si="62"/>
        <v>18631</v>
      </c>
      <c r="S315" s="124">
        <f>SUM(D310:D315)</f>
        <v>4983091623</v>
      </c>
      <c r="T315" s="124">
        <f>SUM(F310:F315)</f>
        <v>2873381571</v>
      </c>
      <c r="U315" s="124">
        <f>SUM(J310:J315)</f>
        <v>19975950.659620002</v>
      </c>
      <c r="W315" s="124">
        <f t="shared" si="64"/>
        <v>6969462.4937500004</v>
      </c>
      <c r="X315">
        <f t="shared" si="63"/>
        <v>0</v>
      </c>
    </row>
    <row r="316" spans="1:24">
      <c r="A316" s="23" t="s">
        <v>341</v>
      </c>
      <c r="B316" s="35" t="s">
        <v>342</v>
      </c>
      <c r="C316" s="125">
        <v>4372</v>
      </c>
      <c r="D316" s="132">
        <v>1706487037</v>
      </c>
      <c r="E316" s="116">
        <f t="shared" si="65"/>
        <v>390321.82913998171</v>
      </c>
      <c r="F316" s="134">
        <v>1080700884</v>
      </c>
      <c r="G316" s="117">
        <f t="shared" si="66"/>
        <v>247186.84446477584</v>
      </c>
      <c r="H316" s="7"/>
      <c r="I316" s="136">
        <v>6.5</v>
      </c>
      <c r="J316" s="134">
        <v>7024555.7460000003</v>
      </c>
      <c r="K316" s="120">
        <f t="shared" si="67"/>
        <v>1606.7144890210432</v>
      </c>
      <c r="L316" s="122">
        <f t="shared" si="55"/>
        <v>10807008.84</v>
      </c>
      <c r="M316" s="116">
        <f t="shared" si="56"/>
        <v>3782453.0939999996</v>
      </c>
      <c r="N316" s="123">
        <f t="shared" si="57"/>
        <v>865.1539556267154</v>
      </c>
      <c r="O316" s="5"/>
      <c r="P316" s="5">
        <f t="shared" si="61"/>
        <v>1</v>
      </c>
      <c r="Q316" s="7">
        <f t="shared" si="62"/>
        <v>4372</v>
      </c>
      <c r="W316" s="124">
        <f t="shared" si="64"/>
        <v>7024555.7459999993</v>
      </c>
      <c r="X316">
        <f t="shared" si="63"/>
        <v>0</v>
      </c>
    </row>
    <row r="317" spans="1:24">
      <c r="A317" s="23" t="s">
        <v>343</v>
      </c>
      <c r="B317" s="35" t="s">
        <v>342</v>
      </c>
      <c r="C317" s="125">
        <v>1643</v>
      </c>
      <c r="D317" s="132">
        <v>1134660803</v>
      </c>
      <c r="E317" s="116">
        <f t="shared" si="65"/>
        <v>690603.04503956181</v>
      </c>
      <c r="F317" s="134">
        <v>730355053</v>
      </c>
      <c r="G317" s="117">
        <f t="shared" si="66"/>
        <v>444525.29093122337</v>
      </c>
      <c r="H317" s="7"/>
      <c r="I317" s="136">
        <v>2.0394000000000001</v>
      </c>
      <c r="J317" s="134">
        <v>1489486.0950882002</v>
      </c>
      <c r="K317" s="120">
        <f t="shared" si="67"/>
        <v>906.5648783251371</v>
      </c>
      <c r="L317" s="122">
        <f t="shared" si="55"/>
        <v>7303550.5300000003</v>
      </c>
      <c r="M317" s="116">
        <f t="shared" si="56"/>
        <v>5814064.4349118005</v>
      </c>
      <c r="N317" s="123">
        <f t="shared" si="57"/>
        <v>3538.6880309870971</v>
      </c>
      <c r="O317" s="5"/>
      <c r="P317" s="5">
        <f t="shared" si="61"/>
        <v>1</v>
      </c>
      <c r="Q317" s="7">
        <f t="shared" si="62"/>
        <v>1643</v>
      </c>
      <c r="W317" s="124">
        <f t="shared" si="64"/>
        <v>1489486.0950882002</v>
      </c>
      <c r="X317">
        <f t="shared" si="63"/>
        <v>0</v>
      </c>
    </row>
    <row r="318" spans="1:24">
      <c r="A318" s="23" t="s">
        <v>344</v>
      </c>
      <c r="B318" s="35" t="s">
        <v>342</v>
      </c>
      <c r="C318" s="125">
        <v>2332</v>
      </c>
      <c r="D318" s="132">
        <v>499505087</v>
      </c>
      <c r="E318" s="116">
        <f t="shared" si="65"/>
        <v>214196.006432247</v>
      </c>
      <c r="F318" s="134">
        <v>316776160</v>
      </c>
      <c r="G318" s="117">
        <f t="shared" si="66"/>
        <v>135838.83361921099</v>
      </c>
      <c r="H318" s="7"/>
      <c r="I318" s="136">
        <v>5.35</v>
      </c>
      <c r="J318" s="134">
        <v>1694752.456</v>
      </c>
      <c r="K318" s="120">
        <f t="shared" si="67"/>
        <v>726.73775986277872</v>
      </c>
      <c r="L318" s="122">
        <f t="shared" si="55"/>
        <v>3167761.6</v>
      </c>
      <c r="M318" s="116">
        <f t="shared" si="56"/>
        <v>1473009.1440000001</v>
      </c>
      <c r="N318" s="123">
        <f t="shared" si="57"/>
        <v>631.6505763293311</v>
      </c>
      <c r="O318" s="5"/>
      <c r="P318" s="5">
        <f t="shared" si="61"/>
        <v>1</v>
      </c>
      <c r="Q318" s="7">
        <f t="shared" si="62"/>
        <v>2332</v>
      </c>
      <c r="W318" s="124">
        <f t="shared" si="64"/>
        <v>1694752.456</v>
      </c>
      <c r="X318">
        <f t="shared" si="63"/>
        <v>0</v>
      </c>
    </row>
    <row r="319" spans="1:24">
      <c r="A319" s="23" t="s">
        <v>345</v>
      </c>
      <c r="B319" s="35" t="s">
        <v>342</v>
      </c>
      <c r="C319" s="125">
        <v>74</v>
      </c>
      <c r="D319" s="132">
        <v>301194688</v>
      </c>
      <c r="E319" s="116">
        <f t="shared" si="65"/>
        <v>4070198.4864864866</v>
      </c>
      <c r="F319" s="134">
        <v>213712137</v>
      </c>
      <c r="G319" s="117">
        <f t="shared" si="66"/>
        <v>2888001.8513513515</v>
      </c>
      <c r="H319" s="7"/>
      <c r="I319" s="136">
        <v>0.59589999999999999</v>
      </c>
      <c r="J319" s="134">
        <v>127351.0624383</v>
      </c>
      <c r="K319" s="120">
        <f t="shared" si="67"/>
        <v>1720.9603032202701</v>
      </c>
      <c r="L319" s="122">
        <f t="shared" si="55"/>
        <v>2137121.37</v>
      </c>
      <c r="M319" s="116">
        <f t="shared" si="56"/>
        <v>2009770.3075617002</v>
      </c>
      <c r="N319" s="123">
        <f t="shared" si="57"/>
        <v>27159.058210293246</v>
      </c>
      <c r="O319" s="5"/>
      <c r="P319" s="5">
        <f t="shared" si="61"/>
        <v>1</v>
      </c>
      <c r="Q319" s="7">
        <f t="shared" si="62"/>
        <v>74</v>
      </c>
      <c r="W319" s="124">
        <f t="shared" si="64"/>
        <v>127351.0624383</v>
      </c>
      <c r="X319">
        <f t="shared" si="63"/>
        <v>0</v>
      </c>
    </row>
    <row r="320" spans="1:24">
      <c r="A320" s="129" t="s">
        <v>346</v>
      </c>
      <c r="B320" s="130" t="s">
        <v>342</v>
      </c>
      <c r="C320" s="131">
        <v>119208</v>
      </c>
      <c r="D320" s="132">
        <v>24684146242</v>
      </c>
      <c r="E320" s="133">
        <f t="shared" si="65"/>
        <v>207067.86660291255</v>
      </c>
      <c r="F320" s="134">
        <v>15172390626</v>
      </c>
      <c r="G320" s="134">
        <f t="shared" si="66"/>
        <v>127276.61420374471</v>
      </c>
      <c r="H320" s="135"/>
      <c r="I320" s="136">
        <v>5.8849999999999998</v>
      </c>
      <c r="J320" s="134">
        <v>89289518.83400999</v>
      </c>
      <c r="K320" s="137">
        <f t="shared" si="67"/>
        <v>749.02287458903754</v>
      </c>
      <c r="L320" s="138">
        <f t="shared" si="55"/>
        <v>151723906.25999999</v>
      </c>
      <c r="M320" s="133">
        <f t="shared" si="56"/>
        <v>62434387.42599</v>
      </c>
      <c r="N320" s="139">
        <f t="shared" si="57"/>
        <v>523.74326744840948</v>
      </c>
      <c r="O320" s="5"/>
      <c r="P320" s="5">
        <f t="shared" si="61"/>
        <v>1</v>
      </c>
      <c r="Q320" s="7">
        <f t="shared" si="62"/>
        <v>119208</v>
      </c>
      <c r="W320" s="124">
        <f t="shared" si="64"/>
        <v>89289518.83400999</v>
      </c>
      <c r="X320">
        <f t="shared" si="63"/>
        <v>0</v>
      </c>
    </row>
    <row r="321" spans="1:24">
      <c r="A321" s="23" t="s">
        <v>347</v>
      </c>
      <c r="B321" s="35" t="s">
        <v>342</v>
      </c>
      <c r="C321" s="125">
        <v>36102</v>
      </c>
      <c r="D321" s="132">
        <v>6907609022</v>
      </c>
      <c r="E321" s="116">
        <f t="shared" si="65"/>
        <v>191335.90997728659</v>
      </c>
      <c r="F321" s="134">
        <v>3735562115</v>
      </c>
      <c r="G321" s="117">
        <f t="shared" si="66"/>
        <v>103472.44238546341</v>
      </c>
      <c r="H321" s="7"/>
      <c r="I321" s="136">
        <v>4.1345000000000001</v>
      </c>
      <c r="J321" s="134">
        <v>15444681.564467501</v>
      </c>
      <c r="K321" s="120">
        <f t="shared" si="67"/>
        <v>427.80681304269848</v>
      </c>
      <c r="L321" s="122">
        <f t="shared" si="55"/>
        <v>37355621.149999999</v>
      </c>
      <c r="M321" s="116">
        <f t="shared" si="56"/>
        <v>21910939.585532498</v>
      </c>
      <c r="N321" s="123">
        <f t="shared" si="57"/>
        <v>606.91761081193556</v>
      </c>
      <c r="O321" s="5"/>
      <c r="P321" s="5">
        <f t="shared" si="61"/>
        <v>1</v>
      </c>
      <c r="Q321" s="7">
        <f t="shared" si="62"/>
        <v>36102</v>
      </c>
      <c r="W321" s="124">
        <f t="shared" si="64"/>
        <v>15444681.564467501</v>
      </c>
      <c r="X321">
        <f t="shared" si="63"/>
        <v>0</v>
      </c>
    </row>
    <row r="322" spans="1:24">
      <c r="A322" s="23" t="s">
        <v>348</v>
      </c>
      <c r="B322" s="35" t="s">
        <v>342</v>
      </c>
      <c r="C322" s="125">
        <v>11801</v>
      </c>
      <c r="D322" s="132">
        <v>2473220236</v>
      </c>
      <c r="E322" s="116">
        <f t="shared" si="65"/>
        <v>209577.17447673925</v>
      </c>
      <c r="F322" s="134">
        <v>1373882315</v>
      </c>
      <c r="G322" s="117">
        <f t="shared" si="66"/>
        <v>116420.8384882637</v>
      </c>
      <c r="H322" s="7"/>
      <c r="I322" s="136">
        <v>4.0389999999999997</v>
      </c>
      <c r="J322" s="134">
        <v>5549110.6702849995</v>
      </c>
      <c r="K322" s="120">
        <f t="shared" si="67"/>
        <v>470.22376665409706</v>
      </c>
      <c r="L322" s="122">
        <f t="shared" si="55"/>
        <v>13738823.15</v>
      </c>
      <c r="M322" s="116">
        <f t="shared" si="56"/>
        <v>8189712.4797150008</v>
      </c>
      <c r="N322" s="123">
        <f t="shared" si="57"/>
        <v>693.98461822854006</v>
      </c>
      <c r="O322" s="5"/>
      <c r="P322" s="5">
        <f t="shared" si="61"/>
        <v>1</v>
      </c>
      <c r="Q322" s="7">
        <f t="shared" si="62"/>
        <v>11801</v>
      </c>
      <c r="W322" s="124">
        <f t="shared" si="64"/>
        <v>5549110.6702850005</v>
      </c>
      <c r="X322">
        <f t="shared" si="63"/>
        <v>0</v>
      </c>
    </row>
    <row r="323" spans="1:24">
      <c r="A323" s="23" t="s">
        <v>349</v>
      </c>
      <c r="B323" s="35" t="s">
        <v>342</v>
      </c>
      <c r="C323" s="125">
        <v>3719</v>
      </c>
      <c r="D323" s="132">
        <v>2494098583</v>
      </c>
      <c r="E323" s="116">
        <f t="shared" si="65"/>
        <v>670636.88706641574</v>
      </c>
      <c r="F323" s="134">
        <v>1664195068</v>
      </c>
      <c r="G323" s="117">
        <f t="shared" si="66"/>
        <v>447484.55713901587</v>
      </c>
      <c r="H323" s="98"/>
      <c r="I323" s="136">
        <v>1.8326</v>
      </c>
      <c r="J323" s="134">
        <v>3049803.8816167996</v>
      </c>
      <c r="K323" s="120">
        <f t="shared" si="67"/>
        <v>820.0601994129604</v>
      </c>
      <c r="L323" s="122">
        <f t="shared" si="55"/>
        <v>16641950.68</v>
      </c>
      <c r="M323" s="116">
        <f t="shared" si="56"/>
        <v>13592146.798383201</v>
      </c>
      <c r="N323" s="123">
        <f t="shared" si="57"/>
        <v>3654.7853719771983</v>
      </c>
      <c r="O323" s="5"/>
      <c r="P323" s="5">
        <f t="shared" si="61"/>
        <v>1</v>
      </c>
      <c r="Q323" s="7">
        <f t="shared" si="62"/>
        <v>3719</v>
      </c>
      <c r="W323" s="124">
        <f t="shared" si="64"/>
        <v>3049803.8816168001</v>
      </c>
      <c r="X323">
        <f t="shared" si="63"/>
        <v>0</v>
      </c>
    </row>
    <row r="324" spans="1:24">
      <c r="A324" s="23" t="s">
        <v>350</v>
      </c>
      <c r="B324" s="35" t="s">
        <v>342</v>
      </c>
      <c r="C324" s="125">
        <v>1207</v>
      </c>
      <c r="D324" s="132">
        <v>1803316537</v>
      </c>
      <c r="E324" s="116">
        <f t="shared" si="65"/>
        <v>1494048.4979287491</v>
      </c>
      <c r="F324" s="134">
        <v>1320276910</v>
      </c>
      <c r="G324" s="117">
        <f t="shared" si="66"/>
        <v>1093849.9668599835</v>
      </c>
      <c r="H324" s="7"/>
      <c r="I324" s="136">
        <v>1.87</v>
      </c>
      <c r="J324" s="134">
        <v>2468917.8217000002</v>
      </c>
      <c r="K324" s="120">
        <f t="shared" si="67"/>
        <v>2045.4994380281692</v>
      </c>
      <c r="L324" s="122">
        <f t="shared" si="55"/>
        <v>13202769.1</v>
      </c>
      <c r="M324" s="116">
        <f t="shared" si="56"/>
        <v>10733851.278299998</v>
      </c>
      <c r="N324" s="123">
        <f t="shared" si="57"/>
        <v>8893.0002305716644</v>
      </c>
      <c r="O324" s="5"/>
      <c r="P324" s="5">
        <f t="shared" si="61"/>
        <v>1</v>
      </c>
      <c r="Q324" s="7">
        <f t="shared" si="62"/>
        <v>1207</v>
      </c>
      <c r="W324" s="124">
        <f t="shared" si="64"/>
        <v>2468917.8217000002</v>
      </c>
      <c r="X324">
        <f t="shared" si="63"/>
        <v>0</v>
      </c>
    </row>
    <row r="325" spans="1:24">
      <c r="A325" s="23" t="s">
        <v>351</v>
      </c>
      <c r="B325" s="35" t="s">
        <v>342</v>
      </c>
      <c r="C325" s="125">
        <v>5053</v>
      </c>
      <c r="D325" s="132">
        <v>444626662</v>
      </c>
      <c r="E325" s="116">
        <f t="shared" si="65"/>
        <v>87992.610726301209</v>
      </c>
      <c r="F325" s="134">
        <v>240388934</v>
      </c>
      <c r="G325" s="117">
        <f t="shared" si="66"/>
        <v>47573.507619236094</v>
      </c>
      <c r="H325" s="7"/>
      <c r="I325" s="136">
        <v>5.4372999999999996</v>
      </c>
      <c r="J325" s="134">
        <v>1307066.7508381999</v>
      </c>
      <c r="K325" s="120">
        <f t="shared" si="67"/>
        <v>258.6714329780724</v>
      </c>
      <c r="L325" s="122">
        <f t="shared" si="55"/>
        <v>2403889.34</v>
      </c>
      <c r="M325" s="116">
        <f t="shared" si="56"/>
        <v>1096822.5891618</v>
      </c>
      <c r="N325" s="123">
        <f t="shared" si="57"/>
        <v>217.06364321428853</v>
      </c>
      <c r="O325" s="5"/>
      <c r="P325" s="5">
        <f t="shared" si="61"/>
        <v>1</v>
      </c>
      <c r="Q325" s="7">
        <f t="shared" si="62"/>
        <v>5053</v>
      </c>
      <c r="W325" s="124">
        <f t="shared" si="64"/>
        <v>1307066.7508382001</v>
      </c>
      <c r="X325">
        <f t="shared" si="63"/>
        <v>0</v>
      </c>
    </row>
    <row r="326" spans="1:24">
      <c r="A326" s="23" t="s">
        <v>352</v>
      </c>
      <c r="B326" s="35" t="s">
        <v>342</v>
      </c>
      <c r="C326" s="125">
        <v>84286</v>
      </c>
      <c r="D326" s="132">
        <v>10491523881</v>
      </c>
      <c r="E326" s="116">
        <f t="shared" si="65"/>
        <v>124475.28511259284</v>
      </c>
      <c r="F326" s="134">
        <v>6770967085</v>
      </c>
      <c r="G326" s="117">
        <f t="shared" si="66"/>
        <v>80333.23547208315</v>
      </c>
      <c r="H326" s="7"/>
      <c r="I326" s="136">
        <v>5.52</v>
      </c>
      <c r="J326" s="134">
        <v>37375738.309199996</v>
      </c>
      <c r="K326" s="120">
        <f t="shared" si="67"/>
        <v>443.43945980589893</v>
      </c>
      <c r="L326" s="122">
        <f t="shared" ref="L326:L389" si="68">(F326*0.01)</f>
        <v>67709670.849999994</v>
      </c>
      <c r="M326" s="116">
        <f t="shared" ref="M326:M389" si="69">(L326-J326)</f>
        <v>30333932.540799998</v>
      </c>
      <c r="N326" s="123">
        <f t="shared" ref="N326:N389" si="70">(M326/C326)</f>
        <v>359.89289491493247</v>
      </c>
      <c r="O326" s="5"/>
      <c r="P326" s="5">
        <f t="shared" si="61"/>
        <v>1</v>
      </c>
      <c r="Q326" s="7">
        <f t="shared" si="62"/>
        <v>84286</v>
      </c>
      <c r="W326" s="124">
        <f t="shared" si="64"/>
        <v>37375738.309199996</v>
      </c>
      <c r="X326">
        <f t="shared" si="63"/>
        <v>0</v>
      </c>
    </row>
    <row r="327" spans="1:24">
      <c r="A327" s="23" t="s">
        <v>353</v>
      </c>
      <c r="B327" s="35" t="s">
        <v>342</v>
      </c>
      <c r="C327" s="125">
        <v>3939</v>
      </c>
      <c r="D327" s="132">
        <v>2663897561</v>
      </c>
      <c r="E327" s="116">
        <f t="shared" si="65"/>
        <v>676287.77887788776</v>
      </c>
      <c r="F327" s="134">
        <v>1784805118</v>
      </c>
      <c r="G327" s="117">
        <f t="shared" si="66"/>
        <v>453111.22569179995</v>
      </c>
      <c r="H327" s="7"/>
      <c r="I327" s="136">
        <v>2.75</v>
      </c>
      <c r="J327" s="134">
        <v>4908214.0745000001</v>
      </c>
      <c r="K327" s="120">
        <f t="shared" si="67"/>
        <v>1246.0558706524498</v>
      </c>
      <c r="L327" s="122">
        <f t="shared" si="68"/>
        <v>17848051.18</v>
      </c>
      <c r="M327" s="116">
        <f t="shared" si="69"/>
        <v>12939837.1055</v>
      </c>
      <c r="N327" s="123">
        <f t="shared" si="70"/>
        <v>3285.0563862655495</v>
      </c>
      <c r="O327" s="5"/>
      <c r="P327" s="5">
        <f t="shared" si="61"/>
        <v>1</v>
      </c>
      <c r="Q327" s="7">
        <f t="shared" si="62"/>
        <v>3939</v>
      </c>
      <c r="W327" s="124">
        <f t="shared" si="64"/>
        <v>4908214.0745000001</v>
      </c>
      <c r="X327">
        <f t="shared" ref="X327:X390" si="71">IF(W327=J327,0,1)</f>
        <v>0</v>
      </c>
    </row>
    <row r="328" spans="1:24">
      <c r="A328" s="23" t="s">
        <v>354</v>
      </c>
      <c r="B328" s="35" t="s">
        <v>342</v>
      </c>
      <c r="C328" s="125">
        <v>1495</v>
      </c>
      <c r="D328" s="132">
        <v>1011432512</v>
      </c>
      <c r="E328" s="116">
        <f t="shared" si="65"/>
        <v>676543.48628762539</v>
      </c>
      <c r="F328" s="134">
        <v>681973055</v>
      </c>
      <c r="G328" s="117">
        <f t="shared" si="66"/>
        <v>456169.2675585284</v>
      </c>
      <c r="H328" s="7"/>
      <c r="I328" s="136">
        <v>1</v>
      </c>
      <c r="J328" s="134">
        <v>681973.05500000005</v>
      </c>
      <c r="K328" s="120">
        <f t="shared" si="67"/>
        <v>456.16926755852847</v>
      </c>
      <c r="L328" s="122">
        <f t="shared" si="68"/>
        <v>6819730.5499999998</v>
      </c>
      <c r="M328" s="116">
        <f t="shared" si="69"/>
        <v>6137757.4950000001</v>
      </c>
      <c r="N328" s="123">
        <f t="shared" si="70"/>
        <v>4105.5234080267555</v>
      </c>
      <c r="O328" s="5"/>
      <c r="P328" s="5">
        <f t="shared" ref="P328:P391" si="72">IF(I328&gt;0,1,0)</f>
        <v>1</v>
      </c>
      <c r="Q328" s="7">
        <f t="shared" ref="Q328:Q391" si="73">IF(I328&gt;0,C328,0)</f>
        <v>1495</v>
      </c>
      <c r="W328" s="124">
        <f t="shared" ref="W328:W391" si="74">F328*(I328/1000)</f>
        <v>681973.05500000005</v>
      </c>
      <c r="X328">
        <f t="shared" si="71"/>
        <v>0</v>
      </c>
    </row>
    <row r="329" spans="1:24">
      <c r="A329" s="23" t="s">
        <v>355</v>
      </c>
      <c r="B329" s="35" t="s">
        <v>342</v>
      </c>
      <c r="C329" s="125">
        <v>14924</v>
      </c>
      <c r="D329" s="132">
        <v>2804506213</v>
      </c>
      <c r="E329" s="116">
        <f t="shared" si="65"/>
        <v>187919.20483784509</v>
      </c>
      <c r="F329" s="134">
        <v>1836521287</v>
      </c>
      <c r="G329" s="117">
        <f t="shared" si="66"/>
        <v>123058.24758777808</v>
      </c>
      <c r="H329" s="7"/>
      <c r="I329" s="136">
        <v>4.05</v>
      </c>
      <c r="J329" s="134">
        <v>7437911.2123499997</v>
      </c>
      <c r="K329" s="120">
        <f t="shared" si="67"/>
        <v>498.38590273050119</v>
      </c>
      <c r="L329" s="122">
        <f t="shared" si="68"/>
        <v>18365212.870000001</v>
      </c>
      <c r="M329" s="116">
        <f t="shared" si="69"/>
        <v>10927301.657650001</v>
      </c>
      <c r="N329" s="123">
        <f t="shared" si="70"/>
        <v>732.19657314727965</v>
      </c>
      <c r="O329" s="5"/>
      <c r="P329" s="5">
        <f t="shared" si="72"/>
        <v>1</v>
      </c>
      <c r="Q329" s="7">
        <f t="shared" si="73"/>
        <v>14924</v>
      </c>
      <c r="W329" s="124">
        <f t="shared" si="74"/>
        <v>7437911.2123499997</v>
      </c>
      <c r="X329">
        <f t="shared" si="71"/>
        <v>0</v>
      </c>
    </row>
    <row r="330" spans="1:24">
      <c r="A330" s="23" t="s">
        <v>356</v>
      </c>
      <c r="B330" s="35" t="s">
        <v>342</v>
      </c>
      <c r="C330" s="125">
        <v>55092</v>
      </c>
      <c r="D330" s="132">
        <v>7614476617</v>
      </c>
      <c r="E330" s="116">
        <f t="shared" si="65"/>
        <v>138213.83534814493</v>
      </c>
      <c r="F330" s="134">
        <v>5015583823</v>
      </c>
      <c r="G330" s="117">
        <f t="shared" si="66"/>
        <v>91040.147807304151</v>
      </c>
      <c r="H330" s="7"/>
      <c r="I330" s="136">
        <v>5.65</v>
      </c>
      <c r="J330" s="134">
        <v>28338048.599950001</v>
      </c>
      <c r="K330" s="120">
        <f t="shared" si="67"/>
        <v>514.37683511126841</v>
      </c>
      <c r="L330" s="122">
        <f t="shared" si="68"/>
        <v>50155838.230000004</v>
      </c>
      <c r="M330" s="116">
        <f t="shared" si="69"/>
        <v>21817789.630050004</v>
      </c>
      <c r="N330" s="123">
        <f t="shared" si="70"/>
        <v>396.02464296177311</v>
      </c>
      <c r="O330" s="5"/>
      <c r="P330" s="5">
        <f t="shared" si="72"/>
        <v>1</v>
      </c>
      <c r="Q330" s="7">
        <f t="shared" si="73"/>
        <v>55092</v>
      </c>
      <c r="W330" s="124">
        <f t="shared" si="74"/>
        <v>28338048.599950004</v>
      </c>
      <c r="X330">
        <f t="shared" si="71"/>
        <v>0</v>
      </c>
    </row>
    <row r="331" spans="1:24">
      <c r="A331" s="23" t="s">
        <v>357</v>
      </c>
      <c r="B331" s="35" t="s">
        <v>342</v>
      </c>
      <c r="C331" s="125">
        <v>1375</v>
      </c>
      <c r="D331" s="132">
        <v>1053525810</v>
      </c>
      <c r="E331" s="116">
        <f t="shared" si="65"/>
        <v>766200.58909090911</v>
      </c>
      <c r="F331" s="134">
        <v>671370257</v>
      </c>
      <c r="G331" s="117">
        <f t="shared" si="66"/>
        <v>488269.27781818184</v>
      </c>
      <c r="H331" s="7"/>
      <c r="I331" s="136">
        <v>1.8149</v>
      </c>
      <c r="J331" s="134">
        <v>1218469.8794293001</v>
      </c>
      <c r="K331" s="120">
        <f t="shared" si="67"/>
        <v>886.15991231221824</v>
      </c>
      <c r="L331" s="122">
        <f t="shared" si="68"/>
        <v>6713702.5700000003</v>
      </c>
      <c r="M331" s="116">
        <f t="shared" si="69"/>
        <v>5495232.6905707</v>
      </c>
      <c r="N331" s="123">
        <f t="shared" si="70"/>
        <v>3996.5328658695998</v>
      </c>
      <c r="O331" s="5"/>
      <c r="P331" s="5">
        <f t="shared" si="72"/>
        <v>1</v>
      </c>
      <c r="Q331" s="7">
        <f t="shared" si="73"/>
        <v>1375</v>
      </c>
      <c r="W331" s="124">
        <f t="shared" si="74"/>
        <v>1218469.8794292999</v>
      </c>
      <c r="X331">
        <f t="shared" si="71"/>
        <v>0</v>
      </c>
    </row>
    <row r="332" spans="1:24">
      <c r="A332" s="23" t="s">
        <v>358</v>
      </c>
      <c r="B332" s="35" t="s">
        <v>342</v>
      </c>
      <c r="C332" s="125">
        <v>2181</v>
      </c>
      <c r="D332" s="132">
        <v>1406699477</v>
      </c>
      <c r="E332" s="116">
        <f t="shared" si="65"/>
        <v>644979.1274644658</v>
      </c>
      <c r="F332" s="134">
        <v>953544975</v>
      </c>
      <c r="G332" s="117">
        <f t="shared" si="66"/>
        <v>437205.39889958734</v>
      </c>
      <c r="H332" s="7"/>
      <c r="I332" s="136">
        <v>1.6896</v>
      </c>
      <c r="J332" s="134">
        <v>1611109.5897599999</v>
      </c>
      <c r="K332" s="120">
        <f t="shared" si="67"/>
        <v>738.70224198074277</v>
      </c>
      <c r="L332" s="122">
        <f t="shared" si="68"/>
        <v>9535449.75</v>
      </c>
      <c r="M332" s="116">
        <f t="shared" si="69"/>
        <v>7924340.1602400001</v>
      </c>
      <c r="N332" s="123">
        <f t="shared" si="70"/>
        <v>3633.3517470151305</v>
      </c>
      <c r="O332" s="5"/>
      <c r="P332" s="5">
        <f t="shared" si="72"/>
        <v>1</v>
      </c>
      <c r="Q332" s="7">
        <f t="shared" si="73"/>
        <v>2181</v>
      </c>
      <c r="W332" s="124">
        <f t="shared" si="74"/>
        <v>1611109.5897600001</v>
      </c>
      <c r="X332">
        <f t="shared" si="71"/>
        <v>0</v>
      </c>
    </row>
    <row r="333" spans="1:24">
      <c r="A333" s="23" t="s">
        <v>359</v>
      </c>
      <c r="B333" s="35" t="s">
        <v>342</v>
      </c>
      <c r="C333" s="125">
        <v>17039</v>
      </c>
      <c r="D333" s="132">
        <v>3454855305</v>
      </c>
      <c r="E333" s="116">
        <f t="shared" si="65"/>
        <v>202761.62362814718</v>
      </c>
      <c r="F333" s="134">
        <v>1756112012</v>
      </c>
      <c r="G333" s="117">
        <f t="shared" si="66"/>
        <v>103064.26503902811</v>
      </c>
      <c r="H333" s="7"/>
      <c r="I333" s="136">
        <v>3.95</v>
      </c>
      <c r="J333" s="134">
        <v>6936642.4474000009</v>
      </c>
      <c r="K333" s="120">
        <f t="shared" si="67"/>
        <v>407.10384690416112</v>
      </c>
      <c r="L333" s="122">
        <f t="shared" si="68"/>
        <v>17561120.120000001</v>
      </c>
      <c r="M333" s="116">
        <f t="shared" si="69"/>
        <v>10624477.672600001</v>
      </c>
      <c r="N333" s="123">
        <f t="shared" si="70"/>
        <v>623.53880348612017</v>
      </c>
      <c r="O333" s="5"/>
      <c r="P333" s="5">
        <f t="shared" si="72"/>
        <v>1</v>
      </c>
      <c r="Q333" s="7">
        <f t="shared" si="73"/>
        <v>17039</v>
      </c>
      <c r="W333" s="124">
        <f t="shared" si="74"/>
        <v>6936642.4474000009</v>
      </c>
      <c r="X333">
        <f t="shared" si="71"/>
        <v>0</v>
      </c>
    </row>
    <row r="334" spans="1:24">
      <c r="A334" s="23" t="s">
        <v>360</v>
      </c>
      <c r="B334" s="35" t="s">
        <v>342</v>
      </c>
      <c r="C334" s="125">
        <v>19476</v>
      </c>
      <c r="D334" s="132">
        <v>3286116320</v>
      </c>
      <c r="E334" s="116">
        <f t="shared" si="65"/>
        <v>168726.44896282605</v>
      </c>
      <c r="F334" s="134">
        <v>1985866153</v>
      </c>
      <c r="G334" s="117">
        <f t="shared" si="66"/>
        <v>101964.78501745738</v>
      </c>
      <c r="H334" s="7"/>
      <c r="I334" s="136">
        <v>2.4792999999999998</v>
      </c>
      <c r="J334" s="134">
        <v>4923557.9531328995</v>
      </c>
      <c r="K334" s="120">
        <f t="shared" si="67"/>
        <v>252.80129149378206</v>
      </c>
      <c r="L334" s="122">
        <f t="shared" si="68"/>
        <v>19858661.530000001</v>
      </c>
      <c r="M334" s="116">
        <f t="shared" si="69"/>
        <v>14935103.576867102</v>
      </c>
      <c r="N334" s="123">
        <f t="shared" si="70"/>
        <v>766.84655868079187</v>
      </c>
      <c r="O334" s="5"/>
      <c r="P334" s="5">
        <f t="shared" si="72"/>
        <v>1</v>
      </c>
      <c r="Q334" s="7">
        <f t="shared" si="73"/>
        <v>19476</v>
      </c>
      <c r="W334" s="124">
        <f t="shared" si="74"/>
        <v>4923557.9531328995</v>
      </c>
      <c r="X334">
        <f t="shared" si="71"/>
        <v>0</v>
      </c>
    </row>
    <row r="335" spans="1:24">
      <c r="A335" s="24" t="s">
        <v>361</v>
      </c>
      <c r="B335" s="35" t="s">
        <v>342</v>
      </c>
      <c r="C335" s="125">
        <v>5417</v>
      </c>
      <c r="D335" s="132">
        <v>1210947020</v>
      </c>
      <c r="E335" s="116">
        <f t="shared" si="65"/>
        <v>223545.6931881115</v>
      </c>
      <c r="F335" s="134">
        <v>815362497</v>
      </c>
      <c r="G335" s="117">
        <f t="shared" si="66"/>
        <v>150519.19826472216</v>
      </c>
      <c r="H335" s="7"/>
      <c r="I335" s="136">
        <v>4.9649999999999999</v>
      </c>
      <c r="J335" s="134">
        <v>4048274.797605</v>
      </c>
      <c r="K335" s="120">
        <f t="shared" si="67"/>
        <v>747.32781938434562</v>
      </c>
      <c r="L335" s="122">
        <f t="shared" si="68"/>
        <v>8153624.9699999997</v>
      </c>
      <c r="M335" s="116">
        <f t="shared" si="69"/>
        <v>4105350.1723949998</v>
      </c>
      <c r="N335" s="123">
        <f t="shared" si="70"/>
        <v>757.8641632628761</v>
      </c>
      <c r="O335" s="5"/>
      <c r="P335" s="5">
        <f t="shared" si="72"/>
        <v>1</v>
      </c>
      <c r="Q335" s="7">
        <f t="shared" si="73"/>
        <v>5417</v>
      </c>
      <c r="W335" s="124">
        <f t="shared" si="74"/>
        <v>4048274.797605</v>
      </c>
      <c r="X335">
        <f t="shared" si="71"/>
        <v>0</v>
      </c>
    </row>
    <row r="336" spans="1:24">
      <c r="A336" s="24" t="s">
        <v>561</v>
      </c>
      <c r="B336" s="35" t="s">
        <v>342</v>
      </c>
      <c r="C336" s="125">
        <v>8878</v>
      </c>
      <c r="D336" s="132">
        <v>6133246896</v>
      </c>
      <c r="E336" s="116">
        <f t="shared" si="65"/>
        <v>690836.55057445366</v>
      </c>
      <c r="F336" s="134">
        <v>4126510997</v>
      </c>
      <c r="G336" s="117">
        <f t="shared" si="66"/>
        <v>464801.86945257941</v>
      </c>
      <c r="H336" s="7"/>
      <c r="I336" s="136">
        <v>3.15</v>
      </c>
      <c r="J336" s="134">
        <v>12998509.640549999</v>
      </c>
      <c r="K336" s="120">
        <f t="shared" si="67"/>
        <v>1464.1258887756251</v>
      </c>
      <c r="L336" s="122">
        <f t="shared" si="68"/>
        <v>41265109.969999999</v>
      </c>
      <c r="M336" s="116">
        <f t="shared" si="69"/>
        <v>28266600.32945</v>
      </c>
      <c r="N336" s="123">
        <f t="shared" si="70"/>
        <v>3183.8928057501689</v>
      </c>
      <c r="O336" s="5"/>
      <c r="P336" s="5">
        <f t="shared" si="72"/>
        <v>1</v>
      </c>
      <c r="Q336" s="7">
        <f t="shared" si="73"/>
        <v>8878</v>
      </c>
      <c r="W336" s="124">
        <f t="shared" si="74"/>
        <v>12998509.640550001</v>
      </c>
      <c r="X336">
        <f t="shared" si="71"/>
        <v>0</v>
      </c>
    </row>
    <row r="337" spans="1:24">
      <c r="A337" s="23" t="s">
        <v>548</v>
      </c>
      <c r="B337" s="35" t="s">
        <v>342</v>
      </c>
      <c r="C337" s="125">
        <v>264220</v>
      </c>
      <c r="D337" s="132">
        <v>50230591670</v>
      </c>
      <c r="E337" s="116">
        <f t="shared" si="65"/>
        <v>190108.96854893648</v>
      </c>
      <c r="F337" s="134">
        <v>28351385274</v>
      </c>
      <c r="G337" s="117">
        <f t="shared" si="66"/>
        <v>107302.19239270304</v>
      </c>
      <c r="H337" s="7"/>
      <c r="I337" s="136">
        <v>6.5250000000000004</v>
      </c>
      <c r="J337" s="134">
        <v>184992788.91284999</v>
      </c>
      <c r="K337" s="120">
        <f t="shared" si="67"/>
        <v>700.14680536238734</v>
      </c>
      <c r="L337" s="122">
        <f t="shared" si="68"/>
        <v>283513852.74000001</v>
      </c>
      <c r="M337" s="116">
        <f t="shared" si="69"/>
        <v>98521063.827150017</v>
      </c>
      <c r="N337" s="123">
        <f t="shared" si="70"/>
        <v>372.87511856464317</v>
      </c>
      <c r="O337" s="5"/>
      <c r="P337" s="5">
        <f t="shared" si="72"/>
        <v>1</v>
      </c>
      <c r="Q337" s="7">
        <f t="shared" si="73"/>
        <v>264220</v>
      </c>
      <c r="W337" s="124">
        <f t="shared" si="74"/>
        <v>184992788.91285002</v>
      </c>
      <c r="X337">
        <f t="shared" si="71"/>
        <v>0</v>
      </c>
    </row>
    <row r="338" spans="1:24">
      <c r="A338" s="23" t="s">
        <v>362</v>
      </c>
      <c r="B338" s="35" t="s">
        <v>342</v>
      </c>
      <c r="C338" s="125">
        <v>25752</v>
      </c>
      <c r="D338" s="132">
        <v>4414241747</v>
      </c>
      <c r="E338" s="116">
        <f t="shared" si="65"/>
        <v>171413.55028735631</v>
      </c>
      <c r="F338" s="134">
        <v>2485141329</v>
      </c>
      <c r="G338" s="117">
        <f t="shared" si="66"/>
        <v>96502.847506989754</v>
      </c>
      <c r="H338" s="7"/>
      <c r="I338" s="136">
        <v>5.37</v>
      </c>
      <c r="J338" s="134">
        <v>13345208.936729999</v>
      </c>
      <c r="K338" s="120">
        <f t="shared" si="67"/>
        <v>518.22029111253494</v>
      </c>
      <c r="L338" s="122">
        <f t="shared" si="68"/>
        <v>24851413.289999999</v>
      </c>
      <c r="M338" s="116">
        <f t="shared" si="69"/>
        <v>11506204.35327</v>
      </c>
      <c r="N338" s="123">
        <f t="shared" si="70"/>
        <v>446.80818395736253</v>
      </c>
      <c r="O338" s="5"/>
      <c r="P338" s="5">
        <f t="shared" si="72"/>
        <v>1</v>
      </c>
      <c r="Q338" s="7">
        <f t="shared" si="73"/>
        <v>25752</v>
      </c>
      <c r="S338" s="124"/>
      <c r="T338" s="124"/>
      <c r="U338" s="124"/>
      <c r="W338" s="124">
        <f t="shared" si="74"/>
        <v>13345208.936729999</v>
      </c>
      <c r="X338">
        <f t="shared" si="71"/>
        <v>0</v>
      </c>
    </row>
    <row r="339" spans="1:24">
      <c r="A339" s="23" t="s">
        <v>363</v>
      </c>
      <c r="B339" s="35" t="s">
        <v>342</v>
      </c>
      <c r="C339" s="125">
        <v>6586</v>
      </c>
      <c r="D339" s="132">
        <v>3880648346</v>
      </c>
      <c r="E339" s="116">
        <f t="shared" si="65"/>
        <v>589226.89735803218</v>
      </c>
      <c r="F339" s="134">
        <v>2554391138</v>
      </c>
      <c r="G339" s="117">
        <f t="shared" si="66"/>
        <v>387851.67597935011</v>
      </c>
      <c r="H339" s="7"/>
      <c r="I339" s="136">
        <v>3.8129</v>
      </c>
      <c r="J339" s="134">
        <v>9739637.9700802006</v>
      </c>
      <c r="K339" s="120">
        <f t="shared" si="67"/>
        <v>1478.8396553416642</v>
      </c>
      <c r="L339" s="122">
        <f t="shared" si="68"/>
        <v>25543911.379999999</v>
      </c>
      <c r="M339" s="116">
        <f t="shared" si="69"/>
        <v>15804273.409919798</v>
      </c>
      <c r="N339" s="123">
        <f t="shared" si="70"/>
        <v>2399.6771044518368</v>
      </c>
      <c r="O339" s="5"/>
      <c r="P339" s="5">
        <f t="shared" si="72"/>
        <v>1</v>
      </c>
      <c r="Q339" s="7">
        <f t="shared" si="73"/>
        <v>6586</v>
      </c>
      <c r="S339" s="124">
        <f>SUM(D316:D339)</f>
        <v>142105574272</v>
      </c>
      <c r="T339" s="124">
        <f>SUM(F316:F339)</f>
        <v>85637775202</v>
      </c>
      <c r="U339" s="124">
        <f>SUM(J316:J339)</f>
        <v>446001330.26098144</v>
      </c>
      <c r="W339" s="124">
        <f t="shared" si="74"/>
        <v>9739637.9700802006</v>
      </c>
      <c r="X339">
        <f t="shared" si="71"/>
        <v>0</v>
      </c>
    </row>
    <row r="340" spans="1:24">
      <c r="A340" s="23" t="s">
        <v>364</v>
      </c>
      <c r="B340" s="35" t="s">
        <v>365</v>
      </c>
      <c r="C340" s="125">
        <v>17453</v>
      </c>
      <c r="D340" s="132">
        <v>2788500537</v>
      </c>
      <c r="E340" s="116">
        <f t="shared" si="65"/>
        <v>159771.98974388358</v>
      </c>
      <c r="F340" s="134">
        <v>1938079196</v>
      </c>
      <c r="G340" s="117">
        <f t="shared" si="66"/>
        <v>111045.61943505415</v>
      </c>
      <c r="H340" s="7"/>
      <c r="I340" s="136">
        <v>4.2515000000000001</v>
      </c>
      <c r="J340" s="134">
        <v>8239743.7017939994</v>
      </c>
      <c r="K340" s="120">
        <f t="shared" si="67"/>
        <v>472.11045102813267</v>
      </c>
      <c r="L340" s="122">
        <f t="shared" si="68"/>
        <v>19380791.960000001</v>
      </c>
      <c r="M340" s="116">
        <f t="shared" si="69"/>
        <v>11141048.258206002</v>
      </c>
      <c r="N340" s="123">
        <f t="shared" si="70"/>
        <v>638.34574332240891</v>
      </c>
      <c r="O340" s="5"/>
      <c r="P340" s="5">
        <f t="shared" si="72"/>
        <v>1</v>
      </c>
      <c r="Q340" s="7">
        <f t="shared" si="73"/>
        <v>17453</v>
      </c>
      <c r="W340" s="124">
        <f t="shared" si="74"/>
        <v>8239743.7017940003</v>
      </c>
      <c r="X340">
        <f t="shared" si="71"/>
        <v>0</v>
      </c>
    </row>
    <row r="341" spans="1:24">
      <c r="A341" s="23" t="s">
        <v>366</v>
      </c>
      <c r="B341" s="35" t="s">
        <v>365</v>
      </c>
      <c r="C341" s="125">
        <v>19653</v>
      </c>
      <c r="D341" s="132">
        <v>2040785351</v>
      </c>
      <c r="E341" s="116">
        <f t="shared" si="65"/>
        <v>103840.90729150765</v>
      </c>
      <c r="F341" s="134">
        <v>958218156</v>
      </c>
      <c r="G341" s="117">
        <f t="shared" si="66"/>
        <v>48756.838955884596</v>
      </c>
      <c r="H341" s="7"/>
      <c r="I341" s="136">
        <v>4.6079999999999997</v>
      </c>
      <c r="J341" s="134">
        <v>4415469.2628479991</v>
      </c>
      <c r="K341" s="120">
        <f t="shared" si="67"/>
        <v>224.67151390871618</v>
      </c>
      <c r="L341" s="122">
        <f t="shared" si="68"/>
        <v>9582181.5600000005</v>
      </c>
      <c r="M341" s="116">
        <f t="shared" si="69"/>
        <v>5166712.2971520014</v>
      </c>
      <c r="N341" s="123">
        <f t="shared" si="70"/>
        <v>262.8968756501298</v>
      </c>
      <c r="O341" s="5"/>
      <c r="P341" s="5">
        <f t="shared" si="72"/>
        <v>1</v>
      </c>
      <c r="Q341" s="7">
        <f t="shared" si="73"/>
        <v>19653</v>
      </c>
      <c r="W341" s="124">
        <f t="shared" si="74"/>
        <v>4415469.2628479991</v>
      </c>
      <c r="X341">
        <f t="shared" si="71"/>
        <v>0</v>
      </c>
    </row>
    <row r="342" spans="1:24">
      <c r="A342" s="23" t="s">
        <v>367</v>
      </c>
      <c r="B342" s="35" t="s">
        <v>365</v>
      </c>
      <c r="C342" s="125">
        <v>10824</v>
      </c>
      <c r="D342" s="132">
        <v>1148241639</v>
      </c>
      <c r="E342" s="116">
        <f t="shared" si="65"/>
        <v>106082.93043237251</v>
      </c>
      <c r="F342" s="134">
        <v>763228810</v>
      </c>
      <c r="G342" s="117">
        <f t="shared" si="66"/>
        <v>70512.639504804145</v>
      </c>
      <c r="H342" s="9"/>
      <c r="I342" s="136">
        <v>7.5</v>
      </c>
      <c r="J342" s="134">
        <v>5724216.0750000002</v>
      </c>
      <c r="K342" s="120">
        <f t="shared" si="67"/>
        <v>528.84479628603106</v>
      </c>
      <c r="L342" s="122">
        <f t="shared" si="68"/>
        <v>7632288.1000000006</v>
      </c>
      <c r="M342" s="116">
        <f t="shared" si="69"/>
        <v>1908072.0250000004</v>
      </c>
      <c r="N342" s="123">
        <f t="shared" si="70"/>
        <v>176.28159876201039</v>
      </c>
      <c r="O342" s="5"/>
      <c r="P342" s="5">
        <f t="shared" si="72"/>
        <v>1</v>
      </c>
      <c r="Q342" s="7">
        <f t="shared" si="73"/>
        <v>10824</v>
      </c>
      <c r="W342" s="124">
        <f t="shared" si="74"/>
        <v>5724216.0750000002</v>
      </c>
      <c r="X342">
        <f t="shared" si="71"/>
        <v>0</v>
      </c>
    </row>
    <row r="343" spans="1:24">
      <c r="A343" s="23" t="s">
        <v>368</v>
      </c>
      <c r="B343" s="35" t="s">
        <v>365</v>
      </c>
      <c r="C343" s="125">
        <v>5575</v>
      </c>
      <c r="D343" s="132">
        <v>571558347</v>
      </c>
      <c r="E343" s="116">
        <f t="shared" ref="E343:E388" si="75">(D343/C343)</f>
        <v>102521.67659192825</v>
      </c>
      <c r="F343" s="134">
        <v>316082079</v>
      </c>
      <c r="G343" s="117">
        <f t="shared" ref="G343:G388" si="76">(F343/C343)</f>
        <v>56696.337040358747</v>
      </c>
      <c r="H343" s="7"/>
      <c r="I343" s="136">
        <v>7.9</v>
      </c>
      <c r="J343" s="134">
        <v>2497048.4240999999</v>
      </c>
      <c r="K343" s="120">
        <f t="shared" ref="K343:K388" si="77">(J343/C343)</f>
        <v>447.90106261883409</v>
      </c>
      <c r="L343" s="122">
        <f t="shared" si="68"/>
        <v>3160820.79</v>
      </c>
      <c r="M343" s="116">
        <f t="shared" si="69"/>
        <v>663772.36590000009</v>
      </c>
      <c r="N343" s="123">
        <f t="shared" si="70"/>
        <v>119.06230778475339</v>
      </c>
      <c r="O343" s="5"/>
      <c r="P343" s="5">
        <f t="shared" si="72"/>
        <v>1</v>
      </c>
      <c r="Q343" s="7">
        <f t="shared" si="73"/>
        <v>5575</v>
      </c>
      <c r="W343" s="124">
        <f t="shared" si="74"/>
        <v>2497048.4241000004</v>
      </c>
      <c r="X343">
        <f t="shared" si="71"/>
        <v>0</v>
      </c>
    </row>
    <row r="344" spans="1:24">
      <c r="A344" s="23" t="s">
        <v>369</v>
      </c>
      <c r="B344" s="35" t="s">
        <v>365</v>
      </c>
      <c r="C344" s="125">
        <v>3391</v>
      </c>
      <c r="D344" s="132">
        <v>318935317</v>
      </c>
      <c r="E344" s="116">
        <f t="shared" si="75"/>
        <v>94053.470067826594</v>
      </c>
      <c r="F344" s="134">
        <v>173162029</v>
      </c>
      <c r="G344" s="117">
        <f t="shared" si="76"/>
        <v>51065.181067531703</v>
      </c>
      <c r="H344" s="7"/>
      <c r="I344" s="136">
        <v>7.6516000000000002</v>
      </c>
      <c r="J344" s="134">
        <v>1324966.5810964</v>
      </c>
      <c r="K344" s="120">
        <f t="shared" si="77"/>
        <v>390.73033945632557</v>
      </c>
      <c r="L344" s="122">
        <f t="shared" si="68"/>
        <v>1731620.29</v>
      </c>
      <c r="M344" s="116">
        <f t="shared" si="69"/>
        <v>406653.7089036</v>
      </c>
      <c r="N344" s="123">
        <f t="shared" si="70"/>
        <v>119.92147121899144</v>
      </c>
      <c r="O344" s="5"/>
      <c r="P344" s="5">
        <f t="shared" si="72"/>
        <v>1</v>
      </c>
      <c r="Q344" s="7">
        <f t="shared" si="73"/>
        <v>3391</v>
      </c>
      <c r="W344" s="124">
        <f t="shared" si="74"/>
        <v>1324966.5810964</v>
      </c>
      <c r="X344">
        <f t="shared" si="71"/>
        <v>0</v>
      </c>
    </row>
    <row r="345" spans="1:24">
      <c r="A345" s="23" t="s">
        <v>370</v>
      </c>
      <c r="B345" s="35" t="s">
        <v>365</v>
      </c>
      <c r="C345" s="125">
        <v>5173</v>
      </c>
      <c r="D345" s="132">
        <v>375258095</v>
      </c>
      <c r="E345" s="116">
        <f t="shared" si="75"/>
        <v>72541.67697660932</v>
      </c>
      <c r="F345" s="134">
        <v>168294191</v>
      </c>
      <c r="G345" s="117">
        <f t="shared" si="76"/>
        <v>32533.189831819062</v>
      </c>
      <c r="H345" s="7"/>
      <c r="I345" s="150">
        <v>8</v>
      </c>
      <c r="J345" s="134">
        <v>1346353.5279999999</v>
      </c>
      <c r="K345" s="120">
        <f t="shared" si="77"/>
        <v>260.26551865455247</v>
      </c>
      <c r="L345" s="122">
        <f t="shared" si="68"/>
        <v>1682941.9100000001</v>
      </c>
      <c r="M345" s="116">
        <f t="shared" si="69"/>
        <v>336588.38200000022</v>
      </c>
      <c r="N345" s="123">
        <f t="shared" si="70"/>
        <v>65.066379663638159</v>
      </c>
      <c r="O345" s="5"/>
      <c r="P345" s="5">
        <f t="shared" si="72"/>
        <v>1</v>
      </c>
      <c r="Q345" s="7">
        <f t="shared" si="73"/>
        <v>5173</v>
      </c>
      <c r="W345" s="124">
        <f t="shared" si="74"/>
        <v>1346353.5279999999</v>
      </c>
      <c r="X345">
        <f t="shared" si="71"/>
        <v>0</v>
      </c>
    </row>
    <row r="346" spans="1:24">
      <c r="A346" s="23" t="s">
        <v>371</v>
      </c>
      <c r="B346" s="35" t="s">
        <v>365</v>
      </c>
      <c r="C346" s="125">
        <v>2998</v>
      </c>
      <c r="D346" s="132">
        <v>367251871</v>
      </c>
      <c r="E346" s="116">
        <f t="shared" si="75"/>
        <v>122498.9563042028</v>
      </c>
      <c r="F346" s="134">
        <v>187566545</v>
      </c>
      <c r="G346" s="117">
        <f t="shared" si="76"/>
        <v>62563.890927284854</v>
      </c>
      <c r="H346" s="7"/>
      <c r="I346" s="136">
        <v>6.5529999999999999</v>
      </c>
      <c r="J346" s="134">
        <v>1229123.569385</v>
      </c>
      <c r="K346" s="120">
        <f t="shared" si="77"/>
        <v>409.98117724649768</v>
      </c>
      <c r="L346" s="122">
        <f t="shared" si="68"/>
        <v>1875665.45</v>
      </c>
      <c r="M346" s="116">
        <f t="shared" si="69"/>
        <v>646541.88061499991</v>
      </c>
      <c r="N346" s="123">
        <f t="shared" si="70"/>
        <v>215.65773202635089</v>
      </c>
      <c r="O346" s="5"/>
      <c r="P346" s="5">
        <f t="shared" si="72"/>
        <v>1</v>
      </c>
      <c r="Q346" s="7">
        <f t="shared" si="73"/>
        <v>2998</v>
      </c>
      <c r="W346" s="124">
        <f t="shared" si="74"/>
        <v>1229123.569385</v>
      </c>
      <c r="X346">
        <f t="shared" si="71"/>
        <v>0</v>
      </c>
    </row>
    <row r="347" spans="1:24">
      <c r="A347" s="23" t="s">
        <v>372</v>
      </c>
      <c r="B347" s="35" t="s">
        <v>365</v>
      </c>
      <c r="C347" s="125">
        <v>31979</v>
      </c>
      <c r="D347" s="132">
        <v>3337906240</v>
      </c>
      <c r="E347" s="116">
        <f t="shared" si="75"/>
        <v>104378.06810719534</v>
      </c>
      <c r="F347" s="134">
        <v>2208535171</v>
      </c>
      <c r="G347" s="117">
        <f t="shared" si="76"/>
        <v>69062.046061477842</v>
      </c>
      <c r="H347" s="7"/>
      <c r="I347" s="136">
        <v>7.5895000000000001</v>
      </c>
      <c r="J347" s="134">
        <v>16761677.680304501</v>
      </c>
      <c r="K347" s="120">
        <f t="shared" si="77"/>
        <v>524.14639858358612</v>
      </c>
      <c r="L347" s="122">
        <f t="shared" si="68"/>
        <v>22085351.710000001</v>
      </c>
      <c r="M347" s="116">
        <f t="shared" si="69"/>
        <v>5323674.0296954997</v>
      </c>
      <c r="N347" s="123">
        <f t="shared" si="70"/>
        <v>166.47406203119235</v>
      </c>
      <c r="O347" s="5"/>
      <c r="P347" s="5">
        <f t="shared" si="72"/>
        <v>1</v>
      </c>
      <c r="Q347" s="7">
        <f t="shared" si="73"/>
        <v>31979</v>
      </c>
      <c r="W347" s="124">
        <f t="shared" si="74"/>
        <v>16761677.680304499</v>
      </c>
      <c r="X347">
        <f t="shared" si="71"/>
        <v>0</v>
      </c>
    </row>
    <row r="348" spans="1:24">
      <c r="A348" s="23" t="s">
        <v>373</v>
      </c>
      <c r="B348" s="35" t="s">
        <v>365</v>
      </c>
      <c r="C348" s="125">
        <v>246</v>
      </c>
      <c r="D348" s="132">
        <v>27610418</v>
      </c>
      <c r="E348" s="116">
        <f t="shared" si="75"/>
        <v>112237.47154471544</v>
      </c>
      <c r="F348" s="134">
        <v>15512004</v>
      </c>
      <c r="G348" s="117">
        <f t="shared" si="76"/>
        <v>63056.92682926829</v>
      </c>
      <c r="H348" s="7"/>
      <c r="I348" s="136">
        <v>9.9758999999999993</v>
      </c>
      <c r="J348" s="134">
        <v>154746.20070359998</v>
      </c>
      <c r="K348" s="120">
        <f t="shared" si="77"/>
        <v>629.04959635609748</v>
      </c>
      <c r="L348" s="122">
        <f t="shared" si="68"/>
        <v>155120.04</v>
      </c>
      <c r="M348" s="116">
        <f t="shared" si="69"/>
        <v>373.83929640002316</v>
      </c>
      <c r="N348" s="123">
        <f t="shared" si="70"/>
        <v>1.5196719365854601</v>
      </c>
      <c r="O348" s="5"/>
      <c r="P348" s="5">
        <f t="shared" si="72"/>
        <v>1</v>
      </c>
      <c r="Q348" s="7">
        <f t="shared" si="73"/>
        <v>246</v>
      </c>
      <c r="W348" s="124">
        <f t="shared" si="74"/>
        <v>154746.20070359998</v>
      </c>
      <c r="X348">
        <f t="shared" si="71"/>
        <v>0</v>
      </c>
    </row>
    <row r="349" spans="1:24">
      <c r="A349" s="23" t="s">
        <v>374</v>
      </c>
      <c r="B349" s="35" t="s">
        <v>365</v>
      </c>
      <c r="C349" s="125">
        <v>243</v>
      </c>
      <c r="D349" s="132">
        <v>30916241</v>
      </c>
      <c r="E349" s="116">
        <f t="shared" si="75"/>
        <v>127227.329218107</v>
      </c>
      <c r="F349" s="134">
        <v>18780018</v>
      </c>
      <c r="G349" s="117">
        <f t="shared" si="76"/>
        <v>77284.024691358019</v>
      </c>
      <c r="H349" s="7"/>
      <c r="I349" s="136">
        <v>0.79810000000000003</v>
      </c>
      <c r="J349" s="134">
        <v>14988.332365800001</v>
      </c>
      <c r="K349" s="120">
        <f t="shared" si="77"/>
        <v>61.680380106172841</v>
      </c>
      <c r="L349" s="122">
        <f t="shared" si="68"/>
        <v>187800.18</v>
      </c>
      <c r="M349" s="116">
        <f t="shared" si="69"/>
        <v>172811.84763420001</v>
      </c>
      <c r="N349" s="123">
        <f t="shared" si="70"/>
        <v>711.15986680740741</v>
      </c>
      <c r="O349" s="5"/>
      <c r="P349" s="5">
        <f t="shared" si="72"/>
        <v>1</v>
      </c>
      <c r="Q349" s="7">
        <f t="shared" si="73"/>
        <v>243</v>
      </c>
      <c r="W349" s="124">
        <f t="shared" si="74"/>
        <v>14988.332365800001</v>
      </c>
      <c r="X349">
        <f t="shared" si="71"/>
        <v>0</v>
      </c>
    </row>
    <row r="350" spans="1:24">
      <c r="A350" s="23" t="s">
        <v>375</v>
      </c>
      <c r="B350" s="35" t="s">
        <v>365</v>
      </c>
      <c r="C350" s="125">
        <v>6762</v>
      </c>
      <c r="D350" s="132">
        <v>588460101</v>
      </c>
      <c r="E350" s="116">
        <f t="shared" si="75"/>
        <v>87024.563886424134</v>
      </c>
      <c r="F350" s="134">
        <v>319991992</v>
      </c>
      <c r="G350" s="117">
        <f t="shared" si="76"/>
        <v>47322.092871931382</v>
      </c>
      <c r="H350" s="7"/>
      <c r="I350" s="136">
        <v>6.9889999999999999</v>
      </c>
      <c r="J350" s="134">
        <v>2236424.0320879999</v>
      </c>
      <c r="K350" s="120">
        <f t="shared" si="77"/>
        <v>330.73410708192841</v>
      </c>
      <c r="L350" s="122">
        <f t="shared" si="68"/>
        <v>3199919.92</v>
      </c>
      <c r="M350" s="116">
        <f t="shared" si="69"/>
        <v>963495.88791200006</v>
      </c>
      <c r="N350" s="123">
        <f t="shared" si="70"/>
        <v>142.48682163738539</v>
      </c>
      <c r="O350" s="5"/>
      <c r="P350" s="5">
        <f t="shared" si="72"/>
        <v>1</v>
      </c>
      <c r="Q350" s="7">
        <f t="shared" si="73"/>
        <v>6762</v>
      </c>
      <c r="W350" s="124">
        <f t="shared" si="74"/>
        <v>2236424.0320879999</v>
      </c>
      <c r="X350">
        <f t="shared" si="71"/>
        <v>0</v>
      </c>
    </row>
    <row r="351" spans="1:24">
      <c r="A351" s="23" t="s">
        <v>376</v>
      </c>
      <c r="B351" s="35" t="s">
        <v>365</v>
      </c>
      <c r="C351" s="125">
        <v>1560</v>
      </c>
      <c r="D351" s="132">
        <v>194057887</v>
      </c>
      <c r="E351" s="116">
        <f t="shared" si="75"/>
        <v>124396.0814102564</v>
      </c>
      <c r="F351" s="134">
        <v>118973841</v>
      </c>
      <c r="G351" s="117">
        <f t="shared" si="76"/>
        <v>76265.282692307694</v>
      </c>
      <c r="H351" s="9"/>
      <c r="I351" s="136">
        <v>8.4276</v>
      </c>
      <c r="J351" s="134">
        <v>1002663.9424116</v>
      </c>
      <c r="K351" s="120">
        <f t="shared" si="77"/>
        <v>642.73329641769237</v>
      </c>
      <c r="L351" s="122">
        <f t="shared" si="68"/>
        <v>1189738.4099999999</v>
      </c>
      <c r="M351" s="116">
        <f t="shared" si="69"/>
        <v>187074.46758839989</v>
      </c>
      <c r="N351" s="123">
        <f t="shared" si="70"/>
        <v>119.91953050538454</v>
      </c>
      <c r="O351" s="5"/>
      <c r="P351" s="5">
        <f t="shared" si="72"/>
        <v>1</v>
      </c>
      <c r="Q351" s="7">
        <f t="shared" si="73"/>
        <v>1560</v>
      </c>
      <c r="W351" s="124">
        <f t="shared" si="74"/>
        <v>1002663.9424116</v>
      </c>
      <c r="X351">
        <f t="shared" si="71"/>
        <v>0</v>
      </c>
    </row>
    <row r="352" spans="1:24">
      <c r="A352" s="23" t="s">
        <v>377</v>
      </c>
      <c r="B352" s="35" t="s">
        <v>365</v>
      </c>
      <c r="C352" s="125">
        <v>17359</v>
      </c>
      <c r="D352" s="132">
        <v>1816610200</v>
      </c>
      <c r="E352" s="116">
        <f t="shared" si="75"/>
        <v>104649.47289590414</v>
      </c>
      <c r="F352" s="134">
        <v>1064404872</v>
      </c>
      <c r="G352" s="117">
        <f t="shared" si="76"/>
        <v>61317.176795898384</v>
      </c>
      <c r="H352" s="9"/>
      <c r="I352" s="136">
        <v>6.3625999999999996</v>
      </c>
      <c r="J352" s="134">
        <v>6772382.438587199</v>
      </c>
      <c r="K352" s="120">
        <f t="shared" si="77"/>
        <v>390.13666908158297</v>
      </c>
      <c r="L352" s="122">
        <f t="shared" si="68"/>
        <v>10644048.720000001</v>
      </c>
      <c r="M352" s="116">
        <f t="shared" si="69"/>
        <v>3871666.2814128017</v>
      </c>
      <c r="N352" s="123">
        <f t="shared" si="70"/>
        <v>223.03509887740088</v>
      </c>
      <c r="O352" s="5"/>
      <c r="P352" s="5">
        <f t="shared" si="72"/>
        <v>1</v>
      </c>
      <c r="Q352" s="7">
        <f t="shared" si="73"/>
        <v>17359</v>
      </c>
      <c r="W352" s="124">
        <f t="shared" si="74"/>
        <v>6772382.4385871999</v>
      </c>
      <c r="X352">
        <f t="shared" si="71"/>
        <v>0</v>
      </c>
    </row>
    <row r="353" spans="1:24">
      <c r="A353" s="23" t="s">
        <v>378</v>
      </c>
      <c r="B353" s="35" t="s">
        <v>365</v>
      </c>
      <c r="C353" s="125">
        <v>120279</v>
      </c>
      <c r="D353" s="132">
        <v>15645736184</v>
      </c>
      <c r="E353" s="116">
        <f t="shared" si="75"/>
        <v>130078.70188478455</v>
      </c>
      <c r="F353" s="134">
        <v>9520850473</v>
      </c>
      <c r="G353" s="117">
        <f t="shared" si="76"/>
        <v>79156.382020136516</v>
      </c>
      <c r="H353" s="9"/>
      <c r="I353" s="136">
        <v>5.4322999999999997</v>
      </c>
      <c r="J353" s="134">
        <v>51720116.024477899</v>
      </c>
      <c r="K353" s="120">
        <f t="shared" si="77"/>
        <v>430.00121404798756</v>
      </c>
      <c r="L353" s="122">
        <f t="shared" si="68"/>
        <v>95208504.730000004</v>
      </c>
      <c r="M353" s="116">
        <f t="shared" si="69"/>
        <v>43488388.705522105</v>
      </c>
      <c r="N353" s="123">
        <f t="shared" si="70"/>
        <v>361.5626061533776</v>
      </c>
      <c r="O353" s="5"/>
      <c r="P353" s="5">
        <f t="shared" si="72"/>
        <v>1</v>
      </c>
      <c r="Q353" s="7">
        <f t="shared" si="73"/>
        <v>120279</v>
      </c>
      <c r="W353" s="124">
        <f t="shared" si="74"/>
        <v>51720116.024477892</v>
      </c>
      <c r="X353">
        <f t="shared" si="71"/>
        <v>0</v>
      </c>
    </row>
    <row r="354" spans="1:24">
      <c r="A354" s="23" t="s">
        <v>379</v>
      </c>
      <c r="B354" s="35" t="s">
        <v>365</v>
      </c>
      <c r="C354" s="125">
        <v>4040</v>
      </c>
      <c r="D354" s="132">
        <v>460794797</v>
      </c>
      <c r="E354" s="116">
        <f t="shared" si="75"/>
        <v>114058.11806930693</v>
      </c>
      <c r="F354" s="134">
        <v>291912843</v>
      </c>
      <c r="G354" s="117">
        <f t="shared" si="76"/>
        <v>72255.654207920787</v>
      </c>
      <c r="H354" s="7"/>
      <c r="I354" s="136">
        <v>6.44</v>
      </c>
      <c r="J354" s="134">
        <v>1879918.7089200001</v>
      </c>
      <c r="K354" s="120">
        <f t="shared" si="77"/>
        <v>465.32641309900993</v>
      </c>
      <c r="L354" s="122">
        <f t="shared" si="68"/>
        <v>2919128.43</v>
      </c>
      <c r="M354" s="116">
        <f t="shared" si="69"/>
        <v>1039209.72108</v>
      </c>
      <c r="N354" s="123">
        <f t="shared" si="70"/>
        <v>257.230128980198</v>
      </c>
      <c r="O354" s="5"/>
      <c r="P354" s="5">
        <f t="shared" si="72"/>
        <v>1</v>
      </c>
      <c r="Q354" s="7">
        <f t="shared" si="73"/>
        <v>4040</v>
      </c>
      <c r="W354" s="124">
        <f t="shared" si="74"/>
        <v>1879918.7089200001</v>
      </c>
      <c r="X354">
        <f t="shared" si="71"/>
        <v>0</v>
      </c>
    </row>
    <row r="355" spans="1:24">
      <c r="A355" s="23" t="s">
        <v>380</v>
      </c>
      <c r="B355" s="35" t="s">
        <v>365</v>
      </c>
      <c r="C355" s="125">
        <v>2956</v>
      </c>
      <c r="D355" s="132">
        <v>355055620</v>
      </c>
      <c r="E355" s="116">
        <f t="shared" si="75"/>
        <v>120113.53856562923</v>
      </c>
      <c r="F355" s="134">
        <v>228929604</v>
      </c>
      <c r="G355" s="117">
        <f t="shared" si="76"/>
        <v>77445.738836265227</v>
      </c>
      <c r="H355" s="7"/>
      <c r="I355" s="136">
        <v>5.5</v>
      </c>
      <c r="J355" s="134">
        <v>1259112.8219999999</v>
      </c>
      <c r="K355" s="120">
        <f t="shared" si="77"/>
        <v>425.95156359945872</v>
      </c>
      <c r="L355" s="122">
        <f t="shared" si="68"/>
        <v>2289296.04</v>
      </c>
      <c r="M355" s="116">
        <f t="shared" si="69"/>
        <v>1030183.2180000001</v>
      </c>
      <c r="N355" s="123">
        <f t="shared" si="70"/>
        <v>348.50582476319352</v>
      </c>
      <c r="O355" s="5"/>
      <c r="P355" s="5">
        <f t="shared" si="72"/>
        <v>1</v>
      </c>
      <c r="Q355" s="7">
        <f t="shared" si="73"/>
        <v>2956</v>
      </c>
      <c r="S355" s="124"/>
      <c r="T355" s="124"/>
      <c r="U355" s="124"/>
      <c r="W355" s="124">
        <f t="shared" si="74"/>
        <v>1259112.8219999999</v>
      </c>
      <c r="X355">
        <f t="shared" si="71"/>
        <v>0</v>
      </c>
    </row>
    <row r="356" spans="1:24">
      <c r="A356" s="23" t="s">
        <v>381</v>
      </c>
      <c r="B356" s="35" t="s">
        <v>365</v>
      </c>
      <c r="C356" s="125">
        <v>53331</v>
      </c>
      <c r="D356" s="132">
        <v>6106550284</v>
      </c>
      <c r="E356" s="116">
        <f t="shared" si="75"/>
        <v>114502.82732369541</v>
      </c>
      <c r="F356" s="134">
        <v>3717193107</v>
      </c>
      <c r="G356" s="117">
        <f t="shared" si="76"/>
        <v>69700.420149631551</v>
      </c>
      <c r="H356" s="7"/>
      <c r="I356" s="136">
        <v>6.59</v>
      </c>
      <c r="J356" s="134">
        <v>24496302.575130001</v>
      </c>
      <c r="K356" s="120">
        <f t="shared" si="77"/>
        <v>459.32576878607188</v>
      </c>
      <c r="L356" s="122">
        <f t="shared" si="68"/>
        <v>37171931.07</v>
      </c>
      <c r="M356" s="116">
        <f t="shared" si="69"/>
        <v>12675628.49487</v>
      </c>
      <c r="N356" s="123">
        <f t="shared" si="70"/>
        <v>237.67843271024356</v>
      </c>
      <c r="O356" s="5"/>
      <c r="P356" s="5">
        <f t="shared" si="72"/>
        <v>1</v>
      </c>
      <c r="Q356" s="7">
        <f t="shared" si="73"/>
        <v>53331</v>
      </c>
      <c r="S356" s="124">
        <f>SUM(D340:D356)</f>
        <v>36174229129</v>
      </c>
      <c r="T356" s="124">
        <f>SUM(F340:F356)</f>
        <v>22009714931</v>
      </c>
      <c r="U356" s="124">
        <f>SUM(J340:J356)</f>
        <v>131075253.89921199</v>
      </c>
      <c r="W356" s="124">
        <f t="shared" si="74"/>
        <v>24496302.575129997</v>
      </c>
      <c r="X356">
        <f t="shared" si="71"/>
        <v>0</v>
      </c>
    </row>
    <row r="357" spans="1:24">
      <c r="A357" s="23" t="s">
        <v>382</v>
      </c>
      <c r="B357" s="35" t="s">
        <v>383</v>
      </c>
      <c r="C357" s="125">
        <v>1692</v>
      </c>
      <c r="D357" s="132">
        <v>175013621</v>
      </c>
      <c r="E357" s="116">
        <f t="shared" si="75"/>
        <v>103435.94621749409</v>
      </c>
      <c r="F357" s="134">
        <v>92266078</v>
      </c>
      <c r="G357" s="117">
        <f t="shared" si="76"/>
        <v>54530.778959810872</v>
      </c>
      <c r="H357" s="7"/>
      <c r="I357" s="136">
        <v>8.5914000000000001</v>
      </c>
      <c r="J357" s="134">
        <v>792694.78252919996</v>
      </c>
      <c r="K357" s="120">
        <f t="shared" si="77"/>
        <v>468.49573435531914</v>
      </c>
      <c r="L357" s="122">
        <f t="shared" si="68"/>
        <v>922660.78</v>
      </c>
      <c r="M357" s="116">
        <f t="shared" si="69"/>
        <v>129965.99747080007</v>
      </c>
      <c r="N357" s="123">
        <f t="shared" si="70"/>
        <v>76.81205524278964</v>
      </c>
      <c r="O357" s="5"/>
      <c r="P357" s="5">
        <f t="shared" si="72"/>
        <v>1</v>
      </c>
      <c r="Q357" s="7">
        <f t="shared" si="73"/>
        <v>1692</v>
      </c>
      <c r="W357" s="124">
        <f t="shared" si="74"/>
        <v>792694.78252920008</v>
      </c>
      <c r="X357">
        <f t="shared" si="71"/>
        <v>0</v>
      </c>
    </row>
    <row r="358" spans="1:24">
      <c r="A358" s="23" t="s">
        <v>384</v>
      </c>
      <c r="B358" s="35" t="s">
        <v>383</v>
      </c>
      <c r="C358" s="125">
        <v>1446</v>
      </c>
      <c r="D358" s="132">
        <v>152277400</v>
      </c>
      <c r="E358" s="116">
        <f t="shared" si="75"/>
        <v>105309.40525587829</v>
      </c>
      <c r="F358" s="134">
        <v>71720658</v>
      </c>
      <c r="G358" s="117">
        <f t="shared" si="76"/>
        <v>49599.34854771784</v>
      </c>
      <c r="H358" s="7"/>
      <c r="I358" s="136">
        <v>7.2553000000000001</v>
      </c>
      <c r="J358" s="134">
        <v>520354.88998739998</v>
      </c>
      <c r="K358" s="120">
        <f t="shared" si="77"/>
        <v>359.85815351825727</v>
      </c>
      <c r="L358" s="122">
        <f t="shared" si="68"/>
        <v>717206.58</v>
      </c>
      <c r="M358" s="116">
        <f t="shared" si="69"/>
        <v>196851.69001259998</v>
      </c>
      <c r="N358" s="123">
        <f t="shared" si="70"/>
        <v>136.13533195892114</v>
      </c>
      <c r="O358" s="5"/>
      <c r="P358" s="5">
        <f t="shared" si="72"/>
        <v>1</v>
      </c>
      <c r="Q358" s="7">
        <f t="shared" si="73"/>
        <v>1446</v>
      </c>
      <c r="W358" s="124">
        <f t="shared" si="74"/>
        <v>520354.88998740003</v>
      </c>
      <c r="X358">
        <f t="shared" si="71"/>
        <v>0</v>
      </c>
    </row>
    <row r="359" spans="1:24">
      <c r="A359" s="23" t="s">
        <v>385</v>
      </c>
      <c r="B359" s="35" t="s">
        <v>383</v>
      </c>
      <c r="C359" s="125">
        <v>10529</v>
      </c>
      <c r="D359" s="132">
        <v>1152962677</v>
      </c>
      <c r="E359" s="116">
        <f t="shared" si="75"/>
        <v>109503.53091461677</v>
      </c>
      <c r="F359" s="134">
        <v>562364259</v>
      </c>
      <c r="G359" s="117">
        <f t="shared" si="76"/>
        <v>53410.984803875013</v>
      </c>
      <c r="H359" s="7"/>
      <c r="I359" s="136">
        <v>6.4</v>
      </c>
      <c r="J359" s="134">
        <v>3599131.2576000006</v>
      </c>
      <c r="K359" s="120">
        <f t="shared" si="77"/>
        <v>341.83030274480012</v>
      </c>
      <c r="L359" s="122">
        <f t="shared" si="68"/>
        <v>5623642.5899999999</v>
      </c>
      <c r="M359" s="116">
        <f t="shared" si="69"/>
        <v>2024511.3323999993</v>
      </c>
      <c r="N359" s="123">
        <f t="shared" si="70"/>
        <v>192.27954529394998</v>
      </c>
      <c r="O359" s="5"/>
      <c r="P359" s="5">
        <f t="shared" si="72"/>
        <v>1</v>
      </c>
      <c r="Q359" s="7">
        <f t="shared" si="73"/>
        <v>10529</v>
      </c>
      <c r="W359" s="124">
        <f t="shared" si="74"/>
        <v>3599131.2576000001</v>
      </c>
      <c r="X359">
        <f t="shared" si="71"/>
        <v>0</v>
      </c>
    </row>
    <row r="360" spans="1:24">
      <c r="A360" s="23" t="s">
        <v>386</v>
      </c>
      <c r="B360" s="35" t="s">
        <v>383</v>
      </c>
      <c r="C360" s="125">
        <v>789</v>
      </c>
      <c r="D360" s="132">
        <v>73123824</v>
      </c>
      <c r="E360" s="116">
        <f t="shared" si="75"/>
        <v>92679.117870722432</v>
      </c>
      <c r="F360" s="134">
        <v>42455830</v>
      </c>
      <c r="G360" s="117">
        <f t="shared" si="76"/>
        <v>53809.670468948032</v>
      </c>
      <c r="H360" s="7"/>
      <c r="I360" s="136">
        <v>5.0492999999999997</v>
      </c>
      <c r="J360" s="134">
        <v>214372.222419</v>
      </c>
      <c r="K360" s="120">
        <f t="shared" si="77"/>
        <v>271.70116909885934</v>
      </c>
      <c r="L360" s="122">
        <f t="shared" si="68"/>
        <v>424558.3</v>
      </c>
      <c r="M360" s="116">
        <f t="shared" si="69"/>
        <v>210186.07758099999</v>
      </c>
      <c r="N360" s="123">
        <f t="shared" si="70"/>
        <v>266.39553559062102</v>
      </c>
      <c r="O360" s="5"/>
      <c r="P360" s="5">
        <f t="shared" si="72"/>
        <v>1</v>
      </c>
      <c r="Q360" s="7">
        <f t="shared" si="73"/>
        <v>789</v>
      </c>
      <c r="S360" s="124"/>
      <c r="T360" s="124"/>
      <c r="U360" s="124"/>
      <c r="W360" s="124">
        <f t="shared" si="74"/>
        <v>214372.222419</v>
      </c>
      <c r="X360">
        <f t="shared" si="71"/>
        <v>0</v>
      </c>
    </row>
    <row r="361" spans="1:24">
      <c r="A361" s="23" t="s">
        <v>387</v>
      </c>
      <c r="B361" s="35" t="s">
        <v>383</v>
      </c>
      <c r="C361" s="125">
        <v>747</v>
      </c>
      <c r="D361" s="132">
        <v>122035949</v>
      </c>
      <c r="E361" s="116">
        <f t="shared" si="75"/>
        <v>163368.07095046854</v>
      </c>
      <c r="F361" s="134">
        <v>77528625</v>
      </c>
      <c r="G361" s="117">
        <f t="shared" si="76"/>
        <v>103786.64658634538</v>
      </c>
      <c r="H361" s="9"/>
      <c r="I361" s="136">
        <v>5.5049999999999999</v>
      </c>
      <c r="J361" s="134">
        <v>426795.080625</v>
      </c>
      <c r="K361" s="120">
        <f t="shared" si="77"/>
        <v>571.34548945783138</v>
      </c>
      <c r="L361" s="122">
        <f t="shared" si="68"/>
        <v>775286.25</v>
      </c>
      <c r="M361" s="116">
        <f t="shared" si="69"/>
        <v>348491.169375</v>
      </c>
      <c r="N361" s="123">
        <f t="shared" si="70"/>
        <v>466.52097640562249</v>
      </c>
      <c r="O361" s="5"/>
      <c r="P361" s="5">
        <f t="shared" si="72"/>
        <v>1</v>
      </c>
      <c r="Q361" s="7">
        <f t="shared" si="73"/>
        <v>747</v>
      </c>
      <c r="S361" s="124">
        <f>SUM(D357:D361)</f>
        <v>1675413471</v>
      </c>
      <c r="T361" s="124">
        <f>SUM(F357:F361)</f>
        <v>846335450</v>
      </c>
      <c r="U361" s="124">
        <f>SUM(J357:J361)</f>
        <v>5553348.233160601</v>
      </c>
      <c r="W361" s="124">
        <f t="shared" si="74"/>
        <v>426795.08062499994</v>
      </c>
      <c r="X361">
        <f t="shared" si="71"/>
        <v>0</v>
      </c>
    </row>
    <row r="362" spans="1:24">
      <c r="A362" s="23" t="s">
        <v>390</v>
      </c>
      <c r="B362" s="35" t="s">
        <v>391</v>
      </c>
      <c r="C362" s="125">
        <v>6380</v>
      </c>
      <c r="D362" s="132">
        <v>1826544314</v>
      </c>
      <c r="E362" s="116">
        <f t="shared" si="75"/>
        <v>286292.21222570533</v>
      </c>
      <c r="F362" s="134">
        <v>1078263599</v>
      </c>
      <c r="G362" s="117">
        <f t="shared" si="76"/>
        <v>169006.83369905956</v>
      </c>
      <c r="H362" s="9"/>
      <c r="I362" s="136">
        <v>1.9722999999999999</v>
      </c>
      <c r="J362" s="134">
        <v>2126659.2963076998</v>
      </c>
      <c r="K362" s="120">
        <f t="shared" si="77"/>
        <v>333.33217810465516</v>
      </c>
      <c r="L362" s="122">
        <f t="shared" si="68"/>
        <v>10782635.99</v>
      </c>
      <c r="M362" s="116">
        <f t="shared" si="69"/>
        <v>8655976.6936923005</v>
      </c>
      <c r="N362" s="123">
        <f t="shared" si="70"/>
        <v>1356.7361588859405</v>
      </c>
      <c r="O362" s="5"/>
      <c r="P362" s="5">
        <f t="shared" si="72"/>
        <v>1</v>
      </c>
      <c r="Q362" s="7">
        <f t="shared" si="73"/>
        <v>6380</v>
      </c>
      <c r="W362" s="124">
        <f t="shared" si="74"/>
        <v>2126659.2963076998</v>
      </c>
      <c r="X362">
        <f t="shared" si="71"/>
        <v>0</v>
      </c>
    </row>
    <row r="363" spans="1:24">
      <c r="A363" s="23" t="s">
        <v>392</v>
      </c>
      <c r="B363" s="35" t="s">
        <v>391</v>
      </c>
      <c r="C363" s="125">
        <v>547</v>
      </c>
      <c r="D363" s="132">
        <v>79635763</v>
      </c>
      <c r="E363" s="116">
        <f t="shared" si="75"/>
        <v>145586.40402193784</v>
      </c>
      <c r="F363" s="134">
        <v>50542894</v>
      </c>
      <c r="G363" s="117">
        <f t="shared" si="76"/>
        <v>92400.1718464351</v>
      </c>
      <c r="H363" s="9"/>
      <c r="I363" s="136">
        <v>3.8</v>
      </c>
      <c r="J363" s="134">
        <v>192062.99719999998</v>
      </c>
      <c r="K363" s="120">
        <f t="shared" si="77"/>
        <v>351.12065301645333</v>
      </c>
      <c r="L363" s="122">
        <f t="shared" si="68"/>
        <v>505428.94</v>
      </c>
      <c r="M363" s="116">
        <f t="shared" si="69"/>
        <v>313365.94280000002</v>
      </c>
      <c r="N363" s="123">
        <f t="shared" si="70"/>
        <v>572.88106544789764</v>
      </c>
      <c r="O363" s="5"/>
      <c r="P363" s="5">
        <f t="shared" si="72"/>
        <v>1</v>
      </c>
      <c r="Q363" s="7">
        <f t="shared" si="73"/>
        <v>547</v>
      </c>
      <c r="S363" s="124"/>
      <c r="T363" s="124"/>
      <c r="U363" s="124"/>
      <c r="W363" s="124">
        <f t="shared" si="74"/>
        <v>192062.99720000001</v>
      </c>
      <c r="X363">
        <f t="shared" si="71"/>
        <v>0</v>
      </c>
    </row>
    <row r="364" spans="1:24">
      <c r="A364" s="23" t="s">
        <v>393</v>
      </c>
      <c r="B364" s="35" t="s">
        <v>391</v>
      </c>
      <c r="C364" s="125">
        <v>10154</v>
      </c>
      <c r="D364" s="132">
        <v>908817831</v>
      </c>
      <c r="E364" s="116">
        <f t="shared" si="75"/>
        <v>89503.430273783728</v>
      </c>
      <c r="F364" s="134">
        <v>478605207</v>
      </c>
      <c r="G364" s="117">
        <f t="shared" si="76"/>
        <v>47134.647134134335</v>
      </c>
      <c r="H364" s="7"/>
      <c r="I364" s="136">
        <v>2.99</v>
      </c>
      <c r="J364" s="134">
        <v>1431029.5689300001</v>
      </c>
      <c r="K364" s="120">
        <f t="shared" si="77"/>
        <v>140.93259493106166</v>
      </c>
      <c r="L364" s="122">
        <f t="shared" si="68"/>
        <v>4786052.07</v>
      </c>
      <c r="M364" s="116">
        <f t="shared" si="69"/>
        <v>3355022.5010700002</v>
      </c>
      <c r="N364" s="123">
        <f t="shared" si="70"/>
        <v>330.41387641028166</v>
      </c>
      <c r="O364" s="5"/>
      <c r="P364" s="5">
        <f t="shared" si="72"/>
        <v>1</v>
      </c>
      <c r="Q364" s="7">
        <f t="shared" si="73"/>
        <v>10154</v>
      </c>
      <c r="S364" s="124">
        <f>SUM(D362:D364)</f>
        <v>2814997908</v>
      </c>
      <c r="T364" s="184">
        <f>SUM(F362:F364)</f>
        <v>1607411700</v>
      </c>
      <c r="U364" s="124">
        <f>SUM(J362:J364)</f>
        <v>3749751.8624376999</v>
      </c>
      <c r="W364" s="124">
        <f t="shared" si="74"/>
        <v>1431029.5689300001</v>
      </c>
      <c r="X364">
        <f t="shared" si="71"/>
        <v>0</v>
      </c>
    </row>
    <row r="365" spans="1:24">
      <c r="A365" s="23" t="s">
        <v>394</v>
      </c>
      <c r="B365" s="35" t="s">
        <v>395</v>
      </c>
      <c r="C365" s="125">
        <v>81823</v>
      </c>
      <c r="D365" s="132">
        <v>13242666747</v>
      </c>
      <c r="E365" s="116">
        <f t="shared" si="75"/>
        <v>161845.28490766656</v>
      </c>
      <c r="F365" s="134">
        <v>7237700089</v>
      </c>
      <c r="G365" s="117">
        <f t="shared" si="76"/>
        <v>88455.569815333103</v>
      </c>
      <c r="H365" s="7"/>
      <c r="I365" s="136">
        <v>3.7667000000000002</v>
      </c>
      <c r="J365" s="134">
        <v>27262244.9252363</v>
      </c>
      <c r="K365" s="120">
        <f t="shared" si="77"/>
        <v>333.18559482341516</v>
      </c>
      <c r="L365" s="122">
        <f t="shared" si="68"/>
        <v>72377000.890000001</v>
      </c>
      <c r="M365" s="116">
        <f t="shared" si="69"/>
        <v>45114755.964763701</v>
      </c>
      <c r="N365" s="123">
        <f t="shared" si="70"/>
        <v>551.37010332991576</v>
      </c>
      <c r="O365" s="5"/>
      <c r="P365" s="5">
        <f t="shared" si="72"/>
        <v>1</v>
      </c>
      <c r="Q365" s="7">
        <f t="shared" si="73"/>
        <v>81823</v>
      </c>
      <c r="W365" s="124">
        <f t="shared" si="74"/>
        <v>27262244.9252363</v>
      </c>
      <c r="X365">
        <f t="shared" si="71"/>
        <v>0</v>
      </c>
    </row>
    <row r="366" spans="1:24">
      <c r="A366" s="23" t="s">
        <v>395</v>
      </c>
      <c r="B366" s="35" t="s">
        <v>395</v>
      </c>
      <c r="C366" s="125">
        <v>56494</v>
      </c>
      <c r="D366" s="132">
        <v>24242867743</v>
      </c>
      <c r="E366" s="116">
        <f t="shared" si="75"/>
        <v>429122.87575671752</v>
      </c>
      <c r="F366" s="134">
        <v>14732722488</v>
      </c>
      <c r="G366" s="117">
        <f t="shared" si="76"/>
        <v>260783.84408963783</v>
      </c>
      <c r="H366" s="7"/>
      <c r="I366" s="136">
        <v>3</v>
      </c>
      <c r="J366" s="134">
        <v>44198167.464000002</v>
      </c>
      <c r="K366" s="120">
        <f t="shared" si="77"/>
        <v>782.3515322689135</v>
      </c>
      <c r="L366" s="122">
        <f t="shared" si="68"/>
        <v>147327224.88</v>
      </c>
      <c r="M366" s="116">
        <f t="shared" si="69"/>
        <v>103129057.41599999</v>
      </c>
      <c r="N366" s="123">
        <f t="shared" si="70"/>
        <v>1825.4869086274648</v>
      </c>
      <c r="O366" s="5"/>
      <c r="P366" s="5">
        <f t="shared" si="72"/>
        <v>1</v>
      </c>
      <c r="Q366" s="7">
        <f t="shared" si="73"/>
        <v>56494</v>
      </c>
      <c r="S366" s="124"/>
      <c r="T366" s="124"/>
      <c r="U366" s="124"/>
      <c r="W366" s="124">
        <f t="shared" si="74"/>
        <v>44198167.464000002</v>
      </c>
      <c r="X366">
        <f t="shared" si="71"/>
        <v>0</v>
      </c>
    </row>
    <row r="367" spans="1:24">
      <c r="A367" s="23" t="s">
        <v>396</v>
      </c>
      <c r="B367" s="35" t="s">
        <v>395</v>
      </c>
      <c r="C367" s="125">
        <v>26728</v>
      </c>
      <c r="D367" s="132">
        <v>8814879698</v>
      </c>
      <c r="E367" s="116">
        <f t="shared" si="75"/>
        <v>329799.44994013768</v>
      </c>
      <c r="F367" s="134">
        <v>5727861668</v>
      </c>
      <c r="G367" s="117">
        <f t="shared" si="76"/>
        <v>214301.91813828194</v>
      </c>
      <c r="H367" s="7"/>
      <c r="I367" s="136">
        <v>4.3600000000000003</v>
      </c>
      <c r="J367" s="134">
        <v>24973476.872480005</v>
      </c>
      <c r="K367" s="120">
        <f t="shared" si="77"/>
        <v>934.35636308290952</v>
      </c>
      <c r="L367" s="122">
        <f t="shared" si="68"/>
        <v>57278616.68</v>
      </c>
      <c r="M367" s="116">
        <f t="shared" si="69"/>
        <v>32305139.807519995</v>
      </c>
      <c r="N367" s="123">
        <f t="shared" si="70"/>
        <v>1208.66281829991</v>
      </c>
      <c r="O367" s="5"/>
      <c r="P367" s="5">
        <f t="shared" si="72"/>
        <v>1</v>
      </c>
      <c r="Q367" s="7">
        <f t="shared" si="73"/>
        <v>26728</v>
      </c>
      <c r="S367" s="124">
        <f>SUM(D365:D367)</f>
        <v>46300414188</v>
      </c>
      <c r="T367" s="124">
        <f>SUM(F365:F367)</f>
        <v>27698284245</v>
      </c>
      <c r="U367" s="124">
        <f>SUM(J365:J367)</f>
        <v>96433889.261716306</v>
      </c>
      <c r="W367" s="124">
        <f t="shared" si="74"/>
        <v>24973476.872480001</v>
      </c>
      <c r="X367">
        <f t="shared" si="71"/>
        <v>0</v>
      </c>
    </row>
    <row r="368" spans="1:24">
      <c r="A368" s="23" t="s">
        <v>397</v>
      </c>
      <c r="B368" s="35" t="s">
        <v>360</v>
      </c>
      <c r="C368" s="125">
        <v>47413</v>
      </c>
      <c r="D368" s="132">
        <v>6217623672</v>
      </c>
      <c r="E368" s="116">
        <f t="shared" si="75"/>
        <v>131137.52920085209</v>
      </c>
      <c r="F368" s="134">
        <v>4211382181</v>
      </c>
      <c r="G368" s="117">
        <f t="shared" si="76"/>
        <v>88823.364499187985</v>
      </c>
      <c r="H368" s="7"/>
      <c r="I368" s="136">
        <v>3.1</v>
      </c>
      <c r="J368" s="134">
        <v>13055284.7611</v>
      </c>
      <c r="K368" s="120">
        <f t="shared" si="77"/>
        <v>275.35242994748273</v>
      </c>
      <c r="L368" s="122">
        <f t="shared" si="68"/>
        <v>42113821.810000002</v>
      </c>
      <c r="M368" s="116">
        <f t="shared" si="69"/>
        <v>29058537.048900001</v>
      </c>
      <c r="N368" s="123">
        <f t="shared" si="70"/>
        <v>612.88121504439709</v>
      </c>
      <c r="O368" s="5"/>
      <c r="P368" s="5">
        <f t="shared" si="72"/>
        <v>1</v>
      </c>
      <c r="Q368" s="7">
        <f t="shared" si="73"/>
        <v>47413</v>
      </c>
      <c r="W368" s="124">
        <f t="shared" si="74"/>
        <v>13055284.7611</v>
      </c>
      <c r="X368">
        <f t="shared" si="71"/>
        <v>0</v>
      </c>
    </row>
    <row r="369" spans="1:24">
      <c r="A369" s="23" t="s">
        <v>398</v>
      </c>
      <c r="B369" s="35" t="s">
        <v>360</v>
      </c>
      <c r="C369" s="125">
        <v>30020</v>
      </c>
      <c r="D369" s="132">
        <v>3162549918</v>
      </c>
      <c r="E369" s="116">
        <f t="shared" si="75"/>
        <v>105348.09853431045</v>
      </c>
      <c r="F369" s="134">
        <v>2079728916</v>
      </c>
      <c r="G369" s="117">
        <f t="shared" si="76"/>
        <v>69278.111792138574</v>
      </c>
      <c r="H369" s="7"/>
      <c r="I369" s="136">
        <v>2.9</v>
      </c>
      <c r="J369" s="134">
        <v>6031213.8563999999</v>
      </c>
      <c r="K369" s="120">
        <f t="shared" si="77"/>
        <v>200.90652419720186</v>
      </c>
      <c r="L369" s="122">
        <f t="shared" si="68"/>
        <v>20797289.16</v>
      </c>
      <c r="M369" s="116">
        <f t="shared" si="69"/>
        <v>14766075.3036</v>
      </c>
      <c r="N369" s="123">
        <f t="shared" si="70"/>
        <v>491.87459372418391</v>
      </c>
      <c r="O369" s="5"/>
      <c r="P369" s="5">
        <f t="shared" si="72"/>
        <v>1</v>
      </c>
      <c r="Q369" s="7">
        <f t="shared" si="73"/>
        <v>30020</v>
      </c>
      <c r="W369" s="124">
        <f t="shared" si="74"/>
        <v>6031213.8563999999</v>
      </c>
      <c r="X369">
        <f t="shared" si="71"/>
        <v>0</v>
      </c>
    </row>
    <row r="370" spans="1:24">
      <c r="A370" s="23" t="s">
        <v>399</v>
      </c>
      <c r="B370" s="35" t="s">
        <v>360</v>
      </c>
      <c r="C370" s="125">
        <v>17333</v>
      </c>
      <c r="D370" s="132">
        <v>4252915817</v>
      </c>
      <c r="E370" s="116">
        <f t="shared" si="75"/>
        <v>245365.24646627819</v>
      </c>
      <c r="F370" s="134">
        <v>3220501549</v>
      </c>
      <c r="G370" s="117">
        <f t="shared" si="76"/>
        <v>185801.73939883459</v>
      </c>
      <c r="H370" s="7"/>
      <c r="I370" s="136">
        <v>3.5895000000000001</v>
      </c>
      <c r="J370" s="134">
        <v>11559990.310135501</v>
      </c>
      <c r="K370" s="120">
        <f t="shared" si="77"/>
        <v>666.93534357211684</v>
      </c>
      <c r="L370" s="122">
        <f t="shared" si="68"/>
        <v>32205015.490000002</v>
      </c>
      <c r="M370" s="116">
        <f t="shared" si="69"/>
        <v>20645025.179864503</v>
      </c>
      <c r="N370" s="123">
        <f t="shared" si="70"/>
        <v>1191.0820504162293</v>
      </c>
      <c r="O370" s="5"/>
      <c r="P370" s="5">
        <f t="shared" si="72"/>
        <v>1</v>
      </c>
      <c r="Q370" s="7">
        <f t="shared" si="73"/>
        <v>17333</v>
      </c>
      <c r="W370" s="124">
        <f t="shared" si="74"/>
        <v>11559990.310135501</v>
      </c>
      <c r="X370">
        <f t="shared" si="71"/>
        <v>0</v>
      </c>
    </row>
    <row r="371" spans="1:24">
      <c r="A371" s="23" t="s">
        <v>400</v>
      </c>
      <c r="B371" s="35" t="s">
        <v>360</v>
      </c>
      <c r="C371" s="125">
        <v>15894</v>
      </c>
      <c r="D371" s="147">
        <v>2450131068</v>
      </c>
      <c r="E371" s="116">
        <f t="shared" si="75"/>
        <v>154154.46508116269</v>
      </c>
      <c r="F371" s="134">
        <v>1604394497</v>
      </c>
      <c r="G371" s="117">
        <f t="shared" si="76"/>
        <v>100943.40612809865</v>
      </c>
      <c r="H371" s="7"/>
      <c r="I371" s="136">
        <v>5.5</v>
      </c>
      <c r="J371" s="134">
        <v>8824169.7335000001</v>
      </c>
      <c r="K371" s="120">
        <f t="shared" si="77"/>
        <v>555.18873370454264</v>
      </c>
      <c r="L371" s="122">
        <f t="shared" si="68"/>
        <v>16043944.970000001</v>
      </c>
      <c r="M371" s="116">
        <f t="shared" si="69"/>
        <v>7219775.2365000006</v>
      </c>
      <c r="N371" s="123">
        <f t="shared" si="70"/>
        <v>454.24532757644397</v>
      </c>
      <c r="O371" s="5"/>
      <c r="P371" s="5">
        <f t="shared" si="72"/>
        <v>1</v>
      </c>
      <c r="Q371" s="7">
        <f t="shared" si="73"/>
        <v>15894</v>
      </c>
      <c r="W371" s="124">
        <f t="shared" si="74"/>
        <v>8824169.7335000001</v>
      </c>
      <c r="X371">
        <f t="shared" si="71"/>
        <v>0</v>
      </c>
    </row>
    <row r="372" spans="1:24">
      <c r="A372" s="23" t="s">
        <v>401</v>
      </c>
      <c r="B372" s="35" t="s">
        <v>360</v>
      </c>
      <c r="C372" s="125">
        <v>40078</v>
      </c>
      <c r="D372" s="132">
        <v>5824319288</v>
      </c>
      <c r="E372" s="116">
        <f t="shared" si="75"/>
        <v>145324.59923149858</v>
      </c>
      <c r="F372" s="134">
        <v>3644581259</v>
      </c>
      <c r="G372" s="117">
        <f t="shared" si="76"/>
        <v>90937.203927341689</v>
      </c>
      <c r="H372" s="7"/>
      <c r="I372" s="136">
        <v>5.335</v>
      </c>
      <c r="J372" s="134">
        <v>19443841.016764998</v>
      </c>
      <c r="K372" s="120">
        <f t="shared" si="77"/>
        <v>485.14998295236785</v>
      </c>
      <c r="L372" s="122">
        <f t="shared" si="68"/>
        <v>36445812.590000004</v>
      </c>
      <c r="M372" s="116">
        <f t="shared" si="69"/>
        <v>17001971.573235005</v>
      </c>
      <c r="N372" s="123">
        <f t="shared" si="70"/>
        <v>424.22205632104908</v>
      </c>
      <c r="O372" s="5"/>
      <c r="P372" s="5">
        <f t="shared" si="72"/>
        <v>1</v>
      </c>
      <c r="Q372" s="7">
        <f t="shared" si="73"/>
        <v>40078</v>
      </c>
      <c r="W372" s="124">
        <f t="shared" si="74"/>
        <v>19443841.016765002</v>
      </c>
      <c r="X372">
        <f t="shared" si="71"/>
        <v>0</v>
      </c>
    </row>
    <row r="373" spans="1:24">
      <c r="A373" s="23" t="s">
        <v>402</v>
      </c>
      <c r="B373" s="35" t="s">
        <v>360</v>
      </c>
      <c r="C373" s="125">
        <v>63172</v>
      </c>
      <c r="D373" s="132">
        <v>7370188433</v>
      </c>
      <c r="E373" s="116">
        <f t="shared" si="75"/>
        <v>116668.59420312797</v>
      </c>
      <c r="F373" s="134">
        <v>4693429041</v>
      </c>
      <c r="G373" s="117">
        <f t="shared" si="76"/>
        <v>74296.033701639972</v>
      </c>
      <c r="H373" s="7"/>
      <c r="I373" s="136">
        <v>7.3250000000000002</v>
      </c>
      <c r="J373" s="134">
        <v>34379367.725325003</v>
      </c>
      <c r="K373" s="120">
        <f t="shared" si="77"/>
        <v>544.21844686451277</v>
      </c>
      <c r="L373" s="122">
        <f t="shared" si="68"/>
        <v>46934290.410000004</v>
      </c>
      <c r="M373" s="116">
        <f t="shared" si="69"/>
        <v>12554922.684675001</v>
      </c>
      <c r="N373" s="123">
        <f t="shared" si="70"/>
        <v>198.74189015188693</v>
      </c>
      <c r="O373" s="5"/>
      <c r="P373" s="5">
        <f t="shared" si="72"/>
        <v>1</v>
      </c>
      <c r="Q373" s="7">
        <f t="shared" si="73"/>
        <v>63172</v>
      </c>
      <c r="S373" s="124"/>
      <c r="T373" s="124"/>
      <c r="U373" s="124"/>
      <c r="W373" s="124">
        <f t="shared" si="74"/>
        <v>34379367.725325003</v>
      </c>
      <c r="X373">
        <f t="shared" si="71"/>
        <v>0</v>
      </c>
    </row>
    <row r="374" spans="1:24">
      <c r="A374" s="23" t="s">
        <v>403</v>
      </c>
      <c r="B374" s="37" t="s">
        <v>360</v>
      </c>
      <c r="C374" s="125">
        <v>39038</v>
      </c>
      <c r="D374" s="132">
        <v>5142088400</v>
      </c>
      <c r="E374" s="116">
        <f t="shared" si="75"/>
        <v>131720.07787284185</v>
      </c>
      <c r="F374" s="134">
        <v>3171266844</v>
      </c>
      <c r="G374" s="117">
        <f t="shared" si="76"/>
        <v>81235.382038014242</v>
      </c>
      <c r="H374" s="7"/>
      <c r="I374" s="136">
        <v>2.41</v>
      </c>
      <c r="J374" s="134">
        <v>7642753.0940400008</v>
      </c>
      <c r="K374" s="120">
        <f t="shared" si="77"/>
        <v>195.77727071161434</v>
      </c>
      <c r="L374" s="122">
        <f t="shared" si="68"/>
        <v>31712668.440000001</v>
      </c>
      <c r="M374" s="116">
        <f t="shared" si="69"/>
        <v>24069915.345959999</v>
      </c>
      <c r="N374" s="123">
        <f t="shared" si="70"/>
        <v>616.57654966852806</v>
      </c>
      <c r="O374" s="5"/>
      <c r="P374" s="5">
        <f t="shared" si="72"/>
        <v>1</v>
      </c>
      <c r="Q374" s="7">
        <f t="shared" si="73"/>
        <v>39038</v>
      </c>
      <c r="S374" s="124">
        <f>SUM(D368:D374)</f>
        <v>34419816596</v>
      </c>
      <c r="T374" s="124">
        <f>SUM(F368:F374)</f>
        <v>22625284287</v>
      </c>
      <c r="U374" s="124">
        <f>SUM(J368:J374)</f>
        <v>100936620.4972655</v>
      </c>
      <c r="W374" s="124">
        <f t="shared" si="74"/>
        <v>7642753.0940400008</v>
      </c>
      <c r="X374">
        <f t="shared" si="71"/>
        <v>0</v>
      </c>
    </row>
    <row r="375" spans="1:24">
      <c r="A375" s="24" t="s">
        <v>549</v>
      </c>
      <c r="B375" s="37" t="s">
        <v>551</v>
      </c>
      <c r="C375" s="125">
        <v>15346</v>
      </c>
      <c r="D375" s="132">
        <v>4329683381</v>
      </c>
      <c r="E375" s="116">
        <f t="shared" si="75"/>
        <v>282137.58510361006</v>
      </c>
      <c r="F375" s="134">
        <v>2499887338</v>
      </c>
      <c r="G375" s="117">
        <f t="shared" si="76"/>
        <v>162901.55988531213</v>
      </c>
      <c r="H375" s="7"/>
      <c r="I375" s="136">
        <v>7.5</v>
      </c>
      <c r="J375" s="134">
        <v>18749155.035</v>
      </c>
      <c r="K375" s="120">
        <f t="shared" si="77"/>
        <v>1221.7616991398411</v>
      </c>
      <c r="L375" s="122">
        <f t="shared" si="68"/>
        <v>24998873.379999999</v>
      </c>
      <c r="M375" s="116">
        <f t="shared" si="69"/>
        <v>6249718.3449999988</v>
      </c>
      <c r="N375" s="123">
        <f t="shared" si="70"/>
        <v>407.25389971328025</v>
      </c>
      <c r="O375" s="5"/>
      <c r="P375" s="5">
        <f t="shared" si="72"/>
        <v>1</v>
      </c>
      <c r="Q375" s="7">
        <f t="shared" si="73"/>
        <v>15346</v>
      </c>
      <c r="W375" s="124">
        <f t="shared" si="74"/>
        <v>18749155.035</v>
      </c>
      <c r="X375">
        <f t="shared" si="71"/>
        <v>0</v>
      </c>
    </row>
    <row r="376" spans="1:24">
      <c r="A376" s="24" t="s">
        <v>550</v>
      </c>
      <c r="B376" s="37" t="s">
        <v>551</v>
      </c>
      <c r="C376" s="125">
        <v>6914</v>
      </c>
      <c r="D376" s="132">
        <v>2552669246</v>
      </c>
      <c r="E376" s="116">
        <f t="shared" si="75"/>
        <v>369202.95718831359</v>
      </c>
      <c r="F376" s="134">
        <v>1726532495</v>
      </c>
      <c r="G376" s="117">
        <f t="shared" si="76"/>
        <v>249715.43173271621</v>
      </c>
      <c r="H376" s="7"/>
      <c r="I376" s="136">
        <v>2.4500000000000002</v>
      </c>
      <c r="J376" s="134">
        <v>4230004.6127500003</v>
      </c>
      <c r="K376" s="120">
        <f t="shared" si="77"/>
        <v>611.80280774515484</v>
      </c>
      <c r="L376" s="122">
        <f t="shared" si="68"/>
        <v>17265324.949999999</v>
      </c>
      <c r="M376" s="116">
        <f t="shared" si="69"/>
        <v>13035320.337249998</v>
      </c>
      <c r="N376" s="123">
        <f t="shared" si="70"/>
        <v>1885.3515095820073</v>
      </c>
      <c r="O376" s="5"/>
      <c r="P376" s="5">
        <f t="shared" si="72"/>
        <v>1</v>
      </c>
      <c r="Q376" s="7">
        <f t="shared" si="73"/>
        <v>6914</v>
      </c>
      <c r="S376" s="124">
        <f>SUM(D375:D376)</f>
        <v>6882352627</v>
      </c>
      <c r="T376" s="124">
        <f>SUM(F375:F376)</f>
        <v>4226419833</v>
      </c>
      <c r="U376" s="124">
        <f>SUM(J375:J376)</f>
        <v>22979159.647750001</v>
      </c>
      <c r="W376" s="124">
        <f t="shared" si="74"/>
        <v>4230004.6127500003</v>
      </c>
      <c r="X376">
        <f t="shared" si="71"/>
        <v>0</v>
      </c>
    </row>
    <row r="377" spans="1:24">
      <c r="A377" s="23" t="s">
        <v>389</v>
      </c>
      <c r="B377" s="37" t="s">
        <v>552</v>
      </c>
      <c r="C377" s="125">
        <v>47841</v>
      </c>
      <c r="D377" s="132">
        <v>6228439045</v>
      </c>
      <c r="E377" s="116">
        <f t="shared" si="75"/>
        <v>130190.40247904517</v>
      </c>
      <c r="F377" s="134">
        <v>3343485417</v>
      </c>
      <c r="G377" s="117">
        <f t="shared" si="76"/>
        <v>69887.448360193142</v>
      </c>
      <c r="H377" s="7"/>
      <c r="I377" s="136">
        <v>6.9</v>
      </c>
      <c r="J377" s="134">
        <v>23070049.377300002</v>
      </c>
      <c r="K377" s="120">
        <f t="shared" si="77"/>
        <v>482.22339368533272</v>
      </c>
      <c r="L377" s="122">
        <f t="shared" si="68"/>
        <v>33434854.170000002</v>
      </c>
      <c r="M377" s="116">
        <f t="shared" si="69"/>
        <v>10364804.7927</v>
      </c>
      <c r="N377" s="123">
        <f t="shared" si="70"/>
        <v>216.65108991659875</v>
      </c>
      <c r="O377" s="5"/>
      <c r="P377" s="5">
        <f t="shared" si="72"/>
        <v>1</v>
      </c>
      <c r="Q377" s="7">
        <f t="shared" si="73"/>
        <v>47841</v>
      </c>
      <c r="W377" s="124">
        <f t="shared" si="74"/>
        <v>23070049.377300002</v>
      </c>
      <c r="X377">
        <f t="shared" si="71"/>
        <v>0</v>
      </c>
    </row>
    <row r="378" spans="1:24">
      <c r="A378" s="24" t="s">
        <v>553</v>
      </c>
      <c r="B378" s="37" t="s">
        <v>552</v>
      </c>
      <c r="C378" s="125">
        <v>224916</v>
      </c>
      <c r="D378" s="132">
        <v>31137121690</v>
      </c>
      <c r="E378" s="116">
        <f t="shared" si="75"/>
        <v>138438.89136388697</v>
      </c>
      <c r="F378" s="134">
        <v>16234659502</v>
      </c>
      <c r="G378" s="117">
        <f t="shared" si="76"/>
        <v>72180.989800636686</v>
      </c>
      <c r="H378" s="7"/>
      <c r="I378" s="136">
        <v>4.7306999999999997</v>
      </c>
      <c r="J378" s="134">
        <v>76801303.706111386</v>
      </c>
      <c r="K378" s="120">
        <f t="shared" si="77"/>
        <v>341.4666084498719</v>
      </c>
      <c r="L378" s="122">
        <f t="shared" si="68"/>
        <v>162346595.02000001</v>
      </c>
      <c r="M378" s="116">
        <f t="shared" si="69"/>
        <v>85545291.313888624</v>
      </c>
      <c r="N378" s="123">
        <f t="shared" si="70"/>
        <v>380.34328955649499</v>
      </c>
      <c r="O378" s="5"/>
      <c r="P378" s="5">
        <f t="shared" si="72"/>
        <v>1</v>
      </c>
      <c r="Q378" s="7">
        <f t="shared" si="73"/>
        <v>224916</v>
      </c>
      <c r="W378" s="124">
        <f t="shared" si="74"/>
        <v>76801303.706111401</v>
      </c>
      <c r="X378">
        <f t="shared" si="71"/>
        <v>0</v>
      </c>
    </row>
    <row r="379" spans="1:24">
      <c r="A379" s="24" t="s">
        <v>554</v>
      </c>
      <c r="B379" s="37" t="s">
        <v>552</v>
      </c>
      <c r="C379" s="125">
        <v>574</v>
      </c>
      <c r="D379" s="132">
        <v>160950346</v>
      </c>
      <c r="E379" s="116">
        <f t="shared" si="75"/>
        <v>280401.29965156794</v>
      </c>
      <c r="F379" s="134">
        <v>90916458</v>
      </c>
      <c r="G379" s="117">
        <f t="shared" si="76"/>
        <v>158391.04181184669</v>
      </c>
      <c r="H379" s="7"/>
      <c r="I379" s="136">
        <v>1.69</v>
      </c>
      <c r="J379" s="134">
        <v>153648.81401999999</v>
      </c>
      <c r="K379" s="120">
        <f t="shared" si="77"/>
        <v>267.6808606620209</v>
      </c>
      <c r="L379" s="122">
        <f t="shared" si="68"/>
        <v>909164.58000000007</v>
      </c>
      <c r="M379" s="116">
        <f t="shared" si="69"/>
        <v>755515.76598000014</v>
      </c>
      <c r="N379" s="123">
        <f t="shared" si="70"/>
        <v>1316.2295574564462</v>
      </c>
      <c r="O379" s="5"/>
      <c r="P379" s="5">
        <f t="shared" si="72"/>
        <v>1</v>
      </c>
      <c r="Q379" s="7">
        <f t="shared" si="73"/>
        <v>574</v>
      </c>
      <c r="S379" s="124">
        <f>SUM(D377:D379)</f>
        <v>37526511081</v>
      </c>
      <c r="T379" s="124">
        <f>SUM(F377:F379)</f>
        <v>19669061377</v>
      </c>
      <c r="U379" s="124">
        <f>SUM(J377:J379)</f>
        <v>100025001.89743139</v>
      </c>
      <c r="W379" s="124">
        <f t="shared" si="74"/>
        <v>153648.81401999999</v>
      </c>
      <c r="X379">
        <f t="shared" si="71"/>
        <v>0</v>
      </c>
    </row>
    <row r="380" spans="1:24">
      <c r="A380" s="23" t="s">
        <v>404</v>
      </c>
      <c r="B380" s="35" t="s">
        <v>405</v>
      </c>
      <c r="C380" s="125">
        <v>3141</v>
      </c>
      <c r="D380" s="132">
        <v>292676698</v>
      </c>
      <c r="E380" s="116">
        <f t="shared" si="75"/>
        <v>93179.464501751034</v>
      </c>
      <c r="F380" s="134">
        <v>191126417</v>
      </c>
      <c r="G380" s="117">
        <f t="shared" si="76"/>
        <v>60848.907035975804</v>
      </c>
      <c r="H380" s="9"/>
      <c r="I380" s="136">
        <v>3.5691999999999999</v>
      </c>
      <c r="J380" s="134">
        <v>682168.40755639994</v>
      </c>
      <c r="K380" s="120">
        <f t="shared" si="77"/>
        <v>217.18191899280481</v>
      </c>
      <c r="L380" s="122">
        <f t="shared" si="68"/>
        <v>1911264.17</v>
      </c>
      <c r="M380" s="116">
        <f t="shared" si="69"/>
        <v>1229095.7624436</v>
      </c>
      <c r="N380" s="123">
        <f t="shared" si="70"/>
        <v>391.30715136695318</v>
      </c>
      <c r="O380" s="5"/>
      <c r="P380" s="5">
        <f t="shared" si="72"/>
        <v>1</v>
      </c>
      <c r="Q380" s="7">
        <f t="shared" si="73"/>
        <v>3141</v>
      </c>
      <c r="W380" s="124">
        <f t="shared" si="74"/>
        <v>682168.40755639994</v>
      </c>
      <c r="X380">
        <f t="shared" si="71"/>
        <v>0</v>
      </c>
    </row>
    <row r="381" spans="1:24">
      <c r="A381" s="23" t="s">
        <v>406</v>
      </c>
      <c r="B381" s="35" t="s">
        <v>405</v>
      </c>
      <c r="C381" s="125">
        <v>857</v>
      </c>
      <c r="D381" s="132">
        <v>68331147</v>
      </c>
      <c r="E381" s="116">
        <f t="shared" si="75"/>
        <v>79732.960326721121</v>
      </c>
      <c r="F381" s="134">
        <v>40667717</v>
      </c>
      <c r="G381" s="117">
        <f t="shared" si="76"/>
        <v>47453.578763127189</v>
      </c>
      <c r="H381" s="9"/>
      <c r="I381" s="136">
        <v>4.0114000000000001</v>
      </c>
      <c r="J381" s="134">
        <v>163134.47997380001</v>
      </c>
      <c r="K381" s="120">
        <f t="shared" si="77"/>
        <v>190.35528585040842</v>
      </c>
      <c r="L381" s="122">
        <f t="shared" si="68"/>
        <v>406677.17</v>
      </c>
      <c r="M381" s="116">
        <f t="shared" si="69"/>
        <v>243542.69002619997</v>
      </c>
      <c r="N381" s="123">
        <f t="shared" si="70"/>
        <v>284.18050178086344</v>
      </c>
      <c r="O381" s="5"/>
      <c r="P381" s="5">
        <f t="shared" si="72"/>
        <v>1</v>
      </c>
      <c r="Q381" s="7">
        <f t="shared" si="73"/>
        <v>857</v>
      </c>
      <c r="W381" s="124">
        <f t="shared" si="74"/>
        <v>163134.47997380001</v>
      </c>
      <c r="X381">
        <f t="shared" si="71"/>
        <v>0</v>
      </c>
    </row>
    <row r="382" spans="1:24">
      <c r="A382" s="23" t="s">
        <v>407</v>
      </c>
      <c r="B382" s="35" t="s">
        <v>405</v>
      </c>
      <c r="C382" s="125">
        <v>642</v>
      </c>
      <c r="D382" s="147">
        <v>45284273</v>
      </c>
      <c r="E382" s="116">
        <f t="shared" si="75"/>
        <v>70536.250778816204</v>
      </c>
      <c r="F382" s="134">
        <v>27759287</v>
      </c>
      <c r="G382" s="117">
        <f t="shared" si="76"/>
        <v>43238.764797507785</v>
      </c>
      <c r="H382" s="98"/>
      <c r="I382" s="136">
        <v>3.4207000000000001</v>
      </c>
      <c r="J382" s="134">
        <v>94956.193040900005</v>
      </c>
      <c r="K382" s="120">
        <f t="shared" si="77"/>
        <v>147.9068427428349</v>
      </c>
      <c r="L382" s="122">
        <f t="shared" si="68"/>
        <v>277592.87</v>
      </c>
      <c r="M382" s="116">
        <f t="shared" si="69"/>
        <v>182636.6769591</v>
      </c>
      <c r="N382" s="123">
        <f t="shared" si="70"/>
        <v>284.48080523224297</v>
      </c>
      <c r="O382" s="5"/>
      <c r="P382" s="5">
        <f t="shared" si="72"/>
        <v>1</v>
      </c>
      <c r="Q382" s="7">
        <f t="shared" si="73"/>
        <v>642</v>
      </c>
      <c r="W382" s="124">
        <f t="shared" si="74"/>
        <v>94956.193040900005</v>
      </c>
      <c r="X382">
        <f t="shared" si="71"/>
        <v>0</v>
      </c>
    </row>
    <row r="383" spans="1:24">
      <c r="A383" s="23" t="s">
        <v>408</v>
      </c>
      <c r="B383" s="35" t="s">
        <v>405</v>
      </c>
      <c r="C383" s="125">
        <v>798</v>
      </c>
      <c r="D383" s="132">
        <v>43803410</v>
      </c>
      <c r="E383" s="116">
        <f t="shared" si="75"/>
        <v>54891.491228070176</v>
      </c>
      <c r="F383" s="134">
        <v>30058701</v>
      </c>
      <c r="G383" s="117">
        <f t="shared" si="76"/>
        <v>37667.545112781954</v>
      </c>
      <c r="H383" s="7"/>
      <c r="I383" s="150">
        <v>8</v>
      </c>
      <c r="J383" s="134">
        <v>240469.60800000001</v>
      </c>
      <c r="K383" s="120">
        <f t="shared" si="77"/>
        <v>301.34036090225567</v>
      </c>
      <c r="L383" s="122">
        <f t="shared" si="68"/>
        <v>300587.01</v>
      </c>
      <c r="M383" s="116">
        <f t="shared" si="69"/>
        <v>60117.402000000002</v>
      </c>
      <c r="N383" s="123">
        <f t="shared" si="70"/>
        <v>75.335090225563917</v>
      </c>
      <c r="O383" s="5"/>
      <c r="P383" s="5">
        <f t="shared" si="72"/>
        <v>1</v>
      </c>
      <c r="Q383" s="7">
        <f t="shared" si="73"/>
        <v>798</v>
      </c>
      <c r="W383" s="124">
        <f t="shared" si="74"/>
        <v>240469.60800000001</v>
      </c>
      <c r="X383">
        <f t="shared" si="71"/>
        <v>0</v>
      </c>
    </row>
    <row r="384" spans="1:24">
      <c r="A384" s="23" t="s">
        <v>409</v>
      </c>
      <c r="B384" s="35" t="s">
        <v>405</v>
      </c>
      <c r="C384" s="125">
        <v>24681</v>
      </c>
      <c r="D384" s="132">
        <v>5857231864</v>
      </c>
      <c r="E384" s="116">
        <f t="shared" si="75"/>
        <v>237317.44516024474</v>
      </c>
      <c r="F384" s="134">
        <v>4484771701</v>
      </c>
      <c r="G384" s="117">
        <f t="shared" si="76"/>
        <v>181709.48101778695</v>
      </c>
      <c r="H384" s="7"/>
      <c r="I384" s="136">
        <v>3</v>
      </c>
      <c r="J384" s="154">
        <v>13454315.103</v>
      </c>
      <c r="K384" s="120">
        <f t="shared" si="77"/>
        <v>545.12844305336091</v>
      </c>
      <c r="L384" s="122">
        <f t="shared" si="68"/>
        <v>44847717.009999998</v>
      </c>
      <c r="M384" s="116">
        <f t="shared" si="69"/>
        <v>31393401.906999998</v>
      </c>
      <c r="N384" s="123">
        <f t="shared" si="70"/>
        <v>1271.9663671245087</v>
      </c>
      <c r="O384" s="5"/>
      <c r="P384" s="5">
        <f t="shared" si="72"/>
        <v>1</v>
      </c>
      <c r="Q384" s="7">
        <f t="shared" si="73"/>
        <v>24681</v>
      </c>
      <c r="S384" s="124">
        <f>SUM(D380:D384)</f>
        <v>6307327392</v>
      </c>
      <c r="T384" s="124">
        <f>SUM(F380:F384)</f>
        <v>4774383823</v>
      </c>
      <c r="U384" s="124">
        <f>SUM(J380:J384)</f>
        <v>14635043.791571099</v>
      </c>
      <c r="W384" s="124">
        <f t="shared" si="74"/>
        <v>13454315.103</v>
      </c>
      <c r="X384">
        <f t="shared" si="71"/>
        <v>0</v>
      </c>
    </row>
    <row r="385" spans="1:24">
      <c r="A385" s="23" t="s">
        <v>410</v>
      </c>
      <c r="B385" s="35" t="s">
        <v>411</v>
      </c>
      <c r="C385" s="125">
        <v>737</v>
      </c>
      <c r="D385" s="132">
        <v>48585064</v>
      </c>
      <c r="E385" s="116">
        <f t="shared" si="75"/>
        <v>65922.746268656716</v>
      </c>
      <c r="F385" s="134">
        <v>30195379</v>
      </c>
      <c r="G385" s="117">
        <f t="shared" si="76"/>
        <v>40970.663500678427</v>
      </c>
      <c r="H385" s="7"/>
      <c r="I385" s="136">
        <v>7.5</v>
      </c>
      <c r="J385" s="134">
        <v>226465.3425</v>
      </c>
      <c r="K385" s="120">
        <f t="shared" si="77"/>
        <v>307.27997625508817</v>
      </c>
      <c r="L385" s="122">
        <f t="shared" si="68"/>
        <v>301953.78999999998</v>
      </c>
      <c r="M385" s="116">
        <f t="shared" si="69"/>
        <v>75488.44749999998</v>
      </c>
      <c r="N385" s="123">
        <f t="shared" si="70"/>
        <v>102.42665875169604</v>
      </c>
      <c r="O385" s="5"/>
      <c r="P385" s="5">
        <f t="shared" si="72"/>
        <v>1</v>
      </c>
      <c r="Q385" s="7">
        <f t="shared" si="73"/>
        <v>737</v>
      </c>
      <c r="W385" s="124">
        <f t="shared" si="74"/>
        <v>226465.3425</v>
      </c>
      <c r="X385">
        <f t="shared" si="71"/>
        <v>0</v>
      </c>
    </row>
    <row r="386" spans="1:24">
      <c r="A386" s="23" t="s">
        <v>412</v>
      </c>
      <c r="B386" s="35" t="s">
        <v>411</v>
      </c>
      <c r="C386" s="125">
        <v>6884</v>
      </c>
      <c r="D386" s="132">
        <v>403611928</v>
      </c>
      <c r="E386" s="116">
        <f t="shared" si="75"/>
        <v>58630.43695525857</v>
      </c>
      <c r="F386" s="134">
        <v>262829706</v>
      </c>
      <c r="G386" s="117">
        <f t="shared" si="76"/>
        <v>38179.794596165018</v>
      </c>
      <c r="H386" s="7"/>
      <c r="I386" s="136">
        <v>9.5</v>
      </c>
      <c r="J386" s="134">
        <v>2496882.2069999999</v>
      </c>
      <c r="K386" s="120">
        <f t="shared" si="77"/>
        <v>362.70804866356769</v>
      </c>
      <c r="L386" s="122">
        <f t="shared" si="68"/>
        <v>2628297.06</v>
      </c>
      <c r="M386" s="116">
        <f t="shared" si="69"/>
        <v>131414.85300000012</v>
      </c>
      <c r="N386" s="123">
        <f t="shared" si="70"/>
        <v>19.089897298082526</v>
      </c>
      <c r="O386" s="5"/>
      <c r="P386" s="5">
        <f t="shared" si="72"/>
        <v>1</v>
      </c>
      <c r="Q386" s="7">
        <f t="shared" si="73"/>
        <v>6884</v>
      </c>
      <c r="S386" s="124">
        <f>SUM(D385:D386)</f>
        <v>452196992</v>
      </c>
      <c r="T386" s="124">
        <f>SUM(F385:F386)</f>
        <v>293025085</v>
      </c>
      <c r="U386" s="124">
        <f>SUM(J385:J386)</f>
        <v>2723347.5494999997</v>
      </c>
      <c r="W386" s="124">
        <f t="shared" si="74"/>
        <v>2496882.2069999999</v>
      </c>
      <c r="X386">
        <f t="shared" si="71"/>
        <v>0</v>
      </c>
    </row>
    <row r="387" spans="1:24">
      <c r="A387" s="23" t="s">
        <v>413</v>
      </c>
      <c r="B387" s="35" t="s">
        <v>414</v>
      </c>
      <c r="C387" s="125">
        <v>7013</v>
      </c>
      <c r="D387" s="132">
        <v>537428957</v>
      </c>
      <c r="E387" s="116">
        <f t="shared" si="75"/>
        <v>76633.246399543699</v>
      </c>
      <c r="F387" s="134">
        <v>306433985</v>
      </c>
      <c r="G387" s="117">
        <f t="shared" si="76"/>
        <v>43695.135462712104</v>
      </c>
      <c r="H387" s="9"/>
      <c r="I387" s="136">
        <v>6.3586999999999998</v>
      </c>
      <c r="J387" s="134">
        <v>1948521.7804194998</v>
      </c>
      <c r="K387" s="120">
        <f t="shared" si="77"/>
        <v>277.84425786674745</v>
      </c>
      <c r="L387" s="122">
        <f t="shared" si="68"/>
        <v>3064339.85</v>
      </c>
      <c r="M387" s="116">
        <f t="shared" si="69"/>
        <v>1115818.0695805002</v>
      </c>
      <c r="N387" s="123">
        <f t="shared" si="70"/>
        <v>159.10709676037362</v>
      </c>
      <c r="O387" s="5"/>
      <c r="P387" s="5">
        <f t="shared" si="72"/>
        <v>1</v>
      </c>
      <c r="Q387" s="7">
        <f t="shared" si="73"/>
        <v>7013</v>
      </c>
      <c r="S387" s="124">
        <f>SUM(D387)</f>
        <v>537428957</v>
      </c>
      <c r="T387" s="124">
        <f>SUM(F387)</f>
        <v>306433985</v>
      </c>
      <c r="U387" s="124">
        <f>SUM(J387)</f>
        <v>1948521.7804194998</v>
      </c>
      <c r="W387" s="124">
        <f t="shared" si="74"/>
        <v>1948521.7804195001</v>
      </c>
      <c r="X387">
        <f t="shared" si="71"/>
        <v>0</v>
      </c>
    </row>
    <row r="388" spans="1:24">
      <c r="A388" s="23" t="s">
        <v>415</v>
      </c>
      <c r="B388" s="35" t="s">
        <v>416</v>
      </c>
      <c r="C388" s="125">
        <v>2004</v>
      </c>
      <c r="D388" s="132">
        <v>91316473</v>
      </c>
      <c r="E388" s="116">
        <f t="shared" si="75"/>
        <v>45567.102295409182</v>
      </c>
      <c r="F388" s="134">
        <v>44134023</v>
      </c>
      <c r="G388" s="117">
        <f t="shared" si="76"/>
        <v>22022.965568862277</v>
      </c>
      <c r="H388" s="9"/>
      <c r="I388" s="136">
        <v>2.75</v>
      </c>
      <c r="J388" s="134">
        <v>121368.56325000001</v>
      </c>
      <c r="K388" s="120">
        <f t="shared" si="77"/>
        <v>60.563155314371258</v>
      </c>
      <c r="L388" s="122">
        <f t="shared" si="68"/>
        <v>441340.23</v>
      </c>
      <c r="M388" s="116">
        <f t="shared" si="69"/>
        <v>319971.66674999997</v>
      </c>
      <c r="N388" s="123">
        <f t="shared" si="70"/>
        <v>159.66650037425148</v>
      </c>
      <c r="O388" s="5"/>
      <c r="P388" s="5">
        <f t="shared" si="72"/>
        <v>1</v>
      </c>
      <c r="Q388" s="7">
        <f t="shared" si="73"/>
        <v>2004</v>
      </c>
      <c r="W388" s="124">
        <f t="shared" si="74"/>
        <v>121368.56324999999</v>
      </c>
      <c r="X388">
        <f t="shared" si="71"/>
        <v>0</v>
      </c>
    </row>
    <row r="389" spans="1:24">
      <c r="A389" s="23" t="s">
        <v>417</v>
      </c>
      <c r="B389" s="35" t="s">
        <v>416</v>
      </c>
      <c r="C389" s="125">
        <v>236</v>
      </c>
      <c r="D389" s="147" t="s">
        <v>564</v>
      </c>
      <c r="E389" s="116"/>
      <c r="F389" s="134"/>
      <c r="G389" s="117"/>
      <c r="H389" s="98" t="s">
        <v>588</v>
      </c>
      <c r="I389" s="136"/>
      <c r="J389" s="134"/>
      <c r="K389" s="120"/>
      <c r="L389" s="122">
        <f t="shared" si="68"/>
        <v>0</v>
      </c>
      <c r="M389" s="116">
        <f t="shared" si="69"/>
        <v>0</v>
      </c>
      <c r="N389" s="123">
        <f t="shared" si="70"/>
        <v>0</v>
      </c>
      <c r="O389" s="5"/>
      <c r="P389" s="5">
        <f t="shared" si="72"/>
        <v>0</v>
      </c>
      <c r="Q389" s="7">
        <f t="shared" si="73"/>
        <v>0</v>
      </c>
      <c r="W389" s="124">
        <f t="shared" si="74"/>
        <v>0</v>
      </c>
      <c r="X389">
        <f t="shared" si="71"/>
        <v>0</v>
      </c>
    </row>
    <row r="390" spans="1:24">
      <c r="A390" s="23" t="s">
        <v>418</v>
      </c>
      <c r="B390" s="35" t="s">
        <v>416</v>
      </c>
      <c r="C390" s="125">
        <v>447</v>
      </c>
      <c r="D390" s="132">
        <v>16084643</v>
      </c>
      <c r="E390" s="116">
        <f t="shared" ref="E390:E406" si="78">(D390/C390)</f>
        <v>35983.541387024612</v>
      </c>
      <c r="F390" s="134">
        <v>8743604</v>
      </c>
      <c r="G390" s="117">
        <f t="shared" ref="G390:G406" si="79">(F390/C390)</f>
        <v>19560.635346756153</v>
      </c>
      <c r="H390" s="7"/>
      <c r="I390" s="150">
        <v>1.7295</v>
      </c>
      <c r="J390" s="134">
        <v>15122.063118</v>
      </c>
      <c r="K390" s="120">
        <f t="shared" ref="K390:K406" si="80">(J390/C390)</f>
        <v>33.830118832214765</v>
      </c>
      <c r="L390" s="122">
        <f t="shared" ref="L390:L416" si="81">(F390*0.01)</f>
        <v>87436.040000000008</v>
      </c>
      <c r="M390" s="116">
        <f t="shared" ref="M390:M416" si="82">(L390-J390)</f>
        <v>72313.976882000003</v>
      </c>
      <c r="N390" s="123">
        <f t="shared" ref="N390:N416" si="83">(M390/C390)</f>
        <v>161.77623463534675</v>
      </c>
      <c r="O390" s="5"/>
      <c r="P390" s="5">
        <f t="shared" si="72"/>
        <v>1</v>
      </c>
      <c r="Q390" s="7">
        <f t="shared" si="73"/>
        <v>447</v>
      </c>
      <c r="S390" s="124">
        <f>SUM(D388:D390)</f>
        <v>107401116</v>
      </c>
      <c r="T390" s="124">
        <f>SUM(F388:F390)</f>
        <v>52877627</v>
      </c>
      <c r="U390" s="124">
        <f>SUM(J388:J390)</f>
        <v>136490.626368</v>
      </c>
      <c r="W390" s="124">
        <f t="shared" si="74"/>
        <v>15122.063118000002</v>
      </c>
      <c r="X390">
        <f t="shared" si="71"/>
        <v>0</v>
      </c>
    </row>
    <row r="391" spans="1:24">
      <c r="A391" s="23" t="s">
        <v>419</v>
      </c>
      <c r="B391" s="35" t="s">
        <v>420</v>
      </c>
      <c r="C391" s="125">
        <v>77633</v>
      </c>
      <c r="D391" s="132">
        <v>12175523149</v>
      </c>
      <c r="E391" s="116">
        <f t="shared" si="78"/>
        <v>156834.37647649841</v>
      </c>
      <c r="F391" s="134">
        <v>7274089622</v>
      </c>
      <c r="G391" s="117">
        <f t="shared" si="79"/>
        <v>93698.422346167223</v>
      </c>
      <c r="H391" s="7"/>
      <c r="I391" s="136">
        <v>5.43</v>
      </c>
      <c r="J391" s="134">
        <v>39498306.647459999</v>
      </c>
      <c r="K391" s="120">
        <f t="shared" si="80"/>
        <v>508.782433339688</v>
      </c>
      <c r="L391" s="122">
        <f t="shared" si="81"/>
        <v>72740896.219999999</v>
      </c>
      <c r="M391" s="116">
        <f t="shared" si="82"/>
        <v>33242589.57254</v>
      </c>
      <c r="N391" s="123">
        <f t="shared" si="83"/>
        <v>428.20179012198423</v>
      </c>
      <c r="O391" s="5"/>
      <c r="P391" s="5">
        <f t="shared" si="72"/>
        <v>1</v>
      </c>
      <c r="Q391" s="7">
        <f t="shared" si="73"/>
        <v>77633</v>
      </c>
      <c r="W391" s="124">
        <f t="shared" si="74"/>
        <v>39498306.647459999</v>
      </c>
      <c r="X391">
        <f t="shared" ref="X391:X416" si="84">IF(W391=J391,0,1)</f>
        <v>0</v>
      </c>
    </row>
    <row r="392" spans="1:24">
      <c r="A392" s="23" t="s">
        <v>421</v>
      </c>
      <c r="B392" s="35" t="s">
        <v>420</v>
      </c>
      <c r="C392" s="125">
        <v>5279</v>
      </c>
      <c r="D392" s="132">
        <v>2581900331</v>
      </c>
      <c r="E392" s="116">
        <f t="shared" si="78"/>
        <v>489088.9052850919</v>
      </c>
      <c r="F392" s="134">
        <v>1995010576</v>
      </c>
      <c r="G392" s="117">
        <f t="shared" si="79"/>
        <v>377914.48683462775</v>
      </c>
      <c r="H392" s="7"/>
      <c r="I392" s="136">
        <v>4.6388999999999996</v>
      </c>
      <c r="J392" s="134">
        <v>9254654.5610063989</v>
      </c>
      <c r="K392" s="120">
        <f t="shared" si="80"/>
        <v>1753.1075129771546</v>
      </c>
      <c r="L392" s="122">
        <f t="shared" si="81"/>
        <v>19950105.760000002</v>
      </c>
      <c r="M392" s="116">
        <f t="shared" si="82"/>
        <v>10695451.198993603</v>
      </c>
      <c r="N392" s="123">
        <f t="shared" si="83"/>
        <v>2026.0373553691234</v>
      </c>
      <c r="O392" s="5"/>
      <c r="P392" s="5">
        <f t="shared" ref="P392:P416" si="85">IF(I392&gt;0,1,0)</f>
        <v>1</v>
      </c>
      <c r="Q392" s="7">
        <f t="shared" ref="Q392:Q416" si="86">IF(I392&gt;0,C392,0)</f>
        <v>5279</v>
      </c>
      <c r="W392" s="124">
        <f t="shared" ref="W392:W416" si="87">F392*(I392/1000)</f>
        <v>9254654.5610063989</v>
      </c>
      <c r="X392">
        <f t="shared" si="84"/>
        <v>0</v>
      </c>
    </row>
    <row r="393" spans="1:24">
      <c r="A393" s="23" t="s">
        <v>462</v>
      </c>
      <c r="B393" s="35" t="s">
        <v>420</v>
      </c>
      <c r="C393" s="125">
        <v>23336</v>
      </c>
      <c r="D393" s="132">
        <v>4168381496</v>
      </c>
      <c r="E393" s="116">
        <f t="shared" si="78"/>
        <v>178624.50702776827</v>
      </c>
      <c r="F393" s="134">
        <v>2670024422</v>
      </c>
      <c r="G393" s="117">
        <f t="shared" si="79"/>
        <v>114416.54190949605</v>
      </c>
      <c r="H393" s="7"/>
      <c r="I393" s="136">
        <v>2.9247000000000001</v>
      </c>
      <c r="J393" s="134">
        <v>7809020.4270234006</v>
      </c>
      <c r="K393" s="120">
        <f t="shared" si="80"/>
        <v>334.63406012270315</v>
      </c>
      <c r="L393" s="122">
        <f t="shared" si="81"/>
        <v>26700244.219999999</v>
      </c>
      <c r="M393" s="116">
        <f t="shared" si="82"/>
        <v>18891223.792976599</v>
      </c>
      <c r="N393" s="123">
        <f t="shared" si="83"/>
        <v>809.53135897225741</v>
      </c>
      <c r="O393" s="5"/>
      <c r="P393" s="5">
        <f t="shared" si="85"/>
        <v>1</v>
      </c>
      <c r="Q393" s="7">
        <f t="shared" si="86"/>
        <v>23336</v>
      </c>
      <c r="W393" s="124">
        <f t="shared" si="87"/>
        <v>7809020.4270234006</v>
      </c>
      <c r="X393">
        <f t="shared" si="84"/>
        <v>0</v>
      </c>
    </row>
    <row r="394" spans="1:24">
      <c r="A394" s="23" t="s">
        <v>463</v>
      </c>
      <c r="B394" s="35" t="s">
        <v>420</v>
      </c>
      <c r="C394" s="125">
        <v>39282</v>
      </c>
      <c r="D394" s="132">
        <v>4804888021</v>
      </c>
      <c r="E394" s="116">
        <f t="shared" si="78"/>
        <v>122317.80512703019</v>
      </c>
      <c r="F394" s="134">
        <v>2655504356</v>
      </c>
      <c r="G394" s="117">
        <f t="shared" si="79"/>
        <v>67601.047706328594</v>
      </c>
      <c r="H394" s="7"/>
      <c r="I394" s="136">
        <v>6.5841000000000003</v>
      </c>
      <c r="J394" s="134">
        <v>17484106.230339598</v>
      </c>
      <c r="K394" s="120">
        <f t="shared" si="80"/>
        <v>445.09205820323808</v>
      </c>
      <c r="L394" s="122">
        <f t="shared" si="81"/>
        <v>26555043.560000002</v>
      </c>
      <c r="M394" s="116">
        <f t="shared" si="82"/>
        <v>9070937.3296604045</v>
      </c>
      <c r="N394" s="123">
        <f t="shared" si="83"/>
        <v>230.91841886004798</v>
      </c>
      <c r="O394" s="5"/>
      <c r="P394" s="5">
        <f t="shared" si="85"/>
        <v>1</v>
      </c>
      <c r="Q394" s="7">
        <f t="shared" si="86"/>
        <v>39282</v>
      </c>
      <c r="W394" s="124">
        <f t="shared" si="87"/>
        <v>17484106.230339602</v>
      </c>
      <c r="X394">
        <f t="shared" si="84"/>
        <v>0</v>
      </c>
    </row>
    <row r="395" spans="1:24">
      <c r="A395" s="23" t="s">
        <v>422</v>
      </c>
      <c r="B395" s="35" t="s">
        <v>420</v>
      </c>
      <c r="C395" s="125">
        <v>95918</v>
      </c>
      <c r="D395" s="132">
        <v>8875628797</v>
      </c>
      <c r="E395" s="116">
        <f t="shared" si="78"/>
        <v>92533.505671511084</v>
      </c>
      <c r="F395" s="134">
        <v>3956437860</v>
      </c>
      <c r="G395" s="117">
        <f t="shared" si="79"/>
        <v>41248.127150274195</v>
      </c>
      <c r="H395" s="7"/>
      <c r="I395" s="136">
        <v>7.65</v>
      </c>
      <c r="J395" s="134">
        <v>30266749.629000001</v>
      </c>
      <c r="K395" s="120">
        <f t="shared" si="80"/>
        <v>315.54817269959756</v>
      </c>
      <c r="L395" s="122">
        <f t="shared" si="81"/>
        <v>39564378.600000001</v>
      </c>
      <c r="M395" s="116">
        <f t="shared" si="82"/>
        <v>9297628.9710000008</v>
      </c>
      <c r="N395" s="123">
        <f t="shared" si="83"/>
        <v>96.933098803144361</v>
      </c>
      <c r="O395" s="5"/>
      <c r="P395" s="5">
        <f t="shared" si="85"/>
        <v>1</v>
      </c>
      <c r="Q395" s="7">
        <f t="shared" si="86"/>
        <v>95918</v>
      </c>
      <c r="W395" s="124">
        <f t="shared" si="87"/>
        <v>30266749.629000001</v>
      </c>
      <c r="X395">
        <f t="shared" si="84"/>
        <v>0</v>
      </c>
    </row>
    <row r="396" spans="1:24">
      <c r="A396" s="23" t="s">
        <v>423</v>
      </c>
      <c r="B396" s="35" t="s">
        <v>420</v>
      </c>
      <c r="C396" s="125">
        <v>23855</v>
      </c>
      <c r="D396" s="132">
        <v>2822010843</v>
      </c>
      <c r="E396" s="116">
        <f t="shared" si="78"/>
        <v>118298.50526095158</v>
      </c>
      <c r="F396" s="134">
        <v>1483802169</v>
      </c>
      <c r="G396" s="117">
        <f t="shared" si="79"/>
        <v>62200.887403060158</v>
      </c>
      <c r="H396" s="7"/>
      <c r="I396" s="136">
        <v>6.33</v>
      </c>
      <c r="J396" s="134">
        <v>9392467.729770001</v>
      </c>
      <c r="K396" s="120">
        <f t="shared" si="80"/>
        <v>393.73161726137084</v>
      </c>
      <c r="L396" s="122">
        <f t="shared" si="81"/>
        <v>14838021.689999999</v>
      </c>
      <c r="M396" s="116">
        <f t="shared" si="82"/>
        <v>5445553.9602299985</v>
      </c>
      <c r="N396" s="123">
        <f t="shared" si="83"/>
        <v>228.27725676923072</v>
      </c>
      <c r="O396" s="5"/>
      <c r="P396" s="5">
        <f t="shared" si="85"/>
        <v>1</v>
      </c>
      <c r="Q396" s="7">
        <f t="shared" si="86"/>
        <v>23855</v>
      </c>
      <c r="W396" s="124">
        <f t="shared" si="87"/>
        <v>9392467.7297699992</v>
      </c>
      <c r="X396">
        <f t="shared" si="84"/>
        <v>0</v>
      </c>
    </row>
    <row r="397" spans="1:24">
      <c r="A397" s="23" t="s">
        <v>424</v>
      </c>
      <c r="B397" s="35" t="s">
        <v>420</v>
      </c>
      <c r="C397" s="125">
        <v>12983</v>
      </c>
      <c r="D397" s="132">
        <v>1262793321</v>
      </c>
      <c r="E397" s="116">
        <f t="shared" si="78"/>
        <v>97265.14064545944</v>
      </c>
      <c r="F397" s="134">
        <v>820514326</v>
      </c>
      <c r="G397" s="117">
        <f t="shared" si="79"/>
        <v>63199.131633674806</v>
      </c>
      <c r="H397" s="7"/>
      <c r="I397" s="136">
        <v>6.25</v>
      </c>
      <c r="J397" s="134">
        <v>5128214.5374999996</v>
      </c>
      <c r="K397" s="120">
        <f t="shared" si="80"/>
        <v>394.99457271046748</v>
      </c>
      <c r="L397" s="122">
        <f t="shared" si="81"/>
        <v>8205143.2599999998</v>
      </c>
      <c r="M397" s="116">
        <f t="shared" si="82"/>
        <v>3076928.7225000001</v>
      </c>
      <c r="N397" s="123">
        <f t="shared" si="83"/>
        <v>236.99674362628053</v>
      </c>
      <c r="O397" s="5"/>
      <c r="P397" s="5">
        <f t="shared" si="85"/>
        <v>1</v>
      </c>
      <c r="Q397" s="7">
        <f t="shared" si="86"/>
        <v>12983</v>
      </c>
      <c r="W397" s="124">
        <f t="shared" si="87"/>
        <v>5128214.5375000006</v>
      </c>
      <c r="X397">
        <f t="shared" si="84"/>
        <v>0</v>
      </c>
    </row>
    <row r="398" spans="1:24">
      <c r="A398" s="23" t="s">
        <v>425</v>
      </c>
      <c r="B398" s="35" t="s">
        <v>420</v>
      </c>
      <c r="C398" s="125">
        <v>2974</v>
      </c>
      <c r="D398" s="132">
        <v>320154751</v>
      </c>
      <c r="E398" s="116">
        <f t="shared" si="78"/>
        <v>107651.2276395427</v>
      </c>
      <c r="F398" s="134">
        <v>152403409</v>
      </c>
      <c r="G398" s="117">
        <f t="shared" si="79"/>
        <v>51245.261936785471</v>
      </c>
      <c r="H398" s="7"/>
      <c r="I398" s="136">
        <v>6.85</v>
      </c>
      <c r="J398" s="134">
        <v>1043963.35165</v>
      </c>
      <c r="K398" s="120">
        <f t="shared" si="80"/>
        <v>351.0300442669805</v>
      </c>
      <c r="L398" s="122">
        <f t="shared" si="81"/>
        <v>1524034.09</v>
      </c>
      <c r="M398" s="116">
        <f t="shared" si="82"/>
        <v>480070.73835000012</v>
      </c>
      <c r="N398" s="123">
        <f t="shared" si="83"/>
        <v>161.42257510087427</v>
      </c>
      <c r="O398" s="5"/>
      <c r="P398" s="5">
        <f t="shared" si="85"/>
        <v>1</v>
      </c>
      <c r="Q398" s="7">
        <f t="shared" si="86"/>
        <v>2974</v>
      </c>
      <c r="W398" s="124">
        <f t="shared" si="87"/>
        <v>1043963.3516499999</v>
      </c>
      <c r="X398">
        <f t="shared" si="84"/>
        <v>0</v>
      </c>
    </row>
    <row r="399" spans="1:24">
      <c r="A399" s="23" t="s">
        <v>426</v>
      </c>
      <c r="B399" s="35" t="s">
        <v>420</v>
      </c>
      <c r="C399" s="125">
        <v>31380</v>
      </c>
      <c r="D399" s="132">
        <v>8956843609</v>
      </c>
      <c r="E399" s="116">
        <f t="shared" si="78"/>
        <v>285431.60003186745</v>
      </c>
      <c r="F399" s="134">
        <v>5588910226</v>
      </c>
      <c r="G399" s="117">
        <f t="shared" si="79"/>
        <v>178104.21370299553</v>
      </c>
      <c r="H399" s="7"/>
      <c r="I399" s="136">
        <v>3.95</v>
      </c>
      <c r="J399" s="134">
        <v>22076195.392700002</v>
      </c>
      <c r="K399" s="120">
        <f t="shared" si="80"/>
        <v>703.51164412683238</v>
      </c>
      <c r="L399" s="122">
        <f t="shared" si="81"/>
        <v>55889102.259999998</v>
      </c>
      <c r="M399" s="116">
        <f t="shared" si="82"/>
        <v>33812906.867299996</v>
      </c>
      <c r="N399" s="123">
        <f t="shared" si="83"/>
        <v>1077.5304929031229</v>
      </c>
      <c r="O399" s="5"/>
      <c r="P399" s="5">
        <f t="shared" si="85"/>
        <v>1</v>
      </c>
      <c r="Q399" s="7">
        <f t="shared" si="86"/>
        <v>31380</v>
      </c>
      <c r="W399" s="124">
        <f t="shared" si="87"/>
        <v>22076195.392700002</v>
      </c>
      <c r="X399">
        <f t="shared" si="84"/>
        <v>0</v>
      </c>
    </row>
    <row r="400" spans="1:24">
      <c r="A400" s="23" t="s">
        <v>427</v>
      </c>
      <c r="B400" s="35" t="s">
        <v>420</v>
      </c>
      <c r="C400" s="125">
        <v>2036</v>
      </c>
      <c r="D400" s="132">
        <v>346760568</v>
      </c>
      <c r="E400" s="116">
        <f t="shared" si="78"/>
        <v>170314.62082514734</v>
      </c>
      <c r="F400" s="134">
        <v>171534107</v>
      </c>
      <c r="G400" s="117">
        <f t="shared" si="79"/>
        <v>84250.543713163061</v>
      </c>
      <c r="H400" s="7"/>
      <c r="I400" s="136">
        <v>5.6820000000000004</v>
      </c>
      <c r="J400" s="134">
        <v>974656.79597400012</v>
      </c>
      <c r="K400" s="120">
        <f t="shared" si="80"/>
        <v>478.71158937819257</v>
      </c>
      <c r="L400" s="122">
        <f t="shared" si="81"/>
        <v>1715341.07</v>
      </c>
      <c r="M400" s="116">
        <f t="shared" si="82"/>
        <v>740684.27402599994</v>
      </c>
      <c r="N400" s="123">
        <f t="shared" si="83"/>
        <v>363.79384775343806</v>
      </c>
      <c r="O400" s="5"/>
      <c r="P400" s="5">
        <f t="shared" si="85"/>
        <v>1</v>
      </c>
      <c r="Q400" s="7">
        <f t="shared" si="86"/>
        <v>2036</v>
      </c>
      <c r="W400" s="124">
        <f t="shared" si="87"/>
        <v>974656.79597400012</v>
      </c>
      <c r="X400">
        <f t="shared" si="84"/>
        <v>0</v>
      </c>
    </row>
    <row r="401" spans="1:24">
      <c r="A401" s="23" t="s">
        <v>428</v>
      </c>
      <c r="B401" s="35" t="s">
        <v>420</v>
      </c>
      <c r="C401" s="125">
        <v>13898</v>
      </c>
      <c r="D401" s="132">
        <v>1650207027</v>
      </c>
      <c r="E401" s="116">
        <f t="shared" si="78"/>
        <v>118737.0144625126</v>
      </c>
      <c r="F401" s="134">
        <v>1025274330</v>
      </c>
      <c r="G401" s="117">
        <f t="shared" si="79"/>
        <v>73771.357749316448</v>
      </c>
      <c r="H401" s="7"/>
      <c r="I401" s="136">
        <v>7.69</v>
      </c>
      <c r="J401" s="134">
        <v>7884359.5977000007</v>
      </c>
      <c r="K401" s="120">
        <f t="shared" si="80"/>
        <v>567.30174109224356</v>
      </c>
      <c r="L401" s="122">
        <f t="shared" si="81"/>
        <v>10252743.300000001</v>
      </c>
      <c r="M401" s="116">
        <f t="shared" si="82"/>
        <v>2368383.7023</v>
      </c>
      <c r="N401" s="123">
        <f t="shared" si="83"/>
        <v>170.411836400921</v>
      </c>
      <c r="O401" s="5"/>
      <c r="P401" s="5">
        <f t="shared" si="85"/>
        <v>1</v>
      </c>
      <c r="Q401" s="7">
        <f t="shared" si="86"/>
        <v>13898</v>
      </c>
      <c r="W401" s="124">
        <f t="shared" si="87"/>
        <v>7884359.5977000007</v>
      </c>
      <c r="X401">
        <f t="shared" si="84"/>
        <v>0</v>
      </c>
    </row>
    <row r="402" spans="1:24">
      <c r="A402" s="23" t="s">
        <v>429</v>
      </c>
      <c r="B402" s="35" t="s">
        <v>420</v>
      </c>
      <c r="C402" s="125">
        <v>44677</v>
      </c>
      <c r="D402" s="132">
        <v>7423039948</v>
      </c>
      <c r="E402" s="116">
        <f t="shared" si="78"/>
        <v>166149.02406159768</v>
      </c>
      <c r="F402" s="134">
        <v>4586922498</v>
      </c>
      <c r="G402" s="117">
        <f t="shared" si="79"/>
        <v>102668.54305347271</v>
      </c>
      <c r="H402" s="7"/>
      <c r="I402" s="136">
        <v>3.7610000000000001</v>
      </c>
      <c r="J402" s="134">
        <v>17251415.514977999</v>
      </c>
      <c r="K402" s="120">
        <f t="shared" si="80"/>
        <v>386.1363904241108</v>
      </c>
      <c r="L402" s="122">
        <f t="shared" si="81"/>
        <v>45869224.980000004</v>
      </c>
      <c r="M402" s="116">
        <f t="shared" si="82"/>
        <v>28617809.465022005</v>
      </c>
      <c r="N402" s="123">
        <f t="shared" si="83"/>
        <v>640.54904011061626</v>
      </c>
      <c r="O402" s="5"/>
      <c r="P402" s="5">
        <f t="shared" si="85"/>
        <v>1</v>
      </c>
      <c r="Q402" s="7">
        <f t="shared" si="86"/>
        <v>44677</v>
      </c>
      <c r="W402" s="124">
        <f t="shared" si="87"/>
        <v>17251415.514977999</v>
      </c>
      <c r="X402">
        <f t="shared" si="84"/>
        <v>0</v>
      </c>
    </row>
    <row r="403" spans="1:24">
      <c r="A403" s="23" t="s">
        <v>430</v>
      </c>
      <c r="B403" s="35" t="s">
        <v>420</v>
      </c>
      <c r="C403" s="125">
        <v>1564</v>
      </c>
      <c r="D403" s="132">
        <v>185495754</v>
      </c>
      <c r="E403" s="116">
        <f t="shared" si="78"/>
        <v>118603.42327365729</v>
      </c>
      <c r="F403" s="134">
        <v>71581311</v>
      </c>
      <c r="G403" s="117">
        <f t="shared" si="79"/>
        <v>45768.101662404093</v>
      </c>
      <c r="H403" s="7"/>
      <c r="I403" s="136">
        <v>5.2439</v>
      </c>
      <c r="J403" s="134">
        <v>375365.2367529</v>
      </c>
      <c r="K403" s="120">
        <f t="shared" si="80"/>
        <v>240.00334830748082</v>
      </c>
      <c r="L403" s="122">
        <f t="shared" si="81"/>
        <v>715813.11</v>
      </c>
      <c r="M403" s="116">
        <f t="shared" si="82"/>
        <v>340447.87324709998</v>
      </c>
      <c r="N403" s="123">
        <f t="shared" si="83"/>
        <v>217.6776683165601</v>
      </c>
      <c r="O403" s="5"/>
      <c r="P403" s="5">
        <f t="shared" si="85"/>
        <v>1</v>
      </c>
      <c r="Q403" s="7">
        <f t="shared" si="86"/>
        <v>1564</v>
      </c>
      <c r="W403" s="124">
        <f t="shared" si="87"/>
        <v>375365.2367529</v>
      </c>
      <c r="X403">
        <f t="shared" si="84"/>
        <v>0</v>
      </c>
    </row>
    <row r="404" spans="1:24">
      <c r="A404" s="23" t="s">
        <v>431</v>
      </c>
      <c r="B404" s="35" t="s">
        <v>420</v>
      </c>
      <c r="C404" s="125">
        <v>3391</v>
      </c>
      <c r="D404" s="132">
        <v>1641278639</v>
      </c>
      <c r="E404" s="116">
        <f t="shared" si="78"/>
        <v>484010.2149808316</v>
      </c>
      <c r="F404" s="134">
        <v>1124646031</v>
      </c>
      <c r="G404" s="117">
        <f t="shared" si="79"/>
        <v>331656.15777056915</v>
      </c>
      <c r="H404" s="7"/>
      <c r="I404" s="136">
        <v>5.3</v>
      </c>
      <c r="J404" s="134">
        <v>5960623.9643000001</v>
      </c>
      <c r="K404" s="120">
        <f t="shared" si="80"/>
        <v>1757.7776361840165</v>
      </c>
      <c r="L404" s="122">
        <f t="shared" si="81"/>
        <v>11246460.310000001</v>
      </c>
      <c r="M404" s="116">
        <f t="shared" si="82"/>
        <v>5285836.3457000004</v>
      </c>
      <c r="N404" s="123">
        <f t="shared" si="83"/>
        <v>1558.7839415216752</v>
      </c>
      <c r="O404" s="5"/>
      <c r="P404" s="5">
        <f t="shared" si="85"/>
        <v>1</v>
      </c>
      <c r="Q404" s="7">
        <f t="shared" si="86"/>
        <v>3391</v>
      </c>
      <c r="W404" s="124">
        <f t="shared" si="87"/>
        <v>5960623.9643000001</v>
      </c>
      <c r="X404">
        <f t="shared" si="84"/>
        <v>0</v>
      </c>
    </row>
    <row r="405" spans="1:24">
      <c r="A405" s="23" t="s">
        <v>432</v>
      </c>
      <c r="B405" s="35" t="s">
        <v>420</v>
      </c>
      <c r="C405" s="125">
        <v>64230</v>
      </c>
      <c r="D405" s="132">
        <v>7677383691</v>
      </c>
      <c r="E405" s="116">
        <f t="shared" si="78"/>
        <v>119529.56081270434</v>
      </c>
      <c r="F405" s="134">
        <v>4507159078</v>
      </c>
      <c r="G405" s="117">
        <f t="shared" si="79"/>
        <v>70172.179324303288</v>
      </c>
      <c r="H405" s="7"/>
      <c r="I405" s="136">
        <v>4.8609999999999998</v>
      </c>
      <c r="J405" s="134">
        <v>21909300.278157998</v>
      </c>
      <c r="K405" s="120">
        <f t="shared" si="80"/>
        <v>341.10696369543825</v>
      </c>
      <c r="L405" s="122">
        <f t="shared" si="81"/>
        <v>45071590.780000001</v>
      </c>
      <c r="M405" s="116">
        <f t="shared" si="82"/>
        <v>23162290.501842003</v>
      </c>
      <c r="N405" s="123">
        <f t="shared" si="83"/>
        <v>360.61482954759464</v>
      </c>
      <c r="O405" s="5"/>
      <c r="P405" s="5">
        <f t="shared" si="85"/>
        <v>1</v>
      </c>
      <c r="Q405" s="7">
        <f t="shared" si="86"/>
        <v>64230</v>
      </c>
      <c r="W405" s="124">
        <f t="shared" si="87"/>
        <v>21909300.278157998</v>
      </c>
      <c r="X405">
        <f t="shared" si="84"/>
        <v>0</v>
      </c>
    </row>
    <row r="406" spans="1:24">
      <c r="A406" s="23" t="s">
        <v>433</v>
      </c>
      <c r="B406" s="35" t="s">
        <v>420</v>
      </c>
      <c r="C406" s="125">
        <v>13362</v>
      </c>
      <c r="D406" s="132">
        <v>1379363192</v>
      </c>
      <c r="E406" s="116">
        <f t="shared" si="78"/>
        <v>103230.29426732525</v>
      </c>
      <c r="F406" s="134">
        <v>835937773</v>
      </c>
      <c r="G406" s="117">
        <f t="shared" si="79"/>
        <v>62560.827196527469</v>
      </c>
      <c r="H406" s="9"/>
      <c r="I406" s="136">
        <v>7.75</v>
      </c>
      <c r="J406" s="134">
        <v>6478517.7407499999</v>
      </c>
      <c r="K406" s="120">
        <f t="shared" si="80"/>
        <v>484.84641077308783</v>
      </c>
      <c r="L406" s="122">
        <f t="shared" si="81"/>
        <v>8359377.7300000004</v>
      </c>
      <c r="M406" s="116">
        <f t="shared" si="82"/>
        <v>1880859.9892500006</v>
      </c>
      <c r="N406" s="123">
        <f t="shared" si="83"/>
        <v>140.76186119218684</v>
      </c>
      <c r="O406" s="5"/>
      <c r="P406" s="5">
        <f t="shared" si="85"/>
        <v>1</v>
      </c>
      <c r="Q406" s="7">
        <f t="shared" si="86"/>
        <v>13362</v>
      </c>
      <c r="S406" s="124">
        <f>SUM(D391:D406)</f>
        <v>66271653137</v>
      </c>
      <c r="T406" s="124">
        <f>SUM(F391:F406)</f>
        <v>38919752094</v>
      </c>
      <c r="U406" s="124">
        <f>SUM(J391:J406)</f>
        <v>202787917.63506228</v>
      </c>
      <c r="W406" s="124">
        <f t="shared" si="87"/>
        <v>6478517.7407499999</v>
      </c>
      <c r="X406">
        <f t="shared" si="84"/>
        <v>0</v>
      </c>
    </row>
    <row r="407" spans="1:24">
      <c r="A407" s="23" t="s">
        <v>435</v>
      </c>
      <c r="B407" s="35" t="s">
        <v>434</v>
      </c>
      <c r="C407" s="125">
        <v>443</v>
      </c>
      <c r="D407" s="147" t="s">
        <v>564</v>
      </c>
      <c r="E407" s="116"/>
      <c r="F407" s="134"/>
      <c r="G407" s="117"/>
      <c r="H407" s="98" t="s">
        <v>588</v>
      </c>
      <c r="I407" s="136"/>
      <c r="J407" s="134"/>
      <c r="K407" s="120"/>
      <c r="L407" s="122">
        <f t="shared" si="81"/>
        <v>0</v>
      </c>
      <c r="M407" s="116">
        <f t="shared" si="82"/>
        <v>0</v>
      </c>
      <c r="N407" s="123">
        <f t="shared" si="83"/>
        <v>0</v>
      </c>
      <c r="O407" s="5"/>
      <c r="P407" s="5">
        <f t="shared" si="85"/>
        <v>0</v>
      </c>
      <c r="Q407" s="7">
        <f t="shared" si="86"/>
        <v>0</v>
      </c>
      <c r="W407" s="124">
        <f t="shared" si="87"/>
        <v>0</v>
      </c>
      <c r="X407">
        <f t="shared" si="84"/>
        <v>0</v>
      </c>
    </row>
    <row r="408" spans="1:24">
      <c r="A408" s="24" t="s">
        <v>555</v>
      </c>
      <c r="B408" s="35" t="s">
        <v>434</v>
      </c>
      <c r="C408" s="125">
        <v>320</v>
      </c>
      <c r="D408" s="132">
        <v>55219930</v>
      </c>
      <c r="E408" s="116">
        <f>(D408/C408)</f>
        <v>172562.28125</v>
      </c>
      <c r="F408" s="134">
        <v>33904709</v>
      </c>
      <c r="G408" s="117">
        <f>(F408/C408)</f>
        <v>105952.215625</v>
      </c>
      <c r="H408" s="9"/>
      <c r="I408" s="136">
        <v>6</v>
      </c>
      <c r="J408" s="134">
        <v>203428.25399999999</v>
      </c>
      <c r="K408" s="120">
        <f>(J408/C408)</f>
        <v>635.71329374999993</v>
      </c>
      <c r="L408" s="122">
        <f t="shared" si="81"/>
        <v>339047.09</v>
      </c>
      <c r="M408" s="116">
        <f t="shared" si="82"/>
        <v>135618.83600000004</v>
      </c>
      <c r="N408" s="123">
        <f t="shared" si="83"/>
        <v>423.80886250000015</v>
      </c>
      <c r="O408" s="5"/>
      <c r="P408" s="5">
        <f t="shared" si="85"/>
        <v>1</v>
      </c>
      <c r="Q408" s="7">
        <f t="shared" si="86"/>
        <v>320</v>
      </c>
      <c r="S408" s="124">
        <f>SUM(D407:D408)</f>
        <v>55219930</v>
      </c>
      <c r="T408" s="124">
        <f>SUM(F407:F408)</f>
        <v>33904709</v>
      </c>
      <c r="U408" s="124">
        <f>SUM(J407:J408)</f>
        <v>203428.25399999999</v>
      </c>
      <c r="W408" s="124">
        <f t="shared" si="87"/>
        <v>203428.25400000002</v>
      </c>
      <c r="X408">
        <f t="shared" si="84"/>
        <v>0</v>
      </c>
    </row>
    <row r="409" spans="1:24">
      <c r="A409" s="23" t="s">
        <v>436</v>
      </c>
      <c r="B409" s="35" t="s">
        <v>437</v>
      </c>
      <c r="C409" s="125">
        <v>5945</v>
      </c>
      <c r="D409" s="132">
        <v>555249414</v>
      </c>
      <c r="E409" s="116">
        <f>(D409/C409)</f>
        <v>93397.714718250631</v>
      </c>
      <c r="F409" s="134">
        <v>310187190</v>
      </c>
      <c r="G409" s="117">
        <f>(F409/C409)</f>
        <v>52176.146341463413</v>
      </c>
      <c r="H409" s="9"/>
      <c r="I409" s="150">
        <v>5.5</v>
      </c>
      <c r="J409" s="134">
        <v>1706029.5449999999</v>
      </c>
      <c r="K409" s="120">
        <f>(J409/C409)</f>
        <v>286.96880487804879</v>
      </c>
      <c r="L409" s="122">
        <f t="shared" si="81"/>
        <v>3101871.9</v>
      </c>
      <c r="M409" s="116">
        <f t="shared" si="82"/>
        <v>1395842.355</v>
      </c>
      <c r="N409" s="123">
        <f t="shared" si="83"/>
        <v>234.79265853658535</v>
      </c>
      <c r="O409" s="5"/>
      <c r="P409" s="5">
        <f t="shared" si="85"/>
        <v>1</v>
      </c>
      <c r="Q409" s="7">
        <f t="shared" si="86"/>
        <v>5945</v>
      </c>
      <c r="W409" s="124">
        <f t="shared" si="87"/>
        <v>1706029.5449999999</v>
      </c>
      <c r="X409">
        <f t="shared" si="84"/>
        <v>0</v>
      </c>
    </row>
    <row r="410" spans="1:24">
      <c r="A410" s="23" t="s">
        <v>438</v>
      </c>
      <c r="B410" s="35" t="s">
        <v>437</v>
      </c>
      <c r="C410" s="125">
        <v>8068</v>
      </c>
      <c r="D410" s="132">
        <v>1188440807</v>
      </c>
      <c r="E410" s="116">
        <f>(D410/C410)</f>
        <v>147303.02516113038</v>
      </c>
      <c r="F410" s="134">
        <v>795241980</v>
      </c>
      <c r="G410" s="117">
        <f>(F410/C410)</f>
        <v>98567.424392662375</v>
      </c>
      <c r="H410" s="9"/>
      <c r="I410" s="150">
        <v>4.7302</v>
      </c>
      <c r="J410" s="134">
        <v>3761653.6137959999</v>
      </c>
      <c r="K410" s="120">
        <f>(J410/C410)</f>
        <v>466.24363086217153</v>
      </c>
      <c r="L410" s="122">
        <f t="shared" si="81"/>
        <v>7952419.7999999998</v>
      </c>
      <c r="M410" s="116">
        <f t="shared" si="82"/>
        <v>4190766.1862039999</v>
      </c>
      <c r="N410" s="123">
        <f t="shared" si="83"/>
        <v>519.43061306445213</v>
      </c>
      <c r="O410" s="5"/>
      <c r="P410" s="5">
        <f t="shared" si="85"/>
        <v>1</v>
      </c>
      <c r="Q410" s="7">
        <f t="shared" si="86"/>
        <v>8068</v>
      </c>
      <c r="W410" s="124">
        <f t="shared" si="87"/>
        <v>3761653.6137960004</v>
      </c>
      <c r="X410">
        <f t="shared" si="84"/>
        <v>0</v>
      </c>
    </row>
    <row r="411" spans="1:24">
      <c r="A411" s="23" t="s">
        <v>439</v>
      </c>
      <c r="B411" s="35" t="s">
        <v>437</v>
      </c>
      <c r="C411" s="125">
        <v>562</v>
      </c>
      <c r="D411" s="147" t="s">
        <v>564</v>
      </c>
      <c r="E411" s="116"/>
      <c r="F411" s="134"/>
      <c r="G411" s="117"/>
      <c r="H411" s="98" t="s">
        <v>588</v>
      </c>
      <c r="I411" s="136"/>
      <c r="J411" s="134"/>
      <c r="K411" s="120"/>
      <c r="L411" s="122">
        <f t="shared" si="81"/>
        <v>0</v>
      </c>
      <c r="M411" s="116">
        <f t="shared" si="82"/>
        <v>0</v>
      </c>
      <c r="N411" s="123">
        <f t="shared" si="83"/>
        <v>0</v>
      </c>
      <c r="O411" s="5"/>
      <c r="P411" s="5">
        <f t="shared" si="85"/>
        <v>0</v>
      </c>
      <c r="Q411" s="7">
        <f t="shared" si="86"/>
        <v>0</v>
      </c>
      <c r="S411" s="124">
        <f>SUM(D409:D411)</f>
        <v>1743690221</v>
      </c>
      <c r="T411" s="124">
        <f>SUM(F409:F411)</f>
        <v>1105429170</v>
      </c>
      <c r="U411" s="124">
        <f>SUM(J409:J411)</f>
        <v>5467683.1587959994</v>
      </c>
      <c r="W411" s="124">
        <f t="shared" si="87"/>
        <v>0</v>
      </c>
      <c r="X411">
        <f t="shared" si="84"/>
        <v>0</v>
      </c>
    </row>
    <row r="412" spans="1:24">
      <c r="A412" s="23" t="s">
        <v>440</v>
      </c>
      <c r="B412" s="35" t="s">
        <v>441</v>
      </c>
      <c r="C412" s="125">
        <v>296</v>
      </c>
      <c r="D412" s="147" t="s">
        <v>564</v>
      </c>
      <c r="E412" s="116"/>
      <c r="F412" s="134"/>
      <c r="G412" s="117"/>
      <c r="H412" s="98" t="s">
        <v>588</v>
      </c>
      <c r="I412" s="136"/>
      <c r="J412" s="134"/>
      <c r="K412" s="120"/>
      <c r="L412" s="122">
        <f t="shared" si="81"/>
        <v>0</v>
      </c>
      <c r="M412" s="116">
        <f t="shared" si="82"/>
        <v>0</v>
      </c>
      <c r="N412" s="123">
        <f t="shared" si="83"/>
        <v>0</v>
      </c>
      <c r="O412" s="5"/>
      <c r="P412" s="5">
        <f t="shared" si="85"/>
        <v>0</v>
      </c>
      <c r="Q412" s="7">
        <f t="shared" si="86"/>
        <v>0</v>
      </c>
      <c r="W412" s="124">
        <f t="shared" si="87"/>
        <v>0</v>
      </c>
      <c r="X412">
        <f t="shared" si="84"/>
        <v>0</v>
      </c>
    </row>
    <row r="413" spans="1:24">
      <c r="A413" s="23" t="s">
        <v>442</v>
      </c>
      <c r="B413" s="35" t="s">
        <v>441</v>
      </c>
      <c r="C413" s="125">
        <v>3597</v>
      </c>
      <c r="D413" s="132">
        <v>284867677</v>
      </c>
      <c r="E413" s="116">
        <f>(D413/C413)</f>
        <v>79195.906866833466</v>
      </c>
      <c r="F413" s="134">
        <v>170888457</v>
      </c>
      <c r="G413" s="117">
        <f>(F413/C413)</f>
        <v>47508.606338615515</v>
      </c>
      <c r="H413" s="9"/>
      <c r="I413" s="150">
        <v>7</v>
      </c>
      <c r="J413" s="134">
        <v>1196219.199</v>
      </c>
      <c r="K413" s="120">
        <f>(J413/C413)</f>
        <v>332.56024437030862</v>
      </c>
      <c r="L413" s="122">
        <f t="shared" si="81"/>
        <v>1708884.57</v>
      </c>
      <c r="M413" s="116">
        <f t="shared" si="82"/>
        <v>512665.37100000004</v>
      </c>
      <c r="N413" s="123">
        <f t="shared" si="83"/>
        <v>142.52581901584654</v>
      </c>
      <c r="O413" s="5"/>
      <c r="P413" s="5">
        <f t="shared" si="85"/>
        <v>1</v>
      </c>
      <c r="Q413" s="7">
        <f t="shared" si="86"/>
        <v>3597</v>
      </c>
      <c r="W413" s="124">
        <f t="shared" si="87"/>
        <v>1196219.199</v>
      </c>
      <c r="X413">
        <f t="shared" si="84"/>
        <v>0</v>
      </c>
    </row>
    <row r="414" spans="1:24">
      <c r="A414" s="23" t="s">
        <v>443</v>
      </c>
      <c r="B414" s="35" t="s">
        <v>441</v>
      </c>
      <c r="C414" s="125">
        <v>247</v>
      </c>
      <c r="D414" s="147" t="s">
        <v>564</v>
      </c>
      <c r="E414" s="116"/>
      <c r="F414" s="134"/>
      <c r="G414" s="117"/>
      <c r="H414" s="98" t="s">
        <v>588</v>
      </c>
      <c r="I414" s="136"/>
      <c r="J414" s="134"/>
      <c r="K414" s="120"/>
      <c r="L414" s="122">
        <f t="shared" si="81"/>
        <v>0</v>
      </c>
      <c r="M414" s="116">
        <f t="shared" si="82"/>
        <v>0</v>
      </c>
      <c r="N414" s="123">
        <f t="shared" si="83"/>
        <v>0</v>
      </c>
      <c r="O414" s="5"/>
      <c r="P414" s="5">
        <f t="shared" si="85"/>
        <v>0</v>
      </c>
      <c r="Q414" s="7">
        <f t="shared" si="86"/>
        <v>0</v>
      </c>
      <c r="W414" s="124">
        <f t="shared" si="87"/>
        <v>0</v>
      </c>
      <c r="X414">
        <f t="shared" si="84"/>
        <v>0</v>
      </c>
    </row>
    <row r="415" spans="1:24">
      <c r="A415" s="23" t="s">
        <v>444</v>
      </c>
      <c r="B415" s="35" t="s">
        <v>441</v>
      </c>
      <c r="C415" s="125">
        <v>747</v>
      </c>
      <c r="D415" s="132">
        <v>58528424</v>
      </c>
      <c r="E415" s="116">
        <f>(D415/C415)</f>
        <v>78351.303882195454</v>
      </c>
      <c r="F415" s="134">
        <v>23381155</v>
      </c>
      <c r="G415" s="117">
        <f>(F415/C415)</f>
        <v>31300.073627844711</v>
      </c>
      <c r="H415" s="9"/>
      <c r="I415" s="150">
        <v>4.9442000000000004</v>
      </c>
      <c r="J415" s="134">
        <v>115601.10655100002</v>
      </c>
      <c r="K415" s="120">
        <f>(J415/C415)</f>
        <v>154.75382403078984</v>
      </c>
      <c r="L415" s="122">
        <f t="shared" si="81"/>
        <v>233811.55000000002</v>
      </c>
      <c r="M415" s="116">
        <f t="shared" si="82"/>
        <v>118210.443449</v>
      </c>
      <c r="N415" s="123">
        <f t="shared" si="83"/>
        <v>158.24691224765729</v>
      </c>
      <c r="O415" s="5"/>
      <c r="P415" s="5">
        <f t="shared" si="85"/>
        <v>1</v>
      </c>
      <c r="Q415" s="7">
        <f t="shared" si="86"/>
        <v>747</v>
      </c>
      <c r="W415" s="124">
        <f t="shared" si="87"/>
        <v>115601.106551</v>
      </c>
      <c r="X415">
        <f t="shared" si="84"/>
        <v>0</v>
      </c>
    </row>
    <row r="416" spans="1:24">
      <c r="A416" s="23" t="s">
        <v>445</v>
      </c>
      <c r="B416" s="35" t="s">
        <v>441</v>
      </c>
      <c r="C416" s="125">
        <v>389</v>
      </c>
      <c r="D416" s="147" t="s">
        <v>564</v>
      </c>
      <c r="E416" s="116"/>
      <c r="F416" s="134"/>
      <c r="G416" s="117"/>
      <c r="H416" s="98" t="s">
        <v>588</v>
      </c>
      <c r="I416" s="136"/>
      <c r="J416" s="134"/>
      <c r="K416" s="120"/>
      <c r="L416" s="122">
        <f t="shared" si="81"/>
        <v>0</v>
      </c>
      <c r="M416" s="116">
        <f t="shared" si="82"/>
        <v>0</v>
      </c>
      <c r="N416" s="123">
        <f t="shared" si="83"/>
        <v>0</v>
      </c>
      <c r="O416" s="5"/>
      <c r="P416" s="5">
        <f t="shared" si="85"/>
        <v>0</v>
      </c>
      <c r="Q416" s="7">
        <f t="shared" si="86"/>
        <v>0</v>
      </c>
      <c r="S416" s="124">
        <f>SUM(D412:D416)</f>
        <v>343396101</v>
      </c>
      <c r="T416" s="124">
        <f>SUM(F412:F416)</f>
        <v>194269612</v>
      </c>
      <c r="U416" s="124">
        <f>SUM(J412:J416)</f>
        <v>1311820.3055509999</v>
      </c>
      <c r="W416" s="124">
        <f t="shared" si="87"/>
        <v>0</v>
      </c>
      <c r="X416">
        <f t="shared" si="84"/>
        <v>0</v>
      </c>
    </row>
    <row r="417" spans="1:24">
      <c r="A417" s="70" t="s">
        <v>583</v>
      </c>
      <c r="B417" s="71"/>
      <c r="C417" s="72">
        <f>SUM(C6:C416)</f>
        <v>11202434</v>
      </c>
      <c r="D417" s="158">
        <f>SUM(D6:D416)</f>
        <v>2151111325371</v>
      </c>
      <c r="E417" s="74">
        <f>(D417/Q417)</f>
        <v>211265.67472574205</v>
      </c>
      <c r="F417" s="167">
        <f>SUM(F6:F416)</f>
        <v>1386244115108</v>
      </c>
      <c r="G417" s="76">
        <f>(F417/Q417)</f>
        <v>136146.27697725993</v>
      </c>
      <c r="H417" s="71"/>
      <c r="I417" s="168"/>
      <c r="J417" s="169">
        <f>SUM(J6:J416)</f>
        <v>6806572291.912858</v>
      </c>
      <c r="K417" s="79">
        <f>(J417/Q417)</f>
        <v>668.48938539826656</v>
      </c>
      <c r="L417" s="79">
        <f>SUM(L6:L416)</f>
        <v>13862441151.080004</v>
      </c>
      <c r="M417" s="78">
        <f>SUM(M6:M416)</f>
        <v>7055868859.1671381</v>
      </c>
      <c r="N417" s="80">
        <f>(M417/Q417)</f>
        <v>692.97338437433223</v>
      </c>
      <c r="O417" s="20"/>
      <c r="P417" s="20">
        <f>SUM(P6:P416)</f>
        <v>391</v>
      </c>
      <c r="Q417" s="21">
        <f>SUM(Q6:Q416)</f>
        <v>10182020</v>
      </c>
      <c r="S417" s="124"/>
      <c r="T417" s="124"/>
      <c r="U417" s="124"/>
      <c r="W417" s="124">
        <f>SUM(W6:W416)</f>
        <v>6806572291.912858</v>
      </c>
      <c r="X417">
        <f>SUM(X6:X416)</f>
        <v>0</v>
      </c>
    </row>
    <row r="418" spans="1:24">
      <c r="A418" s="27" t="s">
        <v>453</v>
      </c>
      <c r="B418" s="13"/>
      <c r="C418" s="60">
        <f>(P417)</f>
        <v>391</v>
      </c>
      <c r="D418" s="159"/>
      <c r="E418" s="16"/>
      <c r="F418" s="141"/>
      <c r="G418" s="16"/>
      <c r="H418" s="16"/>
      <c r="I418" s="170"/>
      <c r="J418" s="159"/>
      <c r="K418" s="17"/>
      <c r="L418" s="2"/>
      <c r="M418" s="2"/>
      <c r="N418" s="63"/>
      <c r="O418" s="2"/>
      <c r="P418" s="2"/>
      <c r="Q418" s="2"/>
      <c r="S418" s="124"/>
      <c r="T418" s="124"/>
      <c r="U418" s="124"/>
    </row>
    <row r="419" spans="1:24">
      <c r="A419" s="22"/>
      <c r="B419" s="16"/>
      <c r="C419" s="16"/>
      <c r="D419" s="160"/>
      <c r="E419" s="16"/>
      <c r="F419" s="160"/>
      <c r="G419" s="16"/>
      <c r="H419" s="107"/>
      <c r="I419" s="171"/>
      <c r="J419" s="160"/>
      <c r="K419" s="17"/>
      <c r="L419" s="2"/>
      <c r="M419" s="2"/>
      <c r="N419" s="63"/>
      <c r="O419" s="2"/>
      <c r="P419" s="2"/>
      <c r="Q419" s="2"/>
      <c r="S419" s="124"/>
      <c r="T419" s="124"/>
      <c r="U419" s="124"/>
    </row>
    <row r="420" spans="1:24">
      <c r="A420" s="204" t="s">
        <v>498</v>
      </c>
      <c r="B420" s="192"/>
      <c r="C420" s="192"/>
      <c r="D420" s="192"/>
      <c r="E420" s="192"/>
      <c r="F420" s="192"/>
      <c r="G420" s="192"/>
      <c r="H420" s="192"/>
      <c r="I420" s="192"/>
      <c r="J420" s="192"/>
      <c r="K420" s="192"/>
      <c r="L420" s="192"/>
      <c r="M420" s="192"/>
      <c r="N420" s="193"/>
      <c r="O420" s="1"/>
      <c r="P420" s="1"/>
      <c r="Q420" s="1"/>
    </row>
    <row r="421" spans="1:24" ht="12.75" customHeight="1">
      <c r="A421" s="191" t="s">
        <v>565</v>
      </c>
      <c r="B421" s="192"/>
      <c r="C421" s="192"/>
      <c r="D421" s="192"/>
      <c r="E421" s="192"/>
      <c r="F421" s="192"/>
      <c r="G421" s="192"/>
      <c r="H421" s="192"/>
      <c r="I421" s="192"/>
      <c r="J421" s="192"/>
      <c r="K421" s="192"/>
      <c r="L421" s="192"/>
      <c r="M421" s="192"/>
      <c r="N421" s="193"/>
      <c r="O421" s="1"/>
      <c r="P421" s="1"/>
      <c r="Q421" s="1"/>
    </row>
    <row r="422" spans="1:24" ht="25.5" customHeight="1">
      <c r="A422" s="191" t="s">
        <v>642</v>
      </c>
      <c r="B422" s="192"/>
      <c r="C422" s="192"/>
      <c r="D422" s="192"/>
      <c r="E422" s="192"/>
      <c r="F422" s="192"/>
      <c r="G422" s="192"/>
      <c r="H422" s="192"/>
      <c r="I422" s="192"/>
      <c r="J422" s="192"/>
      <c r="K422" s="192"/>
      <c r="L422" s="192"/>
      <c r="M422" s="192"/>
      <c r="N422" s="193"/>
      <c r="O422" s="1"/>
      <c r="P422" s="1"/>
      <c r="Q422" s="1"/>
    </row>
    <row r="423" spans="1:24" ht="12.75" customHeight="1">
      <c r="A423" s="191" t="s">
        <v>643</v>
      </c>
      <c r="B423" s="192"/>
      <c r="C423" s="192"/>
      <c r="D423" s="192"/>
      <c r="E423" s="192"/>
      <c r="F423" s="192"/>
      <c r="G423" s="192"/>
      <c r="H423" s="192"/>
      <c r="I423" s="192"/>
      <c r="J423" s="192"/>
      <c r="K423" s="192"/>
      <c r="L423" s="192"/>
      <c r="M423" s="192"/>
      <c r="N423" s="193"/>
      <c r="O423" s="1"/>
      <c r="P423" s="1"/>
      <c r="Q423" s="1"/>
    </row>
    <row r="424" spans="1:24" ht="25.5" customHeight="1">
      <c r="A424" s="191" t="s">
        <v>644</v>
      </c>
      <c r="B424" s="192"/>
      <c r="C424" s="192"/>
      <c r="D424" s="192"/>
      <c r="E424" s="192"/>
      <c r="F424" s="192"/>
      <c r="G424" s="192"/>
      <c r="H424" s="192"/>
      <c r="I424" s="192"/>
      <c r="J424" s="192"/>
      <c r="K424" s="192"/>
      <c r="L424" s="192"/>
      <c r="M424" s="192"/>
      <c r="N424" s="193"/>
      <c r="O424" s="1"/>
      <c r="P424" s="1"/>
      <c r="Q424" s="1"/>
    </row>
    <row r="425" spans="1:24">
      <c r="A425" s="194"/>
      <c r="B425" s="192"/>
      <c r="C425" s="192"/>
      <c r="D425" s="192"/>
      <c r="E425" s="192"/>
      <c r="F425" s="192"/>
      <c r="G425" s="192"/>
      <c r="H425" s="192"/>
      <c r="I425" s="192"/>
      <c r="J425" s="192"/>
      <c r="K425" s="192"/>
      <c r="L425" s="192"/>
      <c r="M425" s="192"/>
      <c r="N425" s="193"/>
      <c r="O425" s="1"/>
      <c r="P425" s="1"/>
      <c r="Q425" s="1"/>
    </row>
    <row r="426" spans="1:24">
      <c r="A426" s="191" t="s">
        <v>579</v>
      </c>
      <c r="B426" s="192"/>
      <c r="C426" s="192"/>
      <c r="D426" s="192"/>
      <c r="E426" s="192"/>
      <c r="F426" s="192"/>
      <c r="G426" s="192"/>
      <c r="H426" s="192"/>
      <c r="I426" s="192"/>
      <c r="J426" s="192"/>
      <c r="K426" s="192"/>
      <c r="L426" s="192"/>
      <c r="M426" s="192"/>
      <c r="N426" s="193"/>
      <c r="O426" s="1"/>
      <c r="P426" s="1"/>
      <c r="Q426" s="1"/>
    </row>
    <row r="427" spans="1:24" ht="25.5" customHeight="1">
      <c r="A427" s="191" t="s">
        <v>640</v>
      </c>
      <c r="B427" s="195"/>
      <c r="C427" s="195"/>
      <c r="D427" s="195"/>
      <c r="E427" s="195"/>
      <c r="F427" s="195"/>
      <c r="G427" s="195"/>
      <c r="H427" s="195"/>
      <c r="I427" s="195"/>
      <c r="J427" s="195"/>
      <c r="K427" s="195"/>
      <c r="L427" s="195"/>
      <c r="M427" s="195"/>
      <c r="N427" s="196"/>
      <c r="O427" s="1"/>
      <c r="P427" s="1"/>
      <c r="Q427" s="1"/>
    </row>
    <row r="428" spans="1:24" ht="15" customHeight="1" thickBot="1">
      <c r="A428" s="188" t="s">
        <v>633</v>
      </c>
      <c r="B428" s="189"/>
      <c r="C428" s="189"/>
      <c r="D428" s="189"/>
      <c r="E428" s="189"/>
      <c r="F428" s="189"/>
      <c r="G428" s="189"/>
      <c r="H428" s="189"/>
      <c r="I428" s="189"/>
      <c r="J428" s="189"/>
      <c r="K428" s="189"/>
      <c r="L428" s="189"/>
      <c r="M428" s="189"/>
      <c r="N428" s="190"/>
      <c r="O428" s="1"/>
      <c r="P428" s="1"/>
      <c r="Q428" s="1"/>
    </row>
    <row r="429" spans="1:24">
      <c r="A429" s="4"/>
      <c r="B429" s="1"/>
      <c r="C429" s="1"/>
      <c r="D429" s="161"/>
      <c r="E429" s="1"/>
      <c r="F429" s="161"/>
      <c r="G429" s="1"/>
      <c r="H429" s="1"/>
      <c r="I429" s="172"/>
      <c r="J429" s="172"/>
      <c r="K429" s="3"/>
      <c r="L429" s="1"/>
      <c r="M429" s="1"/>
      <c r="N429" s="1"/>
      <c r="O429" s="1"/>
      <c r="P429" s="1"/>
      <c r="Q429" s="1"/>
    </row>
    <row r="430" spans="1:24">
      <c r="A430" s="4"/>
      <c r="B430" s="1"/>
      <c r="C430" s="1"/>
      <c r="D430" s="161"/>
      <c r="E430" s="1"/>
      <c r="F430" s="161"/>
      <c r="G430" s="1"/>
      <c r="H430" s="1"/>
      <c r="I430" s="172"/>
      <c r="J430" s="172"/>
      <c r="K430" s="3"/>
      <c r="L430" s="1"/>
      <c r="M430" s="1"/>
      <c r="N430" s="1"/>
      <c r="O430" s="1"/>
      <c r="P430" s="1"/>
      <c r="Q430" s="1"/>
    </row>
    <row r="431" spans="1:24">
      <c r="A431" s="2"/>
      <c r="B431" s="2"/>
      <c r="C431" s="2"/>
      <c r="D431" s="162"/>
      <c r="E431" s="2"/>
      <c r="F431" s="162"/>
      <c r="G431" s="2"/>
      <c r="H431" s="2"/>
      <c r="I431" s="162"/>
      <c r="J431" s="162"/>
      <c r="K431" s="2"/>
      <c r="L431" s="2"/>
      <c r="M431" s="2"/>
      <c r="N431" s="2"/>
      <c r="O431" s="2"/>
      <c r="P431" s="2"/>
      <c r="Q431" s="2"/>
    </row>
  </sheetData>
  <mergeCells count="13">
    <mergeCell ref="A1:N1"/>
    <mergeCell ref="D2:G2"/>
    <mergeCell ref="L2:N2"/>
    <mergeCell ref="S2:U2"/>
    <mergeCell ref="A420:N420"/>
    <mergeCell ref="A427:N427"/>
    <mergeCell ref="A428:N428"/>
    <mergeCell ref="A421:N421"/>
    <mergeCell ref="A423:N423"/>
    <mergeCell ref="A424:N424"/>
    <mergeCell ref="A425:N425"/>
    <mergeCell ref="A426:N426"/>
    <mergeCell ref="A422:N422"/>
  </mergeCells>
  <printOptions horizontalCentered="1"/>
  <pageMargins left="0.5" right="0.5" top="0.5" bottom="0.5" header="0.3" footer="0.3"/>
  <pageSetup paperSize="5" scale="80" fitToHeight="0" orientation="landscape" verticalDpi="0" r:id="rId1"/>
  <headerFooter>
    <oddFooter>&amp;LOffice of Economic and Demographic Research&amp;CPage &amp;P of &amp;N&amp;RJanuary 17, 2024</oddFooter>
  </headerFooter>
  <ignoredErrors>
    <ignoredError sqref="E417 K417"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T413"/>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7" t="s">
        <v>476</v>
      </c>
      <c r="B1" s="198"/>
      <c r="C1" s="198"/>
      <c r="D1" s="198"/>
      <c r="E1" s="198"/>
      <c r="F1" s="198"/>
      <c r="G1" s="198"/>
      <c r="H1" s="198"/>
      <c r="I1" s="198"/>
      <c r="J1" s="198"/>
      <c r="K1" s="198"/>
      <c r="L1" s="198"/>
      <c r="M1" s="198"/>
      <c r="N1" s="198"/>
      <c r="O1" s="199"/>
    </row>
    <row r="2" spans="1:20" ht="18">
      <c r="A2" s="41"/>
      <c r="B2" s="42"/>
      <c r="C2" s="43"/>
      <c r="D2" s="200" t="s">
        <v>483</v>
      </c>
      <c r="E2" s="201"/>
      <c r="F2" s="201"/>
      <c r="G2" s="201"/>
      <c r="H2" s="202"/>
      <c r="I2" s="44"/>
      <c r="J2" s="61" t="s">
        <v>456</v>
      </c>
      <c r="K2" s="45"/>
      <c r="L2" s="68"/>
      <c r="M2" s="201" t="s">
        <v>503</v>
      </c>
      <c r="N2" s="201"/>
      <c r="O2" s="203"/>
    </row>
    <row r="3" spans="1:20" ht="12.75" customHeight="1">
      <c r="A3" s="46"/>
      <c r="B3" s="47"/>
      <c r="C3" s="48">
        <v>1995</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5612</v>
      </c>
      <c r="D6" s="18"/>
      <c r="E6" s="18">
        <v>226067050</v>
      </c>
      <c r="F6" s="38">
        <f>(E6/C6)</f>
        <v>40282.795794725585</v>
      </c>
      <c r="G6" s="18">
        <v>140631276</v>
      </c>
      <c r="H6" s="39">
        <f t="shared" ref="H6:H37" si="0">(G6/C6)</f>
        <v>25059.029935851748</v>
      </c>
      <c r="I6" s="15"/>
      <c r="J6" s="17">
        <v>5.5</v>
      </c>
      <c r="K6" s="40">
        <v>773472</v>
      </c>
      <c r="L6" s="84">
        <f t="shared" ref="L6:L37" si="1">(K6/C6)</f>
        <v>137.82466143977192</v>
      </c>
      <c r="M6" s="65">
        <f>(G6*0.01)</f>
        <v>1406312.76</v>
      </c>
      <c r="N6" s="83">
        <f>(M6-K6)</f>
        <v>632840.76</v>
      </c>
      <c r="O6" s="62">
        <f>(N6/C6)</f>
        <v>112.76563791874554</v>
      </c>
      <c r="P6" s="5"/>
      <c r="Q6" s="5">
        <f>IF(E6&gt;0,1,0)</f>
        <v>1</v>
      </c>
      <c r="R6" s="7">
        <f>IF(E6&gt;0,C6,0)</f>
        <v>5612</v>
      </c>
      <c r="S6" s="5">
        <f>IF(J6&gt;0,1,0)</f>
        <v>1</v>
      </c>
      <c r="T6" s="7">
        <f>IF(J6&gt;0,C6,0)</f>
        <v>5612</v>
      </c>
    </row>
    <row r="7" spans="1:20">
      <c r="A7" s="23" t="s">
        <v>9</v>
      </c>
      <c r="B7" s="35" t="s">
        <v>8</v>
      </c>
      <c r="C7" s="36">
        <v>1427</v>
      </c>
      <c r="D7" s="6"/>
      <c r="E7" s="113">
        <v>24262172</v>
      </c>
      <c r="F7" s="116">
        <f>(E7/C7)</f>
        <v>17002.222845129643</v>
      </c>
      <c r="G7" s="113">
        <v>13982869</v>
      </c>
      <c r="H7" s="117">
        <f t="shared" si="0"/>
        <v>9798.7869656622279</v>
      </c>
      <c r="I7" s="7"/>
      <c r="J7" s="10">
        <v>2.96</v>
      </c>
      <c r="K7" s="117">
        <v>41389</v>
      </c>
      <c r="L7" s="120">
        <f t="shared" si="1"/>
        <v>29.004204625087596</v>
      </c>
      <c r="M7" s="122">
        <f>(G7*0.01)</f>
        <v>139828.69</v>
      </c>
      <c r="N7" s="116">
        <f>(M7-K7)</f>
        <v>98439.69</v>
      </c>
      <c r="O7" s="123">
        <f>(N7/C7)</f>
        <v>68.983665031534684</v>
      </c>
      <c r="P7" s="5"/>
      <c r="Q7" s="5">
        <f t="shared" ref="Q7:Q70" si="2">IF(E7&gt;0,1,0)</f>
        <v>1</v>
      </c>
      <c r="R7" s="7">
        <f t="shared" ref="R7:R70" si="3">IF(E7&gt;0,C7,0)</f>
        <v>1427</v>
      </c>
      <c r="S7" s="5">
        <f t="shared" ref="S7:S70" si="4">IF(J7&gt;0,1,0)</f>
        <v>1</v>
      </c>
      <c r="T7" s="7">
        <f t="shared" ref="T7:T70" si="5">IF(J7&gt;0,C7,0)</f>
        <v>1427</v>
      </c>
    </row>
    <row r="8" spans="1:20">
      <c r="A8" s="23" t="s">
        <v>10</v>
      </c>
      <c r="B8" s="35" t="s">
        <v>8</v>
      </c>
      <c r="C8" s="36">
        <v>96051</v>
      </c>
      <c r="D8" s="6"/>
      <c r="E8" s="113">
        <v>4987069832</v>
      </c>
      <c r="F8" s="116">
        <f t="shared" ref="F8:F71" si="6">(E8/C8)</f>
        <v>51921.061019666638</v>
      </c>
      <c r="G8" s="113">
        <v>1947684276</v>
      </c>
      <c r="H8" s="117">
        <f t="shared" si="0"/>
        <v>20277.605397132775</v>
      </c>
      <c r="I8" s="7"/>
      <c r="J8" s="10">
        <v>4.9659000000000004</v>
      </c>
      <c r="K8" s="117">
        <v>9672005</v>
      </c>
      <c r="L8" s="120">
        <f t="shared" si="1"/>
        <v>100.69655703740722</v>
      </c>
      <c r="M8" s="122">
        <f t="shared" ref="M8:M71" si="7">(G8*0.01)</f>
        <v>19476842.760000002</v>
      </c>
      <c r="N8" s="116">
        <f t="shared" ref="N8:N71" si="8">(M8-K8)</f>
        <v>9804837.7600000016</v>
      </c>
      <c r="O8" s="123">
        <f t="shared" ref="O8:O71" si="9">(N8/C8)</f>
        <v>102.07949693392054</v>
      </c>
      <c r="P8" s="5"/>
      <c r="Q8" s="5">
        <f t="shared" si="2"/>
        <v>1</v>
      </c>
      <c r="R8" s="7">
        <f t="shared" si="3"/>
        <v>96051</v>
      </c>
      <c r="S8" s="5">
        <f t="shared" si="4"/>
        <v>1</v>
      </c>
      <c r="T8" s="7">
        <f t="shared" si="5"/>
        <v>96051</v>
      </c>
    </row>
    <row r="9" spans="1:20">
      <c r="A9" s="23" t="s">
        <v>11</v>
      </c>
      <c r="B9" s="35" t="s">
        <v>8</v>
      </c>
      <c r="C9" s="36">
        <v>1381</v>
      </c>
      <c r="D9" s="6"/>
      <c r="E9" s="113">
        <v>37592085</v>
      </c>
      <c r="F9" s="116">
        <f t="shared" si="6"/>
        <v>27220.916002896451</v>
      </c>
      <c r="G9" s="117">
        <v>19894485</v>
      </c>
      <c r="H9" s="117">
        <f t="shared" si="0"/>
        <v>14405.854453294714</v>
      </c>
      <c r="I9" s="7"/>
      <c r="J9" s="10">
        <v>5.4625000000000004</v>
      </c>
      <c r="K9" s="117">
        <v>108673</v>
      </c>
      <c r="L9" s="120">
        <f t="shared" si="1"/>
        <v>78.691527878349021</v>
      </c>
      <c r="M9" s="122">
        <f t="shared" si="7"/>
        <v>198944.85</v>
      </c>
      <c r="N9" s="116">
        <f t="shared" si="8"/>
        <v>90271.85</v>
      </c>
      <c r="O9" s="123">
        <f t="shared" si="9"/>
        <v>65.367016654598117</v>
      </c>
      <c r="P9" s="5"/>
      <c r="Q9" s="5">
        <f t="shared" si="2"/>
        <v>1</v>
      </c>
      <c r="R9" s="7">
        <f t="shared" si="3"/>
        <v>1381</v>
      </c>
      <c r="S9" s="5">
        <f t="shared" si="4"/>
        <v>1</v>
      </c>
      <c r="T9" s="7">
        <f t="shared" si="5"/>
        <v>1381</v>
      </c>
    </row>
    <row r="10" spans="1:20">
      <c r="A10" s="23" t="s">
        <v>12</v>
      </c>
      <c r="B10" s="35" t="s">
        <v>8</v>
      </c>
      <c r="C10" s="36">
        <v>3477</v>
      </c>
      <c r="D10" s="6"/>
      <c r="E10" s="113">
        <v>99486994</v>
      </c>
      <c r="F10" s="116">
        <f t="shared" si="6"/>
        <v>28612.882945067588</v>
      </c>
      <c r="G10" s="117">
        <v>58900050</v>
      </c>
      <c r="H10" s="117">
        <f t="shared" si="0"/>
        <v>16939.905090595341</v>
      </c>
      <c r="I10" s="7"/>
      <c r="J10" s="10">
        <v>5.9539999999999997</v>
      </c>
      <c r="K10" s="117">
        <v>350690</v>
      </c>
      <c r="L10" s="120">
        <f t="shared" si="1"/>
        <v>100.85993672706356</v>
      </c>
      <c r="M10" s="122">
        <f t="shared" si="7"/>
        <v>589000.5</v>
      </c>
      <c r="N10" s="116">
        <f t="shared" si="8"/>
        <v>238310.5</v>
      </c>
      <c r="O10" s="123">
        <f t="shared" si="9"/>
        <v>68.539114178889847</v>
      </c>
      <c r="P10" s="5"/>
      <c r="Q10" s="5">
        <f t="shared" si="2"/>
        <v>1</v>
      </c>
      <c r="R10" s="7">
        <f t="shared" si="3"/>
        <v>3477</v>
      </c>
      <c r="S10" s="5">
        <f t="shared" si="4"/>
        <v>1</v>
      </c>
      <c r="T10" s="7">
        <f t="shared" si="5"/>
        <v>3477</v>
      </c>
    </row>
    <row r="11" spans="1:20">
      <c r="A11" s="23" t="s">
        <v>559</v>
      </c>
      <c r="B11" s="35" t="s">
        <v>8</v>
      </c>
      <c r="C11" s="36">
        <v>113</v>
      </c>
      <c r="D11" s="6"/>
      <c r="E11" s="113">
        <v>4590819</v>
      </c>
      <c r="F11" s="116">
        <f t="shared" si="6"/>
        <v>40626.716814159292</v>
      </c>
      <c r="G11" s="117">
        <v>2556309</v>
      </c>
      <c r="H11" s="117">
        <f t="shared" si="0"/>
        <v>22622.203539823007</v>
      </c>
      <c r="I11" s="7"/>
      <c r="J11" s="10">
        <v>2.5613000000000001</v>
      </c>
      <c r="K11" s="117">
        <v>6547</v>
      </c>
      <c r="L11" s="120">
        <f t="shared" si="1"/>
        <v>57.938053097345133</v>
      </c>
      <c r="M11" s="122">
        <f t="shared" si="7"/>
        <v>25563.09</v>
      </c>
      <c r="N11" s="116">
        <f t="shared" si="8"/>
        <v>19016.09</v>
      </c>
      <c r="O11" s="123">
        <f t="shared" si="9"/>
        <v>168.28398230088496</v>
      </c>
      <c r="P11" s="5"/>
      <c r="Q11" s="5">
        <f t="shared" si="2"/>
        <v>1</v>
      </c>
      <c r="R11" s="7">
        <f t="shared" si="3"/>
        <v>113</v>
      </c>
      <c r="S11" s="5">
        <f t="shared" si="4"/>
        <v>1</v>
      </c>
      <c r="T11" s="7">
        <f t="shared" si="5"/>
        <v>113</v>
      </c>
    </row>
    <row r="12" spans="1:20">
      <c r="A12" s="23" t="s">
        <v>13</v>
      </c>
      <c r="B12" s="35" t="s">
        <v>8</v>
      </c>
      <c r="C12" s="36">
        <v>647</v>
      </c>
      <c r="D12" s="6"/>
      <c r="E12" s="113">
        <v>15455119</v>
      </c>
      <c r="F12" s="116">
        <f t="shared" si="6"/>
        <v>23887.355486862441</v>
      </c>
      <c r="G12" s="117">
        <v>8967938</v>
      </c>
      <c r="H12" s="117">
        <f t="shared" si="0"/>
        <v>13860.800618238021</v>
      </c>
      <c r="I12" s="7"/>
      <c r="J12" s="10">
        <v>6</v>
      </c>
      <c r="K12" s="117">
        <v>53807</v>
      </c>
      <c r="L12" s="120">
        <f t="shared" si="1"/>
        <v>83.163833075734161</v>
      </c>
      <c r="M12" s="122">
        <f t="shared" si="7"/>
        <v>89679.38</v>
      </c>
      <c r="N12" s="116">
        <f t="shared" si="8"/>
        <v>35872.380000000005</v>
      </c>
      <c r="O12" s="123">
        <f t="shared" si="9"/>
        <v>55.444173106646069</v>
      </c>
      <c r="P12" s="5"/>
      <c r="Q12" s="5">
        <f t="shared" si="2"/>
        <v>1</v>
      </c>
      <c r="R12" s="7">
        <f t="shared" si="3"/>
        <v>647</v>
      </c>
      <c r="S12" s="5">
        <f t="shared" si="4"/>
        <v>1</v>
      </c>
      <c r="T12" s="7">
        <f t="shared" si="5"/>
        <v>647</v>
      </c>
    </row>
    <row r="13" spans="1:20">
      <c r="A13" s="23" t="s">
        <v>14</v>
      </c>
      <c r="B13" s="35" t="s">
        <v>8</v>
      </c>
      <c r="C13" s="36">
        <v>2135</v>
      </c>
      <c r="D13" s="6"/>
      <c r="E13" s="113">
        <v>95762428</v>
      </c>
      <c r="F13" s="116">
        <f t="shared" si="6"/>
        <v>44853.596252927404</v>
      </c>
      <c r="G13" s="117">
        <v>34477979</v>
      </c>
      <c r="H13" s="117">
        <f t="shared" si="0"/>
        <v>16148.936299765808</v>
      </c>
      <c r="I13" s="7"/>
      <c r="J13" s="10">
        <v>3</v>
      </c>
      <c r="K13" s="117">
        <v>103433</v>
      </c>
      <c r="L13" s="120">
        <f t="shared" si="1"/>
        <v>48.446370023419206</v>
      </c>
      <c r="M13" s="122">
        <f t="shared" si="7"/>
        <v>344779.79</v>
      </c>
      <c r="N13" s="116">
        <f t="shared" si="8"/>
        <v>241346.78999999998</v>
      </c>
      <c r="O13" s="123">
        <f t="shared" si="9"/>
        <v>113.04299297423887</v>
      </c>
      <c r="P13" s="5"/>
      <c r="Q13" s="5">
        <f t="shared" si="2"/>
        <v>1</v>
      </c>
      <c r="R13" s="7">
        <f t="shared" si="3"/>
        <v>2135</v>
      </c>
      <c r="S13" s="5">
        <f t="shared" si="4"/>
        <v>1</v>
      </c>
      <c r="T13" s="7">
        <f t="shared" si="5"/>
        <v>2135</v>
      </c>
    </row>
    <row r="14" spans="1:20">
      <c r="A14" s="23" t="s">
        <v>15</v>
      </c>
      <c r="B14" s="35" t="s">
        <v>8</v>
      </c>
      <c r="C14" s="36">
        <v>1047</v>
      </c>
      <c r="D14" s="6"/>
      <c r="E14" s="113">
        <v>15778979</v>
      </c>
      <c r="F14" s="116">
        <f t="shared" si="6"/>
        <v>15070.658070678128</v>
      </c>
      <c r="G14" s="117">
        <v>8469704</v>
      </c>
      <c r="H14" s="117">
        <f t="shared" si="0"/>
        <v>8089.4976122254056</v>
      </c>
      <c r="I14" s="7"/>
      <c r="J14" s="10">
        <v>4.8285</v>
      </c>
      <c r="K14" s="117">
        <v>40895</v>
      </c>
      <c r="L14" s="120">
        <f t="shared" si="1"/>
        <v>39.05921680993314</v>
      </c>
      <c r="M14" s="122">
        <f t="shared" si="7"/>
        <v>84697.040000000008</v>
      </c>
      <c r="N14" s="116">
        <f t="shared" si="8"/>
        <v>43802.040000000008</v>
      </c>
      <c r="O14" s="123">
        <f t="shared" si="9"/>
        <v>41.835759312320924</v>
      </c>
      <c r="P14" s="5"/>
      <c r="Q14" s="5">
        <f t="shared" si="2"/>
        <v>1</v>
      </c>
      <c r="R14" s="7">
        <f t="shared" si="3"/>
        <v>1047</v>
      </c>
      <c r="S14" s="5">
        <f t="shared" si="4"/>
        <v>1</v>
      </c>
      <c r="T14" s="7">
        <f t="shared" si="5"/>
        <v>1047</v>
      </c>
    </row>
    <row r="15" spans="1:20">
      <c r="A15" s="23" t="s">
        <v>544</v>
      </c>
      <c r="B15" s="35" t="s">
        <v>16</v>
      </c>
      <c r="C15" s="36">
        <v>467</v>
      </c>
      <c r="D15" s="6"/>
      <c r="E15" s="113">
        <v>7923044</v>
      </c>
      <c r="F15" s="116">
        <f t="shared" si="6"/>
        <v>16965.832976445396</v>
      </c>
      <c r="G15" s="117">
        <v>3809760</v>
      </c>
      <c r="H15" s="117">
        <f t="shared" si="0"/>
        <v>8157.9443254817988</v>
      </c>
      <c r="I15" s="98" t="s">
        <v>528</v>
      </c>
      <c r="J15" s="10"/>
      <c r="K15" s="117"/>
      <c r="L15" s="120"/>
      <c r="M15" s="122">
        <f t="shared" si="7"/>
        <v>38097.599999999999</v>
      </c>
      <c r="N15" s="116">
        <f t="shared" si="8"/>
        <v>38097.599999999999</v>
      </c>
      <c r="O15" s="123">
        <f t="shared" si="9"/>
        <v>81.579443254817988</v>
      </c>
      <c r="P15" s="5"/>
      <c r="Q15" s="5">
        <f t="shared" si="2"/>
        <v>1</v>
      </c>
      <c r="R15" s="7">
        <f t="shared" si="3"/>
        <v>467</v>
      </c>
      <c r="S15" s="5">
        <f t="shared" si="4"/>
        <v>0</v>
      </c>
      <c r="T15" s="7">
        <f t="shared" si="5"/>
        <v>0</v>
      </c>
    </row>
    <row r="16" spans="1:20">
      <c r="A16" s="23" t="s">
        <v>17</v>
      </c>
      <c r="B16" s="35" t="s">
        <v>16</v>
      </c>
      <c r="C16" s="36">
        <v>4201</v>
      </c>
      <c r="D16" s="6"/>
      <c r="E16" s="113">
        <v>103337888</v>
      </c>
      <c r="F16" s="116">
        <f t="shared" si="6"/>
        <v>24598.402285170199</v>
      </c>
      <c r="G16" s="117">
        <v>65764410</v>
      </c>
      <c r="H16" s="117">
        <f t="shared" si="0"/>
        <v>15654.465603427756</v>
      </c>
      <c r="I16" s="7"/>
      <c r="J16" s="10">
        <v>3.83</v>
      </c>
      <c r="K16" s="117">
        <v>251877</v>
      </c>
      <c r="L16" s="120">
        <f t="shared" si="1"/>
        <v>59.956438943108786</v>
      </c>
      <c r="M16" s="122">
        <f t="shared" si="7"/>
        <v>657644.1</v>
      </c>
      <c r="N16" s="116">
        <f t="shared" si="8"/>
        <v>405767.1</v>
      </c>
      <c r="O16" s="123">
        <f t="shared" si="9"/>
        <v>96.588217091168758</v>
      </c>
      <c r="P16" s="5"/>
      <c r="Q16" s="5">
        <f t="shared" si="2"/>
        <v>1</v>
      </c>
      <c r="R16" s="7">
        <f t="shared" si="3"/>
        <v>4201</v>
      </c>
      <c r="S16" s="5">
        <f t="shared" si="4"/>
        <v>1</v>
      </c>
      <c r="T16" s="7">
        <f t="shared" si="5"/>
        <v>4201</v>
      </c>
    </row>
    <row r="17" spans="1:20">
      <c r="A17" s="23" t="s">
        <v>18</v>
      </c>
      <c r="B17" s="35" t="s">
        <v>19</v>
      </c>
      <c r="C17" s="36">
        <v>13879</v>
      </c>
      <c r="D17" s="6"/>
      <c r="E17" s="113">
        <v>272230959</v>
      </c>
      <c r="F17" s="116">
        <f t="shared" si="6"/>
        <v>19614.594639383242</v>
      </c>
      <c r="G17" s="117">
        <v>189884218</v>
      </c>
      <c r="H17" s="117">
        <f t="shared" si="0"/>
        <v>13681.404856257655</v>
      </c>
      <c r="I17" s="98" t="s">
        <v>528</v>
      </c>
      <c r="J17" s="10"/>
      <c r="K17" s="117"/>
      <c r="L17" s="120"/>
      <c r="M17" s="122">
        <f t="shared" si="7"/>
        <v>1898842.18</v>
      </c>
      <c r="N17" s="116">
        <f t="shared" si="8"/>
        <v>1898842.18</v>
      </c>
      <c r="O17" s="123">
        <f t="shared" si="9"/>
        <v>136.81404856257655</v>
      </c>
      <c r="P17" s="5"/>
      <c r="Q17" s="5">
        <f t="shared" si="2"/>
        <v>1</v>
      </c>
      <c r="R17" s="7">
        <f t="shared" si="3"/>
        <v>13879</v>
      </c>
      <c r="S17" s="5">
        <f t="shared" si="4"/>
        <v>0</v>
      </c>
      <c r="T17" s="7">
        <f t="shared" si="5"/>
        <v>0</v>
      </c>
    </row>
    <row r="18" spans="1:20">
      <c r="A18" s="23" t="s">
        <v>20</v>
      </c>
      <c r="B18" s="35" t="s">
        <v>19</v>
      </c>
      <c r="C18" s="36">
        <v>1648</v>
      </c>
      <c r="D18" s="6"/>
      <c r="E18" s="113">
        <v>33936896</v>
      </c>
      <c r="F18" s="116">
        <f t="shared" si="6"/>
        <v>20592.776699029127</v>
      </c>
      <c r="G18" s="117">
        <v>18379569</v>
      </c>
      <c r="H18" s="117">
        <f t="shared" si="0"/>
        <v>11152.651092233009</v>
      </c>
      <c r="I18" s="98" t="s">
        <v>528</v>
      </c>
      <c r="J18" s="10"/>
      <c r="K18" s="117"/>
      <c r="L18" s="120"/>
      <c r="M18" s="122">
        <f t="shared" si="7"/>
        <v>183795.69</v>
      </c>
      <c r="N18" s="116">
        <f t="shared" si="8"/>
        <v>183795.69</v>
      </c>
      <c r="O18" s="123">
        <f t="shared" si="9"/>
        <v>111.5265109223301</v>
      </c>
      <c r="P18" s="5"/>
      <c r="Q18" s="5">
        <f t="shared" si="2"/>
        <v>1</v>
      </c>
      <c r="R18" s="7">
        <f t="shared" si="3"/>
        <v>1648</v>
      </c>
      <c r="S18" s="5">
        <f t="shared" si="4"/>
        <v>0</v>
      </c>
      <c r="T18" s="7">
        <f t="shared" si="5"/>
        <v>0</v>
      </c>
    </row>
    <row r="19" spans="1:20">
      <c r="A19" s="23" t="s">
        <v>21</v>
      </c>
      <c r="B19" s="35" t="s">
        <v>19</v>
      </c>
      <c r="C19" s="36">
        <v>10590</v>
      </c>
      <c r="D19" s="6"/>
      <c r="E19" s="113">
        <v>321396818</v>
      </c>
      <c r="F19" s="116">
        <f t="shared" si="6"/>
        <v>30349.085741265346</v>
      </c>
      <c r="G19" s="117">
        <v>188876390</v>
      </c>
      <c r="H19" s="117">
        <f t="shared" si="0"/>
        <v>17835.353163361662</v>
      </c>
      <c r="I19" s="7"/>
      <c r="J19" s="10">
        <v>2.5</v>
      </c>
      <c r="K19" s="117">
        <v>472190</v>
      </c>
      <c r="L19" s="120">
        <f t="shared" si="1"/>
        <v>44.588290840415489</v>
      </c>
      <c r="M19" s="122">
        <f t="shared" si="7"/>
        <v>1888763.9000000001</v>
      </c>
      <c r="N19" s="116">
        <f t="shared" si="8"/>
        <v>1416573.9000000001</v>
      </c>
      <c r="O19" s="123">
        <f t="shared" si="9"/>
        <v>133.76524079320114</v>
      </c>
      <c r="P19" s="5"/>
      <c r="Q19" s="5">
        <f t="shared" si="2"/>
        <v>1</v>
      </c>
      <c r="R19" s="7">
        <f t="shared" si="3"/>
        <v>10590</v>
      </c>
      <c r="S19" s="5">
        <f t="shared" si="4"/>
        <v>1</v>
      </c>
      <c r="T19" s="7">
        <f t="shared" si="5"/>
        <v>10590</v>
      </c>
    </row>
    <row r="20" spans="1:20">
      <c r="A20" s="23" t="s">
        <v>22</v>
      </c>
      <c r="B20" s="35" t="s">
        <v>19</v>
      </c>
      <c r="C20" s="36">
        <v>1009</v>
      </c>
      <c r="D20" s="6"/>
      <c r="E20" s="113">
        <v>80145355</v>
      </c>
      <c r="F20" s="116">
        <f t="shared" si="6"/>
        <v>79430.480673934595</v>
      </c>
      <c r="G20" s="117">
        <v>61838536</v>
      </c>
      <c r="H20" s="117">
        <f t="shared" si="0"/>
        <v>61286.953419226957</v>
      </c>
      <c r="I20" s="7"/>
      <c r="J20" s="11">
        <v>5.4</v>
      </c>
      <c r="K20" s="117">
        <v>333928</v>
      </c>
      <c r="L20" s="120">
        <f t="shared" si="1"/>
        <v>330.94945490584735</v>
      </c>
      <c r="M20" s="122">
        <f t="shared" si="7"/>
        <v>618385.36</v>
      </c>
      <c r="N20" s="116">
        <f t="shared" si="8"/>
        <v>284457.36</v>
      </c>
      <c r="O20" s="123">
        <f t="shared" si="9"/>
        <v>281.92007928642221</v>
      </c>
      <c r="P20" s="5"/>
      <c r="Q20" s="5">
        <f t="shared" si="2"/>
        <v>1</v>
      </c>
      <c r="R20" s="7">
        <f t="shared" si="3"/>
        <v>1009</v>
      </c>
      <c r="S20" s="5">
        <f t="shared" si="4"/>
        <v>1</v>
      </c>
      <c r="T20" s="7">
        <f t="shared" si="5"/>
        <v>1009</v>
      </c>
    </row>
    <row r="21" spans="1:20">
      <c r="A21" s="23" t="s">
        <v>23</v>
      </c>
      <c r="B21" s="35" t="s">
        <v>19</v>
      </c>
      <c r="C21" s="36">
        <v>36706</v>
      </c>
      <c r="D21" s="6"/>
      <c r="E21" s="113">
        <v>1439711743</v>
      </c>
      <c r="F21" s="116">
        <f t="shared" si="6"/>
        <v>39222.790361248844</v>
      </c>
      <c r="G21" s="117">
        <v>912037182</v>
      </c>
      <c r="H21" s="117">
        <f t="shared" si="0"/>
        <v>24847.08717920776</v>
      </c>
      <c r="I21" s="7"/>
      <c r="J21" s="10">
        <v>5</v>
      </c>
      <c r="K21" s="117">
        <v>4560185</v>
      </c>
      <c r="L21" s="120">
        <f t="shared" si="1"/>
        <v>124.23541110445159</v>
      </c>
      <c r="M21" s="122">
        <f t="shared" si="7"/>
        <v>9120371.8200000003</v>
      </c>
      <c r="N21" s="116">
        <f t="shared" si="8"/>
        <v>4560186.82</v>
      </c>
      <c r="O21" s="123">
        <f t="shared" si="9"/>
        <v>124.23546068762602</v>
      </c>
      <c r="P21" s="5"/>
      <c r="Q21" s="5">
        <f t="shared" si="2"/>
        <v>1</v>
      </c>
      <c r="R21" s="7">
        <f t="shared" si="3"/>
        <v>36706</v>
      </c>
      <c r="S21" s="5">
        <f t="shared" si="4"/>
        <v>1</v>
      </c>
      <c r="T21" s="7">
        <f t="shared" si="5"/>
        <v>36706</v>
      </c>
    </row>
    <row r="22" spans="1:20">
      <c r="A22" s="23" t="s">
        <v>24</v>
      </c>
      <c r="B22" s="35" t="s">
        <v>19</v>
      </c>
      <c r="C22" s="36">
        <v>4583</v>
      </c>
      <c r="D22" s="6"/>
      <c r="E22" s="113">
        <v>771958676</v>
      </c>
      <c r="F22" s="116">
        <f t="shared" si="6"/>
        <v>168439.59764346498</v>
      </c>
      <c r="G22" s="117">
        <v>695986047</v>
      </c>
      <c r="H22" s="117">
        <f t="shared" si="0"/>
        <v>151862.54571241545</v>
      </c>
      <c r="I22" s="98" t="s">
        <v>528</v>
      </c>
      <c r="J22" s="12"/>
      <c r="K22" s="117"/>
      <c r="L22" s="120"/>
      <c r="M22" s="122">
        <f t="shared" si="7"/>
        <v>6959860.4699999997</v>
      </c>
      <c r="N22" s="116">
        <f t="shared" si="8"/>
        <v>6959860.4699999997</v>
      </c>
      <c r="O22" s="123">
        <f t="shared" si="9"/>
        <v>1518.6254571241545</v>
      </c>
      <c r="P22" s="5"/>
      <c r="Q22" s="5">
        <f t="shared" si="2"/>
        <v>1</v>
      </c>
      <c r="R22" s="7">
        <f t="shared" si="3"/>
        <v>4583</v>
      </c>
      <c r="S22" s="5">
        <f t="shared" si="4"/>
        <v>0</v>
      </c>
      <c r="T22" s="7">
        <f t="shared" si="5"/>
        <v>0</v>
      </c>
    </row>
    <row r="23" spans="1:20">
      <c r="A23" s="23" t="s">
        <v>25</v>
      </c>
      <c r="B23" s="35" t="s">
        <v>19</v>
      </c>
      <c r="C23" s="36">
        <v>4926</v>
      </c>
      <c r="D23" s="6"/>
      <c r="E23" s="113">
        <v>119656748</v>
      </c>
      <c r="F23" s="116">
        <f t="shared" si="6"/>
        <v>24290.854242793343</v>
      </c>
      <c r="G23" s="117">
        <v>87924534</v>
      </c>
      <c r="H23" s="117">
        <f t="shared" si="0"/>
        <v>17849.073081607796</v>
      </c>
      <c r="I23" s="98" t="s">
        <v>528</v>
      </c>
      <c r="J23" s="12"/>
      <c r="K23" s="117"/>
      <c r="L23" s="120"/>
      <c r="M23" s="122">
        <f t="shared" si="7"/>
        <v>879245.34</v>
      </c>
      <c r="N23" s="116">
        <f t="shared" si="8"/>
        <v>879245.34</v>
      </c>
      <c r="O23" s="123">
        <f t="shared" si="9"/>
        <v>178.49073081607796</v>
      </c>
      <c r="P23" s="5"/>
      <c r="Q23" s="5">
        <f t="shared" si="2"/>
        <v>1</v>
      </c>
      <c r="R23" s="7">
        <f t="shared" si="3"/>
        <v>4926</v>
      </c>
      <c r="S23" s="5">
        <f t="shared" si="4"/>
        <v>0</v>
      </c>
      <c r="T23" s="7">
        <f t="shared" si="5"/>
        <v>0</v>
      </c>
    </row>
    <row r="24" spans="1:20">
      <c r="A24" s="23" t="s">
        <v>26</v>
      </c>
      <c r="B24" s="35" t="s">
        <v>19</v>
      </c>
      <c r="C24" s="36">
        <v>9389</v>
      </c>
      <c r="D24" s="6"/>
      <c r="E24" s="113">
        <v>135015186</v>
      </c>
      <c r="F24" s="116">
        <f t="shared" si="6"/>
        <v>14380.145489402492</v>
      </c>
      <c r="G24" s="117">
        <v>66556113</v>
      </c>
      <c r="H24" s="117">
        <f t="shared" si="0"/>
        <v>7088.7328789008416</v>
      </c>
      <c r="I24" s="98" t="s">
        <v>528</v>
      </c>
      <c r="J24" s="10"/>
      <c r="K24" s="117"/>
      <c r="L24" s="120"/>
      <c r="M24" s="122">
        <f t="shared" si="7"/>
        <v>665561.13</v>
      </c>
      <c r="N24" s="116">
        <f t="shared" si="8"/>
        <v>665561.13</v>
      </c>
      <c r="O24" s="123">
        <f t="shared" si="9"/>
        <v>70.887328789008421</v>
      </c>
      <c r="P24" s="5"/>
      <c r="Q24" s="5">
        <f t="shared" si="2"/>
        <v>1</v>
      </c>
      <c r="R24" s="7">
        <f t="shared" si="3"/>
        <v>9389</v>
      </c>
      <c r="S24" s="5">
        <f t="shared" si="4"/>
        <v>0</v>
      </c>
      <c r="T24" s="7">
        <f t="shared" si="5"/>
        <v>0</v>
      </c>
    </row>
    <row r="25" spans="1:20">
      <c r="A25" s="23" t="s">
        <v>27</v>
      </c>
      <c r="B25" s="35" t="s">
        <v>28</v>
      </c>
      <c r="C25" s="36">
        <v>312</v>
      </c>
      <c r="D25" s="6"/>
      <c r="E25" s="113">
        <v>6337862</v>
      </c>
      <c r="F25" s="116">
        <f t="shared" si="6"/>
        <v>20313.660256410258</v>
      </c>
      <c r="G25" s="117">
        <v>2801546</v>
      </c>
      <c r="H25" s="117">
        <f t="shared" si="0"/>
        <v>8979.3141025641035</v>
      </c>
      <c r="I25" s="7"/>
      <c r="J25" s="10">
        <v>0.56499999999999995</v>
      </c>
      <c r="K25" s="117">
        <v>1582</v>
      </c>
      <c r="L25" s="120">
        <f t="shared" si="1"/>
        <v>5.0705128205128203</v>
      </c>
      <c r="M25" s="122">
        <f t="shared" si="7"/>
        <v>28015.46</v>
      </c>
      <c r="N25" s="116">
        <f t="shared" si="8"/>
        <v>26433.46</v>
      </c>
      <c r="O25" s="123">
        <f t="shared" si="9"/>
        <v>84.722628205128203</v>
      </c>
      <c r="P25" s="5"/>
      <c r="Q25" s="5">
        <f t="shared" si="2"/>
        <v>1</v>
      </c>
      <c r="R25" s="7">
        <f t="shared" si="3"/>
        <v>312</v>
      </c>
      <c r="S25" s="5">
        <f t="shared" si="4"/>
        <v>1</v>
      </c>
      <c r="T25" s="7">
        <f t="shared" si="5"/>
        <v>312</v>
      </c>
    </row>
    <row r="26" spans="1:20">
      <c r="A26" s="23" t="s">
        <v>29</v>
      </c>
      <c r="B26" s="35" t="s">
        <v>28</v>
      </c>
      <c r="C26" s="36">
        <v>311</v>
      </c>
      <c r="D26" s="6"/>
      <c r="E26" s="113">
        <v>5007019</v>
      </c>
      <c r="F26" s="116">
        <f t="shared" si="6"/>
        <v>16099.739549839229</v>
      </c>
      <c r="G26" s="117">
        <v>2416147</v>
      </c>
      <c r="H26" s="117">
        <f t="shared" si="0"/>
        <v>7768.961414790997</v>
      </c>
      <c r="I26" s="7"/>
      <c r="J26" s="10">
        <v>0.65280000000000005</v>
      </c>
      <c r="K26" s="117">
        <v>1577</v>
      </c>
      <c r="L26" s="120">
        <f t="shared" si="1"/>
        <v>5.070739549839228</v>
      </c>
      <c r="M26" s="122">
        <f t="shared" si="7"/>
        <v>24161.47</v>
      </c>
      <c r="N26" s="116">
        <f t="shared" si="8"/>
        <v>22584.47</v>
      </c>
      <c r="O26" s="123">
        <f t="shared" si="9"/>
        <v>72.618874598070747</v>
      </c>
      <c r="P26" s="5"/>
      <c r="Q26" s="5">
        <f t="shared" si="2"/>
        <v>1</v>
      </c>
      <c r="R26" s="7">
        <f t="shared" si="3"/>
        <v>311</v>
      </c>
      <c r="S26" s="5">
        <f t="shared" si="4"/>
        <v>1</v>
      </c>
      <c r="T26" s="7">
        <f t="shared" si="5"/>
        <v>311</v>
      </c>
    </row>
    <row r="27" spans="1:20">
      <c r="A27" s="23" t="s">
        <v>30</v>
      </c>
      <c r="B27" s="35" t="s">
        <v>28</v>
      </c>
      <c r="C27" s="36">
        <v>686</v>
      </c>
      <c r="D27" s="6"/>
      <c r="E27" s="113">
        <v>11931094</v>
      </c>
      <c r="F27" s="116">
        <f t="shared" si="6"/>
        <v>17392.265306122448</v>
      </c>
      <c r="G27" s="117">
        <v>6094950</v>
      </c>
      <c r="H27" s="117">
        <f t="shared" si="0"/>
        <v>8884.7667638483963</v>
      </c>
      <c r="I27" s="7"/>
      <c r="J27" s="11">
        <v>2.3239999999999998</v>
      </c>
      <c r="K27" s="117">
        <v>14164</v>
      </c>
      <c r="L27" s="120">
        <f t="shared" si="1"/>
        <v>20.647230320699709</v>
      </c>
      <c r="M27" s="122">
        <f t="shared" si="7"/>
        <v>60949.5</v>
      </c>
      <c r="N27" s="116">
        <f t="shared" si="8"/>
        <v>46785.5</v>
      </c>
      <c r="O27" s="123">
        <f t="shared" si="9"/>
        <v>68.20043731778425</v>
      </c>
      <c r="P27" s="5"/>
      <c r="Q27" s="5">
        <f t="shared" si="2"/>
        <v>1</v>
      </c>
      <c r="R27" s="7">
        <f t="shared" si="3"/>
        <v>686</v>
      </c>
      <c r="S27" s="5">
        <f t="shared" si="4"/>
        <v>1</v>
      </c>
      <c r="T27" s="7">
        <f t="shared" si="5"/>
        <v>686</v>
      </c>
    </row>
    <row r="28" spans="1:20">
      <c r="A28" s="23" t="s">
        <v>31</v>
      </c>
      <c r="B28" s="35" t="s">
        <v>28</v>
      </c>
      <c r="C28" s="36">
        <v>5142</v>
      </c>
      <c r="D28" s="6"/>
      <c r="E28" s="113">
        <v>190328184</v>
      </c>
      <c r="F28" s="116">
        <f t="shared" si="6"/>
        <v>37014.427071178528</v>
      </c>
      <c r="G28" s="117">
        <v>98843303</v>
      </c>
      <c r="H28" s="117">
        <f t="shared" si="0"/>
        <v>19222.734928043563</v>
      </c>
      <c r="I28" s="7"/>
      <c r="J28" s="11">
        <v>4</v>
      </c>
      <c r="K28" s="117">
        <v>395373</v>
      </c>
      <c r="L28" s="120">
        <f t="shared" si="1"/>
        <v>76.89089848308052</v>
      </c>
      <c r="M28" s="122">
        <f t="shared" si="7"/>
        <v>988433.03</v>
      </c>
      <c r="N28" s="116">
        <f t="shared" si="8"/>
        <v>593060.03</v>
      </c>
      <c r="O28" s="123">
        <f t="shared" si="9"/>
        <v>115.33645079735513</v>
      </c>
      <c r="P28" s="5"/>
      <c r="Q28" s="5">
        <f t="shared" si="2"/>
        <v>1</v>
      </c>
      <c r="R28" s="7">
        <f t="shared" si="3"/>
        <v>5142</v>
      </c>
      <c r="S28" s="5">
        <f t="shared" si="4"/>
        <v>1</v>
      </c>
      <c r="T28" s="7">
        <f t="shared" si="5"/>
        <v>5142</v>
      </c>
    </row>
    <row r="29" spans="1:20">
      <c r="A29" s="23" t="s">
        <v>32</v>
      </c>
      <c r="B29" s="35" t="s">
        <v>33</v>
      </c>
      <c r="C29" s="36">
        <v>8399</v>
      </c>
      <c r="D29" s="6"/>
      <c r="E29" s="113">
        <v>391376959</v>
      </c>
      <c r="F29" s="116">
        <f t="shared" si="6"/>
        <v>46598.042505060126</v>
      </c>
      <c r="G29" s="117">
        <v>338098549</v>
      </c>
      <c r="H29" s="117">
        <f t="shared" si="0"/>
        <v>40254.619478509347</v>
      </c>
      <c r="I29" s="98" t="s">
        <v>528</v>
      </c>
      <c r="J29" s="11"/>
      <c r="K29" s="117"/>
      <c r="L29" s="120"/>
      <c r="M29" s="122">
        <f t="shared" si="7"/>
        <v>3380985.49</v>
      </c>
      <c r="N29" s="116">
        <f t="shared" si="8"/>
        <v>3380985.49</v>
      </c>
      <c r="O29" s="123">
        <f t="shared" si="9"/>
        <v>402.54619478509346</v>
      </c>
      <c r="P29" s="5"/>
      <c r="Q29" s="5">
        <f t="shared" si="2"/>
        <v>1</v>
      </c>
      <c r="R29" s="7">
        <f t="shared" si="3"/>
        <v>8399</v>
      </c>
      <c r="S29" s="5">
        <f t="shared" si="4"/>
        <v>0</v>
      </c>
      <c r="T29" s="7">
        <f t="shared" si="5"/>
        <v>0</v>
      </c>
    </row>
    <row r="30" spans="1:20">
      <c r="A30" s="23" t="s">
        <v>34</v>
      </c>
      <c r="B30" s="35" t="s">
        <v>33</v>
      </c>
      <c r="C30" s="36">
        <v>17942</v>
      </c>
      <c r="D30" s="6"/>
      <c r="E30" s="113">
        <v>561720655</v>
      </c>
      <c r="F30" s="116">
        <f t="shared" si="6"/>
        <v>31307.58304536841</v>
      </c>
      <c r="G30" s="117">
        <v>337519415</v>
      </c>
      <c r="H30" s="117">
        <f t="shared" si="0"/>
        <v>18811.694069780402</v>
      </c>
      <c r="I30" s="7"/>
      <c r="J30" s="10">
        <v>4.2</v>
      </c>
      <c r="K30" s="117">
        <v>1417581</v>
      </c>
      <c r="L30" s="120">
        <f t="shared" si="1"/>
        <v>79.009084828893094</v>
      </c>
      <c r="M30" s="122">
        <f t="shared" si="7"/>
        <v>3375194.15</v>
      </c>
      <c r="N30" s="116">
        <f t="shared" si="8"/>
        <v>1957613.15</v>
      </c>
      <c r="O30" s="123">
        <f t="shared" si="9"/>
        <v>109.10785586891093</v>
      </c>
      <c r="P30" s="5"/>
      <c r="Q30" s="5">
        <f t="shared" si="2"/>
        <v>1</v>
      </c>
      <c r="R30" s="7">
        <f t="shared" si="3"/>
        <v>17942</v>
      </c>
      <c r="S30" s="5">
        <f t="shared" si="4"/>
        <v>1</v>
      </c>
      <c r="T30" s="7">
        <f t="shared" si="5"/>
        <v>17942</v>
      </c>
    </row>
    <row r="31" spans="1:20">
      <c r="A31" s="23" t="s">
        <v>35</v>
      </c>
      <c r="B31" s="35" t="s">
        <v>33</v>
      </c>
      <c r="C31" s="36">
        <v>12713</v>
      </c>
      <c r="D31" s="6"/>
      <c r="E31" s="113">
        <v>1027762902</v>
      </c>
      <c r="F31" s="116">
        <f t="shared" si="6"/>
        <v>80843.459608274992</v>
      </c>
      <c r="G31" s="117">
        <v>814188472</v>
      </c>
      <c r="H31" s="117">
        <f t="shared" si="0"/>
        <v>64043.771887044757</v>
      </c>
      <c r="I31" s="7"/>
      <c r="J31" s="10">
        <v>4.8794000000000004</v>
      </c>
      <c r="K31" s="117">
        <v>3972751</v>
      </c>
      <c r="L31" s="120">
        <f t="shared" si="1"/>
        <v>312.49516243215606</v>
      </c>
      <c r="M31" s="122">
        <f t="shared" si="7"/>
        <v>8141884.7199999997</v>
      </c>
      <c r="N31" s="116">
        <f t="shared" si="8"/>
        <v>4169133.7199999997</v>
      </c>
      <c r="O31" s="123">
        <f t="shared" si="9"/>
        <v>327.94255643829149</v>
      </c>
      <c r="P31" s="5"/>
      <c r="Q31" s="5">
        <f t="shared" si="2"/>
        <v>1</v>
      </c>
      <c r="R31" s="7">
        <f t="shared" si="3"/>
        <v>12713</v>
      </c>
      <c r="S31" s="5">
        <f t="shared" si="4"/>
        <v>1</v>
      </c>
      <c r="T31" s="7">
        <f t="shared" si="5"/>
        <v>12713</v>
      </c>
    </row>
    <row r="32" spans="1:20">
      <c r="A32" s="23" t="s">
        <v>36</v>
      </c>
      <c r="B32" s="35" t="s">
        <v>33</v>
      </c>
      <c r="C32" s="36">
        <v>2940</v>
      </c>
      <c r="D32" s="6"/>
      <c r="E32" s="113">
        <v>176986543</v>
      </c>
      <c r="F32" s="116">
        <f t="shared" si="6"/>
        <v>60199.50442176871</v>
      </c>
      <c r="G32" s="117">
        <v>145671613</v>
      </c>
      <c r="H32" s="117">
        <f t="shared" si="0"/>
        <v>49548.167687074827</v>
      </c>
      <c r="I32" s="7"/>
      <c r="J32" s="10">
        <v>4.7708000000000004</v>
      </c>
      <c r="K32" s="117">
        <v>694970</v>
      </c>
      <c r="L32" s="120">
        <f t="shared" si="1"/>
        <v>236.3843537414966</v>
      </c>
      <c r="M32" s="122">
        <f t="shared" si="7"/>
        <v>1456716.1300000001</v>
      </c>
      <c r="N32" s="116">
        <f t="shared" si="8"/>
        <v>761746.13000000012</v>
      </c>
      <c r="O32" s="123">
        <f t="shared" si="9"/>
        <v>259.09732312925172</v>
      </c>
      <c r="P32" s="5"/>
      <c r="Q32" s="5">
        <f t="shared" si="2"/>
        <v>1</v>
      </c>
      <c r="R32" s="7">
        <f t="shared" si="3"/>
        <v>2940</v>
      </c>
      <c r="S32" s="5">
        <f t="shared" si="4"/>
        <v>1</v>
      </c>
      <c r="T32" s="7">
        <f t="shared" si="5"/>
        <v>2940</v>
      </c>
    </row>
    <row r="33" spans="1:20">
      <c r="A33" s="23" t="s">
        <v>37</v>
      </c>
      <c r="B33" s="35" t="s">
        <v>33</v>
      </c>
      <c r="C33" s="36">
        <v>7498</v>
      </c>
      <c r="D33" s="6"/>
      <c r="E33" s="113">
        <v>391883749</v>
      </c>
      <c r="F33" s="116">
        <f t="shared" si="6"/>
        <v>52265.10389437183</v>
      </c>
      <c r="G33" s="117">
        <v>318726509</v>
      </c>
      <c r="H33" s="117">
        <f t="shared" si="0"/>
        <v>42508.203387570022</v>
      </c>
      <c r="I33" s="7"/>
      <c r="J33" s="10">
        <v>3.3</v>
      </c>
      <c r="K33" s="117">
        <v>1051797</v>
      </c>
      <c r="L33" s="120">
        <f t="shared" si="1"/>
        <v>140.27700720192053</v>
      </c>
      <c r="M33" s="122">
        <f t="shared" si="7"/>
        <v>3187265.09</v>
      </c>
      <c r="N33" s="116">
        <f t="shared" si="8"/>
        <v>2135468.09</v>
      </c>
      <c r="O33" s="123">
        <f t="shared" si="9"/>
        <v>284.80502667377965</v>
      </c>
      <c r="P33" s="5"/>
      <c r="Q33" s="5">
        <f t="shared" si="2"/>
        <v>1</v>
      </c>
      <c r="R33" s="7">
        <f t="shared" si="3"/>
        <v>7498</v>
      </c>
      <c r="S33" s="5">
        <f t="shared" si="4"/>
        <v>1</v>
      </c>
      <c r="T33" s="7">
        <f t="shared" si="5"/>
        <v>7498</v>
      </c>
    </row>
    <row r="34" spans="1:20">
      <c r="A34" s="23" t="s">
        <v>38</v>
      </c>
      <c r="B34" s="35" t="s">
        <v>33</v>
      </c>
      <c r="C34" s="36">
        <v>2313</v>
      </c>
      <c r="D34" s="6"/>
      <c r="E34" s="113">
        <v>141131461</v>
      </c>
      <c r="F34" s="116">
        <f t="shared" si="6"/>
        <v>61016.628188499781</v>
      </c>
      <c r="G34" s="117">
        <v>112450221</v>
      </c>
      <c r="H34" s="117">
        <f t="shared" si="0"/>
        <v>48616.610894941638</v>
      </c>
      <c r="I34" s="7"/>
      <c r="J34" s="10">
        <v>1.1751</v>
      </c>
      <c r="K34" s="117">
        <v>132140</v>
      </c>
      <c r="L34" s="120">
        <f t="shared" si="1"/>
        <v>57.129269347168183</v>
      </c>
      <c r="M34" s="122">
        <f t="shared" si="7"/>
        <v>1124502.21</v>
      </c>
      <c r="N34" s="116">
        <f t="shared" si="8"/>
        <v>992362.21</v>
      </c>
      <c r="O34" s="123">
        <f t="shared" si="9"/>
        <v>429.03683960224816</v>
      </c>
      <c r="P34" s="5"/>
      <c r="Q34" s="5">
        <f t="shared" si="2"/>
        <v>1</v>
      </c>
      <c r="R34" s="7">
        <f t="shared" si="3"/>
        <v>2313</v>
      </c>
      <c r="S34" s="5">
        <f t="shared" si="4"/>
        <v>1</v>
      </c>
      <c r="T34" s="7">
        <f t="shared" si="5"/>
        <v>2313</v>
      </c>
    </row>
    <row r="35" spans="1:20">
      <c r="A35" s="23" t="s">
        <v>39</v>
      </c>
      <c r="B35" s="35" t="s">
        <v>33</v>
      </c>
      <c r="C35" s="36">
        <v>66350</v>
      </c>
      <c r="D35" s="6"/>
      <c r="E35" s="113">
        <v>2925620562</v>
      </c>
      <c r="F35" s="116">
        <f t="shared" si="6"/>
        <v>44093.753760361717</v>
      </c>
      <c r="G35" s="117">
        <v>1978833926</v>
      </c>
      <c r="H35" s="117">
        <f t="shared" si="0"/>
        <v>29824.17371514695</v>
      </c>
      <c r="I35" s="7"/>
      <c r="J35" s="10">
        <v>3.9750999999999999</v>
      </c>
      <c r="K35" s="117">
        <v>7866062</v>
      </c>
      <c r="L35" s="120">
        <f t="shared" si="1"/>
        <v>118.55406179351921</v>
      </c>
      <c r="M35" s="122">
        <f t="shared" si="7"/>
        <v>19788339.260000002</v>
      </c>
      <c r="N35" s="116">
        <f t="shared" si="8"/>
        <v>11922277.260000002</v>
      </c>
      <c r="O35" s="123">
        <f t="shared" si="9"/>
        <v>179.6876753579503</v>
      </c>
      <c r="P35" s="5"/>
      <c r="Q35" s="5">
        <f t="shared" si="2"/>
        <v>1</v>
      </c>
      <c r="R35" s="7">
        <f t="shared" si="3"/>
        <v>66350</v>
      </c>
      <c r="S35" s="5">
        <f t="shared" si="4"/>
        <v>1</v>
      </c>
      <c r="T35" s="7">
        <f t="shared" si="5"/>
        <v>66350</v>
      </c>
    </row>
    <row r="36" spans="1:20">
      <c r="A36" s="23" t="s">
        <v>40</v>
      </c>
      <c r="B36" s="35" t="s">
        <v>33</v>
      </c>
      <c r="C36" s="36">
        <v>3190</v>
      </c>
      <c r="D36" s="6"/>
      <c r="E36" s="113">
        <v>186728609</v>
      </c>
      <c r="F36" s="116">
        <f t="shared" si="6"/>
        <v>58535.614106583074</v>
      </c>
      <c r="G36" s="117">
        <v>150226549</v>
      </c>
      <c r="H36" s="117">
        <f t="shared" si="0"/>
        <v>47092.96206896552</v>
      </c>
      <c r="I36" s="7"/>
      <c r="J36" s="10">
        <v>3.4262999999999999</v>
      </c>
      <c r="K36" s="117">
        <v>514721</v>
      </c>
      <c r="L36" s="120">
        <f t="shared" si="1"/>
        <v>161.35454545454544</v>
      </c>
      <c r="M36" s="122">
        <f t="shared" si="7"/>
        <v>1502265.49</v>
      </c>
      <c r="N36" s="116">
        <f t="shared" si="8"/>
        <v>987544.49</v>
      </c>
      <c r="O36" s="123">
        <f t="shared" si="9"/>
        <v>309.57507523510969</v>
      </c>
      <c r="P36" s="5"/>
      <c r="Q36" s="5">
        <f t="shared" si="2"/>
        <v>1</v>
      </c>
      <c r="R36" s="7">
        <f t="shared" si="3"/>
        <v>3190</v>
      </c>
      <c r="S36" s="5">
        <f t="shared" si="4"/>
        <v>1</v>
      </c>
      <c r="T36" s="7">
        <f t="shared" si="5"/>
        <v>3190</v>
      </c>
    </row>
    <row r="37" spans="1:20">
      <c r="A37" s="23" t="s">
        <v>41</v>
      </c>
      <c r="B37" s="35" t="s">
        <v>33</v>
      </c>
      <c r="C37" s="36">
        <v>608</v>
      </c>
      <c r="D37" s="6"/>
      <c r="E37" s="113">
        <v>35956583</v>
      </c>
      <c r="F37" s="116">
        <f t="shared" si="6"/>
        <v>59139.116776315786</v>
      </c>
      <c r="G37" s="117">
        <v>28911753</v>
      </c>
      <c r="H37" s="117">
        <f t="shared" si="0"/>
        <v>47552.225328947367</v>
      </c>
      <c r="I37" s="7"/>
      <c r="J37" s="10">
        <v>3.1960000000000002</v>
      </c>
      <c r="K37" s="117">
        <v>92401</v>
      </c>
      <c r="L37" s="120">
        <f t="shared" si="1"/>
        <v>151.97532894736841</v>
      </c>
      <c r="M37" s="122">
        <f t="shared" si="7"/>
        <v>289117.53000000003</v>
      </c>
      <c r="N37" s="116">
        <f t="shared" si="8"/>
        <v>196716.53000000003</v>
      </c>
      <c r="O37" s="123">
        <f t="shared" si="9"/>
        <v>323.54692434210529</v>
      </c>
      <c r="P37" s="5"/>
      <c r="Q37" s="5">
        <f t="shared" si="2"/>
        <v>1</v>
      </c>
      <c r="R37" s="7">
        <f t="shared" si="3"/>
        <v>608</v>
      </c>
      <c r="S37" s="5">
        <f t="shared" si="4"/>
        <v>1</v>
      </c>
      <c r="T37" s="7">
        <f t="shared" si="5"/>
        <v>608</v>
      </c>
    </row>
    <row r="38" spans="1:20">
      <c r="A38" s="23" t="s">
        <v>42</v>
      </c>
      <c r="B38" s="35" t="s">
        <v>33</v>
      </c>
      <c r="C38" s="36">
        <v>73137</v>
      </c>
      <c r="D38" s="6"/>
      <c r="E38" s="113">
        <v>2375822054</v>
      </c>
      <c r="F38" s="116">
        <f t="shared" si="6"/>
        <v>32484.543445861877</v>
      </c>
      <c r="G38" s="117">
        <v>1730974055</v>
      </c>
      <c r="H38" s="117">
        <f t="shared" ref="H38:H69" si="10">(G38/C38)</f>
        <v>23667.556161723889</v>
      </c>
      <c r="I38" s="7"/>
      <c r="J38" s="10">
        <v>3.2383999999999999</v>
      </c>
      <c r="K38" s="117">
        <v>5605586</v>
      </c>
      <c r="L38" s="120">
        <f t="shared" ref="L38:L69" si="11">(K38/C38)</f>
        <v>76.645008682335884</v>
      </c>
      <c r="M38" s="122">
        <f t="shared" si="7"/>
        <v>17309740.550000001</v>
      </c>
      <c r="N38" s="116">
        <f t="shared" si="8"/>
        <v>11704154.550000001</v>
      </c>
      <c r="O38" s="123">
        <f t="shared" si="9"/>
        <v>160.030552934903</v>
      </c>
      <c r="P38" s="5"/>
      <c r="Q38" s="5">
        <f t="shared" si="2"/>
        <v>1</v>
      </c>
      <c r="R38" s="7">
        <f t="shared" si="3"/>
        <v>73137</v>
      </c>
      <c r="S38" s="5">
        <f t="shared" si="4"/>
        <v>1</v>
      </c>
      <c r="T38" s="7">
        <f t="shared" si="5"/>
        <v>73137</v>
      </c>
    </row>
    <row r="39" spans="1:20">
      <c r="A39" s="23" t="s">
        <v>43</v>
      </c>
      <c r="B39" s="35" t="s">
        <v>33</v>
      </c>
      <c r="C39" s="36">
        <v>484</v>
      </c>
      <c r="D39" s="6"/>
      <c r="E39" s="113">
        <v>25874812</v>
      </c>
      <c r="F39" s="116">
        <f t="shared" si="6"/>
        <v>53460.355371900827</v>
      </c>
      <c r="G39" s="117">
        <v>21523342</v>
      </c>
      <c r="H39" s="117">
        <f t="shared" si="10"/>
        <v>44469.71487603306</v>
      </c>
      <c r="I39" s="98" t="s">
        <v>528</v>
      </c>
      <c r="J39" s="10"/>
      <c r="K39" s="117"/>
      <c r="L39" s="120"/>
      <c r="M39" s="122">
        <f t="shared" si="7"/>
        <v>215233.42</v>
      </c>
      <c r="N39" s="116">
        <f t="shared" si="8"/>
        <v>215233.42</v>
      </c>
      <c r="O39" s="123">
        <f t="shared" si="9"/>
        <v>444.69714876033061</v>
      </c>
      <c r="P39" s="5"/>
      <c r="Q39" s="5">
        <f t="shared" si="2"/>
        <v>1</v>
      </c>
      <c r="R39" s="7">
        <f t="shared" si="3"/>
        <v>484</v>
      </c>
      <c r="S39" s="5">
        <f t="shared" si="4"/>
        <v>0</v>
      </c>
      <c r="T39" s="7">
        <f t="shared" si="5"/>
        <v>0</v>
      </c>
    </row>
    <row r="40" spans="1:20">
      <c r="A40" s="23" t="s">
        <v>44</v>
      </c>
      <c r="B40" s="35" t="s">
        <v>33</v>
      </c>
      <c r="C40" s="36">
        <v>18125</v>
      </c>
      <c r="D40" s="6"/>
      <c r="E40" s="113">
        <v>731947312</v>
      </c>
      <c r="F40" s="116">
        <f t="shared" si="6"/>
        <v>40383.299972413792</v>
      </c>
      <c r="G40" s="117">
        <v>502054812</v>
      </c>
      <c r="H40" s="117">
        <f t="shared" si="10"/>
        <v>27699.575834482759</v>
      </c>
      <c r="I40" s="7"/>
      <c r="J40" s="10">
        <v>4.99</v>
      </c>
      <c r="K40" s="117">
        <v>2505253</v>
      </c>
      <c r="L40" s="120">
        <f t="shared" si="11"/>
        <v>138.22085517241379</v>
      </c>
      <c r="M40" s="122">
        <f t="shared" si="7"/>
        <v>5020548.12</v>
      </c>
      <c r="N40" s="116">
        <f t="shared" si="8"/>
        <v>2515295.12</v>
      </c>
      <c r="O40" s="123">
        <f t="shared" si="9"/>
        <v>138.77490317241379</v>
      </c>
      <c r="P40" s="5"/>
      <c r="Q40" s="5">
        <f t="shared" si="2"/>
        <v>1</v>
      </c>
      <c r="R40" s="7">
        <f t="shared" si="3"/>
        <v>18125</v>
      </c>
      <c r="S40" s="5">
        <f t="shared" si="4"/>
        <v>1</v>
      </c>
      <c r="T40" s="7">
        <f t="shared" si="5"/>
        <v>18125</v>
      </c>
    </row>
    <row r="41" spans="1:20">
      <c r="A41" s="23" t="s">
        <v>45</v>
      </c>
      <c r="B41" s="35" t="s">
        <v>33</v>
      </c>
      <c r="C41" s="36">
        <v>10105</v>
      </c>
      <c r="D41" s="6"/>
      <c r="E41" s="113">
        <v>457378971</v>
      </c>
      <c r="F41" s="116">
        <f t="shared" si="6"/>
        <v>45262.639386442352</v>
      </c>
      <c r="G41" s="117">
        <v>347459771</v>
      </c>
      <c r="H41" s="117">
        <f t="shared" si="10"/>
        <v>34384.935279564575</v>
      </c>
      <c r="I41" s="7"/>
      <c r="J41" s="10">
        <v>5.5330000000000004</v>
      </c>
      <c r="K41" s="121">
        <v>1922494</v>
      </c>
      <c r="L41" s="120">
        <f t="shared" si="11"/>
        <v>190.25175655616033</v>
      </c>
      <c r="M41" s="122">
        <f t="shared" si="7"/>
        <v>3474597.71</v>
      </c>
      <c r="N41" s="116">
        <f t="shared" si="8"/>
        <v>1552103.71</v>
      </c>
      <c r="O41" s="123">
        <f t="shared" si="9"/>
        <v>153.5975962394854</v>
      </c>
      <c r="P41" s="5"/>
      <c r="Q41" s="5">
        <f t="shared" si="2"/>
        <v>1</v>
      </c>
      <c r="R41" s="7">
        <f t="shared" si="3"/>
        <v>10105</v>
      </c>
      <c r="S41" s="5">
        <f t="shared" si="4"/>
        <v>1</v>
      </c>
      <c r="T41" s="7">
        <f t="shared" si="5"/>
        <v>10105</v>
      </c>
    </row>
    <row r="42" spans="1:20">
      <c r="A42" s="23" t="s">
        <v>46</v>
      </c>
      <c r="B42" s="35" t="s">
        <v>33</v>
      </c>
      <c r="C42" s="36">
        <v>41495</v>
      </c>
      <c r="D42" s="6"/>
      <c r="E42" s="113">
        <v>1439713126</v>
      </c>
      <c r="F42" s="116">
        <f t="shared" si="6"/>
        <v>34696.062802747321</v>
      </c>
      <c r="G42" s="117">
        <v>977252857</v>
      </c>
      <c r="H42" s="117">
        <f t="shared" si="10"/>
        <v>23551.099096276659</v>
      </c>
      <c r="I42" s="7"/>
      <c r="J42" s="10">
        <v>3.8146</v>
      </c>
      <c r="K42" s="117">
        <v>3727828</v>
      </c>
      <c r="L42" s="120">
        <f t="shared" si="11"/>
        <v>89.838004578864926</v>
      </c>
      <c r="M42" s="122">
        <f t="shared" si="7"/>
        <v>9772528.5700000003</v>
      </c>
      <c r="N42" s="116">
        <f t="shared" si="8"/>
        <v>6044700.5700000003</v>
      </c>
      <c r="O42" s="123">
        <f t="shared" si="9"/>
        <v>145.67298638390167</v>
      </c>
      <c r="P42" s="5"/>
      <c r="Q42" s="5">
        <f t="shared" si="2"/>
        <v>1</v>
      </c>
      <c r="R42" s="7">
        <f t="shared" si="3"/>
        <v>41495</v>
      </c>
      <c r="S42" s="5">
        <f t="shared" si="4"/>
        <v>1</v>
      </c>
      <c r="T42" s="7">
        <f t="shared" si="5"/>
        <v>41495</v>
      </c>
    </row>
    <row r="43" spans="1:20">
      <c r="A43" s="23" t="s">
        <v>47</v>
      </c>
      <c r="B43" s="35" t="s">
        <v>33</v>
      </c>
      <c r="C43" s="36">
        <v>9023</v>
      </c>
      <c r="D43" s="6"/>
      <c r="E43" s="113">
        <v>435341450</v>
      </c>
      <c r="F43" s="116">
        <f t="shared" si="6"/>
        <v>48247.971849717389</v>
      </c>
      <c r="G43" s="117">
        <v>331106310</v>
      </c>
      <c r="H43" s="117">
        <f t="shared" si="10"/>
        <v>36695.811814252469</v>
      </c>
      <c r="I43" s="98" t="s">
        <v>528</v>
      </c>
      <c r="J43" s="10"/>
      <c r="K43" s="117"/>
      <c r="L43" s="120"/>
      <c r="M43" s="122">
        <f t="shared" si="7"/>
        <v>3311063.1</v>
      </c>
      <c r="N43" s="116">
        <f t="shared" si="8"/>
        <v>3311063.1</v>
      </c>
      <c r="O43" s="123">
        <f t="shared" si="9"/>
        <v>366.95811814252465</v>
      </c>
      <c r="P43" s="5"/>
      <c r="Q43" s="5">
        <f t="shared" si="2"/>
        <v>1</v>
      </c>
      <c r="R43" s="7">
        <f t="shared" si="3"/>
        <v>9023</v>
      </c>
      <c r="S43" s="5">
        <f t="shared" si="4"/>
        <v>0</v>
      </c>
      <c r="T43" s="7">
        <f t="shared" si="5"/>
        <v>0</v>
      </c>
    </row>
    <row r="44" spans="1:20">
      <c r="A44" s="23" t="s">
        <v>48</v>
      </c>
      <c r="B44" s="35" t="s">
        <v>49</v>
      </c>
      <c r="C44" s="36">
        <v>33388</v>
      </c>
      <c r="D44" s="6"/>
      <c r="E44" s="113">
        <v>1460101304</v>
      </c>
      <c r="F44" s="116">
        <f t="shared" si="6"/>
        <v>43731.319755600816</v>
      </c>
      <c r="G44" s="117">
        <v>1058773752</v>
      </c>
      <c r="H44" s="117">
        <f t="shared" si="10"/>
        <v>31711.206181861748</v>
      </c>
      <c r="I44" s="7"/>
      <c r="J44" s="11">
        <v>4.2484000000000002</v>
      </c>
      <c r="K44" s="117">
        <v>4498094</v>
      </c>
      <c r="L44" s="120">
        <f t="shared" si="11"/>
        <v>134.72187612315801</v>
      </c>
      <c r="M44" s="122">
        <f t="shared" si="7"/>
        <v>10587737.52</v>
      </c>
      <c r="N44" s="116">
        <f t="shared" si="8"/>
        <v>6089643.5199999996</v>
      </c>
      <c r="O44" s="123">
        <f t="shared" si="9"/>
        <v>182.39018569545942</v>
      </c>
      <c r="P44" s="5"/>
      <c r="Q44" s="5">
        <f t="shared" si="2"/>
        <v>1</v>
      </c>
      <c r="R44" s="7">
        <f t="shared" si="3"/>
        <v>33388</v>
      </c>
      <c r="S44" s="5">
        <f t="shared" si="4"/>
        <v>1</v>
      </c>
      <c r="T44" s="7">
        <f t="shared" si="5"/>
        <v>33388</v>
      </c>
    </row>
    <row r="45" spans="1:20">
      <c r="A45" s="23" t="s">
        <v>50</v>
      </c>
      <c r="B45" s="35" t="s">
        <v>49</v>
      </c>
      <c r="C45" s="36">
        <v>27398</v>
      </c>
      <c r="D45" s="6"/>
      <c r="E45" s="113">
        <v>1154114246</v>
      </c>
      <c r="F45" s="116">
        <f t="shared" si="6"/>
        <v>42124.032630118985</v>
      </c>
      <c r="G45" s="117">
        <v>875475603</v>
      </c>
      <c r="H45" s="117">
        <f t="shared" si="10"/>
        <v>31953.996751587707</v>
      </c>
      <c r="I45" s="7"/>
      <c r="J45" s="10">
        <v>4.9569999999999999</v>
      </c>
      <c r="K45" s="117">
        <v>4339732</v>
      </c>
      <c r="L45" s="120">
        <f t="shared" si="11"/>
        <v>158.39594130958463</v>
      </c>
      <c r="M45" s="122">
        <f t="shared" si="7"/>
        <v>8754756.0299999993</v>
      </c>
      <c r="N45" s="116">
        <f t="shared" si="8"/>
        <v>4415024.0299999993</v>
      </c>
      <c r="O45" s="123">
        <f t="shared" si="9"/>
        <v>161.14402620629241</v>
      </c>
      <c r="P45" s="5"/>
      <c r="Q45" s="5">
        <f t="shared" si="2"/>
        <v>1</v>
      </c>
      <c r="R45" s="7">
        <f t="shared" si="3"/>
        <v>27398</v>
      </c>
      <c r="S45" s="5">
        <f t="shared" si="4"/>
        <v>1</v>
      </c>
      <c r="T45" s="7">
        <f t="shared" si="5"/>
        <v>27398</v>
      </c>
    </row>
    <row r="46" spans="1:20">
      <c r="A46" s="23" t="s">
        <v>51</v>
      </c>
      <c r="B46" s="35" t="s">
        <v>49</v>
      </c>
      <c r="C46" s="36">
        <v>93439</v>
      </c>
      <c r="D46" s="6"/>
      <c r="E46" s="113">
        <v>4221067994</v>
      </c>
      <c r="F46" s="116">
        <f t="shared" si="6"/>
        <v>45174.584424062756</v>
      </c>
      <c r="G46" s="117">
        <v>3526248205</v>
      </c>
      <c r="H46" s="117">
        <f t="shared" si="10"/>
        <v>37738.50538854226</v>
      </c>
      <c r="I46" s="7"/>
      <c r="J46" s="10">
        <v>3.7563</v>
      </c>
      <c r="K46" s="117">
        <v>13245646</v>
      </c>
      <c r="L46" s="120">
        <f t="shared" si="11"/>
        <v>141.75714637356992</v>
      </c>
      <c r="M46" s="122">
        <f t="shared" si="7"/>
        <v>35262482.049999997</v>
      </c>
      <c r="N46" s="116">
        <f t="shared" si="8"/>
        <v>22016836.049999997</v>
      </c>
      <c r="O46" s="123">
        <f t="shared" si="9"/>
        <v>235.62790751185261</v>
      </c>
      <c r="P46" s="5"/>
      <c r="Q46" s="5">
        <f t="shared" si="2"/>
        <v>1</v>
      </c>
      <c r="R46" s="7">
        <f t="shared" si="3"/>
        <v>93439</v>
      </c>
      <c r="S46" s="5">
        <f t="shared" si="4"/>
        <v>1</v>
      </c>
      <c r="T46" s="7">
        <f t="shared" si="5"/>
        <v>93439</v>
      </c>
    </row>
    <row r="47" spans="1:20">
      <c r="A47" s="23" t="s">
        <v>464</v>
      </c>
      <c r="B47" s="35" t="s">
        <v>49</v>
      </c>
      <c r="C47" s="36">
        <v>17201</v>
      </c>
      <c r="D47" s="6"/>
      <c r="E47" s="113">
        <v>1036102883</v>
      </c>
      <c r="F47" s="116">
        <f t="shared" si="6"/>
        <v>60235.037672228362</v>
      </c>
      <c r="G47" s="117">
        <v>797629525</v>
      </c>
      <c r="H47" s="117">
        <f t="shared" si="10"/>
        <v>46371.113598046628</v>
      </c>
      <c r="I47" s="7"/>
      <c r="J47" s="10">
        <v>6.28</v>
      </c>
      <c r="K47" s="117">
        <v>5009113</v>
      </c>
      <c r="L47" s="120">
        <f t="shared" si="11"/>
        <v>291.21056915295623</v>
      </c>
      <c r="M47" s="122">
        <f t="shared" si="7"/>
        <v>7976295.25</v>
      </c>
      <c r="N47" s="116">
        <f t="shared" si="8"/>
        <v>2967182.25</v>
      </c>
      <c r="O47" s="123">
        <f t="shared" si="9"/>
        <v>172.50056682751003</v>
      </c>
      <c r="P47" s="5"/>
      <c r="Q47" s="5">
        <f t="shared" si="2"/>
        <v>1</v>
      </c>
      <c r="R47" s="7">
        <f t="shared" si="3"/>
        <v>17201</v>
      </c>
      <c r="S47" s="5">
        <f t="shared" si="4"/>
        <v>1</v>
      </c>
      <c r="T47" s="7">
        <f t="shared" si="5"/>
        <v>17201</v>
      </c>
    </row>
    <row r="48" spans="1:20">
      <c r="A48" s="23" t="s">
        <v>52</v>
      </c>
      <c r="B48" s="35" t="s">
        <v>49</v>
      </c>
      <c r="C48" s="36">
        <v>54611</v>
      </c>
      <c r="D48" s="6"/>
      <c r="E48" s="113">
        <v>2811693426</v>
      </c>
      <c r="F48" s="116">
        <f t="shared" si="6"/>
        <v>51485.843987475047</v>
      </c>
      <c r="G48" s="117">
        <v>2120844584</v>
      </c>
      <c r="H48" s="117">
        <f t="shared" si="10"/>
        <v>38835.48340078006</v>
      </c>
      <c r="I48" s="7"/>
      <c r="J48" s="11">
        <v>5.1086</v>
      </c>
      <c r="K48" s="117">
        <v>10834546</v>
      </c>
      <c r="L48" s="120">
        <f t="shared" si="11"/>
        <v>198.39493874860375</v>
      </c>
      <c r="M48" s="122">
        <f t="shared" si="7"/>
        <v>21208445.84</v>
      </c>
      <c r="N48" s="116">
        <f t="shared" si="8"/>
        <v>10373899.84</v>
      </c>
      <c r="O48" s="123">
        <f t="shared" si="9"/>
        <v>189.95989525919686</v>
      </c>
      <c r="P48" s="5"/>
      <c r="Q48" s="5">
        <f t="shared" si="2"/>
        <v>1</v>
      </c>
      <c r="R48" s="7">
        <f t="shared" si="3"/>
        <v>54611</v>
      </c>
      <c r="S48" s="5">
        <f t="shared" si="4"/>
        <v>1</v>
      </c>
      <c r="T48" s="7">
        <f t="shared" si="5"/>
        <v>54611</v>
      </c>
    </row>
    <row r="49" spans="1:20">
      <c r="A49" s="23" t="s">
        <v>53</v>
      </c>
      <c r="B49" s="35" t="s">
        <v>49</v>
      </c>
      <c r="C49" s="36">
        <v>48393</v>
      </c>
      <c r="D49" s="6"/>
      <c r="E49" s="113">
        <v>2731430208</v>
      </c>
      <c r="F49" s="116">
        <f t="shared" si="6"/>
        <v>56442.671626061623</v>
      </c>
      <c r="G49" s="117">
        <v>2209876469</v>
      </c>
      <c r="H49" s="117">
        <f t="shared" si="10"/>
        <v>45665.209203810467</v>
      </c>
      <c r="I49" s="7"/>
      <c r="J49" s="10">
        <v>5.3230000000000004</v>
      </c>
      <c r="K49" s="117">
        <v>11763172</v>
      </c>
      <c r="L49" s="120">
        <f t="shared" si="11"/>
        <v>243.07589940693902</v>
      </c>
      <c r="M49" s="122">
        <f t="shared" si="7"/>
        <v>22098764.690000001</v>
      </c>
      <c r="N49" s="116">
        <f t="shared" si="8"/>
        <v>10335592.690000001</v>
      </c>
      <c r="O49" s="123">
        <f t="shared" si="9"/>
        <v>213.5761926311657</v>
      </c>
      <c r="P49" s="5"/>
      <c r="Q49" s="5">
        <f t="shared" si="2"/>
        <v>1</v>
      </c>
      <c r="R49" s="7">
        <f t="shared" si="3"/>
        <v>48393</v>
      </c>
      <c r="S49" s="5">
        <f t="shared" si="4"/>
        <v>1</v>
      </c>
      <c r="T49" s="7">
        <f t="shared" si="5"/>
        <v>48393</v>
      </c>
    </row>
    <row r="50" spans="1:20">
      <c r="A50" s="23" t="s">
        <v>54</v>
      </c>
      <c r="B50" s="35" t="s">
        <v>49</v>
      </c>
      <c r="C50" s="36">
        <v>149491</v>
      </c>
      <c r="D50" s="6"/>
      <c r="E50" s="113">
        <v>11700917998</v>
      </c>
      <c r="F50" s="116">
        <f t="shared" si="6"/>
        <v>78271.722030088771</v>
      </c>
      <c r="G50" s="117">
        <v>9475852947</v>
      </c>
      <c r="H50" s="117">
        <f t="shared" si="10"/>
        <v>63387.447719260694</v>
      </c>
      <c r="I50" s="7"/>
      <c r="J50" s="10">
        <v>5.3906999999999998</v>
      </c>
      <c r="K50" s="117">
        <v>51081480</v>
      </c>
      <c r="L50" s="120">
        <f t="shared" si="11"/>
        <v>341.70271120000535</v>
      </c>
      <c r="M50" s="122">
        <f t="shared" si="7"/>
        <v>94758529.469999999</v>
      </c>
      <c r="N50" s="116">
        <f t="shared" si="8"/>
        <v>43677049.469999999</v>
      </c>
      <c r="O50" s="123">
        <f t="shared" si="9"/>
        <v>292.17176599260154</v>
      </c>
      <c r="P50" s="5"/>
      <c r="Q50" s="5">
        <f t="shared" si="2"/>
        <v>1</v>
      </c>
      <c r="R50" s="7">
        <f t="shared" si="3"/>
        <v>149491</v>
      </c>
      <c r="S50" s="5">
        <f t="shared" si="4"/>
        <v>1</v>
      </c>
      <c r="T50" s="7">
        <f t="shared" si="5"/>
        <v>149491</v>
      </c>
    </row>
    <row r="51" spans="1:20">
      <c r="A51" s="23" t="s">
        <v>465</v>
      </c>
      <c r="B51" s="35" t="s">
        <v>49</v>
      </c>
      <c r="C51" s="36">
        <v>31489</v>
      </c>
      <c r="D51" s="6"/>
      <c r="E51" s="113">
        <v>1590506788</v>
      </c>
      <c r="F51" s="116">
        <f t="shared" si="6"/>
        <v>50509.917367969771</v>
      </c>
      <c r="G51" s="117">
        <v>1314175519</v>
      </c>
      <c r="H51" s="117">
        <f t="shared" si="10"/>
        <v>41734.431674553016</v>
      </c>
      <c r="I51" s="7"/>
      <c r="J51" s="10">
        <v>6.9</v>
      </c>
      <c r="K51" s="117">
        <v>9067811</v>
      </c>
      <c r="L51" s="120">
        <f t="shared" si="11"/>
        <v>287.96757597891326</v>
      </c>
      <c r="M51" s="122">
        <f t="shared" si="7"/>
        <v>13141755.189999999</v>
      </c>
      <c r="N51" s="116">
        <f t="shared" si="8"/>
        <v>4073944.1899999995</v>
      </c>
      <c r="O51" s="123">
        <f t="shared" si="9"/>
        <v>129.3767407666169</v>
      </c>
      <c r="P51" s="5"/>
      <c r="Q51" s="5">
        <f t="shared" si="2"/>
        <v>1</v>
      </c>
      <c r="R51" s="7">
        <f t="shared" si="3"/>
        <v>31489</v>
      </c>
      <c r="S51" s="5">
        <f t="shared" si="4"/>
        <v>1</v>
      </c>
      <c r="T51" s="7">
        <f t="shared" si="5"/>
        <v>31489</v>
      </c>
    </row>
    <row r="52" spans="1:20">
      <c r="A52" s="23" t="s">
        <v>55</v>
      </c>
      <c r="B52" s="35" t="s">
        <v>49</v>
      </c>
      <c r="C52" s="36">
        <v>1758</v>
      </c>
      <c r="D52" s="6"/>
      <c r="E52" s="113">
        <v>403183319</v>
      </c>
      <c r="F52" s="116">
        <f t="shared" si="6"/>
        <v>229342.04721274175</v>
      </c>
      <c r="G52" s="117">
        <v>380222399</v>
      </c>
      <c r="H52" s="117">
        <f t="shared" si="10"/>
        <v>216281.22810011377</v>
      </c>
      <c r="I52" s="7"/>
      <c r="J52" s="10">
        <v>4.24</v>
      </c>
      <c r="K52" s="117">
        <v>1612142</v>
      </c>
      <c r="L52" s="120">
        <f t="shared" si="11"/>
        <v>917.03185437997729</v>
      </c>
      <c r="M52" s="122">
        <f t="shared" si="7"/>
        <v>3802223.99</v>
      </c>
      <c r="N52" s="116">
        <f t="shared" si="8"/>
        <v>2190081.9900000002</v>
      </c>
      <c r="O52" s="123">
        <f t="shared" si="9"/>
        <v>1245.7804266211606</v>
      </c>
      <c r="P52" s="5"/>
      <c r="Q52" s="5">
        <f t="shared" si="2"/>
        <v>1</v>
      </c>
      <c r="R52" s="7">
        <f t="shared" si="3"/>
        <v>1758</v>
      </c>
      <c r="S52" s="5">
        <f t="shared" si="4"/>
        <v>1</v>
      </c>
      <c r="T52" s="7">
        <f t="shared" si="5"/>
        <v>1758</v>
      </c>
    </row>
    <row r="53" spans="1:20">
      <c r="A53" s="23" t="s">
        <v>56</v>
      </c>
      <c r="B53" s="35" t="s">
        <v>49</v>
      </c>
      <c r="C53" s="36">
        <v>125342</v>
      </c>
      <c r="D53" s="6"/>
      <c r="E53" s="113">
        <v>6186634411</v>
      </c>
      <c r="F53" s="116">
        <f t="shared" si="6"/>
        <v>49358.031713232594</v>
      </c>
      <c r="G53" s="117">
        <v>4807446507</v>
      </c>
      <c r="H53" s="117">
        <f t="shared" si="10"/>
        <v>38354.633777983436</v>
      </c>
      <c r="I53" s="7"/>
      <c r="J53" s="10">
        <v>6.3685</v>
      </c>
      <c r="K53" s="117">
        <v>30616223</v>
      </c>
      <c r="L53" s="120">
        <f t="shared" si="11"/>
        <v>244.26148457819406</v>
      </c>
      <c r="M53" s="122">
        <f t="shared" si="7"/>
        <v>48074465.07</v>
      </c>
      <c r="N53" s="116">
        <f t="shared" si="8"/>
        <v>17458242.07</v>
      </c>
      <c r="O53" s="123">
        <f t="shared" si="9"/>
        <v>139.28485320164032</v>
      </c>
      <c r="P53" s="5"/>
      <c r="Q53" s="5">
        <f t="shared" si="2"/>
        <v>1</v>
      </c>
      <c r="R53" s="7">
        <f t="shared" si="3"/>
        <v>125342</v>
      </c>
      <c r="S53" s="5">
        <f t="shared" si="4"/>
        <v>1</v>
      </c>
      <c r="T53" s="7">
        <f t="shared" si="5"/>
        <v>125342</v>
      </c>
    </row>
    <row r="54" spans="1:20">
      <c r="A54" s="23" t="s">
        <v>57</v>
      </c>
      <c r="B54" s="35" t="s">
        <v>49</v>
      </c>
      <c r="C54" s="36">
        <v>27845</v>
      </c>
      <c r="D54" s="6"/>
      <c r="E54" s="113">
        <v>836536642</v>
      </c>
      <c r="F54" s="116">
        <f t="shared" si="6"/>
        <v>30042.615981325194</v>
      </c>
      <c r="G54" s="117">
        <v>611951297</v>
      </c>
      <c r="H54" s="117">
        <f t="shared" si="10"/>
        <v>21977.062201472436</v>
      </c>
      <c r="I54" s="7"/>
      <c r="J54" s="10">
        <v>3.5</v>
      </c>
      <c r="K54" s="117">
        <v>2141829</v>
      </c>
      <c r="L54" s="120">
        <f t="shared" si="11"/>
        <v>76.9196983300413</v>
      </c>
      <c r="M54" s="122">
        <f t="shared" si="7"/>
        <v>6119512.9699999997</v>
      </c>
      <c r="N54" s="116">
        <f t="shared" si="8"/>
        <v>3977683.9699999997</v>
      </c>
      <c r="O54" s="123">
        <f t="shared" si="9"/>
        <v>142.85092368468307</v>
      </c>
      <c r="P54" s="5"/>
      <c r="Q54" s="5">
        <f t="shared" si="2"/>
        <v>1</v>
      </c>
      <c r="R54" s="7">
        <f t="shared" si="3"/>
        <v>27845</v>
      </c>
      <c r="S54" s="5">
        <f t="shared" si="4"/>
        <v>1</v>
      </c>
      <c r="T54" s="7">
        <f t="shared" si="5"/>
        <v>27845</v>
      </c>
    </row>
    <row r="55" spans="1:20">
      <c r="A55" s="24" t="s">
        <v>560</v>
      </c>
      <c r="B55" s="35" t="s">
        <v>49</v>
      </c>
      <c r="C55" s="36">
        <v>3003</v>
      </c>
      <c r="D55" s="6"/>
      <c r="E55" s="113">
        <v>294441660</v>
      </c>
      <c r="F55" s="116">
        <f t="shared" si="6"/>
        <v>98049.170829170835</v>
      </c>
      <c r="G55" s="117">
        <v>270714100</v>
      </c>
      <c r="H55" s="117">
        <f t="shared" si="10"/>
        <v>90147.885447885448</v>
      </c>
      <c r="I55" s="7"/>
      <c r="J55" s="10">
        <v>4.9043000000000001</v>
      </c>
      <c r="K55" s="117">
        <v>1327663</v>
      </c>
      <c r="L55" s="120">
        <f t="shared" si="11"/>
        <v>442.11222111222111</v>
      </c>
      <c r="M55" s="122">
        <f t="shared" si="7"/>
        <v>2707141</v>
      </c>
      <c r="N55" s="116">
        <f t="shared" si="8"/>
        <v>1379478</v>
      </c>
      <c r="O55" s="123">
        <f t="shared" si="9"/>
        <v>459.36663336663338</v>
      </c>
      <c r="P55" s="5"/>
      <c r="Q55" s="5">
        <f t="shared" si="2"/>
        <v>1</v>
      </c>
      <c r="R55" s="7">
        <f t="shared" si="3"/>
        <v>3003</v>
      </c>
      <c r="S55" s="5">
        <f t="shared" si="4"/>
        <v>1</v>
      </c>
      <c r="T55" s="7">
        <f t="shared" si="5"/>
        <v>3003</v>
      </c>
    </row>
    <row r="56" spans="1:20">
      <c r="A56" s="23" t="s">
        <v>58</v>
      </c>
      <c r="B56" s="35" t="s">
        <v>49</v>
      </c>
      <c r="C56" s="36">
        <v>50022</v>
      </c>
      <c r="D56" s="6"/>
      <c r="E56" s="113">
        <v>1511484482</v>
      </c>
      <c r="F56" s="116">
        <f t="shared" si="6"/>
        <v>30216.39442645236</v>
      </c>
      <c r="G56" s="117">
        <v>1205917447</v>
      </c>
      <c r="H56" s="117">
        <f t="shared" si="10"/>
        <v>24107.741533725162</v>
      </c>
      <c r="I56" s="7"/>
      <c r="J56" s="10">
        <v>3.75</v>
      </c>
      <c r="K56" s="117">
        <v>4522190</v>
      </c>
      <c r="L56" s="120">
        <f t="shared" si="11"/>
        <v>90.4040222302187</v>
      </c>
      <c r="M56" s="122">
        <f t="shared" si="7"/>
        <v>12059174.470000001</v>
      </c>
      <c r="N56" s="116">
        <f t="shared" si="8"/>
        <v>7536984.4700000007</v>
      </c>
      <c r="O56" s="123">
        <f t="shared" si="9"/>
        <v>150.67339310703292</v>
      </c>
      <c r="P56" s="5"/>
      <c r="Q56" s="5">
        <f t="shared" si="2"/>
        <v>1</v>
      </c>
      <c r="R56" s="7">
        <f t="shared" si="3"/>
        <v>50022</v>
      </c>
      <c r="S56" s="5">
        <f t="shared" si="4"/>
        <v>1</v>
      </c>
      <c r="T56" s="7">
        <f t="shared" si="5"/>
        <v>50022</v>
      </c>
    </row>
    <row r="57" spans="1:20">
      <c r="A57" s="23" t="s">
        <v>59</v>
      </c>
      <c r="B57" s="35" t="s">
        <v>49</v>
      </c>
      <c r="C57" s="36">
        <v>40</v>
      </c>
      <c r="D57" s="6"/>
      <c r="E57" s="113">
        <v>2194937</v>
      </c>
      <c r="F57" s="116">
        <f t="shared" si="6"/>
        <v>54873.425000000003</v>
      </c>
      <c r="G57" s="117">
        <v>2009457</v>
      </c>
      <c r="H57" s="117">
        <f t="shared" si="10"/>
        <v>50236.425000000003</v>
      </c>
      <c r="I57" s="7"/>
      <c r="J57" s="10">
        <v>1.88</v>
      </c>
      <c r="K57" s="117">
        <v>3777</v>
      </c>
      <c r="L57" s="120">
        <f t="shared" si="11"/>
        <v>94.424999999999997</v>
      </c>
      <c r="M57" s="122">
        <f t="shared" si="7"/>
        <v>20094.57</v>
      </c>
      <c r="N57" s="116">
        <f t="shared" si="8"/>
        <v>16317.57</v>
      </c>
      <c r="O57" s="123">
        <f t="shared" si="9"/>
        <v>407.93925000000002</v>
      </c>
      <c r="P57" s="5"/>
      <c r="Q57" s="5">
        <f t="shared" si="2"/>
        <v>1</v>
      </c>
      <c r="R57" s="7">
        <f t="shared" si="3"/>
        <v>40</v>
      </c>
      <c r="S57" s="5">
        <f t="shared" si="4"/>
        <v>1</v>
      </c>
      <c r="T57" s="7">
        <f t="shared" si="5"/>
        <v>40</v>
      </c>
    </row>
    <row r="58" spans="1:20">
      <c r="A58" s="23" t="s">
        <v>60</v>
      </c>
      <c r="B58" s="35" t="s">
        <v>49</v>
      </c>
      <c r="C58" s="36">
        <v>10421</v>
      </c>
      <c r="D58" s="6"/>
      <c r="E58" s="113">
        <v>879501078</v>
      </c>
      <c r="F58" s="116">
        <f t="shared" si="6"/>
        <v>84396.994338355245</v>
      </c>
      <c r="G58" s="117">
        <v>764597637</v>
      </c>
      <c r="H58" s="117">
        <f t="shared" si="10"/>
        <v>73370.850878034733</v>
      </c>
      <c r="I58" s="7"/>
      <c r="J58" s="10">
        <v>3.6107999999999998</v>
      </c>
      <c r="K58" s="117">
        <v>2760809</v>
      </c>
      <c r="L58" s="120">
        <f t="shared" si="11"/>
        <v>264.9274541790615</v>
      </c>
      <c r="M58" s="122">
        <f t="shared" si="7"/>
        <v>7645976.3700000001</v>
      </c>
      <c r="N58" s="116">
        <f t="shared" si="8"/>
        <v>4885167.37</v>
      </c>
      <c r="O58" s="123">
        <f t="shared" si="9"/>
        <v>468.78105460128586</v>
      </c>
      <c r="P58" s="5"/>
      <c r="Q58" s="5">
        <f t="shared" si="2"/>
        <v>1</v>
      </c>
      <c r="R58" s="7">
        <f t="shared" si="3"/>
        <v>10421</v>
      </c>
      <c r="S58" s="5">
        <f t="shared" si="4"/>
        <v>1</v>
      </c>
      <c r="T58" s="7">
        <f t="shared" si="5"/>
        <v>10421</v>
      </c>
    </row>
    <row r="59" spans="1:20">
      <c r="A59" s="23" t="s">
        <v>61</v>
      </c>
      <c r="B59" s="35" t="s">
        <v>49</v>
      </c>
      <c r="C59" s="36">
        <v>47279</v>
      </c>
      <c r="D59" s="6"/>
      <c r="E59" s="113">
        <v>1665962064</v>
      </c>
      <c r="F59" s="116">
        <f t="shared" si="6"/>
        <v>35236.829543772074</v>
      </c>
      <c r="G59" s="117">
        <v>1243846660</v>
      </c>
      <c r="H59" s="117">
        <f t="shared" si="10"/>
        <v>26308.649929144016</v>
      </c>
      <c r="I59" s="7"/>
      <c r="J59" s="10">
        <v>6.4766000000000004</v>
      </c>
      <c r="K59" s="117">
        <v>8055897</v>
      </c>
      <c r="L59" s="120">
        <f t="shared" si="11"/>
        <v>170.39059624780558</v>
      </c>
      <c r="M59" s="122">
        <f t="shared" si="7"/>
        <v>12438466.6</v>
      </c>
      <c r="N59" s="116">
        <f t="shared" si="8"/>
        <v>4382569.5999999996</v>
      </c>
      <c r="O59" s="123">
        <f t="shared" si="9"/>
        <v>92.695903043634587</v>
      </c>
      <c r="P59" s="5"/>
      <c r="Q59" s="5">
        <f t="shared" si="2"/>
        <v>1</v>
      </c>
      <c r="R59" s="7">
        <f t="shared" si="3"/>
        <v>47279</v>
      </c>
      <c r="S59" s="5">
        <f t="shared" si="4"/>
        <v>1</v>
      </c>
      <c r="T59" s="7">
        <f t="shared" si="5"/>
        <v>47279</v>
      </c>
    </row>
    <row r="60" spans="1:20">
      <c r="A60" s="23" t="s">
        <v>62</v>
      </c>
      <c r="B60" s="35" t="s">
        <v>49</v>
      </c>
      <c r="C60" s="36">
        <v>44412</v>
      </c>
      <c r="D60" s="6"/>
      <c r="E60" s="113">
        <v>1582553537</v>
      </c>
      <c r="F60" s="116">
        <f t="shared" si="6"/>
        <v>35633.467013419795</v>
      </c>
      <c r="G60" s="117">
        <v>1146671428</v>
      </c>
      <c r="H60" s="117">
        <f t="shared" si="10"/>
        <v>25818.954967126003</v>
      </c>
      <c r="I60" s="7"/>
      <c r="J60" s="10">
        <v>6.5711000000000004</v>
      </c>
      <c r="K60" s="117">
        <v>7534892</v>
      </c>
      <c r="L60" s="120">
        <f t="shared" si="11"/>
        <v>169.65892101233902</v>
      </c>
      <c r="M60" s="122">
        <f t="shared" si="7"/>
        <v>11466714.279999999</v>
      </c>
      <c r="N60" s="116">
        <f t="shared" si="8"/>
        <v>3931822.2799999993</v>
      </c>
      <c r="O60" s="123">
        <f t="shared" si="9"/>
        <v>88.530628658921003</v>
      </c>
      <c r="P60" s="5"/>
      <c r="Q60" s="5">
        <f t="shared" si="2"/>
        <v>1</v>
      </c>
      <c r="R60" s="7">
        <f t="shared" si="3"/>
        <v>44412</v>
      </c>
      <c r="S60" s="5">
        <f t="shared" si="4"/>
        <v>1</v>
      </c>
      <c r="T60" s="7">
        <f t="shared" si="5"/>
        <v>44412</v>
      </c>
    </row>
    <row r="61" spans="1:20">
      <c r="A61" s="23" t="s">
        <v>63</v>
      </c>
      <c r="B61" s="35" t="s">
        <v>49</v>
      </c>
      <c r="C61" s="36">
        <v>27237</v>
      </c>
      <c r="D61" s="6"/>
      <c r="E61" s="113">
        <v>724725395</v>
      </c>
      <c r="F61" s="116">
        <f t="shared" si="6"/>
        <v>26608.121122003158</v>
      </c>
      <c r="G61" s="117">
        <v>483673425</v>
      </c>
      <c r="H61" s="117">
        <f t="shared" si="10"/>
        <v>17757.955171274371</v>
      </c>
      <c r="I61" s="7"/>
      <c r="J61" s="10">
        <v>6.0366999999999997</v>
      </c>
      <c r="K61" s="117">
        <v>2919791</v>
      </c>
      <c r="L61" s="120">
        <f t="shared" si="11"/>
        <v>107.19943459264971</v>
      </c>
      <c r="M61" s="122">
        <f t="shared" si="7"/>
        <v>4836734.25</v>
      </c>
      <c r="N61" s="116">
        <f t="shared" si="8"/>
        <v>1916943.25</v>
      </c>
      <c r="O61" s="123">
        <f t="shared" si="9"/>
        <v>70.380117120093985</v>
      </c>
      <c r="P61" s="5"/>
      <c r="Q61" s="5">
        <f t="shared" si="2"/>
        <v>1</v>
      </c>
      <c r="R61" s="7">
        <f t="shared" si="3"/>
        <v>27237</v>
      </c>
      <c r="S61" s="5">
        <f t="shared" si="4"/>
        <v>1</v>
      </c>
      <c r="T61" s="7">
        <f t="shared" si="5"/>
        <v>27237</v>
      </c>
    </row>
    <row r="62" spans="1:20">
      <c r="A62" s="23" t="s">
        <v>64</v>
      </c>
      <c r="B62" s="35" t="s">
        <v>49</v>
      </c>
      <c r="C62" s="36">
        <v>28095</v>
      </c>
      <c r="D62" s="6"/>
      <c r="E62" s="113">
        <v>1370861707</v>
      </c>
      <c r="F62" s="116">
        <f t="shared" si="6"/>
        <v>48793.796298273715</v>
      </c>
      <c r="G62" s="117">
        <v>1098900002</v>
      </c>
      <c r="H62" s="117">
        <f t="shared" si="10"/>
        <v>39113.721373909946</v>
      </c>
      <c r="I62" s="7"/>
      <c r="J62" s="10">
        <v>5.5395000000000003</v>
      </c>
      <c r="K62" s="117">
        <v>6087356</v>
      </c>
      <c r="L62" s="120">
        <f t="shared" si="11"/>
        <v>216.67043957999644</v>
      </c>
      <c r="M62" s="122">
        <f t="shared" si="7"/>
        <v>10989000.02</v>
      </c>
      <c r="N62" s="116">
        <f t="shared" si="8"/>
        <v>4901644.0199999996</v>
      </c>
      <c r="O62" s="123">
        <f t="shared" si="9"/>
        <v>174.46677415910304</v>
      </c>
      <c r="P62" s="5"/>
      <c r="Q62" s="5">
        <f t="shared" si="2"/>
        <v>1</v>
      </c>
      <c r="R62" s="7">
        <f t="shared" si="3"/>
        <v>28095</v>
      </c>
      <c r="S62" s="5">
        <f t="shared" si="4"/>
        <v>1</v>
      </c>
      <c r="T62" s="7">
        <f t="shared" si="5"/>
        <v>28095</v>
      </c>
    </row>
    <row r="63" spans="1:20">
      <c r="A63" s="23" t="s">
        <v>65</v>
      </c>
      <c r="B63" s="35" t="s">
        <v>49</v>
      </c>
      <c r="C63" s="36">
        <v>8491</v>
      </c>
      <c r="D63" s="6"/>
      <c r="E63" s="113">
        <v>738261348</v>
      </c>
      <c r="F63" s="116">
        <f t="shared" si="6"/>
        <v>86946.337062772349</v>
      </c>
      <c r="G63" s="117">
        <v>595300568</v>
      </c>
      <c r="H63" s="117">
        <f t="shared" si="10"/>
        <v>70109.594629607818</v>
      </c>
      <c r="I63" s="7"/>
      <c r="J63" s="10">
        <v>4.0999999999999996</v>
      </c>
      <c r="K63" s="117">
        <v>2440732</v>
      </c>
      <c r="L63" s="120">
        <f t="shared" si="11"/>
        <v>287.44929925803791</v>
      </c>
      <c r="M63" s="122">
        <f t="shared" si="7"/>
        <v>5953005.6799999997</v>
      </c>
      <c r="N63" s="116">
        <f t="shared" si="8"/>
        <v>3512273.6799999997</v>
      </c>
      <c r="O63" s="123">
        <f t="shared" si="9"/>
        <v>413.64664703804027</v>
      </c>
      <c r="P63" s="5"/>
      <c r="Q63" s="5">
        <f t="shared" si="2"/>
        <v>1</v>
      </c>
      <c r="R63" s="7">
        <f t="shared" si="3"/>
        <v>8491</v>
      </c>
      <c r="S63" s="5">
        <f t="shared" si="4"/>
        <v>1</v>
      </c>
      <c r="T63" s="7">
        <f t="shared" si="5"/>
        <v>8491</v>
      </c>
    </row>
    <row r="64" spans="1:20">
      <c r="A64" s="23" t="s">
        <v>66</v>
      </c>
      <c r="B64" s="35" t="s">
        <v>49</v>
      </c>
      <c r="C64" s="36">
        <v>4911</v>
      </c>
      <c r="D64" s="6"/>
      <c r="E64" s="113">
        <v>212193246</v>
      </c>
      <c r="F64" s="116">
        <f t="shared" si="6"/>
        <v>43207.747098350643</v>
      </c>
      <c r="G64" s="117">
        <v>190009963</v>
      </c>
      <c r="H64" s="117">
        <f t="shared" si="10"/>
        <v>38690.686825493787</v>
      </c>
      <c r="I64" s="7"/>
      <c r="J64" s="10">
        <v>5</v>
      </c>
      <c r="K64" s="117">
        <v>950049</v>
      </c>
      <c r="L64" s="120">
        <f t="shared" si="11"/>
        <v>193.45326817348808</v>
      </c>
      <c r="M64" s="122">
        <f t="shared" si="7"/>
        <v>1900099.6300000001</v>
      </c>
      <c r="N64" s="116">
        <f t="shared" si="8"/>
        <v>950050.63000000012</v>
      </c>
      <c r="O64" s="123">
        <f t="shared" si="9"/>
        <v>193.45360008144982</v>
      </c>
      <c r="P64" s="5"/>
      <c r="Q64" s="5">
        <f t="shared" si="2"/>
        <v>1</v>
      </c>
      <c r="R64" s="7">
        <f t="shared" si="3"/>
        <v>4911</v>
      </c>
      <c r="S64" s="5">
        <f t="shared" si="4"/>
        <v>1</v>
      </c>
      <c r="T64" s="7">
        <f t="shared" si="5"/>
        <v>4911</v>
      </c>
    </row>
    <row r="65" spans="1:20">
      <c r="A65" s="23" t="s">
        <v>67</v>
      </c>
      <c r="B65" s="35" t="s">
        <v>49</v>
      </c>
      <c r="C65" s="36">
        <v>87948</v>
      </c>
      <c r="D65" s="6"/>
      <c r="E65" s="113">
        <v>4026335156</v>
      </c>
      <c r="F65" s="116">
        <f t="shared" si="6"/>
        <v>45780.860917815073</v>
      </c>
      <c r="G65" s="117">
        <v>3052601715</v>
      </c>
      <c r="H65" s="117">
        <f t="shared" si="10"/>
        <v>34709.165813890024</v>
      </c>
      <c r="I65" s="7"/>
      <c r="J65" s="10">
        <v>4.0881999999999996</v>
      </c>
      <c r="K65" s="117">
        <v>12479646</v>
      </c>
      <c r="L65" s="120">
        <f t="shared" si="11"/>
        <v>141.89800791376723</v>
      </c>
      <c r="M65" s="122">
        <f t="shared" si="7"/>
        <v>30526017.150000002</v>
      </c>
      <c r="N65" s="116">
        <f t="shared" si="8"/>
        <v>18046371.150000002</v>
      </c>
      <c r="O65" s="123">
        <f t="shared" si="9"/>
        <v>205.19365022513307</v>
      </c>
      <c r="P65" s="5"/>
      <c r="Q65" s="5">
        <f t="shared" si="2"/>
        <v>1</v>
      </c>
      <c r="R65" s="7">
        <f t="shared" si="3"/>
        <v>87948</v>
      </c>
      <c r="S65" s="5">
        <f t="shared" si="4"/>
        <v>1</v>
      </c>
      <c r="T65" s="7">
        <f t="shared" si="5"/>
        <v>87948</v>
      </c>
    </row>
    <row r="66" spans="1:20">
      <c r="A66" s="23" t="s">
        <v>68</v>
      </c>
      <c r="B66" s="35" t="s">
        <v>49</v>
      </c>
      <c r="C66" s="36">
        <v>75184</v>
      </c>
      <c r="D66" s="6"/>
      <c r="E66" s="113">
        <v>4471741354</v>
      </c>
      <c r="F66" s="116">
        <f t="shared" si="6"/>
        <v>59477.300409661628</v>
      </c>
      <c r="G66" s="117">
        <v>3637252383</v>
      </c>
      <c r="H66" s="117">
        <f t="shared" si="10"/>
        <v>48378.011052883594</v>
      </c>
      <c r="I66" s="7"/>
      <c r="J66" s="10">
        <v>3.93</v>
      </c>
      <c r="K66" s="117">
        <v>14294401</v>
      </c>
      <c r="L66" s="120">
        <f t="shared" si="11"/>
        <v>190.12557193019791</v>
      </c>
      <c r="M66" s="122">
        <f t="shared" si="7"/>
        <v>36372523.829999998</v>
      </c>
      <c r="N66" s="116">
        <f t="shared" si="8"/>
        <v>22078122.829999998</v>
      </c>
      <c r="O66" s="123">
        <f t="shared" si="9"/>
        <v>293.654538598638</v>
      </c>
      <c r="P66" s="5"/>
      <c r="Q66" s="5">
        <f t="shared" si="2"/>
        <v>1</v>
      </c>
      <c r="R66" s="7">
        <f t="shared" si="3"/>
        <v>75184</v>
      </c>
      <c r="S66" s="5">
        <f t="shared" si="4"/>
        <v>1</v>
      </c>
      <c r="T66" s="7">
        <f t="shared" si="5"/>
        <v>75184</v>
      </c>
    </row>
    <row r="67" spans="1:20">
      <c r="A67" s="23" t="s">
        <v>69</v>
      </c>
      <c r="B67" s="35" t="s">
        <v>49</v>
      </c>
      <c r="C67" s="36">
        <v>73950</v>
      </c>
      <c r="D67" s="6"/>
      <c r="E67" s="113">
        <v>4766675136</v>
      </c>
      <c r="F67" s="116">
        <f t="shared" si="6"/>
        <v>64458.081622718055</v>
      </c>
      <c r="G67" s="117">
        <v>3985647776</v>
      </c>
      <c r="H67" s="117">
        <f t="shared" si="10"/>
        <v>53896.521649763352</v>
      </c>
      <c r="I67" s="7"/>
      <c r="J67" s="10">
        <v>6.1505999999999998</v>
      </c>
      <c r="K67" s="117">
        <v>24514125</v>
      </c>
      <c r="L67" s="120">
        <f t="shared" si="11"/>
        <v>331.49594320486813</v>
      </c>
      <c r="M67" s="122">
        <f t="shared" si="7"/>
        <v>39856477.759999998</v>
      </c>
      <c r="N67" s="116">
        <f t="shared" si="8"/>
        <v>15342352.759999998</v>
      </c>
      <c r="O67" s="123">
        <f t="shared" si="9"/>
        <v>207.46927329276537</v>
      </c>
      <c r="P67" s="5"/>
      <c r="Q67" s="5">
        <f t="shared" si="2"/>
        <v>1</v>
      </c>
      <c r="R67" s="7">
        <f t="shared" si="3"/>
        <v>73950</v>
      </c>
      <c r="S67" s="5">
        <f t="shared" si="4"/>
        <v>1</v>
      </c>
      <c r="T67" s="7">
        <f t="shared" si="5"/>
        <v>73950</v>
      </c>
    </row>
    <row r="68" spans="1:20">
      <c r="A68" s="23" t="s">
        <v>70</v>
      </c>
      <c r="B68" s="35" t="s">
        <v>49</v>
      </c>
      <c r="C68" s="36">
        <v>614</v>
      </c>
      <c r="D68" s="6"/>
      <c r="E68" s="113">
        <v>87648477</v>
      </c>
      <c r="F68" s="116">
        <f t="shared" si="6"/>
        <v>142749.9625407166</v>
      </c>
      <c r="G68" s="117">
        <v>82238597</v>
      </c>
      <c r="H68" s="117">
        <f t="shared" si="10"/>
        <v>133939.08306188925</v>
      </c>
      <c r="I68" s="7"/>
      <c r="J68" s="10">
        <v>5.22</v>
      </c>
      <c r="K68" s="117">
        <v>429285</v>
      </c>
      <c r="L68" s="120">
        <f t="shared" si="11"/>
        <v>699.16123778501628</v>
      </c>
      <c r="M68" s="122">
        <f t="shared" si="7"/>
        <v>822385.97</v>
      </c>
      <c r="N68" s="116">
        <f t="shared" si="8"/>
        <v>393100.97</v>
      </c>
      <c r="O68" s="123">
        <f t="shared" si="9"/>
        <v>640.22959283387615</v>
      </c>
      <c r="P68" s="5"/>
      <c r="Q68" s="5">
        <f t="shared" si="2"/>
        <v>1</v>
      </c>
      <c r="R68" s="7">
        <f t="shared" si="3"/>
        <v>614</v>
      </c>
      <c r="S68" s="5">
        <f t="shared" si="4"/>
        <v>1</v>
      </c>
      <c r="T68" s="7">
        <f t="shared" si="5"/>
        <v>614</v>
      </c>
    </row>
    <row r="69" spans="1:20">
      <c r="A69" s="23" t="s">
        <v>71</v>
      </c>
      <c r="B69" s="35" t="s">
        <v>49</v>
      </c>
      <c r="C69" s="36">
        <v>73456</v>
      </c>
      <c r="D69" s="6"/>
      <c r="E69" s="113">
        <v>3088676710</v>
      </c>
      <c r="F69" s="116">
        <f t="shared" si="6"/>
        <v>42047.983963188846</v>
      </c>
      <c r="G69" s="117">
        <v>2364458120</v>
      </c>
      <c r="H69" s="117">
        <f t="shared" si="10"/>
        <v>32188.767697669355</v>
      </c>
      <c r="I69" s="7"/>
      <c r="J69" s="10">
        <v>6.45</v>
      </c>
      <c r="K69" s="117">
        <v>15250754</v>
      </c>
      <c r="L69" s="120">
        <f t="shared" si="11"/>
        <v>207.6175397516881</v>
      </c>
      <c r="M69" s="122">
        <f t="shared" si="7"/>
        <v>23644581.199999999</v>
      </c>
      <c r="N69" s="116">
        <f t="shared" si="8"/>
        <v>8393827.1999999993</v>
      </c>
      <c r="O69" s="123">
        <f t="shared" si="9"/>
        <v>114.27013722500544</v>
      </c>
      <c r="P69" s="5"/>
      <c r="Q69" s="5">
        <f t="shared" si="2"/>
        <v>1</v>
      </c>
      <c r="R69" s="7">
        <f t="shared" si="3"/>
        <v>73456</v>
      </c>
      <c r="S69" s="5">
        <f t="shared" si="4"/>
        <v>1</v>
      </c>
      <c r="T69" s="7">
        <f t="shared" si="5"/>
        <v>73456</v>
      </c>
    </row>
    <row r="70" spans="1:20">
      <c r="A70" s="23" t="s">
        <v>72</v>
      </c>
      <c r="B70" s="35" t="s">
        <v>49</v>
      </c>
      <c r="C70" s="36">
        <v>48758</v>
      </c>
      <c r="D70" s="6"/>
      <c r="E70" s="113">
        <v>2009841266</v>
      </c>
      <c r="F70" s="116">
        <f t="shared" si="6"/>
        <v>41220.74871815907</v>
      </c>
      <c r="G70" s="117">
        <v>1496186820</v>
      </c>
      <c r="H70" s="117">
        <f t="shared" ref="H70:H89" si="12">(G70/C70)</f>
        <v>30685.976044956726</v>
      </c>
      <c r="I70" s="7"/>
      <c r="J70" s="10">
        <v>5.2366000000000001</v>
      </c>
      <c r="K70" s="117">
        <v>7834931</v>
      </c>
      <c r="L70" s="120">
        <f t="shared" ref="L70:L89" si="13">(K70/C70)</f>
        <v>160.69016366544977</v>
      </c>
      <c r="M70" s="122">
        <f t="shared" si="7"/>
        <v>14961868.200000001</v>
      </c>
      <c r="N70" s="116">
        <f t="shared" si="8"/>
        <v>7126937.2000000011</v>
      </c>
      <c r="O70" s="123">
        <f t="shared" si="9"/>
        <v>146.16959678411749</v>
      </c>
      <c r="P70" s="5"/>
      <c r="Q70" s="5">
        <f t="shared" si="2"/>
        <v>1</v>
      </c>
      <c r="R70" s="7">
        <f t="shared" si="3"/>
        <v>48758</v>
      </c>
      <c r="S70" s="5">
        <f t="shared" si="4"/>
        <v>1</v>
      </c>
      <c r="T70" s="7">
        <f t="shared" si="5"/>
        <v>48758</v>
      </c>
    </row>
    <row r="71" spans="1:20">
      <c r="A71" s="23" t="s">
        <v>74</v>
      </c>
      <c r="B71" s="35" t="s">
        <v>49</v>
      </c>
      <c r="C71" s="36">
        <v>11868</v>
      </c>
      <c r="D71" s="6"/>
      <c r="E71" s="113">
        <v>443232191</v>
      </c>
      <c r="F71" s="116">
        <f t="shared" si="6"/>
        <v>37346.831058308053</v>
      </c>
      <c r="G71" s="117">
        <v>340945209</v>
      </c>
      <c r="H71" s="117">
        <f t="shared" si="12"/>
        <v>28728.109959555106</v>
      </c>
      <c r="I71" s="7"/>
      <c r="J71" s="10">
        <v>5.79</v>
      </c>
      <c r="K71" s="117">
        <v>1974072</v>
      </c>
      <c r="L71" s="120">
        <f t="shared" si="13"/>
        <v>166.33569261880689</v>
      </c>
      <c r="M71" s="122">
        <f t="shared" si="7"/>
        <v>3409452.09</v>
      </c>
      <c r="N71" s="116">
        <f t="shared" si="8"/>
        <v>1435380.0899999999</v>
      </c>
      <c r="O71" s="123">
        <f t="shared" si="9"/>
        <v>120.94540697674417</v>
      </c>
      <c r="P71" s="5"/>
      <c r="Q71" s="5">
        <f t="shared" ref="Q71:Q134" si="14">IF(E71&gt;0,1,0)</f>
        <v>1</v>
      </c>
      <c r="R71" s="7">
        <f t="shared" ref="R71:R134" si="15">IF(E71&gt;0,C71,0)</f>
        <v>11868</v>
      </c>
      <c r="S71" s="5">
        <f t="shared" ref="S71:S134" si="16">IF(J71&gt;0,1,0)</f>
        <v>1</v>
      </c>
      <c r="T71" s="7">
        <f t="shared" ref="T71:T134" si="17">IF(J71&gt;0,C71,0)</f>
        <v>11868</v>
      </c>
    </row>
    <row r="72" spans="1:20">
      <c r="A72" s="23" t="s">
        <v>75</v>
      </c>
      <c r="B72" s="35" t="s">
        <v>76</v>
      </c>
      <c r="C72" s="36">
        <v>558</v>
      </c>
      <c r="D72" s="6"/>
      <c r="E72" s="113">
        <v>7515136</v>
      </c>
      <c r="F72" s="116">
        <f t="shared" ref="F72:F135" si="18">(E72/C72)</f>
        <v>13467.985663082438</v>
      </c>
      <c r="G72" s="117">
        <v>3652192</v>
      </c>
      <c r="H72" s="117">
        <f t="shared" si="12"/>
        <v>6545.1469534050175</v>
      </c>
      <c r="I72" s="98" t="s">
        <v>528</v>
      </c>
      <c r="J72" s="10"/>
      <c r="K72" s="117"/>
      <c r="L72" s="120"/>
      <c r="M72" s="122">
        <f t="shared" ref="M72:M135" si="19">(G72*0.01)</f>
        <v>36521.919999999998</v>
      </c>
      <c r="N72" s="116">
        <f t="shared" ref="N72:N135" si="20">(M72-K72)</f>
        <v>36521.919999999998</v>
      </c>
      <c r="O72" s="123">
        <f t="shared" ref="O72:O135" si="21">(N72/C72)</f>
        <v>65.451469534050176</v>
      </c>
      <c r="P72" s="5"/>
      <c r="Q72" s="5">
        <f t="shared" si="14"/>
        <v>1</v>
      </c>
      <c r="R72" s="7">
        <f t="shared" si="15"/>
        <v>558</v>
      </c>
      <c r="S72" s="5">
        <f t="shared" si="16"/>
        <v>0</v>
      </c>
      <c r="T72" s="7">
        <f t="shared" si="17"/>
        <v>0</v>
      </c>
    </row>
    <row r="73" spans="1:20">
      <c r="A73" s="23" t="s">
        <v>77</v>
      </c>
      <c r="B73" s="35" t="s">
        <v>76</v>
      </c>
      <c r="C73" s="36">
        <v>2465</v>
      </c>
      <c r="D73" s="6"/>
      <c r="E73" s="113">
        <v>60616182</v>
      </c>
      <c r="F73" s="116">
        <f t="shared" si="18"/>
        <v>24590.743204868155</v>
      </c>
      <c r="G73" s="117">
        <v>34738824</v>
      </c>
      <c r="H73" s="117">
        <f t="shared" si="12"/>
        <v>14092.82920892495</v>
      </c>
      <c r="I73" s="7"/>
      <c r="J73" s="10">
        <v>1.5</v>
      </c>
      <c r="K73" s="117">
        <v>52108</v>
      </c>
      <c r="L73" s="120">
        <f t="shared" si="13"/>
        <v>21.139148073022312</v>
      </c>
      <c r="M73" s="122">
        <f t="shared" si="19"/>
        <v>347388.24</v>
      </c>
      <c r="N73" s="116">
        <f t="shared" si="20"/>
        <v>295280.24</v>
      </c>
      <c r="O73" s="123">
        <f t="shared" si="21"/>
        <v>119.78914401622718</v>
      </c>
      <c r="P73" s="5"/>
      <c r="Q73" s="5">
        <f t="shared" si="14"/>
        <v>1</v>
      </c>
      <c r="R73" s="7">
        <f t="shared" si="15"/>
        <v>2465</v>
      </c>
      <c r="S73" s="5">
        <f t="shared" si="16"/>
        <v>1</v>
      </c>
      <c r="T73" s="7">
        <f t="shared" si="17"/>
        <v>2465</v>
      </c>
    </row>
    <row r="74" spans="1:20">
      <c r="A74" s="23" t="s">
        <v>78</v>
      </c>
      <c r="B74" s="35" t="s">
        <v>79</v>
      </c>
      <c r="C74" s="36">
        <v>11978</v>
      </c>
      <c r="D74" s="6"/>
      <c r="E74" s="113">
        <v>1221822924</v>
      </c>
      <c r="F74" s="116">
        <f t="shared" si="18"/>
        <v>102005.58724327934</v>
      </c>
      <c r="G74" s="117">
        <v>1031240250</v>
      </c>
      <c r="H74" s="117">
        <f t="shared" si="12"/>
        <v>86094.527467022868</v>
      </c>
      <c r="I74" s="9"/>
      <c r="J74" s="10">
        <v>3.2483</v>
      </c>
      <c r="K74" s="117">
        <v>3349777</v>
      </c>
      <c r="L74" s="120">
        <f t="shared" si="13"/>
        <v>279.66079479044913</v>
      </c>
      <c r="M74" s="122">
        <f t="shared" si="19"/>
        <v>10312402.5</v>
      </c>
      <c r="N74" s="116">
        <f t="shared" si="20"/>
        <v>6962625.5</v>
      </c>
      <c r="O74" s="123">
        <f t="shared" si="21"/>
        <v>581.28447987977961</v>
      </c>
      <c r="P74" s="5"/>
      <c r="Q74" s="5">
        <f t="shared" si="14"/>
        <v>1</v>
      </c>
      <c r="R74" s="7">
        <f t="shared" si="15"/>
        <v>11978</v>
      </c>
      <c r="S74" s="5">
        <f t="shared" si="16"/>
        <v>1</v>
      </c>
      <c r="T74" s="7">
        <f t="shared" si="17"/>
        <v>11978</v>
      </c>
    </row>
    <row r="75" spans="1:20">
      <c r="A75" s="23" t="s">
        <v>80</v>
      </c>
      <c r="B75" s="35" t="s">
        <v>81</v>
      </c>
      <c r="C75" s="36">
        <v>4123</v>
      </c>
      <c r="D75" s="6"/>
      <c r="E75" s="113">
        <v>242762268</v>
      </c>
      <c r="F75" s="116">
        <f t="shared" si="18"/>
        <v>58880.00679117148</v>
      </c>
      <c r="G75" s="117">
        <v>209657837</v>
      </c>
      <c r="H75" s="117">
        <f t="shared" si="12"/>
        <v>50850.797235023041</v>
      </c>
      <c r="I75" s="7"/>
      <c r="J75" s="10">
        <v>7.25</v>
      </c>
      <c r="K75" s="117">
        <v>1520019</v>
      </c>
      <c r="L75" s="120">
        <f t="shared" si="13"/>
        <v>368.66820276497697</v>
      </c>
      <c r="M75" s="122">
        <f t="shared" si="19"/>
        <v>2096578.37</v>
      </c>
      <c r="N75" s="116">
        <f t="shared" si="20"/>
        <v>576559.37000000011</v>
      </c>
      <c r="O75" s="123">
        <f t="shared" si="21"/>
        <v>139.83976958525349</v>
      </c>
      <c r="P75" s="5"/>
      <c r="Q75" s="5">
        <f t="shared" si="14"/>
        <v>1</v>
      </c>
      <c r="R75" s="7">
        <f t="shared" si="15"/>
        <v>4123</v>
      </c>
      <c r="S75" s="5">
        <f t="shared" si="16"/>
        <v>1</v>
      </c>
      <c r="T75" s="7">
        <f t="shared" si="17"/>
        <v>4123</v>
      </c>
    </row>
    <row r="76" spans="1:20">
      <c r="A76" s="23" t="s">
        <v>82</v>
      </c>
      <c r="B76" s="35" t="s">
        <v>81</v>
      </c>
      <c r="C76" s="36">
        <v>6644</v>
      </c>
      <c r="D76" s="6"/>
      <c r="E76" s="113">
        <v>315113157</v>
      </c>
      <c r="F76" s="116">
        <f t="shared" si="18"/>
        <v>47428.229530403369</v>
      </c>
      <c r="G76" s="117">
        <v>202173498</v>
      </c>
      <c r="H76" s="117">
        <f t="shared" si="12"/>
        <v>30429.484948826008</v>
      </c>
      <c r="I76" s="7"/>
      <c r="J76" s="10">
        <v>6.8254000000000001</v>
      </c>
      <c r="K76" s="117">
        <v>1379914</v>
      </c>
      <c r="L76" s="120">
        <f t="shared" si="13"/>
        <v>207.69325707405179</v>
      </c>
      <c r="M76" s="122">
        <f t="shared" si="19"/>
        <v>2021734.98</v>
      </c>
      <c r="N76" s="116">
        <f t="shared" si="20"/>
        <v>641820.98</v>
      </c>
      <c r="O76" s="123">
        <f t="shared" si="21"/>
        <v>96.601592414208312</v>
      </c>
      <c r="P76" s="5"/>
      <c r="Q76" s="5">
        <f t="shared" si="14"/>
        <v>1</v>
      </c>
      <c r="R76" s="7">
        <f t="shared" si="15"/>
        <v>6644</v>
      </c>
      <c r="S76" s="5">
        <f t="shared" si="16"/>
        <v>1</v>
      </c>
      <c r="T76" s="7">
        <f t="shared" si="17"/>
        <v>6644</v>
      </c>
    </row>
    <row r="77" spans="1:20">
      <c r="A77" s="23" t="s">
        <v>83</v>
      </c>
      <c r="B77" s="35" t="s">
        <v>84</v>
      </c>
      <c r="C77" s="36">
        <v>4847</v>
      </c>
      <c r="D77" s="6"/>
      <c r="E77" s="113">
        <v>193035145</v>
      </c>
      <c r="F77" s="116">
        <f t="shared" si="18"/>
        <v>39825.695275428101</v>
      </c>
      <c r="G77" s="117">
        <v>137203150</v>
      </c>
      <c r="H77" s="117">
        <f t="shared" si="12"/>
        <v>28306.818650711779</v>
      </c>
      <c r="I77" s="7"/>
      <c r="J77" s="10">
        <v>2.6110000000000002</v>
      </c>
      <c r="K77" s="117">
        <v>358237</v>
      </c>
      <c r="L77" s="120">
        <f t="shared" si="13"/>
        <v>73.909015886115128</v>
      </c>
      <c r="M77" s="122">
        <f t="shared" si="19"/>
        <v>1372031.5</v>
      </c>
      <c r="N77" s="116">
        <f t="shared" si="20"/>
        <v>1013794.5</v>
      </c>
      <c r="O77" s="123">
        <f t="shared" si="21"/>
        <v>209.15917062100269</v>
      </c>
      <c r="P77" s="5"/>
      <c r="Q77" s="5">
        <f t="shared" si="14"/>
        <v>1</v>
      </c>
      <c r="R77" s="7">
        <f t="shared" si="15"/>
        <v>4847</v>
      </c>
      <c r="S77" s="5">
        <f t="shared" si="16"/>
        <v>1</v>
      </c>
      <c r="T77" s="7">
        <f t="shared" si="17"/>
        <v>4847</v>
      </c>
    </row>
    <row r="78" spans="1:20">
      <c r="A78" s="23" t="s">
        <v>85</v>
      </c>
      <c r="B78" s="35" t="s">
        <v>84</v>
      </c>
      <c r="C78" s="36">
        <v>1333</v>
      </c>
      <c r="D78" s="6"/>
      <c r="E78" s="113">
        <v>43621944</v>
      </c>
      <c r="F78" s="116">
        <f t="shared" si="18"/>
        <v>32724.639159789949</v>
      </c>
      <c r="G78" s="117">
        <v>25911013</v>
      </c>
      <c r="H78" s="117">
        <f t="shared" si="12"/>
        <v>19438.119279819955</v>
      </c>
      <c r="I78" s="7"/>
      <c r="J78" s="11">
        <v>2</v>
      </c>
      <c r="K78" s="117">
        <v>51822</v>
      </c>
      <c r="L78" s="120">
        <f t="shared" si="13"/>
        <v>38.876219054763688</v>
      </c>
      <c r="M78" s="122">
        <f t="shared" si="19"/>
        <v>259110.13</v>
      </c>
      <c r="N78" s="116">
        <f t="shared" si="20"/>
        <v>207288.13</v>
      </c>
      <c r="O78" s="123">
        <f t="shared" si="21"/>
        <v>155.50497374343587</v>
      </c>
      <c r="P78" s="5"/>
      <c r="Q78" s="5">
        <f t="shared" si="14"/>
        <v>1</v>
      </c>
      <c r="R78" s="7">
        <f t="shared" si="15"/>
        <v>1333</v>
      </c>
      <c r="S78" s="5">
        <f t="shared" si="16"/>
        <v>1</v>
      </c>
      <c r="T78" s="7">
        <f t="shared" si="17"/>
        <v>1333</v>
      </c>
    </row>
    <row r="79" spans="1:20">
      <c r="A79" s="23" t="s">
        <v>86</v>
      </c>
      <c r="B79" s="35" t="s">
        <v>84</v>
      </c>
      <c r="C79" s="36">
        <v>9514</v>
      </c>
      <c r="D79" s="6"/>
      <c r="E79" s="113">
        <v>392188963</v>
      </c>
      <c r="F79" s="116">
        <f t="shared" si="18"/>
        <v>41222.300084086608</v>
      </c>
      <c r="G79" s="117">
        <v>275788671</v>
      </c>
      <c r="H79" s="117">
        <f t="shared" si="12"/>
        <v>28987.667752785368</v>
      </c>
      <c r="I79" s="7"/>
      <c r="J79" s="10">
        <v>5</v>
      </c>
      <c r="K79" s="117">
        <v>1378943</v>
      </c>
      <c r="L79" s="120">
        <f t="shared" si="13"/>
        <v>144.93830145049401</v>
      </c>
      <c r="M79" s="122">
        <f t="shared" si="19"/>
        <v>2757886.71</v>
      </c>
      <c r="N79" s="116">
        <f t="shared" si="20"/>
        <v>1378943.71</v>
      </c>
      <c r="O79" s="123">
        <f t="shared" si="21"/>
        <v>144.93837607735966</v>
      </c>
      <c r="P79" s="5"/>
      <c r="Q79" s="5">
        <f t="shared" si="14"/>
        <v>1</v>
      </c>
      <c r="R79" s="7">
        <f t="shared" si="15"/>
        <v>9514</v>
      </c>
      <c r="S79" s="5">
        <f t="shared" si="16"/>
        <v>1</v>
      </c>
      <c r="T79" s="7">
        <f t="shared" si="17"/>
        <v>9514</v>
      </c>
    </row>
    <row r="80" spans="1:20">
      <c r="A80" s="23" t="s">
        <v>87</v>
      </c>
      <c r="B80" s="35" t="s">
        <v>84</v>
      </c>
      <c r="C80" s="36">
        <v>638</v>
      </c>
      <c r="D80" s="6"/>
      <c r="E80" s="113">
        <v>14096337</v>
      </c>
      <c r="F80" s="116">
        <f t="shared" si="18"/>
        <v>22094.572100313479</v>
      </c>
      <c r="G80" s="117">
        <v>4046269</v>
      </c>
      <c r="H80" s="117">
        <f t="shared" si="12"/>
        <v>6342.1144200626959</v>
      </c>
      <c r="I80" s="98" t="s">
        <v>528</v>
      </c>
      <c r="J80" s="10"/>
      <c r="K80" s="117"/>
      <c r="L80" s="120"/>
      <c r="M80" s="122">
        <f t="shared" si="19"/>
        <v>40462.69</v>
      </c>
      <c r="N80" s="116">
        <f t="shared" si="20"/>
        <v>40462.69</v>
      </c>
      <c r="O80" s="123">
        <f t="shared" si="21"/>
        <v>63.421144200626962</v>
      </c>
      <c r="P80" s="5"/>
      <c r="Q80" s="5">
        <f t="shared" si="14"/>
        <v>1</v>
      </c>
      <c r="R80" s="7">
        <f t="shared" si="15"/>
        <v>638</v>
      </c>
      <c r="S80" s="5">
        <f t="shared" si="16"/>
        <v>0</v>
      </c>
      <c r="T80" s="7">
        <f t="shared" si="17"/>
        <v>0</v>
      </c>
    </row>
    <row r="81" spans="1:20">
      <c r="A81" s="23" t="s">
        <v>88</v>
      </c>
      <c r="B81" s="35" t="s">
        <v>89</v>
      </c>
      <c r="C81" s="36">
        <v>543</v>
      </c>
      <c r="D81" s="6"/>
      <c r="E81" s="113">
        <v>32039831</v>
      </c>
      <c r="F81" s="116">
        <f t="shared" si="18"/>
        <v>59005.213627992634</v>
      </c>
      <c r="G81" s="117">
        <v>24989862</v>
      </c>
      <c r="H81" s="117">
        <f t="shared" si="12"/>
        <v>46021.845303867405</v>
      </c>
      <c r="I81" s="7"/>
      <c r="J81" s="10">
        <v>6.5609000000000002</v>
      </c>
      <c r="K81" s="117">
        <v>163955</v>
      </c>
      <c r="L81" s="120">
        <f t="shared" si="13"/>
        <v>301.94290976058932</v>
      </c>
      <c r="M81" s="122">
        <f t="shared" si="19"/>
        <v>249898.62</v>
      </c>
      <c r="N81" s="116">
        <f t="shared" si="20"/>
        <v>85943.62</v>
      </c>
      <c r="O81" s="123">
        <f t="shared" si="21"/>
        <v>158.27554327808471</v>
      </c>
      <c r="P81" s="5"/>
      <c r="Q81" s="5">
        <f t="shared" si="14"/>
        <v>1</v>
      </c>
      <c r="R81" s="7">
        <f t="shared" si="15"/>
        <v>543</v>
      </c>
      <c r="S81" s="5">
        <f t="shared" si="16"/>
        <v>1</v>
      </c>
      <c r="T81" s="7">
        <f t="shared" si="17"/>
        <v>543</v>
      </c>
    </row>
    <row r="82" spans="1:20">
      <c r="A82" s="23" t="s">
        <v>91</v>
      </c>
      <c r="B82" s="35" t="s">
        <v>89</v>
      </c>
      <c r="C82" s="36">
        <v>20605</v>
      </c>
      <c r="D82" s="6"/>
      <c r="E82" s="113">
        <v>4814534769</v>
      </c>
      <c r="F82" s="116">
        <f t="shared" si="18"/>
        <v>233658.56680417375</v>
      </c>
      <c r="G82" s="117">
        <v>4192041398</v>
      </c>
      <c r="H82" s="117">
        <f t="shared" si="12"/>
        <v>203447.77471487503</v>
      </c>
      <c r="I82" s="9"/>
      <c r="J82" s="10">
        <v>1.18</v>
      </c>
      <c r="K82" s="117">
        <v>4946608</v>
      </c>
      <c r="L82" s="120">
        <f t="shared" si="13"/>
        <v>240.06833292890076</v>
      </c>
      <c r="M82" s="122">
        <f t="shared" si="19"/>
        <v>41920413.980000004</v>
      </c>
      <c r="N82" s="116">
        <f t="shared" si="20"/>
        <v>36973805.980000004</v>
      </c>
      <c r="O82" s="123">
        <f t="shared" si="21"/>
        <v>1794.4094142198499</v>
      </c>
      <c r="P82" s="5"/>
      <c r="Q82" s="5">
        <f t="shared" si="14"/>
        <v>1</v>
      </c>
      <c r="R82" s="7">
        <f t="shared" si="15"/>
        <v>20605</v>
      </c>
      <c r="S82" s="5">
        <f t="shared" si="16"/>
        <v>1</v>
      </c>
      <c r="T82" s="7">
        <f t="shared" si="17"/>
        <v>20605</v>
      </c>
    </row>
    <row r="83" spans="1:20">
      <c r="A83" s="23" t="s">
        <v>92</v>
      </c>
      <c r="B83" s="35" t="s">
        <v>93</v>
      </c>
      <c r="C83" s="36">
        <v>560</v>
      </c>
      <c r="D83" s="6"/>
      <c r="E83" s="113">
        <v>12706764</v>
      </c>
      <c r="F83" s="116">
        <f t="shared" si="18"/>
        <v>22690.65</v>
      </c>
      <c r="G83" s="117">
        <v>4672169</v>
      </c>
      <c r="H83" s="117">
        <f t="shared" si="12"/>
        <v>8343.158928571429</v>
      </c>
      <c r="I83" s="98" t="s">
        <v>528</v>
      </c>
      <c r="J83" s="10"/>
      <c r="K83" s="117"/>
      <c r="L83" s="120"/>
      <c r="M83" s="122">
        <f t="shared" si="19"/>
        <v>46721.69</v>
      </c>
      <c r="N83" s="116">
        <f t="shared" si="20"/>
        <v>46721.69</v>
      </c>
      <c r="O83" s="123">
        <f t="shared" si="21"/>
        <v>83.431589285714296</v>
      </c>
      <c r="P83" s="5"/>
      <c r="Q83" s="5">
        <f t="shared" si="14"/>
        <v>1</v>
      </c>
      <c r="R83" s="7">
        <f t="shared" si="15"/>
        <v>560</v>
      </c>
      <c r="S83" s="5">
        <f t="shared" si="16"/>
        <v>0</v>
      </c>
      <c r="T83" s="7">
        <f t="shared" si="17"/>
        <v>0</v>
      </c>
    </row>
    <row r="84" spans="1:20">
      <c r="A84" s="23" t="s">
        <v>94</v>
      </c>
      <c r="B84" s="35" t="s">
        <v>93</v>
      </c>
      <c r="C84" s="36">
        <v>10055</v>
      </c>
      <c r="D84" s="6"/>
      <c r="E84" s="113">
        <v>425104485</v>
      </c>
      <c r="F84" s="116">
        <f t="shared" si="18"/>
        <v>42277.919940328196</v>
      </c>
      <c r="G84" s="117">
        <v>235898657</v>
      </c>
      <c r="H84" s="117">
        <f t="shared" si="12"/>
        <v>23460.831128791648</v>
      </c>
      <c r="I84" s="7"/>
      <c r="J84" s="10">
        <v>3.6269999999999998</v>
      </c>
      <c r="K84" s="117">
        <v>855604</v>
      </c>
      <c r="L84" s="120">
        <f t="shared" si="13"/>
        <v>85.09239184485331</v>
      </c>
      <c r="M84" s="122">
        <f t="shared" si="19"/>
        <v>2358986.5699999998</v>
      </c>
      <c r="N84" s="116">
        <f t="shared" si="20"/>
        <v>1503382.5699999998</v>
      </c>
      <c r="O84" s="123">
        <f t="shared" si="21"/>
        <v>149.51591944306313</v>
      </c>
      <c r="P84" s="5"/>
      <c r="Q84" s="5">
        <f t="shared" si="14"/>
        <v>1</v>
      </c>
      <c r="R84" s="7">
        <f t="shared" si="15"/>
        <v>10055</v>
      </c>
      <c r="S84" s="5">
        <f t="shared" si="16"/>
        <v>1</v>
      </c>
      <c r="T84" s="7">
        <f t="shared" si="17"/>
        <v>10055</v>
      </c>
    </row>
    <row r="85" spans="1:20">
      <c r="A85" s="23" t="s">
        <v>95</v>
      </c>
      <c r="B85" s="35" t="s">
        <v>468</v>
      </c>
      <c r="C85" s="36">
        <v>6617</v>
      </c>
      <c r="D85" s="6"/>
      <c r="E85" s="113">
        <v>208177007</v>
      </c>
      <c r="F85" s="116">
        <f t="shared" si="18"/>
        <v>31460.935015868217</v>
      </c>
      <c r="G85" s="117">
        <v>115171748</v>
      </c>
      <c r="H85" s="117">
        <f t="shared" si="12"/>
        <v>17405.432673416955</v>
      </c>
      <c r="I85" s="7"/>
      <c r="J85" s="10">
        <v>8.0824999999999996</v>
      </c>
      <c r="K85" s="117">
        <v>930875</v>
      </c>
      <c r="L85" s="120">
        <f t="shared" si="13"/>
        <v>140.67931086595135</v>
      </c>
      <c r="M85" s="122">
        <f t="shared" si="19"/>
        <v>1151717.48</v>
      </c>
      <c r="N85" s="116">
        <f t="shared" si="20"/>
        <v>220842.47999999998</v>
      </c>
      <c r="O85" s="123">
        <f t="shared" si="21"/>
        <v>33.37501586821822</v>
      </c>
      <c r="P85" s="5"/>
      <c r="Q85" s="5">
        <f t="shared" si="14"/>
        <v>1</v>
      </c>
      <c r="R85" s="7">
        <f t="shared" si="15"/>
        <v>6617</v>
      </c>
      <c r="S85" s="5">
        <f t="shared" si="16"/>
        <v>1</v>
      </c>
      <c r="T85" s="7">
        <f t="shared" si="17"/>
        <v>6617</v>
      </c>
    </row>
    <row r="86" spans="1:20">
      <c r="A86" s="23" t="s">
        <v>96</v>
      </c>
      <c r="B86" s="35" t="s">
        <v>97</v>
      </c>
      <c r="C86" s="36">
        <v>2033</v>
      </c>
      <c r="D86" s="6"/>
      <c r="E86" s="113">
        <v>46408060</v>
      </c>
      <c r="F86" s="116">
        <f t="shared" si="18"/>
        <v>22827.37825873094</v>
      </c>
      <c r="G86" s="117">
        <v>15367835</v>
      </c>
      <c r="H86" s="117">
        <f t="shared" si="12"/>
        <v>7559.190850959174</v>
      </c>
      <c r="I86" s="98" t="s">
        <v>528</v>
      </c>
      <c r="J86" s="11"/>
      <c r="K86" s="117"/>
      <c r="L86" s="120"/>
      <c r="M86" s="122">
        <f t="shared" si="19"/>
        <v>153678.35</v>
      </c>
      <c r="N86" s="116">
        <f t="shared" si="20"/>
        <v>153678.35</v>
      </c>
      <c r="O86" s="123">
        <f t="shared" si="21"/>
        <v>75.591908509591732</v>
      </c>
      <c r="P86" s="5"/>
      <c r="Q86" s="5">
        <f t="shared" si="14"/>
        <v>1</v>
      </c>
      <c r="R86" s="7">
        <f t="shared" si="15"/>
        <v>2033</v>
      </c>
      <c r="S86" s="5">
        <f t="shared" si="16"/>
        <v>0</v>
      </c>
      <c r="T86" s="7">
        <f t="shared" si="17"/>
        <v>0</v>
      </c>
    </row>
    <row r="87" spans="1:20">
      <c r="A87" s="23" t="s">
        <v>98</v>
      </c>
      <c r="B87" s="35" t="s">
        <v>97</v>
      </c>
      <c r="C87" s="36">
        <v>186</v>
      </c>
      <c r="D87" s="6"/>
      <c r="E87" s="113">
        <v>8241056</v>
      </c>
      <c r="F87" s="116">
        <f t="shared" si="18"/>
        <v>44306.752688172041</v>
      </c>
      <c r="G87" s="117">
        <v>6055058</v>
      </c>
      <c r="H87" s="117">
        <f t="shared" si="12"/>
        <v>32554.075268817203</v>
      </c>
      <c r="I87" s="7"/>
      <c r="J87" s="10">
        <v>3</v>
      </c>
      <c r="K87" s="117">
        <v>18165</v>
      </c>
      <c r="L87" s="120">
        <f t="shared" si="13"/>
        <v>97.661290322580641</v>
      </c>
      <c r="M87" s="122">
        <f t="shared" si="19"/>
        <v>60550.58</v>
      </c>
      <c r="N87" s="116">
        <f t="shared" si="20"/>
        <v>42385.58</v>
      </c>
      <c r="O87" s="123">
        <f t="shared" si="21"/>
        <v>227.87946236559139</v>
      </c>
      <c r="P87" s="5"/>
      <c r="Q87" s="5">
        <f t="shared" si="14"/>
        <v>1</v>
      </c>
      <c r="R87" s="7">
        <f t="shared" si="15"/>
        <v>186</v>
      </c>
      <c r="S87" s="5">
        <f t="shared" si="16"/>
        <v>1</v>
      </c>
      <c r="T87" s="7">
        <f t="shared" si="17"/>
        <v>186</v>
      </c>
    </row>
    <row r="88" spans="1:20">
      <c r="A88" s="23" t="s">
        <v>99</v>
      </c>
      <c r="B88" s="35" t="s">
        <v>100</v>
      </c>
      <c r="C88" s="36">
        <v>12802</v>
      </c>
      <c r="D88" s="6"/>
      <c r="E88" s="113">
        <v>580179511</v>
      </c>
      <c r="F88" s="116">
        <f t="shared" si="18"/>
        <v>45319.443133885332</v>
      </c>
      <c r="G88" s="117">
        <v>478654811</v>
      </c>
      <c r="H88" s="117">
        <f t="shared" si="12"/>
        <v>37389.06506795813</v>
      </c>
      <c r="I88" s="7"/>
      <c r="J88" s="10">
        <v>2.9220999999999999</v>
      </c>
      <c r="K88" s="117">
        <v>1398677</v>
      </c>
      <c r="L88" s="120">
        <f t="shared" si="13"/>
        <v>109.25456959850024</v>
      </c>
      <c r="M88" s="122">
        <f t="shared" si="19"/>
        <v>4786548.1100000003</v>
      </c>
      <c r="N88" s="116">
        <f t="shared" si="20"/>
        <v>3387871.1100000003</v>
      </c>
      <c r="O88" s="123">
        <f t="shared" si="21"/>
        <v>264.6360810810811</v>
      </c>
      <c r="P88" s="5"/>
      <c r="Q88" s="5">
        <f t="shared" si="14"/>
        <v>1</v>
      </c>
      <c r="R88" s="7">
        <f t="shared" si="15"/>
        <v>12802</v>
      </c>
      <c r="S88" s="5">
        <f t="shared" si="16"/>
        <v>1</v>
      </c>
      <c r="T88" s="7">
        <f t="shared" si="17"/>
        <v>12802</v>
      </c>
    </row>
    <row r="89" spans="1:20">
      <c r="A89" s="23" t="s">
        <v>101</v>
      </c>
      <c r="B89" s="35" t="s">
        <v>100</v>
      </c>
      <c r="C89" s="36">
        <v>1546</v>
      </c>
      <c r="D89" s="6"/>
      <c r="E89" s="113">
        <v>43313045</v>
      </c>
      <c r="F89" s="116">
        <f t="shared" si="18"/>
        <v>28016.199870633893</v>
      </c>
      <c r="G89" s="117">
        <v>25971922</v>
      </c>
      <c r="H89" s="117">
        <f t="shared" si="12"/>
        <v>16799.432082794308</v>
      </c>
      <c r="I89" s="8"/>
      <c r="J89" s="10">
        <v>1.4744999999999999</v>
      </c>
      <c r="K89" s="117">
        <v>38295</v>
      </c>
      <c r="L89" s="120">
        <f t="shared" si="13"/>
        <v>24.770375161707634</v>
      </c>
      <c r="M89" s="122">
        <f t="shared" si="19"/>
        <v>259719.22</v>
      </c>
      <c r="N89" s="116">
        <f t="shared" si="20"/>
        <v>221424.22</v>
      </c>
      <c r="O89" s="123">
        <f t="shared" si="21"/>
        <v>143.22394566623544</v>
      </c>
      <c r="P89" s="5"/>
      <c r="Q89" s="5">
        <f t="shared" si="14"/>
        <v>1</v>
      </c>
      <c r="R89" s="7">
        <f t="shared" si="15"/>
        <v>1546</v>
      </c>
      <c r="S89" s="5">
        <f t="shared" si="16"/>
        <v>1</v>
      </c>
      <c r="T89" s="7">
        <f t="shared" si="17"/>
        <v>1546</v>
      </c>
    </row>
    <row r="90" spans="1:20">
      <c r="A90" s="23" t="s">
        <v>102</v>
      </c>
      <c r="B90" s="35" t="s">
        <v>100</v>
      </c>
      <c r="C90" s="36">
        <v>676718</v>
      </c>
      <c r="D90" s="36" t="s">
        <v>521</v>
      </c>
      <c r="E90" s="113"/>
      <c r="F90" s="116"/>
      <c r="G90" s="117"/>
      <c r="H90" s="117"/>
      <c r="I90" s="8"/>
      <c r="J90" s="10"/>
      <c r="K90" s="117"/>
      <c r="L90" s="120"/>
      <c r="M90" s="122">
        <f t="shared" si="19"/>
        <v>0</v>
      </c>
      <c r="N90" s="116">
        <f t="shared" si="20"/>
        <v>0</v>
      </c>
      <c r="O90" s="123">
        <f t="shared" si="21"/>
        <v>0</v>
      </c>
      <c r="P90" s="5"/>
      <c r="Q90" s="5">
        <f t="shared" si="14"/>
        <v>0</v>
      </c>
      <c r="R90" s="7">
        <f t="shared" si="15"/>
        <v>0</v>
      </c>
      <c r="S90" s="5">
        <f t="shared" si="16"/>
        <v>0</v>
      </c>
      <c r="T90" s="7">
        <f t="shared" si="17"/>
        <v>0</v>
      </c>
    </row>
    <row r="91" spans="1:20">
      <c r="A91" s="23" t="s">
        <v>103</v>
      </c>
      <c r="B91" s="35" t="s">
        <v>100</v>
      </c>
      <c r="C91" s="36">
        <v>19866</v>
      </c>
      <c r="D91" s="6"/>
      <c r="E91" s="113">
        <v>882554782</v>
      </c>
      <c r="F91" s="116">
        <f t="shared" si="18"/>
        <v>44425.389207691536</v>
      </c>
      <c r="G91" s="117">
        <v>693980052</v>
      </c>
      <c r="H91" s="117">
        <f t="shared" ref="H91:H154" si="22">(G91/C91)</f>
        <v>34933.054062216856</v>
      </c>
      <c r="I91" s="9"/>
      <c r="J91" s="11">
        <v>3.9070999999999998</v>
      </c>
      <c r="K91" s="117">
        <v>2711449</v>
      </c>
      <c r="L91" s="120">
        <f t="shared" ref="L91:L154" si="23">(K91/C91)</f>
        <v>136.4869123124937</v>
      </c>
      <c r="M91" s="122">
        <f t="shared" si="19"/>
        <v>6939800.5200000005</v>
      </c>
      <c r="N91" s="116">
        <f t="shared" si="20"/>
        <v>4228351.5200000005</v>
      </c>
      <c r="O91" s="123">
        <f t="shared" si="21"/>
        <v>212.84362830967484</v>
      </c>
      <c r="P91" s="5"/>
      <c r="Q91" s="5">
        <f t="shared" si="14"/>
        <v>1</v>
      </c>
      <c r="R91" s="7">
        <f t="shared" si="15"/>
        <v>19866</v>
      </c>
      <c r="S91" s="5">
        <f t="shared" si="16"/>
        <v>1</v>
      </c>
      <c r="T91" s="7">
        <f t="shared" si="17"/>
        <v>19866</v>
      </c>
    </row>
    <row r="92" spans="1:20">
      <c r="A92" s="23" t="s">
        <v>104</v>
      </c>
      <c r="B92" s="35" t="s">
        <v>100</v>
      </c>
      <c r="C92" s="36">
        <v>7423</v>
      </c>
      <c r="D92" s="6"/>
      <c r="E92" s="113">
        <v>325500794</v>
      </c>
      <c r="F92" s="116">
        <f t="shared" si="18"/>
        <v>43850.302303650817</v>
      </c>
      <c r="G92" s="117">
        <v>250062912</v>
      </c>
      <c r="H92" s="117">
        <f t="shared" si="22"/>
        <v>33687.580762494945</v>
      </c>
      <c r="I92" s="9"/>
      <c r="J92" s="10">
        <v>3.6831999999999998</v>
      </c>
      <c r="K92" s="117">
        <v>921031</v>
      </c>
      <c r="L92" s="120">
        <f t="shared" si="23"/>
        <v>124.07800080829853</v>
      </c>
      <c r="M92" s="122">
        <f t="shared" si="19"/>
        <v>2500629.12</v>
      </c>
      <c r="N92" s="116">
        <f t="shared" si="20"/>
        <v>1579598.12</v>
      </c>
      <c r="O92" s="123">
        <f t="shared" si="21"/>
        <v>212.79780681665096</v>
      </c>
      <c r="P92" s="5"/>
      <c r="Q92" s="5">
        <f t="shared" si="14"/>
        <v>1</v>
      </c>
      <c r="R92" s="7">
        <f t="shared" si="15"/>
        <v>7423</v>
      </c>
      <c r="S92" s="5">
        <f t="shared" si="16"/>
        <v>1</v>
      </c>
      <c r="T92" s="7">
        <f t="shared" si="17"/>
        <v>7423</v>
      </c>
    </row>
    <row r="93" spans="1:20">
      <c r="A93" s="23" t="s">
        <v>105</v>
      </c>
      <c r="B93" s="35" t="s">
        <v>106</v>
      </c>
      <c r="C93" s="36">
        <v>2046</v>
      </c>
      <c r="D93" s="6"/>
      <c r="E93" s="113">
        <v>34962030</v>
      </c>
      <c r="F93" s="116">
        <f t="shared" si="18"/>
        <v>17087.991202346042</v>
      </c>
      <c r="G93" s="117">
        <v>18738000</v>
      </c>
      <c r="H93" s="117">
        <f t="shared" si="22"/>
        <v>9158.3577712609967</v>
      </c>
      <c r="I93" s="9"/>
      <c r="J93" s="10">
        <v>1.2649999999999999</v>
      </c>
      <c r="K93" s="117">
        <v>23703</v>
      </c>
      <c r="L93" s="120">
        <f t="shared" si="23"/>
        <v>11.585043988269796</v>
      </c>
      <c r="M93" s="122">
        <f t="shared" si="19"/>
        <v>187380</v>
      </c>
      <c r="N93" s="116">
        <f t="shared" si="20"/>
        <v>163677</v>
      </c>
      <c r="O93" s="123">
        <f t="shared" si="21"/>
        <v>79.998533724340177</v>
      </c>
      <c r="P93" s="5"/>
      <c r="Q93" s="5">
        <f t="shared" si="14"/>
        <v>1</v>
      </c>
      <c r="R93" s="7">
        <f t="shared" si="15"/>
        <v>2046</v>
      </c>
      <c r="S93" s="5">
        <f t="shared" si="16"/>
        <v>1</v>
      </c>
      <c r="T93" s="7">
        <f t="shared" si="17"/>
        <v>2046</v>
      </c>
    </row>
    <row r="94" spans="1:20">
      <c r="A94" s="23" t="s">
        <v>107</v>
      </c>
      <c r="B94" s="35" t="s">
        <v>106</v>
      </c>
      <c r="C94" s="36">
        <v>60373</v>
      </c>
      <c r="D94" s="6"/>
      <c r="E94" s="113">
        <v>2288537060</v>
      </c>
      <c r="F94" s="116">
        <f t="shared" si="18"/>
        <v>37906.631441207159</v>
      </c>
      <c r="G94" s="117">
        <v>1489092200</v>
      </c>
      <c r="H94" s="117">
        <f t="shared" si="22"/>
        <v>24664.870057807297</v>
      </c>
      <c r="I94" s="9"/>
      <c r="J94" s="10">
        <v>5.0570000000000004</v>
      </c>
      <c r="K94" s="117">
        <v>7530339</v>
      </c>
      <c r="L94" s="120">
        <f t="shared" si="23"/>
        <v>124.73024365196363</v>
      </c>
      <c r="M94" s="122">
        <f t="shared" si="19"/>
        <v>14890922</v>
      </c>
      <c r="N94" s="116">
        <f t="shared" si="20"/>
        <v>7360583</v>
      </c>
      <c r="O94" s="123">
        <f t="shared" si="21"/>
        <v>121.91845692610936</v>
      </c>
      <c r="P94" s="5"/>
      <c r="Q94" s="5">
        <f t="shared" si="14"/>
        <v>1</v>
      </c>
      <c r="R94" s="7">
        <f t="shared" si="15"/>
        <v>60373</v>
      </c>
      <c r="S94" s="5">
        <f t="shared" si="16"/>
        <v>1</v>
      </c>
      <c r="T94" s="7">
        <f t="shared" si="17"/>
        <v>60373</v>
      </c>
    </row>
    <row r="95" spans="1:20">
      <c r="A95" s="23" t="s">
        <v>108</v>
      </c>
      <c r="B95" s="35" t="s">
        <v>109</v>
      </c>
      <c r="C95" s="36">
        <v>322</v>
      </c>
      <c r="D95" s="6"/>
      <c r="E95" s="113">
        <v>19223276</v>
      </c>
      <c r="F95" s="116">
        <f t="shared" si="18"/>
        <v>59699.614906832299</v>
      </c>
      <c r="G95" s="117">
        <v>16688694</v>
      </c>
      <c r="H95" s="117">
        <f t="shared" si="22"/>
        <v>51828.242236024846</v>
      </c>
      <c r="I95" s="9"/>
      <c r="J95" s="10">
        <v>0.96</v>
      </c>
      <c r="K95" s="117">
        <v>16021</v>
      </c>
      <c r="L95" s="120">
        <f t="shared" si="23"/>
        <v>49.754658385093165</v>
      </c>
      <c r="M95" s="122">
        <f t="shared" si="19"/>
        <v>166886.94</v>
      </c>
      <c r="N95" s="116">
        <f t="shared" si="20"/>
        <v>150865.94</v>
      </c>
      <c r="O95" s="123">
        <f t="shared" si="21"/>
        <v>468.52776397515527</v>
      </c>
      <c r="P95" s="5"/>
      <c r="Q95" s="5">
        <f t="shared" si="14"/>
        <v>1</v>
      </c>
      <c r="R95" s="7">
        <f t="shared" si="15"/>
        <v>322</v>
      </c>
      <c r="S95" s="5">
        <f t="shared" si="16"/>
        <v>1</v>
      </c>
      <c r="T95" s="7">
        <f t="shared" si="17"/>
        <v>322</v>
      </c>
    </row>
    <row r="96" spans="1:20">
      <c r="A96" s="23" t="s">
        <v>110</v>
      </c>
      <c r="B96" s="35" t="s">
        <v>109</v>
      </c>
      <c r="C96" s="36">
        <v>2087</v>
      </c>
      <c r="D96" s="6"/>
      <c r="E96" s="113">
        <v>95104504</v>
      </c>
      <c r="F96" s="116">
        <f t="shared" si="18"/>
        <v>45569.958792525154</v>
      </c>
      <c r="G96" s="117">
        <v>48643287</v>
      </c>
      <c r="H96" s="117">
        <f t="shared" si="22"/>
        <v>23307.756109247723</v>
      </c>
      <c r="I96" s="7"/>
      <c r="J96" s="10">
        <v>5.89</v>
      </c>
      <c r="K96" s="117">
        <v>286508</v>
      </c>
      <c r="L96" s="120">
        <f t="shared" si="23"/>
        <v>137.28222328701486</v>
      </c>
      <c r="M96" s="122">
        <f t="shared" si="19"/>
        <v>486432.87</v>
      </c>
      <c r="N96" s="116">
        <f t="shared" si="20"/>
        <v>199924.87</v>
      </c>
      <c r="O96" s="123">
        <f t="shared" si="21"/>
        <v>95.795337805462381</v>
      </c>
      <c r="P96" s="5"/>
      <c r="Q96" s="5">
        <f t="shared" si="14"/>
        <v>1</v>
      </c>
      <c r="R96" s="7">
        <f t="shared" si="15"/>
        <v>2087</v>
      </c>
      <c r="S96" s="5">
        <f t="shared" si="16"/>
        <v>1</v>
      </c>
      <c r="T96" s="7">
        <f t="shared" si="17"/>
        <v>2087</v>
      </c>
    </row>
    <row r="97" spans="1:20">
      <c r="A97" s="23" t="s">
        <v>112</v>
      </c>
      <c r="B97" s="35" t="s">
        <v>109</v>
      </c>
      <c r="C97" s="36">
        <v>4175</v>
      </c>
      <c r="D97" s="6"/>
      <c r="E97" s="113">
        <v>279482662</v>
      </c>
      <c r="F97" s="116">
        <f t="shared" si="18"/>
        <v>66941.954970059887</v>
      </c>
      <c r="G97" s="117">
        <v>229353421</v>
      </c>
      <c r="H97" s="117">
        <f t="shared" si="22"/>
        <v>54934.951137724551</v>
      </c>
      <c r="I97" s="7"/>
      <c r="J97" s="10">
        <v>2.7736999999999998</v>
      </c>
      <c r="K97" s="117">
        <v>636157</v>
      </c>
      <c r="L97" s="120">
        <f t="shared" si="23"/>
        <v>152.37293413173651</v>
      </c>
      <c r="M97" s="122">
        <f t="shared" si="19"/>
        <v>2293534.21</v>
      </c>
      <c r="N97" s="116">
        <f t="shared" si="20"/>
        <v>1657377.21</v>
      </c>
      <c r="O97" s="123">
        <f t="shared" si="21"/>
        <v>396.97657724550896</v>
      </c>
      <c r="P97" s="5"/>
      <c r="Q97" s="5">
        <f t="shared" si="14"/>
        <v>1</v>
      </c>
      <c r="R97" s="7">
        <f t="shared" si="15"/>
        <v>4175</v>
      </c>
      <c r="S97" s="5">
        <f t="shared" si="16"/>
        <v>1</v>
      </c>
      <c r="T97" s="7">
        <f t="shared" si="17"/>
        <v>4175</v>
      </c>
    </row>
    <row r="98" spans="1:20">
      <c r="A98" s="23" t="s">
        <v>111</v>
      </c>
      <c r="B98" s="35" t="s">
        <v>557</v>
      </c>
      <c r="C98" s="36">
        <v>12</v>
      </c>
      <c r="D98" s="6"/>
      <c r="E98" s="113">
        <v>6987988</v>
      </c>
      <c r="F98" s="116">
        <f t="shared" si="18"/>
        <v>582332.33333333337</v>
      </c>
      <c r="G98" s="117">
        <v>6259319</v>
      </c>
      <c r="H98" s="117">
        <f t="shared" si="22"/>
        <v>521609.91666666669</v>
      </c>
      <c r="I98" s="98" t="s">
        <v>528</v>
      </c>
      <c r="J98" s="10"/>
      <c r="K98" s="117"/>
      <c r="L98" s="120"/>
      <c r="M98" s="122">
        <f t="shared" si="19"/>
        <v>62593.19</v>
      </c>
      <c r="N98" s="116">
        <f t="shared" si="20"/>
        <v>62593.19</v>
      </c>
      <c r="O98" s="123">
        <f t="shared" si="21"/>
        <v>5216.0991666666669</v>
      </c>
      <c r="P98" s="5"/>
      <c r="Q98" s="5">
        <f t="shared" si="14"/>
        <v>1</v>
      </c>
      <c r="R98" s="7">
        <f t="shared" si="15"/>
        <v>12</v>
      </c>
      <c r="S98" s="5">
        <f t="shared" si="16"/>
        <v>0</v>
      </c>
      <c r="T98" s="7">
        <f t="shared" si="17"/>
        <v>0</v>
      </c>
    </row>
    <row r="99" spans="1:20">
      <c r="A99" s="23" t="s">
        <v>114</v>
      </c>
      <c r="B99" s="35" t="s">
        <v>115</v>
      </c>
      <c r="C99" s="36">
        <v>2796</v>
      </c>
      <c r="D99" s="6"/>
      <c r="E99" s="113">
        <v>75362620</v>
      </c>
      <c r="F99" s="116">
        <f t="shared" si="18"/>
        <v>26953.726752503575</v>
      </c>
      <c r="G99" s="117">
        <v>42777950</v>
      </c>
      <c r="H99" s="117">
        <f t="shared" si="22"/>
        <v>15299.695994277539</v>
      </c>
      <c r="I99" s="7"/>
      <c r="J99" s="10">
        <v>8.2913999999999994</v>
      </c>
      <c r="K99" s="117">
        <v>354689</v>
      </c>
      <c r="L99" s="120">
        <f t="shared" si="23"/>
        <v>126.85586552217454</v>
      </c>
      <c r="M99" s="122">
        <f t="shared" si="19"/>
        <v>427779.5</v>
      </c>
      <c r="N99" s="116">
        <f t="shared" si="20"/>
        <v>73090.5</v>
      </c>
      <c r="O99" s="123">
        <f t="shared" si="21"/>
        <v>26.141094420600858</v>
      </c>
      <c r="P99" s="5"/>
      <c r="Q99" s="5">
        <f t="shared" si="14"/>
        <v>1</v>
      </c>
      <c r="R99" s="7">
        <f t="shared" si="15"/>
        <v>2796</v>
      </c>
      <c r="S99" s="5">
        <f t="shared" si="16"/>
        <v>1</v>
      </c>
      <c r="T99" s="7">
        <f t="shared" si="17"/>
        <v>2796</v>
      </c>
    </row>
    <row r="100" spans="1:20">
      <c r="A100" s="23" t="s">
        <v>116</v>
      </c>
      <c r="B100" s="35" t="s">
        <v>115</v>
      </c>
      <c r="C100" s="36">
        <v>1358</v>
      </c>
      <c r="D100" s="6"/>
      <c r="E100" s="113">
        <v>37806975</v>
      </c>
      <c r="F100" s="116">
        <f t="shared" si="18"/>
        <v>27840.187776141385</v>
      </c>
      <c r="G100" s="117">
        <v>22188003</v>
      </c>
      <c r="H100" s="117">
        <f t="shared" si="22"/>
        <v>16338.735640648012</v>
      </c>
      <c r="I100" s="7"/>
      <c r="J100" s="10">
        <v>8.0259999999999998</v>
      </c>
      <c r="K100" s="117">
        <v>178080</v>
      </c>
      <c r="L100" s="120">
        <f t="shared" si="23"/>
        <v>131.13402061855669</v>
      </c>
      <c r="M100" s="122">
        <f t="shared" si="19"/>
        <v>221880.03</v>
      </c>
      <c r="N100" s="116">
        <f t="shared" si="20"/>
        <v>43800.03</v>
      </c>
      <c r="O100" s="123">
        <f t="shared" si="21"/>
        <v>32.253335787923419</v>
      </c>
      <c r="P100" s="5"/>
      <c r="Q100" s="5">
        <f t="shared" si="14"/>
        <v>1</v>
      </c>
      <c r="R100" s="7">
        <f t="shared" si="15"/>
        <v>1358</v>
      </c>
      <c r="S100" s="5">
        <f t="shared" si="16"/>
        <v>1</v>
      </c>
      <c r="T100" s="7">
        <f t="shared" si="17"/>
        <v>1358</v>
      </c>
    </row>
    <row r="101" spans="1:20">
      <c r="A101" s="23" t="s">
        <v>117</v>
      </c>
      <c r="B101" s="35" t="s">
        <v>118</v>
      </c>
      <c r="C101" s="36">
        <v>4259</v>
      </c>
      <c r="D101" s="6"/>
      <c r="E101" s="113">
        <v>170525480</v>
      </c>
      <c r="F101" s="116">
        <f t="shared" si="18"/>
        <v>40038.854191124679</v>
      </c>
      <c r="G101" s="117">
        <v>23028825</v>
      </c>
      <c r="H101" s="117">
        <f t="shared" si="22"/>
        <v>5407.0967363230802</v>
      </c>
      <c r="I101" s="9"/>
      <c r="J101" s="10">
        <v>1.165</v>
      </c>
      <c r="K101" s="117">
        <v>26828</v>
      </c>
      <c r="L101" s="120">
        <f t="shared" si="23"/>
        <v>6.2991312514674807</v>
      </c>
      <c r="M101" s="122">
        <f t="shared" si="19"/>
        <v>230288.25</v>
      </c>
      <c r="N101" s="116">
        <f t="shared" si="20"/>
        <v>203460.25</v>
      </c>
      <c r="O101" s="123">
        <f t="shared" si="21"/>
        <v>47.771836111763328</v>
      </c>
      <c r="P101" s="5"/>
      <c r="Q101" s="5">
        <f t="shared" si="14"/>
        <v>1</v>
      </c>
      <c r="R101" s="7">
        <f t="shared" si="15"/>
        <v>4259</v>
      </c>
      <c r="S101" s="5">
        <f t="shared" si="16"/>
        <v>1</v>
      </c>
      <c r="T101" s="7">
        <f t="shared" si="17"/>
        <v>4259</v>
      </c>
    </row>
    <row r="102" spans="1:20">
      <c r="A102" s="23" t="s">
        <v>119</v>
      </c>
      <c r="B102" s="35" t="s">
        <v>118</v>
      </c>
      <c r="C102" s="36">
        <v>580</v>
      </c>
      <c r="D102" s="6"/>
      <c r="E102" s="113">
        <v>8334228</v>
      </c>
      <c r="F102" s="116">
        <f t="shared" si="18"/>
        <v>14369.358620689654</v>
      </c>
      <c r="G102" s="117">
        <v>4610797</v>
      </c>
      <c r="H102" s="117">
        <f t="shared" si="22"/>
        <v>7949.65</v>
      </c>
      <c r="I102" s="7"/>
      <c r="J102" s="10">
        <v>1.0209999999999999</v>
      </c>
      <c r="K102" s="117">
        <v>4707</v>
      </c>
      <c r="L102" s="120">
        <f t="shared" si="23"/>
        <v>8.11551724137931</v>
      </c>
      <c r="M102" s="122">
        <f t="shared" si="19"/>
        <v>46107.97</v>
      </c>
      <c r="N102" s="116">
        <f t="shared" si="20"/>
        <v>41400.97</v>
      </c>
      <c r="O102" s="123">
        <f t="shared" si="21"/>
        <v>71.380982758620689</v>
      </c>
      <c r="P102" s="5"/>
      <c r="Q102" s="5">
        <f t="shared" si="14"/>
        <v>1</v>
      </c>
      <c r="R102" s="7">
        <f t="shared" si="15"/>
        <v>580</v>
      </c>
      <c r="S102" s="5">
        <f t="shared" si="16"/>
        <v>1</v>
      </c>
      <c r="T102" s="7">
        <f t="shared" si="17"/>
        <v>580</v>
      </c>
    </row>
    <row r="103" spans="1:20">
      <c r="A103" s="23" t="s">
        <v>120</v>
      </c>
      <c r="B103" s="35" t="s">
        <v>118</v>
      </c>
      <c r="C103" s="36">
        <v>2298</v>
      </c>
      <c r="D103" s="6"/>
      <c r="E103" s="113">
        <v>15340825</v>
      </c>
      <c r="F103" s="116">
        <f t="shared" si="18"/>
        <v>6675.7288946910357</v>
      </c>
      <c r="G103" s="117">
        <v>5191800</v>
      </c>
      <c r="H103" s="117">
        <f t="shared" si="22"/>
        <v>2259.2689295039163</v>
      </c>
      <c r="I103" s="7"/>
      <c r="J103" s="10">
        <v>2</v>
      </c>
      <c r="K103" s="117">
        <v>10383</v>
      </c>
      <c r="L103" s="120">
        <f t="shared" si="23"/>
        <v>4.5182767624020892</v>
      </c>
      <c r="M103" s="122">
        <f t="shared" si="19"/>
        <v>51918</v>
      </c>
      <c r="N103" s="116">
        <f t="shared" si="20"/>
        <v>41535</v>
      </c>
      <c r="O103" s="123">
        <f t="shared" si="21"/>
        <v>18.074412532637076</v>
      </c>
      <c r="P103" s="5"/>
      <c r="Q103" s="5">
        <f t="shared" si="14"/>
        <v>1</v>
      </c>
      <c r="R103" s="7">
        <f t="shared" si="15"/>
        <v>2298</v>
      </c>
      <c r="S103" s="5">
        <f t="shared" si="16"/>
        <v>1</v>
      </c>
      <c r="T103" s="7">
        <f t="shared" si="17"/>
        <v>2298</v>
      </c>
    </row>
    <row r="104" spans="1:20">
      <c r="A104" s="23" t="s">
        <v>121</v>
      </c>
      <c r="B104" s="35" t="s">
        <v>118</v>
      </c>
      <c r="C104" s="36">
        <v>1858</v>
      </c>
      <c r="D104" s="6"/>
      <c r="E104" s="113">
        <v>40736463</v>
      </c>
      <c r="F104" s="116">
        <f t="shared" si="18"/>
        <v>21924.89935414424</v>
      </c>
      <c r="G104" s="117">
        <v>25956591</v>
      </c>
      <c r="H104" s="117">
        <f t="shared" si="22"/>
        <v>13970.178148546824</v>
      </c>
      <c r="I104" s="7"/>
      <c r="J104" s="11">
        <v>1.1020000000000001</v>
      </c>
      <c r="K104" s="117">
        <v>28604</v>
      </c>
      <c r="L104" s="120">
        <f t="shared" si="23"/>
        <v>15.395048439181917</v>
      </c>
      <c r="M104" s="122">
        <f t="shared" si="19"/>
        <v>259565.91</v>
      </c>
      <c r="N104" s="116">
        <f t="shared" si="20"/>
        <v>230961.91</v>
      </c>
      <c r="O104" s="123">
        <f t="shared" si="21"/>
        <v>124.30673304628633</v>
      </c>
      <c r="P104" s="5"/>
      <c r="Q104" s="5">
        <f t="shared" si="14"/>
        <v>1</v>
      </c>
      <c r="R104" s="7">
        <f t="shared" si="15"/>
        <v>1858</v>
      </c>
      <c r="S104" s="5">
        <f t="shared" si="16"/>
        <v>1</v>
      </c>
      <c r="T104" s="7">
        <f t="shared" si="17"/>
        <v>1858</v>
      </c>
    </row>
    <row r="105" spans="1:20">
      <c r="A105" s="23" t="s">
        <v>122</v>
      </c>
      <c r="B105" s="35" t="s">
        <v>118</v>
      </c>
      <c r="C105" s="36">
        <v>1110</v>
      </c>
      <c r="D105" s="6"/>
      <c r="E105" s="113">
        <v>12255611</v>
      </c>
      <c r="F105" s="116">
        <f t="shared" si="18"/>
        <v>11041.090990990991</v>
      </c>
      <c r="G105" s="117">
        <v>7024732</v>
      </c>
      <c r="H105" s="117">
        <f t="shared" si="22"/>
        <v>6328.587387387387</v>
      </c>
      <c r="I105" s="7"/>
      <c r="J105" s="10">
        <v>5</v>
      </c>
      <c r="K105" s="117">
        <v>35123</v>
      </c>
      <c r="L105" s="120">
        <f t="shared" si="23"/>
        <v>31.642342342342342</v>
      </c>
      <c r="M105" s="122">
        <f t="shared" si="19"/>
        <v>70247.320000000007</v>
      </c>
      <c r="N105" s="116">
        <f t="shared" si="20"/>
        <v>35124.320000000007</v>
      </c>
      <c r="O105" s="123">
        <f t="shared" si="21"/>
        <v>31.643531531531536</v>
      </c>
      <c r="P105" s="5"/>
      <c r="Q105" s="5">
        <f t="shared" si="14"/>
        <v>1</v>
      </c>
      <c r="R105" s="7">
        <f t="shared" si="15"/>
        <v>1110</v>
      </c>
      <c r="S105" s="5">
        <f t="shared" si="16"/>
        <v>1</v>
      </c>
      <c r="T105" s="7">
        <f t="shared" si="17"/>
        <v>1110</v>
      </c>
    </row>
    <row r="106" spans="1:20">
      <c r="A106" s="23" t="s">
        <v>123</v>
      </c>
      <c r="B106" s="35" t="s">
        <v>118</v>
      </c>
      <c r="C106" s="36">
        <v>7351</v>
      </c>
      <c r="D106" s="6"/>
      <c r="E106" s="113">
        <v>202409372</v>
      </c>
      <c r="F106" s="116">
        <f t="shared" si="18"/>
        <v>27534.943817167732</v>
      </c>
      <c r="G106" s="117">
        <v>116856371</v>
      </c>
      <c r="H106" s="117">
        <f t="shared" si="22"/>
        <v>15896.66317507822</v>
      </c>
      <c r="I106" s="7"/>
      <c r="J106" s="10">
        <v>1.254</v>
      </c>
      <c r="K106" s="117">
        <v>146537</v>
      </c>
      <c r="L106" s="120">
        <f t="shared" si="23"/>
        <v>19.934294653788601</v>
      </c>
      <c r="M106" s="122">
        <f t="shared" si="19"/>
        <v>1168563.71</v>
      </c>
      <c r="N106" s="116">
        <f t="shared" si="20"/>
        <v>1022026.71</v>
      </c>
      <c r="O106" s="123">
        <f t="shared" si="21"/>
        <v>139.03233709699361</v>
      </c>
      <c r="P106" s="5"/>
      <c r="Q106" s="5">
        <f t="shared" si="14"/>
        <v>1</v>
      </c>
      <c r="R106" s="7">
        <f t="shared" si="15"/>
        <v>7351</v>
      </c>
      <c r="S106" s="5">
        <f t="shared" si="16"/>
        <v>1</v>
      </c>
      <c r="T106" s="7">
        <f t="shared" si="17"/>
        <v>7351</v>
      </c>
    </row>
    <row r="107" spans="1:20">
      <c r="A107" s="23" t="s">
        <v>124</v>
      </c>
      <c r="B107" s="35" t="s">
        <v>125</v>
      </c>
      <c r="C107" s="36">
        <v>286</v>
      </c>
      <c r="D107" s="6"/>
      <c r="E107" s="113">
        <v>6844834</v>
      </c>
      <c r="F107" s="116">
        <f t="shared" si="18"/>
        <v>23932.986013986014</v>
      </c>
      <c r="G107" s="117">
        <v>3098535</v>
      </c>
      <c r="H107" s="117">
        <f t="shared" si="22"/>
        <v>10834.038461538461</v>
      </c>
      <c r="I107" s="98" t="s">
        <v>528</v>
      </c>
      <c r="J107" s="10"/>
      <c r="K107" s="117"/>
      <c r="L107" s="120"/>
      <c r="M107" s="122">
        <f t="shared" si="19"/>
        <v>30985.350000000002</v>
      </c>
      <c r="N107" s="116">
        <f t="shared" si="20"/>
        <v>30985.350000000002</v>
      </c>
      <c r="O107" s="123">
        <f t="shared" si="21"/>
        <v>108.34038461538462</v>
      </c>
      <c r="P107" s="5"/>
      <c r="Q107" s="5">
        <f t="shared" si="14"/>
        <v>1</v>
      </c>
      <c r="R107" s="7">
        <f t="shared" si="15"/>
        <v>286</v>
      </c>
      <c r="S107" s="5">
        <f t="shared" si="16"/>
        <v>0</v>
      </c>
      <c r="T107" s="7">
        <f t="shared" si="17"/>
        <v>0</v>
      </c>
    </row>
    <row r="108" spans="1:20">
      <c r="A108" s="23" t="s">
        <v>126</v>
      </c>
      <c r="B108" s="35" t="s">
        <v>125</v>
      </c>
      <c r="C108" s="36">
        <v>1354</v>
      </c>
      <c r="D108" s="6"/>
      <c r="E108" s="113">
        <v>34793904</v>
      </c>
      <c r="F108" s="116">
        <f t="shared" si="18"/>
        <v>25697.12259970458</v>
      </c>
      <c r="G108" s="117">
        <v>19093392</v>
      </c>
      <c r="H108" s="117">
        <f t="shared" si="22"/>
        <v>14101.471196454948</v>
      </c>
      <c r="I108" s="98" t="s">
        <v>528</v>
      </c>
      <c r="J108" s="10"/>
      <c r="K108" s="117"/>
      <c r="L108" s="120"/>
      <c r="M108" s="122">
        <f t="shared" si="19"/>
        <v>190933.92</v>
      </c>
      <c r="N108" s="116">
        <f t="shared" si="20"/>
        <v>190933.92</v>
      </c>
      <c r="O108" s="123">
        <f t="shared" si="21"/>
        <v>141.01471196454949</v>
      </c>
      <c r="P108" s="5"/>
      <c r="Q108" s="5">
        <f t="shared" si="14"/>
        <v>1</v>
      </c>
      <c r="R108" s="7">
        <f t="shared" si="15"/>
        <v>1354</v>
      </c>
      <c r="S108" s="5">
        <f t="shared" si="16"/>
        <v>0</v>
      </c>
      <c r="T108" s="7">
        <f t="shared" si="17"/>
        <v>0</v>
      </c>
    </row>
    <row r="109" spans="1:20">
      <c r="A109" s="23" t="s">
        <v>127</v>
      </c>
      <c r="B109" s="35" t="s">
        <v>128</v>
      </c>
      <c r="C109" s="36">
        <v>522</v>
      </c>
      <c r="D109" s="6"/>
      <c r="E109" s="113">
        <v>18657855</v>
      </c>
      <c r="F109" s="116">
        <f t="shared" si="18"/>
        <v>35743.017241379312</v>
      </c>
      <c r="G109" s="117">
        <v>13322550</v>
      </c>
      <c r="H109" s="117">
        <f t="shared" si="22"/>
        <v>25522.126436781607</v>
      </c>
      <c r="I109" s="7"/>
      <c r="J109" s="10">
        <v>2</v>
      </c>
      <c r="K109" s="117">
        <v>26644</v>
      </c>
      <c r="L109" s="120">
        <f t="shared" si="23"/>
        <v>51.042145593869733</v>
      </c>
      <c r="M109" s="122">
        <f t="shared" si="19"/>
        <v>133225.5</v>
      </c>
      <c r="N109" s="116">
        <f t="shared" si="20"/>
        <v>106581.5</v>
      </c>
      <c r="O109" s="123">
        <f t="shared" si="21"/>
        <v>204.17911877394636</v>
      </c>
      <c r="P109" s="5"/>
      <c r="Q109" s="5">
        <f t="shared" si="14"/>
        <v>1</v>
      </c>
      <c r="R109" s="7">
        <f t="shared" si="15"/>
        <v>522</v>
      </c>
      <c r="S109" s="5">
        <f t="shared" si="16"/>
        <v>1</v>
      </c>
      <c r="T109" s="7">
        <f t="shared" si="17"/>
        <v>522</v>
      </c>
    </row>
    <row r="110" spans="1:20">
      <c r="A110" s="23" t="s">
        <v>129</v>
      </c>
      <c r="B110" s="35" t="s">
        <v>130</v>
      </c>
      <c r="C110" s="36">
        <v>1558</v>
      </c>
      <c r="D110" s="6"/>
      <c r="E110" s="113">
        <v>38079614</v>
      </c>
      <c r="F110" s="116">
        <f t="shared" si="18"/>
        <v>24441.34403080873</v>
      </c>
      <c r="G110" s="117">
        <v>20298000</v>
      </c>
      <c r="H110" s="117">
        <f t="shared" si="22"/>
        <v>13028.24133504493</v>
      </c>
      <c r="I110" s="7"/>
      <c r="J110" s="10">
        <v>4.5860000000000003</v>
      </c>
      <c r="K110" s="117">
        <v>93086</v>
      </c>
      <c r="L110" s="120">
        <f t="shared" si="23"/>
        <v>59.747111681643133</v>
      </c>
      <c r="M110" s="122">
        <f t="shared" si="19"/>
        <v>202980</v>
      </c>
      <c r="N110" s="116">
        <f t="shared" si="20"/>
        <v>109894</v>
      </c>
      <c r="O110" s="123">
        <f t="shared" si="21"/>
        <v>70.535301668806156</v>
      </c>
      <c r="P110" s="5"/>
      <c r="Q110" s="5">
        <f t="shared" si="14"/>
        <v>1</v>
      </c>
      <c r="R110" s="7">
        <f t="shared" si="15"/>
        <v>1558</v>
      </c>
      <c r="S110" s="5">
        <f t="shared" si="16"/>
        <v>1</v>
      </c>
      <c r="T110" s="7">
        <f t="shared" si="17"/>
        <v>1558</v>
      </c>
    </row>
    <row r="111" spans="1:20">
      <c r="A111" s="23" t="s">
        <v>545</v>
      </c>
      <c r="B111" s="35" t="s">
        <v>131</v>
      </c>
      <c r="C111" s="36">
        <v>4134</v>
      </c>
      <c r="D111" s="6"/>
      <c r="E111" s="113">
        <v>313051867</v>
      </c>
      <c r="F111" s="116">
        <f t="shared" si="18"/>
        <v>75726.141025641031</v>
      </c>
      <c r="G111" s="117">
        <v>272675416</v>
      </c>
      <c r="H111" s="117">
        <f t="shared" si="22"/>
        <v>65959.22012578616</v>
      </c>
      <c r="I111" s="9"/>
      <c r="J111" s="10">
        <v>5.2408000000000001</v>
      </c>
      <c r="K111" s="117">
        <v>1429037</v>
      </c>
      <c r="L111" s="120">
        <f t="shared" si="23"/>
        <v>345.67900338655056</v>
      </c>
      <c r="M111" s="122">
        <f t="shared" si="19"/>
        <v>2726754.16</v>
      </c>
      <c r="N111" s="116">
        <f t="shared" si="20"/>
        <v>1297717.1600000001</v>
      </c>
      <c r="O111" s="123">
        <f t="shared" si="21"/>
        <v>313.91319787131113</v>
      </c>
      <c r="P111" s="5"/>
      <c r="Q111" s="5">
        <f t="shared" si="14"/>
        <v>1</v>
      </c>
      <c r="R111" s="7">
        <f t="shared" si="15"/>
        <v>4134</v>
      </c>
      <c r="S111" s="5">
        <f t="shared" si="16"/>
        <v>1</v>
      </c>
      <c r="T111" s="7">
        <f t="shared" si="17"/>
        <v>4134</v>
      </c>
    </row>
    <row r="112" spans="1:20">
      <c r="A112" s="23" t="s">
        <v>132</v>
      </c>
      <c r="B112" s="35" t="s">
        <v>131</v>
      </c>
      <c r="C112" s="36">
        <v>1821</v>
      </c>
      <c r="D112" s="6"/>
      <c r="E112" s="113">
        <v>34238987</v>
      </c>
      <c r="F112" s="116">
        <f t="shared" si="18"/>
        <v>18802.299286106536</v>
      </c>
      <c r="G112" s="117">
        <v>20159941</v>
      </c>
      <c r="H112" s="117">
        <f t="shared" si="22"/>
        <v>11070.807797913234</v>
      </c>
      <c r="I112" s="9"/>
      <c r="J112" s="10">
        <v>5.3</v>
      </c>
      <c r="K112" s="117">
        <v>106847</v>
      </c>
      <c r="L112" s="120">
        <f t="shared" si="23"/>
        <v>58.674903898956615</v>
      </c>
      <c r="M112" s="122">
        <f t="shared" si="19"/>
        <v>201599.41</v>
      </c>
      <c r="N112" s="116">
        <f t="shared" si="20"/>
        <v>94752.41</v>
      </c>
      <c r="O112" s="123">
        <f t="shared" si="21"/>
        <v>52.033174080175726</v>
      </c>
      <c r="P112" s="5"/>
      <c r="Q112" s="5">
        <f t="shared" si="14"/>
        <v>1</v>
      </c>
      <c r="R112" s="7">
        <f t="shared" si="15"/>
        <v>1821</v>
      </c>
      <c r="S112" s="5">
        <f t="shared" si="16"/>
        <v>1</v>
      </c>
      <c r="T112" s="7">
        <f t="shared" si="17"/>
        <v>1821</v>
      </c>
    </row>
    <row r="113" spans="1:20">
      <c r="A113" s="23" t="s">
        <v>133</v>
      </c>
      <c r="B113" s="35" t="s">
        <v>134</v>
      </c>
      <c r="C113" s="36">
        <v>2075</v>
      </c>
      <c r="D113" s="6"/>
      <c r="E113" s="113">
        <v>47453840</v>
      </c>
      <c r="F113" s="116">
        <f t="shared" si="18"/>
        <v>22869.320481927713</v>
      </c>
      <c r="G113" s="117">
        <v>25387281</v>
      </c>
      <c r="H113" s="117">
        <f t="shared" si="22"/>
        <v>12234.83421686747</v>
      </c>
      <c r="I113" s="7"/>
      <c r="J113" s="11">
        <v>3.25</v>
      </c>
      <c r="K113" s="117">
        <v>82508</v>
      </c>
      <c r="L113" s="120">
        <f t="shared" si="23"/>
        <v>39.762891566265061</v>
      </c>
      <c r="M113" s="122">
        <f t="shared" si="19"/>
        <v>253872.81</v>
      </c>
      <c r="N113" s="116">
        <f t="shared" si="20"/>
        <v>171364.81</v>
      </c>
      <c r="O113" s="123">
        <f t="shared" si="21"/>
        <v>82.585450602409637</v>
      </c>
      <c r="P113" s="5"/>
      <c r="Q113" s="5">
        <f t="shared" si="14"/>
        <v>1</v>
      </c>
      <c r="R113" s="7">
        <f t="shared" si="15"/>
        <v>2075</v>
      </c>
      <c r="S113" s="5">
        <f t="shared" si="16"/>
        <v>1</v>
      </c>
      <c r="T113" s="7">
        <f t="shared" si="17"/>
        <v>2075</v>
      </c>
    </row>
    <row r="114" spans="1:20">
      <c r="A114" s="23" t="s">
        <v>135</v>
      </c>
      <c r="B114" s="35" t="s">
        <v>134</v>
      </c>
      <c r="C114" s="36">
        <v>801</v>
      </c>
      <c r="D114" s="6"/>
      <c r="E114" s="113">
        <v>13896255</v>
      </c>
      <c r="F114" s="116">
        <f t="shared" si="18"/>
        <v>17348.6329588015</v>
      </c>
      <c r="G114" s="117">
        <v>8597598</v>
      </c>
      <c r="H114" s="117">
        <f t="shared" si="22"/>
        <v>10733.580524344568</v>
      </c>
      <c r="I114" s="7"/>
      <c r="J114" s="11">
        <v>1.38</v>
      </c>
      <c r="K114" s="117">
        <v>11864</v>
      </c>
      <c r="L114" s="120">
        <f t="shared" si="23"/>
        <v>14.811485642946318</v>
      </c>
      <c r="M114" s="122">
        <f t="shared" si="19"/>
        <v>85975.98</v>
      </c>
      <c r="N114" s="116">
        <f t="shared" si="20"/>
        <v>74111.98</v>
      </c>
      <c r="O114" s="123">
        <f t="shared" si="21"/>
        <v>92.524319600499368</v>
      </c>
      <c r="P114" s="5"/>
      <c r="Q114" s="5">
        <f t="shared" si="14"/>
        <v>1</v>
      </c>
      <c r="R114" s="7">
        <f t="shared" si="15"/>
        <v>801</v>
      </c>
      <c r="S114" s="5">
        <f t="shared" si="16"/>
        <v>1</v>
      </c>
      <c r="T114" s="7">
        <f t="shared" si="17"/>
        <v>801</v>
      </c>
    </row>
    <row r="115" spans="1:20">
      <c r="A115" s="23" t="s">
        <v>136</v>
      </c>
      <c r="B115" s="35" t="s">
        <v>134</v>
      </c>
      <c r="C115" s="36">
        <v>823</v>
      </c>
      <c r="D115" s="6"/>
      <c r="E115" s="113">
        <v>15143416</v>
      </c>
      <c r="F115" s="116">
        <f t="shared" si="18"/>
        <v>18400.262454434993</v>
      </c>
      <c r="G115" s="117">
        <v>6642354</v>
      </c>
      <c r="H115" s="117">
        <f t="shared" si="22"/>
        <v>8070.9040097205343</v>
      </c>
      <c r="I115" s="7"/>
      <c r="J115" s="10">
        <v>3.8929999999999998</v>
      </c>
      <c r="K115" s="117">
        <v>25858</v>
      </c>
      <c r="L115" s="120">
        <f t="shared" si="23"/>
        <v>31.419198055893073</v>
      </c>
      <c r="M115" s="122">
        <f t="shared" si="19"/>
        <v>66423.540000000008</v>
      </c>
      <c r="N115" s="116">
        <f t="shared" si="20"/>
        <v>40565.540000000008</v>
      </c>
      <c r="O115" s="123">
        <f t="shared" si="21"/>
        <v>49.289842041312284</v>
      </c>
      <c r="P115" s="5"/>
      <c r="Q115" s="5">
        <f t="shared" si="14"/>
        <v>1</v>
      </c>
      <c r="R115" s="7">
        <f t="shared" si="15"/>
        <v>823</v>
      </c>
      <c r="S115" s="5">
        <f t="shared" si="16"/>
        <v>1</v>
      </c>
      <c r="T115" s="7">
        <f t="shared" si="17"/>
        <v>823</v>
      </c>
    </row>
    <row r="116" spans="1:20">
      <c r="A116" s="23" t="s">
        <v>137</v>
      </c>
      <c r="B116" s="35" t="s">
        <v>138</v>
      </c>
      <c r="C116" s="36">
        <v>1962</v>
      </c>
      <c r="D116" s="6"/>
      <c r="E116" s="113">
        <v>35187973</v>
      </c>
      <c r="F116" s="116">
        <f t="shared" si="18"/>
        <v>17934.746687054027</v>
      </c>
      <c r="G116" s="117">
        <v>16567149</v>
      </c>
      <c r="H116" s="117">
        <f t="shared" si="22"/>
        <v>8444.0107033639142</v>
      </c>
      <c r="I116" s="7"/>
      <c r="J116" s="10">
        <v>6</v>
      </c>
      <c r="K116" s="117">
        <v>99402</v>
      </c>
      <c r="L116" s="120">
        <f t="shared" si="23"/>
        <v>50.663608562691131</v>
      </c>
      <c r="M116" s="122">
        <f t="shared" si="19"/>
        <v>165671.49</v>
      </c>
      <c r="N116" s="116">
        <f t="shared" si="20"/>
        <v>66269.489999999991</v>
      </c>
      <c r="O116" s="123">
        <f t="shared" si="21"/>
        <v>33.776498470948006</v>
      </c>
      <c r="P116" s="5"/>
      <c r="Q116" s="5">
        <f t="shared" si="14"/>
        <v>1</v>
      </c>
      <c r="R116" s="7">
        <f t="shared" si="15"/>
        <v>1962</v>
      </c>
      <c r="S116" s="5">
        <f t="shared" si="16"/>
        <v>1</v>
      </c>
      <c r="T116" s="7">
        <f t="shared" si="17"/>
        <v>1962</v>
      </c>
    </row>
    <row r="117" spans="1:20">
      <c r="A117" s="23" t="s">
        <v>139</v>
      </c>
      <c r="B117" s="35" t="s">
        <v>138</v>
      </c>
      <c r="C117" s="36">
        <v>3632</v>
      </c>
      <c r="D117" s="6"/>
      <c r="E117" s="113">
        <v>114385770</v>
      </c>
      <c r="F117" s="116">
        <f t="shared" si="18"/>
        <v>31493.879405286345</v>
      </c>
      <c r="G117" s="117">
        <v>59754525</v>
      </c>
      <c r="H117" s="117">
        <f t="shared" si="22"/>
        <v>16452.237059471365</v>
      </c>
      <c r="I117" s="7"/>
      <c r="J117" s="10">
        <v>5.0199999999999996</v>
      </c>
      <c r="K117" s="117">
        <v>299967</v>
      </c>
      <c r="L117" s="120">
        <f t="shared" si="23"/>
        <v>82.590033039647579</v>
      </c>
      <c r="M117" s="122">
        <f t="shared" si="19"/>
        <v>597545.25</v>
      </c>
      <c r="N117" s="116">
        <f t="shared" si="20"/>
        <v>297578.25</v>
      </c>
      <c r="O117" s="123">
        <f t="shared" si="21"/>
        <v>81.932337555066084</v>
      </c>
      <c r="P117" s="5"/>
      <c r="Q117" s="5">
        <f t="shared" si="14"/>
        <v>1</v>
      </c>
      <c r="R117" s="7">
        <f t="shared" si="15"/>
        <v>3632</v>
      </c>
      <c r="S117" s="5">
        <f t="shared" si="16"/>
        <v>1</v>
      </c>
      <c r="T117" s="7">
        <f t="shared" si="17"/>
        <v>3632</v>
      </c>
    </row>
    <row r="118" spans="1:20">
      <c r="A118" s="23" t="s">
        <v>140</v>
      </c>
      <c r="B118" s="35" t="s">
        <v>138</v>
      </c>
      <c r="C118" s="36">
        <v>1264</v>
      </c>
      <c r="D118" s="6"/>
      <c r="E118" s="113">
        <v>27147447</v>
      </c>
      <c r="F118" s="116">
        <f t="shared" si="18"/>
        <v>21477.410601265823</v>
      </c>
      <c r="G118" s="117">
        <v>13386442</v>
      </c>
      <c r="H118" s="117">
        <f t="shared" si="22"/>
        <v>10590.539556962025</v>
      </c>
      <c r="I118" s="7"/>
      <c r="J118" s="10">
        <v>9.1120000000000001</v>
      </c>
      <c r="K118" s="117">
        <v>121977</v>
      </c>
      <c r="L118" s="120">
        <f t="shared" si="23"/>
        <v>96.500791139240505</v>
      </c>
      <c r="M118" s="122">
        <f t="shared" si="19"/>
        <v>133864.42000000001</v>
      </c>
      <c r="N118" s="116">
        <f t="shared" si="20"/>
        <v>11887.420000000013</v>
      </c>
      <c r="O118" s="123">
        <f t="shared" si="21"/>
        <v>9.4046044303797576</v>
      </c>
      <c r="P118" s="5"/>
      <c r="Q118" s="5">
        <f t="shared" si="14"/>
        <v>1</v>
      </c>
      <c r="R118" s="7">
        <f t="shared" si="15"/>
        <v>1264</v>
      </c>
      <c r="S118" s="5">
        <f t="shared" si="16"/>
        <v>1</v>
      </c>
      <c r="T118" s="7">
        <f t="shared" si="17"/>
        <v>1264</v>
      </c>
    </row>
    <row r="119" spans="1:20">
      <c r="A119" s="23" t="s">
        <v>141</v>
      </c>
      <c r="B119" s="35" t="s">
        <v>142</v>
      </c>
      <c r="C119" s="36">
        <v>6357</v>
      </c>
      <c r="D119" s="6"/>
      <c r="E119" s="113">
        <v>253673572</v>
      </c>
      <c r="F119" s="116">
        <f t="shared" si="18"/>
        <v>39904.604687745792</v>
      </c>
      <c r="G119" s="117">
        <v>141395552</v>
      </c>
      <c r="H119" s="117">
        <f t="shared" si="22"/>
        <v>22242.49677520843</v>
      </c>
      <c r="I119" s="7"/>
      <c r="J119" s="10">
        <v>5</v>
      </c>
      <c r="K119" s="117">
        <v>706977</v>
      </c>
      <c r="L119" s="120">
        <f t="shared" si="23"/>
        <v>111.21236432279377</v>
      </c>
      <c r="M119" s="122">
        <f t="shared" si="19"/>
        <v>1413955.52</v>
      </c>
      <c r="N119" s="116">
        <f t="shared" si="20"/>
        <v>706978.52</v>
      </c>
      <c r="O119" s="123">
        <f t="shared" si="21"/>
        <v>111.21260342929055</v>
      </c>
      <c r="P119" s="5"/>
      <c r="Q119" s="5">
        <f t="shared" si="14"/>
        <v>1</v>
      </c>
      <c r="R119" s="7">
        <f t="shared" si="15"/>
        <v>6357</v>
      </c>
      <c r="S119" s="5">
        <f t="shared" si="16"/>
        <v>1</v>
      </c>
      <c r="T119" s="7">
        <f t="shared" si="17"/>
        <v>6357</v>
      </c>
    </row>
    <row r="120" spans="1:20">
      <c r="A120" s="23" t="s">
        <v>558</v>
      </c>
      <c r="B120" s="35" t="s">
        <v>142</v>
      </c>
      <c r="C120" s="36">
        <v>3095</v>
      </c>
      <c r="D120" s="6"/>
      <c r="E120" s="113">
        <v>145829250</v>
      </c>
      <c r="F120" s="116">
        <f t="shared" si="18"/>
        <v>47117.689822294022</v>
      </c>
      <c r="G120" s="117">
        <v>92585600</v>
      </c>
      <c r="H120" s="117">
        <f t="shared" si="22"/>
        <v>29914.571890145395</v>
      </c>
      <c r="I120" s="7"/>
      <c r="J120" s="10">
        <v>3</v>
      </c>
      <c r="K120" s="117">
        <v>277756</v>
      </c>
      <c r="L120" s="120">
        <f t="shared" si="23"/>
        <v>89.743457189014535</v>
      </c>
      <c r="M120" s="122">
        <f t="shared" si="19"/>
        <v>925856</v>
      </c>
      <c r="N120" s="116">
        <f t="shared" si="20"/>
        <v>648100</v>
      </c>
      <c r="O120" s="123">
        <f t="shared" si="21"/>
        <v>209.40226171243941</v>
      </c>
      <c r="P120" s="5"/>
      <c r="Q120" s="5">
        <f t="shared" si="14"/>
        <v>1</v>
      </c>
      <c r="R120" s="7">
        <f t="shared" si="15"/>
        <v>3095</v>
      </c>
      <c r="S120" s="5">
        <f t="shared" si="16"/>
        <v>1</v>
      </c>
      <c r="T120" s="7">
        <f t="shared" si="17"/>
        <v>3095</v>
      </c>
    </row>
    <row r="121" spans="1:20">
      <c r="A121" s="23" t="s">
        <v>143</v>
      </c>
      <c r="B121" s="35" t="s">
        <v>144</v>
      </c>
      <c r="C121" s="36">
        <v>7814</v>
      </c>
      <c r="D121" s="6"/>
      <c r="E121" s="113">
        <v>335319019</v>
      </c>
      <c r="F121" s="116">
        <f t="shared" si="18"/>
        <v>42912.595213718967</v>
      </c>
      <c r="G121" s="117">
        <v>198017247</v>
      </c>
      <c r="H121" s="117">
        <f t="shared" si="22"/>
        <v>25341.342078320962</v>
      </c>
      <c r="I121" s="7"/>
      <c r="J121" s="10">
        <v>8.2174999999999994</v>
      </c>
      <c r="K121" s="117">
        <v>1627206</v>
      </c>
      <c r="L121" s="120">
        <f t="shared" si="23"/>
        <v>208.24238546199129</v>
      </c>
      <c r="M121" s="122">
        <f t="shared" si="19"/>
        <v>1980172.47</v>
      </c>
      <c r="N121" s="116">
        <f t="shared" si="20"/>
        <v>352966.47</v>
      </c>
      <c r="O121" s="123">
        <f t="shared" si="21"/>
        <v>45.171035321218319</v>
      </c>
      <c r="P121" s="5"/>
      <c r="Q121" s="5">
        <f t="shared" si="14"/>
        <v>1</v>
      </c>
      <c r="R121" s="7">
        <f t="shared" si="15"/>
        <v>7814</v>
      </c>
      <c r="S121" s="5">
        <f t="shared" si="16"/>
        <v>1</v>
      </c>
      <c r="T121" s="7">
        <f t="shared" si="17"/>
        <v>7814</v>
      </c>
    </row>
    <row r="122" spans="1:20">
      <c r="A122" s="23" t="s">
        <v>145</v>
      </c>
      <c r="B122" s="35" t="s">
        <v>144</v>
      </c>
      <c r="C122" s="36">
        <v>7</v>
      </c>
      <c r="D122" s="6"/>
      <c r="E122" s="113">
        <v>18828653</v>
      </c>
      <c r="F122" s="116">
        <f t="shared" si="18"/>
        <v>2689807.5714285714</v>
      </c>
      <c r="G122" s="117">
        <v>18810575</v>
      </c>
      <c r="H122" s="117">
        <f t="shared" si="22"/>
        <v>2687225</v>
      </c>
      <c r="I122" s="7"/>
      <c r="J122" s="10">
        <v>1.04</v>
      </c>
      <c r="K122" s="117">
        <v>19562</v>
      </c>
      <c r="L122" s="120">
        <f t="shared" si="23"/>
        <v>2794.5714285714284</v>
      </c>
      <c r="M122" s="122">
        <f t="shared" si="19"/>
        <v>188105.75</v>
      </c>
      <c r="N122" s="116">
        <f t="shared" si="20"/>
        <v>168543.75</v>
      </c>
      <c r="O122" s="123">
        <f t="shared" si="21"/>
        <v>24077.678571428572</v>
      </c>
      <c r="P122" s="5"/>
      <c r="Q122" s="5">
        <f t="shared" si="14"/>
        <v>1</v>
      </c>
      <c r="R122" s="7">
        <f t="shared" si="15"/>
        <v>7</v>
      </c>
      <c r="S122" s="5">
        <f t="shared" si="16"/>
        <v>1</v>
      </c>
      <c r="T122" s="7">
        <f t="shared" si="17"/>
        <v>7</v>
      </c>
    </row>
    <row r="123" spans="1:20">
      <c r="A123" s="23" t="s">
        <v>146</v>
      </c>
      <c r="B123" s="35" t="s">
        <v>147</v>
      </c>
      <c r="C123" s="36">
        <v>8144</v>
      </c>
      <c r="D123" s="6"/>
      <c r="E123" s="113">
        <v>224440040</v>
      </c>
      <c r="F123" s="116">
        <f t="shared" si="18"/>
        <v>27558.944007858547</v>
      </c>
      <c r="G123" s="117">
        <v>139610990</v>
      </c>
      <c r="H123" s="117">
        <f t="shared" si="22"/>
        <v>17142.803290766209</v>
      </c>
      <c r="I123" s="7"/>
      <c r="J123" s="10">
        <v>8.0824999999999996</v>
      </c>
      <c r="K123" s="117">
        <v>1128405</v>
      </c>
      <c r="L123" s="120">
        <f t="shared" si="23"/>
        <v>138.55660609037329</v>
      </c>
      <c r="M123" s="122">
        <f t="shared" si="19"/>
        <v>1396109.9000000001</v>
      </c>
      <c r="N123" s="116">
        <f t="shared" si="20"/>
        <v>267704.90000000014</v>
      </c>
      <c r="O123" s="123">
        <f t="shared" si="21"/>
        <v>32.871426817288821</v>
      </c>
      <c r="P123" s="5"/>
      <c r="Q123" s="5">
        <f t="shared" si="14"/>
        <v>1</v>
      </c>
      <c r="R123" s="7">
        <f t="shared" si="15"/>
        <v>8144</v>
      </c>
      <c r="S123" s="5">
        <f t="shared" si="16"/>
        <v>1</v>
      </c>
      <c r="T123" s="7">
        <f t="shared" si="17"/>
        <v>8144</v>
      </c>
    </row>
    <row r="124" spans="1:20">
      <c r="A124" s="23" t="s">
        <v>148</v>
      </c>
      <c r="B124" s="35" t="s">
        <v>147</v>
      </c>
      <c r="C124" s="36">
        <v>1345</v>
      </c>
      <c r="D124" s="6"/>
      <c r="E124" s="113">
        <v>77090970</v>
      </c>
      <c r="F124" s="116">
        <f t="shared" si="18"/>
        <v>57316.7063197026</v>
      </c>
      <c r="G124" s="117">
        <v>46814080</v>
      </c>
      <c r="H124" s="117">
        <f t="shared" si="22"/>
        <v>34806.007434944237</v>
      </c>
      <c r="I124" s="7"/>
      <c r="J124" s="10">
        <v>5.2</v>
      </c>
      <c r="K124" s="117">
        <v>243433</v>
      </c>
      <c r="L124" s="120">
        <f t="shared" si="23"/>
        <v>180.9910780669145</v>
      </c>
      <c r="M124" s="122">
        <f t="shared" si="19"/>
        <v>468140.79999999999</v>
      </c>
      <c r="N124" s="116">
        <f t="shared" si="20"/>
        <v>224707.8</v>
      </c>
      <c r="O124" s="123">
        <f t="shared" si="21"/>
        <v>167.06899628252788</v>
      </c>
      <c r="P124" s="5"/>
      <c r="Q124" s="5">
        <f t="shared" si="14"/>
        <v>1</v>
      </c>
      <c r="R124" s="7">
        <f t="shared" si="15"/>
        <v>1345</v>
      </c>
      <c r="S124" s="5">
        <f t="shared" si="16"/>
        <v>1</v>
      </c>
      <c r="T124" s="7">
        <f t="shared" si="17"/>
        <v>1345</v>
      </c>
    </row>
    <row r="125" spans="1:20">
      <c r="A125" s="23" t="s">
        <v>149</v>
      </c>
      <c r="B125" s="35" t="s">
        <v>147</v>
      </c>
      <c r="C125" s="36">
        <v>8949</v>
      </c>
      <c r="D125" s="6"/>
      <c r="E125" s="113">
        <v>331263330</v>
      </c>
      <c r="F125" s="116">
        <f t="shared" si="18"/>
        <v>37016.79852497486</v>
      </c>
      <c r="G125" s="117">
        <v>216291390</v>
      </c>
      <c r="H125" s="117">
        <f t="shared" si="22"/>
        <v>24169.336238685886</v>
      </c>
      <c r="I125" s="7"/>
      <c r="J125" s="10">
        <v>8.3260000000000005</v>
      </c>
      <c r="K125" s="117">
        <v>1800842</v>
      </c>
      <c r="L125" s="120">
        <f t="shared" si="23"/>
        <v>201.23388088054531</v>
      </c>
      <c r="M125" s="122">
        <f t="shared" si="19"/>
        <v>2162913.9</v>
      </c>
      <c r="N125" s="116">
        <f t="shared" si="20"/>
        <v>362071.89999999991</v>
      </c>
      <c r="O125" s="123">
        <f t="shared" si="21"/>
        <v>40.459481506313544</v>
      </c>
      <c r="P125" s="5"/>
      <c r="Q125" s="5">
        <f t="shared" si="14"/>
        <v>1</v>
      </c>
      <c r="R125" s="7">
        <f t="shared" si="15"/>
        <v>8949</v>
      </c>
      <c r="S125" s="5">
        <f t="shared" si="16"/>
        <v>1</v>
      </c>
      <c r="T125" s="7">
        <f t="shared" si="17"/>
        <v>8949</v>
      </c>
    </row>
    <row r="126" spans="1:20">
      <c r="A126" s="23" t="s">
        <v>150</v>
      </c>
      <c r="B126" s="35" t="s">
        <v>151</v>
      </c>
      <c r="C126" s="36">
        <v>25465</v>
      </c>
      <c r="D126" s="6"/>
      <c r="E126" s="113">
        <v>1066865035</v>
      </c>
      <c r="F126" s="116">
        <f t="shared" si="18"/>
        <v>41895.347928529351</v>
      </c>
      <c r="G126" s="117">
        <v>763412388</v>
      </c>
      <c r="H126" s="117">
        <f t="shared" si="22"/>
        <v>29978.888199489495</v>
      </c>
      <c r="I126" s="7"/>
      <c r="J126" s="10">
        <v>4.7</v>
      </c>
      <c r="K126" s="117">
        <v>3588038</v>
      </c>
      <c r="L126" s="120">
        <f t="shared" si="23"/>
        <v>140.90076575692126</v>
      </c>
      <c r="M126" s="122">
        <f t="shared" si="19"/>
        <v>7634123.8799999999</v>
      </c>
      <c r="N126" s="116">
        <f t="shared" si="20"/>
        <v>4046085.88</v>
      </c>
      <c r="O126" s="123">
        <f t="shared" si="21"/>
        <v>158.88811623797369</v>
      </c>
      <c r="P126" s="5"/>
      <c r="Q126" s="5">
        <f t="shared" si="14"/>
        <v>1</v>
      </c>
      <c r="R126" s="7">
        <f t="shared" si="15"/>
        <v>25465</v>
      </c>
      <c r="S126" s="5">
        <f t="shared" si="16"/>
        <v>1</v>
      </c>
      <c r="T126" s="7">
        <f t="shared" si="17"/>
        <v>25465</v>
      </c>
    </row>
    <row r="127" spans="1:20">
      <c r="A127" s="23" t="s">
        <v>152</v>
      </c>
      <c r="B127" s="35" t="s">
        <v>151</v>
      </c>
      <c r="C127" s="36">
        <v>285153</v>
      </c>
      <c r="D127" s="6"/>
      <c r="E127" s="113">
        <v>14920702541</v>
      </c>
      <c r="F127" s="116">
        <f t="shared" si="18"/>
        <v>52325.251850760818</v>
      </c>
      <c r="G127" s="117">
        <v>9727654094</v>
      </c>
      <c r="H127" s="117">
        <f t="shared" si="22"/>
        <v>34113.805900691907</v>
      </c>
      <c r="I127" s="7"/>
      <c r="J127" s="10">
        <v>6.5389999999999997</v>
      </c>
      <c r="K127" s="117">
        <v>63609130</v>
      </c>
      <c r="L127" s="120">
        <f t="shared" si="23"/>
        <v>223.0701763614621</v>
      </c>
      <c r="M127" s="122">
        <f t="shared" si="19"/>
        <v>97276540.939999998</v>
      </c>
      <c r="N127" s="116">
        <f t="shared" si="20"/>
        <v>33667410.939999998</v>
      </c>
      <c r="O127" s="123">
        <f t="shared" si="21"/>
        <v>118.06788264545699</v>
      </c>
      <c r="P127" s="5"/>
      <c r="Q127" s="5">
        <f t="shared" si="14"/>
        <v>1</v>
      </c>
      <c r="R127" s="7">
        <f t="shared" si="15"/>
        <v>285153</v>
      </c>
      <c r="S127" s="5">
        <f t="shared" si="16"/>
        <v>1</v>
      </c>
      <c r="T127" s="7">
        <f t="shared" si="17"/>
        <v>285153</v>
      </c>
    </row>
    <row r="128" spans="1:20">
      <c r="A128" s="23" t="s">
        <v>153</v>
      </c>
      <c r="B128" s="35" t="s">
        <v>151</v>
      </c>
      <c r="C128" s="36">
        <v>18724</v>
      </c>
      <c r="D128" s="6"/>
      <c r="E128" s="113">
        <v>953107143</v>
      </c>
      <c r="F128" s="116">
        <f t="shared" si="18"/>
        <v>50902.966406750696</v>
      </c>
      <c r="G128" s="117">
        <v>778040477</v>
      </c>
      <c r="H128" s="117">
        <f t="shared" si="22"/>
        <v>41553.112422559279</v>
      </c>
      <c r="I128" s="7"/>
      <c r="J128" s="10">
        <v>4.41</v>
      </c>
      <c r="K128" s="117">
        <v>3431158</v>
      </c>
      <c r="L128" s="120">
        <f t="shared" si="23"/>
        <v>183.24919888912626</v>
      </c>
      <c r="M128" s="122">
        <f t="shared" si="19"/>
        <v>7780404.7700000005</v>
      </c>
      <c r="N128" s="116">
        <f t="shared" si="20"/>
        <v>4349246.7700000005</v>
      </c>
      <c r="O128" s="123">
        <f t="shared" si="21"/>
        <v>232.2819253364666</v>
      </c>
      <c r="P128" s="5"/>
      <c r="Q128" s="5">
        <f t="shared" si="14"/>
        <v>1</v>
      </c>
      <c r="R128" s="7">
        <f t="shared" si="15"/>
        <v>18724</v>
      </c>
      <c r="S128" s="5">
        <f t="shared" si="16"/>
        <v>1</v>
      </c>
      <c r="T128" s="7">
        <f t="shared" si="17"/>
        <v>18724</v>
      </c>
    </row>
    <row r="129" spans="1:20">
      <c r="A129" s="23" t="s">
        <v>154</v>
      </c>
      <c r="B129" s="35" t="s">
        <v>155</v>
      </c>
      <c r="C129" s="36">
        <v>2751</v>
      </c>
      <c r="D129" s="6"/>
      <c r="E129" s="113">
        <v>79625096</v>
      </c>
      <c r="F129" s="116">
        <f t="shared" si="18"/>
        <v>28944.055252635404</v>
      </c>
      <c r="G129" s="117">
        <v>46258793</v>
      </c>
      <c r="H129" s="117">
        <f t="shared" si="22"/>
        <v>16815.264631043257</v>
      </c>
      <c r="I129" s="98" t="s">
        <v>528</v>
      </c>
      <c r="J129" s="10"/>
      <c r="K129" s="117"/>
      <c r="L129" s="120"/>
      <c r="M129" s="122">
        <f t="shared" si="19"/>
        <v>462587.93</v>
      </c>
      <c r="N129" s="116">
        <f t="shared" si="20"/>
        <v>462587.93</v>
      </c>
      <c r="O129" s="123">
        <f t="shared" si="21"/>
        <v>168.15264631043257</v>
      </c>
      <c r="P129" s="5"/>
      <c r="Q129" s="5">
        <f t="shared" si="14"/>
        <v>1</v>
      </c>
      <c r="R129" s="7">
        <f t="shared" si="15"/>
        <v>2751</v>
      </c>
      <c r="S129" s="5">
        <f t="shared" si="16"/>
        <v>0</v>
      </c>
      <c r="T129" s="7">
        <f t="shared" si="17"/>
        <v>0</v>
      </c>
    </row>
    <row r="130" spans="1:20">
      <c r="A130" s="23" t="s">
        <v>156</v>
      </c>
      <c r="B130" s="35" t="s">
        <v>155</v>
      </c>
      <c r="C130" s="36">
        <v>314</v>
      </c>
      <c r="D130" s="6"/>
      <c r="E130" s="113">
        <v>5379671</v>
      </c>
      <c r="F130" s="116">
        <f t="shared" si="18"/>
        <v>17132.710191082802</v>
      </c>
      <c r="G130" s="117">
        <v>2384867</v>
      </c>
      <c r="H130" s="117">
        <f t="shared" si="22"/>
        <v>7595.1178343949041</v>
      </c>
      <c r="I130" s="7"/>
      <c r="J130" s="10">
        <v>1.06</v>
      </c>
      <c r="K130" s="117">
        <v>2527</v>
      </c>
      <c r="L130" s="120">
        <f t="shared" si="23"/>
        <v>8.0477707006369421</v>
      </c>
      <c r="M130" s="122">
        <f t="shared" si="19"/>
        <v>23848.670000000002</v>
      </c>
      <c r="N130" s="116">
        <f t="shared" si="20"/>
        <v>21321.670000000002</v>
      </c>
      <c r="O130" s="123">
        <f t="shared" si="21"/>
        <v>67.903407643312107</v>
      </c>
      <c r="P130" s="5"/>
      <c r="Q130" s="5">
        <f t="shared" si="14"/>
        <v>1</v>
      </c>
      <c r="R130" s="7">
        <f t="shared" si="15"/>
        <v>314</v>
      </c>
      <c r="S130" s="5">
        <f t="shared" si="16"/>
        <v>1</v>
      </c>
      <c r="T130" s="7">
        <f t="shared" si="17"/>
        <v>314</v>
      </c>
    </row>
    <row r="131" spans="1:20">
      <c r="A131" s="23" t="s">
        <v>157</v>
      </c>
      <c r="B131" s="35" t="s">
        <v>155</v>
      </c>
      <c r="C131" s="36">
        <v>222</v>
      </c>
      <c r="D131" s="6"/>
      <c r="E131" s="113">
        <v>2194299</v>
      </c>
      <c r="F131" s="116">
        <f t="shared" si="18"/>
        <v>9884.22972972973</v>
      </c>
      <c r="G131" s="117">
        <v>792444</v>
      </c>
      <c r="H131" s="117">
        <f t="shared" si="22"/>
        <v>3569.5675675675675</v>
      </c>
      <c r="I131" s="7"/>
      <c r="J131" s="10">
        <v>2.3199999999999998</v>
      </c>
      <c r="K131" s="117">
        <v>1838</v>
      </c>
      <c r="L131" s="120">
        <f t="shared" si="23"/>
        <v>8.2792792792792795</v>
      </c>
      <c r="M131" s="122">
        <f t="shared" si="19"/>
        <v>7924.4400000000005</v>
      </c>
      <c r="N131" s="116">
        <f t="shared" si="20"/>
        <v>6086.4400000000005</v>
      </c>
      <c r="O131" s="123">
        <f t="shared" si="21"/>
        <v>27.416396396396397</v>
      </c>
      <c r="P131" s="5"/>
      <c r="Q131" s="5">
        <f t="shared" si="14"/>
        <v>1</v>
      </c>
      <c r="R131" s="7">
        <f t="shared" si="15"/>
        <v>222</v>
      </c>
      <c r="S131" s="5">
        <f t="shared" si="16"/>
        <v>1</v>
      </c>
      <c r="T131" s="7">
        <f t="shared" si="17"/>
        <v>222</v>
      </c>
    </row>
    <row r="132" spans="1:20">
      <c r="A132" s="23" t="s">
        <v>158</v>
      </c>
      <c r="B132" s="35" t="s">
        <v>155</v>
      </c>
      <c r="C132" s="36">
        <v>450</v>
      </c>
      <c r="D132" s="6"/>
      <c r="E132" s="113">
        <v>12433999</v>
      </c>
      <c r="F132" s="116">
        <f t="shared" si="18"/>
        <v>27631.108888888888</v>
      </c>
      <c r="G132" s="117">
        <v>6328893</v>
      </c>
      <c r="H132" s="117">
        <f t="shared" si="22"/>
        <v>14064.206666666667</v>
      </c>
      <c r="I132" s="98" t="s">
        <v>528</v>
      </c>
      <c r="J132" s="10"/>
      <c r="K132" s="117"/>
      <c r="L132" s="120"/>
      <c r="M132" s="122">
        <f t="shared" si="19"/>
        <v>63288.93</v>
      </c>
      <c r="N132" s="116">
        <f t="shared" si="20"/>
        <v>63288.93</v>
      </c>
      <c r="O132" s="123">
        <f t="shared" si="21"/>
        <v>140.64206666666666</v>
      </c>
      <c r="P132" s="5"/>
      <c r="Q132" s="5">
        <f t="shared" si="14"/>
        <v>1</v>
      </c>
      <c r="R132" s="7">
        <f t="shared" si="15"/>
        <v>450</v>
      </c>
      <c r="S132" s="5">
        <f t="shared" si="16"/>
        <v>0</v>
      </c>
      <c r="T132" s="7">
        <f t="shared" si="17"/>
        <v>0</v>
      </c>
    </row>
    <row r="133" spans="1:20">
      <c r="A133" s="23" t="s">
        <v>159</v>
      </c>
      <c r="B133" s="35" t="s">
        <v>155</v>
      </c>
      <c r="C133" s="36">
        <v>283</v>
      </c>
      <c r="D133" s="6"/>
      <c r="E133" s="113">
        <v>6803990</v>
      </c>
      <c r="F133" s="116">
        <f t="shared" si="18"/>
        <v>24042.367491166078</v>
      </c>
      <c r="G133" s="117">
        <v>2674413</v>
      </c>
      <c r="H133" s="117">
        <f t="shared" si="22"/>
        <v>9450.22261484099</v>
      </c>
      <c r="I133" s="98" t="s">
        <v>528</v>
      </c>
      <c r="J133" s="10"/>
      <c r="K133" s="117"/>
      <c r="L133" s="120"/>
      <c r="M133" s="122">
        <f t="shared" si="19"/>
        <v>26744.13</v>
      </c>
      <c r="N133" s="116">
        <f t="shared" si="20"/>
        <v>26744.13</v>
      </c>
      <c r="O133" s="123">
        <f t="shared" si="21"/>
        <v>94.502226148409903</v>
      </c>
      <c r="P133" s="5"/>
      <c r="Q133" s="5">
        <f t="shared" si="14"/>
        <v>1</v>
      </c>
      <c r="R133" s="7">
        <f t="shared" si="15"/>
        <v>283</v>
      </c>
      <c r="S133" s="5">
        <f t="shared" si="16"/>
        <v>0</v>
      </c>
      <c r="T133" s="7">
        <f t="shared" si="17"/>
        <v>0</v>
      </c>
    </row>
    <row r="134" spans="1:20">
      <c r="A134" s="23" t="s">
        <v>160</v>
      </c>
      <c r="B134" s="35" t="s">
        <v>161</v>
      </c>
      <c r="C134" s="36">
        <v>2354</v>
      </c>
      <c r="D134" s="6"/>
      <c r="E134" s="113">
        <v>37129964</v>
      </c>
      <c r="F134" s="116">
        <f t="shared" si="18"/>
        <v>15773.136788445199</v>
      </c>
      <c r="G134" s="117">
        <v>22403878</v>
      </c>
      <c r="H134" s="117">
        <f t="shared" si="22"/>
        <v>9517.3653355989809</v>
      </c>
      <c r="I134" s="7"/>
      <c r="J134" s="10">
        <v>8.4923000000000002</v>
      </c>
      <c r="K134" s="117">
        <v>190260</v>
      </c>
      <c r="L134" s="120">
        <f t="shared" si="23"/>
        <v>80.824129141886146</v>
      </c>
      <c r="M134" s="122">
        <f t="shared" si="19"/>
        <v>224038.78</v>
      </c>
      <c r="N134" s="116">
        <f t="shared" si="20"/>
        <v>33778.78</v>
      </c>
      <c r="O134" s="123">
        <f t="shared" si="21"/>
        <v>14.349524214103653</v>
      </c>
      <c r="P134" s="5"/>
      <c r="Q134" s="5">
        <f t="shared" si="14"/>
        <v>1</v>
      </c>
      <c r="R134" s="7">
        <f t="shared" si="15"/>
        <v>2354</v>
      </c>
      <c r="S134" s="5">
        <f t="shared" si="16"/>
        <v>1</v>
      </c>
      <c r="T134" s="7">
        <f t="shared" si="17"/>
        <v>2354</v>
      </c>
    </row>
    <row r="135" spans="1:20">
      <c r="A135" s="23" t="s">
        <v>162</v>
      </c>
      <c r="B135" s="35" t="s">
        <v>161</v>
      </c>
      <c r="C135" s="36">
        <v>2599</v>
      </c>
      <c r="D135" s="6"/>
      <c r="E135" s="113">
        <v>1059770036</v>
      </c>
      <c r="F135" s="116">
        <f t="shared" si="18"/>
        <v>407760.69103501347</v>
      </c>
      <c r="G135" s="117">
        <v>1017511525</v>
      </c>
      <c r="H135" s="117">
        <f t="shared" si="22"/>
        <v>391501.16390919586</v>
      </c>
      <c r="I135" s="7"/>
      <c r="J135" s="12">
        <v>1.4231</v>
      </c>
      <c r="K135" s="117">
        <v>1448020</v>
      </c>
      <c r="L135" s="120">
        <f t="shared" si="23"/>
        <v>557.14505579068873</v>
      </c>
      <c r="M135" s="122">
        <f t="shared" si="19"/>
        <v>10175115.25</v>
      </c>
      <c r="N135" s="116">
        <f t="shared" si="20"/>
        <v>8727095.25</v>
      </c>
      <c r="O135" s="123">
        <f t="shared" si="21"/>
        <v>3357.8665833012697</v>
      </c>
      <c r="P135" s="5"/>
      <c r="Q135" s="5">
        <f t="shared" ref="Q135:Q198" si="24">IF(E135&gt;0,1,0)</f>
        <v>1</v>
      </c>
      <c r="R135" s="7">
        <f t="shared" ref="R135:R198" si="25">IF(E135&gt;0,C135,0)</f>
        <v>2599</v>
      </c>
      <c r="S135" s="5">
        <f t="shared" ref="S135:S198" si="26">IF(J135&gt;0,1,0)</f>
        <v>1</v>
      </c>
      <c r="T135" s="7">
        <f t="shared" ref="T135:T198" si="27">IF(J135&gt;0,C135,0)</f>
        <v>2599</v>
      </c>
    </row>
    <row r="136" spans="1:20">
      <c r="A136" s="23" t="s">
        <v>163</v>
      </c>
      <c r="B136" s="35" t="s">
        <v>161</v>
      </c>
      <c r="C136" s="36">
        <v>25</v>
      </c>
      <c r="D136" s="6"/>
      <c r="E136" s="113">
        <v>41279699</v>
      </c>
      <c r="F136" s="116">
        <f t="shared" ref="F136:F199" si="28">(E136/C136)</f>
        <v>1651187.96</v>
      </c>
      <c r="G136" s="117">
        <v>39015369</v>
      </c>
      <c r="H136" s="117">
        <f t="shared" si="22"/>
        <v>1560614.76</v>
      </c>
      <c r="I136" s="9"/>
      <c r="J136" s="10">
        <v>2.9121000000000001</v>
      </c>
      <c r="K136" s="117">
        <v>113616</v>
      </c>
      <c r="L136" s="120">
        <f t="shared" si="23"/>
        <v>4544.6400000000003</v>
      </c>
      <c r="M136" s="122">
        <f t="shared" ref="M136:M199" si="29">(G136*0.01)</f>
        <v>390153.69</v>
      </c>
      <c r="N136" s="116">
        <f t="shared" ref="N136:N199" si="30">(M136-K136)</f>
        <v>276537.69</v>
      </c>
      <c r="O136" s="123">
        <f t="shared" ref="O136:O199" si="31">(N136/C136)</f>
        <v>11061.507600000001</v>
      </c>
      <c r="P136" s="5"/>
      <c r="Q136" s="5">
        <f t="shared" si="24"/>
        <v>1</v>
      </c>
      <c r="R136" s="7">
        <f t="shared" si="25"/>
        <v>25</v>
      </c>
      <c r="S136" s="5">
        <f t="shared" si="26"/>
        <v>1</v>
      </c>
      <c r="T136" s="7">
        <f t="shared" si="27"/>
        <v>25</v>
      </c>
    </row>
    <row r="137" spans="1:20">
      <c r="A137" s="23" t="s">
        <v>164</v>
      </c>
      <c r="B137" s="35" t="s">
        <v>161</v>
      </c>
      <c r="C137" s="36">
        <v>13488</v>
      </c>
      <c r="D137" s="6"/>
      <c r="E137" s="113">
        <v>540929671</v>
      </c>
      <c r="F137" s="116">
        <f t="shared" si="28"/>
        <v>40104.512974495847</v>
      </c>
      <c r="G137" s="117">
        <v>386567116</v>
      </c>
      <c r="H137" s="117">
        <f t="shared" si="22"/>
        <v>28660.07680901542</v>
      </c>
      <c r="I137" s="9"/>
      <c r="J137" s="10">
        <v>6.9</v>
      </c>
      <c r="K137" s="117">
        <v>2667313</v>
      </c>
      <c r="L137" s="120">
        <f t="shared" si="23"/>
        <v>197.75452253855278</v>
      </c>
      <c r="M137" s="122">
        <f t="shared" si="29"/>
        <v>3865671.16</v>
      </c>
      <c r="N137" s="116">
        <f t="shared" si="30"/>
        <v>1198358.1600000001</v>
      </c>
      <c r="O137" s="123">
        <f t="shared" si="31"/>
        <v>88.846245551601442</v>
      </c>
      <c r="P137" s="5"/>
      <c r="Q137" s="5">
        <f t="shared" si="24"/>
        <v>1</v>
      </c>
      <c r="R137" s="7">
        <f t="shared" si="25"/>
        <v>13488</v>
      </c>
      <c r="S137" s="5">
        <f t="shared" si="26"/>
        <v>1</v>
      </c>
      <c r="T137" s="7">
        <f t="shared" si="27"/>
        <v>13488</v>
      </c>
    </row>
    <row r="138" spans="1:20">
      <c r="A138" s="23" t="s">
        <v>165</v>
      </c>
      <c r="B138" s="35" t="s">
        <v>161</v>
      </c>
      <c r="C138" s="36">
        <v>17681</v>
      </c>
      <c r="D138" s="6"/>
      <c r="E138" s="113">
        <v>1482766294</v>
      </c>
      <c r="F138" s="116">
        <f t="shared" si="28"/>
        <v>83862.128499519255</v>
      </c>
      <c r="G138" s="117">
        <v>1166899318</v>
      </c>
      <c r="H138" s="117">
        <f t="shared" si="22"/>
        <v>65997.359764719193</v>
      </c>
      <c r="I138" s="7"/>
      <c r="J138" s="11">
        <v>2.3041</v>
      </c>
      <c r="K138" s="117">
        <v>2688652</v>
      </c>
      <c r="L138" s="120">
        <f t="shared" si="23"/>
        <v>152.06447599117698</v>
      </c>
      <c r="M138" s="122">
        <f t="shared" si="29"/>
        <v>11668993.18</v>
      </c>
      <c r="N138" s="116">
        <f t="shared" si="30"/>
        <v>8980341.1799999997</v>
      </c>
      <c r="O138" s="123">
        <f t="shared" si="31"/>
        <v>507.90912165601492</v>
      </c>
      <c r="P138" s="5"/>
      <c r="Q138" s="5">
        <f t="shared" si="24"/>
        <v>1</v>
      </c>
      <c r="R138" s="7">
        <f t="shared" si="25"/>
        <v>17681</v>
      </c>
      <c r="S138" s="5">
        <f t="shared" si="26"/>
        <v>1</v>
      </c>
      <c r="T138" s="7">
        <f t="shared" si="27"/>
        <v>17681</v>
      </c>
    </row>
    <row r="139" spans="1:20">
      <c r="A139" s="23" t="s">
        <v>166</v>
      </c>
      <c r="B139" s="35" t="s">
        <v>167</v>
      </c>
      <c r="C139" s="36">
        <v>522</v>
      </c>
      <c r="D139" s="6"/>
      <c r="E139" s="113">
        <v>6161554</v>
      </c>
      <c r="F139" s="116">
        <f t="shared" si="28"/>
        <v>11803.743295019158</v>
      </c>
      <c r="G139" s="117">
        <v>2282726</v>
      </c>
      <c r="H139" s="117">
        <f t="shared" si="22"/>
        <v>4373.038314176245</v>
      </c>
      <c r="I139" s="7"/>
      <c r="J139" s="11">
        <v>0.99299999999999999</v>
      </c>
      <c r="K139" s="117">
        <v>2266</v>
      </c>
      <c r="L139" s="120">
        <f t="shared" si="23"/>
        <v>4.3409961685823752</v>
      </c>
      <c r="M139" s="122">
        <f t="shared" si="29"/>
        <v>22827.260000000002</v>
      </c>
      <c r="N139" s="116">
        <f t="shared" si="30"/>
        <v>20561.260000000002</v>
      </c>
      <c r="O139" s="123">
        <f t="shared" si="31"/>
        <v>39.389386973180081</v>
      </c>
      <c r="P139" s="5"/>
      <c r="Q139" s="5">
        <f t="shared" si="24"/>
        <v>1</v>
      </c>
      <c r="R139" s="7">
        <f t="shared" si="25"/>
        <v>522</v>
      </c>
      <c r="S139" s="5">
        <f t="shared" si="26"/>
        <v>1</v>
      </c>
      <c r="T139" s="7">
        <f t="shared" si="27"/>
        <v>522</v>
      </c>
    </row>
    <row r="140" spans="1:20">
      <c r="A140" s="23" t="s">
        <v>168</v>
      </c>
      <c r="B140" s="35" t="s">
        <v>167</v>
      </c>
      <c r="C140" s="36">
        <v>96</v>
      </c>
      <c r="D140" s="6"/>
      <c r="E140" s="113">
        <v>1387728</v>
      </c>
      <c r="F140" s="116">
        <f t="shared" si="28"/>
        <v>14455.5</v>
      </c>
      <c r="G140" s="117">
        <v>686535</v>
      </c>
      <c r="H140" s="117">
        <f t="shared" si="22"/>
        <v>7151.40625</v>
      </c>
      <c r="I140" s="98" t="s">
        <v>528</v>
      </c>
      <c r="J140" s="10"/>
      <c r="K140" s="117"/>
      <c r="L140" s="120"/>
      <c r="M140" s="122">
        <f t="shared" si="29"/>
        <v>6865.35</v>
      </c>
      <c r="N140" s="116">
        <f t="shared" si="30"/>
        <v>6865.35</v>
      </c>
      <c r="O140" s="123">
        <f t="shared" si="31"/>
        <v>71.514062500000009</v>
      </c>
      <c r="P140" s="5"/>
      <c r="Q140" s="5">
        <f t="shared" si="24"/>
        <v>1</v>
      </c>
      <c r="R140" s="7">
        <f t="shared" si="25"/>
        <v>96</v>
      </c>
      <c r="S140" s="5">
        <f t="shared" si="26"/>
        <v>0</v>
      </c>
      <c r="T140" s="7">
        <f t="shared" si="27"/>
        <v>0</v>
      </c>
    </row>
    <row r="141" spans="1:20">
      <c r="A141" s="23" t="s">
        <v>169</v>
      </c>
      <c r="B141" s="35" t="s">
        <v>167</v>
      </c>
      <c r="C141" s="36">
        <v>244</v>
      </c>
      <c r="D141" s="6"/>
      <c r="E141" s="113">
        <v>3861569</v>
      </c>
      <c r="F141" s="116">
        <f t="shared" si="28"/>
        <v>15826.102459016394</v>
      </c>
      <c r="G141" s="117">
        <v>2194815</v>
      </c>
      <c r="H141" s="117">
        <f t="shared" si="22"/>
        <v>8995.1434426229516</v>
      </c>
      <c r="I141" s="7"/>
      <c r="J141" s="10">
        <v>2</v>
      </c>
      <c r="K141" s="117">
        <v>4389</v>
      </c>
      <c r="L141" s="120">
        <f t="shared" si="23"/>
        <v>17.987704918032787</v>
      </c>
      <c r="M141" s="122">
        <f t="shared" si="29"/>
        <v>21948.15</v>
      </c>
      <c r="N141" s="116">
        <f t="shared" si="30"/>
        <v>17559.150000000001</v>
      </c>
      <c r="O141" s="123">
        <f t="shared" si="31"/>
        <v>71.963729508196721</v>
      </c>
      <c r="P141" s="5"/>
      <c r="Q141" s="5">
        <f t="shared" si="24"/>
        <v>1</v>
      </c>
      <c r="R141" s="7">
        <f t="shared" si="25"/>
        <v>244</v>
      </c>
      <c r="S141" s="5">
        <f t="shared" si="26"/>
        <v>1</v>
      </c>
      <c r="T141" s="7">
        <f t="shared" si="27"/>
        <v>244</v>
      </c>
    </row>
    <row r="142" spans="1:20">
      <c r="A142" s="23" t="s">
        <v>170</v>
      </c>
      <c r="B142" s="35" t="s">
        <v>167</v>
      </c>
      <c r="C142" s="36">
        <v>995</v>
      </c>
      <c r="D142" s="6"/>
      <c r="E142" s="113">
        <v>16830103</v>
      </c>
      <c r="F142" s="116">
        <f t="shared" si="28"/>
        <v>16914.676381909547</v>
      </c>
      <c r="G142" s="117">
        <v>8392182</v>
      </c>
      <c r="H142" s="117">
        <f t="shared" si="22"/>
        <v>8434.3537688442211</v>
      </c>
      <c r="I142" s="7"/>
      <c r="J142" s="10">
        <v>3</v>
      </c>
      <c r="K142" s="117">
        <v>25176</v>
      </c>
      <c r="L142" s="120">
        <f t="shared" si="23"/>
        <v>25.302512562814069</v>
      </c>
      <c r="M142" s="122">
        <f t="shared" si="29"/>
        <v>83921.82</v>
      </c>
      <c r="N142" s="116">
        <f t="shared" si="30"/>
        <v>58745.820000000007</v>
      </c>
      <c r="O142" s="123">
        <f t="shared" si="31"/>
        <v>59.041025125628146</v>
      </c>
      <c r="P142" s="5"/>
      <c r="Q142" s="5">
        <f t="shared" si="24"/>
        <v>1</v>
      </c>
      <c r="R142" s="7">
        <f t="shared" si="25"/>
        <v>995</v>
      </c>
      <c r="S142" s="5">
        <f t="shared" si="26"/>
        <v>1</v>
      </c>
      <c r="T142" s="7">
        <f t="shared" si="27"/>
        <v>995</v>
      </c>
    </row>
    <row r="143" spans="1:20">
      <c r="A143" s="23" t="s">
        <v>171</v>
      </c>
      <c r="B143" s="35" t="s">
        <v>167</v>
      </c>
      <c r="C143" s="36">
        <v>2696</v>
      </c>
      <c r="D143" s="6"/>
      <c r="E143" s="113">
        <v>60954865</v>
      </c>
      <c r="F143" s="116">
        <f t="shared" si="28"/>
        <v>22609.371290801188</v>
      </c>
      <c r="G143" s="117">
        <v>36097565</v>
      </c>
      <c r="H143" s="117">
        <f t="shared" si="22"/>
        <v>13389.304525222551</v>
      </c>
      <c r="I143" s="7"/>
      <c r="J143" s="10">
        <v>3</v>
      </c>
      <c r="K143" s="117">
        <v>108292</v>
      </c>
      <c r="L143" s="120">
        <f t="shared" si="23"/>
        <v>40.167655786350146</v>
      </c>
      <c r="M143" s="122">
        <f t="shared" si="29"/>
        <v>360975.65</v>
      </c>
      <c r="N143" s="116">
        <f t="shared" si="30"/>
        <v>252683.65000000002</v>
      </c>
      <c r="O143" s="123">
        <f t="shared" si="31"/>
        <v>93.725389465875381</v>
      </c>
      <c r="P143" s="5"/>
      <c r="Q143" s="5">
        <f t="shared" si="24"/>
        <v>1</v>
      </c>
      <c r="R143" s="7">
        <f t="shared" si="25"/>
        <v>2696</v>
      </c>
      <c r="S143" s="5">
        <f t="shared" si="26"/>
        <v>1</v>
      </c>
      <c r="T143" s="7">
        <f t="shared" si="27"/>
        <v>2696</v>
      </c>
    </row>
    <row r="144" spans="1:20">
      <c r="A144" s="23" t="s">
        <v>172</v>
      </c>
      <c r="B144" s="35" t="s">
        <v>167</v>
      </c>
      <c r="C144" s="36">
        <v>608</v>
      </c>
      <c r="D144" s="6"/>
      <c r="E144" s="113">
        <v>8160199</v>
      </c>
      <c r="F144" s="116">
        <f t="shared" si="28"/>
        <v>13421.379934210527</v>
      </c>
      <c r="G144" s="117">
        <v>2625595</v>
      </c>
      <c r="H144" s="117">
        <f t="shared" si="22"/>
        <v>4318.4128289473683</v>
      </c>
      <c r="I144" s="98" t="s">
        <v>528</v>
      </c>
      <c r="J144" s="10"/>
      <c r="K144" s="117"/>
      <c r="L144" s="120"/>
      <c r="M144" s="122">
        <f t="shared" si="29"/>
        <v>26255.95</v>
      </c>
      <c r="N144" s="116">
        <f t="shared" si="30"/>
        <v>26255.95</v>
      </c>
      <c r="O144" s="123">
        <f t="shared" si="31"/>
        <v>43.184128289473684</v>
      </c>
      <c r="P144" s="5"/>
      <c r="Q144" s="5">
        <f t="shared" si="24"/>
        <v>1</v>
      </c>
      <c r="R144" s="7">
        <f t="shared" si="25"/>
        <v>608</v>
      </c>
      <c r="S144" s="5">
        <f t="shared" si="26"/>
        <v>0</v>
      </c>
      <c r="T144" s="7">
        <f t="shared" si="27"/>
        <v>0</v>
      </c>
    </row>
    <row r="145" spans="1:20">
      <c r="A145" s="23" t="s">
        <v>173</v>
      </c>
      <c r="B145" s="35" t="s">
        <v>167</v>
      </c>
      <c r="C145" s="36">
        <v>502</v>
      </c>
      <c r="D145" s="6"/>
      <c r="E145" s="113">
        <v>12309266</v>
      </c>
      <c r="F145" s="116">
        <f t="shared" si="28"/>
        <v>24520.450199203187</v>
      </c>
      <c r="G145" s="117">
        <v>5742916</v>
      </c>
      <c r="H145" s="117">
        <f t="shared" si="22"/>
        <v>11440.07171314741</v>
      </c>
      <c r="I145" s="7"/>
      <c r="J145" s="10">
        <v>1</v>
      </c>
      <c r="K145" s="117">
        <v>5742</v>
      </c>
      <c r="L145" s="120">
        <f t="shared" si="23"/>
        <v>11.438247011952191</v>
      </c>
      <c r="M145" s="122">
        <f t="shared" si="29"/>
        <v>57429.16</v>
      </c>
      <c r="N145" s="116">
        <f t="shared" si="30"/>
        <v>51687.16</v>
      </c>
      <c r="O145" s="123">
        <f t="shared" si="31"/>
        <v>102.96247011952192</v>
      </c>
      <c r="P145" s="5"/>
      <c r="Q145" s="5">
        <f t="shared" si="24"/>
        <v>1</v>
      </c>
      <c r="R145" s="7">
        <f t="shared" si="25"/>
        <v>502</v>
      </c>
      <c r="S145" s="5">
        <f t="shared" si="26"/>
        <v>1</v>
      </c>
      <c r="T145" s="7">
        <f t="shared" si="27"/>
        <v>502</v>
      </c>
    </row>
    <row r="146" spans="1:20">
      <c r="A146" s="23" t="s">
        <v>174</v>
      </c>
      <c r="B146" s="35" t="s">
        <v>167</v>
      </c>
      <c r="C146" s="36">
        <v>308</v>
      </c>
      <c r="D146" s="6"/>
      <c r="E146" s="113">
        <v>3717676</v>
      </c>
      <c r="F146" s="116">
        <f t="shared" si="28"/>
        <v>12070.376623376624</v>
      </c>
      <c r="G146" s="117">
        <v>1506006</v>
      </c>
      <c r="H146" s="117">
        <f t="shared" si="22"/>
        <v>4889.6298701298701</v>
      </c>
      <c r="I146" s="7"/>
      <c r="J146" s="12">
        <v>4</v>
      </c>
      <c r="K146" s="117">
        <v>6024</v>
      </c>
      <c r="L146" s="120">
        <f t="shared" si="23"/>
        <v>19.558441558441558</v>
      </c>
      <c r="M146" s="122">
        <f t="shared" si="29"/>
        <v>15060.06</v>
      </c>
      <c r="N146" s="116">
        <f t="shared" si="30"/>
        <v>9036.06</v>
      </c>
      <c r="O146" s="123">
        <f t="shared" si="31"/>
        <v>29.337857142857143</v>
      </c>
      <c r="P146" s="5"/>
      <c r="Q146" s="5">
        <f t="shared" si="24"/>
        <v>1</v>
      </c>
      <c r="R146" s="7">
        <f t="shared" si="25"/>
        <v>308</v>
      </c>
      <c r="S146" s="5">
        <f t="shared" si="26"/>
        <v>1</v>
      </c>
      <c r="T146" s="7">
        <f t="shared" si="27"/>
        <v>308</v>
      </c>
    </row>
    <row r="147" spans="1:20">
      <c r="A147" s="23" t="s">
        <v>175</v>
      </c>
      <c r="B147" s="35" t="s">
        <v>167</v>
      </c>
      <c r="C147" s="36">
        <v>2136</v>
      </c>
      <c r="D147" s="6"/>
      <c r="E147" s="113">
        <v>32030756</v>
      </c>
      <c r="F147" s="116">
        <f t="shared" si="28"/>
        <v>14995.672284644195</v>
      </c>
      <c r="G147" s="117">
        <v>5981022</v>
      </c>
      <c r="H147" s="117">
        <f t="shared" si="22"/>
        <v>2800.1039325842698</v>
      </c>
      <c r="I147" s="98" t="s">
        <v>528</v>
      </c>
      <c r="J147" s="10"/>
      <c r="K147" s="117"/>
      <c r="L147" s="120"/>
      <c r="M147" s="122">
        <f t="shared" si="29"/>
        <v>59810.22</v>
      </c>
      <c r="N147" s="116">
        <f t="shared" si="30"/>
        <v>59810.22</v>
      </c>
      <c r="O147" s="123">
        <f t="shared" si="31"/>
        <v>28.001039325842697</v>
      </c>
      <c r="P147" s="5"/>
      <c r="Q147" s="5">
        <f t="shared" si="24"/>
        <v>1</v>
      </c>
      <c r="R147" s="7">
        <f t="shared" si="25"/>
        <v>2136</v>
      </c>
      <c r="S147" s="5">
        <f t="shared" si="26"/>
        <v>0</v>
      </c>
      <c r="T147" s="7">
        <f t="shared" si="27"/>
        <v>0</v>
      </c>
    </row>
    <row r="148" spans="1:20">
      <c r="A148" s="23" t="s">
        <v>176</v>
      </c>
      <c r="B148" s="35" t="s">
        <v>167</v>
      </c>
      <c r="C148" s="36">
        <v>6226</v>
      </c>
      <c r="D148" s="6"/>
      <c r="E148" s="113">
        <v>188192597</v>
      </c>
      <c r="F148" s="116">
        <f t="shared" si="28"/>
        <v>30226.886765178286</v>
      </c>
      <c r="G148" s="117">
        <v>99878304</v>
      </c>
      <c r="H148" s="117">
        <f t="shared" si="22"/>
        <v>16042.130420815933</v>
      </c>
      <c r="I148" s="9"/>
      <c r="J148" s="10">
        <v>2.11</v>
      </c>
      <c r="K148" s="117">
        <v>210743</v>
      </c>
      <c r="L148" s="120">
        <f t="shared" si="23"/>
        <v>33.848859620944424</v>
      </c>
      <c r="M148" s="122">
        <f t="shared" si="29"/>
        <v>998783.04</v>
      </c>
      <c r="N148" s="116">
        <f t="shared" si="30"/>
        <v>788040.04</v>
      </c>
      <c r="O148" s="123">
        <f t="shared" si="31"/>
        <v>126.57244458721492</v>
      </c>
      <c r="P148" s="5"/>
      <c r="Q148" s="5">
        <f t="shared" si="24"/>
        <v>1</v>
      </c>
      <c r="R148" s="7">
        <f t="shared" si="25"/>
        <v>6226</v>
      </c>
      <c r="S148" s="5">
        <f t="shared" si="26"/>
        <v>1</v>
      </c>
      <c r="T148" s="7">
        <f t="shared" si="27"/>
        <v>6226</v>
      </c>
    </row>
    <row r="149" spans="1:20">
      <c r="A149" s="23" t="s">
        <v>177</v>
      </c>
      <c r="B149" s="35" t="s">
        <v>167</v>
      </c>
      <c r="C149" s="36">
        <v>2044</v>
      </c>
      <c r="D149" s="6"/>
      <c r="E149" s="113">
        <v>30481207</v>
      </c>
      <c r="F149" s="116">
        <f t="shared" si="28"/>
        <v>14912.527886497064</v>
      </c>
      <c r="G149" s="117">
        <v>13445216</v>
      </c>
      <c r="H149" s="117">
        <f t="shared" si="22"/>
        <v>6577.8943248532287</v>
      </c>
      <c r="I149" s="7"/>
      <c r="J149" s="10">
        <v>0.84399999999999997</v>
      </c>
      <c r="K149" s="117">
        <v>11347</v>
      </c>
      <c r="L149" s="120">
        <f t="shared" si="23"/>
        <v>5.5513698630136989</v>
      </c>
      <c r="M149" s="122">
        <f t="shared" si="29"/>
        <v>134452.16</v>
      </c>
      <c r="N149" s="116">
        <f t="shared" si="30"/>
        <v>123105.16</v>
      </c>
      <c r="O149" s="123">
        <f t="shared" si="31"/>
        <v>60.227573385518596</v>
      </c>
      <c r="P149" s="5"/>
      <c r="Q149" s="5">
        <f t="shared" si="24"/>
        <v>1</v>
      </c>
      <c r="R149" s="7">
        <f t="shared" si="25"/>
        <v>2044</v>
      </c>
      <c r="S149" s="5">
        <f t="shared" si="26"/>
        <v>1</v>
      </c>
      <c r="T149" s="7">
        <f t="shared" si="27"/>
        <v>2044</v>
      </c>
    </row>
    <row r="150" spans="1:20">
      <c r="A150" s="23" t="s">
        <v>178</v>
      </c>
      <c r="B150" s="35" t="s">
        <v>179</v>
      </c>
      <c r="C150" s="36">
        <v>2896</v>
      </c>
      <c r="D150" s="6"/>
      <c r="E150" s="113">
        <v>71352595</v>
      </c>
      <c r="F150" s="116">
        <f t="shared" si="28"/>
        <v>24638.327002762431</v>
      </c>
      <c r="G150" s="117">
        <v>42916613</v>
      </c>
      <c r="H150" s="117">
        <f t="shared" si="22"/>
        <v>14819.272444751381</v>
      </c>
      <c r="I150" s="7"/>
      <c r="J150" s="11">
        <v>9.5770999999999997</v>
      </c>
      <c r="K150" s="117">
        <v>411016</v>
      </c>
      <c r="L150" s="120">
        <f t="shared" si="23"/>
        <v>141.92541436464089</v>
      </c>
      <c r="M150" s="122">
        <f t="shared" si="29"/>
        <v>429166.13</v>
      </c>
      <c r="N150" s="116">
        <f t="shared" si="30"/>
        <v>18150.130000000005</v>
      </c>
      <c r="O150" s="123">
        <f t="shared" si="31"/>
        <v>6.26731008287293</v>
      </c>
      <c r="P150" s="5"/>
      <c r="Q150" s="5">
        <f t="shared" si="24"/>
        <v>1</v>
      </c>
      <c r="R150" s="7">
        <f t="shared" si="25"/>
        <v>2896</v>
      </c>
      <c r="S150" s="5">
        <f t="shared" si="26"/>
        <v>1</v>
      </c>
      <c r="T150" s="7">
        <f t="shared" si="27"/>
        <v>2896</v>
      </c>
    </row>
    <row r="151" spans="1:20">
      <c r="A151" s="23" t="s">
        <v>180</v>
      </c>
      <c r="B151" s="35" t="s">
        <v>181</v>
      </c>
      <c r="C151" s="36">
        <v>936</v>
      </c>
      <c r="D151" s="6"/>
      <c r="E151" s="113">
        <v>16270185</v>
      </c>
      <c r="F151" s="116">
        <f t="shared" si="28"/>
        <v>17382.676282051281</v>
      </c>
      <c r="G151" s="117">
        <v>7895703</v>
      </c>
      <c r="H151" s="117">
        <f t="shared" si="22"/>
        <v>8435.5801282051289</v>
      </c>
      <c r="I151" s="9"/>
      <c r="J151" s="10">
        <v>2</v>
      </c>
      <c r="K151" s="117">
        <v>15791</v>
      </c>
      <c r="L151" s="120">
        <f t="shared" si="23"/>
        <v>16.870726495726494</v>
      </c>
      <c r="M151" s="122">
        <f t="shared" si="29"/>
        <v>78957.03</v>
      </c>
      <c r="N151" s="116">
        <f t="shared" si="30"/>
        <v>63166.03</v>
      </c>
      <c r="O151" s="123">
        <f t="shared" si="31"/>
        <v>67.485074786324788</v>
      </c>
      <c r="P151" s="5"/>
      <c r="Q151" s="5">
        <f t="shared" si="24"/>
        <v>1</v>
      </c>
      <c r="R151" s="7">
        <f t="shared" si="25"/>
        <v>936</v>
      </c>
      <c r="S151" s="5">
        <f t="shared" si="26"/>
        <v>1</v>
      </c>
      <c r="T151" s="7">
        <f t="shared" si="27"/>
        <v>936</v>
      </c>
    </row>
    <row r="152" spans="1:20">
      <c r="A152" s="23" t="s">
        <v>182</v>
      </c>
      <c r="B152" s="35" t="s">
        <v>183</v>
      </c>
      <c r="C152" s="36">
        <v>1162</v>
      </c>
      <c r="D152" s="6"/>
      <c r="E152" s="113">
        <v>22468780</v>
      </c>
      <c r="F152" s="116">
        <f t="shared" si="28"/>
        <v>19336.29948364888</v>
      </c>
      <c r="G152" s="117">
        <v>13858910</v>
      </c>
      <c r="H152" s="117">
        <f t="shared" si="22"/>
        <v>11926.772805507746</v>
      </c>
      <c r="I152" s="7"/>
      <c r="J152" s="10">
        <v>1.5</v>
      </c>
      <c r="K152" s="117">
        <v>20788</v>
      </c>
      <c r="L152" s="120">
        <f t="shared" si="23"/>
        <v>17.889845094664373</v>
      </c>
      <c r="M152" s="122">
        <f t="shared" si="29"/>
        <v>138589.1</v>
      </c>
      <c r="N152" s="116">
        <f t="shared" si="30"/>
        <v>117801.1</v>
      </c>
      <c r="O152" s="123">
        <f t="shared" si="31"/>
        <v>101.37788296041309</v>
      </c>
      <c r="P152" s="5"/>
      <c r="Q152" s="5">
        <f t="shared" si="24"/>
        <v>1</v>
      </c>
      <c r="R152" s="7">
        <f t="shared" si="25"/>
        <v>1162</v>
      </c>
      <c r="S152" s="5">
        <f t="shared" si="26"/>
        <v>1</v>
      </c>
      <c r="T152" s="7">
        <f t="shared" si="27"/>
        <v>1162</v>
      </c>
    </row>
    <row r="153" spans="1:20">
      <c r="A153" s="23" t="s">
        <v>184</v>
      </c>
      <c r="B153" s="35" t="s">
        <v>183</v>
      </c>
      <c r="C153" s="36">
        <v>7233</v>
      </c>
      <c r="D153" s="6"/>
      <c r="E153" s="113">
        <v>266822931</v>
      </c>
      <c r="F153" s="116">
        <f t="shared" si="28"/>
        <v>36889.662795520533</v>
      </c>
      <c r="G153" s="117">
        <v>205855141</v>
      </c>
      <c r="H153" s="117">
        <f t="shared" si="22"/>
        <v>28460.547628922992</v>
      </c>
      <c r="I153" s="7"/>
      <c r="J153" s="11">
        <v>2.9790000000000001</v>
      </c>
      <c r="K153" s="117">
        <v>613242</v>
      </c>
      <c r="L153" s="120">
        <f t="shared" si="23"/>
        <v>84.78390709249274</v>
      </c>
      <c r="M153" s="122">
        <f t="shared" si="29"/>
        <v>2058551.4100000001</v>
      </c>
      <c r="N153" s="116">
        <f t="shared" si="30"/>
        <v>1445309.4100000001</v>
      </c>
      <c r="O153" s="123">
        <f t="shared" si="31"/>
        <v>199.82156919673719</v>
      </c>
      <c r="P153" s="5"/>
      <c r="Q153" s="5">
        <f t="shared" si="24"/>
        <v>1</v>
      </c>
      <c r="R153" s="7">
        <f t="shared" si="25"/>
        <v>7233</v>
      </c>
      <c r="S153" s="5">
        <f t="shared" si="26"/>
        <v>1</v>
      </c>
      <c r="T153" s="7">
        <f t="shared" si="27"/>
        <v>7233</v>
      </c>
    </row>
    <row r="154" spans="1:20">
      <c r="A154" s="23" t="s">
        <v>185</v>
      </c>
      <c r="B154" s="35" t="s">
        <v>183</v>
      </c>
      <c r="C154" s="36">
        <v>13971</v>
      </c>
      <c r="D154" s="6"/>
      <c r="E154" s="113">
        <v>480850618</v>
      </c>
      <c r="F154" s="116">
        <f t="shared" si="28"/>
        <v>34417.766659508983</v>
      </c>
      <c r="G154" s="117">
        <v>341076214</v>
      </c>
      <c r="H154" s="117">
        <f t="shared" si="22"/>
        <v>24413.156824851478</v>
      </c>
      <c r="I154" s="7"/>
      <c r="J154" s="10">
        <v>5.8170000000000002</v>
      </c>
      <c r="K154" s="117">
        <v>1984040</v>
      </c>
      <c r="L154" s="120">
        <f t="shared" si="23"/>
        <v>142.01130914036219</v>
      </c>
      <c r="M154" s="122">
        <f t="shared" si="29"/>
        <v>3410762.14</v>
      </c>
      <c r="N154" s="116">
        <f t="shared" si="30"/>
        <v>1426722.1400000001</v>
      </c>
      <c r="O154" s="123">
        <f t="shared" si="31"/>
        <v>102.12025910815261</v>
      </c>
      <c r="P154" s="5"/>
      <c r="Q154" s="5">
        <f t="shared" si="24"/>
        <v>1</v>
      </c>
      <c r="R154" s="7">
        <f t="shared" si="25"/>
        <v>13971</v>
      </c>
      <c r="S154" s="5">
        <f t="shared" si="26"/>
        <v>1</v>
      </c>
      <c r="T154" s="7">
        <f t="shared" si="27"/>
        <v>13971</v>
      </c>
    </row>
    <row r="155" spans="1:20">
      <c r="A155" s="23" t="s">
        <v>186</v>
      </c>
      <c r="B155" s="35" t="s">
        <v>183</v>
      </c>
      <c r="C155" s="36">
        <v>2935</v>
      </c>
      <c r="D155" s="6"/>
      <c r="E155" s="113">
        <v>78280746</v>
      </c>
      <c r="F155" s="116">
        <f t="shared" si="28"/>
        <v>26671.463713798978</v>
      </c>
      <c r="G155" s="117">
        <v>52368734</v>
      </c>
      <c r="H155" s="117">
        <f t="shared" ref="H155:H218" si="32">(G155/C155)</f>
        <v>17842.839522998296</v>
      </c>
      <c r="I155" s="7"/>
      <c r="J155" s="10">
        <v>3.39</v>
      </c>
      <c r="K155" s="117">
        <v>177530</v>
      </c>
      <c r="L155" s="120">
        <f t="shared" ref="L155:L218" si="33">(K155/C155)</f>
        <v>60.487223168654175</v>
      </c>
      <c r="M155" s="122">
        <f t="shared" si="29"/>
        <v>523687.34</v>
      </c>
      <c r="N155" s="116">
        <f t="shared" si="30"/>
        <v>346157.34</v>
      </c>
      <c r="O155" s="123">
        <f t="shared" si="31"/>
        <v>117.9411720613288</v>
      </c>
      <c r="P155" s="5"/>
      <c r="Q155" s="5">
        <f t="shared" si="24"/>
        <v>1</v>
      </c>
      <c r="R155" s="7">
        <f t="shared" si="25"/>
        <v>2935</v>
      </c>
      <c r="S155" s="5">
        <f t="shared" si="26"/>
        <v>1</v>
      </c>
      <c r="T155" s="7">
        <f t="shared" si="27"/>
        <v>2935</v>
      </c>
    </row>
    <row r="156" spans="1:20">
      <c r="A156" s="23" t="s">
        <v>187</v>
      </c>
      <c r="B156" s="35" t="s">
        <v>183</v>
      </c>
      <c r="C156" s="36">
        <v>2391</v>
      </c>
      <c r="D156" s="6"/>
      <c r="E156" s="113">
        <v>59190073</v>
      </c>
      <c r="F156" s="116">
        <f t="shared" si="28"/>
        <v>24755.363028021748</v>
      </c>
      <c r="G156" s="117">
        <v>42031439</v>
      </c>
      <c r="H156" s="117">
        <f t="shared" si="32"/>
        <v>17579.020911752406</v>
      </c>
      <c r="I156" s="7"/>
      <c r="J156" s="10">
        <v>6</v>
      </c>
      <c r="K156" s="117">
        <v>252188</v>
      </c>
      <c r="L156" s="120">
        <f t="shared" si="33"/>
        <v>105.47386030949393</v>
      </c>
      <c r="M156" s="122">
        <f t="shared" si="29"/>
        <v>420314.39</v>
      </c>
      <c r="N156" s="116">
        <f t="shared" si="30"/>
        <v>168126.39</v>
      </c>
      <c r="O156" s="123">
        <f t="shared" si="31"/>
        <v>70.316348808030114</v>
      </c>
      <c r="P156" s="5"/>
      <c r="Q156" s="5">
        <f t="shared" si="24"/>
        <v>1</v>
      </c>
      <c r="R156" s="7">
        <f t="shared" si="25"/>
        <v>2391</v>
      </c>
      <c r="S156" s="5">
        <f t="shared" si="26"/>
        <v>1</v>
      </c>
      <c r="T156" s="7">
        <f t="shared" si="27"/>
        <v>2391</v>
      </c>
    </row>
    <row r="157" spans="1:20">
      <c r="A157" s="23" t="s">
        <v>188</v>
      </c>
      <c r="B157" s="35" t="s">
        <v>183</v>
      </c>
      <c r="C157" s="36">
        <v>787</v>
      </c>
      <c r="D157" s="6"/>
      <c r="E157" s="113">
        <v>44472840</v>
      </c>
      <c r="F157" s="116">
        <f t="shared" si="28"/>
        <v>56509.326556543834</v>
      </c>
      <c r="G157" s="117">
        <v>33622942</v>
      </c>
      <c r="H157" s="117">
        <f t="shared" si="32"/>
        <v>42722.925031766201</v>
      </c>
      <c r="I157" s="7"/>
      <c r="J157" s="10">
        <v>5.49</v>
      </c>
      <c r="K157" s="117">
        <v>184589</v>
      </c>
      <c r="L157" s="120">
        <f t="shared" si="33"/>
        <v>234.54764930114359</v>
      </c>
      <c r="M157" s="122">
        <f t="shared" si="29"/>
        <v>336229.42</v>
      </c>
      <c r="N157" s="116">
        <f t="shared" si="30"/>
        <v>151640.41999999998</v>
      </c>
      <c r="O157" s="123">
        <f t="shared" si="31"/>
        <v>192.68160101651841</v>
      </c>
      <c r="P157" s="5"/>
      <c r="Q157" s="5">
        <f t="shared" si="24"/>
        <v>1</v>
      </c>
      <c r="R157" s="7">
        <f t="shared" si="25"/>
        <v>787</v>
      </c>
      <c r="S157" s="5">
        <f t="shared" si="26"/>
        <v>1</v>
      </c>
      <c r="T157" s="7">
        <f t="shared" si="27"/>
        <v>787</v>
      </c>
    </row>
    <row r="158" spans="1:20">
      <c r="A158" s="23" t="s">
        <v>189</v>
      </c>
      <c r="B158" s="35" t="s">
        <v>183</v>
      </c>
      <c r="C158" s="36">
        <v>12045</v>
      </c>
      <c r="D158" s="6"/>
      <c r="E158" s="113">
        <v>429117232</v>
      </c>
      <c r="F158" s="116">
        <f t="shared" si="28"/>
        <v>35626.171191365713</v>
      </c>
      <c r="G158" s="117">
        <v>301265154</v>
      </c>
      <c r="H158" s="117">
        <f t="shared" si="32"/>
        <v>25011.635865504359</v>
      </c>
      <c r="I158" s="7"/>
      <c r="J158" s="10">
        <v>2.72</v>
      </c>
      <c r="K158" s="117">
        <v>819441</v>
      </c>
      <c r="L158" s="120">
        <f t="shared" si="33"/>
        <v>68.03163138231632</v>
      </c>
      <c r="M158" s="122">
        <f t="shared" si="29"/>
        <v>3012651.54</v>
      </c>
      <c r="N158" s="116">
        <f t="shared" si="30"/>
        <v>2193210.54</v>
      </c>
      <c r="O158" s="123">
        <f t="shared" si="31"/>
        <v>182.08472727272726</v>
      </c>
      <c r="P158" s="5"/>
      <c r="Q158" s="5">
        <f t="shared" si="24"/>
        <v>1</v>
      </c>
      <c r="R158" s="7">
        <f t="shared" si="25"/>
        <v>12045</v>
      </c>
      <c r="S158" s="5">
        <f t="shared" si="26"/>
        <v>1</v>
      </c>
      <c r="T158" s="7">
        <f t="shared" si="27"/>
        <v>12045</v>
      </c>
    </row>
    <row r="159" spans="1:20">
      <c r="A159" s="23" t="s">
        <v>190</v>
      </c>
      <c r="B159" s="35" t="s">
        <v>183</v>
      </c>
      <c r="C159" s="36">
        <v>15014</v>
      </c>
      <c r="D159" s="6"/>
      <c r="E159" s="113">
        <v>741313707</v>
      </c>
      <c r="F159" s="116">
        <f t="shared" si="28"/>
        <v>49374.830624750233</v>
      </c>
      <c r="G159" s="117">
        <v>538375343</v>
      </c>
      <c r="H159" s="117">
        <f t="shared" si="32"/>
        <v>35858.22185959771</v>
      </c>
      <c r="I159" s="7"/>
      <c r="J159" s="10">
        <v>4.5</v>
      </c>
      <c r="K159" s="117">
        <v>2422689</v>
      </c>
      <c r="L159" s="120">
        <f t="shared" si="33"/>
        <v>161.36199547089385</v>
      </c>
      <c r="M159" s="122">
        <f t="shared" si="29"/>
        <v>5383753.4299999997</v>
      </c>
      <c r="N159" s="116">
        <f t="shared" si="30"/>
        <v>2961064.4299999997</v>
      </c>
      <c r="O159" s="123">
        <f t="shared" si="31"/>
        <v>197.22022312508324</v>
      </c>
      <c r="P159" s="5"/>
      <c r="Q159" s="5">
        <f t="shared" si="24"/>
        <v>1</v>
      </c>
      <c r="R159" s="7">
        <f t="shared" si="25"/>
        <v>15014</v>
      </c>
      <c r="S159" s="5">
        <f t="shared" si="26"/>
        <v>1</v>
      </c>
      <c r="T159" s="7">
        <f t="shared" si="27"/>
        <v>15014</v>
      </c>
    </row>
    <row r="160" spans="1:20">
      <c r="A160" s="23" t="s">
        <v>191</v>
      </c>
      <c r="B160" s="35" t="s">
        <v>183</v>
      </c>
      <c r="C160" s="36">
        <v>2297</v>
      </c>
      <c r="D160" s="6"/>
      <c r="E160" s="113">
        <v>37519838</v>
      </c>
      <c r="F160" s="116">
        <f t="shared" si="28"/>
        <v>16334.278624292556</v>
      </c>
      <c r="G160" s="117">
        <v>23927800</v>
      </c>
      <c r="H160" s="117">
        <f t="shared" si="32"/>
        <v>10416.978667827601</v>
      </c>
      <c r="I160" s="7"/>
      <c r="J160" s="10">
        <v>5.3520000000000003</v>
      </c>
      <c r="K160" s="117">
        <v>128061</v>
      </c>
      <c r="L160" s="120">
        <f t="shared" si="33"/>
        <v>55.751414888985636</v>
      </c>
      <c r="M160" s="122">
        <f t="shared" si="29"/>
        <v>239278</v>
      </c>
      <c r="N160" s="116">
        <f t="shared" si="30"/>
        <v>111217</v>
      </c>
      <c r="O160" s="123">
        <f t="shared" si="31"/>
        <v>48.418371789290376</v>
      </c>
      <c r="P160" s="5"/>
      <c r="Q160" s="5">
        <f t="shared" si="24"/>
        <v>1</v>
      </c>
      <c r="R160" s="7">
        <f t="shared" si="25"/>
        <v>2297</v>
      </c>
      <c r="S160" s="5">
        <f t="shared" si="26"/>
        <v>1</v>
      </c>
      <c r="T160" s="7">
        <f t="shared" si="27"/>
        <v>2297</v>
      </c>
    </row>
    <row r="161" spans="1:20">
      <c r="A161" s="23" t="s">
        <v>192</v>
      </c>
      <c r="B161" s="35" t="s">
        <v>183</v>
      </c>
      <c r="C161" s="36">
        <v>2182</v>
      </c>
      <c r="D161" s="6"/>
      <c r="E161" s="113">
        <v>61884918</v>
      </c>
      <c r="F161" s="116">
        <f t="shared" si="28"/>
        <v>28361.557286892759</v>
      </c>
      <c r="G161" s="117">
        <v>46395456</v>
      </c>
      <c r="H161" s="117">
        <f t="shared" si="32"/>
        <v>21262.812098991752</v>
      </c>
      <c r="I161" s="7"/>
      <c r="J161" s="10">
        <v>4.1900000000000004</v>
      </c>
      <c r="K161" s="117">
        <v>194396</v>
      </c>
      <c r="L161" s="120">
        <f t="shared" si="33"/>
        <v>89.09074243813015</v>
      </c>
      <c r="M161" s="122">
        <f t="shared" si="29"/>
        <v>463954.56</v>
      </c>
      <c r="N161" s="116">
        <f t="shared" si="30"/>
        <v>269558.56</v>
      </c>
      <c r="O161" s="123">
        <f t="shared" si="31"/>
        <v>123.53737855178736</v>
      </c>
      <c r="P161" s="5"/>
      <c r="Q161" s="5">
        <f t="shared" si="24"/>
        <v>1</v>
      </c>
      <c r="R161" s="7">
        <f t="shared" si="25"/>
        <v>2182</v>
      </c>
      <c r="S161" s="5">
        <f t="shared" si="26"/>
        <v>1</v>
      </c>
      <c r="T161" s="7">
        <f t="shared" si="27"/>
        <v>2182</v>
      </c>
    </row>
    <row r="162" spans="1:20">
      <c r="A162" s="23" t="s">
        <v>193</v>
      </c>
      <c r="B162" s="35" t="s">
        <v>183</v>
      </c>
      <c r="C162" s="36">
        <v>1097</v>
      </c>
      <c r="D162" s="6"/>
      <c r="E162" s="113">
        <v>29190491</v>
      </c>
      <c r="F162" s="116">
        <f t="shared" si="28"/>
        <v>26609.381039197811</v>
      </c>
      <c r="G162" s="117">
        <v>18641395</v>
      </c>
      <c r="H162" s="117">
        <f t="shared" si="32"/>
        <v>16993.06745670009</v>
      </c>
      <c r="I162" s="7"/>
      <c r="J162" s="10">
        <v>2.99</v>
      </c>
      <c r="K162" s="117">
        <v>55737</v>
      </c>
      <c r="L162" s="120">
        <f t="shared" si="33"/>
        <v>50.808568824065631</v>
      </c>
      <c r="M162" s="122">
        <f t="shared" si="29"/>
        <v>186413.95</v>
      </c>
      <c r="N162" s="116">
        <f t="shared" si="30"/>
        <v>130676.95000000001</v>
      </c>
      <c r="O162" s="123">
        <f t="shared" si="31"/>
        <v>119.12210574293529</v>
      </c>
      <c r="P162" s="5"/>
      <c r="Q162" s="5">
        <f t="shared" si="24"/>
        <v>1</v>
      </c>
      <c r="R162" s="7">
        <f t="shared" si="25"/>
        <v>1097</v>
      </c>
      <c r="S162" s="5">
        <f t="shared" si="26"/>
        <v>1</v>
      </c>
      <c r="T162" s="7">
        <f t="shared" si="27"/>
        <v>1097</v>
      </c>
    </row>
    <row r="163" spans="1:20">
      <c r="A163" s="23" t="s">
        <v>194</v>
      </c>
      <c r="B163" s="35" t="s">
        <v>183</v>
      </c>
      <c r="C163" s="36">
        <v>8251</v>
      </c>
      <c r="D163" s="6"/>
      <c r="E163" s="113">
        <v>396238652</v>
      </c>
      <c r="F163" s="116">
        <f t="shared" si="28"/>
        <v>48023.106532541511</v>
      </c>
      <c r="G163" s="117">
        <v>303138353</v>
      </c>
      <c r="H163" s="117">
        <f t="shared" si="32"/>
        <v>36739.589504302508</v>
      </c>
      <c r="I163" s="7"/>
      <c r="J163" s="10">
        <v>6.181</v>
      </c>
      <c r="K163" s="117">
        <v>1873698</v>
      </c>
      <c r="L163" s="120">
        <f t="shared" si="33"/>
        <v>227.08738334747304</v>
      </c>
      <c r="M163" s="122">
        <f t="shared" si="29"/>
        <v>3031383.5300000003</v>
      </c>
      <c r="N163" s="116">
        <f t="shared" si="30"/>
        <v>1157685.5300000003</v>
      </c>
      <c r="O163" s="123">
        <f t="shared" si="31"/>
        <v>140.30851169555208</v>
      </c>
      <c r="P163" s="5"/>
      <c r="Q163" s="5">
        <f t="shared" si="24"/>
        <v>1</v>
      </c>
      <c r="R163" s="7">
        <f t="shared" si="25"/>
        <v>8251</v>
      </c>
      <c r="S163" s="5">
        <f t="shared" si="26"/>
        <v>1</v>
      </c>
      <c r="T163" s="7">
        <f t="shared" si="27"/>
        <v>8251</v>
      </c>
    </row>
    <row r="164" spans="1:20">
      <c r="A164" s="23" t="s">
        <v>195</v>
      </c>
      <c r="B164" s="35" t="s">
        <v>183</v>
      </c>
      <c r="C164" s="36">
        <v>8078</v>
      </c>
      <c r="D164" s="6"/>
      <c r="E164" s="113">
        <v>374115187</v>
      </c>
      <c r="F164" s="116">
        <f t="shared" si="28"/>
        <v>46312.848105966827</v>
      </c>
      <c r="G164" s="117">
        <v>204348252</v>
      </c>
      <c r="H164" s="117">
        <f t="shared" si="32"/>
        <v>25296.886853181481</v>
      </c>
      <c r="I164" s="7"/>
      <c r="J164" s="10">
        <v>4.42</v>
      </c>
      <c r="K164" s="117">
        <v>903219</v>
      </c>
      <c r="L164" s="120">
        <f t="shared" si="33"/>
        <v>111.81220599158208</v>
      </c>
      <c r="M164" s="122">
        <f t="shared" si="29"/>
        <v>2043482.52</v>
      </c>
      <c r="N164" s="116">
        <f t="shared" si="30"/>
        <v>1140263.52</v>
      </c>
      <c r="O164" s="123">
        <f t="shared" si="31"/>
        <v>141.15666254023273</v>
      </c>
      <c r="P164" s="5"/>
      <c r="Q164" s="5">
        <f t="shared" si="24"/>
        <v>1</v>
      </c>
      <c r="R164" s="7">
        <f t="shared" si="25"/>
        <v>8078</v>
      </c>
      <c r="S164" s="5">
        <f t="shared" si="26"/>
        <v>1</v>
      </c>
      <c r="T164" s="7">
        <f t="shared" si="27"/>
        <v>8078</v>
      </c>
    </row>
    <row r="165" spans="1:20">
      <c r="A165" s="23" t="s">
        <v>196</v>
      </c>
      <c r="B165" s="35" t="s">
        <v>183</v>
      </c>
      <c r="C165" s="36">
        <v>2406</v>
      </c>
      <c r="D165" s="6"/>
      <c r="E165" s="113">
        <v>72704301</v>
      </c>
      <c r="F165" s="116">
        <f t="shared" si="28"/>
        <v>30217.913965087282</v>
      </c>
      <c r="G165" s="117">
        <v>51559015</v>
      </c>
      <c r="H165" s="117">
        <f t="shared" si="32"/>
        <v>21429.349542809643</v>
      </c>
      <c r="I165" s="7"/>
      <c r="J165" s="10">
        <v>5.5140000000000002</v>
      </c>
      <c r="K165" s="117">
        <v>284296</v>
      </c>
      <c r="L165" s="120">
        <f t="shared" si="33"/>
        <v>118.16126350789692</v>
      </c>
      <c r="M165" s="122">
        <f t="shared" si="29"/>
        <v>515590.15</v>
      </c>
      <c r="N165" s="116">
        <f t="shared" si="30"/>
        <v>231294.15000000002</v>
      </c>
      <c r="O165" s="123">
        <f t="shared" si="31"/>
        <v>96.132231920199516</v>
      </c>
      <c r="P165" s="5"/>
      <c r="Q165" s="5">
        <f t="shared" si="24"/>
        <v>1</v>
      </c>
      <c r="R165" s="7">
        <f t="shared" si="25"/>
        <v>2406</v>
      </c>
      <c r="S165" s="5">
        <f t="shared" si="26"/>
        <v>1</v>
      </c>
      <c r="T165" s="7">
        <f t="shared" si="27"/>
        <v>2406</v>
      </c>
    </row>
    <row r="166" spans="1:20">
      <c r="A166" s="23" t="s">
        <v>197</v>
      </c>
      <c r="B166" s="35" t="s">
        <v>198</v>
      </c>
      <c r="C166" s="36">
        <v>85807</v>
      </c>
      <c r="D166" s="6"/>
      <c r="E166" s="113">
        <v>4561364190</v>
      </c>
      <c r="F166" s="116">
        <f t="shared" si="28"/>
        <v>53158.415863507638</v>
      </c>
      <c r="G166" s="117">
        <v>3648079090</v>
      </c>
      <c r="H166" s="117">
        <f t="shared" si="32"/>
        <v>42514.935727854368</v>
      </c>
      <c r="I166" s="7"/>
      <c r="J166" s="10">
        <v>5.4298000000000002</v>
      </c>
      <c r="K166" s="117">
        <v>19808339</v>
      </c>
      <c r="L166" s="120">
        <f t="shared" si="33"/>
        <v>230.84758819210555</v>
      </c>
      <c r="M166" s="122">
        <f t="shared" si="29"/>
        <v>36480790.899999999</v>
      </c>
      <c r="N166" s="116">
        <f t="shared" si="30"/>
        <v>16672451.899999999</v>
      </c>
      <c r="O166" s="123">
        <f t="shared" si="31"/>
        <v>194.30176908643816</v>
      </c>
      <c r="P166" s="5"/>
      <c r="Q166" s="5">
        <f t="shared" si="24"/>
        <v>1</v>
      </c>
      <c r="R166" s="7">
        <f t="shared" si="25"/>
        <v>85807</v>
      </c>
      <c r="S166" s="5">
        <f t="shared" si="26"/>
        <v>1</v>
      </c>
      <c r="T166" s="7">
        <f t="shared" si="27"/>
        <v>85807</v>
      </c>
    </row>
    <row r="167" spans="1:20">
      <c r="A167" s="23" t="s">
        <v>199</v>
      </c>
      <c r="B167" s="35" t="s">
        <v>198</v>
      </c>
      <c r="C167" s="36">
        <v>46474</v>
      </c>
      <c r="D167" s="6"/>
      <c r="E167" s="113">
        <v>2459024560</v>
      </c>
      <c r="F167" s="116">
        <f t="shared" si="28"/>
        <v>52911.833713474203</v>
      </c>
      <c r="G167" s="117">
        <v>1774271090</v>
      </c>
      <c r="H167" s="117">
        <f t="shared" si="32"/>
        <v>38177.714205792487</v>
      </c>
      <c r="I167" s="7"/>
      <c r="J167" s="10">
        <v>5.7262000000000004</v>
      </c>
      <c r="K167" s="117">
        <v>10159831</v>
      </c>
      <c r="L167" s="120">
        <f t="shared" si="33"/>
        <v>218.61322459870036</v>
      </c>
      <c r="M167" s="122">
        <f t="shared" si="29"/>
        <v>17742710.899999999</v>
      </c>
      <c r="N167" s="116">
        <f t="shared" si="30"/>
        <v>7582879.8999999985</v>
      </c>
      <c r="O167" s="123">
        <f t="shared" si="31"/>
        <v>163.16391745922448</v>
      </c>
      <c r="P167" s="5"/>
      <c r="Q167" s="5">
        <f t="shared" si="24"/>
        <v>1</v>
      </c>
      <c r="R167" s="7">
        <f t="shared" si="25"/>
        <v>46474</v>
      </c>
      <c r="S167" s="5">
        <f t="shared" si="26"/>
        <v>1</v>
      </c>
      <c r="T167" s="7">
        <f t="shared" si="27"/>
        <v>46474</v>
      </c>
    </row>
    <row r="168" spans="1:20">
      <c r="A168" s="23" t="s">
        <v>201</v>
      </c>
      <c r="B168" s="35" t="s">
        <v>198</v>
      </c>
      <c r="C168" s="36">
        <v>5753</v>
      </c>
      <c r="D168" s="6"/>
      <c r="E168" s="113">
        <v>2166339070</v>
      </c>
      <c r="F168" s="116">
        <f t="shared" si="28"/>
        <v>376558.15574482881</v>
      </c>
      <c r="G168" s="117">
        <v>2057051480</v>
      </c>
      <c r="H168" s="117">
        <f t="shared" si="32"/>
        <v>357561.52963671129</v>
      </c>
      <c r="I168" s="7"/>
      <c r="J168" s="10">
        <v>2.1413000000000002</v>
      </c>
      <c r="K168" s="117">
        <v>4404764</v>
      </c>
      <c r="L168" s="120">
        <f t="shared" si="33"/>
        <v>765.6464453328698</v>
      </c>
      <c r="M168" s="122">
        <f t="shared" si="29"/>
        <v>20570514.800000001</v>
      </c>
      <c r="N168" s="116">
        <f t="shared" si="30"/>
        <v>16165750.800000001</v>
      </c>
      <c r="O168" s="123">
        <f t="shared" si="31"/>
        <v>2809.968851034243</v>
      </c>
      <c r="P168" s="5"/>
      <c r="Q168" s="5">
        <f t="shared" si="24"/>
        <v>1</v>
      </c>
      <c r="R168" s="7">
        <f t="shared" si="25"/>
        <v>5753</v>
      </c>
      <c r="S168" s="5">
        <f t="shared" si="26"/>
        <v>1</v>
      </c>
      <c r="T168" s="7">
        <f t="shared" si="27"/>
        <v>5753</v>
      </c>
    </row>
    <row r="169" spans="1:20">
      <c r="A169" s="23" t="s">
        <v>202</v>
      </c>
      <c r="B169" s="35" t="s">
        <v>203</v>
      </c>
      <c r="C169" s="36">
        <v>137057</v>
      </c>
      <c r="D169" s="6"/>
      <c r="E169" s="113">
        <v>8749065709</v>
      </c>
      <c r="F169" s="116">
        <f t="shared" si="28"/>
        <v>63835.234311271954</v>
      </c>
      <c r="G169" s="117">
        <v>4025807899</v>
      </c>
      <c r="H169" s="117">
        <f t="shared" si="32"/>
        <v>29373.238134498784</v>
      </c>
      <c r="I169" s="7"/>
      <c r="J169" s="10">
        <v>3.2</v>
      </c>
      <c r="K169" s="117">
        <v>12882585</v>
      </c>
      <c r="L169" s="120">
        <f t="shared" si="33"/>
        <v>93.994360010798431</v>
      </c>
      <c r="M169" s="122">
        <f t="shared" si="29"/>
        <v>40258078.990000002</v>
      </c>
      <c r="N169" s="116">
        <f t="shared" si="30"/>
        <v>27375493.990000002</v>
      </c>
      <c r="O169" s="123">
        <f t="shared" si="31"/>
        <v>199.73802133418943</v>
      </c>
      <c r="P169" s="5"/>
      <c r="Q169" s="5">
        <f t="shared" si="24"/>
        <v>1</v>
      </c>
      <c r="R169" s="7">
        <f t="shared" si="25"/>
        <v>137057</v>
      </c>
      <c r="S169" s="5">
        <f t="shared" si="26"/>
        <v>1</v>
      </c>
      <c r="T169" s="7">
        <f t="shared" si="27"/>
        <v>137057</v>
      </c>
    </row>
    <row r="170" spans="1:20">
      <c r="A170" s="23" t="s">
        <v>204</v>
      </c>
      <c r="B170" s="35" t="s">
        <v>205</v>
      </c>
      <c r="C170" s="36">
        <v>857</v>
      </c>
      <c r="D170" s="6"/>
      <c r="E170" s="113">
        <v>22298417</v>
      </c>
      <c r="F170" s="116">
        <f t="shared" si="28"/>
        <v>26019.156359393233</v>
      </c>
      <c r="G170" s="117">
        <v>12726592</v>
      </c>
      <c r="H170" s="117">
        <f t="shared" si="32"/>
        <v>14850.165694282381</v>
      </c>
      <c r="I170" s="7"/>
      <c r="J170" s="10">
        <v>3.49</v>
      </c>
      <c r="K170" s="117">
        <v>44415</v>
      </c>
      <c r="L170" s="120">
        <f t="shared" si="33"/>
        <v>51.826137689614939</v>
      </c>
      <c r="M170" s="122">
        <f t="shared" si="29"/>
        <v>127265.92</v>
      </c>
      <c r="N170" s="116">
        <f t="shared" si="30"/>
        <v>82850.92</v>
      </c>
      <c r="O170" s="123">
        <f t="shared" si="31"/>
        <v>96.675519253208861</v>
      </c>
      <c r="P170" s="5"/>
      <c r="Q170" s="5">
        <f t="shared" si="24"/>
        <v>1</v>
      </c>
      <c r="R170" s="7">
        <f t="shared" si="25"/>
        <v>857</v>
      </c>
      <c r="S170" s="5">
        <f t="shared" si="26"/>
        <v>1</v>
      </c>
      <c r="T170" s="7">
        <f t="shared" si="27"/>
        <v>857</v>
      </c>
    </row>
    <row r="171" spans="1:20">
      <c r="A171" s="23" t="s">
        <v>206</v>
      </c>
      <c r="B171" s="35" t="s">
        <v>205</v>
      </c>
      <c r="C171" s="36">
        <v>704</v>
      </c>
      <c r="D171" s="6"/>
      <c r="E171" s="113">
        <v>60374701</v>
      </c>
      <c r="F171" s="116">
        <f t="shared" si="28"/>
        <v>85759.518465909088</v>
      </c>
      <c r="G171" s="117">
        <v>50780233</v>
      </c>
      <c r="H171" s="117">
        <f t="shared" si="32"/>
        <v>72131.012784090912</v>
      </c>
      <c r="I171" s="7"/>
      <c r="J171" s="10">
        <v>2.5</v>
      </c>
      <c r="K171" s="117">
        <v>126950</v>
      </c>
      <c r="L171" s="120">
        <f t="shared" si="33"/>
        <v>180.32670454545453</v>
      </c>
      <c r="M171" s="122">
        <f t="shared" si="29"/>
        <v>507802.33</v>
      </c>
      <c r="N171" s="116">
        <f t="shared" si="30"/>
        <v>380852.33</v>
      </c>
      <c r="O171" s="123">
        <f t="shared" si="31"/>
        <v>540.9834232954546</v>
      </c>
      <c r="P171" s="5"/>
      <c r="Q171" s="5">
        <f t="shared" si="24"/>
        <v>1</v>
      </c>
      <c r="R171" s="7">
        <f t="shared" si="25"/>
        <v>704</v>
      </c>
      <c r="S171" s="5">
        <f t="shared" si="26"/>
        <v>1</v>
      </c>
      <c r="T171" s="7">
        <f t="shared" si="27"/>
        <v>704</v>
      </c>
    </row>
    <row r="172" spans="1:20">
      <c r="A172" s="23" t="s">
        <v>207</v>
      </c>
      <c r="B172" s="35" t="s">
        <v>205</v>
      </c>
      <c r="C172" s="36">
        <v>1929</v>
      </c>
      <c r="D172" s="6"/>
      <c r="E172" s="113">
        <v>75121710</v>
      </c>
      <c r="F172" s="116">
        <f t="shared" si="28"/>
        <v>38943.343701399688</v>
      </c>
      <c r="G172" s="117">
        <v>54218806</v>
      </c>
      <c r="H172" s="117">
        <f t="shared" si="32"/>
        <v>28107.208916537067</v>
      </c>
      <c r="I172" s="7"/>
      <c r="J172" s="10">
        <v>5</v>
      </c>
      <c r="K172" s="117">
        <v>271094</v>
      </c>
      <c r="L172" s="120">
        <f t="shared" si="33"/>
        <v>140.53602903058581</v>
      </c>
      <c r="M172" s="122">
        <f t="shared" si="29"/>
        <v>542188.06000000006</v>
      </c>
      <c r="N172" s="116">
        <f t="shared" si="30"/>
        <v>271094.06000000006</v>
      </c>
      <c r="O172" s="123">
        <f t="shared" si="31"/>
        <v>140.53606013478489</v>
      </c>
      <c r="P172" s="5"/>
      <c r="Q172" s="5">
        <f t="shared" si="24"/>
        <v>1</v>
      </c>
      <c r="R172" s="7">
        <f t="shared" si="25"/>
        <v>1929</v>
      </c>
      <c r="S172" s="5">
        <f t="shared" si="26"/>
        <v>1</v>
      </c>
      <c r="T172" s="7">
        <f t="shared" si="27"/>
        <v>1929</v>
      </c>
    </row>
    <row r="173" spans="1:20">
      <c r="A173" s="23" t="s">
        <v>208</v>
      </c>
      <c r="B173" s="35" t="s">
        <v>205</v>
      </c>
      <c r="C173" s="36">
        <v>1282</v>
      </c>
      <c r="D173" s="6"/>
      <c r="E173" s="113">
        <v>45639902</v>
      </c>
      <c r="F173" s="116">
        <f t="shared" si="28"/>
        <v>35600.547581903273</v>
      </c>
      <c r="G173" s="117">
        <v>34549801</v>
      </c>
      <c r="H173" s="117">
        <f t="shared" si="32"/>
        <v>26949.922776911077</v>
      </c>
      <c r="I173" s="7"/>
      <c r="J173" s="10">
        <v>4</v>
      </c>
      <c r="K173" s="117">
        <v>138199</v>
      </c>
      <c r="L173" s="120">
        <f t="shared" si="33"/>
        <v>107.79953198127924</v>
      </c>
      <c r="M173" s="122">
        <f t="shared" si="29"/>
        <v>345498.01</v>
      </c>
      <c r="N173" s="116">
        <f t="shared" si="30"/>
        <v>207299.01</v>
      </c>
      <c r="O173" s="123">
        <f t="shared" si="31"/>
        <v>161.69969578783153</v>
      </c>
      <c r="P173" s="5"/>
      <c r="Q173" s="5">
        <f t="shared" si="24"/>
        <v>1</v>
      </c>
      <c r="R173" s="7">
        <f t="shared" si="25"/>
        <v>1282</v>
      </c>
      <c r="S173" s="5">
        <f t="shared" si="26"/>
        <v>1</v>
      </c>
      <c r="T173" s="7">
        <f t="shared" si="27"/>
        <v>1282</v>
      </c>
    </row>
    <row r="174" spans="1:20">
      <c r="A174" s="23" t="s">
        <v>209</v>
      </c>
      <c r="B174" s="35" t="s">
        <v>205</v>
      </c>
      <c r="C174" s="36">
        <v>124</v>
      </c>
      <c r="D174" s="6"/>
      <c r="E174" s="113">
        <v>2863943</v>
      </c>
      <c r="F174" s="116">
        <f t="shared" si="28"/>
        <v>23096.314516129034</v>
      </c>
      <c r="G174" s="117">
        <v>1595533</v>
      </c>
      <c r="H174" s="117">
        <f t="shared" si="32"/>
        <v>12867.201612903225</v>
      </c>
      <c r="I174" s="7"/>
      <c r="J174" s="10">
        <v>3</v>
      </c>
      <c r="K174" s="117">
        <v>4786</v>
      </c>
      <c r="L174" s="120">
        <f t="shared" si="33"/>
        <v>38.596774193548384</v>
      </c>
      <c r="M174" s="122">
        <f t="shared" si="29"/>
        <v>15955.33</v>
      </c>
      <c r="N174" s="116">
        <f t="shared" si="30"/>
        <v>11169.33</v>
      </c>
      <c r="O174" s="123">
        <f t="shared" si="31"/>
        <v>90.075241935483874</v>
      </c>
      <c r="P174" s="5"/>
      <c r="Q174" s="5">
        <f t="shared" si="24"/>
        <v>1</v>
      </c>
      <c r="R174" s="7">
        <f t="shared" si="25"/>
        <v>124</v>
      </c>
      <c r="S174" s="5">
        <f t="shared" si="26"/>
        <v>1</v>
      </c>
      <c r="T174" s="7">
        <f t="shared" si="27"/>
        <v>124</v>
      </c>
    </row>
    <row r="175" spans="1:20">
      <c r="A175" s="23" t="s">
        <v>210</v>
      </c>
      <c r="B175" s="35" t="s">
        <v>205</v>
      </c>
      <c r="C175" s="36">
        <v>2258</v>
      </c>
      <c r="D175" s="6"/>
      <c r="E175" s="113">
        <v>62263850</v>
      </c>
      <c r="F175" s="116">
        <f t="shared" si="28"/>
        <v>27574.77856510186</v>
      </c>
      <c r="G175" s="117">
        <v>37611774</v>
      </c>
      <c r="H175" s="117">
        <f t="shared" si="32"/>
        <v>16657.118689105402</v>
      </c>
      <c r="I175" s="7"/>
      <c r="J175" s="10">
        <v>4.0880000000000001</v>
      </c>
      <c r="K175" s="117">
        <v>153756</v>
      </c>
      <c r="L175" s="120">
        <f t="shared" si="33"/>
        <v>68.093888396811337</v>
      </c>
      <c r="M175" s="122">
        <f t="shared" si="29"/>
        <v>376117.74</v>
      </c>
      <c r="N175" s="116">
        <f t="shared" si="30"/>
        <v>222361.74</v>
      </c>
      <c r="O175" s="123">
        <f t="shared" si="31"/>
        <v>98.477298494242689</v>
      </c>
      <c r="P175" s="5"/>
      <c r="Q175" s="5">
        <f t="shared" si="24"/>
        <v>1</v>
      </c>
      <c r="R175" s="7">
        <f t="shared" si="25"/>
        <v>2258</v>
      </c>
      <c r="S175" s="5">
        <f t="shared" si="26"/>
        <v>1</v>
      </c>
      <c r="T175" s="7">
        <f t="shared" si="27"/>
        <v>2258</v>
      </c>
    </row>
    <row r="176" spans="1:20">
      <c r="A176" s="23" t="s">
        <v>211</v>
      </c>
      <c r="B176" s="35" t="s">
        <v>205</v>
      </c>
      <c r="C176" s="36">
        <v>617</v>
      </c>
      <c r="D176" s="6"/>
      <c r="E176" s="113">
        <v>29270466</v>
      </c>
      <c r="F176" s="116">
        <f t="shared" si="28"/>
        <v>47439.977309562397</v>
      </c>
      <c r="G176" s="117">
        <v>22715459</v>
      </c>
      <c r="H176" s="117">
        <f t="shared" si="32"/>
        <v>36815.978930307945</v>
      </c>
      <c r="I176" s="7"/>
      <c r="J176" s="10">
        <v>1.9490000000000001</v>
      </c>
      <c r="K176" s="117">
        <v>44272</v>
      </c>
      <c r="L176" s="120">
        <f t="shared" si="33"/>
        <v>71.753646677471636</v>
      </c>
      <c r="M176" s="122">
        <f t="shared" si="29"/>
        <v>227154.59</v>
      </c>
      <c r="N176" s="116">
        <f t="shared" si="30"/>
        <v>182882.59</v>
      </c>
      <c r="O176" s="123">
        <f t="shared" si="31"/>
        <v>296.4061426256078</v>
      </c>
      <c r="P176" s="5"/>
      <c r="Q176" s="5">
        <f t="shared" si="24"/>
        <v>1</v>
      </c>
      <c r="R176" s="7">
        <f t="shared" si="25"/>
        <v>617</v>
      </c>
      <c r="S176" s="5">
        <f t="shared" si="26"/>
        <v>1</v>
      </c>
      <c r="T176" s="7">
        <f t="shared" si="27"/>
        <v>617</v>
      </c>
    </row>
    <row r="177" spans="1:20">
      <c r="A177" s="23" t="s">
        <v>212</v>
      </c>
      <c r="B177" s="35" t="s">
        <v>213</v>
      </c>
      <c r="C177" s="36">
        <v>1027</v>
      </c>
      <c r="D177" s="6"/>
      <c r="E177" s="113">
        <v>19681049</v>
      </c>
      <c r="F177" s="116">
        <f t="shared" si="28"/>
        <v>19163.630963972737</v>
      </c>
      <c r="G177" s="117">
        <v>9457718</v>
      </c>
      <c r="H177" s="117">
        <f t="shared" si="32"/>
        <v>9209.0730282375844</v>
      </c>
      <c r="I177" s="7"/>
      <c r="J177" s="10">
        <v>1</v>
      </c>
      <c r="K177" s="117">
        <v>9457</v>
      </c>
      <c r="L177" s="120">
        <f t="shared" si="33"/>
        <v>9.2083739045764368</v>
      </c>
      <c r="M177" s="122">
        <f t="shared" si="29"/>
        <v>94577.180000000008</v>
      </c>
      <c r="N177" s="116">
        <f t="shared" si="30"/>
        <v>85120.180000000008</v>
      </c>
      <c r="O177" s="123">
        <f t="shared" si="31"/>
        <v>82.882356377799425</v>
      </c>
      <c r="P177" s="5"/>
      <c r="Q177" s="5">
        <f t="shared" si="24"/>
        <v>1</v>
      </c>
      <c r="R177" s="7">
        <f t="shared" si="25"/>
        <v>1027</v>
      </c>
      <c r="S177" s="5">
        <f t="shared" si="26"/>
        <v>1</v>
      </c>
      <c r="T177" s="7">
        <f t="shared" si="27"/>
        <v>1027</v>
      </c>
    </row>
    <row r="178" spans="1:20">
      <c r="A178" s="23" t="s">
        <v>214</v>
      </c>
      <c r="B178" s="35" t="s">
        <v>215</v>
      </c>
      <c r="C178" s="36">
        <v>1023</v>
      </c>
      <c r="D178" s="6"/>
      <c r="E178" s="113">
        <v>14550485</v>
      </c>
      <c r="F178" s="116">
        <f t="shared" si="28"/>
        <v>14223.347996089931</v>
      </c>
      <c r="G178" s="117">
        <v>7909007</v>
      </c>
      <c r="H178" s="117">
        <f t="shared" si="32"/>
        <v>7731.1896383186704</v>
      </c>
      <c r="I178" s="7"/>
      <c r="J178" s="10">
        <v>10</v>
      </c>
      <c r="K178" s="117">
        <v>79090</v>
      </c>
      <c r="L178" s="120">
        <f t="shared" si="33"/>
        <v>77.311827956989248</v>
      </c>
      <c r="M178" s="122">
        <f t="shared" si="29"/>
        <v>79090.070000000007</v>
      </c>
      <c r="N178" s="116">
        <f t="shared" si="30"/>
        <v>7.0000000006984919E-2</v>
      </c>
      <c r="O178" s="123">
        <f t="shared" si="31"/>
        <v>6.8426197465283395E-5</v>
      </c>
      <c r="P178" s="5"/>
      <c r="Q178" s="5">
        <f t="shared" si="24"/>
        <v>1</v>
      </c>
      <c r="R178" s="7">
        <f t="shared" si="25"/>
        <v>1023</v>
      </c>
      <c r="S178" s="5">
        <f t="shared" si="26"/>
        <v>1</v>
      </c>
      <c r="T178" s="7">
        <f t="shared" si="27"/>
        <v>1023</v>
      </c>
    </row>
    <row r="179" spans="1:20">
      <c r="A179" s="23" t="s">
        <v>198</v>
      </c>
      <c r="B179" s="35" t="s">
        <v>215</v>
      </c>
      <c r="C179" s="36">
        <v>314</v>
      </c>
      <c r="D179" s="6"/>
      <c r="E179" s="113">
        <v>4793811</v>
      </c>
      <c r="F179" s="116">
        <f t="shared" si="28"/>
        <v>15266.914012738853</v>
      </c>
      <c r="G179" s="117">
        <v>2189965</v>
      </c>
      <c r="H179" s="117">
        <f t="shared" si="32"/>
        <v>6974.4108280254777</v>
      </c>
      <c r="I179" s="7"/>
      <c r="J179" s="10">
        <v>6.67</v>
      </c>
      <c r="K179" s="117">
        <v>14607</v>
      </c>
      <c r="L179" s="120">
        <f t="shared" si="33"/>
        <v>46.519108280254777</v>
      </c>
      <c r="M179" s="122">
        <f t="shared" si="29"/>
        <v>21899.65</v>
      </c>
      <c r="N179" s="116">
        <f t="shared" si="30"/>
        <v>7292.6500000000015</v>
      </c>
      <c r="O179" s="123">
        <f t="shared" si="31"/>
        <v>23.225000000000005</v>
      </c>
      <c r="P179" s="5"/>
      <c r="Q179" s="5">
        <f t="shared" si="24"/>
        <v>1</v>
      </c>
      <c r="R179" s="7">
        <f t="shared" si="25"/>
        <v>314</v>
      </c>
      <c r="S179" s="5">
        <f t="shared" si="26"/>
        <v>1</v>
      </c>
      <c r="T179" s="7">
        <f t="shared" si="27"/>
        <v>314</v>
      </c>
    </row>
    <row r="180" spans="1:20">
      <c r="A180" s="23" t="s">
        <v>215</v>
      </c>
      <c r="B180" s="35" t="s">
        <v>215</v>
      </c>
      <c r="C180" s="36">
        <v>3420</v>
      </c>
      <c r="D180" s="6"/>
      <c r="E180" s="113">
        <v>84195376</v>
      </c>
      <c r="F180" s="116">
        <f t="shared" si="28"/>
        <v>24618.530994152046</v>
      </c>
      <c r="G180" s="117">
        <v>49920457</v>
      </c>
      <c r="H180" s="117">
        <f t="shared" si="32"/>
        <v>14596.62485380117</v>
      </c>
      <c r="I180" s="7"/>
      <c r="J180" s="10">
        <v>4.6529999999999996</v>
      </c>
      <c r="K180" s="117">
        <v>232279</v>
      </c>
      <c r="L180" s="120">
        <f t="shared" si="33"/>
        <v>67.917836257309943</v>
      </c>
      <c r="M180" s="122">
        <f t="shared" si="29"/>
        <v>499204.57</v>
      </c>
      <c r="N180" s="116">
        <f t="shared" si="30"/>
        <v>266925.57</v>
      </c>
      <c r="O180" s="123">
        <f t="shared" si="31"/>
        <v>78.048412280701754</v>
      </c>
      <c r="P180" s="5"/>
      <c r="Q180" s="5">
        <f t="shared" si="24"/>
        <v>1</v>
      </c>
      <c r="R180" s="7">
        <f t="shared" si="25"/>
        <v>3420</v>
      </c>
      <c r="S180" s="5">
        <f t="shared" si="26"/>
        <v>1</v>
      </c>
      <c r="T180" s="7">
        <f t="shared" si="27"/>
        <v>3420</v>
      </c>
    </row>
    <row r="181" spans="1:20">
      <c r="A181" s="23" t="s">
        <v>216</v>
      </c>
      <c r="B181" s="35" t="s">
        <v>217</v>
      </c>
      <c r="C181" s="36">
        <v>1840</v>
      </c>
      <c r="D181" s="6"/>
      <c r="E181" s="113">
        <v>237610024</v>
      </c>
      <c r="F181" s="116">
        <f t="shared" si="28"/>
        <v>129135.88260869565</v>
      </c>
      <c r="G181" s="117">
        <v>207705143</v>
      </c>
      <c r="H181" s="117">
        <f t="shared" si="32"/>
        <v>112883.22989130435</v>
      </c>
      <c r="I181" s="7"/>
      <c r="J181" s="10">
        <v>1.61</v>
      </c>
      <c r="K181" s="117">
        <v>334405</v>
      </c>
      <c r="L181" s="120">
        <f t="shared" si="33"/>
        <v>181.74184782608697</v>
      </c>
      <c r="M181" s="122">
        <f t="shared" si="29"/>
        <v>2077051.43</v>
      </c>
      <c r="N181" s="116">
        <f t="shared" si="30"/>
        <v>1742646.43</v>
      </c>
      <c r="O181" s="123">
        <f t="shared" si="31"/>
        <v>947.09045108695648</v>
      </c>
      <c r="P181" s="5"/>
      <c r="Q181" s="5">
        <f t="shared" si="24"/>
        <v>1</v>
      </c>
      <c r="R181" s="7">
        <f t="shared" si="25"/>
        <v>1840</v>
      </c>
      <c r="S181" s="5">
        <f t="shared" si="26"/>
        <v>1</v>
      </c>
      <c r="T181" s="7">
        <f t="shared" si="27"/>
        <v>1840</v>
      </c>
    </row>
    <row r="182" spans="1:20">
      <c r="A182" s="23" t="s">
        <v>218</v>
      </c>
      <c r="B182" s="35" t="s">
        <v>217</v>
      </c>
      <c r="C182" s="36">
        <v>47679</v>
      </c>
      <c r="D182" s="6"/>
      <c r="E182" s="113">
        <v>1895781751</v>
      </c>
      <c r="F182" s="116">
        <f t="shared" si="28"/>
        <v>39761.357222257175</v>
      </c>
      <c r="G182" s="117">
        <v>1352143619</v>
      </c>
      <c r="H182" s="117">
        <f t="shared" si="32"/>
        <v>28359.311625663289</v>
      </c>
      <c r="I182" s="7"/>
      <c r="J182" s="10">
        <v>2.1901000000000002</v>
      </c>
      <c r="K182" s="117">
        <v>2961329</v>
      </c>
      <c r="L182" s="120">
        <f t="shared" si="33"/>
        <v>62.109712871494786</v>
      </c>
      <c r="M182" s="122">
        <f t="shared" si="29"/>
        <v>13521436.189999999</v>
      </c>
      <c r="N182" s="116">
        <f t="shared" si="30"/>
        <v>10560107.189999999</v>
      </c>
      <c r="O182" s="123">
        <f t="shared" si="31"/>
        <v>221.4834033851381</v>
      </c>
      <c r="P182" s="5"/>
      <c r="Q182" s="5">
        <f t="shared" si="24"/>
        <v>1</v>
      </c>
      <c r="R182" s="7">
        <f t="shared" si="25"/>
        <v>47679</v>
      </c>
      <c r="S182" s="5">
        <f t="shared" si="26"/>
        <v>1</v>
      </c>
      <c r="T182" s="7">
        <f t="shared" si="27"/>
        <v>47679</v>
      </c>
    </row>
    <row r="183" spans="1:20">
      <c r="A183" s="23" t="s">
        <v>219</v>
      </c>
      <c r="B183" s="35" t="s">
        <v>217</v>
      </c>
      <c r="C183" s="36">
        <v>1673</v>
      </c>
      <c r="D183" s="6"/>
      <c r="E183" s="113">
        <v>149239551</v>
      </c>
      <c r="F183" s="116">
        <f t="shared" si="28"/>
        <v>89204.752540346686</v>
      </c>
      <c r="G183" s="117">
        <v>127699713</v>
      </c>
      <c r="H183" s="117">
        <f t="shared" si="32"/>
        <v>76329.774656306035</v>
      </c>
      <c r="I183" s="7"/>
      <c r="J183" s="10">
        <v>2.8033999999999999</v>
      </c>
      <c r="K183" s="117">
        <v>357993</v>
      </c>
      <c r="L183" s="120">
        <f t="shared" si="33"/>
        <v>213.98266586969515</v>
      </c>
      <c r="M183" s="122">
        <f t="shared" si="29"/>
        <v>1276997.1300000001</v>
      </c>
      <c r="N183" s="116">
        <f t="shared" si="30"/>
        <v>919004.13000000012</v>
      </c>
      <c r="O183" s="123">
        <f t="shared" si="31"/>
        <v>549.3150806933653</v>
      </c>
      <c r="P183" s="5"/>
      <c r="Q183" s="5">
        <f t="shared" si="24"/>
        <v>1</v>
      </c>
      <c r="R183" s="7">
        <f t="shared" si="25"/>
        <v>1673</v>
      </c>
      <c r="S183" s="5">
        <f t="shared" si="26"/>
        <v>1</v>
      </c>
      <c r="T183" s="7">
        <f t="shared" si="27"/>
        <v>1673</v>
      </c>
    </row>
    <row r="184" spans="1:20">
      <c r="A184" s="23" t="s">
        <v>220</v>
      </c>
      <c r="B184" s="35" t="s">
        <v>217</v>
      </c>
      <c r="C184" s="36">
        <v>5025</v>
      </c>
      <c r="D184" s="6"/>
      <c r="E184" s="113">
        <v>490523743</v>
      </c>
      <c r="F184" s="116">
        <f t="shared" si="28"/>
        <v>97616.665273631836</v>
      </c>
      <c r="G184" s="117">
        <v>430988940</v>
      </c>
      <c r="H184" s="117">
        <f t="shared" si="32"/>
        <v>85768.943283582092</v>
      </c>
      <c r="I184" s="7"/>
      <c r="J184" s="10">
        <v>1.75</v>
      </c>
      <c r="K184" s="117">
        <v>754230</v>
      </c>
      <c r="L184" s="120">
        <f t="shared" si="33"/>
        <v>150.09552238805969</v>
      </c>
      <c r="M184" s="122">
        <f t="shared" si="29"/>
        <v>4309889.4000000004</v>
      </c>
      <c r="N184" s="116">
        <f t="shared" si="30"/>
        <v>3555659.4000000004</v>
      </c>
      <c r="O184" s="123">
        <f t="shared" si="31"/>
        <v>707.59391044776123</v>
      </c>
      <c r="P184" s="5"/>
      <c r="Q184" s="5">
        <f t="shared" si="24"/>
        <v>1</v>
      </c>
      <c r="R184" s="7">
        <f t="shared" si="25"/>
        <v>5025</v>
      </c>
      <c r="S184" s="5">
        <f t="shared" si="26"/>
        <v>1</v>
      </c>
      <c r="T184" s="7">
        <f t="shared" si="27"/>
        <v>5025</v>
      </c>
    </row>
    <row r="185" spans="1:20">
      <c r="A185" s="23" t="s">
        <v>221</v>
      </c>
      <c r="B185" s="35" t="s">
        <v>217</v>
      </c>
      <c r="C185" s="36">
        <v>9747</v>
      </c>
      <c r="D185" s="6"/>
      <c r="E185" s="113">
        <v>343754642</v>
      </c>
      <c r="F185" s="116">
        <f t="shared" si="28"/>
        <v>35267.737970657639</v>
      </c>
      <c r="G185" s="117">
        <v>243238133</v>
      </c>
      <c r="H185" s="117">
        <f t="shared" si="32"/>
        <v>24955.17933723197</v>
      </c>
      <c r="I185" s="7"/>
      <c r="J185" s="10">
        <v>4.2624000000000004</v>
      </c>
      <c r="K185" s="117">
        <v>1036778</v>
      </c>
      <c r="L185" s="120">
        <f t="shared" si="33"/>
        <v>106.36893403098389</v>
      </c>
      <c r="M185" s="122">
        <f t="shared" si="29"/>
        <v>2432381.33</v>
      </c>
      <c r="N185" s="116">
        <f t="shared" si="30"/>
        <v>1395603.33</v>
      </c>
      <c r="O185" s="123">
        <f t="shared" si="31"/>
        <v>143.18285934133581</v>
      </c>
      <c r="P185" s="5"/>
      <c r="Q185" s="5">
        <f t="shared" si="24"/>
        <v>1</v>
      </c>
      <c r="R185" s="7">
        <f t="shared" si="25"/>
        <v>9747</v>
      </c>
      <c r="S185" s="5">
        <f t="shared" si="26"/>
        <v>1</v>
      </c>
      <c r="T185" s="7">
        <f t="shared" si="27"/>
        <v>9747</v>
      </c>
    </row>
    <row r="186" spans="1:20">
      <c r="A186" s="23" t="s">
        <v>478</v>
      </c>
      <c r="B186" s="35" t="s">
        <v>222</v>
      </c>
      <c r="C186" s="36">
        <v>6453</v>
      </c>
      <c r="D186" s="6"/>
      <c r="E186" s="113">
        <v>2069066304</v>
      </c>
      <c r="F186" s="116">
        <f t="shared" si="28"/>
        <v>320636.34030683403</v>
      </c>
      <c r="G186" s="117">
        <v>1964807215</v>
      </c>
      <c r="H186" s="117">
        <f t="shared" si="32"/>
        <v>304479.65519913216</v>
      </c>
      <c r="I186" s="7"/>
      <c r="J186" s="10">
        <v>2.3220000000000001</v>
      </c>
      <c r="K186" s="117">
        <v>4562282</v>
      </c>
      <c r="L186" s="120">
        <f t="shared" si="33"/>
        <v>707.00170463350378</v>
      </c>
      <c r="M186" s="122">
        <f t="shared" si="29"/>
        <v>19648072.150000002</v>
      </c>
      <c r="N186" s="116">
        <f t="shared" si="30"/>
        <v>15085790.150000002</v>
      </c>
      <c r="O186" s="123">
        <f t="shared" si="31"/>
        <v>2337.7948473578185</v>
      </c>
      <c r="P186" s="5"/>
      <c r="Q186" s="5">
        <f t="shared" si="24"/>
        <v>1</v>
      </c>
      <c r="R186" s="7">
        <f t="shared" si="25"/>
        <v>6453</v>
      </c>
      <c r="S186" s="5">
        <f t="shared" si="26"/>
        <v>1</v>
      </c>
      <c r="T186" s="7">
        <f t="shared" si="27"/>
        <v>6453</v>
      </c>
    </row>
    <row r="187" spans="1:20">
      <c r="A187" s="23" t="s">
        <v>223</v>
      </c>
      <c r="B187" s="35" t="s">
        <v>224</v>
      </c>
      <c r="C187" s="36">
        <v>3287</v>
      </c>
      <c r="D187" s="6"/>
      <c r="E187" s="113">
        <v>95758036</v>
      </c>
      <c r="F187" s="116">
        <f t="shared" si="28"/>
        <v>29132.350471554608</v>
      </c>
      <c r="G187" s="117">
        <v>71450098</v>
      </c>
      <c r="H187" s="117">
        <f t="shared" si="32"/>
        <v>21737.176148463644</v>
      </c>
      <c r="I187" s="7"/>
      <c r="J187" s="10">
        <v>4.9050000000000002</v>
      </c>
      <c r="K187" s="117">
        <v>350462</v>
      </c>
      <c r="L187" s="120">
        <f t="shared" si="33"/>
        <v>106.62062671128689</v>
      </c>
      <c r="M187" s="122">
        <f t="shared" si="29"/>
        <v>714500.98</v>
      </c>
      <c r="N187" s="116">
        <f t="shared" si="30"/>
        <v>364038.98</v>
      </c>
      <c r="O187" s="123">
        <f t="shared" si="31"/>
        <v>110.75113477334955</v>
      </c>
      <c r="P187" s="5"/>
      <c r="Q187" s="5">
        <f t="shared" si="24"/>
        <v>1</v>
      </c>
      <c r="R187" s="7">
        <f t="shared" si="25"/>
        <v>3287</v>
      </c>
      <c r="S187" s="5">
        <f t="shared" si="26"/>
        <v>1</v>
      </c>
      <c r="T187" s="7">
        <f t="shared" si="27"/>
        <v>3287</v>
      </c>
    </row>
    <row r="188" spans="1:20">
      <c r="A188" s="23" t="s">
        <v>225</v>
      </c>
      <c r="B188" s="35" t="s">
        <v>224</v>
      </c>
      <c r="C188" s="36">
        <v>1795</v>
      </c>
      <c r="D188" s="6"/>
      <c r="E188" s="113">
        <v>89334035</v>
      </c>
      <c r="F188" s="116">
        <f t="shared" si="28"/>
        <v>49768.264623955431</v>
      </c>
      <c r="G188" s="117">
        <v>66014311</v>
      </c>
      <c r="H188" s="117">
        <f t="shared" si="32"/>
        <v>36776.774930362117</v>
      </c>
      <c r="I188" s="7"/>
      <c r="J188" s="10">
        <v>6.7</v>
      </c>
      <c r="K188" s="117">
        <v>442295</v>
      </c>
      <c r="L188" s="120">
        <f t="shared" si="33"/>
        <v>246.40389972144845</v>
      </c>
      <c r="M188" s="122">
        <f t="shared" si="29"/>
        <v>660143.11</v>
      </c>
      <c r="N188" s="116">
        <f t="shared" si="30"/>
        <v>217848.11</v>
      </c>
      <c r="O188" s="123">
        <f t="shared" si="31"/>
        <v>121.36384958217269</v>
      </c>
      <c r="P188" s="5"/>
      <c r="Q188" s="5">
        <f t="shared" si="24"/>
        <v>1</v>
      </c>
      <c r="R188" s="7">
        <f t="shared" si="25"/>
        <v>1795</v>
      </c>
      <c r="S188" s="5">
        <f t="shared" si="26"/>
        <v>1</v>
      </c>
      <c r="T188" s="7">
        <f t="shared" si="27"/>
        <v>1795</v>
      </c>
    </row>
    <row r="189" spans="1:20">
      <c r="A189" s="23" t="s">
        <v>226</v>
      </c>
      <c r="B189" s="35" t="s">
        <v>224</v>
      </c>
      <c r="C189" s="36">
        <v>423</v>
      </c>
      <c r="D189" s="6"/>
      <c r="E189" s="113">
        <v>12387039</v>
      </c>
      <c r="F189" s="116">
        <f t="shared" si="28"/>
        <v>29283.78014184397</v>
      </c>
      <c r="G189" s="117">
        <v>7886779</v>
      </c>
      <c r="H189" s="117">
        <f t="shared" si="32"/>
        <v>18644.867612293143</v>
      </c>
      <c r="I189" s="7"/>
      <c r="J189" s="10">
        <v>2.4449999999999998</v>
      </c>
      <c r="K189" s="117">
        <v>19283</v>
      </c>
      <c r="L189" s="120">
        <f t="shared" si="33"/>
        <v>45.586288416075654</v>
      </c>
      <c r="M189" s="122">
        <f t="shared" si="29"/>
        <v>78867.790000000008</v>
      </c>
      <c r="N189" s="116">
        <f t="shared" si="30"/>
        <v>59584.790000000008</v>
      </c>
      <c r="O189" s="123">
        <f t="shared" si="31"/>
        <v>140.8623877068558</v>
      </c>
      <c r="P189" s="5"/>
      <c r="Q189" s="5">
        <f t="shared" si="24"/>
        <v>1</v>
      </c>
      <c r="R189" s="7">
        <f t="shared" si="25"/>
        <v>423</v>
      </c>
      <c r="S189" s="5">
        <f t="shared" si="26"/>
        <v>1</v>
      </c>
      <c r="T189" s="7">
        <f t="shared" si="27"/>
        <v>423</v>
      </c>
    </row>
    <row r="190" spans="1:20">
      <c r="A190" s="23" t="s">
        <v>227</v>
      </c>
      <c r="B190" s="35" t="s">
        <v>224</v>
      </c>
      <c r="C190" s="36">
        <v>43207</v>
      </c>
      <c r="D190" s="6"/>
      <c r="E190" s="113">
        <v>2094842695</v>
      </c>
      <c r="F190" s="116">
        <f t="shared" si="28"/>
        <v>48483.872867822342</v>
      </c>
      <c r="G190" s="117">
        <v>1574831300</v>
      </c>
      <c r="H190" s="117">
        <f t="shared" si="32"/>
        <v>36448.522230194183</v>
      </c>
      <c r="I190" s="7"/>
      <c r="J190" s="10">
        <v>5.0880999999999998</v>
      </c>
      <c r="K190" s="117">
        <v>8012899</v>
      </c>
      <c r="L190" s="120">
        <f t="shared" si="33"/>
        <v>185.45372277640197</v>
      </c>
      <c r="M190" s="122">
        <f t="shared" si="29"/>
        <v>15748313</v>
      </c>
      <c r="N190" s="116">
        <f t="shared" si="30"/>
        <v>7735414</v>
      </c>
      <c r="O190" s="123">
        <f t="shared" si="31"/>
        <v>179.03149952553986</v>
      </c>
      <c r="P190" s="5"/>
      <c r="Q190" s="5">
        <f t="shared" si="24"/>
        <v>1</v>
      </c>
      <c r="R190" s="7">
        <f t="shared" si="25"/>
        <v>43207</v>
      </c>
      <c r="S190" s="5">
        <f t="shared" si="26"/>
        <v>1</v>
      </c>
      <c r="T190" s="7">
        <f t="shared" si="27"/>
        <v>43207</v>
      </c>
    </row>
    <row r="191" spans="1:20">
      <c r="A191" s="23" t="s">
        <v>228</v>
      </c>
      <c r="B191" s="35" t="s">
        <v>224</v>
      </c>
      <c r="C191" s="36">
        <v>570</v>
      </c>
      <c r="D191" s="6"/>
      <c r="E191" s="113">
        <v>10725196</v>
      </c>
      <c r="F191" s="116">
        <f t="shared" si="28"/>
        <v>18816.133333333335</v>
      </c>
      <c r="G191" s="117">
        <v>5797084</v>
      </c>
      <c r="H191" s="117">
        <f t="shared" si="32"/>
        <v>10170.322807017545</v>
      </c>
      <c r="I191" s="98" t="s">
        <v>528</v>
      </c>
      <c r="J191" s="10"/>
      <c r="K191" s="117"/>
      <c r="L191" s="120"/>
      <c r="M191" s="122">
        <f t="shared" si="29"/>
        <v>57970.840000000004</v>
      </c>
      <c r="N191" s="116">
        <f t="shared" si="30"/>
        <v>57970.840000000004</v>
      </c>
      <c r="O191" s="123">
        <f t="shared" si="31"/>
        <v>101.70322807017544</v>
      </c>
      <c r="P191" s="5"/>
      <c r="Q191" s="5">
        <f t="shared" si="24"/>
        <v>1</v>
      </c>
      <c r="R191" s="7">
        <f t="shared" si="25"/>
        <v>570</v>
      </c>
      <c r="S191" s="5">
        <f t="shared" si="26"/>
        <v>0</v>
      </c>
      <c r="T191" s="7">
        <f t="shared" si="27"/>
        <v>0</v>
      </c>
    </row>
    <row r="192" spans="1:20">
      <c r="A192" s="23" t="s">
        <v>229</v>
      </c>
      <c r="B192" s="35" t="s">
        <v>230</v>
      </c>
      <c r="C192" s="36">
        <v>581</v>
      </c>
      <c r="D192" s="6"/>
      <c r="E192" s="113">
        <v>723969633</v>
      </c>
      <c r="F192" s="116">
        <f t="shared" si="28"/>
        <v>1246075.0998278831</v>
      </c>
      <c r="G192" s="117">
        <v>677130552</v>
      </c>
      <c r="H192" s="117">
        <f t="shared" si="32"/>
        <v>1165457.0602409639</v>
      </c>
      <c r="I192" s="7"/>
      <c r="J192" s="10">
        <v>2.9430000000000001</v>
      </c>
      <c r="K192" s="117">
        <v>1992795</v>
      </c>
      <c r="L192" s="120">
        <f t="shared" si="33"/>
        <v>3429.9397590361446</v>
      </c>
      <c r="M192" s="122">
        <f t="shared" si="29"/>
        <v>6771305.5200000005</v>
      </c>
      <c r="N192" s="116">
        <f t="shared" si="30"/>
        <v>4778510.5200000005</v>
      </c>
      <c r="O192" s="123">
        <f t="shared" si="31"/>
        <v>8224.6308433734939</v>
      </c>
      <c r="P192" s="5"/>
      <c r="Q192" s="5">
        <f t="shared" si="24"/>
        <v>1</v>
      </c>
      <c r="R192" s="7">
        <f t="shared" si="25"/>
        <v>581</v>
      </c>
      <c r="S192" s="5">
        <f t="shared" si="26"/>
        <v>1</v>
      </c>
      <c r="T192" s="7">
        <f t="shared" si="27"/>
        <v>581</v>
      </c>
    </row>
    <row r="193" spans="1:20">
      <c r="A193" s="24" t="s">
        <v>582</v>
      </c>
      <c r="B193" s="35" t="s">
        <v>230</v>
      </c>
      <c r="C193" s="36">
        <v>515</v>
      </c>
      <c r="D193" s="6"/>
      <c r="E193" s="113">
        <v>12167080</v>
      </c>
      <c r="F193" s="116">
        <f t="shared" si="28"/>
        <v>23625.398058252427</v>
      </c>
      <c r="G193" s="117">
        <v>12157660</v>
      </c>
      <c r="H193" s="117">
        <f t="shared" si="32"/>
        <v>23607.106796116506</v>
      </c>
      <c r="I193" s="98" t="s">
        <v>528</v>
      </c>
      <c r="J193" s="10"/>
      <c r="K193" s="117"/>
      <c r="L193" s="120"/>
      <c r="M193" s="122">
        <f t="shared" si="29"/>
        <v>121576.6</v>
      </c>
      <c r="N193" s="116">
        <f t="shared" si="30"/>
        <v>121576.6</v>
      </c>
      <c r="O193" s="123">
        <f t="shared" si="31"/>
        <v>236.07106796116506</v>
      </c>
      <c r="P193" s="5"/>
      <c r="Q193" s="5">
        <f t="shared" si="24"/>
        <v>1</v>
      </c>
      <c r="R193" s="7">
        <f t="shared" si="25"/>
        <v>515</v>
      </c>
      <c r="S193" s="5">
        <f t="shared" si="26"/>
        <v>0</v>
      </c>
      <c r="T193" s="7">
        <f t="shared" si="27"/>
        <v>0</v>
      </c>
    </row>
    <row r="194" spans="1:20">
      <c r="A194" s="23" t="s">
        <v>446</v>
      </c>
      <c r="B194" s="35" t="s">
        <v>230</v>
      </c>
      <c r="C194" s="36">
        <v>1707</v>
      </c>
      <c r="D194" s="6"/>
      <c r="E194" s="113">
        <v>294710718</v>
      </c>
      <c r="F194" s="116">
        <f t="shared" si="28"/>
        <v>172648.34094903339</v>
      </c>
      <c r="G194" s="117">
        <v>276306065</v>
      </c>
      <c r="H194" s="117">
        <f t="shared" si="32"/>
        <v>161866.4704159344</v>
      </c>
      <c r="I194" s="7"/>
      <c r="J194" s="10">
        <v>1.7829999999999999</v>
      </c>
      <c r="K194" s="117">
        <v>492653</v>
      </c>
      <c r="L194" s="120">
        <f t="shared" si="33"/>
        <v>288.60749853544229</v>
      </c>
      <c r="M194" s="122">
        <f t="shared" si="29"/>
        <v>2763060.65</v>
      </c>
      <c r="N194" s="116">
        <f t="shared" si="30"/>
        <v>2270407.65</v>
      </c>
      <c r="O194" s="123">
        <f t="shared" si="31"/>
        <v>1330.0572056239016</v>
      </c>
      <c r="P194" s="5"/>
      <c r="Q194" s="5">
        <f t="shared" si="24"/>
        <v>1</v>
      </c>
      <c r="R194" s="7">
        <f t="shared" si="25"/>
        <v>1707</v>
      </c>
      <c r="S194" s="5">
        <f t="shared" si="26"/>
        <v>1</v>
      </c>
      <c r="T194" s="7">
        <f t="shared" si="27"/>
        <v>1707</v>
      </c>
    </row>
    <row r="195" spans="1:20">
      <c r="A195" s="23" t="s">
        <v>231</v>
      </c>
      <c r="B195" s="35" t="s">
        <v>230</v>
      </c>
      <c r="C195" s="36">
        <v>13435</v>
      </c>
      <c r="D195" s="6"/>
      <c r="E195" s="113">
        <v>979682640</v>
      </c>
      <c r="F195" s="116">
        <f t="shared" si="28"/>
        <v>72920.181615184221</v>
      </c>
      <c r="G195" s="117">
        <v>687606054</v>
      </c>
      <c r="H195" s="117">
        <f t="shared" si="32"/>
        <v>51180.20498697432</v>
      </c>
      <c r="I195" s="7"/>
      <c r="J195" s="10">
        <v>4.2133000000000003</v>
      </c>
      <c r="K195" s="117">
        <v>2897090</v>
      </c>
      <c r="L195" s="120">
        <f t="shared" si="33"/>
        <v>215.63751395608486</v>
      </c>
      <c r="M195" s="122">
        <f t="shared" si="29"/>
        <v>6876060.54</v>
      </c>
      <c r="N195" s="116">
        <f t="shared" si="30"/>
        <v>3978970.54</v>
      </c>
      <c r="O195" s="123">
        <f t="shared" si="31"/>
        <v>296.16453591365837</v>
      </c>
      <c r="P195" s="5"/>
      <c r="Q195" s="5">
        <f t="shared" si="24"/>
        <v>1</v>
      </c>
      <c r="R195" s="7">
        <f t="shared" si="25"/>
        <v>13435</v>
      </c>
      <c r="S195" s="5">
        <f t="shared" si="26"/>
        <v>1</v>
      </c>
      <c r="T195" s="7">
        <f t="shared" si="27"/>
        <v>13435</v>
      </c>
    </row>
    <row r="196" spans="1:20">
      <c r="A196" s="23" t="s">
        <v>234</v>
      </c>
      <c r="B196" s="35" t="s">
        <v>233</v>
      </c>
      <c r="C196" s="36">
        <v>3087</v>
      </c>
      <c r="D196" s="6"/>
      <c r="E196" s="113">
        <v>812961263</v>
      </c>
      <c r="F196" s="116">
        <f t="shared" si="28"/>
        <v>263349.93942338839</v>
      </c>
      <c r="G196" s="117">
        <v>789603456</v>
      </c>
      <c r="H196" s="117">
        <f t="shared" si="32"/>
        <v>255783.43245869776</v>
      </c>
      <c r="I196" s="7"/>
      <c r="J196" s="10">
        <v>3.4</v>
      </c>
      <c r="K196" s="117">
        <v>2684651</v>
      </c>
      <c r="L196" s="120">
        <f t="shared" si="33"/>
        <v>869.66342727567212</v>
      </c>
      <c r="M196" s="122">
        <f t="shared" si="29"/>
        <v>7896034.5600000005</v>
      </c>
      <c r="N196" s="116">
        <f t="shared" si="30"/>
        <v>5211383.5600000005</v>
      </c>
      <c r="O196" s="123">
        <f t="shared" si="31"/>
        <v>1688.1708973113057</v>
      </c>
      <c r="P196" s="5"/>
      <c r="Q196" s="5">
        <f t="shared" si="24"/>
        <v>1</v>
      </c>
      <c r="R196" s="7">
        <f t="shared" si="25"/>
        <v>3087</v>
      </c>
      <c r="S196" s="5">
        <f t="shared" si="26"/>
        <v>1</v>
      </c>
      <c r="T196" s="7">
        <f t="shared" si="27"/>
        <v>3087</v>
      </c>
    </row>
    <row r="197" spans="1:20">
      <c r="A197" s="23" t="s">
        <v>235</v>
      </c>
      <c r="B197" s="35" t="s">
        <v>233</v>
      </c>
      <c r="C197" s="36">
        <v>4717</v>
      </c>
      <c r="D197" s="6"/>
      <c r="E197" s="113">
        <v>311868175</v>
      </c>
      <c r="F197" s="116">
        <f t="shared" si="28"/>
        <v>66115.788636845449</v>
      </c>
      <c r="G197" s="117">
        <v>262455476</v>
      </c>
      <c r="H197" s="117">
        <f t="shared" si="32"/>
        <v>55640.338350646598</v>
      </c>
      <c r="I197" s="9"/>
      <c r="J197" s="10">
        <v>4.8490000000000002</v>
      </c>
      <c r="K197" s="117">
        <v>1272646</v>
      </c>
      <c r="L197" s="120">
        <f t="shared" si="33"/>
        <v>269.79987280050881</v>
      </c>
      <c r="M197" s="122">
        <f t="shared" si="29"/>
        <v>2624554.7600000002</v>
      </c>
      <c r="N197" s="116">
        <f t="shared" si="30"/>
        <v>1351908.7600000002</v>
      </c>
      <c r="O197" s="123">
        <f t="shared" si="31"/>
        <v>286.60351070595721</v>
      </c>
      <c r="P197" s="5"/>
      <c r="Q197" s="5">
        <f t="shared" si="24"/>
        <v>1</v>
      </c>
      <c r="R197" s="7">
        <f t="shared" si="25"/>
        <v>4717</v>
      </c>
      <c r="S197" s="5">
        <f t="shared" si="26"/>
        <v>1</v>
      </c>
      <c r="T197" s="7">
        <f t="shared" si="27"/>
        <v>4717</v>
      </c>
    </row>
    <row r="198" spans="1:20">
      <c r="A198" s="23" t="s">
        <v>236</v>
      </c>
      <c r="B198" s="35" t="s">
        <v>233</v>
      </c>
      <c r="C198" s="36">
        <v>3068</v>
      </c>
      <c r="D198" s="6"/>
      <c r="E198" s="113">
        <v>95859801</v>
      </c>
      <c r="F198" s="116">
        <f t="shared" si="28"/>
        <v>31245.04595827901</v>
      </c>
      <c r="G198" s="117">
        <v>72284596</v>
      </c>
      <c r="H198" s="117">
        <f t="shared" si="32"/>
        <v>23560.820078226858</v>
      </c>
      <c r="I198" s="7"/>
      <c r="J198" s="10">
        <v>7.7</v>
      </c>
      <c r="K198" s="117">
        <v>556591</v>
      </c>
      <c r="L198" s="120">
        <f t="shared" si="33"/>
        <v>181.41818774445892</v>
      </c>
      <c r="M198" s="122">
        <f t="shared" si="29"/>
        <v>722845.96</v>
      </c>
      <c r="N198" s="116">
        <f t="shared" si="30"/>
        <v>166254.95999999996</v>
      </c>
      <c r="O198" s="123">
        <f t="shared" si="31"/>
        <v>54.190013037809635</v>
      </c>
      <c r="P198" s="5"/>
      <c r="Q198" s="5">
        <f t="shared" si="24"/>
        <v>1</v>
      </c>
      <c r="R198" s="7">
        <f t="shared" si="25"/>
        <v>3068</v>
      </c>
      <c r="S198" s="5">
        <f t="shared" si="26"/>
        <v>1</v>
      </c>
      <c r="T198" s="7">
        <f t="shared" si="27"/>
        <v>3068</v>
      </c>
    </row>
    <row r="199" spans="1:20">
      <c r="A199" s="23" t="s">
        <v>237</v>
      </c>
      <c r="B199" s="35" t="s">
        <v>233</v>
      </c>
      <c r="C199" s="36">
        <v>40950</v>
      </c>
      <c r="D199" s="6"/>
      <c r="E199" s="113">
        <v>5197883535</v>
      </c>
      <c r="F199" s="116">
        <f t="shared" si="28"/>
        <v>126932.44285714286</v>
      </c>
      <c r="G199" s="117">
        <v>4445423382</v>
      </c>
      <c r="H199" s="117">
        <f t="shared" si="32"/>
        <v>108557.34754578755</v>
      </c>
      <c r="I199" s="9"/>
      <c r="J199" s="10">
        <v>5.4580000000000002</v>
      </c>
      <c r="K199" s="117">
        <v>24263120</v>
      </c>
      <c r="L199" s="120">
        <f t="shared" si="33"/>
        <v>592.50598290598293</v>
      </c>
      <c r="M199" s="122">
        <f t="shared" si="29"/>
        <v>44454233.82</v>
      </c>
      <c r="N199" s="116">
        <f t="shared" si="30"/>
        <v>20191113.82</v>
      </c>
      <c r="O199" s="123">
        <f t="shared" si="31"/>
        <v>493.06749255189254</v>
      </c>
      <c r="P199" s="5"/>
      <c r="Q199" s="5">
        <f t="shared" ref="Q199:Q262" si="34">IF(E199&gt;0,1,0)</f>
        <v>1</v>
      </c>
      <c r="R199" s="7">
        <f t="shared" ref="R199:R262" si="35">IF(E199&gt;0,C199,0)</f>
        <v>40950</v>
      </c>
      <c r="S199" s="5">
        <f t="shared" ref="S199:S262" si="36">IF(J199&gt;0,1,0)</f>
        <v>1</v>
      </c>
      <c r="T199" s="7">
        <f t="shared" ref="T199:T262" si="37">IF(J199&gt;0,C199,0)</f>
        <v>40950</v>
      </c>
    </row>
    <row r="200" spans="1:20">
      <c r="A200" s="23" t="s">
        <v>238</v>
      </c>
      <c r="B200" s="35" t="s">
        <v>233</v>
      </c>
      <c r="C200" s="36">
        <v>2500</v>
      </c>
      <c r="D200" s="6"/>
      <c r="E200" s="113">
        <v>58520640</v>
      </c>
      <c r="F200" s="116">
        <f t="shared" ref="F200:F263" si="38">(E200/C200)</f>
        <v>23408.256000000001</v>
      </c>
      <c r="G200" s="117">
        <v>37704473</v>
      </c>
      <c r="H200" s="117">
        <f t="shared" si="32"/>
        <v>15081.789199999999</v>
      </c>
      <c r="I200" s="7"/>
      <c r="J200" s="11">
        <v>7.7</v>
      </c>
      <c r="K200" s="117">
        <v>290324</v>
      </c>
      <c r="L200" s="120">
        <f t="shared" si="33"/>
        <v>116.1296</v>
      </c>
      <c r="M200" s="122">
        <f t="shared" ref="M200:M263" si="39">(G200*0.01)</f>
        <v>377044.73</v>
      </c>
      <c r="N200" s="116">
        <f t="shared" ref="N200:N263" si="40">(M200-K200)</f>
        <v>86720.729999999981</v>
      </c>
      <c r="O200" s="123">
        <f t="shared" ref="O200:O263" si="41">(N200/C200)</f>
        <v>34.68829199999999</v>
      </c>
      <c r="P200" s="5"/>
      <c r="Q200" s="5">
        <f t="shared" si="34"/>
        <v>1</v>
      </c>
      <c r="R200" s="7">
        <f t="shared" si="35"/>
        <v>2500</v>
      </c>
      <c r="S200" s="5">
        <f t="shared" si="36"/>
        <v>1</v>
      </c>
      <c r="T200" s="7">
        <f t="shared" si="37"/>
        <v>2500</v>
      </c>
    </row>
    <row r="201" spans="1:20">
      <c r="A201" s="23" t="s">
        <v>239</v>
      </c>
      <c r="B201" s="35" t="s">
        <v>233</v>
      </c>
      <c r="C201" s="36">
        <v>4898</v>
      </c>
      <c r="D201" s="6"/>
      <c r="E201" s="113">
        <v>174744900</v>
      </c>
      <c r="F201" s="116">
        <f t="shared" si="38"/>
        <v>35676.786443446304</v>
      </c>
      <c r="G201" s="117">
        <v>127993087</v>
      </c>
      <c r="H201" s="117">
        <f t="shared" si="32"/>
        <v>26131.704164965293</v>
      </c>
      <c r="I201" s="7"/>
      <c r="J201" s="10">
        <v>7.133</v>
      </c>
      <c r="K201" s="117">
        <v>912974</v>
      </c>
      <c r="L201" s="120">
        <f t="shared" si="33"/>
        <v>186.39730502245814</v>
      </c>
      <c r="M201" s="122">
        <f t="shared" si="39"/>
        <v>1279930.8700000001</v>
      </c>
      <c r="N201" s="116">
        <f t="shared" si="40"/>
        <v>366956.87000000011</v>
      </c>
      <c r="O201" s="123">
        <f t="shared" si="41"/>
        <v>74.919736627194794</v>
      </c>
      <c r="P201" s="5"/>
      <c r="Q201" s="5">
        <f t="shared" si="34"/>
        <v>1</v>
      </c>
      <c r="R201" s="7">
        <f t="shared" si="35"/>
        <v>4898</v>
      </c>
      <c r="S201" s="5">
        <f t="shared" si="36"/>
        <v>1</v>
      </c>
      <c r="T201" s="7">
        <f t="shared" si="37"/>
        <v>4898</v>
      </c>
    </row>
    <row r="202" spans="1:20">
      <c r="A202" s="24" t="s">
        <v>240</v>
      </c>
      <c r="B202" s="37" t="s">
        <v>233</v>
      </c>
      <c r="C202" s="36">
        <v>831</v>
      </c>
      <c r="D202" s="6"/>
      <c r="E202" s="113">
        <v>223399960</v>
      </c>
      <c r="F202" s="116">
        <f t="shared" si="38"/>
        <v>268832.68351383874</v>
      </c>
      <c r="G202" s="117">
        <v>208401162</v>
      </c>
      <c r="H202" s="117">
        <f t="shared" si="32"/>
        <v>250783.58844765343</v>
      </c>
      <c r="I202" s="7"/>
      <c r="J202" s="10">
        <v>8.7377000000000002</v>
      </c>
      <c r="K202" s="117">
        <v>1820946</v>
      </c>
      <c r="L202" s="120">
        <f t="shared" si="33"/>
        <v>2191.2707581227437</v>
      </c>
      <c r="M202" s="122">
        <f t="shared" si="39"/>
        <v>2084011.62</v>
      </c>
      <c r="N202" s="116">
        <f t="shared" si="40"/>
        <v>263065.62000000011</v>
      </c>
      <c r="O202" s="123">
        <f t="shared" si="41"/>
        <v>316.56512635379073</v>
      </c>
      <c r="P202" s="5"/>
      <c r="Q202" s="5">
        <f t="shared" si="34"/>
        <v>1</v>
      </c>
      <c r="R202" s="7">
        <f t="shared" si="35"/>
        <v>831</v>
      </c>
      <c r="S202" s="5">
        <f t="shared" si="36"/>
        <v>1</v>
      </c>
      <c r="T202" s="7">
        <f t="shared" si="37"/>
        <v>831</v>
      </c>
    </row>
    <row r="203" spans="1:20">
      <c r="A203" s="23" t="s">
        <v>241</v>
      </c>
      <c r="B203" s="37" t="s">
        <v>233</v>
      </c>
      <c r="C203" s="36">
        <v>203911</v>
      </c>
      <c r="D203" s="6"/>
      <c r="E203" s="113">
        <v>5658643749</v>
      </c>
      <c r="F203" s="116">
        <f t="shared" si="38"/>
        <v>27750.556610482025</v>
      </c>
      <c r="G203" s="117">
        <v>4288169497</v>
      </c>
      <c r="H203" s="117">
        <f t="shared" si="32"/>
        <v>21029.613395059609</v>
      </c>
      <c r="I203" s="7"/>
      <c r="J203" s="11">
        <v>8.23</v>
      </c>
      <c r="K203" s="117">
        <v>35291634</v>
      </c>
      <c r="L203" s="120">
        <f t="shared" si="33"/>
        <v>173.07371353188401</v>
      </c>
      <c r="M203" s="122">
        <f t="shared" si="39"/>
        <v>42881694.969999999</v>
      </c>
      <c r="N203" s="116">
        <f t="shared" si="40"/>
        <v>7590060.9699999988</v>
      </c>
      <c r="O203" s="123">
        <f t="shared" si="41"/>
        <v>37.222420418712076</v>
      </c>
      <c r="P203" s="5"/>
      <c r="Q203" s="5">
        <f t="shared" si="34"/>
        <v>1</v>
      </c>
      <c r="R203" s="7">
        <f t="shared" si="35"/>
        <v>203911</v>
      </c>
      <c r="S203" s="5">
        <f t="shared" si="36"/>
        <v>1</v>
      </c>
      <c r="T203" s="7">
        <f t="shared" si="37"/>
        <v>203911</v>
      </c>
    </row>
    <row r="204" spans="1:20">
      <c r="A204" s="23" t="s">
        <v>242</v>
      </c>
      <c r="B204" s="37" t="s">
        <v>233</v>
      </c>
      <c r="C204" s="36">
        <v>11305</v>
      </c>
      <c r="D204" s="6"/>
      <c r="E204" s="113">
        <v>416526122</v>
      </c>
      <c r="F204" s="116">
        <f t="shared" si="38"/>
        <v>36844.41592215834</v>
      </c>
      <c r="G204" s="117">
        <v>340727253</v>
      </c>
      <c r="H204" s="117">
        <f t="shared" si="32"/>
        <v>30139.518177797436</v>
      </c>
      <c r="I204" s="7"/>
      <c r="J204" s="10">
        <v>7.79</v>
      </c>
      <c r="K204" s="117">
        <v>2654265</v>
      </c>
      <c r="L204" s="120">
        <f t="shared" si="33"/>
        <v>234.78681999115435</v>
      </c>
      <c r="M204" s="122">
        <f t="shared" si="39"/>
        <v>3407272.5300000003</v>
      </c>
      <c r="N204" s="116">
        <f t="shared" si="40"/>
        <v>753007.53000000026</v>
      </c>
      <c r="O204" s="123">
        <f t="shared" si="41"/>
        <v>66.608361786820012</v>
      </c>
      <c r="P204" s="5"/>
      <c r="Q204" s="5">
        <f t="shared" si="34"/>
        <v>1</v>
      </c>
      <c r="R204" s="7">
        <f t="shared" si="35"/>
        <v>11305</v>
      </c>
      <c r="S204" s="5">
        <f t="shared" si="36"/>
        <v>1</v>
      </c>
      <c r="T204" s="7">
        <f t="shared" si="37"/>
        <v>11305</v>
      </c>
    </row>
    <row r="205" spans="1:20">
      <c r="A205" s="23" t="s">
        <v>243</v>
      </c>
      <c r="B205" s="37" t="s">
        <v>233</v>
      </c>
      <c r="C205" s="36">
        <v>23190</v>
      </c>
      <c r="D205" s="6"/>
      <c r="E205" s="113">
        <v>714036630</v>
      </c>
      <c r="F205" s="116">
        <f t="shared" si="38"/>
        <v>30790.712807244501</v>
      </c>
      <c r="G205" s="117">
        <v>489720970</v>
      </c>
      <c r="H205" s="117">
        <f t="shared" si="32"/>
        <v>21117.764984907288</v>
      </c>
      <c r="I205" s="7"/>
      <c r="J205" s="10">
        <v>8.6815999999999995</v>
      </c>
      <c r="K205" s="117">
        <v>4251561</v>
      </c>
      <c r="L205" s="120">
        <f t="shared" si="33"/>
        <v>183.33596377749029</v>
      </c>
      <c r="M205" s="122">
        <f t="shared" si="39"/>
        <v>4897209.7</v>
      </c>
      <c r="N205" s="116">
        <f t="shared" si="40"/>
        <v>645648.70000000019</v>
      </c>
      <c r="O205" s="123">
        <f t="shared" si="41"/>
        <v>27.841686071582586</v>
      </c>
      <c r="P205" s="5"/>
      <c r="Q205" s="5">
        <f t="shared" si="34"/>
        <v>1</v>
      </c>
      <c r="R205" s="7">
        <f t="shared" si="35"/>
        <v>23190</v>
      </c>
      <c r="S205" s="5">
        <f t="shared" si="36"/>
        <v>1</v>
      </c>
      <c r="T205" s="7">
        <f t="shared" si="37"/>
        <v>23190</v>
      </c>
    </row>
    <row r="206" spans="1:20">
      <c r="A206" s="23" t="s">
        <v>244</v>
      </c>
      <c r="B206" s="37" t="s">
        <v>233</v>
      </c>
      <c r="C206" s="36">
        <v>52</v>
      </c>
      <c r="D206" s="6"/>
      <c r="E206" s="113">
        <v>98391090</v>
      </c>
      <c r="F206" s="116">
        <f t="shared" si="38"/>
        <v>1892136.3461538462</v>
      </c>
      <c r="G206" s="117">
        <v>93613458</v>
      </c>
      <c r="H206" s="117">
        <f t="shared" si="32"/>
        <v>1800258.8076923077</v>
      </c>
      <c r="I206" s="7"/>
      <c r="J206" s="10">
        <v>9.9600000000000009</v>
      </c>
      <c r="K206" s="117">
        <v>932390</v>
      </c>
      <c r="L206" s="120">
        <f t="shared" si="33"/>
        <v>17930.576923076922</v>
      </c>
      <c r="M206" s="122">
        <f t="shared" si="39"/>
        <v>936134.58000000007</v>
      </c>
      <c r="N206" s="116">
        <f t="shared" si="40"/>
        <v>3744.5800000000745</v>
      </c>
      <c r="O206" s="123">
        <f t="shared" si="41"/>
        <v>72.011153846155281</v>
      </c>
      <c r="P206" s="5"/>
      <c r="Q206" s="5">
        <f t="shared" si="34"/>
        <v>1</v>
      </c>
      <c r="R206" s="7">
        <f t="shared" si="35"/>
        <v>52</v>
      </c>
      <c r="S206" s="5">
        <f t="shared" si="36"/>
        <v>1</v>
      </c>
      <c r="T206" s="7">
        <f t="shared" si="37"/>
        <v>52</v>
      </c>
    </row>
    <row r="207" spans="1:20">
      <c r="A207" s="23" t="s">
        <v>245</v>
      </c>
      <c r="B207" s="37" t="s">
        <v>233</v>
      </c>
      <c r="C207" s="36">
        <v>13</v>
      </c>
      <c r="D207" s="6"/>
      <c r="E207" s="113">
        <v>9341166</v>
      </c>
      <c r="F207" s="116">
        <f t="shared" si="38"/>
        <v>718551.23076923075</v>
      </c>
      <c r="G207" s="117">
        <v>333127</v>
      </c>
      <c r="H207" s="117">
        <f t="shared" si="32"/>
        <v>25625.153846153848</v>
      </c>
      <c r="I207" s="7"/>
      <c r="J207" s="10">
        <v>9.89</v>
      </c>
      <c r="K207" s="117">
        <v>3294</v>
      </c>
      <c r="L207" s="120">
        <f t="shared" si="33"/>
        <v>253.38461538461539</v>
      </c>
      <c r="M207" s="122">
        <f t="shared" si="39"/>
        <v>3331.27</v>
      </c>
      <c r="N207" s="116">
        <f t="shared" si="40"/>
        <v>37.269999999999982</v>
      </c>
      <c r="O207" s="123">
        <f t="shared" si="41"/>
        <v>2.8669230769230754</v>
      </c>
      <c r="P207" s="5"/>
      <c r="Q207" s="5">
        <f t="shared" si="34"/>
        <v>1</v>
      </c>
      <c r="R207" s="7">
        <f t="shared" si="35"/>
        <v>13</v>
      </c>
      <c r="S207" s="5">
        <f t="shared" si="36"/>
        <v>1</v>
      </c>
      <c r="T207" s="7">
        <f t="shared" si="37"/>
        <v>13</v>
      </c>
    </row>
    <row r="208" spans="1:20">
      <c r="A208" s="23" t="s">
        <v>246</v>
      </c>
      <c r="B208" s="37" t="s">
        <v>233</v>
      </c>
      <c r="C208" s="36">
        <v>8892</v>
      </c>
      <c r="D208" s="6"/>
      <c r="E208" s="113">
        <v>1844028250</v>
      </c>
      <c r="F208" s="116">
        <f t="shared" si="38"/>
        <v>207380.59491677914</v>
      </c>
      <c r="G208" s="117">
        <v>1759014465</v>
      </c>
      <c r="H208" s="117">
        <f t="shared" si="32"/>
        <v>197819.89035087719</v>
      </c>
      <c r="I208" s="7"/>
      <c r="J208" s="10">
        <v>3.8</v>
      </c>
      <c r="K208" s="117">
        <v>6684254</v>
      </c>
      <c r="L208" s="120">
        <f t="shared" si="33"/>
        <v>751.71547458389568</v>
      </c>
      <c r="M208" s="122">
        <f t="shared" si="39"/>
        <v>17590144.649999999</v>
      </c>
      <c r="N208" s="116">
        <f t="shared" si="40"/>
        <v>10905890.649999999</v>
      </c>
      <c r="O208" s="123">
        <f t="shared" si="41"/>
        <v>1226.4834289248761</v>
      </c>
      <c r="P208" s="5"/>
      <c r="Q208" s="5">
        <f t="shared" si="34"/>
        <v>1</v>
      </c>
      <c r="R208" s="7">
        <f t="shared" si="35"/>
        <v>8892</v>
      </c>
      <c r="S208" s="5">
        <f t="shared" si="36"/>
        <v>1</v>
      </c>
      <c r="T208" s="7">
        <f t="shared" si="37"/>
        <v>8892</v>
      </c>
    </row>
    <row r="209" spans="1:20">
      <c r="A209" s="23" t="s">
        <v>247</v>
      </c>
      <c r="B209" s="37" t="s">
        <v>233</v>
      </c>
      <c r="C209" s="36">
        <v>868</v>
      </c>
      <c r="D209" s="6"/>
      <c r="E209" s="113">
        <v>529015081</v>
      </c>
      <c r="F209" s="116">
        <f t="shared" si="38"/>
        <v>609464.37903225806</v>
      </c>
      <c r="G209" s="117">
        <v>523713252</v>
      </c>
      <c r="H209" s="117">
        <f t="shared" si="32"/>
        <v>603356.28110599075</v>
      </c>
      <c r="I209" s="7"/>
      <c r="J209" s="10">
        <v>8.2409999999999997</v>
      </c>
      <c r="K209" s="117">
        <v>4315920</v>
      </c>
      <c r="L209" s="120">
        <f t="shared" si="33"/>
        <v>4972.2580645161288</v>
      </c>
      <c r="M209" s="122">
        <f t="shared" si="39"/>
        <v>5237132.5200000005</v>
      </c>
      <c r="N209" s="116">
        <f t="shared" si="40"/>
        <v>921212.52000000048</v>
      </c>
      <c r="O209" s="123">
        <f t="shared" si="41"/>
        <v>1061.3047465437794</v>
      </c>
      <c r="P209" s="5"/>
      <c r="Q209" s="5">
        <f t="shared" si="34"/>
        <v>1</v>
      </c>
      <c r="R209" s="7">
        <f t="shared" si="35"/>
        <v>868</v>
      </c>
      <c r="S209" s="5">
        <f t="shared" si="36"/>
        <v>1</v>
      </c>
      <c r="T209" s="7">
        <f t="shared" si="37"/>
        <v>868</v>
      </c>
    </row>
    <row r="210" spans="1:20">
      <c r="A210" s="23" t="s">
        <v>248</v>
      </c>
      <c r="B210" s="37" t="s">
        <v>233</v>
      </c>
      <c r="C210" s="36">
        <v>365498</v>
      </c>
      <c r="D210" s="6"/>
      <c r="E210" s="113">
        <v>16123104241</v>
      </c>
      <c r="F210" s="116">
        <f t="shared" si="38"/>
        <v>44112.701686466135</v>
      </c>
      <c r="G210" s="117">
        <v>10991490637</v>
      </c>
      <c r="H210" s="117">
        <f t="shared" si="32"/>
        <v>30072.642359192116</v>
      </c>
      <c r="I210" s="7"/>
      <c r="J210" s="10">
        <v>9.5995000000000008</v>
      </c>
      <c r="K210" s="117">
        <v>105512814</v>
      </c>
      <c r="L210" s="120">
        <f t="shared" si="33"/>
        <v>288.68232931507151</v>
      </c>
      <c r="M210" s="122">
        <f t="shared" si="39"/>
        <v>109914906.37</v>
      </c>
      <c r="N210" s="116">
        <f t="shared" si="40"/>
        <v>4402092.3700000048</v>
      </c>
      <c r="O210" s="123">
        <f t="shared" si="41"/>
        <v>12.04409427684968</v>
      </c>
      <c r="P210" s="5"/>
      <c r="Q210" s="5">
        <f t="shared" si="34"/>
        <v>1</v>
      </c>
      <c r="R210" s="7">
        <f t="shared" si="35"/>
        <v>365498</v>
      </c>
      <c r="S210" s="5">
        <f t="shared" si="36"/>
        <v>1</v>
      </c>
      <c r="T210" s="7">
        <f t="shared" si="37"/>
        <v>365498</v>
      </c>
    </row>
    <row r="211" spans="1:20">
      <c r="A211" s="23" t="s">
        <v>249</v>
      </c>
      <c r="B211" s="37" t="s">
        <v>233</v>
      </c>
      <c r="C211" s="36">
        <v>91775</v>
      </c>
      <c r="D211" s="6"/>
      <c r="E211" s="113">
        <v>6775364466</v>
      </c>
      <c r="F211" s="116">
        <f t="shared" si="38"/>
        <v>73825.818207572869</v>
      </c>
      <c r="G211" s="117">
        <v>5639006884</v>
      </c>
      <c r="H211" s="117">
        <f t="shared" si="32"/>
        <v>61443.823307000814</v>
      </c>
      <c r="I211" s="7"/>
      <c r="J211" s="10">
        <v>7.4989999999999997</v>
      </c>
      <c r="K211" s="117">
        <v>42286912</v>
      </c>
      <c r="L211" s="120">
        <f t="shared" si="33"/>
        <v>460.76722418959412</v>
      </c>
      <c r="M211" s="122">
        <f t="shared" si="39"/>
        <v>56390068.840000004</v>
      </c>
      <c r="N211" s="116">
        <f t="shared" si="40"/>
        <v>14103156.840000004</v>
      </c>
      <c r="O211" s="123">
        <f t="shared" si="41"/>
        <v>153.67100888041409</v>
      </c>
      <c r="P211" s="5"/>
      <c r="Q211" s="5">
        <f t="shared" si="34"/>
        <v>1</v>
      </c>
      <c r="R211" s="7">
        <f t="shared" si="35"/>
        <v>91775</v>
      </c>
      <c r="S211" s="5">
        <f t="shared" si="36"/>
        <v>1</v>
      </c>
      <c r="T211" s="7">
        <f t="shared" si="37"/>
        <v>91775</v>
      </c>
    </row>
    <row r="212" spans="1:20">
      <c r="A212" s="23" t="s">
        <v>250</v>
      </c>
      <c r="B212" s="37" t="s">
        <v>233</v>
      </c>
      <c r="C212" s="36">
        <v>10149</v>
      </c>
      <c r="D212" s="6"/>
      <c r="E212" s="113">
        <v>486512626</v>
      </c>
      <c r="F212" s="116">
        <f t="shared" si="38"/>
        <v>47937.001280914374</v>
      </c>
      <c r="G212" s="117">
        <v>336721626</v>
      </c>
      <c r="H212" s="117">
        <f t="shared" si="32"/>
        <v>33177.813183564882</v>
      </c>
      <c r="I212" s="7"/>
      <c r="J212" s="10">
        <v>8.4930000000000003</v>
      </c>
      <c r="K212" s="117">
        <v>2859776</v>
      </c>
      <c r="L212" s="120">
        <f t="shared" si="33"/>
        <v>281.77909153611193</v>
      </c>
      <c r="M212" s="122">
        <f t="shared" si="39"/>
        <v>3367216.2600000002</v>
      </c>
      <c r="N212" s="116">
        <f t="shared" si="40"/>
        <v>507440.26000000024</v>
      </c>
      <c r="O212" s="123">
        <f t="shared" si="41"/>
        <v>49.999040299536922</v>
      </c>
      <c r="P212" s="5"/>
      <c r="Q212" s="5">
        <f t="shared" si="34"/>
        <v>1</v>
      </c>
      <c r="R212" s="7">
        <f t="shared" si="35"/>
        <v>10149</v>
      </c>
      <c r="S212" s="5">
        <f t="shared" si="36"/>
        <v>1</v>
      </c>
      <c r="T212" s="7">
        <f t="shared" si="37"/>
        <v>10149</v>
      </c>
    </row>
    <row r="213" spans="1:20">
      <c r="A213" s="23" t="s">
        <v>251</v>
      </c>
      <c r="B213" s="37" t="s">
        <v>233</v>
      </c>
      <c r="C213" s="36">
        <v>13353</v>
      </c>
      <c r="D213" s="6"/>
      <c r="E213" s="113">
        <v>640966912</v>
      </c>
      <c r="F213" s="116">
        <f t="shared" si="38"/>
        <v>48001.715869093088</v>
      </c>
      <c r="G213" s="117">
        <v>507257119</v>
      </c>
      <c r="H213" s="117">
        <f t="shared" si="32"/>
        <v>37988.251254399758</v>
      </c>
      <c r="I213" s="7"/>
      <c r="J213" s="10">
        <v>6.7</v>
      </c>
      <c r="K213" s="117">
        <v>3398622</v>
      </c>
      <c r="L213" s="120">
        <f t="shared" si="33"/>
        <v>254.5212311840036</v>
      </c>
      <c r="M213" s="122">
        <f t="shared" si="39"/>
        <v>5072571.1900000004</v>
      </c>
      <c r="N213" s="116">
        <f t="shared" si="40"/>
        <v>1673949.1900000004</v>
      </c>
      <c r="O213" s="123">
        <f t="shared" si="41"/>
        <v>125.36128135999404</v>
      </c>
      <c r="P213" s="5"/>
      <c r="Q213" s="5">
        <f t="shared" si="34"/>
        <v>1</v>
      </c>
      <c r="R213" s="7">
        <f t="shared" si="35"/>
        <v>13353</v>
      </c>
      <c r="S213" s="5">
        <f t="shared" si="36"/>
        <v>1</v>
      </c>
      <c r="T213" s="7">
        <f t="shared" si="37"/>
        <v>13353</v>
      </c>
    </row>
    <row r="214" spans="1:20">
      <c r="A214" s="23" t="s">
        <v>252</v>
      </c>
      <c r="B214" s="37" t="s">
        <v>233</v>
      </c>
      <c r="C214" s="36">
        <v>5861</v>
      </c>
      <c r="D214" s="6"/>
      <c r="E214" s="113">
        <v>233324233</v>
      </c>
      <c r="F214" s="116">
        <f t="shared" si="38"/>
        <v>39809.628561678895</v>
      </c>
      <c r="G214" s="117">
        <v>209055711</v>
      </c>
      <c r="H214" s="117">
        <f t="shared" si="32"/>
        <v>35668.949155434224</v>
      </c>
      <c r="I214" s="7"/>
      <c r="J214" s="10">
        <v>5.0730000000000004</v>
      </c>
      <c r="K214" s="117">
        <v>1060539</v>
      </c>
      <c r="L214" s="120">
        <f t="shared" si="33"/>
        <v>180.94847295683331</v>
      </c>
      <c r="M214" s="122">
        <f t="shared" si="39"/>
        <v>2090557.11</v>
      </c>
      <c r="N214" s="116">
        <f t="shared" si="40"/>
        <v>1030018.1100000001</v>
      </c>
      <c r="O214" s="123">
        <f t="shared" si="41"/>
        <v>175.74101859750897</v>
      </c>
      <c r="P214" s="5"/>
      <c r="Q214" s="5">
        <f t="shared" si="34"/>
        <v>1</v>
      </c>
      <c r="R214" s="7">
        <f t="shared" si="35"/>
        <v>5861</v>
      </c>
      <c r="S214" s="5">
        <f t="shared" si="36"/>
        <v>1</v>
      </c>
      <c r="T214" s="7">
        <f t="shared" si="37"/>
        <v>5861</v>
      </c>
    </row>
    <row r="215" spans="1:20">
      <c r="A215" s="23" t="s">
        <v>253</v>
      </c>
      <c r="B215" s="37" t="s">
        <v>233</v>
      </c>
      <c r="C215" s="36">
        <v>50758</v>
      </c>
      <c r="D215" s="6"/>
      <c r="E215" s="113">
        <v>1602589047</v>
      </c>
      <c r="F215" s="116">
        <f t="shared" si="38"/>
        <v>31573.132255013988</v>
      </c>
      <c r="G215" s="117">
        <v>1145542974</v>
      </c>
      <c r="H215" s="117">
        <f t="shared" si="32"/>
        <v>22568.717719374286</v>
      </c>
      <c r="I215" s="7"/>
      <c r="J215" s="10">
        <v>7.9619999999999997</v>
      </c>
      <c r="K215" s="117">
        <v>9120813</v>
      </c>
      <c r="L215" s="120">
        <f t="shared" si="33"/>
        <v>179.69212734938336</v>
      </c>
      <c r="M215" s="122">
        <f t="shared" si="39"/>
        <v>11455429.74</v>
      </c>
      <c r="N215" s="116">
        <f t="shared" si="40"/>
        <v>2334616.7400000002</v>
      </c>
      <c r="O215" s="123">
        <f t="shared" si="41"/>
        <v>45.995049844359514</v>
      </c>
      <c r="P215" s="5"/>
      <c r="Q215" s="5">
        <f t="shared" si="34"/>
        <v>1</v>
      </c>
      <c r="R215" s="7">
        <f t="shared" si="35"/>
        <v>50758</v>
      </c>
      <c r="S215" s="5">
        <f t="shared" si="36"/>
        <v>1</v>
      </c>
      <c r="T215" s="7">
        <f t="shared" si="37"/>
        <v>50758</v>
      </c>
    </row>
    <row r="216" spans="1:20">
      <c r="A216" s="23" t="s">
        <v>254</v>
      </c>
      <c r="B216" s="37" t="s">
        <v>233</v>
      </c>
      <c r="C216" s="36">
        <v>36171</v>
      </c>
      <c r="D216" s="6"/>
      <c r="E216" s="113">
        <v>1342922464</v>
      </c>
      <c r="F216" s="116">
        <f t="shared" si="38"/>
        <v>37127.048298360562</v>
      </c>
      <c r="G216" s="117">
        <v>1002056843</v>
      </c>
      <c r="H216" s="117">
        <f t="shared" si="32"/>
        <v>27703.32152829615</v>
      </c>
      <c r="I216" s="7"/>
      <c r="J216" s="10">
        <v>7.8</v>
      </c>
      <c r="K216" s="117">
        <v>7816043</v>
      </c>
      <c r="L216" s="120">
        <f t="shared" si="33"/>
        <v>216.08589754222996</v>
      </c>
      <c r="M216" s="122">
        <f t="shared" si="39"/>
        <v>10020568.43</v>
      </c>
      <c r="N216" s="116">
        <f t="shared" si="40"/>
        <v>2204525.4299999997</v>
      </c>
      <c r="O216" s="123">
        <f t="shared" si="41"/>
        <v>60.947317740731521</v>
      </c>
      <c r="P216" s="5"/>
      <c r="Q216" s="5">
        <f t="shared" si="34"/>
        <v>1</v>
      </c>
      <c r="R216" s="7">
        <f t="shared" si="35"/>
        <v>36171</v>
      </c>
      <c r="S216" s="5">
        <f t="shared" si="36"/>
        <v>1</v>
      </c>
      <c r="T216" s="7">
        <f t="shared" si="37"/>
        <v>36171</v>
      </c>
    </row>
    <row r="217" spans="1:20">
      <c r="A217" s="23" t="s">
        <v>255</v>
      </c>
      <c r="B217" s="37" t="s">
        <v>233</v>
      </c>
      <c r="C217" s="36">
        <v>16160</v>
      </c>
      <c r="D217" s="6"/>
      <c r="E217" s="113">
        <v>466960188</v>
      </c>
      <c r="F217" s="116">
        <f t="shared" si="38"/>
        <v>28896.051237623764</v>
      </c>
      <c r="G217" s="117">
        <v>364133042</v>
      </c>
      <c r="H217" s="117">
        <f t="shared" si="32"/>
        <v>22532.985272277227</v>
      </c>
      <c r="I217" s="7"/>
      <c r="J217" s="10">
        <v>9.8000000000000007</v>
      </c>
      <c r="K217" s="117">
        <v>3568503</v>
      </c>
      <c r="L217" s="120">
        <f t="shared" si="33"/>
        <v>220.82320544554455</v>
      </c>
      <c r="M217" s="122">
        <f t="shared" si="39"/>
        <v>3641330.42</v>
      </c>
      <c r="N217" s="116">
        <f t="shared" si="40"/>
        <v>72827.419999999925</v>
      </c>
      <c r="O217" s="123">
        <f t="shared" si="41"/>
        <v>4.5066472772277182</v>
      </c>
      <c r="P217" s="5"/>
      <c r="Q217" s="5">
        <f t="shared" si="34"/>
        <v>1</v>
      </c>
      <c r="R217" s="7">
        <f t="shared" si="35"/>
        <v>16160</v>
      </c>
      <c r="S217" s="5">
        <f t="shared" si="36"/>
        <v>1</v>
      </c>
      <c r="T217" s="7">
        <f t="shared" si="37"/>
        <v>16160</v>
      </c>
    </row>
    <row r="218" spans="1:20">
      <c r="A218" s="23" t="s">
        <v>257</v>
      </c>
      <c r="B218" s="37" t="s">
        <v>233</v>
      </c>
      <c r="C218" s="36">
        <v>10527</v>
      </c>
      <c r="D218" s="6"/>
      <c r="E218" s="113">
        <v>776500963</v>
      </c>
      <c r="F218" s="116">
        <f t="shared" si="38"/>
        <v>73762.796903201292</v>
      </c>
      <c r="G218" s="117">
        <v>537430139</v>
      </c>
      <c r="H218" s="117">
        <f t="shared" si="32"/>
        <v>51052.544789588675</v>
      </c>
      <c r="I218" s="7"/>
      <c r="J218" s="10">
        <v>6.8</v>
      </c>
      <c r="K218" s="117">
        <v>3654524</v>
      </c>
      <c r="L218" s="120">
        <f t="shared" si="33"/>
        <v>347.15721478103922</v>
      </c>
      <c r="M218" s="122">
        <f t="shared" si="39"/>
        <v>5374301.3899999997</v>
      </c>
      <c r="N218" s="116">
        <f t="shared" si="40"/>
        <v>1719777.3899999997</v>
      </c>
      <c r="O218" s="123">
        <f t="shared" si="41"/>
        <v>163.3682331148475</v>
      </c>
      <c r="P218" s="5"/>
      <c r="Q218" s="5">
        <f t="shared" si="34"/>
        <v>1</v>
      </c>
      <c r="R218" s="7">
        <f t="shared" si="35"/>
        <v>10527</v>
      </c>
      <c r="S218" s="5">
        <f t="shared" si="36"/>
        <v>1</v>
      </c>
      <c r="T218" s="7">
        <f t="shared" si="37"/>
        <v>10527</v>
      </c>
    </row>
    <row r="219" spans="1:20">
      <c r="A219" s="23" t="s">
        <v>259</v>
      </c>
      <c r="B219" s="37" t="s">
        <v>233</v>
      </c>
      <c r="C219" s="36">
        <v>4270</v>
      </c>
      <c r="D219" s="6"/>
      <c r="E219" s="113">
        <v>411674238</v>
      </c>
      <c r="F219" s="116">
        <f t="shared" si="38"/>
        <v>96410.828571428574</v>
      </c>
      <c r="G219" s="117">
        <v>366644359</v>
      </c>
      <c r="H219" s="117">
        <f t="shared" ref="H219:H282" si="42">(G219/C219)</f>
        <v>85865.189461358314</v>
      </c>
      <c r="I219" s="7"/>
      <c r="J219" s="10">
        <v>5.6029999999999998</v>
      </c>
      <c r="K219" s="117">
        <v>2054308</v>
      </c>
      <c r="L219" s="120">
        <f t="shared" ref="L219:L282" si="43">(K219/C219)</f>
        <v>481.10257611241218</v>
      </c>
      <c r="M219" s="122">
        <f t="shared" si="39"/>
        <v>3666443.59</v>
      </c>
      <c r="N219" s="116">
        <f t="shared" si="40"/>
        <v>1612135.5899999999</v>
      </c>
      <c r="O219" s="123">
        <f t="shared" si="41"/>
        <v>377.54931850117094</v>
      </c>
      <c r="P219" s="5"/>
      <c r="Q219" s="5">
        <f t="shared" si="34"/>
        <v>1</v>
      </c>
      <c r="R219" s="7">
        <f t="shared" si="35"/>
        <v>4270</v>
      </c>
      <c r="S219" s="5">
        <f t="shared" si="36"/>
        <v>1</v>
      </c>
      <c r="T219" s="7">
        <f t="shared" si="37"/>
        <v>4270</v>
      </c>
    </row>
    <row r="220" spans="1:20">
      <c r="A220" s="23" t="s">
        <v>260</v>
      </c>
      <c r="B220" s="37" t="s">
        <v>233</v>
      </c>
      <c r="C220" s="36">
        <v>14060</v>
      </c>
      <c r="D220" s="6"/>
      <c r="E220" s="113">
        <v>236830982</v>
      </c>
      <c r="F220" s="116">
        <f t="shared" si="38"/>
        <v>16844.308819345661</v>
      </c>
      <c r="G220" s="117">
        <v>189559586</v>
      </c>
      <c r="H220" s="117">
        <f t="shared" si="42"/>
        <v>13482.189615931722</v>
      </c>
      <c r="I220" s="7"/>
      <c r="J220" s="10">
        <v>3.84</v>
      </c>
      <c r="K220" s="117">
        <v>727908</v>
      </c>
      <c r="L220" s="120">
        <f t="shared" si="43"/>
        <v>51.771550497866286</v>
      </c>
      <c r="M220" s="122">
        <f t="shared" si="39"/>
        <v>1895595.86</v>
      </c>
      <c r="N220" s="116">
        <f t="shared" si="40"/>
        <v>1167687.8600000001</v>
      </c>
      <c r="O220" s="123">
        <f t="shared" si="41"/>
        <v>83.050345661450933</v>
      </c>
      <c r="P220" s="5"/>
      <c r="Q220" s="5">
        <f t="shared" si="34"/>
        <v>1</v>
      </c>
      <c r="R220" s="7">
        <f t="shared" si="35"/>
        <v>14060</v>
      </c>
      <c r="S220" s="5">
        <f t="shared" si="36"/>
        <v>1</v>
      </c>
      <c r="T220" s="7">
        <f t="shared" si="37"/>
        <v>14060</v>
      </c>
    </row>
    <row r="221" spans="1:20">
      <c r="A221" s="23" t="s">
        <v>261</v>
      </c>
      <c r="B221" s="37" t="s">
        <v>233</v>
      </c>
      <c r="C221" s="36">
        <v>2272</v>
      </c>
      <c r="D221" s="6"/>
      <c r="E221" s="113">
        <v>85202912</v>
      </c>
      <c r="F221" s="116">
        <f t="shared" si="38"/>
        <v>37501.281690140844</v>
      </c>
      <c r="G221" s="117">
        <v>71854087</v>
      </c>
      <c r="H221" s="117">
        <f t="shared" si="42"/>
        <v>31625.918573943662</v>
      </c>
      <c r="I221" s="7"/>
      <c r="J221" s="10">
        <v>3.2949999999999999</v>
      </c>
      <c r="K221" s="117">
        <v>236759</v>
      </c>
      <c r="L221" s="120">
        <f t="shared" si="43"/>
        <v>104.20730633802818</v>
      </c>
      <c r="M221" s="122">
        <f t="shared" si="39"/>
        <v>718540.87</v>
      </c>
      <c r="N221" s="116">
        <f t="shared" si="40"/>
        <v>481781.87</v>
      </c>
      <c r="O221" s="123">
        <f t="shared" si="41"/>
        <v>212.05187940140846</v>
      </c>
      <c r="P221" s="5"/>
      <c r="Q221" s="5">
        <f t="shared" si="34"/>
        <v>1</v>
      </c>
      <c r="R221" s="7">
        <f t="shared" si="35"/>
        <v>2272</v>
      </c>
      <c r="S221" s="5">
        <f t="shared" si="36"/>
        <v>1</v>
      </c>
      <c r="T221" s="7">
        <f t="shared" si="37"/>
        <v>2272</v>
      </c>
    </row>
    <row r="222" spans="1:20">
      <c r="A222" s="23" t="s">
        <v>262</v>
      </c>
      <c r="B222" s="37" t="s">
        <v>233</v>
      </c>
      <c r="C222" s="36">
        <v>5837</v>
      </c>
      <c r="D222" s="6"/>
      <c r="E222" s="113">
        <v>192942569</v>
      </c>
      <c r="F222" s="116">
        <f t="shared" si="38"/>
        <v>33055.091485352066</v>
      </c>
      <c r="G222" s="117">
        <v>155497899</v>
      </c>
      <c r="H222" s="117">
        <f t="shared" si="42"/>
        <v>26640.037519273599</v>
      </c>
      <c r="I222" s="7"/>
      <c r="J222" s="10">
        <v>8.4949999999999992</v>
      </c>
      <c r="K222" s="117">
        <v>1320954</v>
      </c>
      <c r="L222" s="120">
        <f t="shared" si="43"/>
        <v>226.30700702415623</v>
      </c>
      <c r="M222" s="122">
        <f t="shared" si="39"/>
        <v>1554978.99</v>
      </c>
      <c r="N222" s="116">
        <f t="shared" si="40"/>
        <v>234024.99</v>
      </c>
      <c r="O222" s="123">
        <f t="shared" si="41"/>
        <v>40.093368168579751</v>
      </c>
      <c r="P222" s="5"/>
      <c r="Q222" s="5">
        <f t="shared" si="34"/>
        <v>1</v>
      </c>
      <c r="R222" s="7">
        <f t="shared" si="35"/>
        <v>5837</v>
      </c>
      <c r="S222" s="5">
        <f t="shared" si="36"/>
        <v>1</v>
      </c>
      <c r="T222" s="7">
        <f t="shared" si="37"/>
        <v>5837</v>
      </c>
    </row>
    <row r="223" spans="1:20">
      <c r="A223" s="23" t="s">
        <v>265</v>
      </c>
      <c r="B223" s="37" t="s">
        <v>264</v>
      </c>
      <c r="C223" s="36">
        <v>1049</v>
      </c>
      <c r="D223" s="6"/>
      <c r="E223" s="113">
        <v>223398604</v>
      </c>
      <c r="F223" s="116">
        <f t="shared" si="38"/>
        <v>212963.39752144899</v>
      </c>
      <c r="G223" s="117">
        <v>213087766</v>
      </c>
      <c r="H223" s="117">
        <f t="shared" si="42"/>
        <v>203134.1906577693</v>
      </c>
      <c r="I223" s="7"/>
      <c r="J223" s="10">
        <v>1.5848</v>
      </c>
      <c r="K223" s="117">
        <v>337701</v>
      </c>
      <c r="L223" s="120">
        <f t="shared" si="43"/>
        <v>321.92659675881794</v>
      </c>
      <c r="M223" s="122">
        <f t="shared" si="39"/>
        <v>2130877.66</v>
      </c>
      <c r="N223" s="116">
        <f t="shared" si="40"/>
        <v>1793176.6600000001</v>
      </c>
      <c r="O223" s="123">
        <f t="shared" si="41"/>
        <v>1709.4153098188754</v>
      </c>
      <c r="P223" s="5"/>
      <c r="Q223" s="5">
        <f t="shared" si="34"/>
        <v>1</v>
      </c>
      <c r="R223" s="7">
        <f t="shared" si="35"/>
        <v>1049</v>
      </c>
      <c r="S223" s="5">
        <f t="shared" si="36"/>
        <v>1</v>
      </c>
      <c r="T223" s="7">
        <f t="shared" si="37"/>
        <v>1049</v>
      </c>
    </row>
    <row r="224" spans="1:20">
      <c r="A224" s="23" t="s">
        <v>266</v>
      </c>
      <c r="B224" s="37" t="s">
        <v>264</v>
      </c>
      <c r="C224" s="36">
        <v>26842</v>
      </c>
      <c r="D224" s="6"/>
      <c r="E224" s="113">
        <v>3581882690</v>
      </c>
      <c r="F224" s="116">
        <f t="shared" si="38"/>
        <v>133443.21175769318</v>
      </c>
      <c r="G224" s="117">
        <v>1805334415</v>
      </c>
      <c r="H224" s="117">
        <f t="shared" si="42"/>
        <v>67257.820393413305</v>
      </c>
      <c r="I224" s="7"/>
      <c r="J224" s="10">
        <v>4.2172000000000001</v>
      </c>
      <c r="K224" s="117">
        <v>7613456</v>
      </c>
      <c r="L224" s="120">
        <f t="shared" si="43"/>
        <v>283.63966917517325</v>
      </c>
      <c r="M224" s="122">
        <f t="shared" si="39"/>
        <v>18053344.150000002</v>
      </c>
      <c r="N224" s="116">
        <f t="shared" si="40"/>
        <v>10439888.150000002</v>
      </c>
      <c r="O224" s="123">
        <f t="shared" si="41"/>
        <v>388.93853475895992</v>
      </c>
      <c r="P224" s="5"/>
      <c r="Q224" s="5">
        <f t="shared" si="34"/>
        <v>1</v>
      </c>
      <c r="R224" s="7">
        <f t="shared" si="35"/>
        <v>26842</v>
      </c>
      <c r="S224" s="5">
        <f t="shared" si="36"/>
        <v>1</v>
      </c>
      <c r="T224" s="7">
        <f t="shared" si="37"/>
        <v>26842</v>
      </c>
    </row>
    <row r="225" spans="1:20">
      <c r="A225" s="23" t="s">
        <v>267</v>
      </c>
      <c r="B225" s="37" t="s">
        <v>264</v>
      </c>
      <c r="C225" s="36">
        <v>200</v>
      </c>
      <c r="D225" s="6"/>
      <c r="E225" s="113">
        <v>22297107</v>
      </c>
      <c r="F225" s="116">
        <f t="shared" si="38"/>
        <v>111485.535</v>
      </c>
      <c r="G225" s="117">
        <v>18711318</v>
      </c>
      <c r="H225" s="117">
        <f t="shared" si="42"/>
        <v>93556.59</v>
      </c>
      <c r="I225" s="7"/>
      <c r="J225" s="10">
        <v>1.0443</v>
      </c>
      <c r="K225" s="117">
        <v>19540</v>
      </c>
      <c r="L225" s="120">
        <f t="shared" si="43"/>
        <v>97.7</v>
      </c>
      <c r="M225" s="122">
        <f t="shared" si="39"/>
        <v>187113.18</v>
      </c>
      <c r="N225" s="116">
        <f t="shared" si="40"/>
        <v>167573.18</v>
      </c>
      <c r="O225" s="123">
        <f t="shared" si="41"/>
        <v>837.86590000000001</v>
      </c>
      <c r="P225" s="5"/>
      <c r="Q225" s="5">
        <f t="shared" si="34"/>
        <v>1</v>
      </c>
      <c r="R225" s="7">
        <f t="shared" si="35"/>
        <v>200</v>
      </c>
      <c r="S225" s="5">
        <f t="shared" si="36"/>
        <v>1</v>
      </c>
      <c r="T225" s="7">
        <f t="shared" si="37"/>
        <v>200</v>
      </c>
    </row>
    <row r="226" spans="1:20">
      <c r="A226" s="23" t="s">
        <v>268</v>
      </c>
      <c r="B226" s="37" t="s">
        <v>269</v>
      </c>
      <c r="C226" s="36">
        <v>985</v>
      </c>
      <c r="D226" s="6"/>
      <c r="E226" s="113">
        <v>45626157</v>
      </c>
      <c r="F226" s="116">
        <f t="shared" si="38"/>
        <v>46320.97157360406</v>
      </c>
      <c r="G226" s="117">
        <v>28294928</v>
      </c>
      <c r="H226" s="117">
        <f t="shared" si="42"/>
        <v>28725.815228426396</v>
      </c>
      <c r="I226" s="7"/>
      <c r="J226" s="10">
        <v>2.7887</v>
      </c>
      <c r="K226" s="117">
        <v>78906</v>
      </c>
      <c r="L226" s="120">
        <f t="shared" si="43"/>
        <v>80.107614213197976</v>
      </c>
      <c r="M226" s="122">
        <f t="shared" si="39"/>
        <v>282949.28000000003</v>
      </c>
      <c r="N226" s="116">
        <f t="shared" si="40"/>
        <v>204043.28000000003</v>
      </c>
      <c r="O226" s="123">
        <f t="shared" si="41"/>
        <v>207.15053807106602</v>
      </c>
      <c r="P226" s="5"/>
      <c r="Q226" s="5">
        <f t="shared" si="34"/>
        <v>1</v>
      </c>
      <c r="R226" s="7">
        <f t="shared" si="35"/>
        <v>985</v>
      </c>
      <c r="S226" s="5">
        <f t="shared" si="36"/>
        <v>1</v>
      </c>
      <c r="T226" s="7">
        <f t="shared" si="37"/>
        <v>985</v>
      </c>
    </row>
    <row r="227" spans="1:20">
      <c r="A227" s="23" t="s">
        <v>270</v>
      </c>
      <c r="B227" s="37" t="s">
        <v>269</v>
      </c>
      <c r="C227" s="36">
        <v>9673</v>
      </c>
      <c r="D227" s="6"/>
      <c r="E227" s="113">
        <v>737362466</v>
      </c>
      <c r="F227" s="116">
        <f t="shared" si="38"/>
        <v>76228.932699265992</v>
      </c>
      <c r="G227" s="117">
        <v>564363577</v>
      </c>
      <c r="H227" s="117">
        <f t="shared" si="42"/>
        <v>58344.213480822909</v>
      </c>
      <c r="I227" s="7"/>
      <c r="J227" s="10">
        <v>6.9477000000000002</v>
      </c>
      <c r="K227" s="117">
        <v>3921028</v>
      </c>
      <c r="L227" s="120">
        <f t="shared" si="43"/>
        <v>405.35800682311589</v>
      </c>
      <c r="M227" s="122">
        <f t="shared" si="39"/>
        <v>5643635.7700000005</v>
      </c>
      <c r="N227" s="116">
        <f t="shared" si="40"/>
        <v>1722607.7700000005</v>
      </c>
      <c r="O227" s="123">
        <f t="shared" si="41"/>
        <v>178.08412798511324</v>
      </c>
      <c r="P227" s="5"/>
      <c r="Q227" s="5">
        <f t="shared" si="34"/>
        <v>1</v>
      </c>
      <c r="R227" s="7">
        <f t="shared" si="35"/>
        <v>9673</v>
      </c>
      <c r="S227" s="5">
        <f t="shared" si="36"/>
        <v>1</v>
      </c>
      <c r="T227" s="7">
        <f t="shared" si="37"/>
        <v>9673</v>
      </c>
    </row>
    <row r="228" spans="1:20">
      <c r="A228" s="23" t="s">
        <v>271</v>
      </c>
      <c r="B228" s="37" t="s">
        <v>269</v>
      </c>
      <c r="C228" s="36">
        <v>2492</v>
      </c>
      <c r="D228" s="6"/>
      <c r="E228" s="113">
        <v>170300462</v>
      </c>
      <c r="F228" s="116">
        <f t="shared" si="38"/>
        <v>68338.869181380418</v>
      </c>
      <c r="G228" s="117">
        <v>29562889</v>
      </c>
      <c r="H228" s="117">
        <f t="shared" si="42"/>
        <v>11863.117576243982</v>
      </c>
      <c r="I228" s="7"/>
      <c r="J228" s="10">
        <v>0.84699999999999998</v>
      </c>
      <c r="K228" s="117">
        <v>25039</v>
      </c>
      <c r="L228" s="120">
        <f t="shared" si="43"/>
        <v>10.047752808988765</v>
      </c>
      <c r="M228" s="122">
        <f t="shared" si="39"/>
        <v>295628.89</v>
      </c>
      <c r="N228" s="116">
        <f t="shared" si="40"/>
        <v>270589.89</v>
      </c>
      <c r="O228" s="123">
        <f t="shared" si="41"/>
        <v>108.58342295345105</v>
      </c>
      <c r="P228" s="5"/>
      <c r="Q228" s="5">
        <f t="shared" si="34"/>
        <v>1</v>
      </c>
      <c r="R228" s="7">
        <f t="shared" si="35"/>
        <v>2492</v>
      </c>
      <c r="S228" s="5">
        <f t="shared" si="36"/>
        <v>1</v>
      </c>
      <c r="T228" s="7">
        <f t="shared" si="37"/>
        <v>2492</v>
      </c>
    </row>
    <row r="229" spans="1:20">
      <c r="A229" s="23" t="s">
        <v>272</v>
      </c>
      <c r="B229" s="37" t="s">
        <v>273</v>
      </c>
      <c r="C229" s="36">
        <v>390</v>
      </c>
      <c r="D229" s="6"/>
      <c r="E229" s="113">
        <v>30587463</v>
      </c>
      <c r="F229" s="116">
        <f t="shared" si="38"/>
        <v>78429.392307692309</v>
      </c>
      <c r="G229" s="117">
        <v>26211701</v>
      </c>
      <c r="H229" s="117">
        <f t="shared" si="42"/>
        <v>67209.489743589744</v>
      </c>
      <c r="I229" s="7"/>
      <c r="J229" s="10">
        <v>2.35</v>
      </c>
      <c r="K229" s="117">
        <v>61597</v>
      </c>
      <c r="L229" s="120">
        <f t="shared" si="43"/>
        <v>157.94102564102565</v>
      </c>
      <c r="M229" s="122">
        <f t="shared" si="39"/>
        <v>262117.01</v>
      </c>
      <c r="N229" s="116">
        <f t="shared" si="40"/>
        <v>200520.01</v>
      </c>
      <c r="O229" s="123">
        <f t="shared" si="41"/>
        <v>514.15387179487186</v>
      </c>
      <c r="P229" s="5"/>
      <c r="Q229" s="5">
        <f t="shared" si="34"/>
        <v>1</v>
      </c>
      <c r="R229" s="7">
        <f t="shared" si="35"/>
        <v>390</v>
      </c>
      <c r="S229" s="5">
        <f t="shared" si="36"/>
        <v>1</v>
      </c>
      <c r="T229" s="7">
        <f t="shared" si="37"/>
        <v>390</v>
      </c>
    </row>
    <row r="230" spans="1:20">
      <c r="A230" s="23" t="s">
        <v>274</v>
      </c>
      <c r="B230" s="37" t="s">
        <v>273</v>
      </c>
      <c r="C230" s="36">
        <v>12155</v>
      </c>
      <c r="D230" s="6"/>
      <c r="E230" s="113">
        <v>326916654</v>
      </c>
      <c r="F230" s="116">
        <f t="shared" si="38"/>
        <v>26895.652324146442</v>
      </c>
      <c r="G230" s="117">
        <v>223654950</v>
      </c>
      <c r="H230" s="117">
        <f t="shared" si="42"/>
        <v>18400.242698477992</v>
      </c>
      <c r="I230" s="7"/>
      <c r="J230" s="10">
        <v>5.09</v>
      </c>
      <c r="K230" s="117">
        <v>1138403</v>
      </c>
      <c r="L230" s="120">
        <f t="shared" si="43"/>
        <v>93.657178116001646</v>
      </c>
      <c r="M230" s="122">
        <f t="shared" si="39"/>
        <v>2236549.5</v>
      </c>
      <c r="N230" s="116">
        <f t="shared" si="40"/>
        <v>1098146.5</v>
      </c>
      <c r="O230" s="123">
        <f t="shared" si="41"/>
        <v>90.345248868778285</v>
      </c>
      <c r="P230" s="5"/>
      <c r="Q230" s="5">
        <f t="shared" si="34"/>
        <v>1</v>
      </c>
      <c r="R230" s="7">
        <f t="shared" si="35"/>
        <v>12155</v>
      </c>
      <c r="S230" s="5">
        <f t="shared" si="36"/>
        <v>1</v>
      </c>
      <c r="T230" s="7">
        <f t="shared" si="37"/>
        <v>12155</v>
      </c>
    </row>
    <row r="231" spans="1:20">
      <c r="A231" s="23" t="s">
        <v>275</v>
      </c>
      <c r="B231" s="37" t="s">
        <v>273</v>
      </c>
      <c r="C231" s="36">
        <v>9381</v>
      </c>
      <c r="D231" s="6"/>
      <c r="E231" s="113">
        <v>1259688696</v>
      </c>
      <c r="F231" s="116">
        <f t="shared" si="38"/>
        <v>134280.85449312441</v>
      </c>
      <c r="G231" s="117">
        <v>1096019392</v>
      </c>
      <c r="H231" s="117">
        <f t="shared" si="42"/>
        <v>116833.96141136339</v>
      </c>
      <c r="I231" s="7"/>
      <c r="J231" s="10">
        <v>1.4817</v>
      </c>
      <c r="K231" s="117">
        <v>1623971</v>
      </c>
      <c r="L231" s="120">
        <f t="shared" si="43"/>
        <v>173.11278115339516</v>
      </c>
      <c r="M231" s="122">
        <f t="shared" si="39"/>
        <v>10960193.92</v>
      </c>
      <c r="N231" s="116">
        <f t="shared" si="40"/>
        <v>9336222.9199999999</v>
      </c>
      <c r="O231" s="123">
        <f t="shared" si="41"/>
        <v>995.22683296023877</v>
      </c>
      <c r="P231" s="5"/>
      <c r="Q231" s="5">
        <f t="shared" si="34"/>
        <v>1</v>
      </c>
      <c r="R231" s="7">
        <f t="shared" si="35"/>
        <v>9381</v>
      </c>
      <c r="S231" s="5">
        <f t="shared" si="36"/>
        <v>1</v>
      </c>
      <c r="T231" s="7">
        <f t="shared" si="37"/>
        <v>9381</v>
      </c>
    </row>
    <row r="232" spans="1:20">
      <c r="A232" s="23" t="s">
        <v>276</v>
      </c>
      <c r="B232" s="37" t="s">
        <v>273</v>
      </c>
      <c r="C232" s="36">
        <v>22003</v>
      </c>
      <c r="D232" s="6"/>
      <c r="E232" s="113">
        <v>819741821</v>
      </c>
      <c r="F232" s="116">
        <f t="shared" si="38"/>
        <v>37255.911512066537</v>
      </c>
      <c r="G232" s="117">
        <v>603273043</v>
      </c>
      <c r="H232" s="117">
        <f t="shared" si="42"/>
        <v>27417.763168658817</v>
      </c>
      <c r="I232" s="7"/>
      <c r="J232" s="11">
        <v>4.97</v>
      </c>
      <c r="K232" s="117">
        <v>2998267</v>
      </c>
      <c r="L232" s="120">
        <f t="shared" si="43"/>
        <v>136.26628187065401</v>
      </c>
      <c r="M232" s="122">
        <f t="shared" si="39"/>
        <v>6032730.4299999997</v>
      </c>
      <c r="N232" s="116">
        <f t="shared" si="40"/>
        <v>3034463.4299999997</v>
      </c>
      <c r="O232" s="123">
        <f t="shared" si="41"/>
        <v>137.91134981593419</v>
      </c>
      <c r="P232" s="5"/>
      <c r="Q232" s="5">
        <f t="shared" si="34"/>
        <v>1</v>
      </c>
      <c r="R232" s="7">
        <f t="shared" si="35"/>
        <v>22003</v>
      </c>
      <c r="S232" s="5">
        <f t="shared" si="36"/>
        <v>1</v>
      </c>
      <c r="T232" s="7">
        <f t="shared" si="37"/>
        <v>22003</v>
      </c>
    </row>
    <row r="233" spans="1:20">
      <c r="A233" s="23" t="s">
        <v>277</v>
      </c>
      <c r="B233" s="37" t="s">
        <v>273</v>
      </c>
      <c r="C233" s="36">
        <v>584</v>
      </c>
      <c r="D233" s="6"/>
      <c r="E233" s="113">
        <v>8056824</v>
      </c>
      <c r="F233" s="116">
        <f t="shared" si="38"/>
        <v>13795.931506849314</v>
      </c>
      <c r="G233" s="117">
        <v>3566240</v>
      </c>
      <c r="H233" s="117">
        <f t="shared" si="42"/>
        <v>6106.5753424657532</v>
      </c>
      <c r="I233" s="98" t="s">
        <v>528</v>
      </c>
      <c r="J233" s="10"/>
      <c r="K233" s="117"/>
      <c r="L233" s="120"/>
      <c r="M233" s="122">
        <f t="shared" si="39"/>
        <v>35662.400000000001</v>
      </c>
      <c r="N233" s="116">
        <f t="shared" si="40"/>
        <v>35662.400000000001</v>
      </c>
      <c r="O233" s="123">
        <f t="shared" si="41"/>
        <v>61.065753424657537</v>
      </c>
      <c r="P233" s="5"/>
      <c r="Q233" s="5">
        <f t="shared" si="34"/>
        <v>1</v>
      </c>
      <c r="R233" s="7">
        <f t="shared" si="35"/>
        <v>584</v>
      </c>
      <c r="S233" s="5">
        <f t="shared" si="36"/>
        <v>0</v>
      </c>
      <c r="T233" s="7">
        <f t="shared" si="37"/>
        <v>0</v>
      </c>
    </row>
    <row r="234" spans="1:20">
      <c r="A234" s="23" t="s">
        <v>278</v>
      </c>
      <c r="B234" s="37" t="s">
        <v>273</v>
      </c>
      <c r="C234" s="36">
        <v>4347</v>
      </c>
      <c r="D234" s="6"/>
      <c r="E234" s="113">
        <v>219217845</v>
      </c>
      <c r="F234" s="116">
        <f t="shared" si="38"/>
        <v>50429.685990338163</v>
      </c>
      <c r="G234" s="117">
        <v>171169939</v>
      </c>
      <c r="H234" s="117">
        <f t="shared" si="42"/>
        <v>39376.567517828385</v>
      </c>
      <c r="I234" s="7"/>
      <c r="J234" s="10">
        <v>2.7759999999999998</v>
      </c>
      <c r="K234" s="117">
        <v>475167</v>
      </c>
      <c r="L234" s="120">
        <f t="shared" si="43"/>
        <v>109.30917874396135</v>
      </c>
      <c r="M234" s="122">
        <f t="shared" si="39"/>
        <v>1711699.3900000001</v>
      </c>
      <c r="N234" s="116">
        <f t="shared" si="40"/>
        <v>1236532.3900000001</v>
      </c>
      <c r="O234" s="123">
        <f t="shared" si="41"/>
        <v>284.45649643432256</v>
      </c>
      <c r="P234" s="5"/>
      <c r="Q234" s="5">
        <f t="shared" si="34"/>
        <v>1</v>
      </c>
      <c r="R234" s="7">
        <f t="shared" si="35"/>
        <v>4347</v>
      </c>
      <c r="S234" s="5">
        <f t="shared" si="36"/>
        <v>1</v>
      </c>
      <c r="T234" s="7">
        <f t="shared" si="37"/>
        <v>4347</v>
      </c>
    </row>
    <row r="235" spans="1:20">
      <c r="A235" s="23" t="s">
        <v>279</v>
      </c>
      <c r="B235" s="37" t="s">
        <v>273</v>
      </c>
      <c r="C235" s="36">
        <v>11575</v>
      </c>
      <c r="D235" s="6"/>
      <c r="E235" s="113">
        <v>393947889</v>
      </c>
      <c r="F235" s="116">
        <f t="shared" si="38"/>
        <v>34034.374859611235</v>
      </c>
      <c r="G235" s="117">
        <v>292149769</v>
      </c>
      <c r="H235" s="117">
        <f t="shared" si="42"/>
        <v>25239.720863930885</v>
      </c>
      <c r="I235" s="7"/>
      <c r="J235" s="10">
        <v>2.78</v>
      </c>
      <c r="K235" s="117">
        <v>812176</v>
      </c>
      <c r="L235" s="120">
        <f t="shared" si="43"/>
        <v>70.166393088552923</v>
      </c>
      <c r="M235" s="122">
        <f t="shared" si="39"/>
        <v>2921497.69</v>
      </c>
      <c r="N235" s="116">
        <f t="shared" si="40"/>
        <v>2109321.69</v>
      </c>
      <c r="O235" s="123">
        <f t="shared" si="41"/>
        <v>182.23081555075592</v>
      </c>
      <c r="P235" s="5"/>
      <c r="Q235" s="5">
        <f t="shared" si="34"/>
        <v>1</v>
      </c>
      <c r="R235" s="7">
        <f t="shared" si="35"/>
        <v>11575</v>
      </c>
      <c r="S235" s="5">
        <f t="shared" si="36"/>
        <v>1</v>
      </c>
      <c r="T235" s="7">
        <f t="shared" si="37"/>
        <v>11575</v>
      </c>
    </row>
    <row r="236" spans="1:20">
      <c r="A236" s="23" t="s">
        <v>280</v>
      </c>
      <c r="B236" s="35" t="s">
        <v>273</v>
      </c>
      <c r="C236" s="36">
        <v>612</v>
      </c>
      <c r="D236" s="6"/>
      <c r="E236" s="113">
        <v>51217966</v>
      </c>
      <c r="F236" s="116">
        <f t="shared" si="38"/>
        <v>83689.486928104569</v>
      </c>
      <c r="G236" s="117">
        <v>41879129</v>
      </c>
      <c r="H236" s="117">
        <f t="shared" si="42"/>
        <v>68429.949346405236</v>
      </c>
      <c r="I236" s="7"/>
      <c r="J236" s="11">
        <v>3.2</v>
      </c>
      <c r="K236" s="117">
        <v>134013</v>
      </c>
      <c r="L236" s="120">
        <f t="shared" si="43"/>
        <v>218.97549019607843</v>
      </c>
      <c r="M236" s="122">
        <f t="shared" si="39"/>
        <v>418791.29000000004</v>
      </c>
      <c r="N236" s="116">
        <f t="shared" si="40"/>
        <v>284778.29000000004</v>
      </c>
      <c r="O236" s="123">
        <f t="shared" si="41"/>
        <v>465.32400326797392</v>
      </c>
      <c r="P236" s="5"/>
      <c r="Q236" s="5">
        <f t="shared" si="34"/>
        <v>1</v>
      </c>
      <c r="R236" s="7">
        <f t="shared" si="35"/>
        <v>612</v>
      </c>
      <c r="S236" s="5">
        <f t="shared" si="36"/>
        <v>1</v>
      </c>
      <c r="T236" s="7">
        <f t="shared" si="37"/>
        <v>612</v>
      </c>
    </row>
    <row r="237" spans="1:20">
      <c r="A237" s="23" t="s">
        <v>281</v>
      </c>
      <c r="B237" s="35" t="s">
        <v>273</v>
      </c>
      <c r="C237" s="36">
        <v>6534</v>
      </c>
      <c r="D237" s="6"/>
      <c r="E237" s="113">
        <v>146897508</v>
      </c>
      <c r="F237" s="116">
        <f t="shared" si="38"/>
        <v>22482.018365472912</v>
      </c>
      <c r="G237" s="117">
        <v>97504005</v>
      </c>
      <c r="H237" s="117">
        <f t="shared" si="42"/>
        <v>14922.559687786961</v>
      </c>
      <c r="I237" s="7"/>
      <c r="J237" s="10">
        <v>2.75</v>
      </c>
      <c r="K237" s="117">
        <v>268136</v>
      </c>
      <c r="L237" s="120">
        <f t="shared" si="43"/>
        <v>41.037037037037038</v>
      </c>
      <c r="M237" s="122">
        <f t="shared" si="39"/>
        <v>975040.05</v>
      </c>
      <c r="N237" s="116">
        <f t="shared" si="40"/>
        <v>706904.05</v>
      </c>
      <c r="O237" s="123">
        <f t="shared" si="41"/>
        <v>108.18855984083258</v>
      </c>
      <c r="P237" s="5"/>
      <c r="Q237" s="5">
        <f t="shared" si="34"/>
        <v>1</v>
      </c>
      <c r="R237" s="7">
        <f t="shared" si="35"/>
        <v>6534</v>
      </c>
      <c r="S237" s="5">
        <f t="shared" si="36"/>
        <v>1</v>
      </c>
      <c r="T237" s="7">
        <f t="shared" si="37"/>
        <v>6534</v>
      </c>
    </row>
    <row r="238" spans="1:20">
      <c r="A238" s="23" t="s">
        <v>282</v>
      </c>
      <c r="B238" s="35" t="s">
        <v>282</v>
      </c>
      <c r="C238" s="36">
        <v>5069</v>
      </c>
      <c r="D238" s="6"/>
      <c r="E238" s="113">
        <v>208077393</v>
      </c>
      <c r="F238" s="116">
        <f t="shared" si="38"/>
        <v>41049.002367330831</v>
      </c>
      <c r="G238" s="117">
        <v>151843587</v>
      </c>
      <c r="H238" s="117">
        <f t="shared" si="42"/>
        <v>29955.333793647664</v>
      </c>
      <c r="I238" s="7"/>
      <c r="J238" s="10">
        <v>3.94</v>
      </c>
      <c r="K238" s="117">
        <v>598263</v>
      </c>
      <c r="L238" s="120">
        <f t="shared" si="43"/>
        <v>118.02387058591438</v>
      </c>
      <c r="M238" s="122">
        <f t="shared" si="39"/>
        <v>1518435.87</v>
      </c>
      <c r="N238" s="116">
        <f t="shared" si="40"/>
        <v>920172.87000000011</v>
      </c>
      <c r="O238" s="123">
        <f t="shared" si="41"/>
        <v>181.52946735056227</v>
      </c>
      <c r="P238" s="5"/>
      <c r="Q238" s="5">
        <f t="shared" si="34"/>
        <v>1</v>
      </c>
      <c r="R238" s="7">
        <f t="shared" si="35"/>
        <v>5069</v>
      </c>
      <c r="S238" s="5">
        <f t="shared" si="36"/>
        <v>1</v>
      </c>
      <c r="T238" s="7">
        <f t="shared" si="37"/>
        <v>5069</v>
      </c>
    </row>
    <row r="239" spans="1:20">
      <c r="A239" s="23" t="s">
        <v>283</v>
      </c>
      <c r="B239" s="35" t="s">
        <v>284</v>
      </c>
      <c r="C239" s="36">
        <v>18449</v>
      </c>
      <c r="D239" s="6"/>
      <c r="E239" s="113">
        <v>814105830</v>
      </c>
      <c r="F239" s="116">
        <f t="shared" si="38"/>
        <v>44127.368963087429</v>
      </c>
      <c r="G239" s="117">
        <v>608526758</v>
      </c>
      <c r="H239" s="117">
        <f t="shared" si="42"/>
        <v>32984.267873597484</v>
      </c>
      <c r="I239" s="7"/>
      <c r="J239" s="10">
        <v>3.7618999999999998</v>
      </c>
      <c r="K239" s="117">
        <v>2289216</v>
      </c>
      <c r="L239" s="120">
        <f t="shared" si="43"/>
        <v>124.08347335898965</v>
      </c>
      <c r="M239" s="122">
        <f t="shared" si="39"/>
        <v>6085267.5800000001</v>
      </c>
      <c r="N239" s="116">
        <f t="shared" si="40"/>
        <v>3796051.58</v>
      </c>
      <c r="O239" s="123">
        <f t="shared" si="41"/>
        <v>205.75920537698519</v>
      </c>
      <c r="P239" s="5"/>
      <c r="Q239" s="5">
        <f t="shared" si="34"/>
        <v>1</v>
      </c>
      <c r="R239" s="7">
        <f t="shared" si="35"/>
        <v>18449</v>
      </c>
      <c r="S239" s="5">
        <f t="shared" si="36"/>
        <v>1</v>
      </c>
      <c r="T239" s="7">
        <f t="shared" si="37"/>
        <v>18449</v>
      </c>
    </row>
    <row r="240" spans="1:20">
      <c r="A240" s="23" t="s">
        <v>285</v>
      </c>
      <c r="B240" s="35" t="s">
        <v>284</v>
      </c>
      <c r="C240" s="36">
        <v>24</v>
      </c>
      <c r="D240" s="6"/>
      <c r="E240" s="113">
        <v>3014336568</v>
      </c>
      <c r="F240" s="116">
        <f t="shared" si="38"/>
        <v>125597357</v>
      </c>
      <c r="G240" s="117">
        <v>2945785239</v>
      </c>
      <c r="H240" s="117">
        <f t="shared" si="42"/>
        <v>122741051.625</v>
      </c>
      <c r="I240" s="7"/>
      <c r="J240" s="10">
        <v>4.4400000000000002E-2</v>
      </c>
      <c r="K240" s="117">
        <v>130792</v>
      </c>
      <c r="L240" s="120">
        <f t="shared" si="43"/>
        <v>5449.666666666667</v>
      </c>
      <c r="M240" s="122">
        <f t="shared" si="39"/>
        <v>29457852.390000001</v>
      </c>
      <c r="N240" s="116">
        <f t="shared" si="40"/>
        <v>29327060.390000001</v>
      </c>
      <c r="O240" s="123">
        <f t="shared" si="41"/>
        <v>1221960.8495833334</v>
      </c>
      <c r="P240" s="5"/>
      <c r="Q240" s="5">
        <f t="shared" si="34"/>
        <v>1</v>
      </c>
      <c r="R240" s="7">
        <f t="shared" si="35"/>
        <v>24</v>
      </c>
      <c r="S240" s="5">
        <f t="shared" si="36"/>
        <v>1</v>
      </c>
      <c r="T240" s="7">
        <f t="shared" si="37"/>
        <v>24</v>
      </c>
    </row>
    <row r="241" spans="1:20">
      <c r="A241" s="23" t="s">
        <v>286</v>
      </c>
      <c r="B241" s="35" t="s">
        <v>284</v>
      </c>
      <c r="C241" s="36">
        <v>5591</v>
      </c>
      <c r="D241" s="6"/>
      <c r="E241" s="113">
        <v>296991686</v>
      </c>
      <c r="F241" s="116">
        <f t="shared" si="38"/>
        <v>53119.600429261314</v>
      </c>
      <c r="G241" s="117">
        <v>246735496</v>
      </c>
      <c r="H241" s="117">
        <f t="shared" si="42"/>
        <v>44130.834555535679</v>
      </c>
      <c r="I241" s="7"/>
      <c r="J241" s="10">
        <v>3.1999</v>
      </c>
      <c r="K241" s="117">
        <v>789528</v>
      </c>
      <c r="L241" s="120">
        <f t="shared" si="43"/>
        <v>141.21409407977106</v>
      </c>
      <c r="M241" s="122">
        <f t="shared" si="39"/>
        <v>2467354.96</v>
      </c>
      <c r="N241" s="116">
        <f t="shared" si="40"/>
        <v>1677826.96</v>
      </c>
      <c r="O241" s="123">
        <f t="shared" si="41"/>
        <v>300.09425147558574</v>
      </c>
      <c r="P241" s="5"/>
      <c r="Q241" s="5">
        <f t="shared" si="34"/>
        <v>1</v>
      </c>
      <c r="R241" s="7">
        <f t="shared" si="35"/>
        <v>5591</v>
      </c>
      <c r="S241" s="5">
        <f t="shared" si="36"/>
        <v>1</v>
      </c>
      <c r="T241" s="7">
        <f t="shared" si="37"/>
        <v>5591</v>
      </c>
    </row>
    <row r="242" spans="1:20">
      <c r="A242" s="23" t="s">
        <v>287</v>
      </c>
      <c r="B242" s="35" t="s">
        <v>284</v>
      </c>
      <c r="C242" s="36">
        <v>2489</v>
      </c>
      <c r="D242" s="6"/>
      <c r="E242" s="113">
        <v>92459019</v>
      </c>
      <c r="F242" s="116">
        <f t="shared" si="38"/>
        <v>37147.054640417839</v>
      </c>
      <c r="G242" s="117">
        <v>62041789</v>
      </c>
      <c r="H242" s="117">
        <f t="shared" si="42"/>
        <v>24926.391723583769</v>
      </c>
      <c r="I242" s="7"/>
      <c r="J242" s="10">
        <v>7.6950000000000003</v>
      </c>
      <c r="K242" s="117">
        <v>477411</v>
      </c>
      <c r="L242" s="120">
        <f t="shared" si="43"/>
        <v>191.80835676978705</v>
      </c>
      <c r="M242" s="122">
        <f t="shared" si="39"/>
        <v>620417.89</v>
      </c>
      <c r="N242" s="116">
        <f t="shared" si="40"/>
        <v>143006.89000000001</v>
      </c>
      <c r="O242" s="123">
        <f t="shared" si="41"/>
        <v>57.455560466050628</v>
      </c>
      <c r="P242" s="5"/>
      <c r="Q242" s="5">
        <f t="shared" si="34"/>
        <v>1</v>
      </c>
      <c r="R242" s="7">
        <f t="shared" si="35"/>
        <v>2489</v>
      </c>
      <c r="S242" s="5">
        <f t="shared" si="36"/>
        <v>1</v>
      </c>
      <c r="T242" s="7">
        <f t="shared" si="37"/>
        <v>2489</v>
      </c>
    </row>
    <row r="243" spans="1:20">
      <c r="A243" s="23" t="s">
        <v>288</v>
      </c>
      <c r="B243" s="35" t="s">
        <v>284</v>
      </c>
      <c r="C243" s="36">
        <v>1137</v>
      </c>
      <c r="D243" s="6"/>
      <c r="E243" s="113">
        <v>110726937</v>
      </c>
      <c r="F243" s="116">
        <f t="shared" si="38"/>
        <v>97385.168865435349</v>
      </c>
      <c r="G243" s="117">
        <v>99685080</v>
      </c>
      <c r="H243" s="117">
        <f t="shared" si="42"/>
        <v>87673.77308707124</v>
      </c>
      <c r="I243" s="7"/>
      <c r="J243" s="10">
        <v>3.4</v>
      </c>
      <c r="K243" s="117">
        <v>338929</v>
      </c>
      <c r="L243" s="120">
        <f t="shared" si="43"/>
        <v>298.09058927000882</v>
      </c>
      <c r="M243" s="122">
        <f t="shared" si="39"/>
        <v>996850.8</v>
      </c>
      <c r="N243" s="116">
        <f t="shared" si="40"/>
        <v>657921.80000000005</v>
      </c>
      <c r="O243" s="123">
        <f t="shared" si="41"/>
        <v>578.64714160070366</v>
      </c>
      <c r="P243" s="5"/>
      <c r="Q243" s="5">
        <f t="shared" si="34"/>
        <v>1</v>
      </c>
      <c r="R243" s="7">
        <f t="shared" si="35"/>
        <v>1137</v>
      </c>
      <c r="S243" s="5">
        <f t="shared" si="36"/>
        <v>1</v>
      </c>
      <c r="T243" s="7">
        <f t="shared" si="37"/>
        <v>1137</v>
      </c>
    </row>
    <row r="244" spans="1:20">
      <c r="A244" s="23" t="s">
        <v>289</v>
      </c>
      <c r="B244" s="35" t="s">
        <v>284</v>
      </c>
      <c r="C244" s="36">
        <v>23</v>
      </c>
      <c r="D244" s="6"/>
      <c r="E244" s="113">
        <v>1102437261</v>
      </c>
      <c r="F244" s="116">
        <f t="shared" si="38"/>
        <v>47932054.826086953</v>
      </c>
      <c r="G244" s="117">
        <v>1099520646</v>
      </c>
      <c r="H244" s="117">
        <f t="shared" si="42"/>
        <v>47805245.478260867</v>
      </c>
      <c r="I244" s="7"/>
      <c r="J244" s="10">
        <v>9.6100000000000005E-2</v>
      </c>
      <c r="K244" s="117">
        <v>105663</v>
      </c>
      <c r="L244" s="120">
        <f t="shared" si="43"/>
        <v>4594.04347826087</v>
      </c>
      <c r="M244" s="122">
        <f t="shared" si="39"/>
        <v>10995206.460000001</v>
      </c>
      <c r="N244" s="116">
        <f t="shared" si="40"/>
        <v>10889543.460000001</v>
      </c>
      <c r="O244" s="123">
        <f t="shared" si="41"/>
        <v>473458.41130434786</v>
      </c>
      <c r="P244" s="5"/>
      <c r="Q244" s="5">
        <f t="shared" si="34"/>
        <v>1</v>
      </c>
      <c r="R244" s="7">
        <f t="shared" si="35"/>
        <v>23</v>
      </c>
      <c r="S244" s="5">
        <f t="shared" si="36"/>
        <v>1</v>
      </c>
      <c r="T244" s="7">
        <f t="shared" si="37"/>
        <v>23</v>
      </c>
    </row>
    <row r="245" spans="1:20">
      <c r="A245" s="23" t="s">
        <v>290</v>
      </c>
      <c r="B245" s="35" t="s">
        <v>284</v>
      </c>
      <c r="C245" s="36">
        <v>9525</v>
      </c>
      <c r="D245" s="6"/>
      <c r="E245" s="113">
        <v>1032449667</v>
      </c>
      <c r="F245" s="116">
        <f t="shared" si="38"/>
        <v>108393.66582677166</v>
      </c>
      <c r="G245" s="117">
        <v>891271895</v>
      </c>
      <c r="H245" s="117">
        <f t="shared" si="42"/>
        <v>93571.852493438317</v>
      </c>
      <c r="I245" s="7"/>
      <c r="J245" s="10">
        <v>3.73</v>
      </c>
      <c r="K245" s="117">
        <v>3324444</v>
      </c>
      <c r="L245" s="120">
        <f t="shared" si="43"/>
        <v>349.02299212598427</v>
      </c>
      <c r="M245" s="122">
        <f t="shared" si="39"/>
        <v>8912718.9499999993</v>
      </c>
      <c r="N245" s="116">
        <f t="shared" si="40"/>
        <v>5588274.9499999993</v>
      </c>
      <c r="O245" s="123">
        <f t="shared" si="41"/>
        <v>586.69553280839887</v>
      </c>
      <c r="P245" s="5"/>
      <c r="Q245" s="5">
        <f t="shared" si="34"/>
        <v>1</v>
      </c>
      <c r="R245" s="7">
        <f t="shared" si="35"/>
        <v>9525</v>
      </c>
      <c r="S245" s="5">
        <f t="shared" si="36"/>
        <v>1</v>
      </c>
      <c r="T245" s="7">
        <f t="shared" si="37"/>
        <v>9525</v>
      </c>
    </row>
    <row r="246" spans="1:20">
      <c r="A246" s="23" t="s">
        <v>291</v>
      </c>
      <c r="B246" s="35" t="s">
        <v>284</v>
      </c>
      <c r="C246" s="36">
        <v>755</v>
      </c>
      <c r="D246" s="6"/>
      <c r="E246" s="113">
        <v>28543314</v>
      </c>
      <c r="F246" s="116">
        <f t="shared" si="38"/>
        <v>37805.713907284771</v>
      </c>
      <c r="G246" s="117">
        <v>18562367</v>
      </c>
      <c r="H246" s="117">
        <f t="shared" si="42"/>
        <v>24585.916556291391</v>
      </c>
      <c r="I246" s="7"/>
      <c r="J246" s="10">
        <v>5.15</v>
      </c>
      <c r="K246" s="117">
        <v>95596</v>
      </c>
      <c r="L246" s="120">
        <f t="shared" si="43"/>
        <v>126.61721854304636</v>
      </c>
      <c r="M246" s="122">
        <f t="shared" si="39"/>
        <v>185623.67</v>
      </c>
      <c r="N246" s="116">
        <f t="shared" si="40"/>
        <v>90027.670000000013</v>
      </c>
      <c r="O246" s="123">
        <f t="shared" si="41"/>
        <v>119.24194701986757</v>
      </c>
      <c r="P246" s="5"/>
      <c r="Q246" s="5">
        <f t="shared" si="34"/>
        <v>1</v>
      </c>
      <c r="R246" s="7">
        <f t="shared" si="35"/>
        <v>755</v>
      </c>
      <c r="S246" s="5">
        <f t="shared" si="36"/>
        <v>1</v>
      </c>
      <c r="T246" s="7">
        <f t="shared" si="37"/>
        <v>755</v>
      </c>
    </row>
    <row r="247" spans="1:20">
      <c r="A247" s="23" t="s">
        <v>292</v>
      </c>
      <c r="B247" s="35" t="s">
        <v>284</v>
      </c>
      <c r="C247" s="36">
        <v>18578</v>
      </c>
      <c r="D247" s="6"/>
      <c r="E247" s="113">
        <v>747504002</v>
      </c>
      <c r="F247" s="116">
        <f t="shared" si="38"/>
        <v>40235.978146194422</v>
      </c>
      <c r="G247" s="117">
        <v>500618635</v>
      </c>
      <c r="H247" s="117">
        <f t="shared" si="42"/>
        <v>26946.852998169878</v>
      </c>
      <c r="I247" s="7"/>
      <c r="J247" s="10">
        <v>4</v>
      </c>
      <c r="K247" s="117">
        <v>2002474</v>
      </c>
      <c r="L247" s="120">
        <f t="shared" si="43"/>
        <v>107.78738292604156</v>
      </c>
      <c r="M247" s="122">
        <f t="shared" si="39"/>
        <v>5006186.3500000006</v>
      </c>
      <c r="N247" s="116">
        <f t="shared" si="40"/>
        <v>3003712.3500000006</v>
      </c>
      <c r="O247" s="123">
        <f t="shared" si="41"/>
        <v>161.68114705565725</v>
      </c>
      <c r="P247" s="5"/>
      <c r="Q247" s="5">
        <f t="shared" si="34"/>
        <v>1</v>
      </c>
      <c r="R247" s="7">
        <f t="shared" si="35"/>
        <v>18578</v>
      </c>
      <c r="S247" s="5">
        <f t="shared" si="36"/>
        <v>1</v>
      </c>
      <c r="T247" s="7">
        <f t="shared" si="37"/>
        <v>18578</v>
      </c>
    </row>
    <row r="248" spans="1:20">
      <c r="A248" s="23" t="s">
        <v>293</v>
      </c>
      <c r="B248" s="35" t="s">
        <v>284</v>
      </c>
      <c r="C248" s="36">
        <v>170307</v>
      </c>
      <c r="D248" s="6"/>
      <c r="E248" s="113">
        <v>12331941050</v>
      </c>
      <c r="F248" s="116">
        <f t="shared" si="38"/>
        <v>72410.06564615664</v>
      </c>
      <c r="G248" s="117">
        <v>7721555350</v>
      </c>
      <c r="H248" s="117">
        <f t="shared" si="42"/>
        <v>45339.036856970059</v>
      </c>
      <c r="I248" s="9"/>
      <c r="J248" s="10">
        <v>6.0666000000000002</v>
      </c>
      <c r="K248" s="117">
        <v>46843587</v>
      </c>
      <c r="L248" s="120">
        <f t="shared" si="43"/>
        <v>275.05379696665432</v>
      </c>
      <c r="M248" s="122">
        <f t="shared" si="39"/>
        <v>77215553.5</v>
      </c>
      <c r="N248" s="116">
        <f t="shared" si="40"/>
        <v>30371966.5</v>
      </c>
      <c r="O248" s="123">
        <f t="shared" si="41"/>
        <v>178.33657160304625</v>
      </c>
      <c r="P248" s="5"/>
      <c r="Q248" s="5">
        <f t="shared" si="34"/>
        <v>1</v>
      </c>
      <c r="R248" s="7">
        <f t="shared" si="35"/>
        <v>170307</v>
      </c>
      <c r="S248" s="5">
        <f t="shared" si="36"/>
        <v>1</v>
      </c>
      <c r="T248" s="7">
        <f t="shared" si="37"/>
        <v>170307</v>
      </c>
    </row>
    <row r="249" spans="1:20">
      <c r="A249" s="23" t="s">
        <v>294</v>
      </c>
      <c r="B249" s="35" t="s">
        <v>284</v>
      </c>
      <c r="C249" s="36">
        <v>1692</v>
      </c>
      <c r="D249" s="6"/>
      <c r="E249" s="113">
        <v>185230848</v>
      </c>
      <c r="F249" s="116">
        <f t="shared" si="38"/>
        <v>109474.49645390071</v>
      </c>
      <c r="G249" s="117">
        <v>161941556</v>
      </c>
      <c r="H249" s="117">
        <f t="shared" si="42"/>
        <v>95710.13947990544</v>
      </c>
      <c r="I249" s="7"/>
      <c r="J249" s="10">
        <v>2</v>
      </c>
      <c r="K249" s="117">
        <v>323883</v>
      </c>
      <c r="L249" s="120">
        <f t="shared" si="43"/>
        <v>191.42021276595744</v>
      </c>
      <c r="M249" s="122">
        <f t="shared" si="39"/>
        <v>1619415.56</v>
      </c>
      <c r="N249" s="116">
        <f t="shared" si="40"/>
        <v>1295532.56</v>
      </c>
      <c r="O249" s="123">
        <f t="shared" si="41"/>
        <v>765.681182033097</v>
      </c>
      <c r="P249" s="5"/>
      <c r="Q249" s="5">
        <f t="shared" si="34"/>
        <v>1</v>
      </c>
      <c r="R249" s="7">
        <f t="shared" si="35"/>
        <v>1692</v>
      </c>
      <c r="S249" s="5">
        <f t="shared" si="36"/>
        <v>1</v>
      </c>
      <c r="T249" s="7">
        <f t="shared" si="37"/>
        <v>1692</v>
      </c>
    </row>
    <row r="250" spans="1:20">
      <c r="A250" s="23" t="s">
        <v>295</v>
      </c>
      <c r="B250" s="35" t="s">
        <v>284</v>
      </c>
      <c r="C250" s="36">
        <v>12098</v>
      </c>
      <c r="D250" s="6"/>
      <c r="E250" s="113">
        <v>413690776</v>
      </c>
      <c r="F250" s="116">
        <f t="shared" si="38"/>
        <v>34194.972392130934</v>
      </c>
      <c r="G250" s="117">
        <v>304668078</v>
      </c>
      <c r="H250" s="117">
        <f t="shared" si="42"/>
        <v>25183.342535956355</v>
      </c>
      <c r="I250" s="7"/>
      <c r="J250" s="11">
        <v>4.3040000000000003</v>
      </c>
      <c r="K250" s="117">
        <v>1311291</v>
      </c>
      <c r="L250" s="120">
        <f t="shared" si="43"/>
        <v>108.38907257397916</v>
      </c>
      <c r="M250" s="122">
        <f t="shared" si="39"/>
        <v>3046680.7800000003</v>
      </c>
      <c r="N250" s="116">
        <f t="shared" si="40"/>
        <v>1735389.7800000003</v>
      </c>
      <c r="O250" s="123">
        <f t="shared" si="41"/>
        <v>143.44435278558441</v>
      </c>
      <c r="P250" s="5"/>
      <c r="Q250" s="5">
        <f t="shared" si="34"/>
        <v>1</v>
      </c>
      <c r="R250" s="7">
        <f t="shared" si="35"/>
        <v>12098</v>
      </c>
      <c r="S250" s="5">
        <f t="shared" si="36"/>
        <v>1</v>
      </c>
      <c r="T250" s="7">
        <f t="shared" si="37"/>
        <v>12098</v>
      </c>
    </row>
    <row r="251" spans="1:20">
      <c r="A251" s="23" t="s">
        <v>296</v>
      </c>
      <c r="B251" s="35" t="s">
        <v>284</v>
      </c>
      <c r="C251" s="36">
        <v>24570</v>
      </c>
      <c r="D251" s="6"/>
      <c r="E251" s="113">
        <v>2224508530</v>
      </c>
      <c r="F251" s="116">
        <f t="shared" si="38"/>
        <v>90537.587708587715</v>
      </c>
      <c r="G251" s="117">
        <v>1780710056</v>
      </c>
      <c r="H251" s="117">
        <f t="shared" si="42"/>
        <v>72474.971754171755</v>
      </c>
      <c r="I251" s="7"/>
      <c r="J251" s="10">
        <v>3.6718000000000002</v>
      </c>
      <c r="K251" s="117">
        <v>6538411</v>
      </c>
      <c r="L251" s="120">
        <f t="shared" si="43"/>
        <v>266.11359381359381</v>
      </c>
      <c r="M251" s="122">
        <f t="shared" si="39"/>
        <v>17807100.559999999</v>
      </c>
      <c r="N251" s="116">
        <f t="shared" si="40"/>
        <v>11268689.559999999</v>
      </c>
      <c r="O251" s="123">
        <f t="shared" si="41"/>
        <v>458.63612372812366</v>
      </c>
      <c r="P251" s="5"/>
      <c r="Q251" s="5">
        <f t="shared" si="34"/>
        <v>1</v>
      </c>
      <c r="R251" s="7">
        <f t="shared" si="35"/>
        <v>24570</v>
      </c>
      <c r="S251" s="5">
        <f t="shared" si="36"/>
        <v>1</v>
      </c>
      <c r="T251" s="7">
        <f t="shared" si="37"/>
        <v>24570</v>
      </c>
    </row>
    <row r="252" spans="1:20">
      <c r="A252" s="23" t="s">
        <v>297</v>
      </c>
      <c r="B252" s="35" t="s">
        <v>298</v>
      </c>
      <c r="C252" s="36">
        <v>37177</v>
      </c>
      <c r="D252" s="6"/>
      <c r="E252" s="113">
        <v>1329138319</v>
      </c>
      <c r="F252" s="116">
        <f t="shared" si="38"/>
        <v>35751.629206229656</v>
      </c>
      <c r="G252" s="117">
        <v>1031367363</v>
      </c>
      <c r="H252" s="117">
        <f t="shared" si="42"/>
        <v>27742.081475105577</v>
      </c>
      <c r="I252" s="7"/>
      <c r="J252" s="10">
        <v>4.5453000000000001</v>
      </c>
      <c r="K252" s="117">
        <v>4687874</v>
      </c>
      <c r="L252" s="120">
        <f t="shared" si="43"/>
        <v>126.0960809102402</v>
      </c>
      <c r="M252" s="122">
        <f t="shared" si="39"/>
        <v>10313673.630000001</v>
      </c>
      <c r="N252" s="116">
        <f t="shared" si="40"/>
        <v>5625799.6300000008</v>
      </c>
      <c r="O252" s="123">
        <f t="shared" si="41"/>
        <v>151.32473384081558</v>
      </c>
      <c r="P252" s="5"/>
      <c r="Q252" s="5">
        <f t="shared" si="34"/>
        <v>1</v>
      </c>
      <c r="R252" s="7">
        <f t="shared" si="35"/>
        <v>37177</v>
      </c>
      <c r="S252" s="5">
        <f t="shared" si="36"/>
        <v>1</v>
      </c>
      <c r="T252" s="7">
        <f t="shared" si="37"/>
        <v>37177</v>
      </c>
    </row>
    <row r="253" spans="1:20">
      <c r="A253" s="23" t="s">
        <v>546</v>
      </c>
      <c r="B253" s="35" t="s">
        <v>298</v>
      </c>
      <c r="C253" s="36">
        <v>15829</v>
      </c>
      <c r="D253" s="6"/>
      <c r="E253" s="113">
        <v>548958981</v>
      </c>
      <c r="F253" s="116">
        <f t="shared" si="38"/>
        <v>34680.585065386316</v>
      </c>
      <c r="G253" s="117">
        <v>371025877</v>
      </c>
      <c r="H253" s="117">
        <f t="shared" si="42"/>
        <v>23439.628340387895</v>
      </c>
      <c r="I253" s="7"/>
      <c r="J253" s="10">
        <v>4.1790000000000003</v>
      </c>
      <c r="K253" s="117">
        <v>1550517</v>
      </c>
      <c r="L253" s="120">
        <f t="shared" si="43"/>
        <v>97.954197991029119</v>
      </c>
      <c r="M253" s="122">
        <f t="shared" si="39"/>
        <v>3710258.77</v>
      </c>
      <c r="N253" s="116">
        <f t="shared" si="40"/>
        <v>2159741.77</v>
      </c>
      <c r="O253" s="123">
        <f t="shared" si="41"/>
        <v>136.44208541284982</v>
      </c>
      <c r="P253" s="5"/>
      <c r="Q253" s="5">
        <f t="shared" si="34"/>
        <v>1</v>
      </c>
      <c r="R253" s="7">
        <f t="shared" si="35"/>
        <v>15829</v>
      </c>
      <c r="S253" s="5">
        <f t="shared" si="36"/>
        <v>1</v>
      </c>
      <c r="T253" s="7">
        <f t="shared" si="37"/>
        <v>15829</v>
      </c>
    </row>
    <row r="254" spans="1:20">
      <c r="A254" s="23" t="s">
        <v>299</v>
      </c>
      <c r="B254" s="35" t="s">
        <v>300</v>
      </c>
      <c r="C254" s="36">
        <v>1691</v>
      </c>
      <c r="D254" s="6"/>
      <c r="E254" s="113">
        <v>293106790</v>
      </c>
      <c r="F254" s="116">
        <f t="shared" si="38"/>
        <v>173333.40626848018</v>
      </c>
      <c r="G254" s="117">
        <v>205160398</v>
      </c>
      <c r="H254" s="117">
        <f t="shared" si="42"/>
        <v>121324.89532820816</v>
      </c>
      <c r="I254" s="7"/>
      <c r="J254" s="10">
        <v>7.8615000000000004</v>
      </c>
      <c r="K254" s="117">
        <v>1612868</v>
      </c>
      <c r="L254" s="120">
        <f t="shared" si="43"/>
        <v>953.79538734476637</v>
      </c>
      <c r="M254" s="122">
        <f t="shared" si="39"/>
        <v>2051603.98</v>
      </c>
      <c r="N254" s="116">
        <f t="shared" si="40"/>
        <v>438735.98</v>
      </c>
      <c r="O254" s="123">
        <f t="shared" si="41"/>
        <v>259.4535659373152</v>
      </c>
      <c r="P254" s="5"/>
      <c r="Q254" s="5">
        <f t="shared" si="34"/>
        <v>1</v>
      </c>
      <c r="R254" s="7">
        <f t="shared" si="35"/>
        <v>1691</v>
      </c>
      <c r="S254" s="5">
        <f t="shared" si="36"/>
        <v>1</v>
      </c>
      <c r="T254" s="7">
        <f t="shared" si="37"/>
        <v>1691</v>
      </c>
    </row>
    <row r="255" spans="1:20">
      <c r="A255" s="23" t="s">
        <v>301</v>
      </c>
      <c r="B255" s="35" t="s">
        <v>300</v>
      </c>
      <c r="C255" s="36">
        <v>17006</v>
      </c>
      <c r="D255" s="6"/>
      <c r="E255" s="113">
        <v>289017530</v>
      </c>
      <c r="F255" s="116">
        <f t="shared" si="38"/>
        <v>16995.032929554276</v>
      </c>
      <c r="G255" s="117">
        <v>166462192</v>
      </c>
      <c r="H255" s="117">
        <f t="shared" si="42"/>
        <v>9788.4389039162652</v>
      </c>
      <c r="I255" s="7"/>
      <c r="J255" s="10">
        <v>9.2093000000000007</v>
      </c>
      <c r="K255" s="117">
        <v>1533000</v>
      </c>
      <c r="L255" s="120">
        <f t="shared" si="43"/>
        <v>90.144654827707868</v>
      </c>
      <c r="M255" s="122">
        <f t="shared" si="39"/>
        <v>1664621.92</v>
      </c>
      <c r="N255" s="116">
        <f t="shared" si="40"/>
        <v>131621.91999999993</v>
      </c>
      <c r="O255" s="123">
        <f t="shared" si="41"/>
        <v>7.7397342114547767</v>
      </c>
      <c r="P255" s="5"/>
      <c r="Q255" s="5">
        <f t="shared" si="34"/>
        <v>1</v>
      </c>
      <c r="R255" s="7">
        <f t="shared" si="35"/>
        <v>17006</v>
      </c>
      <c r="S255" s="5">
        <f t="shared" si="36"/>
        <v>1</v>
      </c>
      <c r="T255" s="7">
        <f t="shared" si="37"/>
        <v>17006</v>
      </c>
    </row>
    <row r="256" spans="1:20">
      <c r="A256" s="23" t="s">
        <v>302</v>
      </c>
      <c r="B256" s="35" t="s">
        <v>300</v>
      </c>
      <c r="C256" s="36">
        <v>66760</v>
      </c>
      <c r="D256" s="6"/>
      <c r="E256" s="113">
        <v>8838314190</v>
      </c>
      <c r="F256" s="116">
        <f t="shared" si="38"/>
        <v>132389.36773517076</v>
      </c>
      <c r="G256" s="117">
        <v>7417266705</v>
      </c>
      <c r="H256" s="117">
        <f t="shared" si="42"/>
        <v>111103.45573696824</v>
      </c>
      <c r="I256" s="7"/>
      <c r="J256" s="10">
        <v>3.2484000000000002</v>
      </c>
      <c r="K256" s="117">
        <v>24094249</v>
      </c>
      <c r="L256" s="120">
        <f t="shared" si="43"/>
        <v>360.9084631515878</v>
      </c>
      <c r="M256" s="122">
        <f t="shared" si="39"/>
        <v>74172667.049999997</v>
      </c>
      <c r="N256" s="116">
        <f t="shared" si="40"/>
        <v>50078418.049999997</v>
      </c>
      <c r="O256" s="123">
        <f t="shared" si="41"/>
        <v>750.12609421809464</v>
      </c>
      <c r="P256" s="5"/>
      <c r="Q256" s="5">
        <f t="shared" si="34"/>
        <v>1</v>
      </c>
      <c r="R256" s="7">
        <f t="shared" si="35"/>
        <v>66760</v>
      </c>
      <c r="S256" s="5">
        <f t="shared" si="36"/>
        <v>1</v>
      </c>
      <c r="T256" s="7">
        <f t="shared" si="37"/>
        <v>66760</v>
      </c>
    </row>
    <row r="257" spans="1:20">
      <c r="A257" s="23" t="s">
        <v>303</v>
      </c>
      <c r="B257" s="35" t="s">
        <v>300</v>
      </c>
      <c r="C257" s="36">
        <v>49085</v>
      </c>
      <c r="D257" s="6"/>
      <c r="E257" s="113">
        <v>2710476659</v>
      </c>
      <c r="F257" s="116">
        <f t="shared" si="38"/>
        <v>55220.060283182233</v>
      </c>
      <c r="G257" s="117">
        <v>2046013748</v>
      </c>
      <c r="H257" s="117">
        <f t="shared" si="42"/>
        <v>41683.075236834062</v>
      </c>
      <c r="I257" s="7"/>
      <c r="J257" s="10">
        <v>7.9250999999999996</v>
      </c>
      <c r="K257" s="117">
        <v>16214863</v>
      </c>
      <c r="L257" s="120">
        <f t="shared" si="43"/>
        <v>330.34252826729141</v>
      </c>
      <c r="M257" s="122">
        <f t="shared" si="39"/>
        <v>20460137.48</v>
      </c>
      <c r="N257" s="116">
        <f t="shared" si="40"/>
        <v>4245274.4800000004</v>
      </c>
      <c r="O257" s="123">
        <f t="shared" si="41"/>
        <v>86.488224101049212</v>
      </c>
      <c r="P257" s="5"/>
      <c r="Q257" s="5">
        <f t="shared" si="34"/>
        <v>1</v>
      </c>
      <c r="R257" s="7">
        <f t="shared" si="35"/>
        <v>49085</v>
      </c>
      <c r="S257" s="5">
        <f t="shared" si="36"/>
        <v>1</v>
      </c>
      <c r="T257" s="7">
        <f t="shared" si="37"/>
        <v>49085</v>
      </c>
    </row>
    <row r="258" spans="1:20">
      <c r="A258" s="23" t="s">
        <v>304</v>
      </c>
      <c r="B258" s="35" t="s">
        <v>300</v>
      </c>
      <c r="C258" s="36">
        <v>395</v>
      </c>
      <c r="D258" s="6"/>
      <c r="E258" s="113">
        <v>18905879</v>
      </c>
      <c r="F258" s="116">
        <f t="shared" si="38"/>
        <v>47862.984810126582</v>
      </c>
      <c r="G258" s="117">
        <v>14559931</v>
      </c>
      <c r="H258" s="117">
        <f t="shared" si="42"/>
        <v>36860.58481012658</v>
      </c>
      <c r="I258" s="7"/>
      <c r="J258" s="10">
        <v>1.3297000000000001</v>
      </c>
      <c r="K258" s="117">
        <v>19360</v>
      </c>
      <c r="L258" s="120">
        <f t="shared" si="43"/>
        <v>49.0126582278481</v>
      </c>
      <c r="M258" s="122">
        <f t="shared" si="39"/>
        <v>145599.31</v>
      </c>
      <c r="N258" s="116">
        <f t="shared" si="40"/>
        <v>126239.31</v>
      </c>
      <c r="O258" s="123">
        <f t="shared" si="41"/>
        <v>319.59318987341771</v>
      </c>
      <c r="P258" s="5"/>
      <c r="Q258" s="5">
        <f t="shared" si="34"/>
        <v>1</v>
      </c>
      <c r="R258" s="7">
        <f t="shared" si="35"/>
        <v>395</v>
      </c>
      <c r="S258" s="5">
        <f t="shared" si="36"/>
        <v>1</v>
      </c>
      <c r="T258" s="7">
        <f t="shared" si="37"/>
        <v>395</v>
      </c>
    </row>
    <row r="259" spans="1:20">
      <c r="A259" s="23" t="s">
        <v>305</v>
      </c>
      <c r="B259" s="35" t="s">
        <v>300</v>
      </c>
      <c r="C259" s="36">
        <v>119</v>
      </c>
      <c r="D259" s="6"/>
      <c r="E259" s="113">
        <v>4396366</v>
      </c>
      <c r="F259" s="116">
        <f t="shared" si="38"/>
        <v>36944.252100840335</v>
      </c>
      <c r="G259" s="117">
        <v>3550107</v>
      </c>
      <c r="H259" s="117">
        <f t="shared" si="42"/>
        <v>29832.831932773108</v>
      </c>
      <c r="I259" s="98" t="s">
        <v>528</v>
      </c>
      <c r="J259" s="10"/>
      <c r="K259" s="117"/>
      <c r="L259" s="120"/>
      <c r="M259" s="122">
        <f t="shared" si="39"/>
        <v>35501.07</v>
      </c>
      <c r="N259" s="116">
        <f t="shared" si="40"/>
        <v>35501.07</v>
      </c>
      <c r="O259" s="123">
        <f t="shared" si="41"/>
        <v>298.32831932773109</v>
      </c>
      <c r="P259" s="5"/>
      <c r="Q259" s="5">
        <f t="shared" si="34"/>
        <v>1</v>
      </c>
      <c r="R259" s="7">
        <f t="shared" si="35"/>
        <v>119</v>
      </c>
      <c r="S259" s="5">
        <f t="shared" si="36"/>
        <v>0</v>
      </c>
      <c r="T259" s="7">
        <f t="shared" si="37"/>
        <v>0</v>
      </c>
    </row>
    <row r="260" spans="1:20">
      <c r="A260" s="23" t="s">
        <v>306</v>
      </c>
      <c r="B260" s="35" t="s">
        <v>300</v>
      </c>
      <c r="C260" s="36">
        <v>50195</v>
      </c>
      <c r="D260" s="6"/>
      <c r="E260" s="113">
        <v>3160983946</v>
      </c>
      <c r="F260" s="116">
        <f t="shared" si="38"/>
        <v>62974.080007968922</v>
      </c>
      <c r="G260" s="117">
        <v>2541583271</v>
      </c>
      <c r="H260" s="117">
        <f t="shared" si="42"/>
        <v>50634.192070923396</v>
      </c>
      <c r="I260" s="7"/>
      <c r="J260" s="10">
        <v>6.87</v>
      </c>
      <c r="K260" s="117">
        <v>17460677</v>
      </c>
      <c r="L260" s="120">
        <f t="shared" si="43"/>
        <v>347.85689809742007</v>
      </c>
      <c r="M260" s="122">
        <f t="shared" si="39"/>
        <v>25415832.710000001</v>
      </c>
      <c r="N260" s="116">
        <f t="shared" si="40"/>
        <v>7955155.7100000009</v>
      </c>
      <c r="O260" s="123">
        <f t="shared" si="41"/>
        <v>158.48502261181395</v>
      </c>
      <c r="P260" s="5"/>
      <c r="Q260" s="5">
        <f t="shared" si="34"/>
        <v>1</v>
      </c>
      <c r="R260" s="7">
        <f t="shared" si="35"/>
        <v>50195</v>
      </c>
      <c r="S260" s="5">
        <f t="shared" si="36"/>
        <v>1</v>
      </c>
      <c r="T260" s="7">
        <f t="shared" si="37"/>
        <v>50195</v>
      </c>
    </row>
    <row r="261" spans="1:20">
      <c r="A261" s="23" t="s">
        <v>307</v>
      </c>
      <c r="B261" s="35" t="s">
        <v>300</v>
      </c>
      <c r="C261" s="36">
        <v>217</v>
      </c>
      <c r="D261" s="6"/>
      <c r="E261" s="113">
        <v>10929402</v>
      </c>
      <c r="F261" s="116">
        <f t="shared" si="38"/>
        <v>50365.907834101381</v>
      </c>
      <c r="G261" s="117">
        <v>9175138</v>
      </c>
      <c r="H261" s="117">
        <f t="shared" si="42"/>
        <v>42281.741935483871</v>
      </c>
      <c r="I261" s="98" t="s">
        <v>528</v>
      </c>
      <c r="J261" s="10"/>
      <c r="K261" s="117"/>
      <c r="L261" s="120"/>
      <c r="M261" s="122">
        <f t="shared" si="39"/>
        <v>91751.38</v>
      </c>
      <c r="N261" s="116">
        <f t="shared" si="40"/>
        <v>91751.38</v>
      </c>
      <c r="O261" s="123">
        <f t="shared" si="41"/>
        <v>422.81741935483871</v>
      </c>
      <c r="P261" s="5"/>
      <c r="Q261" s="5">
        <f t="shared" si="34"/>
        <v>1</v>
      </c>
      <c r="R261" s="7">
        <f t="shared" si="35"/>
        <v>217</v>
      </c>
      <c r="S261" s="5">
        <f t="shared" si="36"/>
        <v>0</v>
      </c>
      <c r="T261" s="7">
        <f t="shared" si="37"/>
        <v>0</v>
      </c>
    </row>
    <row r="262" spans="1:20">
      <c r="A262" s="23" t="s">
        <v>308</v>
      </c>
      <c r="B262" s="35" t="s">
        <v>300</v>
      </c>
      <c r="C262" s="36">
        <v>195</v>
      </c>
      <c r="D262" s="6"/>
      <c r="E262" s="113">
        <v>66459489</v>
      </c>
      <c r="F262" s="116">
        <f t="shared" si="38"/>
        <v>340817.89230769232</v>
      </c>
      <c r="G262" s="117">
        <v>58953360</v>
      </c>
      <c r="H262" s="117">
        <f t="shared" si="42"/>
        <v>302324.92307692306</v>
      </c>
      <c r="I262" s="7"/>
      <c r="J262" s="10">
        <v>7.11</v>
      </c>
      <c r="K262" s="117">
        <v>419158</v>
      </c>
      <c r="L262" s="120">
        <f t="shared" si="43"/>
        <v>2149.5282051282052</v>
      </c>
      <c r="M262" s="122">
        <f t="shared" si="39"/>
        <v>589533.6</v>
      </c>
      <c r="N262" s="116">
        <f t="shared" si="40"/>
        <v>170375.59999999998</v>
      </c>
      <c r="O262" s="123">
        <f t="shared" si="41"/>
        <v>873.72102564102556</v>
      </c>
      <c r="P262" s="5"/>
      <c r="Q262" s="5">
        <f t="shared" si="34"/>
        <v>1</v>
      </c>
      <c r="R262" s="7">
        <f t="shared" si="35"/>
        <v>195</v>
      </c>
      <c r="S262" s="5">
        <f t="shared" si="36"/>
        <v>1</v>
      </c>
      <c r="T262" s="7">
        <f t="shared" si="37"/>
        <v>195</v>
      </c>
    </row>
    <row r="263" spans="1:20">
      <c r="A263" s="23" t="s">
        <v>481</v>
      </c>
      <c r="B263" s="35" t="s">
        <v>300</v>
      </c>
      <c r="C263" s="36">
        <v>151</v>
      </c>
      <c r="D263" s="6"/>
      <c r="E263" s="113">
        <v>12150422</v>
      </c>
      <c r="F263" s="116">
        <f t="shared" si="38"/>
        <v>80466.370860927156</v>
      </c>
      <c r="G263" s="117">
        <v>10281103</v>
      </c>
      <c r="H263" s="117">
        <f t="shared" si="42"/>
        <v>68086.774834437092</v>
      </c>
      <c r="I263" s="7"/>
      <c r="J263" s="10">
        <v>3.1905000000000001</v>
      </c>
      <c r="K263" s="117">
        <v>32801</v>
      </c>
      <c r="L263" s="120">
        <f t="shared" si="43"/>
        <v>217.2251655629139</v>
      </c>
      <c r="M263" s="122">
        <f t="shared" si="39"/>
        <v>102811.03</v>
      </c>
      <c r="N263" s="116">
        <f t="shared" si="40"/>
        <v>70010.03</v>
      </c>
      <c r="O263" s="123">
        <f t="shared" si="41"/>
        <v>463.64258278145695</v>
      </c>
      <c r="P263" s="5"/>
      <c r="Q263" s="5">
        <f t="shared" ref="Q263:Q326" si="44">IF(E263&gt;0,1,0)</f>
        <v>1</v>
      </c>
      <c r="R263" s="7">
        <f t="shared" ref="R263:R326" si="45">IF(E263&gt;0,C263,0)</f>
        <v>151</v>
      </c>
      <c r="S263" s="5">
        <f t="shared" ref="S263:S326" si="46">IF(J263&gt;0,1,0)</f>
        <v>1</v>
      </c>
      <c r="T263" s="7">
        <f t="shared" ref="T263:T326" si="47">IF(J263&gt;0,C263,0)</f>
        <v>151</v>
      </c>
    </row>
    <row r="264" spans="1:20">
      <c r="A264" s="23" t="s">
        <v>309</v>
      </c>
      <c r="B264" s="35" t="s">
        <v>300</v>
      </c>
      <c r="C264" s="36">
        <v>23296</v>
      </c>
      <c r="D264" s="6"/>
      <c r="E264" s="113">
        <v>747822284</v>
      </c>
      <c r="F264" s="116">
        <f t="shared" ref="F264:F327" si="48">(E264/C264)</f>
        <v>32100.887877747253</v>
      </c>
      <c r="G264" s="117">
        <v>571131568</v>
      </c>
      <c r="H264" s="117">
        <f t="shared" si="42"/>
        <v>24516.29326923077</v>
      </c>
      <c r="I264" s="7"/>
      <c r="J264" s="10">
        <v>5.9</v>
      </c>
      <c r="K264" s="117">
        <v>3369676</v>
      </c>
      <c r="L264" s="120">
        <f t="shared" si="43"/>
        <v>144.64611950549451</v>
      </c>
      <c r="M264" s="122">
        <f t="shared" ref="M264:M327" si="49">(G264*0.01)</f>
        <v>5711315.6799999997</v>
      </c>
      <c r="N264" s="116">
        <f t="shared" ref="N264:N327" si="50">(M264-K264)</f>
        <v>2341639.6799999997</v>
      </c>
      <c r="O264" s="123">
        <f t="shared" ref="O264:O327" si="51">(N264/C264)</f>
        <v>100.51681318681318</v>
      </c>
      <c r="P264" s="5"/>
      <c r="Q264" s="5">
        <f t="shared" si="44"/>
        <v>1</v>
      </c>
      <c r="R264" s="7">
        <f t="shared" si="45"/>
        <v>23296</v>
      </c>
      <c r="S264" s="5">
        <f t="shared" si="46"/>
        <v>1</v>
      </c>
      <c r="T264" s="7">
        <f t="shared" si="47"/>
        <v>23296</v>
      </c>
    </row>
    <row r="265" spans="1:20">
      <c r="A265" s="23" t="s">
        <v>310</v>
      </c>
      <c r="B265" s="35" t="s">
        <v>300</v>
      </c>
      <c r="C265" s="36">
        <v>712</v>
      </c>
      <c r="D265" s="6"/>
      <c r="E265" s="113">
        <v>296415126</v>
      </c>
      <c r="F265" s="116">
        <f t="shared" si="48"/>
        <v>416313.37921348313</v>
      </c>
      <c r="G265" s="117">
        <v>280063713</v>
      </c>
      <c r="H265" s="117">
        <f t="shared" si="42"/>
        <v>393347.91151685396</v>
      </c>
      <c r="I265" s="7"/>
      <c r="J265" s="10">
        <v>3.2568000000000001</v>
      </c>
      <c r="K265" s="117">
        <v>912111</v>
      </c>
      <c r="L265" s="120">
        <f t="shared" si="43"/>
        <v>1281.0547752808989</v>
      </c>
      <c r="M265" s="122">
        <f t="shared" si="49"/>
        <v>2800637.13</v>
      </c>
      <c r="N265" s="116">
        <f t="shared" si="50"/>
        <v>1888526.13</v>
      </c>
      <c r="O265" s="123">
        <f t="shared" si="51"/>
        <v>2652.4243398876401</v>
      </c>
      <c r="P265" s="5"/>
      <c r="Q265" s="5">
        <f t="shared" si="44"/>
        <v>1</v>
      </c>
      <c r="R265" s="7">
        <f t="shared" si="45"/>
        <v>712</v>
      </c>
      <c r="S265" s="5">
        <f t="shared" si="46"/>
        <v>1</v>
      </c>
      <c r="T265" s="7">
        <f t="shared" si="47"/>
        <v>712</v>
      </c>
    </row>
    <row r="266" spans="1:20">
      <c r="A266" s="23" t="s">
        <v>311</v>
      </c>
      <c r="B266" s="35" t="s">
        <v>300</v>
      </c>
      <c r="C266" s="36">
        <v>1192</v>
      </c>
      <c r="D266" s="6"/>
      <c r="E266" s="113">
        <v>48380637</v>
      </c>
      <c r="F266" s="116">
        <f t="shared" si="48"/>
        <v>40587.782718120805</v>
      </c>
      <c r="G266" s="117">
        <v>34450899</v>
      </c>
      <c r="H266" s="117">
        <f t="shared" si="42"/>
        <v>28901.760906040268</v>
      </c>
      <c r="I266" s="7"/>
      <c r="J266" s="10">
        <v>3.7863000000000002</v>
      </c>
      <c r="K266" s="117">
        <v>130441</v>
      </c>
      <c r="L266" s="120">
        <f t="shared" si="43"/>
        <v>109.43036912751678</v>
      </c>
      <c r="M266" s="122">
        <f t="shared" si="49"/>
        <v>344508.99</v>
      </c>
      <c r="N266" s="116">
        <f t="shared" si="50"/>
        <v>214067.99</v>
      </c>
      <c r="O266" s="123">
        <f t="shared" si="51"/>
        <v>179.58723993288589</v>
      </c>
      <c r="P266" s="5"/>
      <c r="Q266" s="5">
        <f t="shared" si="44"/>
        <v>1</v>
      </c>
      <c r="R266" s="7">
        <f t="shared" si="45"/>
        <v>1192</v>
      </c>
      <c r="S266" s="5">
        <f t="shared" si="46"/>
        <v>1</v>
      </c>
      <c r="T266" s="7">
        <f t="shared" si="47"/>
        <v>1192</v>
      </c>
    </row>
    <row r="267" spans="1:20">
      <c r="A267" s="23" t="s">
        <v>312</v>
      </c>
      <c r="B267" s="35" t="s">
        <v>300</v>
      </c>
      <c r="C267" s="36">
        <v>3251</v>
      </c>
      <c r="D267" s="6"/>
      <c r="E267" s="113">
        <v>736256293</v>
      </c>
      <c r="F267" s="116">
        <f t="shared" si="48"/>
        <v>226470.71454936941</v>
      </c>
      <c r="G267" s="117">
        <v>685640832</v>
      </c>
      <c r="H267" s="117">
        <f t="shared" si="42"/>
        <v>210901.51707167024</v>
      </c>
      <c r="I267" s="7"/>
      <c r="J267" s="10">
        <v>3.7174999999999998</v>
      </c>
      <c r="K267" s="117">
        <v>2548869</v>
      </c>
      <c r="L267" s="120">
        <f t="shared" si="43"/>
        <v>784.02614580129193</v>
      </c>
      <c r="M267" s="122">
        <f t="shared" si="49"/>
        <v>6856408.3200000003</v>
      </c>
      <c r="N267" s="116">
        <f t="shared" si="50"/>
        <v>4307539.32</v>
      </c>
      <c r="O267" s="123">
        <f t="shared" si="51"/>
        <v>1324.9890249154107</v>
      </c>
      <c r="P267" s="5"/>
      <c r="Q267" s="5">
        <f t="shared" si="44"/>
        <v>1</v>
      </c>
      <c r="R267" s="7">
        <f t="shared" si="45"/>
        <v>3251</v>
      </c>
      <c r="S267" s="5">
        <f t="shared" si="46"/>
        <v>1</v>
      </c>
      <c r="T267" s="7">
        <f t="shared" si="47"/>
        <v>3251</v>
      </c>
    </row>
    <row r="268" spans="1:20">
      <c r="A268" s="23" t="s">
        <v>313</v>
      </c>
      <c r="B268" s="35" t="s">
        <v>300</v>
      </c>
      <c r="C268" s="36">
        <v>1129</v>
      </c>
      <c r="D268" s="6"/>
      <c r="E268" s="113">
        <v>131605192</v>
      </c>
      <c r="F268" s="116">
        <f t="shared" si="48"/>
        <v>116567.9291408326</v>
      </c>
      <c r="G268" s="117">
        <v>121863366</v>
      </c>
      <c r="H268" s="117">
        <f t="shared" si="42"/>
        <v>107939.20814880425</v>
      </c>
      <c r="I268" s="7"/>
      <c r="J268" s="10">
        <v>1</v>
      </c>
      <c r="K268" s="117">
        <v>121863</v>
      </c>
      <c r="L268" s="120">
        <f t="shared" si="43"/>
        <v>107.93888396811337</v>
      </c>
      <c r="M268" s="122">
        <f t="shared" si="49"/>
        <v>1218633.6599999999</v>
      </c>
      <c r="N268" s="116">
        <f t="shared" si="50"/>
        <v>1096770.6599999999</v>
      </c>
      <c r="O268" s="123">
        <f t="shared" si="51"/>
        <v>971.45319751992906</v>
      </c>
      <c r="P268" s="5"/>
      <c r="Q268" s="5">
        <f t="shared" si="44"/>
        <v>1</v>
      </c>
      <c r="R268" s="7">
        <f t="shared" si="45"/>
        <v>1129</v>
      </c>
      <c r="S268" s="5">
        <f t="shared" si="46"/>
        <v>1</v>
      </c>
      <c r="T268" s="7">
        <f t="shared" si="47"/>
        <v>1129</v>
      </c>
    </row>
    <row r="269" spans="1:20">
      <c r="A269" s="23" t="s">
        <v>314</v>
      </c>
      <c r="B269" s="35" t="s">
        <v>300</v>
      </c>
      <c r="C269" s="36">
        <v>2539</v>
      </c>
      <c r="D269" s="6"/>
      <c r="E269" s="113">
        <v>438754710</v>
      </c>
      <c r="F269" s="116">
        <f t="shared" si="48"/>
        <v>172806.10870421425</v>
      </c>
      <c r="G269" s="117">
        <v>388596152</v>
      </c>
      <c r="H269" s="117">
        <f t="shared" si="42"/>
        <v>153050.86727057898</v>
      </c>
      <c r="I269" s="7"/>
      <c r="J269" s="10">
        <v>4.0579999999999998</v>
      </c>
      <c r="K269" s="117">
        <v>1576923</v>
      </c>
      <c r="L269" s="120">
        <f t="shared" si="43"/>
        <v>621.08034659314694</v>
      </c>
      <c r="M269" s="122">
        <f t="shared" si="49"/>
        <v>3885961.52</v>
      </c>
      <c r="N269" s="116">
        <f t="shared" si="50"/>
        <v>2309038.52</v>
      </c>
      <c r="O269" s="123">
        <f t="shared" si="51"/>
        <v>909.42832611264282</v>
      </c>
      <c r="P269" s="5"/>
      <c r="Q269" s="5">
        <f t="shared" si="44"/>
        <v>1</v>
      </c>
      <c r="R269" s="7">
        <f t="shared" si="45"/>
        <v>2539</v>
      </c>
      <c r="S269" s="5">
        <f t="shared" si="46"/>
        <v>1</v>
      </c>
      <c r="T269" s="7">
        <f t="shared" si="47"/>
        <v>2539</v>
      </c>
    </row>
    <row r="270" spans="1:20">
      <c r="A270" s="23" t="s">
        <v>315</v>
      </c>
      <c r="B270" s="35" t="s">
        <v>300</v>
      </c>
      <c r="C270" s="36">
        <v>29046</v>
      </c>
      <c r="D270" s="6"/>
      <c r="E270" s="113">
        <v>2935186010</v>
      </c>
      <c r="F270" s="116">
        <f t="shared" si="48"/>
        <v>101053.01969290091</v>
      </c>
      <c r="G270" s="117">
        <v>2392215023</v>
      </c>
      <c r="H270" s="117">
        <f t="shared" si="42"/>
        <v>82359.533946154377</v>
      </c>
      <c r="I270" s="7"/>
      <c r="J270" s="10">
        <v>2.1596000000000002</v>
      </c>
      <c r="K270" s="117">
        <v>5166227</v>
      </c>
      <c r="L270" s="120">
        <f t="shared" si="43"/>
        <v>177.86363010397301</v>
      </c>
      <c r="M270" s="122">
        <f t="shared" si="49"/>
        <v>23922150.23</v>
      </c>
      <c r="N270" s="116">
        <f t="shared" si="50"/>
        <v>18755923.23</v>
      </c>
      <c r="O270" s="123">
        <f t="shared" si="51"/>
        <v>645.73170935757082</v>
      </c>
      <c r="P270" s="5"/>
      <c r="Q270" s="5">
        <f t="shared" si="44"/>
        <v>1</v>
      </c>
      <c r="R270" s="7">
        <f t="shared" si="45"/>
        <v>29046</v>
      </c>
      <c r="S270" s="5">
        <f t="shared" si="46"/>
        <v>1</v>
      </c>
      <c r="T270" s="7">
        <f t="shared" si="47"/>
        <v>29046</v>
      </c>
    </row>
    <row r="271" spans="1:20">
      <c r="A271" s="23" t="s">
        <v>316</v>
      </c>
      <c r="B271" s="35" t="s">
        <v>300</v>
      </c>
      <c r="C271" s="36">
        <v>405</v>
      </c>
      <c r="D271" s="6"/>
      <c r="E271" s="113">
        <v>81926476</v>
      </c>
      <c r="F271" s="116">
        <f t="shared" si="48"/>
        <v>202287.59506172838</v>
      </c>
      <c r="G271" s="117">
        <v>74841860</v>
      </c>
      <c r="H271" s="117">
        <f t="shared" si="42"/>
        <v>184794.71604938273</v>
      </c>
      <c r="I271" s="7"/>
      <c r="J271" s="10">
        <v>5.9833999999999996</v>
      </c>
      <c r="K271" s="117">
        <v>447808</v>
      </c>
      <c r="L271" s="120">
        <f t="shared" si="43"/>
        <v>1105.6987654320988</v>
      </c>
      <c r="M271" s="122">
        <f t="shared" si="49"/>
        <v>748418.6</v>
      </c>
      <c r="N271" s="116">
        <f t="shared" si="50"/>
        <v>300610.59999999998</v>
      </c>
      <c r="O271" s="123">
        <f t="shared" si="51"/>
        <v>742.24839506172839</v>
      </c>
      <c r="P271" s="5"/>
      <c r="Q271" s="5">
        <f t="shared" si="44"/>
        <v>1</v>
      </c>
      <c r="R271" s="7">
        <f t="shared" si="45"/>
        <v>405</v>
      </c>
      <c r="S271" s="5">
        <f t="shared" si="46"/>
        <v>1</v>
      </c>
      <c r="T271" s="7">
        <f t="shared" si="47"/>
        <v>405</v>
      </c>
    </row>
    <row r="272" spans="1:20">
      <c r="A272" s="23" t="s">
        <v>317</v>
      </c>
      <c r="B272" s="35" t="s">
        <v>300</v>
      </c>
      <c r="C272" s="36">
        <v>3646</v>
      </c>
      <c r="D272" s="6"/>
      <c r="E272" s="113">
        <v>176705634</v>
      </c>
      <c r="F272" s="116">
        <f t="shared" si="48"/>
        <v>48465.615469007134</v>
      </c>
      <c r="G272" s="117">
        <v>140905279</v>
      </c>
      <c r="H272" s="117">
        <f t="shared" si="42"/>
        <v>38646.538398244651</v>
      </c>
      <c r="I272" s="7"/>
      <c r="J272" s="10">
        <v>3.3578000000000001</v>
      </c>
      <c r="K272" s="117">
        <v>473131</v>
      </c>
      <c r="L272" s="120">
        <f t="shared" si="43"/>
        <v>129.7671420735052</v>
      </c>
      <c r="M272" s="122">
        <f t="shared" si="49"/>
        <v>1409052.79</v>
      </c>
      <c r="N272" s="116">
        <f t="shared" si="50"/>
        <v>935921.79</v>
      </c>
      <c r="O272" s="123">
        <f t="shared" si="51"/>
        <v>256.69824190894133</v>
      </c>
      <c r="P272" s="5"/>
      <c r="Q272" s="5">
        <f t="shared" si="44"/>
        <v>1</v>
      </c>
      <c r="R272" s="7">
        <f t="shared" si="45"/>
        <v>3646</v>
      </c>
      <c r="S272" s="5">
        <f t="shared" si="46"/>
        <v>1</v>
      </c>
      <c r="T272" s="7">
        <f t="shared" si="47"/>
        <v>3646</v>
      </c>
    </row>
    <row r="273" spans="1:20">
      <c r="A273" s="23" t="s">
        <v>318</v>
      </c>
      <c r="B273" s="35" t="s">
        <v>300</v>
      </c>
      <c r="C273" s="36">
        <v>6919</v>
      </c>
      <c r="D273" s="6"/>
      <c r="E273" s="113">
        <v>325862567</v>
      </c>
      <c r="F273" s="116">
        <f t="shared" si="48"/>
        <v>47096.772221419284</v>
      </c>
      <c r="G273" s="117">
        <v>264523441</v>
      </c>
      <c r="H273" s="117">
        <f t="shared" si="42"/>
        <v>38231.45555716144</v>
      </c>
      <c r="I273" s="9"/>
      <c r="J273" s="10">
        <v>7.9753999999999996</v>
      </c>
      <c r="K273" s="117">
        <v>2109680</v>
      </c>
      <c r="L273" s="120">
        <f t="shared" si="43"/>
        <v>304.91111432287903</v>
      </c>
      <c r="M273" s="122">
        <f t="shared" si="49"/>
        <v>2645234.41</v>
      </c>
      <c r="N273" s="116">
        <f t="shared" si="50"/>
        <v>535554.41000000015</v>
      </c>
      <c r="O273" s="123">
        <f t="shared" si="51"/>
        <v>77.40344124873539</v>
      </c>
      <c r="P273" s="5"/>
      <c r="Q273" s="5">
        <f t="shared" si="44"/>
        <v>1</v>
      </c>
      <c r="R273" s="7">
        <f t="shared" si="45"/>
        <v>6919</v>
      </c>
      <c r="S273" s="5">
        <f t="shared" si="46"/>
        <v>1</v>
      </c>
      <c r="T273" s="7">
        <f t="shared" si="47"/>
        <v>6919</v>
      </c>
    </row>
    <row r="274" spans="1:20">
      <c r="A274" s="24" t="s">
        <v>628</v>
      </c>
      <c r="B274" s="35" t="s">
        <v>300</v>
      </c>
      <c r="C274" s="36">
        <v>29167</v>
      </c>
      <c r="D274" s="6"/>
      <c r="E274" s="113">
        <v>956557417</v>
      </c>
      <c r="F274" s="116">
        <f t="shared" si="48"/>
        <v>32795.879487091574</v>
      </c>
      <c r="G274" s="117">
        <v>644413136</v>
      </c>
      <c r="H274" s="117">
        <f t="shared" si="42"/>
        <v>22093.912161003875</v>
      </c>
      <c r="I274" s="9"/>
      <c r="J274" s="10">
        <v>8.25</v>
      </c>
      <c r="K274" s="117">
        <v>5316408</v>
      </c>
      <c r="L274" s="120">
        <f t="shared" si="43"/>
        <v>182.27476257414202</v>
      </c>
      <c r="M274" s="122">
        <f t="shared" si="49"/>
        <v>6444131.3600000003</v>
      </c>
      <c r="N274" s="116">
        <f t="shared" si="50"/>
        <v>1127723.3600000003</v>
      </c>
      <c r="O274" s="123">
        <f t="shared" si="51"/>
        <v>38.664359035896744</v>
      </c>
      <c r="P274" s="5"/>
      <c r="Q274" s="5">
        <f t="shared" si="44"/>
        <v>1</v>
      </c>
      <c r="R274" s="7">
        <f t="shared" si="45"/>
        <v>29167</v>
      </c>
      <c r="S274" s="5">
        <f t="shared" si="46"/>
        <v>1</v>
      </c>
      <c r="T274" s="7">
        <f t="shared" si="47"/>
        <v>29167</v>
      </c>
    </row>
    <row r="275" spans="1:20">
      <c r="A275" s="23" t="s">
        <v>319</v>
      </c>
      <c r="B275" s="35" t="s">
        <v>300</v>
      </c>
      <c r="C275" s="36">
        <v>8429</v>
      </c>
      <c r="D275" s="6"/>
      <c r="E275" s="113">
        <v>424431101</v>
      </c>
      <c r="F275" s="116">
        <f t="shared" si="48"/>
        <v>50353.671965832247</v>
      </c>
      <c r="G275" s="117">
        <v>325135874</v>
      </c>
      <c r="H275" s="117">
        <f t="shared" si="42"/>
        <v>38573.48131450943</v>
      </c>
      <c r="I275" s="7"/>
      <c r="J275" s="10">
        <v>5.9664999999999999</v>
      </c>
      <c r="K275" s="117">
        <v>1939923</v>
      </c>
      <c r="L275" s="120">
        <f t="shared" si="43"/>
        <v>230.14865345829872</v>
      </c>
      <c r="M275" s="122">
        <f t="shared" si="49"/>
        <v>3251358.74</v>
      </c>
      <c r="N275" s="116">
        <f t="shared" si="50"/>
        <v>1311435.7400000002</v>
      </c>
      <c r="O275" s="123">
        <f t="shared" si="51"/>
        <v>155.58615968679561</v>
      </c>
      <c r="P275" s="5"/>
      <c r="Q275" s="5">
        <f t="shared" si="44"/>
        <v>1</v>
      </c>
      <c r="R275" s="7">
        <f t="shared" si="45"/>
        <v>8429</v>
      </c>
      <c r="S275" s="5">
        <f t="shared" si="46"/>
        <v>1</v>
      </c>
      <c r="T275" s="7">
        <f t="shared" si="47"/>
        <v>8429</v>
      </c>
    </row>
    <row r="276" spans="1:20">
      <c r="A276" s="23" t="s">
        <v>320</v>
      </c>
      <c r="B276" s="35" t="s">
        <v>300</v>
      </c>
      <c r="C276" s="36">
        <v>328</v>
      </c>
      <c r="D276" s="6"/>
      <c r="E276" s="113">
        <v>339843499</v>
      </c>
      <c r="F276" s="116">
        <f t="shared" si="48"/>
        <v>1036108.2286585366</v>
      </c>
      <c r="G276" s="117">
        <v>329027222</v>
      </c>
      <c r="H276" s="117">
        <f t="shared" si="42"/>
        <v>1003131.7743902439</v>
      </c>
      <c r="I276" s="9"/>
      <c r="J276" s="11">
        <v>2.6787999999999998</v>
      </c>
      <c r="K276" s="117">
        <v>881398</v>
      </c>
      <c r="L276" s="120">
        <f t="shared" si="43"/>
        <v>2687.189024390244</v>
      </c>
      <c r="M276" s="122">
        <f t="shared" si="49"/>
        <v>3290272.22</v>
      </c>
      <c r="N276" s="116">
        <f t="shared" si="50"/>
        <v>2408874.2200000002</v>
      </c>
      <c r="O276" s="123">
        <f t="shared" si="51"/>
        <v>7344.1287195121959</v>
      </c>
      <c r="P276" s="5"/>
      <c r="Q276" s="5">
        <f t="shared" si="44"/>
        <v>1</v>
      </c>
      <c r="R276" s="7">
        <f t="shared" si="45"/>
        <v>328</v>
      </c>
      <c r="S276" s="5">
        <f t="shared" si="46"/>
        <v>1</v>
      </c>
      <c r="T276" s="7">
        <f t="shared" si="47"/>
        <v>328</v>
      </c>
    </row>
    <row r="277" spans="1:20">
      <c r="A277" s="23" t="s">
        <v>321</v>
      </c>
      <c r="B277" s="35" t="s">
        <v>300</v>
      </c>
      <c r="C277" s="36">
        <v>1382</v>
      </c>
      <c r="D277" s="6"/>
      <c r="E277" s="113">
        <v>118992075</v>
      </c>
      <c r="F277" s="116">
        <f t="shared" si="48"/>
        <v>86101.356729377716</v>
      </c>
      <c r="G277" s="117">
        <v>106629984</v>
      </c>
      <c r="H277" s="117">
        <f t="shared" si="42"/>
        <v>77156.283646888565</v>
      </c>
      <c r="I277" s="7"/>
      <c r="J277" s="10">
        <v>7.99</v>
      </c>
      <c r="K277" s="117">
        <v>851973</v>
      </c>
      <c r="L277" s="120">
        <f t="shared" si="43"/>
        <v>616.47829232995662</v>
      </c>
      <c r="M277" s="122">
        <f t="shared" si="49"/>
        <v>1066299.8400000001</v>
      </c>
      <c r="N277" s="116">
        <f t="shared" si="50"/>
        <v>214326.84000000008</v>
      </c>
      <c r="O277" s="123">
        <f t="shared" si="51"/>
        <v>155.08454413892915</v>
      </c>
      <c r="P277" s="5"/>
      <c r="Q277" s="5">
        <f t="shared" si="44"/>
        <v>1</v>
      </c>
      <c r="R277" s="7">
        <f t="shared" si="45"/>
        <v>1382</v>
      </c>
      <c r="S277" s="5">
        <f t="shared" si="46"/>
        <v>1</v>
      </c>
      <c r="T277" s="7">
        <f t="shared" si="47"/>
        <v>1382</v>
      </c>
    </row>
    <row r="278" spans="1:20">
      <c r="A278" s="23" t="s">
        <v>322</v>
      </c>
      <c r="B278" s="35" t="s">
        <v>300</v>
      </c>
      <c r="C278" s="36">
        <v>11844</v>
      </c>
      <c r="D278" s="6"/>
      <c r="E278" s="113">
        <v>911679904</v>
      </c>
      <c r="F278" s="116">
        <f t="shared" si="48"/>
        <v>76973.987166497798</v>
      </c>
      <c r="G278" s="117">
        <v>726394776</v>
      </c>
      <c r="H278" s="117">
        <f t="shared" si="42"/>
        <v>61330.190476190473</v>
      </c>
      <c r="I278" s="7"/>
      <c r="J278" s="12">
        <v>5.0999999999999996</v>
      </c>
      <c r="K278" s="117">
        <v>3704613</v>
      </c>
      <c r="L278" s="120">
        <f t="shared" si="43"/>
        <v>312.78394123606887</v>
      </c>
      <c r="M278" s="122">
        <f t="shared" si="49"/>
        <v>7263947.7599999998</v>
      </c>
      <c r="N278" s="116">
        <f t="shared" si="50"/>
        <v>3559334.76</v>
      </c>
      <c r="O278" s="123">
        <f t="shared" si="51"/>
        <v>300.51796352583585</v>
      </c>
      <c r="P278" s="5"/>
      <c r="Q278" s="5">
        <f t="shared" si="44"/>
        <v>1</v>
      </c>
      <c r="R278" s="7">
        <f t="shared" si="45"/>
        <v>11844</v>
      </c>
      <c r="S278" s="5">
        <f t="shared" si="46"/>
        <v>1</v>
      </c>
      <c r="T278" s="7">
        <f t="shared" si="47"/>
        <v>11844</v>
      </c>
    </row>
    <row r="279" spans="1:20">
      <c r="A279" s="23" t="s">
        <v>323</v>
      </c>
      <c r="B279" s="35" t="s">
        <v>300</v>
      </c>
      <c r="C279" s="36">
        <v>1605</v>
      </c>
      <c r="D279" s="6"/>
      <c r="E279" s="113">
        <v>344203421</v>
      </c>
      <c r="F279" s="116">
        <f t="shared" si="48"/>
        <v>214456.9601246106</v>
      </c>
      <c r="G279" s="117">
        <v>299510039</v>
      </c>
      <c r="H279" s="117">
        <f t="shared" si="42"/>
        <v>186610.61619937693</v>
      </c>
      <c r="I279" s="7"/>
      <c r="J279" s="10">
        <v>3.6598000000000002</v>
      </c>
      <c r="K279" s="117">
        <v>1096146</v>
      </c>
      <c r="L279" s="120">
        <f t="shared" si="43"/>
        <v>682.9570093457944</v>
      </c>
      <c r="M279" s="122">
        <f t="shared" si="49"/>
        <v>2995100.39</v>
      </c>
      <c r="N279" s="116">
        <f t="shared" si="50"/>
        <v>1898954.3900000001</v>
      </c>
      <c r="O279" s="123">
        <f t="shared" si="51"/>
        <v>1183.1491526479751</v>
      </c>
      <c r="P279" s="5"/>
      <c r="Q279" s="5">
        <f t="shared" si="44"/>
        <v>1</v>
      </c>
      <c r="R279" s="7">
        <f t="shared" si="45"/>
        <v>1605</v>
      </c>
      <c r="S279" s="5">
        <f t="shared" si="46"/>
        <v>1</v>
      </c>
      <c r="T279" s="7">
        <f t="shared" si="47"/>
        <v>1605</v>
      </c>
    </row>
    <row r="280" spans="1:20">
      <c r="A280" s="23" t="s">
        <v>324</v>
      </c>
      <c r="B280" s="35" t="s">
        <v>300</v>
      </c>
      <c r="C280" s="36">
        <v>6944</v>
      </c>
      <c r="D280" s="6"/>
      <c r="E280" s="113">
        <v>113741814</v>
      </c>
      <c r="F280" s="116">
        <f t="shared" si="48"/>
        <v>16379.869527649769</v>
      </c>
      <c r="G280" s="117">
        <v>50760347</v>
      </c>
      <c r="H280" s="117">
        <f t="shared" si="42"/>
        <v>7309.9578052995394</v>
      </c>
      <c r="I280" s="7"/>
      <c r="J280" s="10">
        <v>7.8853</v>
      </c>
      <c r="K280" s="117">
        <v>400260</v>
      </c>
      <c r="L280" s="120">
        <f t="shared" si="43"/>
        <v>57.641129032258064</v>
      </c>
      <c r="M280" s="122">
        <f t="shared" si="49"/>
        <v>507603.47000000003</v>
      </c>
      <c r="N280" s="116">
        <f t="shared" si="50"/>
        <v>107343.47000000003</v>
      </c>
      <c r="O280" s="123">
        <f t="shared" si="51"/>
        <v>15.458449020737332</v>
      </c>
      <c r="P280" s="5"/>
      <c r="Q280" s="5">
        <f t="shared" si="44"/>
        <v>1</v>
      </c>
      <c r="R280" s="7">
        <f t="shared" si="45"/>
        <v>6944</v>
      </c>
      <c r="S280" s="5">
        <f t="shared" si="46"/>
        <v>1</v>
      </c>
      <c r="T280" s="7">
        <f t="shared" si="47"/>
        <v>6944</v>
      </c>
    </row>
    <row r="281" spans="1:20">
      <c r="A281" s="23" t="s">
        <v>300</v>
      </c>
      <c r="B281" s="35" t="s">
        <v>300</v>
      </c>
      <c r="C281" s="36">
        <v>9856</v>
      </c>
      <c r="D281" s="6"/>
      <c r="E281" s="113">
        <v>4617563137</v>
      </c>
      <c r="F281" s="116">
        <f t="shared" si="48"/>
        <v>468502.75334821426</v>
      </c>
      <c r="G281" s="117">
        <v>4336830534</v>
      </c>
      <c r="H281" s="117">
        <f t="shared" si="42"/>
        <v>440019.33177759743</v>
      </c>
      <c r="I281" s="7"/>
      <c r="J281" s="10">
        <v>4.5370999999999997</v>
      </c>
      <c r="K281" s="117">
        <v>19676633</v>
      </c>
      <c r="L281" s="120">
        <f t="shared" si="43"/>
        <v>1996.4116274350649</v>
      </c>
      <c r="M281" s="122">
        <f t="shared" si="49"/>
        <v>43368305.340000004</v>
      </c>
      <c r="N281" s="116">
        <f t="shared" si="50"/>
        <v>23691672.340000004</v>
      </c>
      <c r="O281" s="123">
        <f t="shared" si="51"/>
        <v>2403.7816903409093</v>
      </c>
      <c r="P281" s="5"/>
      <c r="Q281" s="5">
        <f t="shared" si="44"/>
        <v>1</v>
      </c>
      <c r="R281" s="7">
        <f t="shared" si="45"/>
        <v>9856</v>
      </c>
      <c r="S281" s="5">
        <f t="shared" si="46"/>
        <v>1</v>
      </c>
      <c r="T281" s="7">
        <f t="shared" si="47"/>
        <v>9856</v>
      </c>
    </row>
    <row r="282" spans="1:20">
      <c r="A282" s="23" t="s">
        <v>325</v>
      </c>
      <c r="B282" s="35" t="s">
        <v>300</v>
      </c>
      <c r="C282" s="36">
        <v>31011</v>
      </c>
      <c r="D282" s="6"/>
      <c r="E282" s="113">
        <v>3385456918</v>
      </c>
      <c r="F282" s="116">
        <f t="shared" si="48"/>
        <v>109169.55009512753</v>
      </c>
      <c r="G282" s="117">
        <v>2765608910</v>
      </c>
      <c r="H282" s="117">
        <f t="shared" si="42"/>
        <v>89181.545580600432</v>
      </c>
      <c r="I282" s="7"/>
      <c r="J282" s="10">
        <v>3.9529999999999998</v>
      </c>
      <c r="K282" s="117">
        <v>10932452</v>
      </c>
      <c r="L282" s="120">
        <f t="shared" si="43"/>
        <v>352.53464899551773</v>
      </c>
      <c r="M282" s="122">
        <f t="shared" si="49"/>
        <v>27656089.100000001</v>
      </c>
      <c r="N282" s="116">
        <f t="shared" si="50"/>
        <v>16723637.100000001</v>
      </c>
      <c r="O282" s="123">
        <f t="shared" si="51"/>
        <v>539.28080681048664</v>
      </c>
      <c r="P282" s="5"/>
      <c r="Q282" s="5">
        <f t="shared" si="44"/>
        <v>1</v>
      </c>
      <c r="R282" s="7">
        <f t="shared" si="45"/>
        <v>31011</v>
      </c>
      <c r="S282" s="5">
        <f t="shared" si="46"/>
        <v>1</v>
      </c>
      <c r="T282" s="7">
        <f t="shared" si="47"/>
        <v>31011</v>
      </c>
    </row>
    <row r="283" spans="1:20">
      <c r="A283" s="23" t="s">
        <v>326</v>
      </c>
      <c r="B283" s="35" t="s">
        <v>300</v>
      </c>
      <c r="C283" s="36">
        <v>1036</v>
      </c>
      <c r="D283" s="6"/>
      <c r="E283" s="113">
        <v>161674371</v>
      </c>
      <c r="F283" s="116">
        <f t="shared" si="48"/>
        <v>156056.34266409266</v>
      </c>
      <c r="G283" s="117">
        <v>147094040</v>
      </c>
      <c r="H283" s="117">
        <f t="shared" ref="H283:H346" si="52">(G283/C283)</f>
        <v>141982.66409266408</v>
      </c>
      <c r="I283" s="7"/>
      <c r="J283" s="10">
        <v>5.484</v>
      </c>
      <c r="K283" s="117">
        <v>806663</v>
      </c>
      <c r="L283" s="120">
        <f t="shared" ref="L283:L346" si="53">(K283/C283)</f>
        <v>778.63223938223939</v>
      </c>
      <c r="M283" s="122">
        <f t="shared" si="49"/>
        <v>1470940.4000000001</v>
      </c>
      <c r="N283" s="116">
        <f t="shared" si="50"/>
        <v>664277.40000000014</v>
      </c>
      <c r="O283" s="123">
        <f t="shared" si="51"/>
        <v>641.19440154440167</v>
      </c>
      <c r="P283" s="5"/>
      <c r="Q283" s="5">
        <f t="shared" si="44"/>
        <v>1</v>
      </c>
      <c r="R283" s="7">
        <f t="shared" si="45"/>
        <v>1036</v>
      </c>
      <c r="S283" s="5">
        <f t="shared" si="46"/>
        <v>1</v>
      </c>
      <c r="T283" s="7">
        <f t="shared" si="47"/>
        <v>1036</v>
      </c>
    </row>
    <row r="284" spans="1:20">
      <c r="A284" s="23" t="s">
        <v>327</v>
      </c>
      <c r="B284" s="35" t="s">
        <v>300</v>
      </c>
      <c r="C284" s="36">
        <v>9825</v>
      </c>
      <c r="D284" s="6"/>
      <c r="E284" s="113">
        <v>263384830</v>
      </c>
      <c r="F284" s="116">
        <f t="shared" si="48"/>
        <v>26807.616284987278</v>
      </c>
      <c r="G284" s="117">
        <v>174367173</v>
      </c>
      <c r="H284" s="117">
        <f t="shared" si="52"/>
        <v>17747.29496183206</v>
      </c>
      <c r="I284" s="7"/>
      <c r="J284" s="10">
        <v>5.4509999999999996</v>
      </c>
      <c r="K284" s="117">
        <v>950475</v>
      </c>
      <c r="L284" s="120">
        <f t="shared" si="53"/>
        <v>96.74045801526718</v>
      </c>
      <c r="M284" s="122">
        <f t="shared" si="49"/>
        <v>1743671.73</v>
      </c>
      <c r="N284" s="116">
        <f t="shared" si="50"/>
        <v>793196.73</v>
      </c>
      <c r="O284" s="123">
        <f t="shared" si="51"/>
        <v>80.732491603053433</v>
      </c>
      <c r="P284" s="5"/>
      <c r="Q284" s="5">
        <f t="shared" si="44"/>
        <v>1</v>
      </c>
      <c r="R284" s="7">
        <f t="shared" si="45"/>
        <v>9825</v>
      </c>
      <c r="S284" s="5">
        <f t="shared" si="46"/>
        <v>1</v>
      </c>
      <c r="T284" s="7">
        <f t="shared" si="47"/>
        <v>9825</v>
      </c>
    </row>
    <row r="285" spans="1:20">
      <c r="A285" s="23" t="s">
        <v>328</v>
      </c>
      <c r="B285" s="35" t="s">
        <v>300</v>
      </c>
      <c r="C285" s="36">
        <v>27634</v>
      </c>
      <c r="D285" s="6"/>
      <c r="E285" s="113">
        <v>1660303350</v>
      </c>
      <c r="F285" s="116">
        <f t="shared" si="48"/>
        <v>60081.904537888106</v>
      </c>
      <c r="G285" s="117">
        <v>1357488576</v>
      </c>
      <c r="H285" s="117">
        <f t="shared" si="52"/>
        <v>49123.853803285805</v>
      </c>
      <c r="I285" s="7"/>
      <c r="J285" s="10">
        <v>8.9997000000000007</v>
      </c>
      <c r="K285" s="117">
        <v>12216989</v>
      </c>
      <c r="L285" s="120">
        <f t="shared" si="53"/>
        <v>442.09991315046682</v>
      </c>
      <c r="M285" s="122">
        <f t="shared" si="49"/>
        <v>13574885.76</v>
      </c>
      <c r="N285" s="116">
        <f t="shared" si="50"/>
        <v>1357896.7599999998</v>
      </c>
      <c r="O285" s="123">
        <f t="shared" si="51"/>
        <v>49.138624882391248</v>
      </c>
      <c r="P285" s="5"/>
      <c r="Q285" s="5">
        <f t="shared" si="44"/>
        <v>1</v>
      </c>
      <c r="R285" s="7">
        <f t="shared" si="45"/>
        <v>27634</v>
      </c>
      <c r="S285" s="5">
        <f t="shared" si="46"/>
        <v>1</v>
      </c>
      <c r="T285" s="7">
        <f t="shared" si="47"/>
        <v>27634</v>
      </c>
    </row>
    <row r="286" spans="1:20">
      <c r="A286" s="23" t="s">
        <v>329</v>
      </c>
      <c r="B286" s="35" t="s">
        <v>300</v>
      </c>
      <c r="C286" s="36">
        <v>17196</v>
      </c>
      <c r="D286" s="6"/>
      <c r="E286" s="113">
        <v>742384239</v>
      </c>
      <c r="F286" s="116">
        <f t="shared" si="48"/>
        <v>43171.91434054431</v>
      </c>
      <c r="G286" s="117">
        <v>545473998</v>
      </c>
      <c r="H286" s="117">
        <f t="shared" si="52"/>
        <v>31720.981507327284</v>
      </c>
      <c r="I286" s="7"/>
      <c r="J286" s="10">
        <v>7.0385999999999997</v>
      </c>
      <c r="K286" s="117">
        <v>3839373</v>
      </c>
      <c r="L286" s="120">
        <f t="shared" si="53"/>
        <v>223.27128401953942</v>
      </c>
      <c r="M286" s="122">
        <f t="shared" si="49"/>
        <v>5454739.9800000004</v>
      </c>
      <c r="N286" s="116">
        <f t="shared" si="50"/>
        <v>1615366.9800000004</v>
      </c>
      <c r="O286" s="123">
        <f t="shared" si="51"/>
        <v>93.938531053733456</v>
      </c>
      <c r="P286" s="5"/>
      <c r="Q286" s="5">
        <f t="shared" si="44"/>
        <v>1</v>
      </c>
      <c r="R286" s="7">
        <f t="shared" si="45"/>
        <v>17196</v>
      </c>
      <c r="S286" s="5">
        <f t="shared" si="46"/>
        <v>1</v>
      </c>
      <c r="T286" s="7">
        <f t="shared" si="47"/>
        <v>17196</v>
      </c>
    </row>
    <row r="287" spans="1:20">
      <c r="A287" s="23" t="s">
        <v>330</v>
      </c>
      <c r="B287" s="35" t="s">
        <v>300</v>
      </c>
      <c r="C287" s="36">
        <v>4042</v>
      </c>
      <c r="D287" s="6"/>
      <c r="E287" s="113">
        <v>60250540</v>
      </c>
      <c r="F287" s="116">
        <f t="shared" si="48"/>
        <v>14906.120732310737</v>
      </c>
      <c r="G287" s="117">
        <v>35135723</v>
      </c>
      <c r="H287" s="117">
        <f t="shared" si="52"/>
        <v>8692.6578426521519</v>
      </c>
      <c r="I287" s="7"/>
      <c r="J287" s="10">
        <v>9.2888999999999999</v>
      </c>
      <c r="K287" s="117">
        <v>326372</v>
      </c>
      <c r="L287" s="120">
        <f t="shared" si="53"/>
        <v>80.745175655616038</v>
      </c>
      <c r="M287" s="122">
        <f t="shared" si="49"/>
        <v>351357.23</v>
      </c>
      <c r="N287" s="116">
        <f t="shared" si="50"/>
        <v>24985.229999999981</v>
      </c>
      <c r="O287" s="123">
        <f t="shared" si="51"/>
        <v>6.1814027709054873</v>
      </c>
      <c r="P287" s="5"/>
      <c r="Q287" s="5">
        <f t="shared" si="44"/>
        <v>1</v>
      </c>
      <c r="R287" s="7">
        <f t="shared" si="45"/>
        <v>4042</v>
      </c>
      <c r="S287" s="5">
        <f t="shared" si="46"/>
        <v>1</v>
      </c>
      <c r="T287" s="7">
        <f t="shared" si="47"/>
        <v>4042</v>
      </c>
    </row>
    <row r="288" spans="1:20">
      <c r="A288" s="23" t="s">
        <v>331</v>
      </c>
      <c r="B288" s="35" t="s">
        <v>300</v>
      </c>
      <c r="C288" s="36">
        <v>1495</v>
      </c>
      <c r="D288" s="6"/>
      <c r="E288" s="113">
        <v>174464319</v>
      </c>
      <c r="F288" s="116">
        <f t="shared" si="48"/>
        <v>116698.54113712374</v>
      </c>
      <c r="G288" s="117">
        <v>154682342</v>
      </c>
      <c r="H288" s="117">
        <f t="shared" si="52"/>
        <v>103466.44949832775</v>
      </c>
      <c r="I288" s="7"/>
      <c r="J288" s="10">
        <v>3.48</v>
      </c>
      <c r="K288" s="117">
        <v>538294</v>
      </c>
      <c r="L288" s="120">
        <f t="shared" si="53"/>
        <v>360.06287625418059</v>
      </c>
      <c r="M288" s="122">
        <f t="shared" si="49"/>
        <v>1546823.42</v>
      </c>
      <c r="N288" s="116">
        <f t="shared" si="50"/>
        <v>1008529.4199999999</v>
      </c>
      <c r="O288" s="123">
        <f t="shared" si="51"/>
        <v>674.60161872909691</v>
      </c>
      <c r="P288" s="5"/>
      <c r="Q288" s="5">
        <f t="shared" si="44"/>
        <v>1</v>
      </c>
      <c r="R288" s="7">
        <f t="shared" si="45"/>
        <v>1495</v>
      </c>
      <c r="S288" s="5">
        <f t="shared" si="46"/>
        <v>1</v>
      </c>
      <c r="T288" s="7">
        <f t="shared" si="47"/>
        <v>1495</v>
      </c>
    </row>
    <row r="289" spans="1:20">
      <c r="A289" s="23" t="s">
        <v>332</v>
      </c>
      <c r="B289" s="35" t="s">
        <v>300</v>
      </c>
      <c r="C289" s="36">
        <v>4592</v>
      </c>
      <c r="D289" s="6"/>
      <c r="E289" s="113">
        <v>443224979</v>
      </c>
      <c r="F289" s="116">
        <f t="shared" si="48"/>
        <v>96521.119120209056</v>
      </c>
      <c r="G289" s="117">
        <v>353641212</v>
      </c>
      <c r="H289" s="117">
        <f t="shared" si="52"/>
        <v>77012.459059233443</v>
      </c>
      <c r="I289" s="7"/>
      <c r="J289" s="10">
        <v>6.3425000000000002</v>
      </c>
      <c r="K289" s="117">
        <v>2242969</v>
      </c>
      <c r="L289" s="120">
        <f t="shared" si="53"/>
        <v>488.45143728222996</v>
      </c>
      <c r="M289" s="122">
        <f t="shared" si="49"/>
        <v>3536412.12</v>
      </c>
      <c r="N289" s="116">
        <f t="shared" si="50"/>
        <v>1293443.1200000001</v>
      </c>
      <c r="O289" s="123">
        <f t="shared" si="51"/>
        <v>281.67315331010457</v>
      </c>
      <c r="P289" s="5"/>
      <c r="Q289" s="5">
        <f t="shared" si="44"/>
        <v>1</v>
      </c>
      <c r="R289" s="7">
        <f t="shared" si="45"/>
        <v>4592</v>
      </c>
      <c r="S289" s="5">
        <f t="shared" si="46"/>
        <v>1</v>
      </c>
      <c r="T289" s="7">
        <f t="shared" si="47"/>
        <v>4592</v>
      </c>
    </row>
    <row r="290" spans="1:20">
      <c r="A290" s="23" t="s">
        <v>334</v>
      </c>
      <c r="B290" s="35" t="s">
        <v>300</v>
      </c>
      <c r="C290" s="36">
        <v>76418</v>
      </c>
      <c r="D290" s="6"/>
      <c r="E290" s="113">
        <v>4801510192</v>
      </c>
      <c r="F290" s="116">
        <f t="shared" si="48"/>
        <v>62832.188646653929</v>
      </c>
      <c r="G290" s="117">
        <v>3499919033</v>
      </c>
      <c r="H290" s="117">
        <f t="shared" si="52"/>
        <v>45799.668049412445</v>
      </c>
      <c r="I290" s="7"/>
      <c r="J290" s="10">
        <v>8.8747000000000007</v>
      </c>
      <c r="K290" s="117">
        <v>31060731</v>
      </c>
      <c r="L290" s="120">
        <f t="shared" si="53"/>
        <v>406.45830825198254</v>
      </c>
      <c r="M290" s="122">
        <f t="shared" si="49"/>
        <v>34999190.329999998</v>
      </c>
      <c r="N290" s="116">
        <f t="shared" si="50"/>
        <v>3938459.3299999982</v>
      </c>
      <c r="O290" s="123">
        <f t="shared" si="51"/>
        <v>51.538372242141882</v>
      </c>
      <c r="P290" s="5"/>
      <c r="Q290" s="5">
        <f t="shared" si="44"/>
        <v>1</v>
      </c>
      <c r="R290" s="7">
        <f t="shared" si="45"/>
        <v>76418</v>
      </c>
      <c r="S290" s="5">
        <f t="shared" si="46"/>
        <v>1</v>
      </c>
      <c r="T290" s="7">
        <f t="shared" si="47"/>
        <v>76418</v>
      </c>
    </row>
    <row r="291" spans="1:20">
      <c r="A291" s="23" t="s">
        <v>335</v>
      </c>
      <c r="B291" s="35" t="s">
        <v>336</v>
      </c>
      <c r="C291" s="36">
        <v>5932</v>
      </c>
      <c r="D291" s="6"/>
      <c r="E291" s="113">
        <v>217541095</v>
      </c>
      <c r="F291" s="116">
        <f t="shared" si="48"/>
        <v>36672.470498988536</v>
      </c>
      <c r="G291" s="117">
        <v>125279923</v>
      </c>
      <c r="H291" s="117">
        <f t="shared" si="52"/>
        <v>21119.33968307485</v>
      </c>
      <c r="I291" s="7"/>
      <c r="J291" s="10">
        <v>7.5</v>
      </c>
      <c r="K291" s="117">
        <v>939599</v>
      </c>
      <c r="L291" s="120">
        <f t="shared" si="53"/>
        <v>158.39497639919082</v>
      </c>
      <c r="M291" s="122">
        <f t="shared" si="49"/>
        <v>1252799.23</v>
      </c>
      <c r="N291" s="116">
        <f t="shared" si="50"/>
        <v>313200.23</v>
      </c>
      <c r="O291" s="123">
        <f t="shared" si="51"/>
        <v>52.798420431557652</v>
      </c>
      <c r="P291" s="5"/>
      <c r="Q291" s="5">
        <f t="shared" si="44"/>
        <v>1</v>
      </c>
      <c r="R291" s="7">
        <f t="shared" si="45"/>
        <v>5932</v>
      </c>
      <c r="S291" s="5">
        <f t="shared" si="46"/>
        <v>1</v>
      </c>
      <c r="T291" s="7">
        <f t="shared" si="47"/>
        <v>5932</v>
      </c>
    </row>
    <row r="292" spans="1:20">
      <c r="A292" s="23" t="s">
        <v>337</v>
      </c>
      <c r="B292" s="35" t="s">
        <v>336</v>
      </c>
      <c r="C292" s="36">
        <v>14390</v>
      </c>
      <c r="D292" s="6"/>
      <c r="E292" s="113">
        <v>556923154</v>
      </c>
      <c r="F292" s="116">
        <f t="shared" si="48"/>
        <v>38702.095482974284</v>
      </c>
      <c r="G292" s="117">
        <v>405800072</v>
      </c>
      <c r="H292" s="117">
        <f t="shared" si="52"/>
        <v>28200.143988881169</v>
      </c>
      <c r="I292" s="7"/>
      <c r="J292" s="10">
        <v>5.25</v>
      </c>
      <c r="K292" s="117">
        <v>2130450</v>
      </c>
      <c r="L292" s="120">
        <f t="shared" si="53"/>
        <v>148.0507296733843</v>
      </c>
      <c r="M292" s="122">
        <f t="shared" si="49"/>
        <v>4058000.72</v>
      </c>
      <c r="N292" s="116">
        <f t="shared" si="50"/>
        <v>1927550.7200000002</v>
      </c>
      <c r="O292" s="123">
        <f t="shared" si="51"/>
        <v>133.95071021542739</v>
      </c>
      <c r="P292" s="5"/>
      <c r="Q292" s="5">
        <f t="shared" si="44"/>
        <v>1</v>
      </c>
      <c r="R292" s="7">
        <f t="shared" si="45"/>
        <v>14390</v>
      </c>
      <c r="S292" s="5">
        <f t="shared" si="46"/>
        <v>1</v>
      </c>
      <c r="T292" s="7">
        <f t="shared" si="47"/>
        <v>14390</v>
      </c>
    </row>
    <row r="293" spans="1:20">
      <c r="A293" s="23" t="s">
        <v>338</v>
      </c>
      <c r="B293" s="35" t="s">
        <v>336</v>
      </c>
      <c r="C293" s="36">
        <v>2658</v>
      </c>
      <c r="D293" s="6"/>
      <c r="E293" s="113">
        <v>141487360</v>
      </c>
      <c r="F293" s="116">
        <f t="shared" si="48"/>
        <v>53230.759969902181</v>
      </c>
      <c r="G293" s="117">
        <v>116103383</v>
      </c>
      <c r="H293" s="117">
        <f t="shared" si="52"/>
        <v>43680.731000752443</v>
      </c>
      <c r="I293" s="7"/>
      <c r="J293" s="10">
        <v>4.32</v>
      </c>
      <c r="K293" s="117">
        <v>501566</v>
      </c>
      <c r="L293" s="120">
        <f t="shared" si="53"/>
        <v>188.70052671181338</v>
      </c>
      <c r="M293" s="122">
        <f t="shared" si="49"/>
        <v>1161033.83</v>
      </c>
      <c r="N293" s="116">
        <f t="shared" si="50"/>
        <v>659467.83000000007</v>
      </c>
      <c r="O293" s="123">
        <f t="shared" si="51"/>
        <v>248.1067832957111</v>
      </c>
      <c r="P293" s="5"/>
      <c r="Q293" s="5">
        <f t="shared" si="44"/>
        <v>1</v>
      </c>
      <c r="R293" s="7">
        <f t="shared" si="45"/>
        <v>2658</v>
      </c>
      <c r="S293" s="5">
        <f t="shared" si="46"/>
        <v>1</v>
      </c>
      <c r="T293" s="7">
        <f t="shared" si="47"/>
        <v>2658</v>
      </c>
    </row>
    <row r="294" spans="1:20">
      <c r="A294" s="23" t="s">
        <v>339</v>
      </c>
      <c r="B294" s="35" t="s">
        <v>336</v>
      </c>
      <c r="C294" s="36">
        <v>838</v>
      </c>
      <c r="D294" s="6"/>
      <c r="E294" s="113">
        <v>19890591</v>
      </c>
      <c r="F294" s="116">
        <f t="shared" si="48"/>
        <v>23735.788782816227</v>
      </c>
      <c r="G294" s="117">
        <v>12299615</v>
      </c>
      <c r="H294" s="117">
        <f t="shared" si="52"/>
        <v>14677.344868735083</v>
      </c>
      <c r="I294" s="7"/>
      <c r="J294" s="10">
        <v>4.5</v>
      </c>
      <c r="K294" s="117">
        <v>55348</v>
      </c>
      <c r="L294" s="120">
        <f t="shared" si="53"/>
        <v>66.04773269689737</v>
      </c>
      <c r="M294" s="122">
        <f t="shared" si="49"/>
        <v>122996.15000000001</v>
      </c>
      <c r="N294" s="116">
        <f t="shared" si="50"/>
        <v>67648.150000000009</v>
      </c>
      <c r="O294" s="123">
        <f t="shared" si="51"/>
        <v>80.725715990453466</v>
      </c>
      <c r="P294" s="5"/>
      <c r="Q294" s="5">
        <f t="shared" si="44"/>
        <v>1</v>
      </c>
      <c r="R294" s="7">
        <f t="shared" si="45"/>
        <v>838</v>
      </c>
      <c r="S294" s="5">
        <f t="shared" si="46"/>
        <v>1</v>
      </c>
      <c r="T294" s="7">
        <f t="shared" si="47"/>
        <v>838</v>
      </c>
    </row>
    <row r="295" spans="1:20">
      <c r="A295" s="23" t="s">
        <v>547</v>
      </c>
      <c r="B295" s="35" t="s">
        <v>336</v>
      </c>
      <c r="C295" s="36">
        <v>714</v>
      </c>
      <c r="D295" s="6"/>
      <c r="E295" s="113">
        <v>25098906</v>
      </c>
      <c r="F295" s="116">
        <f t="shared" si="48"/>
        <v>35152.529411764706</v>
      </c>
      <c r="G295" s="117">
        <v>5425385</v>
      </c>
      <c r="H295" s="117">
        <f t="shared" si="52"/>
        <v>7598.5784313725489</v>
      </c>
      <c r="I295" s="7"/>
      <c r="J295" s="10">
        <v>3</v>
      </c>
      <c r="K295" s="117">
        <v>16276</v>
      </c>
      <c r="L295" s="120">
        <f t="shared" si="53"/>
        <v>22.795518207282914</v>
      </c>
      <c r="M295" s="122">
        <f t="shared" si="49"/>
        <v>54253.85</v>
      </c>
      <c r="N295" s="116">
        <f t="shared" si="50"/>
        <v>37977.85</v>
      </c>
      <c r="O295" s="123">
        <f t="shared" si="51"/>
        <v>53.190266106442571</v>
      </c>
      <c r="P295" s="5"/>
      <c r="Q295" s="5">
        <f t="shared" si="44"/>
        <v>1</v>
      </c>
      <c r="R295" s="7">
        <f t="shared" si="45"/>
        <v>714</v>
      </c>
      <c r="S295" s="5">
        <f t="shared" si="46"/>
        <v>1</v>
      </c>
      <c r="T295" s="7">
        <f t="shared" si="47"/>
        <v>714</v>
      </c>
    </row>
    <row r="296" spans="1:20">
      <c r="A296" s="23" t="s">
        <v>340</v>
      </c>
      <c r="B296" s="35" t="s">
        <v>336</v>
      </c>
      <c r="C296" s="36">
        <v>8694</v>
      </c>
      <c r="D296" s="6"/>
      <c r="E296" s="113">
        <v>392967543</v>
      </c>
      <c r="F296" s="116">
        <f t="shared" si="48"/>
        <v>45199.855417529332</v>
      </c>
      <c r="G296" s="117">
        <v>244211346</v>
      </c>
      <c r="H296" s="117">
        <f t="shared" si="52"/>
        <v>28089.64182194617</v>
      </c>
      <c r="I296" s="9"/>
      <c r="J296" s="10">
        <v>6.42</v>
      </c>
      <c r="K296" s="117">
        <v>1567836</v>
      </c>
      <c r="L296" s="120">
        <f t="shared" si="53"/>
        <v>180.33540372670808</v>
      </c>
      <c r="M296" s="122">
        <f t="shared" si="49"/>
        <v>2442113.46</v>
      </c>
      <c r="N296" s="116">
        <f t="shared" si="50"/>
        <v>874277.46</v>
      </c>
      <c r="O296" s="123">
        <f t="shared" si="51"/>
        <v>100.56101449275361</v>
      </c>
      <c r="P296" s="5"/>
      <c r="Q296" s="5">
        <f t="shared" si="44"/>
        <v>1</v>
      </c>
      <c r="R296" s="7">
        <f t="shared" si="45"/>
        <v>8694</v>
      </c>
      <c r="S296" s="5">
        <f t="shared" si="46"/>
        <v>1</v>
      </c>
      <c r="T296" s="7">
        <f t="shared" si="47"/>
        <v>8694</v>
      </c>
    </row>
    <row r="297" spans="1:20">
      <c r="A297" s="23" t="s">
        <v>341</v>
      </c>
      <c r="B297" s="35" t="s">
        <v>342</v>
      </c>
      <c r="C297" s="36">
        <v>4043</v>
      </c>
      <c r="D297" s="6"/>
      <c r="E297" s="113">
        <v>392778980</v>
      </c>
      <c r="F297" s="116">
        <f t="shared" si="48"/>
        <v>97150.378431857534</v>
      </c>
      <c r="G297" s="117">
        <v>333471090</v>
      </c>
      <c r="H297" s="117">
        <f t="shared" si="52"/>
        <v>82481.100667820923</v>
      </c>
      <c r="I297" s="7"/>
      <c r="J297" s="10">
        <v>4.5999999999999996</v>
      </c>
      <c r="K297" s="117">
        <v>1533967</v>
      </c>
      <c r="L297" s="120">
        <f t="shared" si="53"/>
        <v>379.41305960920107</v>
      </c>
      <c r="M297" s="122">
        <f t="shared" si="49"/>
        <v>3334710.9</v>
      </c>
      <c r="N297" s="116">
        <f t="shared" si="50"/>
        <v>1800743.9</v>
      </c>
      <c r="O297" s="123">
        <f t="shared" si="51"/>
        <v>445.39794706900813</v>
      </c>
      <c r="P297" s="5"/>
      <c r="Q297" s="5">
        <f t="shared" si="44"/>
        <v>1</v>
      </c>
      <c r="R297" s="7">
        <f t="shared" si="45"/>
        <v>4043</v>
      </c>
      <c r="S297" s="5">
        <f t="shared" si="46"/>
        <v>1</v>
      </c>
      <c r="T297" s="7">
        <f t="shared" si="47"/>
        <v>4043</v>
      </c>
    </row>
    <row r="298" spans="1:20">
      <c r="A298" s="23" t="s">
        <v>343</v>
      </c>
      <c r="B298" s="35" t="s">
        <v>342</v>
      </c>
      <c r="C298" s="36">
        <v>2104</v>
      </c>
      <c r="D298" s="6"/>
      <c r="E298" s="113">
        <v>190185530</v>
      </c>
      <c r="F298" s="116">
        <f t="shared" si="48"/>
        <v>90392.36216730038</v>
      </c>
      <c r="G298" s="117">
        <v>168562500</v>
      </c>
      <c r="H298" s="117">
        <f t="shared" si="52"/>
        <v>80115.256653992401</v>
      </c>
      <c r="I298" s="7"/>
      <c r="J298" s="10">
        <v>2.2749999999999999</v>
      </c>
      <c r="K298" s="117">
        <v>383479</v>
      </c>
      <c r="L298" s="120">
        <f t="shared" si="53"/>
        <v>182.26188212927758</v>
      </c>
      <c r="M298" s="122">
        <f t="shared" si="49"/>
        <v>1685625</v>
      </c>
      <c r="N298" s="116">
        <f t="shared" si="50"/>
        <v>1302146</v>
      </c>
      <c r="O298" s="123">
        <f t="shared" si="51"/>
        <v>618.89068441064637</v>
      </c>
      <c r="P298" s="5"/>
      <c r="Q298" s="5">
        <f t="shared" si="44"/>
        <v>1</v>
      </c>
      <c r="R298" s="7">
        <f t="shared" si="45"/>
        <v>2104</v>
      </c>
      <c r="S298" s="5">
        <f t="shared" si="46"/>
        <v>1</v>
      </c>
      <c r="T298" s="7">
        <f t="shared" si="47"/>
        <v>2104</v>
      </c>
    </row>
    <row r="299" spans="1:20">
      <c r="A299" s="23" t="s">
        <v>344</v>
      </c>
      <c r="B299" s="35" t="s">
        <v>342</v>
      </c>
      <c r="C299" s="36">
        <v>2221</v>
      </c>
      <c r="D299" s="6"/>
      <c r="E299" s="113">
        <v>122759310</v>
      </c>
      <c r="F299" s="116">
        <f t="shared" si="48"/>
        <v>55272.08914903197</v>
      </c>
      <c r="G299" s="117">
        <v>100424940</v>
      </c>
      <c r="H299" s="117">
        <f t="shared" si="52"/>
        <v>45216.091850517783</v>
      </c>
      <c r="I299" s="7"/>
      <c r="J299" s="10">
        <v>4.5999999999999996</v>
      </c>
      <c r="K299" s="117">
        <v>461954</v>
      </c>
      <c r="L299" s="120">
        <f t="shared" si="53"/>
        <v>207.99369653309321</v>
      </c>
      <c r="M299" s="122">
        <f t="shared" si="49"/>
        <v>1004249.4</v>
      </c>
      <c r="N299" s="116">
        <f t="shared" si="50"/>
        <v>542295.4</v>
      </c>
      <c r="O299" s="123">
        <f t="shared" si="51"/>
        <v>244.16722197208466</v>
      </c>
      <c r="P299" s="5"/>
      <c r="Q299" s="5">
        <f t="shared" si="44"/>
        <v>1</v>
      </c>
      <c r="R299" s="7">
        <f t="shared" si="45"/>
        <v>2221</v>
      </c>
      <c r="S299" s="5">
        <f t="shared" si="46"/>
        <v>1</v>
      </c>
      <c r="T299" s="7">
        <f t="shared" si="47"/>
        <v>2221</v>
      </c>
    </row>
    <row r="300" spans="1:20">
      <c r="A300" s="23" t="s">
        <v>345</v>
      </c>
      <c r="B300" s="35" t="s">
        <v>342</v>
      </c>
      <c r="C300" s="36">
        <v>60</v>
      </c>
      <c r="D300" s="6"/>
      <c r="E300" s="113">
        <v>37258380</v>
      </c>
      <c r="F300" s="116">
        <f t="shared" si="48"/>
        <v>620973</v>
      </c>
      <c r="G300" s="117">
        <v>35366880</v>
      </c>
      <c r="H300" s="117">
        <f t="shared" si="52"/>
        <v>589448</v>
      </c>
      <c r="I300" s="7"/>
      <c r="J300" s="10">
        <v>1.24</v>
      </c>
      <c r="K300" s="117">
        <v>43854</v>
      </c>
      <c r="L300" s="120">
        <f t="shared" si="53"/>
        <v>730.9</v>
      </c>
      <c r="M300" s="122">
        <f t="shared" si="49"/>
        <v>353668.8</v>
      </c>
      <c r="N300" s="116">
        <f t="shared" si="50"/>
        <v>309814.8</v>
      </c>
      <c r="O300" s="123">
        <f t="shared" si="51"/>
        <v>5163.58</v>
      </c>
      <c r="P300" s="5"/>
      <c r="Q300" s="5">
        <f t="shared" si="44"/>
        <v>1</v>
      </c>
      <c r="R300" s="7">
        <f t="shared" si="45"/>
        <v>60</v>
      </c>
      <c r="S300" s="5">
        <f t="shared" si="46"/>
        <v>1</v>
      </c>
      <c r="T300" s="7">
        <f t="shared" si="47"/>
        <v>60</v>
      </c>
    </row>
    <row r="301" spans="1:20">
      <c r="A301" s="23" t="s">
        <v>346</v>
      </c>
      <c r="B301" s="35" t="s">
        <v>342</v>
      </c>
      <c r="C301" s="36">
        <v>101162</v>
      </c>
      <c r="D301" s="6"/>
      <c r="E301" s="113">
        <v>5733193387</v>
      </c>
      <c r="F301" s="116">
        <f t="shared" si="48"/>
        <v>56673.389088788281</v>
      </c>
      <c r="G301" s="117">
        <v>4252432849</v>
      </c>
      <c r="H301" s="117">
        <f t="shared" si="52"/>
        <v>42035.871661295743</v>
      </c>
      <c r="I301" s="7"/>
      <c r="J301" s="10">
        <v>5.1158000000000001</v>
      </c>
      <c r="K301" s="117">
        <v>21754595</v>
      </c>
      <c r="L301" s="120">
        <f t="shared" si="53"/>
        <v>215.04710266700934</v>
      </c>
      <c r="M301" s="122">
        <f t="shared" si="49"/>
        <v>42524328.490000002</v>
      </c>
      <c r="N301" s="116">
        <f t="shared" si="50"/>
        <v>20769733.490000002</v>
      </c>
      <c r="O301" s="123">
        <f t="shared" si="51"/>
        <v>205.3116139459481</v>
      </c>
      <c r="P301" s="5"/>
      <c r="Q301" s="5">
        <f t="shared" si="44"/>
        <v>1</v>
      </c>
      <c r="R301" s="7">
        <f t="shared" si="45"/>
        <v>101162</v>
      </c>
      <c r="S301" s="5">
        <f t="shared" si="46"/>
        <v>1</v>
      </c>
      <c r="T301" s="7">
        <f t="shared" si="47"/>
        <v>101162</v>
      </c>
    </row>
    <row r="302" spans="1:20">
      <c r="A302" s="23" t="s">
        <v>347</v>
      </c>
      <c r="B302" s="35" t="s">
        <v>342</v>
      </c>
      <c r="C302" s="36">
        <v>34988</v>
      </c>
      <c r="D302" s="6"/>
      <c r="E302" s="113">
        <v>1562525810</v>
      </c>
      <c r="F302" s="116">
        <f t="shared" si="48"/>
        <v>44658.9061964102</v>
      </c>
      <c r="G302" s="117">
        <v>1009267760</v>
      </c>
      <c r="H302" s="117">
        <f t="shared" si="52"/>
        <v>28846.111809763348</v>
      </c>
      <c r="I302" s="7"/>
      <c r="J302" s="10">
        <v>4.8150000000000004</v>
      </c>
      <c r="K302" s="117">
        <v>4859624</v>
      </c>
      <c r="L302" s="120">
        <f t="shared" si="53"/>
        <v>138.89402080713387</v>
      </c>
      <c r="M302" s="122">
        <f t="shared" si="49"/>
        <v>10092677.6</v>
      </c>
      <c r="N302" s="116">
        <f t="shared" si="50"/>
        <v>5233053.5999999996</v>
      </c>
      <c r="O302" s="123">
        <f t="shared" si="51"/>
        <v>149.56709729049959</v>
      </c>
      <c r="P302" s="5"/>
      <c r="Q302" s="5">
        <f t="shared" si="44"/>
        <v>1</v>
      </c>
      <c r="R302" s="7">
        <f t="shared" si="45"/>
        <v>34988</v>
      </c>
      <c r="S302" s="5">
        <f t="shared" si="46"/>
        <v>1</v>
      </c>
      <c r="T302" s="7">
        <f t="shared" si="47"/>
        <v>34988</v>
      </c>
    </row>
    <row r="303" spans="1:20">
      <c r="A303" s="23" t="s">
        <v>348</v>
      </c>
      <c r="B303" s="35" t="s">
        <v>342</v>
      </c>
      <c r="C303" s="36">
        <v>11876</v>
      </c>
      <c r="D303" s="6"/>
      <c r="E303" s="113">
        <v>460034060</v>
      </c>
      <c r="F303" s="116">
        <f t="shared" si="48"/>
        <v>38736.448299090604</v>
      </c>
      <c r="G303" s="117">
        <v>318375980</v>
      </c>
      <c r="H303" s="117">
        <f t="shared" si="52"/>
        <v>26808.351296732908</v>
      </c>
      <c r="I303" s="7"/>
      <c r="J303" s="10">
        <v>4.3</v>
      </c>
      <c r="K303" s="117">
        <v>1369016</v>
      </c>
      <c r="L303" s="120">
        <f t="shared" si="53"/>
        <v>115.27585045469856</v>
      </c>
      <c r="M303" s="122">
        <f t="shared" si="49"/>
        <v>3183759.8000000003</v>
      </c>
      <c r="N303" s="116">
        <f t="shared" si="50"/>
        <v>1814743.8000000003</v>
      </c>
      <c r="O303" s="123">
        <f t="shared" si="51"/>
        <v>152.80766251263054</v>
      </c>
      <c r="P303" s="5"/>
      <c r="Q303" s="5">
        <f t="shared" si="44"/>
        <v>1</v>
      </c>
      <c r="R303" s="7">
        <f t="shared" si="45"/>
        <v>11876</v>
      </c>
      <c r="S303" s="5">
        <f t="shared" si="46"/>
        <v>1</v>
      </c>
      <c r="T303" s="7">
        <f t="shared" si="47"/>
        <v>11876</v>
      </c>
    </row>
    <row r="304" spans="1:20">
      <c r="A304" s="23" t="s">
        <v>349</v>
      </c>
      <c r="B304" s="35" t="s">
        <v>342</v>
      </c>
      <c r="C304" s="36">
        <v>4178</v>
      </c>
      <c r="D304" s="6"/>
      <c r="E304" s="113">
        <v>366551270</v>
      </c>
      <c r="F304" s="116">
        <f t="shared" si="48"/>
        <v>87733.66921972236</v>
      </c>
      <c r="G304" s="117">
        <v>325341840</v>
      </c>
      <c r="H304" s="117">
        <f t="shared" si="52"/>
        <v>77870.234561991383</v>
      </c>
      <c r="I304" s="7"/>
      <c r="J304" s="10">
        <v>2.5185</v>
      </c>
      <c r="K304" s="117">
        <v>819373</v>
      </c>
      <c r="L304" s="120">
        <f t="shared" si="53"/>
        <v>196.11608425083773</v>
      </c>
      <c r="M304" s="122">
        <f t="shared" si="49"/>
        <v>3253418.4</v>
      </c>
      <c r="N304" s="116">
        <f t="shared" si="50"/>
        <v>2434045.4</v>
      </c>
      <c r="O304" s="123">
        <f t="shared" si="51"/>
        <v>582.58626136907606</v>
      </c>
      <c r="P304" s="5"/>
      <c r="Q304" s="5">
        <f t="shared" si="44"/>
        <v>1</v>
      </c>
      <c r="R304" s="7">
        <f t="shared" si="45"/>
        <v>4178</v>
      </c>
      <c r="S304" s="5">
        <f t="shared" si="46"/>
        <v>1</v>
      </c>
      <c r="T304" s="7">
        <f t="shared" si="47"/>
        <v>4178</v>
      </c>
    </row>
    <row r="305" spans="1:20">
      <c r="A305" s="23" t="s">
        <v>350</v>
      </c>
      <c r="B305" s="35" t="s">
        <v>342</v>
      </c>
      <c r="C305" s="36">
        <v>1473</v>
      </c>
      <c r="D305" s="6"/>
      <c r="E305" s="113">
        <v>251004150</v>
      </c>
      <c r="F305" s="116">
        <f t="shared" si="48"/>
        <v>170403.36048879838</v>
      </c>
      <c r="G305" s="117">
        <v>232985470</v>
      </c>
      <c r="H305" s="117">
        <f t="shared" si="52"/>
        <v>158170.7196198235</v>
      </c>
      <c r="I305" s="7"/>
      <c r="J305" s="10">
        <v>1.7129000000000001</v>
      </c>
      <c r="K305" s="117">
        <v>399080</v>
      </c>
      <c r="L305" s="120">
        <f t="shared" si="53"/>
        <v>270.93007467752886</v>
      </c>
      <c r="M305" s="122">
        <f t="shared" si="49"/>
        <v>2329854.7000000002</v>
      </c>
      <c r="N305" s="116">
        <f t="shared" si="50"/>
        <v>1930774.7000000002</v>
      </c>
      <c r="O305" s="123">
        <f t="shared" si="51"/>
        <v>1310.7771215207063</v>
      </c>
      <c r="P305" s="5"/>
      <c r="Q305" s="5">
        <f t="shared" si="44"/>
        <v>1</v>
      </c>
      <c r="R305" s="7">
        <f t="shared" si="45"/>
        <v>1473</v>
      </c>
      <c r="S305" s="5">
        <f t="shared" si="46"/>
        <v>1</v>
      </c>
      <c r="T305" s="7">
        <f t="shared" si="47"/>
        <v>1473</v>
      </c>
    </row>
    <row r="306" spans="1:20">
      <c r="A306" s="23" t="s">
        <v>351</v>
      </c>
      <c r="B306" s="35" t="s">
        <v>342</v>
      </c>
      <c r="C306" s="36">
        <v>4345</v>
      </c>
      <c r="D306" s="6"/>
      <c r="E306" s="113">
        <v>120008520</v>
      </c>
      <c r="F306" s="116">
        <f t="shared" si="48"/>
        <v>27619.912543153048</v>
      </c>
      <c r="G306" s="117">
        <v>81483260</v>
      </c>
      <c r="H306" s="117">
        <f t="shared" si="52"/>
        <v>18753.339470655927</v>
      </c>
      <c r="I306" s="7"/>
      <c r="J306" s="10">
        <v>3.754</v>
      </c>
      <c r="K306" s="117">
        <v>305888</v>
      </c>
      <c r="L306" s="120">
        <f t="shared" si="53"/>
        <v>70.400000000000006</v>
      </c>
      <c r="M306" s="122">
        <f t="shared" si="49"/>
        <v>814832.6</v>
      </c>
      <c r="N306" s="116">
        <f t="shared" si="50"/>
        <v>508944.6</v>
      </c>
      <c r="O306" s="123">
        <f t="shared" si="51"/>
        <v>117.13339470655926</v>
      </c>
      <c r="P306" s="5"/>
      <c r="Q306" s="5">
        <f t="shared" si="44"/>
        <v>1</v>
      </c>
      <c r="R306" s="7">
        <f t="shared" si="45"/>
        <v>4345</v>
      </c>
      <c r="S306" s="5">
        <f t="shared" si="46"/>
        <v>1</v>
      </c>
      <c r="T306" s="7">
        <f t="shared" si="47"/>
        <v>4345</v>
      </c>
    </row>
    <row r="307" spans="1:20">
      <c r="A307" s="23" t="s">
        <v>352</v>
      </c>
      <c r="B307" s="35" t="s">
        <v>342</v>
      </c>
      <c r="C307" s="36">
        <v>67465</v>
      </c>
      <c r="D307" s="6"/>
      <c r="E307" s="113">
        <v>2309596244</v>
      </c>
      <c r="F307" s="116">
        <f t="shared" si="48"/>
        <v>34233.991610464684</v>
      </c>
      <c r="G307" s="117">
        <v>1770853435</v>
      </c>
      <c r="H307" s="117">
        <f t="shared" si="52"/>
        <v>26248.476024605352</v>
      </c>
      <c r="I307" s="7"/>
      <c r="J307" s="10">
        <v>3.4</v>
      </c>
      <c r="K307" s="117">
        <v>6020901</v>
      </c>
      <c r="L307" s="120">
        <f t="shared" si="53"/>
        <v>89.244808419180316</v>
      </c>
      <c r="M307" s="122">
        <f t="shared" si="49"/>
        <v>17708534.350000001</v>
      </c>
      <c r="N307" s="116">
        <f t="shared" si="50"/>
        <v>11687633.350000001</v>
      </c>
      <c r="O307" s="123">
        <f t="shared" si="51"/>
        <v>173.23995182687321</v>
      </c>
      <c r="P307" s="5"/>
      <c r="Q307" s="5">
        <f t="shared" si="44"/>
        <v>1</v>
      </c>
      <c r="R307" s="7">
        <f t="shared" si="45"/>
        <v>67465</v>
      </c>
      <c r="S307" s="5">
        <f t="shared" si="46"/>
        <v>1</v>
      </c>
      <c r="T307" s="7">
        <f t="shared" si="47"/>
        <v>67465</v>
      </c>
    </row>
    <row r="308" spans="1:20">
      <c r="A308" s="23" t="s">
        <v>353</v>
      </c>
      <c r="B308" s="35" t="s">
        <v>342</v>
      </c>
      <c r="C308" s="36">
        <v>4250</v>
      </c>
      <c r="D308" s="6"/>
      <c r="E308" s="113">
        <v>445178480</v>
      </c>
      <c r="F308" s="116">
        <f t="shared" si="48"/>
        <v>104747.87764705882</v>
      </c>
      <c r="G308" s="117">
        <v>383707600</v>
      </c>
      <c r="H308" s="117">
        <f t="shared" si="52"/>
        <v>90284.141176470584</v>
      </c>
      <c r="I308" s="7"/>
      <c r="J308" s="10">
        <v>2.2385000000000002</v>
      </c>
      <c r="K308" s="117">
        <v>858929</v>
      </c>
      <c r="L308" s="120">
        <f t="shared" si="53"/>
        <v>202.1009411764706</v>
      </c>
      <c r="M308" s="122">
        <f t="shared" si="49"/>
        <v>3837076</v>
      </c>
      <c r="N308" s="116">
        <f t="shared" si="50"/>
        <v>2978147</v>
      </c>
      <c r="O308" s="123">
        <f t="shared" si="51"/>
        <v>700.74047058823533</v>
      </c>
      <c r="P308" s="5"/>
      <c r="Q308" s="5">
        <f t="shared" si="44"/>
        <v>1</v>
      </c>
      <c r="R308" s="7">
        <f t="shared" si="45"/>
        <v>4250</v>
      </c>
      <c r="S308" s="5">
        <f t="shared" si="46"/>
        <v>1</v>
      </c>
      <c r="T308" s="7">
        <f t="shared" si="47"/>
        <v>4250</v>
      </c>
    </row>
    <row r="309" spans="1:20">
      <c r="A309" s="23" t="s">
        <v>354</v>
      </c>
      <c r="B309" s="35" t="s">
        <v>342</v>
      </c>
      <c r="C309" s="36">
        <v>1154</v>
      </c>
      <c r="D309" s="6"/>
      <c r="E309" s="113">
        <v>147023960</v>
      </c>
      <c r="F309" s="116">
        <f t="shared" si="48"/>
        <v>127403.77816291161</v>
      </c>
      <c r="G309" s="117">
        <v>137812460</v>
      </c>
      <c r="H309" s="117">
        <f t="shared" si="52"/>
        <v>119421.5424610052</v>
      </c>
      <c r="I309" s="7"/>
      <c r="J309" s="10">
        <v>1.37</v>
      </c>
      <c r="K309" s="117">
        <v>188803</v>
      </c>
      <c r="L309" s="120">
        <f t="shared" si="53"/>
        <v>163.60745233968805</v>
      </c>
      <c r="M309" s="122">
        <f t="shared" si="49"/>
        <v>1378124.6</v>
      </c>
      <c r="N309" s="116">
        <f t="shared" si="50"/>
        <v>1189321.6000000001</v>
      </c>
      <c r="O309" s="123">
        <f t="shared" si="51"/>
        <v>1030.6079722703641</v>
      </c>
      <c r="P309" s="5"/>
      <c r="Q309" s="5">
        <f t="shared" si="44"/>
        <v>1</v>
      </c>
      <c r="R309" s="7">
        <f t="shared" si="45"/>
        <v>1154</v>
      </c>
      <c r="S309" s="5">
        <f t="shared" si="46"/>
        <v>1</v>
      </c>
      <c r="T309" s="7">
        <f t="shared" si="47"/>
        <v>1154</v>
      </c>
    </row>
    <row r="310" spans="1:20">
      <c r="A310" s="23" t="s">
        <v>355</v>
      </c>
      <c r="B310" s="35" t="s">
        <v>342</v>
      </c>
      <c r="C310" s="36">
        <v>8925</v>
      </c>
      <c r="D310" s="6"/>
      <c r="E310" s="113">
        <v>444843513</v>
      </c>
      <c r="F310" s="116">
        <f t="shared" si="48"/>
        <v>49842.410420168068</v>
      </c>
      <c r="G310" s="117">
        <v>352005137</v>
      </c>
      <c r="H310" s="117">
        <f t="shared" si="52"/>
        <v>39440.351484593841</v>
      </c>
      <c r="I310" s="7"/>
      <c r="J310" s="10">
        <v>4.75</v>
      </c>
      <c r="K310" s="117">
        <v>1672024</v>
      </c>
      <c r="L310" s="120">
        <f t="shared" si="53"/>
        <v>187.34162464985994</v>
      </c>
      <c r="M310" s="122">
        <f t="shared" si="49"/>
        <v>3520051.37</v>
      </c>
      <c r="N310" s="116">
        <f t="shared" si="50"/>
        <v>1848027.37</v>
      </c>
      <c r="O310" s="123">
        <f t="shared" si="51"/>
        <v>207.06189019607845</v>
      </c>
      <c r="P310" s="5"/>
      <c r="Q310" s="5">
        <f t="shared" si="44"/>
        <v>1</v>
      </c>
      <c r="R310" s="7">
        <f t="shared" si="45"/>
        <v>8925</v>
      </c>
      <c r="S310" s="5">
        <f t="shared" si="46"/>
        <v>1</v>
      </c>
      <c r="T310" s="7">
        <f t="shared" si="47"/>
        <v>8925</v>
      </c>
    </row>
    <row r="311" spans="1:20">
      <c r="A311" s="23" t="s">
        <v>356</v>
      </c>
      <c r="B311" s="35" t="s">
        <v>342</v>
      </c>
      <c r="C311" s="36">
        <v>44176</v>
      </c>
      <c r="D311" s="6"/>
      <c r="E311" s="113">
        <v>1854967415</v>
      </c>
      <c r="F311" s="116">
        <f t="shared" si="48"/>
        <v>41990.38878576603</v>
      </c>
      <c r="G311" s="117">
        <v>1414661335</v>
      </c>
      <c r="H311" s="117">
        <f t="shared" si="52"/>
        <v>32023.300774176023</v>
      </c>
      <c r="I311" s="7"/>
      <c r="J311" s="10">
        <v>4.3807999999999998</v>
      </c>
      <c r="K311" s="117">
        <v>6197348</v>
      </c>
      <c r="L311" s="120">
        <f t="shared" si="53"/>
        <v>140.2876675117711</v>
      </c>
      <c r="M311" s="122">
        <f t="shared" si="49"/>
        <v>14146613.35</v>
      </c>
      <c r="N311" s="116">
        <f t="shared" si="50"/>
        <v>7949265.3499999996</v>
      </c>
      <c r="O311" s="123">
        <f t="shared" si="51"/>
        <v>179.94534022998911</v>
      </c>
      <c r="P311" s="5"/>
      <c r="Q311" s="5">
        <f t="shared" si="44"/>
        <v>1</v>
      </c>
      <c r="R311" s="7">
        <f t="shared" si="45"/>
        <v>44176</v>
      </c>
      <c r="S311" s="5">
        <f t="shared" si="46"/>
        <v>1</v>
      </c>
      <c r="T311" s="7">
        <f t="shared" si="47"/>
        <v>44176</v>
      </c>
    </row>
    <row r="312" spans="1:20">
      <c r="A312" s="23" t="s">
        <v>357</v>
      </c>
      <c r="B312" s="35" t="s">
        <v>342</v>
      </c>
      <c r="C312" s="36">
        <v>1607</v>
      </c>
      <c r="D312" s="6"/>
      <c r="E312" s="113">
        <v>128650980</v>
      </c>
      <c r="F312" s="116">
        <f t="shared" si="48"/>
        <v>80056.614810205356</v>
      </c>
      <c r="G312" s="117">
        <v>110229780</v>
      </c>
      <c r="H312" s="117">
        <f t="shared" si="52"/>
        <v>68593.515868077156</v>
      </c>
      <c r="I312" s="7"/>
      <c r="J312" s="10">
        <v>2.97</v>
      </c>
      <c r="K312" s="117">
        <v>327382</v>
      </c>
      <c r="L312" s="120">
        <f t="shared" si="53"/>
        <v>203.72246421904168</v>
      </c>
      <c r="M312" s="122">
        <f t="shared" si="49"/>
        <v>1102297.8</v>
      </c>
      <c r="N312" s="116">
        <f t="shared" si="50"/>
        <v>774915.8</v>
      </c>
      <c r="O312" s="123">
        <f t="shared" si="51"/>
        <v>482.21269446172994</v>
      </c>
      <c r="P312" s="5"/>
      <c r="Q312" s="5">
        <f t="shared" si="44"/>
        <v>1</v>
      </c>
      <c r="R312" s="7">
        <f t="shared" si="45"/>
        <v>1607</v>
      </c>
      <c r="S312" s="5">
        <f t="shared" si="46"/>
        <v>1</v>
      </c>
      <c r="T312" s="7">
        <f t="shared" si="47"/>
        <v>1607</v>
      </c>
    </row>
    <row r="313" spans="1:20">
      <c r="A313" s="23" t="s">
        <v>358</v>
      </c>
      <c r="B313" s="35" t="s">
        <v>342</v>
      </c>
      <c r="C313" s="36">
        <v>2420</v>
      </c>
      <c r="D313" s="6"/>
      <c r="E313" s="113">
        <v>200353470</v>
      </c>
      <c r="F313" s="116">
        <f t="shared" si="48"/>
        <v>82790.690082644622</v>
      </c>
      <c r="G313" s="117">
        <v>177749850</v>
      </c>
      <c r="H313" s="117">
        <f t="shared" si="52"/>
        <v>73450.351239669428</v>
      </c>
      <c r="I313" s="7"/>
      <c r="J313" s="10">
        <v>1.2441</v>
      </c>
      <c r="K313" s="117">
        <v>221138</v>
      </c>
      <c r="L313" s="120">
        <f t="shared" si="53"/>
        <v>91.379338842975201</v>
      </c>
      <c r="M313" s="122">
        <f t="shared" si="49"/>
        <v>1777498.5</v>
      </c>
      <c r="N313" s="116">
        <f t="shared" si="50"/>
        <v>1556360.5</v>
      </c>
      <c r="O313" s="123">
        <f t="shared" si="51"/>
        <v>643.12417355371906</v>
      </c>
      <c r="P313" s="5"/>
      <c r="Q313" s="5">
        <f t="shared" si="44"/>
        <v>1</v>
      </c>
      <c r="R313" s="7">
        <f t="shared" si="45"/>
        <v>2420</v>
      </c>
      <c r="S313" s="5">
        <f t="shared" si="46"/>
        <v>1</v>
      </c>
      <c r="T313" s="7">
        <f t="shared" si="47"/>
        <v>2420</v>
      </c>
    </row>
    <row r="314" spans="1:20">
      <c r="A314" s="23" t="s">
        <v>359</v>
      </c>
      <c r="B314" s="35" t="s">
        <v>342</v>
      </c>
      <c r="C314" s="36">
        <v>16135</v>
      </c>
      <c r="D314" s="6"/>
      <c r="E314" s="113">
        <v>766407460</v>
      </c>
      <c r="F314" s="116">
        <f t="shared" si="48"/>
        <v>47499.687635574839</v>
      </c>
      <c r="G314" s="117">
        <v>544160290</v>
      </c>
      <c r="H314" s="117">
        <f t="shared" si="52"/>
        <v>33725.459559962816</v>
      </c>
      <c r="I314" s="7"/>
      <c r="J314" s="10">
        <v>3.7526999999999999</v>
      </c>
      <c r="K314" s="117">
        <v>2042070</v>
      </c>
      <c r="L314" s="120">
        <f t="shared" si="53"/>
        <v>126.56151224047103</v>
      </c>
      <c r="M314" s="122">
        <f t="shared" si="49"/>
        <v>5441602.9000000004</v>
      </c>
      <c r="N314" s="116">
        <f t="shared" si="50"/>
        <v>3399532.9000000004</v>
      </c>
      <c r="O314" s="123">
        <f t="shared" si="51"/>
        <v>210.69308335915713</v>
      </c>
      <c r="P314" s="5"/>
      <c r="Q314" s="5">
        <f t="shared" si="44"/>
        <v>1</v>
      </c>
      <c r="R314" s="7">
        <f t="shared" si="45"/>
        <v>16135</v>
      </c>
      <c r="S314" s="5">
        <f t="shared" si="46"/>
        <v>1</v>
      </c>
      <c r="T314" s="7">
        <f t="shared" si="47"/>
        <v>16135</v>
      </c>
    </row>
    <row r="315" spans="1:20">
      <c r="A315" s="23" t="s">
        <v>360</v>
      </c>
      <c r="B315" s="35" t="s">
        <v>342</v>
      </c>
      <c r="C315" s="36">
        <v>9709</v>
      </c>
      <c r="D315" s="6"/>
      <c r="E315" s="113">
        <v>436429530</v>
      </c>
      <c r="F315" s="116">
        <f t="shared" si="48"/>
        <v>44951.027912246369</v>
      </c>
      <c r="G315" s="117">
        <v>338402510</v>
      </c>
      <c r="H315" s="117">
        <f t="shared" si="52"/>
        <v>34854.517458028633</v>
      </c>
      <c r="I315" s="7"/>
      <c r="J315" s="10">
        <v>3.5135999999999998</v>
      </c>
      <c r="K315" s="117">
        <v>1189011</v>
      </c>
      <c r="L315" s="120">
        <f t="shared" si="53"/>
        <v>122.46482644968586</v>
      </c>
      <c r="M315" s="122">
        <f t="shared" si="49"/>
        <v>3384025.1</v>
      </c>
      <c r="N315" s="116">
        <f t="shared" si="50"/>
        <v>2195014.1</v>
      </c>
      <c r="O315" s="123">
        <f t="shared" si="51"/>
        <v>226.08034813060047</v>
      </c>
      <c r="P315" s="5"/>
      <c r="Q315" s="5">
        <f t="shared" si="44"/>
        <v>1</v>
      </c>
      <c r="R315" s="7">
        <f t="shared" si="45"/>
        <v>9709</v>
      </c>
      <c r="S315" s="5">
        <f t="shared" si="46"/>
        <v>1</v>
      </c>
      <c r="T315" s="7">
        <f t="shared" si="47"/>
        <v>9709</v>
      </c>
    </row>
    <row r="316" spans="1:20">
      <c r="A316" s="23" t="s">
        <v>361</v>
      </c>
      <c r="B316" s="35" t="s">
        <v>342</v>
      </c>
      <c r="C316" s="36">
        <v>5860</v>
      </c>
      <c r="D316" s="6"/>
      <c r="E316" s="113">
        <v>345476000</v>
      </c>
      <c r="F316" s="116">
        <f t="shared" si="48"/>
        <v>58954.94880546075</v>
      </c>
      <c r="G316" s="117">
        <v>288002840</v>
      </c>
      <c r="H316" s="117">
        <f t="shared" si="52"/>
        <v>49147.24232081911</v>
      </c>
      <c r="I316" s="7"/>
      <c r="J316" s="10">
        <v>1.4419999999999999</v>
      </c>
      <c r="K316" s="117">
        <v>415300</v>
      </c>
      <c r="L316" s="120">
        <f t="shared" si="53"/>
        <v>70.870307167235495</v>
      </c>
      <c r="M316" s="122">
        <f t="shared" si="49"/>
        <v>2880028.4</v>
      </c>
      <c r="N316" s="116">
        <f t="shared" si="50"/>
        <v>2464728.4</v>
      </c>
      <c r="O316" s="123">
        <f t="shared" si="51"/>
        <v>420.60211604095559</v>
      </c>
      <c r="P316" s="5"/>
      <c r="Q316" s="5">
        <f t="shared" si="44"/>
        <v>1</v>
      </c>
      <c r="R316" s="7">
        <f t="shared" si="45"/>
        <v>5860</v>
      </c>
      <c r="S316" s="5">
        <f t="shared" si="46"/>
        <v>1</v>
      </c>
      <c r="T316" s="7">
        <f t="shared" si="47"/>
        <v>5860</v>
      </c>
    </row>
    <row r="317" spans="1:20">
      <c r="A317" s="24" t="s">
        <v>561</v>
      </c>
      <c r="B317" s="35" t="s">
        <v>342</v>
      </c>
      <c r="C317" s="36">
        <v>9459</v>
      </c>
      <c r="D317" s="6"/>
      <c r="E317" s="113">
        <v>1136239080</v>
      </c>
      <c r="F317" s="116">
        <f t="shared" si="48"/>
        <v>120122.53726609578</v>
      </c>
      <c r="G317" s="117">
        <v>980619340</v>
      </c>
      <c r="H317" s="117">
        <f t="shared" si="52"/>
        <v>103670.50851041336</v>
      </c>
      <c r="I317" s="7"/>
      <c r="J317" s="10">
        <v>2.7458</v>
      </c>
      <c r="K317" s="117">
        <v>2692584</v>
      </c>
      <c r="L317" s="120">
        <f t="shared" si="53"/>
        <v>284.65842055185539</v>
      </c>
      <c r="M317" s="122">
        <f t="shared" si="49"/>
        <v>9806193.4000000004</v>
      </c>
      <c r="N317" s="116">
        <f t="shared" si="50"/>
        <v>7113609.4000000004</v>
      </c>
      <c r="O317" s="123">
        <f t="shared" si="51"/>
        <v>752.04666455227834</v>
      </c>
      <c r="P317" s="5"/>
      <c r="Q317" s="5">
        <f t="shared" si="44"/>
        <v>1</v>
      </c>
      <c r="R317" s="7">
        <f t="shared" si="45"/>
        <v>9459</v>
      </c>
      <c r="S317" s="5">
        <f t="shared" si="46"/>
        <v>1</v>
      </c>
      <c r="T317" s="7">
        <f t="shared" si="47"/>
        <v>9459</v>
      </c>
    </row>
    <row r="318" spans="1:20">
      <c r="A318" s="23" t="s">
        <v>548</v>
      </c>
      <c r="B318" s="35" t="s">
        <v>342</v>
      </c>
      <c r="C318" s="36">
        <v>241563</v>
      </c>
      <c r="D318" s="6"/>
      <c r="E318" s="113">
        <v>9597161674</v>
      </c>
      <c r="F318" s="116">
        <f t="shared" si="48"/>
        <v>39729.435691724313</v>
      </c>
      <c r="G318" s="117">
        <v>6735781670</v>
      </c>
      <c r="H318" s="117">
        <f t="shared" si="52"/>
        <v>27884.161357492663</v>
      </c>
      <c r="I318" s="7"/>
      <c r="J318" s="10">
        <v>7.75</v>
      </c>
      <c r="K318" s="117">
        <v>52202307</v>
      </c>
      <c r="L318" s="120">
        <f t="shared" si="53"/>
        <v>216.10224661889444</v>
      </c>
      <c r="M318" s="122">
        <f t="shared" si="49"/>
        <v>67357816.700000003</v>
      </c>
      <c r="N318" s="116">
        <f t="shared" si="50"/>
        <v>15155509.700000003</v>
      </c>
      <c r="O318" s="123">
        <f t="shared" si="51"/>
        <v>62.739366956032185</v>
      </c>
      <c r="P318" s="5"/>
      <c r="Q318" s="5">
        <f t="shared" si="44"/>
        <v>1</v>
      </c>
      <c r="R318" s="7">
        <f t="shared" si="45"/>
        <v>241563</v>
      </c>
      <c r="S318" s="5">
        <f t="shared" si="46"/>
        <v>1</v>
      </c>
      <c r="T318" s="7">
        <f t="shared" si="47"/>
        <v>241563</v>
      </c>
    </row>
    <row r="319" spans="1:20">
      <c r="A319" s="23" t="s">
        <v>362</v>
      </c>
      <c r="B319" s="35" t="s">
        <v>342</v>
      </c>
      <c r="C319" s="36">
        <v>19146</v>
      </c>
      <c r="D319" s="6"/>
      <c r="E319" s="113">
        <v>923190949</v>
      </c>
      <c r="F319" s="116">
        <f t="shared" si="48"/>
        <v>48218.476391935656</v>
      </c>
      <c r="G319" s="117">
        <v>683871890</v>
      </c>
      <c r="H319" s="117">
        <f t="shared" si="52"/>
        <v>35718.786691737179</v>
      </c>
      <c r="I319" s="7"/>
      <c r="J319" s="10">
        <v>5.4541000000000004</v>
      </c>
      <c r="K319" s="117">
        <v>3729905</v>
      </c>
      <c r="L319" s="120">
        <f t="shared" si="53"/>
        <v>194.81379922699259</v>
      </c>
      <c r="M319" s="122">
        <f t="shared" si="49"/>
        <v>6838718.9000000004</v>
      </c>
      <c r="N319" s="116">
        <f t="shared" si="50"/>
        <v>3108813.9000000004</v>
      </c>
      <c r="O319" s="123">
        <f t="shared" si="51"/>
        <v>162.37406769037921</v>
      </c>
      <c r="P319" s="5"/>
      <c r="Q319" s="5">
        <f t="shared" si="44"/>
        <v>1</v>
      </c>
      <c r="R319" s="7">
        <f t="shared" si="45"/>
        <v>19146</v>
      </c>
      <c r="S319" s="5">
        <f t="shared" si="46"/>
        <v>1</v>
      </c>
      <c r="T319" s="7">
        <f t="shared" si="47"/>
        <v>19146</v>
      </c>
    </row>
    <row r="320" spans="1:20">
      <c r="A320" s="23" t="s">
        <v>363</v>
      </c>
      <c r="B320" s="35" t="s">
        <v>342</v>
      </c>
      <c r="C320" s="36">
        <v>7357</v>
      </c>
      <c r="D320" s="6"/>
      <c r="E320" s="113">
        <v>828657340</v>
      </c>
      <c r="F320" s="116">
        <f t="shared" si="48"/>
        <v>112635.22359657469</v>
      </c>
      <c r="G320" s="117">
        <v>622072040</v>
      </c>
      <c r="H320" s="117">
        <f t="shared" si="52"/>
        <v>84555.12301209732</v>
      </c>
      <c r="I320" s="7"/>
      <c r="J320" s="10">
        <v>1.5429999999999999</v>
      </c>
      <c r="K320" s="117">
        <v>959857</v>
      </c>
      <c r="L320" s="120">
        <f t="shared" si="53"/>
        <v>130.46853336958</v>
      </c>
      <c r="M320" s="122">
        <f t="shared" si="49"/>
        <v>6220720.4000000004</v>
      </c>
      <c r="N320" s="116">
        <f t="shared" si="50"/>
        <v>5260863.4000000004</v>
      </c>
      <c r="O320" s="123">
        <f t="shared" si="51"/>
        <v>715.08269675139331</v>
      </c>
      <c r="P320" s="5"/>
      <c r="Q320" s="5">
        <f t="shared" si="44"/>
        <v>1</v>
      </c>
      <c r="R320" s="7">
        <f t="shared" si="45"/>
        <v>7357</v>
      </c>
      <c r="S320" s="5">
        <f t="shared" si="46"/>
        <v>1</v>
      </c>
      <c r="T320" s="7">
        <f t="shared" si="47"/>
        <v>7357</v>
      </c>
    </row>
    <row r="321" spans="1:20">
      <c r="A321" s="23" t="s">
        <v>364</v>
      </c>
      <c r="B321" s="35" t="s">
        <v>365</v>
      </c>
      <c r="C321" s="36">
        <v>9267</v>
      </c>
      <c r="D321" s="6"/>
      <c r="E321" s="113">
        <v>320760228</v>
      </c>
      <c r="F321" s="116">
        <f t="shared" si="48"/>
        <v>34613.168015539006</v>
      </c>
      <c r="G321" s="117">
        <v>221986856</v>
      </c>
      <c r="H321" s="117">
        <f t="shared" si="52"/>
        <v>23954.554440487751</v>
      </c>
      <c r="I321" s="7"/>
      <c r="J321" s="10">
        <v>4.5190000000000001</v>
      </c>
      <c r="K321" s="117">
        <v>1003158</v>
      </c>
      <c r="L321" s="120">
        <f t="shared" si="53"/>
        <v>108.25056652638395</v>
      </c>
      <c r="M321" s="122">
        <f t="shared" si="49"/>
        <v>2219868.56</v>
      </c>
      <c r="N321" s="116">
        <f t="shared" si="50"/>
        <v>1216710.56</v>
      </c>
      <c r="O321" s="123">
        <f t="shared" si="51"/>
        <v>131.2949778784936</v>
      </c>
      <c r="P321" s="5"/>
      <c r="Q321" s="5">
        <f t="shared" si="44"/>
        <v>1</v>
      </c>
      <c r="R321" s="7">
        <f t="shared" si="45"/>
        <v>9267</v>
      </c>
      <c r="S321" s="5">
        <f t="shared" si="46"/>
        <v>1</v>
      </c>
      <c r="T321" s="7">
        <f t="shared" si="47"/>
        <v>9267</v>
      </c>
    </row>
    <row r="322" spans="1:20">
      <c r="A322" s="23" t="s">
        <v>366</v>
      </c>
      <c r="B322" s="35" t="s">
        <v>365</v>
      </c>
      <c r="C322" s="36">
        <v>14927</v>
      </c>
      <c r="D322" s="6"/>
      <c r="E322" s="113">
        <v>478977964</v>
      </c>
      <c r="F322" s="116">
        <f t="shared" si="48"/>
        <v>32088.025993166746</v>
      </c>
      <c r="G322" s="117">
        <v>249123217</v>
      </c>
      <c r="H322" s="117">
        <f t="shared" si="52"/>
        <v>16689.436390433442</v>
      </c>
      <c r="I322" s="7"/>
      <c r="J322" s="10">
        <v>0.78200000000000003</v>
      </c>
      <c r="K322" s="117">
        <v>194814</v>
      </c>
      <c r="L322" s="120">
        <f t="shared" si="53"/>
        <v>13.051115428418303</v>
      </c>
      <c r="M322" s="122">
        <f t="shared" si="49"/>
        <v>2491232.17</v>
      </c>
      <c r="N322" s="116">
        <f t="shared" si="50"/>
        <v>2296418.17</v>
      </c>
      <c r="O322" s="123">
        <f t="shared" si="51"/>
        <v>153.84324847591611</v>
      </c>
      <c r="P322" s="5"/>
      <c r="Q322" s="5">
        <f t="shared" si="44"/>
        <v>1</v>
      </c>
      <c r="R322" s="7">
        <f t="shared" si="45"/>
        <v>14927</v>
      </c>
      <c r="S322" s="5">
        <f t="shared" si="46"/>
        <v>1</v>
      </c>
      <c r="T322" s="7">
        <f t="shared" si="47"/>
        <v>14927</v>
      </c>
    </row>
    <row r="323" spans="1:20">
      <c r="A323" s="23" t="s">
        <v>367</v>
      </c>
      <c r="B323" s="35" t="s">
        <v>365</v>
      </c>
      <c r="C323" s="36">
        <v>1769</v>
      </c>
      <c r="D323" s="6"/>
      <c r="E323" s="113">
        <v>49081310</v>
      </c>
      <c r="F323" s="116">
        <f t="shared" si="48"/>
        <v>27745.228942905596</v>
      </c>
      <c r="G323" s="117">
        <v>30560814</v>
      </c>
      <c r="H323" s="117">
        <f t="shared" si="52"/>
        <v>17275.75692481628</v>
      </c>
      <c r="I323" s="7"/>
      <c r="J323" s="10">
        <v>5.6</v>
      </c>
      <c r="K323" s="117">
        <v>171140</v>
      </c>
      <c r="L323" s="120">
        <f t="shared" si="53"/>
        <v>96.743923120407004</v>
      </c>
      <c r="M323" s="122">
        <f t="shared" si="49"/>
        <v>305608.14</v>
      </c>
      <c r="N323" s="116">
        <f t="shared" si="50"/>
        <v>134468.14000000001</v>
      </c>
      <c r="O323" s="123">
        <f t="shared" si="51"/>
        <v>76.013646127755806</v>
      </c>
      <c r="P323" s="5"/>
      <c r="Q323" s="5">
        <f t="shared" si="44"/>
        <v>1</v>
      </c>
      <c r="R323" s="7">
        <f t="shared" si="45"/>
        <v>1769</v>
      </c>
      <c r="S323" s="5">
        <f t="shared" si="46"/>
        <v>1</v>
      </c>
      <c r="T323" s="7">
        <f t="shared" si="47"/>
        <v>1769</v>
      </c>
    </row>
    <row r="324" spans="1:20">
      <c r="A324" s="23" t="s">
        <v>368</v>
      </c>
      <c r="B324" s="35" t="s">
        <v>365</v>
      </c>
      <c r="C324" s="36">
        <v>2525</v>
      </c>
      <c r="D324" s="6"/>
      <c r="E324" s="113">
        <v>77251869</v>
      </c>
      <c r="F324" s="116">
        <f t="shared" si="48"/>
        <v>30594.799603960397</v>
      </c>
      <c r="G324" s="117">
        <v>57718058</v>
      </c>
      <c r="H324" s="117">
        <f t="shared" si="52"/>
        <v>22858.636831683169</v>
      </c>
      <c r="I324" s="7"/>
      <c r="J324" s="10">
        <v>4.55</v>
      </c>
      <c r="K324" s="117">
        <v>262617</v>
      </c>
      <c r="L324" s="120">
        <f t="shared" si="53"/>
        <v>104.00673267326732</v>
      </c>
      <c r="M324" s="122">
        <f t="shared" si="49"/>
        <v>577180.57999999996</v>
      </c>
      <c r="N324" s="116">
        <f t="shared" si="50"/>
        <v>314563.57999999996</v>
      </c>
      <c r="O324" s="123">
        <f t="shared" si="51"/>
        <v>124.57963564356434</v>
      </c>
      <c r="P324" s="5"/>
      <c r="Q324" s="5">
        <f t="shared" si="44"/>
        <v>1</v>
      </c>
      <c r="R324" s="7">
        <f t="shared" si="45"/>
        <v>2525</v>
      </c>
      <c r="S324" s="5">
        <f t="shared" si="46"/>
        <v>1</v>
      </c>
      <c r="T324" s="7">
        <f t="shared" si="47"/>
        <v>2525</v>
      </c>
    </row>
    <row r="325" spans="1:20">
      <c r="A325" s="23" t="s">
        <v>369</v>
      </c>
      <c r="B325" s="35" t="s">
        <v>365</v>
      </c>
      <c r="C325" s="36">
        <v>1889</v>
      </c>
      <c r="D325" s="6"/>
      <c r="E325" s="113">
        <v>34483730</v>
      </c>
      <c r="F325" s="116">
        <f t="shared" si="48"/>
        <v>18255.018528321863</v>
      </c>
      <c r="G325" s="117">
        <v>18702750</v>
      </c>
      <c r="H325" s="117">
        <f t="shared" si="52"/>
        <v>9900.8734780307041</v>
      </c>
      <c r="I325" s="7"/>
      <c r="J325" s="10">
        <v>5.69</v>
      </c>
      <c r="K325" s="117">
        <v>106418</v>
      </c>
      <c r="L325" s="120">
        <f t="shared" si="53"/>
        <v>56.335627316040231</v>
      </c>
      <c r="M325" s="122">
        <f t="shared" si="49"/>
        <v>187027.5</v>
      </c>
      <c r="N325" s="116">
        <f t="shared" si="50"/>
        <v>80609.5</v>
      </c>
      <c r="O325" s="123">
        <f t="shared" si="51"/>
        <v>42.673107464266806</v>
      </c>
      <c r="P325" s="5"/>
      <c r="Q325" s="5">
        <f t="shared" si="44"/>
        <v>1</v>
      </c>
      <c r="R325" s="7">
        <f t="shared" si="45"/>
        <v>1889</v>
      </c>
      <c r="S325" s="5">
        <f t="shared" si="46"/>
        <v>1</v>
      </c>
      <c r="T325" s="7">
        <f t="shared" si="47"/>
        <v>1889</v>
      </c>
    </row>
    <row r="326" spans="1:20">
      <c r="A326" s="23" t="s">
        <v>370</v>
      </c>
      <c r="B326" s="35" t="s">
        <v>365</v>
      </c>
      <c r="C326" s="36">
        <v>5517</v>
      </c>
      <c r="D326" s="6"/>
      <c r="E326" s="113">
        <v>101888862</v>
      </c>
      <c r="F326" s="116">
        <f t="shared" si="48"/>
        <v>18468.164219684611</v>
      </c>
      <c r="G326" s="117">
        <v>55491680</v>
      </c>
      <c r="H326" s="117">
        <f t="shared" si="52"/>
        <v>10058.307050933478</v>
      </c>
      <c r="I326" s="98" t="s">
        <v>528</v>
      </c>
      <c r="J326" s="10"/>
      <c r="K326" s="117"/>
      <c r="L326" s="120"/>
      <c r="M326" s="122">
        <f t="shared" si="49"/>
        <v>554916.80000000005</v>
      </c>
      <c r="N326" s="116">
        <f t="shared" si="50"/>
        <v>554916.80000000005</v>
      </c>
      <c r="O326" s="123">
        <f t="shared" si="51"/>
        <v>100.58307050933479</v>
      </c>
      <c r="P326" s="5"/>
      <c r="Q326" s="5">
        <f t="shared" si="44"/>
        <v>1</v>
      </c>
      <c r="R326" s="7">
        <f t="shared" si="45"/>
        <v>5517</v>
      </c>
      <c r="S326" s="5">
        <f t="shared" si="46"/>
        <v>0</v>
      </c>
      <c r="T326" s="7">
        <f t="shared" si="47"/>
        <v>0</v>
      </c>
    </row>
    <row r="327" spans="1:20">
      <c r="A327" s="23" t="s">
        <v>371</v>
      </c>
      <c r="B327" s="35" t="s">
        <v>365</v>
      </c>
      <c r="C327" s="36">
        <v>2905</v>
      </c>
      <c r="D327" s="6"/>
      <c r="E327" s="113">
        <v>115558458</v>
      </c>
      <c r="F327" s="116">
        <f t="shared" si="48"/>
        <v>39779.15938037866</v>
      </c>
      <c r="G327" s="117">
        <v>87101891</v>
      </c>
      <c r="H327" s="117">
        <f t="shared" si="52"/>
        <v>29983.439242685025</v>
      </c>
      <c r="I327" s="7"/>
      <c r="J327" s="10">
        <v>5.9</v>
      </c>
      <c r="K327" s="117">
        <v>513901</v>
      </c>
      <c r="L327" s="120">
        <f t="shared" si="53"/>
        <v>176.90223752151462</v>
      </c>
      <c r="M327" s="122">
        <f t="shared" si="49"/>
        <v>871018.91</v>
      </c>
      <c r="N327" s="116">
        <f t="shared" si="50"/>
        <v>357117.91000000003</v>
      </c>
      <c r="O327" s="123">
        <f t="shared" si="51"/>
        <v>122.93215490533564</v>
      </c>
      <c r="P327" s="5"/>
      <c r="Q327" s="5">
        <f t="shared" ref="Q327:Q390" si="54">IF(E327&gt;0,1,0)</f>
        <v>1</v>
      </c>
      <c r="R327" s="7">
        <f t="shared" ref="R327:R390" si="55">IF(E327&gt;0,C327,0)</f>
        <v>2905</v>
      </c>
      <c r="S327" s="5">
        <f t="shared" ref="S327:S390" si="56">IF(J327&gt;0,1,0)</f>
        <v>1</v>
      </c>
      <c r="T327" s="7">
        <f t="shared" ref="T327:T390" si="57">IF(J327&gt;0,C327,0)</f>
        <v>2905</v>
      </c>
    </row>
    <row r="328" spans="1:20">
      <c r="A328" s="23" t="s">
        <v>372</v>
      </c>
      <c r="B328" s="35" t="s">
        <v>365</v>
      </c>
      <c r="C328" s="36">
        <v>12601</v>
      </c>
      <c r="D328" s="6"/>
      <c r="E328" s="113">
        <v>301095837</v>
      </c>
      <c r="F328" s="116">
        <f t="shared" ref="F328:F391" si="58">(E328/C328)</f>
        <v>23894.598603285453</v>
      </c>
      <c r="G328" s="117">
        <v>202944399</v>
      </c>
      <c r="H328" s="117">
        <f t="shared" si="52"/>
        <v>16105.420125386874</v>
      </c>
      <c r="I328" s="7"/>
      <c r="J328" s="10">
        <v>8</v>
      </c>
      <c r="K328" s="117">
        <v>1623555</v>
      </c>
      <c r="L328" s="120">
        <f t="shared" si="53"/>
        <v>128.84334576620904</v>
      </c>
      <c r="M328" s="122">
        <f t="shared" ref="M328:M391" si="59">(G328*0.01)</f>
        <v>2029443.99</v>
      </c>
      <c r="N328" s="116">
        <f t="shared" ref="N328:N391" si="60">(M328-K328)</f>
        <v>405888.99</v>
      </c>
      <c r="O328" s="123">
        <f t="shared" ref="O328:O391" si="61">(N328/C328)</f>
        <v>32.210855487659707</v>
      </c>
      <c r="P328" s="5"/>
      <c r="Q328" s="5">
        <f t="shared" si="54"/>
        <v>1</v>
      </c>
      <c r="R328" s="7">
        <f t="shared" si="55"/>
        <v>12601</v>
      </c>
      <c r="S328" s="5">
        <f t="shared" si="56"/>
        <v>1</v>
      </c>
      <c r="T328" s="7">
        <f t="shared" si="57"/>
        <v>12601</v>
      </c>
    </row>
    <row r="329" spans="1:20">
      <c r="A329" s="23" t="s">
        <v>373</v>
      </c>
      <c r="B329" s="35" t="s">
        <v>365</v>
      </c>
      <c r="C329" s="36">
        <v>157</v>
      </c>
      <c r="D329" s="6"/>
      <c r="E329" s="113">
        <v>8596330</v>
      </c>
      <c r="F329" s="116">
        <f t="shared" si="58"/>
        <v>54753.694267515923</v>
      </c>
      <c r="G329" s="117">
        <v>7062949</v>
      </c>
      <c r="H329" s="117">
        <f t="shared" si="52"/>
        <v>44986.936305732481</v>
      </c>
      <c r="I329" s="7"/>
      <c r="J329" s="10">
        <v>7.016</v>
      </c>
      <c r="K329" s="117">
        <v>49553</v>
      </c>
      <c r="L329" s="120">
        <f t="shared" si="53"/>
        <v>315.62420382165607</v>
      </c>
      <c r="M329" s="122">
        <f t="shared" si="59"/>
        <v>70629.490000000005</v>
      </c>
      <c r="N329" s="116">
        <f t="shared" si="60"/>
        <v>21076.490000000005</v>
      </c>
      <c r="O329" s="123">
        <f t="shared" si="61"/>
        <v>134.24515923566884</v>
      </c>
      <c r="P329" s="5"/>
      <c r="Q329" s="5">
        <f t="shared" si="54"/>
        <v>1</v>
      </c>
      <c r="R329" s="7">
        <f t="shared" si="55"/>
        <v>157</v>
      </c>
      <c r="S329" s="5">
        <f t="shared" si="56"/>
        <v>1</v>
      </c>
      <c r="T329" s="7">
        <f t="shared" si="57"/>
        <v>157</v>
      </c>
    </row>
    <row r="330" spans="1:20">
      <c r="A330" s="23" t="s">
        <v>374</v>
      </c>
      <c r="B330" s="35" t="s">
        <v>365</v>
      </c>
      <c r="C330" s="36">
        <v>235</v>
      </c>
      <c r="D330" s="6"/>
      <c r="E330" s="113">
        <v>8137960</v>
      </c>
      <c r="F330" s="116">
        <f t="shared" si="58"/>
        <v>34629.617021276594</v>
      </c>
      <c r="G330" s="117">
        <v>6110110</v>
      </c>
      <c r="H330" s="117">
        <f t="shared" si="52"/>
        <v>26000.468085106382</v>
      </c>
      <c r="I330" s="7"/>
      <c r="J330" s="10">
        <v>3.1669999999999998</v>
      </c>
      <c r="K330" s="117">
        <v>19350</v>
      </c>
      <c r="L330" s="120">
        <f t="shared" si="53"/>
        <v>82.340425531914889</v>
      </c>
      <c r="M330" s="122">
        <f t="shared" si="59"/>
        <v>61101.1</v>
      </c>
      <c r="N330" s="116">
        <f t="shared" si="60"/>
        <v>41751.1</v>
      </c>
      <c r="O330" s="123">
        <f t="shared" si="61"/>
        <v>177.66425531914894</v>
      </c>
      <c r="P330" s="5"/>
      <c r="Q330" s="5">
        <f t="shared" si="54"/>
        <v>1</v>
      </c>
      <c r="R330" s="7">
        <f t="shared" si="55"/>
        <v>235</v>
      </c>
      <c r="S330" s="5">
        <f t="shared" si="56"/>
        <v>1</v>
      </c>
      <c r="T330" s="7">
        <f t="shared" si="57"/>
        <v>235</v>
      </c>
    </row>
    <row r="331" spans="1:20">
      <c r="A331" s="23" t="s">
        <v>375</v>
      </c>
      <c r="B331" s="35" t="s">
        <v>365</v>
      </c>
      <c r="C331" s="36">
        <v>3716</v>
      </c>
      <c r="D331" s="6"/>
      <c r="E331" s="113">
        <v>101276216</v>
      </c>
      <c r="F331" s="116">
        <f t="shared" si="58"/>
        <v>27254.094725511302</v>
      </c>
      <c r="G331" s="117">
        <v>71396534</v>
      </c>
      <c r="H331" s="117">
        <f t="shared" si="52"/>
        <v>19213.276103336921</v>
      </c>
      <c r="I331" s="7"/>
      <c r="J331" s="10">
        <v>7.0579999999999998</v>
      </c>
      <c r="K331" s="117">
        <v>503916</v>
      </c>
      <c r="L331" s="120">
        <f t="shared" si="53"/>
        <v>135.60710441334768</v>
      </c>
      <c r="M331" s="122">
        <f t="shared" si="59"/>
        <v>713965.34</v>
      </c>
      <c r="N331" s="116">
        <f t="shared" si="60"/>
        <v>210049.33999999997</v>
      </c>
      <c r="O331" s="123">
        <f t="shared" si="61"/>
        <v>56.525656620021522</v>
      </c>
      <c r="P331" s="5"/>
      <c r="Q331" s="5">
        <f t="shared" si="54"/>
        <v>1</v>
      </c>
      <c r="R331" s="7">
        <f t="shared" si="55"/>
        <v>3716</v>
      </c>
      <c r="S331" s="5">
        <f t="shared" si="56"/>
        <v>1</v>
      </c>
      <c r="T331" s="7">
        <f t="shared" si="57"/>
        <v>3716</v>
      </c>
    </row>
    <row r="332" spans="1:20">
      <c r="A332" s="23" t="s">
        <v>376</v>
      </c>
      <c r="B332" s="35" t="s">
        <v>365</v>
      </c>
      <c r="C332" s="36">
        <v>1121</v>
      </c>
      <c r="D332" s="6"/>
      <c r="E332" s="113">
        <v>39056656</v>
      </c>
      <c r="F332" s="116">
        <f t="shared" si="58"/>
        <v>34840.906333630686</v>
      </c>
      <c r="G332" s="117">
        <v>29128607</v>
      </c>
      <c r="H332" s="117">
        <f t="shared" si="52"/>
        <v>25984.484388938447</v>
      </c>
      <c r="I332" s="7"/>
      <c r="J332" s="10">
        <v>5.5780000000000003</v>
      </c>
      <c r="K332" s="117">
        <v>162479</v>
      </c>
      <c r="L332" s="120">
        <f t="shared" si="53"/>
        <v>144.94112399643177</v>
      </c>
      <c r="M332" s="122">
        <f t="shared" si="59"/>
        <v>291286.07</v>
      </c>
      <c r="N332" s="116">
        <f t="shared" si="60"/>
        <v>128807.07</v>
      </c>
      <c r="O332" s="123">
        <f t="shared" si="61"/>
        <v>114.90371989295272</v>
      </c>
      <c r="P332" s="5"/>
      <c r="Q332" s="5">
        <f t="shared" si="54"/>
        <v>1</v>
      </c>
      <c r="R332" s="7">
        <f t="shared" si="55"/>
        <v>1121</v>
      </c>
      <c r="S332" s="5">
        <f t="shared" si="56"/>
        <v>1</v>
      </c>
      <c r="T332" s="7">
        <f t="shared" si="57"/>
        <v>1121</v>
      </c>
    </row>
    <row r="333" spans="1:20">
      <c r="A333" s="23" t="s">
        <v>377</v>
      </c>
      <c r="B333" s="35" t="s">
        <v>365</v>
      </c>
      <c r="C333" s="36">
        <v>9894</v>
      </c>
      <c r="D333" s="6"/>
      <c r="E333" s="113">
        <v>305261452</v>
      </c>
      <c r="F333" s="116">
        <f t="shared" si="58"/>
        <v>30853.189003436426</v>
      </c>
      <c r="G333" s="117">
        <v>196267237</v>
      </c>
      <c r="H333" s="117">
        <f t="shared" si="52"/>
        <v>19836.995856074387</v>
      </c>
      <c r="I333" s="7"/>
      <c r="J333" s="10">
        <v>7.99</v>
      </c>
      <c r="K333" s="117">
        <v>1568175</v>
      </c>
      <c r="L333" s="120">
        <f t="shared" si="53"/>
        <v>158.49757428744692</v>
      </c>
      <c r="M333" s="122">
        <f t="shared" si="59"/>
        <v>1962672.37</v>
      </c>
      <c r="N333" s="116">
        <f t="shared" si="60"/>
        <v>394497.37000000011</v>
      </c>
      <c r="O333" s="123">
        <f t="shared" si="61"/>
        <v>39.872384273296959</v>
      </c>
      <c r="P333" s="5"/>
      <c r="Q333" s="5">
        <f t="shared" si="54"/>
        <v>1</v>
      </c>
      <c r="R333" s="7">
        <f t="shared" si="55"/>
        <v>9894</v>
      </c>
      <c r="S333" s="5">
        <f t="shared" si="56"/>
        <v>1</v>
      </c>
      <c r="T333" s="7">
        <f t="shared" si="57"/>
        <v>9894</v>
      </c>
    </row>
    <row r="334" spans="1:20">
      <c r="A334" s="23" t="s">
        <v>378</v>
      </c>
      <c r="B334" s="35" t="s">
        <v>365</v>
      </c>
      <c r="C334" s="36">
        <v>74626</v>
      </c>
      <c r="D334" s="6"/>
      <c r="E334" s="113">
        <v>3348359630</v>
      </c>
      <c r="F334" s="116">
        <f t="shared" si="58"/>
        <v>44868.539517058394</v>
      </c>
      <c r="G334" s="117">
        <v>2055471107</v>
      </c>
      <c r="H334" s="117">
        <f t="shared" si="52"/>
        <v>27543.632339935142</v>
      </c>
      <c r="I334" s="7"/>
      <c r="J334" s="10">
        <v>2.9950000000000001</v>
      </c>
      <c r="K334" s="117">
        <v>6156135</v>
      </c>
      <c r="L334" s="120">
        <f t="shared" si="53"/>
        <v>82.493165920724678</v>
      </c>
      <c r="M334" s="122">
        <f t="shared" si="59"/>
        <v>20554711.07</v>
      </c>
      <c r="N334" s="116">
        <f t="shared" si="60"/>
        <v>14398576.07</v>
      </c>
      <c r="O334" s="123">
        <f t="shared" si="61"/>
        <v>192.94315747862674</v>
      </c>
      <c r="P334" s="5"/>
      <c r="Q334" s="5">
        <f t="shared" si="54"/>
        <v>1</v>
      </c>
      <c r="R334" s="7">
        <f t="shared" si="55"/>
        <v>74626</v>
      </c>
      <c r="S334" s="5">
        <f t="shared" si="56"/>
        <v>1</v>
      </c>
      <c r="T334" s="7">
        <f t="shared" si="57"/>
        <v>74626</v>
      </c>
    </row>
    <row r="335" spans="1:20">
      <c r="A335" s="23" t="s">
        <v>379</v>
      </c>
      <c r="B335" s="35" t="s">
        <v>365</v>
      </c>
      <c r="C335" s="36">
        <v>3327</v>
      </c>
      <c r="D335" s="6"/>
      <c r="E335" s="113">
        <v>100441032</v>
      </c>
      <c r="F335" s="116">
        <f t="shared" si="58"/>
        <v>30189.669972948603</v>
      </c>
      <c r="G335" s="117">
        <v>74254331</v>
      </c>
      <c r="H335" s="117">
        <f t="shared" si="52"/>
        <v>22318.70483919447</v>
      </c>
      <c r="I335" s="7"/>
      <c r="J335" s="10">
        <v>8.5</v>
      </c>
      <c r="K335" s="117">
        <v>631161</v>
      </c>
      <c r="L335" s="120">
        <f t="shared" si="53"/>
        <v>189.7087466185753</v>
      </c>
      <c r="M335" s="122">
        <f t="shared" si="59"/>
        <v>742543.31</v>
      </c>
      <c r="N335" s="116">
        <f t="shared" si="60"/>
        <v>111382.31000000006</v>
      </c>
      <c r="O335" s="123">
        <f t="shared" si="61"/>
        <v>33.478301773369417</v>
      </c>
      <c r="P335" s="5"/>
      <c r="Q335" s="5">
        <f t="shared" si="54"/>
        <v>1</v>
      </c>
      <c r="R335" s="7">
        <f t="shared" si="55"/>
        <v>3327</v>
      </c>
      <c r="S335" s="5">
        <f t="shared" si="56"/>
        <v>1</v>
      </c>
      <c r="T335" s="7">
        <f t="shared" si="57"/>
        <v>3327</v>
      </c>
    </row>
    <row r="336" spans="1:20">
      <c r="A336" s="23" t="s">
        <v>380</v>
      </c>
      <c r="B336" s="35" t="s">
        <v>365</v>
      </c>
      <c r="C336" s="36">
        <v>1615</v>
      </c>
      <c r="D336" s="6"/>
      <c r="E336" s="113">
        <v>28312831</v>
      </c>
      <c r="F336" s="116">
        <f t="shared" si="58"/>
        <v>17531.164705882355</v>
      </c>
      <c r="G336" s="117">
        <v>17716984</v>
      </c>
      <c r="H336" s="117">
        <f t="shared" si="52"/>
        <v>10970.268730650156</v>
      </c>
      <c r="I336" s="7"/>
      <c r="J336" s="10">
        <v>3.5</v>
      </c>
      <c r="K336" s="117">
        <v>62009</v>
      </c>
      <c r="L336" s="120">
        <f t="shared" si="53"/>
        <v>38.39566563467492</v>
      </c>
      <c r="M336" s="122">
        <f t="shared" si="59"/>
        <v>177169.84</v>
      </c>
      <c r="N336" s="116">
        <f t="shared" si="60"/>
        <v>115160.84</v>
      </c>
      <c r="O336" s="123">
        <f t="shared" si="61"/>
        <v>71.307021671826618</v>
      </c>
      <c r="P336" s="5"/>
      <c r="Q336" s="5">
        <f t="shared" si="54"/>
        <v>1</v>
      </c>
      <c r="R336" s="7">
        <f t="shared" si="55"/>
        <v>1615</v>
      </c>
      <c r="S336" s="5">
        <f t="shared" si="56"/>
        <v>1</v>
      </c>
      <c r="T336" s="7">
        <f t="shared" si="57"/>
        <v>1615</v>
      </c>
    </row>
    <row r="337" spans="1:20">
      <c r="A337" s="23" t="s">
        <v>381</v>
      </c>
      <c r="B337" s="35" t="s">
        <v>365</v>
      </c>
      <c r="C337" s="36">
        <v>25409</v>
      </c>
      <c r="D337" s="6"/>
      <c r="E337" s="113">
        <v>1037317863</v>
      </c>
      <c r="F337" s="116">
        <f t="shared" si="58"/>
        <v>40824.820457318274</v>
      </c>
      <c r="G337" s="117">
        <v>695103749</v>
      </c>
      <c r="H337" s="117">
        <f t="shared" si="52"/>
        <v>27356.59604864418</v>
      </c>
      <c r="I337" s="7"/>
      <c r="J337" s="10">
        <v>6.4</v>
      </c>
      <c r="K337" s="117">
        <v>4448663</v>
      </c>
      <c r="L337" s="120">
        <f t="shared" si="53"/>
        <v>175.08217560706836</v>
      </c>
      <c r="M337" s="122">
        <f t="shared" si="59"/>
        <v>6951037.4900000002</v>
      </c>
      <c r="N337" s="116">
        <f t="shared" si="60"/>
        <v>2502374.4900000002</v>
      </c>
      <c r="O337" s="123">
        <f t="shared" si="61"/>
        <v>98.483784879373459</v>
      </c>
      <c r="P337" s="5"/>
      <c r="Q337" s="5">
        <f t="shared" si="54"/>
        <v>1</v>
      </c>
      <c r="R337" s="7">
        <f t="shared" si="55"/>
        <v>25409</v>
      </c>
      <c r="S337" s="5">
        <f t="shared" si="56"/>
        <v>1</v>
      </c>
      <c r="T337" s="7">
        <f t="shared" si="57"/>
        <v>25409</v>
      </c>
    </row>
    <row r="338" spans="1:20">
      <c r="A338" s="23" t="s">
        <v>382</v>
      </c>
      <c r="B338" s="35" t="s">
        <v>383</v>
      </c>
      <c r="C338" s="36">
        <v>1843</v>
      </c>
      <c r="D338" s="6"/>
      <c r="E338" s="113">
        <v>65254056</v>
      </c>
      <c r="F338" s="116">
        <f t="shared" si="58"/>
        <v>35406.432989690722</v>
      </c>
      <c r="G338" s="117">
        <v>37896110</v>
      </c>
      <c r="H338" s="117">
        <f t="shared" si="52"/>
        <v>20562.186652197503</v>
      </c>
      <c r="I338" s="7"/>
      <c r="J338" s="10">
        <v>8.25</v>
      </c>
      <c r="K338" s="117">
        <v>312642</v>
      </c>
      <c r="L338" s="120">
        <f t="shared" si="53"/>
        <v>169.63754747693977</v>
      </c>
      <c r="M338" s="122">
        <f t="shared" si="59"/>
        <v>378961.10000000003</v>
      </c>
      <c r="N338" s="116">
        <f t="shared" si="60"/>
        <v>66319.100000000035</v>
      </c>
      <c r="O338" s="123">
        <f t="shared" si="61"/>
        <v>35.984319045035285</v>
      </c>
      <c r="P338" s="5"/>
      <c r="Q338" s="5">
        <f t="shared" si="54"/>
        <v>1</v>
      </c>
      <c r="R338" s="7">
        <f t="shared" si="55"/>
        <v>1843</v>
      </c>
      <c r="S338" s="5">
        <f t="shared" si="56"/>
        <v>1</v>
      </c>
      <c r="T338" s="7">
        <f t="shared" si="57"/>
        <v>1843</v>
      </c>
    </row>
    <row r="339" spans="1:20">
      <c r="A339" s="23" t="s">
        <v>384</v>
      </c>
      <c r="B339" s="35" t="s">
        <v>383</v>
      </c>
      <c r="C339" s="36">
        <v>1376</v>
      </c>
      <c r="D339" s="6"/>
      <c r="E339" s="113">
        <v>55013634</v>
      </c>
      <c r="F339" s="116">
        <f t="shared" si="58"/>
        <v>39980.838662790695</v>
      </c>
      <c r="G339" s="117">
        <v>23392191</v>
      </c>
      <c r="H339" s="117">
        <f t="shared" si="52"/>
        <v>17000.138808139534</v>
      </c>
      <c r="I339" s="7"/>
      <c r="J339" s="10">
        <v>7.5</v>
      </c>
      <c r="K339" s="117">
        <v>175441</v>
      </c>
      <c r="L339" s="120">
        <f t="shared" si="53"/>
        <v>127.50072674418605</v>
      </c>
      <c r="M339" s="122">
        <f t="shared" si="59"/>
        <v>233921.91</v>
      </c>
      <c r="N339" s="116">
        <f t="shared" si="60"/>
        <v>58480.91</v>
      </c>
      <c r="O339" s="123">
        <f t="shared" si="61"/>
        <v>42.500661337209301</v>
      </c>
      <c r="P339" s="5"/>
      <c r="Q339" s="5">
        <f t="shared" si="54"/>
        <v>1</v>
      </c>
      <c r="R339" s="7">
        <f t="shared" si="55"/>
        <v>1376</v>
      </c>
      <c r="S339" s="5">
        <f t="shared" si="56"/>
        <v>1</v>
      </c>
      <c r="T339" s="7">
        <f t="shared" si="57"/>
        <v>1376</v>
      </c>
    </row>
    <row r="340" spans="1:20">
      <c r="A340" s="23" t="s">
        <v>385</v>
      </c>
      <c r="B340" s="35" t="s">
        <v>383</v>
      </c>
      <c r="C340" s="36">
        <v>10705</v>
      </c>
      <c r="D340" s="6"/>
      <c r="E340" s="113">
        <v>395643369</v>
      </c>
      <c r="F340" s="116">
        <f t="shared" si="58"/>
        <v>36958.745352638951</v>
      </c>
      <c r="G340" s="117">
        <v>195563418</v>
      </c>
      <c r="H340" s="117">
        <f t="shared" si="52"/>
        <v>18268.418309201308</v>
      </c>
      <c r="I340" s="7"/>
      <c r="J340" s="10">
        <v>7.7839999999999998</v>
      </c>
      <c r="K340" s="117">
        <v>1522265</v>
      </c>
      <c r="L340" s="120">
        <f t="shared" si="53"/>
        <v>142.20130780009342</v>
      </c>
      <c r="M340" s="122">
        <f t="shared" si="59"/>
        <v>1955634.18</v>
      </c>
      <c r="N340" s="116">
        <f t="shared" si="60"/>
        <v>433369.17999999993</v>
      </c>
      <c r="O340" s="123">
        <f t="shared" si="61"/>
        <v>40.482875291919655</v>
      </c>
      <c r="P340" s="5"/>
      <c r="Q340" s="5">
        <f t="shared" si="54"/>
        <v>1</v>
      </c>
      <c r="R340" s="7">
        <f t="shared" si="55"/>
        <v>10705</v>
      </c>
      <c r="S340" s="5">
        <f t="shared" si="56"/>
        <v>1</v>
      </c>
      <c r="T340" s="7">
        <f t="shared" si="57"/>
        <v>10705</v>
      </c>
    </row>
    <row r="341" spans="1:20">
      <c r="A341" s="23" t="s">
        <v>386</v>
      </c>
      <c r="B341" s="35" t="s">
        <v>383</v>
      </c>
      <c r="C341" s="36">
        <v>758</v>
      </c>
      <c r="D341" s="6"/>
      <c r="E341" s="113">
        <v>21337894</v>
      </c>
      <c r="F341" s="116">
        <f t="shared" si="58"/>
        <v>28150.255936675461</v>
      </c>
      <c r="G341" s="117">
        <v>13903082</v>
      </c>
      <c r="H341" s="117">
        <f t="shared" si="52"/>
        <v>18341.796833773085</v>
      </c>
      <c r="I341" s="9"/>
      <c r="J341" s="10">
        <v>4.9390000000000001</v>
      </c>
      <c r="K341" s="117">
        <v>68667</v>
      </c>
      <c r="L341" s="120">
        <f t="shared" si="53"/>
        <v>90.589709762532976</v>
      </c>
      <c r="M341" s="122">
        <f t="shared" si="59"/>
        <v>139030.82</v>
      </c>
      <c r="N341" s="116">
        <f t="shared" si="60"/>
        <v>70363.820000000007</v>
      </c>
      <c r="O341" s="123">
        <f t="shared" si="61"/>
        <v>92.828258575197893</v>
      </c>
      <c r="P341" s="5"/>
      <c r="Q341" s="5">
        <f t="shared" si="54"/>
        <v>1</v>
      </c>
      <c r="R341" s="7">
        <f t="shared" si="55"/>
        <v>758</v>
      </c>
      <c r="S341" s="5">
        <f t="shared" si="56"/>
        <v>1</v>
      </c>
      <c r="T341" s="7">
        <f t="shared" si="57"/>
        <v>758</v>
      </c>
    </row>
    <row r="342" spans="1:20">
      <c r="A342" s="23" t="s">
        <v>387</v>
      </c>
      <c r="B342" s="35" t="s">
        <v>383</v>
      </c>
      <c r="C342" s="36">
        <v>575</v>
      </c>
      <c r="D342" s="6"/>
      <c r="E342" s="113">
        <v>24581080</v>
      </c>
      <c r="F342" s="116">
        <f t="shared" si="58"/>
        <v>42749.704347826089</v>
      </c>
      <c r="G342" s="117">
        <v>17887062</v>
      </c>
      <c r="H342" s="117">
        <f t="shared" si="52"/>
        <v>31107.933913043478</v>
      </c>
      <c r="I342" s="7"/>
      <c r="J342" s="10">
        <v>5</v>
      </c>
      <c r="K342" s="117">
        <v>89435</v>
      </c>
      <c r="L342" s="120">
        <f t="shared" si="53"/>
        <v>155.53913043478261</v>
      </c>
      <c r="M342" s="122">
        <f t="shared" si="59"/>
        <v>178870.62</v>
      </c>
      <c r="N342" s="116">
        <f t="shared" si="60"/>
        <v>89435.62</v>
      </c>
      <c r="O342" s="123">
        <f t="shared" si="61"/>
        <v>155.54020869565215</v>
      </c>
      <c r="P342" s="5"/>
      <c r="Q342" s="5">
        <f t="shared" si="54"/>
        <v>1</v>
      </c>
      <c r="R342" s="7">
        <f t="shared" si="55"/>
        <v>575</v>
      </c>
      <c r="S342" s="5">
        <f t="shared" si="56"/>
        <v>1</v>
      </c>
      <c r="T342" s="7">
        <f t="shared" si="57"/>
        <v>575</v>
      </c>
    </row>
    <row r="343" spans="1:20">
      <c r="A343" s="23" t="s">
        <v>390</v>
      </c>
      <c r="B343" s="35" t="s">
        <v>391</v>
      </c>
      <c r="C343" s="36">
        <v>5922</v>
      </c>
      <c r="D343" s="6"/>
      <c r="E343" s="113">
        <v>434973535</v>
      </c>
      <c r="F343" s="116">
        <f t="shared" si="58"/>
        <v>73450.444951030062</v>
      </c>
      <c r="G343" s="117">
        <v>280746103</v>
      </c>
      <c r="H343" s="117">
        <f t="shared" si="52"/>
        <v>47407.31222559946</v>
      </c>
      <c r="I343" s="7"/>
      <c r="J343" s="10">
        <v>1.92</v>
      </c>
      <c r="K343" s="117">
        <v>539032</v>
      </c>
      <c r="L343" s="120">
        <f t="shared" si="53"/>
        <v>91.021952043228637</v>
      </c>
      <c r="M343" s="122">
        <f t="shared" si="59"/>
        <v>2807461.0300000003</v>
      </c>
      <c r="N343" s="116">
        <f t="shared" si="60"/>
        <v>2268429.0300000003</v>
      </c>
      <c r="O343" s="123">
        <f t="shared" si="61"/>
        <v>383.05117021276601</v>
      </c>
      <c r="P343" s="5"/>
      <c r="Q343" s="5">
        <f t="shared" si="54"/>
        <v>1</v>
      </c>
      <c r="R343" s="7">
        <f t="shared" si="55"/>
        <v>5922</v>
      </c>
      <c r="S343" s="5">
        <f t="shared" si="56"/>
        <v>1</v>
      </c>
      <c r="T343" s="7">
        <f t="shared" si="57"/>
        <v>5922</v>
      </c>
    </row>
    <row r="344" spans="1:20">
      <c r="A344" s="23" t="s">
        <v>392</v>
      </c>
      <c r="B344" s="35" t="s">
        <v>391</v>
      </c>
      <c r="C344" s="36">
        <v>689</v>
      </c>
      <c r="D344" s="6"/>
      <c r="E344" s="113">
        <v>35082024</v>
      </c>
      <c r="F344" s="116">
        <f t="shared" si="58"/>
        <v>50917.306240928883</v>
      </c>
      <c r="G344" s="117">
        <v>26143054</v>
      </c>
      <c r="H344" s="117">
        <f t="shared" si="52"/>
        <v>37943.474600870824</v>
      </c>
      <c r="I344" s="9"/>
      <c r="J344" s="10">
        <v>2</v>
      </c>
      <c r="K344" s="117">
        <v>52286</v>
      </c>
      <c r="L344" s="120">
        <f t="shared" si="53"/>
        <v>75.886792452830193</v>
      </c>
      <c r="M344" s="122">
        <f t="shared" si="59"/>
        <v>261430.54</v>
      </c>
      <c r="N344" s="116">
        <f t="shared" si="60"/>
        <v>209144.54</v>
      </c>
      <c r="O344" s="123">
        <f t="shared" si="61"/>
        <v>303.54795355587811</v>
      </c>
      <c r="P344" s="5"/>
      <c r="Q344" s="5">
        <f t="shared" si="54"/>
        <v>1</v>
      </c>
      <c r="R344" s="7">
        <f t="shared" si="55"/>
        <v>689</v>
      </c>
      <c r="S344" s="5">
        <f t="shared" si="56"/>
        <v>1</v>
      </c>
      <c r="T344" s="7">
        <f t="shared" si="57"/>
        <v>689</v>
      </c>
    </row>
    <row r="345" spans="1:20">
      <c r="A345" s="23" t="s">
        <v>393</v>
      </c>
      <c r="B345" s="35" t="s">
        <v>391</v>
      </c>
      <c r="C345" s="36">
        <v>7511</v>
      </c>
      <c r="D345" s="6"/>
      <c r="E345" s="113">
        <v>204747505</v>
      </c>
      <c r="F345" s="116">
        <f t="shared" si="58"/>
        <v>27259.686459858873</v>
      </c>
      <c r="G345" s="117">
        <v>126943504</v>
      </c>
      <c r="H345" s="117">
        <f t="shared" si="52"/>
        <v>16901.01238183997</v>
      </c>
      <c r="I345" s="9"/>
      <c r="J345" s="10">
        <v>2.75</v>
      </c>
      <c r="K345" s="117">
        <v>349094</v>
      </c>
      <c r="L345" s="120">
        <f t="shared" si="53"/>
        <v>46.477699374251095</v>
      </c>
      <c r="M345" s="122">
        <f t="shared" si="59"/>
        <v>1269435.04</v>
      </c>
      <c r="N345" s="116">
        <f t="shared" si="60"/>
        <v>920341.04</v>
      </c>
      <c r="O345" s="123">
        <f t="shared" si="61"/>
        <v>122.53242444414859</v>
      </c>
      <c r="P345" s="5"/>
      <c r="Q345" s="5">
        <f t="shared" si="54"/>
        <v>1</v>
      </c>
      <c r="R345" s="7">
        <f t="shared" si="55"/>
        <v>7511</v>
      </c>
      <c r="S345" s="5">
        <f t="shared" si="56"/>
        <v>1</v>
      </c>
      <c r="T345" s="7">
        <f t="shared" si="57"/>
        <v>7511</v>
      </c>
    </row>
    <row r="346" spans="1:20">
      <c r="A346" s="23" t="s">
        <v>394</v>
      </c>
      <c r="B346" s="35" t="s">
        <v>395</v>
      </c>
      <c r="C346" s="36">
        <v>15161</v>
      </c>
      <c r="D346" s="6"/>
      <c r="E346" s="113">
        <v>649657991</v>
      </c>
      <c r="F346" s="116">
        <f t="shared" si="58"/>
        <v>42850.602928566717</v>
      </c>
      <c r="G346" s="117">
        <v>468668314</v>
      </c>
      <c r="H346" s="117">
        <f t="shared" si="52"/>
        <v>30912.757337906471</v>
      </c>
      <c r="I346" s="9"/>
      <c r="J346" s="10">
        <v>5</v>
      </c>
      <c r="K346" s="117">
        <v>2343341</v>
      </c>
      <c r="L346" s="120">
        <f t="shared" si="53"/>
        <v>154.56374909306774</v>
      </c>
      <c r="M346" s="122">
        <f t="shared" si="59"/>
        <v>4686683.1399999997</v>
      </c>
      <c r="N346" s="116">
        <f t="shared" si="60"/>
        <v>2343342.1399999997</v>
      </c>
      <c r="O346" s="123">
        <f t="shared" si="61"/>
        <v>154.56382428599693</v>
      </c>
      <c r="P346" s="5"/>
      <c r="Q346" s="5">
        <f t="shared" si="54"/>
        <v>1</v>
      </c>
      <c r="R346" s="7">
        <f t="shared" si="55"/>
        <v>15161</v>
      </c>
      <c r="S346" s="5">
        <f t="shared" si="56"/>
        <v>1</v>
      </c>
      <c r="T346" s="7">
        <f t="shared" si="57"/>
        <v>15161</v>
      </c>
    </row>
    <row r="347" spans="1:20">
      <c r="A347" s="23" t="s">
        <v>395</v>
      </c>
      <c r="B347" s="35" t="s">
        <v>395</v>
      </c>
      <c r="C347" s="36">
        <v>51143</v>
      </c>
      <c r="D347" s="6"/>
      <c r="E347" s="113">
        <v>3727360701</v>
      </c>
      <c r="F347" s="116">
        <f t="shared" si="58"/>
        <v>72881.150910192984</v>
      </c>
      <c r="G347" s="117">
        <v>2722329624</v>
      </c>
      <c r="H347" s="117">
        <f t="shared" ref="H347:H397" si="62">(G347/C347)</f>
        <v>53229.760162681108</v>
      </c>
      <c r="I347" s="7"/>
      <c r="J347" s="10">
        <v>5.3390000000000004</v>
      </c>
      <c r="K347" s="117">
        <v>14534517</v>
      </c>
      <c r="L347" s="120">
        <f t="shared" ref="L347:L396" si="63">(K347/C347)</f>
        <v>284.19367264337251</v>
      </c>
      <c r="M347" s="122">
        <f t="shared" si="59"/>
        <v>27223296.240000002</v>
      </c>
      <c r="N347" s="116">
        <f t="shared" si="60"/>
        <v>12688779.240000002</v>
      </c>
      <c r="O347" s="123">
        <f t="shared" si="61"/>
        <v>248.10392898343864</v>
      </c>
      <c r="P347" s="5"/>
      <c r="Q347" s="5">
        <f t="shared" si="54"/>
        <v>1</v>
      </c>
      <c r="R347" s="7">
        <f t="shared" si="55"/>
        <v>51143</v>
      </c>
      <c r="S347" s="5">
        <f t="shared" si="56"/>
        <v>1</v>
      </c>
      <c r="T347" s="7">
        <f t="shared" si="57"/>
        <v>51143</v>
      </c>
    </row>
    <row r="348" spans="1:20">
      <c r="A348" s="23" t="s">
        <v>396</v>
      </c>
      <c r="B348" s="35" t="s">
        <v>395</v>
      </c>
      <c r="C348" s="36">
        <v>18450</v>
      </c>
      <c r="D348" s="6"/>
      <c r="E348" s="113">
        <v>1372250021</v>
      </c>
      <c r="F348" s="116">
        <f t="shared" si="58"/>
        <v>74376.694905149052</v>
      </c>
      <c r="G348" s="117">
        <v>1044148735</v>
      </c>
      <c r="H348" s="117">
        <f t="shared" si="62"/>
        <v>56593.427371273712</v>
      </c>
      <c r="I348" s="7"/>
      <c r="J348" s="10">
        <v>3.4060000000000001</v>
      </c>
      <c r="K348" s="117">
        <v>3556370</v>
      </c>
      <c r="L348" s="120">
        <f t="shared" si="63"/>
        <v>192.75718157181572</v>
      </c>
      <c r="M348" s="122">
        <f t="shared" si="59"/>
        <v>10441487.35</v>
      </c>
      <c r="N348" s="116">
        <f t="shared" si="60"/>
        <v>6885117.3499999996</v>
      </c>
      <c r="O348" s="123">
        <f t="shared" si="61"/>
        <v>373.17709214092139</v>
      </c>
      <c r="P348" s="5"/>
      <c r="Q348" s="5">
        <f t="shared" si="54"/>
        <v>1</v>
      </c>
      <c r="R348" s="7">
        <f t="shared" si="55"/>
        <v>18450</v>
      </c>
      <c r="S348" s="5">
        <f t="shared" si="56"/>
        <v>1</v>
      </c>
      <c r="T348" s="7">
        <f t="shared" si="57"/>
        <v>18450</v>
      </c>
    </row>
    <row r="349" spans="1:20">
      <c r="A349" s="23" t="s">
        <v>397</v>
      </c>
      <c r="B349" s="35" t="s">
        <v>360</v>
      </c>
      <c r="C349" s="36">
        <v>37917</v>
      </c>
      <c r="D349" s="6"/>
      <c r="E349" s="113">
        <v>1883958552</v>
      </c>
      <c r="F349" s="116">
        <f t="shared" si="58"/>
        <v>49686.382150486592</v>
      </c>
      <c r="G349" s="117">
        <v>1555155516</v>
      </c>
      <c r="H349" s="117">
        <f t="shared" si="62"/>
        <v>41014.729962813515</v>
      </c>
      <c r="I349" s="7"/>
      <c r="J349" s="10">
        <v>5.1858000000000004</v>
      </c>
      <c r="K349" s="117">
        <v>8064725</v>
      </c>
      <c r="L349" s="120">
        <f t="shared" si="63"/>
        <v>212.69417411715062</v>
      </c>
      <c r="M349" s="122">
        <f t="shared" si="59"/>
        <v>15551555.16</v>
      </c>
      <c r="N349" s="116">
        <f t="shared" si="60"/>
        <v>7486830.1600000001</v>
      </c>
      <c r="O349" s="123">
        <f t="shared" si="61"/>
        <v>197.45312551098453</v>
      </c>
      <c r="P349" s="5"/>
      <c r="Q349" s="5">
        <f t="shared" si="54"/>
        <v>1</v>
      </c>
      <c r="R349" s="7">
        <f t="shared" si="55"/>
        <v>37917</v>
      </c>
      <c r="S349" s="5">
        <f t="shared" si="56"/>
        <v>1</v>
      </c>
      <c r="T349" s="7">
        <f t="shared" si="57"/>
        <v>37917</v>
      </c>
    </row>
    <row r="350" spans="1:20">
      <c r="A350" s="23" t="s">
        <v>398</v>
      </c>
      <c r="B350" s="35" t="s">
        <v>360</v>
      </c>
      <c r="C350" s="36">
        <v>24144</v>
      </c>
      <c r="D350" s="6"/>
      <c r="E350" s="113">
        <v>765064794</v>
      </c>
      <c r="F350" s="116">
        <f t="shared" si="58"/>
        <v>31687.574304174952</v>
      </c>
      <c r="G350" s="117">
        <v>616013204</v>
      </c>
      <c r="H350" s="117">
        <f t="shared" si="62"/>
        <v>25514.132041086814</v>
      </c>
      <c r="I350" s="7"/>
      <c r="J350" s="10">
        <v>3.45</v>
      </c>
      <c r="K350" s="117">
        <v>2125245</v>
      </c>
      <c r="L350" s="120">
        <f t="shared" si="63"/>
        <v>88.023732604373762</v>
      </c>
      <c r="M350" s="122">
        <f t="shared" si="59"/>
        <v>6160132.04</v>
      </c>
      <c r="N350" s="116">
        <f t="shared" si="60"/>
        <v>4034887.04</v>
      </c>
      <c r="O350" s="123">
        <f t="shared" si="61"/>
        <v>167.11758780649436</v>
      </c>
      <c r="P350" s="5"/>
      <c r="Q350" s="5">
        <f t="shared" si="54"/>
        <v>1</v>
      </c>
      <c r="R350" s="7">
        <f t="shared" si="55"/>
        <v>24144</v>
      </c>
      <c r="S350" s="5">
        <f t="shared" si="56"/>
        <v>1</v>
      </c>
      <c r="T350" s="7">
        <f t="shared" si="57"/>
        <v>24144</v>
      </c>
    </row>
    <row r="351" spans="1:20">
      <c r="A351" s="23" t="s">
        <v>399</v>
      </c>
      <c r="B351" s="35" t="s">
        <v>360</v>
      </c>
      <c r="C351" s="36">
        <v>7251</v>
      </c>
      <c r="D351" s="6"/>
      <c r="E351" s="113">
        <v>651156889</v>
      </c>
      <c r="F351" s="116">
        <f t="shared" si="58"/>
        <v>89802.356778375397</v>
      </c>
      <c r="G351" s="117">
        <v>552744854</v>
      </c>
      <c r="H351" s="117">
        <f t="shared" si="62"/>
        <v>76230.155013101641</v>
      </c>
      <c r="I351" s="7"/>
      <c r="J351" s="10">
        <v>3.7648000000000001</v>
      </c>
      <c r="K351" s="117">
        <v>2080973</v>
      </c>
      <c r="L351" s="120">
        <f t="shared" si="63"/>
        <v>286.99117363122326</v>
      </c>
      <c r="M351" s="122">
        <f t="shared" si="59"/>
        <v>5527448.54</v>
      </c>
      <c r="N351" s="116">
        <f t="shared" si="60"/>
        <v>3446475.54</v>
      </c>
      <c r="O351" s="123">
        <f t="shared" si="61"/>
        <v>475.31037649979316</v>
      </c>
      <c r="P351" s="5"/>
      <c r="Q351" s="5">
        <f t="shared" si="54"/>
        <v>1</v>
      </c>
      <c r="R351" s="7">
        <f t="shared" si="55"/>
        <v>7251</v>
      </c>
      <c r="S351" s="5">
        <f t="shared" si="56"/>
        <v>1</v>
      </c>
      <c r="T351" s="7">
        <f t="shared" si="57"/>
        <v>7251</v>
      </c>
    </row>
    <row r="352" spans="1:20">
      <c r="A352" s="23" t="s">
        <v>400</v>
      </c>
      <c r="B352" s="35" t="s">
        <v>360</v>
      </c>
      <c r="C352" s="36">
        <v>13602</v>
      </c>
      <c r="D352" s="6"/>
      <c r="E352" s="113">
        <v>661792802</v>
      </c>
      <c r="F352" s="116">
        <f t="shared" si="58"/>
        <v>48654.080429348622</v>
      </c>
      <c r="G352" s="117">
        <v>549761932</v>
      </c>
      <c r="H352" s="117">
        <f t="shared" si="62"/>
        <v>40417.727687104838</v>
      </c>
      <c r="I352" s="7"/>
      <c r="J352" s="10">
        <v>5.0601000000000003</v>
      </c>
      <c r="K352" s="117">
        <v>2781850</v>
      </c>
      <c r="L352" s="120">
        <f t="shared" si="63"/>
        <v>204.5177179826496</v>
      </c>
      <c r="M352" s="122">
        <f t="shared" si="59"/>
        <v>5497619.3200000003</v>
      </c>
      <c r="N352" s="116">
        <f t="shared" si="60"/>
        <v>2715769.3200000003</v>
      </c>
      <c r="O352" s="123">
        <f t="shared" si="61"/>
        <v>199.65955888839878</v>
      </c>
      <c r="P352" s="5"/>
      <c r="Q352" s="5">
        <f t="shared" si="54"/>
        <v>1</v>
      </c>
      <c r="R352" s="7">
        <f t="shared" si="55"/>
        <v>13602</v>
      </c>
      <c r="S352" s="5">
        <f t="shared" si="56"/>
        <v>1</v>
      </c>
      <c r="T352" s="7">
        <f t="shared" si="57"/>
        <v>13602</v>
      </c>
    </row>
    <row r="353" spans="1:20">
      <c r="A353" s="23" t="s">
        <v>401</v>
      </c>
      <c r="B353" s="35" t="s">
        <v>360</v>
      </c>
      <c r="C353" s="36">
        <v>17910</v>
      </c>
      <c r="D353" s="6"/>
      <c r="E353" s="113">
        <v>773837775</v>
      </c>
      <c r="F353" s="116">
        <f t="shared" si="58"/>
        <v>43207.022613065325</v>
      </c>
      <c r="G353" s="117">
        <v>585679074</v>
      </c>
      <c r="H353" s="117">
        <f t="shared" si="62"/>
        <v>32701.232495812394</v>
      </c>
      <c r="I353" s="7"/>
      <c r="J353" s="10">
        <v>4.9950000000000001</v>
      </c>
      <c r="K353" s="117">
        <v>2925466</v>
      </c>
      <c r="L353" s="120">
        <f t="shared" si="63"/>
        <v>163.34260189838079</v>
      </c>
      <c r="M353" s="122">
        <f t="shared" si="59"/>
        <v>5856790.7400000002</v>
      </c>
      <c r="N353" s="116">
        <f t="shared" si="60"/>
        <v>2931324.74</v>
      </c>
      <c r="O353" s="123">
        <f t="shared" si="61"/>
        <v>163.66972305974318</v>
      </c>
      <c r="P353" s="5"/>
      <c r="Q353" s="5">
        <f t="shared" si="54"/>
        <v>1</v>
      </c>
      <c r="R353" s="7">
        <f t="shared" si="55"/>
        <v>17910</v>
      </c>
      <c r="S353" s="5">
        <f t="shared" si="56"/>
        <v>1</v>
      </c>
      <c r="T353" s="7">
        <f t="shared" si="57"/>
        <v>17910</v>
      </c>
    </row>
    <row r="354" spans="1:20">
      <c r="A354" s="23" t="s">
        <v>402</v>
      </c>
      <c r="B354" s="35" t="s">
        <v>360</v>
      </c>
      <c r="C354" s="36">
        <v>35311</v>
      </c>
      <c r="D354" s="6"/>
      <c r="E354" s="113">
        <v>1141767260</v>
      </c>
      <c r="F354" s="116">
        <f t="shared" si="58"/>
        <v>32334.605646965534</v>
      </c>
      <c r="G354" s="117">
        <v>794914507</v>
      </c>
      <c r="H354" s="117">
        <f t="shared" si="62"/>
        <v>22511.80954943219</v>
      </c>
      <c r="I354" s="7"/>
      <c r="J354" s="10">
        <v>6.8758999999999997</v>
      </c>
      <c r="K354" s="117">
        <v>5465752</v>
      </c>
      <c r="L354" s="120">
        <f t="shared" si="63"/>
        <v>154.78893262722664</v>
      </c>
      <c r="M354" s="122">
        <f t="shared" si="59"/>
        <v>7949145.0700000003</v>
      </c>
      <c r="N354" s="116">
        <f t="shared" si="60"/>
        <v>2483393.0700000003</v>
      </c>
      <c r="O354" s="123">
        <f t="shared" si="61"/>
        <v>70.329162867095249</v>
      </c>
      <c r="P354" s="5"/>
      <c r="Q354" s="5">
        <f t="shared" si="54"/>
        <v>1</v>
      </c>
      <c r="R354" s="7">
        <f t="shared" si="55"/>
        <v>35311</v>
      </c>
      <c r="S354" s="5">
        <f t="shared" si="56"/>
        <v>1</v>
      </c>
      <c r="T354" s="7">
        <f t="shared" si="57"/>
        <v>35311</v>
      </c>
    </row>
    <row r="355" spans="1:20">
      <c r="A355" s="23" t="s">
        <v>403</v>
      </c>
      <c r="B355" s="35" t="s">
        <v>360</v>
      </c>
      <c r="C355" s="36">
        <v>25673</v>
      </c>
      <c r="D355" s="6"/>
      <c r="E355" s="113">
        <v>959954045</v>
      </c>
      <c r="F355" s="116">
        <f t="shared" si="58"/>
        <v>37391.580454173643</v>
      </c>
      <c r="G355" s="117">
        <v>748116581</v>
      </c>
      <c r="H355" s="117">
        <f t="shared" si="62"/>
        <v>29140.208818603202</v>
      </c>
      <c r="I355" s="7"/>
      <c r="J355" s="10">
        <v>3.7023000000000001</v>
      </c>
      <c r="K355" s="117">
        <v>2769752</v>
      </c>
      <c r="L355" s="120">
        <f t="shared" si="63"/>
        <v>107.88579441436529</v>
      </c>
      <c r="M355" s="122">
        <f t="shared" si="59"/>
        <v>7481165.8100000005</v>
      </c>
      <c r="N355" s="116">
        <f t="shared" si="60"/>
        <v>4711413.8100000005</v>
      </c>
      <c r="O355" s="123">
        <f t="shared" si="61"/>
        <v>183.51629377166674</v>
      </c>
      <c r="P355" s="5"/>
      <c r="Q355" s="5">
        <f t="shared" si="54"/>
        <v>1</v>
      </c>
      <c r="R355" s="7">
        <f t="shared" si="55"/>
        <v>25673</v>
      </c>
      <c r="S355" s="5">
        <f t="shared" si="56"/>
        <v>1</v>
      </c>
      <c r="T355" s="7">
        <f t="shared" si="57"/>
        <v>25673</v>
      </c>
    </row>
    <row r="356" spans="1:20">
      <c r="A356" s="23" t="s">
        <v>388</v>
      </c>
      <c r="B356" s="35" t="s">
        <v>551</v>
      </c>
      <c r="C356" s="36">
        <v>655</v>
      </c>
      <c r="D356" s="6"/>
      <c r="E356" s="113">
        <v>16559618</v>
      </c>
      <c r="F356" s="116">
        <f t="shared" si="58"/>
        <v>25281.859541984733</v>
      </c>
      <c r="G356" s="117">
        <v>9729731</v>
      </c>
      <c r="H356" s="117">
        <f t="shared" si="62"/>
        <v>14854.551145038167</v>
      </c>
      <c r="I356" s="7"/>
      <c r="J356" s="10">
        <v>8.3539999999999992</v>
      </c>
      <c r="K356" s="117">
        <v>81282</v>
      </c>
      <c r="L356" s="120">
        <f t="shared" si="63"/>
        <v>124.09465648854962</v>
      </c>
      <c r="M356" s="122">
        <f t="shared" si="59"/>
        <v>97297.31</v>
      </c>
      <c r="N356" s="116">
        <f t="shared" si="60"/>
        <v>16015.309999999998</v>
      </c>
      <c r="O356" s="123">
        <f t="shared" si="61"/>
        <v>24.450854961832057</v>
      </c>
      <c r="P356" s="5"/>
      <c r="Q356" s="5">
        <f t="shared" si="54"/>
        <v>1</v>
      </c>
      <c r="R356" s="7">
        <f t="shared" si="55"/>
        <v>655</v>
      </c>
      <c r="S356" s="5">
        <f t="shared" si="56"/>
        <v>1</v>
      </c>
      <c r="T356" s="7">
        <f t="shared" si="57"/>
        <v>655</v>
      </c>
    </row>
    <row r="357" spans="1:20">
      <c r="A357" s="23" t="s">
        <v>549</v>
      </c>
      <c r="B357" s="35" t="s">
        <v>551</v>
      </c>
      <c r="C357" s="36">
        <v>12090</v>
      </c>
      <c r="D357" s="6"/>
      <c r="E357" s="113">
        <v>575140364</v>
      </c>
      <c r="F357" s="116">
        <f t="shared" si="58"/>
        <v>47571.576840363938</v>
      </c>
      <c r="G357" s="117">
        <v>359766550</v>
      </c>
      <c r="H357" s="117">
        <f t="shared" si="62"/>
        <v>29757.365591397851</v>
      </c>
      <c r="I357" s="7"/>
      <c r="J357" s="11">
        <v>7.5</v>
      </c>
      <c r="K357" s="117">
        <v>2698249</v>
      </c>
      <c r="L357" s="120">
        <f t="shared" si="63"/>
        <v>223.18023159636064</v>
      </c>
      <c r="M357" s="122">
        <f t="shared" si="59"/>
        <v>3597665.5</v>
      </c>
      <c r="N357" s="116">
        <f t="shared" si="60"/>
        <v>899416.5</v>
      </c>
      <c r="O357" s="123">
        <f t="shared" si="61"/>
        <v>74.393424317617871</v>
      </c>
      <c r="P357" s="5"/>
      <c r="Q357" s="5">
        <f t="shared" si="54"/>
        <v>1</v>
      </c>
      <c r="R357" s="7">
        <f t="shared" si="55"/>
        <v>12090</v>
      </c>
      <c r="S357" s="5">
        <f t="shared" si="56"/>
        <v>1</v>
      </c>
      <c r="T357" s="7">
        <f t="shared" si="57"/>
        <v>12090</v>
      </c>
    </row>
    <row r="358" spans="1:20">
      <c r="A358" s="23" t="s">
        <v>550</v>
      </c>
      <c r="B358" s="35" t="s">
        <v>551</v>
      </c>
      <c r="C358" s="36">
        <v>4024</v>
      </c>
      <c r="D358" s="6"/>
      <c r="E358" s="113">
        <v>263078023</v>
      </c>
      <c r="F358" s="116">
        <f t="shared" si="58"/>
        <v>65377.242296222663</v>
      </c>
      <c r="G358" s="117">
        <v>231651814</v>
      </c>
      <c r="H358" s="117">
        <f t="shared" si="62"/>
        <v>57567.548210735586</v>
      </c>
      <c r="I358" s="7"/>
      <c r="J358" s="10">
        <v>2</v>
      </c>
      <c r="K358" s="117">
        <v>463303</v>
      </c>
      <c r="L358" s="120">
        <f t="shared" si="63"/>
        <v>115.13494035785288</v>
      </c>
      <c r="M358" s="122">
        <f t="shared" si="59"/>
        <v>2316518.14</v>
      </c>
      <c r="N358" s="116">
        <f t="shared" si="60"/>
        <v>1853215.1400000001</v>
      </c>
      <c r="O358" s="123">
        <f t="shared" si="61"/>
        <v>460.54054174950301</v>
      </c>
      <c r="P358" s="5"/>
      <c r="Q358" s="5">
        <f t="shared" si="54"/>
        <v>1</v>
      </c>
      <c r="R358" s="7">
        <f t="shared" si="55"/>
        <v>4024</v>
      </c>
      <c r="S358" s="5">
        <f t="shared" si="56"/>
        <v>1</v>
      </c>
      <c r="T358" s="7">
        <f t="shared" si="57"/>
        <v>4024</v>
      </c>
    </row>
    <row r="359" spans="1:20">
      <c r="A359" s="23" t="s">
        <v>389</v>
      </c>
      <c r="B359" s="35" t="s">
        <v>552</v>
      </c>
      <c r="C359" s="36">
        <v>37029</v>
      </c>
      <c r="D359" s="6"/>
      <c r="E359" s="113">
        <v>1396592262</v>
      </c>
      <c r="F359" s="116">
        <f t="shared" si="58"/>
        <v>37716.175484080042</v>
      </c>
      <c r="G359" s="117">
        <v>913084084</v>
      </c>
      <c r="H359" s="117">
        <f t="shared" si="62"/>
        <v>24658.62118879797</v>
      </c>
      <c r="I359" s="7"/>
      <c r="J359" s="10">
        <v>7.3304999999999998</v>
      </c>
      <c r="K359" s="117">
        <v>6693362</v>
      </c>
      <c r="L359" s="120">
        <f t="shared" si="63"/>
        <v>180.75999891976559</v>
      </c>
      <c r="M359" s="122">
        <f t="shared" si="59"/>
        <v>9130840.8399999999</v>
      </c>
      <c r="N359" s="116">
        <f t="shared" si="60"/>
        <v>2437478.84</v>
      </c>
      <c r="O359" s="123">
        <f t="shared" si="61"/>
        <v>65.826212968214094</v>
      </c>
      <c r="P359" s="5"/>
      <c r="Q359" s="5">
        <f t="shared" si="54"/>
        <v>1</v>
      </c>
      <c r="R359" s="7">
        <f t="shared" si="55"/>
        <v>37029</v>
      </c>
      <c r="S359" s="5">
        <f t="shared" si="56"/>
        <v>1</v>
      </c>
      <c r="T359" s="7">
        <f t="shared" si="57"/>
        <v>37029</v>
      </c>
    </row>
    <row r="360" spans="1:20">
      <c r="A360" s="23" t="s">
        <v>553</v>
      </c>
      <c r="B360" s="35" t="s">
        <v>552</v>
      </c>
      <c r="C360" s="36">
        <v>71776</v>
      </c>
      <c r="D360" s="6"/>
      <c r="E360" s="113">
        <v>3071809480</v>
      </c>
      <c r="F360" s="116">
        <f t="shared" si="58"/>
        <v>42797.167298261258</v>
      </c>
      <c r="G360" s="117">
        <v>2362559545</v>
      </c>
      <c r="H360" s="117">
        <f t="shared" si="62"/>
        <v>32915.731511925995</v>
      </c>
      <c r="I360" s="7"/>
      <c r="J360" s="10">
        <v>3.84</v>
      </c>
      <c r="K360" s="117">
        <v>9072228</v>
      </c>
      <c r="L360" s="120">
        <f t="shared" si="63"/>
        <v>126.39639991083371</v>
      </c>
      <c r="M360" s="122">
        <f t="shared" si="59"/>
        <v>23625595.449999999</v>
      </c>
      <c r="N360" s="116">
        <f t="shared" si="60"/>
        <v>14553367.449999999</v>
      </c>
      <c r="O360" s="123">
        <f t="shared" si="61"/>
        <v>202.76091520842621</v>
      </c>
      <c r="P360" s="5"/>
      <c r="Q360" s="5">
        <f t="shared" si="54"/>
        <v>1</v>
      </c>
      <c r="R360" s="7">
        <f t="shared" si="55"/>
        <v>71776</v>
      </c>
      <c r="S360" s="5">
        <f t="shared" si="56"/>
        <v>1</v>
      </c>
      <c r="T360" s="7">
        <f t="shared" si="57"/>
        <v>71776</v>
      </c>
    </row>
    <row r="361" spans="1:20">
      <c r="A361" s="23" t="s">
        <v>554</v>
      </c>
      <c r="B361" s="35" t="s">
        <v>552</v>
      </c>
      <c r="C361" s="36">
        <v>601</v>
      </c>
      <c r="D361" s="6"/>
      <c r="E361" s="113">
        <v>27589577</v>
      </c>
      <c r="F361" s="116">
        <f t="shared" si="58"/>
        <v>45906.118136439269</v>
      </c>
      <c r="G361" s="117">
        <v>22299532</v>
      </c>
      <c r="H361" s="117">
        <f t="shared" si="62"/>
        <v>37104.046589018304</v>
      </c>
      <c r="I361" s="7"/>
      <c r="J361" s="10">
        <v>0.94199999999999995</v>
      </c>
      <c r="K361" s="117">
        <v>21006</v>
      </c>
      <c r="L361" s="120">
        <f t="shared" si="63"/>
        <v>34.951747088186359</v>
      </c>
      <c r="M361" s="122">
        <f t="shared" si="59"/>
        <v>222995.32</v>
      </c>
      <c r="N361" s="116">
        <f t="shared" si="60"/>
        <v>201989.32</v>
      </c>
      <c r="O361" s="123">
        <f t="shared" si="61"/>
        <v>336.08871880199666</v>
      </c>
      <c r="P361" s="5"/>
      <c r="Q361" s="5">
        <f t="shared" si="54"/>
        <v>1</v>
      </c>
      <c r="R361" s="7">
        <f t="shared" si="55"/>
        <v>601</v>
      </c>
      <c r="S361" s="5">
        <f t="shared" si="56"/>
        <v>1</v>
      </c>
      <c r="T361" s="7">
        <f t="shared" si="57"/>
        <v>601</v>
      </c>
    </row>
    <row r="362" spans="1:20">
      <c r="A362" s="23" t="s">
        <v>404</v>
      </c>
      <c r="B362" s="35" t="s">
        <v>405</v>
      </c>
      <c r="C362" s="36">
        <v>2273</v>
      </c>
      <c r="D362" s="6"/>
      <c r="E362" s="113">
        <v>61605768</v>
      </c>
      <c r="F362" s="116">
        <f t="shared" si="58"/>
        <v>27103.285525736912</v>
      </c>
      <c r="G362" s="117">
        <v>40876122</v>
      </c>
      <c r="H362" s="117">
        <f t="shared" si="62"/>
        <v>17983.335679718435</v>
      </c>
      <c r="I362" s="7"/>
      <c r="J362" s="10">
        <v>2.375</v>
      </c>
      <c r="K362" s="117">
        <v>97080</v>
      </c>
      <c r="L362" s="120">
        <f t="shared" si="63"/>
        <v>42.710074791025079</v>
      </c>
      <c r="M362" s="122">
        <f t="shared" si="59"/>
        <v>408761.22000000003</v>
      </c>
      <c r="N362" s="116">
        <f t="shared" si="60"/>
        <v>311681.22000000003</v>
      </c>
      <c r="O362" s="123">
        <f t="shared" si="61"/>
        <v>137.12328200615929</v>
      </c>
      <c r="P362" s="5"/>
      <c r="Q362" s="5">
        <f t="shared" si="54"/>
        <v>1</v>
      </c>
      <c r="R362" s="7">
        <f t="shared" si="55"/>
        <v>2273</v>
      </c>
      <c r="S362" s="5">
        <f t="shared" si="56"/>
        <v>1</v>
      </c>
      <c r="T362" s="7">
        <f t="shared" si="57"/>
        <v>2273</v>
      </c>
    </row>
    <row r="363" spans="1:20">
      <c r="A363" s="23" t="s">
        <v>406</v>
      </c>
      <c r="B363" s="35" t="s">
        <v>405</v>
      </c>
      <c r="C363" s="36">
        <v>758</v>
      </c>
      <c r="D363" s="6"/>
      <c r="E363" s="113">
        <v>10679320</v>
      </c>
      <c r="F363" s="116">
        <f t="shared" si="58"/>
        <v>14088.812664907651</v>
      </c>
      <c r="G363" s="117">
        <v>5606321</v>
      </c>
      <c r="H363" s="117">
        <f t="shared" si="62"/>
        <v>7396.2018469656996</v>
      </c>
      <c r="I363" s="7"/>
      <c r="J363" s="10">
        <v>0.87</v>
      </c>
      <c r="K363" s="117">
        <v>4877</v>
      </c>
      <c r="L363" s="120">
        <f t="shared" si="63"/>
        <v>6.4340369393139838</v>
      </c>
      <c r="M363" s="122">
        <f t="shared" si="59"/>
        <v>56063.21</v>
      </c>
      <c r="N363" s="116">
        <f t="shared" si="60"/>
        <v>51186.21</v>
      </c>
      <c r="O363" s="123">
        <f t="shared" si="61"/>
        <v>67.527981530343013</v>
      </c>
      <c r="P363" s="5"/>
      <c r="Q363" s="5">
        <f t="shared" si="54"/>
        <v>1</v>
      </c>
      <c r="R363" s="7">
        <f t="shared" si="55"/>
        <v>758</v>
      </c>
      <c r="S363" s="5">
        <f t="shared" si="56"/>
        <v>1</v>
      </c>
      <c r="T363" s="7">
        <f t="shared" si="57"/>
        <v>758</v>
      </c>
    </row>
    <row r="364" spans="1:20">
      <c r="A364" s="23" t="s">
        <v>407</v>
      </c>
      <c r="B364" s="35" t="s">
        <v>405</v>
      </c>
      <c r="C364" s="36">
        <v>854</v>
      </c>
      <c r="D364" s="6"/>
      <c r="E364" s="113">
        <v>10376747</v>
      </c>
      <c r="F364" s="116">
        <f t="shared" si="58"/>
        <v>12150.757611241217</v>
      </c>
      <c r="G364" s="117">
        <v>5503112</v>
      </c>
      <c r="H364" s="117">
        <f t="shared" si="62"/>
        <v>6443.9250585480095</v>
      </c>
      <c r="I364" s="98" t="s">
        <v>528</v>
      </c>
      <c r="J364" s="10"/>
      <c r="K364" s="117"/>
      <c r="L364" s="120"/>
      <c r="M364" s="122">
        <f t="shared" si="59"/>
        <v>55031.12</v>
      </c>
      <c r="N364" s="116">
        <f t="shared" si="60"/>
        <v>55031.12</v>
      </c>
      <c r="O364" s="123">
        <f t="shared" si="61"/>
        <v>64.439250585480096</v>
      </c>
      <c r="P364" s="5"/>
      <c r="Q364" s="5">
        <f t="shared" si="54"/>
        <v>1</v>
      </c>
      <c r="R364" s="7">
        <f t="shared" si="55"/>
        <v>854</v>
      </c>
      <c r="S364" s="5">
        <f t="shared" si="56"/>
        <v>0</v>
      </c>
      <c r="T364" s="7">
        <f t="shared" si="57"/>
        <v>0</v>
      </c>
    </row>
    <row r="365" spans="1:20">
      <c r="A365" s="23" t="s">
        <v>408</v>
      </c>
      <c r="B365" s="35" t="s">
        <v>405</v>
      </c>
      <c r="C365" s="36">
        <v>832</v>
      </c>
      <c r="D365" s="6"/>
      <c r="E365" s="113">
        <v>11659552</v>
      </c>
      <c r="F365" s="116">
        <f t="shared" si="58"/>
        <v>14013.884615384615</v>
      </c>
      <c r="G365" s="117">
        <v>7524543</v>
      </c>
      <c r="H365" s="117">
        <f t="shared" si="62"/>
        <v>9043.921875</v>
      </c>
      <c r="I365" s="7"/>
      <c r="J365" s="10">
        <v>4.25</v>
      </c>
      <c r="K365" s="117">
        <v>31979</v>
      </c>
      <c r="L365" s="120">
        <f t="shared" si="63"/>
        <v>38.43629807692308</v>
      </c>
      <c r="M365" s="122">
        <f t="shared" si="59"/>
        <v>75245.430000000008</v>
      </c>
      <c r="N365" s="116">
        <f t="shared" si="60"/>
        <v>43266.430000000008</v>
      </c>
      <c r="O365" s="123">
        <f t="shared" si="61"/>
        <v>52.002920673076929</v>
      </c>
      <c r="P365" s="5"/>
      <c r="Q365" s="5">
        <f t="shared" si="54"/>
        <v>1</v>
      </c>
      <c r="R365" s="7">
        <f t="shared" si="55"/>
        <v>832</v>
      </c>
      <c r="S365" s="5">
        <f t="shared" si="56"/>
        <v>1</v>
      </c>
      <c r="T365" s="7">
        <f t="shared" si="57"/>
        <v>832</v>
      </c>
    </row>
    <row r="366" spans="1:20">
      <c r="A366" s="23" t="s">
        <v>409</v>
      </c>
      <c r="B366" s="35" t="s">
        <v>405</v>
      </c>
      <c r="C366" s="36">
        <v>3950</v>
      </c>
      <c r="D366" s="6"/>
      <c r="E366" s="113">
        <v>79609082</v>
      </c>
      <c r="F366" s="116">
        <f t="shared" si="58"/>
        <v>20154.197974683546</v>
      </c>
      <c r="G366" s="117">
        <v>62863093</v>
      </c>
      <c r="H366" s="117">
        <f t="shared" si="62"/>
        <v>15914.707088607594</v>
      </c>
      <c r="I366" s="7"/>
      <c r="J366" s="10">
        <v>5.6580000000000004</v>
      </c>
      <c r="K366" s="117">
        <v>355679</v>
      </c>
      <c r="L366" s="120">
        <f t="shared" si="63"/>
        <v>90.045316455696209</v>
      </c>
      <c r="M366" s="122">
        <f t="shared" si="59"/>
        <v>628630.93000000005</v>
      </c>
      <c r="N366" s="116">
        <f t="shared" si="60"/>
        <v>272951.93000000005</v>
      </c>
      <c r="O366" s="123">
        <f t="shared" si="61"/>
        <v>69.101754430379756</v>
      </c>
      <c r="P366" s="5"/>
      <c r="Q366" s="5">
        <f t="shared" si="54"/>
        <v>1</v>
      </c>
      <c r="R366" s="7">
        <f t="shared" si="55"/>
        <v>3950</v>
      </c>
      <c r="S366" s="5">
        <f t="shared" si="56"/>
        <v>1</v>
      </c>
      <c r="T366" s="7">
        <f t="shared" si="57"/>
        <v>3950</v>
      </c>
    </row>
    <row r="367" spans="1:20">
      <c r="A367" s="23" t="s">
        <v>410</v>
      </c>
      <c r="B367" s="35" t="s">
        <v>411</v>
      </c>
      <c r="C367" s="36">
        <v>670</v>
      </c>
      <c r="D367" s="6"/>
      <c r="E367" s="113">
        <v>16928617</v>
      </c>
      <c r="F367" s="116">
        <f t="shared" si="58"/>
        <v>25266.592537313434</v>
      </c>
      <c r="G367" s="117">
        <v>9626856</v>
      </c>
      <c r="H367" s="117">
        <f t="shared" si="62"/>
        <v>14368.441791044776</v>
      </c>
      <c r="I367" s="7"/>
      <c r="J367" s="10">
        <v>4.25</v>
      </c>
      <c r="K367" s="117">
        <v>40914</v>
      </c>
      <c r="L367" s="120">
        <f t="shared" si="63"/>
        <v>61.065671641791042</v>
      </c>
      <c r="M367" s="122">
        <f t="shared" si="59"/>
        <v>96268.56</v>
      </c>
      <c r="N367" s="116">
        <f t="shared" si="60"/>
        <v>55354.559999999998</v>
      </c>
      <c r="O367" s="123">
        <f t="shared" si="61"/>
        <v>82.618746268656707</v>
      </c>
      <c r="P367" s="5"/>
      <c r="Q367" s="5">
        <f t="shared" si="54"/>
        <v>1</v>
      </c>
      <c r="R367" s="7">
        <f t="shared" si="55"/>
        <v>670</v>
      </c>
      <c r="S367" s="5">
        <f t="shared" si="56"/>
        <v>1</v>
      </c>
      <c r="T367" s="7">
        <f t="shared" si="57"/>
        <v>670</v>
      </c>
    </row>
    <row r="368" spans="1:20">
      <c r="A368" s="23" t="s">
        <v>412</v>
      </c>
      <c r="B368" s="35" t="s">
        <v>411</v>
      </c>
      <c r="C368" s="36">
        <v>6481</v>
      </c>
      <c r="D368" s="6"/>
      <c r="E368" s="113">
        <v>164834862</v>
      </c>
      <c r="F368" s="116">
        <f t="shared" si="58"/>
        <v>25433.553772565963</v>
      </c>
      <c r="G368" s="117">
        <v>91453543</v>
      </c>
      <c r="H368" s="117">
        <f t="shared" si="62"/>
        <v>14111.023453170807</v>
      </c>
      <c r="I368" s="7"/>
      <c r="J368" s="10">
        <v>4.82</v>
      </c>
      <c r="K368" s="117">
        <v>440806</v>
      </c>
      <c r="L368" s="120">
        <f t="shared" si="63"/>
        <v>68.01512112328345</v>
      </c>
      <c r="M368" s="122">
        <f t="shared" si="59"/>
        <v>914535.43</v>
      </c>
      <c r="N368" s="116">
        <f t="shared" si="60"/>
        <v>473729.43000000005</v>
      </c>
      <c r="O368" s="123">
        <f t="shared" si="61"/>
        <v>73.095113408424638</v>
      </c>
      <c r="P368" s="5"/>
      <c r="Q368" s="5">
        <f t="shared" si="54"/>
        <v>1</v>
      </c>
      <c r="R368" s="7">
        <f t="shared" si="55"/>
        <v>6481</v>
      </c>
      <c r="S368" s="5">
        <f t="shared" si="56"/>
        <v>1</v>
      </c>
      <c r="T368" s="7">
        <f t="shared" si="57"/>
        <v>6481</v>
      </c>
    </row>
    <row r="369" spans="1:20">
      <c r="A369" s="23" t="s">
        <v>413</v>
      </c>
      <c r="B369" s="35" t="s">
        <v>414</v>
      </c>
      <c r="C369" s="36">
        <v>7259</v>
      </c>
      <c r="D369" s="6"/>
      <c r="E369" s="113">
        <v>223895645</v>
      </c>
      <c r="F369" s="116">
        <f t="shared" si="58"/>
        <v>30843.868990219038</v>
      </c>
      <c r="G369" s="117">
        <v>126479728</v>
      </c>
      <c r="H369" s="117">
        <f t="shared" si="62"/>
        <v>17423.850117096019</v>
      </c>
      <c r="I369" s="7"/>
      <c r="J369" s="10">
        <v>4.79</v>
      </c>
      <c r="K369" s="117">
        <v>605837</v>
      </c>
      <c r="L369" s="120">
        <f t="shared" si="63"/>
        <v>83.460118473618962</v>
      </c>
      <c r="M369" s="122">
        <f t="shared" si="59"/>
        <v>1264797.28</v>
      </c>
      <c r="N369" s="116">
        <f t="shared" si="60"/>
        <v>658960.28</v>
      </c>
      <c r="O369" s="123">
        <f t="shared" si="61"/>
        <v>90.778382697341229</v>
      </c>
      <c r="P369" s="5"/>
      <c r="Q369" s="5">
        <f t="shared" si="54"/>
        <v>1</v>
      </c>
      <c r="R369" s="7">
        <f t="shared" si="55"/>
        <v>7259</v>
      </c>
      <c r="S369" s="5">
        <f t="shared" si="56"/>
        <v>1</v>
      </c>
      <c r="T369" s="7">
        <f t="shared" si="57"/>
        <v>7259</v>
      </c>
    </row>
    <row r="370" spans="1:20">
      <c r="A370" s="23" t="s">
        <v>415</v>
      </c>
      <c r="B370" s="35" t="s">
        <v>416</v>
      </c>
      <c r="C370" s="36">
        <v>2121</v>
      </c>
      <c r="D370" s="6"/>
      <c r="E370" s="113">
        <v>43803408</v>
      </c>
      <c r="F370" s="116">
        <f t="shared" si="58"/>
        <v>20652.243281471005</v>
      </c>
      <c r="G370" s="117">
        <v>19783606</v>
      </c>
      <c r="H370" s="117">
        <f t="shared" si="62"/>
        <v>9327.4898632720415</v>
      </c>
      <c r="I370" s="7"/>
      <c r="J370" s="10">
        <v>2.4790000000000001</v>
      </c>
      <c r="K370" s="117">
        <v>49043</v>
      </c>
      <c r="L370" s="120">
        <f t="shared" si="63"/>
        <v>23.122583686940121</v>
      </c>
      <c r="M370" s="122">
        <f t="shared" si="59"/>
        <v>197836.06</v>
      </c>
      <c r="N370" s="116">
        <f t="shared" si="60"/>
        <v>148793.06</v>
      </c>
      <c r="O370" s="123">
        <f t="shared" si="61"/>
        <v>70.15231494578029</v>
      </c>
      <c r="P370" s="5"/>
      <c r="Q370" s="5">
        <f t="shared" si="54"/>
        <v>1</v>
      </c>
      <c r="R370" s="7">
        <f t="shared" si="55"/>
        <v>2121</v>
      </c>
      <c r="S370" s="5">
        <f t="shared" si="56"/>
        <v>1</v>
      </c>
      <c r="T370" s="7">
        <f t="shared" si="57"/>
        <v>2121</v>
      </c>
    </row>
    <row r="371" spans="1:20">
      <c r="A371" s="23" t="s">
        <v>417</v>
      </c>
      <c r="B371" s="35" t="s">
        <v>416</v>
      </c>
      <c r="C371" s="36">
        <v>262</v>
      </c>
      <c r="D371" s="6"/>
      <c r="E371" s="113">
        <v>3033971</v>
      </c>
      <c r="F371" s="116">
        <f t="shared" si="58"/>
        <v>11580.041984732825</v>
      </c>
      <c r="G371" s="117">
        <v>1499256</v>
      </c>
      <c r="H371" s="117">
        <f t="shared" si="62"/>
        <v>5722.3511450381675</v>
      </c>
      <c r="I371" s="98" t="s">
        <v>528</v>
      </c>
      <c r="J371" s="10"/>
      <c r="K371" s="117"/>
      <c r="L371" s="120"/>
      <c r="M371" s="122">
        <f t="shared" si="59"/>
        <v>14992.56</v>
      </c>
      <c r="N371" s="116">
        <f t="shared" si="60"/>
        <v>14992.56</v>
      </c>
      <c r="O371" s="123">
        <f t="shared" si="61"/>
        <v>57.223511450381679</v>
      </c>
      <c r="P371" s="5"/>
      <c r="Q371" s="5">
        <f t="shared" si="54"/>
        <v>1</v>
      </c>
      <c r="R371" s="7">
        <f t="shared" si="55"/>
        <v>262</v>
      </c>
      <c r="S371" s="5">
        <f t="shared" si="56"/>
        <v>0</v>
      </c>
      <c r="T371" s="7">
        <f t="shared" si="57"/>
        <v>0</v>
      </c>
    </row>
    <row r="372" spans="1:20">
      <c r="A372" s="23" t="s">
        <v>418</v>
      </c>
      <c r="B372" s="35" t="s">
        <v>416</v>
      </c>
      <c r="C372" s="36">
        <v>178</v>
      </c>
      <c r="D372" s="6"/>
      <c r="E372" s="113">
        <v>3317841</v>
      </c>
      <c r="F372" s="116">
        <f t="shared" si="58"/>
        <v>18639.556179775282</v>
      </c>
      <c r="G372" s="117">
        <v>2042543</v>
      </c>
      <c r="H372" s="117">
        <f t="shared" si="62"/>
        <v>11474.960674157302</v>
      </c>
      <c r="I372" s="7"/>
      <c r="J372" s="10">
        <v>1</v>
      </c>
      <c r="K372" s="117">
        <v>2042</v>
      </c>
      <c r="L372" s="120">
        <f t="shared" si="63"/>
        <v>11.47191011235955</v>
      </c>
      <c r="M372" s="122">
        <f t="shared" si="59"/>
        <v>20425.43</v>
      </c>
      <c r="N372" s="116">
        <f t="shared" si="60"/>
        <v>18383.43</v>
      </c>
      <c r="O372" s="123">
        <f t="shared" si="61"/>
        <v>103.27769662921348</v>
      </c>
      <c r="P372" s="5"/>
      <c r="Q372" s="5">
        <f t="shared" si="54"/>
        <v>1</v>
      </c>
      <c r="R372" s="7">
        <f t="shared" si="55"/>
        <v>178</v>
      </c>
      <c r="S372" s="5">
        <f t="shared" si="56"/>
        <v>1</v>
      </c>
      <c r="T372" s="7">
        <f t="shared" si="57"/>
        <v>178</v>
      </c>
    </row>
    <row r="373" spans="1:20">
      <c r="A373" s="23" t="s">
        <v>419</v>
      </c>
      <c r="B373" s="35" t="s">
        <v>420</v>
      </c>
      <c r="C373" s="36">
        <v>63306</v>
      </c>
      <c r="D373" s="6"/>
      <c r="E373" s="113">
        <v>2897666945</v>
      </c>
      <c r="F373" s="116">
        <f t="shared" si="58"/>
        <v>45772.390373740243</v>
      </c>
      <c r="G373" s="117">
        <v>2087149195</v>
      </c>
      <c r="H373" s="117">
        <f t="shared" si="62"/>
        <v>32969.21610905759</v>
      </c>
      <c r="I373" s="7"/>
      <c r="J373" s="10">
        <v>6.5804</v>
      </c>
      <c r="K373" s="117">
        <v>13734276</v>
      </c>
      <c r="L373" s="120">
        <f t="shared" si="63"/>
        <v>216.95062079423752</v>
      </c>
      <c r="M373" s="122">
        <f t="shared" si="59"/>
        <v>20871491.949999999</v>
      </c>
      <c r="N373" s="116">
        <f t="shared" si="60"/>
        <v>7137215.9499999993</v>
      </c>
      <c r="O373" s="123">
        <f t="shared" si="61"/>
        <v>112.74154029633841</v>
      </c>
      <c r="P373" s="5"/>
      <c r="Q373" s="5">
        <f t="shared" si="54"/>
        <v>1</v>
      </c>
      <c r="R373" s="7">
        <f t="shared" si="55"/>
        <v>63306</v>
      </c>
      <c r="S373" s="5">
        <f t="shared" si="56"/>
        <v>1</v>
      </c>
      <c r="T373" s="7">
        <f t="shared" si="57"/>
        <v>63306</v>
      </c>
    </row>
    <row r="374" spans="1:20">
      <c r="A374" s="23" t="s">
        <v>421</v>
      </c>
      <c r="B374" s="35" t="s">
        <v>420</v>
      </c>
      <c r="C374" s="36">
        <v>2680</v>
      </c>
      <c r="D374" s="6"/>
      <c r="E374" s="113">
        <v>546720193</v>
      </c>
      <c r="F374" s="116">
        <f t="shared" si="58"/>
        <v>204000.07201492536</v>
      </c>
      <c r="G374" s="117">
        <v>510791317</v>
      </c>
      <c r="H374" s="117">
        <f t="shared" si="62"/>
        <v>190593.77499999999</v>
      </c>
      <c r="I374" s="7"/>
      <c r="J374" s="10">
        <v>3.726</v>
      </c>
      <c r="K374" s="117">
        <v>1903208</v>
      </c>
      <c r="L374" s="120">
        <f t="shared" si="63"/>
        <v>710.15223880597011</v>
      </c>
      <c r="M374" s="122">
        <f t="shared" si="59"/>
        <v>5107913.17</v>
      </c>
      <c r="N374" s="116">
        <f t="shared" si="60"/>
        <v>3204705.17</v>
      </c>
      <c r="O374" s="123">
        <f t="shared" si="61"/>
        <v>1195.7855111940298</v>
      </c>
      <c r="P374" s="5"/>
      <c r="Q374" s="5">
        <f t="shared" si="54"/>
        <v>1</v>
      </c>
      <c r="R374" s="7">
        <f t="shared" si="55"/>
        <v>2680</v>
      </c>
      <c r="S374" s="5">
        <f t="shared" si="56"/>
        <v>1</v>
      </c>
      <c r="T374" s="7">
        <f t="shared" si="57"/>
        <v>2680</v>
      </c>
    </row>
    <row r="375" spans="1:20">
      <c r="A375" s="23" t="s">
        <v>462</v>
      </c>
      <c r="B375" s="35" t="s">
        <v>420</v>
      </c>
      <c r="C375" s="36">
        <v>11336</v>
      </c>
      <c r="D375" s="6" t="s">
        <v>527</v>
      </c>
      <c r="E375" s="113"/>
      <c r="F375" s="116"/>
      <c r="G375" s="117"/>
      <c r="H375" s="117"/>
      <c r="I375" s="98" t="s">
        <v>528</v>
      </c>
      <c r="J375" s="10"/>
      <c r="K375" s="117"/>
      <c r="L375" s="120"/>
      <c r="M375" s="122">
        <f t="shared" si="59"/>
        <v>0</v>
      </c>
      <c r="N375" s="116">
        <f t="shared" si="60"/>
        <v>0</v>
      </c>
      <c r="O375" s="123">
        <f t="shared" si="61"/>
        <v>0</v>
      </c>
      <c r="P375" s="5"/>
      <c r="Q375" s="5">
        <f t="shared" si="54"/>
        <v>0</v>
      </c>
      <c r="R375" s="7">
        <f t="shared" si="55"/>
        <v>0</v>
      </c>
      <c r="S375" s="5">
        <f t="shared" si="56"/>
        <v>0</v>
      </c>
      <c r="T375" s="7">
        <f t="shared" si="57"/>
        <v>0</v>
      </c>
    </row>
    <row r="376" spans="1:20">
      <c r="A376" s="23" t="s">
        <v>463</v>
      </c>
      <c r="B376" s="35" t="s">
        <v>420</v>
      </c>
      <c r="C376" s="36">
        <v>17973</v>
      </c>
      <c r="D376" s="6"/>
      <c r="E376" s="113">
        <v>773075553</v>
      </c>
      <c r="F376" s="116">
        <f t="shared" si="58"/>
        <v>43013.161575696882</v>
      </c>
      <c r="G376" s="117">
        <v>512190637</v>
      </c>
      <c r="H376" s="117">
        <f t="shared" si="62"/>
        <v>28497.782061981863</v>
      </c>
      <c r="I376" s="7"/>
      <c r="J376" s="10">
        <v>6.2</v>
      </c>
      <c r="K376" s="117">
        <v>3175581</v>
      </c>
      <c r="L376" s="120">
        <f t="shared" si="63"/>
        <v>176.68619596060759</v>
      </c>
      <c r="M376" s="122">
        <f t="shared" si="59"/>
        <v>5121906.37</v>
      </c>
      <c r="N376" s="116">
        <f t="shared" si="60"/>
        <v>1946325.37</v>
      </c>
      <c r="O376" s="123">
        <f t="shared" si="61"/>
        <v>108.29162465921104</v>
      </c>
      <c r="P376" s="5"/>
      <c r="Q376" s="5">
        <f t="shared" si="54"/>
        <v>1</v>
      </c>
      <c r="R376" s="7">
        <f t="shared" si="55"/>
        <v>17973</v>
      </c>
      <c r="S376" s="5">
        <f t="shared" si="56"/>
        <v>1</v>
      </c>
      <c r="T376" s="7">
        <f t="shared" si="57"/>
        <v>17973</v>
      </c>
    </row>
    <row r="377" spans="1:20">
      <c r="A377" s="23" t="s">
        <v>423</v>
      </c>
      <c r="B377" s="35" t="s">
        <v>420</v>
      </c>
      <c r="C377" s="36">
        <v>17484</v>
      </c>
      <c r="D377" s="6"/>
      <c r="E377" s="113">
        <v>516874524</v>
      </c>
      <c r="F377" s="116">
        <f t="shared" si="58"/>
        <v>29562.715854495538</v>
      </c>
      <c r="G377" s="117">
        <v>367271813</v>
      </c>
      <c r="H377" s="117">
        <f t="shared" si="62"/>
        <v>21006.166380690916</v>
      </c>
      <c r="I377" s="7"/>
      <c r="J377" s="10">
        <v>7.101</v>
      </c>
      <c r="K377" s="117">
        <v>2607997</v>
      </c>
      <c r="L377" s="120">
        <f t="shared" si="63"/>
        <v>149.16477922672158</v>
      </c>
      <c r="M377" s="122">
        <f t="shared" si="59"/>
        <v>3672718.13</v>
      </c>
      <c r="N377" s="116">
        <f t="shared" si="60"/>
        <v>1064721.1299999999</v>
      </c>
      <c r="O377" s="123">
        <f t="shared" si="61"/>
        <v>60.896884580187596</v>
      </c>
      <c r="P377" s="5"/>
      <c r="Q377" s="5">
        <f t="shared" si="54"/>
        <v>1</v>
      </c>
      <c r="R377" s="7">
        <f t="shared" si="55"/>
        <v>17484</v>
      </c>
      <c r="S377" s="5">
        <f t="shared" si="56"/>
        <v>1</v>
      </c>
      <c r="T377" s="7">
        <f t="shared" si="57"/>
        <v>17484</v>
      </c>
    </row>
    <row r="378" spans="1:20">
      <c r="A378" s="23" t="s">
        <v>424</v>
      </c>
      <c r="B378" s="35" t="s">
        <v>420</v>
      </c>
      <c r="C378" s="36">
        <v>11539</v>
      </c>
      <c r="D378" s="6"/>
      <c r="E378" s="113">
        <v>368062426</v>
      </c>
      <c r="F378" s="116">
        <f t="shared" si="58"/>
        <v>31897.255048097755</v>
      </c>
      <c r="G378" s="117">
        <v>259011775</v>
      </c>
      <c r="H378" s="117">
        <f t="shared" si="62"/>
        <v>22446.639656816016</v>
      </c>
      <c r="I378" s="7"/>
      <c r="J378" s="10">
        <v>5.5537000000000001</v>
      </c>
      <c r="K378" s="117">
        <v>1438473</v>
      </c>
      <c r="L378" s="120">
        <f t="shared" si="63"/>
        <v>124.66184244735246</v>
      </c>
      <c r="M378" s="122">
        <f t="shared" si="59"/>
        <v>2590117.75</v>
      </c>
      <c r="N378" s="116">
        <f t="shared" si="60"/>
        <v>1151644.75</v>
      </c>
      <c r="O378" s="123">
        <f t="shared" si="61"/>
        <v>99.804554120807694</v>
      </c>
      <c r="P378" s="5"/>
      <c r="Q378" s="5">
        <f t="shared" si="54"/>
        <v>1</v>
      </c>
      <c r="R378" s="7">
        <f t="shared" si="55"/>
        <v>11539</v>
      </c>
      <c r="S378" s="5">
        <f t="shared" si="56"/>
        <v>1</v>
      </c>
      <c r="T378" s="7">
        <f t="shared" si="57"/>
        <v>11539</v>
      </c>
    </row>
    <row r="379" spans="1:20">
      <c r="A379" s="23" t="s">
        <v>425</v>
      </c>
      <c r="B379" s="35" t="s">
        <v>420</v>
      </c>
      <c r="C379" s="36">
        <v>2438</v>
      </c>
      <c r="D379" s="6"/>
      <c r="E379" s="113">
        <v>61059904</v>
      </c>
      <c r="F379" s="116">
        <f t="shared" si="58"/>
        <v>25045.079573420837</v>
      </c>
      <c r="G379" s="117">
        <v>39696629</v>
      </c>
      <c r="H379" s="117">
        <f t="shared" si="62"/>
        <v>16282.45652173913</v>
      </c>
      <c r="I379" s="9"/>
      <c r="J379" s="10">
        <v>4.9222000000000001</v>
      </c>
      <c r="K379" s="117">
        <v>195394</v>
      </c>
      <c r="L379" s="120">
        <f t="shared" si="63"/>
        <v>80.145200984413449</v>
      </c>
      <c r="M379" s="122">
        <f t="shared" si="59"/>
        <v>396966.29000000004</v>
      </c>
      <c r="N379" s="116">
        <f t="shared" si="60"/>
        <v>201572.29000000004</v>
      </c>
      <c r="O379" s="123">
        <f t="shared" si="61"/>
        <v>82.679364232977861</v>
      </c>
      <c r="P379" s="5"/>
      <c r="Q379" s="5">
        <f t="shared" si="54"/>
        <v>1</v>
      </c>
      <c r="R379" s="7">
        <f t="shared" si="55"/>
        <v>2438</v>
      </c>
      <c r="S379" s="5">
        <f t="shared" si="56"/>
        <v>1</v>
      </c>
      <c r="T379" s="7">
        <f t="shared" si="57"/>
        <v>2438</v>
      </c>
    </row>
    <row r="380" spans="1:20">
      <c r="A380" s="23" t="s">
        <v>426</v>
      </c>
      <c r="B380" s="35" t="s">
        <v>420</v>
      </c>
      <c r="C380" s="36">
        <v>18393</v>
      </c>
      <c r="D380" s="6"/>
      <c r="E380" s="113">
        <v>1231514730</v>
      </c>
      <c r="F380" s="116">
        <f t="shared" si="58"/>
        <v>66955.620616538901</v>
      </c>
      <c r="G380" s="117">
        <v>1003895819</v>
      </c>
      <c r="H380" s="117">
        <f t="shared" si="62"/>
        <v>54580.319632468876</v>
      </c>
      <c r="I380" s="7"/>
      <c r="J380" s="10">
        <v>5.5683999999999996</v>
      </c>
      <c r="K380" s="117">
        <v>5590093</v>
      </c>
      <c r="L380" s="120">
        <f t="shared" si="63"/>
        <v>303.92502582504216</v>
      </c>
      <c r="M380" s="122">
        <f t="shared" si="59"/>
        <v>10038958.189999999</v>
      </c>
      <c r="N380" s="116">
        <f t="shared" si="60"/>
        <v>4448865.1899999995</v>
      </c>
      <c r="O380" s="123">
        <f t="shared" si="61"/>
        <v>241.87817049964659</v>
      </c>
      <c r="P380" s="5"/>
      <c r="Q380" s="5">
        <f t="shared" si="54"/>
        <v>1</v>
      </c>
      <c r="R380" s="7">
        <f t="shared" si="55"/>
        <v>18393</v>
      </c>
      <c r="S380" s="5">
        <f t="shared" si="56"/>
        <v>1</v>
      </c>
      <c r="T380" s="7">
        <f t="shared" si="57"/>
        <v>18393</v>
      </c>
    </row>
    <row r="381" spans="1:20">
      <c r="A381" s="23" t="s">
        <v>427</v>
      </c>
      <c r="B381" s="35" t="s">
        <v>420</v>
      </c>
      <c r="C381" s="36">
        <v>1070</v>
      </c>
      <c r="D381" s="6"/>
      <c r="E381" s="113">
        <v>39616235</v>
      </c>
      <c r="F381" s="116">
        <f t="shared" si="58"/>
        <v>37024.518691588783</v>
      </c>
      <c r="G381" s="117">
        <v>26119883</v>
      </c>
      <c r="H381" s="117">
        <f t="shared" si="62"/>
        <v>24411.105607476635</v>
      </c>
      <c r="I381" s="7"/>
      <c r="J381" s="10">
        <v>3.5222000000000002</v>
      </c>
      <c r="K381" s="117">
        <v>91999</v>
      </c>
      <c r="L381" s="120">
        <f t="shared" si="63"/>
        <v>85.980373831775708</v>
      </c>
      <c r="M381" s="122">
        <f t="shared" si="59"/>
        <v>261198.83000000002</v>
      </c>
      <c r="N381" s="116">
        <f t="shared" si="60"/>
        <v>169199.83000000002</v>
      </c>
      <c r="O381" s="123">
        <f t="shared" si="61"/>
        <v>158.13068224299067</v>
      </c>
      <c r="P381" s="5"/>
      <c r="Q381" s="5">
        <f t="shared" si="54"/>
        <v>1</v>
      </c>
      <c r="R381" s="7">
        <f t="shared" si="55"/>
        <v>1070</v>
      </c>
      <c r="S381" s="5">
        <f t="shared" si="56"/>
        <v>1</v>
      </c>
      <c r="T381" s="7">
        <f t="shared" si="57"/>
        <v>1070</v>
      </c>
    </row>
    <row r="382" spans="1:20">
      <c r="A382" s="23" t="s">
        <v>428</v>
      </c>
      <c r="B382" s="35" t="s">
        <v>420</v>
      </c>
      <c r="C382" s="36">
        <v>6117</v>
      </c>
      <c r="D382" s="6"/>
      <c r="E382" s="113">
        <v>252858746</v>
      </c>
      <c r="F382" s="116">
        <f t="shared" si="58"/>
        <v>41337.051822788948</v>
      </c>
      <c r="G382" s="117">
        <v>208042365</v>
      </c>
      <c r="H382" s="117">
        <f t="shared" si="62"/>
        <v>34010.522314860224</v>
      </c>
      <c r="I382" s="7"/>
      <c r="J382" s="11">
        <v>5.6</v>
      </c>
      <c r="K382" s="117">
        <v>1165037</v>
      </c>
      <c r="L382" s="120">
        <f t="shared" si="63"/>
        <v>190.45888507438286</v>
      </c>
      <c r="M382" s="122">
        <f t="shared" si="59"/>
        <v>2080423.6500000001</v>
      </c>
      <c r="N382" s="116">
        <f t="shared" si="60"/>
        <v>915386.65000000014</v>
      </c>
      <c r="O382" s="123">
        <f t="shared" si="61"/>
        <v>149.64633807421941</v>
      </c>
      <c r="P382" s="5"/>
      <c r="Q382" s="5">
        <f t="shared" si="54"/>
        <v>1</v>
      </c>
      <c r="R382" s="7">
        <f t="shared" si="55"/>
        <v>6117</v>
      </c>
      <c r="S382" s="5">
        <f t="shared" si="56"/>
        <v>1</v>
      </c>
      <c r="T382" s="7">
        <f t="shared" si="57"/>
        <v>6117</v>
      </c>
    </row>
    <row r="383" spans="1:20">
      <c r="A383" s="23" t="s">
        <v>429</v>
      </c>
      <c r="B383" s="35" t="s">
        <v>420</v>
      </c>
      <c r="C383" s="36">
        <v>31539</v>
      </c>
      <c r="D383" s="6"/>
      <c r="E383" s="113">
        <v>1704364433</v>
      </c>
      <c r="F383" s="116">
        <f t="shared" si="58"/>
        <v>54039.900852912266</v>
      </c>
      <c r="G383" s="117">
        <v>1352090696</v>
      </c>
      <c r="H383" s="117">
        <f t="shared" si="62"/>
        <v>42870.436475474809</v>
      </c>
      <c r="I383" s="7"/>
      <c r="J383" s="10">
        <v>2.625</v>
      </c>
      <c r="K383" s="117">
        <v>3549238</v>
      </c>
      <c r="L383" s="120">
        <f t="shared" si="63"/>
        <v>112.53489330669964</v>
      </c>
      <c r="M383" s="122">
        <f t="shared" si="59"/>
        <v>13520906.960000001</v>
      </c>
      <c r="N383" s="116">
        <f t="shared" si="60"/>
        <v>9971668.9600000009</v>
      </c>
      <c r="O383" s="123">
        <f t="shared" si="61"/>
        <v>316.16947144804845</v>
      </c>
      <c r="P383" s="5"/>
      <c r="Q383" s="5">
        <f t="shared" si="54"/>
        <v>1</v>
      </c>
      <c r="R383" s="7">
        <f t="shared" si="55"/>
        <v>31539</v>
      </c>
      <c r="S383" s="5">
        <f t="shared" si="56"/>
        <v>1</v>
      </c>
      <c r="T383" s="7">
        <f t="shared" si="57"/>
        <v>31539</v>
      </c>
    </row>
    <row r="384" spans="1:20">
      <c r="A384" s="23" t="s">
        <v>430</v>
      </c>
      <c r="B384" s="35" t="s">
        <v>420</v>
      </c>
      <c r="C384" s="36">
        <v>1230</v>
      </c>
      <c r="D384" s="6"/>
      <c r="E384" s="113">
        <v>48248081</v>
      </c>
      <c r="F384" s="116">
        <f t="shared" si="58"/>
        <v>39226.08211382114</v>
      </c>
      <c r="G384" s="117">
        <v>28027463</v>
      </c>
      <c r="H384" s="117">
        <f t="shared" si="62"/>
        <v>22786.555284552847</v>
      </c>
      <c r="I384" s="7"/>
      <c r="J384" s="10">
        <v>3.8509000000000002</v>
      </c>
      <c r="K384" s="117">
        <v>107930</v>
      </c>
      <c r="L384" s="120">
        <f t="shared" si="63"/>
        <v>87.747967479674799</v>
      </c>
      <c r="M384" s="122">
        <f t="shared" si="59"/>
        <v>280274.63</v>
      </c>
      <c r="N384" s="116">
        <f t="shared" si="60"/>
        <v>172344.63</v>
      </c>
      <c r="O384" s="123">
        <f t="shared" si="61"/>
        <v>140.11758536585367</v>
      </c>
      <c r="P384" s="5"/>
      <c r="Q384" s="5">
        <f t="shared" si="54"/>
        <v>1</v>
      </c>
      <c r="R384" s="7">
        <f t="shared" si="55"/>
        <v>1230</v>
      </c>
      <c r="S384" s="5">
        <f t="shared" si="56"/>
        <v>1</v>
      </c>
      <c r="T384" s="7">
        <f t="shared" si="57"/>
        <v>1230</v>
      </c>
    </row>
    <row r="385" spans="1:20">
      <c r="A385" s="23" t="s">
        <v>431</v>
      </c>
      <c r="B385" s="35" t="s">
        <v>420</v>
      </c>
      <c r="C385" s="36">
        <v>2120</v>
      </c>
      <c r="D385" s="6"/>
      <c r="E385" s="113">
        <v>228142264</v>
      </c>
      <c r="F385" s="116">
        <f t="shared" si="58"/>
        <v>107614.27547169811</v>
      </c>
      <c r="G385" s="117">
        <v>199984172</v>
      </c>
      <c r="H385" s="117">
        <f t="shared" si="62"/>
        <v>94332.15660377359</v>
      </c>
      <c r="I385" s="7"/>
      <c r="J385" s="10">
        <v>4.1624999999999996</v>
      </c>
      <c r="K385" s="117">
        <v>832434</v>
      </c>
      <c r="L385" s="120">
        <f t="shared" si="63"/>
        <v>392.65754716981132</v>
      </c>
      <c r="M385" s="122">
        <f t="shared" si="59"/>
        <v>1999841.72</v>
      </c>
      <c r="N385" s="116">
        <f t="shared" si="60"/>
        <v>1167407.72</v>
      </c>
      <c r="O385" s="123">
        <f t="shared" si="61"/>
        <v>550.66401886792448</v>
      </c>
      <c r="P385" s="5"/>
      <c r="Q385" s="5">
        <f t="shared" si="54"/>
        <v>1</v>
      </c>
      <c r="R385" s="7">
        <f t="shared" si="55"/>
        <v>2120</v>
      </c>
      <c r="S385" s="5">
        <f t="shared" si="56"/>
        <v>1</v>
      </c>
      <c r="T385" s="7">
        <f t="shared" si="57"/>
        <v>2120</v>
      </c>
    </row>
    <row r="386" spans="1:20">
      <c r="A386" s="23" t="s">
        <v>432</v>
      </c>
      <c r="B386" s="35" t="s">
        <v>420</v>
      </c>
      <c r="C386" s="36">
        <v>39750</v>
      </c>
      <c r="D386" s="6"/>
      <c r="E386" s="113">
        <v>1321486240</v>
      </c>
      <c r="F386" s="116">
        <f t="shared" si="58"/>
        <v>33244.936855345914</v>
      </c>
      <c r="G386" s="117">
        <v>952065414</v>
      </c>
      <c r="H386" s="117">
        <f t="shared" si="62"/>
        <v>23951.331169811321</v>
      </c>
      <c r="I386" s="9"/>
      <c r="J386" s="10">
        <v>4.5281000000000002</v>
      </c>
      <c r="K386" s="117">
        <v>4311047</v>
      </c>
      <c r="L386" s="120">
        <f t="shared" si="63"/>
        <v>108.45401257861636</v>
      </c>
      <c r="M386" s="122">
        <f t="shared" si="59"/>
        <v>9520654.1400000006</v>
      </c>
      <c r="N386" s="116">
        <f t="shared" si="60"/>
        <v>5209607.1400000006</v>
      </c>
      <c r="O386" s="123">
        <f t="shared" si="61"/>
        <v>131.05929911949687</v>
      </c>
      <c r="P386" s="5"/>
      <c r="Q386" s="5">
        <f t="shared" si="54"/>
        <v>1</v>
      </c>
      <c r="R386" s="7">
        <f t="shared" si="55"/>
        <v>39750</v>
      </c>
      <c r="S386" s="5">
        <f t="shared" si="56"/>
        <v>1</v>
      </c>
      <c r="T386" s="7">
        <f t="shared" si="57"/>
        <v>39750</v>
      </c>
    </row>
    <row r="387" spans="1:20">
      <c r="A387" s="23" t="s">
        <v>433</v>
      </c>
      <c r="B387" s="35" t="s">
        <v>420</v>
      </c>
      <c r="C387" s="36">
        <v>12889</v>
      </c>
      <c r="D387" s="6"/>
      <c r="E387" s="113">
        <v>443498112</v>
      </c>
      <c r="F387" s="116">
        <f t="shared" si="58"/>
        <v>34409.039646209945</v>
      </c>
      <c r="G387" s="117">
        <v>349325255</v>
      </c>
      <c r="H387" s="117">
        <f t="shared" si="62"/>
        <v>27102.587865621848</v>
      </c>
      <c r="I387" s="7"/>
      <c r="J387" s="10">
        <v>3.6423999999999999</v>
      </c>
      <c r="K387" s="117">
        <v>1272382</v>
      </c>
      <c r="L387" s="120">
        <f t="shared" si="63"/>
        <v>98.718442082395839</v>
      </c>
      <c r="M387" s="122">
        <f t="shared" si="59"/>
        <v>3493252.5500000003</v>
      </c>
      <c r="N387" s="116">
        <f t="shared" si="60"/>
        <v>2220870.5500000003</v>
      </c>
      <c r="O387" s="123">
        <f t="shared" si="61"/>
        <v>172.30743657382266</v>
      </c>
      <c r="P387" s="5"/>
      <c r="Q387" s="5">
        <f t="shared" si="54"/>
        <v>1</v>
      </c>
      <c r="R387" s="7">
        <f t="shared" si="55"/>
        <v>12889</v>
      </c>
      <c r="S387" s="5">
        <f t="shared" si="56"/>
        <v>1</v>
      </c>
      <c r="T387" s="7">
        <f t="shared" si="57"/>
        <v>12889</v>
      </c>
    </row>
    <row r="388" spans="1:20">
      <c r="A388" s="23" t="s">
        <v>435</v>
      </c>
      <c r="B388" s="35" t="s">
        <v>434</v>
      </c>
      <c r="C388" s="36">
        <v>389</v>
      </c>
      <c r="D388" s="6"/>
      <c r="E388" s="113">
        <v>43987542</v>
      </c>
      <c r="F388" s="116">
        <f t="shared" si="58"/>
        <v>113078.51413881748</v>
      </c>
      <c r="G388" s="117">
        <v>24775528</v>
      </c>
      <c r="H388" s="117">
        <f t="shared" si="62"/>
        <v>63690.303341902312</v>
      </c>
      <c r="I388" s="98" t="s">
        <v>528</v>
      </c>
      <c r="J388" s="11"/>
      <c r="K388" s="117"/>
      <c r="L388" s="120"/>
      <c r="M388" s="122">
        <f t="shared" si="59"/>
        <v>247755.28</v>
      </c>
      <c r="N388" s="116">
        <f t="shared" si="60"/>
        <v>247755.28</v>
      </c>
      <c r="O388" s="123">
        <f t="shared" si="61"/>
        <v>636.90303341902313</v>
      </c>
      <c r="P388" s="5"/>
      <c r="Q388" s="5">
        <f t="shared" si="54"/>
        <v>1</v>
      </c>
      <c r="R388" s="7">
        <f t="shared" si="55"/>
        <v>389</v>
      </c>
      <c r="S388" s="5">
        <f t="shared" si="56"/>
        <v>0</v>
      </c>
      <c r="T388" s="7">
        <f t="shared" si="57"/>
        <v>0</v>
      </c>
    </row>
    <row r="389" spans="1:20">
      <c r="A389" s="23" t="s">
        <v>555</v>
      </c>
      <c r="B389" s="35" t="s">
        <v>434</v>
      </c>
      <c r="C389" s="36">
        <v>297</v>
      </c>
      <c r="D389" s="6"/>
      <c r="E389" s="113">
        <v>51726498</v>
      </c>
      <c r="F389" s="116">
        <f t="shared" si="58"/>
        <v>174163.29292929292</v>
      </c>
      <c r="G389" s="117">
        <v>9598316</v>
      </c>
      <c r="H389" s="117">
        <f t="shared" si="62"/>
        <v>32317.562289562291</v>
      </c>
      <c r="I389" s="7"/>
      <c r="J389" s="10">
        <v>3.5</v>
      </c>
      <c r="K389" s="117">
        <v>33594</v>
      </c>
      <c r="L389" s="120">
        <f t="shared" si="63"/>
        <v>113.11111111111111</v>
      </c>
      <c r="M389" s="122">
        <f t="shared" si="59"/>
        <v>95983.16</v>
      </c>
      <c r="N389" s="116">
        <f t="shared" si="60"/>
        <v>62389.16</v>
      </c>
      <c r="O389" s="123">
        <f t="shared" si="61"/>
        <v>210.06451178451181</v>
      </c>
      <c r="P389" s="5"/>
      <c r="Q389" s="5">
        <f t="shared" si="54"/>
        <v>1</v>
      </c>
      <c r="R389" s="7">
        <f t="shared" si="55"/>
        <v>297</v>
      </c>
      <c r="S389" s="5">
        <f t="shared" si="56"/>
        <v>1</v>
      </c>
      <c r="T389" s="7">
        <f t="shared" si="57"/>
        <v>297</v>
      </c>
    </row>
    <row r="390" spans="1:20">
      <c r="A390" s="23" t="s">
        <v>436</v>
      </c>
      <c r="B390" s="35" t="s">
        <v>437</v>
      </c>
      <c r="C390" s="36">
        <v>5384</v>
      </c>
      <c r="D390" s="6"/>
      <c r="E390" s="113">
        <v>142417020</v>
      </c>
      <c r="F390" s="116">
        <f t="shared" si="58"/>
        <v>26451.89821693908</v>
      </c>
      <c r="G390" s="117">
        <v>86125911</v>
      </c>
      <c r="H390" s="117">
        <f t="shared" si="62"/>
        <v>15996.640230312036</v>
      </c>
      <c r="I390" s="7"/>
      <c r="J390" s="10">
        <v>4.5</v>
      </c>
      <c r="K390" s="117">
        <v>387566</v>
      </c>
      <c r="L390" s="120">
        <f t="shared" si="63"/>
        <v>71.984769687964345</v>
      </c>
      <c r="M390" s="122">
        <f t="shared" si="59"/>
        <v>861259.11</v>
      </c>
      <c r="N390" s="116">
        <f t="shared" si="60"/>
        <v>473693.11</v>
      </c>
      <c r="O390" s="123">
        <f t="shared" si="61"/>
        <v>87.981632615156016</v>
      </c>
      <c r="P390" s="5"/>
      <c r="Q390" s="5">
        <f t="shared" si="54"/>
        <v>1</v>
      </c>
      <c r="R390" s="7">
        <f t="shared" si="55"/>
        <v>5384</v>
      </c>
      <c r="S390" s="5">
        <f t="shared" si="56"/>
        <v>1</v>
      </c>
      <c r="T390" s="7">
        <f t="shared" si="57"/>
        <v>5384</v>
      </c>
    </row>
    <row r="391" spans="1:20">
      <c r="A391" s="23" t="s">
        <v>438</v>
      </c>
      <c r="B391" s="35" t="s">
        <v>437</v>
      </c>
      <c r="C391" s="36">
        <v>952</v>
      </c>
      <c r="D391" s="6"/>
      <c r="E391" s="113">
        <v>23233790</v>
      </c>
      <c r="F391" s="116">
        <f t="shared" si="58"/>
        <v>24405.241596638654</v>
      </c>
      <c r="G391" s="117">
        <v>14786094</v>
      </c>
      <c r="H391" s="117">
        <f t="shared" si="62"/>
        <v>15531.611344537816</v>
      </c>
      <c r="I391" s="7"/>
      <c r="J391" s="10">
        <v>3.93</v>
      </c>
      <c r="K391" s="117">
        <v>58109</v>
      </c>
      <c r="L391" s="120">
        <f t="shared" si="63"/>
        <v>61.038865546218489</v>
      </c>
      <c r="M391" s="122">
        <f t="shared" si="59"/>
        <v>147860.94</v>
      </c>
      <c r="N391" s="116">
        <f t="shared" si="60"/>
        <v>89751.94</v>
      </c>
      <c r="O391" s="123">
        <f t="shared" si="61"/>
        <v>94.277247899159661</v>
      </c>
      <c r="P391" s="5"/>
      <c r="Q391" s="5">
        <f t="shared" ref="Q391:Q397" si="64">IF(E391&gt;0,1,0)</f>
        <v>1</v>
      </c>
      <c r="R391" s="7">
        <f t="shared" ref="R391:R397" si="65">IF(E391&gt;0,C391,0)</f>
        <v>952</v>
      </c>
      <c r="S391" s="5">
        <f t="shared" ref="S391:S397" si="66">IF(J391&gt;0,1,0)</f>
        <v>1</v>
      </c>
      <c r="T391" s="7">
        <f t="shared" ref="T391:T397" si="67">IF(J391&gt;0,C391,0)</f>
        <v>952</v>
      </c>
    </row>
    <row r="392" spans="1:20">
      <c r="A392" s="23" t="s">
        <v>439</v>
      </c>
      <c r="B392" s="35" t="s">
        <v>437</v>
      </c>
      <c r="C392" s="36">
        <v>605</v>
      </c>
      <c r="D392" s="6"/>
      <c r="E392" s="113">
        <v>9782265</v>
      </c>
      <c r="F392" s="116">
        <f t="shared" ref="F392:F397" si="68">(E392/C392)</f>
        <v>16169.03305785124</v>
      </c>
      <c r="G392" s="117">
        <v>4271505</v>
      </c>
      <c r="H392" s="117">
        <f t="shared" si="62"/>
        <v>7060.3388429752067</v>
      </c>
      <c r="I392" s="98" t="s">
        <v>528</v>
      </c>
      <c r="J392" s="10"/>
      <c r="K392" s="117"/>
      <c r="L392" s="120"/>
      <c r="M392" s="122">
        <f t="shared" ref="M392:M397" si="69">(G392*0.01)</f>
        <v>42715.05</v>
      </c>
      <c r="N392" s="116">
        <f t="shared" ref="N392:N397" si="70">(M392-K392)</f>
        <v>42715.05</v>
      </c>
      <c r="O392" s="123">
        <f t="shared" ref="O392:O397" si="71">(N392/C392)</f>
        <v>70.603388429752073</v>
      </c>
      <c r="P392" s="5"/>
      <c r="Q392" s="5">
        <f t="shared" si="64"/>
        <v>1</v>
      </c>
      <c r="R392" s="7">
        <f t="shared" si="65"/>
        <v>605</v>
      </c>
      <c r="S392" s="5">
        <f t="shared" si="66"/>
        <v>0</v>
      </c>
      <c r="T392" s="7">
        <f t="shared" si="67"/>
        <v>0</v>
      </c>
    </row>
    <row r="393" spans="1:20">
      <c r="A393" s="23" t="s">
        <v>440</v>
      </c>
      <c r="B393" s="35" t="s">
        <v>441</v>
      </c>
      <c r="C393" s="36">
        <v>579</v>
      </c>
      <c r="D393" s="6"/>
      <c r="E393" s="113">
        <v>5149823</v>
      </c>
      <c r="F393" s="116">
        <f t="shared" si="68"/>
        <v>8894.3402417962006</v>
      </c>
      <c r="G393" s="117">
        <v>1826533</v>
      </c>
      <c r="H393" s="117">
        <f t="shared" si="62"/>
        <v>3154.6338514680483</v>
      </c>
      <c r="I393" s="98" t="s">
        <v>528</v>
      </c>
      <c r="J393" s="10"/>
      <c r="K393" s="117"/>
      <c r="L393" s="120"/>
      <c r="M393" s="122">
        <f t="shared" si="69"/>
        <v>18265.330000000002</v>
      </c>
      <c r="N393" s="116">
        <f t="shared" si="70"/>
        <v>18265.330000000002</v>
      </c>
      <c r="O393" s="123">
        <f t="shared" si="71"/>
        <v>31.546338514680485</v>
      </c>
      <c r="P393" s="5"/>
      <c r="Q393" s="5">
        <f t="shared" si="64"/>
        <v>1</v>
      </c>
      <c r="R393" s="7">
        <f t="shared" si="65"/>
        <v>579</v>
      </c>
      <c r="S393" s="5">
        <f t="shared" si="66"/>
        <v>0</v>
      </c>
      <c r="T393" s="7">
        <f t="shared" si="67"/>
        <v>0</v>
      </c>
    </row>
    <row r="394" spans="1:20">
      <c r="A394" s="23" t="s">
        <v>442</v>
      </c>
      <c r="B394" s="35" t="s">
        <v>441</v>
      </c>
      <c r="C394" s="36">
        <v>4111</v>
      </c>
      <c r="D394" s="6"/>
      <c r="E394" s="113">
        <v>121264494</v>
      </c>
      <c r="F394" s="116">
        <f t="shared" si="68"/>
        <v>29497.566042325467</v>
      </c>
      <c r="G394" s="117">
        <v>76003480</v>
      </c>
      <c r="H394" s="117">
        <f t="shared" si="62"/>
        <v>18487.832644125516</v>
      </c>
      <c r="I394" s="7"/>
      <c r="J394" s="10">
        <v>4.9539999999999997</v>
      </c>
      <c r="K394" s="117">
        <v>376521</v>
      </c>
      <c r="L394" s="120">
        <f t="shared" si="63"/>
        <v>91.588664558501577</v>
      </c>
      <c r="M394" s="122">
        <f t="shared" si="69"/>
        <v>760034.8</v>
      </c>
      <c r="N394" s="116">
        <f t="shared" si="70"/>
        <v>383513.80000000005</v>
      </c>
      <c r="O394" s="123">
        <f t="shared" si="71"/>
        <v>93.289661882753606</v>
      </c>
      <c r="P394" s="5"/>
      <c r="Q394" s="5">
        <f t="shared" si="64"/>
        <v>1</v>
      </c>
      <c r="R394" s="7">
        <f t="shared" si="65"/>
        <v>4111</v>
      </c>
      <c r="S394" s="5">
        <f t="shared" si="66"/>
        <v>1</v>
      </c>
      <c r="T394" s="7">
        <f t="shared" si="67"/>
        <v>4111</v>
      </c>
    </row>
    <row r="395" spans="1:20">
      <c r="A395" s="23" t="s">
        <v>443</v>
      </c>
      <c r="B395" s="35" t="s">
        <v>441</v>
      </c>
      <c r="C395" s="36">
        <v>257</v>
      </c>
      <c r="D395" s="6"/>
      <c r="E395" s="113">
        <v>6985560</v>
      </c>
      <c r="F395" s="116">
        <f t="shared" si="68"/>
        <v>27181.167315175098</v>
      </c>
      <c r="G395" s="117">
        <v>5054773</v>
      </c>
      <c r="H395" s="117">
        <f t="shared" si="62"/>
        <v>19668.377431906614</v>
      </c>
      <c r="I395" s="98" t="s">
        <v>528</v>
      </c>
      <c r="J395" s="10"/>
      <c r="K395" s="117"/>
      <c r="L395" s="120"/>
      <c r="M395" s="122">
        <f t="shared" si="69"/>
        <v>50547.73</v>
      </c>
      <c r="N395" s="116">
        <f t="shared" si="70"/>
        <v>50547.73</v>
      </c>
      <c r="O395" s="123">
        <f t="shared" si="71"/>
        <v>196.68377431906617</v>
      </c>
      <c r="P395" s="5"/>
      <c r="Q395" s="5">
        <f t="shared" si="64"/>
        <v>1</v>
      </c>
      <c r="R395" s="7">
        <f t="shared" si="65"/>
        <v>257</v>
      </c>
      <c r="S395" s="5">
        <f t="shared" si="66"/>
        <v>0</v>
      </c>
      <c r="T395" s="7">
        <f t="shared" si="67"/>
        <v>0</v>
      </c>
    </row>
    <row r="396" spans="1:20">
      <c r="A396" s="23" t="s">
        <v>444</v>
      </c>
      <c r="B396" s="35" t="s">
        <v>441</v>
      </c>
      <c r="C396" s="36">
        <v>860</v>
      </c>
      <c r="D396" s="6"/>
      <c r="E396" s="113">
        <v>16860477</v>
      </c>
      <c r="F396" s="116">
        <f t="shared" si="68"/>
        <v>19605.205813953489</v>
      </c>
      <c r="G396" s="117">
        <v>6298260</v>
      </c>
      <c r="H396" s="117">
        <f t="shared" si="62"/>
        <v>7323.5581395348836</v>
      </c>
      <c r="I396" s="7"/>
      <c r="J396" s="10">
        <v>2.86</v>
      </c>
      <c r="K396" s="117">
        <v>18013</v>
      </c>
      <c r="L396" s="120">
        <f t="shared" si="63"/>
        <v>20.945348837209302</v>
      </c>
      <c r="M396" s="122">
        <f t="shared" si="69"/>
        <v>62982.6</v>
      </c>
      <c r="N396" s="116">
        <f t="shared" si="70"/>
        <v>44969.599999999999</v>
      </c>
      <c r="O396" s="123">
        <f t="shared" si="71"/>
        <v>52.290232558139536</v>
      </c>
      <c r="P396" s="5"/>
      <c r="Q396" s="5">
        <f t="shared" si="64"/>
        <v>1</v>
      </c>
      <c r="R396" s="7">
        <f t="shared" si="65"/>
        <v>860</v>
      </c>
      <c r="S396" s="5">
        <f t="shared" si="66"/>
        <v>1</v>
      </c>
      <c r="T396" s="7">
        <f t="shared" si="67"/>
        <v>860</v>
      </c>
    </row>
    <row r="397" spans="1:20">
      <c r="A397" s="23" t="s">
        <v>445</v>
      </c>
      <c r="B397" s="35" t="s">
        <v>441</v>
      </c>
      <c r="C397" s="36">
        <v>322</v>
      </c>
      <c r="D397" s="6"/>
      <c r="E397" s="113">
        <v>5147794</v>
      </c>
      <c r="F397" s="116">
        <f t="shared" si="68"/>
        <v>15986.937888198758</v>
      </c>
      <c r="G397" s="117">
        <v>1849040</v>
      </c>
      <c r="H397" s="117">
        <f t="shared" si="62"/>
        <v>5742.3602484472049</v>
      </c>
      <c r="I397" s="98" t="s">
        <v>528</v>
      </c>
      <c r="J397" s="10"/>
      <c r="K397" s="117"/>
      <c r="L397" s="120"/>
      <c r="M397" s="122">
        <f t="shared" si="69"/>
        <v>18490.400000000001</v>
      </c>
      <c r="N397" s="116">
        <f t="shared" si="70"/>
        <v>18490.400000000001</v>
      </c>
      <c r="O397" s="123">
        <f t="shared" si="71"/>
        <v>57.423602484472056</v>
      </c>
      <c r="P397" s="5"/>
      <c r="Q397" s="5">
        <f t="shared" si="64"/>
        <v>1</v>
      </c>
      <c r="R397" s="7">
        <f t="shared" si="65"/>
        <v>322</v>
      </c>
      <c r="S397" s="5">
        <f t="shared" si="66"/>
        <v>0</v>
      </c>
      <c r="T397" s="7">
        <f t="shared" si="67"/>
        <v>0</v>
      </c>
    </row>
    <row r="398" spans="1:20">
      <c r="A398" s="70" t="s">
        <v>451</v>
      </c>
      <c r="B398" s="71"/>
      <c r="C398" s="72">
        <f>SUM(C6:C397)</f>
        <v>6889514</v>
      </c>
      <c r="D398" s="73"/>
      <c r="E398" s="73">
        <f>SUM(E6:E397)</f>
        <v>335327656215</v>
      </c>
      <c r="F398" s="74">
        <f>(E398/R398)</f>
        <v>54072.372669500408</v>
      </c>
      <c r="G398" s="75">
        <f>SUM(G6:G397)</f>
        <v>249715055943</v>
      </c>
      <c r="H398" s="76">
        <f>(G398/R398)</f>
        <v>40267.139664369359</v>
      </c>
      <c r="I398" s="71"/>
      <c r="J398" s="77"/>
      <c r="K398" s="78">
        <f>SUM(K6:K397)</f>
        <v>1282867869</v>
      </c>
      <c r="L398" s="79">
        <f>(K398/T398)</f>
        <v>209.40996770053152</v>
      </c>
      <c r="M398" s="79">
        <f>SUM(M6:M397)</f>
        <v>2497150559.4299974</v>
      </c>
      <c r="N398" s="78">
        <f>SUM(N6:N397)</f>
        <v>1214282690.4299994</v>
      </c>
      <c r="O398" s="80">
        <f>(N398/R398)</f>
        <v>195.80593770337941</v>
      </c>
      <c r="P398" s="20"/>
      <c r="Q398" s="20">
        <f>SUM(Q6:Q397)</f>
        <v>390</v>
      </c>
      <c r="R398" s="21">
        <f>SUM(R6:R397)</f>
        <v>6201460</v>
      </c>
      <c r="S398" s="20">
        <f>SUM(S6:S397)</f>
        <v>355</v>
      </c>
      <c r="T398" s="21">
        <f>SUM(T6:T397)</f>
        <v>6126107</v>
      </c>
    </row>
    <row r="399" spans="1:20">
      <c r="A399" s="27" t="s">
        <v>453</v>
      </c>
      <c r="B399" s="13"/>
      <c r="C399" s="60">
        <f>(S398)</f>
        <v>355</v>
      </c>
      <c r="D399" s="14"/>
      <c r="E399" s="14"/>
      <c r="F399" s="16"/>
      <c r="G399" s="16"/>
      <c r="H399" s="16"/>
      <c r="I399" s="16"/>
      <c r="J399" s="14"/>
      <c r="K399" s="17"/>
      <c r="L399" s="17"/>
      <c r="M399" s="2"/>
      <c r="N399" s="2"/>
      <c r="O399" s="63"/>
      <c r="P399" s="2"/>
      <c r="Q399" s="2"/>
      <c r="R399" s="2"/>
      <c r="S399" s="2"/>
      <c r="T399" s="2"/>
    </row>
    <row r="400" spans="1:20">
      <c r="A400" s="22"/>
      <c r="B400" s="16"/>
      <c r="C400" s="16"/>
      <c r="D400" s="16"/>
      <c r="E400" s="16"/>
      <c r="F400" s="16"/>
      <c r="G400" s="16"/>
      <c r="H400" s="16"/>
      <c r="I400" s="16"/>
      <c r="J400" s="17"/>
      <c r="K400" s="17"/>
      <c r="L400" s="17"/>
      <c r="M400" s="2"/>
      <c r="N400" s="2"/>
      <c r="O400" s="63"/>
      <c r="P400" s="2"/>
      <c r="Q400" s="2"/>
      <c r="R400" s="2"/>
      <c r="S400" s="2"/>
      <c r="T400" s="2"/>
    </row>
    <row r="401" spans="1:20">
      <c r="A401" s="28" t="s">
        <v>498</v>
      </c>
      <c r="B401" s="25"/>
      <c r="C401" s="25"/>
      <c r="D401" s="25"/>
      <c r="E401" s="25"/>
      <c r="F401" s="25"/>
      <c r="G401" s="25"/>
      <c r="H401" s="25"/>
      <c r="I401" s="25"/>
      <c r="J401" s="26"/>
      <c r="K401" s="26"/>
      <c r="L401" s="26"/>
      <c r="M401" s="1"/>
      <c r="N401" s="1"/>
      <c r="O401" s="64"/>
      <c r="P401" s="1"/>
      <c r="Q401" s="1"/>
      <c r="R401" s="1"/>
      <c r="S401" s="1"/>
      <c r="T401" s="1"/>
    </row>
    <row r="402" spans="1:20">
      <c r="A402" s="96" t="s">
        <v>566</v>
      </c>
      <c r="B402" s="25"/>
      <c r="C402" s="25"/>
      <c r="D402" s="25"/>
      <c r="E402" s="25"/>
      <c r="F402" s="25"/>
      <c r="G402" s="25"/>
      <c r="H402" s="25"/>
      <c r="I402" s="25"/>
      <c r="J402" s="26"/>
      <c r="K402" s="26"/>
      <c r="L402" s="26"/>
      <c r="M402" s="1"/>
      <c r="N402" s="1"/>
      <c r="O402" s="64"/>
      <c r="P402" s="1"/>
      <c r="Q402" s="1"/>
      <c r="R402" s="1"/>
      <c r="S402" s="1"/>
      <c r="T402" s="1"/>
    </row>
    <row r="403" spans="1:20">
      <c r="A403" s="96" t="s">
        <v>570</v>
      </c>
      <c r="B403" s="25"/>
      <c r="C403" s="25"/>
      <c r="D403" s="25"/>
      <c r="E403" s="25"/>
      <c r="F403" s="25"/>
      <c r="G403" s="25"/>
      <c r="H403" s="25"/>
      <c r="I403" s="25"/>
      <c r="J403" s="26"/>
      <c r="K403" s="26"/>
      <c r="L403" s="26"/>
      <c r="M403" s="1"/>
      <c r="N403" s="1"/>
      <c r="O403" s="64"/>
      <c r="P403" s="1"/>
      <c r="Q403" s="1"/>
      <c r="R403" s="1"/>
      <c r="S403" s="1"/>
      <c r="T403" s="1"/>
    </row>
    <row r="404" spans="1:20">
      <c r="A404" s="96" t="s">
        <v>571</v>
      </c>
      <c r="B404" s="25"/>
      <c r="C404" s="25"/>
      <c r="D404" s="25"/>
      <c r="E404" s="25"/>
      <c r="F404" s="25"/>
      <c r="G404" s="25"/>
      <c r="H404" s="25"/>
      <c r="I404" s="25"/>
      <c r="J404" s="26"/>
      <c r="K404" s="26"/>
      <c r="L404" s="26"/>
      <c r="M404" s="1"/>
      <c r="N404" s="1"/>
      <c r="O404" s="64"/>
      <c r="P404" s="1"/>
      <c r="Q404" s="1"/>
      <c r="R404" s="1"/>
      <c r="S404" s="1"/>
      <c r="T404" s="1"/>
    </row>
    <row r="405" spans="1:20">
      <c r="A405" s="96" t="s">
        <v>572</v>
      </c>
      <c r="B405" s="25"/>
      <c r="C405" s="25"/>
      <c r="D405" s="25"/>
      <c r="E405" s="25"/>
      <c r="F405" s="25"/>
      <c r="G405" s="25"/>
      <c r="H405" s="25"/>
      <c r="I405" s="25"/>
      <c r="J405" s="26"/>
      <c r="K405" s="26"/>
      <c r="L405" s="26"/>
      <c r="M405" s="1"/>
      <c r="N405" s="1"/>
      <c r="O405" s="64"/>
      <c r="P405" s="1"/>
      <c r="Q405" s="1"/>
      <c r="R405" s="1"/>
      <c r="S405" s="1"/>
      <c r="T405" s="1"/>
    </row>
    <row r="406" spans="1:20">
      <c r="A406" s="29" t="s">
        <v>505</v>
      </c>
      <c r="B406" s="25"/>
      <c r="C406" s="25"/>
      <c r="D406" s="25"/>
      <c r="E406" s="25"/>
      <c r="F406" s="25"/>
      <c r="G406" s="25"/>
      <c r="H406" s="25"/>
      <c r="I406" s="25"/>
      <c r="J406" s="26"/>
      <c r="K406" s="26"/>
      <c r="L406" s="26"/>
      <c r="M406" s="1"/>
      <c r="N406" s="1"/>
      <c r="O406" s="64"/>
      <c r="P406" s="1"/>
      <c r="Q406" s="1"/>
      <c r="R406" s="1"/>
      <c r="S406" s="1"/>
      <c r="T406" s="1"/>
    </row>
    <row r="407" spans="1:20">
      <c r="A407" s="29"/>
      <c r="B407" s="25"/>
      <c r="C407" s="25"/>
      <c r="D407" s="25"/>
      <c r="E407" s="25"/>
      <c r="F407" s="25"/>
      <c r="G407" s="25"/>
      <c r="H407" s="25"/>
      <c r="I407" s="25"/>
      <c r="J407" s="26"/>
      <c r="K407" s="26"/>
      <c r="L407" s="26"/>
      <c r="M407" s="1"/>
      <c r="N407" s="1"/>
      <c r="O407" s="64"/>
      <c r="P407" s="1"/>
      <c r="Q407" s="1"/>
      <c r="R407" s="1"/>
      <c r="S407" s="1"/>
      <c r="T407" s="1"/>
    </row>
    <row r="408" spans="1:20">
      <c r="A408" s="96" t="s">
        <v>579</v>
      </c>
      <c r="B408" s="25"/>
      <c r="C408" s="25"/>
      <c r="D408" s="25"/>
      <c r="E408" s="25"/>
      <c r="F408" s="25"/>
      <c r="G408" s="25"/>
      <c r="H408" s="25"/>
      <c r="I408" s="25"/>
      <c r="J408" s="26"/>
      <c r="K408" s="26"/>
      <c r="L408" s="26"/>
      <c r="M408" s="1"/>
      <c r="N408" s="1"/>
      <c r="O408" s="64"/>
      <c r="P408" s="1"/>
      <c r="Q408" s="1"/>
      <c r="R408" s="1"/>
      <c r="S408" s="1"/>
      <c r="T408" s="1"/>
    </row>
    <row r="409" spans="1:20">
      <c r="A409" s="28" t="s">
        <v>477</v>
      </c>
      <c r="B409" s="25"/>
      <c r="C409" s="25"/>
      <c r="D409" s="25"/>
      <c r="E409" s="25"/>
      <c r="F409" s="25"/>
      <c r="G409" s="25"/>
      <c r="H409" s="25"/>
      <c r="I409" s="25"/>
      <c r="J409" s="26"/>
      <c r="K409" s="26"/>
      <c r="L409" s="26"/>
      <c r="M409" s="1"/>
      <c r="N409" s="1"/>
      <c r="O409" s="64"/>
      <c r="P409" s="1"/>
      <c r="Q409" s="1"/>
      <c r="R409" s="1"/>
      <c r="S409" s="1"/>
      <c r="T409" s="1"/>
    </row>
    <row r="410" spans="1:20" ht="13.5" thickBot="1">
      <c r="A410" s="30" t="s">
        <v>490</v>
      </c>
      <c r="B410" s="31"/>
      <c r="C410" s="31"/>
      <c r="D410" s="31"/>
      <c r="E410" s="31"/>
      <c r="F410" s="31"/>
      <c r="G410" s="31"/>
      <c r="H410" s="31"/>
      <c r="I410" s="31"/>
      <c r="J410" s="32"/>
      <c r="K410" s="32"/>
      <c r="L410" s="32"/>
      <c r="M410" s="31"/>
      <c r="N410" s="31"/>
      <c r="O410" s="81"/>
      <c r="P410" s="1"/>
      <c r="Q410" s="1"/>
      <c r="R410" s="1"/>
      <c r="S410" s="1"/>
      <c r="T410" s="1"/>
    </row>
    <row r="411" spans="1:20">
      <c r="A411" s="4"/>
      <c r="B411" s="1"/>
      <c r="C411" s="1"/>
      <c r="D411" s="1"/>
      <c r="E411" s="1"/>
      <c r="F411" s="1"/>
      <c r="G411" s="1"/>
      <c r="H411" s="1"/>
      <c r="I411" s="1"/>
      <c r="J411" s="3"/>
      <c r="K411" s="3"/>
      <c r="L411" s="3"/>
      <c r="M411" s="1"/>
      <c r="N411" s="1"/>
      <c r="O411" s="1"/>
      <c r="P411" s="1"/>
      <c r="Q411" s="1"/>
      <c r="R411" s="1"/>
      <c r="S411" s="1"/>
      <c r="T411" s="1"/>
    </row>
    <row r="412" spans="1:20">
      <c r="A412" s="4"/>
      <c r="B412" s="1"/>
      <c r="C412" s="1"/>
      <c r="D412" s="1"/>
      <c r="E412" s="1"/>
      <c r="F412" s="1"/>
      <c r="G412" s="1"/>
      <c r="H412" s="1"/>
      <c r="I412" s="1"/>
      <c r="J412" s="3"/>
      <c r="K412" s="3"/>
      <c r="L412" s="3"/>
      <c r="M412" s="1"/>
      <c r="N412" s="1"/>
      <c r="O412" s="1"/>
      <c r="P412" s="1"/>
      <c r="Q412" s="1"/>
      <c r="R412" s="1"/>
      <c r="S412" s="1"/>
      <c r="T412" s="1"/>
    </row>
    <row r="413" spans="1:20">
      <c r="A413" s="2"/>
      <c r="B413" s="2"/>
      <c r="C413" s="2"/>
      <c r="D413" s="2"/>
      <c r="E413" s="2"/>
      <c r="F413" s="2"/>
      <c r="G413" s="2"/>
      <c r="H413" s="2"/>
      <c r="I413" s="2"/>
      <c r="J413" s="2"/>
      <c r="K413" s="2"/>
      <c r="L413" s="2"/>
      <c r="M413" s="2"/>
      <c r="N413" s="2"/>
      <c r="O413" s="2"/>
      <c r="P413" s="2"/>
      <c r="Q413" s="2"/>
      <c r="R413" s="2"/>
      <c r="S413" s="2"/>
      <c r="T413"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ignoredErrors>
    <ignoredError sqref="L398 F39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431"/>
  <sheetViews>
    <sheetView workbookViewId="0">
      <selection sqref="A1:N1"/>
    </sheetView>
  </sheetViews>
  <sheetFormatPr defaultRowHeight="12.75"/>
  <cols>
    <col min="1" max="1" width="25.7109375" customWidth="1"/>
    <col min="2" max="2" width="16.7109375" customWidth="1"/>
    <col min="3" max="3" width="11.7109375" customWidth="1"/>
    <col min="4" max="4" width="19.7109375" style="163" customWidth="1"/>
    <col min="5" max="5" width="13.7109375" customWidth="1"/>
    <col min="6" max="6" width="19.7109375" style="163" customWidth="1"/>
    <col min="7" max="7" width="13.7109375" customWidth="1"/>
    <col min="8" max="8" width="1.7109375" customWidth="1"/>
    <col min="9" max="9" width="10.7109375" style="163" customWidth="1"/>
    <col min="10" max="10" width="15.7109375" style="163" customWidth="1"/>
    <col min="11" max="11" width="13.7109375" customWidth="1"/>
    <col min="12" max="12" width="16.7109375" customWidth="1"/>
    <col min="13" max="13" width="15.7109375" customWidth="1"/>
    <col min="14" max="14" width="14.7109375" customWidth="1"/>
    <col min="15" max="15" width="2.7109375" customWidth="1"/>
    <col min="16" max="16" width="4.5703125" customWidth="1"/>
    <col min="17" max="17" width="11.7109375" customWidth="1"/>
    <col min="19" max="20" width="17.7109375" customWidth="1"/>
    <col min="21" max="21" width="16.7109375" customWidth="1"/>
    <col min="23" max="23" width="15.7109375" customWidth="1"/>
  </cols>
  <sheetData>
    <row r="1" spans="1:24" ht="26.25">
      <c r="A1" s="197" t="s">
        <v>627</v>
      </c>
      <c r="B1" s="198"/>
      <c r="C1" s="198"/>
      <c r="D1" s="198"/>
      <c r="E1" s="198"/>
      <c r="F1" s="198"/>
      <c r="G1" s="198"/>
      <c r="H1" s="198"/>
      <c r="I1" s="198"/>
      <c r="J1" s="198"/>
      <c r="K1" s="198"/>
      <c r="L1" s="198"/>
      <c r="M1" s="198"/>
      <c r="N1" s="199"/>
    </row>
    <row r="2" spans="1:24" ht="18">
      <c r="A2" s="41"/>
      <c r="B2" s="42"/>
      <c r="C2" s="164"/>
      <c r="D2" s="200" t="s">
        <v>562</v>
      </c>
      <c r="E2" s="201"/>
      <c r="F2" s="201"/>
      <c r="G2" s="202"/>
      <c r="H2" s="44"/>
      <c r="I2" s="176" t="s">
        <v>456</v>
      </c>
      <c r="J2" s="177"/>
      <c r="K2" s="68"/>
      <c r="L2" s="201" t="s">
        <v>503</v>
      </c>
      <c r="M2" s="201"/>
      <c r="N2" s="203"/>
      <c r="S2" s="200" t="s">
        <v>591</v>
      </c>
      <c r="T2" s="201"/>
      <c r="U2" s="202"/>
    </row>
    <row r="3" spans="1:24" ht="12.75" customHeight="1">
      <c r="A3" s="46"/>
      <c r="B3" s="47"/>
      <c r="C3" s="48">
        <v>2021</v>
      </c>
      <c r="D3" s="165"/>
      <c r="E3" s="50" t="s">
        <v>1</v>
      </c>
      <c r="F3" s="173"/>
      <c r="G3" s="50" t="s">
        <v>1</v>
      </c>
      <c r="H3" s="52"/>
      <c r="I3" s="178"/>
      <c r="J3" s="179"/>
      <c r="K3" s="67" t="s">
        <v>1</v>
      </c>
      <c r="L3" s="66" t="s">
        <v>455</v>
      </c>
      <c r="M3" s="50" t="s">
        <v>455</v>
      </c>
      <c r="N3" s="59" t="s">
        <v>1</v>
      </c>
      <c r="S3" s="51"/>
      <c r="T3" s="51"/>
      <c r="U3" s="54"/>
    </row>
    <row r="4" spans="1:24">
      <c r="A4" s="46"/>
      <c r="B4" s="47"/>
      <c r="C4" s="48" t="s">
        <v>3</v>
      </c>
      <c r="D4" s="165" t="s">
        <v>563</v>
      </c>
      <c r="E4" s="56" t="s">
        <v>563</v>
      </c>
      <c r="F4" s="174" t="s">
        <v>2</v>
      </c>
      <c r="G4" s="56" t="s">
        <v>2</v>
      </c>
      <c r="H4" s="52"/>
      <c r="I4" s="180" t="s">
        <v>4</v>
      </c>
      <c r="J4" s="181" t="s">
        <v>455</v>
      </c>
      <c r="K4" s="69" t="s">
        <v>455</v>
      </c>
      <c r="L4" s="67" t="s">
        <v>454</v>
      </c>
      <c r="M4" s="82" t="s">
        <v>495</v>
      </c>
      <c r="N4" s="55" t="s">
        <v>495</v>
      </c>
      <c r="S4" s="48" t="s">
        <v>563</v>
      </c>
      <c r="T4" s="56" t="s">
        <v>2</v>
      </c>
      <c r="U4" s="58" t="s">
        <v>455</v>
      </c>
    </row>
    <row r="5" spans="1:24">
      <c r="A5" s="85" t="s">
        <v>5</v>
      </c>
      <c r="B5" s="86" t="s">
        <v>6</v>
      </c>
      <c r="C5" s="48" t="s">
        <v>458</v>
      </c>
      <c r="D5" s="166" t="s">
        <v>7</v>
      </c>
      <c r="E5" s="89" t="s">
        <v>7</v>
      </c>
      <c r="F5" s="175" t="s">
        <v>7</v>
      </c>
      <c r="G5" s="89" t="s">
        <v>7</v>
      </c>
      <c r="H5" s="91"/>
      <c r="I5" s="182" t="s">
        <v>587</v>
      </c>
      <c r="J5" s="175" t="s">
        <v>454</v>
      </c>
      <c r="K5" s="90" t="s">
        <v>454</v>
      </c>
      <c r="L5" s="93" t="s">
        <v>502</v>
      </c>
      <c r="M5" s="94" t="s">
        <v>496</v>
      </c>
      <c r="N5" s="95" t="s">
        <v>496</v>
      </c>
      <c r="O5" s="19"/>
      <c r="P5" s="19"/>
      <c r="Q5" s="19"/>
      <c r="S5" s="87" t="s">
        <v>7</v>
      </c>
      <c r="T5" s="90" t="s">
        <v>7</v>
      </c>
      <c r="U5" s="90" t="s">
        <v>454</v>
      </c>
    </row>
    <row r="6" spans="1:24">
      <c r="A6" s="22" t="s">
        <v>8</v>
      </c>
      <c r="B6" s="33" t="s">
        <v>8</v>
      </c>
      <c r="C6" s="97">
        <v>10756</v>
      </c>
      <c r="D6" s="141">
        <v>1550167309</v>
      </c>
      <c r="E6" s="38">
        <f t="shared" ref="E6:E14" si="0">(D6/C6)</f>
        <v>144121.17041651171</v>
      </c>
      <c r="F6" s="141">
        <v>970263510</v>
      </c>
      <c r="G6" s="39">
        <f t="shared" ref="G6:G14" si="1">(F6/C6)</f>
        <v>90206.722759390104</v>
      </c>
      <c r="H6" s="15"/>
      <c r="I6" s="145">
        <v>5.39</v>
      </c>
      <c r="J6" s="146">
        <v>5229720.3188999994</v>
      </c>
      <c r="K6" s="84">
        <f t="shared" ref="K6:K14" si="2">(J6/C6)</f>
        <v>486.21423567311263</v>
      </c>
      <c r="L6" s="65">
        <f t="shared" ref="L6:L69" si="3">(F6*0.01)</f>
        <v>9702635.0999999996</v>
      </c>
      <c r="M6" s="83">
        <f t="shared" ref="M6:M69" si="4">(L6-J6)</f>
        <v>4472914.7811000003</v>
      </c>
      <c r="N6" s="62">
        <f t="shared" ref="N6:N69" si="5">(M6/C6)</f>
        <v>415.85299192078844</v>
      </c>
      <c r="O6" s="5"/>
      <c r="P6" s="5">
        <f t="shared" ref="P6:P69" si="6">IF(I6&gt;0,1,0)</f>
        <v>1</v>
      </c>
      <c r="Q6" s="7">
        <f t="shared" ref="Q6:Q69" si="7">IF(I6&gt;0,C6,0)</f>
        <v>10756</v>
      </c>
      <c r="S6" s="124"/>
      <c r="W6" s="124">
        <f>F6*(I6/1000)</f>
        <v>5229720.3188999994</v>
      </c>
      <c r="X6">
        <f>IF(W6=J6,0,1)</f>
        <v>0</v>
      </c>
    </row>
    <row r="7" spans="1:24">
      <c r="A7" s="23" t="s">
        <v>9</v>
      </c>
      <c r="B7" s="35" t="s">
        <v>8</v>
      </c>
      <c r="C7" s="97">
        <v>1149</v>
      </c>
      <c r="D7" s="132">
        <v>92790144</v>
      </c>
      <c r="E7" s="116">
        <f t="shared" si="0"/>
        <v>80757.305483028715</v>
      </c>
      <c r="F7" s="132">
        <v>45053878</v>
      </c>
      <c r="G7" s="117">
        <f t="shared" si="1"/>
        <v>39211.382071366403</v>
      </c>
      <c r="H7" s="7"/>
      <c r="I7" s="136">
        <v>5.5175999999999998</v>
      </c>
      <c r="J7" s="134">
        <v>248589.27725279998</v>
      </c>
      <c r="K7" s="120">
        <f t="shared" si="2"/>
        <v>216.35272171697125</v>
      </c>
      <c r="L7" s="122">
        <f t="shared" si="3"/>
        <v>450538.78</v>
      </c>
      <c r="M7" s="116">
        <f t="shared" si="4"/>
        <v>201949.50274720005</v>
      </c>
      <c r="N7" s="123">
        <f t="shared" si="5"/>
        <v>175.76109899669282</v>
      </c>
      <c r="O7" s="5"/>
      <c r="P7" s="5">
        <f t="shared" si="6"/>
        <v>1</v>
      </c>
      <c r="Q7" s="7">
        <f t="shared" si="7"/>
        <v>1149</v>
      </c>
      <c r="S7" s="124"/>
      <c r="W7" s="124">
        <f t="shared" ref="W7:W70" si="8">F7*(I7/1000)</f>
        <v>248589.27725280001</v>
      </c>
      <c r="X7">
        <f t="shared" ref="X7:X70" si="9">IF(W7=J7,0,1)</f>
        <v>0</v>
      </c>
    </row>
    <row r="8" spans="1:24">
      <c r="A8" s="23" t="s">
        <v>10</v>
      </c>
      <c r="B8" s="35" t="s">
        <v>8</v>
      </c>
      <c r="C8" s="97">
        <v>143835</v>
      </c>
      <c r="D8" s="132">
        <v>17878634319</v>
      </c>
      <c r="E8" s="116">
        <f t="shared" si="0"/>
        <v>124299.60940661174</v>
      </c>
      <c r="F8" s="132">
        <v>8044472621</v>
      </c>
      <c r="G8" s="117">
        <f t="shared" si="1"/>
        <v>55928.477915667259</v>
      </c>
      <c r="H8" s="7"/>
      <c r="I8" s="136">
        <v>5.5</v>
      </c>
      <c r="J8" s="134">
        <v>44244599.4155</v>
      </c>
      <c r="K8" s="120">
        <f t="shared" si="2"/>
        <v>307.60662853616992</v>
      </c>
      <c r="L8" s="122">
        <f t="shared" si="3"/>
        <v>80444726.210000008</v>
      </c>
      <c r="M8" s="116">
        <f t="shared" si="4"/>
        <v>36200126.794500008</v>
      </c>
      <c r="N8" s="123">
        <f t="shared" si="5"/>
        <v>251.67815062050272</v>
      </c>
      <c r="O8" s="5"/>
      <c r="P8" s="5">
        <f t="shared" si="6"/>
        <v>1</v>
      </c>
      <c r="Q8" s="7">
        <f t="shared" si="7"/>
        <v>143835</v>
      </c>
      <c r="S8" s="124"/>
      <c r="W8" s="124">
        <f t="shared" si="8"/>
        <v>44244599.4155</v>
      </c>
      <c r="X8">
        <f t="shared" si="9"/>
        <v>0</v>
      </c>
    </row>
    <row r="9" spans="1:24">
      <c r="A9" s="23" t="s">
        <v>11</v>
      </c>
      <c r="B9" s="35" t="s">
        <v>8</v>
      </c>
      <c r="C9" s="97">
        <v>1468</v>
      </c>
      <c r="D9" s="132">
        <v>121415265</v>
      </c>
      <c r="E9" s="116">
        <f t="shared" si="0"/>
        <v>82707.946185286099</v>
      </c>
      <c r="F9" s="134">
        <v>52663987</v>
      </c>
      <c r="G9" s="117">
        <f t="shared" si="1"/>
        <v>35874.650544959128</v>
      </c>
      <c r="H9" s="7"/>
      <c r="I9" s="136">
        <v>5.3193999999999999</v>
      </c>
      <c r="J9" s="134">
        <v>280140.81244779995</v>
      </c>
      <c r="K9" s="120">
        <f t="shared" si="2"/>
        <v>190.83161610885554</v>
      </c>
      <c r="L9" s="122">
        <f t="shared" si="3"/>
        <v>526639.87</v>
      </c>
      <c r="M9" s="116">
        <f t="shared" si="4"/>
        <v>246499.05755220004</v>
      </c>
      <c r="N9" s="123">
        <f t="shared" si="5"/>
        <v>167.91488934073573</v>
      </c>
      <c r="O9" s="5"/>
      <c r="P9" s="5">
        <f t="shared" si="6"/>
        <v>1</v>
      </c>
      <c r="Q9" s="7">
        <f t="shared" si="7"/>
        <v>1468</v>
      </c>
      <c r="S9" s="124"/>
      <c r="W9" s="124">
        <f t="shared" si="8"/>
        <v>280140.81244780001</v>
      </c>
      <c r="X9">
        <f t="shared" si="9"/>
        <v>0</v>
      </c>
    </row>
    <row r="10" spans="1:24">
      <c r="A10" s="23" t="s">
        <v>12</v>
      </c>
      <c r="B10" s="35" t="s">
        <v>8</v>
      </c>
      <c r="C10" s="97">
        <v>6496</v>
      </c>
      <c r="D10" s="132">
        <v>602203401</v>
      </c>
      <c r="E10" s="116">
        <f t="shared" si="0"/>
        <v>92703.725523399014</v>
      </c>
      <c r="F10" s="134">
        <v>353683292</v>
      </c>
      <c r="G10" s="117">
        <f t="shared" si="1"/>
        <v>54446.31958128079</v>
      </c>
      <c r="H10" s="7"/>
      <c r="I10" s="136">
        <v>5.99</v>
      </c>
      <c r="J10" s="134">
        <v>2118562.9190800004</v>
      </c>
      <c r="K10" s="120">
        <f t="shared" si="2"/>
        <v>326.133454291872</v>
      </c>
      <c r="L10" s="122">
        <f t="shared" si="3"/>
        <v>3536832.92</v>
      </c>
      <c r="M10" s="116">
        <f t="shared" si="4"/>
        <v>1418270.0009199996</v>
      </c>
      <c r="N10" s="123">
        <f t="shared" si="5"/>
        <v>218.3297415209359</v>
      </c>
      <c r="O10" s="5"/>
      <c r="P10" s="5">
        <f t="shared" si="6"/>
        <v>1</v>
      </c>
      <c r="Q10" s="7">
        <f t="shared" si="7"/>
        <v>6496</v>
      </c>
      <c r="S10" s="124"/>
      <c r="W10" s="124">
        <f t="shared" si="8"/>
        <v>2118562.9190800004</v>
      </c>
      <c r="X10">
        <f t="shared" si="9"/>
        <v>0</v>
      </c>
    </row>
    <row r="11" spans="1:24">
      <c r="A11" s="23" t="s">
        <v>559</v>
      </c>
      <c r="B11" s="35" t="s">
        <v>8</v>
      </c>
      <c r="C11" s="97">
        <v>314</v>
      </c>
      <c r="D11" s="132">
        <v>22737325</v>
      </c>
      <c r="E11" s="116">
        <f t="shared" si="0"/>
        <v>72411.863057324837</v>
      </c>
      <c r="F11" s="134">
        <v>11715897</v>
      </c>
      <c r="G11" s="117">
        <f t="shared" si="1"/>
        <v>37311.773885350318</v>
      </c>
      <c r="H11" s="7"/>
      <c r="I11" s="136">
        <v>6.5410000000000004</v>
      </c>
      <c r="J11" s="134">
        <v>76633.682277000014</v>
      </c>
      <c r="K11" s="120">
        <f t="shared" si="2"/>
        <v>244.05631298407647</v>
      </c>
      <c r="L11" s="122">
        <f t="shared" si="3"/>
        <v>117158.97</v>
      </c>
      <c r="M11" s="116">
        <f t="shared" si="4"/>
        <v>40525.287722999987</v>
      </c>
      <c r="N11" s="123">
        <f t="shared" si="5"/>
        <v>129.0614258694267</v>
      </c>
      <c r="O11" s="5"/>
      <c r="P11" s="5">
        <f t="shared" si="6"/>
        <v>1</v>
      </c>
      <c r="Q11" s="7">
        <f t="shared" si="7"/>
        <v>314</v>
      </c>
      <c r="S11" s="124"/>
      <c r="W11" s="124">
        <f t="shared" si="8"/>
        <v>76633.682277</v>
      </c>
      <c r="X11">
        <f t="shared" si="9"/>
        <v>0</v>
      </c>
    </row>
    <row r="12" spans="1:24">
      <c r="A12" s="23" t="s">
        <v>13</v>
      </c>
      <c r="B12" s="35" t="s">
        <v>8</v>
      </c>
      <c r="C12" s="97">
        <v>654</v>
      </c>
      <c r="D12" s="132">
        <v>63255669</v>
      </c>
      <c r="E12" s="116">
        <f t="shared" si="0"/>
        <v>96721.206422018353</v>
      </c>
      <c r="F12" s="134">
        <v>37043974</v>
      </c>
      <c r="G12" s="117">
        <f t="shared" si="1"/>
        <v>56642.162079510701</v>
      </c>
      <c r="H12" s="7"/>
      <c r="I12" s="136">
        <v>5.2281000000000004</v>
      </c>
      <c r="J12" s="134">
        <v>193669.60046940003</v>
      </c>
      <c r="K12" s="120">
        <f t="shared" si="2"/>
        <v>296.13088756788994</v>
      </c>
      <c r="L12" s="122">
        <f t="shared" si="3"/>
        <v>370439.74</v>
      </c>
      <c r="M12" s="116">
        <f t="shared" si="4"/>
        <v>176770.13953059996</v>
      </c>
      <c r="N12" s="123">
        <f t="shared" si="5"/>
        <v>270.29073322721706</v>
      </c>
      <c r="O12" s="5"/>
      <c r="P12" s="5">
        <f t="shared" si="6"/>
        <v>1</v>
      </c>
      <c r="Q12" s="7">
        <f t="shared" si="7"/>
        <v>654</v>
      </c>
      <c r="S12" s="124"/>
      <c r="W12" s="124">
        <f t="shared" si="8"/>
        <v>193669.6004694</v>
      </c>
      <c r="X12">
        <f t="shared" si="9"/>
        <v>0</v>
      </c>
    </row>
    <row r="13" spans="1:24">
      <c r="A13" s="23" t="s">
        <v>14</v>
      </c>
      <c r="B13" s="35" t="s">
        <v>8</v>
      </c>
      <c r="C13" s="97">
        <v>7684</v>
      </c>
      <c r="D13" s="132">
        <v>1073168749</v>
      </c>
      <c r="E13" s="116">
        <f t="shared" si="0"/>
        <v>139662.77316501821</v>
      </c>
      <c r="F13" s="134">
        <v>546998439</v>
      </c>
      <c r="G13" s="117">
        <f t="shared" si="1"/>
        <v>71186.67868297761</v>
      </c>
      <c r="H13" s="7"/>
      <c r="I13" s="136">
        <v>5.9999000000000002</v>
      </c>
      <c r="J13" s="134">
        <v>3281935.9341561003</v>
      </c>
      <c r="K13" s="120">
        <f t="shared" si="2"/>
        <v>427.11295342999745</v>
      </c>
      <c r="L13" s="122">
        <f t="shared" si="3"/>
        <v>5469984.3899999997</v>
      </c>
      <c r="M13" s="116">
        <f t="shared" si="4"/>
        <v>2188048.4558438994</v>
      </c>
      <c r="N13" s="123">
        <f t="shared" si="5"/>
        <v>284.75383339977867</v>
      </c>
      <c r="O13" s="5"/>
      <c r="P13" s="5">
        <f t="shared" si="6"/>
        <v>1</v>
      </c>
      <c r="Q13" s="7">
        <f t="shared" si="7"/>
        <v>7684</v>
      </c>
      <c r="S13" s="124"/>
      <c r="W13" s="124">
        <f t="shared" si="8"/>
        <v>3281935.9341560998</v>
      </c>
      <c r="X13">
        <f t="shared" si="9"/>
        <v>0</v>
      </c>
    </row>
    <row r="14" spans="1:24">
      <c r="A14" s="23" t="s">
        <v>15</v>
      </c>
      <c r="B14" s="35" t="s">
        <v>8</v>
      </c>
      <c r="C14" s="97">
        <v>861</v>
      </c>
      <c r="D14" s="132">
        <v>50364564</v>
      </c>
      <c r="E14" s="116">
        <f t="shared" si="0"/>
        <v>58495.428571428572</v>
      </c>
      <c r="F14" s="134">
        <v>31522824</v>
      </c>
      <c r="G14" s="117">
        <f t="shared" si="1"/>
        <v>36611.874564459933</v>
      </c>
      <c r="H14" s="7"/>
      <c r="I14" s="136">
        <v>7.5179999999999998</v>
      </c>
      <c r="J14" s="134">
        <v>236988.59083199999</v>
      </c>
      <c r="K14" s="120">
        <f t="shared" si="2"/>
        <v>275.24807297560972</v>
      </c>
      <c r="L14" s="122">
        <f t="shared" si="3"/>
        <v>315228.24</v>
      </c>
      <c r="M14" s="116">
        <f t="shared" si="4"/>
        <v>78239.649168000004</v>
      </c>
      <c r="N14" s="123">
        <f t="shared" si="5"/>
        <v>90.870672668989556</v>
      </c>
      <c r="O14" s="5"/>
      <c r="P14" s="5">
        <f t="shared" si="6"/>
        <v>1</v>
      </c>
      <c r="Q14" s="7">
        <f t="shared" si="7"/>
        <v>861</v>
      </c>
      <c r="S14" s="124">
        <f>SUM(D6:D14)</f>
        <v>21454736745</v>
      </c>
      <c r="T14" s="184">
        <f>SUM(F6:F14)</f>
        <v>10093418422</v>
      </c>
      <c r="U14" s="184">
        <f>SUM(J6:J14)</f>
        <v>55910840.550915107</v>
      </c>
      <c r="W14" s="124">
        <f t="shared" si="8"/>
        <v>236988.59083199999</v>
      </c>
      <c r="X14">
        <f t="shared" si="9"/>
        <v>0</v>
      </c>
    </row>
    <row r="15" spans="1:24">
      <c r="A15" s="24" t="s">
        <v>544</v>
      </c>
      <c r="B15" s="35" t="s">
        <v>16</v>
      </c>
      <c r="C15" s="125">
        <v>476</v>
      </c>
      <c r="D15" s="147" t="s">
        <v>564</v>
      </c>
      <c r="E15" s="116"/>
      <c r="F15" s="134"/>
      <c r="G15" s="117"/>
      <c r="H15" s="98" t="s">
        <v>588</v>
      </c>
      <c r="I15" s="136"/>
      <c r="J15" s="134"/>
      <c r="K15" s="120"/>
      <c r="L15" s="122">
        <f t="shared" si="3"/>
        <v>0</v>
      </c>
      <c r="M15" s="116">
        <f t="shared" si="4"/>
        <v>0</v>
      </c>
      <c r="N15" s="123">
        <f t="shared" si="5"/>
        <v>0</v>
      </c>
      <c r="O15" s="5"/>
      <c r="P15" s="5">
        <f t="shared" si="6"/>
        <v>0</v>
      </c>
      <c r="Q15" s="7">
        <f t="shared" si="7"/>
        <v>0</v>
      </c>
      <c r="W15" s="124">
        <f t="shared" si="8"/>
        <v>0</v>
      </c>
      <c r="X15">
        <f t="shared" si="9"/>
        <v>0</v>
      </c>
    </row>
    <row r="16" spans="1:24">
      <c r="A16" s="23" t="s">
        <v>17</v>
      </c>
      <c r="B16" s="35" t="s">
        <v>16</v>
      </c>
      <c r="C16" s="125">
        <v>7522</v>
      </c>
      <c r="D16" s="132">
        <v>537132050</v>
      </c>
      <c r="E16" s="116">
        <f>(D16/C16)</f>
        <v>71408.142781175222</v>
      </c>
      <c r="F16" s="134">
        <v>319654380</v>
      </c>
      <c r="G16" s="117">
        <f>(F16/C16)</f>
        <v>42495.929274129223</v>
      </c>
      <c r="H16" s="7"/>
      <c r="I16" s="136">
        <v>3.6</v>
      </c>
      <c r="J16" s="134">
        <v>1150755.7679999999</v>
      </c>
      <c r="K16" s="120">
        <f>(J16/C16)</f>
        <v>152.98534538686519</v>
      </c>
      <c r="L16" s="122">
        <f t="shared" si="3"/>
        <v>3196543.8000000003</v>
      </c>
      <c r="M16" s="116">
        <f t="shared" si="4"/>
        <v>2045788.0320000004</v>
      </c>
      <c r="N16" s="123">
        <f t="shared" si="5"/>
        <v>271.97394735442708</v>
      </c>
      <c r="O16" s="5"/>
      <c r="P16" s="5">
        <f t="shared" si="6"/>
        <v>1</v>
      </c>
      <c r="Q16" s="7">
        <f t="shared" si="7"/>
        <v>7522</v>
      </c>
      <c r="S16" s="124">
        <f>SUM(D15:D16)</f>
        <v>537132050</v>
      </c>
      <c r="T16" s="124">
        <f>SUM(F15:F16)</f>
        <v>319654380</v>
      </c>
      <c r="U16" s="124">
        <f>SUM(J15:J16)</f>
        <v>1150755.7679999999</v>
      </c>
      <c r="W16" s="124">
        <f t="shared" si="8"/>
        <v>1150755.7679999999</v>
      </c>
      <c r="X16">
        <f t="shared" si="9"/>
        <v>0</v>
      </c>
    </row>
    <row r="17" spans="1:24">
      <c r="A17" s="23" t="s">
        <v>18</v>
      </c>
      <c r="B17" s="35" t="s">
        <v>19</v>
      </c>
      <c r="C17" s="125">
        <v>13081</v>
      </c>
      <c r="D17" s="132">
        <v>805939911</v>
      </c>
      <c r="E17" s="116">
        <f>(D17/C17)</f>
        <v>61611.49078816604</v>
      </c>
      <c r="F17" s="134">
        <v>567745938</v>
      </c>
      <c r="G17" s="117">
        <f>(F17/C17)</f>
        <v>43402.334530999156</v>
      </c>
      <c r="H17" s="8"/>
      <c r="I17" s="136">
        <v>2.75</v>
      </c>
      <c r="J17" s="134">
        <v>1561301.3295</v>
      </c>
      <c r="K17" s="120">
        <f>(J17/C17)</f>
        <v>119.35641996024769</v>
      </c>
      <c r="L17" s="122">
        <f t="shared" si="3"/>
        <v>5677459.3799999999</v>
      </c>
      <c r="M17" s="116">
        <f t="shared" si="4"/>
        <v>4116158.0504999999</v>
      </c>
      <c r="N17" s="123">
        <f t="shared" si="5"/>
        <v>314.66692534974391</v>
      </c>
      <c r="O17" s="5"/>
      <c r="P17" s="5">
        <f t="shared" si="6"/>
        <v>1</v>
      </c>
      <c r="Q17" s="7">
        <f t="shared" si="7"/>
        <v>13081</v>
      </c>
      <c r="W17" s="124">
        <f t="shared" si="8"/>
        <v>1561301.3295</v>
      </c>
      <c r="X17">
        <f t="shared" si="9"/>
        <v>0</v>
      </c>
    </row>
    <row r="18" spans="1:24">
      <c r="A18" s="23" t="s">
        <v>21</v>
      </c>
      <c r="B18" s="35" t="s">
        <v>19</v>
      </c>
      <c r="C18" s="125">
        <v>18810</v>
      </c>
      <c r="D18" s="132">
        <v>1792965879</v>
      </c>
      <c r="E18" s="116">
        <f>(D18/C18)</f>
        <v>95319.823444976078</v>
      </c>
      <c r="F18" s="134">
        <v>1246391939</v>
      </c>
      <c r="G18" s="117">
        <f>(F18/C18)</f>
        <v>66262.197713981921</v>
      </c>
      <c r="H18" s="7"/>
      <c r="I18" s="136">
        <v>4.0999999999999996</v>
      </c>
      <c r="J18" s="134">
        <v>5110206.9498999994</v>
      </c>
      <c r="K18" s="120">
        <f>(J18/C18)</f>
        <v>271.67501062732583</v>
      </c>
      <c r="L18" s="122">
        <f t="shared" si="3"/>
        <v>12463919.390000001</v>
      </c>
      <c r="M18" s="116">
        <f t="shared" si="4"/>
        <v>7353712.4401000012</v>
      </c>
      <c r="N18" s="123">
        <f t="shared" si="5"/>
        <v>390.94696651249342</v>
      </c>
      <c r="O18" s="5"/>
      <c r="P18" s="5">
        <f t="shared" si="6"/>
        <v>1</v>
      </c>
      <c r="Q18" s="7">
        <f t="shared" si="7"/>
        <v>18810</v>
      </c>
      <c r="W18" s="124">
        <f t="shared" si="8"/>
        <v>5110206.9498999994</v>
      </c>
      <c r="X18">
        <f t="shared" si="9"/>
        <v>0</v>
      </c>
    </row>
    <row r="19" spans="1:24">
      <c r="A19" s="23" t="s">
        <v>22</v>
      </c>
      <c r="B19" s="35" t="s">
        <v>19</v>
      </c>
      <c r="C19" s="125">
        <v>1037</v>
      </c>
      <c r="D19" s="132">
        <v>516707809</v>
      </c>
      <c r="E19" s="116">
        <f>(D19/C19)</f>
        <v>498271.75409836066</v>
      </c>
      <c r="F19" s="134">
        <v>413062992</v>
      </c>
      <c r="G19" s="117">
        <f>(F19/C19)</f>
        <v>398324.96817743493</v>
      </c>
      <c r="H19" s="7"/>
      <c r="I19" s="150">
        <v>7</v>
      </c>
      <c r="J19" s="134">
        <v>2891440.9440000001</v>
      </c>
      <c r="K19" s="120">
        <f>(J19/C19)</f>
        <v>2788.2747772420444</v>
      </c>
      <c r="L19" s="122">
        <f t="shared" si="3"/>
        <v>4130629.92</v>
      </c>
      <c r="M19" s="116">
        <f t="shared" si="4"/>
        <v>1239188.9759999998</v>
      </c>
      <c r="N19" s="123">
        <f t="shared" si="5"/>
        <v>1194.9749045323044</v>
      </c>
      <c r="O19" s="5"/>
      <c r="P19" s="5">
        <f t="shared" si="6"/>
        <v>1</v>
      </c>
      <c r="Q19" s="7">
        <f t="shared" si="7"/>
        <v>1037</v>
      </c>
      <c r="W19" s="124">
        <f t="shared" si="8"/>
        <v>2891440.9440000001</v>
      </c>
      <c r="X19">
        <f t="shared" si="9"/>
        <v>0</v>
      </c>
    </row>
    <row r="20" spans="1:24">
      <c r="A20" s="23" t="s">
        <v>23</v>
      </c>
      <c r="B20" s="35" t="s">
        <v>19</v>
      </c>
      <c r="C20" s="125">
        <v>34698</v>
      </c>
      <c r="D20" s="132">
        <v>3666955444</v>
      </c>
      <c r="E20" s="116">
        <f>(D20/C20)</f>
        <v>105682.0405787077</v>
      </c>
      <c r="F20" s="134">
        <v>2459040127</v>
      </c>
      <c r="G20" s="117">
        <f>(F20/C20)</f>
        <v>70869.794426191715</v>
      </c>
      <c r="H20" s="7"/>
      <c r="I20" s="136">
        <v>4.8998999999999997</v>
      </c>
      <c r="J20" s="134">
        <v>12049050.7182873</v>
      </c>
      <c r="K20" s="120">
        <f>(J20/C20)</f>
        <v>347.25490570889679</v>
      </c>
      <c r="L20" s="122">
        <f t="shared" si="3"/>
        <v>24590401.27</v>
      </c>
      <c r="M20" s="116">
        <f t="shared" si="4"/>
        <v>12541350.551712699</v>
      </c>
      <c r="N20" s="123">
        <f t="shared" si="5"/>
        <v>361.4430385530203</v>
      </c>
      <c r="O20" s="5"/>
      <c r="P20" s="5">
        <f t="shared" si="6"/>
        <v>1</v>
      </c>
      <c r="Q20" s="7">
        <f t="shared" si="7"/>
        <v>34698</v>
      </c>
      <c r="W20" s="124">
        <f t="shared" si="8"/>
        <v>12049050.718287298</v>
      </c>
      <c r="X20">
        <f t="shared" si="9"/>
        <v>0</v>
      </c>
    </row>
    <row r="21" spans="1:24">
      <c r="A21" s="23" t="s">
        <v>24</v>
      </c>
      <c r="B21" s="35" t="s">
        <v>19</v>
      </c>
      <c r="C21" s="125">
        <v>18783</v>
      </c>
      <c r="D21" s="147" t="s">
        <v>564</v>
      </c>
      <c r="E21" s="116"/>
      <c r="F21" s="134"/>
      <c r="G21" s="117"/>
      <c r="H21" s="98" t="s">
        <v>588</v>
      </c>
      <c r="I21" s="151"/>
      <c r="J21" s="134"/>
      <c r="K21" s="120"/>
      <c r="L21" s="122">
        <f t="shared" si="3"/>
        <v>0</v>
      </c>
      <c r="M21" s="116">
        <f t="shared" si="4"/>
        <v>0</v>
      </c>
      <c r="N21" s="123">
        <f t="shared" si="5"/>
        <v>0</v>
      </c>
      <c r="O21" s="5"/>
      <c r="P21" s="5">
        <f t="shared" si="6"/>
        <v>0</v>
      </c>
      <c r="Q21" s="7">
        <f t="shared" si="7"/>
        <v>0</v>
      </c>
      <c r="W21" s="124">
        <f t="shared" si="8"/>
        <v>0</v>
      </c>
      <c r="X21">
        <f t="shared" si="9"/>
        <v>0</v>
      </c>
    </row>
    <row r="22" spans="1:24">
      <c r="A22" s="23" t="s">
        <v>25</v>
      </c>
      <c r="B22" s="35" t="s">
        <v>19</v>
      </c>
      <c r="C22" s="125">
        <v>4027</v>
      </c>
      <c r="D22" s="147" t="s">
        <v>564</v>
      </c>
      <c r="E22" s="116"/>
      <c r="F22" s="134"/>
      <c r="G22" s="117"/>
      <c r="H22" s="98" t="s">
        <v>588</v>
      </c>
      <c r="I22" s="151"/>
      <c r="J22" s="134"/>
      <c r="K22" s="120"/>
      <c r="L22" s="122">
        <f t="shared" si="3"/>
        <v>0</v>
      </c>
      <c r="M22" s="116">
        <f t="shared" si="4"/>
        <v>0</v>
      </c>
      <c r="N22" s="123">
        <f t="shared" si="5"/>
        <v>0</v>
      </c>
      <c r="O22" s="5"/>
      <c r="P22" s="5">
        <f t="shared" si="6"/>
        <v>0</v>
      </c>
      <c r="Q22" s="7">
        <f t="shared" si="7"/>
        <v>0</v>
      </c>
      <c r="W22" s="124">
        <f t="shared" si="8"/>
        <v>0</v>
      </c>
      <c r="X22">
        <f t="shared" si="9"/>
        <v>0</v>
      </c>
    </row>
    <row r="23" spans="1:24">
      <c r="A23" s="23" t="s">
        <v>26</v>
      </c>
      <c r="B23" s="35" t="s">
        <v>19</v>
      </c>
      <c r="C23" s="125">
        <v>8109</v>
      </c>
      <c r="D23" s="147">
        <v>381307915</v>
      </c>
      <c r="E23" s="116">
        <f t="shared" ref="E23:E38" si="10">(D23/C23)</f>
        <v>47022.803674929091</v>
      </c>
      <c r="F23" s="134">
        <v>223563851</v>
      </c>
      <c r="G23" s="117">
        <f t="shared" ref="G23:G38" si="11">(F23/C23)</f>
        <v>27569.842274016526</v>
      </c>
      <c r="H23" s="98"/>
      <c r="I23" s="136">
        <v>4.4649999999999999</v>
      </c>
      <c r="J23" s="134">
        <v>998212.5947149999</v>
      </c>
      <c r="K23" s="120">
        <f t="shared" ref="K23:K38" si="12">(J23/C23)</f>
        <v>123.09934575348377</v>
      </c>
      <c r="L23" s="122">
        <f t="shared" si="3"/>
        <v>2235638.5100000002</v>
      </c>
      <c r="M23" s="116">
        <f t="shared" si="4"/>
        <v>1237425.9152850003</v>
      </c>
      <c r="N23" s="123">
        <f t="shared" si="5"/>
        <v>152.5990769866815</v>
      </c>
      <c r="O23" s="5"/>
      <c r="P23" s="5">
        <f t="shared" si="6"/>
        <v>1</v>
      </c>
      <c r="Q23" s="7">
        <f t="shared" si="7"/>
        <v>8109</v>
      </c>
      <c r="S23" s="124">
        <f>SUM(D17:D23)</f>
        <v>7163876958</v>
      </c>
      <c r="T23" s="124">
        <f>SUM(F17:F23)</f>
        <v>4909804847</v>
      </c>
      <c r="U23" s="124">
        <f>SUM(J17:J23)</f>
        <v>22610212.5364023</v>
      </c>
      <c r="W23" s="124">
        <f t="shared" si="8"/>
        <v>998212.59471500001</v>
      </c>
      <c r="X23">
        <f t="shared" si="9"/>
        <v>0</v>
      </c>
    </row>
    <row r="24" spans="1:24">
      <c r="A24" s="23" t="s">
        <v>27</v>
      </c>
      <c r="B24" s="35" t="s">
        <v>28</v>
      </c>
      <c r="C24" s="125">
        <v>327</v>
      </c>
      <c r="D24" s="132">
        <v>17469418</v>
      </c>
      <c r="E24" s="116">
        <f t="shared" si="10"/>
        <v>53423.29663608563</v>
      </c>
      <c r="F24" s="134">
        <v>9922328</v>
      </c>
      <c r="G24" s="117">
        <f t="shared" si="11"/>
        <v>30343.510703363914</v>
      </c>
      <c r="H24" s="7"/>
      <c r="I24" s="136">
        <v>0.28000000000000003</v>
      </c>
      <c r="J24" s="134">
        <v>2778.2518400000004</v>
      </c>
      <c r="K24" s="120">
        <f t="shared" si="12"/>
        <v>8.4961829969418972</v>
      </c>
      <c r="L24" s="122">
        <f t="shared" si="3"/>
        <v>99223.28</v>
      </c>
      <c r="M24" s="116">
        <f t="shared" si="4"/>
        <v>96445.028160000002</v>
      </c>
      <c r="N24" s="123">
        <f t="shared" si="5"/>
        <v>294.93892403669724</v>
      </c>
      <c r="O24" s="5"/>
      <c r="P24" s="5">
        <f t="shared" si="6"/>
        <v>1</v>
      </c>
      <c r="Q24" s="7">
        <f t="shared" si="7"/>
        <v>327</v>
      </c>
      <c r="W24" s="124">
        <f t="shared" si="8"/>
        <v>2778.2518400000004</v>
      </c>
      <c r="X24">
        <f t="shared" si="9"/>
        <v>0</v>
      </c>
    </row>
    <row r="25" spans="1:24">
      <c r="A25" s="23" t="s">
        <v>29</v>
      </c>
      <c r="B25" s="35" t="s">
        <v>28</v>
      </c>
      <c r="C25" s="125">
        <v>436</v>
      </c>
      <c r="D25" s="132">
        <v>16137365</v>
      </c>
      <c r="E25" s="116">
        <f t="shared" si="10"/>
        <v>37012.305045871559</v>
      </c>
      <c r="F25" s="134">
        <v>9854137</v>
      </c>
      <c r="G25" s="117">
        <f t="shared" si="11"/>
        <v>22601.231651376147</v>
      </c>
      <c r="H25" s="7"/>
      <c r="I25" s="136">
        <v>1.25</v>
      </c>
      <c r="J25" s="134">
        <v>12317.671249999999</v>
      </c>
      <c r="K25" s="120">
        <f t="shared" si="12"/>
        <v>28.251539564220181</v>
      </c>
      <c r="L25" s="122">
        <f t="shared" si="3"/>
        <v>98541.37</v>
      </c>
      <c r="M25" s="116">
        <f t="shared" si="4"/>
        <v>86223.698749999996</v>
      </c>
      <c r="N25" s="123">
        <f t="shared" si="5"/>
        <v>197.76077694954128</v>
      </c>
      <c r="O25" s="5"/>
      <c r="P25" s="5">
        <f t="shared" si="6"/>
        <v>1</v>
      </c>
      <c r="Q25" s="7">
        <f t="shared" si="7"/>
        <v>436</v>
      </c>
      <c r="W25" s="124">
        <f t="shared" si="8"/>
        <v>12317.671249999999</v>
      </c>
      <c r="X25">
        <f t="shared" si="9"/>
        <v>0</v>
      </c>
    </row>
    <row r="26" spans="1:24">
      <c r="A26" s="23" t="s">
        <v>30</v>
      </c>
      <c r="B26" s="35" t="s">
        <v>28</v>
      </c>
      <c r="C26" s="125">
        <v>643</v>
      </c>
      <c r="D26" s="132">
        <v>29783718</v>
      </c>
      <c r="E26" s="116">
        <f t="shared" si="10"/>
        <v>46319.934681181956</v>
      </c>
      <c r="F26" s="134">
        <v>18349790</v>
      </c>
      <c r="G26" s="117">
        <f t="shared" si="11"/>
        <v>28537.776049766719</v>
      </c>
      <c r="H26" s="7"/>
      <c r="I26" s="150">
        <v>1.6414</v>
      </c>
      <c r="J26" s="134">
        <v>30119.345305999999</v>
      </c>
      <c r="K26" s="120">
        <f t="shared" si="12"/>
        <v>46.841905608087089</v>
      </c>
      <c r="L26" s="122">
        <f t="shared" si="3"/>
        <v>183497.9</v>
      </c>
      <c r="M26" s="116">
        <f t="shared" si="4"/>
        <v>153378.55469399999</v>
      </c>
      <c r="N26" s="123">
        <f t="shared" si="5"/>
        <v>238.53585488958009</v>
      </c>
      <c r="O26" s="5"/>
      <c r="P26" s="5">
        <f t="shared" si="6"/>
        <v>1</v>
      </c>
      <c r="Q26" s="7">
        <f t="shared" si="7"/>
        <v>643</v>
      </c>
      <c r="W26" s="124">
        <f t="shared" si="8"/>
        <v>30119.345305999999</v>
      </c>
      <c r="X26">
        <f t="shared" si="9"/>
        <v>0</v>
      </c>
    </row>
    <row r="27" spans="1:24">
      <c r="A27" s="23" t="s">
        <v>31</v>
      </c>
      <c r="B27" s="35" t="s">
        <v>28</v>
      </c>
      <c r="C27" s="125">
        <v>5800</v>
      </c>
      <c r="D27" s="132">
        <v>328696874</v>
      </c>
      <c r="E27" s="116">
        <f t="shared" si="10"/>
        <v>56671.874827586209</v>
      </c>
      <c r="F27" s="134">
        <v>221424954</v>
      </c>
      <c r="G27" s="117">
        <f t="shared" si="11"/>
        <v>38176.716206896548</v>
      </c>
      <c r="H27" s="7"/>
      <c r="I27" s="150">
        <v>5.0909000000000004</v>
      </c>
      <c r="J27" s="134">
        <v>1127252.2983186003</v>
      </c>
      <c r="K27" s="120">
        <f t="shared" si="12"/>
        <v>194.3538445376897</v>
      </c>
      <c r="L27" s="122">
        <f t="shared" si="3"/>
        <v>2214249.54</v>
      </c>
      <c r="M27" s="116">
        <f t="shared" si="4"/>
        <v>1086997.2416813998</v>
      </c>
      <c r="N27" s="123">
        <f t="shared" si="5"/>
        <v>187.41331753127582</v>
      </c>
      <c r="O27" s="5"/>
      <c r="P27" s="5">
        <f t="shared" si="6"/>
        <v>1</v>
      </c>
      <c r="Q27" s="7">
        <f t="shared" si="7"/>
        <v>5800</v>
      </c>
      <c r="S27" s="124">
        <f>SUM(D24:D27)</f>
        <v>392087375</v>
      </c>
      <c r="T27" s="124">
        <f>SUM(F24:F27)</f>
        <v>259551209</v>
      </c>
      <c r="U27" s="124">
        <f>SUM(J24:J27)</f>
        <v>1172467.5667146002</v>
      </c>
      <c r="W27" s="124">
        <f t="shared" si="8"/>
        <v>1127252.2983186</v>
      </c>
      <c r="X27">
        <f t="shared" si="9"/>
        <v>0</v>
      </c>
    </row>
    <row r="28" spans="1:24">
      <c r="A28" s="23" t="s">
        <v>32</v>
      </c>
      <c r="B28" s="35" t="s">
        <v>33</v>
      </c>
      <c r="C28" s="125">
        <v>9959</v>
      </c>
      <c r="D28" s="132">
        <v>1976743016</v>
      </c>
      <c r="E28" s="116">
        <f t="shared" si="10"/>
        <v>198488.10282156843</v>
      </c>
      <c r="F28" s="134">
        <v>1530922568</v>
      </c>
      <c r="G28" s="117">
        <f t="shared" si="11"/>
        <v>153722.51912842656</v>
      </c>
      <c r="H28" s="7"/>
      <c r="I28" s="150">
        <v>3.5291000000000001</v>
      </c>
      <c r="J28" s="134">
        <v>5402778.8347287998</v>
      </c>
      <c r="K28" s="120">
        <f t="shared" si="12"/>
        <v>542.50214225613013</v>
      </c>
      <c r="L28" s="122">
        <f t="shared" si="3"/>
        <v>15309225.68</v>
      </c>
      <c r="M28" s="116">
        <f t="shared" si="4"/>
        <v>9906446.8452711999</v>
      </c>
      <c r="N28" s="123">
        <f t="shared" si="5"/>
        <v>994.72304902813539</v>
      </c>
      <c r="O28" s="5"/>
      <c r="P28" s="5">
        <f t="shared" si="6"/>
        <v>1</v>
      </c>
      <c r="Q28" s="7">
        <f t="shared" si="7"/>
        <v>9959</v>
      </c>
      <c r="W28" s="124">
        <f t="shared" si="8"/>
        <v>5402778.8347288007</v>
      </c>
      <c r="X28">
        <f t="shared" si="9"/>
        <v>0</v>
      </c>
    </row>
    <row r="29" spans="1:24">
      <c r="A29" s="23" t="s">
        <v>34</v>
      </c>
      <c r="B29" s="35" t="s">
        <v>33</v>
      </c>
      <c r="C29" s="125">
        <v>19653</v>
      </c>
      <c r="D29" s="132">
        <v>1958749062</v>
      </c>
      <c r="E29" s="116">
        <f t="shared" si="10"/>
        <v>99666.669821401316</v>
      </c>
      <c r="F29" s="134">
        <v>1227524954</v>
      </c>
      <c r="G29" s="117">
        <f t="shared" si="11"/>
        <v>62459.927441103137</v>
      </c>
      <c r="H29" s="7"/>
      <c r="I29" s="136">
        <v>6.4531999999999998</v>
      </c>
      <c r="J29" s="134">
        <v>7921464.0331528001</v>
      </c>
      <c r="K29" s="120">
        <f t="shared" si="12"/>
        <v>403.06640376292677</v>
      </c>
      <c r="L29" s="122">
        <f t="shared" si="3"/>
        <v>12275249.540000001</v>
      </c>
      <c r="M29" s="116">
        <f t="shared" si="4"/>
        <v>4353785.5068472009</v>
      </c>
      <c r="N29" s="123">
        <f t="shared" si="5"/>
        <v>221.53287064810465</v>
      </c>
      <c r="O29" s="5"/>
      <c r="P29" s="5">
        <f t="shared" si="6"/>
        <v>1</v>
      </c>
      <c r="Q29" s="7">
        <f t="shared" si="7"/>
        <v>19653</v>
      </c>
      <c r="W29" s="124">
        <f t="shared" si="8"/>
        <v>7921464.0331528001</v>
      </c>
      <c r="X29">
        <f t="shared" si="9"/>
        <v>0</v>
      </c>
    </row>
    <row r="30" spans="1:24">
      <c r="A30" s="23" t="s">
        <v>35</v>
      </c>
      <c r="B30" s="35" t="s">
        <v>33</v>
      </c>
      <c r="C30" s="125">
        <v>11346</v>
      </c>
      <c r="D30" s="132">
        <v>3338420441</v>
      </c>
      <c r="E30" s="116">
        <f t="shared" si="10"/>
        <v>294237.65564956813</v>
      </c>
      <c r="F30" s="134">
        <v>2327019290</v>
      </c>
      <c r="G30" s="117">
        <f t="shared" si="11"/>
        <v>205096.00652212233</v>
      </c>
      <c r="H30" s="7"/>
      <c r="I30" s="136">
        <v>5.9543999999999997</v>
      </c>
      <c r="J30" s="134">
        <v>13856003.660375999</v>
      </c>
      <c r="K30" s="120">
        <f t="shared" si="12"/>
        <v>1221.2236612353252</v>
      </c>
      <c r="L30" s="122">
        <f t="shared" si="3"/>
        <v>23270192.900000002</v>
      </c>
      <c r="M30" s="116">
        <f t="shared" si="4"/>
        <v>9414189.2396240029</v>
      </c>
      <c r="N30" s="123">
        <f t="shared" si="5"/>
        <v>829.73640398589839</v>
      </c>
      <c r="O30" s="5"/>
      <c r="P30" s="5">
        <f t="shared" si="6"/>
        <v>1</v>
      </c>
      <c r="Q30" s="7">
        <f t="shared" si="7"/>
        <v>11346</v>
      </c>
      <c r="W30" s="124">
        <f t="shared" si="8"/>
        <v>13856003.660375999</v>
      </c>
      <c r="X30">
        <f t="shared" si="9"/>
        <v>0</v>
      </c>
    </row>
    <row r="31" spans="1:24">
      <c r="A31" s="23" t="s">
        <v>530</v>
      </c>
      <c r="B31" s="35" t="s">
        <v>33</v>
      </c>
      <c r="C31" s="125">
        <v>4612</v>
      </c>
      <c r="D31" s="132">
        <v>779794012</v>
      </c>
      <c r="E31" s="116">
        <f t="shared" si="10"/>
        <v>169079.36079791846</v>
      </c>
      <c r="F31" s="134">
        <v>480644198</v>
      </c>
      <c r="G31" s="117">
        <f t="shared" si="11"/>
        <v>104216.00130095403</v>
      </c>
      <c r="H31" s="9"/>
      <c r="I31" s="136">
        <v>1.3038000000000001</v>
      </c>
      <c r="J31" s="134">
        <v>626663.90535240003</v>
      </c>
      <c r="K31" s="120">
        <f t="shared" si="12"/>
        <v>135.87682249618388</v>
      </c>
      <c r="L31" s="122">
        <f t="shared" si="3"/>
        <v>4806441.9800000004</v>
      </c>
      <c r="M31" s="116">
        <f t="shared" si="4"/>
        <v>4179778.0746476003</v>
      </c>
      <c r="N31" s="123">
        <f t="shared" si="5"/>
        <v>906.28319051335654</v>
      </c>
      <c r="O31" s="5"/>
      <c r="P31" s="5">
        <f t="shared" si="6"/>
        <v>1</v>
      </c>
      <c r="Q31" s="7">
        <f t="shared" si="7"/>
        <v>4612</v>
      </c>
      <c r="W31" s="124">
        <f t="shared" si="8"/>
        <v>626663.90535240003</v>
      </c>
      <c r="X31">
        <f t="shared" si="9"/>
        <v>0</v>
      </c>
    </row>
    <row r="32" spans="1:24">
      <c r="A32" s="23" t="s">
        <v>36</v>
      </c>
      <c r="B32" s="35" t="s">
        <v>33</v>
      </c>
      <c r="C32" s="125">
        <v>3003</v>
      </c>
      <c r="D32" s="132">
        <v>696938572</v>
      </c>
      <c r="E32" s="116">
        <f t="shared" si="10"/>
        <v>232080.77655677655</v>
      </c>
      <c r="F32" s="134">
        <v>479167895</v>
      </c>
      <c r="G32" s="117">
        <f t="shared" si="11"/>
        <v>159563.06859806861</v>
      </c>
      <c r="H32" s="7"/>
      <c r="I32" s="136">
        <v>6.0922999999999998</v>
      </c>
      <c r="J32" s="134">
        <v>2919234.5667085</v>
      </c>
      <c r="K32" s="120">
        <f t="shared" si="12"/>
        <v>972.10608282001328</v>
      </c>
      <c r="L32" s="122">
        <f t="shared" si="3"/>
        <v>4791678.95</v>
      </c>
      <c r="M32" s="116">
        <f t="shared" si="4"/>
        <v>1872444.3832915002</v>
      </c>
      <c r="N32" s="123">
        <f t="shared" si="5"/>
        <v>623.52460316067277</v>
      </c>
      <c r="O32" s="5"/>
      <c r="P32" s="5">
        <f t="shared" si="6"/>
        <v>1</v>
      </c>
      <c r="Q32" s="7">
        <f t="shared" si="7"/>
        <v>3003</v>
      </c>
      <c r="W32" s="124">
        <f t="shared" si="8"/>
        <v>2919234.5667085</v>
      </c>
      <c r="X32">
        <f t="shared" si="9"/>
        <v>0</v>
      </c>
    </row>
    <row r="33" spans="1:24">
      <c r="A33" s="23" t="s">
        <v>37</v>
      </c>
      <c r="B33" s="35" t="s">
        <v>33</v>
      </c>
      <c r="C33" s="125">
        <v>9017</v>
      </c>
      <c r="D33" s="132">
        <v>1570361227</v>
      </c>
      <c r="E33" s="116">
        <f t="shared" si="10"/>
        <v>174155.62016191639</v>
      </c>
      <c r="F33" s="134">
        <v>1081997436</v>
      </c>
      <c r="G33" s="117">
        <f t="shared" si="11"/>
        <v>119995.27958300988</v>
      </c>
      <c r="H33" s="7"/>
      <c r="I33" s="136">
        <v>5.6401000000000003</v>
      </c>
      <c r="J33" s="134">
        <v>6102573.7387836007</v>
      </c>
      <c r="K33" s="120">
        <f t="shared" si="12"/>
        <v>676.78537637613408</v>
      </c>
      <c r="L33" s="122">
        <f t="shared" si="3"/>
        <v>10819974.359999999</v>
      </c>
      <c r="M33" s="116">
        <f t="shared" si="4"/>
        <v>4717400.6212163987</v>
      </c>
      <c r="N33" s="123">
        <f t="shared" si="5"/>
        <v>523.16741945396461</v>
      </c>
      <c r="O33" s="5"/>
      <c r="P33" s="5">
        <f t="shared" si="6"/>
        <v>1</v>
      </c>
      <c r="Q33" s="7">
        <f t="shared" si="7"/>
        <v>9017</v>
      </c>
      <c r="W33" s="124">
        <f t="shared" si="8"/>
        <v>6102573.7387836007</v>
      </c>
      <c r="X33">
        <f t="shared" si="9"/>
        <v>0</v>
      </c>
    </row>
    <row r="34" spans="1:24">
      <c r="A34" s="23" t="s">
        <v>38</v>
      </c>
      <c r="B34" s="35" t="s">
        <v>33</v>
      </c>
      <c r="C34" s="125">
        <v>2993</v>
      </c>
      <c r="D34" s="132">
        <v>483736273</v>
      </c>
      <c r="E34" s="116">
        <f t="shared" si="10"/>
        <v>161622.54360173739</v>
      </c>
      <c r="F34" s="134">
        <v>304073181</v>
      </c>
      <c r="G34" s="117">
        <f t="shared" si="11"/>
        <v>101594.78149014366</v>
      </c>
      <c r="H34" s="7"/>
      <c r="I34" s="136">
        <v>2.4899</v>
      </c>
      <c r="J34" s="134">
        <v>757111.8133719</v>
      </c>
      <c r="K34" s="120">
        <f t="shared" si="12"/>
        <v>252.96084643230873</v>
      </c>
      <c r="L34" s="122">
        <f t="shared" si="3"/>
        <v>3040731.81</v>
      </c>
      <c r="M34" s="116">
        <f t="shared" si="4"/>
        <v>2283619.9966281001</v>
      </c>
      <c r="N34" s="123">
        <f t="shared" si="5"/>
        <v>762.98696846912799</v>
      </c>
      <c r="O34" s="5"/>
      <c r="P34" s="5">
        <f t="shared" si="6"/>
        <v>1</v>
      </c>
      <c r="Q34" s="7">
        <f t="shared" si="7"/>
        <v>2993</v>
      </c>
      <c r="W34" s="124">
        <f t="shared" si="8"/>
        <v>757111.8133719</v>
      </c>
      <c r="X34">
        <f t="shared" si="9"/>
        <v>0</v>
      </c>
    </row>
    <row r="35" spans="1:24">
      <c r="A35" s="23" t="s">
        <v>39</v>
      </c>
      <c r="B35" s="35" t="s">
        <v>33</v>
      </c>
      <c r="C35" s="125">
        <v>85800</v>
      </c>
      <c r="D35" s="132">
        <v>10155842652</v>
      </c>
      <c r="E35" s="116">
        <f t="shared" si="10"/>
        <v>118366.46447552448</v>
      </c>
      <c r="F35" s="134">
        <v>6101161389</v>
      </c>
      <c r="G35" s="117">
        <f t="shared" si="11"/>
        <v>71109.107097902102</v>
      </c>
      <c r="H35" s="7"/>
      <c r="I35" s="136">
        <v>7.0518999999999998</v>
      </c>
      <c r="J35" s="134">
        <v>43024779.999089099</v>
      </c>
      <c r="K35" s="120">
        <f t="shared" si="12"/>
        <v>501.45431234369579</v>
      </c>
      <c r="L35" s="122">
        <f t="shared" si="3"/>
        <v>61011613.890000001</v>
      </c>
      <c r="M35" s="116">
        <f t="shared" si="4"/>
        <v>17986833.890910901</v>
      </c>
      <c r="N35" s="123">
        <f t="shared" si="5"/>
        <v>209.63675863532518</v>
      </c>
      <c r="O35" s="5"/>
      <c r="P35" s="5">
        <f t="shared" si="6"/>
        <v>1</v>
      </c>
      <c r="Q35" s="7">
        <f t="shared" si="7"/>
        <v>85800</v>
      </c>
      <c r="W35" s="124">
        <f t="shared" si="8"/>
        <v>43024779.999089099</v>
      </c>
      <c r="X35">
        <f t="shared" si="9"/>
        <v>0</v>
      </c>
    </row>
    <row r="36" spans="1:24">
      <c r="A36" s="23" t="s">
        <v>40</v>
      </c>
      <c r="B36" s="35" t="s">
        <v>33</v>
      </c>
      <c r="C36" s="125">
        <v>3236</v>
      </c>
      <c r="D36" s="132">
        <v>734733332</v>
      </c>
      <c r="E36" s="116">
        <f t="shared" si="10"/>
        <v>227049.85537700864</v>
      </c>
      <c r="F36" s="134">
        <v>481818980</v>
      </c>
      <c r="G36" s="117">
        <f t="shared" si="11"/>
        <v>148893.38071693448</v>
      </c>
      <c r="H36" s="7"/>
      <c r="I36" s="136">
        <v>4.6864999999999997</v>
      </c>
      <c r="J36" s="134">
        <v>2258044.64977</v>
      </c>
      <c r="K36" s="120">
        <f t="shared" si="12"/>
        <v>697.78882872991346</v>
      </c>
      <c r="L36" s="122">
        <f t="shared" si="3"/>
        <v>4818189.8</v>
      </c>
      <c r="M36" s="116">
        <f t="shared" si="4"/>
        <v>2560145.1502299998</v>
      </c>
      <c r="N36" s="123">
        <f t="shared" si="5"/>
        <v>791.14497843943138</v>
      </c>
      <c r="O36" s="5"/>
      <c r="P36" s="5">
        <f t="shared" si="6"/>
        <v>1</v>
      </c>
      <c r="Q36" s="7">
        <f t="shared" si="7"/>
        <v>3236</v>
      </c>
      <c r="W36" s="124">
        <f t="shared" si="8"/>
        <v>2258044.64977</v>
      </c>
      <c r="X36">
        <f t="shared" si="9"/>
        <v>0</v>
      </c>
    </row>
    <row r="37" spans="1:24">
      <c r="A37" s="23" t="s">
        <v>41</v>
      </c>
      <c r="B37" s="35" t="s">
        <v>33</v>
      </c>
      <c r="C37" s="125">
        <v>695</v>
      </c>
      <c r="D37" s="132">
        <v>90191033</v>
      </c>
      <c r="E37" s="116">
        <f t="shared" si="10"/>
        <v>129771.27050359712</v>
      </c>
      <c r="F37" s="134">
        <v>54752953</v>
      </c>
      <c r="G37" s="117">
        <f t="shared" si="11"/>
        <v>78781.227338129494</v>
      </c>
      <c r="H37" s="7"/>
      <c r="I37" s="136">
        <v>9.8102999999999998</v>
      </c>
      <c r="J37" s="134">
        <v>537142.89481590001</v>
      </c>
      <c r="K37" s="120">
        <f t="shared" si="12"/>
        <v>772.86747455525187</v>
      </c>
      <c r="L37" s="122">
        <f t="shared" si="3"/>
        <v>547529.53</v>
      </c>
      <c r="M37" s="116">
        <f t="shared" si="4"/>
        <v>10386.635184100014</v>
      </c>
      <c r="N37" s="123">
        <f t="shared" si="5"/>
        <v>14.944798826043186</v>
      </c>
      <c r="O37" s="5"/>
      <c r="P37" s="5">
        <f t="shared" si="6"/>
        <v>1</v>
      </c>
      <c r="Q37" s="7">
        <f t="shared" si="7"/>
        <v>695</v>
      </c>
      <c r="W37" s="124">
        <f t="shared" si="8"/>
        <v>537142.89481590001</v>
      </c>
      <c r="X37">
        <f t="shared" si="9"/>
        <v>0</v>
      </c>
    </row>
    <row r="38" spans="1:24">
      <c r="A38" s="23" t="s">
        <v>42</v>
      </c>
      <c r="B38" s="35" t="s">
        <v>33</v>
      </c>
      <c r="C38" s="125">
        <v>122765</v>
      </c>
      <c r="D38" s="132">
        <v>9979617413</v>
      </c>
      <c r="E38" s="116">
        <f t="shared" si="10"/>
        <v>81290.411868203475</v>
      </c>
      <c r="F38" s="134">
        <v>5358582681</v>
      </c>
      <c r="G38" s="117">
        <f t="shared" si="11"/>
        <v>43649.107489919763</v>
      </c>
      <c r="H38" s="7"/>
      <c r="I38" s="136">
        <v>7.5994999999999999</v>
      </c>
      <c r="J38" s="134">
        <v>40722549.084259495</v>
      </c>
      <c r="K38" s="120">
        <f t="shared" si="12"/>
        <v>331.71139236964524</v>
      </c>
      <c r="L38" s="122">
        <f t="shared" si="3"/>
        <v>53585826.810000002</v>
      </c>
      <c r="M38" s="116">
        <f t="shared" si="4"/>
        <v>12863277.725740507</v>
      </c>
      <c r="N38" s="123">
        <f t="shared" si="5"/>
        <v>104.77968252955246</v>
      </c>
      <c r="O38" s="5"/>
      <c r="P38" s="5">
        <f t="shared" si="6"/>
        <v>1</v>
      </c>
      <c r="Q38" s="7">
        <f t="shared" si="7"/>
        <v>122765</v>
      </c>
      <c r="W38" s="124">
        <f t="shared" si="8"/>
        <v>40722549.084259503</v>
      </c>
      <c r="X38">
        <f t="shared" si="9"/>
        <v>0</v>
      </c>
    </row>
    <row r="39" spans="1:24">
      <c r="A39" s="23" t="s">
        <v>43</v>
      </c>
      <c r="B39" s="35" t="s">
        <v>33</v>
      </c>
      <c r="C39" s="125">
        <v>1203</v>
      </c>
      <c r="D39" s="147" t="s">
        <v>564</v>
      </c>
      <c r="E39" s="116"/>
      <c r="F39" s="134"/>
      <c r="G39" s="117"/>
      <c r="H39" s="98" t="s">
        <v>588</v>
      </c>
      <c r="I39" s="136"/>
      <c r="J39" s="134"/>
      <c r="K39" s="120"/>
      <c r="L39" s="122">
        <f t="shared" si="3"/>
        <v>0</v>
      </c>
      <c r="M39" s="116">
        <f t="shared" si="4"/>
        <v>0</v>
      </c>
      <c r="N39" s="123">
        <f t="shared" si="5"/>
        <v>0</v>
      </c>
      <c r="O39" s="5"/>
      <c r="P39" s="5">
        <f t="shared" si="6"/>
        <v>0</v>
      </c>
      <c r="Q39" s="7">
        <f t="shared" si="7"/>
        <v>0</v>
      </c>
      <c r="W39" s="124">
        <f t="shared" si="8"/>
        <v>0</v>
      </c>
      <c r="X39">
        <f t="shared" si="9"/>
        <v>0</v>
      </c>
    </row>
    <row r="40" spans="1:24">
      <c r="A40" s="23" t="s">
        <v>44</v>
      </c>
      <c r="B40" s="35" t="s">
        <v>33</v>
      </c>
      <c r="C40" s="125">
        <v>27824</v>
      </c>
      <c r="D40" s="132">
        <v>3056156289</v>
      </c>
      <c r="E40" s="116">
        <f t="shared" ref="E40:E74" si="13">(D40/C40)</f>
        <v>109838.85455002876</v>
      </c>
      <c r="F40" s="134">
        <v>1789281182</v>
      </c>
      <c r="G40" s="117">
        <f t="shared" ref="G40:G74" si="14">(F40/C40)</f>
        <v>64307.115511788383</v>
      </c>
      <c r="H40" s="7"/>
      <c r="I40" s="136">
        <v>5.99</v>
      </c>
      <c r="J40" s="134">
        <v>10717794.28018</v>
      </c>
      <c r="K40" s="120">
        <f t="shared" ref="K40:K74" si="15">(J40/C40)</f>
        <v>385.1996219156124</v>
      </c>
      <c r="L40" s="122">
        <f t="shared" si="3"/>
        <v>17892811.82</v>
      </c>
      <c r="M40" s="116">
        <f t="shared" si="4"/>
        <v>7175017.5398200005</v>
      </c>
      <c r="N40" s="123">
        <f t="shared" si="5"/>
        <v>257.87153320227145</v>
      </c>
      <c r="O40" s="5"/>
      <c r="P40" s="5">
        <f t="shared" si="6"/>
        <v>1</v>
      </c>
      <c r="Q40" s="7">
        <f t="shared" si="7"/>
        <v>27824</v>
      </c>
      <c r="W40" s="124">
        <f t="shared" si="8"/>
        <v>10717794.280180002</v>
      </c>
      <c r="X40">
        <f t="shared" si="9"/>
        <v>0</v>
      </c>
    </row>
    <row r="41" spans="1:24">
      <c r="A41" s="23" t="s">
        <v>45</v>
      </c>
      <c r="B41" s="35" t="s">
        <v>33</v>
      </c>
      <c r="C41" s="125">
        <v>11332</v>
      </c>
      <c r="D41" s="132">
        <v>1886007993</v>
      </c>
      <c r="E41" s="116">
        <f t="shared" si="13"/>
        <v>166432.05021178961</v>
      </c>
      <c r="F41" s="134">
        <v>1146621235</v>
      </c>
      <c r="G41" s="117">
        <f t="shared" si="14"/>
        <v>101184.36595481822</v>
      </c>
      <c r="H41" s="7"/>
      <c r="I41" s="136">
        <v>8.6311999999999998</v>
      </c>
      <c r="J41" s="153">
        <v>9896717.2035319991</v>
      </c>
      <c r="K41" s="120">
        <f t="shared" si="15"/>
        <v>873.3424994292269</v>
      </c>
      <c r="L41" s="122">
        <f t="shared" si="3"/>
        <v>11466212.35</v>
      </c>
      <c r="M41" s="116">
        <f t="shared" si="4"/>
        <v>1569495.1464680005</v>
      </c>
      <c r="N41" s="123">
        <f t="shared" si="5"/>
        <v>138.50116011895523</v>
      </c>
      <c r="O41" s="5"/>
      <c r="P41" s="5">
        <f t="shared" si="6"/>
        <v>1</v>
      </c>
      <c r="Q41" s="7">
        <f t="shared" si="7"/>
        <v>11332</v>
      </c>
      <c r="W41" s="124">
        <f t="shared" si="8"/>
        <v>9896717.203532001</v>
      </c>
      <c r="X41">
        <f t="shared" si="9"/>
        <v>0</v>
      </c>
    </row>
    <row r="42" spans="1:24">
      <c r="A42" s="23" t="s">
        <v>46</v>
      </c>
      <c r="B42" s="35" t="s">
        <v>33</v>
      </c>
      <c r="C42" s="125">
        <v>49085</v>
      </c>
      <c r="D42" s="132">
        <v>4316285530</v>
      </c>
      <c r="E42" s="116">
        <f t="shared" si="13"/>
        <v>87934.919629214623</v>
      </c>
      <c r="F42" s="134">
        <v>2421769305</v>
      </c>
      <c r="G42" s="117">
        <f t="shared" si="14"/>
        <v>49338.276561067534</v>
      </c>
      <c r="H42" s="7"/>
      <c r="I42" s="136">
        <v>7.2145000000000001</v>
      </c>
      <c r="J42" s="134">
        <v>17471854.6509225</v>
      </c>
      <c r="K42" s="120">
        <f t="shared" si="15"/>
        <v>355.95099624982174</v>
      </c>
      <c r="L42" s="122">
        <f t="shared" si="3"/>
        <v>24217693.050000001</v>
      </c>
      <c r="M42" s="116">
        <f t="shared" si="4"/>
        <v>6745838.3990775011</v>
      </c>
      <c r="N42" s="123">
        <f t="shared" si="5"/>
        <v>137.43176936085365</v>
      </c>
      <c r="O42" s="5"/>
      <c r="P42" s="5">
        <f t="shared" si="6"/>
        <v>1</v>
      </c>
      <c r="Q42" s="7">
        <f t="shared" si="7"/>
        <v>49085</v>
      </c>
      <c r="W42" s="124">
        <f t="shared" si="8"/>
        <v>17471854.6509225</v>
      </c>
      <c r="X42">
        <f t="shared" si="9"/>
        <v>0</v>
      </c>
    </row>
    <row r="43" spans="1:24">
      <c r="A43" s="23" t="s">
        <v>47</v>
      </c>
      <c r="B43" s="35" t="s">
        <v>33</v>
      </c>
      <c r="C43" s="125">
        <v>28127</v>
      </c>
      <c r="D43" s="132">
        <v>3119061931</v>
      </c>
      <c r="E43" s="116">
        <f t="shared" si="13"/>
        <v>110892.09410886337</v>
      </c>
      <c r="F43" s="134">
        <v>2147181250</v>
      </c>
      <c r="G43" s="117">
        <f t="shared" si="14"/>
        <v>76338.793685782352</v>
      </c>
      <c r="H43" s="98"/>
      <c r="I43" s="136">
        <v>2.4228000000000001</v>
      </c>
      <c r="J43" s="134">
        <v>5202190.7324999999</v>
      </c>
      <c r="K43" s="120">
        <f t="shared" si="15"/>
        <v>184.95362934191346</v>
      </c>
      <c r="L43" s="122">
        <f t="shared" si="3"/>
        <v>21471812.5</v>
      </c>
      <c r="M43" s="116">
        <f t="shared" si="4"/>
        <v>16269621.7675</v>
      </c>
      <c r="N43" s="123">
        <f t="shared" si="5"/>
        <v>578.43430751590995</v>
      </c>
      <c r="O43" s="5"/>
      <c r="P43" s="5">
        <f t="shared" si="6"/>
        <v>1</v>
      </c>
      <c r="Q43" s="7">
        <f t="shared" si="7"/>
        <v>28127</v>
      </c>
      <c r="S43" s="124">
        <f>SUM(D28:D43)</f>
        <v>44142638776</v>
      </c>
      <c r="T43" s="124">
        <f>SUM(F28:F43)</f>
        <v>26932518497</v>
      </c>
      <c r="U43" s="124">
        <f>SUM(J28:J43)</f>
        <v>167416904.04754302</v>
      </c>
      <c r="W43" s="124">
        <f t="shared" si="8"/>
        <v>5202190.7324999999</v>
      </c>
      <c r="X43">
        <f t="shared" si="9"/>
        <v>0</v>
      </c>
    </row>
    <row r="44" spans="1:24">
      <c r="A44" s="23" t="s">
        <v>48</v>
      </c>
      <c r="B44" s="35" t="s">
        <v>49</v>
      </c>
      <c r="C44" s="125">
        <v>57871</v>
      </c>
      <c r="D44" s="132">
        <v>7416780432</v>
      </c>
      <c r="E44" s="116">
        <f t="shared" si="13"/>
        <v>128160.57147794231</v>
      </c>
      <c r="F44" s="134">
        <v>4795645742</v>
      </c>
      <c r="G44" s="117">
        <f t="shared" si="14"/>
        <v>82867.856819477805</v>
      </c>
      <c r="H44" s="98"/>
      <c r="I44" s="150">
        <v>6.4462999999999999</v>
      </c>
      <c r="J44" s="134">
        <v>30914171.146654598</v>
      </c>
      <c r="K44" s="120">
        <f t="shared" si="15"/>
        <v>534.19106541539975</v>
      </c>
      <c r="L44" s="122">
        <f t="shared" si="3"/>
        <v>47956457.420000002</v>
      </c>
      <c r="M44" s="116">
        <f t="shared" si="4"/>
        <v>17042286.273345403</v>
      </c>
      <c r="N44" s="123">
        <f t="shared" si="5"/>
        <v>294.4875027793783</v>
      </c>
      <c r="O44" s="5"/>
      <c r="P44" s="5">
        <f t="shared" si="6"/>
        <v>1</v>
      </c>
      <c r="Q44" s="7">
        <f t="shared" si="7"/>
        <v>57871</v>
      </c>
      <c r="W44" s="124">
        <f t="shared" si="8"/>
        <v>30914171.146654602</v>
      </c>
      <c r="X44">
        <f t="shared" si="9"/>
        <v>0</v>
      </c>
    </row>
    <row r="45" spans="1:24">
      <c r="A45" s="23" t="s">
        <v>50</v>
      </c>
      <c r="B45" s="35" t="s">
        <v>49</v>
      </c>
      <c r="C45" s="125">
        <v>34397</v>
      </c>
      <c r="D45" s="132">
        <v>5449292231</v>
      </c>
      <c r="E45" s="116">
        <f t="shared" si="13"/>
        <v>158423.47387853591</v>
      </c>
      <c r="F45" s="134">
        <v>3368744522</v>
      </c>
      <c r="G45" s="117">
        <f t="shared" si="14"/>
        <v>97937.16085705148</v>
      </c>
      <c r="H45" s="98"/>
      <c r="I45" s="136">
        <v>6.125</v>
      </c>
      <c r="J45" s="134">
        <v>20633560.197250001</v>
      </c>
      <c r="K45" s="120">
        <f t="shared" si="15"/>
        <v>599.86511024944036</v>
      </c>
      <c r="L45" s="122">
        <f t="shared" si="3"/>
        <v>33687445.219999999</v>
      </c>
      <c r="M45" s="116">
        <f t="shared" si="4"/>
        <v>13053885.022749998</v>
      </c>
      <c r="N45" s="123">
        <f t="shared" si="5"/>
        <v>379.50649832107445</v>
      </c>
      <c r="O45" s="5"/>
      <c r="P45" s="5">
        <f t="shared" si="6"/>
        <v>1</v>
      </c>
      <c r="Q45" s="7">
        <f t="shared" si="7"/>
        <v>34397</v>
      </c>
      <c r="W45" s="124">
        <f t="shared" si="8"/>
        <v>20633560.197250001</v>
      </c>
      <c r="X45">
        <f t="shared" si="9"/>
        <v>0</v>
      </c>
    </row>
    <row r="46" spans="1:24">
      <c r="A46" s="23" t="s">
        <v>51</v>
      </c>
      <c r="B46" s="35" t="s">
        <v>49</v>
      </c>
      <c r="C46" s="125">
        <v>134558</v>
      </c>
      <c r="D46" s="132">
        <v>16963156937</v>
      </c>
      <c r="E46" s="116">
        <f t="shared" si="13"/>
        <v>126065.76299439647</v>
      </c>
      <c r="F46" s="134">
        <v>11681112937</v>
      </c>
      <c r="G46" s="117">
        <f t="shared" si="14"/>
        <v>86810.9881017851</v>
      </c>
      <c r="H46" s="98"/>
      <c r="I46" s="136">
        <v>6.0232000000000001</v>
      </c>
      <c r="J46" s="134">
        <v>70357679.442138404</v>
      </c>
      <c r="K46" s="120">
        <f t="shared" si="15"/>
        <v>522.87994353467207</v>
      </c>
      <c r="L46" s="122">
        <f t="shared" si="3"/>
        <v>116811129.37</v>
      </c>
      <c r="M46" s="116">
        <f t="shared" si="4"/>
        <v>46453449.927861601</v>
      </c>
      <c r="N46" s="123">
        <f t="shared" si="5"/>
        <v>345.22993748317901</v>
      </c>
      <c r="O46" s="5"/>
      <c r="P46" s="5">
        <f t="shared" si="6"/>
        <v>1</v>
      </c>
      <c r="Q46" s="7">
        <f t="shared" si="7"/>
        <v>134558</v>
      </c>
      <c r="W46" s="124">
        <f t="shared" si="8"/>
        <v>70357679.442138404</v>
      </c>
      <c r="X46">
        <f t="shared" si="9"/>
        <v>0</v>
      </c>
    </row>
    <row r="47" spans="1:24">
      <c r="A47" s="23" t="s">
        <v>464</v>
      </c>
      <c r="B47" s="35" t="s">
        <v>49</v>
      </c>
      <c r="C47" s="125">
        <v>31837</v>
      </c>
      <c r="D47" s="132">
        <v>6002107301</v>
      </c>
      <c r="E47" s="116">
        <f t="shared" si="13"/>
        <v>188526.15827496309</v>
      </c>
      <c r="F47" s="134">
        <v>4607219689</v>
      </c>
      <c r="G47" s="117">
        <f t="shared" si="14"/>
        <v>144712.7458303232</v>
      </c>
      <c r="H47" s="98"/>
      <c r="I47" s="136">
        <v>5.9997999999999996</v>
      </c>
      <c r="J47" s="134">
        <v>27642396.690062199</v>
      </c>
      <c r="K47" s="120">
        <f t="shared" si="15"/>
        <v>868.24753243277314</v>
      </c>
      <c r="L47" s="122">
        <f t="shared" si="3"/>
        <v>46072196.890000001</v>
      </c>
      <c r="M47" s="116">
        <f t="shared" si="4"/>
        <v>18429800.199937802</v>
      </c>
      <c r="N47" s="123">
        <f t="shared" si="5"/>
        <v>578.87992587045892</v>
      </c>
      <c r="O47" s="5"/>
      <c r="P47" s="5">
        <f t="shared" si="6"/>
        <v>1</v>
      </c>
      <c r="Q47" s="7">
        <f t="shared" si="7"/>
        <v>31837</v>
      </c>
      <c r="W47" s="124">
        <f t="shared" si="8"/>
        <v>27642396.690062199</v>
      </c>
      <c r="X47">
        <f t="shared" si="9"/>
        <v>0</v>
      </c>
    </row>
    <row r="48" spans="1:24">
      <c r="A48" s="23" t="s">
        <v>52</v>
      </c>
      <c r="B48" s="35" t="s">
        <v>49</v>
      </c>
      <c r="C48" s="125">
        <v>106199</v>
      </c>
      <c r="D48" s="132">
        <v>17065080239</v>
      </c>
      <c r="E48" s="116">
        <f t="shared" si="13"/>
        <v>160689.65092891647</v>
      </c>
      <c r="F48" s="134">
        <v>11278494121</v>
      </c>
      <c r="G48" s="117">
        <f t="shared" si="14"/>
        <v>106201.50962815092</v>
      </c>
      <c r="H48" s="98"/>
      <c r="I48" s="150">
        <v>5.625</v>
      </c>
      <c r="J48" s="134">
        <v>63441529.430624999</v>
      </c>
      <c r="K48" s="120">
        <f t="shared" si="15"/>
        <v>597.38349165834893</v>
      </c>
      <c r="L48" s="122">
        <f t="shared" si="3"/>
        <v>112784941.21000001</v>
      </c>
      <c r="M48" s="116">
        <f t="shared" si="4"/>
        <v>49343411.779375009</v>
      </c>
      <c r="N48" s="123">
        <f t="shared" si="5"/>
        <v>464.6316046231604</v>
      </c>
      <c r="O48" s="5"/>
      <c r="P48" s="5">
        <f t="shared" si="6"/>
        <v>1</v>
      </c>
      <c r="Q48" s="7">
        <f t="shared" si="7"/>
        <v>106199</v>
      </c>
      <c r="W48" s="124">
        <f t="shared" si="8"/>
        <v>63441529.430624999</v>
      </c>
      <c r="X48">
        <f t="shared" si="9"/>
        <v>0</v>
      </c>
    </row>
    <row r="49" spans="1:24">
      <c r="A49" s="23" t="s">
        <v>53</v>
      </c>
      <c r="B49" s="35" t="s">
        <v>49</v>
      </c>
      <c r="C49" s="125">
        <v>87106</v>
      </c>
      <c r="D49" s="132">
        <v>11744172485</v>
      </c>
      <c r="E49" s="116">
        <f t="shared" si="13"/>
        <v>134826.21730994422</v>
      </c>
      <c r="F49" s="134">
        <v>8465915111</v>
      </c>
      <c r="G49" s="117">
        <f t="shared" si="14"/>
        <v>97190.952529102477</v>
      </c>
      <c r="H49" s="98"/>
      <c r="I49" s="136">
        <v>6.0018000000000002</v>
      </c>
      <c r="J49" s="134">
        <v>50810729.313199796</v>
      </c>
      <c r="K49" s="120">
        <f t="shared" si="15"/>
        <v>583.32065888916713</v>
      </c>
      <c r="L49" s="122">
        <f t="shared" si="3"/>
        <v>84659151.109999999</v>
      </c>
      <c r="M49" s="116">
        <f t="shared" si="4"/>
        <v>33848421.796800204</v>
      </c>
      <c r="N49" s="123">
        <f t="shared" si="5"/>
        <v>388.58886640185756</v>
      </c>
      <c r="O49" s="5"/>
      <c r="P49" s="5">
        <f t="shared" si="6"/>
        <v>1</v>
      </c>
      <c r="Q49" s="7">
        <f t="shared" si="7"/>
        <v>87106</v>
      </c>
      <c r="W49" s="124">
        <f t="shared" si="8"/>
        <v>50810729.313199796</v>
      </c>
      <c r="X49">
        <f t="shared" si="9"/>
        <v>0</v>
      </c>
    </row>
    <row r="50" spans="1:24">
      <c r="A50" s="23" t="s">
        <v>54</v>
      </c>
      <c r="B50" s="35" t="s">
        <v>49</v>
      </c>
      <c r="C50" s="125">
        <v>186076</v>
      </c>
      <c r="D50" s="132">
        <v>57874546535</v>
      </c>
      <c r="E50" s="116">
        <f t="shared" si="13"/>
        <v>311026.38994281908</v>
      </c>
      <c r="F50" s="134">
        <v>43209678707</v>
      </c>
      <c r="G50" s="117">
        <f t="shared" si="14"/>
        <v>232215.21693824028</v>
      </c>
      <c r="H50" s="98"/>
      <c r="I50" s="136">
        <v>4.1193</v>
      </c>
      <c r="J50" s="134">
        <v>177993629.4977451</v>
      </c>
      <c r="K50" s="120">
        <f t="shared" si="15"/>
        <v>956.56414313369316</v>
      </c>
      <c r="L50" s="122">
        <f t="shared" si="3"/>
        <v>432096787.06999999</v>
      </c>
      <c r="M50" s="116">
        <f t="shared" si="4"/>
        <v>254103157.5722549</v>
      </c>
      <c r="N50" s="123">
        <f t="shared" si="5"/>
        <v>1365.5880262487096</v>
      </c>
      <c r="O50" s="5"/>
      <c r="P50" s="5">
        <f t="shared" si="6"/>
        <v>1</v>
      </c>
      <c r="Q50" s="7">
        <f t="shared" si="7"/>
        <v>186076</v>
      </c>
      <c r="W50" s="124">
        <f t="shared" si="8"/>
        <v>177993629.4977451</v>
      </c>
      <c r="X50">
        <f t="shared" si="9"/>
        <v>0</v>
      </c>
    </row>
    <row r="51" spans="1:24">
      <c r="A51" s="23" t="s">
        <v>465</v>
      </c>
      <c r="B51" s="35" t="s">
        <v>49</v>
      </c>
      <c r="C51" s="125">
        <v>41157</v>
      </c>
      <c r="D51" s="132">
        <v>7438938329</v>
      </c>
      <c r="E51" s="116">
        <f t="shared" si="13"/>
        <v>180745.39759943631</v>
      </c>
      <c r="F51" s="134">
        <v>5980757546</v>
      </c>
      <c r="G51" s="117">
        <f t="shared" si="14"/>
        <v>145315.68253274049</v>
      </c>
      <c r="H51" s="98"/>
      <c r="I51" s="136">
        <v>7</v>
      </c>
      <c r="J51" s="134">
        <v>41865302.821999997</v>
      </c>
      <c r="K51" s="120">
        <f t="shared" si="15"/>
        <v>1017.2097777291833</v>
      </c>
      <c r="L51" s="122">
        <f t="shared" si="3"/>
        <v>59807575.460000001</v>
      </c>
      <c r="M51" s="116">
        <f t="shared" si="4"/>
        <v>17942272.638000004</v>
      </c>
      <c r="N51" s="123">
        <f t="shared" si="5"/>
        <v>435.94704759822156</v>
      </c>
      <c r="O51" s="5"/>
      <c r="P51" s="5">
        <f t="shared" si="6"/>
        <v>1</v>
      </c>
      <c r="Q51" s="7">
        <f t="shared" si="7"/>
        <v>41157</v>
      </c>
      <c r="W51" s="124">
        <f t="shared" si="8"/>
        <v>41865302.822000004</v>
      </c>
      <c r="X51">
        <f t="shared" si="9"/>
        <v>0</v>
      </c>
    </row>
    <row r="52" spans="1:24">
      <c r="A52" s="23" t="s">
        <v>55</v>
      </c>
      <c r="B52" s="35" t="s">
        <v>49</v>
      </c>
      <c r="C52" s="125">
        <v>1986</v>
      </c>
      <c r="D52" s="132">
        <v>1813493977</v>
      </c>
      <c r="E52" s="116">
        <f t="shared" si="13"/>
        <v>913138.96122860024</v>
      </c>
      <c r="F52" s="134">
        <v>1518408509</v>
      </c>
      <c r="G52" s="117">
        <f t="shared" si="14"/>
        <v>764556.14753272908</v>
      </c>
      <c r="H52" s="98"/>
      <c r="I52" s="136">
        <v>3.5</v>
      </c>
      <c r="J52" s="134">
        <v>5314429.7814999996</v>
      </c>
      <c r="K52" s="120">
        <f t="shared" si="15"/>
        <v>2675.9465163645518</v>
      </c>
      <c r="L52" s="122">
        <f t="shared" si="3"/>
        <v>15184085.09</v>
      </c>
      <c r="M52" s="116">
        <f t="shared" si="4"/>
        <v>9869655.3084999993</v>
      </c>
      <c r="N52" s="123">
        <f t="shared" si="5"/>
        <v>4969.6149589627385</v>
      </c>
      <c r="O52" s="5"/>
      <c r="P52" s="5">
        <f t="shared" si="6"/>
        <v>1</v>
      </c>
      <c r="Q52" s="7">
        <f t="shared" si="7"/>
        <v>1986</v>
      </c>
      <c r="W52" s="124">
        <f t="shared" si="8"/>
        <v>5314429.7815000005</v>
      </c>
      <c r="X52">
        <f t="shared" si="9"/>
        <v>0</v>
      </c>
    </row>
    <row r="53" spans="1:24">
      <c r="A53" s="23" t="s">
        <v>56</v>
      </c>
      <c r="B53" s="35" t="s">
        <v>49</v>
      </c>
      <c r="C53" s="125">
        <v>153854</v>
      </c>
      <c r="D53" s="132">
        <v>26756710551</v>
      </c>
      <c r="E53" s="116">
        <f t="shared" si="13"/>
        <v>173909.74918429161</v>
      </c>
      <c r="F53" s="134">
        <v>18826039387</v>
      </c>
      <c r="G53" s="117">
        <f t="shared" si="14"/>
        <v>122363.01550170941</v>
      </c>
      <c r="H53" s="98"/>
      <c r="I53" s="136">
        <v>7.4809999999999999</v>
      </c>
      <c r="J53" s="134">
        <v>140837600.654147</v>
      </c>
      <c r="K53" s="120">
        <f t="shared" si="15"/>
        <v>915.39771896828813</v>
      </c>
      <c r="L53" s="122">
        <f t="shared" si="3"/>
        <v>188260393.87</v>
      </c>
      <c r="M53" s="116">
        <f t="shared" si="4"/>
        <v>47422793.215853006</v>
      </c>
      <c r="N53" s="123">
        <f t="shared" si="5"/>
        <v>308.23243604880605</v>
      </c>
      <c r="O53" s="5"/>
      <c r="P53" s="5">
        <f t="shared" si="6"/>
        <v>1</v>
      </c>
      <c r="Q53" s="7">
        <f t="shared" si="7"/>
        <v>153854</v>
      </c>
      <c r="W53" s="124">
        <f t="shared" si="8"/>
        <v>140837600.654147</v>
      </c>
      <c r="X53">
        <f t="shared" si="9"/>
        <v>0</v>
      </c>
    </row>
    <row r="54" spans="1:24">
      <c r="A54" s="23" t="s">
        <v>57</v>
      </c>
      <c r="B54" s="35" t="s">
        <v>49</v>
      </c>
      <c r="C54" s="125">
        <v>36647</v>
      </c>
      <c r="D54" s="132">
        <v>2532800165</v>
      </c>
      <c r="E54" s="116">
        <f t="shared" si="13"/>
        <v>69113.438071329161</v>
      </c>
      <c r="F54" s="134">
        <v>1465824708</v>
      </c>
      <c r="G54" s="117">
        <f t="shared" si="14"/>
        <v>39998.491227112725</v>
      </c>
      <c r="H54" s="98"/>
      <c r="I54" s="136">
        <v>8.6</v>
      </c>
      <c r="J54" s="134">
        <v>12606092.488799999</v>
      </c>
      <c r="K54" s="120">
        <f t="shared" si="15"/>
        <v>343.98702455316936</v>
      </c>
      <c r="L54" s="122">
        <f t="shared" si="3"/>
        <v>14658247.08</v>
      </c>
      <c r="M54" s="116">
        <f t="shared" si="4"/>
        <v>2052154.5912000015</v>
      </c>
      <c r="N54" s="123">
        <f t="shared" si="5"/>
        <v>55.997887717957859</v>
      </c>
      <c r="O54" s="5"/>
      <c r="P54" s="5">
        <f t="shared" si="6"/>
        <v>1</v>
      </c>
      <c r="Q54" s="7">
        <f t="shared" si="7"/>
        <v>36647</v>
      </c>
      <c r="W54" s="124">
        <f t="shared" si="8"/>
        <v>12606092.4888</v>
      </c>
      <c r="X54">
        <f t="shared" si="9"/>
        <v>0</v>
      </c>
    </row>
    <row r="55" spans="1:24">
      <c r="A55" s="23" t="s">
        <v>560</v>
      </c>
      <c r="B55" s="35" t="s">
        <v>49</v>
      </c>
      <c r="C55" s="125">
        <v>6203</v>
      </c>
      <c r="D55" s="132">
        <v>3328292713</v>
      </c>
      <c r="E55" s="116">
        <f t="shared" si="13"/>
        <v>536561.77865548932</v>
      </c>
      <c r="F55" s="134">
        <v>2780377130</v>
      </c>
      <c r="G55" s="117">
        <f t="shared" si="14"/>
        <v>448231.03820731904</v>
      </c>
      <c r="H55" s="98"/>
      <c r="I55" s="136">
        <v>3.3923000000000001</v>
      </c>
      <c r="J55" s="134">
        <v>9431873.338099001</v>
      </c>
      <c r="K55" s="120">
        <f t="shared" si="15"/>
        <v>1520.5341509106886</v>
      </c>
      <c r="L55" s="122">
        <f t="shared" si="3"/>
        <v>27803771.300000001</v>
      </c>
      <c r="M55" s="116">
        <f t="shared" si="4"/>
        <v>18371897.961901002</v>
      </c>
      <c r="N55" s="123">
        <f t="shared" si="5"/>
        <v>2961.7762311625024</v>
      </c>
      <c r="O55" s="5"/>
      <c r="P55" s="5">
        <f t="shared" si="6"/>
        <v>1</v>
      </c>
      <c r="Q55" s="7">
        <f t="shared" si="7"/>
        <v>6203</v>
      </c>
      <c r="W55" s="124">
        <f t="shared" si="8"/>
        <v>9431873.3380989991</v>
      </c>
      <c r="X55">
        <f t="shared" si="9"/>
        <v>0</v>
      </c>
    </row>
    <row r="56" spans="1:24">
      <c r="A56" s="23" t="s">
        <v>58</v>
      </c>
      <c r="B56" s="35" t="s">
        <v>49</v>
      </c>
      <c r="C56" s="125">
        <v>74538</v>
      </c>
      <c r="D56" s="132">
        <v>5445870899</v>
      </c>
      <c r="E56" s="116">
        <f t="shared" si="13"/>
        <v>73061.671885481235</v>
      </c>
      <c r="F56" s="134">
        <v>3244698724</v>
      </c>
      <c r="G56" s="117">
        <f t="shared" si="14"/>
        <v>43530.799377498726</v>
      </c>
      <c r="H56" s="98"/>
      <c r="I56" s="136">
        <v>8.1998999999999995</v>
      </c>
      <c r="J56" s="134">
        <v>26606205.066927597</v>
      </c>
      <c r="K56" s="120">
        <f t="shared" si="15"/>
        <v>356.94820181555178</v>
      </c>
      <c r="L56" s="122">
        <f t="shared" si="3"/>
        <v>32446987.240000002</v>
      </c>
      <c r="M56" s="116">
        <f t="shared" si="4"/>
        <v>5840782.1730724052</v>
      </c>
      <c r="N56" s="123">
        <f t="shared" si="5"/>
        <v>78.359791959435526</v>
      </c>
      <c r="O56" s="5"/>
      <c r="P56" s="5">
        <f t="shared" si="6"/>
        <v>1</v>
      </c>
      <c r="Q56" s="7">
        <f t="shared" si="7"/>
        <v>74538</v>
      </c>
      <c r="W56" s="124">
        <f t="shared" si="8"/>
        <v>26606205.066927597</v>
      </c>
      <c r="X56">
        <f t="shared" si="9"/>
        <v>0</v>
      </c>
    </row>
    <row r="57" spans="1:24">
      <c r="A57" s="23" t="s">
        <v>59</v>
      </c>
      <c r="B57" s="35" t="s">
        <v>49</v>
      </c>
      <c r="C57" s="125">
        <v>33</v>
      </c>
      <c r="D57" s="147">
        <v>11886941</v>
      </c>
      <c r="E57" s="116">
        <f t="shared" si="13"/>
        <v>360210.33333333331</v>
      </c>
      <c r="F57" s="134">
        <v>8354159</v>
      </c>
      <c r="G57" s="117">
        <f t="shared" si="14"/>
        <v>253156.33333333334</v>
      </c>
      <c r="H57" s="98"/>
      <c r="I57" s="136">
        <v>6.5</v>
      </c>
      <c r="J57" s="134">
        <v>54302.033499999998</v>
      </c>
      <c r="K57" s="120">
        <f t="shared" si="15"/>
        <v>1645.5161666666665</v>
      </c>
      <c r="L57" s="122">
        <f t="shared" si="3"/>
        <v>83541.59</v>
      </c>
      <c r="M57" s="116">
        <f t="shared" si="4"/>
        <v>29239.556499999999</v>
      </c>
      <c r="N57" s="123">
        <f t="shared" si="5"/>
        <v>886.04716666666661</v>
      </c>
      <c r="O57" s="5"/>
      <c r="P57" s="5">
        <f t="shared" si="6"/>
        <v>1</v>
      </c>
      <c r="Q57" s="7">
        <f t="shared" si="7"/>
        <v>33</v>
      </c>
      <c r="W57" s="124">
        <f t="shared" si="8"/>
        <v>54302.033499999998</v>
      </c>
      <c r="X57">
        <f t="shared" si="9"/>
        <v>0</v>
      </c>
    </row>
    <row r="58" spans="1:24">
      <c r="A58" s="23" t="s">
        <v>60</v>
      </c>
      <c r="B58" s="35" t="s">
        <v>49</v>
      </c>
      <c r="C58" s="125">
        <v>10499</v>
      </c>
      <c r="D58" s="132">
        <v>3717647196</v>
      </c>
      <c r="E58" s="116">
        <f t="shared" si="13"/>
        <v>354095.36108200782</v>
      </c>
      <c r="F58" s="134">
        <v>2735100175</v>
      </c>
      <c r="G58" s="117">
        <f t="shared" si="14"/>
        <v>260510.54148014096</v>
      </c>
      <c r="H58" s="98"/>
      <c r="I58" s="136">
        <v>3.5893000000000002</v>
      </c>
      <c r="J58" s="134">
        <v>9817095.0581275001</v>
      </c>
      <c r="K58" s="120">
        <f t="shared" si="15"/>
        <v>935.05048653466997</v>
      </c>
      <c r="L58" s="122">
        <f t="shared" si="3"/>
        <v>27351001.75</v>
      </c>
      <c r="M58" s="116">
        <f t="shared" si="4"/>
        <v>17533906.6918725</v>
      </c>
      <c r="N58" s="123">
        <f t="shared" si="5"/>
        <v>1670.0549282667396</v>
      </c>
      <c r="O58" s="5"/>
      <c r="P58" s="5">
        <f t="shared" si="6"/>
        <v>1</v>
      </c>
      <c r="Q58" s="7">
        <f t="shared" si="7"/>
        <v>10499</v>
      </c>
      <c r="W58" s="124">
        <f t="shared" si="8"/>
        <v>9817095.0581275001</v>
      </c>
      <c r="X58">
        <f t="shared" si="9"/>
        <v>0</v>
      </c>
    </row>
    <row r="59" spans="1:24">
      <c r="A59" s="23" t="s">
        <v>61</v>
      </c>
      <c r="B59" s="35" t="s">
        <v>49</v>
      </c>
      <c r="C59" s="125">
        <v>58714</v>
      </c>
      <c r="D59" s="132">
        <v>6028801148</v>
      </c>
      <c r="E59" s="116">
        <f t="shared" si="13"/>
        <v>102680.81118642913</v>
      </c>
      <c r="F59" s="134">
        <v>3728253018</v>
      </c>
      <c r="G59" s="117">
        <f t="shared" si="14"/>
        <v>63498.535579248564</v>
      </c>
      <c r="H59" s="98"/>
      <c r="I59" s="136">
        <v>7.1170999999999998</v>
      </c>
      <c r="J59" s="134">
        <v>26534349.554407798</v>
      </c>
      <c r="K59" s="120">
        <f t="shared" si="15"/>
        <v>451.92542757106992</v>
      </c>
      <c r="L59" s="122">
        <f t="shared" si="3"/>
        <v>37282530.18</v>
      </c>
      <c r="M59" s="116">
        <f t="shared" si="4"/>
        <v>10748180.625592202</v>
      </c>
      <c r="N59" s="123">
        <f t="shared" si="5"/>
        <v>183.0599282214157</v>
      </c>
      <c r="O59" s="5"/>
      <c r="P59" s="5">
        <f t="shared" si="6"/>
        <v>1</v>
      </c>
      <c r="Q59" s="7">
        <f t="shared" si="7"/>
        <v>58714</v>
      </c>
      <c r="W59" s="124">
        <f t="shared" si="8"/>
        <v>26534349.554407798</v>
      </c>
      <c r="X59">
        <f t="shared" si="9"/>
        <v>0</v>
      </c>
    </row>
    <row r="60" spans="1:24">
      <c r="A60" s="23" t="s">
        <v>62</v>
      </c>
      <c r="B60" s="35" t="s">
        <v>49</v>
      </c>
      <c r="C60" s="125">
        <v>136007</v>
      </c>
      <c r="D60" s="132">
        <v>17026328410</v>
      </c>
      <c r="E60" s="116">
        <f t="shared" si="13"/>
        <v>125187.14779386355</v>
      </c>
      <c r="F60" s="134">
        <v>11288019829</v>
      </c>
      <c r="G60" s="117">
        <f t="shared" si="14"/>
        <v>82995.873955017014</v>
      </c>
      <c r="H60" s="98"/>
      <c r="I60" s="136">
        <v>7.1172000000000004</v>
      </c>
      <c r="J60" s="134">
        <v>80339094.726958796</v>
      </c>
      <c r="K60" s="120">
        <f t="shared" si="15"/>
        <v>590.69823411264713</v>
      </c>
      <c r="L60" s="122">
        <f t="shared" si="3"/>
        <v>112880198.29000001</v>
      </c>
      <c r="M60" s="116">
        <f t="shared" si="4"/>
        <v>32541103.56304121</v>
      </c>
      <c r="N60" s="123">
        <f t="shared" si="5"/>
        <v>239.26050543752314</v>
      </c>
      <c r="O60" s="5"/>
      <c r="P60" s="5">
        <f t="shared" si="6"/>
        <v>1</v>
      </c>
      <c r="Q60" s="7">
        <f t="shared" si="7"/>
        <v>136007</v>
      </c>
      <c r="W60" s="124">
        <f t="shared" si="8"/>
        <v>80339094.726958811</v>
      </c>
      <c r="X60">
        <f t="shared" si="9"/>
        <v>0</v>
      </c>
    </row>
    <row r="61" spans="1:24">
      <c r="A61" s="23" t="s">
        <v>63</v>
      </c>
      <c r="B61" s="35" t="s">
        <v>49</v>
      </c>
      <c r="C61" s="125">
        <v>44855</v>
      </c>
      <c r="D61" s="132">
        <v>3233273436</v>
      </c>
      <c r="E61" s="116">
        <f t="shared" si="13"/>
        <v>72082.787559915276</v>
      </c>
      <c r="F61" s="134">
        <v>1854465364</v>
      </c>
      <c r="G61" s="117">
        <f t="shared" si="14"/>
        <v>41343.559558577639</v>
      </c>
      <c r="H61" s="98"/>
      <c r="I61" s="136">
        <v>7.4</v>
      </c>
      <c r="J61" s="134">
        <v>13723043.693600001</v>
      </c>
      <c r="K61" s="120">
        <f t="shared" si="15"/>
        <v>305.94234073347457</v>
      </c>
      <c r="L61" s="122">
        <f t="shared" si="3"/>
        <v>18544653.640000001</v>
      </c>
      <c r="M61" s="116">
        <f t="shared" si="4"/>
        <v>4821609.9463999998</v>
      </c>
      <c r="N61" s="123">
        <f t="shared" si="5"/>
        <v>107.49325485230186</v>
      </c>
      <c r="O61" s="5"/>
      <c r="P61" s="5">
        <f t="shared" si="6"/>
        <v>1</v>
      </c>
      <c r="Q61" s="7">
        <f t="shared" si="7"/>
        <v>44855</v>
      </c>
      <c r="W61" s="124">
        <f t="shared" si="8"/>
        <v>13723043.693600001</v>
      </c>
      <c r="X61">
        <f t="shared" si="9"/>
        <v>0</v>
      </c>
    </row>
    <row r="62" spans="1:24">
      <c r="A62" s="23" t="s">
        <v>64</v>
      </c>
      <c r="B62" s="35" t="s">
        <v>49</v>
      </c>
      <c r="C62" s="125">
        <v>44296</v>
      </c>
      <c r="D62" s="132">
        <v>6071881164</v>
      </c>
      <c r="E62" s="116">
        <f t="shared" si="13"/>
        <v>137075.15721509844</v>
      </c>
      <c r="F62" s="134">
        <v>3973708102</v>
      </c>
      <c r="G62" s="117">
        <f t="shared" si="14"/>
        <v>89708.057206068275</v>
      </c>
      <c r="H62" s="98"/>
      <c r="I62" s="136">
        <v>5.8890000000000002</v>
      </c>
      <c r="J62" s="134">
        <v>23401167.012678001</v>
      </c>
      <c r="K62" s="120">
        <f t="shared" si="15"/>
        <v>528.29074888653611</v>
      </c>
      <c r="L62" s="122">
        <f t="shared" si="3"/>
        <v>39737081.020000003</v>
      </c>
      <c r="M62" s="116">
        <f t="shared" si="4"/>
        <v>16335914.007322002</v>
      </c>
      <c r="N62" s="123">
        <f t="shared" si="5"/>
        <v>368.7898231741467</v>
      </c>
      <c r="O62" s="5"/>
      <c r="P62" s="5">
        <f t="shared" si="6"/>
        <v>1</v>
      </c>
      <c r="Q62" s="7">
        <f t="shared" si="7"/>
        <v>44296</v>
      </c>
      <c r="W62" s="124">
        <f t="shared" si="8"/>
        <v>23401167.012678001</v>
      </c>
      <c r="X62">
        <f t="shared" si="9"/>
        <v>0</v>
      </c>
    </row>
    <row r="63" spans="1:24">
      <c r="A63" s="23" t="s">
        <v>65</v>
      </c>
      <c r="B63" s="35" t="s">
        <v>49</v>
      </c>
      <c r="C63" s="125">
        <v>35440</v>
      </c>
      <c r="D63" s="132">
        <v>7746775677</v>
      </c>
      <c r="E63" s="116">
        <f t="shared" si="13"/>
        <v>218588.47847065463</v>
      </c>
      <c r="F63" s="134">
        <v>6045613309</v>
      </c>
      <c r="G63" s="117">
        <f t="shared" si="14"/>
        <v>170587.2829853273</v>
      </c>
      <c r="H63" s="98"/>
      <c r="I63" s="136">
        <v>4.2979000000000003</v>
      </c>
      <c r="J63" s="134">
        <v>25983441.440751102</v>
      </c>
      <c r="K63" s="120">
        <f t="shared" si="15"/>
        <v>733.16708354263835</v>
      </c>
      <c r="L63" s="122">
        <f t="shared" si="3"/>
        <v>60456133.090000004</v>
      </c>
      <c r="M63" s="116">
        <f t="shared" si="4"/>
        <v>34472691.649248898</v>
      </c>
      <c r="N63" s="123">
        <f t="shared" si="5"/>
        <v>972.70574631063482</v>
      </c>
      <c r="O63" s="5"/>
      <c r="P63" s="5">
        <f t="shared" si="6"/>
        <v>1</v>
      </c>
      <c r="Q63" s="7">
        <f t="shared" si="7"/>
        <v>35440</v>
      </c>
      <c r="W63" s="124">
        <f t="shared" si="8"/>
        <v>25983441.440751102</v>
      </c>
      <c r="X63">
        <f t="shared" si="9"/>
        <v>0</v>
      </c>
    </row>
    <row r="64" spans="1:24">
      <c r="A64" s="23" t="s">
        <v>66</v>
      </c>
      <c r="B64" s="35" t="s">
        <v>49</v>
      </c>
      <c r="C64" s="125">
        <v>6222</v>
      </c>
      <c r="D64" s="132">
        <v>1018549006</v>
      </c>
      <c r="E64" s="116">
        <f t="shared" si="13"/>
        <v>163701.22243651559</v>
      </c>
      <c r="F64" s="134">
        <v>870974887</v>
      </c>
      <c r="G64" s="117">
        <f t="shared" si="14"/>
        <v>139983.10623593701</v>
      </c>
      <c r="H64" s="98"/>
      <c r="I64" s="136">
        <v>8.5</v>
      </c>
      <c r="J64" s="134">
        <v>7403286.5395</v>
      </c>
      <c r="K64" s="120">
        <f t="shared" si="15"/>
        <v>1189.8564030054645</v>
      </c>
      <c r="L64" s="122">
        <f t="shared" si="3"/>
        <v>8709748.870000001</v>
      </c>
      <c r="M64" s="116">
        <f t="shared" si="4"/>
        <v>1306462.3305000011</v>
      </c>
      <c r="N64" s="123">
        <f t="shared" si="5"/>
        <v>209.97465935390568</v>
      </c>
      <c r="O64" s="5"/>
      <c r="P64" s="5">
        <f t="shared" si="6"/>
        <v>1</v>
      </c>
      <c r="Q64" s="7">
        <f t="shared" si="7"/>
        <v>6222</v>
      </c>
      <c r="W64" s="124">
        <f t="shared" si="8"/>
        <v>7403286.5395000009</v>
      </c>
      <c r="X64">
        <f t="shared" si="9"/>
        <v>0</v>
      </c>
    </row>
    <row r="65" spans="1:24">
      <c r="A65" s="23" t="s">
        <v>67</v>
      </c>
      <c r="B65" s="35" t="s">
        <v>49</v>
      </c>
      <c r="C65" s="125">
        <v>170857</v>
      </c>
      <c r="D65" s="132">
        <v>22812707026</v>
      </c>
      <c r="E65" s="116">
        <f t="shared" si="13"/>
        <v>133519.29991747485</v>
      </c>
      <c r="F65" s="134">
        <v>14702134452</v>
      </c>
      <c r="G65" s="117">
        <f t="shared" si="14"/>
        <v>86049.353857319278</v>
      </c>
      <c r="H65" s="98"/>
      <c r="I65" s="136">
        <v>5.6689999999999996</v>
      </c>
      <c r="J65" s="134">
        <v>83346400.208388001</v>
      </c>
      <c r="K65" s="120">
        <f t="shared" si="15"/>
        <v>487.813787017143</v>
      </c>
      <c r="L65" s="122">
        <f t="shared" si="3"/>
        <v>147021344.52000001</v>
      </c>
      <c r="M65" s="116">
        <f t="shared" si="4"/>
        <v>63674944.31161201</v>
      </c>
      <c r="N65" s="123">
        <f t="shared" si="5"/>
        <v>372.67975155604984</v>
      </c>
      <c r="O65" s="5"/>
      <c r="P65" s="5">
        <f t="shared" si="6"/>
        <v>1</v>
      </c>
      <c r="Q65" s="7">
        <f t="shared" si="7"/>
        <v>170857</v>
      </c>
      <c r="W65" s="124">
        <f t="shared" si="8"/>
        <v>83346400.208388001</v>
      </c>
      <c r="X65">
        <f t="shared" si="9"/>
        <v>0</v>
      </c>
    </row>
    <row r="66" spans="1:24">
      <c r="A66" s="23" t="s">
        <v>68</v>
      </c>
      <c r="B66" s="35" t="s">
        <v>49</v>
      </c>
      <c r="C66" s="125">
        <v>92628</v>
      </c>
      <c r="D66" s="132">
        <v>15140908362</v>
      </c>
      <c r="E66" s="116">
        <f t="shared" si="13"/>
        <v>163459.30347195233</v>
      </c>
      <c r="F66" s="134">
        <v>10542458676</v>
      </c>
      <c r="G66" s="117">
        <f t="shared" si="14"/>
        <v>113815.03083300946</v>
      </c>
      <c r="H66" s="98"/>
      <c r="I66" s="136">
        <v>5.8</v>
      </c>
      <c r="J66" s="134">
        <v>61146260.320799999</v>
      </c>
      <c r="K66" s="120">
        <f t="shared" si="15"/>
        <v>660.12717883145478</v>
      </c>
      <c r="L66" s="122">
        <f t="shared" si="3"/>
        <v>105424586.76000001</v>
      </c>
      <c r="M66" s="116">
        <f t="shared" si="4"/>
        <v>44278326.439200006</v>
      </c>
      <c r="N66" s="123">
        <f t="shared" si="5"/>
        <v>478.02312949863978</v>
      </c>
      <c r="O66" s="5"/>
      <c r="P66" s="5">
        <f t="shared" si="6"/>
        <v>1</v>
      </c>
      <c r="Q66" s="7">
        <f t="shared" si="7"/>
        <v>92628</v>
      </c>
      <c r="W66" s="124">
        <f t="shared" si="8"/>
        <v>61146260.320799999</v>
      </c>
      <c r="X66">
        <f t="shared" si="9"/>
        <v>0</v>
      </c>
    </row>
    <row r="67" spans="1:24">
      <c r="A67" s="23" t="s">
        <v>69</v>
      </c>
      <c r="B67" s="35" t="s">
        <v>49</v>
      </c>
      <c r="C67" s="125">
        <v>113144</v>
      </c>
      <c r="D67" s="132">
        <v>20675348781</v>
      </c>
      <c r="E67" s="116">
        <f t="shared" si="13"/>
        <v>182734.82271264936</v>
      </c>
      <c r="F67" s="134">
        <v>15211322052</v>
      </c>
      <c r="G67" s="117">
        <f t="shared" si="14"/>
        <v>134442.144983384</v>
      </c>
      <c r="H67" s="98"/>
      <c r="I67" s="136">
        <v>5.1875</v>
      </c>
      <c r="J67" s="134">
        <v>78908733.144749999</v>
      </c>
      <c r="K67" s="120">
        <f t="shared" si="15"/>
        <v>697.41862710130454</v>
      </c>
      <c r="L67" s="122">
        <f t="shared" si="3"/>
        <v>152113220.52000001</v>
      </c>
      <c r="M67" s="116">
        <f t="shared" si="4"/>
        <v>73204487.375250012</v>
      </c>
      <c r="N67" s="123">
        <f t="shared" si="5"/>
        <v>647.00282273253561</v>
      </c>
      <c r="O67" s="5"/>
      <c r="P67" s="5">
        <f t="shared" si="6"/>
        <v>1</v>
      </c>
      <c r="Q67" s="7">
        <f t="shared" si="7"/>
        <v>113144</v>
      </c>
      <c r="W67" s="124">
        <f t="shared" si="8"/>
        <v>78908733.144749999</v>
      </c>
      <c r="X67">
        <f t="shared" si="9"/>
        <v>0</v>
      </c>
    </row>
    <row r="68" spans="1:24">
      <c r="A68" s="23" t="s">
        <v>70</v>
      </c>
      <c r="B68" s="35" t="s">
        <v>49</v>
      </c>
      <c r="C68" s="125">
        <v>535</v>
      </c>
      <c r="D68" s="132">
        <v>389254585</v>
      </c>
      <c r="E68" s="116">
        <f t="shared" si="13"/>
        <v>727578.66355140181</v>
      </c>
      <c r="F68" s="134">
        <v>244584854</v>
      </c>
      <c r="G68" s="117">
        <f t="shared" si="14"/>
        <v>457167.95140186918</v>
      </c>
      <c r="H68" s="98"/>
      <c r="I68" s="136">
        <v>7.25</v>
      </c>
      <c r="J68" s="134">
        <v>1773240.1915</v>
      </c>
      <c r="K68" s="120">
        <f t="shared" si="15"/>
        <v>3314.4676476635514</v>
      </c>
      <c r="L68" s="122">
        <f t="shared" si="3"/>
        <v>2445848.54</v>
      </c>
      <c r="M68" s="116">
        <f t="shared" si="4"/>
        <v>672608.34850000008</v>
      </c>
      <c r="N68" s="123">
        <f t="shared" si="5"/>
        <v>1257.2118663551403</v>
      </c>
      <c r="O68" s="5"/>
      <c r="P68" s="5">
        <f t="shared" si="6"/>
        <v>1</v>
      </c>
      <c r="Q68" s="7">
        <f t="shared" si="7"/>
        <v>535</v>
      </c>
      <c r="W68" s="124">
        <f t="shared" si="8"/>
        <v>1773240.1915000002</v>
      </c>
      <c r="X68">
        <f t="shared" si="9"/>
        <v>0</v>
      </c>
    </row>
    <row r="69" spans="1:24">
      <c r="A69" s="23" t="s">
        <v>450</v>
      </c>
      <c r="B69" s="35" t="s">
        <v>49</v>
      </c>
      <c r="C69" s="125">
        <v>7675</v>
      </c>
      <c r="D69" s="132">
        <v>2677630207</v>
      </c>
      <c r="E69" s="116">
        <f t="shared" si="13"/>
        <v>348876.89993485343</v>
      </c>
      <c r="F69" s="134">
        <v>1673148751</v>
      </c>
      <c r="G69" s="117">
        <f t="shared" si="14"/>
        <v>217999.83726384366</v>
      </c>
      <c r="H69" s="98"/>
      <c r="I69" s="136">
        <v>4.25</v>
      </c>
      <c r="J69" s="134">
        <v>7110882.1917500002</v>
      </c>
      <c r="K69" s="120">
        <f t="shared" si="15"/>
        <v>926.49930837133559</v>
      </c>
      <c r="L69" s="122">
        <f t="shared" si="3"/>
        <v>16731487.51</v>
      </c>
      <c r="M69" s="116">
        <f t="shared" si="4"/>
        <v>9620605.3182500005</v>
      </c>
      <c r="N69" s="123">
        <f t="shared" si="5"/>
        <v>1253.4990642671009</v>
      </c>
      <c r="O69" s="5"/>
      <c r="P69" s="5">
        <f t="shared" si="6"/>
        <v>1</v>
      </c>
      <c r="Q69" s="7">
        <f t="shared" si="7"/>
        <v>7675</v>
      </c>
      <c r="W69" s="124">
        <f t="shared" si="8"/>
        <v>7110882.1917500002</v>
      </c>
      <c r="X69">
        <f t="shared" si="9"/>
        <v>0</v>
      </c>
    </row>
    <row r="70" spans="1:24">
      <c r="A70" s="23" t="s">
        <v>71</v>
      </c>
      <c r="B70" s="35" t="s">
        <v>49</v>
      </c>
      <c r="C70" s="125">
        <v>97359</v>
      </c>
      <c r="D70" s="132">
        <v>12890657110</v>
      </c>
      <c r="E70" s="116">
        <f t="shared" si="13"/>
        <v>132403.34339917212</v>
      </c>
      <c r="F70" s="134">
        <v>8534300836</v>
      </c>
      <c r="G70" s="117">
        <f t="shared" si="14"/>
        <v>87658.05766287657</v>
      </c>
      <c r="H70" s="98"/>
      <c r="I70" s="136">
        <v>6.0542999999999996</v>
      </c>
      <c r="J70" s="134">
        <v>51669217.551394798</v>
      </c>
      <c r="K70" s="120">
        <f t="shared" si="15"/>
        <v>530.70817850835363</v>
      </c>
      <c r="L70" s="122">
        <f t="shared" ref="L70:L133" si="16">(F70*0.01)</f>
        <v>85343008.359999999</v>
      </c>
      <c r="M70" s="116">
        <f t="shared" ref="M70:M133" si="17">(L70-J70)</f>
        <v>33673790.808605202</v>
      </c>
      <c r="N70" s="123">
        <f t="shared" ref="N70:N133" si="18">(M70/C70)</f>
        <v>345.87239812041207</v>
      </c>
      <c r="O70" s="5"/>
      <c r="P70" s="5">
        <f t="shared" ref="P70:P132" si="19">IF(I70&gt;0,1,0)</f>
        <v>1</v>
      </c>
      <c r="Q70" s="7">
        <f t="shared" ref="Q70:Q132" si="20">IF(I70&gt;0,C70,0)</f>
        <v>97359</v>
      </c>
      <c r="W70" s="124">
        <f t="shared" si="8"/>
        <v>51669217.551394798</v>
      </c>
      <c r="X70">
        <f t="shared" si="9"/>
        <v>0</v>
      </c>
    </row>
    <row r="71" spans="1:24">
      <c r="A71" s="23" t="s">
        <v>72</v>
      </c>
      <c r="B71" s="35" t="s">
        <v>49</v>
      </c>
      <c r="C71" s="125">
        <v>72509</v>
      </c>
      <c r="D71" s="132">
        <v>7725138995</v>
      </c>
      <c r="E71" s="116">
        <f t="shared" si="13"/>
        <v>106540.41560358024</v>
      </c>
      <c r="F71" s="154">
        <v>4712555968</v>
      </c>
      <c r="G71" s="117">
        <f t="shared" si="14"/>
        <v>64992.703912617741</v>
      </c>
      <c r="H71" s="98"/>
      <c r="I71" s="136">
        <v>7.2</v>
      </c>
      <c r="J71" s="134">
        <v>33930402.969599999</v>
      </c>
      <c r="K71" s="120">
        <f t="shared" si="15"/>
        <v>467.94746817084774</v>
      </c>
      <c r="L71" s="122">
        <f t="shared" si="16"/>
        <v>47125559.68</v>
      </c>
      <c r="M71" s="116">
        <f t="shared" si="17"/>
        <v>13195156.7104</v>
      </c>
      <c r="N71" s="123">
        <f t="shared" si="18"/>
        <v>181.97957095532968</v>
      </c>
      <c r="O71" s="5"/>
      <c r="P71" s="5">
        <f t="shared" si="19"/>
        <v>1</v>
      </c>
      <c r="Q71" s="7">
        <f t="shared" si="20"/>
        <v>72509</v>
      </c>
      <c r="W71" s="124">
        <f t="shared" ref="W71:W133" si="21">F71*(I71/1000)</f>
        <v>33930402.969599999</v>
      </c>
      <c r="X71">
        <f t="shared" ref="X71:X133" si="22">IF(W71=J71,0,1)</f>
        <v>0</v>
      </c>
    </row>
    <row r="72" spans="1:24">
      <c r="A72" s="23" t="s">
        <v>507</v>
      </c>
      <c r="B72" s="35" t="s">
        <v>49</v>
      </c>
      <c r="C72" s="125">
        <v>15229</v>
      </c>
      <c r="D72" s="132">
        <v>1324694976</v>
      </c>
      <c r="E72" s="116">
        <f t="shared" si="13"/>
        <v>86985.026987983452</v>
      </c>
      <c r="F72" s="134">
        <v>710166031</v>
      </c>
      <c r="G72" s="117">
        <f t="shared" si="14"/>
        <v>46632.479545603783</v>
      </c>
      <c r="H72" s="98"/>
      <c r="I72" s="136">
        <v>8.5</v>
      </c>
      <c r="J72" s="134">
        <v>6036411.2635000004</v>
      </c>
      <c r="K72" s="120">
        <f t="shared" si="15"/>
        <v>396.3760761376322</v>
      </c>
      <c r="L72" s="122">
        <f t="shared" si="16"/>
        <v>7101660.3100000005</v>
      </c>
      <c r="M72" s="116">
        <f t="shared" si="17"/>
        <v>1065249.0465000002</v>
      </c>
      <c r="N72" s="123">
        <f t="shared" si="18"/>
        <v>69.948719318405679</v>
      </c>
      <c r="O72" s="5"/>
      <c r="P72" s="5">
        <f t="shared" si="19"/>
        <v>1</v>
      </c>
      <c r="Q72" s="7">
        <f t="shared" si="20"/>
        <v>15229</v>
      </c>
      <c r="W72" s="124">
        <f t="shared" si="21"/>
        <v>6036411.2635000004</v>
      </c>
      <c r="X72">
        <f t="shared" si="22"/>
        <v>0</v>
      </c>
    </row>
    <row r="73" spans="1:24">
      <c r="A73" s="23" t="s">
        <v>73</v>
      </c>
      <c r="B73" s="35" t="s">
        <v>49</v>
      </c>
      <c r="C73" s="125">
        <v>68305</v>
      </c>
      <c r="D73" s="132">
        <v>12811562193</v>
      </c>
      <c r="E73" s="116">
        <f t="shared" si="13"/>
        <v>187564.0464534075</v>
      </c>
      <c r="F73" s="134">
        <v>9474054222</v>
      </c>
      <c r="G73" s="117">
        <f t="shared" si="14"/>
        <v>138702.20660273772</v>
      </c>
      <c r="H73" s="98"/>
      <c r="I73" s="136">
        <v>3.3464</v>
      </c>
      <c r="J73" s="134">
        <v>31703975.048500802</v>
      </c>
      <c r="K73" s="120">
        <f t="shared" si="15"/>
        <v>464.15306417540154</v>
      </c>
      <c r="L73" s="122">
        <f t="shared" si="16"/>
        <v>94740542.219999999</v>
      </c>
      <c r="M73" s="116">
        <f t="shared" si="17"/>
        <v>63036567.171499193</v>
      </c>
      <c r="N73" s="123">
        <f t="shared" si="18"/>
        <v>922.86900185197555</v>
      </c>
      <c r="O73" s="5"/>
      <c r="P73" s="5">
        <f t="shared" si="19"/>
        <v>1</v>
      </c>
      <c r="Q73" s="7">
        <f t="shared" si="20"/>
        <v>68305</v>
      </c>
      <c r="W73" s="124">
        <f t="shared" si="21"/>
        <v>31703975.048500802</v>
      </c>
      <c r="X73">
        <f t="shared" si="22"/>
        <v>0</v>
      </c>
    </row>
    <row r="74" spans="1:24">
      <c r="A74" s="23" t="s">
        <v>74</v>
      </c>
      <c r="B74" s="35" t="s">
        <v>49</v>
      </c>
      <c r="C74" s="125">
        <v>11560</v>
      </c>
      <c r="D74" s="132">
        <v>2461512052</v>
      </c>
      <c r="E74" s="116">
        <f t="shared" si="13"/>
        <v>212933.56851211074</v>
      </c>
      <c r="F74" s="134">
        <v>1677021954</v>
      </c>
      <c r="G74" s="117">
        <f t="shared" si="14"/>
        <v>145071.10328719724</v>
      </c>
      <c r="H74" s="98"/>
      <c r="I74" s="136">
        <v>5.8360000000000003</v>
      </c>
      <c r="J74" s="134">
        <v>9787100.1235440001</v>
      </c>
      <c r="K74" s="120">
        <f t="shared" si="15"/>
        <v>846.6349587840831</v>
      </c>
      <c r="L74" s="122">
        <f t="shared" si="16"/>
        <v>16770219.540000001</v>
      </c>
      <c r="M74" s="116">
        <f t="shared" si="17"/>
        <v>6983119.4164560009</v>
      </c>
      <c r="N74" s="123">
        <f t="shared" si="18"/>
        <v>604.07607408788931</v>
      </c>
      <c r="O74" s="5"/>
      <c r="P74" s="5">
        <f t="shared" si="19"/>
        <v>1</v>
      </c>
      <c r="Q74" s="7">
        <f t="shared" si="20"/>
        <v>11560</v>
      </c>
      <c r="S74" s="124">
        <f>SUM(D44:D74)</f>
        <v>313595800059</v>
      </c>
      <c r="T74" s="124">
        <f>SUM(F44:F74)</f>
        <v>219209153472</v>
      </c>
      <c r="U74" s="124">
        <f>SUM(J44:J74)</f>
        <v>1231123602.9423993</v>
      </c>
      <c r="W74" s="124">
        <f t="shared" si="21"/>
        <v>9787100.1235440001</v>
      </c>
      <c r="X74">
        <f t="shared" si="22"/>
        <v>0</v>
      </c>
    </row>
    <row r="75" spans="1:24">
      <c r="A75" s="23" t="s">
        <v>75</v>
      </c>
      <c r="B75" s="35" t="s">
        <v>76</v>
      </c>
      <c r="C75" s="125">
        <v>494</v>
      </c>
      <c r="D75" s="147" t="s">
        <v>564</v>
      </c>
      <c r="E75" s="116"/>
      <c r="F75" s="134"/>
      <c r="G75" s="117"/>
      <c r="H75" s="98" t="s">
        <v>588</v>
      </c>
      <c r="I75" s="136"/>
      <c r="J75" s="134"/>
      <c r="K75" s="120"/>
      <c r="L75" s="122">
        <f t="shared" si="16"/>
        <v>0</v>
      </c>
      <c r="M75" s="116">
        <f t="shared" si="17"/>
        <v>0</v>
      </c>
      <c r="N75" s="123">
        <f t="shared" si="18"/>
        <v>0</v>
      </c>
      <c r="O75" s="5"/>
      <c r="P75" s="5">
        <f t="shared" si="19"/>
        <v>0</v>
      </c>
      <c r="Q75" s="7">
        <f t="shared" si="20"/>
        <v>0</v>
      </c>
      <c r="W75" s="124">
        <f t="shared" si="21"/>
        <v>0</v>
      </c>
      <c r="X75">
        <f t="shared" si="22"/>
        <v>0</v>
      </c>
    </row>
    <row r="76" spans="1:24">
      <c r="A76" s="23" t="s">
        <v>77</v>
      </c>
      <c r="B76" s="35" t="s">
        <v>76</v>
      </c>
      <c r="C76" s="125">
        <v>2273</v>
      </c>
      <c r="D76" s="132">
        <v>118273578</v>
      </c>
      <c r="E76" s="116">
        <f t="shared" ref="E76:E86" si="23">(D76/C76)</f>
        <v>52034.130224373075</v>
      </c>
      <c r="F76" s="134">
        <v>67869406</v>
      </c>
      <c r="G76" s="117">
        <f t="shared" ref="G76:G86" si="24">(F76/C76)</f>
        <v>29858.955565332159</v>
      </c>
      <c r="H76" s="7"/>
      <c r="I76" s="136">
        <v>1.5</v>
      </c>
      <c r="J76" s="134">
        <v>101804.109</v>
      </c>
      <c r="K76" s="120">
        <f t="shared" ref="K76:K86" si="25">(J76/C76)</f>
        <v>44.788433347998236</v>
      </c>
      <c r="L76" s="122">
        <f t="shared" si="16"/>
        <v>678694.06</v>
      </c>
      <c r="M76" s="116">
        <f t="shared" si="17"/>
        <v>576889.95100000012</v>
      </c>
      <c r="N76" s="123">
        <f t="shared" si="18"/>
        <v>253.80112230532342</v>
      </c>
      <c r="O76" s="5"/>
      <c r="P76" s="5">
        <f t="shared" si="19"/>
        <v>1</v>
      </c>
      <c r="Q76" s="7">
        <f t="shared" si="20"/>
        <v>2273</v>
      </c>
      <c r="S76" s="124">
        <f>SUM(D75:D76)</f>
        <v>118273578</v>
      </c>
      <c r="T76" s="124">
        <f>SUM(F75:F76)</f>
        <v>67869406</v>
      </c>
      <c r="U76" s="124">
        <f>SUM(J75:J76)</f>
        <v>101804.109</v>
      </c>
      <c r="W76" s="124">
        <f t="shared" si="21"/>
        <v>101804.109</v>
      </c>
      <c r="X76">
        <f t="shared" si="22"/>
        <v>0</v>
      </c>
    </row>
    <row r="77" spans="1:24">
      <c r="A77" s="23" t="s">
        <v>78</v>
      </c>
      <c r="B77" s="35" t="s">
        <v>79</v>
      </c>
      <c r="C77" s="125">
        <v>19637</v>
      </c>
      <c r="D77" s="132">
        <v>4915579419</v>
      </c>
      <c r="E77" s="116">
        <f t="shared" si="23"/>
        <v>250322.32107755766</v>
      </c>
      <c r="F77" s="134">
        <v>3661713042</v>
      </c>
      <c r="G77" s="117">
        <f t="shared" si="24"/>
        <v>186470.0841269033</v>
      </c>
      <c r="H77" s="7"/>
      <c r="I77" s="136">
        <v>3.95</v>
      </c>
      <c r="J77" s="134">
        <v>14463766.515900001</v>
      </c>
      <c r="K77" s="120">
        <f t="shared" si="25"/>
        <v>736.55683230126806</v>
      </c>
      <c r="L77" s="122">
        <f t="shared" si="16"/>
        <v>36617130.420000002</v>
      </c>
      <c r="M77" s="116">
        <f t="shared" si="17"/>
        <v>22153363.904100001</v>
      </c>
      <c r="N77" s="123">
        <f t="shared" si="18"/>
        <v>1128.1440089677649</v>
      </c>
      <c r="O77" s="5"/>
      <c r="P77" s="5">
        <f t="shared" si="19"/>
        <v>1</v>
      </c>
      <c r="Q77" s="7">
        <f t="shared" si="20"/>
        <v>19637</v>
      </c>
      <c r="S77" s="124">
        <f>SUM(D77)</f>
        <v>4915579419</v>
      </c>
      <c r="T77" s="124">
        <f>SUM(F77)</f>
        <v>3661713042</v>
      </c>
      <c r="U77" s="124">
        <f>SUM(J77)</f>
        <v>14463766.515900001</v>
      </c>
      <c r="W77" s="124">
        <f t="shared" si="21"/>
        <v>14463766.515900001</v>
      </c>
      <c r="X77">
        <f t="shared" si="22"/>
        <v>0</v>
      </c>
    </row>
    <row r="78" spans="1:24">
      <c r="A78" s="23" t="s">
        <v>80</v>
      </c>
      <c r="B78" s="35" t="s">
        <v>81</v>
      </c>
      <c r="C78" s="125">
        <v>3429</v>
      </c>
      <c r="D78" s="132">
        <v>715417584</v>
      </c>
      <c r="E78" s="116">
        <f t="shared" si="23"/>
        <v>208637.38232720911</v>
      </c>
      <c r="F78" s="134">
        <v>539601320</v>
      </c>
      <c r="G78" s="117">
        <f t="shared" si="24"/>
        <v>157364.04782735492</v>
      </c>
      <c r="H78" s="7"/>
      <c r="I78" s="150">
        <v>6.59</v>
      </c>
      <c r="J78" s="134">
        <v>3555972.6987999999</v>
      </c>
      <c r="K78" s="120">
        <f t="shared" si="25"/>
        <v>1037.0290751822688</v>
      </c>
      <c r="L78" s="122">
        <f t="shared" si="16"/>
        <v>5396013.2000000002</v>
      </c>
      <c r="M78" s="116">
        <f t="shared" si="17"/>
        <v>1840040.5012000003</v>
      </c>
      <c r="N78" s="123">
        <f t="shared" si="18"/>
        <v>536.61140309128029</v>
      </c>
      <c r="O78" s="5"/>
      <c r="P78" s="5">
        <f t="shared" si="19"/>
        <v>1</v>
      </c>
      <c r="Q78" s="7">
        <f t="shared" si="20"/>
        <v>3429</v>
      </c>
      <c r="W78" s="124">
        <f t="shared" si="21"/>
        <v>3555972.6987999999</v>
      </c>
      <c r="X78">
        <f t="shared" si="22"/>
        <v>0</v>
      </c>
    </row>
    <row r="79" spans="1:24">
      <c r="A79" s="23" t="s">
        <v>82</v>
      </c>
      <c r="B79" s="35" t="s">
        <v>81</v>
      </c>
      <c r="C79" s="125">
        <v>7765</v>
      </c>
      <c r="D79" s="132">
        <v>852117901</v>
      </c>
      <c r="E79" s="116">
        <f t="shared" si="23"/>
        <v>109738.30019317449</v>
      </c>
      <c r="F79" s="134">
        <v>524663936</v>
      </c>
      <c r="G79" s="117">
        <f t="shared" si="24"/>
        <v>67567.796007726982</v>
      </c>
      <c r="H79" s="7"/>
      <c r="I79" s="136">
        <v>7.8211000000000004</v>
      </c>
      <c r="J79" s="134">
        <v>4103449.1098496001</v>
      </c>
      <c r="K79" s="120">
        <f t="shared" si="25"/>
        <v>528.45448935603349</v>
      </c>
      <c r="L79" s="122">
        <f t="shared" si="16"/>
        <v>5246639.3600000003</v>
      </c>
      <c r="M79" s="116">
        <f t="shared" si="17"/>
        <v>1143190.2501504002</v>
      </c>
      <c r="N79" s="123">
        <f t="shared" si="18"/>
        <v>147.22347072123634</v>
      </c>
      <c r="O79" s="5"/>
      <c r="P79" s="5">
        <f t="shared" si="19"/>
        <v>1</v>
      </c>
      <c r="Q79" s="7">
        <f t="shared" si="20"/>
        <v>7765</v>
      </c>
      <c r="S79" s="124">
        <f>SUM(D78:D79)</f>
        <v>1567535485</v>
      </c>
      <c r="T79" s="124">
        <f>SUM(F78:F79)</f>
        <v>1064265256</v>
      </c>
      <c r="U79" s="124">
        <f>SUM(J78:J79)</f>
        <v>7659421.8086495996</v>
      </c>
      <c r="W79" s="124">
        <f t="shared" si="21"/>
        <v>4103449.1098496006</v>
      </c>
      <c r="X79">
        <f t="shared" si="22"/>
        <v>0</v>
      </c>
    </row>
    <row r="80" spans="1:24">
      <c r="A80" s="23" t="s">
        <v>83</v>
      </c>
      <c r="B80" s="35" t="s">
        <v>84</v>
      </c>
      <c r="C80" s="125">
        <v>9959</v>
      </c>
      <c r="D80" s="132">
        <v>872999422</v>
      </c>
      <c r="E80" s="116">
        <f t="shared" si="23"/>
        <v>87659.345516618137</v>
      </c>
      <c r="F80" s="134">
        <v>556375920</v>
      </c>
      <c r="G80" s="117">
        <f t="shared" si="24"/>
        <v>55866.645245506574</v>
      </c>
      <c r="H80" s="7"/>
      <c r="I80" s="136">
        <v>3.8</v>
      </c>
      <c r="J80" s="134">
        <v>2114228.4959999998</v>
      </c>
      <c r="K80" s="120">
        <f t="shared" si="25"/>
        <v>212.29325193292496</v>
      </c>
      <c r="L80" s="122">
        <f t="shared" si="16"/>
        <v>5563759.2000000002</v>
      </c>
      <c r="M80" s="116">
        <f t="shared" si="17"/>
        <v>3449530.7040000004</v>
      </c>
      <c r="N80" s="123">
        <f t="shared" si="18"/>
        <v>346.37320052214079</v>
      </c>
      <c r="O80" s="5"/>
      <c r="P80" s="5">
        <f t="shared" si="19"/>
        <v>1</v>
      </c>
      <c r="Q80" s="7">
        <f t="shared" si="20"/>
        <v>9959</v>
      </c>
      <c r="W80" s="124">
        <f t="shared" si="21"/>
        <v>2114228.4959999998</v>
      </c>
      <c r="X80">
        <f t="shared" si="22"/>
        <v>0</v>
      </c>
    </row>
    <row r="81" spans="1:24">
      <c r="A81" s="23" t="s">
        <v>85</v>
      </c>
      <c r="B81" s="35" t="s">
        <v>84</v>
      </c>
      <c r="C81" s="125">
        <v>1454</v>
      </c>
      <c r="D81" s="132">
        <v>125735318</v>
      </c>
      <c r="E81" s="116">
        <f t="shared" si="23"/>
        <v>86475.459422283355</v>
      </c>
      <c r="F81" s="134">
        <v>75145692</v>
      </c>
      <c r="G81" s="117">
        <f t="shared" si="24"/>
        <v>51682.044016506188</v>
      </c>
      <c r="H81" s="7"/>
      <c r="I81" s="136">
        <v>4.2900999999999998</v>
      </c>
      <c r="J81" s="134">
        <v>322382.53324919997</v>
      </c>
      <c r="K81" s="120">
        <f t="shared" si="25"/>
        <v>221.72113703521319</v>
      </c>
      <c r="L81" s="122">
        <f t="shared" si="16"/>
        <v>751456.92</v>
      </c>
      <c r="M81" s="116">
        <f t="shared" si="17"/>
        <v>429074.38675080007</v>
      </c>
      <c r="N81" s="123">
        <f t="shared" si="18"/>
        <v>295.09930312984875</v>
      </c>
      <c r="O81" s="5"/>
      <c r="P81" s="5">
        <f t="shared" si="19"/>
        <v>1</v>
      </c>
      <c r="Q81" s="7">
        <f t="shared" si="20"/>
        <v>1454</v>
      </c>
      <c r="W81" s="124">
        <f t="shared" si="21"/>
        <v>322382.53324919997</v>
      </c>
      <c r="X81">
        <f t="shared" si="22"/>
        <v>0</v>
      </c>
    </row>
    <row r="82" spans="1:24">
      <c r="A82" s="23" t="s">
        <v>86</v>
      </c>
      <c r="B82" s="35" t="s">
        <v>84</v>
      </c>
      <c r="C82" s="125">
        <v>9126</v>
      </c>
      <c r="D82" s="132">
        <v>1011989984</v>
      </c>
      <c r="E82" s="116">
        <f t="shared" si="23"/>
        <v>110890.85952224414</v>
      </c>
      <c r="F82" s="134">
        <v>653377180</v>
      </c>
      <c r="G82" s="117">
        <f t="shared" si="24"/>
        <v>71595.132588209512</v>
      </c>
      <c r="H82" s="9"/>
      <c r="I82" s="136">
        <v>5.8780999999999999</v>
      </c>
      <c r="J82" s="134">
        <v>3840616.4017579998</v>
      </c>
      <c r="K82" s="120">
        <f t="shared" si="25"/>
        <v>420.8433488667543</v>
      </c>
      <c r="L82" s="122">
        <f t="shared" si="16"/>
        <v>6533771.7999999998</v>
      </c>
      <c r="M82" s="116">
        <f t="shared" si="17"/>
        <v>2693155.398242</v>
      </c>
      <c r="N82" s="123">
        <f t="shared" si="18"/>
        <v>295.10797701534079</v>
      </c>
      <c r="O82" s="5"/>
      <c r="P82" s="5">
        <f t="shared" si="19"/>
        <v>1</v>
      </c>
      <c r="Q82" s="7">
        <f t="shared" si="20"/>
        <v>9126</v>
      </c>
      <c r="W82" s="124">
        <f t="shared" si="21"/>
        <v>3840616.4017579998</v>
      </c>
      <c r="X82">
        <f t="shared" si="22"/>
        <v>0</v>
      </c>
    </row>
    <row r="83" spans="1:24">
      <c r="A83" s="23" t="s">
        <v>87</v>
      </c>
      <c r="B83" s="35" t="s">
        <v>84</v>
      </c>
      <c r="C83" s="125">
        <v>826</v>
      </c>
      <c r="D83" s="147">
        <v>44696104</v>
      </c>
      <c r="E83" s="116">
        <f t="shared" si="23"/>
        <v>54111.506053268764</v>
      </c>
      <c r="F83" s="134">
        <v>17699368</v>
      </c>
      <c r="G83" s="117">
        <f t="shared" si="24"/>
        <v>21427.806295399514</v>
      </c>
      <c r="H83" s="98"/>
      <c r="I83" s="136">
        <v>4.4535</v>
      </c>
      <c r="J83" s="134">
        <v>78824.135387999995</v>
      </c>
      <c r="K83" s="120">
        <f t="shared" si="25"/>
        <v>95.428735336561743</v>
      </c>
      <c r="L83" s="122">
        <f t="shared" si="16"/>
        <v>176993.68</v>
      </c>
      <c r="M83" s="116">
        <f t="shared" si="17"/>
        <v>98169.544611999998</v>
      </c>
      <c r="N83" s="123">
        <f t="shared" si="18"/>
        <v>118.84932761743342</v>
      </c>
      <c r="O83" s="5"/>
      <c r="P83" s="5">
        <f t="shared" si="19"/>
        <v>1</v>
      </c>
      <c r="Q83" s="7">
        <f t="shared" si="20"/>
        <v>826</v>
      </c>
      <c r="S83" s="124">
        <f>SUM(D80:D83)</f>
        <v>2055420828</v>
      </c>
      <c r="T83" s="124">
        <f>SUM(F80:F83)</f>
        <v>1302598160</v>
      </c>
      <c r="U83" s="124">
        <f>SUM(J80:J83)</f>
        <v>6356051.5663951989</v>
      </c>
      <c r="W83" s="124">
        <f t="shared" si="21"/>
        <v>78824.135387999995</v>
      </c>
      <c r="X83">
        <f t="shared" si="22"/>
        <v>0</v>
      </c>
    </row>
    <row r="84" spans="1:24">
      <c r="A84" s="23" t="s">
        <v>88</v>
      </c>
      <c r="B84" s="35" t="s">
        <v>89</v>
      </c>
      <c r="C84" s="125">
        <v>363</v>
      </c>
      <c r="D84" s="132">
        <v>142060631</v>
      </c>
      <c r="E84" s="116">
        <f t="shared" si="23"/>
        <v>391351.60055096418</v>
      </c>
      <c r="F84" s="134">
        <v>99695971</v>
      </c>
      <c r="G84" s="117">
        <f t="shared" si="24"/>
        <v>274644.54820936639</v>
      </c>
      <c r="H84" s="7"/>
      <c r="I84" s="136">
        <v>5.7694000000000001</v>
      </c>
      <c r="J84" s="134">
        <v>575185.93508739991</v>
      </c>
      <c r="K84" s="120">
        <f t="shared" si="25"/>
        <v>1584.5342564391183</v>
      </c>
      <c r="L84" s="122">
        <f t="shared" si="16"/>
        <v>996959.71</v>
      </c>
      <c r="M84" s="116">
        <f t="shared" si="17"/>
        <v>421773.77491260006</v>
      </c>
      <c r="N84" s="123">
        <f t="shared" si="18"/>
        <v>1161.9112256545457</v>
      </c>
      <c r="O84" s="5"/>
      <c r="P84" s="5">
        <f t="shared" si="19"/>
        <v>1</v>
      </c>
      <c r="Q84" s="7">
        <f t="shared" si="20"/>
        <v>363</v>
      </c>
      <c r="W84" s="124">
        <f t="shared" si="21"/>
        <v>575185.93508740002</v>
      </c>
      <c r="X84">
        <f t="shared" si="22"/>
        <v>0</v>
      </c>
    </row>
    <row r="85" spans="1:24">
      <c r="A85" s="23" t="s">
        <v>90</v>
      </c>
      <c r="B85" s="35" t="s">
        <v>89</v>
      </c>
      <c r="C85" s="125">
        <v>16086</v>
      </c>
      <c r="D85" s="132">
        <v>13652682094</v>
      </c>
      <c r="E85" s="116">
        <f t="shared" si="23"/>
        <v>848730.70334452321</v>
      </c>
      <c r="F85" s="134">
        <v>11852327861</v>
      </c>
      <c r="G85" s="117">
        <f t="shared" si="24"/>
        <v>736810.13682705455</v>
      </c>
      <c r="H85" s="7"/>
      <c r="I85" s="136">
        <v>1.7088000000000001</v>
      </c>
      <c r="J85" s="134">
        <v>20253257.8488768</v>
      </c>
      <c r="K85" s="120">
        <f t="shared" si="25"/>
        <v>1259.0611618100709</v>
      </c>
      <c r="L85" s="122">
        <f t="shared" si="16"/>
        <v>118523278.61</v>
      </c>
      <c r="M85" s="116">
        <f t="shared" si="17"/>
        <v>98270020.761123195</v>
      </c>
      <c r="N85" s="123">
        <f t="shared" si="18"/>
        <v>6109.040206460475</v>
      </c>
      <c r="O85" s="5"/>
      <c r="P85" s="5">
        <f t="shared" si="19"/>
        <v>1</v>
      </c>
      <c r="Q85" s="7">
        <f t="shared" si="20"/>
        <v>16086</v>
      </c>
      <c r="W85" s="124">
        <f t="shared" si="21"/>
        <v>20253257.8488768</v>
      </c>
      <c r="X85">
        <f t="shared" si="22"/>
        <v>0</v>
      </c>
    </row>
    <row r="86" spans="1:24">
      <c r="A86" s="23" t="s">
        <v>91</v>
      </c>
      <c r="B86" s="35" t="s">
        <v>89</v>
      </c>
      <c r="C86" s="125">
        <v>19186</v>
      </c>
      <c r="D86" s="132">
        <v>32974930815</v>
      </c>
      <c r="E86" s="116">
        <f t="shared" si="23"/>
        <v>1718697.5302303764</v>
      </c>
      <c r="F86" s="134">
        <v>26865896884</v>
      </c>
      <c r="G86" s="117">
        <f t="shared" si="24"/>
        <v>1400286.5049515271</v>
      </c>
      <c r="H86" s="9"/>
      <c r="I86" s="150">
        <v>1.1499999999999999</v>
      </c>
      <c r="J86" s="134">
        <v>30895781.4166</v>
      </c>
      <c r="K86" s="120">
        <f t="shared" si="25"/>
        <v>1610.3294806942563</v>
      </c>
      <c r="L86" s="122">
        <f t="shared" si="16"/>
        <v>268658968.84000003</v>
      </c>
      <c r="M86" s="116">
        <f t="shared" si="17"/>
        <v>237763187.42340004</v>
      </c>
      <c r="N86" s="123">
        <f t="shared" si="18"/>
        <v>12392.535568821018</v>
      </c>
      <c r="O86" s="5"/>
      <c r="P86" s="5">
        <f t="shared" si="19"/>
        <v>1</v>
      </c>
      <c r="Q86" s="7">
        <f t="shared" si="20"/>
        <v>19186</v>
      </c>
      <c r="S86" s="124">
        <f>SUM(D84:D86)</f>
        <v>46769673540</v>
      </c>
      <c r="T86" s="124">
        <f>SUM(F84:F86)</f>
        <v>38817920716</v>
      </c>
      <c r="U86" s="124">
        <f>SUM(J84:J86)</f>
        <v>51724225.200564206</v>
      </c>
      <c r="W86" s="124">
        <f t="shared" si="21"/>
        <v>30895781.4166</v>
      </c>
      <c r="X86">
        <f t="shared" si="22"/>
        <v>0</v>
      </c>
    </row>
    <row r="87" spans="1:24">
      <c r="A87" s="23" t="s">
        <v>92</v>
      </c>
      <c r="B87" s="35" t="s">
        <v>93</v>
      </c>
      <c r="C87" s="125">
        <v>631</v>
      </c>
      <c r="D87" s="147" t="s">
        <v>564</v>
      </c>
      <c r="E87" s="116"/>
      <c r="F87" s="134"/>
      <c r="G87" s="117"/>
      <c r="H87" s="98" t="s">
        <v>588</v>
      </c>
      <c r="I87" s="136"/>
      <c r="J87" s="134"/>
      <c r="K87" s="120"/>
      <c r="L87" s="122">
        <f t="shared" si="16"/>
        <v>0</v>
      </c>
      <c r="M87" s="116">
        <f t="shared" si="17"/>
        <v>0</v>
      </c>
      <c r="N87" s="123">
        <f t="shared" si="18"/>
        <v>0</v>
      </c>
      <c r="O87" s="5"/>
      <c r="P87" s="5">
        <f t="shared" si="19"/>
        <v>0</v>
      </c>
      <c r="Q87" s="7">
        <f t="shared" si="20"/>
        <v>0</v>
      </c>
      <c r="W87" s="124">
        <f t="shared" si="21"/>
        <v>0</v>
      </c>
      <c r="X87">
        <f t="shared" si="22"/>
        <v>0</v>
      </c>
    </row>
    <row r="88" spans="1:24">
      <c r="A88" s="23" t="s">
        <v>94</v>
      </c>
      <c r="B88" s="35" t="s">
        <v>93</v>
      </c>
      <c r="C88" s="125">
        <v>12400</v>
      </c>
      <c r="D88" s="132">
        <v>1255921012</v>
      </c>
      <c r="E88" s="116">
        <f t="shared" ref="E88:E93" si="26">(D88/C88)</f>
        <v>101283.95258064516</v>
      </c>
      <c r="F88" s="134">
        <v>865492284</v>
      </c>
      <c r="G88" s="117">
        <f t="shared" ref="G88:G93" si="27">(F88/C88)</f>
        <v>69797.764838709671</v>
      </c>
      <c r="H88" s="7"/>
      <c r="I88" s="136">
        <v>4.9000000000000004</v>
      </c>
      <c r="J88" s="134">
        <v>4240912.1916000005</v>
      </c>
      <c r="K88" s="120">
        <f t="shared" ref="K88:K93" si="28">(J88/C88)</f>
        <v>342.00904770967747</v>
      </c>
      <c r="L88" s="122">
        <f t="shared" si="16"/>
        <v>8654922.8399999999</v>
      </c>
      <c r="M88" s="116">
        <f t="shared" si="17"/>
        <v>4414010.6483999994</v>
      </c>
      <c r="N88" s="123">
        <f t="shared" si="18"/>
        <v>355.96860067741932</v>
      </c>
      <c r="O88" s="5"/>
      <c r="P88" s="5">
        <f t="shared" si="19"/>
        <v>1</v>
      </c>
      <c r="Q88" s="7">
        <f t="shared" si="20"/>
        <v>12400</v>
      </c>
      <c r="S88" s="124">
        <f>SUM(D87:D88)</f>
        <v>1255921012</v>
      </c>
      <c r="T88" s="124">
        <f>SUM(F87:F88)</f>
        <v>865492284</v>
      </c>
      <c r="U88" s="124">
        <f>SUM(J87:J88)</f>
        <v>4240912.1916000005</v>
      </c>
      <c r="W88" s="124">
        <f t="shared" si="21"/>
        <v>4240912.1916000005</v>
      </c>
      <c r="X88">
        <f t="shared" si="22"/>
        <v>0</v>
      </c>
    </row>
    <row r="89" spans="1:24">
      <c r="A89" s="23" t="s">
        <v>95</v>
      </c>
      <c r="B89" s="37" t="s">
        <v>575</v>
      </c>
      <c r="C89" s="125">
        <v>7479</v>
      </c>
      <c r="D89" s="132">
        <v>438355893</v>
      </c>
      <c r="E89" s="116">
        <f t="shared" si="26"/>
        <v>58611.56478138789</v>
      </c>
      <c r="F89" s="134">
        <v>231837760</v>
      </c>
      <c r="G89" s="117">
        <f t="shared" si="27"/>
        <v>30998.497125284128</v>
      </c>
      <c r="H89" s="8"/>
      <c r="I89" s="136">
        <v>8.3231000000000002</v>
      </c>
      <c r="J89" s="134">
        <v>1929608.860256</v>
      </c>
      <c r="K89" s="120">
        <f t="shared" si="28"/>
        <v>258.00359142345235</v>
      </c>
      <c r="L89" s="122">
        <f t="shared" si="16"/>
        <v>2318377.6</v>
      </c>
      <c r="M89" s="116">
        <f t="shared" si="17"/>
        <v>388768.73974400014</v>
      </c>
      <c r="N89" s="123">
        <f t="shared" si="18"/>
        <v>51.981379829388977</v>
      </c>
      <c r="O89" s="5"/>
      <c r="P89" s="5">
        <f t="shared" si="19"/>
        <v>1</v>
      </c>
      <c r="Q89" s="7">
        <f t="shared" si="20"/>
        <v>7479</v>
      </c>
      <c r="S89" s="124">
        <f>SUM(D89)</f>
        <v>438355893</v>
      </c>
      <c r="T89" s="124">
        <f>SUM(F89)</f>
        <v>231837760</v>
      </c>
      <c r="U89" s="124">
        <f>SUM(J89)</f>
        <v>1929608.860256</v>
      </c>
      <c r="W89" s="124">
        <f t="shared" si="21"/>
        <v>1929608.860256</v>
      </c>
      <c r="X89">
        <f t="shared" si="22"/>
        <v>0</v>
      </c>
    </row>
    <row r="90" spans="1:24">
      <c r="A90" s="23" t="s">
        <v>96</v>
      </c>
      <c r="B90" s="35" t="s">
        <v>97</v>
      </c>
      <c r="C90" s="125">
        <v>1710</v>
      </c>
      <c r="D90" s="132">
        <v>80579300</v>
      </c>
      <c r="E90" s="116">
        <f t="shared" si="26"/>
        <v>47122.397660818715</v>
      </c>
      <c r="F90" s="134">
        <v>40053108</v>
      </c>
      <c r="G90" s="117">
        <f t="shared" si="27"/>
        <v>23422.870175438595</v>
      </c>
      <c r="H90" s="8"/>
      <c r="I90" s="136">
        <v>5.0491999999999999</v>
      </c>
      <c r="J90" s="134">
        <v>202236.1529136</v>
      </c>
      <c r="K90" s="120">
        <f t="shared" si="28"/>
        <v>118.26675608982457</v>
      </c>
      <c r="L90" s="122">
        <f t="shared" si="16"/>
        <v>400531.08</v>
      </c>
      <c r="M90" s="116">
        <f t="shared" si="17"/>
        <v>198294.92708640001</v>
      </c>
      <c r="N90" s="123">
        <f t="shared" si="18"/>
        <v>115.96194566456141</v>
      </c>
      <c r="O90" s="5"/>
      <c r="P90" s="5">
        <f t="shared" si="19"/>
        <v>1</v>
      </c>
      <c r="Q90" s="7">
        <f t="shared" si="20"/>
        <v>1710</v>
      </c>
      <c r="W90" s="124">
        <f t="shared" si="21"/>
        <v>202236.1529136</v>
      </c>
      <c r="X90">
        <f t="shared" si="22"/>
        <v>0</v>
      </c>
    </row>
    <row r="91" spans="1:24">
      <c r="A91" s="23" t="s">
        <v>98</v>
      </c>
      <c r="B91" s="35" t="s">
        <v>97</v>
      </c>
      <c r="C91" s="125">
        <v>166</v>
      </c>
      <c r="D91" s="132">
        <v>59594305</v>
      </c>
      <c r="E91" s="116">
        <f t="shared" si="26"/>
        <v>359001.8373493976</v>
      </c>
      <c r="F91" s="134">
        <v>50323417</v>
      </c>
      <c r="G91" s="117">
        <f t="shared" si="27"/>
        <v>303153.11445783131</v>
      </c>
      <c r="H91" s="9"/>
      <c r="I91" s="150">
        <v>2</v>
      </c>
      <c r="J91" s="134">
        <v>100646.834</v>
      </c>
      <c r="K91" s="120">
        <f t="shared" si="28"/>
        <v>606.3062289156627</v>
      </c>
      <c r="L91" s="122">
        <f t="shared" si="16"/>
        <v>503234.17</v>
      </c>
      <c r="M91" s="116">
        <f t="shared" si="17"/>
        <v>402587.33600000001</v>
      </c>
      <c r="N91" s="123">
        <f t="shared" si="18"/>
        <v>2425.2249156626508</v>
      </c>
      <c r="O91" s="5"/>
      <c r="P91" s="5">
        <f t="shared" si="19"/>
        <v>1</v>
      </c>
      <c r="Q91" s="7">
        <f t="shared" si="20"/>
        <v>166</v>
      </c>
      <c r="S91" s="124">
        <f>SUM(D90:D91)</f>
        <v>140173605</v>
      </c>
      <c r="T91" s="124">
        <f>SUM(F90:F91)</f>
        <v>90376525</v>
      </c>
      <c r="U91" s="124">
        <f>SUM(J90:J91)</f>
        <v>302882.98691360001</v>
      </c>
      <c r="W91" s="124">
        <f t="shared" si="21"/>
        <v>100646.834</v>
      </c>
      <c r="X91">
        <f t="shared" si="22"/>
        <v>0</v>
      </c>
    </row>
    <row r="92" spans="1:24">
      <c r="A92" s="23" t="s">
        <v>99</v>
      </c>
      <c r="B92" s="35" t="s">
        <v>100</v>
      </c>
      <c r="C92" s="125">
        <v>13519</v>
      </c>
      <c r="D92" s="132">
        <v>3129452790</v>
      </c>
      <c r="E92" s="116">
        <f t="shared" si="26"/>
        <v>231485.52333752497</v>
      </c>
      <c r="F92" s="134">
        <v>2140152098</v>
      </c>
      <c r="G92" s="117">
        <f t="shared" si="27"/>
        <v>158306.98261705748</v>
      </c>
      <c r="H92" s="9"/>
      <c r="I92" s="136">
        <v>3.2284999999999999</v>
      </c>
      <c r="J92" s="134">
        <v>6909481.0483929999</v>
      </c>
      <c r="K92" s="120">
        <f t="shared" si="28"/>
        <v>511.09409337917003</v>
      </c>
      <c r="L92" s="122">
        <f t="shared" si="16"/>
        <v>21401520.98</v>
      </c>
      <c r="M92" s="116">
        <f t="shared" si="17"/>
        <v>14492039.931607001</v>
      </c>
      <c r="N92" s="123">
        <f t="shared" si="18"/>
        <v>1071.9757327914047</v>
      </c>
      <c r="O92" s="5"/>
      <c r="P92" s="5">
        <f t="shared" si="19"/>
        <v>1</v>
      </c>
      <c r="Q92" s="7">
        <f t="shared" si="20"/>
        <v>13519</v>
      </c>
      <c r="W92" s="124">
        <f t="shared" si="21"/>
        <v>6909481.0483929999</v>
      </c>
      <c r="X92">
        <f t="shared" si="22"/>
        <v>0</v>
      </c>
    </row>
    <row r="93" spans="1:24">
      <c r="A93" s="23" t="s">
        <v>101</v>
      </c>
      <c r="B93" s="35" t="s">
        <v>100</v>
      </c>
      <c r="C93" s="125">
        <v>1394</v>
      </c>
      <c r="D93" s="132">
        <v>102205149</v>
      </c>
      <c r="E93" s="116">
        <f t="shared" si="26"/>
        <v>73317.897417503584</v>
      </c>
      <c r="F93" s="134">
        <v>54523318</v>
      </c>
      <c r="G93" s="117">
        <f t="shared" si="27"/>
        <v>39112.853658536587</v>
      </c>
      <c r="H93" s="9"/>
      <c r="I93" s="136">
        <v>2.5825999999999998</v>
      </c>
      <c r="J93" s="134">
        <v>140811.92106679999</v>
      </c>
      <c r="K93" s="120">
        <f t="shared" si="28"/>
        <v>101.01285585853658</v>
      </c>
      <c r="L93" s="122">
        <f t="shared" si="16"/>
        <v>545233.18000000005</v>
      </c>
      <c r="M93" s="116">
        <f t="shared" si="17"/>
        <v>404421.25893320004</v>
      </c>
      <c r="N93" s="123">
        <f t="shared" si="18"/>
        <v>290.11568072682928</v>
      </c>
      <c r="O93" s="5"/>
      <c r="P93" s="5">
        <f t="shared" si="19"/>
        <v>1</v>
      </c>
      <c r="Q93" s="7">
        <f t="shared" si="20"/>
        <v>1394</v>
      </c>
      <c r="W93" s="124">
        <f t="shared" si="21"/>
        <v>140811.92106679999</v>
      </c>
      <c r="X93">
        <f t="shared" si="22"/>
        <v>0</v>
      </c>
    </row>
    <row r="94" spans="1:24">
      <c r="A94" s="23" t="s">
        <v>102</v>
      </c>
      <c r="B94" s="35" t="s">
        <v>100</v>
      </c>
      <c r="C94" s="125">
        <v>970562</v>
      </c>
      <c r="D94" s="155" t="s">
        <v>629</v>
      </c>
      <c r="E94" s="116"/>
      <c r="F94" s="134"/>
      <c r="G94" s="117"/>
      <c r="H94" s="9"/>
      <c r="I94" s="136"/>
      <c r="J94" s="134"/>
      <c r="K94" s="120"/>
      <c r="L94" s="122">
        <f t="shared" si="16"/>
        <v>0</v>
      </c>
      <c r="M94" s="116">
        <f t="shared" si="17"/>
        <v>0</v>
      </c>
      <c r="N94" s="123">
        <f t="shared" si="18"/>
        <v>0</v>
      </c>
      <c r="O94" s="5"/>
      <c r="P94" s="5">
        <f t="shared" si="19"/>
        <v>0</v>
      </c>
      <c r="Q94" s="7">
        <f t="shared" si="20"/>
        <v>0</v>
      </c>
      <c r="W94" s="124">
        <f t="shared" si="21"/>
        <v>0</v>
      </c>
      <c r="X94">
        <f t="shared" si="22"/>
        <v>0</v>
      </c>
    </row>
    <row r="95" spans="1:24">
      <c r="A95" s="23" t="s">
        <v>103</v>
      </c>
      <c r="B95" s="35" t="s">
        <v>100</v>
      </c>
      <c r="C95" s="125">
        <v>24075</v>
      </c>
      <c r="D95" s="132">
        <v>6241404513</v>
      </c>
      <c r="E95" s="116">
        <f t="shared" ref="E95:E132" si="29">(D95/C95)</f>
        <v>259248.37021806854</v>
      </c>
      <c r="F95" s="134">
        <v>4238373294</v>
      </c>
      <c r="G95" s="117">
        <f t="shared" ref="G95:G132" si="30">(F95/C95)</f>
        <v>176048.73495327102</v>
      </c>
      <c r="H95" s="9"/>
      <c r="I95" s="136">
        <v>3.9946999999999999</v>
      </c>
      <c r="J95" s="134">
        <v>16931029.797541801</v>
      </c>
      <c r="K95" s="120">
        <f t="shared" ref="K95:K132" si="31">(J95/C95)</f>
        <v>703.26188151783185</v>
      </c>
      <c r="L95" s="122">
        <f t="shared" si="16"/>
        <v>42383732.939999998</v>
      </c>
      <c r="M95" s="116">
        <f t="shared" si="17"/>
        <v>25452703.142458197</v>
      </c>
      <c r="N95" s="123">
        <f t="shared" si="18"/>
        <v>1057.2254680148783</v>
      </c>
      <c r="O95" s="5"/>
      <c r="P95" s="5">
        <f t="shared" si="19"/>
        <v>1</v>
      </c>
      <c r="Q95" s="7">
        <f t="shared" si="20"/>
        <v>24075</v>
      </c>
      <c r="W95" s="124">
        <f t="shared" si="21"/>
        <v>16931029.797541801</v>
      </c>
      <c r="X95">
        <f t="shared" si="22"/>
        <v>0</v>
      </c>
    </row>
    <row r="96" spans="1:24">
      <c r="A96" s="23" t="s">
        <v>104</v>
      </c>
      <c r="B96" s="35" t="s">
        <v>100</v>
      </c>
      <c r="C96" s="125">
        <v>7259</v>
      </c>
      <c r="D96" s="132">
        <v>1571050244</v>
      </c>
      <c r="E96" s="116">
        <f t="shared" si="29"/>
        <v>216427.91624190661</v>
      </c>
      <c r="F96" s="134">
        <v>1027816578</v>
      </c>
      <c r="G96" s="117">
        <f t="shared" si="30"/>
        <v>141592.03444000552</v>
      </c>
      <c r="H96" s="7"/>
      <c r="I96" s="136">
        <v>3.3656000000000001</v>
      </c>
      <c r="J96" s="134">
        <v>3459219.4749167999</v>
      </c>
      <c r="K96" s="120">
        <f t="shared" si="31"/>
        <v>476.54215111128252</v>
      </c>
      <c r="L96" s="122">
        <f t="shared" si="16"/>
        <v>10278165.779999999</v>
      </c>
      <c r="M96" s="116">
        <f t="shared" si="17"/>
        <v>6818946.3050831994</v>
      </c>
      <c r="N96" s="123">
        <f t="shared" si="18"/>
        <v>939.37819328877242</v>
      </c>
      <c r="O96" s="5"/>
      <c r="P96" s="5">
        <f t="shared" si="19"/>
        <v>1</v>
      </c>
      <c r="Q96" s="7">
        <f t="shared" si="20"/>
        <v>7259</v>
      </c>
      <c r="S96" s="124">
        <f>SUM(D92:D96)</f>
        <v>11044112696</v>
      </c>
      <c r="T96" s="124">
        <f>SUM(F92:F96)</f>
        <v>7460865288</v>
      </c>
      <c r="U96" s="124">
        <f>SUM(J92:J96)</f>
        <v>27440542.2419184</v>
      </c>
      <c r="W96" s="124">
        <f t="shared" si="21"/>
        <v>3459219.4749168004</v>
      </c>
      <c r="X96">
        <f t="shared" si="22"/>
        <v>0</v>
      </c>
    </row>
    <row r="97" spans="1:24">
      <c r="A97" s="23" t="s">
        <v>105</v>
      </c>
      <c r="B97" s="35" t="s">
        <v>106</v>
      </c>
      <c r="C97" s="125">
        <v>1732</v>
      </c>
      <c r="D97" s="132">
        <v>72442678</v>
      </c>
      <c r="E97" s="116">
        <f t="shared" si="29"/>
        <v>41826.026558891455</v>
      </c>
      <c r="F97" s="134">
        <v>44663724</v>
      </c>
      <c r="G97" s="117">
        <f t="shared" si="30"/>
        <v>25787.369515011549</v>
      </c>
      <c r="H97" s="7"/>
      <c r="I97" s="136">
        <v>0.9204</v>
      </c>
      <c r="J97" s="134">
        <v>41108.491569600003</v>
      </c>
      <c r="K97" s="120">
        <f t="shared" si="31"/>
        <v>23.734694901616631</v>
      </c>
      <c r="L97" s="122">
        <f t="shared" si="16"/>
        <v>446637.24</v>
      </c>
      <c r="M97" s="116">
        <f t="shared" si="17"/>
        <v>405528.74843039998</v>
      </c>
      <c r="N97" s="123">
        <f t="shared" si="18"/>
        <v>234.13900024849883</v>
      </c>
      <c r="O97" s="5"/>
      <c r="P97" s="5">
        <f t="shared" si="19"/>
        <v>1</v>
      </c>
      <c r="Q97" s="7">
        <f t="shared" si="20"/>
        <v>1732</v>
      </c>
      <c r="W97" s="124">
        <f t="shared" si="21"/>
        <v>41108.491569600003</v>
      </c>
      <c r="X97">
        <f t="shared" si="22"/>
        <v>0</v>
      </c>
    </row>
    <row r="98" spans="1:24">
      <c r="A98" s="23" t="s">
        <v>107</v>
      </c>
      <c r="B98" s="35" t="s">
        <v>106</v>
      </c>
      <c r="C98" s="125">
        <v>54490</v>
      </c>
      <c r="D98" s="132">
        <v>7771010061</v>
      </c>
      <c r="E98" s="116">
        <f t="shared" si="29"/>
        <v>142613.50818498808</v>
      </c>
      <c r="F98" s="134">
        <v>4722076330</v>
      </c>
      <c r="G98" s="117">
        <f t="shared" si="30"/>
        <v>86659.503211598465</v>
      </c>
      <c r="H98" s="7"/>
      <c r="I98" s="136">
        <v>4.2895000000000003</v>
      </c>
      <c r="J98" s="134">
        <v>20255346.417535</v>
      </c>
      <c r="K98" s="120">
        <f t="shared" si="31"/>
        <v>371.72593902615159</v>
      </c>
      <c r="L98" s="122">
        <f t="shared" si="16"/>
        <v>47220763.300000004</v>
      </c>
      <c r="M98" s="116">
        <f t="shared" si="17"/>
        <v>26965416.882465005</v>
      </c>
      <c r="N98" s="123">
        <f t="shared" si="18"/>
        <v>494.86909308983309</v>
      </c>
      <c r="O98" s="5"/>
      <c r="P98" s="5">
        <f t="shared" si="19"/>
        <v>1</v>
      </c>
      <c r="Q98" s="7">
        <f t="shared" si="20"/>
        <v>54490</v>
      </c>
      <c r="S98" s="124">
        <f>SUM(D97:D98)</f>
        <v>7843452739</v>
      </c>
      <c r="T98" s="124">
        <f>SUM(F97:F98)</f>
        <v>4766740054</v>
      </c>
      <c r="U98" s="124">
        <f>SUM(J97:J98)</f>
        <v>20296454.909104601</v>
      </c>
      <c r="W98" s="124">
        <f t="shared" si="21"/>
        <v>20255346.417535</v>
      </c>
      <c r="X98">
        <f t="shared" si="22"/>
        <v>0</v>
      </c>
    </row>
    <row r="99" spans="1:24">
      <c r="A99" s="23" t="s">
        <v>108</v>
      </c>
      <c r="B99" s="35" t="s">
        <v>109</v>
      </c>
      <c r="C99" s="125">
        <v>479</v>
      </c>
      <c r="D99" s="132">
        <v>123818404</v>
      </c>
      <c r="E99" s="116">
        <f t="shared" si="29"/>
        <v>258493.53653444676</v>
      </c>
      <c r="F99" s="134">
        <v>90256121</v>
      </c>
      <c r="G99" s="117">
        <f t="shared" si="30"/>
        <v>188426.13987473905</v>
      </c>
      <c r="H99" s="7"/>
      <c r="I99" s="136">
        <v>1.3640000000000001</v>
      </c>
      <c r="J99" s="134">
        <v>123109.34904400002</v>
      </c>
      <c r="K99" s="120">
        <f t="shared" si="31"/>
        <v>257.01325478914407</v>
      </c>
      <c r="L99" s="122">
        <f t="shared" si="16"/>
        <v>902561.21</v>
      </c>
      <c r="M99" s="116">
        <f t="shared" si="17"/>
        <v>779451.86095599993</v>
      </c>
      <c r="N99" s="123">
        <f t="shared" si="18"/>
        <v>1627.2481439582461</v>
      </c>
      <c r="O99" s="5"/>
      <c r="P99" s="5">
        <f t="shared" si="19"/>
        <v>1</v>
      </c>
      <c r="Q99" s="7">
        <f t="shared" si="20"/>
        <v>479</v>
      </c>
      <c r="W99" s="124">
        <f t="shared" si="21"/>
        <v>123109.34904400002</v>
      </c>
      <c r="X99">
        <f t="shared" si="22"/>
        <v>0</v>
      </c>
    </row>
    <row r="100" spans="1:24">
      <c r="A100" s="23" t="s">
        <v>110</v>
      </c>
      <c r="B100" s="35" t="s">
        <v>109</v>
      </c>
      <c r="C100" s="125">
        <v>3495</v>
      </c>
      <c r="D100" s="132">
        <v>587838747</v>
      </c>
      <c r="E100" s="116">
        <f t="shared" si="29"/>
        <v>168194.20515021461</v>
      </c>
      <c r="F100" s="134">
        <v>252091804</v>
      </c>
      <c r="G100" s="117">
        <f t="shared" si="30"/>
        <v>72129.271530758226</v>
      </c>
      <c r="H100" s="7"/>
      <c r="I100" s="136">
        <v>7.43</v>
      </c>
      <c r="J100" s="134">
        <v>1873042.10372</v>
      </c>
      <c r="K100" s="120">
        <f t="shared" si="31"/>
        <v>535.92048747353363</v>
      </c>
      <c r="L100" s="122">
        <f t="shared" si="16"/>
        <v>2520918.04</v>
      </c>
      <c r="M100" s="116">
        <f t="shared" si="17"/>
        <v>647875.93628000002</v>
      </c>
      <c r="N100" s="123">
        <f t="shared" si="18"/>
        <v>185.37222783404866</v>
      </c>
      <c r="O100" s="5"/>
      <c r="P100" s="5">
        <f t="shared" si="19"/>
        <v>1</v>
      </c>
      <c r="Q100" s="7">
        <f t="shared" si="20"/>
        <v>3495</v>
      </c>
      <c r="W100" s="124">
        <f t="shared" si="21"/>
        <v>1873042.10372</v>
      </c>
      <c r="X100">
        <f t="shared" si="22"/>
        <v>0</v>
      </c>
    </row>
    <row r="101" spans="1:24">
      <c r="A101" s="23" t="s">
        <v>447</v>
      </c>
      <c r="B101" s="35" t="s">
        <v>109</v>
      </c>
      <c r="C101" s="125">
        <v>92866</v>
      </c>
      <c r="D101" s="132">
        <v>10269018557</v>
      </c>
      <c r="E101" s="116">
        <f t="shared" si="29"/>
        <v>110578.88308961299</v>
      </c>
      <c r="F101" s="134">
        <v>6396639746</v>
      </c>
      <c r="G101" s="117">
        <f t="shared" si="30"/>
        <v>68880.31944952943</v>
      </c>
      <c r="H101" s="9"/>
      <c r="I101" s="136">
        <v>4.6100000000000003</v>
      </c>
      <c r="J101" s="134">
        <v>29488509.229060002</v>
      </c>
      <c r="K101" s="120">
        <f t="shared" si="31"/>
        <v>317.53827266233071</v>
      </c>
      <c r="L101" s="122">
        <f t="shared" si="16"/>
        <v>63966397.460000001</v>
      </c>
      <c r="M101" s="116">
        <f t="shared" si="17"/>
        <v>34477888.230939999</v>
      </c>
      <c r="N101" s="123">
        <f t="shared" si="18"/>
        <v>371.26492183296364</v>
      </c>
      <c r="O101" s="5"/>
      <c r="P101" s="5">
        <f t="shared" si="19"/>
        <v>1</v>
      </c>
      <c r="Q101" s="7">
        <f t="shared" si="20"/>
        <v>92866</v>
      </c>
      <c r="W101" s="124">
        <f t="shared" si="21"/>
        <v>29488509.229060002</v>
      </c>
      <c r="X101">
        <f t="shared" si="22"/>
        <v>0</v>
      </c>
    </row>
    <row r="102" spans="1:24">
      <c r="A102" s="23" t="s">
        <v>111</v>
      </c>
      <c r="B102" s="35" t="s">
        <v>557</v>
      </c>
      <c r="C102" s="125">
        <v>15</v>
      </c>
      <c r="D102" s="132">
        <v>18343462</v>
      </c>
      <c r="E102" s="116">
        <f t="shared" si="29"/>
        <v>1222897.4666666666</v>
      </c>
      <c r="F102" s="134">
        <v>11949213</v>
      </c>
      <c r="G102" s="117">
        <f t="shared" si="30"/>
        <v>796614.2</v>
      </c>
      <c r="H102" s="7"/>
      <c r="I102" s="136">
        <v>10</v>
      </c>
      <c r="J102" s="134">
        <v>119492.13</v>
      </c>
      <c r="K102" s="120">
        <f t="shared" si="31"/>
        <v>7966.1420000000007</v>
      </c>
      <c r="L102" s="122">
        <f t="shared" si="16"/>
        <v>119492.13</v>
      </c>
      <c r="M102" s="116">
        <f t="shared" si="17"/>
        <v>0</v>
      </c>
      <c r="N102" s="123">
        <f t="shared" si="18"/>
        <v>0</v>
      </c>
      <c r="O102" s="5"/>
      <c r="P102" s="5">
        <f t="shared" si="19"/>
        <v>1</v>
      </c>
      <c r="Q102" s="7">
        <f t="shared" si="20"/>
        <v>15</v>
      </c>
      <c r="W102" s="124">
        <f t="shared" si="21"/>
        <v>119492.13</v>
      </c>
      <c r="X102">
        <f t="shared" si="22"/>
        <v>0</v>
      </c>
    </row>
    <row r="103" spans="1:24">
      <c r="A103" s="23" t="s">
        <v>112</v>
      </c>
      <c r="B103" s="35" t="s">
        <v>113</v>
      </c>
      <c r="C103" s="125">
        <v>5205</v>
      </c>
      <c r="D103" s="132">
        <f>(1195329725+15094938)</f>
        <v>1210424663</v>
      </c>
      <c r="E103" s="116">
        <f t="shared" si="29"/>
        <v>232550.36753121999</v>
      </c>
      <c r="F103" s="134">
        <f>(839169492+9821416)</f>
        <v>848990908</v>
      </c>
      <c r="G103" s="117">
        <f t="shared" si="30"/>
        <v>163110.6451488953</v>
      </c>
      <c r="H103" s="7"/>
      <c r="I103" s="136">
        <v>5.42</v>
      </c>
      <c r="J103" s="134">
        <f>(4548298.64664+53232)</f>
        <v>4601530.6466399999</v>
      </c>
      <c r="K103" s="120">
        <f t="shared" si="31"/>
        <v>884.05968235158502</v>
      </c>
      <c r="L103" s="122">
        <f t="shared" si="16"/>
        <v>8489909.0800000001</v>
      </c>
      <c r="M103" s="116">
        <f t="shared" si="17"/>
        <v>3888378.4333600001</v>
      </c>
      <c r="N103" s="123">
        <f t="shared" si="18"/>
        <v>747.04676913736796</v>
      </c>
      <c r="O103" s="5"/>
      <c r="P103" s="5">
        <f t="shared" si="19"/>
        <v>1</v>
      </c>
      <c r="Q103" s="7">
        <f t="shared" si="20"/>
        <v>5205</v>
      </c>
      <c r="S103" s="124">
        <f>SUM(D99:D103)</f>
        <v>12209443833</v>
      </c>
      <c r="T103" s="124">
        <f>SUM(F99:F103)</f>
        <v>7599927792</v>
      </c>
      <c r="U103" s="124">
        <f>SUM(J99:J103)</f>
        <v>36205683.458464004</v>
      </c>
      <c r="W103" s="124">
        <f t="shared" si="21"/>
        <v>4601530.7213599999</v>
      </c>
      <c r="X103">
        <f t="shared" si="22"/>
        <v>1</v>
      </c>
    </row>
    <row r="104" spans="1:24">
      <c r="A104" s="23" t="s">
        <v>114</v>
      </c>
      <c r="B104" s="35" t="s">
        <v>115</v>
      </c>
      <c r="C104" s="125">
        <v>2370</v>
      </c>
      <c r="D104" s="132">
        <v>321900971</v>
      </c>
      <c r="E104" s="116">
        <f t="shared" si="29"/>
        <v>135823.19451476794</v>
      </c>
      <c r="F104" s="134">
        <v>187490296</v>
      </c>
      <c r="G104" s="117">
        <f t="shared" si="30"/>
        <v>79109.829535864978</v>
      </c>
      <c r="H104" s="9"/>
      <c r="I104" s="150">
        <v>9.0000999999999998</v>
      </c>
      <c r="J104" s="134">
        <v>1687431.4130295999</v>
      </c>
      <c r="K104" s="120">
        <f t="shared" si="31"/>
        <v>711.99637680573835</v>
      </c>
      <c r="L104" s="122">
        <f t="shared" si="16"/>
        <v>1874902.96</v>
      </c>
      <c r="M104" s="116">
        <f t="shared" si="17"/>
        <v>187471.54697040003</v>
      </c>
      <c r="N104" s="123">
        <f t="shared" si="18"/>
        <v>79.1019185529114</v>
      </c>
      <c r="O104" s="5"/>
      <c r="P104" s="5">
        <f t="shared" si="19"/>
        <v>1</v>
      </c>
      <c r="Q104" s="7">
        <f t="shared" si="20"/>
        <v>2370</v>
      </c>
      <c r="W104" s="124">
        <f t="shared" si="21"/>
        <v>1687431.4130296002</v>
      </c>
      <c r="X104">
        <f t="shared" si="22"/>
        <v>0</v>
      </c>
    </row>
    <row r="105" spans="1:24">
      <c r="A105" s="23" t="s">
        <v>116</v>
      </c>
      <c r="B105" s="35" t="s">
        <v>115</v>
      </c>
      <c r="C105" s="125">
        <v>2548</v>
      </c>
      <c r="D105" s="132">
        <v>194591096</v>
      </c>
      <c r="E105" s="116">
        <f t="shared" si="29"/>
        <v>76370.131868131866</v>
      </c>
      <c r="F105" s="134">
        <v>135281405</v>
      </c>
      <c r="G105" s="117">
        <f t="shared" si="30"/>
        <v>53093.173076923078</v>
      </c>
      <c r="H105" s="9"/>
      <c r="I105" s="136">
        <v>8.3847000000000005</v>
      </c>
      <c r="J105" s="134">
        <v>1134293.9965035</v>
      </c>
      <c r="K105" s="120">
        <f t="shared" si="31"/>
        <v>445.17032829807692</v>
      </c>
      <c r="L105" s="122">
        <f t="shared" si="16"/>
        <v>1352814.05</v>
      </c>
      <c r="M105" s="116">
        <f t="shared" si="17"/>
        <v>218520.05349650001</v>
      </c>
      <c r="N105" s="123">
        <f t="shared" si="18"/>
        <v>85.761402471153858</v>
      </c>
      <c r="O105" s="5"/>
      <c r="P105" s="5">
        <f t="shared" si="19"/>
        <v>1</v>
      </c>
      <c r="Q105" s="7">
        <f t="shared" si="20"/>
        <v>2548</v>
      </c>
      <c r="S105" s="124">
        <f>SUM(D104:D105)</f>
        <v>516492067</v>
      </c>
      <c r="T105" s="124">
        <f>SUM(F104:F105)</f>
        <v>322771701</v>
      </c>
      <c r="U105" s="124">
        <f>SUM(J104:J105)</f>
        <v>2821725.4095331002</v>
      </c>
      <c r="W105" s="124">
        <f t="shared" si="21"/>
        <v>1134293.9965035</v>
      </c>
      <c r="X105">
        <f t="shared" si="22"/>
        <v>0</v>
      </c>
    </row>
    <row r="106" spans="1:24">
      <c r="A106" s="23" t="s">
        <v>117</v>
      </c>
      <c r="B106" s="35" t="s">
        <v>118</v>
      </c>
      <c r="C106" s="125">
        <v>2741</v>
      </c>
      <c r="D106" s="132">
        <v>224828643</v>
      </c>
      <c r="E106" s="116">
        <f t="shared" si="29"/>
        <v>82024.313389273986</v>
      </c>
      <c r="F106" s="134">
        <v>31355186</v>
      </c>
      <c r="G106" s="117">
        <f t="shared" si="30"/>
        <v>11439.323604523895</v>
      </c>
      <c r="H106" s="7"/>
      <c r="I106" s="136">
        <v>0.98550000000000004</v>
      </c>
      <c r="J106" s="134">
        <v>30900.535803000002</v>
      </c>
      <c r="K106" s="120">
        <f t="shared" si="31"/>
        <v>11.2734534122583</v>
      </c>
      <c r="L106" s="122">
        <f t="shared" si="16"/>
        <v>313551.86</v>
      </c>
      <c r="M106" s="116">
        <f t="shared" si="17"/>
        <v>282651.32419700001</v>
      </c>
      <c r="N106" s="123">
        <f t="shared" si="18"/>
        <v>103.11978263298067</v>
      </c>
      <c r="O106" s="5"/>
      <c r="P106" s="5">
        <f t="shared" si="19"/>
        <v>1</v>
      </c>
      <c r="Q106" s="7">
        <f t="shared" si="20"/>
        <v>2741</v>
      </c>
      <c r="W106" s="124">
        <f t="shared" si="21"/>
        <v>30900.535803000002</v>
      </c>
      <c r="X106">
        <f t="shared" si="22"/>
        <v>0</v>
      </c>
    </row>
    <row r="107" spans="1:24">
      <c r="A107" s="23" t="s">
        <v>119</v>
      </c>
      <c r="B107" s="35" t="s">
        <v>118</v>
      </c>
      <c r="C107" s="125">
        <v>471</v>
      </c>
      <c r="D107" s="132">
        <v>22671397</v>
      </c>
      <c r="E107" s="116">
        <f t="shared" si="29"/>
        <v>48134.600849256902</v>
      </c>
      <c r="F107" s="134">
        <v>8349977</v>
      </c>
      <c r="G107" s="117">
        <f t="shared" si="30"/>
        <v>17728.188959660296</v>
      </c>
      <c r="H107" s="7"/>
      <c r="I107" s="136">
        <v>5</v>
      </c>
      <c r="J107" s="134">
        <v>41749.885000000002</v>
      </c>
      <c r="K107" s="120">
        <f t="shared" si="31"/>
        <v>88.64094479830149</v>
      </c>
      <c r="L107" s="122">
        <f t="shared" si="16"/>
        <v>83499.77</v>
      </c>
      <c r="M107" s="116">
        <f t="shared" si="17"/>
        <v>41749.885000000002</v>
      </c>
      <c r="N107" s="123">
        <f t="shared" si="18"/>
        <v>88.64094479830149</v>
      </c>
      <c r="O107" s="5"/>
      <c r="P107" s="5">
        <f t="shared" si="19"/>
        <v>1</v>
      </c>
      <c r="Q107" s="7">
        <f t="shared" si="20"/>
        <v>471</v>
      </c>
      <c r="W107" s="124">
        <f t="shared" si="21"/>
        <v>41749.885000000002</v>
      </c>
      <c r="X107">
        <f t="shared" si="22"/>
        <v>0</v>
      </c>
    </row>
    <row r="108" spans="1:24">
      <c r="A108" s="23" t="s">
        <v>120</v>
      </c>
      <c r="B108" s="35" t="s">
        <v>118</v>
      </c>
      <c r="C108" s="125">
        <v>1365</v>
      </c>
      <c r="D108" s="132">
        <v>51192868</v>
      </c>
      <c r="E108" s="116">
        <f t="shared" si="29"/>
        <v>37503.932600732602</v>
      </c>
      <c r="F108" s="134">
        <v>29714336</v>
      </c>
      <c r="G108" s="117">
        <f t="shared" si="30"/>
        <v>21768.744322344322</v>
      </c>
      <c r="H108" s="7"/>
      <c r="I108" s="136">
        <v>4.7030000000000003</v>
      </c>
      <c r="J108" s="134">
        <v>139746.52220800001</v>
      </c>
      <c r="K108" s="120">
        <f t="shared" si="31"/>
        <v>102.37840454798535</v>
      </c>
      <c r="L108" s="122">
        <f t="shared" si="16"/>
        <v>297143.36</v>
      </c>
      <c r="M108" s="116">
        <f t="shared" si="17"/>
        <v>157396.83779199998</v>
      </c>
      <c r="N108" s="123">
        <f t="shared" si="18"/>
        <v>115.30903867545786</v>
      </c>
      <c r="O108" s="5"/>
      <c r="P108" s="5">
        <f t="shared" si="19"/>
        <v>1</v>
      </c>
      <c r="Q108" s="7">
        <f t="shared" si="20"/>
        <v>1365</v>
      </c>
      <c r="W108" s="124">
        <f t="shared" si="21"/>
        <v>139746.52220800001</v>
      </c>
      <c r="X108">
        <f t="shared" si="22"/>
        <v>0</v>
      </c>
    </row>
    <row r="109" spans="1:24">
      <c r="A109" s="23" t="s">
        <v>121</v>
      </c>
      <c r="B109" s="35" t="s">
        <v>118</v>
      </c>
      <c r="C109" s="125">
        <v>1777</v>
      </c>
      <c r="D109" s="132">
        <v>113669603</v>
      </c>
      <c r="E109" s="116">
        <f t="shared" si="29"/>
        <v>63967.137310073158</v>
      </c>
      <c r="F109" s="134">
        <v>74149010</v>
      </c>
      <c r="G109" s="117">
        <f t="shared" si="30"/>
        <v>41727.073719752392</v>
      </c>
      <c r="H109" s="7"/>
      <c r="I109" s="136">
        <v>1.85</v>
      </c>
      <c r="J109" s="134">
        <v>137175.6685</v>
      </c>
      <c r="K109" s="120">
        <f t="shared" si="31"/>
        <v>77.195086381541927</v>
      </c>
      <c r="L109" s="122">
        <f t="shared" si="16"/>
        <v>741490.1</v>
      </c>
      <c r="M109" s="116">
        <f t="shared" si="17"/>
        <v>604314.43149999995</v>
      </c>
      <c r="N109" s="123">
        <f t="shared" si="18"/>
        <v>340.07565081598199</v>
      </c>
      <c r="O109" s="5"/>
      <c r="P109" s="5">
        <f t="shared" si="19"/>
        <v>1</v>
      </c>
      <c r="Q109" s="7">
        <f t="shared" si="20"/>
        <v>1777</v>
      </c>
      <c r="W109" s="124">
        <f t="shared" si="21"/>
        <v>137175.6685</v>
      </c>
      <c r="X109">
        <f t="shared" si="22"/>
        <v>0</v>
      </c>
    </row>
    <row r="110" spans="1:24">
      <c r="A110" s="23" t="s">
        <v>122</v>
      </c>
      <c r="B110" s="35" t="s">
        <v>118</v>
      </c>
      <c r="C110" s="125">
        <v>3617</v>
      </c>
      <c r="D110" s="132">
        <v>272391140</v>
      </c>
      <c r="E110" s="116">
        <f t="shared" si="29"/>
        <v>75308.581697539397</v>
      </c>
      <c r="F110" s="134">
        <v>191451670</v>
      </c>
      <c r="G110" s="117">
        <f t="shared" si="30"/>
        <v>52931.067182748135</v>
      </c>
      <c r="H110" s="7"/>
      <c r="I110" s="136">
        <v>4.6839000000000004</v>
      </c>
      <c r="J110" s="134">
        <v>896740.477113</v>
      </c>
      <c r="K110" s="120">
        <f t="shared" si="31"/>
        <v>247.92382557727399</v>
      </c>
      <c r="L110" s="122">
        <f t="shared" si="16"/>
        <v>1914516.7</v>
      </c>
      <c r="M110" s="116">
        <f t="shared" si="17"/>
        <v>1017776.222887</v>
      </c>
      <c r="N110" s="123">
        <f t="shared" si="18"/>
        <v>281.38684625020733</v>
      </c>
      <c r="O110" s="5"/>
      <c r="P110" s="5">
        <f t="shared" si="19"/>
        <v>1</v>
      </c>
      <c r="Q110" s="7">
        <f t="shared" si="20"/>
        <v>3617</v>
      </c>
      <c r="W110" s="124">
        <f t="shared" si="21"/>
        <v>896740.47711300012</v>
      </c>
      <c r="X110">
        <f t="shared" si="22"/>
        <v>0</v>
      </c>
    </row>
    <row r="111" spans="1:24">
      <c r="A111" s="23" t="s">
        <v>123</v>
      </c>
      <c r="B111" s="35" t="s">
        <v>118</v>
      </c>
      <c r="C111" s="125">
        <v>7886</v>
      </c>
      <c r="D111" s="132">
        <v>546727869</v>
      </c>
      <c r="E111" s="116">
        <f t="shared" si="29"/>
        <v>69328.920745625161</v>
      </c>
      <c r="F111" s="134">
        <v>253651777</v>
      </c>
      <c r="G111" s="117">
        <f t="shared" si="30"/>
        <v>32164.82082170936</v>
      </c>
      <c r="H111" s="9"/>
      <c r="I111" s="136">
        <v>5.2469999999999999</v>
      </c>
      <c r="J111" s="134">
        <v>1330910.8739189999</v>
      </c>
      <c r="K111" s="120">
        <f t="shared" si="31"/>
        <v>168.76881485150901</v>
      </c>
      <c r="L111" s="122">
        <f t="shared" si="16"/>
        <v>2536517.77</v>
      </c>
      <c r="M111" s="116">
        <f t="shared" si="17"/>
        <v>1205606.8960810001</v>
      </c>
      <c r="N111" s="123">
        <f t="shared" si="18"/>
        <v>152.8793933655846</v>
      </c>
      <c r="O111" s="5"/>
      <c r="P111" s="5">
        <f t="shared" si="19"/>
        <v>1</v>
      </c>
      <c r="Q111" s="7">
        <f t="shared" si="20"/>
        <v>7886</v>
      </c>
      <c r="S111" s="124">
        <f>SUM(D106:D111)</f>
        <v>1231481520</v>
      </c>
      <c r="T111" s="124">
        <f>SUM(F106:F111)</f>
        <v>588671956</v>
      </c>
      <c r="U111" s="124">
        <f>SUM(J106:J111)</f>
        <v>2577223.962543</v>
      </c>
      <c r="W111" s="124">
        <f t="shared" si="21"/>
        <v>1330910.8739189999</v>
      </c>
      <c r="X111">
        <f t="shared" si="22"/>
        <v>0</v>
      </c>
    </row>
    <row r="112" spans="1:24">
      <c r="A112" s="23" t="s">
        <v>124</v>
      </c>
      <c r="B112" s="35" t="s">
        <v>125</v>
      </c>
      <c r="C112" s="125">
        <v>515</v>
      </c>
      <c r="D112" s="132">
        <v>48233375</v>
      </c>
      <c r="E112" s="116">
        <f t="shared" si="29"/>
        <v>93657.038834951454</v>
      </c>
      <c r="F112" s="134">
        <v>20909711</v>
      </c>
      <c r="G112" s="117">
        <f t="shared" si="30"/>
        <v>40601.380582524274</v>
      </c>
      <c r="H112" s="9"/>
      <c r="I112" s="136">
        <v>3</v>
      </c>
      <c r="J112" s="134">
        <v>62729.133000000002</v>
      </c>
      <c r="K112" s="120">
        <f t="shared" si="31"/>
        <v>121.80414174757281</v>
      </c>
      <c r="L112" s="122">
        <f t="shared" si="16"/>
        <v>209097.11000000002</v>
      </c>
      <c r="M112" s="116">
        <f t="shared" si="17"/>
        <v>146367.97700000001</v>
      </c>
      <c r="N112" s="123">
        <f t="shared" si="18"/>
        <v>284.20966407766991</v>
      </c>
      <c r="O112" s="5"/>
      <c r="P112" s="5">
        <f t="shared" si="19"/>
        <v>1</v>
      </c>
      <c r="Q112" s="7">
        <f t="shared" si="20"/>
        <v>515</v>
      </c>
      <c r="W112" s="124">
        <f t="shared" si="21"/>
        <v>62729.133000000002</v>
      </c>
      <c r="X112">
        <f t="shared" si="22"/>
        <v>0</v>
      </c>
    </row>
    <row r="113" spans="1:24">
      <c r="A113" s="23" t="s">
        <v>126</v>
      </c>
      <c r="B113" s="35" t="s">
        <v>125</v>
      </c>
      <c r="C113" s="125">
        <v>2065</v>
      </c>
      <c r="D113" s="132">
        <v>141160067</v>
      </c>
      <c r="E113" s="116">
        <f t="shared" si="29"/>
        <v>68358.38595641646</v>
      </c>
      <c r="F113" s="134">
        <v>76385477</v>
      </c>
      <c r="G113" s="117">
        <f t="shared" si="30"/>
        <v>36990.545762711867</v>
      </c>
      <c r="H113" s="9"/>
      <c r="I113" s="150">
        <v>2.25</v>
      </c>
      <c r="J113" s="134">
        <v>171867.32324999999</v>
      </c>
      <c r="K113" s="120">
        <f t="shared" si="31"/>
        <v>83.228727966101687</v>
      </c>
      <c r="L113" s="122">
        <f t="shared" si="16"/>
        <v>763854.77</v>
      </c>
      <c r="M113" s="116">
        <f t="shared" si="17"/>
        <v>591987.44675</v>
      </c>
      <c r="N113" s="123">
        <f t="shared" si="18"/>
        <v>286.67672966101696</v>
      </c>
      <c r="O113" s="5"/>
      <c r="P113" s="5">
        <f t="shared" si="19"/>
        <v>1</v>
      </c>
      <c r="Q113" s="7">
        <f t="shared" si="20"/>
        <v>2065</v>
      </c>
      <c r="W113" s="124">
        <f t="shared" si="21"/>
        <v>171867.32324999999</v>
      </c>
      <c r="X113">
        <f t="shared" si="22"/>
        <v>0</v>
      </c>
    </row>
    <row r="114" spans="1:24">
      <c r="A114" s="23" t="s">
        <v>127</v>
      </c>
      <c r="B114" s="35" t="s">
        <v>128</v>
      </c>
      <c r="C114" s="125">
        <v>1218</v>
      </c>
      <c r="D114" s="132">
        <f>(43918605+44810147)</f>
        <v>88728752</v>
      </c>
      <c r="E114" s="116">
        <f t="shared" si="29"/>
        <v>72847.908045977005</v>
      </c>
      <c r="F114" s="134">
        <f>(23151282+24416308)</f>
        <v>47567590</v>
      </c>
      <c r="G114" s="117">
        <f t="shared" si="30"/>
        <v>39053.85057471264</v>
      </c>
      <c r="H114" s="7"/>
      <c r="I114" s="150">
        <v>3</v>
      </c>
      <c r="J114" s="134">
        <f>(69453.846+73249)</f>
        <v>142702.84600000002</v>
      </c>
      <c r="K114" s="120">
        <f t="shared" si="31"/>
        <v>117.16161412151069</v>
      </c>
      <c r="L114" s="122">
        <f t="shared" si="16"/>
        <v>475675.9</v>
      </c>
      <c r="M114" s="116">
        <f t="shared" si="17"/>
        <v>332973.054</v>
      </c>
      <c r="N114" s="123">
        <f t="shared" si="18"/>
        <v>273.37689162561577</v>
      </c>
      <c r="O114" s="5"/>
      <c r="P114" s="5">
        <f t="shared" si="19"/>
        <v>1</v>
      </c>
      <c r="Q114" s="7">
        <f t="shared" si="20"/>
        <v>1218</v>
      </c>
      <c r="S114" s="124">
        <f>SUM(D112:D114)</f>
        <v>278122194</v>
      </c>
      <c r="T114" s="124">
        <f>SUM(F112:F114)</f>
        <v>144862778</v>
      </c>
      <c r="U114" s="124">
        <f>SUM(J112:J114)</f>
        <v>377299.30225000001</v>
      </c>
      <c r="W114" s="124">
        <f t="shared" si="21"/>
        <v>142702.76999999999</v>
      </c>
      <c r="X114">
        <f t="shared" si="22"/>
        <v>1</v>
      </c>
    </row>
    <row r="115" spans="1:24">
      <c r="A115" s="23" t="s">
        <v>129</v>
      </c>
      <c r="B115" s="35" t="s">
        <v>130</v>
      </c>
      <c r="C115" s="125">
        <v>1530</v>
      </c>
      <c r="D115" s="132">
        <v>127256268</v>
      </c>
      <c r="E115" s="116">
        <f t="shared" si="29"/>
        <v>83174.031372549027</v>
      </c>
      <c r="F115" s="134">
        <v>46721138</v>
      </c>
      <c r="G115" s="117">
        <f t="shared" si="30"/>
        <v>30536.691503267975</v>
      </c>
      <c r="H115" s="9"/>
      <c r="I115" s="136">
        <v>4.3868999999999998</v>
      </c>
      <c r="J115" s="134">
        <v>204960.9602922</v>
      </c>
      <c r="K115" s="120">
        <f t="shared" si="31"/>
        <v>133.96141195568629</v>
      </c>
      <c r="L115" s="122">
        <f t="shared" si="16"/>
        <v>467211.38</v>
      </c>
      <c r="M115" s="116">
        <f t="shared" si="17"/>
        <v>262250.41970780003</v>
      </c>
      <c r="N115" s="123">
        <f t="shared" si="18"/>
        <v>171.40550307699348</v>
      </c>
      <c r="O115" s="5"/>
      <c r="P115" s="5">
        <f t="shared" si="19"/>
        <v>1</v>
      </c>
      <c r="Q115" s="7">
        <f t="shared" si="20"/>
        <v>1530</v>
      </c>
      <c r="S115" s="124">
        <f>SUM(D115)</f>
        <v>127256268</v>
      </c>
      <c r="T115" s="124">
        <f>SUM(F115)</f>
        <v>46721138</v>
      </c>
      <c r="U115" s="124">
        <f>SUM(J115)</f>
        <v>204960.9602922</v>
      </c>
      <c r="W115" s="124">
        <f t="shared" si="21"/>
        <v>204960.9602922</v>
      </c>
      <c r="X115">
        <f t="shared" si="22"/>
        <v>0</v>
      </c>
    </row>
    <row r="116" spans="1:24">
      <c r="A116" s="24" t="s">
        <v>545</v>
      </c>
      <c r="B116" s="35" t="s">
        <v>131</v>
      </c>
      <c r="C116" s="125">
        <v>3547</v>
      </c>
      <c r="D116" s="132">
        <v>601141627</v>
      </c>
      <c r="E116" s="116">
        <f t="shared" si="29"/>
        <v>169478.89117564139</v>
      </c>
      <c r="F116" s="134">
        <v>371419383</v>
      </c>
      <c r="G116" s="117">
        <f t="shared" si="30"/>
        <v>104713.66873414152</v>
      </c>
      <c r="H116" s="9"/>
      <c r="I116" s="136">
        <v>3.5914000000000001</v>
      </c>
      <c r="J116" s="134">
        <v>1333915.5721062</v>
      </c>
      <c r="K116" s="120">
        <f t="shared" si="31"/>
        <v>376.06866989179588</v>
      </c>
      <c r="L116" s="122">
        <f t="shared" si="16"/>
        <v>3714193.83</v>
      </c>
      <c r="M116" s="116">
        <f t="shared" si="17"/>
        <v>2380278.2578937998</v>
      </c>
      <c r="N116" s="123">
        <f t="shared" si="18"/>
        <v>671.06801744961933</v>
      </c>
      <c r="O116" s="5"/>
      <c r="P116" s="5">
        <f t="shared" si="19"/>
        <v>1</v>
      </c>
      <c r="Q116" s="7">
        <f t="shared" si="20"/>
        <v>3547</v>
      </c>
      <c r="W116" s="124">
        <f t="shared" si="21"/>
        <v>1333915.5721062</v>
      </c>
      <c r="X116">
        <f t="shared" si="22"/>
        <v>0</v>
      </c>
    </row>
    <row r="117" spans="1:24">
      <c r="A117" s="23" t="s">
        <v>132</v>
      </c>
      <c r="B117" s="35" t="s">
        <v>131</v>
      </c>
      <c r="C117" s="125">
        <v>2124</v>
      </c>
      <c r="D117" s="132">
        <v>116871723</v>
      </c>
      <c r="E117" s="116">
        <f t="shared" si="29"/>
        <v>55024.351694915254</v>
      </c>
      <c r="F117" s="134">
        <v>62282717</v>
      </c>
      <c r="G117" s="117">
        <f t="shared" si="30"/>
        <v>29323.313088512241</v>
      </c>
      <c r="H117" s="9"/>
      <c r="I117" s="136">
        <v>6.1132999999999997</v>
      </c>
      <c r="J117" s="134">
        <v>380752.93383609998</v>
      </c>
      <c r="K117" s="120">
        <f t="shared" si="31"/>
        <v>179.26220990400188</v>
      </c>
      <c r="L117" s="122">
        <f t="shared" si="16"/>
        <v>622827.17000000004</v>
      </c>
      <c r="M117" s="116">
        <f t="shared" si="17"/>
        <v>242074.23616390006</v>
      </c>
      <c r="N117" s="123">
        <f t="shared" si="18"/>
        <v>113.97092098112056</v>
      </c>
      <c r="O117" s="5"/>
      <c r="P117" s="5">
        <f t="shared" si="19"/>
        <v>1</v>
      </c>
      <c r="Q117" s="7">
        <f t="shared" si="20"/>
        <v>2124</v>
      </c>
      <c r="S117" s="124">
        <f>SUM(D116:D117)</f>
        <v>718013350</v>
      </c>
      <c r="T117" s="124">
        <f>SUM(F116:F117)</f>
        <v>433702100</v>
      </c>
      <c r="U117" s="124">
        <f>SUM(J116:J117)</f>
        <v>1714668.5059423</v>
      </c>
      <c r="W117" s="124">
        <f t="shared" si="21"/>
        <v>380752.93383609998</v>
      </c>
      <c r="X117">
        <f t="shared" si="22"/>
        <v>0</v>
      </c>
    </row>
    <row r="118" spans="1:24">
      <c r="A118" s="23" t="s">
        <v>133</v>
      </c>
      <c r="B118" s="35" t="s">
        <v>134</v>
      </c>
      <c r="C118" s="125">
        <v>3592</v>
      </c>
      <c r="D118" s="132">
        <v>110029572</v>
      </c>
      <c r="E118" s="116">
        <f t="shared" si="29"/>
        <v>30631.840757238308</v>
      </c>
      <c r="F118" s="134">
        <v>52330185</v>
      </c>
      <c r="G118" s="117">
        <f t="shared" si="30"/>
        <v>14568.537026726059</v>
      </c>
      <c r="H118" s="7"/>
      <c r="I118" s="136">
        <v>7.9489999999999998</v>
      </c>
      <c r="J118" s="134">
        <v>415972.64056500001</v>
      </c>
      <c r="K118" s="120">
        <f t="shared" si="31"/>
        <v>115.80530082544544</v>
      </c>
      <c r="L118" s="122">
        <f t="shared" si="16"/>
        <v>523301.85000000003</v>
      </c>
      <c r="M118" s="116">
        <f t="shared" si="17"/>
        <v>107329.20943500003</v>
      </c>
      <c r="N118" s="123">
        <f t="shared" si="18"/>
        <v>29.880069441815152</v>
      </c>
      <c r="O118" s="5"/>
      <c r="P118" s="5">
        <f t="shared" si="19"/>
        <v>1</v>
      </c>
      <c r="Q118" s="7">
        <f t="shared" si="20"/>
        <v>3592</v>
      </c>
      <c r="W118" s="124">
        <f t="shared" si="21"/>
        <v>415972.64056499995</v>
      </c>
      <c r="X118">
        <f t="shared" si="22"/>
        <v>0</v>
      </c>
    </row>
    <row r="119" spans="1:24">
      <c r="A119" s="23" t="s">
        <v>135</v>
      </c>
      <c r="B119" s="35" t="s">
        <v>134</v>
      </c>
      <c r="C119" s="125">
        <v>749</v>
      </c>
      <c r="D119" s="132">
        <v>22352269</v>
      </c>
      <c r="E119" s="116">
        <f t="shared" si="29"/>
        <v>29842.815754339117</v>
      </c>
      <c r="F119" s="134">
        <v>13112803</v>
      </c>
      <c r="G119" s="117">
        <f t="shared" si="30"/>
        <v>17507.08010680908</v>
      </c>
      <c r="H119" s="7"/>
      <c r="I119" s="136">
        <v>4.95</v>
      </c>
      <c r="J119" s="134">
        <v>64908.37485</v>
      </c>
      <c r="K119" s="120">
        <f t="shared" si="31"/>
        <v>86.660046528704939</v>
      </c>
      <c r="L119" s="122">
        <f t="shared" si="16"/>
        <v>131128.03</v>
      </c>
      <c r="M119" s="116">
        <f t="shared" si="17"/>
        <v>66219.655150000006</v>
      </c>
      <c r="N119" s="123">
        <f t="shared" si="18"/>
        <v>88.410754539385849</v>
      </c>
      <c r="O119" s="5"/>
      <c r="P119" s="5">
        <f t="shared" si="19"/>
        <v>1</v>
      </c>
      <c r="Q119" s="7">
        <f t="shared" si="20"/>
        <v>749</v>
      </c>
      <c r="W119" s="124">
        <f t="shared" si="21"/>
        <v>64908.374850000007</v>
      </c>
      <c r="X119">
        <f t="shared" si="22"/>
        <v>0</v>
      </c>
    </row>
    <row r="120" spans="1:24">
      <c r="A120" s="23" t="s">
        <v>136</v>
      </c>
      <c r="B120" s="35" t="s">
        <v>134</v>
      </c>
      <c r="C120" s="125">
        <v>762</v>
      </c>
      <c r="D120" s="132">
        <v>38583023</v>
      </c>
      <c r="E120" s="116">
        <f t="shared" si="29"/>
        <v>50633.88845144357</v>
      </c>
      <c r="F120" s="134">
        <v>18902590</v>
      </c>
      <c r="G120" s="117">
        <f t="shared" si="30"/>
        <v>24806.548556430447</v>
      </c>
      <c r="H120" s="7"/>
      <c r="I120" s="136">
        <v>5.5</v>
      </c>
      <c r="J120" s="134">
        <v>103964.245</v>
      </c>
      <c r="K120" s="120">
        <f t="shared" si="31"/>
        <v>136.43601706036745</v>
      </c>
      <c r="L120" s="122">
        <f t="shared" si="16"/>
        <v>189025.9</v>
      </c>
      <c r="M120" s="116">
        <f t="shared" si="17"/>
        <v>85061.654999999999</v>
      </c>
      <c r="N120" s="123">
        <f t="shared" si="18"/>
        <v>111.62946850393701</v>
      </c>
      <c r="O120" s="5"/>
      <c r="P120" s="5">
        <f t="shared" si="19"/>
        <v>1</v>
      </c>
      <c r="Q120" s="7">
        <f t="shared" si="20"/>
        <v>762</v>
      </c>
      <c r="S120" s="124">
        <f>SUM(D118:D120)</f>
        <v>170964864</v>
      </c>
      <c r="T120" s="124">
        <f>SUM(F118:F120)</f>
        <v>84345578</v>
      </c>
      <c r="U120" s="124">
        <f>SUM(J118:J120)</f>
        <v>584845.26041500003</v>
      </c>
      <c r="W120" s="124">
        <f t="shared" si="21"/>
        <v>103964.245</v>
      </c>
      <c r="X120">
        <f t="shared" si="22"/>
        <v>0</v>
      </c>
    </row>
    <row r="121" spans="1:24">
      <c r="A121" s="23" t="s">
        <v>137</v>
      </c>
      <c r="B121" s="35" t="s">
        <v>138</v>
      </c>
      <c r="C121" s="125">
        <v>2395</v>
      </c>
      <c r="D121" s="132">
        <v>92466694</v>
      </c>
      <c r="E121" s="116">
        <f t="shared" si="29"/>
        <v>38608.222964509398</v>
      </c>
      <c r="F121" s="134">
        <v>45172858</v>
      </c>
      <c r="G121" s="117">
        <f t="shared" si="30"/>
        <v>18861.318580375784</v>
      </c>
      <c r="H121" s="7"/>
      <c r="I121" s="136">
        <v>7.55</v>
      </c>
      <c r="J121" s="134">
        <v>341055.07789999997</v>
      </c>
      <c r="K121" s="120">
        <f t="shared" si="31"/>
        <v>142.40295528183714</v>
      </c>
      <c r="L121" s="122">
        <f t="shared" si="16"/>
        <v>451728.58</v>
      </c>
      <c r="M121" s="116">
        <f t="shared" si="17"/>
        <v>110673.50210000004</v>
      </c>
      <c r="N121" s="123">
        <f t="shared" si="18"/>
        <v>46.210230521920685</v>
      </c>
      <c r="O121" s="5"/>
      <c r="P121" s="5">
        <f t="shared" si="19"/>
        <v>1</v>
      </c>
      <c r="Q121" s="7">
        <f t="shared" si="20"/>
        <v>2395</v>
      </c>
      <c r="W121" s="124">
        <f t="shared" si="21"/>
        <v>341055.07789999997</v>
      </c>
      <c r="X121">
        <f t="shared" si="22"/>
        <v>0</v>
      </c>
    </row>
    <row r="122" spans="1:24">
      <c r="A122" s="23" t="s">
        <v>139</v>
      </c>
      <c r="B122" s="35" t="s">
        <v>138</v>
      </c>
      <c r="C122" s="125">
        <v>4872</v>
      </c>
      <c r="D122" s="132">
        <v>295587074</v>
      </c>
      <c r="E122" s="116">
        <f t="shared" si="29"/>
        <v>60670.581691297208</v>
      </c>
      <c r="F122" s="134">
        <v>141965996</v>
      </c>
      <c r="G122" s="117">
        <f t="shared" si="30"/>
        <v>29139.161740558291</v>
      </c>
      <c r="H122" s="7"/>
      <c r="I122" s="136">
        <v>5.5532000000000004</v>
      </c>
      <c r="J122" s="134">
        <v>788365.56898720004</v>
      </c>
      <c r="K122" s="120">
        <f t="shared" si="31"/>
        <v>161.8155929776683</v>
      </c>
      <c r="L122" s="122">
        <f t="shared" si="16"/>
        <v>1419659.96</v>
      </c>
      <c r="M122" s="116">
        <f t="shared" si="17"/>
        <v>631294.39101279993</v>
      </c>
      <c r="N122" s="123">
        <f t="shared" si="18"/>
        <v>129.5760244279146</v>
      </c>
      <c r="O122" s="5"/>
      <c r="P122" s="5">
        <f t="shared" si="19"/>
        <v>1</v>
      </c>
      <c r="Q122" s="7">
        <f t="shared" si="20"/>
        <v>4872</v>
      </c>
      <c r="W122" s="124">
        <f t="shared" si="21"/>
        <v>788365.56898720004</v>
      </c>
      <c r="X122">
        <f t="shared" si="22"/>
        <v>0</v>
      </c>
    </row>
    <row r="123" spans="1:24">
      <c r="A123" s="23" t="s">
        <v>140</v>
      </c>
      <c r="B123" s="35" t="s">
        <v>138</v>
      </c>
      <c r="C123" s="125">
        <v>1734</v>
      </c>
      <c r="D123" s="132">
        <v>70166245</v>
      </c>
      <c r="E123" s="116">
        <f t="shared" si="29"/>
        <v>40464.96251441753</v>
      </c>
      <c r="F123" s="134">
        <v>34252885</v>
      </c>
      <c r="G123" s="117">
        <f t="shared" si="30"/>
        <v>19753.682237600922</v>
      </c>
      <c r="H123" s="7"/>
      <c r="I123" s="136">
        <v>8.5540000000000003</v>
      </c>
      <c r="J123" s="134">
        <v>292999.17829000001</v>
      </c>
      <c r="K123" s="120">
        <f t="shared" si="31"/>
        <v>168.97299786043831</v>
      </c>
      <c r="L123" s="122">
        <f t="shared" si="16"/>
        <v>342528.85000000003</v>
      </c>
      <c r="M123" s="116">
        <f t="shared" si="17"/>
        <v>49529.671710000024</v>
      </c>
      <c r="N123" s="123">
        <f t="shared" si="18"/>
        <v>28.56382451557095</v>
      </c>
      <c r="O123" s="5"/>
      <c r="P123" s="5">
        <f t="shared" si="19"/>
        <v>1</v>
      </c>
      <c r="Q123" s="7">
        <f t="shared" si="20"/>
        <v>1734</v>
      </c>
      <c r="S123" s="124">
        <f>SUM(D121:D123)</f>
        <v>458220013</v>
      </c>
      <c r="T123" s="124">
        <f>SUM(F121:F123)</f>
        <v>221391739</v>
      </c>
      <c r="U123" s="124">
        <f>SUM(J121:J123)</f>
        <v>1422419.8251771999</v>
      </c>
      <c r="W123" s="124">
        <f t="shared" si="21"/>
        <v>292999.17829000001</v>
      </c>
      <c r="X123">
        <f t="shared" si="22"/>
        <v>0</v>
      </c>
    </row>
    <row r="124" spans="1:24">
      <c r="A124" s="23" t="s">
        <v>141</v>
      </c>
      <c r="B124" s="35" t="s">
        <v>142</v>
      </c>
      <c r="C124" s="125">
        <v>7368</v>
      </c>
      <c r="D124" s="132">
        <v>636602073</v>
      </c>
      <c r="E124" s="116">
        <f t="shared" si="29"/>
        <v>86400.932817589579</v>
      </c>
      <c r="F124" s="134">
        <v>286105670</v>
      </c>
      <c r="G124" s="117">
        <f t="shared" si="30"/>
        <v>38830.845548317047</v>
      </c>
      <c r="H124" s="7"/>
      <c r="I124" s="136">
        <v>6.5313999999999997</v>
      </c>
      <c r="J124" s="134">
        <v>1868670.5730379999</v>
      </c>
      <c r="K124" s="120">
        <f t="shared" si="31"/>
        <v>253.61978461427796</v>
      </c>
      <c r="L124" s="122">
        <f t="shared" si="16"/>
        <v>2861056.7</v>
      </c>
      <c r="M124" s="116">
        <f t="shared" si="17"/>
        <v>992386.12696200027</v>
      </c>
      <c r="N124" s="123">
        <f t="shared" si="18"/>
        <v>134.68867086889256</v>
      </c>
      <c r="O124" s="5"/>
      <c r="P124" s="5">
        <f t="shared" si="19"/>
        <v>1</v>
      </c>
      <c r="Q124" s="7">
        <f t="shared" si="20"/>
        <v>7368</v>
      </c>
      <c r="W124" s="124">
        <f t="shared" si="21"/>
        <v>1868670.5730379999</v>
      </c>
      <c r="X124">
        <f t="shared" si="22"/>
        <v>0</v>
      </c>
    </row>
    <row r="125" spans="1:24">
      <c r="A125" s="23" t="s">
        <v>558</v>
      </c>
      <c r="B125" s="35" t="s">
        <v>142</v>
      </c>
      <c r="C125" s="125">
        <v>5019</v>
      </c>
      <c r="D125" s="132">
        <v>548477221</v>
      </c>
      <c r="E125" s="116">
        <f t="shared" si="29"/>
        <v>109280.17951783224</v>
      </c>
      <c r="F125" s="134">
        <v>260774000</v>
      </c>
      <c r="G125" s="117">
        <f t="shared" si="30"/>
        <v>51957.362024307629</v>
      </c>
      <c r="H125" s="7"/>
      <c r="I125" s="136">
        <v>3.8868</v>
      </c>
      <c r="J125" s="134">
        <v>1013576.3832</v>
      </c>
      <c r="K125" s="120">
        <f t="shared" si="31"/>
        <v>201.9478747160789</v>
      </c>
      <c r="L125" s="122">
        <f t="shared" si="16"/>
        <v>2607740</v>
      </c>
      <c r="M125" s="116">
        <f t="shared" si="17"/>
        <v>1594163.6168</v>
      </c>
      <c r="N125" s="123">
        <f t="shared" si="18"/>
        <v>317.62574552699738</v>
      </c>
      <c r="O125" s="5"/>
      <c r="P125" s="5">
        <f t="shared" si="19"/>
        <v>1</v>
      </c>
      <c r="Q125" s="7">
        <f t="shared" si="20"/>
        <v>5019</v>
      </c>
      <c r="S125" s="124">
        <f>SUM(D124:D125)</f>
        <v>1185079294</v>
      </c>
      <c r="T125" s="124">
        <f>SUM(F124:F125)</f>
        <v>546879670</v>
      </c>
      <c r="U125" s="124">
        <f>SUM(J124:J125)</f>
        <v>2882246.9562379997</v>
      </c>
      <c r="W125" s="124">
        <f t="shared" si="21"/>
        <v>1013576.3832</v>
      </c>
      <c r="X125">
        <f t="shared" si="22"/>
        <v>0</v>
      </c>
    </row>
    <row r="126" spans="1:24">
      <c r="A126" s="23" t="s">
        <v>143</v>
      </c>
      <c r="B126" s="35" t="s">
        <v>144</v>
      </c>
      <c r="C126" s="125">
        <v>9165</v>
      </c>
      <c r="D126" s="132">
        <v>1112448876</v>
      </c>
      <c r="E126" s="116">
        <f t="shared" si="29"/>
        <v>121380.12831423896</v>
      </c>
      <c r="F126" s="134">
        <v>486115661</v>
      </c>
      <c r="G126" s="117">
        <f t="shared" si="30"/>
        <v>53040.443098745229</v>
      </c>
      <c r="H126" s="7"/>
      <c r="I126" s="136">
        <v>5.9</v>
      </c>
      <c r="J126" s="134">
        <v>2868082.3999000001</v>
      </c>
      <c r="K126" s="120">
        <f t="shared" si="31"/>
        <v>312.93861428259686</v>
      </c>
      <c r="L126" s="122">
        <f t="shared" si="16"/>
        <v>4861156.6100000003</v>
      </c>
      <c r="M126" s="116">
        <f t="shared" si="17"/>
        <v>1993074.2101000003</v>
      </c>
      <c r="N126" s="123">
        <f t="shared" si="18"/>
        <v>217.46581670485546</v>
      </c>
      <c r="O126" s="5"/>
      <c r="P126" s="5">
        <f t="shared" si="19"/>
        <v>1</v>
      </c>
      <c r="Q126" s="7">
        <f t="shared" si="20"/>
        <v>9165</v>
      </c>
      <c r="S126" s="124">
        <f>D126</f>
        <v>1112448876</v>
      </c>
      <c r="T126" s="124">
        <f>F126</f>
        <v>486115661</v>
      </c>
      <c r="U126" s="124">
        <f>J126</f>
        <v>2868082.3999000001</v>
      </c>
      <c r="W126" s="124">
        <f t="shared" si="21"/>
        <v>2868082.3999000005</v>
      </c>
      <c r="X126">
        <f t="shared" si="22"/>
        <v>0</v>
      </c>
    </row>
    <row r="127" spans="1:24">
      <c r="A127" s="23" t="s">
        <v>146</v>
      </c>
      <c r="B127" s="35" t="s">
        <v>147</v>
      </c>
      <c r="C127" s="125">
        <v>9721</v>
      </c>
      <c r="D127" s="132">
        <v>690262729</v>
      </c>
      <c r="E127" s="116">
        <f t="shared" si="29"/>
        <v>71007.378767616494</v>
      </c>
      <c r="F127" s="134">
        <v>343746473</v>
      </c>
      <c r="G127" s="117">
        <f t="shared" si="30"/>
        <v>35361.225491204612</v>
      </c>
      <c r="H127" s="7"/>
      <c r="I127" s="136">
        <v>2.2400000000000002</v>
      </c>
      <c r="J127" s="134">
        <v>769992.09952000005</v>
      </c>
      <c r="K127" s="120">
        <f t="shared" si="31"/>
        <v>79.209145100298329</v>
      </c>
      <c r="L127" s="122">
        <f t="shared" si="16"/>
        <v>3437464.73</v>
      </c>
      <c r="M127" s="116">
        <f t="shared" si="17"/>
        <v>2667472.6304799998</v>
      </c>
      <c r="N127" s="123">
        <f t="shared" si="18"/>
        <v>274.40310981174775</v>
      </c>
      <c r="O127" s="5"/>
      <c r="P127" s="5">
        <f t="shared" si="19"/>
        <v>1</v>
      </c>
      <c r="Q127" s="7">
        <f t="shared" si="20"/>
        <v>9721</v>
      </c>
      <c r="W127" s="124">
        <f t="shared" si="21"/>
        <v>769992.09952000005</v>
      </c>
      <c r="X127">
        <f t="shared" si="22"/>
        <v>0</v>
      </c>
    </row>
    <row r="128" spans="1:24">
      <c r="A128" s="23" t="s">
        <v>148</v>
      </c>
      <c r="B128" s="35" t="s">
        <v>147</v>
      </c>
      <c r="C128" s="125">
        <v>2367</v>
      </c>
      <c r="D128" s="132">
        <v>356055177</v>
      </c>
      <c r="E128" s="116">
        <f t="shared" si="29"/>
        <v>150424.66286438529</v>
      </c>
      <c r="F128" s="134">
        <v>248529824</v>
      </c>
      <c r="G128" s="117">
        <f t="shared" si="30"/>
        <v>104997.81326573722</v>
      </c>
      <c r="H128" s="7"/>
      <c r="I128" s="136">
        <v>3.25</v>
      </c>
      <c r="J128" s="134">
        <v>807721.92799999996</v>
      </c>
      <c r="K128" s="120">
        <f t="shared" si="31"/>
        <v>341.24289311364595</v>
      </c>
      <c r="L128" s="122">
        <f t="shared" si="16"/>
        <v>2485298.2400000002</v>
      </c>
      <c r="M128" s="116">
        <f t="shared" si="17"/>
        <v>1677576.3120000004</v>
      </c>
      <c r="N128" s="123">
        <f t="shared" si="18"/>
        <v>708.73523954372638</v>
      </c>
      <c r="O128" s="5"/>
      <c r="P128" s="5">
        <f t="shared" si="19"/>
        <v>1</v>
      </c>
      <c r="Q128" s="7">
        <f t="shared" si="20"/>
        <v>2367</v>
      </c>
      <c r="W128" s="124">
        <f t="shared" si="21"/>
        <v>807721.92799999996</v>
      </c>
      <c r="X128">
        <f t="shared" si="22"/>
        <v>0</v>
      </c>
    </row>
    <row r="129" spans="1:24">
      <c r="A129" s="23" t="s">
        <v>149</v>
      </c>
      <c r="B129" s="35" t="s">
        <v>147</v>
      </c>
      <c r="C129" s="125">
        <v>10894</v>
      </c>
      <c r="D129" s="132">
        <v>1130116790</v>
      </c>
      <c r="E129" s="116">
        <f t="shared" si="29"/>
        <v>103737.54268404626</v>
      </c>
      <c r="F129" s="134">
        <v>766624230</v>
      </c>
      <c r="G129" s="117">
        <f t="shared" si="30"/>
        <v>70371.234624563978</v>
      </c>
      <c r="H129" s="7"/>
      <c r="I129" s="136">
        <v>5.8183999999999996</v>
      </c>
      <c r="J129" s="134">
        <v>4460526.4198319996</v>
      </c>
      <c r="K129" s="120">
        <f t="shared" si="31"/>
        <v>409.44799153956302</v>
      </c>
      <c r="L129" s="122">
        <f t="shared" si="16"/>
        <v>7666242.2999999998</v>
      </c>
      <c r="M129" s="116">
        <f t="shared" si="17"/>
        <v>3205715.8801680002</v>
      </c>
      <c r="N129" s="123">
        <f t="shared" si="18"/>
        <v>294.26435470607674</v>
      </c>
      <c r="O129" s="5"/>
      <c r="P129" s="5">
        <f t="shared" si="19"/>
        <v>1</v>
      </c>
      <c r="Q129" s="7">
        <f t="shared" si="20"/>
        <v>10894</v>
      </c>
      <c r="S129" s="124">
        <f>SUM(D127:D129)</f>
        <v>2176434696</v>
      </c>
      <c r="T129" s="124">
        <f>SUM(F127:F129)</f>
        <v>1358900527</v>
      </c>
      <c r="U129" s="124">
        <f>SUM(J127:J129)</f>
        <v>6038240.4473519996</v>
      </c>
      <c r="W129" s="124">
        <f t="shared" si="21"/>
        <v>4460526.4198319996</v>
      </c>
      <c r="X129">
        <f t="shared" si="22"/>
        <v>0</v>
      </c>
    </row>
    <row r="130" spans="1:24">
      <c r="A130" s="23" t="s">
        <v>150</v>
      </c>
      <c r="B130" s="35" t="s">
        <v>151</v>
      </c>
      <c r="C130" s="125">
        <v>40183</v>
      </c>
      <c r="D130" s="132">
        <v>4475396092</v>
      </c>
      <c r="E130" s="116">
        <f t="shared" si="29"/>
        <v>111375.36002787248</v>
      </c>
      <c r="F130" s="134">
        <v>3019912429</v>
      </c>
      <c r="G130" s="117">
        <f t="shared" si="30"/>
        <v>75153.981260732151</v>
      </c>
      <c r="H130" s="7"/>
      <c r="I130" s="136">
        <v>5.7157</v>
      </c>
      <c r="J130" s="134">
        <v>17260913.470435299</v>
      </c>
      <c r="K130" s="120">
        <f t="shared" si="31"/>
        <v>429.55761069196672</v>
      </c>
      <c r="L130" s="122">
        <f t="shared" si="16"/>
        <v>30199124.289999999</v>
      </c>
      <c r="M130" s="116">
        <f t="shared" si="17"/>
        <v>12938210.8195647</v>
      </c>
      <c r="N130" s="123">
        <f t="shared" si="18"/>
        <v>321.98220191535478</v>
      </c>
      <c r="O130" s="5"/>
      <c r="P130" s="5">
        <f t="shared" si="19"/>
        <v>1</v>
      </c>
      <c r="Q130" s="7">
        <f t="shared" si="20"/>
        <v>40183</v>
      </c>
      <c r="W130" s="124">
        <f t="shared" si="21"/>
        <v>17260913.470435299</v>
      </c>
      <c r="X130">
        <f t="shared" si="22"/>
        <v>0</v>
      </c>
    </row>
    <row r="131" spans="1:24">
      <c r="A131" s="23" t="s">
        <v>152</v>
      </c>
      <c r="B131" s="35" t="s">
        <v>151</v>
      </c>
      <c r="C131" s="125">
        <v>391800</v>
      </c>
      <c r="D131" s="132">
        <v>66833632588</v>
      </c>
      <c r="E131" s="116">
        <f t="shared" si="29"/>
        <v>170580.99180193976</v>
      </c>
      <c r="F131" s="134">
        <v>43680928783</v>
      </c>
      <c r="G131" s="117">
        <f t="shared" si="30"/>
        <v>111487.8223149566</v>
      </c>
      <c r="H131" s="7"/>
      <c r="I131" s="136">
        <v>6.2076000000000002</v>
      </c>
      <c r="J131" s="134">
        <v>271153733.51335078</v>
      </c>
      <c r="K131" s="120">
        <f t="shared" si="31"/>
        <v>692.07180580232466</v>
      </c>
      <c r="L131" s="122">
        <f t="shared" si="16"/>
        <v>436809287.82999998</v>
      </c>
      <c r="M131" s="116">
        <f t="shared" si="17"/>
        <v>165655554.3166492</v>
      </c>
      <c r="N131" s="123">
        <f t="shared" si="18"/>
        <v>422.80641734724145</v>
      </c>
      <c r="O131" s="5"/>
      <c r="P131" s="5">
        <f t="shared" si="19"/>
        <v>1</v>
      </c>
      <c r="Q131" s="7">
        <f t="shared" si="20"/>
        <v>391800</v>
      </c>
      <c r="W131" s="124">
        <f t="shared" si="21"/>
        <v>271153733.51335084</v>
      </c>
      <c r="X131">
        <f t="shared" si="22"/>
        <v>0</v>
      </c>
    </row>
    <row r="132" spans="1:24">
      <c r="A132" s="23" t="s">
        <v>153</v>
      </c>
      <c r="B132" s="35" t="s">
        <v>151</v>
      </c>
      <c r="C132" s="125">
        <v>27005</v>
      </c>
      <c r="D132" s="132">
        <v>2916245079</v>
      </c>
      <c r="E132" s="116">
        <f t="shared" si="29"/>
        <v>107989.07902240325</v>
      </c>
      <c r="F132" s="134">
        <v>2109428682</v>
      </c>
      <c r="G132" s="117">
        <f t="shared" si="30"/>
        <v>78112.522940196257</v>
      </c>
      <c r="H132" s="9"/>
      <c r="I132" s="136">
        <v>6.5549999999999997</v>
      </c>
      <c r="J132" s="134">
        <v>13827305.010509999</v>
      </c>
      <c r="K132" s="120">
        <f t="shared" si="31"/>
        <v>512.02758787298649</v>
      </c>
      <c r="L132" s="122">
        <f t="shared" si="16"/>
        <v>21094286.82</v>
      </c>
      <c r="M132" s="116">
        <f t="shared" si="17"/>
        <v>7266981.8094900008</v>
      </c>
      <c r="N132" s="123">
        <f t="shared" si="18"/>
        <v>269.09764152897617</v>
      </c>
      <c r="O132" s="5"/>
      <c r="P132" s="5">
        <f t="shared" si="19"/>
        <v>1</v>
      </c>
      <c r="Q132" s="7">
        <f t="shared" si="20"/>
        <v>27005</v>
      </c>
      <c r="S132" s="124">
        <f>SUM(D130:D132)</f>
        <v>74225273759</v>
      </c>
      <c r="T132" s="124">
        <f>SUM(F130:F132)</f>
        <v>48810269894</v>
      </c>
      <c r="U132" s="124">
        <f>SUM(J130:J132)</f>
        <v>302241951.99429613</v>
      </c>
      <c r="W132" s="124">
        <f t="shared" si="21"/>
        <v>13827305.010509999</v>
      </c>
      <c r="X132">
        <f t="shared" si="22"/>
        <v>0</v>
      </c>
    </row>
    <row r="133" spans="1:24">
      <c r="A133" s="23" t="s">
        <v>154</v>
      </c>
      <c r="B133" s="35" t="s">
        <v>155</v>
      </c>
      <c r="C133" s="125">
        <v>2783</v>
      </c>
      <c r="D133" s="147" t="s">
        <v>564</v>
      </c>
      <c r="E133" s="116"/>
      <c r="F133" s="134"/>
      <c r="G133" s="117"/>
      <c r="H133" s="98" t="s">
        <v>588</v>
      </c>
      <c r="I133" s="136"/>
      <c r="J133" s="134"/>
      <c r="K133" s="120"/>
      <c r="L133" s="122">
        <f t="shared" si="16"/>
        <v>0</v>
      </c>
      <c r="M133" s="116">
        <f t="shared" si="17"/>
        <v>0</v>
      </c>
      <c r="N133" s="123">
        <f t="shared" si="18"/>
        <v>0</v>
      </c>
      <c r="O133" s="5"/>
      <c r="P133" s="5">
        <f t="shared" ref="P133:P197" si="32">IF(I133&gt;0,1,0)</f>
        <v>0</v>
      </c>
      <c r="Q133" s="7">
        <f t="shared" ref="Q133:Q197" si="33">IF(I133&gt;0,C133,0)</f>
        <v>0</v>
      </c>
      <c r="W133" s="124">
        <f t="shared" si="21"/>
        <v>0</v>
      </c>
      <c r="X133">
        <f t="shared" si="22"/>
        <v>0</v>
      </c>
    </row>
    <row r="134" spans="1:24">
      <c r="A134" s="23" t="s">
        <v>156</v>
      </c>
      <c r="B134" s="35" t="s">
        <v>155</v>
      </c>
      <c r="C134" s="125">
        <v>348</v>
      </c>
      <c r="D134" s="132">
        <v>12326301</v>
      </c>
      <c r="E134" s="116">
        <f>(D134/C134)</f>
        <v>35420.40517241379</v>
      </c>
      <c r="F134" s="134">
        <v>6541564</v>
      </c>
      <c r="G134" s="117">
        <f>(F134/C134)</f>
        <v>18797.597701149425</v>
      </c>
      <c r="H134" s="7"/>
      <c r="I134" s="151">
        <v>2.75</v>
      </c>
      <c r="J134" s="134">
        <v>17989.300999999999</v>
      </c>
      <c r="K134" s="120">
        <f>(J134/C134)</f>
        <v>51.693393678160916</v>
      </c>
      <c r="L134" s="122">
        <f t="shared" ref="L134:L197" si="34">(F134*0.01)</f>
        <v>65415.64</v>
      </c>
      <c r="M134" s="116">
        <f t="shared" ref="M134:M197" si="35">(L134-J134)</f>
        <v>47426.339</v>
      </c>
      <c r="N134" s="123">
        <f t="shared" ref="N134:N197" si="36">(M134/C134)</f>
        <v>136.28258333333332</v>
      </c>
      <c r="O134" s="5"/>
      <c r="P134" s="5">
        <f t="shared" si="32"/>
        <v>1</v>
      </c>
      <c r="Q134" s="7">
        <f t="shared" si="33"/>
        <v>348</v>
      </c>
      <c r="W134" s="124">
        <f t="shared" ref="W134:W197" si="37">F134*(I134/1000)</f>
        <v>17989.300999999999</v>
      </c>
      <c r="X134">
        <f t="shared" ref="X134:X197" si="38">IF(W134=J134,0,1)</f>
        <v>0</v>
      </c>
    </row>
    <row r="135" spans="1:24">
      <c r="A135" s="23" t="s">
        <v>157</v>
      </c>
      <c r="B135" s="35" t="s">
        <v>155</v>
      </c>
      <c r="C135" s="125">
        <v>220</v>
      </c>
      <c r="D135" s="132">
        <v>4903857</v>
      </c>
      <c r="E135" s="116">
        <f>(D135/C135)</f>
        <v>22290.25909090909</v>
      </c>
      <c r="F135" s="134">
        <v>2231583</v>
      </c>
      <c r="G135" s="117">
        <f>(F135/C135)</f>
        <v>10143.559090909092</v>
      </c>
      <c r="H135" s="9"/>
      <c r="I135" s="136">
        <v>1.0105999999999999</v>
      </c>
      <c r="J135" s="134">
        <v>2255.2377797999998</v>
      </c>
      <c r="K135" s="120">
        <f>(J135/C135)</f>
        <v>10.251080817272726</v>
      </c>
      <c r="L135" s="122">
        <f t="shared" si="34"/>
        <v>22315.83</v>
      </c>
      <c r="M135" s="116">
        <f t="shared" si="35"/>
        <v>20060.5922202</v>
      </c>
      <c r="N135" s="123">
        <f t="shared" si="36"/>
        <v>91.184510091818183</v>
      </c>
      <c r="O135" s="5"/>
      <c r="P135" s="5">
        <f t="shared" si="32"/>
        <v>1</v>
      </c>
      <c r="Q135" s="7">
        <f t="shared" si="33"/>
        <v>220</v>
      </c>
      <c r="W135" s="124">
        <f t="shared" si="37"/>
        <v>2255.2377797999998</v>
      </c>
      <c r="X135">
        <f t="shared" si="38"/>
        <v>0</v>
      </c>
    </row>
    <row r="136" spans="1:24">
      <c r="A136" s="23" t="s">
        <v>158</v>
      </c>
      <c r="B136" s="35" t="s">
        <v>155</v>
      </c>
      <c r="C136" s="125">
        <v>502</v>
      </c>
      <c r="D136" s="147">
        <v>27615649</v>
      </c>
      <c r="E136" s="116">
        <f>(D136/C136)</f>
        <v>55011.252988047811</v>
      </c>
      <c r="F136" s="134">
        <v>15021523</v>
      </c>
      <c r="G136" s="117">
        <f>(F136/C136)</f>
        <v>29923.352589641436</v>
      </c>
      <c r="H136" s="98"/>
      <c r="I136" s="136">
        <v>1</v>
      </c>
      <c r="J136" s="134">
        <v>15021.522999999999</v>
      </c>
      <c r="K136" s="120">
        <f>(J136/C136)</f>
        <v>29.923352589641432</v>
      </c>
      <c r="L136" s="122">
        <f t="shared" si="34"/>
        <v>150215.23000000001</v>
      </c>
      <c r="M136" s="116">
        <f t="shared" si="35"/>
        <v>135193.70700000002</v>
      </c>
      <c r="N136" s="123">
        <f t="shared" si="36"/>
        <v>269.31017330677298</v>
      </c>
      <c r="O136" s="5"/>
      <c r="P136" s="5">
        <f t="shared" si="32"/>
        <v>1</v>
      </c>
      <c r="Q136" s="7">
        <f t="shared" si="33"/>
        <v>502</v>
      </c>
      <c r="W136" s="124">
        <f t="shared" si="37"/>
        <v>15021.523000000001</v>
      </c>
      <c r="X136">
        <f t="shared" si="38"/>
        <v>0</v>
      </c>
    </row>
    <row r="137" spans="1:24">
      <c r="A137" s="23" t="s">
        <v>159</v>
      </c>
      <c r="B137" s="35" t="s">
        <v>155</v>
      </c>
      <c r="C137" s="125">
        <v>275</v>
      </c>
      <c r="D137" s="147" t="s">
        <v>564</v>
      </c>
      <c r="E137" s="116"/>
      <c r="F137" s="134"/>
      <c r="G137" s="117"/>
      <c r="H137" s="98" t="s">
        <v>588</v>
      </c>
      <c r="I137" s="136"/>
      <c r="J137" s="134"/>
      <c r="K137" s="120"/>
      <c r="L137" s="122">
        <f t="shared" si="34"/>
        <v>0</v>
      </c>
      <c r="M137" s="116">
        <f t="shared" si="35"/>
        <v>0</v>
      </c>
      <c r="N137" s="123">
        <f t="shared" si="36"/>
        <v>0</v>
      </c>
      <c r="O137" s="5"/>
      <c r="P137" s="5">
        <f t="shared" si="32"/>
        <v>0</v>
      </c>
      <c r="Q137" s="7">
        <f t="shared" si="33"/>
        <v>0</v>
      </c>
      <c r="S137" s="184">
        <f>SUM(D133:D137)</f>
        <v>44845807</v>
      </c>
      <c r="T137" s="184">
        <f>SUM(F133:F137)</f>
        <v>23794670</v>
      </c>
      <c r="U137" s="184">
        <f>SUM(J133:J137)</f>
        <v>35266.061779800002</v>
      </c>
      <c r="W137" s="124">
        <f t="shared" si="37"/>
        <v>0</v>
      </c>
      <c r="X137">
        <f t="shared" si="38"/>
        <v>0</v>
      </c>
    </row>
    <row r="138" spans="1:24">
      <c r="A138" s="23" t="s">
        <v>160</v>
      </c>
      <c r="B138" s="35" t="s">
        <v>161</v>
      </c>
      <c r="C138" s="125">
        <v>4824</v>
      </c>
      <c r="D138" s="132">
        <v>476785899</v>
      </c>
      <c r="E138" s="116">
        <f t="shared" ref="E138:E143" si="39">(D138/C138)</f>
        <v>98836.214552238802</v>
      </c>
      <c r="F138" s="134">
        <v>124851195</v>
      </c>
      <c r="G138" s="117">
        <f t="shared" ref="G138:G143" si="40">(F138/C138)</f>
        <v>25881.25932835821</v>
      </c>
      <c r="H138" s="7"/>
      <c r="I138" s="150">
        <v>5.3226000000000004</v>
      </c>
      <c r="J138" s="134">
        <v>664532.97050700011</v>
      </c>
      <c r="K138" s="120">
        <f t="shared" ref="K138:K143" si="41">(J138/C138)</f>
        <v>137.75559090111943</v>
      </c>
      <c r="L138" s="122">
        <f t="shared" si="34"/>
        <v>1248511.95</v>
      </c>
      <c r="M138" s="116">
        <f t="shared" si="35"/>
        <v>583978.97949299985</v>
      </c>
      <c r="N138" s="123">
        <f t="shared" si="36"/>
        <v>121.05700238246266</v>
      </c>
      <c r="O138" s="5"/>
      <c r="P138" s="5">
        <f t="shared" si="32"/>
        <v>1</v>
      </c>
      <c r="Q138" s="7">
        <f t="shared" si="33"/>
        <v>4824</v>
      </c>
      <c r="W138" s="124">
        <f t="shared" si="37"/>
        <v>664532.97050699999</v>
      </c>
      <c r="X138">
        <f t="shared" si="38"/>
        <v>0</v>
      </c>
    </row>
    <row r="139" spans="1:24">
      <c r="A139" s="23" t="s">
        <v>162</v>
      </c>
      <c r="B139" s="35" t="s">
        <v>161</v>
      </c>
      <c r="C139" s="125">
        <v>4264</v>
      </c>
      <c r="D139" s="132">
        <v>4316994608</v>
      </c>
      <c r="E139" s="116">
        <f t="shared" si="39"/>
        <v>1012428.3789868668</v>
      </c>
      <c r="F139" s="134">
        <v>3637747745</v>
      </c>
      <c r="G139" s="117">
        <f t="shared" si="40"/>
        <v>853130.33419324574</v>
      </c>
      <c r="H139" s="7"/>
      <c r="I139" s="136">
        <v>1.3349</v>
      </c>
      <c r="J139" s="134">
        <v>4856029.4648005003</v>
      </c>
      <c r="K139" s="120">
        <f t="shared" si="41"/>
        <v>1138.8436831145639</v>
      </c>
      <c r="L139" s="122">
        <f t="shared" si="34"/>
        <v>36377477.450000003</v>
      </c>
      <c r="M139" s="116">
        <f t="shared" si="35"/>
        <v>31521447.985199504</v>
      </c>
      <c r="N139" s="123">
        <f t="shared" si="36"/>
        <v>7392.4596588178947</v>
      </c>
      <c r="O139" s="5"/>
      <c r="P139" s="5">
        <f t="shared" si="32"/>
        <v>1</v>
      </c>
      <c r="Q139" s="7">
        <f t="shared" si="33"/>
        <v>4264</v>
      </c>
      <c r="W139" s="124">
        <f t="shared" si="37"/>
        <v>4856029.4648005003</v>
      </c>
      <c r="X139">
        <f t="shared" si="38"/>
        <v>0</v>
      </c>
    </row>
    <row r="140" spans="1:24">
      <c r="A140" s="23" t="s">
        <v>163</v>
      </c>
      <c r="B140" s="35" t="s">
        <v>161</v>
      </c>
      <c r="C140" s="125">
        <v>518</v>
      </c>
      <c r="D140" s="132">
        <v>548445216</v>
      </c>
      <c r="E140" s="116">
        <f t="shared" si="39"/>
        <v>1058774.5482625482</v>
      </c>
      <c r="F140" s="134">
        <v>471436137</v>
      </c>
      <c r="G140" s="117">
        <f t="shared" si="40"/>
        <v>910108.37258687255</v>
      </c>
      <c r="H140" s="7"/>
      <c r="I140" s="136">
        <v>1.4</v>
      </c>
      <c r="J140" s="134">
        <v>660010.59179999994</v>
      </c>
      <c r="K140" s="120">
        <f t="shared" si="41"/>
        <v>1274.1517216216214</v>
      </c>
      <c r="L140" s="122">
        <f t="shared" si="34"/>
        <v>4714361.37</v>
      </c>
      <c r="M140" s="116">
        <f t="shared" si="35"/>
        <v>4054350.7782000001</v>
      </c>
      <c r="N140" s="123">
        <f t="shared" si="36"/>
        <v>7826.9320042471045</v>
      </c>
      <c r="O140" s="5"/>
      <c r="P140" s="5">
        <f t="shared" si="32"/>
        <v>1</v>
      </c>
      <c r="Q140" s="7">
        <f t="shared" si="33"/>
        <v>518</v>
      </c>
      <c r="W140" s="124">
        <f t="shared" si="37"/>
        <v>660010.59179999994</v>
      </c>
      <c r="X140">
        <f t="shared" si="38"/>
        <v>0</v>
      </c>
    </row>
    <row r="141" spans="1:24">
      <c r="A141" s="23" t="s">
        <v>164</v>
      </c>
      <c r="B141" s="35" t="s">
        <v>161</v>
      </c>
      <c r="C141" s="125">
        <v>25454</v>
      </c>
      <c r="D141" s="132">
        <v>2784210709</v>
      </c>
      <c r="E141" s="116">
        <f t="shared" si="39"/>
        <v>109382.05032607842</v>
      </c>
      <c r="F141" s="134">
        <v>1584816281</v>
      </c>
      <c r="G141" s="117">
        <f t="shared" si="40"/>
        <v>62261.973795867052</v>
      </c>
      <c r="H141" s="7"/>
      <c r="I141" s="136">
        <v>3.0043000000000002</v>
      </c>
      <c r="J141" s="134">
        <v>4761263.5530083012</v>
      </c>
      <c r="K141" s="120">
        <f t="shared" si="41"/>
        <v>187.05364787492343</v>
      </c>
      <c r="L141" s="122">
        <f t="shared" si="34"/>
        <v>15848162.810000001</v>
      </c>
      <c r="M141" s="116">
        <f t="shared" si="35"/>
        <v>11086899.256991699</v>
      </c>
      <c r="N141" s="123">
        <f t="shared" si="36"/>
        <v>435.5660900837471</v>
      </c>
      <c r="O141" s="5"/>
      <c r="P141" s="5">
        <f t="shared" si="32"/>
        <v>1</v>
      </c>
      <c r="Q141" s="7">
        <f t="shared" si="33"/>
        <v>25454</v>
      </c>
      <c r="W141" s="124">
        <f t="shared" si="37"/>
        <v>4761263.5530083003</v>
      </c>
      <c r="X141">
        <f t="shared" si="38"/>
        <v>0</v>
      </c>
    </row>
    <row r="142" spans="1:24">
      <c r="A142" s="23" t="s">
        <v>165</v>
      </c>
      <c r="B142" s="35" t="s">
        <v>161</v>
      </c>
      <c r="C142" s="125">
        <v>16402</v>
      </c>
      <c r="D142" s="132">
        <v>4632510948</v>
      </c>
      <c r="E142" s="116">
        <f t="shared" si="39"/>
        <v>282435.73637361295</v>
      </c>
      <c r="F142" s="134">
        <v>3372608541</v>
      </c>
      <c r="G142" s="117">
        <f t="shared" si="40"/>
        <v>205621.78642848434</v>
      </c>
      <c r="H142" s="7"/>
      <c r="I142" s="136">
        <v>2.5</v>
      </c>
      <c r="J142" s="134">
        <v>8431521.3524999991</v>
      </c>
      <c r="K142" s="120">
        <f t="shared" si="41"/>
        <v>514.05446607121075</v>
      </c>
      <c r="L142" s="122">
        <f t="shared" si="34"/>
        <v>33726085.410000004</v>
      </c>
      <c r="M142" s="116">
        <f t="shared" si="35"/>
        <v>25294564.057500005</v>
      </c>
      <c r="N142" s="123">
        <f t="shared" si="36"/>
        <v>1542.1633982136327</v>
      </c>
      <c r="O142" s="5"/>
      <c r="P142" s="5">
        <f t="shared" si="32"/>
        <v>1</v>
      </c>
      <c r="Q142" s="7">
        <f t="shared" si="33"/>
        <v>16402</v>
      </c>
      <c r="S142" s="124">
        <f>SUM(D138:D142)</f>
        <v>12758947380</v>
      </c>
      <c r="T142" s="124">
        <f>SUM(F138:F142)</f>
        <v>9191459899</v>
      </c>
      <c r="U142" s="124">
        <f>SUM(J138:J142)</f>
        <v>19373357.932615802</v>
      </c>
      <c r="W142" s="124">
        <f t="shared" si="37"/>
        <v>8431521.352500001</v>
      </c>
      <c r="X142">
        <f t="shared" si="38"/>
        <v>0</v>
      </c>
    </row>
    <row r="143" spans="1:24">
      <c r="A143" s="23" t="s">
        <v>166</v>
      </c>
      <c r="B143" s="35" t="s">
        <v>167</v>
      </c>
      <c r="C143" s="125">
        <v>478</v>
      </c>
      <c r="D143" s="132">
        <v>18285907</v>
      </c>
      <c r="E143" s="116">
        <f t="shared" si="39"/>
        <v>38255.035564853555</v>
      </c>
      <c r="F143" s="134">
        <v>11055722</v>
      </c>
      <c r="G143" s="117">
        <f t="shared" si="40"/>
        <v>23129.125523012553</v>
      </c>
      <c r="H143" s="9"/>
      <c r="I143" s="136">
        <v>1.5802</v>
      </c>
      <c r="J143" s="134">
        <v>17470.251904400004</v>
      </c>
      <c r="K143" s="120">
        <f t="shared" si="41"/>
        <v>36.548644151464444</v>
      </c>
      <c r="L143" s="122">
        <f t="shared" si="34"/>
        <v>110557.22</v>
      </c>
      <c r="M143" s="116">
        <f t="shared" si="35"/>
        <v>93086.968095599994</v>
      </c>
      <c r="N143" s="123">
        <f t="shared" si="36"/>
        <v>194.74261107866107</v>
      </c>
      <c r="O143" s="5"/>
      <c r="P143" s="5">
        <f t="shared" si="32"/>
        <v>1</v>
      </c>
      <c r="Q143" s="7">
        <f t="shared" si="33"/>
        <v>478</v>
      </c>
      <c r="W143" s="124">
        <f t="shared" si="37"/>
        <v>17470.2519044</v>
      </c>
      <c r="X143">
        <f t="shared" si="38"/>
        <v>0</v>
      </c>
    </row>
    <row r="144" spans="1:24">
      <c r="A144" s="23" t="s">
        <v>168</v>
      </c>
      <c r="B144" s="35" t="s">
        <v>167</v>
      </c>
      <c r="C144" s="125">
        <v>82</v>
      </c>
      <c r="D144" s="147" t="s">
        <v>564</v>
      </c>
      <c r="E144" s="116"/>
      <c r="F144" s="134"/>
      <c r="G144" s="117"/>
      <c r="H144" s="98" t="s">
        <v>588</v>
      </c>
      <c r="I144" s="136"/>
      <c r="J144" s="134"/>
      <c r="K144" s="120"/>
      <c r="L144" s="122">
        <f t="shared" si="34"/>
        <v>0</v>
      </c>
      <c r="M144" s="116">
        <f t="shared" si="35"/>
        <v>0</v>
      </c>
      <c r="N144" s="123">
        <f t="shared" si="36"/>
        <v>0</v>
      </c>
      <c r="O144" s="5"/>
      <c r="P144" s="5">
        <f t="shared" si="32"/>
        <v>0</v>
      </c>
      <c r="Q144" s="7">
        <f t="shared" si="33"/>
        <v>0</v>
      </c>
      <c r="W144" s="124">
        <f t="shared" si="37"/>
        <v>0</v>
      </c>
      <c r="X144">
        <f t="shared" si="38"/>
        <v>0</v>
      </c>
    </row>
    <row r="145" spans="1:24">
      <c r="A145" s="23" t="s">
        <v>169</v>
      </c>
      <c r="B145" s="35" t="s">
        <v>167</v>
      </c>
      <c r="C145" s="125">
        <v>193</v>
      </c>
      <c r="D145" s="132">
        <v>16355942</v>
      </c>
      <c r="E145" s="116">
        <f>(D145/C145)</f>
        <v>84745.813471502595</v>
      </c>
      <c r="F145" s="134">
        <v>10218883</v>
      </c>
      <c r="G145" s="117">
        <f>(F145/C145)</f>
        <v>52947.580310880832</v>
      </c>
      <c r="H145" s="7"/>
      <c r="I145" s="151">
        <v>2.9399000000000002</v>
      </c>
      <c r="J145" s="134">
        <v>30042.494131700001</v>
      </c>
      <c r="K145" s="120">
        <f>(J145/C145)</f>
        <v>155.66059135595856</v>
      </c>
      <c r="L145" s="122">
        <f t="shared" si="34"/>
        <v>102188.83</v>
      </c>
      <c r="M145" s="116">
        <f t="shared" si="35"/>
        <v>72146.335868299997</v>
      </c>
      <c r="N145" s="123">
        <f t="shared" si="36"/>
        <v>373.81521175284973</v>
      </c>
      <c r="O145" s="5"/>
      <c r="P145" s="5">
        <f t="shared" si="32"/>
        <v>1</v>
      </c>
      <c r="Q145" s="7">
        <f t="shared" si="33"/>
        <v>193</v>
      </c>
      <c r="W145" s="124">
        <f t="shared" si="37"/>
        <v>30042.494131700001</v>
      </c>
      <c r="X145">
        <f t="shared" si="38"/>
        <v>0</v>
      </c>
    </row>
    <row r="146" spans="1:24">
      <c r="A146" s="23" t="s">
        <v>170</v>
      </c>
      <c r="B146" s="35" t="s">
        <v>167</v>
      </c>
      <c r="C146" s="125">
        <v>844</v>
      </c>
      <c r="D146" s="132">
        <v>34505250</v>
      </c>
      <c r="E146" s="116">
        <f>(D146/C146)</f>
        <v>40882.997630331753</v>
      </c>
      <c r="F146" s="134">
        <v>17772578</v>
      </c>
      <c r="G146" s="117">
        <f>(F146/C146)</f>
        <v>21057.556872037916</v>
      </c>
      <c r="H146" s="7"/>
      <c r="I146" s="136">
        <v>4.25</v>
      </c>
      <c r="J146" s="134">
        <v>75533.4565</v>
      </c>
      <c r="K146" s="120">
        <f>(J146/C146)</f>
        <v>89.494616706161139</v>
      </c>
      <c r="L146" s="122">
        <f t="shared" si="34"/>
        <v>177725.78</v>
      </c>
      <c r="M146" s="116">
        <f t="shared" si="35"/>
        <v>102192.3235</v>
      </c>
      <c r="N146" s="123">
        <f t="shared" si="36"/>
        <v>121.08095201421801</v>
      </c>
      <c r="O146" s="5"/>
      <c r="P146" s="5">
        <f t="shared" si="32"/>
        <v>1</v>
      </c>
      <c r="Q146" s="7">
        <f t="shared" si="33"/>
        <v>844</v>
      </c>
      <c r="W146" s="124">
        <f t="shared" si="37"/>
        <v>75533.4565</v>
      </c>
      <c r="X146">
        <f t="shared" si="38"/>
        <v>0</v>
      </c>
    </row>
    <row r="147" spans="1:24">
      <c r="A147" s="23" t="s">
        <v>171</v>
      </c>
      <c r="B147" s="35" t="s">
        <v>167</v>
      </c>
      <c r="C147" s="125">
        <v>2159</v>
      </c>
      <c r="D147" s="132">
        <v>137225532</v>
      </c>
      <c r="E147" s="116">
        <f>(D147/C147)</f>
        <v>63559.76470588235</v>
      </c>
      <c r="F147" s="134">
        <v>91188517</v>
      </c>
      <c r="G147" s="117">
        <f>(F147/C147)</f>
        <v>42236.459935155166</v>
      </c>
      <c r="H147" s="9"/>
      <c r="I147" s="136">
        <v>4</v>
      </c>
      <c r="J147" s="134">
        <v>364754.06800000003</v>
      </c>
      <c r="K147" s="120">
        <f>(J147/C147)</f>
        <v>168.94583974062067</v>
      </c>
      <c r="L147" s="122">
        <f t="shared" si="34"/>
        <v>911885.17</v>
      </c>
      <c r="M147" s="116">
        <f t="shared" si="35"/>
        <v>547131.10199999996</v>
      </c>
      <c r="N147" s="123">
        <f t="shared" si="36"/>
        <v>253.41875961093098</v>
      </c>
      <c r="O147" s="5"/>
      <c r="P147" s="5">
        <f t="shared" si="32"/>
        <v>1</v>
      </c>
      <c r="Q147" s="7">
        <f t="shared" si="33"/>
        <v>2159</v>
      </c>
      <c r="W147" s="124">
        <f t="shared" si="37"/>
        <v>364754.06800000003</v>
      </c>
      <c r="X147">
        <f t="shared" si="38"/>
        <v>0</v>
      </c>
    </row>
    <row r="148" spans="1:24">
      <c r="A148" s="23" t="s">
        <v>172</v>
      </c>
      <c r="B148" s="35" t="s">
        <v>167</v>
      </c>
      <c r="C148" s="125">
        <v>882</v>
      </c>
      <c r="D148" s="147" t="s">
        <v>564</v>
      </c>
      <c r="E148" s="116"/>
      <c r="F148" s="134"/>
      <c r="G148" s="117"/>
      <c r="H148" s="98" t="s">
        <v>588</v>
      </c>
      <c r="I148" s="136"/>
      <c r="J148" s="134"/>
      <c r="K148" s="120"/>
      <c r="L148" s="122">
        <f t="shared" si="34"/>
        <v>0</v>
      </c>
      <c r="M148" s="116">
        <f t="shared" si="35"/>
        <v>0</v>
      </c>
      <c r="N148" s="123">
        <f t="shared" si="36"/>
        <v>0</v>
      </c>
      <c r="O148" s="5"/>
      <c r="P148" s="5">
        <f t="shared" si="32"/>
        <v>0</v>
      </c>
      <c r="Q148" s="7">
        <f t="shared" si="33"/>
        <v>0</v>
      </c>
      <c r="W148" s="124">
        <f t="shared" si="37"/>
        <v>0</v>
      </c>
      <c r="X148">
        <f t="shared" si="38"/>
        <v>0</v>
      </c>
    </row>
    <row r="149" spans="1:24">
      <c r="A149" s="23" t="s">
        <v>173</v>
      </c>
      <c r="B149" s="35" t="s">
        <v>167</v>
      </c>
      <c r="C149" s="125">
        <v>551</v>
      </c>
      <c r="D149" s="132">
        <v>28261348</v>
      </c>
      <c r="E149" s="116">
        <f t="shared" ref="E149:E180" si="42">(D149/C149)</f>
        <v>51291.012704174231</v>
      </c>
      <c r="F149" s="134">
        <v>14496015</v>
      </c>
      <c r="G149" s="117">
        <f t="shared" ref="G149:G180" si="43">(F149/C149)</f>
        <v>26308.557168784027</v>
      </c>
      <c r="H149" s="7"/>
      <c r="I149" s="150">
        <v>1</v>
      </c>
      <c r="J149" s="134">
        <v>14496.014999999999</v>
      </c>
      <c r="K149" s="120">
        <f t="shared" ref="K149:K180" si="44">(J149/C149)</f>
        <v>26.308557168784027</v>
      </c>
      <c r="L149" s="122">
        <f t="shared" si="34"/>
        <v>144960.15</v>
      </c>
      <c r="M149" s="116">
        <f t="shared" si="35"/>
        <v>130464.13499999999</v>
      </c>
      <c r="N149" s="123">
        <f t="shared" si="36"/>
        <v>236.77701451905625</v>
      </c>
      <c r="O149" s="5"/>
      <c r="P149" s="5">
        <f t="shared" si="32"/>
        <v>1</v>
      </c>
      <c r="Q149" s="7">
        <f t="shared" si="33"/>
        <v>551</v>
      </c>
      <c r="W149" s="124">
        <f t="shared" si="37"/>
        <v>14496.014999999999</v>
      </c>
      <c r="X149">
        <f t="shared" si="38"/>
        <v>0</v>
      </c>
    </row>
    <row r="150" spans="1:24">
      <c r="A150" s="23" t="s">
        <v>508</v>
      </c>
      <c r="B150" s="35" t="s">
        <v>167</v>
      </c>
      <c r="C150" s="125">
        <v>219</v>
      </c>
      <c r="D150" s="132">
        <v>8814079</v>
      </c>
      <c r="E150" s="116">
        <f t="shared" si="42"/>
        <v>40246.936073059362</v>
      </c>
      <c r="F150" s="134">
        <v>4518570</v>
      </c>
      <c r="G150" s="117">
        <f t="shared" si="43"/>
        <v>20632.739726027397</v>
      </c>
      <c r="H150" s="9"/>
      <c r="I150" s="136">
        <v>3.9878999999999998</v>
      </c>
      <c r="J150" s="134">
        <v>18019.605303</v>
      </c>
      <c r="K150" s="120">
        <f t="shared" si="44"/>
        <v>82.281302753424654</v>
      </c>
      <c r="L150" s="122">
        <f t="shared" si="34"/>
        <v>45185.700000000004</v>
      </c>
      <c r="M150" s="116">
        <f t="shared" si="35"/>
        <v>27166.094697000004</v>
      </c>
      <c r="N150" s="123">
        <f t="shared" si="36"/>
        <v>124.04609450684933</v>
      </c>
      <c r="O150" s="5"/>
      <c r="P150" s="5">
        <f t="shared" si="32"/>
        <v>1</v>
      </c>
      <c r="Q150" s="7">
        <f t="shared" si="33"/>
        <v>219</v>
      </c>
      <c r="W150" s="124">
        <f t="shared" si="37"/>
        <v>18019.605303</v>
      </c>
      <c r="X150">
        <f t="shared" si="38"/>
        <v>0</v>
      </c>
    </row>
    <row r="151" spans="1:24">
      <c r="A151" s="23" t="s">
        <v>175</v>
      </c>
      <c r="B151" s="35" t="s">
        <v>167</v>
      </c>
      <c r="C151" s="125">
        <v>1244</v>
      </c>
      <c r="D151" s="147">
        <v>49910623</v>
      </c>
      <c r="E151" s="116">
        <f t="shared" si="42"/>
        <v>40121.079581993567</v>
      </c>
      <c r="F151" s="134">
        <v>16945769</v>
      </c>
      <c r="G151" s="117">
        <f t="shared" si="43"/>
        <v>13622.00080385852</v>
      </c>
      <c r="H151" s="98"/>
      <c r="I151" s="136">
        <v>1</v>
      </c>
      <c r="J151" s="134">
        <v>16945.769</v>
      </c>
      <c r="K151" s="120">
        <f t="shared" si="44"/>
        <v>13.622000803858521</v>
      </c>
      <c r="L151" s="122">
        <f t="shared" si="34"/>
        <v>169457.69</v>
      </c>
      <c r="M151" s="116">
        <f t="shared" si="35"/>
        <v>152511.921</v>
      </c>
      <c r="N151" s="123">
        <f t="shared" si="36"/>
        <v>122.59800723472669</v>
      </c>
      <c r="O151" s="5"/>
      <c r="P151" s="5">
        <f t="shared" si="32"/>
        <v>1</v>
      </c>
      <c r="Q151" s="7">
        <f t="shared" si="33"/>
        <v>1244</v>
      </c>
      <c r="W151" s="124">
        <f t="shared" si="37"/>
        <v>16945.769</v>
      </c>
      <c r="X151">
        <f t="shared" si="38"/>
        <v>0</v>
      </c>
    </row>
    <row r="152" spans="1:24">
      <c r="A152" s="23" t="s">
        <v>176</v>
      </c>
      <c r="B152" s="35" t="s">
        <v>167</v>
      </c>
      <c r="C152" s="125">
        <v>6549</v>
      </c>
      <c r="D152" s="132">
        <v>496534093</v>
      </c>
      <c r="E152" s="116">
        <f t="shared" si="42"/>
        <v>75818.307069781644</v>
      </c>
      <c r="F152" s="134">
        <v>264824513</v>
      </c>
      <c r="G152" s="117">
        <f t="shared" si="43"/>
        <v>40437.397007176667</v>
      </c>
      <c r="H152" s="7"/>
      <c r="I152" s="150">
        <v>2.9984999999999999</v>
      </c>
      <c r="J152" s="134">
        <v>794076.30223050003</v>
      </c>
      <c r="K152" s="120">
        <f t="shared" si="44"/>
        <v>121.25153492601925</v>
      </c>
      <c r="L152" s="122">
        <f t="shared" si="34"/>
        <v>2648245.13</v>
      </c>
      <c r="M152" s="116">
        <f t="shared" si="35"/>
        <v>1854168.8277694997</v>
      </c>
      <c r="N152" s="123">
        <f t="shared" si="36"/>
        <v>283.12243514574737</v>
      </c>
      <c r="O152" s="5"/>
      <c r="P152" s="5">
        <f t="shared" si="32"/>
        <v>1</v>
      </c>
      <c r="Q152" s="7">
        <f t="shared" si="33"/>
        <v>6549</v>
      </c>
      <c r="W152" s="124">
        <f t="shared" si="37"/>
        <v>794076.30223049992</v>
      </c>
      <c r="X152">
        <f t="shared" si="38"/>
        <v>0</v>
      </c>
    </row>
    <row r="153" spans="1:24">
      <c r="A153" s="23" t="s">
        <v>177</v>
      </c>
      <c r="B153" s="35" t="s">
        <v>167</v>
      </c>
      <c r="C153" s="125">
        <v>1707</v>
      </c>
      <c r="D153" s="132">
        <v>67732486</v>
      </c>
      <c r="E153" s="116">
        <f t="shared" si="42"/>
        <v>39679.253661394258</v>
      </c>
      <c r="F153" s="134">
        <v>37048459</v>
      </c>
      <c r="G153" s="117">
        <f t="shared" si="43"/>
        <v>21703.842413591097</v>
      </c>
      <c r="H153" s="7"/>
      <c r="I153" s="136">
        <v>2.5882999999999998</v>
      </c>
      <c r="J153" s="134">
        <v>95892.526429699981</v>
      </c>
      <c r="K153" s="120">
        <f t="shared" si="44"/>
        <v>56.17605531909782</v>
      </c>
      <c r="L153" s="122">
        <f t="shared" si="34"/>
        <v>370484.59</v>
      </c>
      <c r="M153" s="116">
        <f t="shared" si="35"/>
        <v>274592.06357030006</v>
      </c>
      <c r="N153" s="123">
        <f t="shared" si="36"/>
        <v>160.86236881681316</v>
      </c>
      <c r="O153" s="5"/>
      <c r="P153" s="5">
        <f t="shared" si="32"/>
        <v>1</v>
      </c>
      <c r="Q153" s="7">
        <f t="shared" si="33"/>
        <v>1707</v>
      </c>
      <c r="S153" s="124">
        <f>SUM(D143:D153)</f>
        <v>857625260</v>
      </c>
      <c r="T153" s="124">
        <f>SUM(F143:F153)</f>
        <v>468069026</v>
      </c>
      <c r="U153" s="124">
        <f>SUM(J143:J153)</f>
        <v>1427230.4884993001</v>
      </c>
      <c r="W153" s="124">
        <f t="shared" si="37"/>
        <v>95892.526429699996</v>
      </c>
      <c r="X153">
        <f t="shared" si="38"/>
        <v>0</v>
      </c>
    </row>
    <row r="154" spans="1:24">
      <c r="A154" s="23" t="s">
        <v>178</v>
      </c>
      <c r="B154" s="35" t="s">
        <v>179</v>
      </c>
      <c r="C154" s="125">
        <v>2623</v>
      </c>
      <c r="D154" s="132">
        <v>178887255</v>
      </c>
      <c r="E154" s="116">
        <f t="shared" si="42"/>
        <v>68199.487228364465</v>
      </c>
      <c r="F154" s="134">
        <v>103769393</v>
      </c>
      <c r="G154" s="117">
        <f t="shared" si="43"/>
        <v>39561.339306138012</v>
      </c>
      <c r="H154" s="7"/>
      <c r="I154" s="136">
        <v>6.7984</v>
      </c>
      <c r="J154" s="134">
        <v>705465.84137119993</v>
      </c>
      <c r="K154" s="120">
        <f t="shared" si="44"/>
        <v>268.95380913884861</v>
      </c>
      <c r="L154" s="122">
        <f t="shared" si="34"/>
        <v>1037693.93</v>
      </c>
      <c r="M154" s="116">
        <f t="shared" si="35"/>
        <v>332228.08862880012</v>
      </c>
      <c r="N154" s="123">
        <f t="shared" si="36"/>
        <v>126.6595839225315</v>
      </c>
      <c r="O154" s="5"/>
      <c r="P154" s="5">
        <f t="shared" si="32"/>
        <v>1</v>
      </c>
      <c r="Q154" s="7">
        <f t="shared" si="33"/>
        <v>2623</v>
      </c>
      <c r="S154" s="124">
        <f>SUM(D154)</f>
        <v>178887255</v>
      </c>
      <c r="T154" s="124">
        <f>SUM(F154)</f>
        <v>103769393</v>
      </c>
      <c r="U154" s="124">
        <f>SUM(J154)</f>
        <v>705465.84137119993</v>
      </c>
      <c r="W154" s="124">
        <f t="shared" si="37"/>
        <v>705465.84137119993</v>
      </c>
      <c r="X154">
        <f t="shared" si="38"/>
        <v>0</v>
      </c>
    </row>
    <row r="155" spans="1:24">
      <c r="A155" s="23" t="s">
        <v>180</v>
      </c>
      <c r="B155" s="35" t="s">
        <v>181</v>
      </c>
      <c r="C155" s="125">
        <v>1064</v>
      </c>
      <c r="D155" s="132">
        <v>47130654</v>
      </c>
      <c r="E155" s="116">
        <f t="shared" si="42"/>
        <v>44295.727443609023</v>
      </c>
      <c r="F155" s="134">
        <v>25312984</v>
      </c>
      <c r="G155" s="117">
        <f t="shared" si="43"/>
        <v>23790.398496240603</v>
      </c>
      <c r="H155" s="7"/>
      <c r="I155" s="136">
        <v>7</v>
      </c>
      <c r="J155" s="134">
        <v>177190.88800000001</v>
      </c>
      <c r="K155" s="120">
        <f t="shared" si="44"/>
        <v>166.5327894736842</v>
      </c>
      <c r="L155" s="122">
        <f t="shared" si="34"/>
        <v>253129.84</v>
      </c>
      <c r="M155" s="116">
        <f t="shared" si="35"/>
        <v>75938.95199999999</v>
      </c>
      <c r="N155" s="123">
        <f t="shared" si="36"/>
        <v>71.371195488721796</v>
      </c>
      <c r="O155" s="5"/>
      <c r="P155" s="5">
        <f t="shared" si="32"/>
        <v>1</v>
      </c>
      <c r="Q155" s="7">
        <f t="shared" si="33"/>
        <v>1064</v>
      </c>
      <c r="S155" s="124">
        <f>SUM(D155)</f>
        <v>47130654</v>
      </c>
      <c r="T155" s="124">
        <f>SUM(F155)</f>
        <v>25312984</v>
      </c>
      <c r="U155" s="124">
        <f>SUM(J155)</f>
        <v>177190.88800000001</v>
      </c>
      <c r="W155" s="124">
        <f t="shared" si="37"/>
        <v>177190.88800000001</v>
      </c>
      <c r="X155">
        <f t="shared" si="38"/>
        <v>0</v>
      </c>
    </row>
    <row r="156" spans="1:24">
      <c r="A156" s="23" t="s">
        <v>182</v>
      </c>
      <c r="B156" s="35" t="s">
        <v>183</v>
      </c>
      <c r="C156" s="125">
        <v>1945</v>
      </c>
      <c r="D156" s="147">
        <v>122596792</v>
      </c>
      <c r="E156" s="116">
        <f t="shared" si="42"/>
        <v>63031.76966580977</v>
      </c>
      <c r="F156" s="134">
        <v>71133453</v>
      </c>
      <c r="G156" s="117">
        <f t="shared" si="43"/>
        <v>36572.469408740362</v>
      </c>
      <c r="H156" s="9"/>
      <c r="I156" s="136">
        <v>7.5</v>
      </c>
      <c r="J156" s="134">
        <v>533500.89749999996</v>
      </c>
      <c r="K156" s="120">
        <f t="shared" si="44"/>
        <v>274.29352056555268</v>
      </c>
      <c r="L156" s="122">
        <f t="shared" si="34"/>
        <v>711334.53</v>
      </c>
      <c r="M156" s="116">
        <f t="shared" si="35"/>
        <v>177833.63250000007</v>
      </c>
      <c r="N156" s="123">
        <f t="shared" si="36"/>
        <v>91.431173521850937</v>
      </c>
      <c r="O156" s="5"/>
      <c r="P156" s="5">
        <f t="shared" si="32"/>
        <v>1</v>
      </c>
      <c r="Q156" s="7">
        <f t="shared" si="33"/>
        <v>1945</v>
      </c>
      <c r="W156" s="124">
        <f t="shared" si="37"/>
        <v>533500.89749999996</v>
      </c>
      <c r="X156">
        <f t="shared" si="38"/>
        <v>0</v>
      </c>
    </row>
    <row r="157" spans="1:24">
      <c r="A157" s="23" t="s">
        <v>184</v>
      </c>
      <c r="B157" s="35" t="s">
        <v>183</v>
      </c>
      <c r="C157" s="125">
        <v>44687</v>
      </c>
      <c r="D157" s="147">
        <v>5239594784</v>
      </c>
      <c r="E157" s="116">
        <f t="shared" si="42"/>
        <v>117250.98538724909</v>
      </c>
      <c r="F157" s="134">
        <v>3718492642</v>
      </c>
      <c r="G157" s="117">
        <f t="shared" si="43"/>
        <v>83211.955199498741</v>
      </c>
      <c r="H157" s="9"/>
      <c r="I157" s="136">
        <v>4.2061000000000002</v>
      </c>
      <c r="J157" s="134">
        <v>15640351.901516201</v>
      </c>
      <c r="K157" s="120">
        <f t="shared" si="44"/>
        <v>349.99780476461166</v>
      </c>
      <c r="L157" s="122">
        <f t="shared" si="34"/>
        <v>37184926.420000002</v>
      </c>
      <c r="M157" s="116">
        <f t="shared" si="35"/>
        <v>21544574.518483803</v>
      </c>
      <c r="N157" s="123">
        <f t="shared" si="36"/>
        <v>482.12174723037577</v>
      </c>
      <c r="O157" s="5"/>
      <c r="P157" s="5">
        <f t="shared" si="32"/>
        <v>1</v>
      </c>
      <c r="Q157" s="7">
        <f t="shared" si="33"/>
        <v>44687</v>
      </c>
      <c r="W157" s="124">
        <f t="shared" si="37"/>
        <v>15640351.901516199</v>
      </c>
      <c r="X157">
        <f t="shared" si="38"/>
        <v>0</v>
      </c>
    </row>
    <row r="158" spans="1:24">
      <c r="A158" s="23" t="s">
        <v>185</v>
      </c>
      <c r="B158" s="35" t="s">
        <v>183</v>
      </c>
      <c r="C158" s="125">
        <v>23407</v>
      </c>
      <c r="D158" s="132">
        <v>1857244312</v>
      </c>
      <c r="E158" s="116">
        <f t="shared" si="42"/>
        <v>79345.679155808088</v>
      </c>
      <c r="F158" s="134">
        <v>1223333943</v>
      </c>
      <c r="G158" s="117">
        <f t="shared" si="43"/>
        <v>52263.59392489426</v>
      </c>
      <c r="H158" s="7"/>
      <c r="I158" s="136">
        <v>7.5810000000000004</v>
      </c>
      <c r="J158" s="134">
        <v>9274094.6218830012</v>
      </c>
      <c r="K158" s="120">
        <f t="shared" si="44"/>
        <v>396.21030554462345</v>
      </c>
      <c r="L158" s="122">
        <f t="shared" si="34"/>
        <v>12233339.43</v>
      </c>
      <c r="M158" s="116">
        <f t="shared" si="35"/>
        <v>2959244.8081169985</v>
      </c>
      <c r="N158" s="123">
        <f t="shared" si="36"/>
        <v>126.42563370431915</v>
      </c>
      <c r="O158" s="5"/>
      <c r="P158" s="5">
        <f t="shared" si="32"/>
        <v>1</v>
      </c>
      <c r="Q158" s="7">
        <f t="shared" si="33"/>
        <v>23407</v>
      </c>
      <c r="W158" s="124">
        <f t="shared" si="37"/>
        <v>9274094.6218829993</v>
      </c>
      <c r="X158">
        <f t="shared" si="38"/>
        <v>0</v>
      </c>
    </row>
    <row r="159" spans="1:24">
      <c r="A159" s="23" t="s">
        <v>186</v>
      </c>
      <c r="B159" s="35" t="s">
        <v>183</v>
      </c>
      <c r="C159" s="125">
        <v>8675</v>
      </c>
      <c r="D159" s="132">
        <v>1176082485</v>
      </c>
      <c r="E159" s="116">
        <f t="shared" si="42"/>
        <v>135571.46801152738</v>
      </c>
      <c r="F159" s="134">
        <v>857729335</v>
      </c>
      <c r="G159" s="117">
        <f t="shared" si="43"/>
        <v>98873.698559077806</v>
      </c>
      <c r="H159" s="7"/>
      <c r="I159" s="136">
        <v>3.9134000000000002</v>
      </c>
      <c r="J159" s="134">
        <v>3356637.9795890003</v>
      </c>
      <c r="K159" s="120">
        <f t="shared" si="44"/>
        <v>386.93233194109513</v>
      </c>
      <c r="L159" s="122">
        <f t="shared" si="34"/>
        <v>8577293.3499999996</v>
      </c>
      <c r="M159" s="116">
        <f t="shared" si="35"/>
        <v>5220655.3704109993</v>
      </c>
      <c r="N159" s="123">
        <f t="shared" si="36"/>
        <v>601.8046536496829</v>
      </c>
      <c r="O159" s="5"/>
      <c r="P159" s="5">
        <f t="shared" si="32"/>
        <v>1</v>
      </c>
      <c r="Q159" s="7">
        <f t="shared" si="33"/>
        <v>8675</v>
      </c>
      <c r="W159" s="124">
        <f t="shared" si="37"/>
        <v>3356637.9795889999</v>
      </c>
      <c r="X159">
        <f t="shared" si="38"/>
        <v>0</v>
      </c>
    </row>
    <row r="160" spans="1:24">
      <c r="A160" s="23" t="s">
        <v>187</v>
      </c>
      <c r="B160" s="35" t="s">
        <v>183</v>
      </c>
      <c r="C160" s="125">
        <v>20197</v>
      </c>
      <c r="D160" s="132">
        <v>1840680647</v>
      </c>
      <c r="E160" s="116">
        <f t="shared" si="42"/>
        <v>91136.339406842599</v>
      </c>
      <c r="F160" s="134">
        <v>1275569461</v>
      </c>
      <c r="G160" s="117">
        <f t="shared" si="43"/>
        <v>63156.382680596129</v>
      </c>
      <c r="H160" s="7"/>
      <c r="I160" s="136">
        <v>5.2</v>
      </c>
      <c r="J160" s="134">
        <v>6632961.1971999994</v>
      </c>
      <c r="K160" s="120">
        <f t="shared" si="44"/>
        <v>328.41318993909982</v>
      </c>
      <c r="L160" s="122">
        <f t="shared" si="34"/>
        <v>12755694.609999999</v>
      </c>
      <c r="M160" s="116">
        <f t="shared" si="35"/>
        <v>6122733.4128</v>
      </c>
      <c r="N160" s="123">
        <f t="shared" si="36"/>
        <v>303.15063686686142</v>
      </c>
      <c r="O160" s="5"/>
      <c r="P160" s="5">
        <f t="shared" si="32"/>
        <v>1</v>
      </c>
      <c r="Q160" s="7">
        <f t="shared" si="33"/>
        <v>20197</v>
      </c>
      <c r="W160" s="124">
        <f t="shared" si="37"/>
        <v>6632961.1971999994</v>
      </c>
      <c r="X160">
        <f t="shared" si="38"/>
        <v>0</v>
      </c>
    </row>
    <row r="161" spans="1:24">
      <c r="A161" s="23" t="s">
        <v>188</v>
      </c>
      <c r="B161" s="35" t="s">
        <v>183</v>
      </c>
      <c r="C161" s="125">
        <v>1680</v>
      </c>
      <c r="D161" s="132">
        <v>198852652</v>
      </c>
      <c r="E161" s="116">
        <f t="shared" si="42"/>
        <v>118364.67380952381</v>
      </c>
      <c r="F161" s="134">
        <v>128386399</v>
      </c>
      <c r="G161" s="117">
        <f t="shared" si="43"/>
        <v>76420.475595238095</v>
      </c>
      <c r="H161" s="7"/>
      <c r="I161" s="136">
        <v>7.5</v>
      </c>
      <c r="J161" s="134">
        <v>962897.99250000005</v>
      </c>
      <c r="K161" s="120">
        <f t="shared" si="44"/>
        <v>573.1535669642858</v>
      </c>
      <c r="L161" s="122">
        <f t="shared" si="34"/>
        <v>1283863.99</v>
      </c>
      <c r="M161" s="116">
        <f t="shared" si="35"/>
        <v>320965.99749999994</v>
      </c>
      <c r="N161" s="123">
        <f t="shared" si="36"/>
        <v>191.05118898809519</v>
      </c>
      <c r="O161" s="5"/>
      <c r="P161" s="5">
        <f t="shared" si="32"/>
        <v>1</v>
      </c>
      <c r="Q161" s="7">
        <f t="shared" si="33"/>
        <v>1680</v>
      </c>
      <c r="W161" s="124">
        <f t="shared" si="37"/>
        <v>962897.99249999993</v>
      </c>
      <c r="X161">
        <f t="shared" si="38"/>
        <v>0</v>
      </c>
    </row>
    <row r="162" spans="1:24">
      <c r="A162" s="23" t="s">
        <v>189</v>
      </c>
      <c r="B162" s="35" t="s">
        <v>183</v>
      </c>
      <c r="C162" s="125">
        <v>16042</v>
      </c>
      <c r="D162" s="132">
        <v>1886255105</v>
      </c>
      <c r="E162" s="116">
        <f t="shared" si="42"/>
        <v>117582.29054980676</v>
      </c>
      <c r="F162" s="134">
        <v>1351315024</v>
      </c>
      <c r="G162" s="117">
        <f t="shared" si="43"/>
        <v>84236.069318040143</v>
      </c>
      <c r="H162" s="7"/>
      <c r="I162" s="136">
        <v>3.3961999999999999</v>
      </c>
      <c r="J162" s="134">
        <v>4589336.0845087999</v>
      </c>
      <c r="K162" s="120">
        <f t="shared" si="44"/>
        <v>286.08253861792792</v>
      </c>
      <c r="L162" s="122">
        <f t="shared" si="34"/>
        <v>13513150.24</v>
      </c>
      <c r="M162" s="116">
        <f t="shared" si="35"/>
        <v>8923814.1554911993</v>
      </c>
      <c r="N162" s="123">
        <f t="shared" si="36"/>
        <v>556.27815456247345</v>
      </c>
      <c r="O162" s="5"/>
      <c r="P162" s="5">
        <f t="shared" si="32"/>
        <v>1</v>
      </c>
      <c r="Q162" s="7">
        <f t="shared" si="33"/>
        <v>16042</v>
      </c>
      <c r="W162" s="124">
        <f t="shared" si="37"/>
        <v>4589336.0845087999</v>
      </c>
      <c r="X162">
        <f t="shared" si="38"/>
        <v>0</v>
      </c>
    </row>
    <row r="163" spans="1:24">
      <c r="A163" s="23" t="s">
        <v>190</v>
      </c>
      <c r="B163" s="35" t="s">
        <v>183</v>
      </c>
      <c r="C163" s="125">
        <v>28234</v>
      </c>
      <c r="D163" s="132">
        <v>2604103090</v>
      </c>
      <c r="E163" s="116">
        <f t="shared" si="42"/>
        <v>92232.878444428701</v>
      </c>
      <c r="F163" s="134">
        <v>1707609629</v>
      </c>
      <c r="G163" s="117">
        <f t="shared" si="43"/>
        <v>60480.613055181697</v>
      </c>
      <c r="H163" s="7"/>
      <c r="I163" s="136">
        <v>4.0191999999999997</v>
      </c>
      <c r="J163" s="134">
        <v>6863224.6208767993</v>
      </c>
      <c r="K163" s="120">
        <f t="shared" si="44"/>
        <v>243.08367999138625</v>
      </c>
      <c r="L163" s="122">
        <f t="shared" si="34"/>
        <v>17076096.289999999</v>
      </c>
      <c r="M163" s="116">
        <f t="shared" si="35"/>
        <v>10212871.669123199</v>
      </c>
      <c r="N163" s="123">
        <f t="shared" si="36"/>
        <v>361.72245056043067</v>
      </c>
      <c r="O163" s="5"/>
      <c r="P163" s="5">
        <f t="shared" si="32"/>
        <v>1</v>
      </c>
      <c r="Q163" s="7">
        <f t="shared" si="33"/>
        <v>28234</v>
      </c>
      <c r="W163" s="124">
        <f t="shared" si="37"/>
        <v>6863224.6208767993</v>
      </c>
      <c r="X163">
        <f t="shared" si="38"/>
        <v>0</v>
      </c>
    </row>
    <row r="164" spans="1:24">
      <c r="A164" s="23" t="s">
        <v>191</v>
      </c>
      <c r="B164" s="35" t="s">
        <v>183</v>
      </c>
      <c r="C164" s="125">
        <v>7321</v>
      </c>
      <c r="D164" s="132">
        <v>422104410</v>
      </c>
      <c r="E164" s="116">
        <f t="shared" si="42"/>
        <v>57656.660292309796</v>
      </c>
      <c r="F164" s="134">
        <v>244524132</v>
      </c>
      <c r="G164" s="117">
        <f t="shared" si="43"/>
        <v>33400.373173063788</v>
      </c>
      <c r="H164" s="7"/>
      <c r="I164" s="136">
        <v>5.75</v>
      </c>
      <c r="J164" s="134">
        <v>1406013.7590000001</v>
      </c>
      <c r="K164" s="120">
        <f t="shared" si="44"/>
        <v>192.0521457451168</v>
      </c>
      <c r="L164" s="122">
        <f t="shared" si="34"/>
        <v>2445241.3199999998</v>
      </c>
      <c r="M164" s="116">
        <f t="shared" si="35"/>
        <v>1039227.5609999998</v>
      </c>
      <c r="N164" s="123">
        <f t="shared" si="36"/>
        <v>141.95158598552106</v>
      </c>
      <c r="O164" s="5"/>
      <c r="P164" s="5">
        <f t="shared" si="32"/>
        <v>1</v>
      </c>
      <c r="Q164" s="7">
        <f t="shared" si="33"/>
        <v>7321</v>
      </c>
      <c r="W164" s="124">
        <f t="shared" si="37"/>
        <v>1406013.7590000001</v>
      </c>
      <c r="X164">
        <f t="shared" si="38"/>
        <v>0</v>
      </c>
    </row>
    <row r="165" spans="1:24">
      <c r="A165" s="23" t="s">
        <v>192</v>
      </c>
      <c r="B165" s="35" t="s">
        <v>183</v>
      </c>
      <c r="C165" s="125">
        <v>15038</v>
      </c>
      <c r="D165" s="147">
        <v>1300492926</v>
      </c>
      <c r="E165" s="116">
        <f t="shared" si="42"/>
        <v>86480.444606995618</v>
      </c>
      <c r="F165" s="134">
        <v>855836923</v>
      </c>
      <c r="G165" s="117">
        <f t="shared" si="43"/>
        <v>56911.618765793326</v>
      </c>
      <c r="H165" s="7"/>
      <c r="I165" s="136">
        <v>5.9</v>
      </c>
      <c r="J165" s="134">
        <v>5049437.8457000004</v>
      </c>
      <c r="K165" s="120">
        <f t="shared" si="44"/>
        <v>335.77855071818061</v>
      </c>
      <c r="L165" s="122">
        <f t="shared" si="34"/>
        <v>8558369.2300000004</v>
      </c>
      <c r="M165" s="116">
        <f t="shared" si="35"/>
        <v>3508931.3843</v>
      </c>
      <c r="N165" s="123">
        <f t="shared" si="36"/>
        <v>233.33763693975263</v>
      </c>
      <c r="O165" s="5"/>
      <c r="P165" s="5">
        <f t="shared" si="32"/>
        <v>1</v>
      </c>
      <c r="Q165" s="7">
        <f t="shared" si="33"/>
        <v>15038</v>
      </c>
      <c r="W165" s="124">
        <f t="shared" si="37"/>
        <v>5049437.8457000004</v>
      </c>
      <c r="X165">
        <f t="shared" si="38"/>
        <v>0</v>
      </c>
    </row>
    <row r="166" spans="1:24">
      <c r="A166" s="23" t="s">
        <v>193</v>
      </c>
      <c r="B166" s="35" t="s">
        <v>183</v>
      </c>
      <c r="C166" s="125">
        <v>1693</v>
      </c>
      <c r="D166" s="132">
        <v>206970409</v>
      </c>
      <c r="E166" s="116">
        <f t="shared" si="42"/>
        <v>122250.68458357945</v>
      </c>
      <c r="F166" s="134">
        <v>119344527</v>
      </c>
      <c r="G166" s="117">
        <f t="shared" si="43"/>
        <v>70492.927938570589</v>
      </c>
      <c r="H166" s="7"/>
      <c r="I166" s="136">
        <v>2.83</v>
      </c>
      <c r="J166" s="134">
        <v>337745.01141000004</v>
      </c>
      <c r="K166" s="120">
        <f t="shared" si="44"/>
        <v>199.49498606615478</v>
      </c>
      <c r="L166" s="122">
        <f t="shared" si="34"/>
        <v>1193445.27</v>
      </c>
      <c r="M166" s="116">
        <f t="shared" si="35"/>
        <v>855700.25858999998</v>
      </c>
      <c r="N166" s="123">
        <f t="shared" si="36"/>
        <v>505.4342933195511</v>
      </c>
      <c r="O166" s="5"/>
      <c r="P166" s="5">
        <f t="shared" si="32"/>
        <v>1</v>
      </c>
      <c r="Q166" s="7">
        <f t="shared" si="33"/>
        <v>1693</v>
      </c>
      <c r="W166" s="124">
        <f t="shared" si="37"/>
        <v>337745.01140999998</v>
      </c>
      <c r="X166">
        <f t="shared" si="38"/>
        <v>0</v>
      </c>
    </row>
    <row r="167" spans="1:24">
      <c r="A167" s="23" t="s">
        <v>194</v>
      </c>
      <c r="B167" s="35" t="s">
        <v>183</v>
      </c>
      <c r="C167" s="125">
        <v>16688</v>
      </c>
      <c r="D167" s="132">
        <v>1944092066</v>
      </c>
      <c r="E167" s="116">
        <f t="shared" si="42"/>
        <v>116496.40855704698</v>
      </c>
      <c r="F167" s="134">
        <v>1387684457</v>
      </c>
      <c r="G167" s="117">
        <f t="shared" si="43"/>
        <v>83154.629494247361</v>
      </c>
      <c r="H167" s="7"/>
      <c r="I167" s="136">
        <v>5.9603000000000002</v>
      </c>
      <c r="J167" s="134">
        <v>8271015.6690571001</v>
      </c>
      <c r="K167" s="120">
        <f t="shared" si="44"/>
        <v>495.62653817456254</v>
      </c>
      <c r="L167" s="122">
        <f t="shared" si="34"/>
        <v>13876844.57</v>
      </c>
      <c r="M167" s="116">
        <f t="shared" si="35"/>
        <v>5605828.9009429002</v>
      </c>
      <c r="N167" s="123">
        <f t="shared" si="36"/>
        <v>335.91975676791111</v>
      </c>
      <c r="O167" s="5"/>
      <c r="P167" s="5">
        <f t="shared" si="32"/>
        <v>1</v>
      </c>
      <c r="Q167" s="7">
        <f t="shared" si="33"/>
        <v>16688</v>
      </c>
      <c r="W167" s="124">
        <f t="shared" si="37"/>
        <v>8271015.6690571001</v>
      </c>
      <c r="X167">
        <f t="shared" si="38"/>
        <v>0</v>
      </c>
    </row>
    <row r="168" spans="1:24">
      <c r="A168" s="23" t="s">
        <v>195</v>
      </c>
      <c r="B168" s="35" t="s">
        <v>183</v>
      </c>
      <c r="C168" s="125">
        <v>19600</v>
      </c>
      <c r="D168" s="132">
        <v>2022203174</v>
      </c>
      <c r="E168" s="116">
        <f t="shared" si="42"/>
        <v>103173.63132653061</v>
      </c>
      <c r="F168" s="134">
        <v>1136789454</v>
      </c>
      <c r="G168" s="117">
        <f t="shared" si="43"/>
        <v>57999.461938775508</v>
      </c>
      <c r="H168" s="7"/>
      <c r="I168" s="136">
        <v>6.7579000000000002</v>
      </c>
      <c r="J168" s="134">
        <v>7682309.4511866011</v>
      </c>
      <c r="K168" s="120">
        <f t="shared" si="44"/>
        <v>391.95456383605108</v>
      </c>
      <c r="L168" s="122">
        <f t="shared" si="34"/>
        <v>11367894.540000001</v>
      </c>
      <c r="M168" s="116">
        <f t="shared" si="35"/>
        <v>3685585.0888133999</v>
      </c>
      <c r="N168" s="123">
        <f t="shared" si="36"/>
        <v>188.04005555170409</v>
      </c>
      <c r="O168" s="5"/>
      <c r="P168" s="5">
        <f t="shared" si="32"/>
        <v>1</v>
      </c>
      <c r="Q168" s="7">
        <f t="shared" si="33"/>
        <v>19600</v>
      </c>
      <c r="W168" s="124">
        <f t="shared" si="37"/>
        <v>7682309.4511866001</v>
      </c>
      <c r="X168">
        <f t="shared" si="38"/>
        <v>0</v>
      </c>
    </row>
    <row r="169" spans="1:24">
      <c r="A169" s="23" t="s">
        <v>196</v>
      </c>
      <c r="B169" s="35" t="s">
        <v>183</v>
      </c>
      <c r="C169" s="125">
        <v>3785</v>
      </c>
      <c r="D169" s="132">
        <v>292647593</v>
      </c>
      <c r="E169" s="116">
        <f t="shared" si="42"/>
        <v>77317.726023778072</v>
      </c>
      <c r="F169" s="134">
        <v>180454097</v>
      </c>
      <c r="G169" s="117">
        <f t="shared" si="43"/>
        <v>47676.115455746367</v>
      </c>
      <c r="H169" s="7"/>
      <c r="I169" s="136">
        <v>7.1089000000000002</v>
      </c>
      <c r="J169" s="134">
        <v>1282830.1301633001</v>
      </c>
      <c r="K169" s="120">
        <f t="shared" si="44"/>
        <v>338.92473716335536</v>
      </c>
      <c r="L169" s="122">
        <f t="shared" si="34"/>
        <v>1804540.97</v>
      </c>
      <c r="M169" s="116">
        <f t="shared" si="35"/>
        <v>521710.83983669989</v>
      </c>
      <c r="N169" s="123">
        <f t="shared" si="36"/>
        <v>137.83641739410828</v>
      </c>
      <c r="O169" s="5"/>
      <c r="P169" s="5">
        <f t="shared" si="32"/>
        <v>1</v>
      </c>
      <c r="Q169" s="7">
        <f t="shared" si="33"/>
        <v>3785</v>
      </c>
      <c r="S169" s="124">
        <f>SUM(D156:D169)</f>
        <v>21113920445</v>
      </c>
      <c r="T169" s="124">
        <f>SUM(F156:F169)</f>
        <v>14258203476</v>
      </c>
      <c r="U169" s="124">
        <f>SUM(J156:J169)</f>
        <v>71882357.162090793</v>
      </c>
      <c r="W169" s="124">
        <f t="shared" si="37"/>
        <v>1282830.1301633001</v>
      </c>
      <c r="X169">
        <f t="shared" si="38"/>
        <v>0</v>
      </c>
    </row>
    <row r="170" spans="1:24">
      <c r="A170" s="23" t="s">
        <v>448</v>
      </c>
      <c r="B170" s="35" t="s">
        <v>198</v>
      </c>
      <c r="C170" s="125">
        <v>54746</v>
      </c>
      <c r="D170" s="132">
        <v>15072883996</v>
      </c>
      <c r="E170" s="116">
        <f t="shared" si="42"/>
        <v>275323.9322690242</v>
      </c>
      <c r="F170" s="134">
        <v>12486354701</v>
      </c>
      <c r="G170" s="117">
        <f t="shared" si="43"/>
        <v>228077.93630584882</v>
      </c>
      <c r="H170" s="7"/>
      <c r="I170" s="136">
        <v>0.81730000000000003</v>
      </c>
      <c r="J170" s="134">
        <v>10205097.697127299</v>
      </c>
      <c r="K170" s="120">
        <f t="shared" si="44"/>
        <v>186.40809734277025</v>
      </c>
      <c r="L170" s="122">
        <f t="shared" si="34"/>
        <v>124863547.01000001</v>
      </c>
      <c r="M170" s="116">
        <f t="shared" si="35"/>
        <v>114658449.31287271</v>
      </c>
      <c r="N170" s="123">
        <f t="shared" si="36"/>
        <v>2094.371265715718</v>
      </c>
      <c r="O170" s="5"/>
      <c r="P170" s="5">
        <f t="shared" si="32"/>
        <v>1</v>
      </c>
      <c r="Q170" s="7">
        <f t="shared" si="33"/>
        <v>54746</v>
      </c>
      <c r="W170" s="124">
        <f t="shared" si="37"/>
        <v>10205097.697127301</v>
      </c>
      <c r="X170">
        <f t="shared" si="38"/>
        <v>0</v>
      </c>
    </row>
    <row r="171" spans="1:24">
      <c r="A171" s="23" t="s">
        <v>197</v>
      </c>
      <c r="B171" s="35" t="s">
        <v>198</v>
      </c>
      <c r="C171" s="125">
        <v>201554</v>
      </c>
      <c r="D171" s="132">
        <v>26899990692</v>
      </c>
      <c r="E171" s="116">
        <f t="shared" si="42"/>
        <v>133462.9463667305</v>
      </c>
      <c r="F171" s="134">
        <v>18342719101</v>
      </c>
      <c r="G171" s="117">
        <f t="shared" si="43"/>
        <v>91006.475192752318</v>
      </c>
      <c r="H171" s="7"/>
      <c r="I171" s="136">
        <v>6.25</v>
      </c>
      <c r="J171" s="134">
        <v>114641994.38124999</v>
      </c>
      <c r="K171" s="120">
        <f t="shared" si="44"/>
        <v>568.79046995470196</v>
      </c>
      <c r="L171" s="122">
        <f t="shared" si="34"/>
        <v>183427191.00999999</v>
      </c>
      <c r="M171" s="116">
        <f t="shared" si="35"/>
        <v>68785196.628749996</v>
      </c>
      <c r="N171" s="123">
        <f t="shared" si="36"/>
        <v>341.27428197282114</v>
      </c>
      <c r="O171" s="5"/>
      <c r="P171" s="5">
        <f t="shared" si="32"/>
        <v>1</v>
      </c>
      <c r="Q171" s="7">
        <f t="shared" si="33"/>
        <v>201554</v>
      </c>
      <c r="W171" s="124">
        <f t="shared" si="37"/>
        <v>114641994.38125001</v>
      </c>
      <c r="X171">
        <f t="shared" si="38"/>
        <v>0</v>
      </c>
    </row>
    <row r="172" spans="1:24">
      <c r="A172" s="24" t="s">
        <v>598</v>
      </c>
      <c r="B172" s="37" t="s">
        <v>198</v>
      </c>
      <c r="C172" s="125">
        <v>37213</v>
      </c>
      <c r="D172" s="147">
        <v>8857595881</v>
      </c>
      <c r="E172" s="116">
        <f t="shared" si="42"/>
        <v>238024.23564345794</v>
      </c>
      <c r="F172" s="134">
        <v>7190253638</v>
      </c>
      <c r="G172" s="117">
        <f t="shared" si="43"/>
        <v>193218.86539650123</v>
      </c>
      <c r="H172" s="98"/>
      <c r="I172" s="136">
        <v>0.77</v>
      </c>
      <c r="J172" s="134">
        <v>5536495.3012600001</v>
      </c>
      <c r="K172" s="120">
        <f t="shared" si="44"/>
        <v>148.77852635530596</v>
      </c>
      <c r="L172" s="122">
        <f t="shared" si="34"/>
        <v>71902536.379999995</v>
      </c>
      <c r="M172" s="116">
        <f t="shared" si="35"/>
        <v>66366041.078739993</v>
      </c>
      <c r="N172" s="123">
        <f t="shared" si="36"/>
        <v>1783.410127609706</v>
      </c>
      <c r="O172" s="5"/>
      <c r="P172" s="5">
        <f>IF(I172&gt;0,1,0)</f>
        <v>1</v>
      </c>
      <c r="Q172" s="7">
        <f>IF(I172&gt;0,C172,0)</f>
        <v>37213</v>
      </c>
      <c r="W172" s="124">
        <f t="shared" si="37"/>
        <v>5536495.3012600001</v>
      </c>
      <c r="X172">
        <f t="shared" si="38"/>
        <v>0</v>
      </c>
    </row>
    <row r="173" spans="1:24">
      <c r="A173" s="23" t="s">
        <v>199</v>
      </c>
      <c r="B173" s="35" t="s">
        <v>198</v>
      </c>
      <c r="C173" s="125">
        <v>91544</v>
      </c>
      <c r="D173" s="132">
        <v>12506710186</v>
      </c>
      <c r="E173" s="116">
        <f t="shared" si="42"/>
        <v>136619.66033819804</v>
      </c>
      <c r="F173" s="134">
        <v>8614651019</v>
      </c>
      <c r="G173" s="117">
        <f t="shared" si="43"/>
        <v>94103.939296950106</v>
      </c>
      <c r="H173" s="7"/>
      <c r="I173" s="136">
        <v>7.5875000000000004</v>
      </c>
      <c r="J173" s="134">
        <v>65363664.606662504</v>
      </c>
      <c r="K173" s="120">
        <f t="shared" si="44"/>
        <v>714.01363941560896</v>
      </c>
      <c r="L173" s="122">
        <f t="shared" si="34"/>
        <v>86146510.189999998</v>
      </c>
      <c r="M173" s="116">
        <f t="shared" si="35"/>
        <v>20782845.583337493</v>
      </c>
      <c r="N173" s="123">
        <f t="shared" si="36"/>
        <v>227.02575355389203</v>
      </c>
      <c r="O173" s="5"/>
      <c r="P173" s="5">
        <f t="shared" si="32"/>
        <v>1</v>
      </c>
      <c r="Q173" s="7">
        <f t="shared" si="33"/>
        <v>91544</v>
      </c>
      <c r="W173" s="124">
        <f t="shared" si="37"/>
        <v>65363664.606662504</v>
      </c>
      <c r="X173">
        <f t="shared" si="38"/>
        <v>0</v>
      </c>
    </row>
    <row r="174" spans="1:24">
      <c r="A174" s="23" t="s">
        <v>200</v>
      </c>
      <c r="B174" s="35" t="s">
        <v>198</v>
      </c>
      <c r="C174" s="125">
        <v>5584</v>
      </c>
      <c r="D174" s="132">
        <v>4600127486</v>
      </c>
      <c r="E174" s="116">
        <f t="shared" si="42"/>
        <v>823805.06554441259</v>
      </c>
      <c r="F174" s="134">
        <v>3886776743</v>
      </c>
      <c r="G174" s="117">
        <f t="shared" si="43"/>
        <v>696056.00698424072</v>
      </c>
      <c r="H174" s="7"/>
      <c r="I174" s="136">
        <v>0.95</v>
      </c>
      <c r="J174" s="134">
        <v>3692437.9058499997</v>
      </c>
      <c r="K174" s="120">
        <f t="shared" si="44"/>
        <v>661.25320663502862</v>
      </c>
      <c r="L174" s="122">
        <f t="shared" si="34"/>
        <v>38867767.43</v>
      </c>
      <c r="M174" s="116">
        <f t="shared" si="35"/>
        <v>35175329.524149999</v>
      </c>
      <c r="N174" s="123">
        <f t="shared" si="36"/>
        <v>6299.3068632073782</v>
      </c>
      <c r="O174" s="5"/>
      <c r="P174" s="5">
        <f t="shared" si="32"/>
        <v>1</v>
      </c>
      <c r="Q174" s="7">
        <f t="shared" si="33"/>
        <v>5584</v>
      </c>
      <c r="W174" s="124">
        <f t="shared" si="37"/>
        <v>3692437.9058500002</v>
      </c>
      <c r="X174">
        <f t="shared" si="38"/>
        <v>0</v>
      </c>
    </row>
    <row r="175" spans="1:24">
      <c r="A175" s="23" t="s">
        <v>201</v>
      </c>
      <c r="B175" s="35" t="s">
        <v>198</v>
      </c>
      <c r="C175" s="125">
        <v>6443</v>
      </c>
      <c r="D175" s="132">
        <v>6470519256</v>
      </c>
      <c r="E175" s="116">
        <f t="shared" si="42"/>
        <v>1004271.1867142635</v>
      </c>
      <c r="F175" s="134">
        <v>5613452497</v>
      </c>
      <c r="G175" s="117">
        <f t="shared" si="43"/>
        <v>871248.25345336029</v>
      </c>
      <c r="H175" s="98"/>
      <c r="I175" s="136">
        <v>1.8922000000000001</v>
      </c>
      <c r="J175" s="134">
        <v>10621774.8148234</v>
      </c>
      <c r="K175" s="120">
        <f t="shared" si="44"/>
        <v>1648.5759451844483</v>
      </c>
      <c r="L175" s="122">
        <f t="shared" si="34"/>
        <v>56134524.969999999</v>
      </c>
      <c r="M175" s="116">
        <f t="shared" si="35"/>
        <v>45512750.155176595</v>
      </c>
      <c r="N175" s="123">
        <f t="shared" si="36"/>
        <v>7063.9065893491534</v>
      </c>
      <c r="O175" s="5"/>
      <c r="P175" s="5">
        <f t="shared" si="32"/>
        <v>1</v>
      </c>
      <c r="Q175" s="7">
        <f t="shared" si="33"/>
        <v>6443</v>
      </c>
      <c r="S175" s="184">
        <f>SUM(D170:D175)</f>
        <v>74407827497</v>
      </c>
      <c r="T175" s="184">
        <f>SUM(F170:F175)</f>
        <v>56134207699</v>
      </c>
      <c r="U175" s="184">
        <f>SUM(J170:J175)</f>
        <v>210061464.70697317</v>
      </c>
      <c r="W175" s="124">
        <f t="shared" si="37"/>
        <v>10621774.8148234</v>
      </c>
      <c r="X175">
        <f t="shared" si="38"/>
        <v>0</v>
      </c>
    </row>
    <row r="176" spans="1:24">
      <c r="A176" s="23" t="s">
        <v>202</v>
      </c>
      <c r="B176" s="35" t="s">
        <v>203</v>
      </c>
      <c r="C176" s="125">
        <v>198371</v>
      </c>
      <c r="D176" s="132">
        <v>22684808608</v>
      </c>
      <c r="E176" s="116">
        <f t="shared" si="42"/>
        <v>114355.46832954414</v>
      </c>
      <c r="F176" s="134">
        <v>13229377574</v>
      </c>
      <c r="G176" s="117">
        <f t="shared" si="43"/>
        <v>66690.078559870148</v>
      </c>
      <c r="H176" s="7"/>
      <c r="I176" s="136">
        <v>4.0999999999999996</v>
      </c>
      <c r="J176" s="185">
        <v>54240448.053399995</v>
      </c>
      <c r="K176" s="120">
        <f t="shared" si="44"/>
        <v>273.42932209546757</v>
      </c>
      <c r="L176" s="122">
        <f t="shared" si="34"/>
        <v>132293775.74000001</v>
      </c>
      <c r="M176" s="116">
        <f t="shared" si="35"/>
        <v>78053327.686600015</v>
      </c>
      <c r="N176" s="123">
        <f t="shared" si="36"/>
        <v>393.47146350323391</v>
      </c>
      <c r="O176" s="5"/>
      <c r="P176" s="5">
        <f t="shared" si="32"/>
        <v>1</v>
      </c>
      <c r="Q176" s="7">
        <f t="shared" si="33"/>
        <v>198371</v>
      </c>
      <c r="S176" s="124">
        <f>SUM(D176)</f>
        <v>22684808608</v>
      </c>
      <c r="T176" s="124">
        <f>SUM(F176)</f>
        <v>13229377574</v>
      </c>
      <c r="U176" s="124">
        <f>SUM(J176)</f>
        <v>54240448.053399995</v>
      </c>
      <c r="W176" s="124">
        <f t="shared" si="37"/>
        <v>54240448.053399995</v>
      </c>
      <c r="X176">
        <f t="shared" si="38"/>
        <v>0</v>
      </c>
    </row>
    <row r="177" spans="1:24">
      <c r="A177" s="23" t="s">
        <v>204</v>
      </c>
      <c r="B177" s="35" t="s">
        <v>205</v>
      </c>
      <c r="C177" s="125">
        <v>1147</v>
      </c>
      <c r="D177" s="132">
        <v>95498281</v>
      </c>
      <c r="E177" s="116">
        <f t="shared" si="42"/>
        <v>83259.181342632961</v>
      </c>
      <c r="F177" s="134">
        <v>46401249</v>
      </c>
      <c r="G177" s="117">
        <f t="shared" si="43"/>
        <v>40454.445510026155</v>
      </c>
      <c r="H177" s="7"/>
      <c r="I177" s="136">
        <v>5.5815000000000001</v>
      </c>
      <c r="J177" s="134">
        <v>258988.57129350002</v>
      </c>
      <c r="K177" s="120">
        <f t="shared" si="44"/>
        <v>225.796487614211</v>
      </c>
      <c r="L177" s="122">
        <f t="shared" si="34"/>
        <v>464012.49</v>
      </c>
      <c r="M177" s="116">
        <f t="shared" si="35"/>
        <v>205023.91870649997</v>
      </c>
      <c r="N177" s="123">
        <f t="shared" si="36"/>
        <v>178.74796748605056</v>
      </c>
      <c r="O177" s="5"/>
      <c r="P177" s="5">
        <f t="shared" si="32"/>
        <v>1</v>
      </c>
      <c r="Q177" s="7">
        <f t="shared" si="33"/>
        <v>1147</v>
      </c>
      <c r="W177" s="124">
        <f t="shared" si="37"/>
        <v>258988.57129350002</v>
      </c>
      <c r="X177">
        <f t="shared" si="38"/>
        <v>0</v>
      </c>
    </row>
    <row r="178" spans="1:24">
      <c r="A178" s="23" t="s">
        <v>206</v>
      </c>
      <c r="B178" s="35" t="s">
        <v>205</v>
      </c>
      <c r="C178" s="125">
        <v>685</v>
      </c>
      <c r="D178" s="132">
        <v>229796157</v>
      </c>
      <c r="E178" s="116">
        <f t="shared" si="42"/>
        <v>335468.84233576641</v>
      </c>
      <c r="F178" s="134">
        <v>167978079</v>
      </c>
      <c r="G178" s="117">
        <f t="shared" si="43"/>
        <v>245223.47299270073</v>
      </c>
      <c r="H178" s="7"/>
      <c r="I178" s="136">
        <v>4.7439999999999998</v>
      </c>
      <c r="J178" s="134">
        <v>796888.00677599991</v>
      </c>
      <c r="K178" s="120">
        <f t="shared" si="44"/>
        <v>1163.3401558773721</v>
      </c>
      <c r="L178" s="122">
        <f t="shared" si="34"/>
        <v>1679780.79</v>
      </c>
      <c r="M178" s="116">
        <f t="shared" si="35"/>
        <v>882892.78322400013</v>
      </c>
      <c r="N178" s="123">
        <f t="shared" si="36"/>
        <v>1288.8945740496351</v>
      </c>
      <c r="O178" s="5"/>
      <c r="P178" s="5">
        <f t="shared" si="32"/>
        <v>1</v>
      </c>
      <c r="Q178" s="7">
        <f t="shared" si="33"/>
        <v>685</v>
      </c>
      <c r="W178" s="124">
        <f t="shared" si="37"/>
        <v>796888.00677600002</v>
      </c>
      <c r="X178">
        <f t="shared" si="38"/>
        <v>0</v>
      </c>
    </row>
    <row r="179" spans="1:24">
      <c r="A179" s="23" t="s">
        <v>207</v>
      </c>
      <c r="B179" s="35" t="s">
        <v>205</v>
      </c>
      <c r="C179" s="125">
        <v>2328</v>
      </c>
      <c r="D179" s="132">
        <v>209765347</v>
      </c>
      <c r="E179" s="116">
        <f t="shared" si="42"/>
        <v>90105.389604811004</v>
      </c>
      <c r="F179" s="134">
        <v>148889237</v>
      </c>
      <c r="G179" s="117">
        <f t="shared" si="43"/>
        <v>63955.857817869415</v>
      </c>
      <c r="H179" s="7"/>
      <c r="I179" s="136">
        <v>7.9074999999999998</v>
      </c>
      <c r="J179" s="134">
        <v>1177341.6415774999</v>
      </c>
      <c r="K179" s="120">
        <f t="shared" si="44"/>
        <v>505.73094569480236</v>
      </c>
      <c r="L179" s="122">
        <f t="shared" si="34"/>
        <v>1488892.37</v>
      </c>
      <c r="M179" s="116">
        <f t="shared" si="35"/>
        <v>311550.72842250019</v>
      </c>
      <c r="N179" s="123">
        <f t="shared" si="36"/>
        <v>133.82763248389185</v>
      </c>
      <c r="O179" s="5"/>
      <c r="P179" s="5">
        <f t="shared" si="32"/>
        <v>1</v>
      </c>
      <c r="Q179" s="7">
        <f t="shared" si="33"/>
        <v>2328</v>
      </c>
      <c r="W179" s="124">
        <f t="shared" si="37"/>
        <v>1177341.6415774999</v>
      </c>
      <c r="X179">
        <f t="shared" si="38"/>
        <v>0</v>
      </c>
    </row>
    <row r="180" spans="1:24">
      <c r="A180" s="23" t="s">
        <v>208</v>
      </c>
      <c r="B180" s="35" t="s">
        <v>205</v>
      </c>
      <c r="C180" s="125">
        <v>1483</v>
      </c>
      <c r="D180" s="132">
        <v>113552184</v>
      </c>
      <c r="E180" s="116">
        <f t="shared" si="42"/>
        <v>76569.240728253542</v>
      </c>
      <c r="F180" s="134">
        <v>73491910</v>
      </c>
      <c r="G180" s="117">
        <f t="shared" si="43"/>
        <v>49556.24409979771</v>
      </c>
      <c r="H180" s="7"/>
      <c r="I180" s="136">
        <v>5</v>
      </c>
      <c r="J180" s="134">
        <v>367459.55</v>
      </c>
      <c r="K180" s="120">
        <f t="shared" si="44"/>
        <v>247.78122049898852</v>
      </c>
      <c r="L180" s="122">
        <f t="shared" si="34"/>
        <v>734919.1</v>
      </c>
      <c r="M180" s="116">
        <f t="shared" si="35"/>
        <v>367459.55</v>
      </c>
      <c r="N180" s="123">
        <f t="shared" si="36"/>
        <v>247.78122049898852</v>
      </c>
      <c r="O180" s="5"/>
      <c r="P180" s="5">
        <f t="shared" si="32"/>
        <v>1</v>
      </c>
      <c r="Q180" s="7">
        <f t="shared" si="33"/>
        <v>1483</v>
      </c>
      <c r="W180" s="124">
        <f t="shared" si="37"/>
        <v>367459.55</v>
      </c>
      <c r="X180">
        <f t="shared" si="38"/>
        <v>0</v>
      </c>
    </row>
    <row r="181" spans="1:24">
      <c r="A181" s="23" t="s">
        <v>209</v>
      </c>
      <c r="B181" s="35" t="s">
        <v>205</v>
      </c>
      <c r="C181" s="125">
        <v>110</v>
      </c>
      <c r="D181" s="132">
        <v>11860361</v>
      </c>
      <c r="E181" s="116">
        <f t="shared" ref="E181:E197" si="45">(D181/C181)</f>
        <v>107821.46363636364</v>
      </c>
      <c r="F181" s="134">
        <v>7818102</v>
      </c>
      <c r="G181" s="117">
        <f t="shared" ref="G181:G197" si="46">(F181/C181)</f>
        <v>71073.654545454541</v>
      </c>
      <c r="H181" s="7"/>
      <c r="I181" s="136">
        <v>7.1028000000000002</v>
      </c>
      <c r="J181" s="134">
        <v>55530.414885600003</v>
      </c>
      <c r="K181" s="120">
        <f t="shared" ref="K181:K197" si="47">(J181/C181)</f>
        <v>504.82195350545459</v>
      </c>
      <c r="L181" s="122">
        <f t="shared" si="34"/>
        <v>78181.02</v>
      </c>
      <c r="M181" s="116">
        <f t="shared" si="35"/>
        <v>22650.605114400001</v>
      </c>
      <c r="N181" s="123">
        <f t="shared" si="36"/>
        <v>205.91459194909092</v>
      </c>
      <c r="O181" s="5"/>
      <c r="P181" s="5">
        <f t="shared" si="32"/>
        <v>1</v>
      </c>
      <c r="Q181" s="7">
        <f t="shared" si="33"/>
        <v>110</v>
      </c>
      <c r="W181" s="124">
        <f t="shared" si="37"/>
        <v>55530.414885600003</v>
      </c>
      <c r="X181">
        <f t="shared" si="38"/>
        <v>0</v>
      </c>
    </row>
    <row r="182" spans="1:24">
      <c r="A182" s="23" t="s">
        <v>210</v>
      </c>
      <c r="B182" s="35" t="s">
        <v>205</v>
      </c>
      <c r="C182" s="125">
        <v>3041</v>
      </c>
      <c r="D182" s="132">
        <v>216884087</v>
      </c>
      <c r="E182" s="116">
        <f t="shared" si="45"/>
        <v>71319.989148306471</v>
      </c>
      <c r="F182" s="134">
        <v>118328549</v>
      </c>
      <c r="G182" s="117">
        <f t="shared" si="46"/>
        <v>38911.065110161129</v>
      </c>
      <c r="H182" s="7"/>
      <c r="I182" s="136">
        <v>6.75</v>
      </c>
      <c r="J182" s="134">
        <v>798717.70574999996</v>
      </c>
      <c r="K182" s="120">
        <f t="shared" si="47"/>
        <v>262.64968949358763</v>
      </c>
      <c r="L182" s="122">
        <f t="shared" si="34"/>
        <v>1183285.49</v>
      </c>
      <c r="M182" s="116">
        <f t="shared" si="35"/>
        <v>384567.78425000003</v>
      </c>
      <c r="N182" s="123">
        <f t="shared" si="36"/>
        <v>126.46096160802368</v>
      </c>
      <c r="O182" s="5"/>
      <c r="P182" s="5">
        <f t="shared" si="32"/>
        <v>1</v>
      </c>
      <c r="Q182" s="7">
        <f t="shared" si="33"/>
        <v>3041</v>
      </c>
      <c r="W182" s="124">
        <f t="shared" si="37"/>
        <v>798717.70574999996</v>
      </c>
      <c r="X182">
        <f t="shared" si="38"/>
        <v>0</v>
      </c>
    </row>
    <row r="183" spans="1:24">
      <c r="A183" s="23" t="s">
        <v>211</v>
      </c>
      <c r="B183" s="35" t="s">
        <v>205</v>
      </c>
      <c r="C183" s="125">
        <v>587</v>
      </c>
      <c r="D183" s="132">
        <v>102944331</v>
      </c>
      <c r="E183" s="116">
        <f t="shared" si="45"/>
        <v>175373.64735945486</v>
      </c>
      <c r="F183" s="134">
        <v>67214603</v>
      </c>
      <c r="G183" s="117">
        <f t="shared" si="46"/>
        <v>114505.28620102214</v>
      </c>
      <c r="H183" s="7"/>
      <c r="I183" s="136">
        <v>2.8119000000000001</v>
      </c>
      <c r="J183" s="134">
        <v>189000.7421757</v>
      </c>
      <c r="K183" s="120">
        <f t="shared" si="47"/>
        <v>321.97741426865417</v>
      </c>
      <c r="L183" s="122">
        <f t="shared" si="34"/>
        <v>672146.03</v>
      </c>
      <c r="M183" s="116">
        <f t="shared" si="35"/>
        <v>483145.2878243</v>
      </c>
      <c r="N183" s="123">
        <f t="shared" si="36"/>
        <v>823.07544774156725</v>
      </c>
      <c r="O183" s="5"/>
      <c r="P183" s="5">
        <f t="shared" si="32"/>
        <v>1</v>
      </c>
      <c r="Q183" s="7">
        <f t="shared" si="33"/>
        <v>587</v>
      </c>
      <c r="S183" s="124">
        <f>SUM(D177:D183)</f>
        <v>980300748</v>
      </c>
      <c r="T183" s="124">
        <f>SUM(F177:F183)</f>
        <v>630121729</v>
      </c>
      <c r="U183" s="124">
        <f>SUM(J177:J183)</f>
        <v>3643926.6324582994</v>
      </c>
      <c r="W183" s="124">
        <f t="shared" si="37"/>
        <v>189000.7421757</v>
      </c>
      <c r="X183">
        <f t="shared" si="38"/>
        <v>0</v>
      </c>
    </row>
    <row r="184" spans="1:24">
      <c r="A184" s="23" t="s">
        <v>212</v>
      </c>
      <c r="B184" s="35" t="s">
        <v>213</v>
      </c>
      <c r="C184" s="125">
        <v>954</v>
      </c>
      <c r="D184" s="132">
        <v>64165971</v>
      </c>
      <c r="E184" s="116">
        <f t="shared" si="45"/>
        <v>67259.927672955979</v>
      </c>
      <c r="F184" s="134">
        <v>26747515</v>
      </c>
      <c r="G184" s="117">
        <f t="shared" si="46"/>
        <v>28037.227463312371</v>
      </c>
      <c r="H184" s="7"/>
      <c r="I184" s="136">
        <v>6.3878000000000004</v>
      </c>
      <c r="J184" s="134">
        <v>170857.77631700001</v>
      </c>
      <c r="K184" s="120">
        <f t="shared" si="47"/>
        <v>179.09620159014676</v>
      </c>
      <c r="L184" s="122">
        <f t="shared" si="34"/>
        <v>267475.15000000002</v>
      </c>
      <c r="M184" s="116">
        <f t="shared" si="35"/>
        <v>96617.373683000013</v>
      </c>
      <c r="N184" s="123">
        <f t="shared" si="36"/>
        <v>101.27607304297695</v>
      </c>
      <c r="O184" s="5"/>
      <c r="P184" s="5">
        <f t="shared" si="32"/>
        <v>1</v>
      </c>
      <c r="Q184" s="7">
        <f t="shared" si="33"/>
        <v>954</v>
      </c>
      <c r="S184" s="124">
        <f>SUM(D184)</f>
        <v>64165971</v>
      </c>
      <c r="T184" s="124">
        <f>SUM(F184)</f>
        <v>26747515</v>
      </c>
      <c r="U184" s="124">
        <f>SUM(J184)</f>
        <v>170857.77631700001</v>
      </c>
      <c r="W184" s="124">
        <f t="shared" si="37"/>
        <v>170857.77631700001</v>
      </c>
      <c r="X184">
        <f t="shared" si="38"/>
        <v>0</v>
      </c>
    </row>
    <row r="185" spans="1:24">
      <c r="A185" s="23" t="s">
        <v>214</v>
      </c>
      <c r="B185" s="35" t="s">
        <v>215</v>
      </c>
      <c r="C185" s="125">
        <v>756</v>
      </c>
      <c r="D185" s="132">
        <v>21635274</v>
      </c>
      <c r="E185" s="116">
        <f t="shared" si="45"/>
        <v>28618.0873015873</v>
      </c>
      <c r="F185" s="134">
        <v>11620076</v>
      </c>
      <c r="G185" s="117">
        <f t="shared" si="46"/>
        <v>15370.4708994709</v>
      </c>
      <c r="H185" s="7"/>
      <c r="I185" s="136">
        <v>10</v>
      </c>
      <c r="J185" s="134">
        <v>116200.76</v>
      </c>
      <c r="K185" s="120">
        <f t="shared" si="47"/>
        <v>153.70470899470899</v>
      </c>
      <c r="L185" s="122">
        <f t="shared" si="34"/>
        <v>116200.76000000001</v>
      </c>
      <c r="M185" s="116">
        <f t="shared" si="35"/>
        <v>1.4551915228366852E-11</v>
      </c>
      <c r="N185" s="123">
        <f t="shared" si="36"/>
        <v>1.9248565116887369E-14</v>
      </c>
      <c r="O185" s="5"/>
      <c r="P185" s="5">
        <f t="shared" si="32"/>
        <v>1</v>
      </c>
      <c r="Q185" s="7">
        <f t="shared" si="33"/>
        <v>756</v>
      </c>
      <c r="W185" s="124">
        <f t="shared" si="37"/>
        <v>116200.76000000001</v>
      </c>
      <c r="X185">
        <f t="shared" si="38"/>
        <v>0</v>
      </c>
    </row>
    <row r="186" spans="1:24">
      <c r="A186" s="23" t="s">
        <v>198</v>
      </c>
      <c r="B186" s="35" t="s">
        <v>215</v>
      </c>
      <c r="C186" s="125">
        <v>385</v>
      </c>
      <c r="D186" s="132">
        <v>22494086</v>
      </c>
      <c r="E186" s="116">
        <f t="shared" si="45"/>
        <v>58426.197402597405</v>
      </c>
      <c r="F186" s="134">
        <v>10782847</v>
      </c>
      <c r="G186" s="117">
        <f t="shared" si="46"/>
        <v>28007.394805194806</v>
      </c>
      <c r="H186" s="7"/>
      <c r="I186" s="136">
        <v>7</v>
      </c>
      <c r="J186" s="134">
        <v>75479.929000000004</v>
      </c>
      <c r="K186" s="120">
        <f t="shared" si="47"/>
        <v>196.05176363636366</v>
      </c>
      <c r="L186" s="122">
        <f t="shared" si="34"/>
        <v>107828.47</v>
      </c>
      <c r="M186" s="116">
        <f t="shared" si="35"/>
        <v>32348.540999999997</v>
      </c>
      <c r="N186" s="123">
        <f t="shared" si="36"/>
        <v>84.022184415584405</v>
      </c>
      <c r="O186" s="5"/>
      <c r="P186" s="5">
        <f t="shared" si="32"/>
        <v>1</v>
      </c>
      <c r="Q186" s="7">
        <f t="shared" si="33"/>
        <v>385</v>
      </c>
      <c r="W186" s="124">
        <f t="shared" si="37"/>
        <v>75479.929000000004</v>
      </c>
      <c r="X186">
        <f t="shared" si="38"/>
        <v>0</v>
      </c>
    </row>
    <row r="187" spans="1:24">
      <c r="A187" s="23" t="s">
        <v>215</v>
      </c>
      <c r="B187" s="35" t="s">
        <v>215</v>
      </c>
      <c r="C187" s="125">
        <v>2977</v>
      </c>
      <c r="D187" s="132">
        <v>163944100</v>
      </c>
      <c r="E187" s="116">
        <f t="shared" si="45"/>
        <v>55070.238495129328</v>
      </c>
      <c r="F187" s="134">
        <v>97600317</v>
      </c>
      <c r="G187" s="117">
        <f t="shared" si="46"/>
        <v>32784.789049378567</v>
      </c>
      <c r="H187" s="7"/>
      <c r="I187" s="136">
        <v>7</v>
      </c>
      <c r="J187" s="134">
        <v>683202.21900000004</v>
      </c>
      <c r="K187" s="120">
        <f t="shared" si="47"/>
        <v>229.49352334565</v>
      </c>
      <c r="L187" s="122">
        <f t="shared" si="34"/>
        <v>976003.17</v>
      </c>
      <c r="M187" s="116">
        <f t="shared" si="35"/>
        <v>292800.951</v>
      </c>
      <c r="N187" s="123">
        <f t="shared" si="36"/>
        <v>98.354367148135708</v>
      </c>
      <c r="O187" s="5"/>
      <c r="P187" s="5">
        <f t="shared" si="32"/>
        <v>1</v>
      </c>
      <c r="Q187" s="7">
        <f t="shared" si="33"/>
        <v>2977</v>
      </c>
      <c r="S187" s="124">
        <f>SUM(D185:D187)</f>
        <v>208073460</v>
      </c>
      <c r="T187" s="124">
        <f>SUM(F185:F187)</f>
        <v>120003240</v>
      </c>
      <c r="U187" s="124">
        <f>SUM(J185:J187)</f>
        <v>874882.90800000005</v>
      </c>
      <c r="W187" s="124">
        <f t="shared" si="37"/>
        <v>683202.21900000004</v>
      </c>
      <c r="X187">
        <f t="shared" si="38"/>
        <v>0</v>
      </c>
    </row>
    <row r="188" spans="1:24">
      <c r="A188" s="23" t="s">
        <v>216</v>
      </c>
      <c r="B188" s="35" t="s">
        <v>217</v>
      </c>
      <c r="C188" s="125">
        <v>976</v>
      </c>
      <c r="D188" s="132">
        <v>1742578952</v>
      </c>
      <c r="E188" s="116">
        <f t="shared" si="45"/>
        <v>1785429.2540983607</v>
      </c>
      <c r="F188" s="134">
        <v>1445871855</v>
      </c>
      <c r="G188" s="117">
        <f t="shared" si="46"/>
        <v>1481426.0809426229</v>
      </c>
      <c r="H188" s="7"/>
      <c r="I188" s="136">
        <v>2.0499999999999998</v>
      </c>
      <c r="J188" s="134">
        <v>2964037.3027499993</v>
      </c>
      <c r="K188" s="120">
        <f t="shared" si="47"/>
        <v>3036.9234659323765</v>
      </c>
      <c r="L188" s="122">
        <f t="shared" si="34"/>
        <v>14458718.550000001</v>
      </c>
      <c r="M188" s="116">
        <f t="shared" si="35"/>
        <v>11494681.247250002</v>
      </c>
      <c r="N188" s="123">
        <f t="shared" si="36"/>
        <v>11777.337343493855</v>
      </c>
      <c r="O188" s="5"/>
      <c r="P188" s="5">
        <f t="shared" si="32"/>
        <v>1</v>
      </c>
      <c r="Q188" s="7">
        <f t="shared" si="33"/>
        <v>976</v>
      </c>
      <c r="W188" s="124">
        <f t="shared" si="37"/>
        <v>2964037.3027499998</v>
      </c>
      <c r="X188">
        <f t="shared" si="38"/>
        <v>0</v>
      </c>
    </row>
    <row r="189" spans="1:24">
      <c r="A189" s="23" t="s">
        <v>218</v>
      </c>
      <c r="B189" s="35" t="s">
        <v>217</v>
      </c>
      <c r="C189" s="125">
        <v>56442</v>
      </c>
      <c r="D189" s="132">
        <v>6247761079</v>
      </c>
      <c r="E189" s="116">
        <f t="shared" si="45"/>
        <v>110693.47434534566</v>
      </c>
      <c r="F189" s="134">
        <v>4512596459</v>
      </c>
      <c r="G189" s="117">
        <f t="shared" si="46"/>
        <v>79951.037507529851</v>
      </c>
      <c r="H189" s="7"/>
      <c r="I189" s="136">
        <v>5.8975999999999997</v>
      </c>
      <c r="J189" s="134">
        <v>26613488.876598399</v>
      </c>
      <c r="K189" s="120">
        <f t="shared" si="47"/>
        <v>471.51923880440808</v>
      </c>
      <c r="L189" s="122">
        <f t="shared" si="34"/>
        <v>45125964.590000004</v>
      </c>
      <c r="M189" s="116">
        <f t="shared" si="35"/>
        <v>18512475.713401604</v>
      </c>
      <c r="N189" s="123">
        <f t="shared" si="36"/>
        <v>327.99113627089054</v>
      </c>
      <c r="O189" s="5"/>
      <c r="P189" s="5">
        <f t="shared" si="32"/>
        <v>1</v>
      </c>
      <c r="Q189" s="7">
        <f t="shared" si="33"/>
        <v>56442</v>
      </c>
      <c r="W189" s="124">
        <f t="shared" si="37"/>
        <v>26613488.876598395</v>
      </c>
      <c r="X189">
        <f t="shared" si="38"/>
        <v>0</v>
      </c>
    </row>
    <row r="190" spans="1:24">
      <c r="A190" s="23" t="s">
        <v>219</v>
      </c>
      <c r="B190" s="35" t="s">
        <v>217</v>
      </c>
      <c r="C190" s="125">
        <v>900</v>
      </c>
      <c r="D190" s="132">
        <v>879213862</v>
      </c>
      <c r="E190" s="116">
        <f t="shared" si="45"/>
        <v>976904.29111111106</v>
      </c>
      <c r="F190" s="134">
        <v>734954727</v>
      </c>
      <c r="G190" s="117">
        <f t="shared" si="46"/>
        <v>816616.36333333328</v>
      </c>
      <c r="H190" s="7"/>
      <c r="I190" s="136">
        <v>2.3329</v>
      </c>
      <c r="J190" s="134">
        <v>1714575.8826182999</v>
      </c>
      <c r="K190" s="120">
        <f t="shared" si="47"/>
        <v>1905.0843140203333</v>
      </c>
      <c r="L190" s="122">
        <f t="shared" si="34"/>
        <v>7349547.2700000005</v>
      </c>
      <c r="M190" s="116">
        <f t="shared" si="35"/>
        <v>5634971.3873817008</v>
      </c>
      <c r="N190" s="123">
        <f t="shared" si="36"/>
        <v>6261.0793193130012</v>
      </c>
      <c r="O190" s="5"/>
      <c r="P190" s="5">
        <f t="shared" si="32"/>
        <v>1</v>
      </c>
      <c r="Q190" s="7">
        <f t="shared" si="33"/>
        <v>900</v>
      </c>
      <c r="W190" s="124">
        <f t="shared" si="37"/>
        <v>1714575.8826183002</v>
      </c>
      <c r="X190">
        <f t="shared" si="38"/>
        <v>0</v>
      </c>
    </row>
    <row r="191" spans="1:24">
      <c r="A191" s="23" t="s">
        <v>220</v>
      </c>
      <c r="B191" s="35" t="s">
        <v>217</v>
      </c>
      <c r="C191" s="125">
        <v>3017</v>
      </c>
      <c r="D191" s="132">
        <v>2742407665</v>
      </c>
      <c r="E191" s="116">
        <f t="shared" si="45"/>
        <v>908984.97348359297</v>
      </c>
      <c r="F191" s="134">
        <v>2354027565</v>
      </c>
      <c r="G191" s="117">
        <f t="shared" si="46"/>
        <v>780254.4133244945</v>
      </c>
      <c r="H191" s="7"/>
      <c r="I191" s="136">
        <v>2.25</v>
      </c>
      <c r="J191" s="134">
        <v>5296562.0212500002</v>
      </c>
      <c r="K191" s="120">
        <f t="shared" si="47"/>
        <v>1755.5724299801127</v>
      </c>
      <c r="L191" s="122">
        <f t="shared" si="34"/>
        <v>23540275.650000002</v>
      </c>
      <c r="M191" s="116">
        <f t="shared" si="35"/>
        <v>18243713.628750004</v>
      </c>
      <c r="N191" s="123">
        <f t="shared" si="36"/>
        <v>6046.9717032648341</v>
      </c>
      <c r="O191" s="5"/>
      <c r="P191" s="5">
        <f t="shared" si="32"/>
        <v>1</v>
      </c>
      <c r="Q191" s="7">
        <f t="shared" si="33"/>
        <v>3017</v>
      </c>
      <c r="W191" s="124">
        <f t="shared" si="37"/>
        <v>5296562.0212499993</v>
      </c>
      <c r="X191">
        <f t="shared" si="38"/>
        <v>0</v>
      </c>
    </row>
    <row r="192" spans="1:24">
      <c r="A192" s="23" t="s">
        <v>221</v>
      </c>
      <c r="B192" s="35" t="s">
        <v>217</v>
      </c>
      <c r="C192" s="125">
        <v>13348</v>
      </c>
      <c r="D192" s="132">
        <v>1548129714</v>
      </c>
      <c r="E192" s="116">
        <f t="shared" si="45"/>
        <v>115982.14818699431</v>
      </c>
      <c r="F192" s="134">
        <v>1040520204</v>
      </c>
      <c r="G192" s="117">
        <f t="shared" si="46"/>
        <v>77953.266706622715</v>
      </c>
      <c r="H192" s="7"/>
      <c r="I192" s="136">
        <v>5.9671000000000003</v>
      </c>
      <c r="J192" s="134">
        <v>6208888.109288401</v>
      </c>
      <c r="K192" s="120">
        <f t="shared" si="47"/>
        <v>465.15493776508845</v>
      </c>
      <c r="L192" s="122">
        <f t="shared" si="34"/>
        <v>10405202.040000001</v>
      </c>
      <c r="M192" s="116">
        <f t="shared" si="35"/>
        <v>4196313.9307116</v>
      </c>
      <c r="N192" s="123">
        <f t="shared" si="36"/>
        <v>314.37772930113874</v>
      </c>
      <c r="O192" s="5"/>
      <c r="P192" s="5">
        <f t="shared" si="32"/>
        <v>1</v>
      </c>
      <c r="Q192" s="7">
        <f t="shared" si="33"/>
        <v>13348</v>
      </c>
      <c r="W192" s="124">
        <f t="shared" si="37"/>
        <v>6208888.1092884</v>
      </c>
      <c r="X192">
        <f t="shared" si="38"/>
        <v>0</v>
      </c>
    </row>
    <row r="193" spans="1:24">
      <c r="A193" s="23" t="s">
        <v>478</v>
      </c>
      <c r="B193" s="35" t="s">
        <v>222</v>
      </c>
      <c r="C193" s="125">
        <v>7519</v>
      </c>
      <c r="D193" s="132">
        <f>(2333955606+5004467924)</f>
        <v>7338423530</v>
      </c>
      <c r="E193" s="116">
        <f t="shared" si="45"/>
        <v>975983.97792259604</v>
      </c>
      <c r="F193" s="134">
        <f>(2018623218+4451367657)</f>
        <v>6469990875</v>
      </c>
      <c r="G193" s="117">
        <f t="shared" si="46"/>
        <v>860485.55326506181</v>
      </c>
      <c r="H193" s="7"/>
      <c r="I193" s="136">
        <v>2.1143999999999998</v>
      </c>
      <c r="J193" s="134">
        <f>(4268176.9321392+9411972)</f>
        <v>13680148.932139199</v>
      </c>
      <c r="K193" s="120">
        <f t="shared" si="47"/>
        <v>1819.4106838860487</v>
      </c>
      <c r="L193" s="122">
        <f t="shared" si="34"/>
        <v>64699908.75</v>
      </c>
      <c r="M193" s="116">
        <f t="shared" si="35"/>
        <v>51019759.817860797</v>
      </c>
      <c r="N193" s="123">
        <f t="shared" si="36"/>
        <v>6785.4448487645695</v>
      </c>
      <c r="O193" s="5"/>
      <c r="P193" s="5">
        <f t="shared" si="32"/>
        <v>1</v>
      </c>
      <c r="Q193" s="7">
        <f t="shared" si="33"/>
        <v>7519</v>
      </c>
      <c r="S193" s="124">
        <f>SUM(D188:D193)</f>
        <v>20498514802</v>
      </c>
      <c r="T193" s="124">
        <f>SUM(F188:F193)</f>
        <v>16557961685</v>
      </c>
      <c r="U193" s="124">
        <f>SUM(J188:J193)</f>
        <v>56477701.124644294</v>
      </c>
      <c r="W193" s="124">
        <f t="shared" si="37"/>
        <v>13680148.706099998</v>
      </c>
      <c r="X193">
        <f t="shared" si="38"/>
        <v>1</v>
      </c>
    </row>
    <row r="194" spans="1:24">
      <c r="A194" s="23" t="s">
        <v>223</v>
      </c>
      <c r="B194" s="35" t="s">
        <v>224</v>
      </c>
      <c r="C194" s="125">
        <v>5591</v>
      </c>
      <c r="D194" s="132">
        <v>406749616</v>
      </c>
      <c r="E194" s="116">
        <f t="shared" si="45"/>
        <v>72750.780897871577</v>
      </c>
      <c r="F194" s="134">
        <v>266591236</v>
      </c>
      <c r="G194" s="117">
        <f t="shared" si="46"/>
        <v>47682.209980325526</v>
      </c>
      <c r="H194" s="7"/>
      <c r="I194" s="136">
        <v>5</v>
      </c>
      <c r="J194" s="134">
        <v>1332956.18</v>
      </c>
      <c r="K194" s="120">
        <f t="shared" si="47"/>
        <v>238.41104990162759</v>
      </c>
      <c r="L194" s="122">
        <f t="shared" si="34"/>
        <v>2665912.36</v>
      </c>
      <c r="M194" s="116">
        <f t="shared" si="35"/>
        <v>1332956.18</v>
      </c>
      <c r="N194" s="123">
        <f t="shared" si="36"/>
        <v>238.41104990162759</v>
      </c>
      <c r="O194" s="5"/>
      <c r="P194" s="5">
        <f t="shared" si="32"/>
        <v>1</v>
      </c>
      <c r="Q194" s="7">
        <f t="shared" si="33"/>
        <v>5591</v>
      </c>
      <c r="W194" s="124">
        <f t="shared" si="37"/>
        <v>1332956.18</v>
      </c>
      <c r="X194">
        <f t="shared" si="38"/>
        <v>0</v>
      </c>
    </row>
    <row r="195" spans="1:24">
      <c r="A195" s="23" t="s">
        <v>225</v>
      </c>
      <c r="B195" s="35" t="s">
        <v>224</v>
      </c>
      <c r="C195" s="125">
        <v>1934</v>
      </c>
      <c r="D195" s="132">
        <v>294422386</v>
      </c>
      <c r="E195" s="116">
        <f t="shared" si="45"/>
        <v>152234.94622543949</v>
      </c>
      <c r="F195" s="134">
        <v>195861542</v>
      </c>
      <c r="G195" s="117">
        <f t="shared" si="46"/>
        <v>101272.77249224405</v>
      </c>
      <c r="H195" s="7"/>
      <c r="I195" s="136">
        <v>6.5</v>
      </c>
      <c r="J195" s="134">
        <v>1273100.023</v>
      </c>
      <c r="K195" s="120">
        <f t="shared" si="47"/>
        <v>658.27302119958642</v>
      </c>
      <c r="L195" s="122">
        <f t="shared" si="34"/>
        <v>1958615.42</v>
      </c>
      <c r="M195" s="116">
        <f t="shared" si="35"/>
        <v>685515.39699999988</v>
      </c>
      <c r="N195" s="123">
        <f t="shared" si="36"/>
        <v>354.45470372285411</v>
      </c>
      <c r="O195" s="5"/>
      <c r="P195" s="5">
        <f t="shared" si="32"/>
        <v>1</v>
      </c>
      <c r="Q195" s="7">
        <f t="shared" si="33"/>
        <v>1934</v>
      </c>
      <c r="W195" s="124">
        <f t="shared" si="37"/>
        <v>1273100.023</v>
      </c>
      <c r="X195">
        <f t="shared" si="38"/>
        <v>0</v>
      </c>
    </row>
    <row r="196" spans="1:24">
      <c r="A196" s="23" t="s">
        <v>226</v>
      </c>
      <c r="B196" s="35" t="s">
        <v>224</v>
      </c>
      <c r="C196" s="125">
        <v>462</v>
      </c>
      <c r="D196" s="132">
        <v>41426797</v>
      </c>
      <c r="E196" s="116">
        <f t="shared" si="45"/>
        <v>89668.391774891774</v>
      </c>
      <c r="F196" s="134">
        <v>22985881</v>
      </c>
      <c r="G196" s="117">
        <f t="shared" si="46"/>
        <v>49752.98917748918</v>
      </c>
      <c r="H196" s="7"/>
      <c r="I196" s="136">
        <v>2.5</v>
      </c>
      <c r="J196" s="134">
        <v>57464.702499999999</v>
      </c>
      <c r="K196" s="120">
        <f t="shared" si="47"/>
        <v>124.38247294372295</v>
      </c>
      <c r="L196" s="122">
        <f t="shared" si="34"/>
        <v>229858.81</v>
      </c>
      <c r="M196" s="116">
        <f t="shared" si="35"/>
        <v>172394.10749999998</v>
      </c>
      <c r="N196" s="123">
        <f t="shared" si="36"/>
        <v>373.14741883116881</v>
      </c>
      <c r="O196" s="5"/>
      <c r="P196" s="5">
        <f t="shared" si="32"/>
        <v>1</v>
      </c>
      <c r="Q196" s="7">
        <f t="shared" si="33"/>
        <v>462</v>
      </c>
      <c r="W196" s="124">
        <f t="shared" si="37"/>
        <v>57464.702499999999</v>
      </c>
      <c r="X196">
        <f t="shared" si="38"/>
        <v>0</v>
      </c>
    </row>
    <row r="197" spans="1:24">
      <c r="A197" s="23" t="s">
        <v>227</v>
      </c>
      <c r="B197" s="35" t="s">
        <v>224</v>
      </c>
      <c r="C197" s="125">
        <v>64243</v>
      </c>
      <c r="D197" s="132">
        <v>7845387626</v>
      </c>
      <c r="E197" s="116">
        <f t="shared" si="45"/>
        <v>122120.50536245194</v>
      </c>
      <c r="F197" s="134">
        <v>5589801390</v>
      </c>
      <c r="G197" s="117">
        <f t="shared" si="46"/>
        <v>87010.279563532211</v>
      </c>
      <c r="H197" s="9"/>
      <c r="I197" s="136">
        <v>6.6177000000000001</v>
      </c>
      <c r="J197" s="134">
        <v>36991628.658603005</v>
      </c>
      <c r="K197" s="120">
        <f t="shared" si="47"/>
        <v>575.80792706758723</v>
      </c>
      <c r="L197" s="122">
        <f t="shared" si="34"/>
        <v>55898013.899999999</v>
      </c>
      <c r="M197" s="116">
        <f t="shared" si="35"/>
        <v>18906385.241396993</v>
      </c>
      <c r="N197" s="123">
        <f t="shared" si="36"/>
        <v>294.29486856773491</v>
      </c>
      <c r="O197" s="5"/>
      <c r="P197" s="5">
        <f t="shared" si="32"/>
        <v>1</v>
      </c>
      <c r="Q197" s="7">
        <f t="shared" si="33"/>
        <v>64243</v>
      </c>
      <c r="W197" s="124">
        <f t="shared" si="37"/>
        <v>36991628.658602998</v>
      </c>
      <c r="X197">
        <f t="shared" si="38"/>
        <v>0</v>
      </c>
    </row>
    <row r="198" spans="1:24">
      <c r="A198" s="23" t="s">
        <v>228</v>
      </c>
      <c r="B198" s="35" t="s">
        <v>224</v>
      </c>
      <c r="C198" s="125">
        <v>461</v>
      </c>
      <c r="D198" s="147" t="s">
        <v>564</v>
      </c>
      <c r="E198" s="116"/>
      <c r="F198" s="134"/>
      <c r="G198" s="117"/>
      <c r="H198" s="98" t="s">
        <v>588</v>
      </c>
      <c r="I198" s="136"/>
      <c r="J198" s="134"/>
      <c r="K198" s="120"/>
      <c r="L198" s="122">
        <f t="shared" ref="L198:L261" si="48">(F198*0.01)</f>
        <v>0</v>
      </c>
      <c r="M198" s="116">
        <f t="shared" ref="M198:M261" si="49">(L198-J198)</f>
        <v>0</v>
      </c>
      <c r="N198" s="123">
        <f t="shared" ref="N198:N261" si="50">(M198/C198)</f>
        <v>0</v>
      </c>
      <c r="O198" s="5"/>
      <c r="P198" s="5">
        <f t="shared" ref="P198:P261" si="51">IF(I198&gt;0,1,0)</f>
        <v>0</v>
      </c>
      <c r="Q198" s="7">
        <f t="shared" ref="Q198:Q261" si="52">IF(I198&gt;0,C198,0)</f>
        <v>0</v>
      </c>
      <c r="S198" s="124">
        <f>SUM(D194:D198)</f>
        <v>8587986425</v>
      </c>
      <c r="T198" s="124">
        <f>SUM(F194:F198)</f>
        <v>6075240049</v>
      </c>
      <c r="U198" s="124">
        <f>SUM(J194:J198)</f>
        <v>39655149.564103007</v>
      </c>
      <c r="W198" s="124">
        <f t="shared" ref="W198:W261" si="53">F198*(I198/1000)</f>
        <v>0</v>
      </c>
      <c r="X198">
        <f t="shared" ref="X198:X261" si="54">IF(W198=J198,0,1)</f>
        <v>0</v>
      </c>
    </row>
    <row r="199" spans="1:24">
      <c r="A199" s="23" t="s">
        <v>616</v>
      </c>
      <c r="B199" s="35" t="s">
        <v>230</v>
      </c>
      <c r="C199" s="125">
        <v>6580</v>
      </c>
      <c r="D199" s="132">
        <v>2295691909</v>
      </c>
      <c r="E199" s="116">
        <f t="shared" ref="E199:E230" si="55">(D199/C199)</f>
        <v>348889.34787234041</v>
      </c>
      <c r="F199" s="134">
        <v>2059711328</v>
      </c>
      <c r="G199" s="117">
        <f t="shared" ref="G199:G230" si="56">(F199/C199)</f>
        <v>313026.03768996958</v>
      </c>
      <c r="H199" s="9"/>
      <c r="I199" s="136">
        <v>1.6304000000000001</v>
      </c>
      <c r="J199" s="134">
        <v>3358153.3491712003</v>
      </c>
      <c r="K199" s="120">
        <f t="shared" ref="K199:K230" si="57">(J199/C199)</f>
        <v>510.35765184972649</v>
      </c>
      <c r="L199" s="122">
        <f t="shared" si="48"/>
        <v>20597113.280000001</v>
      </c>
      <c r="M199" s="116">
        <f t="shared" si="49"/>
        <v>17238959.930828802</v>
      </c>
      <c r="N199" s="123">
        <f t="shared" si="50"/>
        <v>2619.9027250499698</v>
      </c>
      <c r="O199" s="5"/>
      <c r="P199" s="5">
        <f t="shared" si="51"/>
        <v>1</v>
      </c>
      <c r="Q199" s="7">
        <f t="shared" si="52"/>
        <v>6580</v>
      </c>
      <c r="W199" s="124">
        <f t="shared" si="53"/>
        <v>3358153.3491712003</v>
      </c>
      <c r="X199">
        <f t="shared" si="54"/>
        <v>0</v>
      </c>
    </row>
    <row r="200" spans="1:24">
      <c r="A200" s="24" t="s">
        <v>229</v>
      </c>
      <c r="B200" s="35" t="s">
        <v>230</v>
      </c>
      <c r="C200" s="125">
        <v>800</v>
      </c>
      <c r="D200" s="132">
        <v>3099856976</v>
      </c>
      <c r="E200" s="116">
        <f t="shared" si="55"/>
        <v>3874821.22</v>
      </c>
      <c r="F200" s="134">
        <v>2697136002</v>
      </c>
      <c r="G200" s="117">
        <f t="shared" si="56"/>
        <v>3371420.0024999999</v>
      </c>
      <c r="H200" s="9"/>
      <c r="I200" s="150">
        <v>2.6215999999999999</v>
      </c>
      <c r="J200" s="134">
        <v>7070811.7428431995</v>
      </c>
      <c r="K200" s="120">
        <f t="shared" si="57"/>
        <v>8838.5146785540001</v>
      </c>
      <c r="L200" s="122">
        <f t="shared" si="48"/>
        <v>26971360.02</v>
      </c>
      <c r="M200" s="116">
        <f t="shared" si="49"/>
        <v>19900548.2771568</v>
      </c>
      <c r="N200" s="123">
        <f t="shared" si="50"/>
        <v>24875.685346446</v>
      </c>
      <c r="O200" s="5"/>
      <c r="P200" s="5">
        <f t="shared" si="51"/>
        <v>1</v>
      </c>
      <c r="Q200" s="7">
        <f t="shared" si="52"/>
        <v>800</v>
      </c>
      <c r="W200" s="124">
        <f t="shared" si="53"/>
        <v>7070811.7428431995</v>
      </c>
      <c r="X200">
        <f t="shared" si="54"/>
        <v>0</v>
      </c>
    </row>
    <row r="201" spans="1:24">
      <c r="A201" s="23" t="s">
        <v>582</v>
      </c>
      <c r="B201" s="35" t="s">
        <v>230</v>
      </c>
      <c r="C201" s="125">
        <v>325</v>
      </c>
      <c r="D201" s="132">
        <v>49402618</v>
      </c>
      <c r="E201" s="116">
        <f t="shared" si="55"/>
        <v>152008.05538461538</v>
      </c>
      <c r="F201" s="134">
        <v>47795960</v>
      </c>
      <c r="G201" s="117">
        <f t="shared" si="56"/>
        <v>147064.4923076923</v>
      </c>
      <c r="H201" s="9"/>
      <c r="I201" s="136">
        <v>1.4</v>
      </c>
      <c r="J201" s="134">
        <v>66914.343999999997</v>
      </c>
      <c r="K201" s="120">
        <f t="shared" si="57"/>
        <v>205.89028923076921</v>
      </c>
      <c r="L201" s="122">
        <f t="shared" si="48"/>
        <v>477959.60000000003</v>
      </c>
      <c r="M201" s="116">
        <f t="shared" si="49"/>
        <v>411045.25600000005</v>
      </c>
      <c r="N201" s="123">
        <f t="shared" si="50"/>
        <v>1264.7546338461541</v>
      </c>
      <c r="O201" s="5"/>
      <c r="P201" s="5">
        <f t="shared" si="51"/>
        <v>1</v>
      </c>
      <c r="Q201" s="7">
        <f t="shared" si="52"/>
        <v>325</v>
      </c>
      <c r="W201" s="124">
        <f t="shared" si="53"/>
        <v>66914.343999999997</v>
      </c>
      <c r="X201">
        <f t="shared" si="54"/>
        <v>0</v>
      </c>
    </row>
    <row r="202" spans="1:24">
      <c r="A202" s="24" t="s">
        <v>446</v>
      </c>
      <c r="B202" s="37" t="s">
        <v>230</v>
      </c>
      <c r="C202" s="125">
        <v>1997</v>
      </c>
      <c r="D202" s="132">
        <v>895667418</v>
      </c>
      <c r="E202" s="116">
        <f t="shared" si="55"/>
        <v>448506.46870305459</v>
      </c>
      <c r="F202" s="134">
        <v>736169698</v>
      </c>
      <c r="G202" s="117">
        <f t="shared" si="56"/>
        <v>368637.80570856284</v>
      </c>
      <c r="H202" s="9"/>
      <c r="I202" s="136">
        <v>3.2688000000000001</v>
      </c>
      <c r="J202" s="134">
        <v>2406391.5088224001</v>
      </c>
      <c r="K202" s="120">
        <f t="shared" si="57"/>
        <v>1205.0032593001504</v>
      </c>
      <c r="L202" s="122">
        <f t="shared" si="48"/>
        <v>7361696.9800000004</v>
      </c>
      <c r="M202" s="116">
        <f t="shared" si="49"/>
        <v>4955305.4711776003</v>
      </c>
      <c r="N202" s="123">
        <f t="shared" si="50"/>
        <v>2481.3747977854782</v>
      </c>
      <c r="O202" s="5"/>
      <c r="P202" s="5">
        <f t="shared" si="51"/>
        <v>1</v>
      </c>
      <c r="Q202" s="7">
        <f t="shared" si="52"/>
        <v>1997</v>
      </c>
      <c r="S202" s="124"/>
      <c r="T202" s="124"/>
      <c r="U202" s="124"/>
      <c r="W202" s="124">
        <f t="shared" si="53"/>
        <v>2406391.5088224001</v>
      </c>
      <c r="X202">
        <f t="shared" si="54"/>
        <v>0</v>
      </c>
    </row>
    <row r="203" spans="1:24">
      <c r="A203" s="23" t="s">
        <v>231</v>
      </c>
      <c r="B203" s="37" t="s">
        <v>230</v>
      </c>
      <c r="C203" s="125">
        <v>17684</v>
      </c>
      <c r="D203" s="132">
        <v>3490698274</v>
      </c>
      <c r="E203" s="116">
        <f t="shared" si="55"/>
        <v>197393.02612531101</v>
      </c>
      <c r="F203" s="134">
        <v>2377503324</v>
      </c>
      <c r="G203" s="117">
        <f t="shared" si="56"/>
        <v>134443.75277086633</v>
      </c>
      <c r="H203" s="9"/>
      <c r="I203" s="150">
        <v>5</v>
      </c>
      <c r="J203" s="134">
        <v>11887516.619999999</v>
      </c>
      <c r="K203" s="120">
        <f t="shared" si="57"/>
        <v>672.21876385433154</v>
      </c>
      <c r="L203" s="122">
        <f t="shared" si="48"/>
        <v>23775033.240000002</v>
      </c>
      <c r="M203" s="116">
        <f t="shared" si="49"/>
        <v>11887516.620000003</v>
      </c>
      <c r="N203" s="123">
        <f t="shared" si="50"/>
        <v>672.21876385433177</v>
      </c>
      <c r="O203" s="5"/>
      <c r="P203" s="5">
        <f t="shared" si="51"/>
        <v>1</v>
      </c>
      <c r="Q203" s="7">
        <f t="shared" si="52"/>
        <v>17684</v>
      </c>
      <c r="S203" s="124">
        <f>SUM(D199:D203)</f>
        <v>9831317195</v>
      </c>
      <c r="T203" s="124">
        <f>SUM(F199:F203)</f>
        <v>7918316312</v>
      </c>
      <c r="U203" s="124">
        <f>SUM(J199:J203)</f>
        <v>24789787.5648368</v>
      </c>
      <c r="W203" s="124">
        <f t="shared" si="53"/>
        <v>11887516.620000001</v>
      </c>
      <c r="X203">
        <f t="shared" si="54"/>
        <v>0</v>
      </c>
    </row>
    <row r="204" spans="1:24">
      <c r="A204" s="23" t="s">
        <v>232</v>
      </c>
      <c r="B204" s="37" t="s">
        <v>233</v>
      </c>
      <c r="C204" s="125">
        <v>40371</v>
      </c>
      <c r="D204" s="132">
        <v>11454470220</v>
      </c>
      <c r="E204" s="116">
        <f t="shared" si="55"/>
        <v>283730.15828193503</v>
      </c>
      <c r="F204" s="134">
        <v>10318068068</v>
      </c>
      <c r="G204" s="117">
        <f t="shared" si="56"/>
        <v>255581.18619801343</v>
      </c>
      <c r="H204" s="9"/>
      <c r="I204" s="136">
        <v>1.7261</v>
      </c>
      <c r="J204" s="134">
        <v>17810017.292174801</v>
      </c>
      <c r="K204" s="120">
        <f t="shared" si="57"/>
        <v>441.158685496391</v>
      </c>
      <c r="L204" s="122">
        <f t="shared" si="48"/>
        <v>103180680.68000001</v>
      </c>
      <c r="M204" s="116">
        <f t="shared" si="49"/>
        <v>85370663.387825206</v>
      </c>
      <c r="N204" s="123">
        <f t="shared" si="50"/>
        <v>2114.6531764837432</v>
      </c>
      <c r="O204" s="5"/>
      <c r="P204" s="5">
        <f t="shared" si="51"/>
        <v>1</v>
      </c>
      <c r="Q204" s="7">
        <f t="shared" si="52"/>
        <v>40371</v>
      </c>
      <c r="W204" s="124">
        <f t="shared" si="53"/>
        <v>17810017.292174801</v>
      </c>
      <c r="X204">
        <f t="shared" si="54"/>
        <v>0</v>
      </c>
    </row>
    <row r="205" spans="1:24">
      <c r="A205" s="23" t="s">
        <v>234</v>
      </c>
      <c r="B205" s="37" t="s">
        <v>233</v>
      </c>
      <c r="C205" s="125">
        <v>3084</v>
      </c>
      <c r="D205" s="132">
        <v>5677584843</v>
      </c>
      <c r="E205" s="116">
        <f t="shared" si="55"/>
        <v>1840980.8180933853</v>
      </c>
      <c r="F205" s="134">
        <v>5172770895</v>
      </c>
      <c r="G205" s="117">
        <f t="shared" si="56"/>
        <v>1677292.7675097277</v>
      </c>
      <c r="H205" s="9"/>
      <c r="I205" s="136">
        <v>1.9654</v>
      </c>
      <c r="J205" s="134">
        <v>10166563.917033002</v>
      </c>
      <c r="K205" s="120">
        <f t="shared" si="57"/>
        <v>3296.5512052636191</v>
      </c>
      <c r="L205" s="122">
        <f t="shared" si="48"/>
        <v>51727708.950000003</v>
      </c>
      <c r="M205" s="116">
        <f t="shared" si="49"/>
        <v>41561145.032967001</v>
      </c>
      <c r="N205" s="123">
        <f t="shared" si="50"/>
        <v>13476.376469833658</v>
      </c>
      <c r="O205" s="5"/>
      <c r="P205" s="5">
        <f t="shared" si="51"/>
        <v>1</v>
      </c>
      <c r="Q205" s="7">
        <f t="shared" si="52"/>
        <v>3084</v>
      </c>
      <c r="W205" s="124">
        <f t="shared" si="53"/>
        <v>10166563.917033</v>
      </c>
      <c r="X205">
        <f t="shared" si="54"/>
        <v>0</v>
      </c>
    </row>
    <row r="206" spans="1:24">
      <c r="A206" s="23" t="s">
        <v>235</v>
      </c>
      <c r="B206" s="37" t="s">
        <v>233</v>
      </c>
      <c r="C206" s="125">
        <v>5975</v>
      </c>
      <c r="D206" s="132">
        <v>1792471649</v>
      </c>
      <c r="E206" s="116">
        <f t="shared" si="55"/>
        <v>299995.25506276148</v>
      </c>
      <c r="F206" s="134">
        <v>1364997493</v>
      </c>
      <c r="G206" s="117">
        <f t="shared" si="56"/>
        <v>228451.46326359833</v>
      </c>
      <c r="H206" s="9"/>
      <c r="I206" s="136">
        <v>3.59</v>
      </c>
      <c r="J206" s="134">
        <v>4900340.9998699995</v>
      </c>
      <c r="K206" s="120">
        <f t="shared" si="57"/>
        <v>820.14075311631791</v>
      </c>
      <c r="L206" s="122">
        <f t="shared" si="48"/>
        <v>13649974.93</v>
      </c>
      <c r="M206" s="116">
        <f t="shared" si="49"/>
        <v>8749633.9301300012</v>
      </c>
      <c r="N206" s="123">
        <f t="shared" si="50"/>
        <v>1464.3738795196655</v>
      </c>
      <c r="O206" s="5"/>
      <c r="P206" s="5">
        <f t="shared" si="51"/>
        <v>1</v>
      </c>
      <c r="Q206" s="7">
        <f t="shared" si="52"/>
        <v>5975</v>
      </c>
      <c r="W206" s="124">
        <f t="shared" si="53"/>
        <v>4900340.9998699995</v>
      </c>
      <c r="X206">
        <f t="shared" si="54"/>
        <v>0</v>
      </c>
    </row>
    <row r="207" spans="1:24">
      <c r="A207" s="23" t="s">
        <v>236</v>
      </c>
      <c r="B207" s="37" t="s">
        <v>233</v>
      </c>
      <c r="C207" s="125">
        <v>3119</v>
      </c>
      <c r="D207" s="132">
        <v>441211974</v>
      </c>
      <c r="E207" s="116">
        <f t="shared" si="55"/>
        <v>141459.43379288234</v>
      </c>
      <c r="F207" s="134">
        <v>268993116</v>
      </c>
      <c r="G207" s="117">
        <f t="shared" si="56"/>
        <v>86243.384418082715</v>
      </c>
      <c r="H207" s="9"/>
      <c r="I207" s="136">
        <v>9.5</v>
      </c>
      <c r="J207" s="134">
        <v>2555434.602</v>
      </c>
      <c r="K207" s="120">
        <f t="shared" si="57"/>
        <v>819.31215197178585</v>
      </c>
      <c r="L207" s="122">
        <f t="shared" si="48"/>
        <v>2689931.16</v>
      </c>
      <c r="M207" s="116">
        <f t="shared" si="49"/>
        <v>134496.55800000019</v>
      </c>
      <c r="N207" s="123">
        <f t="shared" si="50"/>
        <v>43.12169220904142</v>
      </c>
      <c r="O207" s="5"/>
      <c r="P207" s="5">
        <f t="shared" si="51"/>
        <v>1</v>
      </c>
      <c r="Q207" s="7">
        <f t="shared" si="52"/>
        <v>3119</v>
      </c>
      <c r="W207" s="124">
        <f t="shared" si="53"/>
        <v>2555434.602</v>
      </c>
      <c r="X207">
        <f t="shared" si="54"/>
        <v>0</v>
      </c>
    </row>
    <row r="208" spans="1:24">
      <c r="A208" s="23" t="s">
        <v>237</v>
      </c>
      <c r="B208" s="37" t="s">
        <v>233</v>
      </c>
      <c r="C208" s="125">
        <v>50193</v>
      </c>
      <c r="D208" s="132">
        <v>23791942905</v>
      </c>
      <c r="E208" s="116">
        <f t="shared" si="55"/>
        <v>474009.18265495187</v>
      </c>
      <c r="F208" s="134">
        <v>17915579256</v>
      </c>
      <c r="G208" s="117">
        <f t="shared" si="56"/>
        <v>356933.82057258982</v>
      </c>
      <c r="H208" s="9"/>
      <c r="I208" s="136">
        <v>5.5590000000000002</v>
      </c>
      <c r="J208" s="134">
        <v>99592705.084104002</v>
      </c>
      <c r="K208" s="120">
        <f t="shared" si="57"/>
        <v>1984.1951085630267</v>
      </c>
      <c r="L208" s="122">
        <f t="shared" si="48"/>
        <v>179155792.56</v>
      </c>
      <c r="M208" s="116">
        <f t="shared" si="49"/>
        <v>79563087.475896001</v>
      </c>
      <c r="N208" s="123">
        <f t="shared" si="50"/>
        <v>1585.1430971628713</v>
      </c>
      <c r="O208" s="5"/>
      <c r="P208" s="5">
        <f t="shared" si="51"/>
        <v>1</v>
      </c>
      <c r="Q208" s="7">
        <f t="shared" si="52"/>
        <v>50193</v>
      </c>
      <c r="W208" s="124">
        <f t="shared" si="53"/>
        <v>99592705.084104016</v>
      </c>
      <c r="X208">
        <f t="shared" si="54"/>
        <v>0</v>
      </c>
    </row>
    <row r="209" spans="1:24">
      <c r="A209" s="23" t="s">
        <v>524</v>
      </c>
      <c r="B209" s="37" t="s">
        <v>233</v>
      </c>
      <c r="C209" s="125">
        <v>45478</v>
      </c>
      <c r="D209" s="132">
        <v>4594325598</v>
      </c>
      <c r="E209" s="116">
        <f t="shared" si="55"/>
        <v>101023.03526980078</v>
      </c>
      <c r="F209" s="134">
        <v>2889510502</v>
      </c>
      <c r="G209" s="117">
        <f t="shared" si="56"/>
        <v>63536.446237741322</v>
      </c>
      <c r="H209" s="9"/>
      <c r="I209" s="136">
        <v>2.8332000000000002</v>
      </c>
      <c r="J209" s="134">
        <v>8186561.1542664003</v>
      </c>
      <c r="K209" s="120">
        <f t="shared" si="57"/>
        <v>180.01145948076874</v>
      </c>
      <c r="L209" s="122">
        <f t="shared" si="48"/>
        <v>28895105.02</v>
      </c>
      <c r="M209" s="116">
        <f t="shared" si="49"/>
        <v>20708543.865733601</v>
      </c>
      <c r="N209" s="123">
        <f t="shared" si="50"/>
        <v>455.35300289664457</v>
      </c>
      <c r="O209" s="5"/>
      <c r="P209" s="5">
        <f t="shared" si="51"/>
        <v>1</v>
      </c>
      <c r="Q209" s="7">
        <f t="shared" si="52"/>
        <v>45478</v>
      </c>
      <c r="W209" s="124">
        <f t="shared" si="53"/>
        <v>8186561.1542664003</v>
      </c>
      <c r="X209">
        <f t="shared" si="54"/>
        <v>0</v>
      </c>
    </row>
    <row r="210" spans="1:24">
      <c r="A210" s="23" t="s">
        <v>501</v>
      </c>
      <c r="B210" s="37" t="s">
        <v>233</v>
      </c>
      <c r="C210" s="125">
        <v>80703</v>
      </c>
      <c r="D210" s="132">
        <v>17283694017</v>
      </c>
      <c r="E210" s="116">
        <f t="shared" si="55"/>
        <v>214164.2072413665</v>
      </c>
      <c r="F210" s="134">
        <v>14659714048</v>
      </c>
      <c r="G210" s="117">
        <f t="shared" si="56"/>
        <v>181650.17468991238</v>
      </c>
      <c r="H210" s="9"/>
      <c r="I210" s="136">
        <v>1.9</v>
      </c>
      <c r="J210" s="134">
        <v>27853456.691199996</v>
      </c>
      <c r="K210" s="120">
        <f t="shared" si="57"/>
        <v>345.13533191083349</v>
      </c>
      <c r="L210" s="122">
        <f t="shared" si="48"/>
        <v>146597140.47999999</v>
      </c>
      <c r="M210" s="116">
        <f t="shared" si="49"/>
        <v>118743683.7888</v>
      </c>
      <c r="N210" s="123">
        <f t="shared" si="50"/>
        <v>1471.3664149882904</v>
      </c>
      <c r="O210" s="5"/>
      <c r="P210" s="5">
        <f t="shared" si="51"/>
        <v>1</v>
      </c>
      <c r="Q210" s="7">
        <f t="shared" si="52"/>
        <v>80703</v>
      </c>
      <c r="W210" s="124">
        <f t="shared" si="53"/>
        <v>27853456.691199999</v>
      </c>
      <c r="X210">
        <f t="shared" si="54"/>
        <v>0</v>
      </c>
    </row>
    <row r="211" spans="1:24">
      <c r="A211" s="23" t="s">
        <v>238</v>
      </c>
      <c r="B211" s="37" t="s">
        <v>233</v>
      </c>
      <c r="C211" s="125">
        <v>1991</v>
      </c>
      <c r="D211" s="132">
        <v>361213993</v>
      </c>
      <c r="E211" s="116">
        <f t="shared" si="55"/>
        <v>181423.40180813661</v>
      </c>
      <c r="F211" s="134">
        <v>195024491</v>
      </c>
      <c r="G211" s="117">
        <f t="shared" si="56"/>
        <v>97953.034153691609</v>
      </c>
      <c r="H211" s="9"/>
      <c r="I211" s="136">
        <v>8.3000000000000007</v>
      </c>
      <c r="J211" s="134">
        <v>1618703.2753000001</v>
      </c>
      <c r="K211" s="120">
        <f t="shared" si="57"/>
        <v>813.01018347564047</v>
      </c>
      <c r="L211" s="122">
        <f t="shared" si="48"/>
        <v>1950244.9100000001</v>
      </c>
      <c r="M211" s="116">
        <f t="shared" si="49"/>
        <v>331541.63470000005</v>
      </c>
      <c r="N211" s="123">
        <f t="shared" si="50"/>
        <v>166.52015806127577</v>
      </c>
      <c r="O211" s="5"/>
      <c r="P211" s="5">
        <f t="shared" si="51"/>
        <v>1</v>
      </c>
      <c r="Q211" s="7">
        <f t="shared" si="52"/>
        <v>1991</v>
      </c>
      <c r="W211" s="124">
        <f t="shared" si="53"/>
        <v>1618703.2753000001</v>
      </c>
      <c r="X211">
        <f t="shared" si="54"/>
        <v>0</v>
      </c>
    </row>
    <row r="212" spans="1:24">
      <c r="A212" s="23" t="s">
        <v>239</v>
      </c>
      <c r="B212" s="37" t="s">
        <v>233</v>
      </c>
      <c r="C212" s="125">
        <v>13857</v>
      </c>
      <c r="D212" s="132">
        <v>1067830999</v>
      </c>
      <c r="E212" s="116">
        <f t="shared" si="55"/>
        <v>77060.763440860217</v>
      </c>
      <c r="F212" s="134">
        <v>684546321</v>
      </c>
      <c r="G212" s="117">
        <f t="shared" si="56"/>
        <v>49400.759255250057</v>
      </c>
      <c r="H212" s="9"/>
      <c r="I212" s="136">
        <v>7.2946</v>
      </c>
      <c r="J212" s="134">
        <v>4993491.5931666</v>
      </c>
      <c r="K212" s="120">
        <f t="shared" si="57"/>
        <v>360.35877846334705</v>
      </c>
      <c r="L212" s="122">
        <f t="shared" si="48"/>
        <v>6845463.21</v>
      </c>
      <c r="M212" s="116">
        <f t="shared" si="49"/>
        <v>1851971.6168334</v>
      </c>
      <c r="N212" s="123">
        <f t="shared" si="50"/>
        <v>133.64881408915349</v>
      </c>
      <c r="O212" s="5"/>
      <c r="P212" s="5">
        <f t="shared" si="51"/>
        <v>1</v>
      </c>
      <c r="Q212" s="7">
        <f t="shared" si="52"/>
        <v>13857</v>
      </c>
      <c r="W212" s="124">
        <f t="shared" si="53"/>
        <v>4993491.5931666</v>
      </c>
      <c r="X212">
        <f t="shared" si="54"/>
        <v>0</v>
      </c>
    </row>
    <row r="213" spans="1:24">
      <c r="A213" s="23" t="s">
        <v>240</v>
      </c>
      <c r="B213" s="37" t="s">
        <v>233</v>
      </c>
      <c r="C213" s="125">
        <v>955</v>
      </c>
      <c r="D213" s="132">
        <v>1550573729</v>
      </c>
      <c r="E213" s="116">
        <f t="shared" si="55"/>
        <v>1623637.4125654451</v>
      </c>
      <c r="F213" s="134">
        <v>1202998911</v>
      </c>
      <c r="G213" s="117">
        <f t="shared" si="56"/>
        <v>1259684.7235602094</v>
      </c>
      <c r="H213" s="9"/>
      <c r="I213" s="136">
        <v>8.1363000000000003</v>
      </c>
      <c r="J213" s="134">
        <v>9787960.0395692997</v>
      </c>
      <c r="K213" s="120">
        <f t="shared" si="57"/>
        <v>10249.172816302931</v>
      </c>
      <c r="L213" s="122">
        <f t="shared" si="48"/>
        <v>12029989.109999999</v>
      </c>
      <c r="M213" s="116">
        <f t="shared" si="49"/>
        <v>2242029.0704306997</v>
      </c>
      <c r="N213" s="123">
        <f t="shared" si="50"/>
        <v>2347.6744192991619</v>
      </c>
      <c r="O213" s="5"/>
      <c r="P213" s="5">
        <f t="shared" si="51"/>
        <v>1</v>
      </c>
      <c r="Q213" s="7">
        <f t="shared" si="52"/>
        <v>955</v>
      </c>
      <c r="W213" s="124">
        <f t="shared" si="53"/>
        <v>9787960.0395693015</v>
      </c>
      <c r="X213">
        <f t="shared" si="54"/>
        <v>0</v>
      </c>
    </row>
    <row r="214" spans="1:24">
      <c r="A214" s="23" t="s">
        <v>241</v>
      </c>
      <c r="B214" s="37" t="s">
        <v>233</v>
      </c>
      <c r="C214" s="125">
        <v>225493</v>
      </c>
      <c r="D214" s="132">
        <v>20746660325</v>
      </c>
      <c r="E214" s="116">
        <f t="shared" si="55"/>
        <v>92005.784325899251</v>
      </c>
      <c r="F214" s="134">
        <v>13445916771</v>
      </c>
      <c r="G214" s="117">
        <f t="shared" si="56"/>
        <v>59628.976380641529</v>
      </c>
      <c r="H214" s="9"/>
      <c r="I214" s="136">
        <v>6.3018000000000001</v>
      </c>
      <c r="J214" s="134">
        <v>84733478.307487816</v>
      </c>
      <c r="K214" s="120">
        <f t="shared" si="57"/>
        <v>375.76988335552687</v>
      </c>
      <c r="L214" s="122">
        <f t="shared" si="48"/>
        <v>134459167.71000001</v>
      </c>
      <c r="M214" s="116">
        <f t="shared" si="49"/>
        <v>49725689.402512193</v>
      </c>
      <c r="N214" s="123">
        <f t="shared" si="50"/>
        <v>220.51988045088848</v>
      </c>
      <c r="O214" s="5"/>
      <c r="P214" s="5">
        <f t="shared" si="51"/>
        <v>1</v>
      </c>
      <c r="Q214" s="7">
        <f t="shared" si="52"/>
        <v>225493</v>
      </c>
      <c r="W214" s="124">
        <f t="shared" si="53"/>
        <v>84733478.307487801</v>
      </c>
      <c r="X214">
        <f t="shared" si="54"/>
        <v>0</v>
      </c>
    </row>
    <row r="215" spans="1:24">
      <c r="A215" s="23" t="s">
        <v>242</v>
      </c>
      <c r="B215" s="37" t="s">
        <v>233</v>
      </c>
      <c r="C215" s="125">
        <v>23055</v>
      </c>
      <c r="D215" s="132">
        <v>2527725925</v>
      </c>
      <c r="E215" s="116">
        <f t="shared" si="55"/>
        <v>109638.94708306224</v>
      </c>
      <c r="F215" s="134">
        <v>1573350494</v>
      </c>
      <c r="G215" s="117">
        <f t="shared" si="56"/>
        <v>68243.352591628718</v>
      </c>
      <c r="H215" s="9"/>
      <c r="I215" s="136">
        <v>5.1612999999999998</v>
      </c>
      <c r="J215" s="134">
        <v>8120533.9046821995</v>
      </c>
      <c r="K215" s="120">
        <f t="shared" si="57"/>
        <v>352.22441573117328</v>
      </c>
      <c r="L215" s="122">
        <f t="shared" si="48"/>
        <v>15733504.939999999</v>
      </c>
      <c r="M215" s="116">
        <f t="shared" si="49"/>
        <v>7612971.0353178</v>
      </c>
      <c r="N215" s="123">
        <f t="shared" si="50"/>
        <v>330.20911018511384</v>
      </c>
      <c r="O215" s="5"/>
      <c r="P215" s="5">
        <f t="shared" si="51"/>
        <v>1</v>
      </c>
      <c r="Q215" s="7">
        <f t="shared" si="52"/>
        <v>23055</v>
      </c>
      <c r="W215" s="124">
        <f t="shared" si="53"/>
        <v>8120533.9046821995</v>
      </c>
      <c r="X215">
        <f t="shared" si="54"/>
        <v>0</v>
      </c>
    </row>
    <row r="216" spans="1:24">
      <c r="A216" s="23" t="s">
        <v>243</v>
      </c>
      <c r="B216" s="37" t="s">
        <v>233</v>
      </c>
      <c r="C216" s="125">
        <v>81110</v>
      </c>
      <c r="D216" s="132">
        <v>5733779873</v>
      </c>
      <c r="E216" s="116">
        <f t="shared" si="55"/>
        <v>70691.405165824195</v>
      </c>
      <c r="F216" s="134">
        <v>3718802790</v>
      </c>
      <c r="G216" s="117">
        <f t="shared" si="56"/>
        <v>45848.881642214277</v>
      </c>
      <c r="H216" s="9"/>
      <c r="I216" s="136">
        <v>6.2054999999999998</v>
      </c>
      <c r="J216" s="134">
        <v>23077030.713344999</v>
      </c>
      <c r="K216" s="120">
        <f t="shared" si="57"/>
        <v>284.51523503076066</v>
      </c>
      <c r="L216" s="122">
        <f t="shared" si="48"/>
        <v>37188027.899999999</v>
      </c>
      <c r="M216" s="116">
        <f t="shared" si="49"/>
        <v>14110997.186655</v>
      </c>
      <c r="N216" s="123">
        <f t="shared" si="50"/>
        <v>173.97358139138208</v>
      </c>
      <c r="O216" s="5"/>
      <c r="P216" s="5">
        <f t="shared" si="51"/>
        <v>1</v>
      </c>
      <c r="Q216" s="7">
        <f t="shared" si="52"/>
        <v>81110</v>
      </c>
      <c r="W216" s="124">
        <f t="shared" si="53"/>
        <v>23077030.713344999</v>
      </c>
      <c r="X216">
        <f t="shared" si="54"/>
        <v>0</v>
      </c>
    </row>
    <row r="217" spans="1:24">
      <c r="A217" s="23" t="s">
        <v>244</v>
      </c>
      <c r="B217" s="37" t="s">
        <v>233</v>
      </c>
      <c r="C217" s="125">
        <v>84</v>
      </c>
      <c r="D217" s="132">
        <v>943742659</v>
      </c>
      <c r="E217" s="116">
        <f t="shared" si="55"/>
        <v>11235031.654761905</v>
      </c>
      <c r="F217" s="134">
        <v>726359422</v>
      </c>
      <c r="G217" s="117">
        <f t="shared" si="56"/>
        <v>8647135.9761904757</v>
      </c>
      <c r="H217" s="9"/>
      <c r="I217" s="136">
        <v>6.3</v>
      </c>
      <c r="J217" s="134">
        <v>4576064.358599999</v>
      </c>
      <c r="K217" s="120">
        <f t="shared" si="57"/>
        <v>54476.956649999986</v>
      </c>
      <c r="L217" s="122">
        <f t="shared" si="48"/>
        <v>7263594.2199999997</v>
      </c>
      <c r="M217" s="116">
        <f t="shared" si="49"/>
        <v>2687529.8614000008</v>
      </c>
      <c r="N217" s="123">
        <f t="shared" si="50"/>
        <v>31994.403111904772</v>
      </c>
      <c r="O217" s="5"/>
      <c r="P217" s="5">
        <f t="shared" si="51"/>
        <v>1</v>
      </c>
      <c r="Q217" s="7">
        <f t="shared" si="52"/>
        <v>84</v>
      </c>
      <c r="W217" s="124">
        <f t="shared" si="53"/>
        <v>4576064.3585999999</v>
      </c>
      <c r="X217">
        <f t="shared" si="54"/>
        <v>0</v>
      </c>
    </row>
    <row r="218" spans="1:24">
      <c r="A218" s="23" t="s">
        <v>246</v>
      </c>
      <c r="B218" s="37" t="s">
        <v>233</v>
      </c>
      <c r="C218" s="125">
        <v>14815</v>
      </c>
      <c r="D218" s="132">
        <v>9394798954</v>
      </c>
      <c r="E218" s="116">
        <f t="shared" si="55"/>
        <v>634141.00263246708</v>
      </c>
      <c r="F218" s="134">
        <v>8224373538</v>
      </c>
      <c r="G218" s="117">
        <f t="shared" si="56"/>
        <v>555138.27458656766</v>
      </c>
      <c r="H218" s="9"/>
      <c r="I218" s="136">
        <v>3.1989999999999998</v>
      </c>
      <c r="J218" s="134">
        <v>26309770.948061999</v>
      </c>
      <c r="K218" s="120">
        <f t="shared" si="57"/>
        <v>1775.8873404024298</v>
      </c>
      <c r="L218" s="122">
        <f t="shared" si="48"/>
        <v>82243735.379999995</v>
      </c>
      <c r="M218" s="116">
        <f t="shared" si="49"/>
        <v>55933964.431937993</v>
      </c>
      <c r="N218" s="123">
        <f t="shared" si="50"/>
        <v>3775.4954054632462</v>
      </c>
      <c r="O218" s="5"/>
      <c r="P218" s="5">
        <f t="shared" si="51"/>
        <v>1</v>
      </c>
      <c r="Q218" s="7">
        <f t="shared" si="52"/>
        <v>14815</v>
      </c>
      <c r="W218" s="124">
        <f t="shared" si="53"/>
        <v>26309770.948061999</v>
      </c>
      <c r="X218">
        <f t="shared" si="54"/>
        <v>0</v>
      </c>
    </row>
    <row r="219" spans="1:24">
      <c r="A219" s="23" t="s">
        <v>247</v>
      </c>
      <c r="B219" s="37" t="s">
        <v>233</v>
      </c>
      <c r="C219" s="125">
        <v>1047</v>
      </c>
      <c r="D219" s="132">
        <v>3115718582</v>
      </c>
      <c r="E219" s="116">
        <f t="shared" si="55"/>
        <v>2975853.4689589301</v>
      </c>
      <c r="F219" s="134">
        <v>2790391921</v>
      </c>
      <c r="G219" s="117">
        <f t="shared" si="56"/>
        <v>2665130.7745940783</v>
      </c>
      <c r="H219" s="9"/>
      <c r="I219" s="136">
        <v>3.9</v>
      </c>
      <c r="J219" s="134">
        <v>10882528.491899999</v>
      </c>
      <c r="K219" s="120">
        <f t="shared" si="57"/>
        <v>10394.010020916905</v>
      </c>
      <c r="L219" s="122">
        <f t="shared" si="48"/>
        <v>27903919.210000001</v>
      </c>
      <c r="M219" s="116">
        <f t="shared" si="49"/>
        <v>17021390.718100004</v>
      </c>
      <c r="N219" s="123">
        <f t="shared" si="50"/>
        <v>16257.297725023882</v>
      </c>
      <c r="O219" s="5"/>
      <c r="P219" s="5">
        <f t="shared" si="51"/>
        <v>1</v>
      </c>
      <c r="Q219" s="7">
        <f t="shared" si="52"/>
        <v>1047</v>
      </c>
      <c r="W219" s="124">
        <f t="shared" si="53"/>
        <v>10882528.491899999</v>
      </c>
      <c r="X219">
        <f t="shared" si="54"/>
        <v>0</v>
      </c>
    </row>
    <row r="220" spans="1:24">
      <c r="A220" s="23" t="s">
        <v>248</v>
      </c>
      <c r="B220" s="37" t="s">
        <v>233</v>
      </c>
      <c r="C220" s="125">
        <v>449747</v>
      </c>
      <c r="D220" s="132">
        <v>88365240564</v>
      </c>
      <c r="E220" s="116">
        <f t="shared" si="55"/>
        <v>196477.66536297073</v>
      </c>
      <c r="F220" s="134">
        <v>64373542597</v>
      </c>
      <c r="G220" s="117">
        <f t="shared" si="56"/>
        <v>143132.78931710494</v>
      </c>
      <c r="H220" s="9"/>
      <c r="I220" s="136">
        <v>7.6665000000000001</v>
      </c>
      <c r="J220" s="134">
        <v>493519764.31990051</v>
      </c>
      <c r="K220" s="120">
        <f t="shared" si="57"/>
        <v>1097.3275292995852</v>
      </c>
      <c r="L220" s="122">
        <f t="shared" si="48"/>
        <v>643735425.97000003</v>
      </c>
      <c r="M220" s="116">
        <f t="shared" si="49"/>
        <v>150215661.65009952</v>
      </c>
      <c r="N220" s="123">
        <f t="shared" si="50"/>
        <v>334.00036387146446</v>
      </c>
      <c r="O220" s="5"/>
      <c r="P220" s="5">
        <f t="shared" si="51"/>
        <v>1</v>
      </c>
      <c r="Q220" s="7">
        <f t="shared" si="52"/>
        <v>449747</v>
      </c>
      <c r="W220" s="124">
        <f t="shared" si="53"/>
        <v>493519764.31990045</v>
      </c>
      <c r="X220">
        <f t="shared" si="54"/>
        <v>1</v>
      </c>
    </row>
    <row r="221" spans="1:24">
      <c r="A221" s="23" t="s">
        <v>249</v>
      </c>
      <c r="B221" s="37" t="s">
        <v>233</v>
      </c>
      <c r="C221" s="125">
        <v>82785</v>
      </c>
      <c r="D221" s="132">
        <v>49790759377</v>
      </c>
      <c r="E221" s="116">
        <f t="shared" si="55"/>
        <v>601446.63135833782</v>
      </c>
      <c r="F221" s="134">
        <v>41087917774</v>
      </c>
      <c r="G221" s="117">
        <f t="shared" si="56"/>
        <v>496320.80417950114</v>
      </c>
      <c r="H221" s="9"/>
      <c r="I221" s="136">
        <v>5.7625999999999999</v>
      </c>
      <c r="J221" s="134">
        <v>236773234.96445239</v>
      </c>
      <c r="K221" s="120">
        <f t="shared" si="57"/>
        <v>2860.0982661647931</v>
      </c>
      <c r="L221" s="122">
        <f t="shared" si="48"/>
        <v>410879177.74000001</v>
      </c>
      <c r="M221" s="116">
        <f t="shared" si="49"/>
        <v>174105942.77554762</v>
      </c>
      <c r="N221" s="123">
        <f t="shared" si="50"/>
        <v>2103.1097756302183</v>
      </c>
      <c r="O221" s="5"/>
      <c r="P221" s="5">
        <f t="shared" si="51"/>
        <v>1</v>
      </c>
      <c r="Q221" s="7">
        <f t="shared" si="52"/>
        <v>82785</v>
      </c>
      <c r="W221" s="124">
        <f t="shared" si="53"/>
        <v>236773234.96445239</v>
      </c>
      <c r="X221">
        <f t="shared" si="54"/>
        <v>0</v>
      </c>
    </row>
    <row r="222" spans="1:24">
      <c r="A222" s="23" t="s">
        <v>500</v>
      </c>
      <c r="B222" s="37" t="s">
        <v>233</v>
      </c>
      <c r="C222" s="125">
        <v>112508</v>
      </c>
      <c r="D222" s="132">
        <v>9552873029</v>
      </c>
      <c r="E222" s="116">
        <f t="shared" si="55"/>
        <v>84908.388994560388</v>
      </c>
      <c r="F222" s="134">
        <v>5655106210</v>
      </c>
      <c r="G222" s="117">
        <f t="shared" si="56"/>
        <v>50264.036424076512</v>
      </c>
      <c r="H222" s="9"/>
      <c r="I222" s="136">
        <v>6.9363000000000001</v>
      </c>
      <c r="J222" s="134">
        <v>39225513.204423003</v>
      </c>
      <c r="K222" s="120">
        <f t="shared" si="57"/>
        <v>348.64643584832191</v>
      </c>
      <c r="L222" s="122">
        <f t="shared" si="48"/>
        <v>56551062.100000001</v>
      </c>
      <c r="M222" s="116">
        <f t="shared" si="49"/>
        <v>17325548.895576999</v>
      </c>
      <c r="N222" s="123">
        <f t="shared" si="50"/>
        <v>153.99392839244319</v>
      </c>
      <c r="O222" s="5"/>
      <c r="P222" s="5">
        <f t="shared" si="51"/>
        <v>1</v>
      </c>
      <c r="Q222" s="7">
        <f t="shared" si="52"/>
        <v>112508</v>
      </c>
      <c r="W222" s="124">
        <f t="shared" si="53"/>
        <v>39225513.204423003</v>
      </c>
      <c r="X222">
        <f t="shared" si="54"/>
        <v>0</v>
      </c>
    </row>
    <row r="223" spans="1:24">
      <c r="A223" s="23" t="s">
        <v>459</v>
      </c>
      <c r="B223" s="37" t="s">
        <v>233</v>
      </c>
      <c r="C223" s="125">
        <v>30857</v>
      </c>
      <c r="D223" s="132">
        <v>5246491199</v>
      </c>
      <c r="E223" s="116">
        <f t="shared" si="55"/>
        <v>170025.96490261529</v>
      </c>
      <c r="F223" s="134">
        <v>3748412928</v>
      </c>
      <c r="G223" s="117">
        <f t="shared" si="56"/>
        <v>121476.90728197816</v>
      </c>
      <c r="H223" s="9"/>
      <c r="I223" s="136">
        <v>2.3127</v>
      </c>
      <c r="J223" s="134">
        <v>8668954.5785856005</v>
      </c>
      <c r="K223" s="120">
        <f t="shared" si="57"/>
        <v>280.93964347103088</v>
      </c>
      <c r="L223" s="122">
        <f t="shared" si="48"/>
        <v>37484129.280000001</v>
      </c>
      <c r="M223" s="116">
        <f t="shared" si="49"/>
        <v>28815174.701414399</v>
      </c>
      <c r="N223" s="123">
        <f t="shared" si="50"/>
        <v>933.82942934875064</v>
      </c>
      <c r="O223" s="5"/>
      <c r="P223" s="5">
        <f t="shared" si="51"/>
        <v>1</v>
      </c>
      <c r="Q223" s="7">
        <f t="shared" si="52"/>
        <v>30857</v>
      </c>
      <c r="W223" s="124">
        <f t="shared" si="53"/>
        <v>8668954.5785856005</v>
      </c>
      <c r="X223">
        <f t="shared" si="54"/>
        <v>0</v>
      </c>
    </row>
    <row r="224" spans="1:24">
      <c r="A224" s="23" t="s">
        <v>250</v>
      </c>
      <c r="B224" s="37" t="s">
        <v>233</v>
      </c>
      <c r="C224" s="125">
        <v>11548</v>
      </c>
      <c r="D224" s="132">
        <v>2202408129</v>
      </c>
      <c r="E224" s="116">
        <f t="shared" si="55"/>
        <v>190717.71120540352</v>
      </c>
      <c r="F224" s="134">
        <v>1312674608</v>
      </c>
      <c r="G224" s="117">
        <f t="shared" si="56"/>
        <v>113671.16453065466</v>
      </c>
      <c r="H224" s="9"/>
      <c r="I224" s="136">
        <v>7.9</v>
      </c>
      <c r="J224" s="134">
        <v>10370129.403200001</v>
      </c>
      <c r="K224" s="120">
        <f t="shared" si="57"/>
        <v>898.00219979217184</v>
      </c>
      <c r="L224" s="122">
        <f t="shared" si="48"/>
        <v>13126746.08</v>
      </c>
      <c r="M224" s="116">
        <f t="shared" si="49"/>
        <v>2756616.6767999995</v>
      </c>
      <c r="N224" s="123">
        <f t="shared" si="50"/>
        <v>238.70944551437475</v>
      </c>
      <c r="O224" s="5"/>
      <c r="P224" s="5">
        <f t="shared" si="51"/>
        <v>1</v>
      </c>
      <c r="Q224" s="7">
        <f t="shared" si="52"/>
        <v>11548</v>
      </c>
      <c r="W224" s="124">
        <f t="shared" si="53"/>
        <v>10370129.403200001</v>
      </c>
      <c r="X224">
        <f t="shared" si="54"/>
        <v>0</v>
      </c>
    </row>
    <row r="225" spans="1:24">
      <c r="A225" s="24" t="s">
        <v>251</v>
      </c>
      <c r="B225" s="37" t="s">
        <v>233</v>
      </c>
      <c r="C225" s="125">
        <v>13851</v>
      </c>
      <c r="D225" s="132">
        <v>1962602851</v>
      </c>
      <c r="E225" s="116">
        <f t="shared" si="55"/>
        <v>141693.94635766372</v>
      </c>
      <c r="F225" s="134">
        <v>1327611697</v>
      </c>
      <c r="G225" s="117">
        <f t="shared" si="56"/>
        <v>95849.519673669769</v>
      </c>
      <c r="H225" s="9"/>
      <c r="I225" s="136">
        <v>7.2095000000000002</v>
      </c>
      <c r="J225" s="134">
        <v>9571416.5295214988</v>
      </c>
      <c r="K225" s="120">
        <f t="shared" si="57"/>
        <v>691.02711208732217</v>
      </c>
      <c r="L225" s="122">
        <f t="shared" si="48"/>
        <v>13276116.970000001</v>
      </c>
      <c r="M225" s="116">
        <f t="shared" si="49"/>
        <v>3704700.4404785018</v>
      </c>
      <c r="N225" s="123">
        <f t="shared" si="50"/>
        <v>267.46808464937561</v>
      </c>
      <c r="O225" s="5"/>
      <c r="P225" s="5">
        <f t="shared" si="51"/>
        <v>1</v>
      </c>
      <c r="Q225" s="7">
        <f t="shared" si="52"/>
        <v>13851</v>
      </c>
      <c r="W225" s="124">
        <f t="shared" si="53"/>
        <v>9571416.5295215007</v>
      </c>
      <c r="X225">
        <f t="shared" si="54"/>
        <v>0</v>
      </c>
    </row>
    <row r="226" spans="1:24">
      <c r="A226" s="23" t="s">
        <v>599</v>
      </c>
      <c r="B226" s="37" t="s">
        <v>233</v>
      </c>
      <c r="C226" s="125">
        <v>8211</v>
      </c>
      <c r="D226" s="132">
        <v>1327204232</v>
      </c>
      <c r="E226" s="116">
        <f t="shared" si="55"/>
        <v>161637.34405066376</v>
      </c>
      <c r="F226" s="134">
        <v>1111289895</v>
      </c>
      <c r="G226" s="117">
        <f t="shared" si="56"/>
        <v>135341.60211910852</v>
      </c>
      <c r="H226" s="9"/>
      <c r="I226" s="136">
        <v>5.8483999999999998</v>
      </c>
      <c r="J226" s="134">
        <v>6499267.8219180005</v>
      </c>
      <c r="K226" s="120">
        <f t="shared" si="57"/>
        <v>791.53182583339424</v>
      </c>
      <c r="L226" s="122">
        <f t="shared" si="48"/>
        <v>11112898.950000001</v>
      </c>
      <c r="M226" s="116">
        <f t="shared" si="49"/>
        <v>4613631.1280820007</v>
      </c>
      <c r="N226" s="123">
        <f t="shared" si="50"/>
        <v>561.88419535769094</v>
      </c>
      <c r="O226" s="5"/>
      <c r="P226" s="5">
        <f t="shared" si="51"/>
        <v>1</v>
      </c>
      <c r="Q226" s="7">
        <f t="shared" si="52"/>
        <v>8211</v>
      </c>
      <c r="W226" s="124">
        <f t="shared" si="53"/>
        <v>6499267.8219180005</v>
      </c>
      <c r="X226">
        <f t="shared" si="54"/>
        <v>0</v>
      </c>
    </row>
    <row r="227" spans="1:24">
      <c r="A227" s="23" t="s">
        <v>253</v>
      </c>
      <c r="B227" s="37" t="s">
        <v>233</v>
      </c>
      <c r="C227" s="125">
        <v>60175</v>
      </c>
      <c r="D227" s="132">
        <v>6275642736</v>
      </c>
      <c r="E227" s="116">
        <f t="shared" si="55"/>
        <v>104289.86682176984</v>
      </c>
      <c r="F227" s="134">
        <v>3947598822</v>
      </c>
      <c r="G227" s="117">
        <f t="shared" si="56"/>
        <v>65601.974607395096</v>
      </c>
      <c r="H227" s="9"/>
      <c r="I227" s="136">
        <v>7.5</v>
      </c>
      <c r="J227" s="134">
        <v>29606991.164999999</v>
      </c>
      <c r="K227" s="120">
        <f t="shared" si="57"/>
        <v>492.01480955546322</v>
      </c>
      <c r="L227" s="122">
        <f t="shared" si="48"/>
        <v>39475988.219999999</v>
      </c>
      <c r="M227" s="116">
        <f t="shared" si="49"/>
        <v>9868997.0549999997</v>
      </c>
      <c r="N227" s="123">
        <f t="shared" si="50"/>
        <v>164.00493651848774</v>
      </c>
      <c r="O227" s="5"/>
      <c r="P227" s="5">
        <f t="shared" si="51"/>
        <v>1</v>
      </c>
      <c r="Q227" s="7">
        <f t="shared" si="52"/>
        <v>60175</v>
      </c>
      <c r="W227" s="124">
        <f t="shared" si="53"/>
        <v>29606991.164999999</v>
      </c>
      <c r="X227">
        <f t="shared" si="54"/>
        <v>0</v>
      </c>
    </row>
    <row r="228" spans="1:24">
      <c r="A228" s="23" t="s">
        <v>254</v>
      </c>
      <c r="B228" s="37" t="s">
        <v>233</v>
      </c>
      <c r="C228" s="125">
        <v>43749</v>
      </c>
      <c r="D228" s="132">
        <v>5047873439</v>
      </c>
      <c r="E228" s="116">
        <f t="shared" si="55"/>
        <v>115382.60163660883</v>
      </c>
      <c r="F228" s="134">
        <v>3611052781</v>
      </c>
      <c r="G228" s="117">
        <f t="shared" si="56"/>
        <v>82540.235913963741</v>
      </c>
      <c r="H228" s="9"/>
      <c r="I228" s="136">
        <v>6.2</v>
      </c>
      <c r="J228" s="134">
        <v>22388527.242200002</v>
      </c>
      <c r="K228" s="120">
        <f t="shared" si="57"/>
        <v>511.74946266657531</v>
      </c>
      <c r="L228" s="122">
        <f t="shared" si="48"/>
        <v>36110527.810000002</v>
      </c>
      <c r="M228" s="116">
        <f t="shared" si="49"/>
        <v>13722000.5678</v>
      </c>
      <c r="N228" s="123">
        <f t="shared" si="50"/>
        <v>313.65289647306224</v>
      </c>
      <c r="O228" s="5"/>
      <c r="P228" s="5">
        <f t="shared" si="51"/>
        <v>1</v>
      </c>
      <c r="Q228" s="7">
        <f t="shared" si="52"/>
        <v>43749</v>
      </c>
      <c r="W228" s="124">
        <f t="shared" si="53"/>
        <v>22388527.242199998</v>
      </c>
      <c r="X228">
        <f t="shared" si="54"/>
        <v>0</v>
      </c>
    </row>
    <row r="229" spans="1:24">
      <c r="A229" s="23" t="s">
        <v>255</v>
      </c>
      <c r="B229" s="37" t="s">
        <v>233</v>
      </c>
      <c r="C229" s="125">
        <v>16570</v>
      </c>
      <c r="D229" s="132">
        <v>2076511776</v>
      </c>
      <c r="E229" s="116">
        <f t="shared" si="55"/>
        <v>125317.54834037417</v>
      </c>
      <c r="F229" s="134">
        <v>1304732075</v>
      </c>
      <c r="G229" s="117">
        <f t="shared" si="56"/>
        <v>78740.620096560044</v>
      </c>
      <c r="H229" s="9"/>
      <c r="I229" s="136">
        <v>9.65</v>
      </c>
      <c r="J229" s="134">
        <v>12590664.52375</v>
      </c>
      <c r="K229" s="120">
        <f t="shared" si="57"/>
        <v>759.8469839318044</v>
      </c>
      <c r="L229" s="122">
        <f t="shared" si="48"/>
        <v>13047320.75</v>
      </c>
      <c r="M229" s="116">
        <f t="shared" si="49"/>
        <v>456656.2262500003</v>
      </c>
      <c r="N229" s="123">
        <f t="shared" si="50"/>
        <v>27.559217033796035</v>
      </c>
      <c r="O229" s="5"/>
      <c r="P229" s="5">
        <f t="shared" si="51"/>
        <v>1</v>
      </c>
      <c r="Q229" s="7">
        <f t="shared" si="52"/>
        <v>16570</v>
      </c>
      <c r="W229" s="124">
        <f t="shared" si="53"/>
        <v>12590664.523750002</v>
      </c>
      <c r="X229">
        <f t="shared" si="54"/>
        <v>0</v>
      </c>
    </row>
    <row r="230" spans="1:24">
      <c r="A230" s="23" t="s">
        <v>493</v>
      </c>
      <c r="B230" s="37" t="s">
        <v>233</v>
      </c>
      <c r="C230" s="125">
        <v>24499</v>
      </c>
      <c r="D230" s="132">
        <v>4954447059</v>
      </c>
      <c r="E230" s="116">
        <f t="shared" si="55"/>
        <v>202230.58324829585</v>
      </c>
      <c r="F230" s="134">
        <v>3366158453</v>
      </c>
      <c r="G230" s="117">
        <f t="shared" si="56"/>
        <v>137399.83072778481</v>
      </c>
      <c r="H230" s="9"/>
      <c r="I230" s="136">
        <v>2.4</v>
      </c>
      <c r="J230" s="134">
        <v>8078780.2872000001</v>
      </c>
      <c r="K230" s="120">
        <f t="shared" si="57"/>
        <v>329.75959374668355</v>
      </c>
      <c r="L230" s="122">
        <f t="shared" si="48"/>
        <v>33661584.530000001</v>
      </c>
      <c r="M230" s="116">
        <f t="shared" si="49"/>
        <v>25582804.242800001</v>
      </c>
      <c r="N230" s="123">
        <f t="shared" si="50"/>
        <v>1044.2387135311646</v>
      </c>
      <c r="O230" s="5"/>
      <c r="P230" s="5">
        <f t="shared" si="51"/>
        <v>1</v>
      </c>
      <c r="Q230" s="7">
        <f t="shared" si="52"/>
        <v>24499</v>
      </c>
      <c r="W230" s="124">
        <f t="shared" si="53"/>
        <v>8078780.2871999992</v>
      </c>
      <c r="X230">
        <f t="shared" si="54"/>
        <v>0</v>
      </c>
    </row>
    <row r="231" spans="1:24">
      <c r="A231" s="23" t="s">
        <v>256</v>
      </c>
      <c r="B231" s="37" t="s">
        <v>233</v>
      </c>
      <c r="C231" s="125">
        <v>18419</v>
      </c>
      <c r="D231" s="132">
        <v>7151111697</v>
      </c>
      <c r="E231" s="116">
        <f t="shared" ref="E231:E262" si="58">(D231/C231)</f>
        <v>388246.46815788047</v>
      </c>
      <c r="F231" s="134">
        <v>5358161091</v>
      </c>
      <c r="G231" s="117">
        <f t="shared" ref="G231:G262" si="59">(F231/C231)</f>
        <v>290904.01710190566</v>
      </c>
      <c r="H231" s="9"/>
      <c r="I231" s="150">
        <v>2.35</v>
      </c>
      <c r="J231" s="134">
        <v>12591678.563850001</v>
      </c>
      <c r="K231" s="120">
        <f t="shared" ref="K231:K262" si="60">(J231/C231)</f>
        <v>683.62444018947826</v>
      </c>
      <c r="L231" s="122">
        <f t="shared" si="48"/>
        <v>53581610.910000004</v>
      </c>
      <c r="M231" s="116">
        <f t="shared" si="49"/>
        <v>40989932.346150003</v>
      </c>
      <c r="N231" s="123">
        <f t="shared" si="50"/>
        <v>2225.4157308295785</v>
      </c>
      <c r="O231" s="5"/>
      <c r="P231" s="5">
        <f t="shared" si="51"/>
        <v>1</v>
      </c>
      <c r="Q231" s="7">
        <f t="shared" si="52"/>
        <v>18419</v>
      </c>
      <c r="W231" s="124">
        <f t="shared" si="53"/>
        <v>12591678.563850001</v>
      </c>
      <c r="X231">
        <f t="shared" si="54"/>
        <v>0</v>
      </c>
    </row>
    <row r="232" spans="1:24">
      <c r="A232" s="23" t="s">
        <v>257</v>
      </c>
      <c r="B232" s="37" t="s">
        <v>233</v>
      </c>
      <c r="C232" s="125">
        <v>12071</v>
      </c>
      <c r="D232" s="132">
        <v>3020882220</v>
      </c>
      <c r="E232" s="116">
        <f t="shared" si="58"/>
        <v>250259.48305857013</v>
      </c>
      <c r="F232" s="134">
        <v>2088666664</v>
      </c>
      <c r="G232" s="117">
        <f t="shared" si="59"/>
        <v>173031.78394499212</v>
      </c>
      <c r="H232" s="9"/>
      <c r="I232" s="136">
        <v>4.3</v>
      </c>
      <c r="J232" s="134">
        <v>8981266.655199999</v>
      </c>
      <c r="K232" s="120">
        <f t="shared" si="60"/>
        <v>744.03667096346612</v>
      </c>
      <c r="L232" s="122">
        <f t="shared" si="48"/>
        <v>20886666.640000001</v>
      </c>
      <c r="M232" s="116">
        <f t="shared" si="49"/>
        <v>11905399.984800002</v>
      </c>
      <c r="N232" s="123">
        <f t="shared" si="50"/>
        <v>986.28116848645527</v>
      </c>
      <c r="O232" s="5"/>
      <c r="P232" s="5">
        <f t="shared" si="51"/>
        <v>1</v>
      </c>
      <c r="Q232" s="7">
        <f t="shared" si="52"/>
        <v>12071</v>
      </c>
      <c r="W232" s="124">
        <f t="shared" si="53"/>
        <v>8981266.6552000009</v>
      </c>
      <c r="X232">
        <f t="shared" si="54"/>
        <v>0</v>
      </c>
    </row>
    <row r="233" spans="1:24">
      <c r="A233" s="23" t="s">
        <v>258</v>
      </c>
      <c r="B233" s="37" t="s">
        <v>233</v>
      </c>
      <c r="C233" s="125">
        <v>22655</v>
      </c>
      <c r="D233" s="132">
        <v>13259504666</v>
      </c>
      <c r="E233" s="116">
        <f t="shared" si="58"/>
        <v>585279.3937762084</v>
      </c>
      <c r="F233" s="134">
        <v>12380589679</v>
      </c>
      <c r="G233" s="117">
        <f t="shared" si="59"/>
        <v>546483.76424630324</v>
      </c>
      <c r="H233" s="9"/>
      <c r="I233" s="136">
        <v>2.1</v>
      </c>
      <c r="J233" s="134">
        <v>25999238.325900003</v>
      </c>
      <c r="K233" s="120">
        <f t="shared" si="60"/>
        <v>1147.615904917237</v>
      </c>
      <c r="L233" s="122">
        <f t="shared" si="48"/>
        <v>123805896.79000001</v>
      </c>
      <c r="M233" s="116">
        <f t="shared" si="49"/>
        <v>97806658.464100003</v>
      </c>
      <c r="N233" s="123">
        <f t="shared" si="50"/>
        <v>4317.2217375457958</v>
      </c>
      <c r="O233" s="5"/>
      <c r="P233" s="5">
        <f t="shared" si="51"/>
        <v>1</v>
      </c>
      <c r="Q233" s="7">
        <f t="shared" si="52"/>
        <v>22655</v>
      </c>
      <c r="W233" s="124">
        <f t="shared" si="53"/>
        <v>25999238.325900003</v>
      </c>
      <c r="X233">
        <f t="shared" si="54"/>
        <v>0</v>
      </c>
    </row>
    <row r="234" spans="1:24">
      <c r="A234" s="23" t="s">
        <v>259</v>
      </c>
      <c r="B234" s="37" t="s">
        <v>233</v>
      </c>
      <c r="C234" s="125">
        <v>5593</v>
      </c>
      <c r="D234" s="132">
        <v>3845132924</v>
      </c>
      <c r="E234" s="116">
        <f t="shared" si="58"/>
        <v>687490.24208832474</v>
      </c>
      <c r="F234" s="134">
        <v>3223726166</v>
      </c>
      <c r="G234" s="117">
        <f t="shared" si="59"/>
        <v>576385.86912211694</v>
      </c>
      <c r="H234" s="9"/>
      <c r="I234" s="136">
        <v>4.2</v>
      </c>
      <c r="J234" s="134">
        <v>13539649.897200001</v>
      </c>
      <c r="K234" s="120">
        <f t="shared" si="60"/>
        <v>2420.8206503128913</v>
      </c>
      <c r="L234" s="122">
        <f t="shared" si="48"/>
        <v>32237261.66</v>
      </c>
      <c r="M234" s="116">
        <f t="shared" si="49"/>
        <v>18697611.762800001</v>
      </c>
      <c r="N234" s="123">
        <f t="shared" si="50"/>
        <v>3343.0380409082782</v>
      </c>
      <c r="O234" s="5"/>
      <c r="P234" s="5">
        <f t="shared" si="51"/>
        <v>1</v>
      </c>
      <c r="Q234" s="7">
        <f t="shared" si="52"/>
        <v>5593</v>
      </c>
      <c r="W234" s="124">
        <f t="shared" si="53"/>
        <v>13539649.897200001</v>
      </c>
      <c r="X234">
        <f t="shared" si="54"/>
        <v>0</v>
      </c>
    </row>
    <row r="235" spans="1:24">
      <c r="A235" s="23" t="s">
        <v>260</v>
      </c>
      <c r="B235" s="35" t="s">
        <v>233</v>
      </c>
      <c r="C235" s="125">
        <v>19941</v>
      </c>
      <c r="D235" s="132">
        <v>2656627174</v>
      </c>
      <c r="E235" s="116">
        <f t="shared" si="58"/>
        <v>133224.37059325009</v>
      </c>
      <c r="F235" s="134">
        <v>2021622127</v>
      </c>
      <c r="G235" s="117">
        <f t="shared" si="59"/>
        <v>101380.17787473045</v>
      </c>
      <c r="H235" s="9"/>
      <c r="I235" s="150">
        <v>3.9948000000000001</v>
      </c>
      <c r="J235" s="134">
        <v>8075976.0729395999</v>
      </c>
      <c r="K235" s="120">
        <f t="shared" si="60"/>
        <v>404.99353457397319</v>
      </c>
      <c r="L235" s="122">
        <f t="shared" si="48"/>
        <v>20216221.27</v>
      </c>
      <c r="M235" s="116">
        <f t="shared" si="49"/>
        <v>12140245.197060399</v>
      </c>
      <c r="N235" s="123">
        <f t="shared" si="50"/>
        <v>608.80824417333122</v>
      </c>
      <c r="O235" s="5"/>
      <c r="P235" s="5">
        <f t="shared" si="51"/>
        <v>1</v>
      </c>
      <c r="Q235" s="7">
        <f t="shared" si="52"/>
        <v>19941</v>
      </c>
      <c r="W235" s="124">
        <f t="shared" si="53"/>
        <v>8075976.0729395999</v>
      </c>
      <c r="X235">
        <f t="shared" si="54"/>
        <v>0</v>
      </c>
    </row>
    <row r="236" spans="1:24">
      <c r="A236" s="23" t="s">
        <v>261</v>
      </c>
      <c r="B236" s="35" t="s">
        <v>233</v>
      </c>
      <c r="C236" s="125">
        <v>2371</v>
      </c>
      <c r="D236" s="132">
        <v>435624995</v>
      </c>
      <c r="E236" s="116">
        <f t="shared" si="58"/>
        <v>183730.49135385914</v>
      </c>
      <c r="F236" s="134">
        <v>347348649</v>
      </c>
      <c r="G236" s="117">
        <f t="shared" si="59"/>
        <v>146498.79755377478</v>
      </c>
      <c r="H236" s="9"/>
      <c r="I236" s="136">
        <v>4.9000000000000004</v>
      </c>
      <c r="J236" s="134">
        <v>1702008.3801000002</v>
      </c>
      <c r="K236" s="120">
        <f t="shared" si="60"/>
        <v>717.84410801349645</v>
      </c>
      <c r="L236" s="122">
        <f t="shared" si="48"/>
        <v>3473486.49</v>
      </c>
      <c r="M236" s="116">
        <f t="shared" si="49"/>
        <v>1771478.1099</v>
      </c>
      <c r="N236" s="123">
        <f t="shared" si="50"/>
        <v>747.14386752425139</v>
      </c>
      <c r="O236" s="5"/>
      <c r="P236" s="5">
        <f t="shared" si="51"/>
        <v>1</v>
      </c>
      <c r="Q236" s="7">
        <f t="shared" si="52"/>
        <v>2371</v>
      </c>
      <c r="S236" s="124"/>
      <c r="T236" s="124"/>
      <c r="U236" s="124"/>
      <c r="W236" s="124">
        <f t="shared" si="53"/>
        <v>1702008.3801000002</v>
      </c>
      <c r="X236">
        <f t="shared" si="54"/>
        <v>0</v>
      </c>
    </row>
    <row r="237" spans="1:24">
      <c r="A237" s="23" t="s">
        <v>262</v>
      </c>
      <c r="B237" s="35" t="s">
        <v>233</v>
      </c>
      <c r="C237" s="125">
        <v>7275</v>
      </c>
      <c r="D237" s="132">
        <v>977050800</v>
      </c>
      <c r="E237" s="116">
        <f t="shared" si="58"/>
        <v>134302.51546391752</v>
      </c>
      <c r="F237" s="134">
        <v>723218698</v>
      </c>
      <c r="G237" s="117">
        <f t="shared" si="59"/>
        <v>99411.504879725093</v>
      </c>
      <c r="H237" s="7"/>
      <c r="I237" s="136">
        <v>6.8857999999999997</v>
      </c>
      <c r="J237" s="134">
        <v>4979939.3106883997</v>
      </c>
      <c r="K237" s="120">
        <f t="shared" si="60"/>
        <v>684.52774030081093</v>
      </c>
      <c r="L237" s="122">
        <f t="shared" si="48"/>
        <v>7232186.9800000004</v>
      </c>
      <c r="M237" s="116">
        <f t="shared" si="49"/>
        <v>2252247.6693116007</v>
      </c>
      <c r="N237" s="123">
        <f t="shared" si="50"/>
        <v>309.58730849643996</v>
      </c>
      <c r="O237" s="5"/>
      <c r="P237" s="5">
        <f t="shared" si="51"/>
        <v>1</v>
      </c>
      <c r="Q237" s="7">
        <f t="shared" si="52"/>
        <v>7275</v>
      </c>
      <c r="S237" s="124">
        <f>SUM(D204:D237)</f>
        <v>318625735112</v>
      </c>
      <c r="T237" s="124">
        <f>SUM(F204:F237)</f>
        <v>242140828951</v>
      </c>
      <c r="U237" s="124">
        <f>SUM(J204:J237)</f>
        <v>1298327642.6187901</v>
      </c>
      <c r="W237" s="124">
        <f t="shared" si="53"/>
        <v>4979939.3106883997</v>
      </c>
      <c r="X237">
        <f t="shared" si="54"/>
        <v>0</v>
      </c>
    </row>
    <row r="238" spans="1:24">
      <c r="A238" s="23" t="s">
        <v>263</v>
      </c>
      <c r="B238" s="35" t="s">
        <v>264</v>
      </c>
      <c r="C238" s="125">
        <v>7116</v>
      </c>
      <c r="D238" s="132">
        <v>5267403286</v>
      </c>
      <c r="E238" s="116">
        <f t="shared" si="58"/>
        <v>740219.68605958403</v>
      </c>
      <c r="F238" s="134">
        <v>4276237829</v>
      </c>
      <c r="G238" s="117">
        <f t="shared" si="59"/>
        <v>600932.80340078694</v>
      </c>
      <c r="H238" s="7"/>
      <c r="I238" s="136">
        <v>3</v>
      </c>
      <c r="J238" s="134">
        <v>12828713.487</v>
      </c>
      <c r="K238" s="120">
        <f t="shared" si="60"/>
        <v>1802.7984102023609</v>
      </c>
      <c r="L238" s="122">
        <f t="shared" si="48"/>
        <v>42762378.289999999</v>
      </c>
      <c r="M238" s="116">
        <f t="shared" si="49"/>
        <v>29933664.802999999</v>
      </c>
      <c r="N238" s="123">
        <f t="shared" si="50"/>
        <v>4206.5296238055089</v>
      </c>
      <c r="O238" s="5"/>
      <c r="P238" s="5">
        <f t="shared" si="51"/>
        <v>1</v>
      </c>
      <c r="Q238" s="7">
        <f t="shared" si="52"/>
        <v>7116</v>
      </c>
      <c r="W238" s="124">
        <f t="shared" si="53"/>
        <v>12828713.487</v>
      </c>
      <c r="X238">
        <f t="shared" si="54"/>
        <v>0</v>
      </c>
    </row>
    <row r="239" spans="1:24">
      <c r="A239" s="23" t="s">
        <v>265</v>
      </c>
      <c r="B239" s="35" t="s">
        <v>264</v>
      </c>
      <c r="C239" s="125">
        <v>793</v>
      </c>
      <c r="D239" s="132">
        <v>913561935</v>
      </c>
      <c r="E239" s="116">
        <f t="shared" si="58"/>
        <v>1152032.7049180327</v>
      </c>
      <c r="F239" s="134">
        <v>828758858</v>
      </c>
      <c r="G239" s="117">
        <f t="shared" si="59"/>
        <v>1045093.1374527112</v>
      </c>
      <c r="H239" s="7"/>
      <c r="I239" s="136">
        <v>2.8725999999999998</v>
      </c>
      <c r="J239" s="134">
        <v>2380692.6954907998</v>
      </c>
      <c r="K239" s="120">
        <f t="shared" si="60"/>
        <v>3002.1345466466582</v>
      </c>
      <c r="L239" s="122">
        <f t="shared" si="48"/>
        <v>8287588.5800000001</v>
      </c>
      <c r="M239" s="116">
        <f t="shared" si="49"/>
        <v>5906895.8845092002</v>
      </c>
      <c r="N239" s="123">
        <f t="shared" si="50"/>
        <v>7448.7968278804547</v>
      </c>
      <c r="O239" s="5"/>
      <c r="P239" s="5">
        <f t="shared" si="51"/>
        <v>1</v>
      </c>
      <c r="Q239" s="7">
        <f t="shared" si="52"/>
        <v>793</v>
      </c>
      <c r="W239" s="124">
        <f t="shared" si="53"/>
        <v>2380692.6954907998</v>
      </c>
      <c r="X239">
        <f t="shared" si="54"/>
        <v>0</v>
      </c>
    </row>
    <row r="240" spans="1:24">
      <c r="A240" s="23" t="s">
        <v>266</v>
      </c>
      <c r="B240" s="35" t="s">
        <v>264</v>
      </c>
      <c r="C240" s="125">
        <v>26687</v>
      </c>
      <c r="D240" s="132">
        <v>12965874429</v>
      </c>
      <c r="E240" s="116">
        <f t="shared" si="58"/>
        <v>485849.83059167385</v>
      </c>
      <c r="F240" s="134">
        <v>8229630855</v>
      </c>
      <c r="G240" s="117">
        <f t="shared" si="59"/>
        <v>308376.02034698543</v>
      </c>
      <c r="H240" s="7"/>
      <c r="I240" s="136">
        <v>2.1360000000000001</v>
      </c>
      <c r="J240" s="134">
        <v>17578491.506280001</v>
      </c>
      <c r="K240" s="120">
        <f t="shared" si="60"/>
        <v>658.69117946116091</v>
      </c>
      <c r="L240" s="122">
        <f t="shared" si="48"/>
        <v>82296308.549999997</v>
      </c>
      <c r="M240" s="116">
        <f t="shared" si="49"/>
        <v>64717817.043719992</v>
      </c>
      <c r="N240" s="123">
        <f t="shared" si="50"/>
        <v>2425.0690240086928</v>
      </c>
      <c r="O240" s="5"/>
      <c r="P240" s="5">
        <f t="shared" si="51"/>
        <v>1</v>
      </c>
      <c r="Q240" s="7">
        <f t="shared" si="52"/>
        <v>26687</v>
      </c>
      <c r="W240" s="124">
        <f t="shared" si="53"/>
        <v>17578491.506280001</v>
      </c>
      <c r="X240">
        <f t="shared" si="54"/>
        <v>0</v>
      </c>
    </row>
    <row r="241" spans="1:24">
      <c r="A241" s="23" t="s">
        <v>267</v>
      </c>
      <c r="B241" s="35" t="s">
        <v>264</v>
      </c>
      <c r="C241" s="125">
        <v>211</v>
      </c>
      <c r="D241" s="132">
        <v>97997623</v>
      </c>
      <c r="E241" s="116">
        <f t="shared" si="58"/>
        <v>464443.71090047393</v>
      </c>
      <c r="F241" s="134">
        <v>78895797</v>
      </c>
      <c r="G241" s="117">
        <f t="shared" si="59"/>
        <v>373913.72985781991</v>
      </c>
      <c r="H241" s="7"/>
      <c r="I241" s="136">
        <v>2.5531999999999999</v>
      </c>
      <c r="J241" s="134">
        <v>201436.74890039998</v>
      </c>
      <c r="K241" s="120">
        <f t="shared" si="60"/>
        <v>954.67653507298564</v>
      </c>
      <c r="L241" s="122">
        <f t="shared" si="48"/>
        <v>788957.97</v>
      </c>
      <c r="M241" s="116">
        <f t="shared" si="49"/>
        <v>587521.22109959996</v>
      </c>
      <c r="N241" s="123">
        <f t="shared" si="50"/>
        <v>2784.460763505213</v>
      </c>
      <c r="O241" s="5"/>
      <c r="P241" s="5">
        <f t="shared" si="51"/>
        <v>1</v>
      </c>
      <c r="Q241" s="7">
        <f t="shared" si="52"/>
        <v>211</v>
      </c>
      <c r="W241" s="124">
        <f t="shared" si="53"/>
        <v>201436.74890039998</v>
      </c>
      <c r="X241">
        <f t="shared" si="54"/>
        <v>0</v>
      </c>
    </row>
    <row r="242" spans="1:24">
      <c r="A242" s="23" t="s">
        <v>449</v>
      </c>
      <c r="B242" s="35" t="s">
        <v>264</v>
      </c>
      <c r="C242" s="125">
        <v>9915</v>
      </c>
      <c r="D242" s="132">
        <v>3837556962</v>
      </c>
      <c r="E242" s="116">
        <f t="shared" si="58"/>
        <v>387045.58366111951</v>
      </c>
      <c r="F242" s="134">
        <v>3099781504</v>
      </c>
      <c r="G242" s="117">
        <f t="shared" si="59"/>
        <v>312635.55259707512</v>
      </c>
      <c r="H242" s="7"/>
      <c r="I242" s="136">
        <v>2.77</v>
      </c>
      <c r="J242" s="134">
        <v>8586394.7660799995</v>
      </c>
      <c r="K242" s="120">
        <f t="shared" si="60"/>
        <v>866.00048069389811</v>
      </c>
      <c r="L242" s="122">
        <f t="shared" si="48"/>
        <v>30997815.039999999</v>
      </c>
      <c r="M242" s="116">
        <f t="shared" si="49"/>
        <v>22411420.27392</v>
      </c>
      <c r="N242" s="123">
        <f t="shared" si="50"/>
        <v>2260.3550452768532</v>
      </c>
      <c r="O242" s="5"/>
      <c r="P242" s="5">
        <f t="shared" si="51"/>
        <v>1</v>
      </c>
      <c r="Q242" s="7">
        <f t="shared" si="52"/>
        <v>9915</v>
      </c>
      <c r="S242" s="124">
        <f>SUM(D238:D242)</f>
        <v>23082394235</v>
      </c>
      <c r="T242" s="124">
        <f>SUM(F238:F242)</f>
        <v>16513304843</v>
      </c>
      <c r="U242" s="124">
        <f>SUM(J238:J242)</f>
        <v>41575729.203751199</v>
      </c>
      <c r="W242" s="124">
        <f t="shared" si="53"/>
        <v>8586394.7660799995</v>
      </c>
      <c r="X242">
        <f t="shared" si="54"/>
        <v>0</v>
      </c>
    </row>
    <row r="243" spans="1:24">
      <c r="A243" s="23" t="s">
        <v>268</v>
      </c>
      <c r="B243" s="35" t="s">
        <v>269</v>
      </c>
      <c r="C243" s="125">
        <v>1609</v>
      </c>
      <c r="D243" s="132">
        <v>227309886</v>
      </c>
      <c r="E243" s="116">
        <f t="shared" si="58"/>
        <v>141274.01243008079</v>
      </c>
      <c r="F243" s="134">
        <v>124527926</v>
      </c>
      <c r="G243" s="117">
        <f t="shared" si="59"/>
        <v>77394.609073958985</v>
      </c>
      <c r="H243" s="7"/>
      <c r="I243" s="136">
        <v>2.2799999999999998</v>
      </c>
      <c r="J243" s="134">
        <v>283923.67127999995</v>
      </c>
      <c r="K243" s="120">
        <f t="shared" si="60"/>
        <v>176.45970868862645</v>
      </c>
      <c r="L243" s="122">
        <f t="shared" si="48"/>
        <v>1245279.26</v>
      </c>
      <c r="M243" s="116">
        <f t="shared" si="49"/>
        <v>961355.58872000012</v>
      </c>
      <c r="N243" s="123">
        <f t="shared" si="50"/>
        <v>597.48638205096336</v>
      </c>
      <c r="O243" s="5"/>
      <c r="P243" s="5">
        <f t="shared" si="51"/>
        <v>1</v>
      </c>
      <c r="Q243" s="7">
        <f t="shared" si="52"/>
        <v>1609</v>
      </c>
      <c r="W243" s="124">
        <f t="shared" si="53"/>
        <v>283923.67128000001</v>
      </c>
      <c r="X243">
        <f t="shared" si="54"/>
        <v>0</v>
      </c>
    </row>
    <row r="244" spans="1:24">
      <c r="A244" s="23" t="s">
        <v>270</v>
      </c>
      <c r="B244" s="35" t="s">
        <v>269</v>
      </c>
      <c r="C244" s="125">
        <v>13051</v>
      </c>
      <c r="D244" s="132">
        <v>4511627679</v>
      </c>
      <c r="E244" s="116">
        <f t="shared" si="58"/>
        <v>345692.10627538117</v>
      </c>
      <c r="F244" s="134">
        <v>2998478523</v>
      </c>
      <c r="G244" s="117">
        <f t="shared" si="59"/>
        <v>229750.86376522871</v>
      </c>
      <c r="H244" s="7"/>
      <c r="I244" s="136">
        <v>5.3330000000000002</v>
      </c>
      <c r="J244" s="134">
        <v>15990885.963159001</v>
      </c>
      <c r="K244" s="120">
        <f t="shared" si="60"/>
        <v>1225.2613564599649</v>
      </c>
      <c r="L244" s="122">
        <f t="shared" si="48"/>
        <v>29984785.23</v>
      </c>
      <c r="M244" s="116">
        <f t="shared" si="49"/>
        <v>13993899.266841</v>
      </c>
      <c r="N244" s="123">
        <f t="shared" si="50"/>
        <v>1072.2472811923224</v>
      </c>
      <c r="O244" s="5"/>
      <c r="P244" s="5">
        <f t="shared" si="51"/>
        <v>1</v>
      </c>
      <c r="Q244" s="7">
        <f t="shared" si="52"/>
        <v>13051</v>
      </c>
      <c r="S244" s="124"/>
      <c r="T244" s="124"/>
      <c r="U244" s="124"/>
      <c r="W244" s="124">
        <f t="shared" si="53"/>
        <v>15990885.963159001</v>
      </c>
      <c r="X244">
        <f t="shared" si="54"/>
        <v>0</v>
      </c>
    </row>
    <row r="245" spans="1:24">
      <c r="A245" s="23" t="s">
        <v>271</v>
      </c>
      <c r="B245" s="35" t="s">
        <v>269</v>
      </c>
      <c r="C245" s="125">
        <v>3047</v>
      </c>
      <c r="D245" s="132">
        <v>386926274</v>
      </c>
      <c r="E245" s="116">
        <f t="shared" si="58"/>
        <v>126985.97768296686</v>
      </c>
      <c r="F245" s="156">
        <v>116359730</v>
      </c>
      <c r="G245" s="117">
        <f t="shared" si="59"/>
        <v>38188.293403347554</v>
      </c>
      <c r="H245" s="7"/>
      <c r="I245" s="136">
        <v>2.5</v>
      </c>
      <c r="J245" s="134">
        <v>290899.32500000001</v>
      </c>
      <c r="K245" s="120">
        <f t="shared" si="60"/>
        <v>95.470733508368895</v>
      </c>
      <c r="L245" s="122">
        <f t="shared" si="48"/>
        <v>1163597.3</v>
      </c>
      <c r="M245" s="116">
        <f t="shared" si="49"/>
        <v>872697.97500000009</v>
      </c>
      <c r="N245" s="123">
        <f t="shared" si="50"/>
        <v>286.4122005251067</v>
      </c>
      <c r="O245" s="5"/>
      <c r="P245" s="5">
        <f t="shared" si="51"/>
        <v>1</v>
      </c>
      <c r="Q245" s="7">
        <f t="shared" si="52"/>
        <v>3047</v>
      </c>
      <c r="S245" s="124">
        <f>SUM(D243:D245)</f>
        <v>5125863839</v>
      </c>
      <c r="T245" s="124">
        <f>SUM(F243:F245)</f>
        <v>3239366179</v>
      </c>
      <c r="U245" s="124">
        <f>SUM(J243:J245)</f>
        <v>16565708.959439</v>
      </c>
      <c r="W245" s="124">
        <f t="shared" si="53"/>
        <v>290899.32500000001</v>
      </c>
      <c r="X245">
        <f t="shared" si="54"/>
        <v>0</v>
      </c>
    </row>
    <row r="246" spans="1:24">
      <c r="A246" s="23" t="s">
        <v>272</v>
      </c>
      <c r="B246" s="35" t="s">
        <v>273</v>
      </c>
      <c r="C246" s="125">
        <v>457</v>
      </c>
      <c r="D246" s="132">
        <v>78155696</v>
      </c>
      <c r="E246" s="116">
        <f t="shared" si="58"/>
        <v>171019.02844638951</v>
      </c>
      <c r="F246" s="134">
        <v>60153337</v>
      </c>
      <c r="G246" s="117">
        <f t="shared" si="59"/>
        <v>131626.5579868709</v>
      </c>
      <c r="H246" s="7"/>
      <c r="I246" s="136">
        <v>3</v>
      </c>
      <c r="J246" s="134">
        <v>180460.011</v>
      </c>
      <c r="K246" s="120">
        <f t="shared" si="60"/>
        <v>394.87967396061271</v>
      </c>
      <c r="L246" s="122">
        <f t="shared" si="48"/>
        <v>601533.37</v>
      </c>
      <c r="M246" s="116">
        <f t="shared" si="49"/>
        <v>421073.359</v>
      </c>
      <c r="N246" s="123">
        <f t="shared" si="50"/>
        <v>921.38590590809622</v>
      </c>
      <c r="O246" s="5"/>
      <c r="P246" s="5">
        <f t="shared" si="51"/>
        <v>1</v>
      </c>
      <c r="Q246" s="7">
        <f t="shared" si="52"/>
        <v>457</v>
      </c>
      <c r="W246" s="124">
        <f t="shared" si="53"/>
        <v>180460.011</v>
      </c>
      <c r="X246">
        <f t="shared" si="54"/>
        <v>0</v>
      </c>
    </row>
    <row r="247" spans="1:24">
      <c r="A247" s="23" t="s">
        <v>274</v>
      </c>
      <c r="B247" s="35" t="s">
        <v>273</v>
      </c>
      <c r="C247" s="125">
        <v>27366</v>
      </c>
      <c r="D247" s="132">
        <v>2047753385</v>
      </c>
      <c r="E247" s="116">
        <f t="shared" si="58"/>
        <v>74828.377731491637</v>
      </c>
      <c r="F247" s="134">
        <v>1418167924</v>
      </c>
      <c r="G247" s="117">
        <f t="shared" si="59"/>
        <v>51822.258422860483</v>
      </c>
      <c r="H247" s="9"/>
      <c r="I247" s="136">
        <v>6.9466000000000001</v>
      </c>
      <c r="J247" s="134">
        <v>9851445.3008584008</v>
      </c>
      <c r="K247" s="120">
        <f t="shared" si="60"/>
        <v>359.98850036024265</v>
      </c>
      <c r="L247" s="122">
        <f t="shared" si="48"/>
        <v>14181679.24</v>
      </c>
      <c r="M247" s="116">
        <f t="shared" si="49"/>
        <v>4330233.9391415995</v>
      </c>
      <c r="N247" s="123">
        <f t="shared" si="50"/>
        <v>158.23408386836218</v>
      </c>
      <c r="O247" s="5"/>
      <c r="P247" s="5">
        <f t="shared" si="51"/>
        <v>1</v>
      </c>
      <c r="Q247" s="7">
        <f t="shared" si="52"/>
        <v>27366</v>
      </c>
      <c r="W247" s="124">
        <f t="shared" si="53"/>
        <v>9851445.3008583989</v>
      </c>
      <c r="X247">
        <f t="shared" si="54"/>
        <v>0</v>
      </c>
    </row>
    <row r="248" spans="1:24">
      <c r="A248" s="23" t="s">
        <v>275</v>
      </c>
      <c r="B248" s="35" t="s">
        <v>273</v>
      </c>
      <c r="C248" s="125">
        <v>14217</v>
      </c>
      <c r="D248" s="132">
        <v>7123459439</v>
      </c>
      <c r="E248" s="116">
        <f t="shared" si="58"/>
        <v>501052.22191742278</v>
      </c>
      <c r="F248" s="134">
        <v>6082214143</v>
      </c>
      <c r="G248" s="117">
        <f t="shared" si="59"/>
        <v>427812.76943096292</v>
      </c>
      <c r="H248" s="9"/>
      <c r="I248" s="136">
        <v>1.615</v>
      </c>
      <c r="J248" s="134">
        <v>9822775.8409449998</v>
      </c>
      <c r="K248" s="120">
        <f t="shared" si="60"/>
        <v>690.91762263100509</v>
      </c>
      <c r="L248" s="122">
        <f t="shared" si="48"/>
        <v>60822141.43</v>
      </c>
      <c r="M248" s="116">
        <f t="shared" si="49"/>
        <v>50999365.589055002</v>
      </c>
      <c r="N248" s="123">
        <f t="shared" si="50"/>
        <v>3587.2100716786244</v>
      </c>
      <c r="O248" s="5"/>
      <c r="P248" s="5">
        <f t="shared" si="51"/>
        <v>1</v>
      </c>
      <c r="Q248" s="7">
        <f t="shared" si="52"/>
        <v>14217</v>
      </c>
      <c r="W248" s="124">
        <f t="shared" si="53"/>
        <v>9822775.8409449998</v>
      </c>
      <c r="X248">
        <f t="shared" si="54"/>
        <v>0</v>
      </c>
    </row>
    <row r="249" spans="1:24">
      <c r="A249" s="23" t="s">
        <v>276</v>
      </c>
      <c r="B249" s="35" t="s">
        <v>273</v>
      </c>
      <c r="C249" s="125">
        <v>20948</v>
      </c>
      <c r="D249" s="132">
        <v>2494885384</v>
      </c>
      <c r="E249" s="116">
        <f t="shared" si="58"/>
        <v>119098.97765896506</v>
      </c>
      <c r="F249" s="134">
        <v>1636487931</v>
      </c>
      <c r="G249" s="117">
        <f t="shared" si="59"/>
        <v>78121.440280695053</v>
      </c>
      <c r="H249" s="7"/>
      <c r="I249" s="150">
        <v>5.3292999999999999</v>
      </c>
      <c r="J249" s="134">
        <v>8721335.1306782998</v>
      </c>
      <c r="K249" s="120">
        <f t="shared" si="60"/>
        <v>416.33259168790812</v>
      </c>
      <c r="L249" s="122">
        <f t="shared" si="48"/>
        <v>16364879.310000001</v>
      </c>
      <c r="M249" s="116">
        <f t="shared" si="49"/>
        <v>7643544.1793217007</v>
      </c>
      <c r="N249" s="123">
        <f t="shared" si="50"/>
        <v>364.88181111904242</v>
      </c>
      <c r="O249" s="5"/>
      <c r="P249" s="5">
        <f t="shared" si="51"/>
        <v>1</v>
      </c>
      <c r="Q249" s="7">
        <f t="shared" si="52"/>
        <v>20948</v>
      </c>
      <c r="W249" s="124">
        <f t="shared" si="53"/>
        <v>8721335.1306782998</v>
      </c>
      <c r="X249">
        <f t="shared" si="54"/>
        <v>0</v>
      </c>
    </row>
    <row r="250" spans="1:24">
      <c r="A250" s="23" t="s">
        <v>277</v>
      </c>
      <c r="B250" s="35" t="s">
        <v>273</v>
      </c>
      <c r="C250" s="125">
        <v>624</v>
      </c>
      <c r="D250" s="132">
        <v>38064610</v>
      </c>
      <c r="E250" s="116">
        <f t="shared" si="58"/>
        <v>61000.977564102563</v>
      </c>
      <c r="F250" s="134">
        <v>21554100</v>
      </c>
      <c r="G250" s="117">
        <f t="shared" si="59"/>
        <v>34541.826923076922</v>
      </c>
      <c r="H250" s="7"/>
      <c r="I250" s="136">
        <v>3.5</v>
      </c>
      <c r="J250" s="134">
        <v>75439.350000000006</v>
      </c>
      <c r="K250" s="120">
        <f t="shared" si="60"/>
        <v>120.89639423076925</v>
      </c>
      <c r="L250" s="122">
        <f t="shared" si="48"/>
        <v>215541</v>
      </c>
      <c r="M250" s="116">
        <f t="shared" si="49"/>
        <v>140101.65</v>
      </c>
      <c r="N250" s="123">
        <f t="shared" si="50"/>
        <v>224.52187499999999</v>
      </c>
      <c r="O250" s="5"/>
      <c r="P250" s="5">
        <f t="shared" si="51"/>
        <v>1</v>
      </c>
      <c r="Q250" s="7">
        <f t="shared" si="52"/>
        <v>624</v>
      </c>
      <c r="W250" s="124">
        <f t="shared" si="53"/>
        <v>75439.350000000006</v>
      </c>
      <c r="X250">
        <f t="shared" si="54"/>
        <v>0</v>
      </c>
    </row>
    <row r="251" spans="1:24">
      <c r="A251" s="23" t="s">
        <v>278</v>
      </c>
      <c r="B251" s="35" t="s">
        <v>273</v>
      </c>
      <c r="C251" s="125">
        <v>4027</v>
      </c>
      <c r="D251" s="132">
        <v>500904726</v>
      </c>
      <c r="E251" s="116">
        <f t="shared" si="58"/>
        <v>124386.57213806805</v>
      </c>
      <c r="F251" s="134">
        <v>331194007</v>
      </c>
      <c r="G251" s="117">
        <f t="shared" si="59"/>
        <v>82243.359076235414</v>
      </c>
      <c r="H251" s="7"/>
      <c r="I251" s="136">
        <v>5.0260999999999996</v>
      </c>
      <c r="J251" s="134">
        <v>1664614.1985826998</v>
      </c>
      <c r="K251" s="120">
        <f t="shared" si="60"/>
        <v>413.36334705306672</v>
      </c>
      <c r="L251" s="122">
        <f t="shared" si="48"/>
        <v>3311940.0700000003</v>
      </c>
      <c r="M251" s="116">
        <f t="shared" si="49"/>
        <v>1647325.8714173005</v>
      </c>
      <c r="N251" s="123">
        <f t="shared" si="50"/>
        <v>409.07024370928747</v>
      </c>
      <c r="O251" s="5"/>
      <c r="P251" s="5">
        <f t="shared" si="51"/>
        <v>1</v>
      </c>
      <c r="Q251" s="7">
        <f t="shared" si="52"/>
        <v>4027</v>
      </c>
      <c r="W251" s="124">
        <f t="shared" si="53"/>
        <v>1664614.1985826998</v>
      </c>
      <c r="X251">
        <f t="shared" si="54"/>
        <v>0</v>
      </c>
    </row>
    <row r="252" spans="1:24">
      <c r="A252" s="23" t="s">
        <v>279</v>
      </c>
      <c r="B252" s="35" t="s">
        <v>273</v>
      </c>
      <c r="C252" s="125">
        <v>16040</v>
      </c>
      <c r="D252" s="132">
        <v>2071387297</v>
      </c>
      <c r="E252" s="116">
        <f t="shared" si="58"/>
        <v>129138.85891521197</v>
      </c>
      <c r="F252" s="134">
        <v>1335496911</v>
      </c>
      <c r="G252" s="117">
        <f t="shared" si="59"/>
        <v>83260.405922693273</v>
      </c>
      <c r="H252" s="7"/>
      <c r="I252" s="136">
        <v>3.7</v>
      </c>
      <c r="J252" s="134">
        <v>4941338.5707</v>
      </c>
      <c r="K252" s="120">
        <f t="shared" si="60"/>
        <v>308.06350191396507</v>
      </c>
      <c r="L252" s="122">
        <f t="shared" si="48"/>
        <v>13354969.109999999</v>
      </c>
      <c r="M252" s="116">
        <f t="shared" si="49"/>
        <v>8413630.5392999984</v>
      </c>
      <c r="N252" s="123">
        <f t="shared" si="50"/>
        <v>524.54055731296751</v>
      </c>
      <c r="O252" s="5"/>
      <c r="P252" s="5">
        <f t="shared" si="51"/>
        <v>1</v>
      </c>
      <c r="Q252" s="7">
        <f t="shared" si="52"/>
        <v>16040</v>
      </c>
      <c r="W252" s="124">
        <f t="shared" si="53"/>
        <v>4941338.5707</v>
      </c>
      <c r="X252">
        <f t="shared" si="54"/>
        <v>0</v>
      </c>
    </row>
    <row r="253" spans="1:24">
      <c r="A253" s="23" t="s">
        <v>280</v>
      </c>
      <c r="B253" s="35" t="s">
        <v>273</v>
      </c>
      <c r="C253" s="125">
        <v>763</v>
      </c>
      <c r="D253" s="132">
        <v>162799764</v>
      </c>
      <c r="E253" s="116">
        <f t="shared" si="58"/>
        <v>213367.97378768021</v>
      </c>
      <c r="F253" s="134">
        <v>111836739</v>
      </c>
      <c r="G253" s="117">
        <f t="shared" si="59"/>
        <v>146575.01834862385</v>
      </c>
      <c r="H253" s="7"/>
      <c r="I253" s="136">
        <v>1.8</v>
      </c>
      <c r="J253" s="134">
        <v>201306.13020000001</v>
      </c>
      <c r="K253" s="120">
        <f t="shared" si="60"/>
        <v>263.83503302752297</v>
      </c>
      <c r="L253" s="122">
        <f t="shared" si="48"/>
        <v>1118367.3900000001</v>
      </c>
      <c r="M253" s="116">
        <f t="shared" si="49"/>
        <v>917061.25980000012</v>
      </c>
      <c r="N253" s="123">
        <f t="shared" si="50"/>
        <v>1201.9151504587157</v>
      </c>
      <c r="O253" s="5"/>
      <c r="P253" s="5">
        <f t="shared" si="51"/>
        <v>1</v>
      </c>
      <c r="Q253" s="7">
        <f t="shared" si="52"/>
        <v>763</v>
      </c>
      <c r="S253" s="124"/>
      <c r="T253" s="124"/>
      <c r="U253" s="124"/>
      <c r="W253" s="124">
        <f t="shared" si="53"/>
        <v>201306.13019999999</v>
      </c>
      <c r="X253">
        <f t="shared" si="54"/>
        <v>0</v>
      </c>
    </row>
    <row r="254" spans="1:24">
      <c r="A254" s="23" t="s">
        <v>281</v>
      </c>
      <c r="B254" s="35" t="s">
        <v>273</v>
      </c>
      <c r="C254" s="125">
        <v>4793</v>
      </c>
      <c r="D254" s="132">
        <v>494135146</v>
      </c>
      <c r="E254" s="116">
        <f t="shared" si="58"/>
        <v>103095.16920509076</v>
      </c>
      <c r="F254" s="134">
        <v>295524247</v>
      </c>
      <c r="G254" s="117">
        <f t="shared" si="59"/>
        <v>61657.468600041728</v>
      </c>
      <c r="H254" s="7"/>
      <c r="I254" s="136">
        <v>5.024</v>
      </c>
      <c r="J254" s="134">
        <v>1484713.816928</v>
      </c>
      <c r="K254" s="120">
        <f t="shared" si="60"/>
        <v>309.76712224660963</v>
      </c>
      <c r="L254" s="122">
        <f t="shared" si="48"/>
        <v>2955242.47</v>
      </c>
      <c r="M254" s="116">
        <f t="shared" si="49"/>
        <v>1470528.6530720002</v>
      </c>
      <c r="N254" s="123">
        <f t="shared" si="50"/>
        <v>306.8075637538077</v>
      </c>
      <c r="O254" s="5"/>
      <c r="P254" s="5">
        <f t="shared" si="51"/>
        <v>1</v>
      </c>
      <c r="Q254" s="7">
        <f t="shared" si="52"/>
        <v>4793</v>
      </c>
      <c r="S254" s="124">
        <f>SUM(D246:D254)</f>
        <v>15011545447</v>
      </c>
      <c r="T254" s="124">
        <f>SUM(F246:F254)</f>
        <v>11292629339</v>
      </c>
      <c r="U254" s="124">
        <f>SUM(J246:J254)</f>
        <v>36943428.3498924</v>
      </c>
      <c r="W254" s="124">
        <f t="shared" si="53"/>
        <v>1484713.816928</v>
      </c>
      <c r="X254">
        <f t="shared" si="54"/>
        <v>0</v>
      </c>
    </row>
    <row r="255" spans="1:24">
      <c r="A255" s="23" t="s">
        <v>282</v>
      </c>
      <c r="B255" s="35" t="s">
        <v>282</v>
      </c>
      <c r="C255" s="125">
        <v>5284</v>
      </c>
      <c r="D255" s="132">
        <v>535641788</v>
      </c>
      <c r="E255" s="116">
        <f t="shared" si="58"/>
        <v>101370.51249053747</v>
      </c>
      <c r="F255" s="134">
        <v>351362775</v>
      </c>
      <c r="G255" s="117">
        <f t="shared" si="59"/>
        <v>66495.604655563962</v>
      </c>
      <c r="H255" s="7"/>
      <c r="I255" s="136">
        <v>7.6017999999999999</v>
      </c>
      <c r="J255" s="134">
        <v>2670989.5429949998</v>
      </c>
      <c r="K255" s="120">
        <f t="shared" si="60"/>
        <v>505.48628747066613</v>
      </c>
      <c r="L255" s="122">
        <f t="shared" si="48"/>
        <v>3513627.75</v>
      </c>
      <c r="M255" s="116">
        <f t="shared" si="49"/>
        <v>842638.20700500021</v>
      </c>
      <c r="N255" s="123">
        <f t="shared" si="50"/>
        <v>159.46975908497353</v>
      </c>
      <c r="O255" s="5"/>
      <c r="P255" s="5">
        <f t="shared" si="51"/>
        <v>1</v>
      </c>
      <c r="Q255" s="7">
        <f t="shared" si="52"/>
        <v>5284</v>
      </c>
      <c r="S255" s="124">
        <f>SUM(D255)</f>
        <v>535641788</v>
      </c>
      <c r="T255" s="124">
        <f>SUM(F255)</f>
        <v>351362775</v>
      </c>
      <c r="U255" s="124">
        <f>SUM(J255)</f>
        <v>2670989.5429949998</v>
      </c>
      <c r="W255" s="124">
        <f t="shared" si="53"/>
        <v>2670989.5429949998</v>
      </c>
      <c r="X255">
        <f t="shared" si="54"/>
        <v>0</v>
      </c>
    </row>
    <row r="256" spans="1:24">
      <c r="A256" s="23" t="s">
        <v>283</v>
      </c>
      <c r="B256" s="35" t="s">
        <v>284</v>
      </c>
      <c r="C256" s="125">
        <v>56727</v>
      </c>
      <c r="D256" s="132">
        <v>6348447749</v>
      </c>
      <c r="E256" s="116">
        <f t="shared" si="58"/>
        <v>111912.27720485836</v>
      </c>
      <c r="F256" s="134">
        <v>4209498924</v>
      </c>
      <c r="G256" s="117">
        <f t="shared" si="59"/>
        <v>74206.267280131156</v>
      </c>
      <c r="H256" s="7"/>
      <c r="I256" s="136">
        <v>4.1875999999999998</v>
      </c>
      <c r="J256" s="134">
        <v>17627697.694142397</v>
      </c>
      <c r="K256" s="120">
        <f t="shared" si="60"/>
        <v>310.74616486227717</v>
      </c>
      <c r="L256" s="122">
        <f t="shared" si="48"/>
        <v>42094989.240000002</v>
      </c>
      <c r="M256" s="116">
        <f t="shared" si="49"/>
        <v>24467291.545857605</v>
      </c>
      <c r="N256" s="123">
        <f t="shared" si="50"/>
        <v>431.31650793903441</v>
      </c>
      <c r="O256" s="5"/>
      <c r="P256" s="5">
        <f t="shared" si="51"/>
        <v>1</v>
      </c>
      <c r="Q256" s="7">
        <f t="shared" si="52"/>
        <v>56727</v>
      </c>
      <c r="W256" s="124">
        <f t="shared" si="53"/>
        <v>17627697.694142397</v>
      </c>
      <c r="X256">
        <f t="shared" si="54"/>
        <v>0</v>
      </c>
    </row>
    <row r="257" spans="1:24">
      <c r="A257" s="23" t="s">
        <v>285</v>
      </c>
      <c r="B257" s="35" t="s">
        <v>284</v>
      </c>
      <c r="C257" s="125">
        <v>29</v>
      </c>
      <c r="D257" s="132">
        <v>9808977590</v>
      </c>
      <c r="E257" s="116">
        <f t="shared" si="58"/>
        <v>338240606.55172414</v>
      </c>
      <c r="F257" s="134">
        <v>9178415244</v>
      </c>
      <c r="G257" s="117">
        <f t="shared" si="59"/>
        <v>316497077.37931037</v>
      </c>
      <c r="H257" s="7"/>
      <c r="I257" s="136">
        <v>2.1244000000000001</v>
      </c>
      <c r="J257" s="134">
        <v>19498625.344353601</v>
      </c>
      <c r="K257" s="120">
        <f t="shared" si="60"/>
        <v>672366.39118460694</v>
      </c>
      <c r="L257" s="122">
        <f t="shared" si="48"/>
        <v>91784152.439999998</v>
      </c>
      <c r="M257" s="116">
        <f t="shared" si="49"/>
        <v>72285527.095646396</v>
      </c>
      <c r="N257" s="123">
        <f t="shared" si="50"/>
        <v>2492604.3826084966</v>
      </c>
      <c r="O257" s="5"/>
      <c r="P257" s="5">
        <f t="shared" si="51"/>
        <v>1</v>
      </c>
      <c r="Q257" s="7">
        <f t="shared" si="52"/>
        <v>29</v>
      </c>
      <c r="W257" s="124">
        <f t="shared" si="53"/>
        <v>19498625.344353601</v>
      </c>
      <c r="X257">
        <f t="shared" si="54"/>
        <v>0</v>
      </c>
    </row>
    <row r="258" spans="1:24">
      <c r="A258" s="23" t="s">
        <v>286</v>
      </c>
      <c r="B258" s="35" t="s">
        <v>284</v>
      </c>
      <c r="C258" s="125">
        <v>7027</v>
      </c>
      <c r="D258" s="132">
        <v>1274961167</v>
      </c>
      <c r="E258" s="116">
        <f t="shared" si="58"/>
        <v>181437.47929415113</v>
      </c>
      <c r="F258" s="134">
        <v>878675990</v>
      </c>
      <c r="G258" s="117">
        <f t="shared" si="59"/>
        <v>125042.83335705138</v>
      </c>
      <c r="H258" s="7"/>
      <c r="I258" s="136">
        <v>4.4017999999999997</v>
      </c>
      <c r="J258" s="134">
        <v>3867755.9727819995</v>
      </c>
      <c r="K258" s="120">
        <f t="shared" si="60"/>
        <v>550.41354387106867</v>
      </c>
      <c r="L258" s="122">
        <f t="shared" si="48"/>
        <v>8786759.9000000004</v>
      </c>
      <c r="M258" s="116">
        <f t="shared" si="49"/>
        <v>4919003.9272180013</v>
      </c>
      <c r="N258" s="123">
        <f t="shared" si="50"/>
        <v>700.01478969944515</v>
      </c>
      <c r="O258" s="5"/>
      <c r="P258" s="5">
        <f t="shared" si="51"/>
        <v>1</v>
      </c>
      <c r="Q258" s="7">
        <f t="shared" si="52"/>
        <v>7027</v>
      </c>
      <c r="W258" s="124">
        <f t="shared" si="53"/>
        <v>3867755.972782</v>
      </c>
      <c r="X258">
        <f t="shared" si="54"/>
        <v>0</v>
      </c>
    </row>
    <row r="259" spans="1:24">
      <c r="A259" s="23" t="s">
        <v>287</v>
      </c>
      <c r="B259" s="35" t="s">
        <v>284</v>
      </c>
      <c r="C259" s="125">
        <v>2344</v>
      </c>
      <c r="D259" s="132">
        <v>364910668</v>
      </c>
      <c r="E259" s="116">
        <f t="shared" si="58"/>
        <v>155678.61262798635</v>
      </c>
      <c r="F259" s="134">
        <v>254921668</v>
      </c>
      <c r="G259" s="117">
        <f t="shared" si="59"/>
        <v>108754.97781569966</v>
      </c>
      <c r="H259" s="7"/>
      <c r="I259" s="136">
        <v>7.2938000000000001</v>
      </c>
      <c r="J259" s="134">
        <v>1859347.6620584</v>
      </c>
      <c r="K259" s="120">
        <f t="shared" si="60"/>
        <v>793.23705719215013</v>
      </c>
      <c r="L259" s="122">
        <f t="shared" si="48"/>
        <v>2549216.6800000002</v>
      </c>
      <c r="M259" s="116">
        <f t="shared" si="49"/>
        <v>689869.01794160018</v>
      </c>
      <c r="N259" s="123">
        <f t="shared" si="50"/>
        <v>294.31272096484651</v>
      </c>
      <c r="O259" s="5"/>
      <c r="P259" s="5">
        <f t="shared" si="51"/>
        <v>1</v>
      </c>
      <c r="Q259" s="7">
        <f t="shared" si="52"/>
        <v>2344</v>
      </c>
      <c r="W259" s="124">
        <f t="shared" si="53"/>
        <v>1859347.6620584002</v>
      </c>
      <c r="X259">
        <f t="shared" si="54"/>
        <v>0</v>
      </c>
    </row>
    <row r="260" spans="1:24">
      <c r="A260" s="23" t="s">
        <v>288</v>
      </c>
      <c r="B260" s="35" t="s">
        <v>284</v>
      </c>
      <c r="C260" s="125">
        <v>2683</v>
      </c>
      <c r="D260" s="132">
        <v>572562142</v>
      </c>
      <c r="E260" s="116">
        <f t="shared" si="58"/>
        <v>213403.70555348491</v>
      </c>
      <c r="F260" s="134">
        <v>425354082</v>
      </c>
      <c r="G260" s="117">
        <f t="shared" si="59"/>
        <v>158536.74319791279</v>
      </c>
      <c r="H260" s="7"/>
      <c r="I260" s="136">
        <v>5.25</v>
      </c>
      <c r="J260" s="134">
        <v>2233108.9304999998</v>
      </c>
      <c r="K260" s="120">
        <f t="shared" si="60"/>
        <v>832.31790178904203</v>
      </c>
      <c r="L260" s="122">
        <f t="shared" si="48"/>
        <v>4253540.82</v>
      </c>
      <c r="M260" s="116">
        <f t="shared" si="49"/>
        <v>2020431.8895000005</v>
      </c>
      <c r="N260" s="123">
        <f t="shared" si="50"/>
        <v>753.04953019008587</v>
      </c>
      <c r="O260" s="5"/>
      <c r="P260" s="5">
        <f t="shared" si="51"/>
        <v>1</v>
      </c>
      <c r="Q260" s="7">
        <f t="shared" si="52"/>
        <v>2683</v>
      </c>
      <c r="W260" s="124">
        <f t="shared" si="53"/>
        <v>2233108.9305000002</v>
      </c>
      <c r="X260">
        <f t="shared" si="54"/>
        <v>0</v>
      </c>
    </row>
    <row r="261" spans="1:24">
      <c r="A261" s="23" t="s">
        <v>289</v>
      </c>
      <c r="B261" s="35" t="s">
        <v>284</v>
      </c>
      <c r="C261" s="125">
        <v>24</v>
      </c>
      <c r="D261" s="132">
        <v>2846113952</v>
      </c>
      <c r="E261" s="116">
        <f t="shared" si="58"/>
        <v>118588081.33333333</v>
      </c>
      <c r="F261" s="134">
        <v>2538080723</v>
      </c>
      <c r="G261" s="117">
        <f t="shared" si="59"/>
        <v>105753363.45833333</v>
      </c>
      <c r="H261" s="7"/>
      <c r="I261" s="136">
        <v>2.1366000000000001</v>
      </c>
      <c r="J261" s="134">
        <v>5422863.2727617994</v>
      </c>
      <c r="K261" s="120">
        <f t="shared" si="60"/>
        <v>225952.63636507498</v>
      </c>
      <c r="L261" s="122">
        <f t="shared" si="48"/>
        <v>25380807.23</v>
      </c>
      <c r="M261" s="116">
        <f t="shared" si="49"/>
        <v>19957943.957238201</v>
      </c>
      <c r="N261" s="123">
        <f t="shared" si="50"/>
        <v>831580.99821825838</v>
      </c>
      <c r="O261" s="5"/>
      <c r="P261" s="5">
        <f t="shared" si="51"/>
        <v>1</v>
      </c>
      <c r="Q261" s="7">
        <f t="shared" si="52"/>
        <v>24</v>
      </c>
      <c r="W261" s="124">
        <f t="shared" si="53"/>
        <v>5422863.2727618003</v>
      </c>
      <c r="X261">
        <f t="shared" si="54"/>
        <v>0</v>
      </c>
    </row>
    <row r="262" spans="1:24">
      <c r="A262" s="23" t="s">
        <v>290</v>
      </c>
      <c r="B262" s="35" t="s">
        <v>284</v>
      </c>
      <c r="C262" s="125">
        <v>19545</v>
      </c>
      <c r="D262" s="132">
        <v>4389681491</v>
      </c>
      <c r="E262" s="116">
        <f t="shared" si="58"/>
        <v>224593.57845996419</v>
      </c>
      <c r="F262" s="134">
        <v>3531678073</v>
      </c>
      <c r="G262" s="117">
        <f t="shared" si="59"/>
        <v>180694.70826298287</v>
      </c>
      <c r="H262" s="7"/>
      <c r="I262" s="136">
        <v>4.3452999999999999</v>
      </c>
      <c r="J262" s="134">
        <v>15346200.730606899</v>
      </c>
      <c r="K262" s="120">
        <f t="shared" si="60"/>
        <v>785.17271581513933</v>
      </c>
      <c r="L262" s="122">
        <f t="shared" ref="L262:L325" si="61">(F262*0.01)</f>
        <v>35316780.730000004</v>
      </c>
      <c r="M262" s="116">
        <f t="shared" ref="M262:M325" si="62">(L262-J262)</f>
        <v>19970579.999393106</v>
      </c>
      <c r="N262" s="123">
        <f t="shared" ref="N262:N325" si="63">(M262/C262)</f>
        <v>1021.7743668146894</v>
      </c>
      <c r="O262" s="5"/>
      <c r="P262" s="5">
        <f t="shared" ref="P262:P326" si="64">IF(I262&gt;0,1,0)</f>
        <v>1</v>
      </c>
      <c r="Q262" s="7">
        <f t="shared" ref="Q262:Q326" si="65">IF(I262&gt;0,C262,0)</f>
        <v>19545</v>
      </c>
      <c r="W262" s="124">
        <f>F262*(I262/1000)</f>
        <v>15346200.730606899</v>
      </c>
      <c r="X262">
        <f t="shared" ref="X262:X325" si="66">IF(W262=J262,0,1)</f>
        <v>0</v>
      </c>
    </row>
    <row r="263" spans="1:24">
      <c r="A263" s="23" t="s">
        <v>291</v>
      </c>
      <c r="B263" s="35" t="s">
        <v>284</v>
      </c>
      <c r="C263" s="125">
        <v>3895</v>
      </c>
      <c r="D263" s="132">
        <v>613110353</v>
      </c>
      <c r="E263" s="116">
        <f t="shared" ref="E263:E275" si="67">(D263/C263)</f>
        <v>157409.58998716302</v>
      </c>
      <c r="F263" s="134">
        <v>461015476</v>
      </c>
      <c r="G263" s="117">
        <f t="shared" ref="G263:G275" si="68">(F263/C263)</f>
        <v>118360.84107830552</v>
      </c>
      <c r="H263" s="7"/>
      <c r="I263" s="136">
        <v>6.4</v>
      </c>
      <c r="J263" s="134">
        <v>2950499.0463999999</v>
      </c>
      <c r="K263" s="120">
        <f t="shared" ref="K263:K275" si="69">(J263/C263)</f>
        <v>757.50938290115528</v>
      </c>
      <c r="L263" s="122">
        <f t="shared" si="61"/>
        <v>4610154.76</v>
      </c>
      <c r="M263" s="116">
        <f t="shared" si="62"/>
        <v>1659655.7135999999</v>
      </c>
      <c r="N263" s="123">
        <f t="shared" si="63"/>
        <v>426.09902788189987</v>
      </c>
      <c r="O263" s="5"/>
      <c r="P263" s="5">
        <f t="shared" si="64"/>
        <v>1</v>
      </c>
      <c r="Q263" s="7">
        <f t="shared" si="65"/>
        <v>3895</v>
      </c>
      <c r="W263" s="124">
        <f>F263*(I263/1000)</f>
        <v>2950499.0464000003</v>
      </c>
      <c r="X263">
        <f t="shared" si="66"/>
        <v>0</v>
      </c>
    </row>
    <row r="264" spans="1:24">
      <c r="A264" s="23" t="s">
        <v>292</v>
      </c>
      <c r="B264" s="35" t="s">
        <v>284</v>
      </c>
      <c r="C264" s="125">
        <v>48202</v>
      </c>
      <c r="D264" s="132">
        <v>5364296889</v>
      </c>
      <c r="E264" s="116">
        <f t="shared" si="67"/>
        <v>111287.84882370026</v>
      </c>
      <c r="F264" s="134">
        <v>3610136833</v>
      </c>
      <c r="G264" s="117">
        <f t="shared" si="68"/>
        <v>74895.996701381679</v>
      </c>
      <c r="H264" s="7"/>
      <c r="I264" s="136">
        <v>5.05</v>
      </c>
      <c r="J264" s="134">
        <v>18231191.006649997</v>
      </c>
      <c r="K264" s="120">
        <f t="shared" si="69"/>
        <v>378.22478334197746</v>
      </c>
      <c r="L264" s="122">
        <f t="shared" si="61"/>
        <v>36101368.329999998</v>
      </c>
      <c r="M264" s="116">
        <f t="shared" si="62"/>
        <v>17870177.323350001</v>
      </c>
      <c r="N264" s="123">
        <f t="shared" si="63"/>
        <v>370.73518367183937</v>
      </c>
      <c r="O264" s="5"/>
      <c r="P264" s="5">
        <f t="shared" si="64"/>
        <v>1</v>
      </c>
      <c r="Q264" s="7">
        <f t="shared" si="65"/>
        <v>48202</v>
      </c>
      <c r="W264" s="124">
        <f t="shared" ref="W264:W325" si="70">F264*(I264/1000)</f>
        <v>18231191.006650001</v>
      </c>
      <c r="X264">
        <f t="shared" si="66"/>
        <v>0</v>
      </c>
    </row>
    <row r="265" spans="1:24">
      <c r="A265" s="23" t="s">
        <v>293</v>
      </c>
      <c r="B265" s="35" t="s">
        <v>284</v>
      </c>
      <c r="C265" s="125">
        <v>314506</v>
      </c>
      <c r="D265" s="132">
        <v>62234199732</v>
      </c>
      <c r="E265" s="116">
        <f t="shared" si="67"/>
        <v>197879.212898959</v>
      </c>
      <c r="F265" s="134">
        <v>38869591891</v>
      </c>
      <c r="G265" s="117">
        <f t="shared" si="68"/>
        <v>123589.34930017234</v>
      </c>
      <c r="H265" s="7"/>
      <c r="I265" s="136">
        <v>6.65</v>
      </c>
      <c r="J265" s="134">
        <v>258482786.07515001</v>
      </c>
      <c r="K265" s="120">
        <f t="shared" si="69"/>
        <v>821.86917284614606</v>
      </c>
      <c r="L265" s="122">
        <f t="shared" si="61"/>
        <v>388695918.91000003</v>
      </c>
      <c r="M265" s="116">
        <f t="shared" si="62"/>
        <v>130213132.83485001</v>
      </c>
      <c r="N265" s="123">
        <f t="shared" si="63"/>
        <v>414.02432015557736</v>
      </c>
      <c r="O265" s="5"/>
      <c r="P265" s="5">
        <f t="shared" si="64"/>
        <v>1</v>
      </c>
      <c r="Q265" s="7">
        <f t="shared" si="65"/>
        <v>314506</v>
      </c>
      <c r="W265" s="124">
        <f t="shared" si="70"/>
        <v>258482786.07515001</v>
      </c>
      <c r="X265">
        <f t="shared" si="66"/>
        <v>0</v>
      </c>
    </row>
    <row r="266" spans="1:24">
      <c r="A266" s="23" t="s">
        <v>294</v>
      </c>
      <c r="B266" s="35" t="s">
        <v>284</v>
      </c>
      <c r="C266" s="125">
        <v>3051</v>
      </c>
      <c r="D266" s="132">
        <v>1031091861</v>
      </c>
      <c r="E266" s="116">
        <f t="shared" si="67"/>
        <v>337952.10127826943</v>
      </c>
      <c r="F266" s="134">
        <v>799551393</v>
      </c>
      <c r="G266" s="117">
        <f t="shared" si="68"/>
        <v>262062.07571288102</v>
      </c>
      <c r="H266" s="7"/>
      <c r="I266" s="136">
        <v>3.7425000000000002</v>
      </c>
      <c r="J266" s="134">
        <v>2992321.0883025001</v>
      </c>
      <c r="K266" s="120">
        <f t="shared" si="69"/>
        <v>980.76731835545729</v>
      </c>
      <c r="L266" s="122">
        <f t="shared" si="61"/>
        <v>7995513.9299999997</v>
      </c>
      <c r="M266" s="116">
        <f t="shared" si="62"/>
        <v>5003192.8416974992</v>
      </c>
      <c r="N266" s="123">
        <f t="shared" si="63"/>
        <v>1639.8534387733528</v>
      </c>
      <c r="O266" s="5"/>
      <c r="P266" s="5">
        <f t="shared" si="64"/>
        <v>1</v>
      </c>
      <c r="Q266" s="7">
        <f t="shared" si="65"/>
        <v>3051</v>
      </c>
      <c r="W266" s="124">
        <f t="shared" si="70"/>
        <v>2992321.0883025001</v>
      </c>
      <c r="X266">
        <f t="shared" si="66"/>
        <v>0</v>
      </c>
    </row>
    <row r="267" spans="1:24">
      <c r="A267" s="23" t="s">
        <v>295</v>
      </c>
      <c r="B267" s="35" t="s">
        <v>284</v>
      </c>
      <c r="C267" s="125">
        <v>47475</v>
      </c>
      <c r="D267" s="132">
        <v>6188289903</v>
      </c>
      <c r="E267" s="116">
        <f t="shared" si="67"/>
        <v>130348.39184834123</v>
      </c>
      <c r="F267" s="134">
        <v>4397061888</v>
      </c>
      <c r="G267" s="117">
        <f t="shared" si="68"/>
        <v>92618.470521327021</v>
      </c>
      <c r="H267" s="7"/>
      <c r="I267" s="136">
        <v>4.5</v>
      </c>
      <c r="J267" s="134">
        <v>19786778.495999999</v>
      </c>
      <c r="K267" s="120">
        <f t="shared" si="69"/>
        <v>416.78311734597156</v>
      </c>
      <c r="L267" s="122">
        <f t="shared" si="61"/>
        <v>43970618.880000003</v>
      </c>
      <c r="M267" s="116">
        <f t="shared" si="62"/>
        <v>24183840.384000003</v>
      </c>
      <c r="N267" s="123">
        <f t="shared" si="63"/>
        <v>509.40158786729864</v>
      </c>
      <c r="O267" s="5"/>
      <c r="P267" s="5">
        <f t="shared" si="64"/>
        <v>1</v>
      </c>
      <c r="Q267" s="7">
        <f t="shared" si="65"/>
        <v>47475</v>
      </c>
      <c r="S267" s="124"/>
      <c r="T267" s="124"/>
      <c r="U267" s="124"/>
      <c r="W267" s="124">
        <f t="shared" si="70"/>
        <v>19786778.495999999</v>
      </c>
      <c r="X267">
        <f t="shared" si="66"/>
        <v>0</v>
      </c>
    </row>
    <row r="268" spans="1:24">
      <c r="A268" s="23" t="s">
        <v>296</v>
      </c>
      <c r="B268" s="35" t="s">
        <v>284</v>
      </c>
      <c r="C268" s="125">
        <v>30019</v>
      </c>
      <c r="D268" s="132">
        <v>9960465027</v>
      </c>
      <c r="E268" s="116">
        <f t="shared" si="67"/>
        <v>331805.35750691226</v>
      </c>
      <c r="F268" s="134">
        <v>6963077700</v>
      </c>
      <c r="G268" s="117">
        <f t="shared" si="68"/>
        <v>231955.68473300242</v>
      </c>
      <c r="H268" s="7"/>
      <c r="I268" s="136">
        <v>4.0922999999999998</v>
      </c>
      <c r="J268" s="134">
        <v>28495002.871709999</v>
      </c>
      <c r="K268" s="120">
        <f t="shared" si="69"/>
        <v>949.23224863286578</v>
      </c>
      <c r="L268" s="122">
        <f t="shared" si="61"/>
        <v>69630777</v>
      </c>
      <c r="M268" s="116">
        <f t="shared" si="62"/>
        <v>41135774.128289998</v>
      </c>
      <c r="N268" s="123">
        <f t="shared" si="63"/>
        <v>1370.3245986971583</v>
      </c>
      <c r="O268" s="5"/>
      <c r="P268" s="5">
        <f t="shared" si="64"/>
        <v>1</v>
      </c>
      <c r="Q268" s="7">
        <f t="shared" si="65"/>
        <v>30019</v>
      </c>
      <c r="S268" s="124">
        <f>SUM(D256:D268)</f>
        <v>110997108524</v>
      </c>
      <c r="T268" s="124">
        <f>SUM(F256:F268)</f>
        <v>76117059885</v>
      </c>
      <c r="U268" s="124">
        <f>SUM(J256:J268)</f>
        <v>396794178.19141757</v>
      </c>
      <c r="W268" s="124">
        <f t="shared" si="70"/>
        <v>28495002.871710002</v>
      </c>
      <c r="X268">
        <f t="shared" si="66"/>
        <v>0</v>
      </c>
    </row>
    <row r="269" spans="1:24">
      <c r="A269" s="24" t="s">
        <v>297</v>
      </c>
      <c r="B269" s="35" t="s">
        <v>298</v>
      </c>
      <c r="C269" s="125">
        <v>80999</v>
      </c>
      <c r="D269" s="132">
        <v>6883850685</v>
      </c>
      <c r="E269" s="116">
        <f t="shared" si="67"/>
        <v>84986.860146421561</v>
      </c>
      <c r="F269" s="134">
        <v>4341551496</v>
      </c>
      <c r="G269" s="117">
        <f t="shared" si="68"/>
        <v>53600.062914356968</v>
      </c>
      <c r="H269" s="7"/>
      <c r="I269" s="136">
        <v>4.6253000000000002</v>
      </c>
      <c r="J269" s="134">
        <v>20080978.1344488</v>
      </c>
      <c r="K269" s="120">
        <f t="shared" si="69"/>
        <v>247.91637099777529</v>
      </c>
      <c r="L269" s="122">
        <f t="shared" si="61"/>
        <v>43415514.960000001</v>
      </c>
      <c r="M269" s="116">
        <f t="shared" si="62"/>
        <v>23334536.825551201</v>
      </c>
      <c r="N269" s="123">
        <f t="shared" si="63"/>
        <v>288.08425814579442</v>
      </c>
      <c r="O269" s="5"/>
      <c r="P269" s="5">
        <f t="shared" si="64"/>
        <v>1</v>
      </c>
      <c r="Q269" s="7">
        <f t="shared" si="65"/>
        <v>80999</v>
      </c>
      <c r="S269" s="124"/>
      <c r="T269" s="124"/>
      <c r="U269" s="124"/>
      <c r="W269" s="124">
        <f t="shared" si="70"/>
        <v>20080978.134448804</v>
      </c>
      <c r="X269">
        <f t="shared" si="66"/>
        <v>0</v>
      </c>
    </row>
    <row r="270" spans="1:24">
      <c r="A270" s="23" t="s">
        <v>546</v>
      </c>
      <c r="B270" s="35" t="s">
        <v>298</v>
      </c>
      <c r="C270" s="125">
        <v>61033</v>
      </c>
      <c r="D270" s="132">
        <v>5290828717</v>
      </c>
      <c r="E270" s="116">
        <f t="shared" si="67"/>
        <v>86688.000212999526</v>
      </c>
      <c r="F270" s="134">
        <v>3112806721</v>
      </c>
      <c r="G270" s="117">
        <f t="shared" si="68"/>
        <v>51002.02711647797</v>
      </c>
      <c r="H270" s="7"/>
      <c r="I270" s="136">
        <v>5.1128</v>
      </c>
      <c r="J270" s="134">
        <v>15915158.2031288</v>
      </c>
      <c r="K270" s="120">
        <f t="shared" si="69"/>
        <v>260.76316424112855</v>
      </c>
      <c r="L270" s="122">
        <f t="shared" si="61"/>
        <v>31128067.210000001</v>
      </c>
      <c r="M270" s="116">
        <f t="shared" si="62"/>
        <v>15212909.006871201</v>
      </c>
      <c r="N270" s="123">
        <f t="shared" si="63"/>
        <v>249.25710692365115</v>
      </c>
      <c r="O270" s="5"/>
      <c r="P270" s="5">
        <f t="shared" si="64"/>
        <v>1</v>
      </c>
      <c r="Q270" s="7">
        <f t="shared" si="65"/>
        <v>61033</v>
      </c>
      <c r="S270" s="124">
        <f>SUM(D269:D270)</f>
        <v>12174679402</v>
      </c>
      <c r="T270" s="124">
        <f>SUM(F269:F270)</f>
        <v>7454358217</v>
      </c>
      <c r="U270" s="124">
        <f>SUM(J269:J270)</f>
        <v>35996136.337577596</v>
      </c>
      <c r="W270" s="124">
        <f t="shared" si="70"/>
        <v>15915158.2031288</v>
      </c>
      <c r="X270">
        <f t="shared" si="66"/>
        <v>0</v>
      </c>
    </row>
    <row r="271" spans="1:24">
      <c r="A271" s="23" t="s">
        <v>299</v>
      </c>
      <c r="B271" s="35" t="s">
        <v>300</v>
      </c>
      <c r="C271" s="125">
        <v>2145</v>
      </c>
      <c r="D271" s="132">
        <v>733084628</v>
      </c>
      <c r="E271" s="116">
        <f t="shared" si="67"/>
        <v>341764.39533799532</v>
      </c>
      <c r="F271" s="134">
        <v>603304478</v>
      </c>
      <c r="G271" s="117">
        <f t="shared" si="68"/>
        <v>281260.82890442893</v>
      </c>
      <c r="H271" s="7"/>
      <c r="I271" s="136">
        <v>7.53</v>
      </c>
      <c r="J271" s="134">
        <v>4542882.7193400003</v>
      </c>
      <c r="K271" s="120">
        <f t="shared" si="69"/>
        <v>2117.8940416503497</v>
      </c>
      <c r="L271" s="122">
        <f t="shared" si="61"/>
        <v>6033044.7800000003</v>
      </c>
      <c r="M271" s="116">
        <f t="shared" si="62"/>
        <v>1490162.06066</v>
      </c>
      <c r="N271" s="123">
        <f t="shared" si="63"/>
        <v>694.71424739393933</v>
      </c>
      <c r="O271" s="5"/>
      <c r="P271" s="5">
        <f t="shared" si="64"/>
        <v>1</v>
      </c>
      <c r="Q271" s="7">
        <f t="shared" si="65"/>
        <v>2145</v>
      </c>
      <c r="W271" s="124">
        <f t="shared" si="70"/>
        <v>4542882.7193400003</v>
      </c>
      <c r="X271">
        <f t="shared" si="66"/>
        <v>0</v>
      </c>
    </row>
    <row r="272" spans="1:24">
      <c r="A272" s="23" t="s">
        <v>301</v>
      </c>
      <c r="B272" s="35" t="s">
        <v>300</v>
      </c>
      <c r="C272" s="125">
        <v>16893</v>
      </c>
      <c r="D272" s="132">
        <v>771693800</v>
      </c>
      <c r="E272" s="116">
        <f t="shared" si="67"/>
        <v>45681.276268276801</v>
      </c>
      <c r="F272" s="134">
        <v>408661865</v>
      </c>
      <c r="G272" s="117">
        <f t="shared" si="68"/>
        <v>24191.195465577457</v>
      </c>
      <c r="H272" s="9"/>
      <c r="I272" s="136">
        <v>6.5419</v>
      </c>
      <c r="J272" s="134">
        <v>2673425.0546434997</v>
      </c>
      <c r="K272" s="120">
        <f t="shared" si="69"/>
        <v>158.25638161626117</v>
      </c>
      <c r="L272" s="122">
        <f t="shared" si="61"/>
        <v>4086618.65</v>
      </c>
      <c r="M272" s="116">
        <f t="shared" si="62"/>
        <v>1413193.5953565002</v>
      </c>
      <c r="N272" s="123">
        <f t="shared" si="63"/>
        <v>83.655573039513428</v>
      </c>
      <c r="O272" s="5"/>
      <c r="P272" s="5">
        <f t="shared" si="64"/>
        <v>1</v>
      </c>
      <c r="Q272" s="7">
        <f t="shared" si="65"/>
        <v>16893</v>
      </c>
      <c r="W272" s="124">
        <f t="shared" si="70"/>
        <v>2673425.0546435001</v>
      </c>
      <c r="X272">
        <f t="shared" si="66"/>
        <v>0</v>
      </c>
    </row>
    <row r="273" spans="1:24">
      <c r="A273" s="23" t="s">
        <v>302</v>
      </c>
      <c r="B273" s="35" t="s">
        <v>300</v>
      </c>
      <c r="C273" s="125">
        <v>98046</v>
      </c>
      <c r="D273" s="132">
        <v>35155818474</v>
      </c>
      <c r="E273" s="116">
        <f t="shared" si="67"/>
        <v>358564.5357689248</v>
      </c>
      <c r="F273" s="134">
        <v>27069459926</v>
      </c>
      <c r="G273" s="117">
        <f t="shared" si="68"/>
        <v>276089.38585969852</v>
      </c>
      <c r="H273" s="9"/>
      <c r="I273" s="136">
        <v>3.5789</v>
      </c>
      <c r="J273" s="134">
        <v>96878890.129161388</v>
      </c>
      <c r="K273" s="120">
        <f t="shared" si="69"/>
        <v>988.09630305327482</v>
      </c>
      <c r="L273" s="122">
        <f t="shared" si="61"/>
        <v>270694599.25999999</v>
      </c>
      <c r="M273" s="116">
        <f t="shared" si="62"/>
        <v>173815709.1308386</v>
      </c>
      <c r="N273" s="123">
        <f t="shared" si="63"/>
        <v>1772.7975555437101</v>
      </c>
      <c r="O273" s="5"/>
      <c r="P273" s="5">
        <f t="shared" si="64"/>
        <v>1</v>
      </c>
      <c r="Q273" s="7">
        <f t="shared" si="65"/>
        <v>98046</v>
      </c>
      <c r="W273" s="124">
        <f t="shared" si="70"/>
        <v>96878890.129161403</v>
      </c>
      <c r="X273">
        <f t="shared" si="66"/>
        <v>0</v>
      </c>
    </row>
    <row r="274" spans="1:24">
      <c r="A274" s="23" t="s">
        <v>303</v>
      </c>
      <c r="B274" s="35" t="s">
        <v>300</v>
      </c>
      <c r="C274" s="125">
        <v>81011</v>
      </c>
      <c r="D274" s="132">
        <v>9916951750</v>
      </c>
      <c r="E274" s="116">
        <f t="shared" si="67"/>
        <v>122414.87884361383</v>
      </c>
      <c r="F274" s="134">
        <v>6935204311</v>
      </c>
      <c r="G274" s="117">
        <f t="shared" si="68"/>
        <v>85608.180506350996</v>
      </c>
      <c r="H274" s="9"/>
      <c r="I274" s="136">
        <v>7.89</v>
      </c>
      <c r="J274" s="134">
        <v>54718762.013790004</v>
      </c>
      <c r="K274" s="120">
        <f t="shared" si="69"/>
        <v>675.44854419510932</v>
      </c>
      <c r="L274" s="122">
        <f t="shared" si="61"/>
        <v>69352043.109999999</v>
      </c>
      <c r="M274" s="116">
        <f t="shared" si="62"/>
        <v>14633281.096209995</v>
      </c>
      <c r="N274" s="123">
        <f t="shared" si="63"/>
        <v>180.63326086840053</v>
      </c>
      <c r="O274" s="5"/>
      <c r="P274" s="5">
        <f t="shared" si="64"/>
        <v>1</v>
      </c>
      <c r="Q274" s="7">
        <f t="shared" si="65"/>
        <v>81011</v>
      </c>
      <c r="W274" s="124">
        <f t="shared" si="70"/>
        <v>54718762.013789997</v>
      </c>
      <c r="X274">
        <f t="shared" si="66"/>
        <v>0</v>
      </c>
    </row>
    <row r="275" spans="1:24">
      <c r="A275" s="23" t="s">
        <v>304</v>
      </c>
      <c r="B275" s="35" t="s">
        <v>300</v>
      </c>
      <c r="C275" s="125">
        <v>499</v>
      </c>
      <c r="D275" s="147">
        <v>93994362</v>
      </c>
      <c r="E275" s="116">
        <f t="shared" si="67"/>
        <v>188365.45490981964</v>
      </c>
      <c r="F275" s="134">
        <v>65797477</v>
      </c>
      <c r="G275" s="117">
        <f t="shared" si="68"/>
        <v>131858.67134268538</v>
      </c>
      <c r="H275" s="98"/>
      <c r="I275" s="150">
        <v>10</v>
      </c>
      <c r="J275" s="134">
        <v>657974.77</v>
      </c>
      <c r="K275" s="120">
        <f t="shared" si="69"/>
        <v>1318.5867134268537</v>
      </c>
      <c r="L275" s="122">
        <f t="shared" si="61"/>
        <v>657974.77</v>
      </c>
      <c r="M275" s="116">
        <f t="shared" si="62"/>
        <v>0</v>
      </c>
      <c r="N275" s="123">
        <f t="shared" si="63"/>
        <v>0</v>
      </c>
      <c r="O275" s="5"/>
      <c r="P275" s="5">
        <f t="shared" si="64"/>
        <v>1</v>
      </c>
      <c r="Q275" s="7">
        <f t="shared" si="65"/>
        <v>499</v>
      </c>
      <c r="W275" s="124">
        <f t="shared" si="70"/>
        <v>657974.77</v>
      </c>
      <c r="X275">
        <f t="shared" si="66"/>
        <v>0</v>
      </c>
    </row>
    <row r="276" spans="1:24">
      <c r="A276" s="23" t="s">
        <v>305</v>
      </c>
      <c r="B276" s="35" t="s">
        <v>300</v>
      </c>
      <c r="C276" s="125">
        <v>136</v>
      </c>
      <c r="D276" s="132" t="s">
        <v>564</v>
      </c>
      <c r="E276" s="116"/>
      <c r="F276" s="134"/>
      <c r="G276" s="117"/>
      <c r="H276" s="9" t="s">
        <v>588</v>
      </c>
      <c r="I276" s="136"/>
      <c r="J276" s="134"/>
      <c r="K276" s="120"/>
      <c r="L276" s="122">
        <f t="shared" si="61"/>
        <v>0</v>
      </c>
      <c r="M276" s="116">
        <f t="shared" si="62"/>
        <v>0</v>
      </c>
      <c r="N276" s="123">
        <f t="shared" si="63"/>
        <v>0</v>
      </c>
      <c r="O276" s="5"/>
      <c r="P276" s="5">
        <f t="shared" si="64"/>
        <v>0</v>
      </c>
      <c r="Q276" s="7">
        <f t="shared" si="65"/>
        <v>0</v>
      </c>
      <c r="W276" s="124">
        <f t="shared" si="70"/>
        <v>0</v>
      </c>
      <c r="X276">
        <f t="shared" si="66"/>
        <v>0</v>
      </c>
    </row>
    <row r="277" spans="1:24">
      <c r="A277" s="23" t="s">
        <v>306</v>
      </c>
      <c r="B277" s="35" t="s">
        <v>300</v>
      </c>
      <c r="C277" s="125">
        <v>66948</v>
      </c>
      <c r="D277" s="147">
        <v>16419240494</v>
      </c>
      <c r="E277" s="116">
        <f>(D277/C277)</f>
        <v>245253.63706160005</v>
      </c>
      <c r="F277" s="134">
        <v>12501909398</v>
      </c>
      <c r="G277" s="117">
        <f>(F277/C277)</f>
        <v>186740.59565633029</v>
      </c>
      <c r="H277" s="98"/>
      <c r="I277" s="151">
        <v>6.6611000000000002</v>
      </c>
      <c r="J277" s="134">
        <v>83276468.691017807</v>
      </c>
      <c r="K277" s="120">
        <f>(J277/C277)</f>
        <v>1243.8977817263817</v>
      </c>
      <c r="L277" s="122">
        <f t="shared" si="61"/>
        <v>125019093.98</v>
      </c>
      <c r="M277" s="116">
        <f t="shared" si="62"/>
        <v>41742625.288982198</v>
      </c>
      <c r="N277" s="123">
        <f t="shared" si="63"/>
        <v>623.50817483692117</v>
      </c>
      <c r="O277" s="5"/>
      <c r="P277" s="5">
        <f t="shared" si="64"/>
        <v>1</v>
      </c>
      <c r="Q277" s="7">
        <f t="shared" si="65"/>
        <v>66948</v>
      </c>
      <c r="W277" s="124">
        <f t="shared" si="70"/>
        <v>83276468.691017807</v>
      </c>
      <c r="X277">
        <f t="shared" si="66"/>
        <v>0</v>
      </c>
    </row>
    <row r="278" spans="1:24">
      <c r="A278" s="23" t="s">
        <v>307</v>
      </c>
      <c r="B278" s="35" t="s">
        <v>300</v>
      </c>
      <c r="C278" s="125">
        <v>217</v>
      </c>
      <c r="D278" s="132" t="s">
        <v>564</v>
      </c>
      <c r="E278" s="116"/>
      <c r="F278" s="134"/>
      <c r="G278" s="117"/>
      <c r="H278" s="9" t="s">
        <v>588</v>
      </c>
      <c r="I278" s="136"/>
      <c r="J278" s="134"/>
      <c r="K278" s="120"/>
      <c r="L278" s="122">
        <f t="shared" si="61"/>
        <v>0</v>
      </c>
      <c r="M278" s="116">
        <f t="shared" si="62"/>
        <v>0</v>
      </c>
      <c r="N278" s="123">
        <f t="shared" si="63"/>
        <v>0</v>
      </c>
      <c r="O278" s="5"/>
      <c r="P278" s="5">
        <f t="shared" si="64"/>
        <v>0</v>
      </c>
      <c r="Q278" s="7">
        <f t="shared" si="65"/>
        <v>0</v>
      </c>
      <c r="W278" s="124">
        <f t="shared" si="70"/>
        <v>0</v>
      </c>
      <c r="X278">
        <f t="shared" si="66"/>
        <v>0</v>
      </c>
    </row>
    <row r="279" spans="1:24">
      <c r="A279" s="23" t="s">
        <v>308</v>
      </c>
      <c r="B279" s="35" t="s">
        <v>300</v>
      </c>
      <c r="C279" s="125">
        <v>257</v>
      </c>
      <c r="D279" s="132">
        <v>269957821</v>
      </c>
      <c r="E279" s="116">
        <f t="shared" ref="E279:E310" si="71">(D279/C279)</f>
        <v>1050419.5369649807</v>
      </c>
      <c r="F279" s="134">
        <v>205509892</v>
      </c>
      <c r="G279" s="117">
        <f t="shared" ref="G279:G310" si="72">(F279/C279)</f>
        <v>799649.38521400781</v>
      </c>
      <c r="H279" s="7"/>
      <c r="I279" s="136">
        <v>6.5452000000000004</v>
      </c>
      <c r="J279" s="134">
        <v>1345103.3451184002</v>
      </c>
      <c r="K279" s="120">
        <f t="shared" ref="K279:K310" si="73">(J279/C279)</f>
        <v>5233.8651561027245</v>
      </c>
      <c r="L279" s="122">
        <f t="shared" si="61"/>
        <v>2055098.9200000002</v>
      </c>
      <c r="M279" s="116">
        <f t="shared" si="62"/>
        <v>709995.57488159998</v>
      </c>
      <c r="N279" s="123">
        <f t="shared" si="63"/>
        <v>2762.6286960373541</v>
      </c>
      <c r="O279" s="5"/>
      <c r="P279" s="5">
        <f t="shared" si="64"/>
        <v>1</v>
      </c>
      <c r="Q279" s="7">
        <f t="shared" si="65"/>
        <v>257</v>
      </c>
      <c r="W279" s="124">
        <f t="shared" si="70"/>
        <v>1345103.3451183999</v>
      </c>
      <c r="X279">
        <f t="shared" si="66"/>
        <v>0</v>
      </c>
    </row>
    <row r="280" spans="1:24">
      <c r="A280" s="23" t="s">
        <v>309</v>
      </c>
      <c r="B280" s="35" t="s">
        <v>300</v>
      </c>
      <c r="C280" s="125">
        <v>44549</v>
      </c>
      <c r="D280" s="132">
        <v>3586873592</v>
      </c>
      <c r="E280" s="116">
        <f t="shared" si="71"/>
        <v>80515.243709174174</v>
      </c>
      <c r="F280" s="134">
        <v>2256476709</v>
      </c>
      <c r="G280" s="117">
        <f t="shared" si="72"/>
        <v>50651.568138454284</v>
      </c>
      <c r="H280" s="7"/>
      <c r="I280" s="136">
        <v>6.4</v>
      </c>
      <c r="J280" s="134">
        <v>14441450.9376</v>
      </c>
      <c r="K280" s="120">
        <f t="shared" si="73"/>
        <v>324.17003608610742</v>
      </c>
      <c r="L280" s="122">
        <f t="shared" si="61"/>
        <v>22564767.09</v>
      </c>
      <c r="M280" s="116">
        <f t="shared" si="62"/>
        <v>8123316.1524</v>
      </c>
      <c r="N280" s="123">
        <f t="shared" si="63"/>
        <v>182.34564529843544</v>
      </c>
      <c r="O280" s="5"/>
      <c r="P280" s="5">
        <f t="shared" si="64"/>
        <v>1</v>
      </c>
      <c r="Q280" s="7">
        <f t="shared" si="65"/>
        <v>44549</v>
      </c>
      <c r="W280" s="124">
        <f t="shared" si="70"/>
        <v>14441450.9376</v>
      </c>
      <c r="X280">
        <f t="shared" si="66"/>
        <v>0</v>
      </c>
    </row>
    <row r="281" spans="1:24">
      <c r="A281" s="23" t="s">
        <v>310</v>
      </c>
      <c r="B281" s="35" t="s">
        <v>300</v>
      </c>
      <c r="C281" s="125">
        <v>949</v>
      </c>
      <c r="D281" s="132">
        <v>1583387494</v>
      </c>
      <c r="E281" s="116">
        <f t="shared" si="71"/>
        <v>1668479.9726027397</v>
      </c>
      <c r="F281" s="134">
        <v>1258974039</v>
      </c>
      <c r="G281" s="117">
        <f t="shared" si="72"/>
        <v>1326632.2855637514</v>
      </c>
      <c r="H281" s="7"/>
      <c r="I281" s="136">
        <v>3.6724000000000001</v>
      </c>
      <c r="J281" s="134">
        <v>4623456.2608236</v>
      </c>
      <c r="K281" s="120">
        <f t="shared" si="73"/>
        <v>4871.92440550432</v>
      </c>
      <c r="L281" s="122">
        <f t="shared" si="61"/>
        <v>12589740.390000001</v>
      </c>
      <c r="M281" s="116">
        <f t="shared" si="62"/>
        <v>7966284.1291764006</v>
      </c>
      <c r="N281" s="123">
        <f t="shared" si="63"/>
        <v>8394.3984501331943</v>
      </c>
      <c r="O281" s="5"/>
      <c r="P281" s="5">
        <f t="shared" si="64"/>
        <v>1</v>
      </c>
      <c r="Q281" s="7">
        <f t="shared" si="65"/>
        <v>949</v>
      </c>
      <c r="W281" s="124">
        <f t="shared" si="70"/>
        <v>4623456.2608236</v>
      </c>
      <c r="X281">
        <f t="shared" si="66"/>
        <v>0</v>
      </c>
    </row>
    <row r="282" spans="1:24">
      <c r="A282" s="23" t="s">
        <v>311</v>
      </c>
      <c r="B282" s="35" t="s">
        <v>300</v>
      </c>
      <c r="C282" s="125">
        <v>2193</v>
      </c>
      <c r="D282" s="132">
        <v>196543178</v>
      </c>
      <c r="E282" s="116">
        <f t="shared" si="71"/>
        <v>89622.972184222526</v>
      </c>
      <c r="F282" s="134">
        <v>115921309</v>
      </c>
      <c r="G282" s="117">
        <f t="shared" si="72"/>
        <v>52859.694026447789</v>
      </c>
      <c r="H282" s="7"/>
      <c r="I282" s="136">
        <v>4.5</v>
      </c>
      <c r="J282" s="134">
        <v>521645.89049999998</v>
      </c>
      <c r="K282" s="120">
        <f t="shared" si="73"/>
        <v>237.86862311901504</v>
      </c>
      <c r="L282" s="122">
        <f t="shared" si="61"/>
        <v>1159213.0900000001</v>
      </c>
      <c r="M282" s="116">
        <f t="shared" si="62"/>
        <v>637567.1995000001</v>
      </c>
      <c r="N282" s="123">
        <f t="shared" si="63"/>
        <v>290.72831714546288</v>
      </c>
      <c r="O282" s="5"/>
      <c r="P282" s="5">
        <f t="shared" si="64"/>
        <v>1</v>
      </c>
      <c r="Q282" s="7">
        <f t="shared" si="65"/>
        <v>2193</v>
      </c>
      <c r="W282" s="124">
        <f t="shared" si="70"/>
        <v>521645.89049999998</v>
      </c>
      <c r="X282">
        <f t="shared" si="66"/>
        <v>0</v>
      </c>
    </row>
    <row r="283" spans="1:24">
      <c r="A283" s="23" t="s">
        <v>312</v>
      </c>
      <c r="B283" s="35" t="s">
        <v>300</v>
      </c>
      <c r="C283" s="125">
        <v>4300</v>
      </c>
      <c r="D283" s="132">
        <v>3206643743</v>
      </c>
      <c r="E283" s="116">
        <f t="shared" si="71"/>
        <v>745731.10302325583</v>
      </c>
      <c r="F283" s="134">
        <v>2749928821</v>
      </c>
      <c r="G283" s="117">
        <f t="shared" si="72"/>
        <v>639518.33046511631</v>
      </c>
      <c r="H283" s="7"/>
      <c r="I283" s="136">
        <v>3.2294</v>
      </c>
      <c r="J283" s="134">
        <v>8880620.1345373988</v>
      </c>
      <c r="K283" s="120">
        <f t="shared" si="73"/>
        <v>2065.2604964040461</v>
      </c>
      <c r="L283" s="122">
        <f t="shared" si="61"/>
        <v>27499288.210000001</v>
      </c>
      <c r="M283" s="116">
        <f t="shared" si="62"/>
        <v>18618668.075462602</v>
      </c>
      <c r="N283" s="123">
        <f t="shared" si="63"/>
        <v>4329.9228082471163</v>
      </c>
      <c r="O283" s="5"/>
      <c r="P283" s="5">
        <f t="shared" si="64"/>
        <v>1</v>
      </c>
      <c r="Q283" s="7">
        <f t="shared" si="65"/>
        <v>4300</v>
      </c>
      <c r="W283" s="124">
        <f t="shared" si="70"/>
        <v>8880620.1345373988</v>
      </c>
      <c r="X283">
        <f t="shared" si="66"/>
        <v>0</v>
      </c>
    </row>
    <row r="284" spans="1:24">
      <c r="A284" s="23" t="s">
        <v>313</v>
      </c>
      <c r="B284" s="35" t="s">
        <v>300</v>
      </c>
      <c r="C284" s="125">
        <v>2686</v>
      </c>
      <c r="D284" s="132">
        <v>528142311</v>
      </c>
      <c r="E284" s="116">
        <f t="shared" si="71"/>
        <v>196627.81496649294</v>
      </c>
      <c r="F284" s="134">
        <v>404530587</v>
      </c>
      <c r="G284" s="117">
        <f t="shared" si="72"/>
        <v>150607.06887565152</v>
      </c>
      <c r="H284" s="7"/>
      <c r="I284" s="136">
        <v>3.2</v>
      </c>
      <c r="J284" s="134">
        <v>1294497.8784</v>
      </c>
      <c r="K284" s="120">
        <f t="shared" si="73"/>
        <v>481.94262040208491</v>
      </c>
      <c r="L284" s="122">
        <f t="shared" si="61"/>
        <v>4045305.87</v>
      </c>
      <c r="M284" s="116">
        <f t="shared" si="62"/>
        <v>2750807.9916000003</v>
      </c>
      <c r="N284" s="123">
        <f t="shared" si="63"/>
        <v>1024.1280683544305</v>
      </c>
      <c r="O284" s="5"/>
      <c r="P284" s="5">
        <f t="shared" si="64"/>
        <v>1</v>
      </c>
      <c r="Q284" s="7">
        <f t="shared" si="65"/>
        <v>2686</v>
      </c>
      <c r="W284" s="124">
        <f t="shared" si="70"/>
        <v>1294497.8784</v>
      </c>
      <c r="X284">
        <f t="shared" si="66"/>
        <v>0</v>
      </c>
    </row>
    <row r="285" spans="1:24">
      <c r="A285" s="23" t="s">
        <v>314</v>
      </c>
      <c r="B285" s="35" t="s">
        <v>300</v>
      </c>
      <c r="C285" s="125">
        <v>3862</v>
      </c>
      <c r="D285" s="132">
        <v>2114013171</v>
      </c>
      <c r="E285" s="116">
        <f t="shared" si="71"/>
        <v>547388.18513723463</v>
      </c>
      <c r="F285" s="134">
        <v>1739813748</v>
      </c>
      <c r="G285" s="117">
        <f t="shared" si="72"/>
        <v>450495.53288451582</v>
      </c>
      <c r="H285" s="7"/>
      <c r="I285" s="136">
        <v>1.9236</v>
      </c>
      <c r="J285" s="134">
        <v>3346705.7256527999</v>
      </c>
      <c r="K285" s="120">
        <f t="shared" si="73"/>
        <v>866.57320705665461</v>
      </c>
      <c r="L285" s="122">
        <f t="shared" si="61"/>
        <v>17398137.48</v>
      </c>
      <c r="M285" s="116">
        <f t="shared" si="62"/>
        <v>14051431.754347201</v>
      </c>
      <c r="N285" s="123">
        <f t="shared" si="63"/>
        <v>3638.3821217885038</v>
      </c>
      <c r="O285" s="5"/>
      <c r="P285" s="5">
        <f t="shared" si="64"/>
        <v>1</v>
      </c>
      <c r="Q285" s="7">
        <f t="shared" si="65"/>
        <v>3862</v>
      </c>
      <c r="W285" s="124">
        <f t="shared" si="70"/>
        <v>3346705.7256527999</v>
      </c>
      <c r="X285">
        <f t="shared" si="66"/>
        <v>0</v>
      </c>
    </row>
    <row r="286" spans="1:24">
      <c r="A286" s="23" t="s">
        <v>315</v>
      </c>
      <c r="B286" s="35" t="s">
        <v>300</v>
      </c>
      <c r="C286" s="125">
        <v>61121</v>
      </c>
      <c r="D286" s="132">
        <v>16799036297</v>
      </c>
      <c r="E286" s="116">
        <f t="shared" si="71"/>
        <v>274848.84568315308</v>
      </c>
      <c r="F286" s="134">
        <v>12473066062</v>
      </c>
      <c r="G286" s="117">
        <f t="shared" si="72"/>
        <v>204071.69486755779</v>
      </c>
      <c r="H286" s="7"/>
      <c r="I286" s="136">
        <v>2.4632999999999998</v>
      </c>
      <c r="J286" s="134">
        <v>30724903.630524598</v>
      </c>
      <c r="K286" s="120">
        <f t="shared" si="73"/>
        <v>502.6898059672551</v>
      </c>
      <c r="L286" s="122">
        <f t="shared" si="61"/>
        <v>124730660.62</v>
      </c>
      <c r="M286" s="116">
        <f t="shared" si="62"/>
        <v>94005756.989475399</v>
      </c>
      <c r="N286" s="123">
        <f t="shared" si="63"/>
        <v>1538.0271427083228</v>
      </c>
      <c r="O286" s="5"/>
      <c r="P286" s="5">
        <f t="shared" si="64"/>
        <v>1</v>
      </c>
      <c r="Q286" s="7">
        <f t="shared" si="65"/>
        <v>61121</v>
      </c>
      <c r="W286" s="124">
        <f t="shared" si="70"/>
        <v>30724903.630524598</v>
      </c>
      <c r="X286">
        <f t="shared" si="66"/>
        <v>0</v>
      </c>
    </row>
    <row r="287" spans="1:24">
      <c r="A287" s="23" t="s">
        <v>316</v>
      </c>
      <c r="B287" s="35" t="s">
        <v>300</v>
      </c>
      <c r="C287" s="125">
        <v>403</v>
      </c>
      <c r="D287" s="132">
        <v>581688924</v>
      </c>
      <c r="E287" s="116">
        <f t="shared" si="71"/>
        <v>1443396.8337468982</v>
      </c>
      <c r="F287" s="134">
        <v>419894915</v>
      </c>
      <c r="G287" s="117">
        <f t="shared" si="72"/>
        <v>1041922.8660049628</v>
      </c>
      <c r="H287" s="7"/>
      <c r="I287" s="136">
        <v>5.56</v>
      </c>
      <c r="J287" s="134">
        <v>2334615.7273999997</v>
      </c>
      <c r="K287" s="120">
        <f t="shared" si="73"/>
        <v>5793.0911349875923</v>
      </c>
      <c r="L287" s="122">
        <f t="shared" si="61"/>
        <v>4198949.1500000004</v>
      </c>
      <c r="M287" s="116">
        <f t="shared" si="62"/>
        <v>1864333.4226000006</v>
      </c>
      <c r="N287" s="123">
        <f t="shared" si="63"/>
        <v>4626.1375250620367</v>
      </c>
      <c r="O287" s="5"/>
      <c r="P287" s="5">
        <f t="shared" si="64"/>
        <v>1</v>
      </c>
      <c r="Q287" s="7">
        <f t="shared" si="65"/>
        <v>403</v>
      </c>
      <c r="W287" s="124">
        <f t="shared" si="70"/>
        <v>2334615.7273999997</v>
      </c>
      <c r="X287">
        <f t="shared" si="66"/>
        <v>0</v>
      </c>
    </row>
    <row r="288" spans="1:24">
      <c r="A288" s="23" t="s">
        <v>317</v>
      </c>
      <c r="B288" s="35" t="s">
        <v>300</v>
      </c>
      <c r="C288" s="125">
        <v>3562</v>
      </c>
      <c r="D288" s="132">
        <v>508503697</v>
      </c>
      <c r="E288" s="116">
        <f t="shared" si="71"/>
        <v>142757.91605839416</v>
      </c>
      <c r="F288" s="134">
        <v>300750305</v>
      </c>
      <c r="G288" s="117">
        <f t="shared" si="72"/>
        <v>84432.988489612573</v>
      </c>
      <c r="H288" s="7"/>
      <c r="I288" s="136">
        <v>6.2797999999999998</v>
      </c>
      <c r="J288" s="134">
        <v>1888651.7653389999</v>
      </c>
      <c r="K288" s="120">
        <f t="shared" si="73"/>
        <v>530.22228111706909</v>
      </c>
      <c r="L288" s="122">
        <f t="shared" si="61"/>
        <v>3007503.0500000003</v>
      </c>
      <c r="M288" s="116">
        <f t="shared" si="62"/>
        <v>1118851.2846610004</v>
      </c>
      <c r="N288" s="123">
        <f t="shared" si="63"/>
        <v>314.10760377905683</v>
      </c>
      <c r="O288" s="5"/>
      <c r="P288" s="5">
        <f t="shared" si="64"/>
        <v>1</v>
      </c>
      <c r="Q288" s="7">
        <f t="shared" si="65"/>
        <v>3562</v>
      </c>
      <c r="W288" s="124">
        <f t="shared" si="70"/>
        <v>1888651.7653389999</v>
      </c>
      <c r="X288">
        <f t="shared" si="66"/>
        <v>0</v>
      </c>
    </row>
    <row r="289" spans="1:24">
      <c r="A289" s="23" t="s">
        <v>318</v>
      </c>
      <c r="B289" s="35" t="s">
        <v>300</v>
      </c>
      <c r="C289" s="125">
        <v>9039</v>
      </c>
      <c r="D289" s="132">
        <v>1116800667</v>
      </c>
      <c r="E289" s="116">
        <f t="shared" si="71"/>
        <v>123553.56422170594</v>
      </c>
      <c r="F289" s="134">
        <v>821170040</v>
      </c>
      <c r="G289" s="117">
        <f t="shared" si="72"/>
        <v>90847.443301250139</v>
      </c>
      <c r="H289" s="7"/>
      <c r="I289" s="136">
        <v>5.3474000000000004</v>
      </c>
      <c r="J289" s="134">
        <v>4391124.6718959995</v>
      </c>
      <c r="K289" s="120">
        <f t="shared" si="73"/>
        <v>485.79761830910491</v>
      </c>
      <c r="L289" s="122">
        <f t="shared" si="61"/>
        <v>8211700.4000000004</v>
      </c>
      <c r="M289" s="116">
        <f t="shared" si="62"/>
        <v>3820575.7281040009</v>
      </c>
      <c r="N289" s="123">
        <f t="shared" si="63"/>
        <v>422.67681470339647</v>
      </c>
      <c r="O289" s="5"/>
      <c r="P289" s="5">
        <f t="shared" si="64"/>
        <v>1</v>
      </c>
      <c r="Q289" s="7">
        <f t="shared" si="65"/>
        <v>9039</v>
      </c>
      <c r="W289" s="124">
        <f t="shared" si="70"/>
        <v>4391124.6718960004</v>
      </c>
      <c r="X289">
        <f t="shared" si="66"/>
        <v>0</v>
      </c>
    </row>
    <row r="290" spans="1:24">
      <c r="A290" s="23" t="s">
        <v>628</v>
      </c>
      <c r="B290" s="35" t="s">
        <v>300</v>
      </c>
      <c r="C290" s="125">
        <v>42572</v>
      </c>
      <c r="D290" s="132">
        <v>3590825598</v>
      </c>
      <c r="E290" s="116">
        <f t="shared" si="71"/>
        <v>84347.120125904345</v>
      </c>
      <c r="F290" s="134">
        <v>2335801530</v>
      </c>
      <c r="G290" s="117">
        <f t="shared" si="72"/>
        <v>54867.084703561028</v>
      </c>
      <c r="H290" s="7"/>
      <c r="I290" s="136">
        <v>5.4945000000000004</v>
      </c>
      <c r="J290" s="134">
        <v>12834061.506585</v>
      </c>
      <c r="K290" s="120">
        <f t="shared" si="73"/>
        <v>301.46719690371606</v>
      </c>
      <c r="L290" s="122">
        <f t="shared" si="61"/>
        <v>23358015.300000001</v>
      </c>
      <c r="M290" s="116">
        <f t="shared" si="62"/>
        <v>10523953.793415001</v>
      </c>
      <c r="N290" s="123">
        <f t="shared" si="63"/>
        <v>247.20365013189422</v>
      </c>
      <c r="O290" s="5"/>
      <c r="P290" s="5">
        <f t="shared" si="64"/>
        <v>1</v>
      </c>
      <c r="Q290" s="7">
        <f t="shared" si="65"/>
        <v>42572</v>
      </c>
      <c r="W290" s="124">
        <f t="shared" si="70"/>
        <v>12834061.506585</v>
      </c>
      <c r="X290">
        <f t="shared" si="66"/>
        <v>0</v>
      </c>
    </row>
    <row r="291" spans="1:24">
      <c r="A291" s="23" t="s">
        <v>319</v>
      </c>
      <c r="B291" s="35" t="s">
        <v>300</v>
      </c>
      <c r="C291" s="125">
        <v>11579</v>
      </c>
      <c r="D291" s="132">
        <v>1911318975</v>
      </c>
      <c r="E291" s="116">
        <f t="shared" si="71"/>
        <v>165067.70662406081</v>
      </c>
      <c r="F291" s="134">
        <v>1327406506</v>
      </c>
      <c r="G291" s="117">
        <f t="shared" si="72"/>
        <v>114639.1317039468</v>
      </c>
      <c r="H291" s="9"/>
      <c r="I291" s="136">
        <v>3.5</v>
      </c>
      <c r="J291" s="134">
        <v>4645922.7709999997</v>
      </c>
      <c r="K291" s="120">
        <f t="shared" si="73"/>
        <v>401.23696096381377</v>
      </c>
      <c r="L291" s="122">
        <f t="shared" si="61"/>
        <v>13274065.060000001</v>
      </c>
      <c r="M291" s="116">
        <f t="shared" si="62"/>
        <v>8628142.2890000008</v>
      </c>
      <c r="N291" s="123">
        <f t="shared" si="63"/>
        <v>745.15435607565428</v>
      </c>
      <c r="O291" s="5"/>
      <c r="P291" s="5">
        <f t="shared" si="64"/>
        <v>1</v>
      </c>
      <c r="Q291" s="7">
        <f t="shared" si="65"/>
        <v>11579</v>
      </c>
      <c r="W291" s="124">
        <f t="shared" si="70"/>
        <v>4645922.7709999997</v>
      </c>
      <c r="X291">
        <f t="shared" si="66"/>
        <v>0</v>
      </c>
    </row>
    <row r="292" spans="1:24">
      <c r="A292" s="23" t="s">
        <v>531</v>
      </c>
      <c r="B292" s="35" t="s">
        <v>300</v>
      </c>
      <c r="C292" s="125">
        <v>3379</v>
      </c>
      <c r="D292" s="132">
        <v>743685185</v>
      </c>
      <c r="E292" s="116">
        <f t="shared" si="71"/>
        <v>220090.31814146196</v>
      </c>
      <c r="F292" s="134">
        <v>386834400</v>
      </c>
      <c r="G292" s="117">
        <f t="shared" si="72"/>
        <v>114481.91772713821</v>
      </c>
      <c r="H292" s="7"/>
      <c r="I292" s="136">
        <v>3</v>
      </c>
      <c r="J292" s="134">
        <v>1160503.2</v>
      </c>
      <c r="K292" s="120">
        <f t="shared" si="73"/>
        <v>343.4457531814146</v>
      </c>
      <c r="L292" s="122">
        <f t="shared" si="61"/>
        <v>3868344</v>
      </c>
      <c r="M292" s="116">
        <f t="shared" si="62"/>
        <v>2707840.8</v>
      </c>
      <c r="N292" s="123">
        <f t="shared" si="63"/>
        <v>801.37342408996744</v>
      </c>
      <c r="O292" s="5"/>
      <c r="P292" s="5">
        <f t="shared" si="64"/>
        <v>1</v>
      </c>
      <c r="Q292" s="7">
        <f t="shared" si="65"/>
        <v>3379</v>
      </c>
      <c r="W292" s="124">
        <f t="shared" si="70"/>
        <v>1160503.2</v>
      </c>
      <c r="X292">
        <f t="shared" si="66"/>
        <v>0</v>
      </c>
    </row>
    <row r="293" spans="1:24">
      <c r="A293" s="23" t="s">
        <v>320</v>
      </c>
      <c r="B293" s="35" t="s">
        <v>300</v>
      </c>
      <c r="C293" s="125">
        <v>419</v>
      </c>
      <c r="D293" s="132">
        <v>1739894874</v>
      </c>
      <c r="E293" s="116">
        <f t="shared" si="71"/>
        <v>4152493.7326968974</v>
      </c>
      <c r="F293" s="134">
        <v>1493266374</v>
      </c>
      <c r="G293" s="117">
        <f t="shared" si="72"/>
        <v>3563881.5608591884</v>
      </c>
      <c r="H293" s="7"/>
      <c r="I293" s="157">
        <v>3.1695000000000002</v>
      </c>
      <c r="J293" s="134">
        <v>4732907.7723930003</v>
      </c>
      <c r="K293" s="120">
        <f t="shared" si="73"/>
        <v>11295.7226071432</v>
      </c>
      <c r="L293" s="122">
        <f t="shared" si="61"/>
        <v>14932663.74</v>
      </c>
      <c r="M293" s="116">
        <f t="shared" si="62"/>
        <v>10199755.967606999</v>
      </c>
      <c r="N293" s="123">
        <f t="shared" si="63"/>
        <v>24343.093001448684</v>
      </c>
      <c r="O293" s="5"/>
      <c r="P293" s="5">
        <f t="shared" si="64"/>
        <v>1</v>
      </c>
      <c r="Q293" s="7">
        <f t="shared" si="65"/>
        <v>419</v>
      </c>
      <c r="W293" s="124">
        <f t="shared" si="70"/>
        <v>4732907.7723930003</v>
      </c>
      <c r="X293">
        <f t="shared" si="66"/>
        <v>0</v>
      </c>
    </row>
    <row r="294" spans="1:24">
      <c r="A294" s="23" t="s">
        <v>321</v>
      </c>
      <c r="B294" s="35" t="s">
        <v>300</v>
      </c>
      <c r="C294" s="125">
        <v>2142</v>
      </c>
      <c r="D294" s="132">
        <v>305829830</v>
      </c>
      <c r="E294" s="116">
        <f t="shared" si="71"/>
        <v>142777.6984126984</v>
      </c>
      <c r="F294" s="134">
        <v>249251581</v>
      </c>
      <c r="G294" s="117">
        <f t="shared" si="72"/>
        <v>116363.95004668534</v>
      </c>
      <c r="H294" s="7"/>
      <c r="I294" s="136">
        <v>9.9</v>
      </c>
      <c r="J294" s="134">
        <v>2467590.6518999999</v>
      </c>
      <c r="K294" s="120">
        <f t="shared" si="73"/>
        <v>1152.0031054621847</v>
      </c>
      <c r="L294" s="122">
        <f t="shared" si="61"/>
        <v>2492515.81</v>
      </c>
      <c r="M294" s="116">
        <f t="shared" si="62"/>
        <v>24925.158100000117</v>
      </c>
      <c r="N294" s="123">
        <f t="shared" si="63"/>
        <v>11.636395004668589</v>
      </c>
      <c r="O294" s="5"/>
      <c r="P294" s="5">
        <f t="shared" si="64"/>
        <v>1</v>
      </c>
      <c r="Q294" s="7">
        <f t="shared" si="65"/>
        <v>2142</v>
      </c>
      <c r="W294" s="124">
        <f t="shared" si="70"/>
        <v>2467590.6519000004</v>
      </c>
      <c r="X294">
        <f t="shared" si="66"/>
        <v>0</v>
      </c>
    </row>
    <row r="295" spans="1:24">
      <c r="A295" s="23" t="s">
        <v>322</v>
      </c>
      <c r="B295" s="35" t="s">
        <v>300</v>
      </c>
      <c r="C295" s="125">
        <v>13167</v>
      </c>
      <c r="D295" s="132">
        <v>3668673071</v>
      </c>
      <c r="E295" s="116">
        <f t="shared" si="71"/>
        <v>278626.34396597557</v>
      </c>
      <c r="F295" s="134">
        <v>2623444861</v>
      </c>
      <c r="G295" s="117">
        <f t="shared" si="72"/>
        <v>199243.93263461685</v>
      </c>
      <c r="H295" s="7"/>
      <c r="I295" s="136">
        <v>7.05</v>
      </c>
      <c r="J295" s="134">
        <v>18495286.27005</v>
      </c>
      <c r="K295" s="120">
        <f t="shared" si="73"/>
        <v>1404.6697250740488</v>
      </c>
      <c r="L295" s="122">
        <f t="shared" si="61"/>
        <v>26234448.609999999</v>
      </c>
      <c r="M295" s="116">
        <f t="shared" si="62"/>
        <v>7739162.339949999</v>
      </c>
      <c r="N295" s="123">
        <f t="shared" si="63"/>
        <v>587.76960127211964</v>
      </c>
      <c r="O295" s="5"/>
      <c r="P295" s="5">
        <f t="shared" si="64"/>
        <v>1</v>
      </c>
      <c r="Q295" s="7">
        <f t="shared" si="65"/>
        <v>13167</v>
      </c>
      <c r="W295" s="124">
        <f t="shared" si="70"/>
        <v>18495286.27005</v>
      </c>
      <c r="X295">
        <f t="shared" si="66"/>
        <v>0</v>
      </c>
    </row>
    <row r="296" spans="1:24">
      <c r="A296" s="23" t="s">
        <v>323</v>
      </c>
      <c r="B296" s="35" t="s">
        <v>300</v>
      </c>
      <c r="C296" s="125">
        <v>1828</v>
      </c>
      <c r="D296" s="132">
        <v>1474676464</v>
      </c>
      <c r="E296" s="116">
        <f t="shared" si="71"/>
        <v>806715.78993435449</v>
      </c>
      <c r="F296" s="134">
        <v>1148866300</v>
      </c>
      <c r="G296" s="117">
        <f t="shared" si="72"/>
        <v>628482.65864332602</v>
      </c>
      <c r="H296" s="9"/>
      <c r="I296" s="136">
        <v>5.5</v>
      </c>
      <c r="J296" s="134">
        <v>6318764.6500000004</v>
      </c>
      <c r="K296" s="120">
        <f t="shared" si="73"/>
        <v>3456.6546225382936</v>
      </c>
      <c r="L296" s="122">
        <f t="shared" si="61"/>
        <v>11488663</v>
      </c>
      <c r="M296" s="116">
        <f t="shared" si="62"/>
        <v>5169898.3499999996</v>
      </c>
      <c r="N296" s="123">
        <f t="shared" si="63"/>
        <v>2828.1719638949671</v>
      </c>
      <c r="O296" s="5"/>
      <c r="P296" s="5">
        <f t="shared" si="64"/>
        <v>1</v>
      </c>
      <c r="Q296" s="7">
        <f t="shared" si="65"/>
        <v>1828</v>
      </c>
      <c r="W296" s="124">
        <f t="shared" si="70"/>
        <v>6318764.6499999994</v>
      </c>
      <c r="X296">
        <f t="shared" si="66"/>
        <v>0</v>
      </c>
    </row>
    <row r="297" spans="1:24">
      <c r="A297" s="23" t="s">
        <v>324</v>
      </c>
      <c r="B297" s="35" t="s">
        <v>300</v>
      </c>
      <c r="C297" s="125">
        <v>5580</v>
      </c>
      <c r="D297" s="132">
        <v>264415923</v>
      </c>
      <c r="E297" s="116">
        <f t="shared" si="71"/>
        <v>47386.366129032256</v>
      </c>
      <c r="F297" s="134">
        <v>99043368</v>
      </c>
      <c r="G297" s="117">
        <f t="shared" si="72"/>
        <v>17749.707526881721</v>
      </c>
      <c r="H297" s="7"/>
      <c r="I297" s="136">
        <v>6.5419</v>
      </c>
      <c r="J297" s="134">
        <v>647931.80911919998</v>
      </c>
      <c r="K297" s="120">
        <f t="shared" si="73"/>
        <v>116.11681167010752</v>
      </c>
      <c r="L297" s="122">
        <f t="shared" si="61"/>
        <v>990433.68</v>
      </c>
      <c r="M297" s="116">
        <f t="shared" si="62"/>
        <v>342501.87088080007</v>
      </c>
      <c r="N297" s="123">
        <f t="shared" si="63"/>
        <v>61.380263598709689</v>
      </c>
      <c r="O297" s="5"/>
      <c r="P297" s="5">
        <f t="shared" si="64"/>
        <v>1</v>
      </c>
      <c r="Q297" s="7">
        <f t="shared" si="65"/>
        <v>5580</v>
      </c>
      <c r="W297" s="124">
        <f t="shared" si="70"/>
        <v>647931.80911919998</v>
      </c>
      <c r="X297">
        <f t="shared" si="66"/>
        <v>0</v>
      </c>
    </row>
    <row r="298" spans="1:24">
      <c r="A298" s="23" t="s">
        <v>300</v>
      </c>
      <c r="B298" s="35" t="s">
        <v>300</v>
      </c>
      <c r="C298" s="125">
        <v>9253</v>
      </c>
      <c r="D298" s="132">
        <v>28171282783</v>
      </c>
      <c r="E298" s="116">
        <f t="shared" si="71"/>
        <v>3044556.6608667457</v>
      </c>
      <c r="F298" s="134">
        <v>21655226677</v>
      </c>
      <c r="G298" s="117">
        <f t="shared" si="72"/>
        <v>2340346.555387442</v>
      </c>
      <c r="H298" s="7"/>
      <c r="I298" s="136">
        <v>2.8965999999999998</v>
      </c>
      <c r="J298" s="134">
        <v>62726529.5925982</v>
      </c>
      <c r="K298" s="120">
        <f t="shared" si="73"/>
        <v>6779.0478323352645</v>
      </c>
      <c r="L298" s="122">
        <f t="shared" si="61"/>
        <v>216552266.77000001</v>
      </c>
      <c r="M298" s="116">
        <f t="shared" si="62"/>
        <v>153825737.17740181</v>
      </c>
      <c r="N298" s="123">
        <f t="shared" si="63"/>
        <v>16624.417721539157</v>
      </c>
      <c r="O298" s="5"/>
      <c r="P298" s="5">
        <f t="shared" si="64"/>
        <v>1</v>
      </c>
      <c r="Q298" s="7">
        <f t="shared" si="65"/>
        <v>9253</v>
      </c>
      <c r="W298" s="124">
        <f t="shared" si="70"/>
        <v>62726529.5925982</v>
      </c>
      <c r="X298">
        <f t="shared" si="66"/>
        <v>0</v>
      </c>
    </row>
    <row r="299" spans="1:24">
      <c r="A299" s="23" t="s">
        <v>325</v>
      </c>
      <c r="B299" s="35" t="s">
        <v>300</v>
      </c>
      <c r="C299" s="125">
        <v>59755</v>
      </c>
      <c r="D299" s="132">
        <v>17148602745</v>
      </c>
      <c r="E299" s="116">
        <f t="shared" si="71"/>
        <v>286981.88846121664</v>
      </c>
      <c r="F299" s="134">
        <v>13523174479</v>
      </c>
      <c r="G299" s="117">
        <f t="shared" si="72"/>
        <v>226310.34187934065</v>
      </c>
      <c r="H299" s="7"/>
      <c r="I299" s="136">
        <v>5.55</v>
      </c>
      <c r="J299" s="134">
        <v>75053618.358449996</v>
      </c>
      <c r="K299" s="120">
        <f t="shared" si="73"/>
        <v>1256.0223974303406</v>
      </c>
      <c r="L299" s="122">
        <f t="shared" si="61"/>
        <v>135231744.78999999</v>
      </c>
      <c r="M299" s="116">
        <f t="shared" si="62"/>
        <v>60178126.431549996</v>
      </c>
      <c r="N299" s="123">
        <f t="shared" si="63"/>
        <v>1007.0810213630658</v>
      </c>
      <c r="O299" s="5"/>
      <c r="P299" s="5">
        <f t="shared" si="64"/>
        <v>1</v>
      </c>
      <c r="Q299" s="7">
        <f t="shared" si="65"/>
        <v>59755</v>
      </c>
      <c r="W299" s="124">
        <f t="shared" si="70"/>
        <v>75053618.35845001</v>
      </c>
      <c r="X299">
        <f t="shared" si="66"/>
        <v>0</v>
      </c>
    </row>
    <row r="300" spans="1:24">
      <c r="A300" s="23" t="s">
        <v>326</v>
      </c>
      <c r="B300" s="35" t="s">
        <v>300</v>
      </c>
      <c r="C300" s="125">
        <v>1330</v>
      </c>
      <c r="D300" s="132">
        <v>727969070</v>
      </c>
      <c r="E300" s="116">
        <f t="shared" si="71"/>
        <v>547345.1654135338</v>
      </c>
      <c r="F300" s="134">
        <v>635253673</v>
      </c>
      <c r="G300" s="117">
        <f t="shared" si="72"/>
        <v>477634.34060150373</v>
      </c>
      <c r="H300" s="9"/>
      <c r="I300" s="136">
        <v>6.35</v>
      </c>
      <c r="J300" s="134">
        <v>4033860.8235499999</v>
      </c>
      <c r="K300" s="120">
        <f t="shared" si="73"/>
        <v>3032.9780628195485</v>
      </c>
      <c r="L300" s="122">
        <f t="shared" si="61"/>
        <v>6352536.7300000004</v>
      </c>
      <c r="M300" s="116">
        <f t="shared" si="62"/>
        <v>2318675.9064500006</v>
      </c>
      <c r="N300" s="123">
        <f t="shared" si="63"/>
        <v>1743.3653431954892</v>
      </c>
      <c r="O300" s="5"/>
      <c r="P300" s="5">
        <f t="shared" si="64"/>
        <v>1</v>
      </c>
      <c r="Q300" s="7">
        <f t="shared" si="65"/>
        <v>1330</v>
      </c>
      <c r="W300" s="124">
        <f t="shared" si="70"/>
        <v>4033860.8235499999</v>
      </c>
      <c r="X300">
        <f t="shared" si="66"/>
        <v>0</v>
      </c>
    </row>
    <row r="301" spans="1:24">
      <c r="A301" s="23" t="s">
        <v>327</v>
      </c>
      <c r="B301" s="35" t="s">
        <v>300</v>
      </c>
      <c r="C301" s="125">
        <v>26904</v>
      </c>
      <c r="D301" s="132">
        <v>2193739655</v>
      </c>
      <c r="E301" s="116">
        <f t="shared" si="71"/>
        <v>81539.535199226884</v>
      </c>
      <c r="F301" s="134">
        <v>1483992382</v>
      </c>
      <c r="G301" s="117">
        <f t="shared" si="72"/>
        <v>55158.800996134407</v>
      </c>
      <c r="H301" s="7"/>
      <c r="I301" s="136">
        <v>3.5</v>
      </c>
      <c r="J301" s="134">
        <v>5193973.3370000003</v>
      </c>
      <c r="K301" s="120">
        <f t="shared" si="73"/>
        <v>193.05580348647044</v>
      </c>
      <c r="L301" s="122">
        <f t="shared" si="61"/>
        <v>14839923.82</v>
      </c>
      <c r="M301" s="116">
        <f t="shared" si="62"/>
        <v>9645950.4829999991</v>
      </c>
      <c r="N301" s="123">
        <f t="shared" si="63"/>
        <v>358.53220647487359</v>
      </c>
      <c r="O301" s="5"/>
      <c r="P301" s="5">
        <f t="shared" si="64"/>
        <v>1</v>
      </c>
      <c r="Q301" s="7">
        <f t="shared" si="65"/>
        <v>26904</v>
      </c>
      <c r="W301" s="124">
        <f t="shared" si="70"/>
        <v>5193973.3370000003</v>
      </c>
      <c r="X301">
        <f t="shared" si="66"/>
        <v>0</v>
      </c>
    </row>
    <row r="302" spans="1:24">
      <c r="A302" s="23" t="s">
        <v>328</v>
      </c>
      <c r="B302" s="35" t="s">
        <v>300</v>
      </c>
      <c r="C302" s="125">
        <v>38125</v>
      </c>
      <c r="D302" s="132">
        <v>8203679494</v>
      </c>
      <c r="E302" s="116">
        <f t="shared" si="71"/>
        <v>215178.47853114753</v>
      </c>
      <c r="F302" s="134">
        <v>6341405184</v>
      </c>
      <c r="G302" s="117">
        <f t="shared" si="72"/>
        <v>166331.93925245901</v>
      </c>
      <c r="H302" s="7"/>
      <c r="I302" s="136">
        <v>8.452</v>
      </c>
      <c r="J302" s="134">
        <v>53597556.615167998</v>
      </c>
      <c r="K302" s="120">
        <f t="shared" si="73"/>
        <v>1405.8375505617835</v>
      </c>
      <c r="L302" s="122">
        <f t="shared" si="61"/>
        <v>63414051.840000004</v>
      </c>
      <c r="M302" s="116">
        <f t="shared" si="62"/>
        <v>9816495.2248320058</v>
      </c>
      <c r="N302" s="123">
        <f t="shared" si="63"/>
        <v>257.4818419628067</v>
      </c>
      <c r="O302" s="5"/>
      <c r="P302" s="5">
        <f t="shared" si="64"/>
        <v>1</v>
      </c>
      <c r="Q302" s="7">
        <f t="shared" si="65"/>
        <v>38125</v>
      </c>
      <c r="W302" s="124">
        <f t="shared" si="70"/>
        <v>53597556.615167998</v>
      </c>
      <c r="X302">
        <f t="shared" si="66"/>
        <v>0</v>
      </c>
    </row>
    <row r="303" spans="1:24">
      <c r="A303" s="23" t="s">
        <v>329</v>
      </c>
      <c r="B303" s="35" t="s">
        <v>300</v>
      </c>
      <c r="C303" s="125">
        <v>39144</v>
      </c>
      <c r="D303" s="132">
        <v>4996085665</v>
      </c>
      <c r="E303" s="116">
        <f t="shared" si="71"/>
        <v>127633.49849274474</v>
      </c>
      <c r="F303" s="134">
        <v>3386999806</v>
      </c>
      <c r="G303" s="117">
        <f t="shared" si="72"/>
        <v>86526.665798078888</v>
      </c>
      <c r="H303" s="7"/>
      <c r="I303" s="136">
        <v>1.92</v>
      </c>
      <c r="J303" s="134">
        <v>6503039.6275199996</v>
      </c>
      <c r="K303" s="120">
        <f t="shared" si="73"/>
        <v>166.13119833231144</v>
      </c>
      <c r="L303" s="122">
        <f t="shared" si="61"/>
        <v>33869998.060000002</v>
      </c>
      <c r="M303" s="116">
        <f t="shared" si="62"/>
        <v>27366958.432480004</v>
      </c>
      <c r="N303" s="123">
        <f t="shared" si="63"/>
        <v>699.13545964847754</v>
      </c>
      <c r="O303" s="5"/>
      <c r="P303" s="5">
        <f t="shared" si="64"/>
        <v>1</v>
      </c>
      <c r="Q303" s="7">
        <f t="shared" si="65"/>
        <v>39144</v>
      </c>
      <c r="W303" s="124">
        <f t="shared" si="70"/>
        <v>6503039.6275199996</v>
      </c>
      <c r="X303">
        <f t="shared" si="66"/>
        <v>0</v>
      </c>
    </row>
    <row r="304" spans="1:24">
      <c r="A304" s="23" t="s">
        <v>330</v>
      </c>
      <c r="B304" s="35" t="s">
        <v>300</v>
      </c>
      <c r="C304" s="125">
        <v>4924</v>
      </c>
      <c r="D304" s="132">
        <v>196032427</v>
      </c>
      <c r="E304" s="116">
        <f t="shared" si="71"/>
        <v>39811.622055239641</v>
      </c>
      <c r="F304" s="134">
        <v>75615569</v>
      </c>
      <c r="G304" s="117">
        <f t="shared" si="72"/>
        <v>15356.533103168156</v>
      </c>
      <c r="H304" s="7"/>
      <c r="I304" s="136">
        <v>6.3089000000000004</v>
      </c>
      <c r="J304" s="134">
        <v>477051.0632641</v>
      </c>
      <c r="K304" s="120">
        <f t="shared" si="73"/>
        <v>96.882831694577575</v>
      </c>
      <c r="L304" s="122">
        <f t="shared" si="61"/>
        <v>756155.69000000006</v>
      </c>
      <c r="M304" s="116">
        <f t="shared" si="62"/>
        <v>279104.62673590006</v>
      </c>
      <c r="N304" s="123">
        <f t="shared" si="63"/>
        <v>56.682499337103991</v>
      </c>
      <c r="O304" s="5"/>
      <c r="P304" s="5">
        <f t="shared" si="64"/>
        <v>1</v>
      </c>
      <c r="Q304" s="7">
        <f t="shared" si="65"/>
        <v>4924</v>
      </c>
      <c r="W304" s="124">
        <f t="shared" si="70"/>
        <v>477051.0632641</v>
      </c>
      <c r="X304">
        <f t="shared" si="66"/>
        <v>0</v>
      </c>
    </row>
    <row r="305" spans="1:24">
      <c r="A305" s="23" t="s">
        <v>331</v>
      </c>
      <c r="B305" s="35" t="s">
        <v>300</v>
      </c>
      <c r="C305" s="125">
        <v>1472</v>
      </c>
      <c r="D305" s="132">
        <v>536145298</v>
      </c>
      <c r="E305" s="116">
        <f t="shared" si="71"/>
        <v>364229.14266304346</v>
      </c>
      <c r="F305" s="134">
        <v>458527570</v>
      </c>
      <c r="G305" s="117">
        <f t="shared" si="72"/>
        <v>311499.70788043475</v>
      </c>
      <c r="H305" s="7"/>
      <c r="I305" s="136">
        <v>3.5</v>
      </c>
      <c r="J305" s="134">
        <v>1604846.4950000001</v>
      </c>
      <c r="K305" s="120">
        <f t="shared" si="73"/>
        <v>1090.2489775815218</v>
      </c>
      <c r="L305" s="122">
        <f t="shared" si="61"/>
        <v>4585275.7</v>
      </c>
      <c r="M305" s="116">
        <f t="shared" si="62"/>
        <v>2980429.2050000001</v>
      </c>
      <c r="N305" s="123">
        <f t="shared" si="63"/>
        <v>2024.7481012228261</v>
      </c>
      <c r="O305" s="5"/>
      <c r="P305" s="5">
        <f t="shared" si="64"/>
        <v>1</v>
      </c>
      <c r="Q305" s="7">
        <f t="shared" si="65"/>
        <v>1472</v>
      </c>
      <c r="W305" s="124">
        <f t="shared" si="70"/>
        <v>1604846.4950000001</v>
      </c>
      <c r="X305">
        <f t="shared" si="66"/>
        <v>0</v>
      </c>
    </row>
    <row r="306" spans="1:24">
      <c r="A306" s="23" t="s">
        <v>332</v>
      </c>
      <c r="B306" s="35" t="s">
        <v>300</v>
      </c>
      <c r="C306" s="125">
        <v>6152</v>
      </c>
      <c r="D306" s="132">
        <v>1869521352</v>
      </c>
      <c r="E306" s="116">
        <f t="shared" si="71"/>
        <v>303888.38621586474</v>
      </c>
      <c r="F306" s="134">
        <v>1292533015</v>
      </c>
      <c r="G306" s="117">
        <f t="shared" si="72"/>
        <v>210099.64483094928</v>
      </c>
      <c r="H306" s="7"/>
      <c r="I306" s="136">
        <v>6.6289999999999996</v>
      </c>
      <c r="J306" s="134">
        <v>8568201.356434999</v>
      </c>
      <c r="K306" s="120">
        <f t="shared" si="73"/>
        <v>1392.7505455843627</v>
      </c>
      <c r="L306" s="122">
        <f t="shared" si="61"/>
        <v>12925330.15</v>
      </c>
      <c r="M306" s="116">
        <f t="shared" si="62"/>
        <v>4357128.7935650013</v>
      </c>
      <c r="N306" s="123">
        <f t="shared" si="63"/>
        <v>708.24590272513024</v>
      </c>
      <c r="O306" s="5"/>
      <c r="P306" s="5">
        <f t="shared" si="64"/>
        <v>1</v>
      </c>
      <c r="Q306" s="7">
        <f t="shared" si="65"/>
        <v>6152</v>
      </c>
      <c r="W306" s="124">
        <f t="shared" si="70"/>
        <v>8568201.356434999</v>
      </c>
      <c r="X306">
        <f t="shared" si="66"/>
        <v>0</v>
      </c>
    </row>
    <row r="307" spans="1:24">
      <c r="A307" s="23" t="s">
        <v>333</v>
      </c>
      <c r="B307" s="35" t="s">
        <v>300</v>
      </c>
      <c r="C307" s="125">
        <v>61768</v>
      </c>
      <c r="D307" s="132">
        <v>13387443732</v>
      </c>
      <c r="E307" s="116">
        <f t="shared" si="71"/>
        <v>216737.52965937054</v>
      </c>
      <c r="F307" s="134">
        <v>9233149052</v>
      </c>
      <c r="G307" s="117">
        <f t="shared" si="72"/>
        <v>149481.10756378708</v>
      </c>
      <c r="H307" s="7"/>
      <c r="I307" s="136">
        <v>2.4700000000000002</v>
      </c>
      <c r="J307" s="134">
        <v>22805878.158440001</v>
      </c>
      <c r="K307" s="120">
        <f t="shared" si="73"/>
        <v>369.21833568255408</v>
      </c>
      <c r="L307" s="122">
        <f t="shared" si="61"/>
        <v>92331490.519999996</v>
      </c>
      <c r="M307" s="116">
        <f t="shared" si="62"/>
        <v>69525612.361559987</v>
      </c>
      <c r="N307" s="123">
        <f t="shared" si="63"/>
        <v>1125.5927399553163</v>
      </c>
      <c r="O307" s="5"/>
      <c r="P307" s="5">
        <f t="shared" si="64"/>
        <v>1</v>
      </c>
      <c r="Q307" s="7">
        <f t="shared" si="65"/>
        <v>61768</v>
      </c>
      <c r="W307" s="124">
        <f t="shared" si="70"/>
        <v>22805878.158440005</v>
      </c>
      <c r="X307">
        <f t="shared" si="66"/>
        <v>0</v>
      </c>
    </row>
    <row r="308" spans="1:24">
      <c r="A308" s="24" t="s">
        <v>334</v>
      </c>
      <c r="B308" s="35" t="s">
        <v>300</v>
      </c>
      <c r="C308" s="125">
        <v>119255</v>
      </c>
      <c r="D308" s="132">
        <v>22092125272</v>
      </c>
      <c r="E308" s="116">
        <f t="shared" si="71"/>
        <v>185251.14479057482</v>
      </c>
      <c r="F308" s="134">
        <v>15557425812</v>
      </c>
      <c r="G308" s="117">
        <f t="shared" si="72"/>
        <v>130455.12399480106</v>
      </c>
      <c r="H308" s="7"/>
      <c r="I308" s="136">
        <v>8.3465000000000007</v>
      </c>
      <c r="J308" s="134">
        <v>129850054.53985801</v>
      </c>
      <c r="K308" s="120">
        <f t="shared" si="73"/>
        <v>1088.8436924226071</v>
      </c>
      <c r="L308" s="122">
        <f t="shared" si="61"/>
        <v>155574258.12</v>
      </c>
      <c r="M308" s="116">
        <f t="shared" si="62"/>
        <v>25724203.580141991</v>
      </c>
      <c r="N308" s="123">
        <f t="shared" si="63"/>
        <v>215.70754752540347</v>
      </c>
      <c r="O308" s="5"/>
      <c r="P308" s="5">
        <f>IF(I308&gt;0,1,0)</f>
        <v>1</v>
      </c>
      <c r="Q308" s="7">
        <f>IF(I308&gt;0,C308,0)</f>
        <v>119255</v>
      </c>
      <c r="S308" s="124"/>
      <c r="T308" s="124"/>
      <c r="U308" s="124"/>
      <c r="W308" s="124">
        <f t="shared" si="70"/>
        <v>129850054.53985803</v>
      </c>
      <c r="X308">
        <f t="shared" si="66"/>
        <v>0</v>
      </c>
    </row>
    <row r="309" spans="1:24">
      <c r="A309" s="23" t="s">
        <v>614</v>
      </c>
      <c r="B309" s="35" t="s">
        <v>300</v>
      </c>
      <c r="C309" s="125">
        <v>1757</v>
      </c>
      <c r="D309" s="132">
        <v>603648098</v>
      </c>
      <c r="E309" s="116">
        <f t="shared" si="71"/>
        <v>343567.50028457597</v>
      </c>
      <c r="F309" s="134">
        <v>350649108</v>
      </c>
      <c r="G309" s="117">
        <f t="shared" si="72"/>
        <v>199572.62834376778</v>
      </c>
      <c r="H309" s="7"/>
      <c r="I309" s="136">
        <v>5.125</v>
      </c>
      <c r="J309" s="134">
        <v>1797076.6784999999</v>
      </c>
      <c r="K309" s="120">
        <f t="shared" si="73"/>
        <v>1022.8097202618098</v>
      </c>
      <c r="L309" s="122">
        <f t="shared" si="61"/>
        <v>3506491.08</v>
      </c>
      <c r="M309" s="116">
        <f t="shared" si="62"/>
        <v>1709414.4015000002</v>
      </c>
      <c r="N309" s="123">
        <f t="shared" si="63"/>
        <v>972.91656317586808</v>
      </c>
      <c r="O309" s="5"/>
      <c r="P309" s="5">
        <f t="shared" si="64"/>
        <v>1</v>
      </c>
      <c r="Q309" s="7">
        <f t="shared" si="65"/>
        <v>1757</v>
      </c>
      <c r="S309" s="124">
        <f>SUM(D271:D309)</f>
        <v>207407969914</v>
      </c>
      <c r="T309" s="124">
        <f>SUM(F271:F309)</f>
        <v>153988241129</v>
      </c>
      <c r="U309" s="124">
        <f>SUM(J271:J309)</f>
        <v>740055834.62257504</v>
      </c>
      <c r="W309" s="124">
        <f t="shared" si="70"/>
        <v>1797076.6785000002</v>
      </c>
      <c r="X309">
        <f t="shared" si="66"/>
        <v>0</v>
      </c>
    </row>
    <row r="310" spans="1:24">
      <c r="A310" s="23" t="s">
        <v>335</v>
      </c>
      <c r="B310" s="35" t="s">
        <v>336</v>
      </c>
      <c r="C310" s="125">
        <v>7541</v>
      </c>
      <c r="D310" s="132">
        <v>733306061</v>
      </c>
      <c r="E310" s="116">
        <f t="shared" si="71"/>
        <v>97242.548866198122</v>
      </c>
      <c r="F310" s="134">
        <v>339633298</v>
      </c>
      <c r="G310" s="117">
        <f t="shared" si="72"/>
        <v>45038.23073862883</v>
      </c>
      <c r="H310" s="7"/>
      <c r="I310" s="136">
        <v>7.14</v>
      </c>
      <c r="J310" s="134">
        <v>2424981.7477199999</v>
      </c>
      <c r="K310" s="120">
        <f t="shared" si="73"/>
        <v>321.5729674738098</v>
      </c>
      <c r="L310" s="122">
        <f t="shared" si="61"/>
        <v>3396332.98</v>
      </c>
      <c r="M310" s="116">
        <f t="shared" si="62"/>
        <v>971351.23228000011</v>
      </c>
      <c r="N310" s="123">
        <f t="shared" si="63"/>
        <v>128.80933991247846</v>
      </c>
      <c r="O310" s="5"/>
      <c r="P310" s="5">
        <f t="shared" si="64"/>
        <v>1</v>
      </c>
      <c r="Q310" s="7">
        <f t="shared" si="65"/>
        <v>7541</v>
      </c>
      <c r="W310" s="124">
        <f t="shared" si="70"/>
        <v>2424981.7477199999</v>
      </c>
      <c r="X310">
        <f t="shared" si="66"/>
        <v>0</v>
      </c>
    </row>
    <row r="311" spans="1:24">
      <c r="A311" s="23" t="s">
        <v>337</v>
      </c>
      <c r="B311" s="35" t="s">
        <v>336</v>
      </c>
      <c r="C311" s="125">
        <v>16812</v>
      </c>
      <c r="D311" s="132">
        <v>1259635287</v>
      </c>
      <c r="E311" s="116">
        <f t="shared" ref="E311:E342" si="74">(D311/C311)</f>
        <v>74924.773197715913</v>
      </c>
      <c r="F311" s="134">
        <v>724944078</v>
      </c>
      <c r="G311" s="117">
        <f t="shared" ref="G311:G342" si="75">(F311/C311)</f>
        <v>43120.632762312634</v>
      </c>
      <c r="H311" s="7"/>
      <c r="I311" s="136">
        <v>8.5</v>
      </c>
      <c r="J311" s="134">
        <v>6162024.6629999997</v>
      </c>
      <c r="K311" s="120">
        <f t="shared" ref="K311:K342" si="76">(J311/C311)</f>
        <v>366.52537847965738</v>
      </c>
      <c r="L311" s="122">
        <f t="shared" si="61"/>
        <v>7249440.7800000003</v>
      </c>
      <c r="M311" s="116">
        <f t="shared" si="62"/>
        <v>1087416.1170000006</v>
      </c>
      <c r="N311" s="123">
        <f t="shared" si="63"/>
        <v>64.680949143468979</v>
      </c>
      <c r="O311" s="5"/>
      <c r="P311" s="5">
        <f t="shared" si="64"/>
        <v>1</v>
      </c>
      <c r="Q311" s="7">
        <f t="shared" si="65"/>
        <v>16812</v>
      </c>
      <c r="W311" s="124">
        <f t="shared" si="70"/>
        <v>6162024.6630000006</v>
      </c>
      <c r="X311">
        <f t="shared" si="66"/>
        <v>0</v>
      </c>
    </row>
    <row r="312" spans="1:24">
      <c r="A312" s="23" t="s">
        <v>338</v>
      </c>
      <c r="B312" s="35" t="s">
        <v>336</v>
      </c>
      <c r="C312" s="125">
        <v>3185</v>
      </c>
      <c r="D312" s="132">
        <v>447329973</v>
      </c>
      <c r="E312" s="116">
        <f t="shared" si="74"/>
        <v>140448.9711145997</v>
      </c>
      <c r="F312" s="134">
        <v>337391839</v>
      </c>
      <c r="G312" s="117">
        <f t="shared" si="75"/>
        <v>105931.50361067503</v>
      </c>
      <c r="H312" s="7"/>
      <c r="I312" s="136">
        <v>6.4</v>
      </c>
      <c r="J312" s="134">
        <v>2159307.7695999998</v>
      </c>
      <c r="K312" s="120">
        <f t="shared" si="76"/>
        <v>677.96162310832017</v>
      </c>
      <c r="L312" s="122">
        <f t="shared" si="61"/>
        <v>3373918.39</v>
      </c>
      <c r="M312" s="116">
        <f t="shared" si="62"/>
        <v>1214610.6204000004</v>
      </c>
      <c r="N312" s="123">
        <f t="shared" si="63"/>
        <v>381.35341299843026</v>
      </c>
      <c r="O312" s="5"/>
      <c r="P312" s="5">
        <f t="shared" si="64"/>
        <v>1</v>
      </c>
      <c r="Q312" s="7">
        <f t="shared" si="65"/>
        <v>3185</v>
      </c>
      <c r="W312" s="124">
        <f t="shared" si="70"/>
        <v>2159307.7696000002</v>
      </c>
      <c r="X312">
        <f t="shared" si="66"/>
        <v>0</v>
      </c>
    </row>
    <row r="313" spans="1:24">
      <c r="A313" s="24" t="s">
        <v>339</v>
      </c>
      <c r="B313" s="35" t="s">
        <v>336</v>
      </c>
      <c r="C313" s="125">
        <v>1297</v>
      </c>
      <c r="D313" s="132">
        <v>146238338</v>
      </c>
      <c r="E313" s="116">
        <f t="shared" si="74"/>
        <v>112751.22436391673</v>
      </c>
      <c r="F313" s="134">
        <v>82030864</v>
      </c>
      <c r="G313" s="117">
        <f t="shared" si="75"/>
        <v>63246.618350038552</v>
      </c>
      <c r="H313" s="7"/>
      <c r="I313" s="136">
        <v>4.0199999999999996</v>
      </c>
      <c r="J313" s="134">
        <v>329764.07327999995</v>
      </c>
      <c r="K313" s="120">
        <f t="shared" si="76"/>
        <v>254.25140576715495</v>
      </c>
      <c r="L313" s="122">
        <f t="shared" si="61"/>
        <v>820308.64</v>
      </c>
      <c r="M313" s="116">
        <f t="shared" si="62"/>
        <v>490544.56672000006</v>
      </c>
      <c r="N313" s="123">
        <f t="shared" si="63"/>
        <v>378.21477773323056</v>
      </c>
      <c r="O313" s="5"/>
      <c r="P313" s="5">
        <f t="shared" si="64"/>
        <v>1</v>
      </c>
      <c r="Q313" s="7">
        <f t="shared" si="65"/>
        <v>1297</v>
      </c>
      <c r="W313" s="124">
        <f t="shared" si="70"/>
        <v>329764.07327999995</v>
      </c>
      <c r="X313">
        <f t="shared" si="66"/>
        <v>0</v>
      </c>
    </row>
    <row r="314" spans="1:24">
      <c r="A314" s="23" t="s">
        <v>547</v>
      </c>
      <c r="B314" s="35" t="s">
        <v>336</v>
      </c>
      <c r="C314" s="125">
        <v>2363</v>
      </c>
      <c r="D314" s="132">
        <v>76953814</v>
      </c>
      <c r="E314" s="116">
        <f t="shared" si="74"/>
        <v>32566.150655945832</v>
      </c>
      <c r="F314" s="134">
        <v>11348867</v>
      </c>
      <c r="G314" s="117">
        <f t="shared" si="75"/>
        <v>4802.7367752856535</v>
      </c>
      <c r="H314" s="7"/>
      <c r="I314" s="136">
        <v>0.7</v>
      </c>
      <c r="J314" s="134">
        <v>7944.2068999999992</v>
      </c>
      <c r="K314" s="120">
        <f t="shared" si="76"/>
        <v>3.3619157426999573</v>
      </c>
      <c r="L314" s="122">
        <f t="shared" si="61"/>
        <v>113488.67</v>
      </c>
      <c r="M314" s="116">
        <f t="shared" si="62"/>
        <v>105544.46309999999</v>
      </c>
      <c r="N314" s="123">
        <f t="shared" si="63"/>
        <v>44.665452010156578</v>
      </c>
      <c r="O314" s="5"/>
      <c r="P314" s="5">
        <f t="shared" si="64"/>
        <v>1</v>
      </c>
      <c r="Q314" s="7">
        <f t="shared" si="65"/>
        <v>2363</v>
      </c>
      <c r="S314" s="124"/>
      <c r="T314" s="124"/>
      <c r="U314" s="124"/>
      <c r="W314" s="124">
        <f t="shared" si="70"/>
        <v>7944.2069000000001</v>
      </c>
      <c r="X314">
        <f t="shared" si="66"/>
        <v>0</v>
      </c>
    </row>
    <row r="315" spans="1:24">
      <c r="A315" s="23" t="s">
        <v>340</v>
      </c>
      <c r="B315" s="35" t="s">
        <v>336</v>
      </c>
      <c r="C315" s="125">
        <v>17788</v>
      </c>
      <c r="D315" s="132">
        <v>1496332002</v>
      </c>
      <c r="E315" s="116">
        <f t="shared" si="74"/>
        <v>84120.305936586461</v>
      </c>
      <c r="F315" s="134">
        <v>946940998</v>
      </c>
      <c r="G315" s="117">
        <f t="shared" si="75"/>
        <v>53234.821115358667</v>
      </c>
      <c r="H315" s="7"/>
      <c r="I315" s="136">
        <v>6.35</v>
      </c>
      <c r="J315" s="134">
        <v>6013075.3372999988</v>
      </c>
      <c r="K315" s="120">
        <f t="shared" si="76"/>
        <v>338.04111408252749</v>
      </c>
      <c r="L315" s="122">
        <f t="shared" si="61"/>
        <v>9469409.9800000004</v>
      </c>
      <c r="M315" s="116">
        <f t="shared" si="62"/>
        <v>3456334.6427000016</v>
      </c>
      <c r="N315" s="123">
        <f t="shared" si="63"/>
        <v>194.30709707105922</v>
      </c>
      <c r="O315" s="5"/>
      <c r="P315" s="5">
        <f t="shared" si="64"/>
        <v>1</v>
      </c>
      <c r="Q315" s="7">
        <f t="shared" si="65"/>
        <v>17788</v>
      </c>
      <c r="S315" s="124">
        <f>SUM(D310:D315)</f>
        <v>4159795475</v>
      </c>
      <c r="T315" s="124">
        <f>SUM(F310:F315)</f>
        <v>2442289944</v>
      </c>
      <c r="U315" s="124">
        <f>SUM(J310:J315)</f>
        <v>17097097.797799997</v>
      </c>
      <c r="W315" s="124">
        <f t="shared" si="70"/>
        <v>6013075.3372999998</v>
      </c>
      <c r="X315">
        <f t="shared" si="66"/>
        <v>0</v>
      </c>
    </row>
    <row r="316" spans="1:24">
      <c r="A316" s="23" t="s">
        <v>341</v>
      </c>
      <c r="B316" s="35" t="s">
        <v>342</v>
      </c>
      <c r="C316" s="125">
        <v>4324</v>
      </c>
      <c r="D316" s="132">
        <v>1344634947</v>
      </c>
      <c r="E316" s="116">
        <f t="shared" si="74"/>
        <v>310970.15425531915</v>
      </c>
      <c r="F316" s="134">
        <v>950491086</v>
      </c>
      <c r="G316" s="117">
        <f t="shared" si="75"/>
        <v>219817.54995374652</v>
      </c>
      <c r="H316" s="7"/>
      <c r="I316" s="136">
        <v>6.5</v>
      </c>
      <c r="J316" s="134">
        <v>6178192.0590000004</v>
      </c>
      <c r="K316" s="120">
        <f t="shared" si="76"/>
        <v>1428.8140746993524</v>
      </c>
      <c r="L316" s="122">
        <f t="shared" si="61"/>
        <v>9504910.8599999994</v>
      </c>
      <c r="M316" s="116">
        <f t="shared" si="62"/>
        <v>3326718.800999999</v>
      </c>
      <c r="N316" s="123">
        <f t="shared" si="63"/>
        <v>769.36142483811261</v>
      </c>
      <c r="O316" s="5"/>
      <c r="P316" s="5">
        <f t="shared" si="64"/>
        <v>1</v>
      </c>
      <c r="Q316" s="7">
        <f t="shared" si="65"/>
        <v>4324</v>
      </c>
      <c r="W316" s="124">
        <f t="shared" si="70"/>
        <v>6178192.0589999994</v>
      </c>
      <c r="X316">
        <f t="shared" si="66"/>
        <v>0</v>
      </c>
    </row>
    <row r="317" spans="1:24">
      <c r="A317" s="23" t="s">
        <v>343</v>
      </c>
      <c r="B317" s="35" t="s">
        <v>342</v>
      </c>
      <c r="C317" s="125">
        <v>1632</v>
      </c>
      <c r="D317" s="132">
        <v>879087957</v>
      </c>
      <c r="E317" s="116">
        <f t="shared" si="74"/>
        <v>538656.8363970588</v>
      </c>
      <c r="F317" s="134">
        <v>640117385</v>
      </c>
      <c r="G317" s="117">
        <f t="shared" si="75"/>
        <v>392228.78982843139</v>
      </c>
      <c r="H317" s="7"/>
      <c r="I317" s="136">
        <v>2.0394000000000001</v>
      </c>
      <c r="J317" s="134">
        <v>1305455.394969</v>
      </c>
      <c r="K317" s="120">
        <f t="shared" si="76"/>
        <v>799.911393976103</v>
      </c>
      <c r="L317" s="122">
        <f t="shared" si="61"/>
        <v>6401173.8500000006</v>
      </c>
      <c r="M317" s="116">
        <f t="shared" si="62"/>
        <v>5095718.4550310001</v>
      </c>
      <c r="N317" s="123">
        <f t="shared" si="63"/>
        <v>3122.3765043082108</v>
      </c>
      <c r="O317" s="5"/>
      <c r="P317" s="5">
        <f t="shared" si="64"/>
        <v>1</v>
      </c>
      <c r="Q317" s="7">
        <f t="shared" si="65"/>
        <v>1632</v>
      </c>
      <c r="W317" s="124">
        <f t="shared" si="70"/>
        <v>1305455.3949690002</v>
      </c>
      <c r="X317">
        <f t="shared" si="66"/>
        <v>0</v>
      </c>
    </row>
    <row r="318" spans="1:24">
      <c r="A318" s="23" t="s">
        <v>344</v>
      </c>
      <c r="B318" s="35" t="s">
        <v>342</v>
      </c>
      <c r="C318" s="125">
        <v>2317</v>
      </c>
      <c r="D318" s="132">
        <v>417240403</v>
      </c>
      <c r="E318" s="116">
        <f t="shared" si="74"/>
        <v>180077.86059559777</v>
      </c>
      <c r="F318" s="134">
        <v>283293171</v>
      </c>
      <c r="G318" s="117">
        <f t="shared" si="75"/>
        <v>122267.22960725076</v>
      </c>
      <c r="H318" s="7"/>
      <c r="I318" s="136">
        <v>5.35</v>
      </c>
      <c r="J318" s="134">
        <v>1515618.4648499999</v>
      </c>
      <c r="K318" s="120">
        <f t="shared" si="76"/>
        <v>654.1296783987915</v>
      </c>
      <c r="L318" s="122">
        <f t="shared" si="61"/>
        <v>2832931.71</v>
      </c>
      <c r="M318" s="116">
        <f t="shared" si="62"/>
        <v>1317313.2451500001</v>
      </c>
      <c r="N318" s="123">
        <f t="shared" si="63"/>
        <v>568.54261767371599</v>
      </c>
      <c r="O318" s="5"/>
      <c r="P318" s="5">
        <f t="shared" si="64"/>
        <v>1</v>
      </c>
      <c r="Q318" s="7">
        <f t="shared" si="65"/>
        <v>2317</v>
      </c>
      <c r="W318" s="124">
        <f t="shared" si="70"/>
        <v>1515618.4648499999</v>
      </c>
      <c r="X318">
        <f t="shared" si="66"/>
        <v>0</v>
      </c>
    </row>
    <row r="319" spans="1:24">
      <c r="A319" s="23" t="s">
        <v>345</v>
      </c>
      <c r="B319" s="35" t="s">
        <v>342</v>
      </c>
      <c r="C319" s="125">
        <v>74</v>
      </c>
      <c r="D319" s="132">
        <v>241521917</v>
      </c>
      <c r="E319" s="116">
        <f t="shared" si="74"/>
        <v>3263809.6891891891</v>
      </c>
      <c r="F319" s="134">
        <v>195904524</v>
      </c>
      <c r="G319" s="117">
        <f t="shared" si="75"/>
        <v>2647358.4324324327</v>
      </c>
      <c r="H319" s="7"/>
      <c r="I319" s="136">
        <v>0.54500000000000004</v>
      </c>
      <c r="J319" s="134">
        <v>106767.96558000002</v>
      </c>
      <c r="K319" s="120">
        <f t="shared" si="76"/>
        <v>1442.810345675676</v>
      </c>
      <c r="L319" s="122">
        <f t="shared" si="61"/>
        <v>1959045.24</v>
      </c>
      <c r="M319" s="116">
        <f t="shared" si="62"/>
        <v>1852277.2744199999</v>
      </c>
      <c r="N319" s="123">
        <f t="shared" si="63"/>
        <v>25030.773978648649</v>
      </c>
      <c r="O319" s="5"/>
      <c r="P319" s="5">
        <f t="shared" si="64"/>
        <v>1</v>
      </c>
      <c r="Q319" s="7">
        <f t="shared" si="65"/>
        <v>74</v>
      </c>
      <c r="W319" s="124">
        <f t="shared" si="70"/>
        <v>106767.96558</v>
      </c>
      <c r="X319">
        <f t="shared" si="66"/>
        <v>0</v>
      </c>
    </row>
    <row r="320" spans="1:24">
      <c r="A320" s="129" t="s">
        <v>346</v>
      </c>
      <c r="B320" s="130" t="s">
        <v>342</v>
      </c>
      <c r="C320" s="131">
        <v>117800</v>
      </c>
      <c r="D320" s="132">
        <v>19870479060</v>
      </c>
      <c r="E320" s="133">
        <f t="shared" si="74"/>
        <v>168679.78828522921</v>
      </c>
      <c r="F320" s="134">
        <v>13401399718</v>
      </c>
      <c r="G320" s="134">
        <f t="shared" si="75"/>
        <v>113764.00439728353</v>
      </c>
      <c r="H320" s="135"/>
      <c r="I320" s="136">
        <v>5.9550000000000001</v>
      </c>
      <c r="J320" s="134">
        <v>79805335.320690006</v>
      </c>
      <c r="K320" s="137">
        <f t="shared" si="76"/>
        <v>677.46464618582343</v>
      </c>
      <c r="L320" s="138">
        <f t="shared" si="61"/>
        <v>134013997.18000001</v>
      </c>
      <c r="M320" s="133">
        <f t="shared" si="62"/>
        <v>54208661.859310001</v>
      </c>
      <c r="N320" s="139">
        <f t="shared" si="63"/>
        <v>460.17539778701189</v>
      </c>
      <c r="O320" s="5"/>
      <c r="P320" s="5">
        <f t="shared" si="64"/>
        <v>1</v>
      </c>
      <c r="Q320" s="7">
        <f t="shared" si="65"/>
        <v>117800</v>
      </c>
      <c r="W320" s="124">
        <f t="shared" si="70"/>
        <v>79805335.320690006</v>
      </c>
      <c r="X320">
        <f t="shared" si="66"/>
        <v>0</v>
      </c>
    </row>
    <row r="321" spans="1:24">
      <c r="A321" s="23" t="s">
        <v>347</v>
      </c>
      <c r="B321" s="35" t="s">
        <v>342</v>
      </c>
      <c r="C321" s="125">
        <v>36116</v>
      </c>
      <c r="D321" s="132">
        <v>5582279629</v>
      </c>
      <c r="E321" s="116">
        <f t="shared" si="74"/>
        <v>154565.27934987264</v>
      </c>
      <c r="F321" s="134">
        <v>3313983607</v>
      </c>
      <c r="G321" s="117">
        <f t="shared" si="75"/>
        <v>91759.430917045072</v>
      </c>
      <c r="H321" s="7"/>
      <c r="I321" s="136">
        <v>4.1345000000000001</v>
      </c>
      <c r="J321" s="134">
        <v>13701665.223141501</v>
      </c>
      <c r="K321" s="120">
        <f t="shared" si="76"/>
        <v>379.37936712652288</v>
      </c>
      <c r="L321" s="122">
        <f t="shared" si="61"/>
        <v>33139836.07</v>
      </c>
      <c r="M321" s="116">
        <f t="shared" si="62"/>
        <v>19438170.846858501</v>
      </c>
      <c r="N321" s="123">
        <f t="shared" si="63"/>
        <v>538.21494204392798</v>
      </c>
      <c r="O321" s="5"/>
      <c r="P321" s="5">
        <f t="shared" si="64"/>
        <v>1</v>
      </c>
      <c r="Q321" s="7">
        <f t="shared" si="65"/>
        <v>36116</v>
      </c>
      <c r="W321" s="124">
        <f t="shared" si="70"/>
        <v>13701665.223141501</v>
      </c>
      <c r="X321">
        <f t="shared" si="66"/>
        <v>0</v>
      </c>
    </row>
    <row r="322" spans="1:24">
      <c r="A322" s="23" t="s">
        <v>348</v>
      </c>
      <c r="B322" s="35" t="s">
        <v>342</v>
      </c>
      <c r="C322" s="125">
        <v>11777</v>
      </c>
      <c r="D322" s="132">
        <v>1936084668</v>
      </c>
      <c r="E322" s="116">
        <f t="shared" si="74"/>
        <v>164395.40358325551</v>
      </c>
      <c r="F322" s="134">
        <v>1192693980</v>
      </c>
      <c r="G322" s="117">
        <f t="shared" si="75"/>
        <v>101273.1578500467</v>
      </c>
      <c r="H322" s="7"/>
      <c r="I322" s="136">
        <v>4.0389999999999997</v>
      </c>
      <c r="J322" s="134">
        <v>4817290.9852199992</v>
      </c>
      <c r="K322" s="120">
        <f t="shared" si="76"/>
        <v>409.04228455633859</v>
      </c>
      <c r="L322" s="122">
        <f t="shared" si="61"/>
        <v>11926939.800000001</v>
      </c>
      <c r="M322" s="116">
        <f t="shared" si="62"/>
        <v>7109648.8147800015</v>
      </c>
      <c r="N322" s="123">
        <f t="shared" si="63"/>
        <v>603.68929394412851</v>
      </c>
      <c r="O322" s="5"/>
      <c r="P322" s="5">
        <f t="shared" si="64"/>
        <v>1</v>
      </c>
      <c r="Q322" s="7">
        <f t="shared" si="65"/>
        <v>11777</v>
      </c>
      <c r="W322" s="124">
        <f t="shared" si="70"/>
        <v>4817290.9852200001</v>
      </c>
      <c r="X322">
        <f t="shared" si="66"/>
        <v>0</v>
      </c>
    </row>
    <row r="323" spans="1:24">
      <c r="A323" s="23" t="s">
        <v>349</v>
      </c>
      <c r="B323" s="35" t="s">
        <v>342</v>
      </c>
      <c r="C323" s="125">
        <v>3696</v>
      </c>
      <c r="D323" s="132">
        <v>1880879582</v>
      </c>
      <c r="E323" s="116">
        <f t="shared" si="74"/>
        <v>508895.99080086581</v>
      </c>
      <c r="F323" s="134">
        <v>1435252636</v>
      </c>
      <c r="G323" s="117">
        <f t="shared" si="75"/>
        <v>388325.92965367966</v>
      </c>
      <c r="H323" s="98"/>
      <c r="I323" s="136">
        <v>1.8326</v>
      </c>
      <c r="J323" s="134">
        <v>2630243.9807336</v>
      </c>
      <c r="K323" s="120">
        <f t="shared" si="76"/>
        <v>711.64609868333332</v>
      </c>
      <c r="L323" s="122">
        <f t="shared" si="61"/>
        <v>14352526.359999999</v>
      </c>
      <c r="M323" s="116">
        <f t="shared" si="62"/>
        <v>11722282.3792664</v>
      </c>
      <c r="N323" s="123">
        <f t="shared" si="63"/>
        <v>3171.6131978534631</v>
      </c>
      <c r="O323" s="5"/>
      <c r="P323" s="5">
        <f t="shared" si="64"/>
        <v>1</v>
      </c>
      <c r="Q323" s="7">
        <f t="shared" si="65"/>
        <v>3696</v>
      </c>
      <c r="W323" s="124">
        <f t="shared" si="70"/>
        <v>2630243.9807336</v>
      </c>
      <c r="X323">
        <f t="shared" si="66"/>
        <v>0</v>
      </c>
    </row>
    <row r="324" spans="1:24">
      <c r="A324" s="23" t="s">
        <v>350</v>
      </c>
      <c r="B324" s="35" t="s">
        <v>342</v>
      </c>
      <c r="C324" s="125">
        <v>1193</v>
      </c>
      <c r="D324" s="132">
        <v>1323305666</v>
      </c>
      <c r="E324" s="116">
        <f t="shared" si="74"/>
        <v>1109225.2020117352</v>
      </c>
      <c r="F324" s="134">
        <v>1158733818</v>
      </c>
      <c r="G324" s="117">
        <f t="shared" si="75"/>
        <v>971277.29924559931</v>
      </c>
      <c r="H324" s="7"/>
      <c r="I324" s="136">
        <v>1.87</v>
      </c>
      <c r="J324" s="134">
        <v>2166832.2396600004</v>
      </c>
      <c r="K324" s="120">
        <f t="shared" si="76"/>
        <v>1816.288549589271</v>
      </c>
      <c r="L324" s="122">
        <f t="shared" si="61"/>
        <v>11587338.18</v>
      </c>
      <c r="M324" s="116">
        <f t="shared" si="62"/>
        <v>9420505.9403399993</v>
      </c>
      <c r="N324" s="123">
        <f t="shared" si="63"/>
        <v>7896.484442866722</v>
      </c>
      <c r="O324" s="5"/>
      <c r="P324" s="5">
        <f t="shared" si="64"/>
        <v>1</v>
      </c>
      <c r="Q324" s="7">
        <f t="shared" si="65"/>
        <v>1193</v>
      </c>
      <c r="W324" s="124">
        <f t="shared" si="70"/>
        <v>2166832.23966</v>
      </c>
      <c r="X324">
        <f t="shared" si="66"/>
        <v>0</v>
      </c>
    </row>
    <row r="325" spans="1:24">
      <c r="A325" s="23" t="s">
        <v>351</v>
      </c>
      <c r="B325" s="35" t="s">
        <v>342</v>
      </c>
      <c r="C325" s="125">
        <v>5034</v>
      </c>
      <c r="D325" s="132">
        <v>373143847</v>
      </c>
      <c r="E325" s="116">
        <f t="shared" si="74"/>
        <v>74124.721295192692</v>
      </c>
      <c r="F325" s="134">
        <v>214642550</v>
      </c>
      <c r="G325" s="117">
        <f t="shared" si="75"/>
        <v>42638.567739372265</v>
      </c>
      <c r="H325" s="7"/>
      <c r="I325" s="136">
        <v>5.4374000000000002</v>
      </c>
      <c r="J325" s="134">
        <v>1167097.4013700001</v>
      </c>
      <c r="K325" s="120">
        <f t="shared" si="76"/>
        <v>231.84294822606279</v>
      </c>
      <c r="L325" s="122">
        <f t="shared" si="61"/>
        <v>2146425.5</v>
      </c>
      <c r="M325" s="116">
        <f t="shared" si="62"/>
        <v>979328.09862999991</v>
      </c>
      <c r="N325" s="123">
        <f t="shared" si="63"/>
        <v>194.5427291676599</v>
      </c>
      <c r="O325" s="5"/>
      <c r="P325" s="5">
        <f t="shared" si="64"/>
        <v>1</v>
      </c>
      <c r="Q325" s="7">
        <f t="shared" si="65"/>
        <v>5034</v>
      </c>
      <c r="W325" s="124">
        <f t="shared" si="70"/>
        <v>1167097.4013700001</v>
      </c>
      <c r="X325">
        <f t="shared" si="66"/>
        <v>0</v>
      </c>
    </row>
    <row r="326" spans="1:24">
      <c r="A326" s="23" t="s">
        <v>352</v>
      </c>
      <c r="B326" s="35" t="s">
        <v>342</v>
      </c>
      <c r="C326" s="125">
        <v>83071</v>
      </c>
      <c r="D326" s="132">
        <v>8741432064</v>
      </c>
      <c r="E326" s="116">
        <f t="shared" si="74"/>
        <v>105228.44390942687</v>
      </c>
      <c r="F326" s="134">
        <v>5980043813</v>
      </c>
      <c r="G326" s="117">
        <f t="shared" si="75"/>
        <v>71987.141276739174</v>
      </c>
      <c r="H326" s="7"/>
      <c r="I326" s="136">
        <v>5.58</v>
      </c>
      <c r="J326" s="134">
        <v>33368644.476539999</v>
      </c>
      <c r="K326" s="120">
        <f t="shared" si="76"/>
        <v>401.68824832420461</v>
      </c>
      <c r="L326" s="122">
        <f t="shared" ref="L326:L389" si="77">(F326*0.01)</f>
        <v>59800438.130000003</v>
      </c>
      <c r="M326" s="116">
        <f t="shared" ref="M326:M389" si="78">(L326-J326)</f>
        <v>26431793.653460003</v>
      </c>
      <c r="N326" s="123">
        <f t="shared" ref="N326:N389" si="79">(M326/C326)</f>
        <v>318.1831644431872</v>
      </c>
      <c r="O326" s="5"/>
      <c r="P326" s="5">
        <f t="shared" si="64"/>
        <v>1</v>
      </c>
      <c r="Q326" s="7">
        <f t="shared" si="65"/>
        <v>83071</v>
      </c>
      <c r="W326" s="124">
        <f t="shared" ref="W326:W389" si="80">F326*(I326/1000)</f>
        <v>33368644.476539999</v>
      </c>
      <c r="X326">
        <f t="shared" ref="X326:X389" si="81">IF(W326=J326,0,1)</f>
        <v>0</v>
      </c>
    </row>
    <row r="327" spans="1:24">
      <c r="A327" s="23" t="s">
        <v>353</v>
      </c>
      <c r="B327" s="35" t="s">
        <v>342</v>
      </c>
      <c r="C327" s="125">
        <v>3886</v>
      </c>
      <c r="D327" s="132">
        <v>2032250078</v>
      </c>
      <c r="E327" s="116">
        <f t="shared" si="74"/>
        <v>522967.08131755015</v>
      </c>
      <c r="F327" s="134">
        <v>1555767607</v>
      </c>
      <c r="G327" s="117">
        <f t="shared" si="75"/>
        <v>400351.93180648482</v>
      </c>
      <c r="H327" s="7"/>
      <c r="I327" s="136">
        <v>2.75</v>
      </c>
      <c r="J327" s="134">
        <v>4278360.9192500003</v>
      </c>
      <c r="K327" s="120">
        <f t="shared" si="76"/>
        <v>1100.9678124678333</v>
      </c>
      <c r="L327" s="122">
        <f t="shared" si="77"/>
        <v>15557676.07</v>
      </c>
      <c r="M327" s="116">
        <f t="shared" si="78"/>
        <v>11279315.15075</v>
      </c>
      <c r="N327" s="123">
        <f t="shared" si="79"/>
        <v>2902.551505597015</v>
      </c>
      <c r="O327" s="5"/>
      <c r="P327" s="5">
        <f t="shared" ref="P327:P390" si="82">IF(I327&gt;0,1,0)</f>
        <v>1</v>
      </c>
      <c r="Q327" s="7">
        <f t="shared" ref="Q327:Q390" si="83">IF(I327&gt;0,C327,0)</f>
        <v>3886</v>
      </c>
      <c r="W327" s="124">
        <f t="shared" si="80"/>
        <v>4278360.9192499993</v>
      </c>
      <c r="X327">
        <f t="shared" si="81"/>
        <v>0</v>
      </c>
    </row>
    <row r="328" spans="1:24">
      <c r="A328" s="23" t="s">
        <v>354</v>
      </c>
      <c r="B328" s="35" t="s">
        <v>342</v>
      </c>
      <c r="C328" s="125">
        <v>1493</v>
      </c>
      <c r="D328" s="132">
        <v>741895972</v>
      </c>
      <c r="E328" s="116">
        <f t="shared" si="74"/>
        <v>496916.25720026792</v>
      </c>
      <c r="F328" s="134">
        <v>607550866</v>
      </c>
      <c r="G328" s="117">
        <f t="shared" si="75"/>
        <v>406932.93101138645</v>
      </c>
      <c r="H328" s="7"/>
      <c r="I328" s="136">
        <v>1</v>
      </c>
      <c r="J328" s="134">
        <v>607550.86600000004</v>
      </c>
      <c r="K328" s="120">
        <f t="shared" si="76"/>
        <v>406.93293101138647</v>
      </c>
      <c r="L328" s="122">
        <f t="shared" si="77"/>
        <v>6075508.6600000001</v>
      </c>
      <c r="M328" s="116">
        <f t="shared" si="78"/>
        <v>5467957.7939999998</v>
      </c>
      <c r="N328" s="123">
        <f t="shared" si="79"/>
        <v>3662.396379102478</v>
      </c>
      <c r="O328" s="5"/>
      <c r="P328" s="5">
        <f t="shared" si="82"/>
        <v>1</v>
      </c>
      <c r="Q328" s="7">
        <f t="shared" si="83"/>
        <v>1493</v>
      </c>
      <c r="W328" s="124">
        <f t="shared" si="80"/>
        <v>607550.86600000004</v>
      </c>
      <c r="X328">
        <f t="shared" si="81"/>
        <v>0</v>
      </c>
    </row>
    <row r="329" spans="1:24">
      <c r="A329" s="23" t="s">
        <v>355</v>
      </c>
      <c r="B329" s="35" t="s">
        <v>342</v>
      </c>
      <c r="C329" s="125">
        <v>14905</v>
      </c>
      <c r="D329" s="132">
        <v>2379412929</v>
      </c>
      <c r="E329" s="116">
        <f t="shared" si="74"/>
        <v>159638.57289500168</v>
      </c>
      <c r="F329" s="134">
        <v>1670549227</v>
      </c>
      <c r="G329" s="117">
        <f t="shared" si="75"/>
        <v>112079.78711841664</v>
      </c>
      <c r="H329" s="7"/>
      <c r="I329" s="136">
        <v>4.05</v>
      </c>
      <c r="J329" s="134">
        <v>6765724.3693499994</v>
      </c>
      <c r="K329" s="120">
        <f t="shared" si="76"/>
        <v>453.92313782958735</v>
      </c>
      <c r="L329" s="122">
        <f t="shared" si="77"/>
        <v>16705492.27</v>
      </c>
      <c r="M329" s="116">
        <f t="shared" si="78"/>
        <v>9939767.9006500002</v>
      </c>
      <c r="N329" s="123">
        <f t="shared" si="79"/>
        <v>666.87473335457901</v>
      </c>
      <c r="O329" s="5"/>
      <c r="P329" s="5">
        <f t="shared" si="82"/>
        <v>1</v>
      </c>
      <c r="Q329" s="7">
        <f t="shared" si="83"/>
        <v>14905</v>
      </c>
      <c r="W329" s="124">
        <f t="shared" si="80"/>
        <v>6765724.3693499994</v>
      </c>
      <c r="X329">
        <f t="shared" si="81"/>
        <v>0</v>
      </c>
    </row>
    <row r="330" spans="1:24">
      <c r="A330" s="23" t="s">
        <v>356</v>
      </c>
      <c r="B330" s="35" t="s">
        <v>342</v>
      </c>
      <c r="C330" s="125">
        <v>54239</v>
      </c>
      <c r="D330" s="132">
        <v>6490439606</v>
      </c>
      <c r="E330" s="116">
        <f t="shared" si="74"/>
        <v>119663.70334998802</v>
      </c>
      <c r="F330" s="134">
        <v>4457028083</v>
      </c>
      <c r="G330" s="117">
        <f t="shared" si="75"/>
        <v>82173.861667803605</v>
      </c>
      <c r="H330" s="7"/>
      <c r="I330" s="136">
        <v>5.49</v>
      </c>
      <c r="J330" s="134">
        <v>24469084.175670002</v>
      </c>
      <c r="K330" s="120">
        <f t="shared" si="76"/>
        <v>451.13450055624185</v>
      </c>
      <c r="L330" s="122">
        <f t="shared" si="77"/>
        <v>44570280.829999998</v>
      </c>
      <c r="M330" s="116">
        <f t="shared" si="78"/>
        <v>20101196.654329997</v>
      </c>
      <c r="N330" s="123">
        <f t="shared" si="79"/>
        <v>370.60411612179422</v>
      </c>
      <c r="O330" s="5"/>
      <c r="P330" s="5">
        <f t="shared" si="82"/>
        <v>1</v>
      </c>
      <c r="Q330" s="7">
        <f t="shared" si="83"/>
        <v>54239</v>
      </c>
      <c r="W330" s="124">
        <f t="shared" si="80"/>
        <v>24469084.175670002</v>
      </c>
      <c r="X330">
        <f t="shared" si="81"/>
        <v>0</v>
      </c>
    </row>
    <row r="331" spans="1:24">
      <c r="A331" s="23" t="s">
        <v>357</v>
      </c>
      <c r="B331" s="35" t="s">
        <v>342</v>
      </c>
      <c r="C331" s="125">
        <v>1372</v>
      </c>
      <c r="D331" s="132">
        <v>786270488</v>
      </c>
      <c r="E331" s="116">
        <f t="shared" si="74"/>
        <v>573083.44606413995</v>
      </c>
      <c r="F331" s="134">
        <v>593708956</v>
      </c>
      <c r="G331" s="117">
        <f t="shared" si="75"/>
        <v>432732.47521865892</v>
      </c>
      <c r="H331" s="7"/>
      <c r="I331" s="136">
        <v>1.8149</v>
      </c>
      <c r="J331" s="134">
        <v>1077522.3842444001</v>
      </c>
      <c r="K331" s="120">
        <f t="shared" si="76"/>
        <v>785.36616927434409</v>
      </c>
      <c r="L331" s="122">
        <f t="shared" si="77"/>
        <v>5937089.5600000005</v>
      </c>
      <c r="M331" s="116">
        <f t="shared" si="78"/>
        <v>4859567.1757556004</v>
      </c>
      <c r="N331" s="123">
        <f t="shared" si="79"/>
        <v>3541.9585829122452</v>
      </c>
      <c r="O331" s="5"/>
      <c r="P331" s="5">
        <f t="shared" si="82"/>
        <v>1</v>
      </c>
      <c r="Q331" s="7">
        <f t="shared" si="83"/>
        <v>1372</v>
      </c>
      <c r="W331" s="124">
        <f t="shared" si="80"/>
        <v>1077522.3842444001</v>
      </c>
      <c r="X331">
        <f t="shared" si="81"/>
        <v>0</v>
      </c>
    </row>
    <row r="332" spans="1:24">
      <c r="A332" s="23" t="s">
        <v>358</v>
      </c>
      <c r="B332" s="35" t="s">
        <v>342</v>
      </c>
      <c r="C332" s="125">
        <v>2180</v>
      </c>
      <c r="D332" s="132">
        <v>1086485077</v>
      </c>
      <c r="E332" s="116">
        <f t="shared" si="74"/>
        <v>498387.65</v>
      </c>
      <c r="F332" s="134">
        <v>846993022</v>
      </c>
      <c r="G332" s="117">
        <f t="shared" si="75"/>
        <v>388528.90917431191</v>
      </c>
      <c r="H332" s="7"/>
      <c r="I332" s="136">
        <v>1.6896</v>
      </c>
      <c r="J332" s="134">
        <v>1431079.4099711999</v>
      </c>
      <c r="K332" s="120">
        <f t="shared" si="76"/>
        <v>656.45844494091739</v>
      </c>
      <c r="L332" s="122">
        <f t="shared" si="77"/>
        <v>8469930.2200000007</v>
      </c>
      <c r="M332" s="116">
        <f t="shared" si="78"/>
        <v>7038850.8100288007</v>
      </c>
      <c r="N332" s="123">
        <f t="shared" si="79"/>
        <v>3228.830646802202</v>
      </c>
      <c r="O332" s="5"/>
      <c r="P332" s="5">
        <f t="shared" si="82"/>
        <v>1</v>
      </c>
      <c r="Q332" s="7">
        <f t="shared" si="83"/>
        <v>2180</v>
      </c>
      <c r="W332" s="124">
        <f t="shared" si="80"/>
        <v>1431079.4099712002</v>
      </c>
      <c r="X332">
        <f t="shared" si="81"/>
        <v>0</v>
      </c>
    </row>
    <row r="333" spans="1:24">
      <c r="A333" s="23" t="s">
        <v>359</v>
      </c>
      <c r="B333" s="35" t="s">
        <v>342</v>
      </c>
      <c r="C333" s="125">
        <v>17105</v>
      </c>
      <c r="D333" s="132">
        <v>2802135685</v>
      </c>
      <c r="E333" s="116">
        <f t="shared" si="74"/>
        <v>163819.68342589887</v>
      </c>
      <c r="F333" s="134">
        <v>1574148587</v>
      </c>
      <c r="G333" s="117">
        <f t="shared" si="75"/>
        <v>92028.563987138259</v>
      </c>
      <c r="H333" s="7"/>
      <c r="I333" s="136">
        <v>3.95</v>
      </c>
      <c r="J333" s="134">
        <v>6217886.9186500004</v>
      </c>
      <c r="K333" s="120">
        <f t="shared" si="76"/>
        <v>363.51282774919616</v>
      </c>
      <c r="L333" s="122">
        <f t="shared" si="77"/>
        <v>15741485.870000001</v>
      </c>
      <c r="M333" s="116">
        <f t="shared" si="78"/>
        <v>9523598.9513499998</v>
      </c>
      <c r="N333" s="123">
        <f t="shared" si="79"/>
        <v>556.77281212218645</v>
      </c>
      <c r="O333" s="5"/>
      <c r="P333" s="5">
        <f t="shared" si="82"/>
        <v>1</v>
      </c>
      <c r="Q333" s="7">
        <f t="shared" si="83"/>
        <v>17105</v>
      </c>
      <c r="W333" s="124">
        <f t="shared" si="80"/>
        <v>6217886.9186500004</v>
      </c>
      <c r="X333">
        <f t="shared" si="81"/>
        <v>0</v>
      </c>
    </row>
    <row r="334" spans="1:24">
      <c r="A334" s="23" t="s">
        <v>360</v>
      </c>
      <c r="B334" s="35" t="s">
        <v>342</v>
      </c>
      <c r="C334" s="125">
        <v>19358</v>
      </c>
      <c r="D334" s="132">
        <v>2780943964</v>
      </c>
      <c r="E334" s="116">
        <f t="shared" si="74"/>
        <v>143658.64056204155</v>
      </c>
      <c r="F334" s="134">
        <v>1802979989</v>
      </c>
      <c r="G334" s="117">
        <f t="shared" si="75"/>
        <v>93138.753435272243</v>
      </c>
      <c r="H334" s="7"/>
      <c r="I334" s="136">
        <v>2.4792999999999998</v>
      </c>
      <c r="J334" s="134">
        <v>4470128.2867276995</v>
      </c>
      <c r="K334" s="120">
        <f t="shared" si="76"/>
        <v>230.91891139207044</v>
      </c>
      <c r="L334" s="122">
        <f t="shared" si="77"/>
        <v>18029799.890000001</v>
      </c>
      <c r="M334" s="116">
        <f t="shared" si="78"/>
        <v>13559671.6032723</v>
      </c>
      <c r="N334" s="123">
        <f t="shared" si="79"/>
        <v>700.46862296065194</v>
      </c>
      <c r="O334" s="5"/>
      <c r="P334" s="5">
        <f t="shared" si="82"/>
        <v>1</v>
      </c>
      <c r="Q334" s="7">
        <f t="shared" si="83"/>
        <v>19358</v>
      </c>
      <c r="W334" s="124">
        <f t="shared" si="80"/>
        <v>4470128.2867276995</v>
      </c>
      <c r="X334">
        <f t="shared" si="81"/>
        <v>0</v>
      </c>
    </row>
    <row r="335" spans="1:24">
      <c r="A335" s="24" t="s">
        <v>361</v>
      </c>
      <c r="B335" s="35" t="s">
        <v>342</v>
      </c>
      <c r="C335" s="125">
        <v>5359</v>
      </c>
      <c r="D335" s="132">
        <v>961862802</v>
      </c>
      <c r="E335" s="116">
        <f t="shared" si="74"/>
        <v>179485.50139951485</v>
      </c>
      <c r="F335" s="134">
        <v>726125472</v>
      </c>
      <c r="G335" s="117">
        <f t="shared" si="75"/>
        <v>135496.44933756298</v>
      </c>
      <c r="H335" s="7"/>
      <c r="I335" s="136">
        <v>4.2473999999999998</v>
      </c>
      <c r="J335" s="134">
        <v>3084145.3297727997</v>
      </c>
      <c r="K335" s="120">
        <f t="shared" si="76"/>
        <v>575.50761891636489</v>
      </c>
      <c r="L335" s="122">
        <f t="shared" si="77"/>
        <v>7261254.7199999997</v>
      </c>
      <c r="M335" s="116">
        <f t="shared" si="78"/>
        <v>4177109.3902272</v>
      </c>
      <c r="N335" s="123">
        <f t="shared" si="79"/>
        <v>779.45687445926478</v>
      </c>
      <c r="O335" s="5"/>
      <c r="P335" s="5">
        <f t="shared" si="82"/>
        <v>1</v>
      </c>
      <c r="Q335" s="7">
        <f t="shared" si="83"/>
        <v>5359</v>
      </c>
      <c r="W335" s="124">
        <f t="shared" si="80"/>
        <v>3084145.3297728002</v>
      </c>
      <c r="X335">
        <f t="shared" si="81"/>
        <v>0</v>
      </c>
    </row>
    <row r="336" spans="1:24">
      <c r="A336" s="24" t="s">
        <v>561</v>
      </c>
      <c r="B336" s="35" t="s">
        <v>342</v>
      </c>
      <c r="C336" s="125">
        <v>8867</v>
      </c>
      <c r="D336" s="132">
        <v>4714407708</v>
      </c>
      <c r="E336" s="116">
        <f t="shared" si="74"/>
        <v>531680.12946881691</v>
      </c>
      <c r="F336" s="134">
        <v>3614116007</v>
      </c>
      <c r="G336" s="117">
        <f t="shared" si="75"/>
        <v>407591.74546069698</v>
      </c>
      <c r="H336" s="7"/>
      <c r="I336" s="136">
        <v>3.15</v>
      </c>
      <c r="J336" s="134">
        <v>11384465.422049999</v>
      </c>
      <c r="K336" s="120">
        <f t="shared" si="76"/>
        <v>1283.9139982011955</v>
      </c>
      <c r="L336" s="122">
        <f t="shared" si="77"/>
        <v>36141160.07</v>
      </c>
      <c r="M336" s="116">
        <f t="shared" si="78"/>
        <v>24756694.647950001</v>
      </c>
      <c r="N336" s="123">
        <f t="shared" si="79"/>
        <v>2792.0034564057742</v>
      </c>
      <c r="O336" s="5"/>
      <c r="P336" s="5">
        <f t="shared" si="82"/>
        <v>1</v>
      </c>
      <c r="Q336" s="7">
        <f t="shared" si="83"/>
        <v>8867</v>
      </c>
      <c r="W336" s="124">
        <f t="shared" si="80"/>
        <v>11384465.422049999</v>
      </c>
      <c r="X336">
        <f t="shared" si="81"/>
        <v>0</v>
      </c>
    </row>
    <row r="337" spans="1:24">
      <c r="A337" s="23" t="s">
        <v>548</v>
      </c>
      <c r="B337" s="35" t="s">
        <v>342</v>
      </c>
      <c r="C337" s="125">
        <v>260778</v>
      </c>
      <c r="D337" s="132">
        <v>40714842168</v>
      </c>
      <c r="E337" s="116">
        <f t="shared" si="74"/>
        <v>156128.36269930744</v>
      </c>
      <c r="F337" s="134">
        <v>24625438457</v>
      </c>
      <c r="G337" s="117">
        <f t="shared" si="75"/>
        <v>94430.659246562209</v>
      </c>
      <c r="H337" s="7"/>
      <c r="I337" s="136">
        <v>6.6550000000000002</v>
      </c>
      <c r="J337" s="134">
        <v>163882292.931335</v>
      </c>
      <c r="K337" s="120">
        <f t="shared" si="76"/>
        <v>628.43603728587152</v>
      </c>
      <c r="L337" s="122">
        <f t="shared" si="77"/>
        <v>246254384.56999999</v>
      </c>
      <c r="M337" s="116">
        <f t="shared" si="78"/>
        <v>82372091.638664991</v>
      </c>
      <c r="N337" s="123">
        <f t="shared" si="79"/>
        <v>315.87055517975057</v>
      </c>
      <c r="O337" s="5"/>
      <c r="P337" s="5">
        <f t="shared" si="82"/>
        <v>1</v>
      </c>
      <c r="Q337" s="7">
        <f t="shared" si="83"/>
        <v>260778</v>
      </c>
      <c r="W337" s="124">
        <f t="shared" si="80"/>
        <v>163882292.931335</v>
      </c>
      <c r="X337">
        <f t="shared" si="81"/>
        <v>0</v>
      </c>
    </row>
    <row r="338" spans="1:24">
      <c r="A338" s="23" t="s">
        <v>362</v>
      </c>
      <c r="B338" s="35" t="s">
        <v>342</v>
      </c>
      <c r="C338" s="125">
        <v>25359</v>
      </c>
      <c r="D338" s="132">
        <v>3498734236</v>
      </c>
      <c r="E338" s="116">
        <f t="shared" si="74"/>
        <v>137968.14685121653</v>
      </c>
      <c r="F338" s="134">
        <v>2180697197</v>
      </c>
      <c r="G338" s="117">
        <f t="shared" si="75"/>
        <v>85993.027997949452</v>
      </c>
      <c r="H338" s="7"/>
      <c r="I338" s="136">
        <v>5.37</v>
      </c>
      <c r="J338" s="134">
        <v>11710343.947889999</v>
      </c>
      <c r="K338" s="120">
        <f t="shared" si="76"/>
        <v>461.78256034898845</v>
      </c>
      <c r="L338" s="122">
        <f t="shared" si="77"/>
        <v>21806971.969999999</v>
      </c>
      <c r="M338" s="116">
        <f t="shared" si="78"/>
        <v>10096628.02211</v>
      </c>
      <c r="N338" s="123">
        <f t="shared" si="79"/>
        <v>398.14771963050595</v>
      </c>
      <c r="O338" s="5"/>
      <c r="P338" s="5">
        <f t="shared" si="82"/>
        <v>1</v>
      </c>
      <c r="Q338" s="7">
        <f t="shared" si="83"/>
        <v>25359</v>
      </c>
      <c r="S338" s="124"/>
      <c r="T338" s="124"/>
      <c r="U338" s="124"/>
      <c r="W338" s="124">
        <f t="shared" si="80"/>
        <v>11710343.94789</v>
      </c>
      <c r="X338">
        <f t="shared" si="81"/>
        <v>0</v>
      </c>
    </row>
    <row r="339" spans="1:24">
      <c r="A339" s="23" t="s">
        <v>363</v>
      </c>
      <c r="B339" s="35" t="s">
        <v>342</v>
      </c>
      <c r="C339" s="125">
        <v>6570</v>
      </c>
      <c r="D339" s="132">
        <v>2931745213</v>
      </c>
      <c r="E339" s="116">
        <f t="shared" si="74"/>
        <v>446232.14809741249</v>
      </c>
      <c r="F339" s="134">
        <v>2231861049</v>
      </c>
      <c r="G339" s="117">
        <f t="shared" si="75"/>
        <v>339704.8780821918</v>
      </c>
      <c r="H339" s="7"/>
      <c r="I339" s="136">
        <v>3.8129</v>
      </c>
      <c r="J339" s="134">
        <v>8509862.9937321004</v>
      </c>
      <c r="K339" s="120">
        <f t="shared" si="76"/>
        <v>1295.260729639589</v>
      </c>
      <c r="L339" s="122">
        <f t="shared" si="77"/>
        <v>22318610.490000002</v>
      </c>
      <c r="M339" s="116">
        <f t="shared" si="78"/>
        <v>13808747.496267902</v>
      </c>
      <c r="N339" s="123">
        <f t="shared" si="79"/>
        <v>2101.7880511823291</v>
      </c>
      <c r="O339" s="5"/>
      <c r="P339" s="5">
        <f t="shared" si="82"/>
        <v>1</v>
      </c>
      <c r="Q339" s="7">
        <f t="shared" si="83"/>
        <v>6570</v>
      </c>
      <c r="S339" s="124">
        <f>SUM(D316:D339)</f>
        <v>114511515666</v>
      </c>
      <c r="T339" s="124">
        <f>SUM(F316:F339)</f>
        <v>75253520807</v>
      </c>
      <c r="U339" s="124">
        <f>SUM(J316:J339)</f>
        <v>394651591.46639729</v>
      </c>
      <c r="W339" s="124">
        <f t="shared" si="80"/>
        <v>8509862.9937321004</v>
      </c>
      <c r="X339">
        <f t="shared" si="81"/>
        <v>0</v>
      </c>
    </row>
    <row r="340" spans="1:24">
      <c r="A340" s="23" t="s">
        <v>364</v>
      </c>
      <c r="B340" s="35" t="s">
        <v>365</v>
      </c>
      <c r="C340" s="125">
        <v>16539</v>
      </c>
      <c r="D340" s="132">
        <v>2203850963</v>
      </c>
      <c r="E340" s="116">
        <f t="shared" si="74"/>
        <v>133251.76630993409</v>
      </c>
      <c r="F340" s="134">
        <v>1613206569</v>
      </c>
      <c r="G340" s="117">
        <f t="shared" si="75"/>
        <v>97539.547070560497</v>
      </c>
      <c r="H340" s="7"/>
      <c r="I340" s="136">
        <v>4.2515000000000001</v>
      </c>
      <c r="J340" s="134">
        <v>6858547.7281035008</v>
      </c>
      <c r="K340" s="120">
        <f t="shared" si="76"/>
        <v>414.68938437048797</v>
      </c>
      <c r="L340" s="122">
        <f t="shared" si="77"/>
        <v>16132065.689999999</v>
      </c>
      <c r="M340" s="116">
        <f t="shared" si="78"/>
        <v>9273517.9618964978</v>
      </c>
      <c r="N340" s="123">
        <f t="shared" si="79"/>
        <v>560.70608633511688</v>
      </c>
      <c r="O340" s="5"/>
      <c r="P340" s="5">
        <f t="shared" si="82"/>
        <v>1</v>
      </c>
      <c r="Q340" s="7">
        <f t="shared" si="83"/>
        <v>16539</v>
      </c>
      <c r="W340" s="124">
        <f t="shared" si="80"/>
        <v>6858547.7281034999</v>
      </c>
      <c r="X340">
        <f t="shared" si="81"/>
        <v>0</v>
      </c>
    </row>
    <row r="341" spans="1:24">
      <c r="A341" s="23" t="s">
        <v>366</v>
      </c>
      <c r="B341" s="35" t="s">
        <v>365</v>
      </c>
      <c r="C341" s="125">
        <v>19539</v>
      </c>
      <c r="D341" s="132">
        <v>1658712737</v>
      </c>
      <c r="E341" s="116">
        <f t="shared" si="74"/>
        <v>84892.406827370898</v>
      </c>
      <c r="F341" s="134">
        <v>841972038</v>
      </c>
      <c r="G341" s="117">
        <f t="shared" si="75"/>
        <v>43091.869491785663</v>
      </c>
      <c r="H341" s="7"/>
      <c r="I341" s="136">
        <v>4</v>
      </c>
      <c r="J341" s="134">
        <v>3367888.1519999998</v>
      </c>
      <c r="K341" s="120">
        <f t="shared" si="76"/>
        <v>172.36747796714263</v>
      </c>
      <c r="L341" s="122">
        <f t="shared" si="77"/>
        <v>8419720.3800000008</v>
      </c>
      <c r="M341" s="116">
        <f t="shared" si="78"/>
        <v>5051832.2280000011</v>
      </c>
      <c r="N341" s="123">
        <f t="shared" si="79"/>
        <v>258.55121695071404</v>
      </c>
      <c r="O341" s="5"/>
      <c r="P341" s="5">
        <f t="shared" si="82"/>
        <v>1</v>
      </c>
      <c r="Q341" s="7">
        <f t="shared" si="83"/>
        <v>19539</v>
      </c>
      <c r="W341" s="124">
        <f t="shared" si="80"/>
        <v>3367888.1520000002</v>
      </c>
      <c r="X341">
        <f t="shared" si="81"/>
        <v>0</v>
      </c>
    </row>
    <row r="342" spans="1:24">
      <c r="A342" s="23" t="s">
        <v>367</v>
      </c>
      <c r="B342" s="35" t="s">
        <v>365</v>
      </c>
      <c r="C342" s="125">
        <v>10552</v>
      </c>
      <c r="D342" s="132">
        <v>773698282</v>
      </c>
      <c r="E342" s="116">
        <f t="shared" si="74"/>
        <v>73322.430060652012</v>
      </c>
      <c r="F342" s="134">
        <v>545336328</v>
      </c>
      <c r="G342" s="117">
        <f t="shared" si="75"/>
        <v>51680.84988627748</v>
      </c>
      <c r="H342" s="9"/>
      <c r="I342" s="136">
        <v>7.5</v>
      </c>
      <c r="J342" s="134">
        <v>4090022.46</v>
      </c>
      <c r="K342" s="120">
        <f t="shared" si="76"/>
        <v>387.60637414708111</v>
      </c>
      <c r="L342" s="122">
        <f t="shared" si="77"/>
        <v>5453363.2800000003</v>
      </c>
      <c r="M342" s="116">
        <f t="shared" si="78"/>
        <v>1363340.8200000003</v>
      </c>
      <c r="N342" s="123">
        <f t="shared" si="79"/>
        <v>129.20212471569374</v>
      </c>
      <c r="O342" s="5"/>
      <c r="P342" s="5">
        <f t="shared" si="82"/>
        <v>1</v>
      </c>
      <c r="Q342" s="7">
        <f t="shared" si="83"/>
        <v>10552</v>
      </c>
      <c r="W342" s="124">
        <f t="shared" si="80"/>
        <v>4090022.46</v>
      </c>
      <c r="X342">
        <f t="shared" si="81"/>
        <v>0</v>
      </c>
    </row>
    <row r="343" spans="1:24">
      <c r="A343" s="23" t="s">
        <v>368</v>
      </c>
      <c r="B343" s="35" t="s">
        <v>365</v>
      </c>
      <c r="C343" s="125">
        <v>5551</v>
      </c>
      <c r="D343" s="132">
        <v>430773221</v>
      </c>
      <c r="E343" s="116">
        <f t="shared" ref="E343:E374" si="84">(D343/C343)</f>
        <v>77602.814087551786</v>
      </c>
      <c r="F343" s="134">
        <v>251303510</v>
      </c>
      <c r="G343" s="117">
        <f t="shared" ref="G343:G374" si="85">(F343/C343)</f>
        <v>45271.754638803817</v>
      </c>
      <c r="H343" s="7"/>
      <c r="I343" s="136">
        <v>7.9</v>
      </c>
      <c r="J343" s="134">
        <v>1985297.7290000001</v>
      </c>
      <c r="K343" s="120">
        <f t="shared" ref="K343:K374" si="86">(J343/C343)</f>
        <v>357.64686164655018</v>
      </c>
      <c r="L343" s="122">
        <f t="shared" si="77"/>
        <v>2513035.1</v>
      </c>
      <c r="M343" s="116">
        <f t="shared" si="78"/>
        <v>527737.37100000004</v>
      </c>
      <c r="N343" s="123">
        <f t="shared" si="79"/>
        <v>95.070684741488023</v>
      </c>
      <c r="O343" s="5"/>
      <c r="P343" s="5">
        <f t="shared" si="82"/>
        <v>1</v>
      </c>
      <c r="Q343" s="7">
        <f t="shared" si="83"/>
        <v>5551</v>
      </c>
      <c r="W343" s="124">
        <f t="shared" si="80"/>
        <v>1985297.7290000003</v>
      </c>
      <c r="X343">
        <f t="shared" si="81"/>
        <v>0</v>
      </c>
    </row>
    <row r="344" spans="1:24">
      <c r="A344" s="23" t="s">
        <v>369</v>
      </c>
      <c r="B344" s="35" t="s">
        <v>365</v>
      </c>
      <c r="C344" s="125">
        <v>3191</v>
      </c>
      <c r="D344" s="132">
        <v>232126866</v>
      </c>
      <c r="E344" s="116">
        <f t="shared" si="84"/>
        <v>72744.238796615478</v>
      </c>
      <c r="F344" s="134">
        <v>127600362</v>
      </c>
      <c r="G344" s="117">
        <f t="shared" si="85"/>
        <v>39987.578188655592</v>
      </c>
      <c r="H344" s="7"/>
      <c r="I344" s="136">
        <v>7.6516000000000002</v>
      </c>
      <c r="J344" s="134">
        <v>976346.92987919995</v>
      </c>
      <c r="K344" s="120">
        <f t="shared" si="86"/>
        <v>305.96895326831714</v>
      </c>
      <c r="L344" s="122">
        <f t="shared" si="77"/>
        <v>1276003.6200000001</v>
      </c>
      <c r="M344" s="116">
        <f t="shared" si="78"/>
        <v>299656.69012080017</v>
      </c>
      <c r="N344" s="123">
        <f t="shared" si="79"/>
        <v>93.906828618238848</v>
      </c>
      <c r="O344" s="5"/>
      <c r="P344" s="5">
        <f t="shared" si="82"/>
        <v>1</v>
      </c>
      <c r="Q344" s="7">
        <f t="shared" si="83"/>
        <v>3191</v>
      </c>
      <c r="W344" s="124">
        <f t="shared" si="80"/>
        <v>976346.92987920006</v>
      </c>
      <c r="X344">
        <f t="shared" si="81"/>
        <v>0</v>
      </c>
    </row>
    <row r="345" spans="1:24">
      <c r="A345" s="23" t="s">
        <v>370</v>
      </c>
      <c r="B345" s="35" t="s">
        <v>365</v>
      </c>
      <c r="C345" s="125">
        <v>5107</v>
      </c>
      <c r="D345" s="132">
        <v>296005923</v>
      </c>
      <c r="E345" s="116">
        <f t="shared" si="84"/>
        <v>57960.82298805561</v>
      </c>
      <c r="F345" s="134">
        <v>149425637</v>
      </c>
      <c r="G345" s="117">
        <f t="shared" si="85"/>
        <v>29258.985118464851</v>
      </c>
      <c r="H345" s="7"/>
      <c r="I345" s="150">
        <v>8.6305999999999994</v>
      </c>
      <c r="J345" s="134">
        <v>1289632.9026921999</v>
      </c>
      <c r="K345" s="120">
        <f t="shared" si="86"/>
        <v>252.52259696342273</v>
      </c>
      <c r="L345" s="122">
        <f t="shared" si="77"/>
        <v>1494256.37</v>
      </c>
      <c r="M345" s="116">
        <f t="shared" si="78"/>
        <v>204623.46730780019</v>
      </c>
      <c r="N345" s="123">
        <f t="shared" si="79"/>
        <v>40.067254221225809</v>
      </c>
      <c r="O345" s="5"/>
      <c r="P345" s="5">
        <f t="shared" si="82"/>
        <v>1</v>
      </c>
      <c r="Q345" s="7">
        <f t="shared" si="83"/>
        <v>5107</v>
      </c>
      <c r="W345" s="124">
        <f t="shared" si="80"/>
        <v>1289632.9026921999</v>
      </c>
      <c r="X345">
        <f t="shared" si="81"/>
        <v>0</v>
      </c>
    </row>
    <row r="346" spans="1:24">
      <c r="A346" s="23" t="s">
        <v>371</v>
      </c>
      <c r="B346" s="35" t="s">
        <v>365</v>
      </c>
      <c r="C346" s="125">
        <v>2944</v>
      </c>
      <c r="D346" s="132">
        <v>288055393</v>
      </c>
      <c r="E346" s="116">
        <f t="shared" si="84"/>
        <v>97844.90251358696</v>
      </c>
      <c r="F346" s="134">
        <v>157971884</v>
      </c>
      <c r="G346" s="117">
        <f t="shared" si="85"/>
        <v>53658.927989130432</v>
      </c>
      <c r="H346" s="7"/>
      <c r="I346" s="136">
        <v>6.5529999999999999</v>
      </c>
      <c r="J346" s="134">
        <v>1035189.755852</v>
      </c>
      <c r="K346" s="120">
        <f t="shared" si="86"/>
        <v>351.62695511277172</v>
      </c>
      <c r="L346" s="122">
        <f t="shared" si="77"/>
        <v>1579718.84</v>
      </c>
      <c r="M346" s="116">
        <f t="shared" si="78"/>
        <v>544529.08414800011</v>
      </c>
      <c r="N346" s="123">
        <f t="shared" si="79"/>
        <v>184.96232477853263</v>
      </c>
      <c r="O346" s="5"/>
      <c r="P346" s="5">
        <f t="shared" si="82"/>
        <v>1</v>
      </c>
      <c r="Q346" s="7">
        <f t="shared" si="83"/>
        <v>2944</v>
      </c>
      <c r="W346" s="124">
        <f t="shared" si="80"/>
        <v>1035189.755852</v>
      </c>
      <c r="X346">
        <f t="shared" si="81"/>
        <v>0</v>
      </c>
    </row>
    <row r="347" spans="1:24">
      <c r="A347" s="23" t="s">
        <v>372</v>
      </c>
      <c r="B347" s="35" t="s">
        <v>365</v>
      </c>
      <c r="C347" s="125">
        <v>29179</v>
      </c>
      <c r="D347" s="132">
        <v>2468967184</v>
      </c>
      <c r="E347" s="116">
        <f t="shared" si="84"/>
        <v>84614.523595736653</v>
      </c>
      <c r="F347" s="134">
        <v>1699235392</v>
      </c>
      <c r="G347" s="117">
        <f t="shared" si="85"/>
        <v>58234.874121799927</v>
      </c>
      <c r="H347" s="7"/>
      <c r="I347" s="136">
        <v>7.5895000000000001</v>
      </c>
      <c r="J347" s="134">
        <v>12896347.007584</v>
      </c>
      <c r="K347" s="120">
        <f t="shared" si="86"/>
        <v>441.97357714740053</v>
      </c>
      <c r="L347" s="122">
        <f t="shared" si="77"/>
        <v>16992353.920000002</v>
      </c>
      <c r="M347" s="116">
        <f t="shared" si="78"/>
        <v>4096006.9124160018</v>
      </c>
      <c r="N347" s="123">
        <f t="shared" si="79"/>
        <v>140.37516407059877</v>
      </c>
      <c r="O347" s="5"/>
      <c r="P347" s="5">
        <f t="shared" si="82"/>
        <v>1</v>
      </c>
      <c r="Q347" s="7">
        <f t="shared" si="83"/>
        <v>29179</v>
      </c>
      <c r="W347" s="124">
        <f t="shared" si="80"/>
        <v>12896347.007584</v>
      </c>
      <c r="X347">
        <f t="shared" si="81"/>
        <v>0</v>
      </c>
    </row>
    <row r="348" spans="1:24">
      <c r="A348" s="23" t="s">
        <v>373</v>
      </c>
      <c r="B348" s="35" t="s">
        <v>365</v>
      </c>
      <c r="C348" s="125">
        <v>252</v>
      </c>
      <c r="D348" s="132">
        <v>22296044</v>
      </c>
      <c r="E348" s="116">
        <f t="shared" si="84"/>
        <v>88476.365079365074</v>
      </c>
      <c r="F348" s="134">
        <v>14202378</v>
      </c>
      <c r="G348" s="117">
        <f t="shared" si="85"/>
        <v>56358.642857142855</v>
      </c>
      <c r="H348" s="7"/>
      <c r="I348" s="136">
        <v>9.9758999999999993</v>
      </c>
      <c r="J348" s="134">
        <v>141681.5026902</v>
      </c>
      <c r="K348" s="120">
        <f t="shared" si="86"/>
        <v>562.22818527857146</v>
      </c>
      <c r="L348" s="122">
        <f t="shared" si="77"/>
        <v>142023.78</v>
      </c>
      <c r="M348" s="116">
        <f t="shared" si="78"/>
        <v>342.27730980000342</v>
      </c>
      <c r="N348" s="123">
        <f t="shared" si="79"/>
        <v>1.3582432928571564</v>
      </c>
      <c r="O348" s="5"/>
      <c r="P348" s="5">
        <f t="shared" si="82"/>
        <v>1</v>
      </c>
      <c r="Q348" s="7">
        <f t="shared" si="83"/>
        <v>252</v>
      </c>
      <c r="W348" s="124">
        <f t="shared" si="80"/>
        <v>141681.5026902</v>
      </c>
      <c r="X348">
        <f t="shared" si="81"/>
        <v>0</v>
      </c>
    </row>
    <row r="349" spans="1:24">
      <c r="A349" s="23" t="s">
        <v>374</v>
      </c>
      <c r="B349" s="35" t="s">
        <v>365</v>
      </c>
      <c r="C349" s="125">
        <v>249</v>
      </c>
      <c r="D349" s="132">
        <v>25301119</v>
      </c>
      <c r="E349" s="116">
        <f t="shared" si="84"/>
        <v>101610.91967871485</v>
      </c>
      <c r="F349" s="134">
        <v>17240175</v>
      </c>
      <c r="G349" s="117">
        <f t="shared" si="85"/>
        <v>69237.650602409645</v>
      </c>
      <c r="H349" s="7"/>
      <c r="I349" s="136">
        <v>0.85799999999999998</v>
      </c>
      <c r="J349" s="134">
        <v>14792.07015</v>
      </c>
      <c r="K349" s="120">
        <f t="shared" si="86"/>
        <v>59.405904216867469</v>
      </c>
      <c r="L349" s="122">
        <f t="shared" si="77"/>
        <v>172401.75</v>
      </c>
      <c r="M349" s="116">
        <f t="shared" si="78"/>
        <v>157609.67985000001</v>
      </c>
      <c r="N349" s="123">
        <f t="shared" si="79"/>
        <v>632.97060180722895</v>
      </c>
      <c r="O349" s="5"/>
      <c r="P349" s="5">
        <f t="shared" si="82"/>
        <v>1</v>
      </c>
      <c r="Q349" s="7">
        <f t="shared" si="83"/>
        <v>249</v>
      </c>
      <c r="W349" s="124">
        <f t="shared" si="80"/>
        <v>14792.070150000001</v>
      </c>
      <c r="X349">
        <f t="shared" si="81"/>
        <v>0</v>
      </c>
    </row>
    <row r="350" spans="1:24">
      <c r="A350" s="23" t="s">
        <v>375</v>
      </c>
      <c r="B350" s="35" t="s">
        <v>365</v>
      </c>
      <c r="C350" s="125">
        <v>6568</v>
      </c>
      <c r="D350" s="132">
        <v>460667470</v>
      </c>
      <c r="E350" s="116">
        <f t="shared" si="84"/>
        <v>70138.165347137634</v>
      </c>
      <c r="F350" s="134">
        <v>258914202</v>
      </c>
      <c r="G350" s="117">
        <f t="shared" si="85"/>
        <v>39420.554506699147</v>
      </c>
      <c r="H350" s="7"/>
      <c r="I350" s="136">
        <v>7.2389999999999999</v>
      </c>
      <c r="J350" s="134">
        <v>1874279.9082779998</v>
      </c>
      <c r="K350" s="120">
        <f t="shared" si="86"/>
        <v>285.36539407399511</v>
      </c>
      <c r="L350" s="122">
        <f t="shared" si="77"/>
        <v>2589142.02</v>
      </c>
      <c r="M350" s="116">
        <f t="shared" si="78"/>
        <v>714862.11172200018</v>
      </c>
      <c r="N350" s="123">
        <f t="shared" si="79"/>
        <v>108.84015099299637</v>
      </c>
      <c r="O350" s="5"/>
      <c r="P350" s="5">
        <f t="shared" si="82"/>
        <v>1</v>
      </c>
      <c r="Q350" s="7">
        <f t="shared" si="83"/>
        <v>6568</v>
      </c>
      <c r="W350" s="124">
        <f t="shared" si="80"/>
        <v>1874279.9082779998</v>
      </c>
      <c r="X350">
        <f t="shared" si="81"/>
        <v>0</v>
      </c>
    </row>
    <row r="351" spans="1:24">
      <c r="A351" s="23" t="s">
        <v>376</v>
      </c>
      <c r="B351" s="35" t="s">
        <v>365</v>
      </c>
      <c r="C351" s="125">
        <v>1568</v>
      </c>
      <c r="D351" s="132">
        <v>156873109</v>
      </c>
      <c r="E351" s="116">
        <f t="shared" si="84"/>
        <v>100046.6256377551</v>
      </c>
      <c r="F351" s="134">
        <v>98247575</v>
      </c>
      <c r="G351" s="117">
        <f t="shared" si="85"/>
        <v>62657.892219387752</v>
      </c>
      <c r="H351" s="9"/>
      <c r="I351" s="136">
        <v>8.4276</v>
      </c>
      <c r="J351" s="134">
        <v>827991.2630700001</v>
      </c>
      <c r="K351" s="120">
        <f t="shared" si="86"/>
        <v>528.05565246811227</v>
      </c>
      <c r="L351" s="122">
        <f t="shared" si="77"/>
        <v>982475.75</v>
      </c>
      <c r="M351" s="116">
        <f t="shared" si="78"/>
        <v>154484.4869299999</v>
      </c>
      <c r="N351" s="123">
        <f t="shared" si="79"/>
        <v>98.523269725765246</v>
      </c>
      <c r="O351" s="5"/>
      <c r="P351" s="5">
        <f t="shared" si="82"/>
        <v>1</v>
      </c>
      <c r="Q351" s="7">
        <f t="shared" si="83"/>
        <v>1568</v>
      </c>
      <c r="W351" s="124">
        <f t="shared" si="80"/>
        <v>827991.26306999999</v>
      </c>
      <c r="X351">
        <f t="shared" si="81"/>
        <v>0</v>
      </c>
    </row>
    <row r="352" spans="1:24">
      <c r="A352" s="23" t="s">
        <v>377</v>
      </c>
      <c r="B352" s="35" t="s">
        <v>365</v>
      </c>
      <c r="C352" s="125">
        <v>17001</v>
      </c>
      <c r="D352" s="132">
        <v>1432763181</v>
      </c>
      <c r="E352" s="116">
        <f t="shared" si="84"/>
        <v>84275.229751191102</v>
      </c>
      <c r="F352" s="134">
        <v>890127069</v>
      </c>
      <c r="G352" s="117">
        <f t="shared" si="85"/>
        <v>52357.335980236458</v>
      </c>
      <c r="H352" s="9"/>
      <c r="I352" s="136">
        <v>6.7697000000000003</v>
      </c>
      <c r="J352" s="134">
        <v>6025893.2190093007</v>
      </c>
      <c r="K352" s="120">
        <f t="shared" si="86"/>
        <v>354.44345738540676</v>
      </c>
      <c r="L352" s="122">
        <f t="shared" si="77"/>
        <v>8901270.6899999995</v>
      </c>
      <c r="M352" s="116">
        <f t="shared" si="78"/>
        <v>2875377.4709906988</v>
      </c>
      <c r="N352" s="123">
        <f t="shared" si="79"/>
        <v>169.12990241695775</v>
      </c>
      <c r="O352" s="5"/>
      <c r="P352" s="5">
        <f t="shared" si="82"/>
        <v>1</v>
      </c>
      <c r="Q352" s="7">
        <f t="shared" si="83"/>
        <v>17001</v>
      </c>
      <c r="W352" s="124">
        <f t="shared" si="80"/>
        <v>6025893.2190092998</v>
      </c>
      <c r="X352">
        <f t="shared" si="81"/>
        <v>0</v>
      </c>
    </row>
    <row r="353" spans="1:24">
      <c r="A353" s="23" t="s">
        <v>378</v>
      </c>
      <c r="B353" s="35" t="s">
        <v>365</v>
      </c>
      <c r="C353" s="125">
        <v>116421</v>
      </c>
      <c r="D353" s="132">
        <v>12675264325</v>
      </c>
      <c r="E353" s="116">
        <f t="shared" si="84"/>
        <v>108874.38112539834</v>
      </c>
      <c r="F353" s="134">
        <v>8261017374</v>
      </c>
      <c r="G353" s="117">
        <f t="shared" si="85"/>
        <v>70958.137913263068</v>
      </c>
      <c r="H353" s="9"/>
      <c r="I353" s="136">
        <v>5.4322999999999997</v>
      </c>
      <c r="J353" s="134">
        <v>44876324.680780195</v>
      </c>
      <c r="K353" s="120">
        <f t="shared" si="86"/>
        <v>385.46589258621896</v>
      </c>
      <c r="L353" s="122">
        <f t="shared" si="77"/>
        <v>82610173.739999995</v>
      </c>
      <c r="M353" s="116">
        <f t="shared" si="78"/>
        <v>37733849.0592198</v>
      </c>
      <c r="N353" s="123">
        <f t="shared" si="79"/>
        <v>324.11548654641172</v>
      </c>
      <c r="O353" s="5"/>
      <c r="P353" s="5">
        <f t="shared" si="82"/>
        <v>1</v>
      </c>
      <c r="Q353" s="7">
        <f t="shared" si="83"/>
        <v>116421</v>
      </c>
      <c r="W353" s="124">
        <f t="shared" si="80"/>
        <v>44876324.680780195</v>
      </c>
      <c r="X353">
        <f t="shared" si="81"/>
        <v>0</v>
      </c>
    </row>
    <row r="354" spans="1:24">
      <c r="A354" s="23" t="s">
        <v>379</v>
      </c>
      <c r="B354" s="35" t="s">
        <v>365</v>
      </c>
      <c r="C354" s="125">
        <v>4011</v>
      </c>
      <c r="D354" s="132">
        <v>368812603</v>
      </c>
      <c r="E354" s="116">
        <f t="shared" si="84"/>
        <v>91950.287459486412</v>
      </c>
      <c r="F354" s="134">
        <v>250650440</v>
      </c>
      <c r="G354" s="117">
        <f t="shared" si="85"/>
        <v>62490.760408875591</v>
      </c>
      <c r="H354" s="7"/>
      <c r="I354" s="136">
        <v>6.44</v>
      </c>
      <c r="J354" s="134">
        <v>1614188.8336000002</v>
      </c>
      <c r="K354" s="120">
        <f t="shared" si="86"/>
        <v>402.44049703315886</v>
      </c>
      <c r="L354" s="122">
        <f t="shared" si="77"/>
        <v>2506504.4</v>
      </c>
      <c r="M354" s="116">
        <f t="shared" si="78"/>
        <v>892315.56639999966</v>
      </c>
      <c r="N354" s="123">
        <f t="shared" si="79"/>
        <v>222.46710705559701</v>
      </c>
      <c r="O354" s="5"/>
      <c r="P354" s="5">
        <f t="shared" si="82"/>
        <v>1</v>
      </c>
      <c r="Q354" s="7">
        <f t="shared" si="83"/>
        <v>4011</v>
      </c>
      <c r="W354" s="124">
        <f t="shared" si="80"/>
        <v>1614188.8336</v>
      </c>
      <c r="X354">
        <f t="shared" si="81"/>
        <v>0</v>
      </c>
    </row>
    <row r="355" spans="1:24">
      <c r="A355" s="23" t="s">
        <v>380</v>
      </c>
      <c r="B355" s="35" t="s">
        <v>365</v>
      </c>
      <c r="C355" s="125">
        <v>2902</v>
      </c>
      <c r="D355" s="132">
        <v>278767578</v>
      </c>
      <c r="E355" s="116">
        <f t="shared" si="84"/>
        <v>96060.502412129572</v>
      </c>
      <c r="F355" s="134">
        <v>198496841</v>
      </c>
      <c r="G355" s="117">
        <f t="shared" si="85"/>
        <v>68400.014128187453</v>
      </c>
      <c r="H355" s="7"/>
      <c r="I355" s="136">
        <v>5.7</v>
      </c>
      <c r="J355" s="134">
        <v>1131431.9937</v>
      </c>
      <c r="K355" s="120">
        <f t="shared" si="86"/>
        <v>389.88008053066852</v>
      </c>
      <c r="L355" s="122">
        <f t="shared" si="77"/>
        <v>1984968.4100000001</v>
      </c>
      <c r="M355" s="116">
        <f t="shared" si="78"/>
        <v>853536.41630000016</v>
      </c>
      <c r="N355" s="123">
        <f t="shared" si="79"/>
        <v>294.1200607512061</v>
      </c>
      <c r="O355" s="5"/>
      <c r="P355" s="5">
        <f t="shared" si="82"/>
        <v>1</v>
      </c>
      <c r="Q355" s="7">
        <f t="shared" si="83"/>
        <v>2902</v>
      </c>
      <c r="S355" s="124"/>
      <c r="T355" s="124"/>
      <c r="U355" s="124"/>
      <c r="W355" s="124">
        <f t="shared" si="80"/>
        <v>1131431.9937</v>
      </c>
      <c r="X355">
        <f t="shared" si="81"/>
        <v>0</v>
      </c>
    </row>
    <row r="356" spans="1:24">
      <c r="A356" s="23" t="s">
        <v>381</v>
      </c>
      <c r="B356" s="35" t="s">
        <v>365</v>
      </c>
      <c r="C356" s="125">
        <v>51126</v>
      </c>
      <c r="D356" s="132">
        <v>4731850398</v>
      </c>
      <c r="E356" s="116">
        <f t="shared" si="84"/>
        <v>92552.720690059854</v>
      </c>
      <c r="F356" s="134">
        <v>3056859137</v>
      </c>
      <c r="G356" s="117">
        <f t="shared" si="85"/>
        <v>59790.696260219847</v>
      </c>
      <c r="H356" s="7"/>
      <c r="I356" s="136">
        <v>6.79</v>
      </c>
      <c r="J356" s="134">
        <v>20756073.540229999</v>
      </c>
      <c r="K356" s="120">
        <f t="shared" si="86"/>
        <v>405.97882760689276</v>
      </c>
      <c r="L356" s="122">
        <f t="shared" si="77"/>
        <v>30568591.370000001</v>
      </c>
      <c r="M356" s="116">
        <f t="shared" si="78"/>
        <v>9812517.8297700025</v>
      </c>
      <c r="N356" s="123">
        <f t="shared" si="79"/>
        <v>191.92813499530575</v>
      </c>
      <c r="O356" s="5"/>
      <c r="P356" s="5">
        <f t="shared" si="82"/>
        <v>1</v>
      </c>
      <c r="Q356" s="7">
        <f t="shared" si="83"/>
        <v>51126</v>
      </c>
      <c r="S356" s="124">
        <f>SUM(D340:D356)</f>
        <v>28504786396</v>
      </c>
      <c r="T356" s="124">
        <f>SUM(F340:F356)</f>
        <v>18431806911</v>
      </c>
      <c r="U356" s="124">
        <f>SUM(J340:J356)</f>
        <v>109761929.67661861</v>
      </c>
      <c r="W356" s="124">
        <f t="shared" si="80"/>
        <v>20756073.540229999</v>
      </c>
      <c r="X356">
        <f t="shared" si="81"/>
        <v>0</v>
      </c>
    </row>
    <row r="357" spans="1:24">
      <c r="A357" s="23" t="s">
        <v>382</v>
      </c>
      <c r="B357" s="35" t="s">
        <v>383</v>
      </c>
      <c r="C357" s="125">
        <v>1662</v>
      </c>
      <c r="D357" s="132">
        <v>146330249</v>
      </c>
      <c r="E357" s="116">
        <f t="shared" si="84"/>
        <v>88044.674488567995</v>
      </c>
      <c r="F357" s="134">
        <v>80897961</v>
      </c>
      <c r="G357" s="117">
        <f t="shared" si="85"/>
        <v>48675.066787003612</v>
      </c>
      <c r="H357" s="7"/>
      <c r="I357" s="136">
        <v>8.5914000000000001</v>
      </c>
      <c r="J357" s="134">
        <v>695026.74213540007</v>
      </c>
      <c r="K357" s="120">
        <f t="shared" si="86"/>
        <v>418.18696879386283</v>
      </c>
      <c r="L357" s="122">
        <f t="shared" si="77"/>
        <v>808979.61</v>
      </c>
      <c r="M357" s="116">
        <f t="shared" si="78"/>
        <v>113952.86786459992</v>
      </c>
      <c r="N357" s="123">
        <f t="shared" si="79"/>
        <v>68.563699076173236</v>
      </c>
      <c r="O357" s="5"/>
      <c r="P357" s="5">
        <f t="shared" si="82"/>
        <v>1</v>
      </c>
      <c r="Q357" s="7">
        <f t="shared" si="83"/>
        <v>1662</v>
      </c>
      <c r="W357" s="124">
        <f t="shared" si="80"/>
        <v>695026.74213540007</v>
      </c>
      <c r="X357">
        <f t="shared" si="81"/>
        <v>0</v>
      </c>
    </row>
    <row r="358" spans="1:24">
      <c r="A358" s="23" t="s">
        <v>384</v>
      </c>
      <c r="B358" s="35" t="s">
        <v>383</v>
      </c>
      <c r="C358" s="125">
        <v>1443</v>
      </c>
      <c r="D358" s="132">
        <v>130865073</v>
      </c>
      <c r="E358" s="116">
        <f t="shared" si="84"/>
        <v>90689.586278586285</v>
      </c>
      <c r="F358" s="134">
        <v>64670249</v>
      </c>
      <c r="G358" s="117">
        <f t="shared" si="85"/>
        <v>44816.527373527373</v>
      </c>
      <c r="H358" s="7"/>
      <c r="I358" s="136">
        <v>7.9282000000000004</v>
      </c>
      <c r="J358" s="134">
        <v>512718.6681218</v>
      </c>
      <c r="K358" s="120">
        <f t="shared" si="86"/>
        <v>355.31439232279973</v>
      </c>
      <c r="L358" s="122">
        <f t="shared" si="77"/>
        <v>646702.49</v>
      </c>
      <c r="M358" s="116">
        <f t="shared" si="78"/>
        <v>133983.82187819999</v>
      </c>
      <c r="N358" s="123">
        <f t="shared" si="79"/>
        <v>92.85088141247401</v>
      </c>
      <c r="O358" s="5"/>
      <c r="P358" s="5">
        <f t="shared" si="82"/>
        <v>1</v>
      </c>
      <c r="Q358" s="7">
        <f t="shared" si="83"/>
        <v>1443</v>
      </c>
      <c r="W358" s="124">
        <f t="shared" si="80"/>
        <v>512718.6681218</v>
      </c>
      <c r="X358">
        <f t="shared" si="81"/>
        <v>0</v>
      </c>
    </row>
    <row r="359" spans="1:24">
      <c r="A359" s="23" t="s">
        <v>385</v>
      </c>
      <c r="B359" s="35" t="s">
        <v>383</v>
      </c>
      <c r="C359" s="125">
        <v>10468</v>
      </c>
      <c r="D359" s="132">
        <v>1046627636</v>
      </c>
      <c r="E359" s="116">
        <f t="shared" si="84"/>
        <v>99983.534199465037</v>
      </c>
      <c r="F359" s="134">
        <v>515530877</v>
      </c>
      <c r="G359" s="117">
        <f t="shared" si="85"/>
        <v>49248.268723729459</v>
      </c>
      <c r="H359" s="7"/>
      <c r="I359" s="136">
        <v>6.4</v>
      </c>
      <c r="J359" s="134">
        <v>3299397.6128000002</v>
      </c>
      <c r="K359" s="120">
        <f t="shared" si="86"/>
        <v>315.18891983186859</v>
      </c>
      <c r="L359" s="122">
        <f t="shared" si="77"/>
        <v>5155308.7700000005</v>
      </c>
      <c r="M359" s="116">
        <f t="shared" si="78"/>
        <v>1855911.1572000002</v>
      </c>
      <c r="N359" s="123">
        <f t="shared" si="79"/>
        <v>177.29376740542608</v>
      </c>
      <c r="O359" s="5"/>
      <c r="P359" s="5">
        <f t="shared" si="82"/>
        <v>1</v>
      </c>
      <c r="Q359" s="7">
        <f t="shared" si="83"/>
        <v>10468</v>
      </c>
      <c r="W359" s="124">
        <f t="shared" si="80"/>
        <v>3299397.6128000002</v>
      </c>
      <c r="X359">
        <f t="shared" si="81"/>
        <v>0</v>
      </c>
    </row>
    <row r="360" spans="1:24">
      <c r="A360" s="23" t="s">
        <v>386</v>
      </c>
      <c r="B360" s="35" t="s">
        <v>383</v>
      </c>
      <c r="C360" s="125">
        <v>781</v>
      </c>
      <c r="D360" s="132">
        <v>58305829</v>
      </c>
      <c r="E360" s="116">
        <f t="shared" si="84"/>
        <v>74655.350832266326</v>
      </c>
      <c r="F360" s="134">
        <v>36999611</v>
      </c>
      <c r="G360" s="117">
        <f t="shared" si="85"/>
        <v>47374.661971830988</v>
      </c>
      <c r="H360" s="7"/>
      <c r="I360" s="136">
        <v>5.0492999999999997</v>
      </c>
      <c r="J360" s="134">
        <v>186822.13582229998</v>
      </c>
      <c r="K360" s="120">
        <f t="shared" si="86"/>
        <v>239.20888069436617</v>
      </c>
      <c r="L360" s="122">
        <f t="shared" si="77"/>
        <v>369996.11</v>
      </c>
      <c r="M360" s="116">
        <f t="shared" si="78"/>
        <v>183173.9741777</v>
      </c>
      <c r="N360" s="123">
        <f t="shared" si="79"/>
        <v>234.53773902394366</v>
      </c>
      <c r="O360" s="5"/>
      <c r="P360" s="5">
        <f t="shared" si="82"/>
        <v>1</v>
      </c>
      <c r="Q360" s="7">
        <f t="shared" si="83"/>
        <v>781</v>
      </c>
      <c r="S360" s="124"/>
      <c r="T360" s="124"/>
      <c r="U360" s="124"/>
      <c r="W360" s="124">
        <f t="shared" si="80"/>
        <v>186822.13582229998</v>
      </c>
      <c r="X360">
        <f t="shared" si="81"/>
        <v>0</v>
      </c>
    </row>
    <row r="361" spans="1:24">
      <c r="A361" s="23" t="s">
        <v>387</v>
      </c>
      <c r="B361" s="35" t="s">
        <v>383</v>
      </c>
      <c r="C361" s="125">
        <v>719</v>
      </c>
      <c r="D361" s="132">
        <v>93463048</v>
      </c>
      <c r="E361" s="116">
        <f t="shared" si="84"/>
        <v>129990.33101529903</v>
      </c>
      <c r="F361" s="134">
        <v>64479635</v>
      </c>
      <c r="G361" s="117">
        <f t="shared" si="85"/>
        <v>89679.603616133521</v>
      </c>
      <c r="H361" s="9"/>
      <c r="I361" s="136">
        <v>5.5049999999999999</v>
      </c>
      <c r="J361" s="134">
        <v>354960.39067500003</v>
      </c>
      <c r="K361" s="120">
        <f t="shared" si="86"/>
        <v>493.68621790681505</v>
      </c>
      <c r="L361" s="122">
        <f t="shared" si="77"/>
        <v>644796.35</v>
      </c>
      <c r="M361" s="116">
        <f t="shared" si="78"/>
        <v>289835.95932499995</v>
      </c>
      <c r="N361" s="123">
        <f t="shared" si="79"/>
        <v>403.10981825452006</v>
      </c>
      <c r="O361" s="5"/>
      <c r="P361" s="5">
        <f t="shared" si="82"/>
        <v>1</v>
      </c>
      <c r="Q361" s="7">
        <f t="shared" si="83"/>
        <v>719</v>
      </c>
      <c r="S361" s="124">
        <f>SUM(D357:D361)</f>
        <v>1475591835</v>
      </c>
      <c r="T361" s="124">
        <f>SUM(F357:F361)</f>
        <v>762578333</v>
      </c>
      <c r="U361" s="124">
        <f>SUM(J357:J361)</f>
        <v>5048925.5495544998</v>
      </c>
      <c r="W361" s="124">
        <f t="shared" si="80"/>
        <v>354960.39067499997</v>
      </c>
      <c r="X361">
        <f t="shared" si="81"/>
        <v>0</v>
      </c>
    </row>
    <row r="362" spans="1:24">
      <c r="A362" s="23" t="s">
        <v>390</v>
      </c>
      <c r="B362" s="35" t="s">
        <v>391</v>
      </c>
      <c r="C362" s="125">
        <v>6359</v>
      </c>
      <c r="D362" s="132">
        <v>1506962498</v>
      </c>
      <c r="E362" s="116">
        <f t="shared" si="84"/>
        <v>236981.05016512031</v>
      </c>
      <c r="F362" s="134">
        <v>960597691</v>
      </c>
      <c r="G362" s="117">
        <f t="shared" si="85"/>
        <v>151061.12454788489</v>
      </c>
      <c r="H362" s="9"/>
      <c r="I362" s="136">
        <v>1.9722999999999999</v>
      </c>
      <c r="J362" s="134">
        <v>1894586.8259593002</v>
      </c>
      <c r="K362" s="120">
        <f t="shared" si="86"/>
        <v>297.93785594579339</v>
      </c>
      <c r="L362" s="122">
        <f t="shared" si="77"/>
        <v>9605976.9100000001</v>
      </c>
      <c r="M362" s="116">
        <f t="shared" si="78"/>
        <v>7711390.0840406995</v>
      </c>
      <c r="N362" s="123">
        <f t="shared" si="79"/>
        <v>1212.6733895330553</v>
      </c>
      <c r="O362" s="5"/>
      <c r="P362" s="5">
        <f t="shared" si="82"/>
        <v>1</v>
      </c>
      <c r="Q362" s="7">
        <f t="shared" si="83"/>
        <v>6359</v>
      </c>
      <c r="W362" s="124">
        <f t="shared" si="80"/>
        <v>1894586.8259592997</v>
      </c>
      <c r="X362">
        <f t="shared" si="81"/>
        <v>0</v>
      </c>
    </row>
    <row r="363" spans="1:24">
      <c r="A363" s="23" t="s">
        <v>392</v>
      </c>
      <c r="B363" s="35" t="s">
        <v>391</v>
      </c>
      <c r="C363" s="125">
        <v>547</v>
      </c>
      <c r="D363" s="132">
        <v>66525842</v>
      </c>
      <c r="E363" s="116">
        <f t="shared" si="84"/>
        <v>121619.45521023766</v>
      </c>
      <c r="F363" s="134">
        <v>44354385</v>
      </c>
      <c r="G363" s="117">
        <f t="shared" si="85"/>
        <v>81086.627056672762</v>
      </c>
      <c r="H363" s="9"/>
      <c r="I363" s="136">
        <v>3.8</v>
      </c>
      <c r="J363" s="134">
        <v>168546.663</v>
      </c>
      <c r="K363" s="120">
        <f t="shared" si="86"/>
        <v>308.1291828153565</v>
      </c>
      <c r="L363" s="122">
        <f t="shared" si="77"/>
        <v>443543.85000000003</v>
      </c>
      <c r="M363" s="116">
        <f t="shared" si="78"/>
        <v>274997.18700000003</v>
      </c>
      <c r="N363" s="123">
        <f t="shared" si="79"/>
        <v>502.73708775137118</v>
      </c>
      <c r="O363" s="5"/>
      <c r="P363" s="5">
        <f t="shared" si="82"/>
        <v>1</v>
      </c>
      <c r="Q363" s="7">
        <f t="shared" si="83"/>
        <v>547</v>
      </c>
      <c r="S363" s="124"/>
      <c r="T363" s="124"/>
      <c r="U363" s="124"/>
      <c r="W363" s="124">
        <f t="shared" si="80"/>
        <v>168546.663</v>
      </c>
      <c r="X363">
        <f t="shared" si="81"/>
        <v>0</v>
      </c>
    </row>
    <row r="364" spans="1:24">
      <c r="A364" s="23" t="s">
        <v>393</v>
      </c>
      <c r="B364" s="35" t="s">
        <v>391</v>
      </c>
      <c r="C364" s="125">
        <v>10160</v>
      </c>
      <c r="D364" s="132">
        <v>736747291</v>
      </c>
      <c r="E364" s="116">
        <f t="shared" si="84"/>
        <v>72514.497145669287</v>
      </c>
      <c r="F364" s="134">
        <v>415866232</v>
      </c>
      <c r="G364" s="117">
        <f t="shared" si="85"/>
        <v>40931.715748031493</v>
      </c>
      <c r="H364" s="7"/>
      <c r="I364" s="136">
        <v>2.99</v>
      </c>
      <c r="J364" s="134">
        <v>1243440.0336800001</v>
      </c>
      <c r="K364" s="120">
        <f t="shared" si="86"/>
        <v>122.38583008661418</v>
      </c>
      <c r="L364" s="122">
        <f t="shared" si="77"/>
        <v>4158662.3200000003</v>
      </c>
      <c r="M364" s="116">
        <f t="shared" si="78"/>
        <v>2915222.28632</v>
      </c>
      <c r="N364" s="123">
        <f t="shared" si="79"/>
        <v>286.93132739370077</v>
      </c>
      <c r="O364" s="5"/>
      <c r="P364" s="5">
        <f t="shared" si="82"/>
        <v>1</v>
      </c>
      <c r="Q364" s="7">
        <f t="shared" si="83"/>
        <v>10160</v>
      </c>
      <c r="S364" s="124">
        <f>SUM(D362:D364)</f>
        <v>2310235631</v>
      </c>
      <c r="T364" s="184">
        <f>SUM(F362:F364)</f>
        <v>1420818308</v>
      </c>
      <c r="U364" s="124">
        <f>SUM(J362:J364)</f>
        <v>3306573.5226393002</v>
      </c>
      <c r="W364" s="124">
        <f t="shared" si="80"/>
        <v>1243440.0336800001</v>
      </c>
      <c r="X364">
        <f t="shared" si="81"/>
        <v>0</v>
      </c>
    </row>
    <row r="365" spans="1:24">
      <c r="A365" s="23" t="s">
        <v>394</v>
      </c>
      <c r="B365" s="35" t="s">
        <v>395</v>
      </c>
      <c r="C365" s="125">
        <v>78129</v>
      </c>
      <c r="D365" s="132">
        <v>8867639256</v>
      </c>
      <c r="E365" s="116">
        <f t="shared" si="84"/>
        <v>113499.97127827055</v>
      </c>
      <c r="F365" s="134">
        <v>5768607317</v>
      </c>
      <c r="G365" s="117">
        <f t="shared" si="85"/>
        <v>73834.39333666116</v>
      </c>
      <c r="H365" s="7"/>
      <c r="I365" s="136">
        <v>3.7667000000000002</v>
      </c>
      <c r="J365" s="134">
        <v>21728613.180943903</v>
      </c>
      <c r="K365" s="120">
        <f t="shared" si="86"/>
        <v>278.11200938120163</v>
      </c>
      <c r="L365" s="122">
        <f t="shared" si="77"/>
        <v>57686073.170000002</v>
      </c>
      <c r="M365" s="116">
        <f t="shared" si="78"/>
        <v>35957459.989056095</v>
      </c>
      <c r="N365" s="123">
        <f t="shared" si="79"/>
        <v>460.23192398540999</v>
      </c>
      <c r="O365" s="5"/>
      <c r="P365" s="5">
        <f t="shared" si="82"/>
        <v>1</v>
      </c>
      <c r="Q365" s="7">
        <f t="shared" si="83"/>
        <v>78129</v>
      </c>
      <c r="W365" s="124">
        <f t="shared" si="80"/>
        <v>21728613.180943899</v>
      </c>
      <c r="X365">
        <f t="shared" si="81"/>
        <v>0</v>
      </c>
    </row>
    <row r="366" spans="1:24">
      <c r="A366" s="23" t="s">
        <v>395</v>
      </c>
      <c r="B366" s="35" t="s">
        <v>395</v>
      </c>
      <c r="C366" s="125">
        <v>55386</v>
      </c>
      <c r="D366" s="132">
        <v>17829478948</v>
      </c>
      <c r="E366" s="116">
        <f t="shared" si="84"/>
        <v>321913.09984472609</v>
      </c>
      <c r="F366" s="134">
        <v>12441145893</v>
      </c>
      <c r="G366" s="117">
        <f t="shared" si="85"/>
        <v>224626.18519120355</v>
      </c>
      <c r="H366" s="7"/>
      <c r="I366" s="136">
        <v>3.1372</v>
      </c>
      <c r="J366" s="134">
        <v>39030362.895519599</v>
      </c>
      <c r="K366" s="120">
        <f t="shared" si="86"/>
        <v>704.69726818184381</v>
      </c>
      <c r="L366" s="122">
        <f t="shared" si="77"/>
        <v>124411458.93000001</v>
      </c>
      <c r="M366" s="116">
        <f t="shared" si="78"/>
        <v>85381096.034480408</v>
      </c>
      <c r="N366" s="123">
        <f t="shared" si="79"/>
        <v>1541.564583730192</v>
      </c>
      <c r="O366" s="5"/>
      <c r="P366" s="5">
        <f t="shared" si="82"/>
        <v>1</v>
      </c>
      <c r="Q366" s="7">
        <f t="shared" si="83"/>
        <v>55386</v>
      </c>
      <c r="S366" s="124"/>
      <c r="T366" s="124"/>
      <c r="U366" s="124"/>
      <c r="W366" s="124">
        <f t="shared" si="80"/>
        <v>39030362.895519599</v>
      </c>
      <c r="X366">
        <f t="shared" si="81"/>
        <v>0</v>
      </c>
    </row>
    <row r="367" spans="1:24">
      <c r="A367" s="23" t="s">
        <v>396</v>
      </c>
      <c r="B367" s="35" t="s">
        <v>395</v>
      </c>
      <c r="C367" s="125">
        <v>26103</v>
      </c>
      <c r="D367" s="132">
        <v>6407836753</v>
      </c>
      <c r="E367" s="116">
        <f t="shared" si="84"/>
        <v>245482.77029460215</v>
      </c>
      <c r="F367" s="134">
        <v>4823779335</v>
      </c>
      <c r="G367" s="117">
        <f t="shared" si="85"/>
        <v>184797.89047235949</v>
      </c>
      <c r="H367" s="7"/>
      <c r="I367" s="136">
        <v>4.3600000000000003</v>
      </c>
      <c r="J367" s="134">
        <v>21031677.900600001</v>
      </c>
      <c r="K367" s="120">
        <f t="shared" si="86"/>
        <v>805.71880245948751</v>
      </c>
      <c r="L367" s="122">
        <f t="shared" si="77"/>
        <v>48237793.350000001</v>
      </c>
      <c r="M367" s="116">
        <f t="shared" si="78"/>
        <v>27206115.4494</v>
      </c>
      <c r="N367" s="123">
        <f t="shared" si="79"/>
        <v>1042.2601022641077</v>
      </c>
      <c r="O367" s="5"/>
      <c r="P367" s="5">
        <f t="shared" si="82"/>
        <v>1</v>
      </c>
      <c r="Q367" s="7">
        <f t="shared" si="83"/>
        <v>26103</v>
      </c>
      <c r="S367" s="124">
        <f>SUM(D365:D367)</f>
        <v>33104954957</v>
      </c>
      <c r="T367" s="124">
        <f>SUM(F365:F367)</f>
        <v>23033532545</v>
      </c>
      <c r="U367" s="124">
        <f>SUM(J365:J367)</f>
        <v>81790653.977063507</v>
      </c>
      <c r="W367" s="124">
        <f t="shared" si="80"/>
        <v>21031677.900600001</v>
      </c>
      <c r="X367">
        <f t="shared" si="81"/>
        <v>0</v>
      </c>
    </row>
    <row r="368" spans="1:24">
      <c r="A368" s="23" t="s">
        <v>397</v>
      </c>
      <c r="B368" s="35" t="s">
        <v>360</v>
      </c>
      <c r="C368" s="125">
        <v>46735</v>
      </c>
      <c r="D368" s="132">
        <v>5265038698</v>
      </c>
      <c r="E368" s="116">
        <f t="shared" si="84"/>
        <v>112657.29534610035</v>
      </c>
      <c r="F368" s="134">
        <v>3792654212</v>
      </c>
      <c r="G368" s="117">
        <f t="shared" si="85"/>
        <v>81152.331486038296</v>
      </c>
      <c r="H368" s="7"/>
      <c r="I368" s="136">
        <v>3.1</v>
      </c>
      <c r="J368" s="134">
        <v>11757228.057200002</v>
      </c>
      <c r="K368" s="120">
        <f t="shared" si="86"/>
        <v>251.57222760671877</v>
      </c>
      <c r="L368" s="122">
        <f t="shared" si="77"/>
        <v>37926542.119999997</v>
      </c>
      <c r="M368" s="116">
        <f t="shared" si="78"/>
        <v>26169314.062799998</v>
      </c>
      <c r="N368" s="123">
        <f t="shared" si="79"/>
        <v>559.95108725366424</v>
      </c>
      <c r="O368" s="5"/>
      <c r="P368" s="5">
        <f t="shared" si="82"/>
        <v>1</v>
      </c>
      <c r="Q368" s="7">
        <f t="shared" si="83"/>
        <v>46735</v>
      </c>
      <c r="W368" s="124">
        <f t="shared" si="80"/>
        <v>11757228.0572</v>
      </c>
      <c r="X368">
        <f t="shared" si="81"/>
        <v>0</v>
      </c>
    </row>
    <row r="369" spans="1:24">
      <c r="A369" s="23" t="s">
        <v>398</v>
      </c>
      <c r="B369" s="35" t="s">
        <v>360</v>
      </c>
      <c r="C369" s="125">
        <v>29571</v>
      </c>
      <c r="D369" s="132">
        <v>2600441553</v>
      </c>
      <c r="E369" s="116">
        <f t="shared" si="84"/>
        <v>87938.911534949788</v>
      </c>
      <c r="F369" s="134">
        <v>1816944830</v>
      </c>
      <c r="G369" s="117">
        <f t="shared" si="85"/>
        <v>61443.469277332522</v>
      </c>
      <c r="H369" s="7"/>
      <c r="I369" s="136">
        <v>2.9990000000000001</v>
      </c>
      <c r="J369" s="134">
        <v>5449017.5451699998</v>
      </c>
      <c r="K369" s="120">
        <f t="shared" si="86"/>
        <v>184.26896436272023</v>
      </c>
      <c r="L369" s="122">
        <f t="shared" si="77"/>
        <v>18169448.300000001</v>
      </c>
      <c r="M369" s="116">
        <f t="shared" si="78"/>
        <v>12720430.754830001</v>
      </c>
      <c r="N369" s="123">
        <f t="shared" si="79"/>
        <v>430.16572841060503</v>
      </c>
      <c r="O369" s="5"/>
      <c r="P369" s="5">
        <f t="shared" si="82"/>
        <v>1</v>
      </c>
      <c r="Q369" s="7">
        <f t="shared" si="83"/>
        <v>29571</v>
      </c>
      <c r="W369" s="124">
        <f t="shared" si="80"/>
        <v>5449017.5451699998</v>
      </c>
      <c r="X369">
        <f t="shared" si="81"/>
        <v>0</v>
      </c>
    </row>
    <row r="370" spans="1:24">
      <c r="A370" s="23" t="s">
        <v>399</v>
      </c>
      <c r="B370" s="35" t="s">
        <v>360</v>
      </c>
      <c r="C370" s="125">
        <v>16867</v>
      </c>
      <c r="D370" s="132">
        <v>3628046100</v>
      </c>
      <c r="E370" s="116">
        <f t="shared" si="84"/>
        <v>215097.29649611667</v>
      </c>
      <c r="F370" s="134">
        <v>2888968097</v>
      </c>
      <c r="G370" s="117">
        <f t="shared" si="85"/>
        <v>171279.30853145194</v>
      </c>
      <c r="H370" s="7"/>
      <c r="I370" s="136">
        <v>3.5895000000000001</v>
      </c>
      <c r="J370" s="134">
        <v>10369950.984181499</v>
      </c>
      <c r="K370" s="120">
        <f t="shared" si="86"/>
        <v>614.80707797364676</v>
      </c>
      <c r="L370" s="122">
        <f t="shared" si="77"/>
        <v>28889680.969999999</v>
      </c>
      <c r="M370" s="116">
        <f t="shared" si="78"/>
        <v>18519729.985818498</v>
      </c>
      <c r="N370" s="123">
        <f t="shared" si="79"/>
        <v>1097.9860073408727</v>
      </c>
      <c r="O370" s="5"/>
      <c r="P370" s="5">
        <f t="shared" si="82"/>
        <v>1</v>
      </c>
      <c r="Q370" s="7">
        <f t="shared" si="83"/>
        <v>16867</v>
      </c>
      <c r="W370" s="124">
        <f t="shared" si="80"/>
        <v>10369950.984181501</v>
      </c>
      <c r="X370">
        <f t="shared" si="81"/>
        <v>0</v>
      </c>
    </row>
    <row r="371" spans="1:24">
      <c r="A371" s="23" t="s">
        <v>400</v>
      </c>
      <c r="B371" s="35" t="s">
        <v>360</v>
      </c>
      <c r="C371" s="125">
        <v>15496</v>
      </c>
      <c r="D371" s="147">
        <v>2009643517</v>
      </c>
      <c r="E371" s="116">
        <f t="shared" si="84"/>
        <v>129687.88829375323</v>
      </c>
      <c r="F371" s="134">
        <v>1375852524</v>
      </c>
      <c r="G371" s="117">
        <f t="shared" si="85"/>
        <v>88787.591894682497</v>
      </c>
      <c r="H371" s="7"/>
      <c r="I371" s="136">
        <v>5.5</v>
      </c>
      <c r="J371" s="134">
        <v>7567188.8820000002</v>
      </c>
      <c r="K371" s="120">
        <f t="shared" si="86"/>
        <v>488.33175542075378</v>
      </c>
      <c r="L371" s="122">
        <f t="shared" si="77"/>
        <v>13758525.24</v>
      </c>
      <c r="M371" s="116">
        <f t="shared" si="78"/>
        <v>6191336.358</v>
      </c>
      <c r="N371" s="123">
        <f t="shared" si="79"/>
        <v>399.54416352607126</v>
      </c>
      <c r="O371" s="5"/>
      <c r="P371" s="5">
        <f t="shared" si="82"/>
        <v>1</v>
      </c>
      <c r="Q371" s="7">
        <f t="shared" si="83"/>
        <v>15496</v>
      </c>
      <c r="W371" s="124">
        <f t="shared" si="80"/>
        <v>7567188.8819999993</v>
      </c>
      <c r="X371">
        <f t="shared" si="81"/>
        <v>0</v>
      </c>
    </row>
    <row r="372" spans="1:24">
      <c r="A372" s="23" t="s">
        <v>401</v>
      </c>
      <c r="B372" s="35" t="s">
        <v>360</v>
      </c>
      <c r="C372" s="125">
        <v>40073</v>
      </c>
      <c r="D372" s="132">
        <v>4864850561</v>
      </c>
      <c r="E372" s="116">
        <f t="shared" si="84"/>
        <v>121399.70955506201</v>
      </c>
      <c r="F372" s="134">
        <v>3318645591</v>
      </c>
      <c r="G372" s="117">
        <f t="shared" si="85"/>
        <v>82815.002395627977</v>
      </c>
      <c r="H372" s="7"/>
      <c r="I372" s="136">
        <v>5.1275000000000004</v>
      </c>
      <c r="J372" s="134">
        <v>17016355.2678525</v>
      </c>
      <c r="K372" s="120">
        <f t="shared" si="86"/>
        <v>424.63392478358247</v>
      </c>
      <c r="L372" s="122">
        <f t="shared" si="77"/>
        <v>33186455.91</v>
      </c>
      <c r="M372" s="116">
        <f t="shared" si="78"/>
        <v>16170100.6421475</v>
      </c>
      <c r="N372" s="123">
        <f t="shared" si="79"/>
        <v>403.51609917269735</v>
      </c>
      <c r="O372" s="5"/>
      <c r="P372" s="5">
        <f t="shared" si="82"/>
        <v>1</v>
      </c>
      <c r="Q372" s="7">
        <f t="shared" si="83"/>
        <v>40073</v>
      </c>
      <c r="W372" s="124">
        <f t="shared" si="80"/>
        <v>17016355.2678525</v>
      </c>
      <c r="X372">
        <f t="shared" si="81"/>
        <v>0</v>
      </c>
    </row>
    <row r="373" spans="1:24">
      <c r="A373" s="23" t="s">
        <v>402</v>
      </c>
      <c r="B373" s="35" t="s">
        <v>360</v>
      </c>
      <c r="C373" s="125">
        <v>62045</v>
      </c>
      <c r="D373" s="132">
        <v>6015601910</v>
      </c>
      <c r="E373" s="116">
        <f t="shared" si="84"/>
        <v>96955.466355064869</v>
      </c>
      <c r="F373" s="134">
        <v>4079141626</v>
      </c>
      <c r="G373" s="117">
        <f t="shared" si="85"/>
        <v>65744.888806511401</v>
      </c>
      <c r="H373" s="7"/>
      <c r="I373" s="136">
        <v>7.3250000000000002</v>
      </c>
      <c r="J373" s="134">
        <v>29879712.41045</v>
      </c>
      <c r="K373" s="120">
        <f t="shared" si="86"/>
        <v>481.58131050769606</v>
      </c>
      <c r="L373" s="122">
        <f t="shared" si="77"/>
        <v>40791416.259999998</v>
      </c>
      <c r="M373" s="116">
        <f t="shared" si="78"/>
        <v>10911703.849549998</v>
      </c>
      <c r="N373" s="123">
        <f t="shared" si="79"/>
        <v>175.86757755741797</v>
      </c>
      <c r="O373" s="5"/>
      <c r="P373" s="5">
        <f t="shared" si="82"/>
        <v>1</v>
      </c>
      <c r="Q373" s="7">
        <f t="shared" si="83"/>
        <v>62045</v>
      </c>
      <c r="S373" s="124"/>
      <c r="T373" s="124"/>
      <c r="U373" s="124"/>
      <c r="W373" s="124">
        <f t="shared" si="80"/>
        <v>29879712.41045</v>
      </c>
      <c r="X373">
        <f t="shared" si="81"/>
        <v>0</v>
      </c>
    </row>
    <row r="374" spans="1:24">
      <c r="A374" s="23" t="s">
        <v>403</v>
      </c>
      <c r="B374" s="37" t="s">
        <v>360</v>
      </c>
      <c r="C374" s="125">
        <v>38767</v>
      </c>
      <c r="D374" s="132">
        <v>4252068757</v>
      </c>
      <c r="E374" s="116">
        <f t="shared" si="84"/>
        <v>109682.68777568551</v>
      </c>
      <c r="F374" s="134">
        <v>2854767219</v>
      </c>
      <c r="G374" s="117">
        <f t="shared" si="85"/>
        <v>73639.105914824468</v>
      </c>
      <c r="H374" s="7"/>
      <c r="I374" s="136">
        <v>2.41</v>
      </c>
      <c r="J374" s="134">
        <v>6879988.9977900004</v>
      </c>
      <c r="K374" s="120">
        <f t="shared" si="86"/>
        <v>177.47024525472696</v>
      </c>
      <c r="L374" s="122">
        <f t="shared" si="77"/>
        <v>28547672.190000001</v>
      </c>
      <c r="M374" s="116">
        <f t="shared" si="78"/>
        <v>21667683.19221</v>
      </c>
      <c r="N374" s="123">
        <f t="shared" si="79"/>
        <v>558.92081389351767</v>
      </c>
      <c r="O374" s="5"/>
      <c r="P374" s="5">
        <f t="shared" si="82"/>
        <v>1</v>
      </c>
      <c r="Q374" s="7">
        <f t="shared" si="83"/>
        <v>38767</v>
      </c>
      <c r="S374" s="124">
        <f>SUM(D368:D374)</f>
        <v>28635691096</v>
      </c>
      <c r="T374" s="124">
        <f>SUM(F368:F374)</f>
        <v>20126974099</v>
      </c>
      <c r="U374" s="124">
        <f>SUM(J368:J374)</f>
        <v>88919442.144643992</v>
      </c>
      <c r="W374" s="124">
        <f t="shared" si="80"/>
        <v>6879988.9977900004</v>
      </c>
      <c r="X374">
        <f t="shared" si="81"/>
        <v>0</v>
      </c>
    </row>
    <row r="375" spans="1:24">
      <c r="A375" s="24" t="s">
        <v>549</v>
      </c>
      <c r="B375" s="37" t="s">
        <v>551</v>
      </c>
      <c r="C375" s="125">
        <v>14976</v>
      </c>
      <c r="D375" s="132">
        <v>3426944363</v>
      </c>
      <c r="E375" s="116">
        <f t="shared" ref="E375:E388" si="87">(D375/C375)</f>
        <v>228829.08406784188</v>
      </c>
      <c r="F375" s="134">
        <v>2160814352</v>
      </c>
      <c r="G375" s="117">
        <f t="shared" ref="G375:G388" si="88">(F375/C375)</f>
        <v>144285.14636752137</v>
      </c>
      <c r="H375" s="7"/>
      <c r="I375" s="136">
        <v>7.5</v>
      </c>
      <c r="J375" s="134">
        <v>16206107.640000001</v>
      </c>
      <c r="K375" s="120">
        <f t="shared" ref="K375:K388" si="89">(J375/C375)</f>
        <v>1082.1385977564103</v>
      </c>
      <c r="L375" s="122">
        <f t="shared" si="77"/>
        <v>21608143.52</v>
      </c>
      <c r="M375" s="116">
        <f t="shared" si="78"/>
        <v>5402035.879999999</v>
      </c>
      <c r="N375" s="123">
        <f t="shared" si="79"/>
        <v>360.71286591880335</v>
      </c>
      <c r="O375" s="5"/>
      <c r="P375" s="5">
        <f t="shared" si="82"/>
        <v>1</v>
      </c>
      <c r="Q375" s="7">
        <f t="shared" si="83"/>
        <v>14976</v>
      </c>
      <c r="W375" s="124">
        <f t="shared" si="80"/>
        <v>16206107.639999999</v>
      </c>
      <c r="X375">
        <f t="shared" si="81"/>
        <v>0</v>
      </c>
    </row>
    <row r="376" spans="1:24">
      <c r="A376" s="24" t="s">
        <v>550</v>
      </c>
      <c r="B376" s="37" t="s">
        <v>551</v>
      </c>
      <c r="C376" s="125">
        <v>6888</v>
      </c>
      <c r="D376" s="132">
        <v>1932831671</v>
      </c>
      <c r="E376" s="116">
        <f t="shared" si="87"/>
        <v>280608.54689314752</v>
      </c>
      <c r="F376" s="134">
        <v>1531316475</v>
      </c>
      <c r="G376" s="117">
        <f t="shared" si="88"/>
        <v>222316.56141114983</v>
      </c>
      <c r="H376" s="7"/>
      <c r="I376" s="136">
        <v>2.4500000000000002</v>
      </c>
      <c r="J376" s="134">
        <v>3751725.3637500005</v>
      </c>
      <c r="K376" s="120">
        <f t="shared" si="89"/>
        <v>544.67557545731711</v>
      </c>
      <c r="L376" s="122">
        <f t="shared" si="77"/>
        <v>15313164.75</v>
      </c>
      <c r="M376" s="116">
        <f t="shared" si="78"/>
        <v>11561439.38625</v>
      </c>
      <c r="N376" s="123">
        <f t="shared" si="79"/>
        <v>1678.4900386541813</v>
      </c>
      <c r="O376" s="5"/>
      <c r="P376" s="5">
        <f t="shared" si="82"/>
        <v>1</v>
      </c>
      <c r="Q376" s="7">
        <f t="shared" si="83"/>
        <v>6888</v>
      </c>
      <c r="S376" s="124">
        <f>SUM(D375:D376)</f>
        <v>5359776034</v>
      </c>
      <c r="T376" s="124">
        <f>SUM(F375:F376)</f>
        <v>3692130827</v>
      </c>
      <c r="U376" s="124">
        <f>SUM(J375:J376)</f>
        <v>19957833.00375</v>
      </c>
      <c r="W376" s="124">
        <f t="shared" si="80"/>
        <v>3751725.3637500005</v>
      </c>
      <c r="X376">
        <f t="shared" si="81"/>
        <v>0</v>
      </c>
    </row>
    <row r="377" spans="1:24">
      <c r="A377" s="23" t="s">
        <v>389</v>
      </c>
      <c r="B377" s="37" t="s">
        <v>552</v>
      </c>
      <c r="C377" s="125">
        <v>48038</v>
      </c>
      <c r="D377" s="132">
        <v>4881565320</v>
      </c>
      <c r="E377" s="116">
        <f t="shared" si="87"/>
        <v>101618.82926016903</v>
      </c>
      <c r="F377" s="134">
        <v>2918376249</v>
      </c>
      <c r="G377" s="117">
        <f t="shared" si="88"/>
        <v>60751.410320995878</v>
      </c>
      <c r="H377" s="7"/>
      <c r="I377" s="136">
        <v>6.9</v>
      </c>
      <c r="J377" s="134">
        <v>20136796.118100002</v>
      </c>
      <c r="K377" s="120">
        <f t="shared" si="89"/>
        <v>419.18473121487159</v>
      </c>
      <c r="L377" s="122">
        <f t="shared" si="77"/>
        <v>29183762.490000002</v>
      </c>
      <c r="M377" s="116">
        <f t="shared" si="78"/>
        <v>9046966.3718999997</v>
      </c>
      <c r="N377" s="123">
        <f t="shared" si="79"/>
        <v>188.32937199508723</v>
      </c>
      <c r="O377" s="5"/>
      <c r="P377" s="5">
        <f t="shared" si="82"/>
        <v>1</v>
      </c>
      <c r="Q377" s="7">
        <f t="shared" si="83"/>
        <v>48038</v>
      </c>
      <c r="W377" s="124">
        <f t="shared" si="80"/>
        <v>20136796.118100002</v>
      </c>
      <c r="X377">
        <f t="shared" si="81"/>
        <v>0</v>
      </c>
    </row>
    <row r="378" spans="1:24">
      <c r="A378" s="24" t="s">
        <v>553</v>
      </c>
      <c r="B378" s="37" t="s">
        <v>552</v>
      </c>
      <c r="C378" s="125">
        <v>214514</v>
      </c>
      <c r="D378" s="132">
        <v>22586831284</v>
      </c>
      <c r="E378" s="116">
        <f t="shared" si="87"/>
        <v>105293.04047288289</v>
      </c>
      <c r="F378" s="134">
        <v>13277430830</v>
      </c>
      <c r="G378" s="117">
        <f t="shared" si="88"/>
        <v>61895.404635594881</v>
      </c>
      <c r="H378" s="7"/>
      <c r="I378" s="136">
        <v>4.8807</v>
      </c>
      <c r="J378" s="134">
        <v>64803156.651981004</v>
      </c>
      <c r="K378" s="120">
        <f t="shared" si="89"/>
        <v>302.09290140494795</v>
      </c>
      <c r="L378" s="122">
        <f t="shared" si="77"/>
        <v>132774308.3</v>
      </c>
      <c r="M378" s="116">
        <f t="shared" si="78"/>
        <v>67971151.648018986</v>
      </c>
      <c r="N378" s="123">
        <f t="shared" si="79"/>
        <v>316.86114495100082</v>
      </c>
      <c r="O378" s="5"/>
      <c r="P378" s="5">
        <f t="shared" si="82"/>
        <v>1</v>
      </c>
      <c r="Q378" s="7">
        <f t="shared" si="83"/>
        <v>214514</v>
      </c>
      <c r="W378" s="124">
        <f t="shared" si="80"/>
        <v>64803156.651980996</v>
      </c>
      <c r="X378">
        <f t="shared" si="81"/>
        <v>0</v>
      </c>
    </row>
    <row r="379" spans="1:24">
      <c r="A379" s="24" t="s">
        <v>554</v>
      </c>
      <c r="B379" s="37" t="s">
        <v>552</v>
      </c>
      <c r="C379" s="125">
        <v>611</v>
      </c>
      <c r="D379" s="132">
        <v>119377559</v>
      </c>
      <c r="E379" s="116">
        <f t="shared" si="87"/>
        <v>195380.62029459901</v>
      </c>
      <c r="F379" s="134">
        <v>76789045</v>
      </c>
      <c r="G379" s="117">
        <f t="shared" si="88"/>
        <v>125677.65139116203</v>
      </c>
      <c r="H379" s="7"/>
      <c r="I379" s="136">
        <v>1.72</v>
      </c>
      <c r="J379" s="134">
        <v>132077.1574</v>
      </c>
      <c r="K379" s="120">
        <f t="shared" si="89"/>
        <v>216.16556039279868</v>
      </c>
      <c r="L379" s="122">
        <f t="shared" si="77"/>
        <v>767890.45000000007</v>
      </c>
      <c r="M379" s="116">
        <f t="shared" si="78"/>
        <v>635813.29260000004</v>
      </c>
      <c r="N379" s="123">
        <f t="shared" si="79"/>
        <v>1040.6109535188216</v>
      </c>
      <c r="O379" s="5"/>
      <c r="P379" s="5">
        <f t="shared" si="82"/>
        <v>1</v>
      </c>
      <c r="Q379" s="7">
        <f t="shared" si="83"/>
        <v>611</v>
      </c>
      <c r="S379" s="124">
        <f>SUM(D377:D379)</f>
        <v>27587774163</v>
      </c>
      <c r="T379" s="124">
        <f>SUM(F377:F379)</f>
        <v>16272596124</v>
      </c>
      <c r="U379" s="124">
        <f>SUM(J377:J379)</f>
        <v>85072029.927481011</v>
      </c>
      <c r="W379" s="124">
        <f t="shared" si="80"/>
        <v>132077.1574</v>
      </c>
      <c r="X379">
        <f t="shared" si="81"/>
        <v>0</v>
      </c>
    </row>
    <row r="380" spans="1:24">
      <c r="A380" s="23" t="s">
        <v>404</v>
      </c>
      <c r="B380" s="35" t="s">
        <v>405</v>
      </c>
      <c r="C380" s="125">
        <v>3253</v>
      </c>
      <c r="D380" s="132">
        <v>275120878</v>
      </c>
      <c r="E380" s="116">
        <f t="shared" si="87"/>
        <v>84574.509068552099</v>
      </c>
      <c r="F380" s="134">
        <v>178549770</v>
      </c>
      <c r="G380" s="117">
        <f t="shared" si="88"/>
        <v>54887.725176759915</v>
      </c>
      <c r="H380" s="9"/>
      <c r="I380" s="136">
        <v>3.5691999999999999</v>
      </c>
      <c r="J380" s="134">
        <v>637279.83908399998</v>
      </c>
      <c r="K380" s="120">
        <f t="shared" si="89"/>
        <v>195.90526870089147</v>
      </c>
      <c r="L380" s="122">
        <f t="shared" si="77"/>
        <v>1785497.7</v>
      </c>
      <c r="M380" s="116">
        <f t="shared" si="78"/>
        <v>1148217.8609159999</v>
      </c>
      <c r="N380" s="123">
        <f t="shared" si="79"/>
        <v>352.97198306670759</v>
      </c>
      <c r="O380" s="5"/>
      <c r="P380" s="5">
        <f t="shared" si="82"/>
        <v>1</v>
      </c>
      <c r="Q380" s="7">
        <f t="shared" si="83"/>
        <v>3253</v>
      </c>
      <c r="W380" s="124">
        <f t="shared" si="80"/>
        <v>637279.83908399998</v>
      </c>
      <c r="X380">
        <f t="shared" si="81"/>
        <v>0</v>
      </c>
    </row>
    <row r="381" spans="1:24">
      <c r="A381" s="23" t="s">
        <v>406</v>
      </c>
      <c r="B381" s="35" t="s">
        <v>405</v>
      </c>
      <c r="C381" s="125">
        <v>849</v>
      </c>
      <c r="D381" s="132">
        <v>67225154</v>
      </c>
      <c r="E381" s="116">
        <f t="shared" si="87"/>
        <v>79181.571260306242</v>
      </c>
      <c r="F381" s="134">
        <v>38048338</v>
      </c>
      <c r="G381" s="117">
        <f t="shared" si="88"/>
        <v>44815.474676089514</v>
      </c>
      <c r="H381" s="9"/>
      <c r="I381" s="136">
        <v>4.0114000000000001</v>
      </c>
      <c r="J381" s="134">
        <v>152627.1030532</v>
      </c>
      <c r="K381" s="120">
        <f t="shared" si="89"/>
        <v>179.7727951156655</v>
      </c>
      <c r="L381" s="122">
        <f t="shared" si="77"/>
        <v>380483.38</v>
      </c>
      <c r="M381" s="116">
        <f t="shared" si="78"/>
        <v>227856.2769468</v>
      </c>
      <c r="N381" s="123">
        <f t="shared" si="79"/>
        <v>268.38195164522966</v>
      </c>
      <c r="O381" s="5"/>
      <c r="P381" s="5">
        <f t="shared" si="82"/>
        <v>1</v>
      </c>
      <c r="Q381" s="7">
        <f t="shared" si="83"/>
        <v>849</v>
      </c>
      <c r="W381" s="124">
        <f t="shared" si="80"/>
        <v>152627.1030532</v>
      </c>
      <c r="X381">
        <f t="shared" si="81"/>
        <v>0</v>
      </c>
    </row>
    <row r="382" spans="1:24">
      <c r="A382" s="23" t="s">
        <v>407</v>
      </c>
      <c r="B382" s="35" t="s">
        <v>405</v>
      </c>
      <c r="C382" s="125">
        <v>642</v>
      </c>
      <c r="D382" s="147">
        <v>41305205</v>
      </c>
      <c r="E382" s="116">
        <f t="shared" si="87"/>
        <v>64338.325545171341</v>
      </c>
      <c r="F382" s="134">
        <v>21999893</v>
      </c>
      <c r="G382" s="117">
        <f t="shared" si="88"/>
        <v>34267.746105919003</v>
      </c>
      <c r="H382" s="98"/>
      <c r="I382" s="136">
        <v>3.9</v>
      </c>
      <c r="J382" s="134">
        <v>85799.582699999999</v>
      </c>
      <c r="K382" s="120">
        <f t="shared" si="89"/>
        <v>133.6442098130841</v>
      </c>
      <c r="L382" s="122">
        <f t="shared" si="77"/>
        <v>219998.93</v>
      </c>
      <c r="M382" s="116">
        <f t="shared" si="78"/>
        <v>134199.34729999999</v>
      </c>
      <c r="N382" s="123">
        <f t="shared" si="79"/>
        <v>209.03325124610592</v>
      </c>
      <c r="O382" s="5"/>
      <c r="P382" s="5">
        <f t="shared" si="82"/>
        <v>1</v>
      </c>
      <c r="Q382" s="7">
        <f t="shared" si="83"/>
        <v>642</v>
      </c>
      <c r="W382" s="124">
        <f t="shared" si="80"/>
        <v>85799.582699999999</v>
      </c>
      <c r="X382">
        <f t="shared" si="81"/>
        <v>0</v>
      </c>
    </row>
    <row r="383" spans="1:24">
      <c r="A383" s="23" t="s">
        <v>408</v>
      </c>
      <c r="B383" s="35" t="s">
        <v>405</v>
      </c>
      <c r="C383" s="125">
        <v>794</v>
      </c>
      <c r="D383" s="132">
        <v>42761330</v>
      </c>
      <c r="E383" s="116">
        <f t="shared" si="87"/>
        <v>53855.579345088161</v>
      </c>
      <c r="F383" s="134">
        <v>27738752</v>
      </c>
      <c r="G383" s="117">
        <f t="shared" si="88"/>
        <v>34935.455919395463</v>
      </c>
      <c r="H383" s="7"/>
      <c r="I383" s="150">
        <v>8</v>
      </c>
      <c r="J383" s="134">
        <v>221910.016</v>
      </c>
      <c r="K383" s="120">
        <f t="shared" si="89"/>
        <v>279.48364735516373</v>
      </c>
      <c r="L383" s="122">
        <f t="shared" si="77"/>
        <v>277387.52000000002</v>
      </c>
      <c r="M383" s="116">
        <f t="shared" si="78"/>
        <v>55477.504000000015</v>
      </c>
      <c r="N383" s="123">
        <f t="shared" si="79"/>
        <v>69.870911838790946</v>
      </c>
      <c r="O383" s="5"/>
      <c r="P383" s="5">
        <f t="shared" si="82"/>
        <v>1</v>
      </c>
      <c r="Q383" s="7">
        <f t="shared" si="83"/>
        <v>794</v>
      </c>
      <c r="W383" s="124">
        <f t="shared" si="80"/>
        <v>221910.016</v>
      </c>
      <c r="X383">
        <f t="shared" si="81"/>
        <v>0</v>
      </c>
    </row>
    <row r="384" spans="1:24">
      <c r="A384" s="23" t="s">
        <v>409</v>
      </c>
      <c r="B384" s="35" t="s">
        <v>405</v>
      </c>
      <c r="C384" s="125">
        <v>20909</v>
      </c>
      <c r="D384" s="132">
        <v>3745917164</v>
      </c>
      <c r="E384" s="116">
        <f t="shared" si="87"/>
        <v>179153.33894495195</v>
      </c>
      <c r="F384" s="134">
        <v>3033344256</v>
      </c>
      <c r="G384" s="117">
        <f t="shared" si="88"/>
        <v>145073.61691137787</v>
      </c>
      <c r="H384" s="7"/>
      <c r="I384" s="136">
        <v>3.2477999999999998</v>
      </c>
      <c r="J384" s="154">
        <v>9851695.4746367987</v>
      </c>
      <c r="K384" s="120">
        <f t="shared" si="89"/>
        <v>471.17009300477298</v>
      </c>
      <c r="L384" s="122">
        <f t="shared" si="77"/>
        <v>30333442.560000002</v>
      </c>
      <c r="M384" s="116">
        <f t="shared" si="78"/>
        <v>20481747.085363202</v>
      </c>
      <c r="N384" s="123">
        <f t="shared" si="79"/>
        <v>979.56607610900573</v>
      </c>
      <c r="O384" s="5"/>
      <c r="P384" s="5">
        <f t="shared" si="82"/>
        <v>1</v>
      </c>
      <c r="Q384" s="7">
        <f t="shared" si="83"/>
        <v>20909</v>
      </c>
      <c r="S384" s="124">
        <f>SUM(D380:D384)</f>
        <v>4172329731</v>
      </c>
      <c r="T384" s="124">
        <f>SUM(F380:F384)</f>
        <v>3299681009</v>
      </c>
      <c r="U384" s="124">
        <f>SUM(J380:J384)</f>
        <v>10949312.015473999</v>
      </c>
      <c r="W384" s="124">
        <f t="shared" si="80"/>
        <v>9851695.4746368006</v>
      </c>
      <c r="X384">
        <f t="shared" si="81"/>
        <v>0</v>
      </c>
    </row>
    <row r="385" spans="1:24">
      <c r="A385" s="23" t="s">
        <v>410</v>
      </c>
      <c r="B385" s="35" t="s">
        <v>411</v>
      </c>
      <c r="C385" s="125">
        <v>724</v>
      </c>
      <c r="D385" s="132">
        <v>42231061</v>
      </c>
      <c r="E385" s="116">
        <f t="shared" si="87"/>
        <v>58330.194751381212</v>
      </c>
      <c r="F385" s="134">
        <v>25621165</v>
      </c>
      <c r="G385" s="117">
        <f t="shared" si="88"/>
        <v>35388.349447513814</v>
      </c>
      <c r="H385" s="7"/>
      <c r="I385" s="136">
        <v>7.5</v>
      </c>
      <c r="J385" s="134">
        <v>192158.73749999999</v>
      </c>
      <c r="K385" s="120">
        <f t="shared" si="89"/>
        <v>265.41262085635356</v>
      </c>
      <c r="L385" s="122">
        <f t="shared" si="77"/>
        <v>256211.65</v>
      </c>
      <c r="M385" s="116">
        <f t="shared" si="78"/>
        <v>64052.912500000006</v>
      </c>
      <c r="N385" s="123">
        <f t="shared" si="79"/>
        <v>88.470873618784537</v>
      </c>
      <c r="O385" s="5"/>
      <c r="P385" s="5">
        <f t="shared" si="82"/>
        <v>1</v>
      </c>
      <c r="Q385" s="7">
        <f t="shared" si="83"/>
        <v>724</v>
      </c>
      <c r="W385" s="124">
        <f t="shared" si="80"/>
        <v>192158.73749999999</v>
      </c>
      <c r="X385">
        <f t="shared" si="81"/>
        <v>0</v>
      </c>
    </row>
    <row r="386" spans="1:24">
      <c r="A386" s="23" t="s">
        <v>412</v>
      </c>
      <c r="B386" s="35" t="s">
        <v>411</v>
      </c>
      <c r="C386" s="125">
        <v>6794</v>
      </c>
      <c r="D386" s="132">
        <v>364853007</v>
      </c>
      <c r="E386" s="116">
        <f t="shared" si="87"/>
        <v>53702.238298498676</v>
      </c>
      <c r="F386" s="134">
        <v>240038893</v>
      </c>
      <c r="G386" s="117">
        <f t="shared" si="88"/>
        <v>35331.011627906977</v>
      </c>
      <c r="H386" s="7"/>
      <c r="I386" s="136">
        <v>9.2521000000000004</v>
      </c>
      <c r="J386" s="134">
        <v>2220863.8419253002</v>
      </c>
      <c r="K386" s="120">
        <f t="shared" si="89"/>
        <v>326.88605268255816</v>
      </c>
      <c r="L386" s="122">
        <f t="shared" si="77"/>
        <v>2400388.9300000002</v>
      </c>
      <c r="M386" s="116">
        <f t="shared" si="78"/>
        <v>179525.08807469998</v>
      </c>
      <c r="N386" s="123">
        <f t="shared" si="79"/>
        <v>26.424063596511623</v>
      </c>
      <c r="O386" s="5"/>
      <c r="P386" s="5">
        <f t="shared" si="82"/>
        <v>1</v>
      </c>
      <c r="Q386" s="7">
        <f t="shared" si="83"/>
        <v>6794</v>
      </c>
      <c r="S386" s="124">
        <f>SUM(D385:D386)</f>
        <v>407084068</v>
      </c>
      <c r="T386" s="124">
        <f>SUM(F385:F386)</f>
        <v>265660058</v>
      </c>
      <c r="U386" s="124">
        <f>SUM(J385:J386)</f>
        <v>2413022.5794253</v>
      </c>
      <c r="W386" s="124">
        <f t="shared" si="80"/>
        <v>2220863.8419253002</v>
      </c>
      <c r="X386">
        <f t="shared" si="81"/>
        <v>0</v>
      </c>
    </row>
    <row r="387" spans="1:24">
      <c r="A387" s="23" t="s">
        <v>413</v>
      </c>
      <c r="B387" s="35" t="s">
        <v>414</v>
      </c>
      <c r="C387" s="125">
        <v>6910</v>
      </c>
      <c r="D387" s="132">
        <v>480732662</v>
      </c>
      <c r="E387" s="116">
        <f t="shared" si="87"/>
        <v>69570.573371924751</v>
      </c>
      <c r="F387" s="134">
        <v>277056406</v>
      </c>
      <c r="G387" s="117">
        <f t="shared" si="88"/>
        <v>40094.993632416787</v>
      </c>
      <c r="H387" s="9"/>
      <c r="I387" s="136">
        <v>6.5472999999999999</v>
      </c>
      <c r="J387" s="134">
        <v>1813971.4070037999</v>
      </c>
      <c r="K387" s="120">
        <f t="shared" si="89"/>
        <v>262.51395180952244</v>
      </c>
      <c r="L387" s="122">
        <f t="shared" si="77"/>
        <v>2770564.06</v>
      </c>
      <c r="M387" s="116">
        <f t="shared" si="78"/>
        <v>956592.65299620014</v>
      </c>
      <c r="N387" s="123">
        <f t="shared" si="79"/>
        <v>138.43598451464547</v>
      </c>
      <c r="O387" s="5"/>
      <c r="P387" s="5">
        <f t="shared" si="82"/>
        <v>1</v>
      </c>
      <c r="Q387" s="7">
        <f t="shared" si="83"/>
        <v>6910</v>
      </c>
      <c r="S387" s="124">
        <f>SUM(D387)</f>
        <v>480732662</v>
      </c>
      <c r="T387" s="124">
        <f>SUM(F387)</f>
        <v>277056406</v>
      </c>
      <c r="U387" s="124">
        <f>SUM(J387)</f>
        <v>1813971.4070037999</v>
      </c>
      <c r="W387" s="124">
        <f t="shared" si="80"/>
        <v>1813971.4070037999</v>
      </c>
      <c r="X387">
        <f t="shared" si="81"/>
        <v>0</v>
      </c>
    </row>
    <row r="388" spans="1:24">
      <c r="A388" s="23" t="s">
        <v>415</v>
      </c>
      <c r="B388" s="35" t="s">
        <v>416</v>
      </c>
      <c r="C388" s="125">
        <v>2017</v>
      </c>
      <c r="D388" s="132">
        <v>77442122</v>
      </c>
      <c r="E388" s="116">
        <f t="shared" si="87"/>
        <v>38394.705999008431</v>
      </c>
      <c r="F388" s="134">
        <v>39569157</v>
      </c>
      <c r="G388" s="117">
        <f t="shared" si="88"/>
        <v>19617.826970748636</v>
      </c>
      <c r="H388" s="9"/>
      <c r="I388" s="136">
        <v>2.75</v>
      </c>
      <c r="J388" s="134">
        <v>108815.18175</v>
      </c>
      <c r="K388" s="120">
        <f t="shared" si="89"/>
        <v>53.949024169558754</v>
      </c>
      <c r="L388" s="122">
        <f t="shared" si="77"/>
        <v>395691.57</v>
      </c>
      <c r="M388" s="116">
        <f t="shared" si="78"/>
        <v>286876.38825000002</v>
      </c>
      <c r="N388" s="123">
        <f t="shared" si="79"/>
        <v>142.22924553792762</v>
      </c>
      <c r="O388" s="5"/>
      <c r="P388" s="5">
        <f t="shared" si="82"/>
        <v>1</v>
      </c>
      <c r="Q388" s="7">
        <f t="shared" si="83"/>
        <v>2017</v>
      </c>
      <c r="W388" s="124">
        <f t="shared" si="80"/>
        <v>108815.18174999999</v>
      </c>
      <c r="X388">
        <f t="shared" si="81"/>
        <v>0</v>
      </c>
    </row>
    <row r="389" spans="1:24">
      <c r="A389" s="23" t="s">
        <v>417</v>
      </c>
      <c r="B389" s="35" t="s">
        <v>416</v>
      </c>
      <c r="C389" s="125">
        <v>231</v>
      </c>
      <c r="D389" s="147" t="s">
        <v>564</v>
      </c>
      <c r="E389" s="116"/>
      <c r="F389" s="134"/>
      <c r="G389" s="117"/>
      <c r="H389" s="98" t="s">
        <v>588</v>
      </c>
      <c r="I389" s="136"/>
      <c r="J389" s="134"/>
      <c r="K389" s="120"/>
      <c r="L389" s="122">
        <f t="shared" si="77"/>
        <v>0</v>
      </c>
      <c r="M389" s="116">
        <f t="shared" si="78"/>
        <v>0</v>
      </c>
      <c r="N389" s="123">
        <f t="shared" si="79"/>
        <v>0</v>
      </c>
      <c r="O389" s="5"/>
      <c r="P389" s="5">
        <f t="shared" si="82"/>
        <v>0</v>
      </c>
      <c r="Q389" s="7">
        <f t="shared" si="83"/>
        <v>0</v>
      </c>
      <c r="W389" s="124">
        <f t="shared" si="80"/>
        <v>0</v>
      </c>
      <c r="X389">
        <f t="shared" si="81"/>
        <v>0</v>
      </c>
    </row>
    <row r="390" spans="1:24">
      <c r="A390" s="23" t="s">
        <v>418</v>
      </c>
      <c r="B390" s="35" t="s">
        <v>416</v>
      </c>
      <c r="C390" s="125">
        <v>405</v>
      </c>
      <c r="D390" s="132">
        <v>14593858</v>
      </c>
      <c r="E390" s="116">
        <f t="shared" ref="E390:E406" si="90">(D390/C390)</f>
        <v>36034.217283950617</v>
      </c>
      <c r="F390" s="134">
        <v>8081211</v>
      </c>
      <c r="G390" s="117">
        <f t="shared" ref="G390:G406" si="91">(F390/C390)</f>
        <v>19953.607407407406</v>
      </c>
      <c r="H390" s="7"/>
      <c r="I390" s="150">
        <v>1.7295</v>
      </c>
      <c r="J390" s="134">
        <v>13976.4544245</v>
      </c>
      <c r="K390" s="120">
        <f t="shared" ref="K390:K406" si="92">(J390/C390)</f>
        <v>34.509764011111109</v>
      </c>
      <c r="L390" s="122">
        <f t="shared" ref="L390:L416" si="93">(F390*0.01)</f>
        <v>80812.11</v>
      </c>
      <c r="M390" s="116">
        <f t="shared" ref="M390:M416" si="94">(L390-J390)</f>
        <v>66835.655575500001</v>
      </c>
      <c r="N390" s="123">
        <f t="shared" ref="N390:N416" si="95">(M390/C390)</f>
        <v>165.02631006296298</v>
      </c>
      <c r="O390" s="5"/>
      <c r="P390" s="5">
        <f t="shared" si="82"/>
        <v>1</v>
      </c>
      <c r="Q390" s="7">
        <f t="shared" si="83"/>
        <v>405</v>
      </c>
      <c r="S390" s="124">
        <f>SUM(D388:D390)</f>
        <v>92035980</v>
      </c>
      <c r="T390" s="124">
        <f>SUM(F388:F390)</f>
        <v>47650368</v>
      </c>
      <c r="U390" s="124">
        <f>SUM(J388:J390)</f>
        <v>122791.6361745</v>
      </c>
      <c r="W390" s="124">
        <f t="shared" ref="W390:W416" si="96">F390*(I390/1000)</f>
        <v>13976.454424500002</v>
      </c>
      <c r="X390">
        <f t="shared" ref="X390:X416" si="97">IF(W390=J390,0,1)</f>
        <v>0</v>
      </c>
    </row>
    <row r="391" spans="1:24">
      <c r="A391" s="23" t="s">
        <v>419</v>
      </c>
      <c r="B391" s="35" t="s">
        <v>420</v>
      </c>
      <c r="C391" s="125">
        <v>74113</v>
      </c>
      <c r="D391" s="132">
        <v>9942167596</v>
      </c>
      <c r="E391" s="116">
        <f t="shared" si="90"/>
        <v>134148.76736874774</v>
      </c>
      <c r="F391" s="134">
        <v>6246639054</v>
      </c>
      <c r="G391" s="117">
        <f t="shared" si="91"/>
        <v>84285.335285307578</v>
      </c>
      <c r="H391" s="7"/>
      <c r="I391" s="136">
        <v>5.53</v>
      </c>
      <c r="J391" s="134">
        <v>34543913.968620002</v>
      </c>
      <c r="K391" s="120">
        <f t="shared" si="92"/>
        <v>466.09790412775089</v>
      </c>
      <c r="L391" s="122">
        <f t="shared" si="93"/>
        <v>62466390.539999999</v>
      </c>
      <c r="M391" s="116">
        <f t="shared" si="94"/>
        <v>27922476.571379997</v>
      </c>
      <c r="N391" s="123">
        <f t="shared" si="95"/>
        <v>376.75544872532481</v>
      </c>
      <c r="O391" s="5"/>
      <c r="P391" s="5">
        <f t="shared" ref="P391:P416" si="98">IF(I391&gt;0,1,0)</f>
        <v>1</v>
      </c>
      <c r="Q391" s="7">
        <f t="shared" ref="Q391:Q416" si="99">IF(I391&gt;0,C391,0)</f>
        <v>74113</v>
      </c>
      <c r="W391" s="124">
        <f t="shared" si="96"/>
        <v>34543913.968620002</v>
      </c>
      <c r="X391">
        <f t="shared" si="97"/>
        <v>0</v>
      </c>
    </row>
    <row r="392" spans="1:24">
      <c r="A392" s="23" t="s">
        <v>421</v>
      </c>
      <c r="B392" s="35" t="s">
        <v>420</v>
      </c>
      <c r="C392" s="125">
        <v>5253</v>
      </c>
      <c r="D392" s="132">
        <v>2060121942</v>
      </c>
      <c r="E392" s="116">
        <f t="shared" si="90"/>
        <v>392180.07652769843</v>
      </c>
      <c r="F392" s="134">
        <v>1756691252</v>
      </c>
      <c r="G392" s="117">
        <f t="shared" si="91"/>
        <v>334416.76223110605</v>
      </c>
      <c r="H392" s="7"/>
      <c r="I392" s="136">
        <v>4.9356</v>
      </c>
      <c r="J392" s="134">
        <v>8670325.3433712013</v>
      </c>
      <c r="K392" s="120">
        <f t="shared" si="92"/>
        <v>1650.5473716678473</v>
      </c>
      <c r="L392" s="122">
        <f t="shared" si="93"/>
        <v>17566912.52</v>
      </c>
      <c r="M392" s="116">
        <f t="shared" si="94"/>
        <v>8896587.1766287982</v>
      </c>
      <c r="N392" s="123">
        <f t="shared" si="95"/>
        <v>1693.620250643213</v>
      </c>
      <c r="O392" s="5"/>
      <c r="P392" s="5">
        <f t="shared" si="98"/>
        <v>1</v>
      </c>
      <c r="Q392" s="7">
        <f t="shared" si="99"/>
        <v>5253</v>
      </c>
      <c r="W392" s="124">
        <f t="shared" si="96"/>
        <v>8670325.3433711994</v>
      </c>
      <c r="X392">
        <f t="shared" si="97"/>
        <v>0</v>
      </c>
    </row>
    <row r="393" spans="1:24">
      <c r="A393" s="23" t="s">
        <v>462</v>
      </c>
      <c r="B393" s="35" t="s">
        <v>420</v>
      </c>
      <c r="C393" s="125">
        <v>23014</v>
      </c>
      <c r="D393" s="132">
        <v>3563555224</v>
      </c>
      <c r="E393" s="116">
        <f t="shared" si="90"/>
        <v>154842.93143304077</v>
      </c>
      <c r="F393" s="134">
        <v>2456864499</v>
      </c>
      <c r="G393" s="117">
        <f t="shared" si="91"/>
        <v>106755.21417398106</v>
      </c>
      <c r="H393" s="7"/>
      <c r="I393" s="136">
        <v>2.9247000000000001</v>
      </c>
      <c r="J393" s="134">
        <v>7185591.6002252996</v>
      </c>
      <c r="K393" s="120">
        <f t="shared" si="92"/>
        <v>312.22697489464235</v>
      </c>
      <c r="L393" s="122">
        <f t="shared" si="93"/>
        <v>24568644.990000002</v>
      </c>
      <c r="M393" s="116">
        <f t="shared" si="94"/>
        <v>17383053.389774702</v>
      </c>
      <c r="N393" s="123">
        <f t="shared" si="95"/>
        <v>755.32516684516827</v>
      </c>
      <c r="O393" s="5"/>
      <c r="P393" s="5">
        <f t="shared" si="98"/>
        <v>1</v>
      </c>
      <c r="Q393" s="7">
        <f t="shared" si="99"/>
        <v>23014</v>
      </c>
      <c r="W393" s="124">
        <f t="shared" si="96"/>
        <v>7185591.6002253005</v>
      </c>
      <c r="X393">
        <f t="shared" si="97"/>
        <v>0</v>
      </c>
    </row>
    <row r="394" spans="1:24">
      <c r="A394" s="23" t="s">
        <v>463</v>
      </c>
      <c r="B394" s="35" t="s">
        <v>420</v>
      </c>
      <c r="C394" s="125">
        <v>38342</v>
      </c>
      <c r="D394" s="132">
        <v>3941084878</v>
      </c>
      <c r="E394" s="116">
        <f t="shared" si="90"/>
        <v>102787.67090918575</v>
      </c>
      <c r="F394" s="134">
        <v>2293611234</v>
      </c>
      <c r="G394" s="117">
        <f t="shared" si="91"/>
        <v>59819.812059882111</v>
      </c>
      <c r="H394" s="7"/>
      <c r="I394" s="136">
        <v>6.7840999999999996</v>
      </c>
      <c r="J394" s="134">
        <v>15560087.972579399</v>
      </c>
      <c r="K394" s="120">
        <f t="shared" si="92"/>
        <v>405.82358699544625</v>
      </c>
      <c r="L394" s="122">
        <f t="shared" si="93"/>
        <v>22936112.34</v>
      </c>
      <c r="M394" s="116">
        <f t="shared" si="94"/>
        <v>7376024.3674206007</v>
      </c>
      <c r="N394" s="123">
        <f t="shared" si="95"/>
        <v>192.37453360337491</v>
      </c>
      <c r="O394" s="5"/>
      <c r="P394" s="5">
        <f t="shared" si="98"/>
        <v>1</v>
      </c>
      <c r="Q394" s="7">
        <f t="shared" si="99"/>
        <v>38342</v>
      </c>
      <c r="W394" s="124">
        <f t="shared" si="96"/>
        <v>15560087.972579399</v>
      </c>
      <c r="X394">
        <f t="shared" si="97"/>
        <v>0</v>
      </c>
    </row>
    <row r="395" spans="1:24">
      <c r="A395" s="23" t="s">
        <v>422</v>
      </c>
      <c r="B395" s="35" t="s">
        <v>420</v>
      </c>
      <c r="C395" s="125">
        <v>94953</v>
      </c>
      <c r="D395" s="132">
        <v>7002870122</v>
      </c>
      <c r="E395" s="116">
        <f t="shared" si="90"/>
        <v>73750.909628974332</v>
      </c>
      <c r="F395" s="134">
        <v>3365045989</v>
      </c>
      <c r="G395" s="117">
        <f t="shared" si="91"/>
        <v>35439.06973976599</v>
      </c>
      <c r="H395" s="7"/>
      <c r="I395" s="136">
        <v>7.85</v>
      </c>
      <c r="J395" s="134">
        <v>26415611.013649996</v>
      </c>
      <c r="K395" s="120">
        <f t="shared" si="92"/>
        <v>278.196697457163</v>
      </c>
      <c r="L395" s="122">
        <f t="shared" si="93"/>
        <v>33650459.890000001</v>
      </c>
      <c r="M395" s="116">
        <f t="shared" si="94"/>
        <v>7234848.8763500042</v>
      </c>
      <c r="N395" s="123">
        <f t="shared" si="95"/>
        <v>76.193999940496923</v>
      </c>
      <c r="O395" s="5"/>
      <c r="P395" s="5">
        <f t="shared" si="98"/>
        <v>1</v>
      </c>
      <c r="Q395" s="7">
        <f t="shared" si="99"/>
        <v>94953</v>
      </c>
      <c r="W395" s="124">
        <f t="shared" si="96"/>
        <v>26415611.013649996</v>
      </c>
      <c r="X395">
        <f t="shared" si="97"/>
        <v>0</v>
      </c>
    </row>
    <row r="396" spans="1:24">
      <c r="A396" s="23" t="s">
        <v>423</v>
      </c>
      <c r="B396" s="35" t="s">
        <v>420</v>
      </c>
      <c r="C396" s="125">
        <v>23310</v>
      </c>
      <c r="D396" s="132">
        <v>2226845384</v>
      </c>
      <c r="E396" s="116">
        <f t="shared" si="90"/>
        <v>95531.762505362509</v>
      </c>
      <c r="F396" s="134">
        <v>1258444889</v>
      </c>
      <c r="G396" s="117">
        <f t="shared" si="91"/>
        <v>53987.339725439728</v>
      </c>
      <c r="H396" s="7"/>
      <c r="I396" s="136">
        <v>6.7</v>
      </c>
      <c r="J396" s="134">
        <v>8431580.7563000005</v>
      </c>
      <c r="K396" s="120">
        <f t="shared" si="92"/>
        <v>361.71517616044616</v>
      </c>
      <c r="L396" s="122">
        <f t="shared" si="93"/>
        <v>12584448.890000001</v>
      </c>
      <c r="M396" s="116">
        <f t="shared" si="94"/>
        <v>4152868.1337000001</v>
      </c>
      <c r="N396" s="123">
        <f t="shared" si="95"/>
        <v>178.15822109395111</v>
      </c>
      <c r="O396" s="5"/>
      <c r="P396" s="5">
        <f t="shared" si="98"/>
        <v>1</v>
      </c>
      <c r="Q396" s="7">
        <f t="shared" si="99"/>
        <v>23310</v>
      </c>
      <c r="W396" s="124">
        <f t="shared" si="96"/>
        <v>8431580.7563000005</v>
      </c>
      <c r="X396">
        <f t="shared" si="97"/>
        <v>0</v>
      </c>
    </row>
    <row r="397" spans="1:24">
      <c r="A397" s="23" t="s">
        <v>424</v>
      </c>
      <c r="B397" s="35" t="s">
        <v>420</v>
      </c>
      <c r="C397" s="125">
        <v>12971</v>
      </c>
      <c r="D397" s="132">
        <v>1076955553</v>
      </c>
      <c r="E397" s="116">
        <f t="shared" si="90"/>
        <v>83027.951044638045</v>
      </c>
      <c r="F397" s="134">
        <v>737061540</v>
      </c>
      <c r="G397" s="117">
        <f t="shared" si="91"/>
        <v>56823.802328270758</v>
      </c>
      <c r="H397" s="7"/>
      <c r="I397" s="136">
        <v>6.25</v>
      </c>
      <c r="J397" s="134">
        <v>4606634.625</v>
      </c>
      <c r="K397" s="120">
        <f t="shared" si="92"/>
        <v>355.14876455169224</v>
      </c>
      <c r="L397" s="122">
        <f t="shared" si="93"/>
        <v>7370615.4000000004</v>
      </c>
      <c r="M397" s="116">
        <f t="shared" si="94"/>
        <v>2763980.7750000004</v>
      </c>
      <c r="N397" s="123">
        <f t="shared" si="95"/>
        <v>213.08925873101538</v>
      </c>
      <c r="O397" s="5"/>
      <c r="P397" s="5">
        <f t="shared" si="98"/>
        <v>1</v>
      </c>
      <c r="Q397" s="7">
        <f t="shared" si="99"/>
        <v>12971</v>
      </c>
      <c r="W397" s="124">
        <f t="shared" si="96"/>
        <v>4606634.625</v>
      </c>
      <c r="X397">
        <f t="shared" si="97"/>
        <v>0</v>
      </c>
    </row>
    <row r="398" spans="1:24">
      <c r="A398" s="23" t="s">
        <v>425</v>
      </c>
      <c r="B398" s="35" t="s">
        <v>420</v>
      </c>
      <c r="C398" s="125">
        <v>2913</v>
      </c>
      <c r="D398" s="132">
        <v>253162158</v>
      </c>
      <c r="E398" s="116">
        <f t="shared" si="90"/>
        <v>86907.709577754897</v>
      </c>
      <c r="F398" s="134">
        <v>129430363</v>
      </c>
      <c r="G398" s="117">
        <f t="shared" si="91"/>
        <v>44431.98180569859</v>
      </c>
      <c r="H398" s="7"/>
      <c r="I398" s="136">
        <v>6.85</v>
      </c>
      <c r="J398" s="134">
        <v>886597.98654999991</v>
      </c>
      <c r="K398" s="120">
        <f t="shared" si="92"/>
        <v>304.35907536903534</v>
      </c>
      <c r="L398" s="122">
        <f t="shared" si="93"/>
        <v>1294303.6300000001</v>
      </c>
      <c r="M398" s="116">
        <f t="shared" si="94"/>
        <v>407705.64345000021</v>
      </c>
      <c r="N398" s="123">
        <f t="shared" si="95"/>
        <v>139.96074268795064</v>
      </c>
      <c r="O398" s="5"/>
      <c r="P398" s="5">
        <f t="shared" si="98"/>
        <v>1</v>
      </c>
      <c r="Q398" s="7">
        <f t="shared" si="99"/>
        <v>2913</v>
      </c>
      <c r="W398" s="124">
        <f t="shared" si="96"/>
        <v>886597.98654999991</v>
      </c>
      <c r="X398">
        <f t="shared" si="97"/>
        <v>0</v>
      </c>
    </row>
    <row r="399" spans="1:24">
      <c r="A399" s="23" t="s">
        <v>426</v>
      </c>
      <c r="B399" s="35" t="s">
        <v>420</v>
      </c>
      <c r="C399" s="125">
        <v>30962</v>
      </c>
      <c r="D399" s="132">
        <v>7112905584</v>
      </c>
      <c r="E399" s="116">
        <f t="shared" si="90"/>
        <v>229730.17195271622</v>
      </c>
      <c r="F399" s="134">
        <v>4900027471</v>
      </c>
      <c r="G399" s="117">
        <f t="shared" si="91"/>
        <v>158259.39768102835</v>
      </c>
      <c r="H399" s="7"/>
      <c r="I399" s="136">
        <v>3.7421000000000002</v>
      </c>
      <c r="J399" s="134">
        <v>18336392.7992291</v>
      </c>
      <c r="K399" s="120">
        <f t="shared" si="92"/>
        <v>592.22249206217623</v>
      </c>
      <c r="L399" s="122">
        <f t="shared" si="93"/>
        <v>49000274.710000001</v>
      </c>
      <c r="M399" s="116">
        <f t="shared" si="94"/>
        <v>30663881.910770901</v>
      </c>
      <c r="N399" s="123">
        <f t="shared" si="95"/>
        <v>990.37148474810738</v>
      </c>
      <c r="O399" s="5"/>
      <c r="P399" s="5">
        <f t="shared" si="98"/>
        <v>1</v>
      </c>
      <c r="Q399" s="7">
        <f t="shared" si="99"/>
        <v>30962</v>
      </c>
      <c r="W399" s="124">
        <f t="shared" si="96"/>
        <v>18336392.7992291</v>
      </c>
      <c r="X399">
        <f t="shared" si="97"/>
        <v>0</v>
      </c>
    </row>
    <row r="400" spans="1:24">
      <c r="A400" s="23" t="s">
        <v>427</v>
      </c>
      <c r="B400" s="35" t="s">
        <v>420</v>
      </c>
      <c r="C400" s="125">
        <v>2025</v>
      </c>
      <c r="D400" s="132">
        <v>272124609</v>
      </c>
      <c r="E400" s="116">
        <f t="shared" si="90"/>
        <v>134382.52296296298</v>
      </c>
      <c r="F400" s="134">
        <v>149223703</v>
      </c>
      <c r="G400" s="117">
        <f t="shared" si="91"/>
        <v>73690.717530864204</v>
      </c>
      <c r="H400" s="7"/>
      <c r="I400" s="136">
        <v>5.6820000000000004</v>
      </c>
      <c r="J400" s="134">
        <v>847889.08044600009</v>
      </c>
      <c r="K400" s="120">
        <f t="shared" si="92"/>
        <v>418.71065701037043</v>
      </c>
      <c r="L400" s="122">
        <f t="shared" si="93"/>
        <v>1492237.03</v>
      </c>
      <c r="M400" s="116">
        <f t="shared" si="94"/>
        <v>644347.94955399993</v>
      </c>
      <c r="N400" s="123">
        <f t="shared" si="95"/>
        <v>318.1965182982716</v>
      </c>
      <c r="O400" s="5"/>
      <c r="P400" s="5">
        <f t="shared" si="98"/>
        <v>1</v>
      </c>
      <c r="Q400" s="7">
        <f t="shared" si="99"/>
        <v>2025</v>
      </c>
      <c r="W400" s="124">
        <f t="shared" si="96"/>
        <v>847889.08044600009</v>
      </c>
      <c r="X400">
        <f t="shared" si="97"/>
        <v>0</v>
      </c>
    </row>
    <row r="401" spans="1:24">
      <c r="A401" s="23" t="s">
        <v>428</v>
      </c>
      <c r="B401" s="35" t="s">
        <v>420</v>
      </c>
      <c r="C401" s="125">
        <v>13483</v>
      </c>
      <c r="D401" s="132">
        <v>1394196804</v>
      </c>
      <c r="E401" s="116">
        <f t="shared" si="90"/>
        <v>103404.04984053994</v>
      </c>
      <c r="F401" s="134">
        <v>905612230</v>
      </c>
      <c r="G401" s="117">
        <f t="shared" si="91"/>
        <v>67166.968033820362</v>
      </c>
      <c r="H401" s="7"/>
      <c r="I401" s="136">
        <v>7.79</v>
      </c>
      <c r="J401" s="134">
        <v>7054719.2716999995</v>
      </c>
      <c r="K401" s="120">
        <f t="shared" si="92"/>
        <v>523.23068098346062</v>
      </c>
      <c r="L401" s="122">
        <f t="shared" si="93"/>
        <v>9056122.3000000007</v>
      </c>
      <c r="M401" s="116">
        <f t="shared" si="94"/>
        <v>2001403.0283000013</v>
      </c>
      <c r="N401" s="123">
        <f t="shared" si="95"/>
        <v>148.43899935474312</v>
      </c>
      <c r="O401" s="5"/>
      <c r="P401" s="5">
        <f t="shared" si="98"/>
        <v>1</v>
      </c>
      <c r="Q401" s="7">
        <f t="shared" si="99"/>
        <v>13483</v>
      </c>
      <c r="W401" s="124">
        <f t="shared" si="96"/>
        <v>7054719.2717000004</v>
      </c>
      <c r="X401">
        <f t="shared" si="97"/>
        <v>0</v>
      </c>
    </row>
    <row r="402" spans="1:24">
      <c r="A402" s="23" t="s">
        <v>429</v>
      </c>
      <c r="B402" s="35" t="s">
        <v>420</v>
      </c>
      <c r="C402" s="125">
        <v>44046</v>
      </c>
      <c r="D402" s="132">
        <v>6064570532</v>
      </c>
      <c r="E402" s="116">
        <f t="shared" si="90"/>
        <v>137687.20274258731</v>
      </c>
      <c r="F402" s="134">
        <v>4125915662</v>
      </c>
      <c r="G402" s="117">
        <f t="shared" si="91"/>
        <v>93672.879762066936</v>
      </c>
      <c r="H402" s="7"/>
      <c r="I402" s="136">
        <v>3.9127999999999998</v>
      </c>
      <c r="J402" s="134">
        <v>16143882.802273599</v>
      </c>
      <c r="K402" s="120">
        <f t="shared" si="92"/>
        <v>366.52324393301546</v>
      </c>
      <c r="L402" s="122">
        <f t="shared" si="93"/>
        <v>41259156.619999997</v>
      </c>
      <c r="M402" s="116">
        <f t="shared" si="94"/>
        <v>25115273.817726396</v>
      </c>
      <c r="N402" s="123">
        <f t="shared" si="95"/>
        <v>570.20555368765372</v>
      </c>
      <c r="O402" s="5"/>
      <c r="P402" s="5">
        <f t="shared" si="98"/>
        <v>1</v>
      </c>
      <c r="Q402" s="7">
        <f t="shared" si="99"/>
        <v>44046</v>
      </c>
      <c r="W402" s="124">
        <f t="shared" si="96"/>
        <v>16143882.802273601</v>
      </c>
      <c r="X402">
        <f t="shared" si="97"/>
        <v>0</v>
      </c>
    </row>
    <row r="403" spans="1:24">
      <c r="A403" s="23" t="s">
        <v>430</v>
      </c>
      <c r="B403" s="35" t="s">
        <v>420</v>
      </c>
      <c r="C403" s="125">
        <v>1547</v>
      </c>
      <c r="D403" s="132">
        <v>153569519</v>
      </c>
      <c r="E403" s="116">
        <f t="shared" si="90"/>
        <v>99269.243051066587</v>
      </c>
      <c r="F403" s="134">
        <v>62629848</v>
      </c>
      <c r="G403" s="117">
        <f t="shared" si="91"/>
        <v>40484.71105365223</v>
      </c>
      <c r="H403" s="7"/>
      <c r="I403" s="136">
        <v>5.8357999999999999</v>
      </c>
      <c r="J403" s="134">
        <v>365495.26695840003</v>
      </c>
      <c r="K403" s="120">
        <f t="shared" si="92"/>
        <v>236.26067676690371</v>
      </c>
      <c r="L403" s="122">
        <f t="shared" si="93"/>
        <v>626298.48</v>
      </c>
      <c r="M403" s="116">
        <f t="shared" si="94"/>
        <v>260803.21304159996</v>
      </c>
      <c r="N403" s="123">
        <f t="shared" si="95"/>
        <v>168.58643376961859</v>
      </c>
      <c r="O403" s="5"/>
      <c r="P403" s="5">
        <f t="shared" si="98"/>
        <v>1</v>
      </c>
      <c r="Q403" s="7">
        <f t="shared" si="99"/>
        <v>1547</v>
      </c>
      <c r="W403" s="124">
        <f t="shared" si="96"/>
        <v>365495.26695839997</v>
      </c>
      <c r="X403">
        <f t="shared" si="97"/>
        <v>0</v>
      </c>
    </row>
    <row r="404" spans="1:24">
      <c r="A404" s="23" t="s">
        <v>431</v>
      </c>
      <c r="B404" s="35" t="s">
        <v>420</v>
      </c>
      <c r="C404" s="125">
        <v>3382</v>
      </c>
      <c r="D404" s="132">
        <v>1312047023</v>
      </c>
      <c r="E404" s="116">
        <f t="shared" si="90"/>
        <v>387950.03636901244</v>
      </c>
      <c r="F404" s="134">
        <v>1006627414</v>
      </c>
      <c r="G404" s="117">
        <f t="shared" si="91"/>
        <v>297642.6416321703</v>
      </c>
      <c r="H404" s="7"/>
      <c r="I404" s="136">
        <v>5.9</v>
      </c>
      <c r="J404" s="134">
        <v>5939101.7426000005</v>
      </c>
      <c r="K404" s="120">
        <f t="shared" si="92"/>
        <v>1756.091585629805</v>
      </c>
      <c r="L404" s="122">
        <f t="shared" si="93"/>
        <v>10066274.140000001</v>
      </c>
      <c r="M404" s="116">
        <f t="shared" si="94"/>
        <v>4127172.3974000001</v>
      </c>
      <c r="N404" s="123">
        <f t="shared" si="95"/>
        <v>1220.3348306918983</v>
      </c>
      <c r="O404" s="5"/>
      <c r="P404" s="5">
        <f t="shared" si="98"/>
        <v>1</v>
      </c>
      <c r="Q404" s="7">
        <f t="shared" si="99"/>
        <v>3382</v>
      </c>
      <c r="W404" s="124">
        <f t="shared" si="96"/>
        <v>5939101.7426000005</v>
      </c>
      <c r="X404">
        <f t="shared" si="97"/>
        <v>0</v>
      </c>
    </row>
    <row r="405" spans="1:24">
      <c r="A405" s="23" t="s">
        <v>432</v>
      </c>
      <c r="B405" s="35" t="s">
        <v>420</v>
      </c>
      <c r="C405" s="125">
        <v>63275</v>
      </c>
      <c r="D405" s="132">
        <v>6235921274</v>
      </c>
      <c r="E405" s="116">
        <f t="shared" si="90"/>
        <v>98552.687064401427</v>
      </c>
      <c r="F405" s="134">
        <v>3990718832</v>
      </c>
      <c r="G405" s="117">
        <f t="shared" si="91"/>
        <v>63069.440252864479</v>
      </c>
      <c r="H405" s="7"/>
      <c r="I405" s="136">
        <v>4.9071999999999996</v>
      </c>
      <c r="J405" s="134">
        <v>19583255.452390399</v>
      </c>
      <c r="K405" s="120">
        <f t="shared" si="92"/>
        <v>309.49435720885657</v>
      </c>
      <c r="L405" s="122">
        <f t="shared" si="93"/>
        <v>39907188.32</v>
      </c>
      <c r="M405" s="116">
        <f t="shared" si="94"/>
        <v>20323932.867609601</v>
      </c>
      <c r="N405" s="123">
        <f t="shared" si="95"/>
        <v>321.20004531978827</v>
      </c>
      <c r="O405" s="5"/>
      <c r="P405" s="5">
        <f t="shared" si="98"/>
        <v>1</v>
      </c>
      <c r="Q405" s="7">
        <f t="shared" si="99"/>
        <v>63275</v>
      </c>
      <c r="W405" s="124">
        <f t="shared" si="96"/>
        <v>19583255.452390399</v>
      </c>
      <c r="X405">
        <f t="shared" si="97"/>
        <v>0</v>
      </c>
    </row>
    <row r="406" spans="1:24">
      <c r="A406" s="23" t="s">
        <v>433</v>
      </c>
      <c r="B406" s="35" t="s">
        <v>420</v>
      </c>
      <c r="C406" s="125">
        <v>13140</v>
      </c>
      <c r="D406" s="132">
        <v>1096831525</v>
      </c>
      <c r="E406" s="116">
        <f t="shared" si="90"/>
        <v>83472.718797564681</v>
      </c>
      <c r="F406" s="134">
        <v>698138765</v>
      </c>
      <c r="G406" s="117">
        <f t="shared" si="91"/>
        <v>53130.80403348554</v>
      </c>
      <c r="H406" s="9"/>
      <c r="I406" s="136">
        <v>7.75</v>
      </c>
      <c r="J406" s="134">
        <v>5410575.42875</v>
      </c>
      <c r="K406" s="120">
        <f t="shared" si="92"/>
        <v>411.76373125951295</v>
      </c>
      <c r="L406" s="122">
        <f t="shared" si="93"/>
        <v>6981387.6500000004</v>
      </c>
      <c r="M406" s="116">
        <f t="shared" si="94"/>
        <v>1570812.2212500004</v>
      </c>
      <c r="N406" s="123">
        <f t="shared" si="95"/>
        <v>119.5443090753425</v>
      </c>
      <c r="O406" s="5"/>
      <c r="P406" s="5">
        <f t="shared" si="98"/>
        <v>1</v>
      </c>
      <c r="Q406" s="7">
        <f t="shared" si="99"/>
        <v>13140</v>
      </c>
      <c r="S406" s="124">
        <f>SUM(D391:D406)</f>
        <v>53708929727</v>
      </c>
      <c r="T406" s="124">
        <f>SUM(F391:F406)</f>
        <v>34082682745</v>
      </c>
      <c r="U406" s="124">
        <f>SUM(J391:J406)</f>
        <v>179981655.11064339</v>
      </c>
      <c r="W406" s="124">
        <f t="shared" si="96"/>
        <v>5410575.42875</v>
      </c>
      <c r="X406">
        <f t="shared" si="97"/>
        <v>0</v>
      </c>
    </row>
    <row r="407" spans="1:24">
      <c r="A407" s="23" t="s">
        <v>435</v>
      </c>
      <c r="B407" s="35" t="s">
        <v>434</v>
      </c>
      <c r="C407" s="125">
        <v>431</v>
      </c>
      <c r="D407" s="147" t="s">
        <v>564</v>
      </c>
      <c r="E407" s="116"/>
      <c r="F407" s="134"/>
      <c r="G407" s="117"/>
      <c r="H407" s="98" t="s">
        <v>588</v>
      </c>
      <c r="I407" s="136"/>
      <c r="J407" s="134"/>
      <c r="K407" s="120"/>
      <c r="L407" s="122">
        <f t="shared" si="93"/>
        <v>0</v>
      </c>
      <c r="M407" s="116">
        <f t="shared" si="94"/>
        <v>0</v>
      </c>
      <c r="N407" s="123">
        <f t="shared" si="95"/>
        <v>0</v>
      </c>
      <c r="O407" s="5"/>
      <c r="P407" s="5">
        <f t="shared" si="98"/>
        <v>0</v>
      </c>
      <c r="Q407" s="7">
        <f t="shared" si="99"/>
        <v>0</v>
      </c>
      <c r="W407" s="124">
        <f t="shared" si="96"/>
        <v>0</v>
      </c>
      <c r="X407">
        <f t="shared" si="97"/>
        <v>0</v>
      </c>
    </row>
    <row r="408" spans="1:24">
      <c r="A408" s="24" t="s">
        <v>555</v>
      </c>
      <c r="B408" s="35" t="s">
        <v>434</v>
      </c>
      <c r="C408" s="125">
        <v>282</v>
      </c>
      <c r="D408" s="132">
        <v>49385145</v>
      </c>
      <c r="E408" s="116">
        <f>(D408/C408)</f>
        <v>175124.62765957447</v>
      </c>
      <c r="F408" s="134">
        <v>32278525</v>
      </c>
      <c r="G408" s="117">
        <f>(F408/C408)</f>
        <v>114462.85460992908</v>
      </c>
      <c r="H408" s="9"/>
      <c r="I408" s="136">
        <v>5.5194999999999999</v>
      </c>
      <c r="J408" s="134">
        <v>178161.31873749997</v>
      </c>
      <c r="K408" s="120">
        <f>(J408/C408)</f>
        <v>631.77772601950346</v>
      </c>
      <c r="L408" s="122">
        <f t="shared" si="93"/>
        <v>322785.25</v>
      </c>
      <c r="M408" s="116">
        <f t="shared" si="94"/>
        <v>144623.93126250003</v>
      </c>
      <c r="N408" s="123">
        <f t="shared" si="95"/>
        <v>512.85082007978735</v>
      </c>
      <c r="O408" s="5"/>
      <c r="P408" s="5">
        <f t="shared" si="98"/>
        <v>1</v>
      </c>
      <c r="Q408" s="7">
        <f t="shared" si="99"/>
        <v>282</v>
      </c>
      <c r="S408" s="124">
        <f>SUM(D407:D408)</f>
        <v>49385145</v>
      </c>
      <c r="T408" s="124">
        <f>SUM(F407:F408)</f>
        <v>32278525</v>
      </c>
      <c r="U408" s="124">
        <f>SUM(J407:J408)</f>
        <v>178161.31873749997</v>
      </c>
      <c r="W408" s="124">
        <f t="shared" si="96"/>
        <v>178161.3187375</v>
      </c>
      <c r="X408">
        <f t="shared" si="97"/>
        <v>0</v>
      </c>
    </row>
    <row r="409" spans="1:24">
      <c r="A409" s="23" t="s">
        <v>436</v>
      </c>
      <c r="B409" s="35" t="s">
        <v>437</v>
      </c>
      <c r="C409" s="125">
        <v>5940</v>
      </c>
      <c r="D409" s="132">
        <v>416887808</v>
      </c>
      <c r="E409" s="116">
        <f>(D409/C409)</f>
        <v>70183.132659932657</v>
      </c>
      <c r="F409" s="134">
        <v>271506415</v>
      </c>
      <c r="G409" s="117">
        <f>(F409/C409)</f>
        <v>45708.150673400676</v>
      </c>
      <c r="H409" s="9"/>
      <c r="I409" s="150">
        <v>5.5</v>
      </c>
      <c r="J409" s="134">
        <v>1493285.2825</v>
      </c>
      <c r="K409" s="120">
        <f>(J409/C409)</f>
        <v>251.39482870370369</v>
      </c>
      <c r="L409" s="122">
        <f t="shared" si="93"/>
        <v>2715064.15</v>
      </c>
      <c r="M409" s="116">
        <f t="shared" si="94"/>
        <v>1221778.8674999999</v>
      </c>
      <c r="N409" s="123">
        <f t="shared" si="95"/>
        <v>205.68667803030303</v>
      </c>
      <c r="O409" s="5"/>
      <c r="P409" s="5">
        <f t="shared" si="98"/>
        <v>1</v>
      </c>
      <c r="Q409" s="7">
        <f t="shared" si="99"/>
        <v>5940</v>
      </c>
      <c r="W409" s="124">
        <f t="shared" si="96"/>
        <v>1493285.2825</v>
      </c>
      <c r="X409">
        <f t="shared" si="97"/>
        <v>0</v>
      </c>
    </row>
    <row r="410" spans="1:24">
      <c r="A410" s="23" t="s">
        <v>438</v>
      </c>
      <c r="B410" s="35" t="s">
        <v>437</v>
      </c>
      <c r="C410" s="125">
        <v>7320</v>
      </c>
      <c r="D410" s="132">
        <v>802585999</v>
      </c>
      <c r="E410" s="116">
        <f>(D410/C410)</f>
        <v>109642.89603825136</v>
      </c>
      <c r="F410" s="134">
        <v>597643134</v>
      </c>
      <c r="G410" s="117">
        <f>(F410/C410)</f>
        <v>81645.236885245904</v>
      </c>
      <c r="H410" s="9"/>
      <c r="I410" s="150">
        <v>4.7302</v>
      </c>
      <c r="J410" s="134">
        <v>2826971.5524467998</v>
      </c>
      <c r="K410" s="120">
        <f>(J410/C410)</f>
        <v>386.19829951459013</v>
      </c>
      <c r="L410" s="122">
        <f t="shared" si="93"/>
        <v>5976431.3399999999</v>
      </c>
      <c r="M410" s="116">
        <f t="shared" si="94"/>
        <v>3149459.7875532</v>
      </c>
      <c r="N410" s="123">
        <f t="shared" si="95"/>
        <v>430.25406933786888</v>
      </c>
      <c r="O410" s="5"/>
      <c r="P410" s="5">
        <f t="shared" si="98"/>
        <v>1</v>
      </c>
      <c r="Q410" s="7">
        <f t="shared" si="99"/>
        <v>7320</v>
      </c>
      <c r="W410" s="124">
        <f t="shared" si="96"/>
        <v>2826971.5524468003</v>
      </c>
      <c r="X410">
        <f t="shared" si="97"/>
        <v>0</v>
      </c>
    </row>
    <row r="411" spans="1:24">
      <c r="A411" s="23" t="s">
        <v>439</v>
      </c>
      <c r="B411" s="35" t="s">
        <v>437</v>
      </c>
      <c r="C411" s="125">
        <v>556</v>
      </c>
      <c r="D411" s="147" t="s">
        <v>564</v>
      </c>
      <c r="E411" s="116"/>
      <c r="F411" s="134"/>
      <c r="G411" s="117"/>
      <c r="H411" s="98" t="s">
        <v>588</v>
      </c>
      <c r="I411" s="136"/>
      <c r="J411" s="134"/>
      <c r="K411" s="120"/>
      <c r="L411" s="122">
        <f t="shared" si="93"/>
        <v>0</v>
      </c>
      <c r="M411" s="116">
        <f t="shared" si="94"/>
        <v>0</v>
      </c>
      <c r="N411" s="123">
        <f t="shared" si="95"/>
        <v>0</v>
      </c>
      <c r="O411" s="5"/>
      <c r="P411" s="5">
        <f t="shared" si="98"/>
        <v>0</v>
      </c>
      <c r="Q411" s="7">
        <f t="shared" si="99"/>
        <v>0</v>
      </c>
      <c r="S411" s="124">
        <f>SUM(D409:D411)</f>
        <v>1219473807</v>
      </c>
      <c r="T411" s="124">
        <f>SUM(F409:F411)</f>
        <v>869149549</v>
      </c>
      <c r="U411" s="124">
        <f>SUM(J409:J411)</f>
        <v>4320256.8349468</v>
      </c>
      <c r="W411" s="124">
        <f t="shared" si="96"/>
        <v>0</v>
      </c>
      <c r="X411">
        <f t="shared" si="97"/>
        <v>0</v>
      </c>
    </row>
    <row r="412" spans="1:24">
      <c r="A412" s="23" t="s">
        <v>440</v>
      </c>
      <c r="B412" s="35" t="s">
        <v>441</v>
      </c>
      <c r="C412" s="125">
        <v>290</v>
      </c>
      <c r="D412" s="147" t="s">
        <v>564</v>
      </c>
      <c r="E412" s="116"/>
      <c r="F412" s="134"/>
      <c r="G412" s="117"/>
      <c r="H412" s="98" t="s">
        <v>588</v>
      </c>
      <c r="I412" s="136"/>
      <c r="J412" s="134"/>
      <c r="K412" s="120"/>
      <c r="L412" s="122">
        <f t="shared" si="93"/>
        <v>0</v>
      </c>
      <c r="M412" s="116">
        <f t="shared" si="94"/>
        <v>0</v>
      </c>
      <c r="N412" s="123">
        <f t="shared" si="95"/>
        <v>0</v>
      </c>
      <c r="O412" s="5"/>
      <c r="P412" s="5">
        <f t="shared" si="98"/>
        <v>0</v>
      </c>
      <c r="Q412" s="7">
        <f t="shared" si="99"/>
        <v>0</v>
      </c>
      <c r="W412" s="124">
        <f t="shared" si="96"/>
        <v>0</v>
      </c>
      <c r="X412">
        <f t="shared" si="97"/>
        <v>0</v>
      </c>
    </row>
    <row r="413" spans="1:24">
      <c r="A413" s="23" t="s">
        <v>442</v>
      </c>
      <c r="B413" s="35" t="s">
        <v>441</v>
      </c>
      <c r="C413" s="125">
        <v>3631</v>
      </c>
      <c r="D413" s="132">
        <v>257896835</v>
      </c>
      <c r="E413" s="116">
        <f>(D413/C413)</f>
        <v>71026.39355549436</v>
      </c>
      <c r="F413" s="134">
        <v>160473935</v>
      </c>
      <c r="G413" s="117">
        <f>(F413/C413)</f>
        <v>44195.520517763704</v>
      </c>
      <c r="H413" s="9"/>
      <c r="I413" s="150">
        <v>7</v>
      </c>
      <c r="J413" s="134">
        <v>1123317.5449999999</v>
      </c>
      <c r="K413" s="120">
        <f>(J413/C413)</f>
        <v>309.36864362434591</v>
      </c>
      <c r="L413" s="122">
        <f t="shared" si="93"/>
        <v>1604739.35</v>
      </c>
      <c r="M413" s="116">
        <f t="shared" si="94"/>
        <v>481421.80500000017</v>
      </c>
      <c r="N413" s="123">
        <f t="shared" si="95"/>
        <v>132.58656155329115</v>
      </c>
      <c r="O413" s="5"/>
      <c r="P413" s="5">
        <f t="shared" si="98"/>
        <v>1</v>
      </c>
      <c r="Q413" s="7">
        <f t="shared" si="99"/>
        <v>3631</v>
      </c>
      <c r="W413" s="124">
        <f t="shared" si="96"/>
        <v>1123317.5449999999</v>
      </c>
      <c r="X413">
        <f t="shared" si="97"/>
        <v>0</v>
      </c>
    </row>
    <row r="414" spans="1:24">
      <c r="A414" s="23" t="s">
        <v>443</v>
      </c>
      <c r="B414" s="35" t="s">
        <v>441</v>
      </c>
      <c r="C414" s="125">
        <v>242</v>
      </c>
      <c r="D414" s="147" t="s">
        <v>564</v>
      </c>
      <c r="E414" s="116"/>
      <c r="F414" s="134"/>
      <c r="G414" s="117"/>
      <c r="H414" s="98" t="s">
        <v>588</v>
      </c>
      <c r="I414" s="136"/>
      <c r="J414" s="134"/>
      <c r="K414" s="120"/>
      <c r="L414" s="122">
        <f t="shared" si="93"/>
        <v>0</v>
      </c>
      <c r="M414" s="116">
        <f t="shared" si="94"/>
        <v>0</v>
      </c>
      <c r="N414" s="123">
        <f t="shared" si="95"/>
        <v>0</v>
      </c>
      <c r="O414" s="5"/>
      <c r="P414" s="5">
        <f t="shared" si="98"/>
        <v>0</v>
      </c>
      <c r="Q414" s="7">
        <f t="shared" si="99"/>
        <v>0</v>
      </c>
      <c r="W414" s="124">
        <f t="shared" si="96"/>
        <v>0</v>
      </c>
      <c r="X414">
        <f t="shared" si="97"/>
        <v>0</v>
      </c>
    </row>
    <row r="415" spans="1:24">
      <c r="A415" s="23" t="s">
        <v>444</v>
      </c>
      <c r="B415" s="35" t="s">
        <v>441</v>
      </c>
      <c r="C415" s="125">
        <v>756</v>
      </c>
      <c r="D415" s="132">
        <v>49839755</v>
      </c>
      <c r="E415" s="116">
        <f>(D415/C415)</f>
        <v>65925.601851851854</v>
      </c>
      <c r="F415" s="134">
        <v>20048777</v>
      </c>
      <c r="G415" s="117">
        <f>(F415/C415)</f>
        <v>26519.546296296296</v>
      </c>
      <c r="H415" s="9"/>
      <c r="I415" s="150">
        <v>4.9442000000000004</v>
      </c>
      <c r="J415" s="134">
        <v>99125.163243400006</v>
      </c>
      <c r="K415" s="120">
        <f>(J415/C415)</f>
        <v>131.11794079814817</v>
      </c>
      <c r="L415" s="122">
        <f t="shared" si="93"/>
        <v>200487.77000000002</v>
      </c>
      <c r="M415" s="116">
        <f t="shared" si="94"/>
        <v>101362.60675660001</v>
      </c>
      <c r="N415" s="123">
        <f t="shared" si="95"/>
        <v>134.07752216481484</v>
      </c>
      <c r="O415" s="5"/>
      <c r="P415" s="5">
        <f t="shared" si="98"/>
        <v>1</v>
      </c>
      <c r="Q415" s="7">
        <f t="shared" si="99"/>
        <v>756</v>
      </c>
      <c r="W415" s="124">
        <f t="shared" si="96"/>
        <v>99125.163243400006</v>
      </c>
      <c r="X415">
        <f t="shared" si="97"/>
        <v>0</v>
      </c>
    </row>
    <row r="416" spans="1:24">
      <c r="A416" s="23" t="s">
        <v>445</v>
      </c>
      <c r="B416" s="35" t="s">
        <v>441</v>
      </c>
      <c r="C416" s="125">
        <v>385</v>
      </c>
      <c r="D416" s="147" t="s">
        <v>564</v>
      </c>
      <c r="E416" s="116"/>
      <c r="F416" s="134"/>
      <c r="G416" s="117"/>
      <c r="H416" s="98" t="s">
        <v>588</v>
      </c>
      <c r="I416" s="136"/>
      <c r="J416" s="134"/>
      <c r="K416" s="120"/>
      <c r="L416" s="122">
        <f t="shared" si="93"/>
        <v>0</v>
      </c>
      <c r="M416" s="116">
        <f t="shared" si="94"/>
        <v>0</v>
      </c>
      <c r="N416" s="123">
        <f t="shared" si="95"/>
        <v>0</v>
      </c>
      <c r="O416" s="5"/>
      <c r="P416" s="5">
        <f t="shared" si="98"/>
        <v>0</v>
      </c>
      <c r="Q416" s="7">
        <f t="shared" si="99"/>
        <v>0</v>
      </c>
      <c r="S416" s="124">
        <f>SUM(D412:D416)</f>
        <v>307736590</v>
      </c>
      <c r="T416" s="124">
        <f>SUM(F412:F416)</f>
        <v>180522712</v>
      </c>
      <c r="U416" s="124">
        <f>SUM(J412:J416)</f>
        <v>1222442.7082433999</v>
      </c>
      <c r="W416" s="124">
        <f t="shared" si="96"/>
        <v>0</v>
      </c>
      <c r="X416">
        <f t="shared" si="97"/>
        <v>0</v>
      </c>
    </row>
    <row r="417" spans="1:24">
      <c r="A417" s="70" t="s">
        <v>583</v>
      </c>
      <c r="B417" s="71"/>
      <c r="C417" s="72">
        <f>SUM(C6:C416)</f>
        <v>11015353</v>
      </c>
      <c r="D417" s="158">
        <f>SUM(D6:D416)</f>
        <v>1729157120223</v>
      </c>
      <c r="E417" s="74">
        <f>(D417/Q417)</f>
        <v>172704.90841109341</v>
      </c>
      <c r="F417" s="167">
        <f>SUM(F6:F416)</f>
        <v>1217049005691</v>
      </c>
      <c r="G417" s="76">
        <f>(F417/Q417)</f>
        <v>121556.52867020515</v>
      </c>
      <c r="H417" s="71"/>
      <c r="I417" s="168"/>
      <c r="J417" s="169">
        <f>SUM(J6:J416)</f>
        <v>6032892227.4928045</v>
      </c>
      <c r="K417" s="79">
        <f>(J417/Q417)</f>
        <v>602.55374564734336</v>
      </c>
      <c r="L417" s="79">
        <f>SUM(L6:L416)</f>
        <v>12170490056.909998</v>
      </c>
      <c r="M417" s="78">
        <f>SUM(M6:M416)</f>
        <v>6137597829.4171915</v>
      </c>
      <c r="N417" s="80">
        <f>(M417/Q417)</f>
        <v>613.01154105470778</v>
      </c>
      <c r="O417" s="20"/>
      <c r="P417" s="20">
        <f>SUM(P6:P416)</f>
        <v>391</v>
      </c>
      <c r="Q417" s="21">
        <f>SUM(Q6:Q416)</f>
        <v>10012206</v>
      </c>
      <c r="S417" s="124"/>
      <c r="T417" s="124"/>
      <c r="U417" s="124"/>
      <c r="W417" s="124">
        <f>SUM(W6:W416)</f>
        <v>6032892227.2654848</v>
      </c>
      <c r="X417">
        <f>SUM(X6:X416)</f>
        <v>4</v>
      </c>
    </row>
    <row r="418" spans="1:24">
      <c r="A418" s="27" t="s">
        <v>453</v>
      </c>
      <c r="B418" s="13"/>
      <c r="C418" s="60">
        <f>(P417)</f>
        <v>391</v>
      </c>
      <c r="D418" s="159"/>
      <c r="E418" s="16"/>
      <c r="F418" s="141"/>
      <c r="G418" s="16"/>
      <c r="H418" s="16"/>
      <c r="I418" s="170"/>
      <c r="J418" s="159"/>
      <c r="K418" s="17"/>
      <c r="L418" s="2"/>
      <c r="M418" s="2"/>
      <c r="N418" s="63"/>
      <c r="O418" s="2"/>
      <c r="P418" s="2"/>
      <c r="Q418" s="2"/>
      <c r="S418" s="124"/>
      <c r="T418" s="124"/>
      <c r="U418" s="124"/>
    </row>
    <row r="419" spans="1:24">
      <c r="A419" s="22"/>
      <c r="B419" s="16"/>
      <c r="C419" s="16"/>
      <c r="D419" s="160"/>
      <c r="E419" s="16"/>
      <c r="F419" s="160"/>
      <c r="G419" s="16"/>
      <c r="H419" s="107"/>
      <c r="I419" s="171"/>
      <c r="J419" s="160"/>
      <c r="K419" s="17"/>
      <c r="L419" s="2"/>
      <c r="M419" s="2"/>
      <c r="N419" s="63"/>
      <c r="O419" s="2"/>
      <c r="P419" s="2"/>
      <c r="Q419" s="2"/>
      <c r="S419" s="124"/>
      <c r="T419" s="124"/>
      <c r="U419" s="124"/>
    </row>
    <row r="420" spans="1:24">
      <c r="A420" s="204" t="s">
        <v>498</v>
      </c>
      <c r="B420" s="192"/>
      <c r="C420" s="192"/>
      <c r="D420" s="192"/>
      <c r="E420" s="192"/>
      <c r="F420" s="192"/>
      <c r="G420" s="192"/>
      <c r="H420" s="192"/>
      <c r="I420" s="192"/>
      <c r="J420" s="192"/>
      <c r="K420" s="192"/>
      <c r="L420" s="192"/>
      <c r="M420" s="192"/>
      <c r="N420" s="193"/>
      <c r="O420" s="1"/>
      <c r="P420" s="1"/>
      <c r="Q420" s="1"/>
    </row>
    <row r="421" spans="1:24">
      <c r="A421" s="191" t="s">
        <v>565</v>
      </c>
      <c r="B421" s="192"/>
      <c r="C421" s="192"/>
      <c r="D421" s="192"/>
      <c r="E421" s="192"/>
      <c r="F421" s="192"/>
      <c r="G421" s="192"/>
      <c r="H421" s="192"/>
      <c r="I421" s="192"/>
      <c r="J421" s="192"/>
      <c r="K421" s="192"/>
      <c r="L421" s="192"/>
      <c r="M421" s="192"/>
      <c r="N421" s="193"/>
      <c r="O421" s="1"/>
      <c r="P421" s="1"/>
      <c r="Q421" s="1"/>
    </row>
    <row r="422" spans="1:24" ht="25.5" customHeight="1">
      <c r="A422" s="191" t="s">
        <v>642</v>
      </c>
      <c r="B422" s="192"/>
      <c r="C422" s="192"/>
      <c r="D422" s="192"/>
      <c r="E422" s="192"/>
      <c r="F422" s="192"/>
      <c r="G422" s="192"/>
      <c r="H422" s="192"/>
      <c r="I422" s="192"/>
      <c r="J422" s="192"/>
      <c r="K422" s="192"/>
      <c r="L422" s="192"/>
      <c r="M422" s="192"/>
      <c r="N422" s="193"/>
      <c r="O422" s="1"/>
      <c r="P422" s="1"/>
      <c r="Q422" s="1"/>
    </row>
    <row r="423" spans="1:24" ht="12.75" customHeight="1">
      <c r="A423" s="191" t="s">
        <v>643</v>
      </c>
      <c r="B423" s="192"/>
      <c r="C423" s="192"/>
      <c r="D423" s="192"/>
      <c r="E423" s="192"/>
      <c r="F423" s="192"/>
      <c r="G423" s="192"/>
      <c r="H423" s="192"/>
      <c r="I423" s="192"/>
      <c r="J423" s="192"/>
      <c r="K423" s="192"/>
      <c r="L423" s="192"/>
      <c r="M423" s="192"/>
      <c r="N423" s="193"/>
      <c r="O423" s="1"/>
      <c r="P423" s="1"/>
      <c r="Q423" s="1"/>
    </row>
    <row r="424" spans="1:24" ht="25.5" customHeight="1">
      <c r="A424" s="191" t="s">
        <v>644</v>
      </c>
      <c r="B424" s="192"/>
      <c r="C424" s="192"/>
      <c r="D424" s="192"/>
      <c r="E424" s="192"/>
      <c r="F424" s="192"/>
      <c r="G424" s="192"/>
      <c r="H424" s="192"/>
      <c r="I424" s="192"/>
      <c r="J424" s="192"/>
      <c r="K424" s="192"/>
      <c r="L424" s="192"/>
      <c r="M424" s="192"/>
      <c r="N424" s="193"/>
      <c r="O424" s="1"/>
      <c r="P424" s="1"/>
      <c r="Q424" s="1"/>
    </row>
    <row r="425" spans="1:24">
      <c r="A425" s="194"/>
      <c r="B425" s="192"/>
      <c r="C425" s="192"/>
      <c r="D425" s="192"/>
      <c r="E425" s="192"/>
      <c r="F425" s="192"/>
      <c r="G425" s="192"/>
      <c r="H425" s="192"/>
      <c r="I425" s="192"/>
      <c r="J425" s="192"/>
      <c r="K425" s="192"/>
      <c r="L425" s="192"/>
      <c r="M425" s="192"/>
      <c r="N425" s="193"/>
      <c r="O425" s="1"/>
      <c r="P425" s="1"/>
      <c r="Q425" s="1"/>
    </row>
    <row r="426" spans="1:24">
      <c r="A426" s="191" t="s">
        <v>579</v>
      </c>
      <c r="B426" s="192"/>
      <c r="C426" s="192"/>
      <c r="D426" s="192"/>
      <c r="E426" s="192"/>
      <c r="F426" s="192"/>
      <c r="G426" s="192"/>
      <c r="H426" s="192"/>
      <c r="I426" s="192"/>
      <c r="J426" s="192"/>
      <c r="K426" s="192"/>
      <c r="L426" s="192"/>
      <c r="M426" s="192"/>
      <c r="N426" s="193"/>
      <c r="O426" s="1"/>
      <c r="P426" s="1"/>
      <c r="Q426" s="1"/>
    </row>
    <row r="427" spans="1:24" ht="25.5" customHeight="1">
      <c r="A427" s="191" t="s">
        <v>637</v>
      </c>
      <c r="B427" s="195"/>
      <c r="C427" s="195"/>
      <c r="D427" s="195"/>
      <c r="E427" s="195"/>
      <c r="F427" s="195"/>
      <c r="G427" s="195"/>
      <c r="H427" s="195"/>
      <c r="I427" s="195"/>
      <c r="J427" s="195"/>
      <c r="K427" s="195"/>
      <c r="L427" s="195"/>
      <c r="M427" s="195"/>
      <c r="N427" s="196"/>
      <c r="O427" s="1"/>
      <c r="P427" s="1"/>
      <c r="Q427" s="1"/>
    </row>
    <row r="428" spans="1:24" ht="15" customHeight="1" thickBot="1">
      <c r="A428" s="188" t="s">
        <v>631</v>
      </c>
      <c r="B428" s="189"/>
      <c r="C428" s="189"/>
      <c r="D428" s="189"/>
      <c r="E428" s="189"/>
      <c r="F428" s="189"/>
      <c r="G428" s="189"/>
      <c r="H428" s="189"/>
      <c r="I428" s="189"/>
      <c r="J428" s="189"/>
      <c r="K428" s="189"/>
      <c r="L428" s="189"/>
      <c r="M428" s="189"/>
      <c r="N428" s="190"/>
      <c r="O428" s="1"/>
      <c r="P428" s="1"/>
      <c r="Q428" s="1"/>
    </row>
    <row r="429" spans="1:24">
      <c r="A429" s="4"/>
      <c r="B429" s="1"/>
      <c r="C429" s="1"/>
      <c r="D429" s="161"/>
      <c r="E429" s="1"/>
      <c r="F429" s="161"/>
      <c r="G429" s="1"/>
      <c r="H429" s="1"/>
      <c r="I429" s="172"/>
      <c r="J429" s="172"/>
      <c r="K429" s="3"/>
      <c r="L429" s="1"/>
      <c r="M429" s="1"/>
      <c r="N429" s="1"/>
      <c r="O429" s="1"/>
      <c r="P429" s="1"/>
      <c r="Q429" s="1"/>
    </row>
    <row r="430" spans="1:24">
      <c r="A430" s="4"/>
      <c r="B430" s="1"/>
      <c r="C430" s="1"/>
      <c r="D430" s="161"/>
      <c r="E430" s="1"/>
      <c r="F430" s="161"/>
      <c r="G430" s="1"/>
      <c r="H430" s="1"/>
      <c r="I430" s="172"/>
      <c r="J430" s="172"/>
      <c r="K430" s="3"/>
      <c r="L430" s="1"/>
      <c r="M430" s="1"/>
      <c r="N430" s="1"/>
      <c r="O430" s="1"/>
      <c r="P430" s="1"/>
      <c r="Q430" s="1"/>
    </row>
    <row r="431" spans="1:24">
      <c r="A431" s="2"/>
      <c r="B431" s="2"/>
      <c r="C431" s="2"/>
      <c r="D431" s="162"/>
      <c r="E431" s="2"/>
      <c r="F431" s="162"/>
      <c r="G431" s="2"/>
      <c r="H431" s="2"/>
      <c r="I431" s="162"/>
      <c r="J431" s="162"/>
      <c r="K431" s="2"/>
      <c r="L431" s="2"/>
      <c r="M431" s="2"/>
      <c r="N431" s="2"/>
      <c r="O431" s="2"/>
      <c r="P431" s="2"/>
      <c r="Q431" s="2"/>
    </row>
  </sheetData>
  <mergeCells count="13">
    <mergeCell ref="A428:N428"/>
    <mergeCell ref="A1:N1"/>
    <mergeCell ref="D2:G2"/>
    <mergeCell ref="L2:N2"/>
    <mergeCell ref="S2:U2"/>
    <mergeCell ref="A420:N420"/>
    <mergeCell ref="A421:N421"/>
    <mergeCell ref="A423:N423"/>
    <mergeCell ref="A424:N424"/>
    <mergeCell ref="A425:N425"/>
    <mergeCell ref="A426:N426"/>
    <mergeCell ref="A427:N427"/>
    <mergeCell ref="A422:N422"/>
  </mergeCells>
  <printOptions horizontalCentered="1"/>
  <pageMargins left="0.5" right="0.5" top="0.5" bottom="0.5" header="0.3" footer="0.3"/>
  <pageSetup paperSize="5" scale="80" fitToHeight="0" orientation="landscape" horizontalDpi="200" verticalDpi="200" r:id="rId1"/>
  <headerFooter>
    <oddFooter>&amp;LOffice of Economic and Demographic Research&amp;CPage &amp;P of &amp;N&amp;RJanuary 24, 2023</oddFooter>
  </headerFooter>
  <ignoredErrors>
    <ignoredError sqref="E417 K41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431"/>
  <sheetViews>
    <sheetView workbookViewId="0">
      <selection sqref="A1:N1"/>
    </sheetView>
  </sheetViews>
  <sheetFormatPr defaultRowHeight="12.75"/>
  <cols>
    <col min="1" max="1" width="25.7109375" customWidth="1"/>
    <col min="2" max="2" width="16.7109375" customWidth="1"/>
    <col min="3" max="3" width="11.7109375" customWidth="1"/>
    <col min="4" max="4" width="19.7109375" style="163" customWidth="1"/>
    <col min="5" max="5" width="13.7109375" customWidth="1"/>
    <col min="6" max="6" width="19.7109375" style="163" customWidth="1"/>
    <col min="7" max="7" width="13.7109375" customWidth="1"/>
    <col min="8" max="8" width="1.7109375" customWidth="1"/>
    <col min="9" max="9" width="10.7109375" style="163" customWidth="1"/>
    <col min="10" max="10" width="15.7109375" style="163" customWidth="1"/>
    <col min="11" max="11" width="13.7109375" customWidth="1"/>
    <col min="12" max="12" width="16.7109375" customWidth="1"/>
    <col min="13" max="13" width="15.7109375" customWidth="1"/>
    <col min="14" max="14" width="14.7109375" customWidth="1"/>
    <col min="15" max="15" width="2.7109375" customWidth="1"/>
    <col min="16" max="16" width="4.5703125" customWidth="1"/>
    <col min="17" max="17" width="11.7109375" customWidth="1"/>
    <col min="19" max="20" width="17.7109375" customWidth="1"/>
    <col min="21" max="21" width="16.7109375" customWidth="1"/>
    <col min="23" max="23" width="15.7109375" customWidth="1"/>
  </cols>
  <sheetData>
    <row r="1" spans="1:24" ht="26.25">
      <c r="A1" s="197" t="s">
        <v>624</v>
      </c>
      <c r="B1" s="198"/>
      <c r="C1" s="198"/>
      <c r="D1" s="198"/>
      <c r="E1" s="198"/>
      <c r="F1" s="198"/>
      <c r="G1" s="198"/>
      <c r="H1" s="198"/>
      <c r="I1" s="198"/>
      <c r="J1" s="198"/>
      <c r="K1" s="198"/>
      <c r="L1" s="198"/>
      <c r="M1" s="198"/>
      <c r="N1" s="199"/>
    </row>
    <row r="2" spans="1:24" ht="18">
      <c r="A2" s="41"/>
      <c r="B2" s="42"/>
      <c r="C2" s="164"/>
      <c r="D2" s="200" t="s">
        <v>562</v>
      </c>
      <c r="E2" s="201"/>
      <c r="F2" s="201"/>
      <c r="G2" s="202"/>
      <c r="H2" s="44"/>
      <c r="I2" s="176" t="s">
        <v>456</v>
      </c>
      <c r="J2" s="177"/>
      <c r="K2" s="68"/>
      <c r="L2" s="201" t="s">
        <v>503</v>
      </c>
      <c r="M2" s="201"/>
      <c r="N2" s="203"/>
      <c r="S2" s="200" t="s">
        <v>591</v>
      </c>
      <c r="T2" s="201"/>
      <c r="U2" s="202"/>
    </row>
    <row r="3" spans="1:24" ht="12.75" customHeight="1">
      <c r="A3" s="46"/>
      <c r="B3" s="47"/>
      <c r="C3" s="48">
        <v>2020</v>
      </c>
      <c r="D3" s="165"/>
      <c r="E3" s="50" t="s">
        <v>1</v>
      </c>
      <c r="F3" s="173"/>
      <c r="G3" s="50" t="s">
        <v>1</v>
      </c>
      <c r="H3" s="52"/>
      <c r="I3" s="178"/>
      <c r="J3" s="179"/>
      <c r="K3" s="67" t="s">
        <v>1</v>
      </c>
      <c r="L3" s="66" t="s">
        <v>455</v>
      </c>
      <c r="M3" s="50" t="s">
        <v>455</v>
      </c>
      <c r="N3" s="59" t="s">
        <v>1</v>
      </c>
      <c r="S3" s="51"/>
      <c r="T3" s="51"/>
      <c r="U3" s="54"/>
    </row>
    <row r="4" spans="1:24">
      <c r="A4" s="46"/>
      <c r="B4" s="47"/>
      <c r="C4" s="48" t="s">
        <v>3</v>
      </c>
      <c r="D4" s="165" t="s">
        <v>563</v>
      </c>
      <c r="E4" s="56" t="s">
        <v>563</v>
      </c>
      <c r="F4" s="174" t="s">
        <v>2</v>
      </c>
      <c r="G4" s="56" t="s">
        <v>2</v>
      </c>
      <c r="H4" s="52"/>
      <c r="I4" s="180" t="s">
        <v>4</v>
      </c>
      <c r="J4" s="181" t="s">
        <v>455</v>
      </c>
      <c r="K4" s="69" t="s">
        <v>455</v>
      </c>
      <c r="L4" s="67" t="s">
        <v>454</v>
      </c>
      <c r="M4" s="82" t="s">
        <v>495</v>
      </c>
      <c r="N4" s="55" t="s">
        <v>495</v>
      </c>
      <c r="S4" s="48" t="s">
        <v>563</v>
      </c>
      <c r="T4" s="56" t="s">
        <v>2</v>
      </c>
      <c r="U4" s="58" t="s">
        <v>455</v>
      </c>
    </row>
    <row r="5" spans="1:24">
      <c r="A5" s="85" t="s">
        <v>5</v>
      </c>
      <c r="B5" s="86" t="s">
        <v>6</v>
      </c>
      <c r="C5" s="58" t="s">
        <v>574</v>
      </c>
      <c r="D5" s="166" t="s">
        <v>7</v>
      </c>
      <c r="E5" s="89" t="s">
        <v>7</v>
      </c>
      <c r="F5" s="175" t="s">
        <v>7</v>
      </c>
      <c r="G5" s="89" t="s">
        <v>7</v>
      </c>
      <c r="H5" s="91"/>
      <c r="I5" s="182" t="s">
        <v>587</v>
      </c>
      <c r="J5" s="175" t="s">
        <v>454</v>
      </c>
      <c r="K5" s="90" t="s">
        <v>454</v>
      </c>
      <c r="L5" s="93" t="s">
        <v>502</v>
      </c>
      <c r="M5" s="94" t="s">
        <v>496</v>
      </c>
      <c r="N5" s="95" t="s">
        <v>496</v>
      </c>
      <c r="O5" s="19"/>
      <c r="P5" s="19"/>
      <c r="Q5" s="19"/>
      <c r="S5" s="87" t="s">
        <v>7</v>
      </c>
      <c r="T5" s="90" t="s">
        <v>7</v>
      </c>
      <c r="U5" s="90" t="s">
        <v>454</v>
      </c>
    </row>
    <row r="6" spans="1:24">
      <c r="A6" s="22" t="s">
        <v>8</v>
      </c>
      <c r="B6" s="33" t="s">
        <v>8</v>
      </c>
      <c r="C6" s="97">
        <v>10574</v>
      </c>
      <c r="D6" s="141">
        <v>1431306692</v>
      </c>
      <c r="E6" s="38">
        <f t="shared" ref="E6:E14" si="0">(D6/C6)</f>
        <v>135360.95063362966</v>
      </c>
      <c r="F6" s="141">
        <v>903538472</v>
      </c>
      <c r="G6" s="39">
        <f t="shared" ref="G6:G14" si="1">(F6/C6)</f>
        <v>85449.070550406657</v>
      </c>
      <c r="H6" s="15"/>
      <c r="I6" s="145">
        <v>5.39</v>
      </c>
      <c r="J6" s="146">
        <v>4870072.3640799997</v>
      </c>
      <c r="K6" s="84">
        <f t="shared" ref="K6:K14" si="2">(J6/C6)</f>
        <v>460.57049026669188</v>
      </c>
      <c r="L6" s="65">
        <f t="shared" ref="L6:L69" si="3">(F6*0.01)</f>
        <v>9035384.7200000007</v>
      </c>
      <c r="M6" s="83">
        <f t="shared" ref="M6:M69" si="4">(L6-J6)</f>
        <v>4165312.3559200009</v>
      </c>
      <c r="N6" s="62">
        <f t="shared" ref="N6:N69" si="5">(M6/C6)</f>
        <v>393.9202152373748</v>
      </c>
      <c r="O6" s="5"/>
      <c r="P6" s="5">
        <f t="shared" ref="P6:P69" si="6">IF(I6&gt;0,1,0)</f>
        <v>1</v>
      </c>
      <c r="Q6" s="7">
        <f t="shared" ref="Q6:Q69" si="7">IF(I6&gt;0,C6,0)</f>
        <v>10574</v>
      </c>
      <c r="S6" s="124"/>
      <c r="W6" s="124">
        <f>F6*(I6/1000)</f>
        <v>4870072.3640799997</v>
      </c>
      <c r="X6">
        <f>IF(W6=J6,0,1)</f>
        <v>0</v>
      </c>
    </row>
    <row r="7" spans="1:24">
      <c r="A7" s="23" t="s">
        <v>9</v>
      </c>
      <c r="B7" s="35" t="s">
        <v>8</v>
      </c>
      <c r="C7" s="97">
        <v>1140</v>
      </c>
      <c r="D7" s="132">
        <v>80087205</v>
      </c>
      <c r="E7" s="116">
        <f t="shared" si="0"/>
        <v>70251.93421052632</v>
      </c>
      <c r="F7" s="132">
        <v>43122449</v>
      </c>
      <c r="G7" s="117">
        <f t="shared" si="1"/>
        <v>37826.709649122808</v>
      </c>
      <c r="H7" s="7"/>
      <c r="I7" s="136">
        <v>5.5175999999999998</v>
      </c>
      <c r="J7" s="134">
        <v>237932.42460240002</v>
      </c>
      <c r="K7" s="120">
        <f t="shared" si="2"/>
        <v>208.71265316</v>
      </c>
      <c r="L7" s="122">
        <f t="shared" si="3"/>
        <v>431224.49</v>
      </c>
      <c r="M7" s="116">
        <f t="shared" si="4"/>
        <v>193292.06539759997</v>
      </c>
      <c r="N7" s="123">
        <f t="shared" si="5"/>
        <v>169.55444333122804</v>
      </c>
      <c r="O7" s="5"/>
      <c r="P7" s="5">
        <f t="shared" si="6"/>
        <v>1</v>
      </c>
      <c r="Q7" s="7">
        <f t="shared" si="7"/>
        <v>1140</v>
      </c>
      <c r="S7" s="124"/>
      <c r="W7" s="124">
        <f t="shared" ref="W7:W70" si="8">F7*(I7/1000)</f>
        <v>237932.42460240002</v>
      </c>
      <c r="X7">
        <f t="shared" ref="X7:X70" si="9">IF(W7=J7,0,1)</f>
        <v>0</v>
      </c>
    </row>
    <row r="8" spans="1:24">
      <c r="A8" s="23" t="s">
        <v>10</v>
      </c>
      <c r="B8" s="35" t="s">
        <v>8</v>
      </c>
      <c r="C8" s="97">
        <v>141085</v>
      </c>
      <c r="D8" s="132">
        <v>17027492366</v>
      </c>
      <c r="E8" s="116">
        <f t="shared" si="0"/>
        <v>120689.60106318886</v>
      </c>
      <c r="F8" s="132">
        <v>7625508779</v>
      </c>
      <c r="G8" s="117">
        <f t="shared" si="1"/>
        <v>54049.039791614981</v>
      </c>
      <c r="H8" s="7"/>
      <c r="I8" s="136">
        <v>5.2973999999999997</v>
      </c>
      <c r="J8" s="134">
        <v>40395370.205874592</v>
      </c>
      <c r="K8" s="120">
        <f t="shared" si="2"/>
        <v>286.31938339210114</v>
      </c>
      <c r="L8" s="122">
        <f t="shared" si="3"/>
        <v>76255087.790000007</v>
      </c>
      <c r="M8" s="116">
        <f t="shared" si="4"/>
        <v>35859717.584125414</v>
      </c>
      <c r="N8" s="123">
        <f t="shared" si="5"/>
        <v>254.17101452404873</v>
      </c>
      <c r="O8" s="5"/>
      <c r="P8" s="5">
        <f t="shared" si="6"/>
        <v>1</v>
      </c>
      <c r="Q8" s="7">
        <f t="shared" si="7"/>
        <v>141085</v>
      </c>
      <c r="S8" s="124"/>
      <c r="W8" s="124">
        <f t="shared" si="8"/>
        <v>40395370.2058746</v>
      </c>
      <c r="X8">
        <f t="shared" si="9"/>
        <v>0</v>
      </c>
    </row>
    <row r="9" spans="1:24">
      <c r="A9" s="23" t="s">
        <v>11</v>
      </c>
      <c r="B9" s="35" t="s">
        <v>8</v>
      </c>
      <c r="C9" s="97">
        <v>1478</v>
      </c>
      <c r="D9" s="132">
        <v>116655468</v>
      </c>
      <c r="E9" s="116">
        <f t="shared" si="0"/>
        <v>78927.921515561568</v>
      </c>
      <c r="F9" s="134">
        <v>50984433</v>
      </c>
      <c r="G9" s="117">
        <f t="shared" si="1"/>
        <v>34495.556833558861</v>
      </c>
      <c r="H9" s="7"/>
      <c r="I9" s="136">
        <v>5.3193999999999999</v>
      </c>
      <c r="J9" s="134">
        <v>271206.59290019999</v>
      </c>
      <c r="K9" s="120">
        <f t="shared" si="2"/>
        <v>183.49566502043302</v>
      </c>
      <c r="L9" s="122">
        <f t="shared" si="3"/>
        <v>509844.33</v>
      </c>
      <c r="M9" s="116">
        <f t="shared" si="4"/>
        <v>238637.73709980003</v>
      </c>
      <c r="N9" s="123">
        <f t="shared" si="5"/>
        <v>161.45990331515563</v>
      </c>
      <c r="O9" s="5"/>
      <c r="P9" s="5">
        <f t="shared" si="6"/>
        <v>1</v>
      </c>
      <c r="Q9" s="7">
        <f t="shared" si="7"/>
        <v>1478</v>
      </c>
      <c r="S9" s="124"/>
      <c r="W9" s="124">
        <f t="shared" si="8"/>
        <v>271206.59290019999</v>
      </c>
      <c r="X9">
        <f t="shared" si="9"/>
        <v>0</v>
      </c>
    </row>
    <row r="10" spans="1:24">
      <c r="A10" s="23" t="s">
        <v>12</v>
      </c>
      <c r="B10" s="35" t="s">
        <v>8</v>
      </c>
      <c r="C10" s="97">
        <v>6215</v>
      </c>
      <c r="D10" s="132">
        <v>535179719</v>
      </c>
      <c r="E10" s="116">
        <f t="shared" si="0"/>
        <v>86110.976508447304</v>
      </c>
      <c r="F10" s="134">
        <v>316858662</v>
      </c>
      <c r="G10" s="117">
        <f t="shared" si="1"/>
        <v>50982.890104585676</v>
      </c>
      <c r="H10" s="7"/>
      <c r="I10" s="136">
        <v>5.88</v>
      </c>
      <c r="J10" s="134">
        <v>1863128.9325599999</v>
      </c>
      <c r="K10" s="120">
        <f t="shared" si="2"/>
        <v>299.77939381496378</v>
      </c>
      <c r="L10" s="122">
        <f t="shared" si="3"/>
        <v>3168586.62</v>
      </c>
      <c r="M10" s="116">
        <f t="shared" si="4"/>
        <v>1305457.6874400002</v>
      </c>
      <c r="N10" s="123">
        <f t="shared" si="5"/>
        <v>210.04950723089303</v>
      </c>
      <c r="O10" s="5"/>
      <c r="P10" s="5">
        <f t="shared" si="6"/>
        <v>1</v>
      </c>
      <c r="Q10" s="7">
        <f t="shared" si="7"/>
        <v>6215</v>
      </c>
      <c r="S10" s="124"/>
      <c r="W10" s="124">
        <f t="shared" si="8"/>
        <v>1863128.9325599999</v>
      </c>
      <c r="X10">
        <f t="shared" si="9"/>
        <v>0</v>
      </c>
    </row>
    <row r="11" spans="1:24">
      <c r="A11" s="23" t="s">
        <v>559</v>
      </c>
      <c r="B11" s="35" t="s">
        <v>8</v>
      </c>
      <c r="C11" s="97">
        <v>316</v>
      </c>
      <c r="D11" s="132">
        <v>22269944</v>
      </c>
      <c r="E11" s="116">
        <f t="shared" si="0"/>
        <v>70474.506329113923</v>
      </c>
      <c r="F11" s="134">
        <v>11129389</v>
      </c>
      <c r="G11" s="117">
        <f t="shared" si="1"/>
        <v>35219.585443037977</v>
      </c>
      <c r="H11" s="7"/>
      <c r="I11" s="136">
        <v>6.6246999999999998</v>
      </c>
      <c r="J11" s="134">
        <v>73728.863308300002</v>
      </c>
      <c r="K11" s="120">
        <f t="shared" si="2"/>
        <v>233.31918768449367</v>
      </c>
      <c r="L11" s="122">
        <f t="shared" si="3"/>
        <v>111293.89</v>
      </c>
      <c r="M11" s="116">
        <f t="shared" si="4"/>
        <v>37565.026691699997</v>
      </c>
      <c r="N11" s="123">
        <f t="shared" si="5"/>
        <v>118.87666674588607</v>
      </c>
      <c r="O11" s="5"/>
      <c r="P11" s="5">
        <f t="shared" si="6"/>
        <v>1</v>
      </c>
      <c r="Q11" s="7">
        <f t="shared" si="7"/>
        <v>316</v>
      </c>
      <c r="S11" s="124"/>
      <c r="W11" s="124">
        <f t="shared" si="8"/>
        <v>73728.863308300002</v>
      </c>
      <c r="X11">
        <f t="shared" si="9"/>
        <v>0</v>
      </c>
    </row>
    <row r="12" spans="1:24">
      <c r="A12" s="23" t="s">
        <v>13</v>
      </c>
      <c r="B12" s="35" t="s">
        <v>8</v>
      </c>
      <c r="C12" s="97">
        <v>648</v>
      </c>
      <c r="D12" s="132">
        <v>55399481</v>
      </c>
      <c r="E12" s="116">
        <f t="shared" si="0"/>
        <v>85493.026234567908</v>
      </c>
      <c r="F12" s="134">
        <v>35333624</v>
      </c>
      <c r="G12" s="117">
        <f t="shared" si="1"/>
        <v>54527.1975308642</v>
      </c>
      <c r="H12" s="7"/>
      <c r="I12" s="136">
        <v>5.5259999999999998</v>
      </c>
      <c r="J12" s="134">
        <v>195253.60622400002</v>
      </c>
      <c r="K12" s="120">
        <f t="shared" si="2"/>
        <v>301.31729355555558</v>
      </c>
      <c r="L12" s="122">
        <f t="shared" si="3"/>
        <v>353336.24</v>
      </c>
      <c r="M12" s="116">
        <f t="shared" si="4"/>
        <v>158082.63377599997</v>
      </c>
      <c r="N12" s="123">
        <f t="shared" si="5"/>
        <v>243.95468175308639</v>
      </c>
      <c r="O12" s="5"/>
      <c r="P12" s="5">
        <f t="shared" si="6"/>
        <v>1</v>
      </c>
      <c r="Q12" s="7">
        <f t="shared" si="7"/>
        <v>648</v>
      </c>
      <c r="S12" s="124"/>
      <c r="W12" s="124">
        <f t="shared" si="8"/>
        <v>195253.60622399999</v>
      </c>
      <c r="X12">
        <f t="shared" si="9"/>
        <v>0</v>
      </c>
    </row>
    <row r="13" spans="1:24">
      <c r="A13" s="23" t="s">
        <v>14</v>
      </c>
      <c r="B13" s="35" t="s">
        <v>8</v>
      </c>
      <c r="C13" s="97">
        <v>7342</v>
      </c>
      <c r="D13" s="132">
        <v>880625378</v>
      </c>
      <c r="E13" s="116">
        <f t="shared" si="0"/>
        <v>119943.52737673659</v>
      </c>
      <c r="F13" s="134">
        <v>492929695</v>
      </c>
      <c r="G13" s="117">
        <f t="shared" si="1"/>
        <v>67138.340370471255</v>
      </c>
      <c r="H13" s="7"/>
      <c r="I13" s="136">
        <v>5.9999000000000002</v>
      </c>
      <c r="J13" s="134">
        <v>2957528.8770304997</v>
      </c>
      <c r="K13" s="120">
        <f t="shared" si="2"/>
        <v>402.82332838879046</v>
      </c>
      <c r="L13" s="122">
        <f t="shared" si="3"/>
        <v>4929296.95</v>
      </c>
      <c r="M13" s="116">
        <f t="shared" si="4"/>
        <v>1971768.0729695004</v>
      </c>
      <c r="N13" s="123">
        <f t="shared" si="5"/>
        <v>268.56007531592218</v>
      </c>
      <c r="O13" s="5"/>
      <c r="P13" s="5">
        <f t="shared" si="6"/>
        <v>1</v>
      </c>
      <c r="Q13" s="7">
        <f t="shared" si="7"/>
        <v>7342</v>
      </c>
      <c r="S13" s="124"/>
      <c r="W13" s="124">
        <f t="shared" si="8"/>
        <v>2957528.8770304997</v>
      </c>
      <c r="X13">
        <f t="shared" si="9"/>
        <v>0</v>
      </c>
    </row>
    <row r="14" spans="1:24">
      <c r="A14" s="23" t="s">
        <v>15</v>
      </c>
      <c r="B14" s="35" t="s">
        <v>8</v>
      </c>
      <c r="C14" s="97">
        <v>846</v>
      </c>
      <c r="D14" s="132">
        <v>47852766</v>
      </c>
      <c r="E14" s="116">
        <f t="shared" si="0"/>
        <v>56563.553191489358</v>
      </c>
      <c r="F14" s="134">
        <v>28503467</v>
      </c>
      <c r="G14" s="117">
        <f t="shared" si="1"/>
        <v>33692.04137115839</v>
      </c>
      <c r="H14" s="7"/>
      <c r="I14" s="136">
        <v>7.5179999999999998</v>
      </c>
      <c r="J14" s="134">
        <v>214289.06490599999</v>
      </c>
      <c r="K14" s="120">
        <f t="shared" si="2"/>
        <v>253.29676702836878</v>
      </c>
      <c r="L14" s="122">
        <f t="shared" si="3"/>
        <v>285034.67</v>
      </c>
      <c r="M14" s="116">
        <f t="shared" si="4"/>
        <v>70745.605093999999</v>
      </c>
      <c r="N14" s="123">
        <f t="shared" si="5"/>
        <v>83.623646683215128</v>
      </c>
      <c r="O14" s="5"/>
      <c r="P14" s="5">
        <f t="shared" si="6"/>
        <v>1</v>
      </c>
      <c r="Q14" s="7">
        <f t="shared" si="7"/>
        <v>846</v>
      </c>
      <c r="S14" s="124">
        <f>SUM(D6:D14)</f>
        <v>20196869019</v>
      </c>
      <c r="T14" s="184">
        <f>SUM(F6:F14)</f>
        <v>9507908970</v>
      </c>
      <c r="U14" s="184">
        <f>SUM(J6:J14)</f>
        <v>51078510.931485996</v>
      </c>
      <c r="W14" s="124">
        <f t="shared" si="8"/>
        <v>214289.06490599999</v>
      </c>
      <c r="X14">
        <f t="shared" si="9"/>
        <v>0</v>
      </c>
    </row>
    <row r="15" spans="1:24">
      <c r="A15" s="24" t="s">
        <v>544</v>
      </c>
      <c r="B15" s="35" t="s">
        <v>16</v>
      </c>
      <c r="C15" s="125">
        <v>463</v>
      </c>
      <c r="D15" s="147" t="s">
        <v>564</v>
      </c>
      <c r="E15" s="116"/>
      <c r="F15" s="134"/>
      <c r="G15" s="117"/>
      <c r="H15" s="98" t="s">
        <v>588</v>
      </c>
      <c r="I15" s="136"/>
      <c r="J15" s="134"/>
      <c r="K15" s="120"/>
      <c r="L15" s="122">
        <f t="shared" si="3"/>
        <v>0</v>
      </c>
      <c r="M15" s="116">
        <f t="shared" si="4"/>
        <v>0</v>
      </c>
      <c r="N15" s="123">
        <f t="shared" si="5"/>
        <v>0</v>
      </c>
      <c r="O15" s="5"/>
      <c r="P15" s="5">
        <f t="shared" si="6"/>
        <v>0</v>
      </c>
      <c r="Q15" s="7">
        <f t="shared" si="7"/>
        <v>0</v>
      </c>
      <c r="W15" s="124">
        <f t="shared" si="8"/>
        <v>0</v>
      </c>
      <c r="X15">
        <f t="shared" si="9"/>
        <v>0</v>
      </c>
    </row>
    <row r="16" spans="1:24">
      <c r="A16" s="23" t="s">
        <v>17</v>
      </c>
      <c r="B16" s="35" t="s">
        <v>16</v>
      </c>
      <c r="C16" s="125">
        <v>7304</v>
      </c>
      <c r="D16" s="132">
        <v>501015349</v>
      </c>
      <c r="E16" s="116">
        <f>(D16/C16)</f>
        <v>68594.653477546555</v>
      </c>
      <c r="F16" s="134">
        <v>290317706</v>
      </c>
      <c r="G16" s="117">
        <f>(F16/C16)</f>
        <v>39747.769167579412</v>
      </c>
      <c r="H16" s="7"/>
      <c r="I16" s="136">
        <v>3.6</v>
      </c>
      <c r="J16" s="134">
        <v>1045143.7416000001</v>
      </c>
      <c r="K16" s="120">
        <f>(J16/C16)</f>
        <v>143.09196900328587</v>
      </c>
      <c r="L16" s="122">
        <f t="shared" si="3"/>
        <v>2903177.06</v>
      </c>
      <c r="M16" s="116">
        <f t="shared" si="4"/>
        <v>1858033.3184</v>
      </c>
      <c r="N16" s="123">
        <f t="shared" si="5"/>
        <v>254.38572267250822</v>
      </c>
      <c r="O16" s="5"/>
      <c r="P16" s="5">
        <f t="shared" si="6"/>
        <v>1</v>
      </c>
      <c r="Q16" s="7">
        <f t="shared" si="7"/>
        <v>7304</v>
      </c>
      <c r="S16" s="124">
        <f>SUM(D15:D16)</f>
        <v>501015349</v>
      </c>
      <c r="T16" s="124">
        <f>SUM(F15:F16)</f>
        <v>290317706</v>
      </c>
      <c r="U16" s="124">
        <f>SUM(J15:J16)</f>
        <v>1045143.7416000001</v>
      </c>
      <c r="W16" s="124">
        <f t="shared" si="8"/>
        <v>1045143.7416</v>
      </c>
      <c r="X16">
        <f t="shared" si="9"/>
        <v>0</v>
      </c>
    </row>
    <row r="17" spans="1:24">
      <c r="A17" s="23" t="s">
        <v>18</v>
      </c>
      <c r="B17" s="35" t="s">
        <v>19</v>
      </c>
      <c r="C17" s="125">
        <v>13045</v>
      </c>
      <c r="D17" s="132">
        <v>692831266</v>
      </c>
      <c r="E17" s="116">
        <f>(D17/C17)</f>
        <v>53110.867458796471</v>
      </c>
      <c r="F17" s="134">
        <v>487555832</v>
      </c>
      <c r="G17" s="117">
        <f>(F17/C17)</f>
        <v>37374.920045994637</v>
      </c>
      <c r="H17" s="8"/>
      <c r="I17" s="136">
        <v>2.75</v>
      </c>
      <c r="J17" s="134">
        <v>1340778.5379999999</v>
      </c>
      <c r="K17" s="120">
        <f>(J17/C17)</f>
        <v>102.78103012648523</v>
      </c>
      <c r="L17" s="122">
        <f t="shared" si="3"/>
        <v>4875558.32</v>
      </c>
      <c r="M17" s="116">
        <f t="shared" si="4"/>
        <v>3534779.7820000006</v>
      </c>
      <c r="N17" s="123">
        <f t="shared" si="5"/>
        <v>270.96817033346116</v>
      </c>
      <c r="O17" s="5"/>
      <c r="P17" s="5">
        <f t="shared" si="6"/>
        <v>1</v>
      </c>
      <c r="Q17" s="7">
        <f t="shared" si="7"/>
        <v>13045</v>
      </c>
      <c r="W17" s="124">
        <f t="shared" si="8"/>
        <v>1340778.5379999999</v>
      </c>
      <c r="X17">
        <f t="shared" si="9"/>
        <v>0</v>
      </c>
    </row>
    <row r="18" spans="1:24">
      <c r="A18" s="23" t="s">
        <v>21</v>
      </c>
      <c r="B18" s="35" t="s">
        <v>19</v>
      </c>
      <c r="C18" s="125">
        <v>18695</v>
      </c>
      <c r="D18" s="132">
        <v>1507676296</v>
      </c>
      <c r="E18" s="116">
        <f>(D18/C18)</f>
        <v>80645.96394757957</v>
      </c>
      <c r="F18" s="134">
        <v>1067284235</v>
      </c>
      <c r="G18" s="117">
        <f>(F18/C18)</f>
        <v>57089.287777480611</v>
      </c>
      <c r="H18" s="7"/>
      <c r="I18" s="136">
        <v>4.3</v>
      </c>
      <c r="J18" s="134">
        <v>4589322.2105</v>
      </c>
      <c r="K18" s="120">
        <f>(J18/C18)</f>
        <v>245.48393744316664</v>
      </c>
      <c r="L18" s="122">
        <f t="shared" si="3"/>
        <v>10672842.35</v>
      </c>
      <c r="M18" s="116">
        <f t="shared" si="4"/>
        <v>6083520.1394999996</v>
      </c>
      <c r="N18" s="123">
        <f t="shared" si="5"/>
        <v>325.40894033163943</v>
      </c>
      <c r="O18" s="5"/>
      <c r="P18" s="5">
        <f t="shared" si="6"/>
        <v>1</v>
      </c>
      <c r="Q18" s="7">
        <f t="shared" si="7"/>
        <v>18695</v>
      </c>
      <c r="W18" s="124">
        <f t="shared" si="8"/>
        <v>4589322.2105</v>
      </c>
      <c r="X18">
        <f t="shared" si="9"/>
        <v>0</v>
      </c>
    </row>
    <row r="19" spans="1:24">
      <c r="A19" s="23" t="s">
        <v>22</v>
      </c>
      <c r="B19" s="35" t="s">
        <v>19</v>
      </c>
      <c r="C19" s="125">
        <v>916</v>
      </c>
      <c r="D19" s="132">
        <v>433578784</v>
      </c>
      <c r="E19" s="116">
        <f>(D19/C19)</f>
        <v>473339.28384279477</v>
      </c>
      <c r="F19" s="134">
        <v>354318655</v>
      </c>
      <c r="G19" s="117">
        <f>(F19/C19)</f>
        <v>386810.75873362448</v>
      </c>
      <c r="H19" s="7"/>
      <c r="I19" s="150">
        <v>8</v>
      </c>
      <c r="J19" s="134">
        <v>2834549.24</v>
      </c>
      <c r="K19" s="120">
        <f>(J19/C19)</f>
        <v>3094.4860698689959</v>
      </c>
      <c r="L19" s="122">
        <f t="shared" si="3"/>
        <v>3543186.5500000003</v>
      </c>
      <c r="M19" s="116">
        <f t="shared" si="4"/>
        <v>708637.31</v>
      </c>
      <c r="N19" s="123">
        <f t="shared" si="5"/>
        <v>773.62151746724896</v>
      </c>
      <c r="O19" s="5"/>
      <c r="P19" s="5">
        <f t="shared" si="6"/>
        <v>1</v>
      </c>
      <c r="Q19" s="7">
        <f t="shared" si="7"/>
        <v>916</v>
      </c>
      <c r="W19" s="124">
        <f t="shared" si="8"/>
        <v>2834549.24</v>
      </c>
      <c r="X19">
        <f t="shared" si="9"/>
        <v>0</v>
      </c>
    </row>
    <row r="20" spans="1:24">
      <c r="A20" s="23" t="s">
        <v>23</v>
      </c>
      <c r="B20" s="35" t="s">
        <v>19</v>
      </c>
      <c r="C20" s="125">
        <v>32939</v>
      </c>
      <c r="D20" s="132">
        <v>3170175259</v>
      </c>
      <c r="E20" s="116">
        <f>(D20/C20)</f>
        <v>96243.822186465884</v>
      </c>
      <c r="F20" s="134">
        <v>2183015203</v>
      </c>
      <c r="G20" s="117">
        <f>(F20/C20)</f>
        <v>66274.48322657033</v>
      </c>
      <c r="H20" s="7"/>
      <c r="I20" s="136">
        <v>4.9999000000000002</v>
      </c>
      <c r="J20" s="134">
        <v>10914857.7134797</v>
      </c>
      <c r="K20" s="120">
        <f>(J20/C20)</f>
        <v>331.36578868452898</v>
      </c>
      <c r="L20" s="122">
        <f t="shared" si="3"/>
        <v>21830152.030000001</v>
      </c>
      <c r="M20" s="116">
        <f t="shared" si="4"/>
        <v>10915294.316520302</v>
      </c>
      <c r="N20" s="123">
        <f t="shared" si="5"/>
        <v>331.37904358117436</v>
      </c>
      <c r="O20" s="5"/>
      <c r="P20" s="5">
        <f t="shared" si="6"/>
        <v>1</v>
      </c>
      <c r="Q20" s="7">
        <f t="shared" si="7"/>
        <v>32939</v>
      </c>
      <c r="W20" s="124">
        <f t="shared" si="8"/>
        <v>10914857.7134797</v>
      </c>
      <c r="X20">
        <f t="shared" si="9"/>
        <v>0</v>
      </c>
    </row>
    <row r="21" spans="1:24">
      <c r="A21" s="23" t="s">
        <v>24</v>
      </c>
      <c r="B21" s="35" t="s">
        <v>19</v>
      </c>
      <c r="C21" s="125">
        <v>18094</v>
      </c>
      <c r="D21" s="147" t="s">
        <v>564</v>
      </c>
      <c r="E21" s="116"/>
      <c r="F21" s="134"/>
      <c r="G21" s="117"/>
      <c r="H21" s="98" t="s">
        <v>588</v>
      </c>
      <c r="I21" s="151"/>
      <c r="J21" s="134"/>
      <c r="K21" s="120"/>
      <c r="L21" s="122">
        <f t="shared" si="3"/>
        <v>0</v>
      </c>
      <c r="M21" s="116">
        <f t="shared" si="4"/>
        <v>0</v>
      </c>
      <c r="N21" s="123">
        <f t="shared" si="5"/>
        <v>0</v>
      </c>
      <c r="O21" s="5"/>
      <c r="P21" s="5">
        <f t="shared" si="6"/>
        <v>0</v>
      </c>
      <c r="Q21" s="7">
        <f t="shared" si="7"/>
        <v>0</v>
      </c>
      <c r="W21" s="124">
        <f t="shared" si="8"/>
        <v>0</v>
      </c>
      <c r="X21">
        <f t="shared" si="9"/>
        <v>0</v>
      </c>
    </row>
    <row r="22" spans="1:24">
      <c r="A22" s="23" t="s">
        <v>25</v>
      </c>
      <c r="B22" s="35" t="s">
        <v>19</v>
      </c>
      <c r="C22" s="125">
        <v>4010</v>
      </c>
      <c r="D22" s="147" t="s">
        <v>564</v>
      </c>
      <c r="E22" s="116"/>
      <c r="F22" s="134"/>
      <c r="G22" s="117"/>
      <c r="H22" s="98" t="s">
        <v>588</v>
      </c>
      <c r="I22" s="151"/>
      <c r="J22" s="134"/>
      <c r="K22" s="120"/>
      <c r="L22" s="122">
        <f t="shared" si="3"/>
        <v>0</v>
      </c>
      <c r="M22" s="116">
        <f t="shared" si="4"/>
        <v>0</v>
      </c>
      <c r="N22" s="123">
        <f t="shared" si="5"/>
        <v>0</v>
      </c>
      <c r="O22" s="5"/>
      <c r="P22" s="5">
        <f t="shared" si="6"/>
        <v>0</v>
      </c>
      <c r="Q22" s="7">
        <f t="shared" si="7"/>
        <v>0</v>
      </c>
      <c r="W22" s="124">
        <f t="shared" si="8"/>
        <v>0</v>
      </c>
      <c r="X22">
        <f t="shared" si="9"/>
        <v>0</v>
      </c>
    </row>
    <row r="23" spans="1:24">
      <c r="A23" s="23" t="s">
        <v>26</v>
      </c>
      <c r="B23" s="35" t="s">
        <v>19</v>
      </c>
      <c r="C23" s="125">
        <v>8075</v>
      </c>
      <c r="D23" s="147">
        <v>329034454</v>
      </c>
      <c r="E23" s="116">
        <f t="shared" ref="E23:E38" si="10">(D23/C23)</f>
        <v>40747.300804953564</v>
      </c>
      <c r="F23" s="134">
        <v>192245568</v>
      </c>
      <c r="G23" s="117">
        <f t="shared" ref="G23:G38" si="11">(F23/C23)</f>
        <v>23807.50068111455</v>
      </c>
      <c r="H23" s="98"/>
      <c r="I23" s="136">
        <v>3.4649999999999999</v>
      </c>
      <c r="J23" s="134">
        <v>666130.89312000002</v>
      </c>
      <c r="K23" s="120">
        <f>(J23/C23)</f>
        <v>82.492989860061925</v>
      </c>
      <c r="L23" s="122">
        <f t="shared" si="3"/>
        <v>1922455.68</v>
      </c>
      <c r="M23" s="116">
        <f t="shared" si="4"/>
        <v>1256324.78688</v>
      </c>
      <c r="N23" s="123">
        <f t="shared" si="5"/>
        <v>155.5820169510836</v>
      </c>
      <c r="O23" s="5"/>
      <c r="P23" s="5">
        <f t="shared" si="6"/>
        <v>1</v>
      </c>
      <c r="Q23" s="7">
        <f t="shared" si="7"/>
        <v>8075</v>
      </c>
      <c r="S23" s="124">
        <f>SUM(D17:D23)</f>
        <v>6133296059</v>
      </c>
      <c r="T23" s="124">
        <f>SUM(F17:F23)</f>
        <v>4284419493</v>
      </c>
      <c r="U23" s="124">
        <f>SUM(J17:J23)</f>
        <v>20345638.595099695</v>
      </c>
      <c r="W23" s="124">
        <f t="shared" si="8"/>
        <v>666130.89311999991</v>
      </c>
      <c r="X23">
        <f t="shared" si="9"/>
        <v>0</v>
      </c>
    </row>
    <row r="24" spans="1:24">
      <c r="A24" s="23" t="s">
        <v>27</v>
      </c>
      <c r="B24" s="35" t="s">
        <v>28</v>
      </c>
      <c r="C24" s="125">
        <v>322</v>
      </c>
      <c r="D24" s="132">
        <v>16225412</v>
      </c>
      <c r="E24" s="116">
        <f t="shared" si="10"/>
        <v>50389.478260869568</v>
      </c>
      <c r="F24" s="134">
        <v>9230574</v>
      </c>
      <c r="G24" s="117">
        <f t="shared" si="11"/>
        <v>28666.378881987577</v>
      </c>
      <c r="H24" s="7"/>
      <c r="I24" s="136">
        <v>0.29420000000000002</v>
      </c>
      <c r="J24" s="134">
        <v>2715.6348708</v>
      </c>
      <c r="K24" s="120">
        <f t="shared" ref="K24:K38" si="12">(J24/C24)</f>
        <v>8.433648667080746</v>
      </c>
      <c r="L24" s="122">
        <f t="shared" si="3"/>
        <v>92305.74</v>
      </c>
      <c r="M24" s="116">
        <f t="shared" si="4"/>
        <v>89590.105129200005</v>
      </c>
      <c r="N24" s="123">
        <f t="shared" si="5"/>
        <v>278.23014015279506</v>
      </c>
      <c r="O24" s="5"/>
      <c r="P24" s="5">
        <f t="shared" si="6"/>
        <v>1</v>
      </c>
      <c r="Q24" s="7">
        <f t="shared" si="7"/>
        <v>322</v>
      </c>
      <c r="W24" s="124">
        <f t="shared" si="8"/>
        <v>2715.6348708</v>
      </c>
      <c r="X24">
        <f t="shared" si="9"/>
        <v>0</v>
      </c>
    </row>
    <row r="25" spans="1:24">
      <c r="A25" s="23" t="s">
        <v>29</v>
      </c>
      <c r="B25" s="35" t="s">
        <v>28</v>
      </c>
      <c r="C25" s="125">
        <v>432</v>
      </c>
      <c r="D25" s="132">
        <v>14763448</v>
      </c>
      <c r="E25" s="116">
        <f t="shared" si="10"/>
        <v>34174.648148148146</v>
      </c>
      <c r="F25" s="134">
        <v>9155108</v>
      </c>
      <c r="G25" s="117">
        <f t="shared" si="11"/>
        <v>21192.379629629631</v>
      </c>
      <c r="H25" s="7"/>
      <c r="I25" s="136">
        <v>1</v>
      </c>
      <c r="J25" s="134">
        <v>9155.1080000000002</v>
      </c>
      <c r="K25" s="120">
        <f t="shared" si="12"/>
        <v>21.192379629629631</v>
      </c>
      <c r="L25" s="122">
        <f t="shared" si="3"/>
        <v>91551.08</v>
      </c>
      <c r="M25" s="116">
        <f t="shared" si="4"/>
        <v>82395.972000000009</v>
      </c>
      <c r="N25" s="123">
        <f t="shared" si="5"/>
        <v>190.73141666666669</v>
      </c>
      <c r="O25" s="5"/>
      <c r="P25" s="5">
        <f t="shared" si="6"/>
        <v>1</v>
      </c>
      <c r="Q25" s="7">
        <f t="shared" si="7"/>
        <v>432</v>
      </c>
      <c r="W25" s="124">
        <f t="shared" si="8"/>
        <v>9155.1080000000002</v>
      </c>
      <c r="X25">
        <f t="shared" si="9"/>
        <v>0</v>
      </c>
    </row>
    <row r="26" spans="1:24">
      <c r="A26" s="23" t="s">
        <v>30</v>
      </c>
      <c r="B26" s="35" t="s">
        <v>28</v>
      </c>
      <c r="C26" s="125">
        <v>636</v>
      </c>
      <c r="D26" s="132">
        <v>28365360</v>
      </c>
      <c r="E26" s="116">
        <f t="shared" si="10"/>
        <v>44599.622641509435</v>
      </c>
      <c r="F26" s="134">
        <v>17558859</v>
      </c>
      <c r="G26" s="117">
        <f t="shared" si="11"/>
        <v>27608.268867924529</v>
      </c>
      <c r="H26" s="7"/>
      <c r="I26" s="150">
        <v>1.6405000000000001</v>
      </c>
      <c r="J26" s="134">
        <v>28805.3081895</v>
      </c>
      <c r="K26" s="120">
        <f t="shared" si="12"/>
        <v>45.291365077830186</v>
      </c>
      <c r="L26" s="122">
        <f t="shared" si="3"/>
        <v>175588.59</v>
      </c>
      <c r="M26" s="116">
        <f t="shared" si="4"/>
        <v>146783.28181049999</v>
      </c>
      <c r="N26" s="123">
        <f t="shared" si="5"/>
        <v>230.79132360141509</v>
      </c>
      <c r="O26" s="5"/>
      <c r="P26" s="5">
        <f t="shared" si="6"/>
        <v>1</v>
      </c>
      <c r="Q26" s="7">
        <f t="shared" si="7"/>
        <v>636</v>
      </c>
      <c r="W26" s="124">
        <f t="shared" si="8"/>
        <v>28805.3081895</v>
      </c>
      <c r="X26">
        <f t="shared" si="9"/>
        <v>0</v>
      </c>
    </row>
    <row r="27" spans="1:24">
      <c r="A27" s="23" t="s">
        <v>31</v>
      </c>
      <c r="B27" s="35" t="s">
        <v>28</v>
      </c>
      <c r="C27" s="125">
        <v>5796</v>
      </c>
      <c r="D27" s="132">
        <v>317516182</v>
      </c>
      <c r="E27" s="116">
        <f t="shared" si="10"/>
        <v>54781.949965493441</v>
      </c>
      <c r="F27" s="134">
        <v>218144263</v>
      </c>
      <c r="G27" s="117">
        <f t="shared" si="11"/>
        <v>37637.036404416838</v>
      </c>
      <c r="H27" s="7"/>
      <c r="I27" s="150">
        <v>5.0909000000000004</v>
      </c>
      <c r="J27" s="134">
        <v>1110550.6285067</v>
      </c>
      <c r="K27" s="120">
        <f t="shared" si="12"/>
        <v>191.60638863124569</v>
      </c>
      <c r="L27" s="122">
        <f t="shared" si="3"/>
        <v>2181442.63</v>
      </c>
      <c r="M27" s="116">
        <f t="shared" si="4"/>
        <v>1070892.0014932998</v>
      </c>
      <c r="N27" s="123">
        <f t="shared" si="5"/>
        <v>184.76397541292269</v>
      </c>
      <c r="O27" s="5"/>
      <c r="P27" s="5">
        <f t="shared" si="6"/>
        <v>1</v>
      </c>
      <c r="Q27" s="7">
        <f t="shared" si="7"/>
        <v>5796</v>
      </c>
      <c r="S27" s="124">
        <f>SUM(D24:D27)</f>
        <v>376870402</v>
      </c>
      <c r="T27" s="124">
        <f>SUM(F24:F27)</f>
        <v>254088804</v>
      </c>
      <c r="U27" s="124">
        <f>SUM(J24:J27)</f>
        <v>1151226.6795670001</v>
      </c>
      <c r="W27" s="124">
        <f t="shared" si="8"/>
        <v>1110550.6285067</v>
      </c>
      <c r="X27">
        <f t="shared" si="9"/>
        <v>0</v>
      </c>
    </row>
    <row r="28" spans="1:24">
      <c r="A28" s="23" t="s">
        <v>32</v>
      </c>
      <c r="B28" s="35" t="s">
        <v>33</v>
      </c>
      <c r="C28" s="125">
        <v>9972</v>
      </c>
      <c r="D28" s="132">
        <v>1841455396</v>
      </c>
      <c r="E28" s="116">
        <f t="shared" si="10"/>
        <v>184662.59486562375</v>
      </c>
      <c r="F28" s="134">
        <v>1408437260</v>
      </c>
      <c r="G28" s="117">
        <f t="shared" si="11"/>
        <v>141239.19574809467</v>
      </c>
      <c r="H28" s="7"/>
      <c r="I28" s="150">
        <v>3.5878000000000001</v>
      </c>
      <c r="J28" s="134">
        <v>5053191.2014280008</v>
      </c>
      <c r="K28" s="120">
        <f t="shared" si="12"/>
        <v>506.73798650501413</v>
      </c>
      <c r="L28" s="122">
        <f t="shared" si="3"/>
        <v>14084372.6</v>
      </c>
      <c r="M28" s="116">
        <f t="shared" si="4"/>
        <v>9031181.3985719979</v>
      </c>
      <c r="N28" s="123">
        <f t="shared" si="5"/>
        <v>905.65397097593245</v>
      </c>
      <c r="O28" s="5"/>
      <c r="P28" s="5">
        <f t="shared" si="6"/>
        <v>1</v>
      </c>
      <c r="Q28" s="7">
        <f t="shared" si="7"/>
        <v>9972</v>
      </c>
      <c r="W28" s="124">
        <f t="shared" si="8"/>
        <v>5053191.2014279999</v>
      </c>
      <c r="X28">
        <f t="shared" si="9"/>
        <v>0</v>
      </c>
    </row>
    <row r="29" spans="1:24">
      <c r="A29" s="23" t="s">
        <v>34</v>
      </c>
      <c r="B29" s="35" t="s">
        <v>33</v>
      </c>
      <c r="C29" s="125">
        <v>19041</v>
      </c>
      <c r="D29" s="132">
        <v>1882051362</v>
      </c>
      <c r="E29" s="116">
        <f t="shared" si="10"/>
        <v>98842.044115330078</v>
      </c>
      <c r="F29" s="134">
        <v>1172021718</v>
      </c>
      <c r="G29" s="117">
        <f t="shared" si="11"/>
        <v>61552.52969907043</v>
      </c>
      <c r="H29" s="7"/>
      <c r="I29" s="136">
        <v>5.9790000000000001</v>
      </c>
      <c r="J29" s="134">
        <v>7007517.8519219998</v>
      </c>
      <c r="K29" s="120">
        <f t="shared" si="12"/>
        <v>368.02257507074205</v>
      </c>
      <c r="L29" s="122">
        <f t="shared" si="3"/>
        <v>11720217.18</v>
      </c>
      <c r="M29" s="116">
        <f t="shared" si="4"/>
        <v>4712699.3280779999</v>
      </c>
      <c r="N29" s="123">
        <f t="shared" si="5"/>
        <v>247.50272191996217</v>
      </c>
      <c r="O29" s="5"/>
      <c r="P29" s="5">
        <f t="shared" si="6"/>
        <v>1</v>
      </c>
      <c r="Q29" s="7">
        <f t="shared" si="7"/>
        <v>19041</v>
      </c>
      <c r="W29" s="124">
        <f t="shared" si="8"/>
        <v>7007517.8519219998</v>
      </c>
      <c r="X29">
        <f t="shared" si="9"/>
        <v>0</v>
      </c>
    </row>
    <row r="30" spans="1:24">
      <c r="A30" s="23" t="s">
        <v>35</v>
      </c>
      <c r="B30" s="35" t="s">
        <v>33</v>
      </c>
      <c r="C30" s="125">
        <v>11354</v>
      </c>
      <c r="D30" s="132">
        <v>3149788587</v>
      </c>
      <c r="E30" s="116">
        <f t="shared" si="10"/>
        <v>277416.64497093536</v>
      </c>
      <c r="F30" s="134">
        <v>2199480742</v>
      </c>
      <c r="G30" s="117">
        <f t="shared" si="11"/>
        <v>193718.5786506958</v>
      </c>
      <c r="H30" s="7"/>
      <c r="I30" s="136">
        <v>5.8293999999999997</v>
      </c>
      <c r="J30" s="134">
        <v>12821653.037414799</v>
      </c>
      <c r="K30" s="120">
        <f t="shared" si="12"/>
        <v>1129.2630823863658</v>
      </c>
      <c r="L30" s="122">
        <f t="shared" si="3"/>
        <v>21994807.420000002</v>
      </c>
      <c r="M30" s="116">
        <f t="shared" si="4"/>
        <v>9173154.3825852033</v>
      </c>
      <c r="N30" s="123">
        <f t="shared" si="5"/>
        <v>807.92270412059213</v>
      </c>
      <c r="O30" s="5"/>
      <c r="P30" s="5">
        <f t="shared" si="6"/>
        <v>1</v>
      </c>
      <c r="Q30" s="7">
        <f t="shared" si="7"/>
        <v>11354</v>
      </c>
      <c r="W30" s="124">
        <f t="shared" si="8"/>
        <v>12821653.037414799</v>
      </c>
      <c r="X30">
        <f t="shared" si="9"/>
        <v>0</v>
      </c>
    </row>
    <row r="31" spans="1:24">
      <c r="A31" s="23" t="s">
        <v>530</v>
      </c>
      <c r="B31" s="35" t="s">
        <v>33</v>
      </c>
      <c r="C31" s="125">
        <v>4509</v>
      </c>
      <c r="D31" s="132">
        <v>733955729</v>
      </c>
      <c r="E31" s="116">
        <f t="shared" si="10"/>
        <v>162775.72166777556</v>
      </c>
      <c r="F31" s="134">
        <v>453391211</v>
      </c>
      <c r="G31" s="117">
        <f t="shared" si="11"/>
        <v>100552.49744954535</v>
      </c>
      <c r="H31" s="9"/>
      <c r="I31" s="136">
        <v>1.3038000000000001</v>
      </c>
      <c r="J31" s="134">
        <v>591131.46090180008</v>
      </c>
      <c r="K31" s="120">
        <f t="shared" si="12"/>
        <v>131.10034617471726</v>
      </c>
      <c r="L31" s="122">
        <f t="shared" si="3"/>
        <v>4533912.1100000003</v>
      </c>
      <c r="M31" s="116">
        <f t="shared" si="4"/>
        <v>3942780.6490982003</v>
      </c>
      <c r="N31" s="123">
        <f t="shared" si="5"/>
        <v>874.42462832073636</v>
      </c>
      <c r="O31" s="5"/>
      <c r="P31" s="5">
        <f t="shared" si="6"/>
        <v>1</v>
      </c>
      <c r="Q31" s="7">
        <f t="shared" si="7"/>
        <v>4509</v>
      </c>
      <c r="W31" s="124">
        <f t="shared" si="8"/>
        <v>591131.46090180008</v>
      </c>
      <c r="X31">
        <f t="shared" si="9"/>
        <v>0</v>
      </c>
    </row>
    <row r="32" spans="1:24">
      <c r="A32" s="23" t="s">
        <v>36</v>
      </c>
      <c r="B32" s="35" t="s">
        <v>33</v>
      </c>
      <c r="C32" s="125">
        <v>3010</v>
      </c>
      <c r="D32" s="132">
        <v>638685923</v>
      </c>
      <c r="E32" s="116">
        <f t="shared" si="10"/>
        <v>212188.01428571428</v>
      </c>
      <c r="F32" s="134">
        <v>448172673</v>
      </c>
      <c r="G32" s="117">
        <f t="shared" si="11"/>
        <v>148894.57574750829</v>
      </c>
      <c r="H32" s="7"/>
      <c r="I32" s="136">
        <v>6.0922999999999998</v>
      </c>
      <c r="J32" s="134">
        <v>2730402.3757178998</v>
      </c>
      <c r="K32" s="120">
        <f t="shared" si="12"/>
        <v>907.11042382654477</v>
      </c>
      <c r="L32" s="122">
        <f t="shared" si="3"/>
        <v>4481726.7300000004</v>
      </c>
      <c r="M32" s="116">
        <f t="shared" si="4"/>
        <v>1751324.3542821007</v>
      </c>
      <c r="N32" s="123">
        <f t="shared" si="5"/>
        <v>581.83533364853838</v>
      </c>
      <c r="O32" s="5"/>
      <c r="P32" s="5">
        <f t="shared" si="6"/>
        <v>1</v>
      </c>
      <c r="Q32" s="7">
        <f t="shared" si="7"/>
        <v>3010</v>
      </c>
      <c r="W32" s="124">
        <f t="shared" si="8"/>
        <v>2730402.3757179002</v>
      </c>
      <c r="X32">
        <f t="shared" si="9"/>
        <v>0</v>
      </c>
    </row>
    <row r="33" spans="1:24">
      <c r="A33" s="23" t="s">
        <v>37</v>
      </c>
      <c r="B33" s="35" t="s">
        <v>33</v>
      </c>
      <c r="C33" s="125">
        <v>9019</v>
      </c>
      <c r="D33" s="132">
        <v>1417539421</v>
      </c>
      <c r="E33" s="116">
        <f t="shared" si="10"/>
        <v>157172.57134937355</v>
      </c>
      <c r="F33" s="134">
        <v>1006460775</v>
      </c>
      <c r="G33" s="117">
        <f t="shared" si="11"/>
        <v>111593.38895664708</v>
      </c>
      <c r="H33" s="7"/>
      <c r="I33" s="136">
        <v>5.6401000000000003</v>
      </c>
      <c r="J33" s="134">
        <v>5676539.4170775004</v>
      </c>
      <c r="K33" s="120">
        <f t="shared" si="12"/>
        <v>629.39787305438517</v>
      </c>
      <c r="L33" s="122">
        <f t="shared" si="3"/>
        <v>10064607.75</v>
      </c>
      <c r="M33" s="116">
        <f t="shared" si="4"/>
        <v>4388068.3329224996</v>
      </c>
      <c r="N33" s="123">
        <f t="shared" si="5"/>
        <v>486.53601651208555</v>
      </c>
      <c r="O33" s="5"/>
      <c r="P33" s="5">
        <f t="shared" si="6"/>
        <v>1</v>
      </c>
      <c r="Q33" s="7">
        <f t="shared" si="7"/>
        <v>9019</v>
      </c>
      <c r="W33" s="124">
        <f t="shared" si="8"/>
        <v>5676539.4170775004</v>
      </c>
      <c r="X33">
        <f t="shared" si="9"/>
        <v>0</v>
      </c>
    </row>
    <row r="34" spans="1:24">
      <c r="A34" s="23" t="s">
        <v>38</v>
      </c>
      <c r="B34" s="35" t="s">
        <v>33</v>
      </c>
      <c r="C34" s="125">
        <v>2949</v>
      </c>
      <c r="D34" s="132">
        <v>450016559</v>
      </c>
      <c r="E34" s="116">
        <f t="shared" si="10"/>
        <v>152599.71481858258</v>
      </c>
      <c r="F34" s="134">
        <v>278284431</v>
      </c>
      <c r="G34" s="117">
        <f t="shared" si="11"/>
        <v>94365.693794506617</v>
      </c>
      <c r="H34" s="7"/>
      <c r="I34" s="136">
        <v>2.38</v>
      </c>
      <c r="J34" s="134">
        <v>662316.94577999995</v>
      </c>
      <c r="K34" s="120">
        <f t="shared" si="12"/>
        <v>224.59035123092573</v>
      </c>
      <c r="L34" s="122">
        <f t="shared" si="3"/>
        <v>2782844.31</v>
      </c>
      <c r="M34" s="116">
        <f t="shared" si="4"/>
        <v>2120527.3642199999</v>
      </c>
      <c r="N34" s="123">
        <f t="shared" si="5"/>
        <v>719.06658671414039</v>
      </c>
      <c r="O34" s="5"/>
      <c r="P34" s="5">
        <f t="shared" si="6"/>
        <v>1</v>
      </c>
      <c r="Q34" s="7">
        <f t="shared" si="7"/>
        <v>2949</v>
      </c>
      <c r="W34" s="124">
        <f t="shared" si="8"/>
        <v>662316.94577999995</v>
      </c>
      <c r="X34">
        <f t="shared" si="9"/>
        <v>0</v>
      </c>
    </row>
    <row r="35" spans="1:24">
      <c r="A35" s="23" t="s">
        <v>39</v>
      </c>
      <c r="B35" s="35" t="s">
        <v>33</v>
      </c>
      <c r="C35" s="125">
        <v>84678</v>
      </c>
      <c r="D35" s="132">
        <v>9758512935</v>
      </c>
      <c r="E35" s="116">
        <f t="shared" si="10"/>
        <v>115242.60061645291</v>
      </c>
      <c r="F35" s="134">
        <v>5759442711</v>
      </c>
      <c r="G35" s="117">
        <f t="shared" si="11"/>
        <v>68015.809431021044</v>
      </c>
      <c r="H35" s="7"/>
      <c r="I35" s="136">
        <v>6.8685</v>
      </c>
      <c r="J35" s="134">
        <v>39558732.260503501</v>
      </c>
      <c r="K35" s="120">
        <f t="shared" si="12"/>
        <v>467.16658707696803</v>
      </c>
      <c r="L35" s="122">
        <f t="shared" si="3"/>
        <v>57594427.109999999</v>
      </c>
      <c r="M35" s="116">
        <f t="shared" si="4"/>
        <v>18035694.849496499</v>
      </c>
      <c r="N35" s="123">
        <f t="shared" si="5"/>
        <v>212.99150723324237</v>
      </c>
      <c r="O35" s="5"/>
      <c r="P35" s="5">
        <f t="shared" si="6"/>
        <v>1</v>
      </c>
      <c r="Q35" s="7">
        <f t="shared" si="7"/>
        <v>84678</v>
      </c>
      <c r="W35" s="124">
        <f t="shared" si="8"/>
        <v>39558732.260503501</v>
      </c>
      <c r="X35">
        <f t="shared" si="9"/>
        <v>0</v>
      </c>
    </row>
    <row r="36" spans="1:24">
      <c r="A36" s="23" t="s">
        <v>40</v>
      </c>
      <c r="B36" s="35" t="s">
        <v>33</v>
      </c>
      <c r="C36" s="125">
        <v>3231</v>
      </c>
      <c r="D36" s="132">
        <v>699355767</v>
      </c>
      <c r="E36" s="116">
        <f t="shared" si="10"/>
        <v>216451.80037140203</v>
      </c>
      <c r="F36" s="134">
        <v>454356502</v>
      </c>
      <c r="G36" s="117">
        <f t="shared" si="11"/>
        <v>140624.11080160941</v>
      </c>
      <c r="H36" s="7"/>
      <c r="I36" s="136">
        <v>4.5151000000000003</v>
      </c>
      <c r="J36" s="134">
        <v>2051465.0421802001</v>
      </c>
      <c r="K36" s="120">
        <f t="shared" si="12"/>
        <v>634.9319226803467</v>
      </c>
      <c r="L36" s="122">
        <f t="shared" si="3"/>
        <v>4543565.0200000005</v>
      </c>
      <c r="M36" s="116">
        <f t="shared" si="4"/>
        <v>2492099.9778198004</v>
      </c>
      <c r="N36" s="123">
        <f t="shared" si="5"/>
        <v>771.30918533574754</v>
      </c>
      <c r="O36" s="5"/>
      <c r="P36" s="5">
        <f t="shared" si="6"/>
        <v>1</v>
      </c>
      <c r="Q36" s="7">
        <f t="shared" si="7"/>
        <v>3231</v>
      </c>
      <c r="W36" s="124">
        <f t="shared" si="8"/>
        <v>2051465.0421802001</v>
      </c>
      <c r="X36">
        <f t="shared" si="9"/>
        <v>0</v>
      </c>
    </row>
    <row r="37" spans="1:24">
      <c r="A37" s="23" t="s">
        <v>41</v>
      </c>
      <c r="B37" s="35" t="s">
        <v>33</v>
      </c>
      <c r="C37" s="125">
        <v>681</v>
      </c>
      <c r="D37" s="132">
        <v>84804855</v>
      </c>
      <c r="E37" s="116">
        <f t="shared" si="10"/>
        <v>124529.88986784141</v>
      </c>
      <c r="F37" s="134">
        <v>52087844</v>
      </c>
      <c r="G37" s="117">
        <f t="shared" si="11"/>
        <v>76487.289280469893</v>
      </c>
      <c r="H37" s="7"/>
      <c r="I37" s="136">
        <v>9.8102999999999998</v>
      </c>
      <c r="J37" s="134">
        <v>510997.3759932</v>
      </c>
      <c r="K37" s="120">
        <f t="shared" si="12"/>
        <v>750.36325402819386</v>
      </c>
      <c r="L37" s="122">
        <f t="shared" si="3"/>
        <v>520878.44</v>
      </c>
      <c r="M37" s="116">
        <f t="shared" si="4"/>
        <v>9881.0640068000066</v>
      </c>
      <c r="N37" s="123">
        <f t="shared" si="5"/>
        <v>14.509638776505149</v>
      </c>
      <c r="O37" s="5"/>
      <c r="P37" s="5">
        <f t="shared" si="6"/>
        <v>1</v>
      </c>
      <c r="Q37" s="7">
        <f t="shared" si="7"/>
        <v>681</v>
      </c>
      <c r="W37" s="124">
        <f t="shared" si="8"/>
        <v>510997.37599319994</v>
      </c>
      <c r="X37">
        <f t="shared" si="9"/>
        <v>0</v>
      </c>
    </row>
    <row r="38" spans="1:24">
      <c r="A38" s="23" t="s">
        <v>42</v>
      </c>
      <c r="B38" s="35" t="s">
        <v>33</v>
      </c>
      <c r="C38" s="125">
        <v>119760</v>
      </c>
      <c r="D38" s="132">
        <v>9070728567</v>
      </c>
      <c r="E38" s="116">
        <f t="shared" si="10"/>
        <v>75740.886497995991</v>
      </c>
      <c r="F38" s="134">
        <v>4843397767</v>
      </c>
      <c r="G38" s="117">
        <f t="shared" si="11"/>
        <v>40442.5331245825</v>
      </c>
      <c r="H38" s="7"/>
      <c r="I38" s="136">
        <v>7.8377999999999997</v>
      </c>
      <c r="J38" s="134">
        <v>37961583.018192597</v>
      </c>
      <c r="K38" s="120">
        <f t="shared" si="12"/>
        <v>316.9804861238527</v>
      </c>
      <c r="L38" s="122">
        <f t="shared" si="3"/>
        <v>48433977.670000002</v>
      </c>
      <c r="M38" s="116">
        <f t="shared" si="4"/>
        <v>10472394.651807405</v>
      </c>
      <c r="N38" s="123">
        <f t="shared" si="5"/>
        <v>87.444845121972321</v>
      </c>
      <c r="O38" s="5"/>
      <c r="P38" s="5">
        <f t="shared" si="6"/>
        <v>1</v>
      </c>
      <c r="Q38" s="7">
        <f t="shared" si="7"/>
        <v>119760</v>
      </c>
      <c r="W38" s="124">
        <f t="shared" si="8"/>
        <v>37961583.018192597</v>
      </c>
      <c r="X38">
        <f t="shared" si="9"/>
        <v>0</v>
      </c>
    </row>
    <row r="39" spans="1:24">
      <c r="A39" s="23" t="s">
        <v>43</v>
      </c>
      <c r="B39" s="35" t="s">
        <v>33</v>
      </c>
      <c r="C39" s="125">
        <v>1200</v>
      </c>
      <c r="D39" s="147" t="s">
        <v>564</v>
      </c>
      <c r="E39" s="116"/>
      <c r="F39" s="134"/>
      <c r="G39" s="117"/>
      <c r="H39" s="98" t="s">
        <v>588</v>
      </c>
      <c r="I39" s="136"/>
      <c r="J39" s="134"/>
      <c r="K39" s="120"/>
      <c r="L39" s="122">
        <f t="shared" si="3"/>
        <v>0</v>
      </c>
      <c r="M39" s="116">
        <f t="shared" si="4"/>
        <v>0</v>
      </c>
      <c r="N39" s="123">
        <f t="shared" si="5"/>
        <v>0</v>
      </c>
      <c r="O39" s="5"/>
      <c r="P39" s="5">
        <f t="shared" si="6"/>
        <v>0</v>
      </c>
      <c r="Q39" s="7">
        <f t="shared" si="7"/>
        <v>0</v>
      </c>
      <c r="W39" s="124">
        <f t="shared" si="8"/>
        <v>0</v>
      </c>
      <c r="X39">
        <f t="shared" si="9"/>
        <v>0</v>
      </c>
    </row>
    <row r="40" spans="1:24">
      <c r="A40" s="23" t="s">
        <v>44</v>
      </c>
      <c r="B40" s="35" t="s">
        <v>33</v>
      </c>
      <c r="C40" s="125">
        <v>27678</v>
      </c>
      <c r="D40" s="132">
        <v>2963552061</v>
      </c>
      <c r="E40" s="116">
        <f t="shared" ref="E40:E74" si="13">(D40/C40)</f>
        <v>107072.47853891178</v>
      </c>
      <c r="F40" s="134">
        <v>1713846865</v>
      </c>
      <c r="G40" s="117">
        <f t="shared" ref="G40:G74" si="14">(F40/C40)</f>
        <v>61920.90703808079</v>
      </c>
      <c r="H40" s="7"/>
      <c r="I40" s="136">
        <v>6.05</v>
      </c>
      <c r="J40" s="134">
        <v>10368773.53325</v>
      </c>
      <c r="K40" s="120">
        <f t="shared" ref="K40:K74" si="15">(J40/C40)</f>
        <v>374.62148758038876</v>
      </c>
      <c r="L40" s="122">
        <f t="shared" si="3"/>
        <v>17138468.649999999</v>
      </c>
      <c r="M40" s="116">
        <f t="shared" si="4"/>
        <v>6769695.1167499982</v>
      </c>
      <c r="N40" s="123">
        <f t="shared" si="5"/>
        <v>244.58758280041903</v>
      </c>
      <c r="O40" s="5"/>
      <c r="P40" s="5">
        <f t="shared" si="6"/>
        <v>1</v>
      </c>
      <c r="Q40" s="7">
        <f t="shared" si="7"/>
        <v>27678</v>
      </c>
      <c r="W40" s="124">
        <f t="shared" si="8"/>
        <v>10368773.53325</v>
      </c>
      <c r="X40">
        <f t="shared" si="9"/>
        <v>0</v>
      </c>
    </row>
    <row r="41" spans="1:24">
      <c r="A41" s="23" t="s">
        <v>45</v>
      </c>
      <c r="B41" s="35" t="s">
        <v>33</v>
      </c>
      <c r="C41" s="125">
        <v>11226</v>
      </c>
      <c r="D41" s="132">
        <v>1746291790</v>
      </c>
      <c r="E41" s="116">
        <f t="shared" si="13"/>
        <v>155557.79351505433</v>
      </c>
      <c r="F41" s="134">
        <v>1072175051</v>
      </c>
      <c r="G41" s="117">
        <f t="shared" si="14"/>
        <v>95508.199804026372</v>
      </c>
      <c r="H41" s="7"/>
      <c r="I41" s="136">
        <v>8.6311999999999998</v>
      </c>
      <c r="J41" s="153">
        <v>9254157.3001911994</v>
      </c>
      <c r="K41" s="120">
        <f t="shared" si="15"/>
        <v>824.35037414851229</v>
      </c>
      <c r="L41" s="122">
        <f t="shared" si="3"/>
        <v>10721750.51</v>
      </c>
      <c r="M41" s="116">
        <f t="shared" si="4"/>
        <v>1467593.2098088004</v>
      </c>
      <c r="N41" s="123">
        <f t="shared" si="5"/>
        <v>130.73162389175133</v>
      </c>
      <c r="O41" s="5"/>
      <c r="P41" s="5">
        <f t="shared" si="6"/>
        <v>1</v>
      </c>
      <c r="Q41" s="7">
        <f t="shared" si="7"/>
        <v>11226</v>
      </c>
      <c r="W41" s="124">
        <f t="shared" si="8"/>
        <v>9254157.3001912013</v>
      </c>
      <c r="X41">
        <f t="shared" si="9"/>
        <v>0</v>
      </c>
    </row>
    <row r="42" spans="1:24">
      <c r="A42" s="23" t="s">
        <v>46</v>
      </c>
      <c r="B42" s="35" t="s">
        <v>33</v>
      </c>
      <c r="C42" s="125">
        <v>48789</v>
      </c>
      <c r="D42" s="132">
        <v>4089192030</v>
      </c>
      <c r="E42" s="116">
        <f t="shared" si="13"/>
        <v>83813.81110496218</v>
      </c>
      <c r="F42" s="134">
        <v>2244660441</v>
      </c>
      <c r="G42" s="117">
        <f t="shared" si="14"/>
        <v>46007.510729877635</v>
      </c>
      <c r="H42" s="7"/>
      <c r="I42" s="136">
        <v>7.2145000000000001</v>
      </c>
      <c r="J42" s="134">
        <v>16194102.751594499</v>
      </c>
      <c r="K42" s="120">
        <f t="shared" si="15"/>
        <v>331.92118616070218</v>
      </c>
      <c r="L42" s="122">
        <f t="shared" si="3"/>
        <v>22446604.41</v>
      </c>
      <c r="M42" s="116">
        <f t="shared" si="4"/>
        <v>6252501.6584055014</v>
      </c>
      <c r="N42" s="123">
        <f t="shared" si="5"/>
        <v>128.1539211380742</v>
      </c>
      <c r="O42" s="5"/>
      <c r="P42" s="5">
        <f t="shared" si="6"/>
        <v>1</v>
      </c>
      <c r="Q42" s="7">
        <f t="shared" si="7"/>
        <v>48789</v>
      </c>
      <c r="W42" s="124">
        <f t="shared" si="8"/>
        <v>16194102.751594501</v>
      </c>
      <c r="X42">
        <f t="shared" si="9"/>
        <v>0</v>
      </c>
    </row>
    <row r="43" spans="1:24">
      <c r="A43" s="23" t="s">
        <v>47</v>
      </c>
      <c r="B43" s="35" t="s">
        <v>33</v>
      </c>
      <c r="C43" s="125">
        <v>25924</v>
      </c>
      <c r="D43" s="132">
        <v>2848401879</v>
      </c>
      <c r="E43" s="116">
        <f t="shared" si="13"/>
        <v>109875.09176824563</v>
      </c>
      <c r="F43" s="134">
        <v>1912755145</v>
      </c>
      <c r="G43" s="117">
        <f t="shared" si="14"/>
        <v>73783.179486190405</v>
      </c>
      <c r="H43" s="98"/>
      <c r="I43" s="136">
        <v>2.5087000000000002</v>
      </c>
      <c r="J43" s="134">
        <v>4798528.8322614999</v>
      </c>
      <c r="K43" s="120">
        <f t="shared" si="15"/>
        <v>185.09986237700585</v>
      </c>
      <c r="L43" s="122">
        <f t="shared" si="3"/>
        <v>19127551.449999999</v>
      </c>
      <c r="M43" s="116">
        <f t="shared" si="4"/>
        <v>14329022.6177385</v>
      </c>
      <c r="N43" s="123">
        <f t="shared" si="5"/>
        <v>552.73193248489815</v>
      </c>
      <c r="O43" s="5"/>
      <c r="P43" s="5">
        <f t="shared" si="6"/>
        <v>1</v>
      </c>
      <c r="Q43" s="7">
        <f t="shared" si="7"/>
        <v>25924</v>
      </c>
      <c r="S43" s="124">
        <f>SUM(D28:D43)</f>
        <v>41374332861</v>
      </c>
      <c r="T43" s="124">
        <f>SUM(F28:F43)</f>
        <v>25018971136</v>
      </c>
      <c r="U43" s="124">
        <f>SUM(J28:J43)</f>
        <v>155241092.40440869</v>
      </c>
      <c r="W43" s="124">
        <f t="shared" si="8"/>
        <v>4798528.8322614999</v>
      </c>
      <c r="X43">
        <f t="shared" si="9"/>
        <v>0</v>
      </c>
    </row>
    <row r="44" spans="1:24">
      <c r="A44" s="23" t="s">
        <v>48</v>
      </c>
      <c r="B44" s="35" t="s">
        <v>49</v>
      </c>
      <c r="C44" s="125">
        <v>57833</v>
      </c>
      <c r="D44" s="132">
        <v>7061506927</v>
      </c>
      <c r="E44" s="116">
        <f t="shared" si="13"/>
        <v>122101.68808465755</v>
      </c>
      <c r="F44" s="134">
        <v>4587077121</v>
      </c>
      <c r="G44" s="117">
        <f t="shared" si="14"/>
        <v>79315.911694015522</v>
      </c>
      <c r="H44" s="98"/>
      <c r="I44" s="150">
        <v>6.5377999999999998</v>
      </c>
      <c r="J44" s="134">
        <v>29989392.801673796</v>
      </c>
      <c r="K44" s="120">
        <f t="shared" si="15"/>
        <v>518.5515674731347</v>
      </c>
      <c r="L44" s="122">
        <f t="shared" si="3"/>
        <v>45870771.210000001</v>
      </c>
      <c r="M44" s="116">
        <f t="shared" si="4"/>
        <v>15881378.408326205</v>
      </c>
      <c r="N44" s="123">
        <f t="shared" si="5"/>
        <v>274.60754946702065</v>
      </c>
      <c r="O44" s="5"/>
      <c r="P44" s="5">
        <f t="shared" si="6"/>
        <v>1</v>
      </c>
      <c r="Q44" s="7">
        <f t="shared" si="7"/>
        <v>57833</v>
      </c>
      <c r="W44" s="124">
        <f t="shared" si="8"/>
        <v>29989392.8016738</v>
      </c>
      <c r="X44">
        <f t="shared" si="9"/>
        <v>0</v>
      </c>
    </row>
    <row r="45" spans="1:24">
      <c r="A45" s="23" t="s">
        <v>50</v>
      </c>
      <c r="B45" s="35" t="s">
        <v>49</v>
      </c>
      <c r="C45" s="125">
        <v>34401</v>
      </c>
      <c r="D45" s="132">
        <v>5166389465</v>
      </c>
      <c r="E45" s="116">
        <f t="shared" si="13"/>
        <v>150181.3745239964</v>
      </c>
      <c r="F45" s="134">
        <v>3228017124</v>
      </c>
      <c r="G45" s="117">
        <f t="shared" si="14"/>
        <v>93834.979331996161</v>
      </c>
      <c r="H45" s="98"/>
      <c r="I45" s="136">
        <v>6.2279999999999998</v>
      </c>
      <c r="J45" s="134">
        <v>20104090.648272</v>
      </c>
      <c r="K45" s="120">
        <f t="shared" si="15"/>
        <v>584.40425127967217</v>
      </c>
      <c r="L45" s="122">
        <f t="shared" si="3"/>
        <v>32280171.240000002</v>
      </c>
      <c r="M45" s="116">
        <f t="shared" si="4"/>
        <v>12176080.591728002</v>
      </c>
      <c r="N45" s="123">
        <f t="shared" si="5"/>
        <v>353.94554204028958</v>
      </c>
      <c r="O45" s="5"/>
      <c r="P45" s="5">
        <f t="shared" si="6"/>
        <v>1</v>
      </c>
      <c r="Q45" s="7">
        <f t="shared" si="7"/>
        <v>34401</v>
      </c>
      <c r="W45" s="124">
        <f t="shared" si="8"/>
        <v>20104090.648272</v>
      </c>
      <c r="X45">
        <f t="shared" si="9"/>
        <v>0</v>
      </c>
    </row>
    <row r="46" spans="1:24">
      <c r="A46" s="23" t="s">
        <v>51</v>
      </c>
      <c r="B46" s="35" t="s">
        <v>49</v>
      </c>
      <c r="C46" s="125">
        <v>134394</v>
      </c>
      <c r="D46" s="132">
        <v>16183481528</v>
      </c>
      <c r="E46" s="116">
        <f t="shared" si="13"/>
        <v>120418.18479991666</v>
      </c>
      <c r="F46" s="134">
        <v>11183943137</v>
      </c>
      <c r="G46" s="117">
        <f t="shared" si="14"/>
        <v>83217.577696920998</v>
      </c>
      <c r="H46" s="98"/>
      <c r="I46" s="136">
        <v>5.8731999999999998</v>
      </c>
      <c r="J46" s="134">
        <v>65685534.832228392</v>
      </c>
      <c r="K46" s="120">
        <f t="shared" si="15"/>
        <v>488.75347732955635</v>
      </c>
      <c r="L46" s="122">
        <f t="shared" si="3"/>
        <v>111839431.37</v>
      </c>
      <c r="M46" s="116">
        <f t="shared" si="4"/>
        <v>46153896.537771612</v>
      </c>
      <c r="N46" s="123">
        <f t="shared" si="5"/>
        <v>343.42229963965366</v>
      </c>
      <c r="O46" s="5"/>
      <c r="P46" s="5">
        <f t="shared" si="6"/>
        <v>1</v>
      </c>
      <c r="Q46" s="7">
        <f t="shared" si="7"/>
        <v>134394</v>
      </c>
      <c r="W46" s="124">
        <f t="shared" si="8"/>
        <v>65685534.832228392</v>
      </c>
      <c r="X46">
        <f t="shared" si="9"/>
        <v>0</v>
      </c>
    </row>
    <row r="47" spans="1:24">
      <c r="A47" s="23" t="s">
        <v>464</v>
      </c>
      <c r="B47" s="35" t="s">
        <v>49</v>
      </c>
      <c r="C47" s="125">
        <v>31723</v>
      </c>
      <c r="D47" s="132">
        <v>5698677766</v>
      </c>
      <c r="E47" s="116">
        <f t="shared" si="13"/>
        <v>179638.67748951865</v>
      </c>
      <c r="F47" s="134">
        <v>4365271887</v>
      </c>
      <c r="G47" s="117">
        <f t="shared" si="14"/>
        <v>137605.89751915014</v>
      </c>
      <c r="H47" s="98"/>
      <c r="I47" s="136">
        <v>5.9997999999999996</v>
      </c>
      <c r="J47" s="134">
        <v>26190758.267622598</v>
      </c>
      <c r="K47" s="120">
        <f t="shared" si="15"/>
        <v>825.60786393539695</v>
      </c>
      <c r="L47" s="122">
        <f t="shared" si="3"/>
        <v>43652718.869999997</v>
      </c>
      <c r="M47" s="116">
        <f t="shared" si="4"/>
        <v>17461960.6023774</v>
      </c>
      <c r="N47" s="123">
        <f t="shared" si="5"/>
        <v>550.45111125610435</v>
      </c>
      <c r="O47" s="5"/>
      <c r="P47" s="5">
        <f t="shared" si="6"/>
        <v>1</v>
      </c>
      <c r="Q47" s="7">
        <f t="shared" si="7"/>
        <v>31723</v>
      </c>
      <c r="W47" s="124">
        <f t="shared" si="8"/>
        <v>26190758.267622598</v>
      </c>
      <c r="X47">
        <f t="shared" si="9"/>
        <v>0</v>
      </c>
    </row>
    <row r="48" spans="1:24">
      <c r="A48" s="23" t="s">
        <v>52</v>
      </c>
      <c r="B48" s="35" t="s">
        <v>49</v>
      </c>
      <c r="C48" s="125">
        <v>105691</v>
      </c>
      <c r="D48" s="132">
        <v>16307325358</v>
      </c>
      <c r="E48" s="116">
        <f t="shared" si="13"/>
        <v>154292.46916009879</v>
      </c>
      <c r="F48" s="134">
        <v>10759936563</v>
      </c>
      <c r="G48" s="117">
        <f t="shared" si="14"/>
        <v>101805.60845294301</v>
      </c>
      <c r="H48" s="98"/>
      <c r="I48" s="150">
        <v>5.6269999999999998</v>
      </c>
      <c r="J48" s="134">
        <v>60546163.040000997</v>
      </c>
      <c r="K48" s="120">
        <f t="shared" si="15"/>
        <v>572.86015876471026</v>
      </c>
      <c r="L48" s="122">
        <f t="shared" si="3"/>
        <v>107599365.63</v>
      </c>
      <c r="M48" s="116">
        <f t="shared" si="4"/>
        <v>47053202.589998998</v>
      </c>
      <c r="N48" s="123">
        <f t="shared" si="5"/>
        <v>445.19592576471979</v>
      </c>
      <c r="O48" s="5"/>
      <c r="P48" s="5">
        <f t="shared" si="6"/>
        <v>1</v>
      </c>
      <c r="Q48" s="7">
        <f t="shared" si="7"/>
        <v>105691</v>
      </c>
      <c r="W48" s="124">
        <f t="shared" si="8"/>
        <v>60546163.040000997</v>
      </c>
      <c r="X48">
        <f t="shared" si="9"/>
        <v>0</v>
      </c>
    </row>
    <row r="49" spans="1:24">
      <c r="A49" s="23" t="s">
        <v>53</v>
      </c>
      <c r="B49" s="35" t="s">
        <v>49</v>
      </c>
      <c r="C49" s="125">
        <v>86859</v>
      </c>
      <c r="D49" s="132">
        <v>11093455212</v>
      </c>
      <c r="E49" s="116">
        <f t="shared" si="13"/>
        <v>127717.97064207509</v>
      </c>
      <c r="F49" s="134">
        <v>7913723512</v>
      </c>
      <c r="G49" s="117">
        <f t="shared" si="14"/>
        <v>91110.000253284059</v>
      </c>
      <c r="H49" s="98"/>
      <c r="I49" s="136">
        <v>6.0018000000000002</v>
      </c>
      <c r="J49" s="134">
        <v>47496585.774321601</v>
      </c>
      <c r="K49" s="120">
        <f t="shared" si="15"/>
        <v>546.82399952016021</v>
      </c>
      <c r="L49" s="122">
        <f t="shared" si="3"/>
        <v>79137235.120000005</v>
      </c>
      <c r="M49" s="116">
        <f t="shared" si="4"/>
        <v>31640649.345678404</v>
      </c>
      <c r="N49" s="123">
        <f t="shared" si="5"/>
        <v>364.27600301268035</v>
      </c>
      <c r="O49" s="5"/>
      <c r="P49" s="5">
        <f t="shared" si="6"/>
        <v>1</v>
      </c>
      <c r="Q49" s="7">
        <f t="shared" si="7"/>
        <v>86859</v>
      </c>
      <c r="W49" s="124">
        <f t="shared" si="8"/>
        <v>47496585.774321601</v>
      </c>
      <c r="X49">
        <f t="shared" si="9"/>
        <v>0</v>
      </c>
    </row>
    <row r="50" spans="1:24">
      <c r="A50" s="23" t="s">
        <v>54</v>
      </c>
      <c r="B50" s="35" t="s">
        <v>49</v>
      </c>
      <c r="C50" s="125">
        <v>182760</v>
      </c>
      <c r="D50" s="132">
        <v>54813946804</v>
      </c>
      <c r="E50" s="116">
        <f t="shared" si="13"/>
        <v>299923.10573429632</v>
      </c>
      <c r="F50" s="134">
        <v>40865741282</v>
      </c>
      <c r="G50" s="117">
        <f t="shared" si="14"/>
        <v>223603.31189538192</v>
      </c>
      <c r="H50" s="98"/>
      <c r="I50" s="136">
        <v>4.1193</v>
      </c>
      <c r="J50" s="134">
        <v>168338248.06294259</v>
      </c>
      <c r="K50" s="120">
        <f t="shared" si="15"/>
        <v>921.08912269064672</v>
      </c>
      <c r="L50" s="122">
        <f t="shared" si="3"/>
        <v>408657412.81999999</v>
      </c>
      <c r="M50" s="116">
        <f t="shared" si="4"/>
        <v>240319164.7570574</v>
      </c>
      <c r="N50" s="123">
        <f t="shared" si="5"/>
        <v>1314.9439962631725</v>
      </c>
      <c r="O50" s="5"/>
      <c r="P50" s="5">
        <f t="shared" si="6"/>
        <v>1</v>
      </c>
      <c r="Q50" s="7">
        <f t="shared" si="7"/>
        <v>182760</v>
      </c>
      <c r="W50" s="124">
        <f t="shared" si="8"/>
        <v>168338248.06294259</v>
      </c>
      <c r="X50">
        <f t="shared" si="9"/>
        <v>0</v>
      </c>
    </row>
    <row r="51" spans="1:24">
      <c r="A51" s="23" t="s">
        <v>465</v>
      </c>
      <c r="B51" s="35" t="s">
        <v>49</v>
      </c>
      <c r="C51" s="125">
        <v>41217</v>
      </c>
      <c r="D51" s="132">
        <v>7320057915</v>
      </c>
      <c r="E51" s="116">
        <f t="shared" si="13"/>
        <v>177598.02787684693</v>
      </c>
      <c r="F51" s="134">
        <v>5866580730</v>
      </c>
      <c r="G51" s="117">
        <f t="shared" si="14"/>
        <v>142334.00611398209</v>
      </c>
      <c r="H51" s="98"/>
      <c r="I51" s="136">
        <v>7</v>
      </c>
      <c r="J51" s="134">
        <v>41066065.109999999</v>
      </c>
      <c r="K51" s="120">
        <f t="shared" si="15"/>
        <v>996.33804279787466</v>
      </c>
      <c r="L51" s="122">
        <f t="shared" si="3"/>
        <v>58665807.300000004</v>
      </c>
      <c r="M51" s="116">
        <f t="shared" si="4"/>
        <v>17599742.190000005</v>
      </c>
      <c r="N51" s="123">
        <f t="shared" si="5"/>
        <v>427.00201834194638</v>
      </c>
      <c r="O51" s="5"/>
      <c r="P51" s="5">
        <f t="shared" si="6"/>
        <v>1</v>
      </c>
      <c r="Q51" s="7">
        <f t="shared" si="7"/>
        <v>41217</v>
      </c>
      <c r="W51" s="124">
        <f t="shared" si="8"/>
        <v>41066065.109999999</v>
      </c>
      <c r="X51">
        <f t="shared" si="9"/>
        <v>0</v>
      </c>
    </row>
    <row r="52" spans="1:24">
      <c r="A52" s="23" t="s">
        <v>55</v>
      </c>
      <c r="B52" s="35" t="s">
        <v>49</v>
      </c>
      <c r="C52" s="125">
        <v>1987</v>
      </c>
      <c r="D52" s="132">
        <v>1707675893</v>
      </c>
      <c r="E52" s="116">
        <f t="shared" si="13"/>
        <v>859424.20382486156</v>
      </c>
      <c r="F52" s="134">
        <v>1442228423</v>
      </c>
      <c r="G52" s="117">
        <f t="shared" si="14"/>
        <v>725832.12028183194</v>
      </c>
      <c r="H52" s="98"/>
      <c r="I52" s="136">
        <v>3.5</v>
      </c>
      <c r="J52" s="134">
        <v>5047799.4804999996</v>
      </c>
      <c r="K52" s="120">
        <f t="shared" si="15"/>
        <v>2540.4124209864117</v>
      </c>
      <c r="L52" s="122">
        <f t="shared" si="3"/>
        <v>14422284.23</v>
      </c>
      <c r="M52" s="116">
        <f t="shared" si="4"/>
        <v>9374484.7495000008</v>
      </c>
      <c r="N52" s="123">
        <f t="shared" si="5"/>
        <v>4717.9087818319076</v>
      </c>
      <c r="O52" s="5"/>
      <c r="P52" s="5">
        <f t="shared" si="6"/>
        <v>1</v>
      </c>
      <c r="Q52" s="7">
        <f t="shared" si="7"/>
        <v>1987</v>
      </c>
      <c r="W52" s="124">
        <f t="shared" si="8"/>
        <v>5047799.4805000005</v>
      </c>
      <c r="X52">
        <f t="shared" si="9"/>
        <v>0</v>
      </c>
    </row>
    <row r="53" spans="1:24">
      <c r="A53" s="23" t="s">
        <v>56</v>
      </c>
      <c r="B53" s="35" t="s">
        <v>49</v>
      </c>
      <c r="C53" s="125">
        <v>153067</v>
      </c>
      <c r="D53" s="132">
        <v>25974286024</v>
      </c>
      <c r="E53" s="116">
        <f t="shared" si="13"/>
        <v>169692.26563531003</v>
      </c>
      <c r="F53" s="134">
        <v>18277596863</v>
      </c>
      <c r="G53" s="117">
        <f t="shared" si="14"/>
        <v>119409.12713386948</v>
      </c>
      <c r="H53" s="98"/>
      <c r="I53" s="136">
        <v>7.4664999999999999</v>
      </c>
      <c r="J53" s="134">
        <v>136469676.97758949</v>
      </c>
      <c r="K53" s="120">
        <f t="shared" si="15"/>
        <v>891.56824774503639</v>
      </c>
      <c r="L53" s="122">
        <f t="shared" si="3"/>
        <v>182775968.63</v>
      </c>
      <c r="M53" s="116">
        <f t="shared" si="4"/>
        <v>46306291.652410507</v>
      </c>
      <c r="N53" s="123">
        <f t="shared" si="5"/>
        <v>302.52302359365837</v>
      </c>
      <c r="O53" s="5"/>
      <c r="P53" s="5">
        <f t="shared" si="6"/>
        <v>1</v>
      </c>
      <c r="Q53" s="7">
        <f t="shared" si="7"/>
        <v>153067</v>
      </c>
      <c r="W53" s="124">
        <f t="shared" si="8"/>
        <v>136469676.97758949</v>
      </c>
      <c r="X53">
        <f t="shared" si="9"/>
        <v>0</v>
      </c>
    </row>
    <row r="54" spans="1:24">
      <c r="A54" s="23" t="s">
        <v>57</v>
      </c>
      <c r="B54" s="35" t="s">
        <v>49</v>
      </c>
      <c r="C54" s="125">
        <v>35954</v>
      </c>
      <c r="D54" s="132">
        <v>2394614101</v>
      </c>
      <c r="E54" s="116">
        <f t="shared" si="13"/>
        <v>66602.161122545469</v>
      </c>
      <c r="F54" s="134">
        <v>1348425902</v>
      </c>
      <c r="G54" s="117">
        <f t="shared" si="14"/>
        <v>37504.197085164378</v>
      </c>
      <c r="H54" s="98"/>
      <c r="I54" s="136">
        <v>8.6</v>
      </c>
      <c r="J54" s="134">
        <v>11596462.757199999</v>
      </c>
      <c r="K54" s="120">
        <f t="shared" si="15"/>
        <v>322.53609493241362</v>
      </c>
      <c r="L54" s="122">
        <f t="shared" si="3"/>
        <v>13484259.02</v>
      </c>
      <c r="M54" s="116">
        <f t="shared" si="4"/>
        <v>1887796.2628000006</v>
      </c>
      <c r="N54" s="123">
        <f t="shared" si="5"/>
        <v>52.505875919230142</v>
      </c>
      <c r="O54" s="5"/>
      <c r="P54" s="5">
        <f t="shared" si="6"/>
        <v>1</v>
      </c>
      <c r="Q54" s="7">
        <f t="shared" si="7"/>
        <v>35954</v>
      </c>
      <c r="W54" s="124">
        <f t="shared" si="8"/>
        <v>11596462.757200001</v>
      </c>
      <c r="X54">
        <f t="shared" si="9"/>
        <v>0</v>
      </c>
    </row>
    <row r="55" spans="1:24">
      <c r="A55" s="23" t="s">
        <v>560</v>
      </c>
      <c r="B55" s="35" t="s">
        <v>49</v>
      </c>
      <c r="C55" s="125">
        <v>6198</v>
      </c>
      <c r="D55" s="132">
        <v>3208489891</v>
      </c>
      <c r="E55" s="116">
        <f t="shared" si="13"/>
        <v>517665.35834140045</v>
      </c>
      <c r="F55" s="134">
        <v>2698422605</v>
      </c>
      <c r="G55" s="117">
        <f t="shared" si="14"/>
        <v>435369.89432074863</v>
      </c>
      <c r="H55" s="98"/>
      <c r="I55" s="136">
        <v>3.5</v>
      </c>
      <c r="J55" s="134">
        <v>9444479.1174999997</v>
      </c>
      <c r="K55" s="120">
        <f t="shared" si="15"/>
        <v>1523.7946301226202</v>
      </c>
      <c r="L55" s="122">
        <f t="shared" si="3"/>
        <v>26984226.050000001</v>
      </c>
      <c r="M55" s="116">
        <f t="shared" si="4"/>
        <v>17539746.932500001</v>
      </c>
      <c r="N55" s="123">
        <f t="shared" si="5"/>
        <v>2829.9043130848663</v>
      </c>
      <c r="O55" s="5"/>
      <c r="P55" s="5">
        <f t="shared" si="6"/>
        <v>1</v>
      </c>
      <c r="Q55" s="7">
        <f t="shared" si="7"/>
        <v>6198</v>
      </c>
      <c r="W55" s="124">
        <f t="shared" si="8"/>
        <v>9444479.1174999997</v>
      </c>
      <c r="X55">
        <f t="shared" si="9"/>
        <v>0</v>
      </c>
    </row>
    <row r="56" spans="1:24">
      <c r="A56" s="23" t="s">
        <v>58</v>
      </c>
      <c r="B56" s="35" t="s">
        <v>49</v>
      </c>
      <c r="C56" s="125">
        <v>74482</v>
      </c>
      <c r="D56" s="132">
        <v>5119692054</v>
      </c>
      <c r="E56" s="116">
        <f t="shared" si="13"/>
        <v>68737.30638275019</v>
      </c>
      <c r="F56" s="134">
        <v>3009012066</v>
      </c>
      <c r="G56" s="117">
        <f t="shared" si="14"/>
        <v>40399.184581509624</v>
      </c>
      <c r="H56" s="98"/>
      <c r="I56" s="136">
        <v>8.4898000000000007</v>
      </c>
      <c r="J56" s="134">
        <v>25545910.637926802</v>
      </c>
      <c r="K56" s="120">
        <f t="shared" si="15"/>
        <v>342.98099726010048</v>
      </c>
      <c r="L56" s="122">
        <f t="shared" si="3"/>
        <v>30090120.66</v>
      </c>
      <c r="M56" s="116">
        <f t="shared" si="4"/>
        <v>4544210.0220731981</v>
      </c>
      <c r="N56" s="123">
        <f t="shared" si="5"/>
        <v>61.01084855499581</v>
      </c>
      <c r="O56" s="5"/>
      <c r="P56" s="5">
        <f t="shared" si="6"/>
        <v>1</v>
      </c>
      <c r="Q56" s="7">
        <f t="shared" si="7"/>
        <v>74482</v>
      </c>
      <c r="W56" s="124">
        <f t="shared" si="8"/>
        <v>25545910.637926802</v>
      </c>
      <c r="X56">
        <f t="shared" si="9"/>
        <v>0</v>
      </c>
    </row>
    <row r="57" spans="1:24">
      <c r="A57" s="23" t="s">
        <v>59</v>
      </c>
      <c r="B57" s="35" t="s">
        <v>49</v>
      </c>
      <c r="C57" s="125">
        <v>33</v>
      </c>
      <c r="D57" s="147">
        <v>9802042</v>
      </c>
      <c r="E57" s="116">
        <f t="shared" si="13"/>
        <v>297031.57575757575</v>
      </c>
      <c r="F57" s="134">
        <v>7552898</v>
      </c>
      <c r="G57" s="117">
        <f t="shared" si="14"/>
        <v>228875.69696969696</v>
      </c>
      <c r="H57" s="98"/>
      <c r="I57" s="136">
        <v>4.7939999999999996</v>
      </c>
      <c r="J57" s="134">
        <v>36208.593011999998</v>
      </c>
      <c r="K57" s="120">
        <f t="shared" si="15"/>
        <v>1097.2300912727271</v>
      </c>
      <c r="L57" s="122">
        <f t="shared" si="3"/>
        <v>75528.98</v>
      </c>
      <c r="M57" s="116">
        <f t="shared" si="4"/>
        <v>39320.386987999998</v>
      </c>
      <c r="N57" s="123">
        <f t="shared" si="5"/>
        <v>1191.5268784242423</v>
      </c>
      <c r="O57" s="5"/>
      <c r="P57" s="5">
        <f t="shared" si="6"/>
        <v>1</v>
      </c>
      <c r="Q57" s="7">
        <f t="shared" si="7"/>
        <v>33</v>
      </c>
      <c r="W57" s="124">
        <f t="shared" si="8"/>
        <v>36208.593011999998</v>
      </c>
      <c r="X57">
        <f t="shared" si="9"/>
        <v>0</v>
      </c>
    </row>
    <row r="58" spans="1:24">
      <c r="A58" s="23" t="s">
        <v>60</v>
      </c>
      <c r="B58" s="35" t="s">
        <v>49</v>
      </c>
      <c r="C58" s="125">
        <v>10486</v>
      </c>
      <c r="D58" s="132">
        <v>3537399716</v>
      </c>
      <c r="E58" s="116">
        <f t="shared" si="13"/>
        <v>337345.00438680145</v>
      </c>
      <c r="F58" s="134">
        <v>2598129239</v>
      </c>
      <c r="G58" s="117">
        <f t="shared" si="14"/>
        <v>247771.24156017546</v>
      </c>
      <c r="H58" s="98"/>
      <c r="I58" s="136">
        <v>3.5893000000000002</v>
      </c>
      <c r="J58" s="134">
        <v>9325465.2775426991</v>
      </c>
      <c r="K58" s="120">
        <f t="shared" si="15"/>
        <v>889.32531733193775</v>
      </c>
      <c r="L58" s="122">
        <f t="shared" si="3"/>
        <v>25981292.390000001</v>
      </c>
      <c r="M58" s="116">
        <f t="shared" si="4"/>
        <v>16655827.112457301</v>
      </c>
      <c r="N58" s="123">
        <f t="shared" si="5"/>
        <v>1588.387098269817</v>
      </c>
      <c r="O58" s="5"/>
      <c r="P58" s="5">
        <f t="shared" si="6"/>
        <v>1</v>
      </c>
      <c r="Q58" s="7">
        <f t="shared" si="7"/>
        <v>10486</v>
      </c>
      <c r="W58" s="124">
        <f t="shared" si="8"/>
        <v>9325465.277542701</v>
      </c>
      <c r="X58">
        <f t="shared" si="9"/>
        <v>0</v>
      </c>
    </row>
    <row r="59" spans="1:24">
      <c r="A59" s="23" t="s">
        <v>61</v>
      </c>
      <c r="B59" s="35" t="s">
        <v>49</v>
      </c>
      <c r="C59" s="125">
        <v>58712</v>
      </c>
      <c r="D59" s="132">
        <v>5681596807</v>
      </c>
      <c r="E59" s="116">
        <f t="shared" si="13"/>
        <v>96770.622819866461</v>
      </c>
      <c r="F59" s="134">
        <v>3518005021</v>
      </c>
      <c r="G59" s="117">
        <f t="shared" si="14"/>
        <v>59919.693095108327</v>
      </c>
      <c r="H59" s="98"/>
      <c r="I59" s="136">
        <v>7.1170999999999998</v>
      </c>
      <c r="J59" s="134">
        <v>25037993.5349591</v>
      </c>
      <c r="K59" s="120">
        <f t="shared" si="15"/>
        <v>426.45444772719549</v>
      </c>
      <c r="L59" s="122">
        <f t="shared" si="3"/>
        <v>35180050.210000001</v>
      </c>
      <c r="M59" s="116">
        <f t="shared" si="4"/>
        <v>10142056.675040901</v>
      </c>
      <c r="N59" s="123">
        <f t="shared" si="5"/>
        <v>172.7424832238878</v>
      </c>
      <c r="O59" s="5"/>
      <c r="P59" s="5">
        <f t="shared" si="6"/>
        <v>1</v>
      </c>
      <c r="Q59" s="7">
        <f t="shared" si="7"/>
        <v>58712</v>
      </c>
      <c r="W59" s="124">
        <f t="shared" si="8"/>
        <v>25037993.534959096</v>
      </c>
      <c r="X59">
        <f t="shared" si="9"/>
        <v>0</v>
      </c>
    </row>
    <row r="60" spans="1:24">
      <c r="A60" s="23" t="s">
        <v>62</v>
      </c>
      <c r="B60" s="35" t="s">
        <v>49</v>
      </c>
      <c r="C60" s="125">
        <v>134721</v>
      </c>
      <c r="D60" s="132">
        <v>16187326291</v>
      </c>
      <c r="E60" s="116">
        <f t="shared" si="13"/>
        <v>120154.43984976358</v>
      </c>
      <c r="F60" s="134">
        <v>10786228535</v>
      </c>
      <c r="G60" s="117">
        <f t="shared" si="14"/>
        <v>80063.453618960673</v>
      </c>
      <c r="H60" s="98"/>
      <c r="I60" s="136">
        <v>7.1172000000000004</v>
      </c>
      <c r="J60" s="134">
        <v>76767745.729302004</v>
      </c>
      <c r="K60" s="120">
        <f t="shared" si="15"/>
        <v>569.82761209686691</v>
      </c>
      <c r="L60" s="122">
        <f t="shared" si="3"/>
        <v>107862285.35000001</v>
      </c>
      <c r="M60" s="116">
        <f t="shared" si="4"/>
        <v>31094539.620698005</v>
      </c>
      <c r="N60" s="123">
        <f t="shared" si="5"/>
        <v>230.80692409273985</v>
      </c>
      <c r="O60" s="5"/>
      <c r="P60" s="5">
        <f t="shared" si="6"/>
        <v>1</v>
      </c>
      <c r="Q60" s="7">
        <f t="shared" si="7"/>
        <v>134721</v>
      </c>
      <c r="W60" s="124">
        <f t="shared" si="8"/>
        <v>76767745.729302004</v>
      </c>
      <c r="X60">
        <f t="shared" si="9"/>
        <v>0</v>
      </c>
    </row>
    <row r="61" spans="1:24">
      <c r="A61" s="23" t="s">
        <v>63</v>
      </c>
      <c r="B61" s="35" t="s">
        <v>49</v>
      </c>
      <c r="C61" s="125">
        <v>44794</v>
      </c>
      <c r="D61" s="132">
        <v>3031753538</v>
      </c>
      <c r="E61" s="116">
        <f t="shared" si="13"/>
        <v>67682.134616243246</v>
      </c>
      <c r="F61" s="134">
        <v>1727171179</v>
      </c>
      <c r="G61" s="117">
        <f t="shared" si="14"/>
        <v>38558.092132874939</v>
      </c>
      <c r="H61" s="98"/>
      <c r="I61" s="136">
        <v>7.4</v>
      </c>
      <c r="J61" s="134">
        <v>12781066.7246</v>
      </c>
      <c r="K61" s="120">
        <f t="shared" si="15"/>
        <v>285.32988178327457</v>
      </c>
      <c r="L61" s="122">
        <f t="shared" si="3"/>
        <v>17271711.789999999</v>
      </c>
      <c r="M61" s="116">
        <f t="shared" si="4"/>
        <v>4490645.0653999988</v>
      </c>
      <c r="N61" s="123">
        <f t="shared" si="5"/>
        <v>100.25103954547481</v>
      </c>
      <c r="O61" s="5"/>
      <c r="P61" s="5">
        <f t="shared" si="6"/>
        <v>1</v>
      </c>
      <c r="Q61" s="7">
        <f t="shared" si="7"/>
        <v>44794</v>
      </c>
      <c r="W61" s="124">
        <f t="shared" si="8"/>
        <v>12781066.7246</v>
      </c>
      <c r="X61">
        <f t="shared" si="9"/>
        <v>0</v>
      </c>
    </row>
    <row r="62" spans="1:24">
      <c r="A62" s="23" t="s">
        <v>64</v>
      </c>
      <c r="B62" s="35" t="s">
        <v>49</v>
      </c>
      <c r="C62" s="125">
        <v>44229</v>
      </c>
      <c r="D62" s="132">
        <v>5716985465</v>
      </c>
      <c r="E62" s="116">
        <f t="shared" si="13"/>
        <v>129258.754776278</v>
      </c>
      <c r="F62" s="134">
        <v>3745137411</v>
      </c>
      <c r="G62" s="117">
        <f t="shared" si="14"/>
        <v>84676.058943227297</v>
      </c>
      <c r="H62" s="98"/>
      <c r="I62" s="136">
        <v>5.891</v>
      </c>
      <c r="J62" s="134">
        <v>22062604.488201</v>
      </c>
      <c r="K62" s="120">
        <f t="shared" si="15"/>
        <v>498.82666323455197</v>
      </c>
      <c r="L62" s="122">
        <f t="shared" si="3"/>
        <v>37451374.109999999</v>
      </c>
      <c r="M62" s="116">
        <f t="shared" si="4"/>
        <v>15388769.621799</v>
      </c>
      <c r="N62" s="123">
        <f t="shared" si="5"/>
        <v>347.93392619772095</v>
      </c>
      <c r="O62" s="5"/>
      <c r="P62" s="5">
        <f t="shared" si="6"/>
        <v>1</v>
      </c>
      <c r="Q62" s="7">
        <f t="shared" si="7"/>
        <v>44229</v>
      </c>
      <c r="W62" s="124">
        <f t="shared" si="8"/>
        <v>22062604.488201</v>
      </c>
      <c r="X62">
        <f t="shared" si="9"/>
        <v>0</v>
      </c>
    </row>
    <row r="63" spans="1:24">
      <c r="A63" s="23" t="s">
        <v>65</v>
      </c>
      <c r="B63" s="35" t="s">
        <v>49</v>
      </c>
      <c r="C63" s="125">
        <v>34670</v>
      </c>
      <c r="D63" s="132">
        <v>7203305942</v>
      </c>
      <c r="E63" s="116">
        <f t="shared" si="13"/>
        <v>207767.69374098643</v>
      </c>
      <c r="F63" s="134">
        <v>5710694018</v>
      </c>
      <c r="G63" s="117">
        <f t="shared" si="14"/>
        <v>164715.72016152294</v>
      </c>
      <c r="H63" s="98"/>
      <c r="I63" s="136">
        <v>4.2979000000000003</v>
      </c>
      <c r="J63" s="134">
        <v>24543991.8199622</v>
      </c>
      <c r="K63" s="120">
        <f t="shared" si="15"/>
        <v>707.93169368220936</v>
      </c>
      <c r="L63" s="122">
        <f t="shared" si="3"/>
        <v>57106940.18</v>
      </c>
      <c r="M63" s="116">
        <f t="shared" si="4"/>
        <v>32562948.3600378</v>
      </c>
      <c r="N63" s="123">
        <f t="shared" si="5"/>
        <v>939.22550793301991</v>
      </c>
      <c r="O63" s="5"/>
      <c r="P63" s="5">
        <f t="shared" si="6"/>
        <v>1</v>
      </c>
      <c r="Q63" s="7">
        <f t="shared" si="7"/>
        <v>34670</v>
      </c>
      <c r="W63" s="124">
        <f t="shared" si="8"/>
        <v>24543991.819962204</v>
      </c>
      <c r="X63">
        <f t="shared" si="9"/>
        <v>0</v>
      </c>
    </row>
    <row r="64" spans="1:24">
      <c r="A64" s="23" t="s">
        <v>66</v>
      </c>
      <c r="B64" s="35" t="s">
        <v>49</v>
      </c>
      <c r="C64" s="125">
        <v>6260</v>
      </c>
      <c r="D64" s="132">
        <v>950716212</v>
      </c>
      <c r="E64" s="116">
        <f t="shared" si="13"/>
        <v>151871.59936102235</v>
      </c>
      <c r="F64" s="134">
        <v>811094169</v>
      </c>
      <c r="G64" s="117">
        <f t="shared" si="14"/>
        <v>129567.75862619808</v>
      </c>
      <c r="H64" s="98"/>
      <c r="I64" s="136">
        <v>8.5</v>
      </c>
      <c r="J64" s="134">
        <v>6894300.4364999998</v>
      </c>
      <c r="K64" s="120">
        <f t="shared" si="15"/>
        <v>1101.3259483226836</v>
      </c>
      <c r="L64" s="122">
        <f t="shared" si="3"/>
        <v>8110941.6900000004</v>
      </c>
      <c r="M64" s="116">
        <f t="shared" si="4"/>
        <v>1216641.2535000006</v>
      </c>
      <c r="N64" s="123">
        <f t="shared" si="5"/>
        <v>194.35163793929721</v>
      </c>
      <c r="O64" s="5"/>
      <c r="P64" s="5">
        <f t="shared" si="6"/>
        <v>1</v>
      </c>
      <c r="Q64" s="7">
        <f t="shared" si="7"/>
        <v>6260</v>
      </c>
      <c r="W64" s="124">
        <f t="shared" si="8"/>
        <v>6894300.4365000008</v>
      </c>
      <c r="X64">
        <f t="shared" si="9"/>
        <v>0</v>
      </c>
    </row>
    <row r="65" spans="1:24">
      <c r="A65" s="23" t="s">
        <v>67</v>
      </c>
      <c r="B65" s="35" t="s">
        <v>49</v>
      </c>
      <c r="C65" s="125">
        <v>171178</v>
      </c>
      <c r="D65" s="132">
        <v>21804654060</v>
      </c>
      <c r="E65" s="116">
        <f t="shared" si="13"/>
        <v>127380.00245358632</v>
      </c>
      <c r="F65" s="134">
        <v>14156186021</v>
      </c>
      <c r="G65" s="117">
        <f t="shared" si="14"/>
        <v>82698.629619460451</v>
      </c>
      <c r="H65" s="98"/>
      <c r="I65" s="136">
        <v>5.6736000000000004</v>
      </c>
      <c r="J65" s="134">
        <v>80316537.008745611</v>
      </c>
      <c r="K65" s="120">
        <f t="shared" si="15"/>
        <v>469.19894500897084</v>
      </c>
      <c r="L65" s="122">
        <f t="shared" si="3"/>
        <v>141561860.21000001</v>
      </c>
      <c r="M65" s="116">
        <f t="shared" si="4"/>
        <v>61245323.201254398</v>
      </c>
      <c r="N65" s="123">
        <f t="shared" si="5"/>
        <v>357.78735118563367</v>
      </c>
      <c r="O65" s="5"/>
      <c r="P65" s="5">
        <f t="shared" si="6"/>
        <v>1</v>
      </c>
      <c r="Q65" s="7">
        <f t="shared" si="7"/>
        <v>171178</v>
      </c>
      <c r="W65" s="124">
        <f t="shared" si="8"/>
        <v>80316537.008745596</v>
      </c>
      <c r="X65">
        <f t="shared" si="9"/>
        <v>0</v>
      </c>
    </row>
    <row r="66" spans="1:24">
      <c r="A66" s="23" t="s">
        <v>68</v>
      </c>
      <c r="B66" s="35" t="s">
        <v>49</v>
      </c>
      <c r="C66" s="125">
        <v>91750</v>
      </c>
      <c r="D66" s="132">
        <v>14328635654</v>
      </c>
      <c r="E66" s="116">
        <f t="shared" si="13"/>
        <v>156170.41584741144</v>
      </c>
      <c r="F66" s="134">
        <v>10046257646</v>
      </c>
      <c r="G66" s="117">
        <f t="shared" si="14"/>
        <v>109495.99614168938</v>
      </c>
      <c r="H66" s="98"/>
      <c r="I66" s="136">
        <v>5.8</v>
      </c>
      <c r="J66" s="134">
        <v>58268294.346799992</v>
      </c>
      <c r="K66" s="120">
        <f t="shared" si="15"/>
        <v>635.07677762179833</v>
      </c>
      <c r="L66" s="122">
        <f t="shared" si="3"/>
        <v>100462576.46000001</v>
      </c>
      <c r="M66" s="116">
        <f t="shared" si="4"/>
        <v>42194282.113200016</v>
      </c>
      <c r="N66" s="123">
        <f t="shared" si="5"/>
        <v>459.88318379509553</v>
      </c>
      <c r="O66" s="5"/>
      <c r="P66" s="5">
        <f t="shared" si="6"/>
        <v>1</v>
      </c>
      <c r="Q66" s="7">
        <f t="shared" si="7"/>
        <v>91750</v>
      </c>
      <c r="W66" s="124">
        <f t="shared" si="8"/>
        <v>58268294.346799999</v>
      </c>
      <c r="X66">
        <f t="shared" si="9"/>
        <v>0</v>
      </c>
    </row>
    <row r="67" spans="1:24">
      <c r="A67" s="23" t="s">
        <v>69</v>
      </c>
      <c r="B67" s="35" t="s">
        <v>49</v>
      </c>
      <c r="C67" s="125">
        <v>112046</v>
      </c>
      <c r="D67" s="132">
        <v>19538087228</v>
      </c>
      <c r="E67" s="116">
        <f t="shared" si="13"/>
        <v>174375.58884743767</v>
      </c>
      <c r="F67" s="134">
        <v>14374579899</v>
      </c>
      <c r="G67" s="117">
        <f t="shared" si="14"/>
        <v>128291.77212037913</v>
      </c>
      <c r="H67" s="98"/>
      <c r="I67" s="136">
        <v>5.1875</v>
      </c>
      <c r="J67" s="134">
        <v>74568133.226062506</v>
      </c>
      <c r="K67" s="120">
        <f t="shared" si="15"/>
        <v>665.51356787446684</v>
      </c>
      <c r="L67" s="122">
        <f t="shared" si="3"/>
        <v>143745798.99000001</v>
      </c>
      <c r="M67" s="116">
        <f t="shared" si="4"/>
        <v>69177665.763937503</v>
      </c>
      <c r="N67" s="123">
        <f t="shared" si="5"/>
        <v>617.40415332932457</v>
      </c>
      <c r="O67" s="5"/>
      <c r="P67" s="5">
        <f t="shared" si="6"/>
        <v>1</v>
      </c>
      <c r="Q67" s="7">
        <f t="shared" si="7"/>
        <v>112046</v>
      </c>
      <c r="W67" s="124">
        <f t="shared" si="8"/>
        <v>74568133.226062506</v>
      </c>
      <c r="X67">
        <f t="shared" si="9"/>
        <v>0</v>
      </c>
    </row>
    <row r="68" spans="1:24">
      <c r="A68" s="23" t="s">
        <v>70</v>
      </c>
      <c r="B68" s="35" t="s">
        <v>49</v>
      </c>
      <c r="C68" s="125">
        <v>540</v>
      </c>
      <c r="D68" s="132">
        <v>329284809</v>
      </c>
      <c r="E68" s="116">
        <f t="shared" si="13"/>
        <v>609786.68333333335</v>
      </c>
      <c r="F68" s="134">
        <v>236431560</v>
      </c>
      <c r="G68" s="117">
        <f t="shared" si="14"/>
        <v>437836.22222222225</v>
      </c>
      <c r="H68" s="98"/>
      <c r="I68" s="136">
        <v>7.25</v>
      </c>
      <c r="J68" s="134">
        <v>1714128.81</v>
      </c>
      <c r="K68" s="120">
        <f t="shared" si="15"/>
        <v>3174.3126111111114</v>
      </c>
      <c r="L68" s="122">
        <f t="shared" si="3"/>
        <v>2364315.6</v>
      </c>
      <c r="M68" s="116">
        <f t="shared" si="4"/>
        <v>650186.79</v>
      </c>
      <c r="N68" s="123">
        <f t="shared" si="5"/>
        <v>1204.0496111111113</v>
      </c>
      <c r="O68" s="5"/>
      <c r="P68" s="5">
        <f t="shared" si="6"/>
        <v>1</v>
      </c>
      <c r="Q68" s="7">
        <f t="shared" si="7"/>
        <v>540</v>
      </c>
      <c r="W68" s="124">
        <f t="shared" si="8"/>
        <v>1714128.81</v>
      </c>
      <c r="X68">
        <f t="shared" si="9"/>
        <v>0</v>
      </c>
    </row>
    <row r="69" spans="1:24">
      <c r="A69" s="23" t="s">
        <v>450</v>
      </c>
      <c r="B69" s="35" t="s">
        <v>49</v>
      </c>
      <c r="C69" s="125">
        <v>7607</v>
      </c>
      <c r="D69" s="132">
        <v>2478349354</v>
      </c>
      <c r="E69" s="116">
        <f t="shared" si="13"/>
        <v>325798.52162481926</v>
      </c>
      <c r="F69" s="134">
        <v>1555948008</v>
      </c>
      <c r="G69" s="117">
        <f t="shared" si="14"/>
        <v>204541.60746680689</v>
      </c>
      <c r="H69" s="98"/>
      <c r="I69" s="136">
        <v>4.25</v>
      </c>
      <c r="J69" s="134">
        <v>6612779.034</v>
      </c>
      <c r="K69" s="120">
        <f t="shared" si="15"/>
        <v>869.30183173392925</v>
      </c>
      <c r="L69" s="122">
        <f t="shared" si="3"/>
        <v>15559480.08</v>
      </c>
      <c r="M69" s="116">
        <f t="shared" si="4"/>
        <v>8946701.0460000001</v>
      </c>
      <c r="N69" s="123">
        <f t="shared" si="5"/>
        <v>1176.1142429341396</v>
      </c>
      <c r="O69" s="5"/>
      <c r="P69" s="5">
        <f t="shared" si="6"/>
        <v>1</v>
      </c>
      <c r="Q69" s="7">
        <f t="shared" si="7"/>
        <v>7607</v>
      </c>
      <c r="W69" s="124">
        <f t="shared" si="8"/>
        <v>6612779.0340000009</v>
      </c>
      <c r="X69">
        <f t="shared" si="9"/>
        <v>0</v>
      </c>
    </row>
    <row r="70" spans="1:24">
      <c r="A70" s="23" t="s">
        <v>71</v>
      </c>
      <c r="B70" s="35" t="s">
        <v>49</v>
      </c>
      <c r="C70" s="125">
        <v>97335</v>
      </c>
      <c r="D70" s="132">
        <v>12240378169</v>
      </c>
      <c r="E70" s="116">
        <f t="shared" si="13"/>
        <v>125755.15661375661</v>
      </c>
      <c r="F70" s="134">
        <v>8126027982</v>
      </c>
      <c r="G70" s="117">
        <f t="shared" si="14"/>
        <v>83485.159315765137</v>
      </c>
      <c r="H70" s="98"/>
      <c r="I70" s="136">
        <v>6.0542999999999996</v>
      </c>
      <c r="J70" s="134">
        <v>49197411.2114226</v>
      </c>
      <c r="K70" s="120">
        <f t="shared" si="15"/>
        <v>505.4442000454369</v>
      </c>
      <c r="L70" s="122">
        <f t="shared" ref="L70:L132" si="16">(F70*0.01)</f>
        <v>81260279.820000008</v>
      </c>
      <c r="M70" s="116">
        <f t="shared" ref="M70:M132" si="17">(L70-J70)</f>
        <v>32062868.608577408</v>
      </c>
      <c r="N70" s="123">
        <f t="shared" ref="N70:N132" si="18">(M70/C70)</f>
        <v>329.40739311221461</v>
      </c>
      <c r="O70" s="5"/>
      <c r="P70" s="5">
        <f t="shared" ref="P70:P132" si="19">IF(I70&gt;0,1,0)</f>
        <v>1</v>
      </c>
      <c r="Q70" s="7">
        <f t="shared" ref="Q70:Q132" si="20">IF(I70&gt;0,C70,0)</f>
        <v>97335</v>
      </c>
      <c r="W70" s="124">
        <f t="shared" si="8"/>
        <v>49197411.211422592</v>
      </c>
      <c r="X70">
        <f t="shared" si="9"/>
        <v>0</v>
      </c>
    </row>
    <row r="71" spans="1:24">
      <c r="A71" s="23" t="s">
        <v>72</v>
      </c>
      <c r="B71" s="35" t="s">
        <v>49</v>
      </c>
      <c r="C71" s="125">
        <v>71897</v>
      </c>
      <c r="D71" s="132">
        <v>7284599983</v>
      </c>
      <c r="E71" s="116">
        <f t="shared" si="13"/>
        <v>101319.94357205447</v>
      </c>
      <c r="F71" s="154">
        <v>4382853767</v>
      </c>
      <c r="G71" s="117">
        <f t="shared" si="14"/>
        <v>60960.175904418822</v>
      </c>
      <c r="H71" s="98"/>
      <c r="I71" s="136">
        <v>7.2899000000000003</v>
      </c>
      <c r="J71" s="134">
        <v>31950565.676053304</v>
      </c>
      <c r="K71" s="120">
        <f t="shared" si="15"/>
        <v>444.39358632562283</v>
      </c>
      <c r="L71" s="122">
        <f t="shared" si="16"/>
        <v>43828537.670000002</v>
      </c>
      <c r="M71" s="116">
        <f t="shared" si="17"/>
        <v>11877971.993946698</v>
      </c>
      <c r="N71" s="123">
        <f t="shared" si="18"/>
        <v>165.20817271856541</v>
      </c>
      <c r="O71" s="5"/>
      <c r="P71" s="5">
        <f t="shared" si="19"/>
        <v>1</v>
      </c>
      <c r="Q71" s="7">
        <f t="shared" si="20"/>
        <v>71897</v>
      </c>
      <c r="W71" s="124">
        <f t="shared" ref="W71:W133" si="21">F71*(I71/1000)</f>
        <v>31950565.6760533</v>
      </c>
      <c r="X71">
        <f t="shared" ref="X71:X133" si="22">IF(W71=J71,0,1)</f>
        <v>0</v>
      </c>
    </row>
    <row r="72" spans="1:24">
      <c r="A72" s="23" t="s">
        <v>507</v>
      </c>
      <c r="B72" s="35" t="s">
        <v>49</v>
      </c>
      <c r="C72" s="125">
        <v>15130</v>
      </c>
      <c r="D72" s="132">
        <v>1220761584</v>
      </c>
      <c r="E72" s="116">
        <f t="shared" si="13"/>
        <v>80684.837012557837</v>
      </c>
      <c r="F72" s="134">
        <v>650299242</v>
      </c>
      <c r="G72" s="117">
        <f t="shared" si="14"/>
        <v>42980.782683410442</v>
      </c>
      <c r="H72" s="98"/>
      <c r="I72" s="136">
        <v>8.5</v>
      </c>
      <c r="J72" s="134">
        <v>5527543.557</v>
      </c>
      <c r="K72" s="120">
        <f t="shared" si="15"/>
        <v>365.33665280898879</v>
      </c>
      <c r="L72" s="122">
        <f t="shared" si="16"/>
        <v>6502992.4199999999</v>
      </c>
      <c r="M72" s="116">
        <f t="shared" si="17"/>
        <v>975448.8629999999</v>
      </c>
      <c r="N72" s="123">
        <f t="shared" si="18"/>
        <v>64.471174025115658</v>
      </c>
      <c r="O72" s="5"/>
      <c r="P72" s="5">
        <f t="shared" si="19"/>
        <v>1</v>
      </c>
      <c r="Q72" s="7">
        <f t="shared" si="20"/>
        <v>15130</v>
      </c>
      <c r="W72" s="124">
        <f t="shared" si="21"/>
        <v>5527543.557</v>
      </c>
      <c r="X72">
        <f t="shared" si="22"/>
        <v>0</v>
      </c>
    </row>
    <row r="73" spans="1:24">
      <c r="A73" s="23" t="s">
        <v>73</v>
      </c>
      <c r="B73" s="35" t="s">
        <v>49</v>
      </c>
      <c r="C73" s="125">
        <v>68107</v>
      </c>
      <c r="D73" s="132">
        <v>12369202997</v>
      </c>
      <c r="E73" s="116">
        <f t="shared" si="13"/>
        <v>181614.26868016503</v>
      </c>
      <c r="F73" s="134">
        <v>9164111417</v>
      </c>
      <c r="G73" s="117">
        <f t="shared" si="14"/>
        <v>134554.61871760612</v>
      </c>
      <c r="H73" s="98"/>
      <c r="I73" s="136">
        <v>3.3464</v>
      </c>
      <c r="J73" s="134">
        <v>30666782.4458488</v>
      </c>
      <c r="K73" s="120">
        <f t="shared" si="15"/>
        <v>450.27357607659712</v>
      </c>
      <c r="L73" s="122">
        <f t="shared" si="16"/>
        <v>91641114.170000002</v>
      </c>
      <c r="M73" s="116">
        <f t="shared" si="17"/>
        <v>60974331.724151202</v>
      </c>
      <c r="N73" s="123">
        <f t="shared" si="18"/>
        <v>895.27261109946414</v>
      </c>
      <c r="O73" s="5"/>
      <c r="P73" s="5">
        <f t="shared" si="19"/>
        <v>1</v>
      </c>
      <c r="Q73" s="7">
        <f t="shared" si="20"/>
        <v>68107</v>
      </c>
      <c r="W73" s="124">
        <f t="shared" si="21"/>
        <v>30666782.445848804</v>
      </c>
      <c r="X73">
        <f t="shared" si="22"/>
        <v>0</v>
      </c>
    </row>
    <row r="74" spans="1:24">
      <c r="A74" s="23" t="s">
        <v>74</v>
      </c>
      <c r="B74" s="35" t="s">
        <v>49</v>
      </c>
      <c r="C74" s="125">
        <v>11426</v>
      </c>
      <c r="D74" s="132">
        <v>2323700099</v>
      </c>
      <c r="E74" s="116">
        <f t="shared" si="13"/>
        <v>203369.51680378086</v>
      </c>
      <c r="F74" s="134">
        <v>1588137599</v>
      </c>
      <c r="G74" s="117">
        <f t="shared" si="14"/>
        <v>138993.31340801681</v>
      </c>
      <c r="H74" s="98"/>
      <c r="I74" s="136">
        <v>5.9</v>
      </c>
      <c r="J74" s="134">
        <v>9370011.8341000006</v>
      </c>
      <c r="K74" s="120">
        <f t="shared" si="15"/>
        <v>820.06054910729915</v>
      </c>
      <c r="L74" s="122">
        <f t="shared" si="16"/>
        <v>15881375.99</v>
      </c>
      <c r="M74" s="116">
        <f t="shared" si="17"/>
        <v>6511364.1558999997</v>
      </c>
      <c r="N74" s="123">
        <f t="shared" si="18"/>
        <v>569.87258497286882</v>
      </c>
      <c r="O74" s="5"/>
      <c r="P74" s="5">
        <f t="shared" si="19"/>
        <v>1</v>
      </c>
      <c r="Q74" s="7">
        <f t="shared" si="20"/>
        <v>11426</v>
      </c>
      <c r="S74" s="124">
        <f>SUM(D44:D74)</f>
        <v>298286138888</v>
      </c>
      <c r="T74" s="124">
        <f>SUM(F44:F74)</f>
        <v>208730822826</v>
      </c>
      <c r="U74" s="124">
        <f>SUM(J44:J74)</f>
        <v>1173162731.2618899</v>
      </c>
      <c r="W74" s="124">
        <f t="shared" si="21"/>
        <v>9370011.8341000006</v>
      </c>
      <c r="X74">
        <f t="shared" si="22"/>
        <v>0</v>
      </c>
    </row>
    <row r="75" spans="1:24">
      <c r="A75" s="23" t="s">
        <v>75</v>
      </c>
      <c r="B75" s="35" t="s">
        <v>76</v>
      </c>
      <c r="C75" s="125">
        <v>496</v>
      </c>
      <c r="D75" s="147" t="s">
        <v>564</v>
      </c>
      <c r="E75" s="116"/>
      <c r="F75" s="134"/>
      <c r="G75" s="117"/>
      <c r="H75" s="98" t="s">
        <v>588</v>
      </c>
      <c r="I75" s="136"/>
      <c r="J75" s="134"/>
      <c r="K75" s="120"/>
      <c r="L75" s="122">
        <f t="shared" si="16"/>
        <v>0</v>
      </c>
      <c r="M75" s="116">
        <f t="shared" si="17"/>
        <v>0</v>
      </c>
      <c r="N75" s="123">
        <f t="shared" si="18"/>
        <v>0</v>
      </c>
      <c r="O75" s="5"/>
      <c r="P75" s="5">
        <f t="shared" si="19"/>
        <v>0</v>
      </c>
      <c r="Q75" s="7">
        <f t="shared" si="20"/>
        <v>0</v>
      </c>
      <c r="W75" s="124">
        <f t="shared" si="21"/>
        <v>0</v>
      </c>
      <c r="X75">
        <f t="shared" si="22"/>
        <v>0</v>
      </c>
    </row>
    <row r="76" spans="1:24">
      <c r="A76" s="23" t="s">
        <v>77</v>
      </c>
      <c r="B76" s="35" t="s">
        <v>76</v>
      </c>
      <c r="C76" s="125">
        <v>2266</v>
      </c>
      <c r="D76" s="132">
        <v>116210746</v>
      </c>
      <c r="E76" s="116">
        <f t="shared" ref="E76:E84" si="23">(D76/C76)</f>
        <v>51284.530450132392</v>
      </c>
      <c r="F76" s="134">
        <v>65077219</v>
      </c>
      <c r="G76" s="117">
        <f t="shared" ref="G76:G84" si="24">(F76/C76)</f>
        <v>28718.984554280672</v>
      </c>
      <c r="H76" s="7"/>
      <c r="I76" s="136">
        <v>1.5</v>
      </c>
      <c r="J76" s="134">
        <v>97615.828500000003</v>
      </c>
      <c r="K76" s="120">
        <f t="shared" ref="K76:K84" si="25">(J76/C76)</f>
        <v>43.078476831421007</v>
      </c>
      <c r="L76" s="122">
        <f t="shared" si="16"/>
        <v>650772.19000000006</v>
      </c>
      <c r="M76" s="116">
        <f t="shared" si="17"/>
        <v>553156.36150000012</v>
      </c>
      <c r="N76" s="123">
        <f t="shared" si="18"/>
        <v>244.11136871138575</v>
      </c>
      <c r="O76" s="5"/>
      <c r="P76" s="5">
        <f t="shared" si="19"/>
        <v>1</v>
      </c>
      <c r="Q76" s="7">
        <f t="shared" si="20"/>
        <v>2266</v>
      </c>
      <c r="S76" s="124">
        <f>SUM(D75:D76)</f>
        <v>116210746</v>
      </c>
      <c r="T76" s="124">
        <f>SUM(F75:F76)</f>
        <v>65077219</v>
      </c>
      <c r="U76" s="124">
        <f>SUM(J75:J76)</f>
        <v>97615.828500000003</v>
      </c>
      <c r="W76" s="124">
        <f t="shared" si="21"/>
        <v>97615.828500000003</v>
      </c>
      <c r="X76">
        <f t="shared" si="22"/>
        <v>0</v>
      </c>
    </row>
    <row r="77" spans="1:24">
      <c r="A77" s="23" t="s">
        <v>78</v>
      </c>
      <c r="B77" s="35" t="s">
        <v>79</v>
      </c>
      <c r="C77" s="125">
        <v>19471</v>
      </c>
      <c r="D77" s="132">
        <v>4678159075</v>
      </c>
      <c r="E77" s="116">
        <f t="shared" si="23"/>
        <v>240262.90765754197</v>
      </c>
      <c r="F77" s="134">
        <v>3483430722</v>
      </c>
      <c r="G77" s="117">
        <f t="shared" si="24"/>
        <v>178903.53458990293</v>
      </c>
      <c r="H77" s="7"/>
      <c r="I77" s="136">
        <v>3.4337</v>
      </c>
      <c r="J77" s="134">
        <v>11961056.070131399</v>
      </c>
      <c r="K77" s="120">
        <f t="shared" si="25"/>
        <v>614.30106672134968</v>
      </c>
      <c r="L77" s="122">
        <f t="shared" si="16"/>
        <v>34834307.219999999</v>
      </c>
      <c r="M77" s="116">
        <f t="shared" si="17"/>
        <v>22873251.1498686</v>
      </c>
      <c r="N77" s="123">
        <f t="shared" si="18"/>
        <v>1174.7342791776796</v>
      </c>
      <c r="O77" s="5"/>
      <c r="P77" s="5">
        <f t="shared" si="19"/>
        <v>1</v>
      </c>
      <c r="Q77" s="7">
        <f t="shared" si="20"/>
        <v>19471</v>
      </c>
      <c r="S77" s="124">
        <f>SUM(D77)</f>
        <v>4678159075</v>
      </c>
      <c r="T77" s="124">
        <f>SUM(F77)</f>
        <v>3483430722</v>
      </c>
      <c r="U77" s="124">
        <f>SUM(J77)</f>
        <v>11961056.070131399</v>
      </c>
      <c r="W77" s="124">
        <f t="shared" si="21"/>
        <v>11961056.070131401</v>
      </c>
      <c r="X77">
        <f t="shared" si="22"/>
        <v>0</v>
      </c>
    </row>
    <row r="78" spans="1:24">
      <c r="A78" s="23" t="s">
        <v>80</v>
      </c>
      <c r="B78" s="35" t="s">
        <v>81</v>
      </c>
      <c r="C78" s="125">
        <v>3396</v>
      </c>
      <c r="D78" s="132">
        <v>671583234</v>
      </c>
      <c r="E78" s="116">
        <f t="shared" si="23"/>
        <v>197757.13604240282</v>
      </c>
      <c r="F78" s="134">
        <v>512473587</v>
      </c>
      <c r="G78" s="117">
        <f t="shared" si="24"/>
        <v>150905.06095406361</v>
      </c>
      <c r="H78" s="7"/>
      <c r="I78" s="150">
        <v>4.8</v>
      </c>
      <c r="J78" s="134">
        <v>2459873.2176000001</v>
      </c>
      <c r="K78" s="120">
        <f t="shared" si="25"/>
        <v>724.34429257950535</v>
      </c>
      <c r="L78" s="122">
        <f t="shared" si="16"/>
        <v>5124735.87</v>
      </c>
      <c r="M78" s="116">
        <f t="shared" si="17"/>
        <v>2664862.6524</v>
      </c>
      <c r="N78" s="123">
        <f t="shared" si="18"/>
        <v>784.70631696113071</v>
      </c>
      <c r="O78" s="5"/>
      <c r="P78" s="5">
        <f t="shared" si="19"/>
        <v>1</v>
      </c>
      <c r="Q78" s="7">
        <f t="shared" si="20"/>
        <v>3396</v>
      </c>
      <c r="W78" s="124">
        <f t="shared" si="21"/>
        <v>2459873.2175999996</v>
      </c>
      <c r="X78">
        <f t="shared" si="22"/>
        <v>0</v>
      </c>
    </row>
    <row r="79" spans="1:24">
      <c r="A79" s="23" t="s">
        <v>82</v>
      </c>
      <c r="B79" s="35" t="s">
        <v>81</v>
      </c>
      <c r="C79" s="125">
        <v>7543</v>
      </c>
      <c r="D79" s="132">
        <v>823631623</v>
      </c>
      <c r="E79" s="116">
        <f t="shared" si="23"/>
        <v>109191.51836139467</v>
      </c>
      <c r="F79" s="134">
        <v>511603950</v>
      </c>
      <c r="G79" s="117">
        <f t="shared" si="24"/>
        <v>67824.996685668826</v>
      </c>
      <c r="H79" s="7"/>
      <c r="I79" s="136">
        <v>7.9729999999999999</v>
      </c>
      <c r="J79" s="134">
        <v>4079018.2933499999</v>
      </c>
      <c r="K79" s="120">
        <f t="shared" si="25"/>
        <v>540.76869857483757</v>
      </c>
      <c r="L79" s="122">
        <f t="shared" si="16"/>
        <v>5116039.5</v>
      </c>
      <c r="M79" s="116">
        <f t="shared" si="17"/>
        <v>1037021.2066500001</v>
      </c>
      <c r="N79" s="123">
        <f t="shared" si="18"/>
        <v>137.48126828185073</v>
      </c>
      <c r="O79" s="5"/>
      <c r="P79" s="5">
        <f t="shared" si="19"/>
        <v>1</v>
      </c>
      <c r="Q79" s="7">
        <f t="shared" si="20"/>
        <v>7543</v>
      </c>
      <c r="S79" s="124">
        <f>SUM(D78:D79)</f>
        <v>1495214857</v>
      </c>
      <c r="T79" s="124">
        <f>SUM(F78:F79)</f>
        <v>1024077537</v>
      </c>
      <c r="U79" s="124">
        <f>SUM(J78:J79)</f>
        <v>6538891.51095</v>
      </c>
      <c r="W79" s="124">
        <f t="shared" si="21"/>
        <v>4079018.2933499995</v>
      </c>
      <c r="X79">
        <f t="shared" si="22"/>
        <v>0</v>
      </c>
    </row>
    <row r="80" spans="1:24">
      <c r="A80" s="23" t="s">
        <v>83</v>
      </c>
      <c r="B80" s="35" t="s">
        <v>84</v>
      </c>
      <c r="C80" s="125">
        <v>9786</v>
      </c>
      <c r="D80" s="132">
        <v>805735001</v>
      </c>
      <c r="E80" s="116">
        <f t="shared" si="23"/>
        <v>82335.479358266908</v>
      </c>
      <c r="F80" s="134">
        <v>527029572</v>
      </c>
      <c r="G80" s="117">
        <f t="shared" si="24"/>
        <v>53855.464132434092</v>
      </c>
      <c r="H80" s="7"/>
      <c r="I80" s="136">
        <v>3.8</v>
      </c>
      <c r="J80" s="134">
        <v>2002712.3735999998</v>
      </c>
      <c r="K80" s="120">
        <f t="shared" si="25"/>
        <v>204.65076370324951</v>
      </c>
      <c r="L80" s="122">
        <f t="shared" si="16"/>
        <v>5270295.72</v>
      </c>
      <c r="M80" s="116">
        <f t="shared" si="17"/>
        <v>3267583.3464000002</v>
      </c>
      <c r="N80" s="123">
        <f t="shared" si="18"/>
        <v>333.9038776210914</v>
      </c>
      <c r="O80" s="5"/>
      <c r="P80" s="5">
        <f t="shared" si="19"/>
        <v>1</v>
      </c>
      <c r="Q80" s="7">
        <f t="shared" si="20"/>
        <v>9786</v>
      </c>
      <c r="W80" s="124">
        <f t="shared" si="21"/>
        <v>2002712.3736</v>
      </c>
      <c r="X80">
        <f t="shared" si="22"/>
        <v>0</v>
      </c>
    </row>
    <row r="81" spans="1:24">
      <c r="A81" s="23" t="s">
        <v>85</v>
      </c>
      <c r="B81" s="35" t="s">
        <v>84</v>
      </c>
      <c r="C81" s="125">
        <v>1446</v>
      </c>
      <c r="D81" s="132">
        <v>117778647</v>
      </c>
      <c r="E81" s="116">
        <f t="shared" si="23"/>
        <v>81451.346473029043</v>
      </c>
      <c r="F81" s="134">
        <v>69144022</v>
      </c>
      <c r="G81" s="117">
        <f t="shared" si="24"/>
        <v>47817.442600276627</v>
      </c>
      <c r="H81" s="7"/>
      <c r="I81" s="136">
        <v>4.2900999999999998</v>
      </c>
      <c r="J81" s="134">
        <v>296634.7687822</v>
      </c>
      <c r="K81" s="120">
        <f t="shared" si="25"/>
        <v>205.14161049944676</v>
      </c>
      <c r="L81" s="122">
        <f t="shared" si="16"/>
        <v>691440.22</v>
      </c>
      <c r="M81" s="116">
        <f t="shared" si="17"/>
        <v>394805.45121779997</v>
      </c>
      <c r="N81" s="123">
        <f t="shared" si="18"/>
        <v>273.03281550331945</v>
      </c>
      <c r="O81" s="5"/>
      <c r="P81" s="5">
        <f t="shared" si="19"/>
        <v>1</v>
      </c>
      <c r="Q81" s="7">
        <f t="shared" si="20"/>
        <v>1446</v>
      </c>
      <c r="W81" s="124">
        <f t="shared" si="21"/>
        <v>296634.7687822</v>
      </c>
      <c r="X81">
        <f t="shared" si="22"/>
        <v>0</v>
      </c>
    </row>
    <row r="82" spans="1:24">
      <c r="A82" s="23" t="s">
        <v>86</v>
      </c>
      <c r="B82" s="35" t="s">
        <v>84</v>
      </c>
      <c r="C82" s="125">
        <v>9089</v>
      </c>
      <c r="D82" s="132">
        <v>963234897</v>
      </c>
      <c r="E82" s="116">
        <f t="shared" si="23"/>
        <v>105978.09406975465</v>
      </c>
      <c r="F82" s="134">
        <v>622850675</v>
      </c>
      <c r="G82" s="117">
        <f t="shared" si="24"/>
        <v>68527.965122675756</v>
      </c>
      <c r="H82" s="9"/>
      <c r="I82" s="136">
        <v>5.8780999999999999</v>
      </c>
      <c r="J82" s="134">
        <v>3661178.5527174999</v>
      </c>
      <c r="K82" s="120">
        <f t="shared" si="25"/>
        <v>402.81423178760036</v>
      </c>
      <c r="L82" s="122">
        <f t="shared" si="16"/>
        <v>6228506.75</v>
      </c>
      <c r="M82" s="116">
        <f t="shared" si="17"/>
        <v>2567328.1972825001</v>
      </c>
      <c r="N82" s="123">
        <f t="shared" si="18"/>
        <v>282.46541943915724</v>
      </c>
      <c r="O82" s="5"/>
      <c r="P82" s="5">
        <f t="shared" si="19"/>
        <v>1</v>
      </c>
      <c r="Q82" s="7">
        <f t="shared" si="20"/>
        <v>9089</v>
      </c>
      <c r="W82" s="124">
        <f t="shared" si="21"/>
        <v>3661178.5527174999</v>
      </c>
      <c r="X82">
        <f t="shared" si="22"/>
        <v>0</v>
      </c>
    </row>
    <row r="83" spans="1:24">
      <c r="A83" s="23" t="s">
        <v>87</v>
      </c>
      <c r="B83" s="35" t="s">
        <v>84</v>
      </c>
      <c r="C83" s="125">
        <v>821</v>
      </c>
      <c r="D83" s="147">
        <v>43074432</v>
      </c>
      <c r="E83" s="116">
        <f t="shared" si="23"/>
        <v>52465.812423873322</v>
      </c>
      <c r="F83" s="134">
        <v>15806762</v>
      </c>
      <c r="G83" s="117">
        <f t="shared" si="24"/>
        <v>19253.059683313033</v>
      </c>
      <c r="H83" s="98"/>
      <c r="I83" s="136">
        <v>4.75</v>
      </c>
      <c r="J83" s="134">
        <v>75082.119500000001</v>
      </c>
      <c r="K83" s="120">
        <f t="shared" si="25"/>
        <v>91.452033495736913</v>
      </c>
      <c r="L83" s="122">
        <f t="shared" si="16"/>
        <v>158067.62</v>
      </c>
      <c r="M83" s="116">
        <f t="shared" si="17"/>
        <v>82985.500499999995</v>
      </c>
      <c r="N83" s="123">
        <f t="shared" si="18"/>
        <v>101.07856333739342</v>
      </c>
      <c r="O83" s="5"/>
      <c r="P83" s="5">
        <f t="shared" si="19"/>
        <v>1</v>
      </c>
      <c r="Q83" s="7">
        <f t="shared" si="20"/>
        <v>821</v>
      </c>
      <c r="S83" s="124">
        <f>SUM(D80:D83)</f>
        <v>1929822977</v>
      </c>
      <c r="T83" s="124">
        <f>SUM(F80:F83)</f>
        <v>1234831031</v>
      </c>
      <c r="U83" s="124">
        <f>SUM(J80:J83)</f>
        <v>6035607.8145997003</v>
      </c>
      <c r="W83" s="124">
        <f t="shared" si="21"/>
        <v>75082.119500000001</v>
      </c>
      <c r="X83">
        <f t="shared" si="22"/>
        <v>0</v>
      </c>
    </row>
    <row r="84" spans="1:24">
      <c r="A84" s="23" t="s">
        <v>88</v>
      </c>
      <c r="B84" s="35" t="s">
        <v>89</v>
      </c>
      <c r="C84" s="125">
        <v>352</v>
      </c>
      <c r="D84" s="132">
        <v>133822995</v>
      </c>
      <c r="E84" s="116">
        <f t="shared" si="23"/>
        <v>380178.96306818182</v>
      </c>
      <c r="F84" s="134">
        <v>92873631</v>
      </c>
      <c r="G84" s="117">
        <f t="shared" si="24"/>
        <v>263845.54261363635</v>
      </c>
      <c r="H84" s="7"/>
      <c r="I84" s="136">
        <v>5.2378</v>
      </c>
      <c r="J84" s="134">
        <v>486453.50445179996</v>
      </c>
      <c r="K84" s="120">
        <f t="shared" si="25"/>
        <v>1381.9701831017044</v>
      </c>
      <c r="L84" s="122">
        <f t="shared" si="16"/>
        <v>928736.31</v>
      </c>
      <c r="M84" s="116">
        <f t="shared" si="17"/>
        <v>442282.80554820009</v>
      </c>
      <c r="N84" s="123">
        <f t="shared" si="18"/>
        <v>1256.4852430346593</v>
      </c>
      <c r="O84" s="5"/>
      <c r="P84" s="5">
        <f t="shared" si="19"/>
        <v>1</v>
      </c>
      <c r="Q84" s="7">
        <f t="shared" si="20"/>
        <v>352</v>
      </c>
      <c r="W84" s="124">
        <f t="shared" si="21"/>
        <v>486453.50445180002</v>
      </c>
      <c r="X84">
        <f t="shared" si="22"/>
        <v>0</v>
      </c>
    </row>
    <row r="85" spans="1:24">
      <c r="A85" s="23" t="s">
        <v>90</v>
      </c>
      <c r="B85" s="35" t="s">
        <v>89</v>
      </c>
      <c r="C85" s="125">
        <v>15760</v>
      </c>
      <c r="D85" s="132">
        <v>12970710924</v>
      </c>
      <c r="E85" s="116">
        <f>(D85/C85)</f>
        <v>823014.65253807104</v>
      </c>
      <c r="F85" s="134">
        <v>11342223580</v>
      </c>
      <c r="G85" s="117">
        <f>(F85/C85)</f>
        <v>719684.2373096447</v>
      </c>
      <c r="H85" s="7"/>
      <c r="I85" s="136">
        <v>1.7609999999999999</v>
      </c>
      <c r="J85" s="134">
        <v>19973655.724379998</v>
      </c>
      <c r="K85" s="120">
        <f>(J85/C85)</f>
        <v>1267.3639419022841</v>
      </c>
      <c r="L85" s="122">
        <f t="shared" si="16"/>
        <v>113422235.8</v>
      </c>
      <c r="M85" s="116">
        <f t="shared" si="17"/>
        <v>93448580.075619996</v>
      </c>
      <c r="N85" s="123">
        <f t="shared" si="18"/>
        <v>5929.4784311941621</v>
      </c>
      <c r="O85" s="5"/>
      <c r="P85" s="5">
        <f t="shared" si="19"/>
        <v>1</v>
      </c>
      <c r="Q85" s="7">
        <f t="shared" si="20"/>
        <v>15760</v>
      </c>
      <c r="W85" s="124">
        <f t="shared" si="21"/>
        <v>19973655.724380001</v>
      </c>
      <c r="X85">
        <f t="shared" si="22"/>
        <v>0</v>
      </c>
    </row>
    <row r="86" spans="1:24">
      <c r="A86" s="23" t="s">
        <v>91</v>
      </c>
      <c r="B86" s="35" t="s">
        <v>89</v>
      </c>
      <c r="C86" s="125">
        <v>19115</v>
      </c>
      <c r="D86" s="132">
        <v>31180920796</v>
      </c>
      <c r="E86" s="116">
        <f>(D86/C86)</f>
        <v>1631227.8731885953</v>
      </c>
      <c r="F86" s="134">
        <v>25408573877</v>
      </c>
      <c r="G86" s="117">
        <f>(F86/C86)</f>
        <v>1329247.9140465602</v>
      </c>
      <c r="H86" s="9"/>
      <c r="I86" s="150">
        <v>1.1499999999999999</v>
      </c>
      <c r="J86" s="134">
        <v>29219859.958549999</v>
      </c>
      <c r="K86" s="120">
        <f>(J86/C86)</f>
        <v>1528.6351011535442</v>
      </c>
      <c r="L86" s="122">
        <f t="shared" si="16"/>
        <v>254085738.77000001</v>
      </c>
      <c r="M86" s="116">
        <f t="shared" si="17"/>
        <v>224865878.81145</v>
      </c>
      <c r="N86" s="123">
        <f t="shared" si="18"/>
        <v>11763.844039312058</v>
      </c>
      <c r="O86" s="5"/>
      <c r="P86" s="5">
        <f t="shared" si="19"/>
        <v>1</v>
      </c>
      <c r="Q86" s="7">
        <f t="shared" si="20"/>
        <v>19115</v>
      </c>
      <c r="S86" s="124">
        <f>SUM(D84:D86)</f>
        <v>44285454715</v>
      </c>
      <c r="T86" s="124">
        <f>SUM(F84:F86)</f>
        <v>36843671088</v>
      </c>
      <c r="U86" s="124">
        <f>SUM(J84:J86)</f>
        <v>49679969.187381797</v>
      </c>
      <c r="W86" s="124">
        <f t="shared" si="21"/>
        <v>29219859.958549999</v>
      </c>
      <c r="X86">
        <f t="shared" si="22"/>
        <v>0</v>
      </c>
    </row>
    <row r="87" spans="1:24">
      <c r="A87" s="23" t="s">
        <v>92</v>
      </c>
      <c r="B87" s="35" t="s">
        <v>93</v>
      </c>
      <c r="C87" s="125">
        <v>618</v>
      </c>
      <c r="D87" s="147" t="s">
        <v>564</v>
      </c>
      <c r="E87" s="116"/>
      <c r="F87" s="134"/>
      <c r="G87" s="117"/>
      <c r="H87" s="98" t="s">
        <v>588</v>
      </c>
      <c r="I87" s="136"/>
      <c r="J87" s="134"/>
      <c r="K87" s="120"/>
      <c r="L87" s="122">
        <f t="shared" si="16"/>
        <v>0</v>
      </c>
      <c r="M87" s="116">
        <f t="shared" si="17"/>
        <v>0</v>
      </c>
      <c r="N87" s="123">
        <f t="shared" si="18"/>
        <v>0</v>
      </c>
      <c r="O87" s="5"/>
      <c r="P87" s="5">
        <f t="shared" si="19"/>
        <v>0</v>
      </c>
      <c r="Q87" s="7">
        <f t="shared" si="20"/>
        <v>0</v>
      </c>
      <c r="W87" s="124">
        <f t="shared" si="21"/>
        <v>0</v>
      </c>
      <c r="X87">
        <f t="shared" si="22"/>
        <v>0</v>
      </c>
    </row>
    <row r="88" spans="1:24">
      <c r="A88" s="23" t="s">
        <v>94</v>
      </c>
      <c r="B88" s="35" t="s">
        <v>93</v>
      </c>
      <c r="C88" s="125">
        <v>12329</v>
      </c>
      <c r="D88" s="132">
        <v>1216129156</v>
      </c>
      <c r="E88" s="116">
        <f t="shared" ref="E88:E93" si="26">(D88/C88)</f>
        <v>98639.723902992948</v>
      </c>
      <c r="F88" s="134">
        <v>865721063</v>
      </c>
      <c r="G88" s="117">
        <f t="shared" ref="G88:G93" si="27">(F88/C88)</f>
        <v>70218.270987103577</v>
      </c>
      <c r="H88" s="7"/>
      <c r="I88" s="136">
        <v>4.9000000000000004</v>
      </c>
      <c r="J88" s="134">
        <v>4242033.2087000003</v>
      </c>
      <c r="K88" s="120">
        <f t="shared" ref="K88:K93" si="28">(J88/C88)</f>
        <v>344.06952783680754</v>
      </c>
      <c r="L88" s="122">
        <f t="shared" si="16"/>
        <v>8657210.6300000008</v>
      </c>
      <c r="M88" s="116">
        <f t="shared" si="17"/>
        <v>4415177.4213000005</v>
      </c>
      <c r="N88" s="123">
        <f t="shared" si="18"/>
        <v>358.11318203422826</v>
      </c>
      <c r="O88" s="5"/>
      <c r="P88" s="5">
        <f t="shared" si="19"/>
        <v>1</v>
      </c>
      <c r="Q88" s="7">
        <f t="shared" si="20"/>
        <v>12329</v>
      </c>
      <c r="S88" s="124">
        <f>SUM(D87:D88)</f>
        <v>1216129156</v>
      </c>
      <c r="T88" s="124">
        <f>SUM(F87:F88)</f>
        <v>865721063</v>
      </c>
      <c r="U88" s="124">
        <f>SUM(J87:J88)</f>
        <v>4242033.2087000003</v>
      </c>
      <c r="W88" s="124">
        <f t="shared" si="21"/>
        <v>4242033.2087000003</v>
      </c>
      <c r="X88">
        <f t="shared" si="22"/>
        <v>0</v>
      </c>
    </row>
    <row r="89" spans="1:24">
      <c r="A89" s="23" t="s">
        <v>95</v>
      </c>
      <c r="B89" s="37" t="s">
        <v>575</v>
      </c>
      <c r="C89" s="125">
        <v>7420</v>
      </c>
      <c r="D89" s="132">
        <v>413619165</v>
      </c>
      <c r="E89" s="116">
        <f t="shared" si="26"/>
        <v>55743.822776280322</v>
      </c>
      <c r="F89" s="134">
        <v>215207727</v>
      </c>
      <c r="G89" s="117">
        <f t="shared" si="27"/>
        <v>29003.73679245283</v>
      </c>
      <c r="H89" s="8"/>
      <c r="I89" s="136">
        <v>8.6175999999999995</v>
      </c>
      <c r="J89" s="134">
        <v>1854574.1081951999</v>
      </c>
      <c r="K89" s="120">
        <f t="shared" si="28"/>
        <v>249.94260218264148</v>
      </c>
      <c r="L89" s="122">
        <f t="shared" si="16"/>
        <v>2152077.27</v>
      </c>
      <c r="M89" s="116">
        <f t="shared" si="17"/>
        <v>297503.16180480015</v>
      </c>
      <c r="N89" s="123">
        <f t="shared" si="18"/>
        <v>40.09476574188681</v>
      </c>
      <c r="O89" s="5"/>
      <c r="P89" s="5">
        <f t="shared" si="19"/>
        <v>1</v>
      </c>
      <c r="Q89" s="7">
        <f t="shared" si="20"/>
        <v>7420</v>
      </c>
      <c r="S89" s="124">
        <f>SUM(D89)</f>
        <v>413619165</v>
      </c>
      <c r="T89" s="124">
        <f>SUM(F89)</f>
        <v>215207727</v>
      </c>
      <c r="U89" s="124">
        <f>SUM(J89)</f>
        <v>1854574.1081951999</v>
      </c>
      <c r="W89" s="124">
        <f t="shared" si="21"/>
        <v>1854574.1081951999</v>
      </c>
      <c r="X89">
        <f t="shared" si="22"/>
        <v>0</v>
      </c>
    </row>
    <row r="90" spans="1:24">
      <c r="A90" s="23" t="s">
        <v>96</v>
      </c>
      <c r="B90" s="35" t="s">
        <v>97</v>
      </c>
      <c r="C90" s="125">
        <v>1689</v>
      </c>
      <c r="D90" s="132">
        <v>81861339</v>
      </c>
      <c r="E90" s="116">
        <f t="shared" si="26"/>
        <v>48467.341030195385</v>
      </c>
      <c r="F90" s="134">
        <v>38645851</v>
      </c>
      <c r="G90" s="117">
        <f t="shared" si="27"/>
        <v>22880.906453522795</v>
      </c>
      <c r="H90" s="8"/>
      <c r="I90" s="136">
        <v>5.2782999999999998</v>
      </c>
      <c r="J90" s="134">
        <v>203984.3953333</v>
      </c>
      <c r="K90" s="120">
        <f t="shared" si="28"/>
        <v>120.77228853362936</v>
      </c>
      <c r="L90" s="122">
        <f t="shared" si="16"/>
        <v>386458.51</v>
      </c>
      <c r="M90" s="116">
        <f t="shared" si="17"/>
        <v>182474.11466670001</v>
      </c>
      <c r="N90" s="123">
        <f t="shared" si="18"/>
        <v>108.03677600159858</v>
      </c>
      <c r="O90" s="5"/>
      <c r="P90" s="5">
        <f t="shared" si="19"/>
        <v>1</v>
      </c>
      <c r="Q90" s="7">
        <f t="shared" si="20"/>
        <v>1689</v>
      </c>
      <c r="W90" s="124">
        <f t="shared" si="21"/>
        <v>203984.3953333</v>
      </c>
      <c r="X90">
        <f t="shared" si="22"/>
        <v>0</v>
      </c>
    </row>
    <row r="91" spans="1:24">
      <c r="A91" s="23" t="s">
        <v>98</v>
      </c>
      <c r="B91" s="35" t="s">
        <v>97</v>
      </c>
      <c r="C91" s="125">
        <v>165</v>
      </c>
      <c r="D91" s="132">
        <v>55622622</v>
      </c>
      <c r="E91" s="116">
        <f t="shared" si="26"/>
        <v>337106.8</v>
      </c>
      <c r="F91" s="134">
        <v>46846493</v>
      </c>
      <c r="G91" s="117">
        <f t="shared" si="27"/>
        <v>283918.1393939394</v>
      </c>
      <c r="H91" s="9"/>
      <c r="I91" s="150">
        <v>2</v>
      </c>
      <c r="J91" s="134">
        <v>93692.986000000004</v>
      </c>
      <c r="K91" s="120">
        <f t="shared" si="28"/>
        <v>567.83627878787877</v>
      </c>
      <c r="L91" s="122">
        <f t="shared" si="16"/>
        <v>468464.93</v>
      </c>
      <c r="M91" s="116">
        <f t="shared" si="17"/>
        <v>374771.94400000002</v>
      </c>
      <c r="N91" s="123">
        <f t="shared" si="18"/>
        <v>2271.3451151515151</v>
      </c>
      <c r="O91" s="5"/>
      <c r="P91" s="5">
        <f t="shared" si="19"/>
        <v>1</v>
      </c>
      <c r="Q91" s="7">
        <f t="shared" si="20"/>
        <v>165</v>
      </c>
      <c r="S91" s="124">
        <f>SUM(D90:D91)</f>
        <v>137483961</v>
      </c>
      <c r="T91" s="124">
        <f>SUM(F90:F91)</f>
        <v>85492344</v>
      </c>
      <c r="U91" s="124">
        <f>SUM(J90:J91)</f>
        <v>297677.38133330003</v>
      </c>
      <c r="W91" s="124">
        <f t="shared" si="21"/>
        <v>93692.986000000004</v>
      </c>
      <c r="X91">
        <f t="shared" si="22"/>
        <v>0</v>
      </c>
    </row>
    <row r="92" spans="1:24">
      <c r="A92" s="23" t="s">
        <v>99</v>
      </c>
      <c r="B92" s="35" t="s">
        <v>100</v>
      </c>
      <c r="C92" s="125">
        <v>13513</v>
      </c>
      <c r="D92" s="132">
        <v>2807737440</v>
      </c>
      <c r="E92" s="116">
        <f t="shared" si="26"/>
        <v>207780.46621771628</v>
      </c>
      <c r="F92" s="134">
        <v>1895006241</v>
      </c>
      <c r="G92" s="117">
        <f t="shared" si="27"/>
        <v>140235.79079405018</v>
      </c>
      <c r="H92" s="9"/>
      <c r="I92" s="136">
        <v>3.2284999999999999</v>
      </c>
      <c r="J92" s="134">
        <v>6118027.6490684999</v>
      </c>
      <c r="K92" s="120">
        <f t="shared" si="28"/>
        <v>452.751250578591</v>
      </c>
      <c r="L92" s="122">
        <f t="shared" si="16"/>
        <v>18950062.41</v>
      </c>
      <c r="M92" s="116">
        <f t="shared" si="17"/>
        <v>12832034.760931499</v>
      </c>
      <c r="N92" s="123">
        <f t="shared" si="18"/>
        <v>949.60665736191072</v>
      </c>
      <c r="O92" s="5"/>
      <c r="P92" s="5">
        <f t="shared" si="19"/>
        <v>1</v>
      </c>
      <c r="Q92" s="7">
        <f t="shared" si="20"/>
        <v>13513</v>
      </c>
      <c r="W92" s="124">
        <f t="shared" si="21"/>
        <v>6118027.6490684999</v>
      </c>
      <c r="X92">
        <f t="shared" si="22"/>
        <v>0</v>
      </c>
    </row>
    <row r="93" spans="1:24">
      <c r="A93" s="23" t="s">
        <v>101</v>
      </c>
      <c r="B93" s="35" t="s">
        <v>100</v>
      </c>
      <c r="C93" s="125">
        <v>1396</v>
      </c>
      <c r="D93" s="132">
        <v>89152205</v>
      </c>
      <c r="E93" s="116">
        <f t="shared" si="26"/>
        <v>63862.611031518623</v>
      </c>
      <c r="F93" s="134">
        <v>49796855</v>
      </c>
      <c r="G93" s="117">
        <f t="shared" si="27"/>
        <v>35671.099570200575</v>
      </c>
      <c r="H93" s="9"/>
      <c r="I93" s="136">
        <v>2.7688999999999999</v>
      </c>
      <c r="J93" s="134">
        <v>137882.51180950002</v>
      </c>
      <c r="K93" s="120">
        <f t="shared" si="28"/>
        <v>98.769707599928381</v>
      </c>
      <c r="L93" s="122">
        <f t="shared" si="16"/>
        <v>497968.55</v>
      </c>
      <c r="M93" s="116">
        <f t="shared" si="17"/>
        <v>360086.0381905</v>
      </c>
      <c r="N93" s="123">
        <f t="shared" si="18"/>
        <v>257.94128810207735</v>
      </c>
      <c r="O93" s="5"/>
      <c r="P93" s="5">
        <f t="shared" si="19"/>
        <v>1</v>
      </c>
      <c r="Q93" s="7">
        <f t="shared" si="20"/>
        <v>1396</v>
      </c>
      <c r="W93" s="124">
        <f t="shared" si="21"/>
        <v>137882.51180949999</v>
      </c>
      <c r="X93">
        <f t="shared" si="22"/>
        <v>0</v>
      </c>
    </row>
    <row r="94" spans="1:24">
      <c r="A94" s="23" t="s">
        <v>102</v>
      </c>
      <c r="B94" s="35" t="s">
        <v>100</v>
      </c>
      <c r="C94" s="125">
        <v>949611</v>
      </c>
      <c r="D94" s="155" t="s">
        <v>626</v>
      </c>
      <c r="E94" s="116"/>
      <c r="F94" s="134"/>
      <c r="G94" s="117"/>
      <c r="H94" s="9"/>
      <c r="I94" s="136"/>
      <c r="J94" s="134"/>
      <c r="K94" s="120"/>
      <c r="L94" s="122">
        <f t="shared" si="16"/>
        <v>0</v>
      </c>
      <c r="M94" s="116">
        <f t="shared" si="17"/>
        <v>0</v>
      </c>
      <c r="N94" s="123">
        <f t="shared" si="18"/>
        <v>0</v>
      </c>
      <c r="O94" s="5"/>
      <c r="P94" s="5">
        <f t="shared" si="19"/>
        <v>0</v>
      </c>
      <c r="Q94" s="7">
        <f t="shared" si="20"/>
        <v>0</v>
      </c>
      <c r="W94" s="124">
        <f t="shared" si="21"/>
        <v>0</v>
      </c>
      <c r="X94">
        <f t="shared" si="22"/>
        <v>0</v>
      </c>
    </row>
    <row r="95" spans="1:24">
      <c r="A95" s="23" t="s">
        <v>103</v>
      </c>
      <c r="B95" s="35" t="s">
        <v>100</v>
      </c>
      <c r="C95" s="125">
        <v>23830</v>
      </c>
      <c r="D95" s="132">
        <v>5978598236</v>
      </c>
      <c r="E95" s="116">
        <f t="shared" ref="E95:E132" si="29">(D95/C95)</f>
        <v>250885.36449853127</v>
      </c>
      <c r="F95" s="134">
        <v>4037758857</v>
      </c>
      <c r="G95" s="117">
        <f t="shared" ref="G95:G132" si="30">(F95/C95)</f>
        <v>169440.15346202266</v>
      </c>
      <c r="H95" s="9"/>
      <c r="I95" s="136">
        <v>3.9946999999999999</v>
      </c>
      <c r="J95" s="134">
        <v>16129635.3060579</v>
      </c>
      <c r="K95" s="120">
        <f t="shared" ref="K95:K132" si="31">(J95/C95)</f>
        <v>676.86258103474188</v>
      </c>
      <c r="L95" s="122">
        <f t="shared" si="16"/>
        <v>40377588.57</v>
      </c>
      <c r="M95" s="116">
        <f t="shared" si="17"/>
        <v>24247953.2639421</v>
      </c>
      <c r="N95" s="123">
        <f t="shared" si="18"/>
        <v>1017.5389535854847</v>
      </c>
      <c r="O95" s="5"/>
      <c r="P95" s="5">
        <f t="shared" si="19"/>
        <v>1</v>
      </c>
      <c r="Q95" s="7">
        <f t="shared" si="20"/>
        <v>23830</v>
      </c>
      <c r="W95" s="124">
        <f t="shared" si="21"/>
        <v>16129635.306057902</v>
      </c>
      <c r="X95">
        <f t="shared" si="22"/>
        <v>0</v>
      </c>
    </row>
    <row r="96" spans="1:24">
      <c r="A96" s="23" t="s">
        <v>104</v>
      </c>
      <c r="B96" s="35" t="s">
        <v>100</v>
      </c>
      <c r="C96" s="125">
        <v>7217</v>
      </c>
      <c r="D96" s="132">
        <v>1460946810</v>
      </c>
      <c r="E96" s="116">
        <f t="shared" si="29"/>
        <v>202431.31633642787</v>
      </c>
      <c r="F96" s="134">
        <v>967889740</v>
      </c>
      <c r="G96" s="117">
        <f t="shared" si="30"/>
        <v>134112.4760981017</v>
      </c>
      <c r="H96" s="7"/>
      <c r="I96" s="136">
        <v>3.3656000000000001</v>
      </c>
      <c r="J96" s="134">
        <v>3257529.7089440003</v>
      </c>
      <c r="K96" s="120">
        <f t="shared" si="31"/>
        <v>451.36894955577111</v>
      </c>
      <c r="L96" s="122">
        <f t="shared" si="16"/>
        <v>9678897.4000000004</v>
      </c>
      <c r="M96" s="116">
        <f t="shared" si="17"/>
        <v>6421367.6910560001</v>
      </c>
      <c r="N96" s="123">
        <f t="shared" si="18"/>
        <v>889.75581142524595</v>
      </c>
      <c r="O96" s="5"/>
      <c r="P96" s="5">
        <f t="shared" si="19"/>
        <v>1</v>
      </c>
      <c r="Q96" s="7">
        <f t="shared" si="20"/>
        <v>7217</v>
      </c>
      <c r="S96" s="124">
        <f>SUM(D92:D96)</f>
        <v>10336434691</v>
      </c>
      <c r="T96" s="124">
        <f>SUM(F92:F96)</f>
        <v>6950451693</v>
      </c>
      <c r="U96" s="124">
        <f>SUM(J92:J96)</f>
        <v>25643075.175879899</v>
      </c>
      <c r="W96" s="124">
        <f t="shared" si="21"/>
        <v>3257529.7089440003</v>
      </c>
      <c r="X96">
        <f t="shared" si="22"/>
        <v>0</v>
      </c>
    </row>
    <row r="97" spans="1:24">
      <c r="A97" s="23" t="s">
        <v>105</v>
      </c>
      <c r="B97" s="35" t="s">
        <v>106</v>
      </c>
      <c r="C97" s="125">
        <v>1713</v>
      </c>
      <c r="D97" s="132">
        <v>67414852</v>
      </c>
      <c r="E97" s="116">
        <f t="shared" si="29"/>
        <v>39354.846468184471</v>
      </c>
      <c r="F97" s="134">
        <v>42318893</v>
      </c>
      <c r="G97" s="117">
        <f t="shared" si="30"/>
        <v>24704.549328663164</v>
      </c>
      <c r="H97" s="7"/>
      <c r="I97" s="136">
        <v>0.9204</v>
      </c>
      <c r="J97" s="134">
        <v>38950.309117199999</v>
      </c>
      <c r="K97" s="120">
        <f t="shared" si="31"/>
        <v>22.738067202101576</v>
      </c>
      <c r="L97" s="122">
        <f t="shared" si="16"/>
        <v>423188.93</v>
      </c>
      <c r="M97" s="116">
        <f t="shared" si="17"/>
        <v>384238.62088279997</v>
      </c>
      <c r="N97" s="123">
        <f t="shared" si="18"/>
        <v>224.30742608453005</v>
      </c>
      <c r="O97" s="5"/>
      <c r="P97" s="5">
        <f t="shared" si="19"/>
        <v>1</v>
      </c>
      <c r="Q97" s="7">
        <f t="shared" si="20"/>
        <v>1713</v>
      </c>
      <c r="W97" s="124">
        <f t="shared" si="21"/>
        <v>38950.309117199999</v>
      </c>
      <c r="X97">
        <f t="shared" si="22"/>
        <v>0</v>
      </c>
    </row>
    <row r="98" spans="1:24">
      <c r="A98" s="23" t="s">
        <v>107</v>
      </c>
      <c r="B98" s="35" t="s">
        <v>106</v>
      </c>
      <c r="C98" s="125">
        <v>54312</v>
      </c>
      <c r="D98" s="132">
        <v>7114786969</v>
      </c>
      <c r="E98" s="116">
        <f t="shared" si="29"/>
        <v>130998.43439755487</v>
      </c>
      <c r="F98" s="134">
        <v>4368588351</v>
      </c>
      <c r="G98" s="117">
        <f t="shared" si="30"/>
        <v>80435.04844233318</v>
      </c>
      <c r="H98" s="7"/>
      <c r="I98" s="136">
        <v>4.2895000000000003</v>
      </c>
      <c r="J98" s="134">
        <v>18739059.7316145</v>
      </c>
      <c r="K98" s="120">
        <f t="shared" si="31"/>
        <v>345.02614029338821</v>
      </c>
      <c r="L98" s="122">
        <f t="shared" si="16"/>
        <v>43685883.509999998</v>
      </c>
      <c r="M98" s="116">
        <f t="shared" si="17"/>
        <v>24946823.778385498</v>
      </c>
      <c r="N98" s="123">
        <f t="shared" si="18"/>
        <v>459.3243441299436</v>
      </c>
      <c r="O98" s="5"/>
      <c r="P98" s="5">
        <f t="shared" si="19"/>
        <v>1</v>
      </c>
      <c r="Q98" s="7">
        <f t="shared" si="20"/>
        <v>54312</v>
      </c>
      <c r="S98" s="124">
        <f>SUM(D97:D98)</f>
        <v>7182201821</v>
      </c>
      <c r="T98" s="124">
        <f>SUM(F97:F98)</f>
        <v>4410907244</v>
      </c>
      <c r="U98" s="124">
        <f>SUM(J97:J98)</f>
        <v>18778010.040731702</v>
      </c>
      <c r="W98" s="124">
        <f t="shared" si="21"/>
        <v>18739059.7316145</v>
      </c>
      <c r="X98">
        <f t="shared" si="22"/>
        <v>0</v>
      </c>
    </row>
    <row r="99" spans="1:24">
      <c r="A99" s="23" t="s">
        <v>108</v>
      </c>
      <c r="B99" s="35" t="s">
        <v>109</v>
      </c>
      <c r="C99" s="125">
        <v>474</v>
      </c>
      <c r="D99" s="132">
        <v>109766164</v>
      </c>
      <c r="E99" s="116">
        <f t="shared" si="29"/>
        <v>231574.18565400844</v>
      </c>
      <c r="F99" s="134">
        <v>83540388</v>
      </c>
      <c r="G99" s="117">
        <f t="shared" si="30"/>
        <v>176245.54430379748</v>
      </c>
      <c r="H99" s="7"/>
      <c r="I99" s="136">
        <v>1.3640000000000001</v>
      </c>
      <c r="J99" s="134">
        <v>113949.08923200001</v>
      </c>
      <c r="K99" s="120">
        <f t="shared" si="31"/>
        <v>240.39892243037977</v>
      </c>
      <c r="L99" s="122">
        <f t="shared" si="16"/>
        <v>835403.88</v>
      </c>
      <c r="M99" s="116">
        <f t="shared" si="17"/>
        <v>721454.79076799995</v>
      </c>
      <c r="N99" s="123">
        <f t="shared" si="18"/>
        <v>1522.0565206075948</v>
      </c>
      <c r="O99" s="5"/>
      <c r="P99" s="5">
        <f t="shared" si="19"/>
        <v>1</v>
      </c>
      <c r="Q99" s="7">
        <f t="shared" si="20"/>
        <v>474</v>
      </c>
      <c r="W99" s="124">
        <f t="shared" si="21"/>
        <v>113949.08923200001</v>
      </c>
      <c r="X99">
        <f t="shared" si="22"/>
        <v>0</v>
      </c>
    </row>
    <row r="100" spans="1:24">
      <c r="A100" s="23" t="s">
        <v>110</v>
      </c>
      <c r="B100" s="35" t="s">
        <v>109</v>
      </c>
      <c r="C100" s="125">
        <v>3276</v>
      </c>
      <c r="D100" s="132">
        <v>558490865</v>
      </c>
      <c r="E100" s="116">
        <f t="shared" si="29"/>
        <v>170479.50702075701</v>
      </c>
      <c r="F100" s="134">
        <v>222115547</v>
      </c>
      <c r="G100" s="117">
        <f t="shared" si="30"/>
        <v>67800.838522588529</v>
      </c>
      <c r="H100" s="7"/>
      <c r="I100" s="136">
        <v>6.43</v>
      </c>
      <c r="J100" s="134">
        <v>1428202.9672100001</v>
      </c>
      <c r="K100" s="120">
        <f t="shared" si="31"/>
        <v>435.95939170024423</v>
      </c>
      <c r="L100" s="122">
        <f t="shared" si="16"/>
        <v>2221155.4700000002</v>
      </c>
      <c r="M100" s="116">
        <f t="shared" si="17"/>
        <v>792952.50279000006</v>
      </c>
      <c r="N100" s="123">
        <f t="shared" si="18"/>
        <v>242.04899352564104</v>
      </c>
      <c r="O100" s="5"/>
      <c r="P100" s="5">
        <f t="shared" si="19"/>
        <v>1</v>
      </c>
      <c r="Q100" s="7">
        <f t="shared" si="20"/>
        <v>3276</v>
      </c>
      <c r="W100" s="124">
        <f t="shared" si="21"/>
        <v>1428202.9672099999</v>
      </c>
      <c r="X100">
        <f t="shared" si="22"/>
        <v>0</v>
      </c>
    </row>
    <row r="101" spans="1:24">
      <c r="A101" s="23" t="s">
        <v>447</v>
      </c>
      <c r="B101" s="35" t="s">
        <v>109</v>
      </c>
      <c r="C101" s="125">
        <v>89258</v>
      </c>
      <c r="D101" s="132">
        <v>9132902145</v>
      </c>
      <c r="E101" s="116">
        <f t="shared" si="29"/>
        <v>102320.26423401824</v>
      </c>
      <c r="F101" s="134">
        <v>5818727063</v>
      </c>
      <c r="G101" s="117">
        <f t="shared" si="30"/>
        <v>65189.978074794417</v>
      </c>
      <c r="H101" s="9"/>
      <c r="I101" s="136">
        <v>4.6989000000000001</v>
      </c>
      <c r="J101" s="134">
        <v>27341616.596330699</v>
      </c>
      <c r="K101" s="120">
        <f t="shared" si="31"/>
        <v>306.32118797565147</v>
      </c>
      <c r="L101" s="122">
        <f t="shared" si="16"/>
        <v>58187270.630000003</v>
      </c>
      <c r="M101" s="116">
        <f t="shared" si="17"/>
        <v>30845654.033669304</v>
      </c>
      <c r="N101" s="123">
        <f t="shared" si="18"/>
        <v>345.57859277229272</v>
      </c>
      <c r="O101" s="5"/>
      <c r="P101" s="5">
        <f t="shared" si="19"/>
        <v>1</v>
      </c>
      <c r="Q101" s="7">
        <f t="shared" si="20"/>
        <v>89258</v>
      </c>
      <c r="W101" s="124">
        <f t="shared" si="21"/>
        <v>27341616.596330699</v>
      </c>
      <c r="X101">
        <f t="shared" si="22"/>
        <v>0</v>
      </c>
    </row>
    <row r="102" spans="1:24">
      <c r="A102" s="23" t="s">
        <v>111</v>
      </c>
      <c r="B102" s="35" t="s">
        <v>557</v>
      </c>
      <c r="C102" s="125">
        <v>15</v>
      </c>
      <c r="D102" s="132">
        <v>19122252</v>
      </c>
      <c r="E102" s="116">
        <f t="shared" si="29"/>
        <v>1274816.8</v>
      </c>
      <c r="F102" s="134">
        <v>12195974</v>
      </c>
      <c r="G102" s="117">
        <f t="shared" si="30"/>
        <v>813064.93333333335</v>
      </c>
      <c r="H102" s="7"/>
      <c r="I102" s="136">
        <v>10</v>
      </c>
      <c r="J102" s="134">
        <v>121959.74</v>
      </c>
      <c r="K102" s="120">
        <f t="shared" si="31"/>
        <v>8130.6493333333337</v>
      </c>
      <c r="L102" s="122">
        <f t="shared" si="16"/>
        <v>121959.74</v>
      </c>
      <c r="M102" s="116">
        <f t="shared" si="17"/>
        <v>0</v>
      </c>
      <c r="N102" s="123">
        <f t="shared" si="18"/>
        <v>0</v>
      </c>
      <c r="O102" s="5"/>
      <c r="P102" s="5">
        <f t="shared" si="19"/>
        <v>1</v>
      </c>
      <c r="Q102" s="7">
        <f t="shared" si="20"/>
        <v>15</v>
      </c>
      <c r="W102" s="124">
        <f t="shared" si="21"/>
        <v>121959.74</v>
      </c>
      <c r="X102">
        <f t="shared" si="22"/>
        <v>0</v>
      </c>
    </row>
    <row r="103" spans="1:24">
      <c r="A103" s="23" t="s">
        <v>112</v>
      </c>
      <c r="B103" s="35" t="s">
        <v>113</v>
      </c>
      <c r="C103" s="125">
        <v>5160</v>
      </c>
      <c r="D103" s="132">
        <f>(1088215813+12702012)</f>
        <v>1100917825</v>
      </c>
      <c r="E103" s="116">
        <f t="shared" si="29"/>
        <v>213356.1676356589</v>
      </c>
      <c r="F103" s="134">
        <f>(775468689+8954425)</f>
        <v>784423114</v>
      </c>
      <c r="G103" s="117">
        <f t="shared" si="30"/>
        <v>152019.98333333334</v>
      </c>
      <c r="H103" s="7"/>
      <c r="I103" s="136">
        <v>5.2850000000000001</v>
      </c>
      <c r="J103" s="134">
        <f>(4098352.021365+47324)</f>
        <v>4145676.0213649999</v>
      </c>
      <c r="K103" s="120">
        <f t="shared" si="31"/>
        <v>803.42558553585275</v>
      </c>
      <c r="L103" s="122">
        <f t="shared" si="16"/>
        <v>7844231.1400000006</v>
      </c>
      <c r="M103" s="116">
        <f t="shared" si="17"/>
        <v>3698555.1186350007</v>
      </c>
      <c r="N103" s="123">
        <f t="shared" si="18"/>
        <v>716.77424779748071</v>
      </c>
      <c r="O103" s="5"/>
      <c r="P103" s="5">
        <f t="shared" si="19"/>
        <v>1</v>
      </c>
      <c r="Q103" s="7">
        <f t="shared" si="20"/>
        <v>5160</v>
      </c>
      <c r="S103" s="124">
        <f>SUM(D99:D103)</f>
        <v>10921199251</v>
      </c>
      <c r="T103" s="124">
        <f>SUM(F99:F103)</f>
        <v>6921002086</v>
      </c>
      <c r="U103" s="124">
        <f>SUM(J99:J103)</f>
        <v>33151404.414137699</v>
      </c>
      <c r="W103" s="124">
        <f t="shared" si="21"/>
        <v>4145676.1574899997</v>
      </c>
      <c r="X103">
        <f t="shared" si="22"/>
        <v>1</v>
      </c>
    </row>
    <row r="104" spans="1:24">
      <c r="A104" s="23" t="s">
        <v>114</v>
      </c>
      <c r="B104" s="35" t="s">
        <v>115</v>
      </c>
      <c r="C104" s="125">
        <v>2341</v>
      </c>
      <c r="D104" s="132">
        <v>279056517</v>
      </c>
      <c r="E104" s="116">
        <f t="shared" si="29"/>
        <v>119203.97992310979</v>
      </c>
      <c r="F104" s="134">
        <v>170933156</v>
      </c>
      <c r="G104" s="117">
        <f t="shared" si="30"/>
        <v>73017.15335326783</v>
      </c>
      <c r="H104" s="9"/>
      <c r="I104" s="150">
        <v>9.0000999999999998</v>
      </c>
      <c r="J104" s="134">
        <v>1538415.4973155998</v>
      </c>
      <c r="K104" s="120">
        <f t="shared" si="31"/>
        <v>657.16168189474581</v>
      </c>
      <c r="L104" s="122">
        <f t="shared" si="16"/>
        <v>1709331.56</v>
      </c>
      <c r="M104" s="116">
        <f t="shared" si="17"/>
        <v>170916.06268440024</v>
      </c>
      <c r="N104" s="123">
        <f t="shared" si="18"/>
        <v>73.009851637932613</v>
      </c>
      <c r="O104" s="5"/>
      <c r="P104" s="5">
        <f t="shared" si="19"/>
        <v>1</v>
      </c>
      <c r="Q104" s="7">
        <f t="shared" si="20"/>
        <v>2341</v>
      </c>
      <c r="W104" s="124">
        <f t="shared" si="21"/>
        <v>1538415.4973156</v>
      </c>
      <c r="X104">
        <f t="shared" si="22"/>
        <v>0</v>
      </c>
    </row>
    <row r="105" spans="1:24">
      <c r="A105" s="23" t="s">
        <v>116</v>
      </c>
      <c r="B105" s="35" t="s">
        <v>115</v>
      </c>
      <c r="C105" s="125">
        <v>2606</v>
      </c>
      <c r="D105" s="132">
        <v>181674886</v>
      </c>
      <c r="E105" s="116">
        <f t="shared" si="29"/>
        <v>69714.077513430544</v>
      </c>
      <c r="F105" s="134">
        <v>122859603</v>
      </c>
      <c r="G105" s="117">
        <f t="shared" si="30"/>
        <v>47144.897544128937</v>
      </c>
      <c r="H105" s="9"/>
      <c r="I105" s="136">
        <v>9</v>
      </c>
      <c r="J105" s="134">
        <v>1105736.4269999999</v>
      </c>
      <c r="K105" s="120">
        <f t="shared" si="31"/>
        <v>424.30407789716037</v>
      </c>
      <c r="L105" s="122">
        <f t="shared" si="16"/>
        <v>1228596.03</v>
      </c>
      <c r="M105" s="116">
        <f t="shared" si="17"/>
        <v>122859.60300000012</v>
      </c>
      <c r="N105" s="123">
        <f t="shared" si="18"/>
        <v>47.14489754412898</v>
      </c>
      <c r="O105" s="5"/>
      <c r="P105" s="5">
        <f t="shared" si="19"/>
        <v>1</v>
      </c>
      <c r="Q105" s="7">
        <f t="shared" si="20"/>
        <v>2606</v>
      </c>
      <c r="S105" s="124">
        <f>SUM(D104:D105)</f>
        <v>460731403</v>
      </c>
      <c r="T105" s="124">
        <f>SUM(F104:F105)</f>
        <v>293792759</v>
      </c>
      <c r="U105" s="124">
        <f>SUM(J104:J105)</f>
        <v>2644151.9243155997</v>
      </c>
      <c r="W105" s="124">
        <f t="shared" si="21"/>
        <v>1105736.4269999999</v>
      </c>
      <c r="X105">
        <f t="shared" si="22"/>
        <v>0</v>
      </c>
    </row>
    <row r="106" spans="1:24">
      <c r="A106" s="23" t="s">
        <v>117</v>
      </c>
      <c r="B106" s="35" t="s">
        <v>118</v>
      </c>
      <c r="C106" s="125">
        <v>2955</v>
      </c>
      <c r="D106" s="132">
        <v>222785292</v>
      </c>
      <c r="E106" s="116">
        <f t="shared" si="29"/>
        <v>75392.653807106602</v>
      </c>
      <c r="F106" s="134">
        <v>29850316</v>
      </c>
      <c r="G106" s="117">
        <f t="shared" si="30"/>
        <v>10101.629780033842</v>
      </c>
      <c r="H106" s="7"/>
      <c r="I106" s="136">
        <v>0.98550000000000004</v>
      </c>
      <c r="J106" s="134">
        <v>29417.486418</v>
      </c>
      <c r="K106" s="120">
        <f t="shared" si="31"/>
        <v>9.9551561482233506</v>
      </c>
      <c r="L106" s="122">
        <f t="shared" si="16"/>
        <v>298503.16000000003</v>
      </c>
      <c r="M106" s="116">
        <f t="shared" si="17"/>
        <v>269085.67358200002</v>
      </c>
      <c r="N106" s="123">
        <f t="shared" si="18"/>
        <v>91.061141652115069</v>
      </c>
      <c r="O106" s="5"/>
      <c r="P106" s="5">
        <f t="shared" si="19"/>
        <v>1</v>
      </c>
      <c r="Q106" s="7">
        <f t="shared" si="20"/>
        <v>2955</v>
      </c>
      <c r="W106" s="124">
        <f t="shared" si="21"/>
        <v>29417.486418</v>
      </c>
      <c r="X106">
        <f t="shared" si="22"/>
        <v>0</v>
      </c>
    </row>
    <row r="107" spans="1:24">
      <c r="A107" s="23" t="s">
        <v>119</v>
      </c>
      <c r="B107" s="35" t="s">
        <v>118</v>
      </c>
      <c r="C107" s="125">
        <v>461</v>
      </c>
      <c r="D107" s="132">
        <v>21928438</v>
      </c>
      <c r="E107" s="116">
        <f t="shared" si="29"/>
        <v>47567.110629067247</v>
      </c>
      <c r="F107" s="134">
        <v>7919843</v>
      </c>
      <c r="G107" s="117">
        <f t="shared" si="30"/>
        <v>17179.702819956616</v>
      </c>
      <c r="H107" s="7"/>
      <c r="I107" s="136">
        <v>5</v>
      </c>
      <c r="J107" s="134">
        <v>39599.214999999997</v>
      </c>
      <c r="K107" s="120">
        <f t="shared" si="31"/>
        <v>85.898514099783071</v>
      </c>
      <c r="L107" s="122">
        <f t="shared" si="16"/>
        <v>79198.430000000008</v>
      </c>
      <c r="M107" s="116">
        <f t="shared" si="17"/>
        <v>39599.215000000011</v>
      </c>
      <c r="N107" s="123">
        <f t="shared" si="18"/>
        <v>85.8985140997831</v>
      </c>
      <c r="O107" s="5"/>
      <c r="P107" s="5">
        <f t="shared" si="19"/>
        <v>1</v>
      </c>
      <c r="Q107" s="7">
        <f t="shared" si="20"/>
        <v>461</v>
      </c>
      <c r="W107" s="124">
        <f t="shared" si="21"/>
        <v>39599.215000000004</v>
      </c>
      <c r="X107">
        <f t="shared" si="22"/>
        <v>0</v>
      </c>
    </row>
    <row r="108" spans="1:24">
      <c r="A108" s="23" t="s">
        <v>120</v>
      </c>
      <c r="B108" s="35" t="s">
        <v>118</v>
      </c>
      <c r="C108" s="125">
        <v>1357</v>
      </c>
      <c r="D108" s="132">
        <v>47433080</v>
      </c>
      <c r="E108" s="116">
        <f t="shared" si="29"/>
        <v>34954.369933677226</v>
      </c>
      <c r="F108" s="134">
        <v>25934827</v>
      </c>
      <c r="G108" s="117">
        <f t="shared" si="30"/>
        <v>19111.884303610906</v>
      </c>
      <c r="H108" s="7"/>
      <c r="I108" s="136">
        <v>5.0511999999999997</v>
      </c>
      <c r="J108" s="134">
        <v>131001.9981424</v>
      </c>
      <c r="K108" s="120">
        <f t="shared" si="31"/>
        <v>96.537949994399412</v>
      </c>
      <c r="L108" s="122">
        <f t="shared" si="16"/>
        <v>259348.27000000002</v>
      </c>
      <c r="M108" s="116">
        <f t="shared" si="17"/>
        <v>128346.27185760002</v>
      </c>
      <c r="N108" s="123">
        <f t="shared" si="18"/>
        <v>94.580893041709672</v>
      </c>
      <c r="O108" s="5"/>
      <c r="P108" s="5">
        <f t="shared" si="19"/>
        <v>1</v>
      </c>
      <c r="Q108" s="7">
        <f t="shared" si="20"/>
        <v>1357</v>
      </c>
      <c r="W108" s="124">
        <f t="shared" si="21"/>
        <v>131001.99814239999</v>
      </c>
      <c r="X108">
        <f t="shared" si="22"/>
        <v>0</v>
      </c>
    </row>
    <row r="109" spans="1:24">
      <c r="A109" s="23" t="s">
        <v>121</v>
      </c>
      <c r="B109" s="35" t="s">
        <v>118</v>
      </c>
      <c r="C109" s="125">
        <v>1753</v>
      </c>
      <c r="D109" s="132">
        <v>105275785</v>
      </c>
      <c r="E109" s="116">
        <f t="shared" si="29"/>
        <v>60054.640616086712</v>
      </c>
      <c r="F109" s="134">
        <v>71275553</v>
      </c>
      <c r="G109" s="117">
        <f t="shared" si="30"/>
        <v>40659.185966913865</v>
      </c>
      <c r="H109" s="7"/>
      <c r="I109" s="136">
        <v>1.85</v>
      </c>
      <c r="J109" s="134">
        <v>131859.77305000002</v>
      </c>
      <c r="K109" s="120">
        <f t="shared" si="31"/>
        <v>75.219494038790657</v>
      </c>
      <c r="L109" s="122">
        <f t="shared" si="16"/>
        <v>712755.53</v>
      </c>
      <c r="M109" s="116">
        <f t="shared" si="17"/>
        <v>580895.75695000007</v>
      </c>
      <c r="N109" s="123">
        <f t="shared" si="18"/>
        <v>331.37236563034799</v>
      </c>
      <c r="O109" s="5"/>
      <c r="P109" s="5">
        <f t="shared" si="19"/>
        <v>1</v>
      </c>
      <c r="Q109" s="7">
        <f t="shared" si="20"/>
        <v>1753</v>
      </c>
      <c r="W109" s="124">
        <f t="shared" si="21"/>
        <v>131859.77305000002</v>
      </c>
      <c r="X109">
        <f t="shared" si="22"/>
        <v>0</v>
      </c>
    </row>
    <row r="110" spans="1:24">
      <c r="A110" s="23" t="s">
        <v>122</v>
      </c>
      <c r="B110" s="35" t="s">
        <v>118</v>
      </c>
      <c r="C110" s="125">
        <v>3537</v>
      </c>
      <c r="D110" s="132">
        <v>246534187</v>
      </c>
      <c r="E110" s="116">
        <f t="shared" si="29"/>
        <v>69701.494769578741</v>
      </c>
      <c r="F110" s="134">
        <v>176601919</v>
      </c>
      <c r="G110" s="117">
        <f t="shared" si="30"/>
        <v>49929.861181792483</v>
      </c>
      <c r="H110" s="7"/>
      <c r="I110" s="136">
        <v>4.6839000000000004</v>
      </c>
      <c r="J110" s="134">
        <v>827185.72840410005</v>
      </c>
      <c r="K110" s="120">
        <f t="shared" si="31"/>
        <v>233.86647678939781</v>
      </c>
      <c r="L110" s="122">
        <f t="shared" si="16"/>
        <v>1766019.19</v>
      </c>
      <c r="M110" s="116">
        <f t="shared" si="17"/>
        <v>938833.46159589989</v>
      </c>
      <c r="N110" s="123">
        <f t="shared" si="18"/>
        <v>265.43213502852694</v>
      </c>
      <c r="O110" s="5"/>
      <c r="P110" s="5">
        <f t="shared" si="19"/>
        <v>1</v>
      </c>
      <c r="Q110" s="7">
        <f t="shared" si="20"/>
        <v>3537</v>
      </c>
      <c r="W110" s="124">
        <f t="shared" si="21"/>
        <v>827185.72840410005</v>
      </c>
      <c r="X110">
        <f t="shared" si="22"/>
        <v>0</v>
      </c>
    </row>
    <row r="111" spans="1:24">
      <c r="A111" s="23" t="s">
        <v>123</v>
      </c>
      <c r="B111" s="35" t="s">
        <v>118</v>
      </c>
      <c r="C111" s="125">
        <v>7970</v>
      </c>
      <c r="D111" s="132">
        <v>506479155</v>
      </c>
      <c r="E111" s="116">
        <f t="shared" si="29"/>
        <v>63548.200125470517</v>
      </c>
      <c r="F111" s="134">
        <v>225846834</v>
      </c>
      <c r="G111" s="117">
        <f t="shared" si="30"/>
        <v>28337.118444165622</v>
      </c>
      <c r="H111" s="9"/>
      <c r="I111" s="136">
        <v>5.0038</v>
      </c>
      <c r="J111" s="134">
        <v>1130092.3879691998</v>
      </c>
      <c r="K111" s="120">
        <f t="shared" si="31"/>
        <v>141.7932732709159</v>
      </c>
      <c r="L111" s="122">
        <f t="shared" si="16"/>
        <v>2258468.34</v>
      </c>
      <c r="M111" s="116">
        <f t="shared" si="17"/>
        <v>1128375.9520308001</v>
      </c>
      <c r="N111" s="123">
        <f t="shared" si="18"/>
        <v>141.57791117074029</v>
      </c>
      <c r="O111" s="5"/>
      <c r="P111" s="5">
        <f t="shared" si="19"/>
        <v>1</v>
      </c>
      <c r="Q111" s="7">
        <f t="shared" si="20"/>
        <v>7970</v>
      </c>
      <c r="S111" s="124">
        <f>SUM(D106:D111)</f>
        <v>1150435937</v>
      </c>
      <c r="T111" s="124">
        <f>SUM(F106:F111)</f>
        <v>537429292</v>
      </c>
      <c r="U111" s="124">
        <f>SUM(J106:J111)</f>
        <v>2289156.5889836997</v>
      </c>
      <c r="W111" s="124">
        <f t="shared" si="21"/>
        <v>1130092.3879692</v>
      </c>
      <c r="X111">
        <f t="shared" si="22"/>
        <v>0</v>
      </c>
    </row>
    <row r="112" spans="1:24">
      <c r="A112" s="23" t="s">
        <v>124</v>
      </c>
      <c r="B112" s="35" t="s">
        <v>125</v>
      </c>
      <c r="C112" s="125">
        <v>518</v>
      </c>
      <c r="D112" s="132">
        <v>43139039</v>
      </c>
      <c r="E112" s="116">
        <f t="shared" si="29"/>
        <v>83279.998069498062</v>
      </c>
      <c r="F112" s="134">
        <v>18699491</v>
      </c>
      <c r="G112" s="117">
        <f t="shared" si="30"/>
        <v>36099.403474903476</v>
      </c>
      <c r="H112" s="9"/>
      <c r="I112" s="136">
        <v>3</v>
      </c>
      <c r="J112" s="134">
        <v>56098.472999999998</v>
      </c>
      <c r="K112" s="120">
        <f t="shared" si="31"/>
        <v>108.29821042471042</v>
      </c>
      <c r="L112" s="122">
        <f t="shared" si="16"/>
        <v>186994.91</v>
      </c>
      <c r="M112" s="116">
        <f t="shared" si="17"/>
        <v>130896.43700000001</v>
      </c>
      <c r="N112" s="123">
        <f t="shared" si="18"/>
        <v>252.69582432432435</v>
      </c>
      <c r="O112" s="5"/>
      <c r="P112" s="5">
        <f t="shared" si="19"/>
        <v>1</v>
      </c>
      <c r="Q112" s="7">
        <f t="shared" si="20"/>
        <v>518</v>
      </c>
      <c r="W112" s="124">
        <f t="shared" si="21"/>
        <v>56098.472999999998</v>
      </c>
      <c r="X112">
        <f t="shared" si="22"/>
        <v>0</v>
      </c>
    </row>
    <row r="113" spans="1:24">
      <c r="A113" s="23" t="s">
        <v>126</v>
      </c>
      <c r="B113" s="35" t="s">
        <v>125</v>
      </c>
      <c r="C113" s="125">
        <v>2015</v>
      </c>
      <c r="D113" s="132">
        <v>124577595</v>
      </c>
      <c r="E113" s="116">
        <f t="shared" si="29"/>
        <v>61825.109181141437</v>
      </c>
      <c r="F113" s="134">
        <v>66945318</v>
      </c>
      <c r="G113" s="117">
        <f t="shared" si="30"/>
        <v>33223.482878411909</v>
      </c>
      <c r="H113" s="9"/>
      <c r="I113" s="150">
        <v>2.25</v>
      </c>
      <c r="J113" s="134">
        <v>150626.96549999999</v>
      </c>
      <c r="K113" s="120">
        <f t="shared" si="31"/>
        <v>74.752836476426793</v>
      </c>
      <c r="L113" s="122">
        <f t="shared" si="16"/>
        <v>669453.18000000005</v>
      </c>
      <c r="M113" s="116">
        <f t="shared" si="17"/>
        <v>518826.21450000006</v>
      </c>
      <c r="N113" s="123">
        <f t="shared" si="18"/>
        <v>257.48199230769234</v>
      </c>
      <c r="O113" s="5"/>
      <c r="P113" s="5">
        <f t="shared" si="19"/>
        <v>1</v>
      </c>
      <c r="Q113" s="7">
        <f t="shared" si="20"/>
        <v>2015</v>
      </c>
      <c r="W113" s="124">
        <f t="shared" si="21"/>
        <v>150626.96549999999</v>
      </c>
      <c r="X113">
        <f t="shared" si="22"/>
        <v>0</v>
      </c>
    </row>
    <row r="114" spans="1:24">
      <c r="A114" s="23" t="s">
        <v>127</v>
      </c>
      <c r="B114" s="35" t="s">
        <v>128</v>
      </c>
      <c r="C114" s="125">
        <v>1182</v>
      </c>
      <c r="D114" s="132">
        <f>(37254040+40199393)</f>
        <v>77453433</v>
      </c>
      <c r="E114" s="116">
        <f t="shared" si="29"/>
        <v>65527.439086294413</v>
      </c>
      <c r="F114" s="134">
        <f>(20578329+23242851)</f>
        <v>43821180</v>
      </c>
      <c r="G114" s="117">
        <f t="shared" si="30"/>
        <v>37073.756345177666</v>
      </c>
      <c r="H114" s="7"/>
      <c r="I114" s="150">
        <v>3</v>
      </c>
      <c r="J114" s="134">
        <f>(61734.987+69729)</f>
        <v>131463.98699999999</v>
      </c>
      <c r="K114" s="120">
        <f t="shared" si="31"/>
        <v>111.22164720812182</v>
      </c>
      <c r="L114" s="122">
        <f t="shared" si="16"/>
        <v>438211.8</v>
      </c>
      <c r="M114" s="116">
        <f t="shared" si="17"/>
        <v>306747.81299999997</v>
      </c>
      <c r="N114" s="123">
        <f t="shared" si="18"/>
        <v>259.51591624365477</v>
      </c>
      <c r="O114" s="5"/>
      <c r="P114" s="5">
        <f t="shared" si="19"/>
        <v>1</v>
      </c>
      <c r="Q114" s="7">
        <f t="shared" si="20"/>
        <v>1182</v>
      </c>
      <c r="S114" s="124">
        <f>SUM(D112:D114)</f>
        <v>245170067</v>
      </c>
      <c r="T114" s="124">
        <f>SUM(F112:F114)</f>
        <v>129465989</v>
      </c>
      <c r="U114" s="124">
        <f>SUM(J112:J114)</f>
        <v>338189.42550000001</v>
      </c>
      <c r="W114" s="124">
        <f t="shared" si="21"/>
        <v>131463.54</v>
      </c>
      <c r="X114">
        <f t="shared" si="22"/>
        <v>1</v>
      </c>
    </row>
    <row r="115" spans="1:24">
      <c r="A115" s="23" t="s">
        <v>129</v>
      </c>
      <c r="B115" s="35" t="s">
        <v>130</v>
      </c>
      <c r="C115" s="125">
        <v>1566</v>
      </c>
      <c r="D115" s="132">
        <v>117004213</v>
      </c>
      <c r="E115" s="116">
        <f t="shared" si="29"/>
        <v>74715.333971902932</v>
      </c>
      <c r="F115" s="134">
        <v>44563380</v>
      </c>
      <c r="G115" s="117">
        <f t="shared" si="30"/>
        <v>28456.819923371648</v>
      </c>
      <c r="H115" s="9"/>
      <c r="I115" s="136">
        <v>4.5510000000000002</v>
      </c>
      <c r="J115" s="134">
        <v>202807.94237999999</v>
      </c>
      <c r="K115" s="120">
        <f t="shared" si="31"/>
        <v>129.50698747126435</v>
      </c>
      <c r="L115" s="122">
        <f t="shared" si="16"/>
        <v>445633.8</v>
      </c>
      <c r="M115" s="116">
        <f t="shared" si="17"/>
        <v>242825.85762</v>
      </c>
      <c r="N115" s="123">
        <f t="shared" si="18"/>
        <v>155.0612117624521</v>
      </c>
      <c r="O115" s="5"/>
      <c r="P115" s="5">
        <f t="shared" si="19"/>
        <v>1</v>
      </c>
      <c r="Q115" s="7">
        <f t="shared" si="20"/>
        <v>1566</v>
      </c>
      <c r="S115" s="124">
        <f>SUM(D115)</f>
        <v>117004213</v>
      </c>
      <c r="T115" s="124">
        <f>SUM(F115)</f>
        <v>44563380</v>
      </c>
      <c r="U115" s="124">
        <f>SUM(J115)</f>
        <v>202807.94237999999</v>
      </c>
      <c r="W115" s="124">
        <f t="shared" si="21"/>
        <v>202807.94238000002</v>
      </c>
      <c r="X115">
        <f t="shared" si="22"/>
        <v>0</v>
      </c>
    </row>
    <row r="116" spans="1:24">
      <c r="A116" s="24" t="s">
        <v>545</v>
      </c>
      <c r="B116" s="35" t="s">
        <v>131</v>
      </c>
      <c r="C116" s="125">
        <v>3357</v>
      </c>
      <c r="D116" s="132">
        <v>531303725</v>
      </c>
      <c r="E116" s="116">
        <f t="shared" si="29"/>
        <v>158267.41882633304</v>
      </c>
      <c r="F116" s="134">
        <v>321708844</v>
      </c>
      <c r="G116" s="117">
        <f t="shared" si="30"/>
        <v>95832.244265713438</v>
      </c>
      <c r="H116" s="9"/>
      <c r="I116" s="136">
        <v>3.5914000000000001</v>
      </c>
      <c r="J116" s="134">
        <v>1155385.1423416</v>
      </c>
      <c r="K116" s="120">
        <f t="shared" si="31"/>
        <v>344.17192205588321</v>
      </c>
      <c r="L116" s="122">
        <f t="shared" si="16"/>
        <v>3217088.44</v>
      </c>
      <c r="M116" s="116">
        <f t="shared" si="17"/>
        <v>2061703.2976583999</v>
      </c>
      <c r="N116" s="123">
        <f t="shared" si="18"/>
        <v>614.15052060125106</v>
      </c>
      <c r="O116" s="5"/>
      <c r="P116" s="5">
        <f t="shared" si="19"/>
        <v>1</v>
      </c>
      <c r="Q116" s="7">
        <f t="shared" si="20"/>
        <v>3357</v>
      </c>
      <c r="W116" s="124">
        <f t="shared" si="21"/>
        <v>1155385.1423416</v>
      </c>
      <c r="X116">
        <f t="shared" si="22"/>
        <v>0</v>
      </c>
    </row>
    <row r="117" spans="1:24">
      <c r="A117" s="23" t="s">
        <v>132</v>
      </c>
      <c r="B117" s="35" t="s">
        <v>131</v>
      </c>
      <c r="C117" s="125">
        <v>2074</v>
      </c>
      <c r="D117" s="132">
        <v>111680374</v>
      </c>
      <c r="E117" s="116">
        <f t="shared" si="29"/>
        <v>53847.817743490836</v>
      </c>
      <c r="F117" s="134">
        <v>58333335</v>
      </c>
      <c r="G117" s="117">
        <f t="shared" si="30"/>
        <v>28126.005303760849</v>
      </c>
      <c r="H117" s="9"/>
      <c r="I117" s="136">
        <v>6.1132999999999997</v>
      </c>
      <c r="J117" s="134">
        <v>356609.17685549997</v>
      </c>
      <c r="K117" s="120">
        <f t="shared" si="31"/>
        <v>171.94270822348119</v>
      </c>
      <c r="L117" s="122">
        <f t="shared" si="16"/>
        <v>583333.35</v>
      </c>
      <c r="M117" s="116">
        <f t="shared" si="17"/>
        <v>226724.1731445</v>
      </c>
      <c r="N117" s="123">
        <f t="shared" si="18"/>
        <v>109.3173448141273</v>
      </c>
      <c r="O117" s="5"/>
      <c r="P117" s="5">
        <f t="shared" si="19"/>
        <v>1</v>
      </c>
      <c r="Q117" s="7">
        <f t="shared" si="20"/>
        <v>2074</v>
      </c>
      <c r="S117" s="124">
        <f>SUM(D116:D117)</f>
        <v>642984099</v>
      </c>
      <c r="T117" s="124">
        <f>SUM(F116:F117)</f>
        <v>380042179</v>
      </c>
      <c r="U117" s="124">
        <f>SUM(J116:J117)</f>
        <v>1511994.3191971001</v>
      </c>
      <c r="W117" s="124">
        <f t="shared" si="21"/>
        <v>356609.17685549997</v>
      </c>
      <c r="X117">
        <f t="shared" si="22"/>
        <v>0</v>
      </c>
    </row>
    <row r="118" spans="1:24">
      <c r="A118" s="23" t="s">
        <v>133</v>
      </c>
      <c r="B118" s="35" t="s">
        <v>134</v>
      </c>
      <c r="C118" s="125">
        <v>3621</v>
      </c>
      <c r="D118" s="132">
        <v>103757437</v>
      </c>
      <c r="E118" s="116">
        <f t="shared" si="29"/>
        <v>28654.359845346589</v>
      </c>
      <c r="F118" s="134">
        <v>48838539</v>
      </c>
      <c r="G118" s="117">
        <f t="shared" si="30"/>
        <v>13487.583264291632</v>
      </c>
      <c r="H118" s="7"/>
      <c r="I118" s="136">
        <v>7.9489999999999998</v>
      </c>
      <c r="J118" s="134">
        <v>388217.54651099996</v>
      </c>
      <c r="K118" s="120">
        <f t="shared" si="31"/>
        <v>107.21279936785417</v>
      </c>
      <c r="L118" s="122">
        <f t="shared" si="16"/>
        <v>488385.39</v>
      </c>
      <c r="M118" s="116">
        <f t="shared" si="17"/>
        <v>100167.84348900005</v>
      </c>
      <c r="N118" s="123">
        <f t="shared" si="18"/>
        <v>27.663033275062151</v>
      </c>
      <c r="O118" s="5"/>
      <c r="P118" s="5">
        <f t="shared" si="19"/>
        <v>1</v>
      </c>
      <c r="Q118" s="7">
        <f t="shared" si="20"/>
        <v>3621</v>
      </c>
      <c r="W118" s="124">
        <f t="shared" si="21"/>
        <v>388217.54651099996</v>
      </c>
      <c r="X118">
        <f t="shared" si="22"/>
        <v>0</v>
      </c>
    </row>
    <row r="119" spans="1:24">
      <c r="A119" s="23" t="s">
        <v>135</v>
      </c>
      <c r="B119" s="35" t="s">
        <v>134</v>
      </c>
      <c r="C119" s="125">
        <v>749</v>
      </c>
      <c r="D119" s="132">
        <v>21408069</v>
      </c>
      <c r="E119" s="116">
        <f t="shared" si="29"/>
        <v>28582.201602136181</v>
      </c>
      <c r="F119" s="134">
        <v>13165834</v>
      </c>
      <c r="G119" s="117">
        <f t="shared" si="30"/>
        <v>17577.882510013351</v>
      </c>
      <c r="H119" s="7"/>
      <c r="I119" s="136">
        <v>4.7138999999999998</v>
      </c>
      <c r="J119" s="134">
        <v>62062.4248926</v>
      </c>
      <c r="K119" s="120">
        <f t="shared" si="31"/>
        <v>82.860380363951933</v>
      </c>
      <c r="L119" s="122">
        <f t="shared" si="16"/>
        <v>131658.34</v>
      </c>
      <c r="M119" s="116">
        <f t="shared" si="17"/>
        <v>69595.915107399996</v>
      </c>
      <c r="N119" s="123">
        <f t="shared" si="18"/>
        <v>92.91844473618157</v>
      </c>
      <c r="O119" s="5"/>
      <c r="P119" s="5">
        <f t="shared" si="19"/>
        <v>1</v>
      </c>
      <c r="Q119" s="7">
        <f t="shared" si="20"/>
        <v>749</v>
      </c>
      <c r="W119" s="124">
        <f t="shared" si="21"/>
        <v>62062.4248926</v>
      </c>
      <c r="X119">
        <f t="shared" si="22"/>
        <v>0</v>
      </c>
    </row>
    <row r="120" spans="1:24">
      <c r="A120" s="23" t="s">
        <v>136</v>
      </c>
      <c r="B120" s="35" t="s">
        <v>134</v>
      </c>
      <c r="C120" s="125">
        <v>740</v>
      </c>
      <c r="D120" s="132">
        <v>36767002</v>
      </c>
      <c r="E120" s="116">
        <f t="shared" si="29"/>
        <v>49685.137837837836</v>
      </c>
      <c r="F120" s="134">
        <v>18633679</v>
      </c>
      <c r="G120" s="117">
        <f t="shared" si="30"/>
        <v>25180.647297297299</v>
      </c>
      <c r="H120" s="7"/>
      <c r="I120" s="136">
        <v>4.2030000000000003</v>
      </c>
      <c r="J120" s="134">
        <v>78317.352837000013</v>
      </c>
      <c r="K120" s="120">
        <f t="shared" si="31"/>
        <v>105.83426059054055</v>
      </c>
      <c r="L120" s="122">
        <f t="shared" si="16"/>
        <v>186336.79</v>
      </c>
      <c r="M120" s="116">
        <f t="shared" si="17"/>
        <v>108019.437163</v>
      </c>
      <c r="N120" s="123">
        <f t="shared" si="18"/>
        <v>145.97221238243242</v>
      </c>
      <c r="O120" s="5"/>
      <c r="P120" s="5">
        <f t="shared" si="19"/>
        <v>1</v>
      </c>
      <c r="Q120" s="7">
        <f t="shared" si="20"/>
        <v>740</v>
      </c>
      <c r="S120" s="124">
        <f>SUM(D118:D120)</f>
        <v>161932508</v>
      </c>
      <c r="T120" s="124">
        <f>SUM(F118:F120)</f>
        <v>80638052</v>
      </c>
      <c r="U120" s="124">
        <f>SUM(J118:J120)</f>
        <v>528597.32424059999</v>
      </c>
      <c r="W120" s="124">
        <f t="shared" si="21"/>
        <v>78317.352836999999</v>
      </c>
      <c r="X120">
        <f t="shared" si="22"/>
        <v>0</v>
      </c>
    </row>
    <row r="121" spans="1:24">
      <c r="A121" s="23" t="s">
        <v>137</v>
      </c>
      <c r="B121" s="35" t="s">
        <v>138</v>
      </c>
      <c r="C121" s="125">
        <v>2405</v>
      </c>
      <c r="D121" s="132">
        <v>97132771</v>
      </c>
      <c r="E121" s="116">
        <f t="shared" si="29"/>
        <v>40387.846569646572</v>
      </c>
      <c r="F121" s="134">
        <v>41587840</v>
      </c>
      <c r="G121" s="117">
        <f t="shared" si="30"/>
        <v>17292.241164241164</v>
      </c>
      <c r="H121" s="7"/>
      <c r="I121" s="136">
        <v>7.35</v>
      </c>
      <c r="J121" s="134">
        <v>305670.62400000001</v>
      </c>
      <c r="K121" s="120">
        <f t="shared" si="31"/>
        <v>127.09797255717257</v>
      </c>
      <c r="L121" s="122">
        <f t="shared" si="16"/>
        <v>415878.40000000002</v>
      </c>
      <c r="M121" s="116">
        <f t="shared" si="17"/>
        <v>110207.77600000001</v>
      </c>
      <c r="N121" s="123">
        <f t="shared" si="18"/>
        <v>45.824439085239092</v>
      </c>
      <c r="O121" s="5"/>
      <c r="P121" s="5">
        <f t="shared" si="19"/>
        <v>1</v>
      </c>
      <c r="Q121" s="7">
        <f t="shared" si="20"/>
        <v>2405</v>
      </c>
      <c r="W121" s="124">
        <f t="shared" si="21"/>
        <v>305670.62400000001</v>
      </c>
      <c r="X121">
        <f t="shared" si="22"/>
        <v>0</v>
      </c>
    </row>
    <row r="122" spans="1:24">
      <c r="A122" s="23" t="s">
        <v>139</v>
      </c>
      <c r="B122" s="35" t="s">
        <v>138</v>
      </c>
      <c r="C122" s="125">
        <v>4900</v>
      </c>
      <c r="D122" s="132">
        <v>265060633</v>
      </c>
      <c r="E122" s="116">
        <f t="shared" si="29"/>
        <v>54094.006734693874</v>
      </c>
      <c r="F122" s="134">
        <v>133401416</v>
      </c>
      <c r="G122" s="117">
        <f t="shared" si="30"/>
        <v>27224.778775510204</v>
      </c>
      <c r="H122" s="7"/>
      <c r="I122" s="136">
        <v>5.5532000000000004</v>
      </c>
      <c r="J122" s="134">
        <v>740804.74333119998</v>
      </c>
      <c r="K122" s="120">
        <f t="shared" si="31"/>
        <v>151.18464149616327</v>
      </c>
      <c r="L122" s="122">
        <f t="shared" si="16"/>
        <v>1334014.1599999999</v>
      </c>
      <c r="M122" s="116">
        <f t="shared" si="17"/>
        <v>593209.41666879994</v>
      </c>
      <c r="N122" s="123">
        <f t="shared" si="18"/>
        <v>121.06314625893876</v>
      </c>
      <c r="O122" s="5"/>
      <c r="P122" s="5">
        <f t="shared" si="19"/>
        <v>1</v>
      </c>
      <c r="Q122" s="7">
        <f t="shared" si="20"/>
        <v>4900</v>
      </c>
      <c r="W122" s="124">
        <f t="shared" si="21"/>
        <v>740804.74333120009</v>
      </c>
      <c r="X122">
        <f t="shared" si="22"/>
        <v>0</v>
      </c>
    </row>
    <row r="123" spans="1:24">
      <c r="A123" s="23" t="s">
        <v>140</v>
      </c>
      <c r="B123" s="35" t="s">
        <v>138</v>
      </c>
      <c r="C123" s="125">
        <v>1737</v>
      </c>
      <c r="D123" s="132">
        <v>65645202</v>
      </c>
      <c r="E123" s="116">
        <f t="shared" si="29"/>
        <v>37792.286701208985</v>
      </c>
      <c r="F123" s="134">
        <v>32861897</v>
      </c>
      <c r="G123" s="117">
        <f t="shared" si="30"/>
        <v>18918.766263672998</v>
      </c>
      <c r="H123" s="7"/>
      <c r="I123" s="136">
        <v>8.5540000000000003</v>
      </c>
      <c r="J123" s="134">
        <v>281100.66693800001</v>
      </c>
      <c r="K123" s="120">
        <f t="shared" si="31"/>
        <v>161.83112661945884</v>
      </c>
      <c r="L123" s="122">
        <f t="shared" si="16"/>
        <v>328618.97000000003</v>
      </c>
      <c r="M123" s="116">
        <f t="shared" si="17"/>
        <v>47518.303062000021</v>
      </c>
      <c r="N123" s="123">
        <f t="shared" si="18"/>
        <v>27.356536017271168</v>
      </c>
      <c r="O123" s="5"/>
      <c r="P123" s="5">
        <f t="shared" si="19"/>
        <v>1</v>
      </c>
      <c r="Q123" s="7">
        <f t="shared" si="20"/>
        <v>1737</v>
      </c>
      <c r="S123" s="124">
        <f>SUM(D121:D123)</f>
        <v>427838606</v>
      </c>
      <c r="T123" s="124">
        <f>SUM(F121:F123)</f>
        <v>207851153</v>
      </c>
      <c r="U123" s="124">
        <f>SUM(J121:J123)</f>
        <v>1327576.0342692002</v>
      </c>
      <c r="W123" s="124">
        <f t="shared" si="21"/>
        <v>281100.66693800001</v>
      </c>
      <c r="X123">
        <f t="shared" si="22"/>
        <v>0</v>
      </c>
    </row>
    <row r="124" spans="1:24">
      <c r="A124" s="23" t="s">
        <v>141</v>
      </c>
      <c r="B124" s="35" t="s">
        <v>142</v>
      </c>
      <c r="C124" s="125">
        <v>7327</v>
      </c>
      <c r="D124" s="132">
        <v>542971560</v>
      </c>
      <c r="E124" s="116">
        <f t="shared" si="29"/>
        <v>74105.576634366036</v>
      </c>
      <c r="F124" s="134">
        <v>258591235</v>
      </c>
      <c r="G124" s="117">
        <f t="shared" si="30"/>
        <v>35292.92138665211</v>
      </c>
      <c r="H124" s="7"/>
      <c r="I124" s="136">
        <v>6.5313999999999997</v>
      </c>
      <c r="J124" s="134">
        <v>1688962.7922789997</v>
      </c>
      <c r="K124" s="120">
        <f t="shared" si="31"/>
        <v>230.51218674477954</v>
      </c>
      <c r="L124" s="122">
        <f t="shared" si="16"/>
        <v>2585912.35</v>
      </c>
      <c r="M124" s="116">
        <f t="shared" si="17"/>
        <v>896949.5577210004</v>
      </c>
      <c r="N124" s="123">
        <f t="shared" si="18"/>
        <v>122.41702712174155</v>
      </c>
      <c r="O124" s="5"/>
      <c r="P124" s="5">
        <f t="shared" si="19"/>
        <v>1</v>
      </c>
      <c r="Q124" s="7">
        <f t="shared" si="20"/>
        <v>7327</v>
      </c>
      <c r="W124" s="124">
        <f t="shared" si="21"/>
        <v>1688962.7922789999</v>
      </c>
      <c r="X124">
        <f t="shared" si="22"/>
        <v>0</v>
      </c>
    </row>
    <row r="125" spans="1:24">
      <c r="A125" s="23" t="s">
        <v>558</v>
      </c>
      <c r="B125" s="35" t="s">
        <v>142</v>
      </c>
      <c r="C125" s="125">
        <v>4966</v>
      </c>
      <c r="D125" s="132">
        <v>494251204</v>
      </c>
      <c r="E125" s="116">
        <f t="shared" si="29"/>
        <v>99527.024567055982</v>
      </c>
      <c r="F125" s="134">
        <v>234727237</v>
      </c>
      <c r="G125" s="117">
        <f t="shared" si="30"/>
        <v>47266.862062021748</v>
      </c>
      <c r="H125" s="7"/>
      <c r="I125" s="136">
        <v>4</v>
      </c>
      <c r="J125" s="134">
        <v>938908.94799999997</v>
      </c>
      <c r="K125" s="120">
        <f t="shared" si="31"/>
        <v>189.06744824808698</v>
      </c>
      <c r="L125" s="122">
        <f t="shared" si="16"/>
        <v>2347272.37</v>
      </c>
      <c r="M125" s="116">
        <f t="shared" si="17"/>
        <v>1408363.4220000003</v>
      </c>
      <c r="N125" s="123">
        <f t="shared" si="18"/>
        <v>283.60117237213052</v>
      </c>
      <c r="O125" s="5"/>
      <c r="P125" s="5">
        <f t="shared" si="19"/>
        <v>1</v>
      </c>
      <c r="Q125" s="7">
        <f t="shared" si="20"/>
        <v>4966</v>
      </c>
      <c r="S125" s="124">
        <f>SUM(D124:D125)</f>
        <v>1037222764</v>
      </c>
      <c r="T125" s="124">
        <f>SUM(F124:F125)</f>
        <v>493318472</v>
      </c>
      <c r="U125" s="124">
        <f>SUM(J124:J125)</f>
        <v>2627871.7402789998</v>
      </c>
      <c r="W125" s="124">
        <f t="shared" si="21"/>
        <v>938908.94799999997</v>
      </c>
      <c r="X125">
        <f t="shared" si="22"/>
        <v>0</v>
      </c>
    </row>
    <row r="126" spans="1:24">
      <c r="A126" s="23" t="s">
        <v>143</v>
      </c>
      <c r="B126" s="35" t="s">
        <v>144</v>
      </c>
      <c r="C126" s="125">
        <v>8890</v>
      </c>
      <c r="D126" s="132">
        <v>1112448876</v>
      </c>
      <c r="E126" s="116">
        <f t="shared" si="29"/>
        <v>125134.85669291338</v>
      </c>
      <c r="F126" s="134">
        <v>486115661</v>
      </c>
      <c r="G126" s="117">
        <f t="shared" si="30"/>
        <v>54681.176715410576</v>
      </c>
      <c r="H126" s="7"/>
      <c r="I126" s="136">
        <v>5.9</v>
      </c>
      <c r="J126" s="134">
        <v>2868082.3999000001</v>
      </c>
      <c r="K126" s="120">
        <f t="shared" si="31"/>
        <v>322.61894262092238</v>
      </c>
      <c r="L126" s="122">
        <f t="shared" si="16"/>
        <v>4861156.6100000003</v>
      </c>
      <c r="M126" s="116">
        <f t="shared" si="17"/>
        <v>1993074.2101000003</v>
      </c>
      <c r="N126" s="123">
        <f t="shared" si="18"/>
        <v>224.19282453318337</v>
      </c>
      <c r="O126" s="5"/>
      <c r="P126" s="5">
        <f t="shared" si="19"/>
        <v>1</v>
      </c>
      <c r="Q126" s="7">
        <f t="shared" si="20"/>
        <v>8890</v>
      </c>
      <c r="S126" s="124">
        <f>D126</f>
        <v>1112448876</v>
      </c>
      <c r="T126" s="124">
        <f>F126</f>
        <v>486115661</v>
      </c>
      <c r="U126" s="124">
        <f>J126</f>
        <v>2868082.3999000001</v>
      </c>
      <c r="W126" s="124">
        <f t="shared" si="21"/>
        <v>2868082.3999000005</v>
      </c>
      <c r="X126">
        <f t="shared" si="22"/>
        <v>0</v>
      </c>
    </row>
    <row r="127" spans="1:24">
      <c r="A127" s="23" t="s">
        <v>146</v>
      </c>
      <c r="B127" s="35" t="s">
        <v>147</v>
      </c>
      <c r="C127" s="125">
        <v>9658</v>
      </c>
      <c r="D127" s="132">
        <v>631311761</v>
      </c>
      <c r="E127" s="116">
        <f t="shared" si="29"/>
        <v>65366.717850486646</v>
      </c>
      <c r="F127" s="134">
        <v>319507338</v>
      </c>
      <c r="G127" s="117">
        <f t="shared" si="30"/>
        <v>33082.143093808241</v>
      </c>
      <c r="H127" s="7"/>
      <c r="I127" s="136">
        <v>1</v>
      </c>
      <c r="J127" s="134">
        <v>319507.33799999999</v>
      </c>
      <c r="K127" s="120">
        <f t="shared" si="31"/>
        <v>33.082143093808241</v>
      </c>
      <c r="L127" s="122">
        <f t="shared" si="16"/>
        <v>3195073.38</v>
      </c>
      <c r="M127" s="116">
        <f t="shared" si="17"/>
        <v>2875566.0419999999</v>
      </c>
      <c r="N127" s="123">
        <f t="shared" si="18"/>
        <v>297.73928784427414</v>
      </c>
      <c r="O127" s="5"/>
      <c r="P127" s="5">
        <f t="shared" si="19"/>
        <v>1</v>
      </c>
      <c r="Q127" s="7">
        <f t="shared" si="20"/>
        <v>9658</v>
      </c>
      <c r="W127" s="124">
        <f t="shared" si="21"/>
        <v>319507.33799999999</v>
      </c>
      <c r="X127">
        <f t="shared" si="22"/>
        <v>0</v>
      </c>
    </row>
    <row r="128" spans="1:24">
      <c r="A128" s="23" t="s">
        <v>148</v>
      </c>
      <c r="B128" s="35" t="s">
        <v>147</v>
      </c>
      <c r="C128" s="125">
        <v>2360</v>
      </c>
      <c r="D128" s="132">
        <v>340988741</v>
      </c>
      <c r="E128" s="116">
        <f t="shared" si="29"/>
        <v>144486.75466101695</v>
      </c>
      <c r="F128" s="134">
        <v>237573375</v>
      </c>
      <c r="G128" s="117">
        <f t="shared" si="30"/>
        <v>100666.68432203389</v>
      </c>
      <c r="H128" s="7"/>
      <c r="I128" s="136">
        <v>3.3250000000000002</v>
      </c>
      <c r="J128" s="134">
        <v>789931.47187500005</v>
      </c>
      <c r="K128" s="120">
        <f t="shared" si="31"/>
        <v>334.71672537076273</v>
      </c>
      <c r="L128" s="122">
        <f t="shared" si="16"/>
        <v>2375733.75</v>
      </c>
      <c r="M128" s="116">
        <f t="shared" si="17"/>
        <v>1585802.278125</v>
      </c>
      <c r="N128" s="123">
        <f t="shared" si="18"/>
        <v>671.95011784957626</v>
      </c>
      <c r="O128" s="5"/>
      <c r="P128" s="5">
        <f t="shared" si="19"/>
        <v>1</v>
      </c>
      <c r="Q128" s="7">
        <f t="shared" si="20"/>
        <v>2360</v>
      </c>
      <c r="W128" s="124">
        <f t="shared" si="21"/>
        <v>789931.47187500005</v>
      </c>
      <c r="X128">
        <f t="shared" si="22"/>
        <v>0</v>
      </c>
    </row>
    <row r="129" spans="1:24">
      <c r="A129" s="23" t="s">
        <v>149</v>
      </c>
      <c r="B129" s="35" t="s">
        <v>147</v>
      </c>
      <c r="C129" s="125">
        <v>10729</v>
      </c>
      <c r="D129" s="132">
        <v>952424936</v>
      </c>
      <c r="E129" s="116">
        <f t="shared" si="29"/>
        <v>88771.081741075584</v>
      </c>
      <c r="F129" s="134">
        <v>638423185</v>
      </c>
      <c r="G129" s="117">
        <f t="shared" si="30"/>
        <v>59504.444496225187</v>
      </c>
      <c r="H129" s="7"/>
      <c r="I129" s="136">
        <v>5.3183999999999996</v>
      </c>
      <c r="J129" s="134">
        <v>3395389.8671039995</v>
      </c>
      <c r="K129" s="120">
        <f t="shared" si="31"/>
        <v>316.46843760872395</v>
      </c>
      <c r="L129" s="122">
        <f t="shared" si="16"/>
        <v>6384231.8500000006</v>
      </c>
      <c r="M129" s="116">
        <f t="shared" si="17"/>
        <v>2988841.9828960011</v>
      </c>
      <c r="N129" s="123">
        <f t="shared" si="18"/>
        <v>278.57600735352793</v>
      </c>
      <c r="O129" s="5"/>
      <c r="P129" s="5">
        <f t="shared" si="19"/>
        <v>1</v>
      </c>
      <c r="Q129" s="7">
        <f t="shared" si="20"/>
        <v>10729</v>
      </c>
      <c r="S129" s="124">
        <f>SUM(D127:D129)</f>
        <v>1924725438</v>
      </c>
      <c r="T129" s="124">
        <f>SUM(F127:F129)</f>
        <v>1195503898</v>
      </c>
      <c r="U129" s="124">
        <f>SUM(J127:J129)</f>
        <v>4504828.6769789997</v>
      </c>
      <c r="W129" s="124">
        <f t="shared" si="21"/>
        <v>3395389.8671039995</v>
      </c>
      <c r="X129">
        <f t="shared" si="22"/>
        <v>0</v>
      </c>
    </row>
    <row r="130" spans="1:24">
      <c r="A130" s="23" t="s">
        <v>150</v>
      </c>
      <c r="B130" s="35" t="s">
        <v>151</v>
      </c>
      <c r="C130" s="125">
        <v>39764</v>
      </c>
      <c r="D130" s="132">
        <v>3935360259</v>
      </c>
      <c r="E130" s="116">
        <f t="shared" si="29"/>
        <v>98967.917186399762</v>
      </c>
      <c r="F130" s="134">
        <v>2668009664</v>
      </c>
      <c r="G130" s="117">
        <f t="shared" si="30"/>
        <v>67096.108640981794</v>
      </c>
      <c r="H130" s="7"/>
      <c r="I130" s="136">
        <v>5.7157</v>
      </c>
      <c r="J130" s="134">
        <v>15249542.836524799</v>
      </c>
      <c r="K130" s="120">
        <f t="shared" si="31"/>
        <v>383.5012281592596</v>
      </c>
      <c r="L130" s="122">
        <f t="shared" si="16"/>
        <v>26680096.640000001</v>
      </c>
      <c r="M130" s="116">
        <f t="shared" si="17"/>
        <v>11430553.803475201</v>
      </c>
      <c r="N130" s="123">
        <f t="shared" si="18"/>
        <v>287.45985825055834</v>
      </c>
      <c r="O130" s="5"/>
      <c r="P130" s="5">
        <f t="shared" si="19"/>
        <v>1</v>
      </c>
      <c r="Q130" s="7">
        <f t="shared" si="20"/>
        <v>39764</v>
      </c>
      <c r="W130" s="124">
        <f t="shared" si="21"/>
        <v>15249542.836524799</v>
      </c>
      <c r="X130">
        <f t="shared" si="22"/>
        <v>0</v>
      </c>
    </row>
    <row r="131" spans="1:24">
      <c r="A131" s="23" t="s">
        <v>152</v>
      </c>
      <c r="B131" s="35" t="s">
        <v>151</v>
      </c>
      <c r="C131" s="125">
        <v>384959</v>
      </c>
      <c r="D131" s="132">
        <v>60942721747</v>
      </c>
      <c r="E131" s="116">
        <f t="shared" si="29"/>
        <v>158309.6427074052</v>
      </c>
      <c r="F131" s="134">
        <v>40299761865</v>
      </c>
      <c r="G131" s="117">
        <f t="shared" si="30"/>
        <v>104685.85450658381</v>
      </c>
      <c r="H131" s="7"/>
      <c r="I131" s="136">
        <v>6.2076000000000002</v>
      </c>
      <c r="J131" s="134">
        <v>250164801.75317401</v>
      </c>
      <c r="K131" s="120">
        <f t="shared" si="31"/>
        <v>649.84791043506971</v>
      </c>
      <c r="L131" s="122">
        <f t="shared" si="16"/>
        <v>402997618.65000004</v>
      </c>
      <c r="M131" s="116">
        <f t="shared" si="17"/>
        <v>152832816.89682603</v>
      </c>
      <c r="N131" s="123">
        <f t="shared" si="18"/>
        <v>397.01063463076855</v>
      </c>
      <c r="O131" s="5"/>
      <c r="P131" s="5">
        <f t="shared" si="19"/>
        <v>1</v>
      </c>
      <c r="Q131" s="7">
        <f t="shared" si="20"/>
        <v>384959</v>
      </c>
      <c r="W131" s="124">
        <f t="shared" si="21"/>
        <v>250164801.75317404</v>
      </c>
      <c r="X131">
        <f t="shared" si="22"/>
        <v>0</v>
      </c>
    </row>
    <row r="132" spans="1:24">
      <c r="A132" s="23" t="s">
        <v>153</v>
      </c>
      <c r="B132" s="35" t="s">
        <v>151</v>
      </c>
      <c r="C132" s="125">
        <v>26690</v>
      </c>
      <c r="D132" s="132">
        <v>2725735976</v>
      </c>
      <c r="E132" s="116">
        <f t="shared" si="29"/>
        <v>102125.73907830648</v>
      </c>
      <c r="F132" s="134">
        <v>1989036896</v>
      </c>
      <c r="G132" s="117">
        <f t="shared" si="30"/>
        <v>74523.675384038972</v>
      </c>
      <c r="H132" s="9"/>
      <c r="I132" s="136">
        <v>6.5549999999999997</v>
      </c>
      <c r="J132" s="134">
        <v>13038136.853279999</v>
      </c>
      <c r="K132" s="120">
        <f t="shared" si="31"/>
        <v>488.50269214237534</v>
      </c>
      <c r="L132" s="122">
        <f t="shared" si="16"/>
        <v>19890368.960000001</v>
      </c>
      <c r="M132" s="116">
        <f t="shared" si="17"/>
        <v>6852232.1067200024</v>
      </c>
      <c r="N132" s="123">
        <f t="shared" si="18"/>
        <v>256.73406169801433</v>
      </c>
      <c r="O132" s="5"/>
      <c r="P132" s="5">
        <f t="shared" si="19"/>
        <v>1</v>
      </c>
      <c r="Q132" s="7">
        <f t="shared" si="20"/>
        <v>26690</v>
      </c>
      <c r="S132" s="124">
        <f>SUM(D130:D132)</f>
        <v>67603817982</v>
      </c>
      <c r="T132" s="124">
        <f>SUM(F130:F132)</f>
        <v>44956808425</v>
      </c>
      <c r="U132" s="124">
        <f>SUM(J130:J132)</f>
        <v>278452481.4429788</v>
      </c>
      <c r="W132" s="124">
        <f t="shared" si="21"/>
        <v>13038136.85328</v>
      </c>
      <c r="X132">
        <f t="shared" si="22"/>
        <v>0</v>
      </c>
    </row>
    <row r="133" spans="1:24">
      <c r="A133" s="23" t="s">
        <v>154</v>
      </c>
      <c r="B133" s="35" t="s">
        <v>155</v>
      </c>
      <c r="C133" s="125">
        <v>2759</v>
      </c>
      <c r="D133" s="147" t="s">
        <v>564</v>
      </c>
      <c r="E133" s="116"/>
      <c r="F133" s="134"/>
      <c r="G133" s="117"/>
      <c r="H133" s="98" t="s">
        <v>588</v>
      </c>
      <c r="I133" s="136"/>
      <c r="J133" s="134"/>
      <c r="K133" s="120"/>
      <c r="L133" s="122">
        <f t="shared" ref="L133:L196" si="32">(F133*0.01)</f>
        <v>0</v>
      </c>
      <c r="M133" s="116">
        <f t="shared" ref="M133:M196" si="33">(L133-J133)</f>
        <v>0</v>
      </c>
      <c r="N133" s="123">
        <f t="shared" ref="N133:N196" si="34">(M133/C133)</f>
        <v>0</v>
      </c>
      <c r="O133" s="5"/>
      <c r="P133" s="5">
        <f t="shared" ref="P133:P197" si="35">IF(I133&gt;0,1,0)</f>
        <v>0</v>
      </c>
      <c r="Q133" s="7">
        <f t="shared" ref="Q133:Q197" si="36">IF(I133&gt;0,C133,0)</f>
        <v>0</v>
      </c>
      <c r="W133" s="124">
        <f t="shared" si="21"/>
        <v>0</v>
      </c>
      <c r="X133">
        <f t="shared" si="22"/>
        <v>0</v>
      </c>
    </row>
    <row r="134" spans="1:24">
      <c r="A134" s="23" t="s">
        <v>156</v>
      </c>
      <c r="B134" s="35" t="s">
        <v>155</v>
      </c>
      <c r="C134" s="125">
        <v>341</v>
      </c>
      <c r="D134" s="132">
        <v>11729431</v>
      </c>
      <c r="E134" s="116">
        <f>(D134/C134)</f>
        <v>34397.158357771259</v>
      </c>
      <c r="F134" s="134">
        <v>5875286</v>
      </c>
      <c r="G134" s="117">
        <f>(F134/C134)</f>
        <v>17229.577712609971</v>
      </c>
      <c r="H134" s="7"/>
      <c r="I134" s="151">
        <v>2.5</v>
      </c>
      <c r="J134" s="134">
        <v>14688.215</v>
      </c>
      <c r="K134" s="120">
        <f>(J134/C134)</f>
        <v>43.07394428152493</v>
      </c>
      <c r="L134" s="122">
        <f t="shared" si="32"/>
        <v>58752.86</v>
      </c>
      <c r="M134" s="116">
        <f t="shared" si="33"/>
        <v>44064.645000000004</v>
      </c>
      <c r="N134" s="123">
        <f t="shared" si="34"/>
        <v>129.22183284457481</v>
      </c>
      <c r="O134" s="5"/>
      <c r="P134" s="5">
        <f t="shared" si="35"/>
        <v>1</v>
      </c>
      <c r="Q134" s="7">
        <f t="shared" si="36"/>
        <v>341</v>
      </c>
      <c r="W134" s="124">
        <f t="shared" ref="W134:W197" si="37">F134*(I134/1000)</f>
        <v>14688.215</v>
      </c>
      <c r="X134">
        <f t="shared" ref="X134:X197" si="38">IF(W134=J134,0,1)</f>
        <v>0</v>
      </c>
    </row>
    <row r="135" spans="1:24">
      <c r="A135" s="23" t="s">
        <v>157</v>
      </c>
      <c r="B135" s="35" t="s">
        <v>155</v>
      </c>
      <c r="C135" s="125">
        <v>208</v>
      </c>
      <c r="D135" s="132">
        <v>4590843</v>
      </c>
      <c r="E135" s="116">
        <f>(D135/C135)</f>
        <v>22071.360576923078</v>
      </c>
      <c r="F135" s="134">
        <v>2051961</v>
      </c>
      <c r="G135" s="117">
        <f>(F135/C135)</f>
        <v>9865.1971153846152</v>
      </c>
      <c r="H135" s="9"/>
      <c r="I135" s="136">
        <v>1.0105999999999999</v>
      </c>
      <c r="J135" s="134">
        <v>2073.7117865999999</v>
      </c>
      <c r="K135" s="120">
        <f>(J135/C135)</f>
        <v>9.969768204807691</v>
      </c>
      <c r="L135" s="122">
        <f t="shared" si="32"/>
        <v>20519.61</v>
      </c>
      <c r="M135" s="116">
        <f t="shared" si="33"/>
        <v>18445.8982134</v>
      </c>
      <c r="N135" s="123">
        <f t="shared" si="34"/>
        <v>88.682202949038455</v>
      </c>
      <c r="O135" s="5"/>
      <c r="P135" s="5">
        <f t="shared" si="35"/>
        <v>1</v>
      </c>
      <c r="Q135" s="7">
        <f t="shared" si="36"/>
        <v>208</v>
      </c>
      <c r="W135" s="124">
        <f t="shared" si="37"/>
        <v>2073.7117865999999</v>
      </c>
      <c r="X135">
        <f t="shared" si="38"/>
        <v>0</v>
      </c>
    </row>
    <row r="136" spans="1:24">
      <c r="A136" s="23" t="s">
        <v>158</v>
      </c>
      <c r="B136" s="35" t="s">
        <v>155</v>
      </c>
      <c r="C136" s="125">
        <v>504</v>
      </c>
      <c r="D136" s="147">
        <v>26164462</v>
      </c>
      <c r="E136" s="116">
        <f>(D136/C136)</f>
        <v>51913.615079365081</v>
      </c>
      <c r="F136" s="134">
        <v>14051117</v>
      </c>
      <c r="G136" s="117">
        <f>(F136/C136)</f>
        <v>27879.200396825396</v>
      </c>
      <c r="H136" s="98"/>
      <c r="I136" s="136">
        <v>1</v>
      </c>
      <c r="J136" s="134">
        <v>14051.117</v>
      </c>
      <c r="K136" s="120">
        <f>(J136/C136)</f>
        <v>27.879200396825397</v>
      </c>
      <c r="L136" s="122">
        <f t="shared" si="32"/>
        <v>140511.17000000001</v>
      </c>
      <c r="M136" s="116">
        <f t="shared" si="33"/>
        <v>126460.05300000001</v>
      </c>
      <c r="N136" s="123">
        <f t="shared" si="34"/>
        <v>250.91280357142861</v>
      </c>
      <c r="O136" s="5"/>
      <c r="P136" s="5">
        <f t="shared" si="35"/>
        <v>1</v>
      </c>
      <c r="Q136" s="7">
        <f t="shared" si="36"/>
        <v>504</v>
      </c>
      <c r="W136" s="124">
        <f t="shared" si="37"/>
        <v>14051.117</v>
      </c>
      <c r="X136">
        <f t="shared" si="38"/>
        <v>0</v>
      </c>
    </row>
    <row r="137" spans="1:24">
      <c r="A137" s="23" t="s">
        <v>159</v>
      </c>
      <c r="B137" s="35" t="s">
        <v>155</v>
      </c>
      <c r="C137" s="125">
        <v>261</v>
      </c>
      <c r="D137" s="147" t="s">
        <v>564</v>
      </c>
      <c r="E137" s="116"/>
      <c r="F137" s="134"/>
      <c r="G137" s="117"/>
      <c r="H137" s="98" t="s">
        <v>588</v>
      </c>
      <c r="I137" s="136"/>
      <c r="J137" s="134"/>
      <c r="K137" s="120"/>
      <c r="L137" s="122">
        <f t="shared" si="32"/>
        <v>0</v>
      </c>
      <c r="M137" s="116">
        <f t="shared" si="33"/>
        <v>0</v>
      </c>
      <c r="N137" s="123">
        <f t="shared" si="34"/>
        <v>0</v>
      </c>
      <c r="O137" s="5"/>
      <c r="P137" s="5">
        <f t="shared" si="35"/>
        <v>0</v>
      </c>
      <c r="Q137" s="7">
        <f t="shared" si="36"/>
        <v>0</v>
      </c>
      <c r="S137" s="184">
        <f>SUM(D133:D137)</f>
        <v>42484736</v>
      </c>
      <c r="T137" s="184">
        <f>SUM(F133:F137)</f>
        <v>21978364</v>
      </c>
      <c r="U137" s="184">
        <f>SUM(J133:J137)</f>
        <v>30813.043786599999</v>
      </c>
      <c r="W137" s="124">
        <f t="shared" si="37"/>
        <v>0</v>
      </c>
      <c r="X137">
        <f t="shared" si="38"/>
        <v>0</v>
      </c>
    </row>
    <row r="138" spans="1:24">
      <c r="A138" s="23" t="s">
        <v>160</v>
      </c>
      <c r="B138" s="35" t="s">
        <v>161</v>
      </c>
      <c r="C138" s="125">
        <v>4834</v>
      </c>
      <c r="D138" s="132">
        <v>466671191</v>
      </c>
      <c r="E138" s="116">
        <f t="shared" ref="E138:E143" si="39">(D138/C138)</f>
        <v>96539.344435250314</v>
      </c>
      <c r="F138" s="134">
        <v>116918489</v>
      </c>
      <c r="G138" s="117">
        <f t="shared" ref="G138:G143" si="40">(F138/C138)</f>
        <v>24186.696110881257</v>
      </c>
      <c r="H138" s="7"/>
      <c r="I138" s="150">
        <v>5.3226000000000004</v>
      </c>
      <c r="J138" s="134">
        <v>622310.34955140005</v>
      </c>
      <c r="K138" s="120">
        <f t="shared" ref="K138:K143" si="41">(J138/C138)</f>
        <v>128.73610871977658</v>
      </c>
      <c r="L138" s="122">
        <f t="shared" si="32"/>
        <v>1169184.8900000001</v>
      </c>
      <c r="M138" s="116">
        <f t="shared" si="33"/>
        <v>546874.54044860008</v>
      </c>
      <c r="N138" s="123">
        <f t="shared" si="34"/>
        <v>113.13085238903601</v>
      </c>
      <c r="O138" s="5"/>
      <c r="P138" s="5">
        <f t="shared" si="35"/>
        <v>1</v>
      </c>
      <c r="Q138" s="7">
        <f t="shared" si="36"/>
        <v>4834</v>
      </c>
      <c r="W138" s="124">
        <f t="shared" si="37"/>
        <v>622310.34955140005</v>
      </c>
      <c r="X138">
        <f t="shared" si="38"/>
        <v>0</v>
      </c>
    </row>
    <row r="139" spans="1:24">
      <c r="A139" s="23" t="s">
        <v>162</v>
      </c>
      <c r="B139" s="35" t="s">
        <v>161</v>
      </c>
      <c r="C139" s="125">
        <v>4241</v>
      </c>
      <c r="D139" s="132">
        <v>4160413354</v>
      </c>
      <c r="E139" s="116">
        <f t="shared" si="39"/>
        <v>980998.19712331996</v>
      </c>
      <c r="F139" s="134">
        <v>3484688331</v>
      </c>
      <c r="G139" s="117">
        <f t="shared" si="40"/>
        <v>821666.666116482</v>
      </c>
      <c r="H139" s="7"/>
      <c r="I139" s="136">
        <v>1.3349</v>
      </c>
      <c r="J139" s="134">
        <v>4651710.4530518996</v>
      </c>
      <c r="K139" s="120">
        <f t="shared" si="41"/>
        <v>1096.8428325988916</v>
      </c>
      <c r="L139" s="122">
        <f t="shared" si="32"/>
        <v>34846883.310000002</v>
      </c>
      <c r="M139" s="116">
        <f t="shared" si="33"/>
        <v>30195172.856948104</v>
      </c>
      <c r="N139" s="123">
        <f t="shared" si="34"/>
        <v>7119.823828565929</v>
      </c>
      <c r="O139" s="5"/>
      <c r="P139" s="5">
        <f t="shared" si="35"/>
        <v>1</v>
      </c>
      <c r="Q139" s="7">
        <f t="shared" si="36"/>
        <v>4241</v>
      </c>
      <c r="W139" s="124">
        <f t="shared" si="37"/>
        <v>4651710.4530518996</v>
      </c>
      <c r="X139">
        <f t="shared" si="38"/>
        <v>0</v>
      </c>
    </row>
    <row r="140" spans="1:24">
      <c r="A140" s="23" t="s">
        <v>163</v>
      </c>
      <c r="B140" s="35" t="s">
        <v>161</v>
      </c>
      <c r="C140" s="125">
        <v>516</v>
      </c>
      <c r="D140" s="132">
        <v>498621910</v>
      </c>
      <c r="E140" s="116">
        <f t="shared" si="39"/>
        <v>966321.53100775194</v>
      </c>
      <c r="F140" s="134">
        <v>450368171</v>
      </c>
      <c r="G140" s="117">
        <f t="shared" si="40"/>
        <v>872806.53294573643</v>
      </c>
      <c r="H140" s="7"/>
      <c r="I140" s="136">
        <v>1.9</v>
      </c>
      <c r="J140" s="134">
        <v>855699.52489999996</v>
      </c>
      <c r="K140" s="120">
        <f t="shared" si="41"/>
        <v>1658.3324125968991</v>
      </c>
      <c r="L140" s="122">
        <f t="shared" si="32"/>
        <v>4503681.71</v>
      </c>
      <c r="M140" s="116">
        <f t="shared" si="33"/>
        <v>3647982.1850999999</v>
      </c>
      <c r="N140" s="123">
        <f t="shared" si="34"/>
        <v>7069.7329168604647</v>
      </c>
      <c r="O140" s="5"/>
      <c r="P140" s="5">
        <f t="shared" si="35"/>
        <v>1</v>
      </c>
      <c r="Q140" s="7">
        <f t="shared" si="36"/>
        <v>516</v>
      </c>
      <c r="W140" s="124">
        <f t="shared" si="37"/>
        <v>855699.52489999996</v>
      </c>
      <c r="X140">
        <f t="shared" si="38"/>
        <v>0</v>
      </c>
    </row>
    <row r="141" spans="1:24">
      <c r="A141" s="23" t="s">
        <v>164</v>
      </c>
      <c r="B141" s="35" t="s">
        <v>161</v>
      </c>
      <c r="C141" s="125">
        <v>25054</v>
      </c>
      <c r="D141" s="132">
        <v>2580290404</v>
      </c>
      <c r="E141" s="116">
        <f t="shared" si="39"/>
        <v>102989.15957531732</v>
      </c>
      <c r="F141" s="134">
        <v>1486161680</v>
      </c>
      <c r="G141" s="117">
        <f t="shared" si="40"/>
        <v>59318.339586493174</v>
      </c>
      <c r="H141" s="7"/>
      <c r="I141" s="136">
        <v>3.1514000000000002</v>
      </c>
      <c r="J141" s="134">
        <v>4683489.9183520004</v>
      </c>
      <c r="K141" s="120">
        <f t="shared" si="41"/>
        <v>186.9358153728746</v>
      </c>
      <c r="L141" s="122">
        <f t="shared" si="32"/>
        <v>14861616.800000001</v>
      </c>
      <c r="M141" s="116">
        <f t="shared" si="33"/>
        <v>10178126.881648</v>
      </c>
      <c r="N141" s="123">
        <f t="shared" si="34"/>
        <v>406.24758049205718</v>
      </c>
      <c r="O141" s="5"/>
      <c r="P141" s="5">
        <f t="shared" si="35"/>
        <v>1</v>
      </c>
      <c r="Q141" s="7">
        <f t="shared" si="36"/>
        <v>25054</v>
      </c>
      <c r="W141" s="124">
        <f t="shared" si="37"/>
        <v>4683489.9183520004</v>
      </c>
      <c r="X141">
        <f t="shared" si="38"/>
        <v>0</v>
      </c>
    </row>
    <row r="142" spans="1:24">
      <c r="A142" s="23" t="s">
        <v>165</v>
      </c>
      <c r="B142" s="35" t="s">
        <v>161</v>
      </c>
      <c r="C142" s="125">
        <v>16354</v>
      </c>
      <c r="D142" s="132">
        <v>4311274592</v>
      </c>
      <c r="E142" s="116">
        <f t="shared" si="39"/>
        <v>263622.02470343647</v>
      </c>
      <c r="F142" s="134">
        <v>3174943464</v>
      </c>
      <c r="G142" s="117">
        <f t="shared" si="40"/>
        <v>194138.64889323714</v>
      </c>
      <c r="H142" s="7"/>
      <c r="I142" s="136">
        <v>2.5</v>
      </c>
      <c r="J142" s="134">
        <v>7937358.6600000001</v>
      </c>
      <c r="K142" s="120">
        <f t="shared" si="41"/>
        <v>485.34662223309283</v>
      </c>
      <c r="L142" s="122">
        <f t="shared" si="32"/>
        <v>31749434.640000001</v>
      </c>
      <c r="M142" s="116">
        <f t="shared" si="33"/>
        <v>23812075.98</v>
      </c>
      <c r="N142" s="123">
        <f t="shared" si="34"/>
        <v>1456.0398666992785</v>
      </c>
      <c r="O142" s="5"/>
      <c r="P142" s="5">
        <f t="shared" si="35"/>
        <v>1</v>
      </c>
      <c r="Q142" s="7">
        <f t="shared" si="36"/>
        <v>16354</v>
      </c>
      <c r="S142" s="124">
        <f>SUM(D138:D142)</f>
        <v>12017271451</v>
      </c>
      <c r="T142" s="124">
        <f>SUM(F138:F142)</f>
        <v>8713080135</v>
      </c>
      <c r="U142" s="124">
        <f>SUM(J138:J142)</f>
        <v>18750568.905855298</v>
      </c>
      <c r="W142" s="124">
        <f t="shared" si="37"/>
        <v>7937358.6600000001</v>
      </c>
      <c r="X142">
        <f t="shared" si="38"/>
        <v>0</v>
      </c>
    </row>
    <row r="143" spans="1:24">
      <c r="A143" s="23" t="s">
        <v>166</v>
      </c>
      <c r="B143" s="35" t="s">
        <v>167</v>
      </c>
      <c r="C143" s="125">
        <v>484</v>
      </c>
      <c r="D143" s="132">
        <v>16262875</v>
      </c>
      <c r="E143" s="116">
        <f t="shared" si="39"/>
        <v>33600.981404958678</v>
      </c>
      <c r="F143" s="134">
        <v>9864652</v>
      </c>
      <c r="G143" s="117">
        <f t="shared" si="40"/>
        <v>20381.512396694216</v>
      </c>
      <c r="H143" s="9"/>
      <c r="I143" s="136">
        <v>1.3247</v>
      </c>
      <c r="J143" s="134">
        <v>13067.704504400001</v>
      </c>
      <c r="K143" s="120">
        <f t="shared" si="41"/>
        <v>26.999389471900827</v>
      </c>
      <c r="L143" s="122">
        <f t="shared" si="32"/>
        <v>98646.52</v>
      </c>
      <c r="M143" s="116">
        <f t="shared" si="33"/>
        <v>85578.815495600007</v>
      </c>
      <c r="N143" s="123">
        <f t="shared" si="34"/>
        <v>176.81573449504134</v>
      </c>
      <c r="O143" s="5"/>
      <c r="P143" s="5">
        <f t="shared" si="35"/>
        <v>1</v>
      </c>
      <c r="Q143" s="7">
        <f t="shared" si="36"/>
        <v>484</v>
      </c>
      <c r="W143" s="124">
        <f t="shared" si="37"/>
        <v>13067.704504400001</v>
      </c>
      <c r="X143">
        <f t="shared" si="38"/>
        <v>0</v>
      </c>
    </row>
    <row r="144" spans="1:24">
      <c r="A144" s="23" t="s">
        <v>168</v>
      </c>
      <c r="B144" s="35" t="s">
        <v>167</v>
      </c>
      <c r="C144" s="125">
        <v>87</v>
      </c>
      <c r="D144" s="147" t="s">
        <v>564</v>
      </c>
      <c r="E144" s="116"/>
      <c r="F144" s="134"/>
      <c r="G144" s="117"/>
      <c r="H144" s="98" t="s">
        <v>588</v>
      </c>
      <c r="I144" s="136"/>
      <c r="J144" s="134"/>
      <c r="K144" s="120"/>
      <c r="L144" s="122">
        <f t="shared" si="32"/>
        <v>0</v>
      </c>
      <c r="M144" s="116">
        <f t="shared" si="33"/>
        <v>0</v>
      </c>
      <c r="N144" s="123">
        <f t="shared" si="34"/>
        <v>0</v>
      </c>
      <c r="O144" s="5"/>
      <c r="P144" s="5">
        <f t="shared" si="35"/>
        <v>0</v>
      </c>
      <c r="Q144" s="7">
        <f t="shared" si="36"/>
        <v>0</v>
      </c>
      <c r="W144" s="124">
        <f t="shared" si="37"/>
        <v>0</v>
      </c>
      <c r="X144">
        <f t="shared" si="38"/>
        <v>0</v>
      </c>
    </row>
    <row r="145" spans="1:24">
      <c r="A145" s="23" t="s">
        <v>169</v>
      </c>
      <c r="B145" s="35" t="s">
        <v>167</v>
      </c>
      <c r="C145" s="125">
        <v>191</v>
      </c>
      <c r="D145" s="132">
        <v>15042088</v>
      </c>
      <c r="E145" s="116">
        <f>(D145/C145)</f>
        <v>78754.38743455497</v>
      </c>
      <c r="F145" s="134">
        <v>9424569</v>
      </c>
      <c r="G145" s="117">
        <f>(F145/C145)</f>
        <v>49343.293193717276</v>
      </c>
      <c r="H145" s="7"/>
      <c r="I145" s="151">
        <v>2.9399000000000002</v>
      </c>
      <c r="J145" s="134">
        <v>27707.290403100003</v>
      </c>
      <c r="K145" s="120">
        <f>(J145/C145)</f>
        <v>145.06434766020945</v>
      </c>
      <c r="L145" s="122">
        <f t="shared" si="32"/>
        <v>94245.69</v>
      </c>
      <c r="M145" s="116">
        <f t="shared" si="33"/>
        <v>66538.399596899995</v>
      </c>
      <c r="N145" s="123">
        <f t="shared" si="34"/>
        <v>348.3685842769633</v>
      </c>
      <c r="O145" s="5"/>
      <c r="P145" s="5">
        <f t="shared" si="35"/>
        <v>1</v>
      </c>
      <c r="Q145" s="7">
        <f t="shared" si="36"/>
        <v>191</v>
      </c>
      <c r="W145" s="124">
        <f t="shared" si="37"/>
        <v>27707.2904031</v>
      </c>
      <c r="X145">
        <f t="shared" si="38"/>
        <v>0</v>
      </c>
    </row>
    <row r="146" spans="1:24">
      <c r="A146" s="23" t="s">
        <v>170</v>
      </c>
      <c r="B146" s="35" t="s">
        <v>167</v>
      </c>
      <c r="C146" s="125">
        <v>848</v>
      </c>
      <c r="D146" s="132">
        <v>31842291</v>
      </c>
      <c r="E146" s="116">
        <f>(D146/C146)</f>
        <v>37549.871462264149</v>
      </c>
      <c r="F146" s="134">
        <v>16812766</v>
      </c>
      <c r="G146" s="117">
        <f>(F146/C146)</f>
        <v>19826.375</v>
      </c>
      <c r="H146" s="7"/>
      <c r="I146" s="136">
        <v>4.1372999999999998</v>
      </c>
      <c r="J146" s="134">
        <v>69559.456771800003</v>
      </c>
      <c r="K146" s="120">
        <f>(J146/C146)</f>
        <v>82.02766128750001</v>
      </c>
      <c r="L146" s="122">
        <f t="shared" si="32"/>
        <v>168127.66</v>
      </c>
      <c r="M146" s="116">
        <f t="shared" si="33"/>
        <v>98568.2032282</v>
      </c>
      <c r="N146" s="123">
        <f t="shared" si="34"/>
        <v>116.23608871250001</v>
      </c>
      <c r="O146" s="5"/>
      <c r="P146" s="5">
        <f t="shared" si="35"/>
        <v>1</v>
      </c>
      <c r="Q146" s="7">
        <f t="shared" si="36"/>
        <v>848</v>
      </c>
      <c r="W146" s="124">
        <f t="shared" si="37"/>
        <v>69559.456771800003</v>
      </c>
      <c r="X146">
        <f t="shared" si="38"/>
        <v>0</v>
      </c>
    </row>
    <row r="147" spans="1:24">
      <c r="A147" s="23" t="s">
        <v>171</v>
      </c>
      <c r="B147" s="35" t="s">
        <v>167</v>
      </c>
      <c r="C147" s="125">
        <v>2153</v>
      </c>
      <c r="D147" s="132">
        <v>129331836</v>
      </c>
      <c r="E147" s="116">
        <f>(D147/C147)</f>
        <v>60070.522991175101</v>
      </c>
      <c r="F147" s="134">
        <v>86959991</v>
      </c>
      <c r="G147" s="117">
        <f>(F147/C147)</f>
        <v>40390.149094287044</v>
      </c>
      <c r="H147" s="9"/>
      <c r="I147" s="136">
        <v>4</v>
      </c>
      <c r="J147" s="134">
        <v>347839.96399999998</v>
      </c>
      <c r="K147" s="120">
        <f>(J147/C147)</f>
        <v>161.56059637714816</v>
      </c>
      <c r="L147" s="122">
        <f t="shared" si="32"/>
        <v>869599.91</v>
      </c>
      <c r="M147" s="116">
        <f t="shared" si="33"/>
        <v>521759.94600000005</v>
      </c>
      <c r="N147" s="123">
        <f t="shared" si="34"/>
        <v>242.34089456572227</v>
      </c>
      <c r="O147" s="5"/>
      <c r="P147" s="5">
        <f t="shared" si="35"/>
        <v>1</v>
      </c>
      <c r="Q147" s="7">
        <f t="shared" si="36"/>
        <v>2153</v>
      </c>
      <c r="W147" s="124">
        <f t="shared" si="37"/>
        <v>347839.96400000004</v>
      </c>
      <c r="X147">
        <f t="shared" si="38"/>
        <v>0</v>
      </c>
    </row>
    <row r="148" spans="1:24">
      <c r="A148" s="23" t="s">
        <v>172</v>
      </c>
      <c r="B148" s="35" t="s">
        <v>167</v>
      </c>
      <c r="C148" s="125">
        <v>882</v>
      </c>
      <c r="D148" s="147" t="s">
        <v>564</v>
      </c>
      <c r="E148" s="116"/>
      <c r="F148" s="134"/>
      <c r="G148" s="117"/>
      <c r="H148" s="98" t="s">
        <v>588</v>
      </c>
      <c r="I148" s="136"/>
      <c r="J148" s="134"/>
      <c r="K148" s="120"/>
      <c r="L148" s="122">
        <f t="shared" si="32"/>
        <v>0</v>
      </c>
      <c r="M148" s="116">
        <f t="shared" si="33"/>
        <v>0</v>
      </c>
      <c r="N148" s="123">
        <f t="shared" si="34"/>
        <v>0</v>
      </c>
      <c r="O148" s="5"/>
      <c r="P148" s="5">
        <f t="shared" si="35"/>
        <v>0</v>
      </c>
      <c r="Q148" s="7">
        <f t="shared" si="36"/>
        <v>0</v>
      </c>
      <c r="W148" s="124">
        <f t="shared" si="37"/>
        <v>0</v>
      </c>
      <c r="X148">
        <f t="shared" si="38"/>
        <v>0</v>
      </c>
    </row>
    <row r="149" spans="1:24">
      <c r="A149" s="23" t="s">
        <v>173</v>
      </c>
      <c r="B149" s="35" t="s">
        <v>167</v>
      </c>
      <c r="C149" s="125">
        <v>539</v>
      </c>
      <c r="D149" s="132">
        <v>25678819</v>
      </c>
      <c r="E149" s="116">
        <f t="shared" ref="E149:E197" si="42">(D149/C149)</f>
        <v>47641.593692022267</v>
      </c>
      <c r="F149" s="134">
        <v>13420306</v>
      </c>
      <c r="G149" s="117">
        <f t="shared" ref="G149:G197" si="43">(F149/C149)</f>
        <v>24898.52690166976</v>
      </c>
      <c r="H149" s="7"/>
      <c r="I149" s="150">
        <v>1</v>
      </c>
      <c r="J149" s="134">
        <v>13420.306</v>
      </c>
      <c r="K149" s="120">
        <f t="shared" ref="K149:K197" si="44">(J149/C149)</f>
        <v>24.898526901669761</v>
      </c>
      <c r="L149" s="122">
        <f t="shared" si="32"/>
        <v>134203.06</v>
      </c>
      <c r="M149" s="116">
        <f t="shared" si="33"/>
        <v>120782.754</v>
      </c>
      <c r="N149" s="123">
        <f t="shared" si="34"/>
        <v>224.08674211502782</v>
      </c>
      <c r="O149" s="5"/>
      <c r="P149" s="5">
        <f t="shared" si="35"/>
        <v>1</v>
      </c>
      <c r="Q149" s="7">
        <f t="shared" si="36"/>
        <v>539</v>
      </c>
      <c r="W149" s="124">
        <f t="shared" si="37"/>
        <v>13420.306</v>
      </c>
      <c r="X149">
        <f t="shared" si="38"/>
        <v>0</v>
      </c>
    </row>
    <row r="150" spans="1:24">
      <c r="A150" s="23" t="s">
        <v>508</v>
      </c>
      <c r="B150" s="35" t="s">
        <v>167</v>
      </c>
      <c r="C150" s="125">
        <v>217</v>
      </c>
      <c r="D150" s="132">
        <v>8003694</v>
      </c>
      <c r="E150" s="116">
        <f t="shared" si="42"/>
        <v>36883.382488479263</v>
      </c>
      <c r="F150" s="134">
        <v>4316130</v>
      </c>
      <c r="G150" s="117">
        <f t="shared" si="43"/>
        <v>19890</v>
      </c>
      <c r="H150" s="9"/>
      <c r="I150" s="136">
        <v>3.9878999999999998</v>
      </c>
      <c r="J150" s="134">
        <v>17212.294826999998</v>
      </c>
      <c r="K150" s="120">
        <f t="shared" si="44"/>
        <v>79.319330999999991</v>
      </c>
      <c r="L150" s="122">
        <f t="shared" si="32"/>
        <v>43161.3</v>
      </c>
      <c r="M150" s="116">
        <f t="shared" si="33"/>
        <v>25949.005173000005</v>
      </c>
      <c r="N150" s="123">
        <f t="shared" si="34"/>
        <v>119.58066900000003</v>
      </c>
      <c r="O150" s="5"/>
      <c r="P150" s="5">
        <f t="shared" si="35"/>
        <v>1</v>
      </c>
      <c r="Q150" s="7">
        <f t="shared" si="36"/>
        <v>217</v>
      </c>
      <c r="W150" s="124">
        <f t="shared" si="37"/>
        <v>17212.294827000002</v>
      </c>
      <c r="X150">
        <f t="shared" si="38"/>
        <v>0</v>
      </c>
    </row>
    <row r="151" spans="1:24">
      <c r="A151" s="23" t="s">
        <v>175</v>
      </c>
      <c r="B151" s="35" t="s">
        <v>167</v>
      </c>
      <c r="C151" s="125">
        <v>1959</v>
      </c>
      <c r="D151" s="147">
        <v>46635890</v>
      </c>
      <c r="E151" s="116">
        <f t="shared" si="42"/>
        <v>23805.967330270545</v>
      </c>
      <c r="F151" s="134">
        <v>15105275</v>
      </c>
      <c r="G151" s="117">
        <f t="shared" si="43"/>
        <v>7710.7069933639614</v>
      </c>
      <c r="H151" s="98"/>
      <c r="I151" s="136">
        <v>1</v>
      </c>
      <c r="J151" s="134">
        <v>15105.275</v>
      </c>
      <c r="K151" s="120">
        <f t="shared" si="44"/>
        <v>7.7107069933639609</v>
      </c>
      <c r="L151" s="122">
        <f t="shared" si="32"/>
        <v>151052.75</v>
      </c>
      <c r="M151" s="116">
        <f t="shared" si="33"/>
        <v>135947.47500000001</v>
      </c>
      <c r="N151" s="123">
        <f t="shared" si="34"/>
        <v>69.396362940275651</v>
      </c>
      <c r="O151" s="5"/>
      <c r="P151" s="5">
        <f t="shared" si="35"/>
        <v>1</v>
      </c>
      <c r="Q151" s="7">
        <f t="shared" si="36"/>
        <v>1959</v>
      </c>
      <c r="W151" s="124">
        <f t="shared" si="37"/>
        <v>15105.275</v>
      </c>
      <c r="X151">
        <f t="shared" si="38"/>
        <v>0</v>
      </c>
    </row>
    <row r="152" spans="1:24">
      <c r="A152" s="23" t="s">
        <v>176</v>
      </c>
      <c r="B152" s="35" t="s">
        <v>167</v>
      </c>
      <c r="C152" s="125">
        <v>6245</v>
      </c>
      <c r="D152" s="132">
        <v>471916294</v>
      </c>
      <c r="E152" s="116">
        <f t="shared" si="42"/>
        <v>75567.060688550846</v>
      </c>
      <c r="F152" s="134">
        <v>250305018</v>
      </c>
      <c r="G152" s="117">
        <f t="shared" si="43"/>
        <v>40080.867574059244</v>
      </c>
      <c r="H152" s="7"/>
      <c r="I152" s="150">
        <v>2.9984999999999999</v>
      </c>
      <c r="J152" s="134">
        <v>750539.5964729999</v>
      </c>
      <c r="K152" s="120">
        <f t="shared" si="44"/>
        <v>120.18248142081664</v>
      </c>
      <c r="L152" s="122">
        <f t="shared" si="32"/>
        <v>2503050.1800000002</v>
      </c>
      <c r="M152" s="116">
        <f t="shared" si="33"/>
        <v>1752510.5835270002</v>
      </c>
      <c r="N152" s="123">
        <f t="shared" si="34"/>
        <v>280.62619431977583</v>
      </c>
      <c r="O152" s="5"/>
      <c r="P152" s="5">
        <f t="shared" si="35"/>
        <v>1</v>
      </c>
      <c r="Q152" s="7">
        <f t="shared" si="36"/>
        <v>6245</v>
      </c>
      <c r="W152" s="124">
        <f t="shared" si="37"/>
        <v>750539.59647300001</v>
      </c>
      <c r="X152">
        <f t="shared" si="38"/>
        <v>0</v>
      </c>
    </row>
    <row r="153" spans="1:24">
      <c r="A153" s="23" t="s">
        <v>177</v>
      </c>
      <c r="B153" s="35" t="s">
        <v>167</v>
      </c>
      <c r="C153" s="125">
        <v>1699</v>
      </c>
      <c r="D153" s="132">
        <v>61781246</v>
      </c>
      <c r="E153" s="116">
        <f t="shared" si="42"/>
        <v>36363.299587992937</v>
      </c>
      <c r="F153" s="134">
        <v>33992273</v>
      </c>
      <c r="G153" s="117">
        <f t="shared" si="43"/>
        <v>20007.223660977044</v>
      </c>
      <c r="H153" s="7"/>
      <c r="I153" s="136">
        <v>2.0882999999999998</v>
      </c>
      <c r="J153" s="134">
        <v>70986.0637059</v>
      </c>
      <c r="K153" s="120">
        <f t="shared" si="44"/>
        <v>41.781085171218365</v>
      </c>
      <c r="L153" s="122">
        <f t="shared" si="32"/>
        <v>339922.73</v>
      </c>
      <c r="M153" s="116">
        <f t="shared" si="33"/>
        <v>268936.6662941</v>
      </c>
      <c r="N153" s="123">
        <f t="shared" si="34"/>
        <v>158.29115143855208</v>
      </c>
      <c r="O153" s="5"/>
      <c r="P153" s="5">
        <f t="shared" si="35"/>
        <v>1</v>
      </c>
      <c r="Q153" s="7">
        <f t="shared" si="36"/>
        <v>1699</v>
      </c>
      <c r="S153" s="124">
        <f>SUM(D143:D153)</f>
        <v>806495033</v>
      </c>
      <c r="T153" s="124">
        <f>SUM(F143:F153)</f>
        <v>440200980</v>
      </c>
      <c r="U153" s="124">
        <f>SUM(J143:J153)</f>
        <v>1325437.9516851997</v>
      </c>
      <c r="W153" s="124">
        <f t="shared" si="37"/>
        <v>70986.0637059</v>
      </c>
      <c r="X153">
        <f t="shared" si="38"/>
        <v>0</v>
      </c>
    </row>
    <row r="154" spans="1:24">
      <c r="A154" s="23" t="s">
        <v>178</v>
      </c>
      <c r="B154" s="35" t="s">
        <v>179</v>
      </c>
      <c r="C154" s="125">
        <v>2589</v>
      </c>
      <c r="D154" s="132">
        <v>166336685</v>
      </c>
      <c r="E154" s="116">
        <f t="shared" si="42"/>
        <v>64247.464271919664</v>
      </c>
      <c r="F154" s="134">
        <v>97728010</v>
      </c>
      <c r="G154" s="117">
        <f t="shared" si="43"/>
        <v>37747.396678254154</v>
      </c>
      <c r="H154" s="7"/>
      <c r="I154" s="136">
        <v>7.0258000000000003</v>
      </c>
      <c r="J154" s="134">
        <v>686617.45265799994</v>
      </c>
      <c r="K154" s="120">
        <f t="shared" si="44"/>
        <v>265.205659582078</v>
      </c>
      <c r="L154" s="122">
        <f t="shared" si="32"/>
        <v>977280.1</v>
      </c>
      <c r="M154" s="116">
        <f t="shared" si="33"/>
        <v>290662.64734200004</v>
      </c>
      <c r="N154" s="123">
        <f t="shared" si="34"/>
        <v>112.26830720046351</v>
      </c>
      <c r="O154" s="5"/>
      <c r="P154" s="5">
        <f t="shared" si="35"/>
        <v>1</v>
      </c>
      <c r="Q154" s="7">
        <f t="shared" si="36"/>
        <v>2589</v>
      </c>
      <c r="S154" s="124">
        <f>SUM(D154)</f>
        <v>166336685</v>
      </c>
      <c r="T154" s="124">
        <f>SUM(F154)</f>
        <v>97728010</v>
      </c>
      <c r="U154" s="124">
        <f>SUM(J154)</f>
        <v>686617.45265799994</v>
      </c>
      <c r="W154" s="124">
        <f t="shared" si="37"/>
        <v>686617.45265800005</v>
      </c>
      <c r="X154">
        <f t="shared" si="38"/>
        <v>0</v>
      </c>
    </row>
    <row r="155" spans="1:24">
      <c r="A155" s="23" t="s">
        <v>180</v>
      </c>
      <c r="B155" s="35" t="s">
        <v>181</v>
      </c>
      <c r="C155" s="125">
        <v>1055</v>
      </c>
      <c r="D155" s="132">
        <v>45750195</v>
      </c>
      <c r="E155" s="116">
        <f t="shared" si="42"/>
        <v>43365.113744075832</v>
      </c>
      <c r="F155" s="134">
        <v>24904033</v>
      </c>
      <c r="G155" s="117">
        <f t="shared" si="43"/>
        <v>23605.718483412322</v>
      </c>
      <c r="H155" s="7"/>
      <c r="I155" s="136">
        <v>6</v>
      </c>
      <c r="J155" s="134">
        <v>149424.198</v>
      </c>
      <c r="K155" s="120">
        <f t="shared" si="44"/>
        <v>141.63431090047393</v>
      </c>
      <c r="L155" s="122">
        <f t="shared" si="32"/>
        <v>249040.33000000002</v>
      </c>
      <c r="M155" s="116">
        <f t="shared" si="33"/>
        <v>99616.132000000012</v>
      </c>
      <c r="N155" s="123">
        <f t="shared" si="34"/>
        <v>94.422873933649299</v>
      </c>
      <c r="O155" s="5"/>
      <c r="P155" s="5">
        <f t="shared" si="35"/>
        <v>1</v>
      </c>
      <c r="Q155" s="7">
        <f t="shared" si="36"/>
        <v>1055</v>
      </c>
      <c r="S155" s="124">
        <f>SUM(D155)</f>
        <v>45750195</v>
      </c>
      <c r="T155" s="124">
        <f>SUM(F155)</f>
        <v>24904033</v>
      </c>
      <c r="U155" s="124">
        <f>SUM(J155)</f>
        <v>149424.198</v>
      </c>
      <c r="W155" s="124">
        <f t="shared" si="37"/>
        <v>149424.198</v>
      </c>
      <c r="X155">
        <f t="shared" si="38"/>
        <v>0</v>
      </c>
    </row>
    <row r="156" spans="1:24">
      <c r="A156" s="23" t="s">
        <v>182</v>
      </c>
      <c r="B156" s="35" t="s">
        <v>183</v>
      </c>
      <c r="C156" s="125">
        <v>1889</v>
      </c>
      <c r="D156" s="147">
        <v>110556451</v>
      </c>
      <c r="E156" s="116">
        <f t="shared" si="42"/>
        <v>58526.443091582849</v>
      </c>
      <c r="F156" s="134">
        <v>65531743</v>
      </c>
      <c r="G156" s="117">
        <f t="shared" si="43"/>
        <v>34691.235044997353</v>
      </c>
      <c r="H156" s="9"/>
      <c r="I156" s="136">
        <v>7.5</v>
      </c>
      <c r="J156" s="134">
        <v>491488.07250000001</v>
      </c>
      <c r="K156" s="120">
        <f t="shared" si="44"/>
        <v>260.18426283748016</v>
      </c>
      <c r="L156" s="122">
        <f t="shared" si="32"/>
        <v>655317.43000000005</v>
      </c>
      <c r="M156" s="116">
        <f t="shared" si="33"/>
        <v>163829.35750000004</v>
      </c>
      <c r="N156" s="123">
        <f t="shared" si="34"/>
        <v>86.728087612493411</v>
      </c>
      <c r="O156" s="5"/>
      <c r="P156" s="5">
        <f t="shared" si="35"/>
        <v>1</v>
      </c>
      <c r="Q156" s="7">
        <f t="shared" si="36"/>
        <v>1889</v>
      </c>
      <c r="W156" s="124">
        <f t="shared" si="37"/>
        <v>491488.07250000001</v>
      </c>
      <c r="X156">
        <f t="shared" si="38"/>
        <v>0</v>
      </c>
    </row>
    <row r="157" spans="1:24">
      <c r="A157" s="23" t="s">
        <v>184</v>
      </c>
      <c r="B157" s="35" t="s">
        <v>183</v>
      </c>
      <c r="C157" s="125">
        <v>43021</v>
      </c>
      <c r="D157" s="147">
        <v>4824543862</v>
      </c>
      <c r="E157" s="116">
        <f t="shared" si="42"/>
        <v>112143.92650101114</v>
      </c>
      <c r="F157" s="134">
        <v>3422407231</v>
      </c>
      <c r="G157" s="117">
        <f t="shared" si="43"/>
        <v>79552.014853211222</v>
      </c>
      <c r="H157" s="9"/>
      <c r="I157" s="136">
        <v>4.2061000000000002</v>
      </c>
      <c r="J157" s="134">
        <v>14394987.054309102</v>
      </c>
      <c r="K157" s="120">
        <f t="shared" si="44"/>
        <v>334.60372967409177</v>
      </c>
      <c r="L157" s="122">
        <f t="shared" si="32"/>
        <v>34224072.310000002</v>
      </c>
      <c r="M157" s="116">
        <f t="shared" si="33"/>
        <v>19829085.255690902</v>
      </c>
      <c r="N157" s="123">
        <f t="shared" si="34"/>
        <v>460.91641885802056</v>
      </c>
      <c r="O157" s="5"/>
      <c r="P157" s="5">
        <f t="shared" si="35"/>
        <v>1</v>
      </c>
      <c r="Q157" s="7">
        <f t="shared" si="36"/>
        <v>43021</v>
      </c>
      <c r="W157" s="124">
        <f t="shared" si="37"/>
        <v>14394987.0543091</v>
      </c>
      <c r="X157">
        <f t="shared" si="38"/>
        <v>0</v>
      </c>
    </row>
    <row r="158" spans="1:24">
      <c r="A158" s="23" t="s">
        <v>185</v>
      </c>
      <c r="B158" s="35" t="s">
        <v>183</v>
      </c>
      <c r="C158" s="125">
        <v>23189</v>
      </c>
      <c r="D158" s="132">
        <v>1742110585</v>
      </c>
      <c r="E158" s="116">
        <f t="shared" si="42"/>
        <v>75126.593859157365</v>
      </c>
      <c r="F158" s="134">
        <v>1144783470</v>
      </c>
      <c r="G158" s="117">
        <f t="shared" si="43"/>
        <v>49367.522100996161</v>
      </c>
      <c r="H158" s="7"/>
      <c r="I158" s="136">
        <v>7.5810000000000004</v>
      </c>
      <c r="J158" s="134">
        <v>8678603.4860699996</v>
      </c>
      <c r="K158" s="120">
        <f t="shared" si="44"/>
        <v>374.25518504765188</v>
      </c>
      <c r="L158" s="122">
        <f t="shared" si="32"/>
        <v>11447834.700000001</v>
      </c>
      <c r="M158" s="116">
        <f t="shared" si="33"/>
        <v>2769231.2139300015</v>
      </c>
      <c r="N158" s="123">
        <f t="shared" si="34"/>
        <v>119.42003596230978</v>
      </c>
      <c r="O158" s="5"/>
      <c r="P158" s="5">
        <f t="shared" si="35"/>
        <v>1</v>
      </c>
      <c r="Q158" s="7">
        <f t="shared" si="36"/>
        <v>23189</v>
      </c>
      <c r="W158" s="124">
        <f t="shared" si="37"/>
        <v>8678603.4860699996</v>
      </c>
      <c r="X158">
        <f t="shared" si="38"/>
        <v>0</v>
      </c>
    </row>
    <row r="159" spans="1:24">
      <c r="A159" s="23" t="s">
        <v>186</v>
      </c>
      <c r="B159" s="35" t="s">
        <v>183</v>
      </c>
      <c r="C159" s="125">
        <v>8325</v>
      </c>
      <c r="D159" s="132">
        <v>1096684698</v>
      </c>
      <c r="E159" s="116">
        <f t="shared" si="42"/>
        <v>131733.89765765765</v>
      </c>
      <c r="F159" s="134">
        <v>811323834</v>
      </c>
      <c r="G159" s="117">
        <f t="shared" si="43"/>
        <v>97456.316396396403</v>
      </c>
      <c r="H159" s="7"/>
      <c r="I159" s="136">
        <v>3.9134000000000002</v>
      </c>
      <c r="J159" s="134">
        <v>3175034.6919756001</v>
      </c>
      <c r="K159" s="120">
        <f t="shared" si="44"/>
        <v>381.38554858565766</v>
      </c>
      <c r="L159" s="122">
        <f t="shared" si="32"/>
        <v>8113238.3399999999</v>
      </c>
      <c r="M159" s="116">
        <f t="shared" si="33"/>
        <v>4938203.6480243998</v>
      </c>
      <c r="N159" s="123">
        <f t="shared" si="34"/>
        <v>593.17761537830631</v>
      </c>
      <c r="O159" s="5"/>
      <c r="P159" s="5">
        <f t="shared" si="35"/>
        <v>1</v>
      </c>
      <c r="Q159" s="7">
        <f t="shared" si="36"/>
        <v>8325</v>
      </c>
      <c r="W159" s="124">
        <f t="shared" si="37"/>
        <v>3175034.6919756001</v>
      </c>
      <c r="X159">
        <f t="shared" si="38"/>
        <v>0</v>
      </c>
    </row>
    <row r="160" spans="1:24">
      <c r="A160" s="23" t="s">
        <v>187</v>
      </c>
      <c r="B160" s="35" t="s">
        <v>183</v>
      </c>
      <c r="C160" s="125">
        <v>18505</v>
      </c>
      <c r="D160" s="132">
        <v>1623606772</v>
      </c>
      <c r="E160" s="116">
        <f t="shared" si="42"/>
        <v>87738.815022966766</v>
      </c>
      <c r="F160" s="134">
        <v>1120571190</v>
      </c>
      <c r="G160" s="117">
        <f t="shared" si="43"/>
        <v>60555.049446095647</v>
      </c>
      <c r="H160" s="7"/>
      <c r="I160" s="136">
        <v>5.2</v>
      </c>
      <c r="J160" s="134">
        <v>5826970.1880000001</v>
      </c>
      <c r="K160" s="120">
        <f t="shared" si="44"/>
        <v>314.8862571196974</v>
      </c>
      <c r="L160" s="122">
        <f t="shared" si="32"/>
        <v>11205711.9</v>
      </c>
      <c r="M160" s="116">
        <f t="shared" si="33"/>
        <v>5378741.7120000003</v>
      </c>
      <c r="N160" s="123">
        <f t="shared" si="34"/>
        <v>290.66423734125914</v>
      </c>
      <c r="O160" s="5"/>
      <c r="P160" s="5">
        <f t="shared" si="35"/>
        <v>1</v>
      </c>
      <c r="Q160" s="7">
        <f t="shared" si="36"/>
        <v>18505</v>
      </c>
      <c r="W160" s="124">
        <f t="shared" si="37"/>
        <v>5826970.1880000001</v>
      </c>
      <c r="X160">
        <f t="shared" si="38"/>
        <v>0</v>
      </c>
    </row>
    <row r="161" spans="1:24">
      <c r="A161" s="23" t="s">
        <v>188</v>
      </c>
      <c r="B161" s="35" t="s">
        <v>183</v>
      </c>
      <c r="C161" s="125">
        <v>1643</v>
      </c>
      <c r="D161" s="132">
        <v>180462208</v>
      </c>
      <c r="E161" s="116">
        <f t="shared" si="42"/>
        <v>109837.01034692636</v>
      </c>
      <c r="F161" s="134">
        <v>116523084</v>
      </c>
      <c r="G161" s="117">
        <f t="shared" si="43"/>
        <v>70920.927571515524</v>
      </c>
      <c r="H161" s="7"/>
      <c r="I161" s="136">
        <v>7.5</v>
      </c>
      <c r="J161" s="134">
        <v>873923.13</v>
      </c>
      <c r="K161" s="120">
        <f t="shared" si="44"/>
        <v>531.90695678636644</v>
      </c>
      <c r="L161" s="122">
        <f t="shared" si="32"/>
        <v>1165230.8400000001</v>
      </c>
      <c r="M161" s="116">
        <f t="shared" si="33"/>
        <v>291307.71000000008</v>
      </c>
      <c r="N161" s="123">
        <f t="shared" si="34"/>
        <v>177.30231892878885</v>
      </c>
      <c r="O161" s="5"/>
      <c r="P161" s="5">
        <f t="shared" si="35"/>
        <v>1</v>
      </c>
      <c r="Q161" s="7">
        <f t="shared" si="36"/>
        <v>1643</v>
      </c>
      <c r="W161" s="124">
        <f t="shared" si="37"/>
        <v>873923.13</v>
      </c>
      <c r="X161">
        <f t="shared" si="38"/>
        <v>0</v>
      </c>
    </row>
    <row r="162" spans="1:24">
      <c r="A162" s="23" t="s">
        <v>189</v>
      </c>
      <c r="B162" s="35" t="s">
        <v>183</v>
      </c>
      <c r="C162" s="125">
        <v>15970</v>
      </c>
      <c r="D162" s="132">
        <v>1814776732</v>
      </c>
      <c r="E162" s="116">
        <f t="shared" si="42"/>
        <v>113636.61440200376</v>
      </c>
      <c r="F162" s="134">
        <v>1299137508</v>
      </c>
      <c r="G162" s="117">
        <f t="shared" si="43"/>
        <v>81348.622917971195</v>
      </c>
      <c r="H162" s="7"/>
      <c r="I162" s="136">
        <v>3.3961999999999999</v>
      </c>
      <c r="J162" s="134">
        <v>4412130.8046696</v>
      </c>
      <c r="K162" s="120">
        <f t="shared" si="44"/>
        <v>276.27619315401375</v>
      </c>
      <c r="L162" s="122">
        <f t="shared" si="32"/>
        <v>12991375.08</v>
      </c>
      <c r="M162" s="116">
        <f t="shared" si="33"/>
        <v>8579244.2753304001</v>
      </c>
      <c r="N162" s="123">
        <f t="shared" si="34"/>
        <v>537.21003602569817</v>
      </c>
      <c r="O162" s="5"/>
      <c r="P162" s="5">
        <f t="shared" si="35"/>
        <v>1</v>
      </c>
      <c r="Q162" s="7">
        <f t="shared" si="36"/>
        <v>15970</v>
      </c>
      <c r="W162" s="124">
        <f t="shared" si="37"/>
        <v>4412130.8046696</v>
      </c>
      <c r="X162">
        <f t="shared" si="38"/>
        <v>0</v>
      </c>
    </row>
    <row r="163" spans="1:24">
      <c r="A163" s="23" t="s">
        <v>190</v>
      </c>
      <c r="B163" s="35" t="s">
        <v>183</v>
      </c>
      <c r="C163" s="125">
        <v>27000</v>
      </c>
      <c r="D163" s="132">
        <v>2447548047</v>
      </c>
      <c r="E163" s="116">
        <f t="shared" si="42"/>
        <v>90649.92766666667</v>
      </c>
      <c r="F163" s="134">
        <v>1588044706</v>
      </c>
      <c r="G163" s="117">
        <f t="shared" si="43"/>
        <v>58816.470592592595</v>
      </c>
      <c r="H163" s="7"/>
      <c r="I163" s="136">
        <v>4.1086</v>
      </c>
      <c r="J163" s="134">
        <v>6524640.4790716004</v>
      </c>
      <c r="K163" s="120">
        <f t="shared" si="44"/>
        <v>241.65335107672593</v>
      </c>
      <c r="L163" s="122">
        <f t="shared" si="32"/>
        <v>15880447.060000001</v>
      </c>
      <c r="M163" s="116">
        <f t="shared" si="33"/>
        <v>9355806.5809284002</v>
      </c>
      <c r="N163" s="123">
        <f t="shared" si="34"/>
        <v>346.51135484920002</v>
      </c>
      <c r="O163" s="5"/>
      <c r="P163" s="5">
        <f t="shared" si="35"/>
        <v>1</v>
      </c>
      <c r="Q163" s="7">
        <f t="shared" si="36"/>
        <v>27000</v>
      </c>
      <c r="W163" s="124">
        <f t="shared" si="37"/>
        <v>6524640.4790716004</v>
      </c>
      <c r="X163">
        <f t="shared" si="38"/>
        <v>0</v>
      </c>
    </row>
    <row r="164" spans="1:24">
      <c r="A164" s="23" t="s">
        <v>191</v>
      </c>
      <c r="B164" s="35" t="s">
        <v>183</v>
      </c>
      <c r="C164" s="125">
        <v>6609</v>
      </c>
      <c r="D164" s="132">
        <v>380345562</v>
      </c>
      <c r="E164" s="116">
        <f t="shared" si="42"/>
        <v>57549.638674534726</v>
      </c>
      <c r="F164" s="134">
        <v>212594645</v>
      </c>
      <c r="G164" s="117">
        <f t="shared" si="43"/>
        <v>32167.445150552277</v>
      </c>
      <c r="H164" s="7"/>
      <c r="I164" s="136">
        <v>7.1322999999999999</v>
      </c>
      <c r="J164" s="134">
        <v>1516288.7865335001</v>
      </c>
      <c r="K164" s="120">
        <f t="shared" si="44"/>
        <v>229.42786904728402</v>
      </c>
      <c r="L164" s="122">
        <f t="shared" si="32"/>
        <v>2125946.4500000002</v>
      </c>
      <c r="M164" s="116">
        <f t="shared" si="33"/>
        <v>609657.66346650012</v>
      </c>
      <c r="N164" s="123">
        <f t="shared" si="34"/>
        <v>92.246582458238777</v>
      </c>
      <c r="O164" s="5"/>
      <c r="P164" s="5">
        <f t="shared" si="35"/>
        <v>1</v>
      </c>
      <c r="Q164" s="7">
        <f t="shared" si="36"/>
        <v>6609</v>
      </c>
      <c r="W164" s="124">
        <f t="shared" si="37"/>
        <v>1516288.7865335001</v>
      </c>
      <c r="X164">
        <f t="shared" si="38"/>
        <v>0</v>
      </c>
    </row>
    <row r="165" spans="1:24">
      <c r="A165" s="23" t="s">
        <v>192</v>
      </c>
      <c r="B165" s="35" t="s">
        <v>183</v>
      </c>
      <c r="C165" s="125">
        <v>13843</v>
      </c>
      <c r="D165" s="147">
        <v>1146656033</v>
      </c>
      <c r="E165" s="116">
        <f t="shared" si="42"/>
        <v>82832.914324929574</v>
      </c>
      <c r="F165" s="134">
        <v>739976836</v>
      </c>
      <c r="G165" s="117">
        <f t="shared" si="43"/>
        <v>53454.947338004771</v>
      </c>
      <c r="H165" s="7"/>
      <c r="I165" s="136">
        <v>6.1</v>
      </c>
      <c r="J165" s="134">
        <v>4513858.699599999</v>
      </c>
      <c r="K165" s="120">
        <f t="shared" si="44"/>
        <v>326.07517876182902</v>
      </c>
      <c r="L165" s="122">
        <f t="shared" si="32"/>
        <v>7399768.3600000003</v>
      </c>
      <c r="M165" s="116">
        <f t="shared" si="33"/>
        <v>2885909.6604000013</v>
      </c>
      <c r="N165" s="123">
        <f t="shared" si="34"/>
        <v>208.47429461821869</v>
      </c>
      <c r="O165" s="5"/>
      <c r="P165" s="5">
        <f t="shared" si="35"/>
        <v>1</v>
      </c>
      <c r="Q165" s="7">
        <f t="shared" si="36"/>
        <v>13843</v>
      </c>
      <c r="W165" s="124">
        <f t="shared" si="37"/>
        <v>4513858.6995999999</v>
      </c>
      <c r="X165">
        <f t="shared" si="38"/>
        <v>0</v>
      </c>
    </row>
    <row r="166" spans="1:24">
      <c r="A166" s="23" t="s">
        <v>193</v>
      </c>
      <c r="B166" s="35" t="s">
        <v>183</v>
      </c>
      <c r="C166" s="125">
        <v>1655</v>
      </c>
      <c r="D166" s="132">
        <v>192912711</v>
      </c>
      <c r="E166" s="116">
        <f t="shared" si="42"/>
        <v>116563.57160120846</v>
      </c>
      <c r="F166" s="134">
        <v>111734099</v>
      </c>
      <c r="G166" s="117">
        <f t="shared" si="43"/>
        <v>67513.050755287011</v>
      </c>
      <c r="H166" s="7"/>
      <c r="I166" s="136">
        <v>2.83</v>
      </c>
      <c r="J166" s="134">
        <v>316207.50017000001</v>
      </c>
      <c r="K166" s="120">
        <f t="shared" si="44"/>
        <v>191.06193363746223</v>
      </c>
      <c r="L166" s="122">
        <f t="shared" si="32"/>
        <v>1117340.99</v>
      </c>
      <c r="M166" s="116">
        <f t="shared" si="33"/>
        <v>801133.48982999998</v>
      </c>
      <c r="N166" s="123">
        <f t="shared" si="34"/>
        <v>484.06857391540785</v>
      </c>
      <c r="O166" s="5"/>
      <c r="P166" s="5">
        <f t="shared" si="35"/>
        <v>1</v>
      </c>
      <c r="Q166" s="7">
        <f t="shared" si="36"/>
        <v>1655</v>
      </c>
      <c r="W166" s="124">
        <f t="shared" si="37"/>
        <v>316207.50017000001</v>
      </c>
      <c r="X166">
        <f t="shared" si="38"/>
        <v>0</v>
      </c>
    </row>
    <row r="167" spans="1:24">
      <c r="A167" s="23" t="s">
        <v>194</v>
      </c>
      <c r="B167" s="35" t="s">
        <v>183</v>
      </c>
      <c r="C167" s="125">
        <v>16341</v>
      </c>
      <c r="D167" s="132">
        <v>1825167853</v>
      </c>
      <c r="E167" s="116">
        <f t="shared" si="42"/>
        <v>111692.54347959122</v>
      </c>
      <c r="F167" s="134">
        <v>1302941965</v>
      </c>
      <c r="G167" s="117">
        <f t="shared" si="43"/>
        <v>79734.530628480512</v>
      </c>
      <c r="H167" s="7"/>
      <c r="I167" s="136">
        <v>5.9603000000000002</v>
      </c>
      <c r="J167" s="134">
        <v>7765924.9939895002</v>
      </c>
      <c r="K167" s="120">
        <f t="shared" si="44"/>
        <v>475.24172290493237</v>
      </c>
      <c r="L167" s="122">
        <f t="shared" si="32"/>
        <v>13029419.65</v>
      </c>
      <c r="M167" s="116">
        <f t="shared" si="33"/>
        <v>5263494.6560105002</v>
      </c>
      <c r="N167" s="123">
        <f t="shared" si="34"/>
        <v>322.1035833798727</v>
      </c>
      <c r="O167" s="5"/>
      <c r="P167" s="5">
        <f t="shared" si="35"/>
        <v>1</v>
      </c>
      <c r="Q167" s="7">
        <f t="shared" si="36"/>
        <v>16341</v>
      </c>
      <c r="W167" s="124">
        <f t="shared" si="37"/>
        <v>7765924.9939895002</v>
      </c>
      <c r="X167">
        <f t="shared" si="38"/>
        <v>0</v>
      </c>
    </row>
    <row r="168" spans="1:24">
      <c r="A168" s="23" t="s">
        <v>195</v>
      </c>
      <c r="B168" s="35" t="s">
        <v>183</v>
      </c>
      <c r="C168" s="125">
        <v>19003</v>
      </c>
      <c r="D168" s="132">
        <v>1901717887</v>
      </c>
      <c r="E168" s="116">
        <f t="shared" si="42"/>
        <v>100074.61385044467</v>
      </c>
      <c r="F168" s="134">
        <v>1048740790</v>
      </c>
      <c r="G168" s="117">
        <f t="shared" si="43"/>
        <v>55188.169762669051</v>
      </c>
      <c r="H168" s="7"/>
      <c r="I168" s="136">
        <v>6.9</v>
      </c>
      <c r="J168" s="134">
        <v>7236311.4510000004</v>
      </c>
      <c r="K168" s="120">
        <f t="shared" si="44"/>
        <v>380.7983713624165</v>
      </c>
      <c r="L168" s="122">
        <f t="shared" si="32"/>
        <v>10487407.9</v>
      </c>
      <c r="M168" s="116">
        <f t="shared" si="33"/>
        <v>3251096.449</v>
      </c>
      <c r="N168" s="123">
        <f t="shared" si="34"/>
        <v>171.08332626427406</v>
      </c>
      <c r="O168" s="5"/>
      <c r="P168" s="5">
        <f t="shared" si="35"/>
        <v>1</v>
      </c>
      <c r="Q168" s="7">
        <f t="shared" si="36"/>
        <v>19003</v>
      </c>
      <c r="W168" s="124">
        <f t="shared" si="37"/>
        <v>7236311.4510000004</v>
      </c>
      <c r="X168">
        <f t="shared" si="38"/>
        <v>0</v>
      </c>
    </row>
    <row r="169" spans="1:24">
      <c r="A169" s="23" t="s">
        <v>196</v>
      </c>
      <c r="B169" s="35" t="s">
        <v>183</v>
      </c>
      <c r="C169" s="125">
        <v>3685</v>
      </c>
      <c r="D169" s="132">
        <v>264238162</v>
      </c>
      <c r="E169" s="116">
        <f t="shared" si="42"/>
        <v>71706.421166892804</v>
      </c>
      <c r="F169" s="134">
        <v>159480346</v>
      </c>
      <c r="G169" s="117">
        <f t="shared" si="43"/>
        <v>43278.24857530529</v>
      </c>
      <c r="H169" s="7"/>
      <c r="I169" s="136">
        <v>7.1089000000000002</v>
      </c>
      <c r="J169" s="134">
        <v>1133729.8316794001</v>
      </c>
      <c r="K169" s="120">
        <f t="shared" si="44"/>
        <v>307.66074129698779</v>
      </c>
      <c r="L169" s="122">
        <f t="shared" si="32"/>
        <v>1594803.46</v>
      </c>
      <c r="M169" s="116">
        <f t="shared" si="33"/>
        <v>461073.62832059991</v>
      </c>
      <c r="N169" s="123">
        <f t="shared" si="34"/>
        <v>125.1217444560651</v>
      </c>
      <c r="O169" s="5"/>
      <c r="P169" s="5">
        <f t="shared" si="35"/>
        <v>1</v>
      </c>
      <c r="Q169" s="7">
        <f t="shared" si="36"/>
        <v>3685</v>
      </c>
      <c r="S169" s="124">
        <f>SUM(D156:D169)</f>
        <v>19551327563</v>
      </c>
      <c r="T169" s="124">
        <f>SUM(F156:F169)</f>
        <v>13143791447</v>
      </c>
      <c r="U169" s="124">
        <f>SUM(J156:J169)</f>
        <v>66860099.169568285</v>
      </c>
      <c r="W169" s="124">
        <f t="shared" si="37"/>
        <v>1133729.8316794001</v>
      </c>
      <c r="X169">
        <f t="shared" si="38"/>
        <v>0</v>
      </c>
    </row>
    <row r="170" spans="1:24">
      <c r="A170" s="23" t="s">
        <v>448</v>
      </c>
      <c r="B170" s="35" t="s">
        <v>198</v>
      </c>
      <c r="C170" s="125">
        <v>53644</v>
      </c>
      <c r="D170" s="132">
        <v>14120984473</v>
      </c>
      <c r="E170" s="116">
        <f t="shared" si="42"/>
        <v>263235.11432779062</v>
      </c>
      <c r="F170" s="134">
        <v>11779983489</v>
      </c>
      <c r="G170" s="117">
        <f t="shared" si="43"/>
        <v>219595.54636119603</v>
      </c>
      <c r="H170" s="7"/>
      <c r="I170" s="136">
        <v>0.81730000000000003</v>
      </c>
      <c r="J170" s="134">
        <v>9627780.5055596996</v>
      </c>
      <c r="K170" s="120">
        <f t="shared" si="44"/>
        <v>179.4754400410055</v>
      </c>
      <c r="L170" s="122">
        <f t="shared" si="32"/>
        <v>117799834.89</v>
      </c>
      <c r="M170" s="116">
        <f t="shared" si="33"/>
        <v>108172054.3844403</v>
      </c>
      <c r="N170" s="123">
        <f t="shared" si="34"/>
        <v>2016.4800235709549</v>
      </c>
      <c r="O170" s="5"/>
      <c r="P170" s="5">
        <f t="shared" si="35"/>
        <v>1</v>
      </c>
      <c r="Q170" s="7">
        <f t="shared" si="36"/>
        <v>53644</v>
      </c>
      <c r="W170" s="124">
        <f t="shared" si="37"/>
        <v>9627780.5055597015</v>
      </c>
      <c r="X170">
        <f t="shared" si="38"/>
        <v>0</v>
      </c>
    </row>
    <row r="171" spans="1:24">
      <c r="A171" s="23" t="s">
        <v>197</v>
      </c>
      <c r="B171" s="35" t="s">
        <v>198</v>
      </c>
      <c r="C171" s="125">
        <v>194016</v>
      </c>
      <c r="D171" s="132">
        <v>23884054121</v>
      </c>
      <c r="E171" s="116">
        <f t="shared" si="42"/>
        <v>123103.52816777998</v>
      </c>
      <c r="F171" s="134">
        <v>16578755881</v>
      </c>
      <c r="G171" s="117">
        <f t="shared" si="43"/>
        <v>85450.457080859313</v>
      </c>
      <c r="H171" s="7"/>
      <c r="I171" s="136">
        <v>6.375</v>
      </c>
      <c r="J171" s="134">
        <v>105689568.741375</v>
      </c>
      <c r="K171" s="120">
        <f t="shared" si="44"/>
        <v>544.74666389047809</v>
      </c>
      <c r="L171" s="122">
        <f t="shared" si="32"/>
        <v>165787558.81</v>
      </c>
      <c r="M171" s="116">
        <f t="shared" si="33"/>
        <v>60097990.068625003</v>
      </c>
      <c r="N171" s="123">
        <f t="shared" si="34"/>
        <v>309.757906918115</v>
      </c>
      <c r="O171" s="5"/>
      <c r="P171" s="5">
        <f t="shared" si="35"/>
        <v>1</v>
      </c>
      <c r="Q171" s="7">
        <f t="shared" si="36"/>
        <v>194016</v>
      </c>
      <c r="W171" s="124">
        <f t="shared" si="37"/>
        <v>105689568.741375</v>
      </c>
      <c r="X171">
        <f t="shared" si="38"/>
        <v>0</v>
      </c>
    </row>
    <row r="172" spans="1:24">
      <c r="A172" s="24" t="s">
        <v>598</v>
      </c>
      <c r="B172" s="37" t="s">
        <v>198</v>
      </c>
      <c r="C172" s="125">
        <v>36939</v>
      </c>
      <c r="D172" s="147">
        <v>8362058350</v>
      </c>
      <c r="E172" s="116">
        <f t="shared" si="42"/>
        <v>226374.78951785376</v>
      </c>
      <c r="F172" s="134">
        <v>6901137756</v>
      </c>
      <c r="G172" s="117">
        <f t="shared" si="43"/>
        <v>186825.24583773248</v>
      </c>
      <c r="H172" s="98"/>
      <c r="I172" s="136">
        <v>0.77259999999999995</v>
      </c>
      <c r="J172" s="134">
        <v>5331819.0302855996</v>
      </c>
      <c r="K172" s="120">
        <f t="shared" si="44"/>
        <v>144.3411849342321</v>
      </c>
      <c r="L172" s="122">
        <f t="shared" si="32"/>
        <v>69011377.560000002</v>
      </c>
      <c r="M172" s="116">
        <f t="shared" si="33"/>
        <v>63679558.529714406</v>
      </c>
      <c r="N172" s="123">
        <f t="shared" si="34"/>
        <v>1723.9112734430928</v>
      </c>
      <c r="O172" s="5"/>
      <c r="P172" s="5">
        <f>IF(I172&gt;0,1,0)</f>
        <v>1</v>
      </c>
      <c r="Q172" s="7">
        <f>IF(I172&gt;0,C172,0)</f>
        <v>36939</v>
      </c>
      <c r="W172" s="124">
        <f t="shared" si="37"/>
        <v>5331819.0302855996</v>
      </c>
      <c r="X172">
        <f t="shared" si="38"/>
        <v>0</v>
      </c>
    </row>
    <row r="173" spans="1:24">
      <c r="A173" s="23" t="s">
        <v>199</v>
      </c>
      <c r="B173" s="35" t="s">
        <v>198</v>
      </c>
      <c r="C173" s="125">
        <v>86395</v>
      </c>
      <c r="D173" s="132">
        <v>11112492447</v>
      </c>
      <c r="E173" s="116">
        <f t="shared" si="42"/>
        <v>128624.25426239944</v>
      </c>
      <c r="F173" s="134">
        <v>7807388308</v>
      </c>
      <c r="G173" s="117">
        <f t="shared" si="43"/>
        <v>90368.520261589219</v>
      </c>
      <c r="H173" s="7"/>
      <c r="I173" s="136">
        <v>7.9642999999999997</v>
      </c>
      <c r="J173" s="134">
        <v>62180382.701404393</v>
      </c>
      <c r="K173" s="120">
        <f t="shared" si="44"/>
        <v>719.72200591937485</v>
      </c>
      <c r="L173" s="122">
        <f t="shared" si="32"/>
        <v>78073883.079999998</v>
      </c>
      <c r="M173" s="116">
        <f t="shared" si="33"/>
        <v>15893500.378595605</v>
      </c>
      <c r="N173" s="123">
        <f t="shared" si="34"/>
        <v>183.96319669651723</v>
      </c>
      <c r="O173" s="5"/>
      <c r="P173" s="5">
        <f t="shared" si="35"/>
        <v>1</v>
      </c>
      <c r="Q173" s="7">
        <f t="shared" si="36"/>
        <v>86395</v>
      </c>
      <c r="W173" s="124">
        <f t="shared" si="37"/>
        <v>62180382.701404408</v>
      </c>
      <c r="X173">
        <f t="shared" si="38"/>
        <v>0</v>
      </c>
    </row>
    <row r="174" spans="1:24">
      <c r="A174" s="23" t="s">
        <v>200</v>
      </c>
      <c r="B174" s="35" t="s">
        <v>198</v>
      </c>
      <c r="C174" s="125">
        <v>5582</v>
      </c>
      <c r="D174" s="132">
        <v>4277026323</v>
      </c>
      <c r="E174" s="116">
        <f t="shared" si="42"/>
        <v>766217.54263704771</v>
      </c>
      <c r="F174" s="134">
        <v>3713639808</v>
      </c>
      <c r="G174" s="117">
        <f t="shared" si="43"/>
        <v>665288.39269079186</v>
      </c>
      <c r="H174" s="7"/>
      <c r="I174" s="136">
        <v>0.95</v>
      </c>
      <c r="J174" s="134">
        <v>3527957.8175999997</v>
      </c>
      <c r="K174" s="120">
        <f t="shared" si="44"/>
        <v>632.0239730562522</v>
      </c>
      <c r="L174" s="122">
        <f t="shared" si="32"/>
        <v>37136398.079999998</v>
      </c>
      <c r="M174" s="116">
        <f t="shared" si="33"/>
        <v>33608440.262400001</v>
      </c>
      <c r="N174" s="123">
        <f t="shared" si="34"/>
        <v>6020.8599538516664</v>
      </c>
      <c r="O174" s="5"/>
      <c r="P174" s="5">
        <f t="shared" si="35"/>
        <v>1</v>
      </c>
      <c r="Q174" s="7">
        <f t="shared" si="36"/>
        <v>5582</v>
      </c>
      <c r="W174" s="124">
        <f t="shared" si="37"/>
        <v>3527957.8176000002</v>
      </c>
      <c r="X174">
        <f t="shared" si="38"/>
        <v>0</v>
      </c>
    </row>
    <row r="175" spans="1:24">
      <c r="A175" s="23" t="s">
        <v>201</v>
      </c>
      <c r="B175" s="35" t="s">
        <v>198</v>
      </c>
      <c r="C175" s="125">
        <v>6382</v>
      </c>
      <c r="D175" s="132">
        <v>6087115973</v>
      </c>
      <c r="E175" s="116">
        <f t="shared" si="42"/>
        <v>953794.41758069571</v>
      </c>
      <c r="F175" s="134">
        <v>5277861635</v>
      </c>
      <c r="G175" s="117">
        <f t="shared" si="43"/>
        <v>826991.79489188339</v>
      </c>
      <c r="H175" s="98"/>
      <c r="I175" s="136">
        <v>1.8922000000000001</v>
      </c>
      <c r="J175" s="134">
        <v>9986769.7857469991</v>
      </c>
      <c r="K175" s="120">
        <f t="shared" si="44"/>
        <v>1564.8338742944218</v>
      </c>
      <c r="L175" s="122">
        <f t="shared" si="32"/>
        <v>52778616.350000001</v>
      </c>
      <c r="M175" s="116">
        <f t="shared" si="33"/>
        <v>42791846.564253002</v>
      </c>
      <c r="N175" s="123">
        <f t="shared" si="34"/>
        <v>6705.084074624413</v>
      </c>
      <c r="O175" s="5"/>
      <c r="P175" s="5">
        <f t="shared" si="35"/>
        <v>1</v>
      </c>
      <c r="Q175" s="7">
        <f t="shared" si="36"/>
        <v>6382</v>
      </c>
      <c r="S175" s="184">
        <f>SUM(D170:D175)</f>
        <v>67843731687</v>
      </c>
      <c r="T175" s="184">
        <f>SUM(F170:F175)</f>
        <v>52058766877</v>
      </c>
      <c r="U175" s="184">
        <f>SUM(J170:J175)</f>
        <v>196344278.5819717</v>
      </c>
      <c r="W175" s="124">
        <f t="shared" si="37"/>
        <v>9986769.7857470009</v>
      </c>
      <c r="X175">
        <f t="shared" si="38"/>
        <v>0</v>
      </c>
    </row>
    <row r="176" spans="1:24">
      <c r="A176" s="23" t="s">
        <v>202</v>
      </c>
      <c r="B176" s="35" t="s">
        <v>203</v>
      </c>
      <c r="C176" s="125">
        <v>196169</v>
      </c>
      <c r="D176" s="132">
        <v>21763513275</v>
      </c>
      <c r="E176" s="116">
        <f t="shared" si="42"/>
        <v>110942.67328171118</v>
      </c>
      <c r="F176" s="134">
        <v>12669469043</v>
      </c>
      <c r="G176" s="117">
        <f t="shared" si="43"/>
        <v>64584.460556968734</v>
      </c>
      <c r="H176" s="7"/>
      <c r="I176" s="136">
        <v>4.0999999999999996</v>
      </c>
      <c r="J176" s="185">
        <v>51944823.076299995</v>
      </c>
      <c r="K176" s="120">
        <f t="shared" si="44"/>
        <v>264.79628828357181</v>
      </c>
      <c r="L176" s="122">
        <f t="shared" si="32"/>
        <v>126694690.43000001</v>
      </c>
      <c r="M176" s="116">
        <f t="shared" si="33"/>
        <v>74749867.353700012</v>
      </c>
      <c r="N176" s="123">
        <f t="shared" si="34"/>
        <v>381.0483172861156</v>
      </c>
      <c r="O176" s="5"/>
      <c r="P176" s="5">
        <f t="shared" si="35"/>
        <v>1</v>
      </c>
      <c r="Q176" s="7">
        <f t="shared" si="36"/>
        <v>196169</v>
      </c>
      <c r="S176" s="124">
        <f>SUM(D176)</f>
        <v>21763513275</v>
      </c>
      <c r="T176" s="124">
        <f>SUM(F176)</f>
        <v>12669469043</v>
      </c>
      <c r="U176" s="124">
        <f>SUM(J176)</f>
        <v>51944823.076299995</v>
      </c>
      <c r="W176" s="124">
        <f t="shared" si="37"/>
        <v>51944823.076299995</v>
      </c>
      <c r="X176">
        <f t="shared" si="38"/>
        <v>0</v>
      </c>
    </row>
    <row r="177" spans="1:24">
      <c r="A177" s="23" t="s">
        <v>204</v>
      </c>
      <c r="B177" s="35" t="s">
        <v>205</v>
      </c>
      <c r="C177" s="125">
        <v>1140</v>
      </c>
      <c r="D177" s="132">
        <v>87498062</v>
      </c>
      <c r="E177" s="116">
        <f t="shared" si="42"/>
        <v>76752.685964912278</v>
      </c>
      <c r="F177" s="134">
        <v>44604790</v>
      </c>
      <c r="G177" s="117">
        <f t="shared" si="43"/>
        <v>39127.008771929824</v>
      </c>
      <c r="H177" s="7"/>
      <c r="I177" s="136">
        <v>5.3414000000000001</v>
      </c>
      <c r="J177" s="134">
        <v>238252.025306</v>
      </c>
      <c r="K177" s="120">
        <f t="shared" si="44"/>
        <v>208.99300465438597</v>
      </c>
      <c r="L177" s="122">
        <f t="shared" si="32"/>
        <v>446047.9</v>
      </c>
      <c r="M177" s="116">
        <f t="shared" si="33"/>
        <v>207795.87469400003</v>
      </c>
      <c r="N177" s="123">
        <f t="shared" si="34"/>
        <v>182.27708306491232</v>
      </c>
      <c r="O177" s="5"/>
      <c r="P177" s="5">
        <f t="shared" si="35"/>
        <v>1</v>
      </c>
      <c r="Q177" s="7">
        <f t="shared" si="36"/>
        <v>1140</v>
      </c>
      <c r="W177" s="124">
        <f t="shared" si="37"/>
        <v>238252.02530600003</v>
      </c>
      <c r="X177">
        <f t="shared" si="38"/>
        <v>0</v>
      </c>
    </row>
    <row r="178" spans="1:24">
      <c r="A178" s="23" t="s">
        <v>206</v>
      </c>
      <c r="B178" s="35" t="s">
        <v>205</v>
      </c>
      <c r="C178" s="125">
        <v>687</v>
      </c>
      <c r="D178" s="132">
        <v>212871829</v>
      </c>
      <c r="E178" s="116">
        <f t="shared" si="42"/>
        <v>309857.10189228528</v>
      </c>
      <c r="F178" s="134">
        <v>158842036</v>
      </c>
      <c r="G178" s="117">
        <f t="shared" si="43"/>
        <v>231211.11499272197</v>
      </c>
      <c r="H178" s="7"/>
      <c r="I178" s="136">
        <v>4.7439999999999998</v>
      </c>
      <c r="J178" s="134">
        <v>753546.61878399993</v>
      </c>
      <c r="K178" s="120">
        <f t="shared" si="44"/>
        <v>1096.865529525473</v>
      </c>
      <c r="L178" s="122">
        <f t="shared" si="32"/>
        <v>1588420.36</v>
      </c>
      <c r="M178" s="116">
        <f t="shared" si="33"/>
        <v>834873.74121600017</v>
      </c>
      <c r="N178" s="123">
        <f t="shared" si="34"/>
        <v>1215.2456204017469</v>
      </c>
      <c r="O178" s="5"/>
      <c r="P178" s="5">
        <f t="shared" si="35"/>
        <v>1</v>
      </c>
      <c r="Q178" s="7">
        <f t="shared" si="36"/>
        <v>687</v>
      </c>
      <c r="W178" s="124">
        <f t="shared" si="37"/>
        <v>753546.61878400005</v>
      </c>
      <c r="X178">
        <f t="shared" si="38"/>
        <v>0</v>
      </c>
    </row>
    <row r="179" spans="1:24">
      <c r="A179" s="23" t="s">
        <v>207</v>
      </c>
      <c r="B179" s="35" t="s">
        <v>205</v>
      </c>
      <c r="C179" s="125">
        <v>2316</v>
      </c>
      <c r="D179" s="132">
        <v>188927023</v>
      </c>
      <c r="E179" s="116">
        <f t="shared" si="42"/>
        <v>81574.707685664936</v>
      </c>
      <c r="F179" s="134">
        <v>137907678</v>
      </c>
      <c r="G179" s="117">
        <f t="shared" si="43"/>
        <v>59545.629533678759</v>
      </c>
      <c r="H179" s="7"/>
      <c r="I179" s="136">
        <v>7.9074999999999998</v>
      </c>
      <c r="J179" s="134">
        <v>1090504.9637849999</v>
      </c>
      <c r="K179" s="120">
        <f t="shared" si="44"/>
        <v>470.85706553756472</v>
      </c>
      <c r="L179" s="122">
        <f t="shared" si="32"/>
        <v>1379076.78</v>
      </c>
      <c r="M179" s="116">
        <f t="shared" si="33"/>
        <v>288571.81621500012</v>
      </c>
      <c r="N179" s="123">
        <f t="shared" si="34"/>
        <v>124.59922979922285</v>
      </c>
      <c r="O179" s="5"/>
      <c r="P179" s="5">
        <f t="shared" si="35"/>
        <v>1</v>
      </c>
      <c r="Q179" s="7">
        <f t="shared" si="36"/>
        <v>2316</v>
      </c>
      <c r="W179" s="124">
        <f t="shared" si="37"/>
        <v>1090504.9637849999</v>
      </c>
      <c r="X179">
        <f t="shared" si="38"/>
        <v>0</v>
      </c>
    </row>
    <row r="180" spans="1:24">
      <c r="A180" s="23" t="s">
        <v>208</v>
      </c>
      <c r="B180" s="35" t="s">
        <v>205</v>
      </c>
      <c r="C180" s="125">
        <v>1476</v>
      </c>
      <c r="D180" s="132">
        <v>100273578</v>
      </c>
      <c r="E180" s="116">
        <f t="shared" si="42"/>
        <v>67936.028455284555</v>
      </c>
      <c r="F180" s="134">
        <v>69854582</v>
      </c>
      <c r="G180" s="117">
        <f t="shared" si="43"/>
        <v>47326.952574525749</v>
      </c>
      <c r="H180" s="7"/>
      <c r="I180" s="136">
        <v>5</v>
      </c>
      <c r="J180" s="134">
        <v>349272.91</v>
      </c>
      <c r="K180" s="120">
        <f t="shared" si="44"/>
        <v>236.6347628726287</v>
      </c>
      <c r="L180" s="122">
        <f t="shared" si="32"/>
        <v>698545.82000000007</v>
      </c>
      <c r="M180" s="116">
        <f t="shared" si="33"/>
        <v>349272.91000000009</v>
      </c>
      <c r="N180" s="123">
        <f t="shared" si="34"/>
        <v>236.63476287262878</v>
      </c>
      <c r="O180" s="5"/>
      <c r="P180" s="5">
        <f t="shared" si="35"/>
        <v>1</v>
      </c>
      <c r="Q180" s="7">
        <f t="shared" si="36"/>
        <v>1476</v>
      </c>
      <c r="W180" s="124">
        <f t="shared" si="37"/>
        <v>349272.91000000003</v>
      </c>
      <c r="X180">
        <f t="shared" si="38"/>
        <v>0</v>
      </c>
    </row>
    <row r="181" spans="1:24">
      <c r="A181" s="23" t="s">
        <v>209</v>
      </c>
      <c r="B181" s="35" t="s">
        <v>205</v>
      </c>
      <c r="C181" s="125">
        <v>108</v>
      </c>
      <c r="D181" s="132">
        <v>11616545</v>
      </c>
      <c r="E181" s="116">
        <f t="shared" si="42"/>
        <v>107560.60185185185</v>
      </c>
      <c r="F181" s="134">
        <v>7990685</v>
      </c>
      <c r="G181" s="117">
        <f t="shared" si="43"/>
        <v>73987.824074074073</v>
      </c>
      <c r="H181" s="7"/>
      <c r="I181" s="136">
        <v>6.9672999999999998</v>
      </c>
      <c r="J181" s="134">
        <v>55673.499600499992</v>
      </c>
      <c r="K181" s="120">
        <f t="shared" si="44"/>
        <v>515.49536667129621</v>
      </c>
      <c r="L181" s="122">
        <f t="shared" si="32"/>
        <v>79906.850000000006</v>
      </c>
      <c r="M181" s="116">
        <f t="shared" si="33"/>
        <v>24233.350399500014</v>
      </c>
      <c r="N181" s="123">
        <f t="shared" si="34"/>
        <v>224.38287406944457</v>
      </c>
      <c r="O181" s="5"/>
      <c r="P181" s="5">
        <f t="shared" si="35"/>
        <v>1</v>
      </c>
      <c r="Q181" s="7">
        <f t="shared" si="36"/>
        <v>108</v>
      </c>
      <c r="W181" s="124">
        <f t="shared" si="37"/>
        <v>55673.499600499999</v>
      </c>
      <c r="X181">
        <f t="shared" si="38"/>
        <v>0</v>
      </c>
    </row>
    <row r="182" spans="1:24">
      <c r="A182" s="23" t="s">
        <v>210</v>
      </c>
      <c r="B182" s="35" t="s">
        <v>205</v>
      </c>
      <c r="C182" s="125">
        <v>2976</v>
      </c>
      <c r="D182" s="132">
        <v>194288546</v>
      </c>
      <c r="E182" s="116">
        <f t="shared" si="42"/>
        <v>65285.129704301078</v>
      </c>
      <c r="F182" s="134">
        <v>110633914</v>
      </c>
      <c r="G182" s="117">
        <f t="shared" si="43"/>
        <v>37175.37432795699</v>
      </c>
      <c r="H182" s="7"/>
      <c r="I182" s="136">
        <v>6.5</v>
      </c>
      <c r="J182" s="134">
        <v>719120.44099999999</v>
      </c>
      <c r="K182" s="120">
        <f t="shared" si="44"/>
        <v>241.63993313172043</v>
      </c>
      <c r="L182" s="122">
        <f t="shared" si="32"/>
        <v>1106339.1400000001</v>
      </c>
      <c r="M182" s="116">
        <f t="shared" si="33"/>
        <v>387218.69900000014</v>
      </c>
      <c r="N182" s="123">
        <f t="shared" si="34"/>
        <v>130.11381014784951</v>
      </c>
      <c r="O182" s="5"/>
      <c r="P182" s="5">
        <f t="shared" si="35"/>
        <v>1</v>
      </c>
      <c r="Q182" s="7">
        <f t="shared" si="36"/>
        <v>2976</v>
      </c>
      <c r="W182" s="124">
        <f t="shared" si="37"/>
        <v>719120.44099999999</v>
      </c>
      <c r="X182">
        <f t="shared" si="38"/>
        <v>0</v>
      </c>
    </row>
    <row r="183" spans="1:24">
      <c r="A183" s="23" t="s">
        <v>211</v>
      </c>
      <c r="B183" s="35" t="s">
        <v>205</v>
      </c>
      <c r="C183" s="125">
        <v>588</v>
      </c>
      <c r="D183" s="132">
        <v>85526806</v>
      </c>
      <c r="E183" s="116">
        <f t="shared" si="42"/>
        <v>145453.75170068027</v>
      </c>
      <c r="F183" s="134">
        <v>61369756</v>
      </c>
      <c r="G183" s="117">
        <f t="shared" si="43"/>
        <v>104370.33333333333</v>
      </c>
      <c r="H183" s="7"/>
      <c r="I183" s="136">
        <v>2.8119000000000001</v>
      </c>
      <c r="J183" s="134">
        <v>172565.6168964</v>
      </c>
      <c r="K183" s="120">
        <f t="shared" si="44"/>
        <v>293.47894029999998</v>
      </c>
      <c r="L183" s="122">
        <f t="shared" si="32"/>
        <v>613697.56000000006</v>
      </c>
      <c r="M183" s="116">
        <f t="shared" si="33"/>
        <v>441131.94310360006</v>
      </c>
      <c r="N183" s="123">
        <f t="shared" si="34"/>
        <v>750.2243930333334</v>
      </c>
      <c r="O183" s="5"/>
      <c r="P183" s="5">
        <f t="shared" si="35"/>
        <v>1</v>
      </c>
      <c r="Q183" s="7">
        <f t="shared" si="36"/>
        <v>588</v>
      </c>
      <c r="S183" s="124">
        <f>SUM(D177:D183)</f>
        <v>881002389</v>
      </c>
      <c r="T183" s="124">
        <f>SUM(F177:F183)</f>
        <v>591203441</v>
      </c>
      <c r="U183" s="124">
        <f>SUM(J177:J183)</f>
        <v>3378936.0753718996</v>
      </c>
      <c r="W183" s="124">
        <f t="shared" si="37"/>
        <v>172565.6168964</v>
      </c>
      <c r="X183">
        <f t="shared" si="38"/>
        <v>0</v>
      </c>
    </row>
    <row r="184" spans="1:24">
      <c r="A184" s="23" t="s">
        <v>212</v>
      </c>
      <c r="B184" s="35" t="s">
        <v>213</v>
      </c>
      <c r="C184" s="125">
        <v>918</v>
      </c>
      <c r="D184" s="132">
        <v>73405845</v>
      </c>
      <c r="E184" s="116">
        <f t="shared" si="42"/>
        <v>79962.794117647063</v>
      </c>
      <c r="F184" s="134">
        <v>24964897</v>
      </c>
      <c r="G184" s="117">
        <f t="shared" si="43"/>
        <v>27194.876906318084</v>
      </c>
      <c r="H184" s="7"/>
      <c r="I184" s="136">
        <v>6.4391999999999996</v>
      </c>
      <c r="J184" s="134">
        <v>160753.96476239999</v>
      </c>
      <c r="K184" s="120">
        <f t="shared" si="44"/>
        <v>175.1132513751634</v>
      </c>
      <c r="L184" s="122">
        <f t="shared" si="32"/>
        <v>249648.97</v>
      </c>
      <c r="M184" s="116">
        <f t="shared" si="33"/>
        <v>88895.005237600009</v>
      </c>
      <c r="N184" s="123">
        <f t="shared" si="34"/>
        <v>96.835517688017433</v>
      </c>
      <c r="O184" s="5"/>
      <c r="P184" s="5">
        <f t="shared" si="35"/>
        <v>1</v>
      </c>
      <c r="Q184" s="7">
        <f t="shared" si="36"/>
        <v>918</v>
      </c>
      <c r="S184" s="124">
        <f>SUM(D184)</f>
        <v>73405845</v>
      </c>
      <c r="T184" s="124">
        <f>SUM(F184)</f>
        <v>24964897</v>
      </c>
      <c r="U184" s="124">
        <f>SUM(J184)</f>
        <v>160753.96476239999</v>
      </c>
      <c r="W184" s="124">
        <f t="shared" si="37"/>
        <v>160753.96476239999</v>
      </c>
      <c r="X184">
        <f t="shared" si="38"/>
        <v>0</v>
      </c>
    </row>
    <row r="185" spans="1:24">
      <c r="A185" s="23" t="s">
        <v>214</v>
      </c>
      <c r="B185" s="35" t="s">
        <v>215</v>
      </c>
      <c r="C185" s="125">
        <v>746</v>
      </c>
      <c r="D185" s="132">
        <v>20997659</v>
      </c>
      <c r="E185" s="116">
        <f t="shared" si="42"/>
        <v>28146.995978552281</v>
      </c>
      <c r="F185" s="134">
        <v>11208003</v>
      </c>
      <c r="G185" s="117">
        <f t="shared" si="43"/>
        <v>15024.132707774799</v>
      </c>
      <c r="H185" s="7"/>
      <c r="I185" s="136">
        <v>10</v>
      </c>
      <c r="J185" s="134">
        <v>112080.03</v>
      </c>
      <c r="K185" s="120">
        <f t="shared" si="44"/>
        <v>150.241327077748</v>
      </c>
      <c r="L185" s="122">
        <f t="shared" si="32"/>
        <v>112080.03</v>
      </c>
      <c r="M185" s="116">
        <f t="shared" si="33"/>
        <v>0</v>
      </c>
      <c r="N185" s="123">
        <f t="shared" si="34"/>
        <v>0</v>
      </c>
      <c r="O185" s="5"/>
      <c r="P185" s="5">
        <f t="shared" si="35"/>
        <v>1</v>
      </c>
      <c r="Q185" s="7">
        <f t="shared" si="36"/>
        <v>746</v>
      </c>
      <c r="W185" s="124">
        <f t="shared" si="37"/>
        <v>112080.03</v>
      </c>
      <c r="X185">
        <f t="shared" si="38"/>
        <v>0</v>
      </c>
    </row>
    <row r="186" spans="1:24">
      <c r="A186" s="23" t="s">
        <v>198</v>
      </c>
      <c r="B186" s="35" t="s">
        <v>215</v>
      </c>
      <c r="C186" s="125">
        <v>375</v>
      </c>
      <c r="D186" s="132">
        <v>19847776</v>
      </c>
      <c r="E186" s="116">
        <f t="shared" si="42"/>
        <v>52927.402666666669</v>
      </c>
      <c r="F186" s="134">
        <v>8408633</v>
      </c>
      <c r="G186" s="117">
        <f t="shared" si="43"/>
        <v>22423.021333333334</v>
      </c>
      <c r="H186" s="7"/>
      <c r="I186" s="136">
        <v>7</v>
      </c>
      <c r="J186" s="134">
        <v>58860.430999999997</v>
      </c>
      <c r="K186" s="120">
        <f t="shared" si="44"/>
        <v>156.96114933333334</v>
      </c>
      <c r="L186" s="122">
        <f t="shared" si="32"/>
        <v>84086.33</v>
      </c>
      <c r="M186" s="116">
        <f t="shared" si="33"/>
        <v>25225.899000000005</v>
      </c>
      <c r="N186" s="123">
        <f t="shared" si="34"/>
        <v>67.269064000000014</v>
      </c>
      <c r="O186" s="5"/>
      <c r="P186" s="5">
        <f t="shared" si="35"/>
        <v>1</v>
      </c>
      <c r="Q186" s="7">
        <f t="shared" si="36"/>
        <v>375</v>
      </c>
      <c r="W186" s="124">
        <f t="shared" si="37"/>
        <v>58860.431000000004</v>
      </c>
      <c r="X186">
        <f t="shared" si="38"/>
        <v>0</v>
      </c>
    </row>
    <row r="187" spans="1:24">
      <c r="A187" s="23" t="s">
        <v>215</v>
      </c>
      <c r="B187" s="35" t="s">
        <v>215</v>
      </c>
      <c r="C187" s="125">
        <v>2912</v>
      </c>
      <c r="D187" s="132">
        <v>161295815</v>
      </c>
      <c r="E187" s="116">
        <f t="shared" si="42"/>
        <v>55390.046359890111</v>
      </c>
      <c r="F187" s="134">
        <v>92750422</v>
      </c>
      <c r="G187" s="117">
        <f t="shared" si="43"/>
        <v>31851.106456043955</v>
      </c>
      <c r="H187" s="7"/>
      <c r="I187" s="136">
        <v>7</v>
      </c>
      <c r="J187" s="134">
        <v>649252.95400000003</v>
      </c>
      <c r="K187" s="120">
        <f t="shared" si="44"/>
        <v>222.9577451923077</v>
      </c>
      <c r="L187" s="122">
        <f t="shared" si="32"/>
        <v>927504.22</v>
      </c>
      <c r="M187" s="116">
        <f t="shared" si="33"/>
        <v>278251.26599999995</v>
      </c>
      <c r="N187" s="123">
        <f t="shared" si="34"/>
        <v>95.553319368131852</v>
      </c>
      <c r="O187" s="5"/>
      <c r="P187" s="5">
        <f t="shared" si="35"/>
        <v>1</v>
      </c>
      <c r="Q187" s="7">
        <f t="shared" si="36"/>
        <v>2912</v>
      </c>
      <c r="S187" s="124">
        <f>SUM(D185:D187)</f>
        <v>202141250</v>
      </c>
      <c r="T187" s="124">
        <f>SUM(F185:F187)</f>
        <v>112367058</v>
      </c>
      <c r="U187" s="124">
        <f>SUM(J185:J187)</f>
        <v>820193.41500000004</v>
      </c>
      <c r="W187" s="124">
        <f t="shared" si="37"/>
        <v>649252.95400000003</v>
      </c>
      <c r="X187">
        <f t="shared" si="38"/>
        <v>0</v>
      </c>
    </row>
    <row r="188" spans="1:24">
      <c r="A188" s="23" t="s">
        <v>216</v>
      </c>
      <c r="B188" s="35" t="s">
        <v>217</v>
      </c>
      <c r="C188" s="125">
        <v>968</v>
      </c>
      <c r="D188" s="132">
        <v>1498347839</v>
      </c>
      <c r="E188" s="116">
        <f t="shared" si="42"/>
        <v>1547879.9989669421</v>
      </c>
      <c r="F188" s="134">
        <v>1272626609</v>
      </c>
      <c r="G188" s="117">
        <f t="shared" si="43"/>
        <v>1314696.9101239669</v>
      </c>
      <c r="H188" s="7"/>
      <c r="I188" s="136">
        <v>2.0499999999999998</v>
      </c>
      <c r="J188" s="134">
        <v>2608884.5484499997</v>
      </c>
      <c r="K188" s="120">
        <f t="shared" si="44"/>
        <v>2695.1286657541318</v>
      </c>
      <c r="L188" s="122">
        <f t="shared" si="32"/>
        <v>12726266.09</v>
      </c>
      <c r="M188" s="116">
        <f t="shared" si="33"/>
        <v>10117381.541549999</v>
      </c>
      <c r="N188" s="123">
        <f t="shared" si="34"/>
        <v>10451.840435485536</v>
      </c>
      <c r="O188" s="5"/>
      <c r="P188" s="5">
        <f t="shared" si="35"/>
        <v>1</v>
      </c>
      <c r="Q188" s="7">
        <f t="shared" si="36"/>
        <v>968</v>
      </c>
      <c r="W188" s="124">
        <f t="shared" si="37"/>
        <v>2608884.5484499997</v>
      </c>
      <c r="X188">
        <f t="shared" si="38"/>
        <v>0</v>
      </c>
    </row>
    <row r="189" spans="1:24">
      <c r="A189" s="23" t="s">
        <v>218</v>
      </c>
      <c r="B189" s="35" t="s">
        <v>217</v>
      </c>
      <c r="C189" s="125">
        <v>55698</v>
      </c>
      <c r="D189" s="132">
        <v>5858864584</v>
      </c>
      <c r="E189" s="116">
        <f t="shared" si="42"/>
        <v>105189.85572192898</v>
      </c>
      <c r="F189" s="134">
        <v>4224407719</v>
      </c>
      <c r="G189" s="117">
        <f t="shared" si="43"/>
        <v>75844.872688426869</v>
      </c>
      <c r="H189" s="7"/>
      <c r="I189" s="136">
        <v>5.8975999999999997</v>
      </c>
      <c r="J189" s="134">
        <v>24913866.963574398</v>
      </c>
      <c r="K189" s="120">
        <f t="shared" si="44"/>
        <v>447.30272116726633</v>
      </c>
      <c r="L189" s="122">
        <f t="shared" si="32"/>
        <v>42244077.189999998</v>
      </c>
      <c r="M189" s="116">
        <f t="shared" si="33"/>
        <v>17330210.226425599</v>
      </c>
      <c r="N189" s="123">
        <f t="shared" si="34"/>
        <v>311.14600571700237</v>
      </c>
      <c r="O189" s="5"/>
      <c r="P189" s="5">
        <f t="shared" si="35"/>
        <v>1</v>
      </c>
      <c r="Q189" s="7">
        <f t="shared" si="36"/>
        <v>55698</v>
      </c>
      <c r="W189" s="124">
        <f t="shared" si="37"/>
        <v>24913866.963574398</v>
      </c>
      <c r="X189">
        <f t="shared" si="38"/>
        <v>0</v>
      </c>
    </row>
    <row r="190" spans="1:24">
      <c r="A190" s="23" t="s">
        <v>219</v>
      </c>
      <c r="B190" s="35" t="s">
        <v>217</v>
      </c>
      <c r="C190" s="125">
        <v>908</v>
      </c>
      <c r="D190" s="132">
        <v>841526198</v>
      </c>
      <c r="E190" s="116">
        <f t="shared" si="42"/>
        <v>926790.96696035238</v>
      </c>
      <c r="F190" s="134">
        <v>690318688</v>
      </c>
      <c r="G190" s="117">
        <f t="shared" si="43"/>
        <v>760262.87224669603</v>
      </c>
      <c r="H190" s="7"/>
      <c r="I190" s="136">
        <v>2.3329</v>
      </c>
      <c r="J190" s="134">
        <v>1610444.4672351999</v>
      </c>
      <c r="K190" s="120">
        <f t="shared" si="44"/>
        <v>1773.617254664317</v>
      </c>
      <c r="L190" s="122">
        <f t="shared" si="32"/>
        <v>6903186.8799999999</v>
      </c>
      <c r="M190" s="116">
        <f t="shared" si="33"/>
        <v>5292742.4127647998</v>
      </c>
      <c r="N190" s="123">
        <f t="shared" si="34"/>
        <v>5829.011467802643</v>
      </c>
      <c r="O190" s="5"/>
      <c r="P190" s="5">
        <f t="shared" si="35"/>
        <v>1</v>
      </c>
      <c r="Q190" s="7">
        <f t="shared" si="36"/>
        <v>908</v>
      </c>
      <c r="W190" s="124">
        <f t="shared" si="37"/>
        <v>1610444.4672352001</v>
      </c>
      <c r="X190">
        <f t="shared" si="38"/>
        <v>0</v>
      </c>
    </row>
    <row r="191" spans="1:24">
      <c r="A191" s="23" t="s">
        <v>220</v>
      </c>
      <c r="B191" s="35" t="s">
        <v>217</v>
      </c>
      <c r="C191" s="125">
        <v>3010</v>
      </c>
      <c r="D191" s="132">
        <v>2553620766</v>
      </c>
      <c r="E191" s="116">
        <f t="shared" si="42"/>
        <v>848378.99202657805</v>
      </c>
      <c r="F191" s="134">
        <v>2196009646</v>
      </c>
      <c r="G191" s="117">
        <f t="shared" si="43"/>
        <v>729571.31096345512</v>
      </c>
      <c r="H191" s="7"/>
      <c r="I191" s="136">
        <v>2.25</v>
      </c>
      <c r="J191" s="134">
        <v>4941021.7034999998</v>
      </c>
      <c r="K191" s="120">
        <f t="shared" si="44"/>
        <v>1641.5354496677739</v>
      </c>
      <c r="L191" s="122">
        <f t="shared" si="32"/>
        <v>21960096.460000001</v>
      </c>
      <c r="M191" s="116">
        <f t="shared" si="33"/>
        <v>17019074.756500002</v>
      </c>
      <c r="N191" s="123">
        <f t="shared" si="34"/>
        <v>5654.1776599667783</v>
      </c>
      <c r="O191" s="5"/>
      <c r="P191" s="5">
        <f t="shared" si="35"/>
        <v>1</v>
      </c>
      <c r="Q191" s="7">
        <f t="shared" si="36"/>
        <v>3010</v>
      </c>
      <c r="W191" s="124">
        <f t="shared" si="37"/>
        <v>4941021.7034999998</v>
      </c>
      <c r="X191">
        <f t="shared" si="38"/>
        <v>0</v>
      </c>
    </row>
    <row r="192" spans="1:24">
      <c r="A192" s="23" t="s">
        <v>221</v>
      </c>
      <c r="B192" s="35" t="s">
        <v>217</v>
      </c>
      <c r="C192" s="125">
        <v>13323</v>
      </c>
      <c r="D192" s="132">
        <v>1467295874</v>
      </c>
      <c r="E192" s="116">
        <f t="shared" si="42"/>
        <v>110132.54327103506</v>
      </c>
      <c r="F192" s="134">
        <v>977778116</v>
      </c>
      <c r="G192" s="117">
        <f t="shared" si="43"/>
        <v>73390.236133003084</v>
      </c>
      <c r="H192" s="7"/>
      <c r="I192" s="136">
        <v>5.9671000000000003</v>
      </c>
      <c r="J192" s="134">
        <v>5834499.7959836004</v>
      </c>
      <c r="K192" s="120">
        <f t="shared" si="44"/>
        <v>437.92687802924269</v>
      </c>
      <c r="L192" s="122">
        <f t="shared" si="32"/>
        <v>9777781.1600000001</v>
      </c>
      <c r="M192" s="116">
        <f t="shared" si="33"/>
        <v>3943281.3640163997</v>
      </c>
      <c r="N192" s="123">
        <f t="shared" si="34"/>
        <v>295.97548330078808</v>
      </c>
      <c r="O192" s="5"/>
      <c r="P192" s="5">
        <f t="shared" si="35"/>
        <v>1</v>
      </c>
      <c r="Q192" s="7">
        <f t="shared" si="36"/>
        <v>13323</v>
      </c>
      <c r="W192" s="124">
        <f t="shared" si="37"/>
        <v>5834499.7959836004</v>
      </c>
      <c r="X192">
        <f t="shared" si="38"/>
        <v>0</v>
      </c>
    </row>
    <row r="193" spans="1:24">
      <c r="A193" s="23" t="s">
        <v>478</v>
      </c>
      <c r="B193" s="35" t="s">
        <v>222</v>
      </c>
      <c r="C193" s="125">
        <v>7505</v>
      </c>
      <c r="D193" s="132">
        <f>(2182815871+4573831497)</f>
        <v>6756647368</v>
      </c>
      <c r="E193" s="116">
        <f t="shared" si="42"/>
        <v>900286.12498334446</v>
      </c>
      <c r="F193" s="134">
        <f>(1917662223+4189225765)</f>
        <v>6106887988</v>
      </c>
      <c r="G193" s="117">
        <f t="shared" si="43"/>
        <v>813709.25889407063</v>
      </c>
      <c r="H193" s="7"/>
      <c r="I193" s="136">
        <v>2.1143999999999998</v>
      </c>
      <c r="J193" s="134">
        <f>(4054705.0043112+8857699)</f>
        <v>12912404.0043112</v>
      </c>
      <c r="K193" s="120">
        <f t="shared" si="44"/>
        <v>1720.5068626663824</v>
      </c>
      <c r="L193" s="122">
        <f t="shared" si="32"/>
        <v>61068879.880000003</v>
      </c>
      <c r="M193" s="116">
        <f t="shared" si="33"/>
        <v>48156475.875688806</v>
      </c>
      <c r="N193" s="123">
        <f t="shared" si="34"/>
        <v>6416.5857262743248</v>
      </c>
      <c r="O193" s="5"/>
      <c r="P193" s="5">
        <f t="shared" si="35"/>
        <v>1</v>
      </c>
      <c r="Q193" s="7">
        <f t="shared" si="36"/>
        <v>7505</v>
      </c>
      <c r="S193" s="124">
        <f>SUM(D188:D193)</f>
        <v>18976302629</v>
      </c>
      <c r="T193" s="124">
        <f>SUM(F188:F193)</f>
        <v>15468028766</v>
      </c>
      <c r="U193" s="124">
        <f>SUM(J188:J193)</f>
        <v>52821121.483054399</v>
      </c>
      <c r="W193" s="124">
        <f t="shared" si="37"/>
        <v>12912403.961827198</v>
      </c>
      <c r="X193">
        <f t="shared" si="38"/>
        <v>1</v>
      </c>
    </row>
    <row r="194" spans="1:24">
      <c r="A194" s="23" t="s">
        <v>223</v>
      </c>
      <c r="B194" s="35" t="s">
        <v>224</v>
      </c>
      <c r="C194" s="125">
        <v>5413</v>
      </c>
      <c r="D194" s="132">
        <v>368804760</v>
      </c>
      <c r="E194" s="116">
        <f t="shared" si="42"/>
        <v>68133.153519305371</v>
      </c>
      <c r="F194" s="134">
        <v>252196518</v>
      </c>
      <c r="G194" s="117">
        <f t="shared" si="43"/>
        <v>46590.89562165158</v>
      </c>
      <c r="H194" s="7"/>
      <c r="I194" s="136">
        <v>5</v>
      </c>
      <c r="J194" s="134">
        <v>1260982.5900000001</v>
      </c>
      <c r="K194" s="120">
        <f t="shared" si="44"/>
        <v>232.95447810825792</v>
      </c>
      <c r="L194" s="122">
        <f t="shared" si="32"/>
        <v>2521965.1800000002</v>
      </c>
      <c r="M194" s="116">
        <f t="shared" si="33"/>
        <v>1260982.5900000001</v>
      </c>
      <c r="N194" s="123">
        <f t="shared" si="34"/>
        <v>232.95447810825792</v>
      </c>
      <c r="O194" s="5"/>
      <c r="P194" s="5">
        <f t="shared" si="35"/>
        <v>1</v>
      </c>
      <c r="Q194" s="7">
        <f t="shared" si="36"/>
        <v>5413</v>
      </c>
      <c r="W194" s="124">
        <f t="shared" si="37"/>
        <v>1260982.5900000001</v>
      </c>
      <c r="X194">
        <f t="shared" si="38"/>
        <v>0</v>
      </c>
    </row>
    <row r="195" spans="1:24">
      <c r="A195" s="23" t="s">
        <v>225</v>
      </c>
      <c r="B195" s="35" t="s">
        <v>224</v>
      </c>
      <c r="C195" s="125">
        <v>1928</v>
      </c>
      <c r="D195" s="132">
        <v>276966905</v>
      </c>
      <c r="E195" s="116">
        <f t="shared" si="42"/>
        <v>143655.03371369294</v>
      </c>
      <c r="F195" s="134">
        <v>185011910</v>
      </c>
      <c r="G195" s="117">
        <f t="shared" si="43"/>
        <v>95960.534232365142</v>
      </c>
      <c r="H195" s="7"/>
      <c r="I195" s="136">
        <v>6.5</v>
      </c>
      <c r="J195" s="134">
        <v>1202577.415</v>
      </c>
      <c r="K195" s="120">
        <f t="shared" si="44"/>
        <v>623.74347251037341</v>
      </c>
      <c r="L195" s="122">
        <f t="shared" si="32"/>
        <v>1850119.1</v>
      </c>
      <c r="M195" s="116">
        <f t="shared" si="33"/>
        <v>647541.68500000006</v>
      </c>
      <c r="N195" s="123">
        <f t="shared" si="34"/>
        <v>335.86186981327802</v>
      </c>
      <c r="O195" s="5"/>
      <c r="P195" s="5">
        <f t="shared" si="35"/>
        <v>1</v>
      </c>
      <c r="Q195" s="7">
        <f t="shared" si="36"/>
        <v>1928</v>
      </c>
      <c r="W195" s="124">
        <f t="shared" si="37"/>
        <v>1202577.415</v>
      </c>
      <c r="X195">
        <f t="shared" si="38"/>
        <v>0</v>
      </c>
    </row>
    <row r="196" spans="1:24">
      <c r="A196" s="23" t="s">
        <v>226</v>
      </c>
      <c r="B196" s="35" t="s">
        <v>224</v>
      </c>
      <c r="C196" s="125">
        <v>463</v>
      </c>
      <c r="D196" s="132">
        <v>37557199</v>
      </c>
      <c r="E196" s="116">
        <f t="shared" si="42"/>
        <v>81117.060475161983</v>
      </c>
      <c r="F196" s="134">
        <v>20895270</v>
      </c>
      <c r="G196" s="117">
        <f t="shared" si="43"/>
        <v>45130.172786177107</v>
      </c>
      <c r="H196" s="7"/>
      <c r="I196" s="136">
        <v>2.1107</v>
      </c>
      <c r="J196" s="134">
        <v>44103.646389000001</v>
      </c>
      <c r="K196" s="120">
        <f t="shared" si="44"/>
        <v>95.25625569978402</v>
      </c>
      <c r="L196" s="122">
        <f t="shared" si="32"/>
        <v>208952.7</v>
      </c>
      <c r="M196" s="116">
        <f t="shared" si="33"/>
        <v>164849.05361100001</v>
      </c>
      <c r="N196" s="123">
        <f t="shared" si="34"/>
        <v>356.04547216198705</v>
      </c>
      <c r="O196" s="5"/>
      <c r="P196" s="5">
        <f t="shared" si="35"/>
        <v>1</v>
      </c>
      <c r="Q196" s="7">
        <f t="shared" si="36"/>
        <v>463</v>
      </c>
      <c r="W196" s="124">
        <f t="shared" si="37"/>
        <v>44103.646389000001</v>
      </c>
      <c r="X196">
        <f t="shared" si="38"/>
        <v>0</v>
      </c>
    </row>
    <row r="197" spans="1:24">
      <c r="A197" s="23" t="s">
        <v>227</v>
      </c>
      <c r="B197" s="35" t="s">
        <v>224</v>
      </c>
      <c r="C197" s="125">
        <v>63591</v>
      </c>
      <c r="D197" s="132">
        <v>7362162759</v>
      </c>
      <c r="E197" s="116">
        <f t="shared" si="42"/>
        <v>115773.65914987971</v>
      </c>
      <c r="F197" s="134">
        <v>5300615687</v>
      </c>
      <c r="G197" s="117">
        <f t="shared" si="43"/>
        <v>83354.809438442549</v>
      </c>
      <c r="H197" s="9"/>
      <c r="I197" s="136">
        <v>6.6177000000000001</v>
      </c>
      <c r="J197" s="134">
        <v>35077884.431859903</v>
      </c>
      <c r="K197" s="120">
        <f t="shared" si="44"/>
        <v>551.61712242078124</v>
      </c>
      <c r="L197" s="122">
        <f t="shared" ref="L197:L260" si="45">(F197*0.01)</f>
        <v>53006156.870000005</v>
      </c>
      <c r="M197" s="116">
        <f t="shared" ref="M197:M260" si="46">(L197-J197)</f>
        <v>17928272.438140102</v>
      </c>
      <c r="N197" s="123">
        <f t="shared" ref="N197:N260" si="47">(M197/C197)</f>
        <v>281.93097196364425</v>
      </c>
      <c r="O197" s="5"/>
      <c r="P197" s="5">
        <f t="shared" si="35"/>
        <v>1</v>
      </c>
      <c r="Q197" s="7">
        <f t="shared" si="36"/>
        <v>63591</v>
      </c>
      <c r="W197" s="124">
        <f t="shared" si="37"/>
        <v>35077884.431859896</v>
      </c>
      <c r="X197">
        <f t="shared" si="38"/>
        <v>0</v>
      </c>
    </row>
    <row r="198" spans="1:24">
      <c r="A198" s="23" t="s">
        <v>228</v>
      </c>
      <c r="B198" s="35" t="s">
        <v>224</v>
      </c>
      <c r="C198" s="125">
        <v>449</v>
      </c>
      <c r="D198" s="147" t="s">
        <v>564</v>
      </c>
      <c r="E198" s="116"/>
      <c r="F198" s="134"/>
      <c r="G198" s="117"/>
      <c r="H198" s="98" t="s">
        <v>588</v>
      </c>
      <c r="I198" s="136"/>
      <c r="J198" s="134"/>
      <c r="K198" s="120"/>
      <c r="L198" s="122">
        <f t="shared" si="45"/>
        <v>0</v>
      </c>
      <c r="M198" s="116">
        <f t="shared" si="46"/>
        <v>0</v>
      </c>
      <c r="N198" s="123">
        <f t="shared" si="47"/>
        <v>0</v>
      </c>
      <c r="O198" s="5"/>
      <c r="P198" s="5">
        <f t="shared" ref="P198:P261" si="48">IF(I198&gt;0,1,0)</f>
        <v>0</v>
      </c>
      <c r="Q198" s="7">
        <f t="shared" ref="Q198:Q261" si="49">IF(I198&gt;0,C198,0)</f>
        <v>0</v>
      </c>
      <c r="S198" s="124">
        <f>SUM(D194:D198)</f>
        <v>8045491623</v>
      </c>
      <c r="T198" s="124">
        <f>SUM(F194:F198)</f>
        <v>5758719385</v>
      </c>
      <c r="U198" s="124">
        <f>SUM(J194:J198)</f>
        <v>37585548.083248906</v>
      </c>
      <c r="W198" s="124">
        <f t="shared" ref="W198:W261" si="50">F198*(I198/1000)</f>
        <v>0</v>
      </c>
      <c r="X198">
        <f t="shared" ref="X198:X261" si="51">IF(W198=J198,0,1)</f>
        <v>0</v>
      </c>
    </row>
    <row r="199" spans="1:24">
      <c r="A199" s="23" t="s">
        <v>616</v>
      </c>
      <c r="B199" s="35" t="s">
        <v>230</v>
      </c>
      <c r="C199" s="125">
        <v>6560</v>
      </c>
      <c r="D199" s="132">
        <v>2306351922</v>
      </c>
      <c r="E199" s="116">
        <f t="shared" ref="E199:E262" si="52">(D199/C199)</f>
        <v>351578.03689024388</v>
      </c>
      <c r="F199" s="134">
        <v>2085288691</v>
      </c>
      <c r="G199" s="117">
        <f t="shared" ref="G199:G262" si="53">(F199/C199)</f>
        <v>317879.37362804881</v>
      </c>
      <c r="H199" s="9"/>
      <c r="I199" s="136">
        <v>1.6304000000000001</v>
      </c>
      <c r="J199" s="134">
        <v>3399854.6818064004</v>
      </c>
      <c r="K199" s="120">
        <f t="shared" ref="K199:K262" si="54">(J199/C199)</f>
        <v>518.27053076317077</v>
      </c>
      <c r="L199" s="122">
        <f t="shared" si="45"/>
        <v>20852886.91</v>
      </c>
      <c r="M199" s="116">
        <f t="shared" si="46"/>
        <v>17453032.2281936</v>
      </c>
      <c r="N199" s="123">
        <f t="shared" si="47"/>
        <v>2660.5232055173169</v>
      </c>
      <c r="O199" s="5"/>
      <c r="P199" s="5">
        <f t="shared" si="48"/>
        <v>1</v>
      </c>
      <c r="Q199" s="7">
        <f t="shared" si="49"/>
        <v>6560</v>
      </c>
      <c r="W199" s="124">
        <f t="shared" si="50"/>
        <v>3399854.6818064004</v>
      </c>
      <c r="X199">
        <f t="shared" si="51"/>
        <v>0</v>
      </c>
    </row>
    <row r="200" spans="1:24">
      <c r="A200" s="24" t="s">
        <v>229</v>
      </c>
      <c r="B200" s="35" t="s">
        <v>230</v>
      </c>
      <c r="C200" s="125">
        <v>804</v>
      </c>
      <c r="D200" s="132">
        <v>2978980513</v>
      </c>
      <c r="E200" s="116">
        <f t="shared" si="52"/>
        <v>3705199.643034826</v>
      </c>
      <c r="F200" s="134">
        <v>2593015659</v>
      </c>
      <c r="G200" s="117">
        <f t="shared" si="53"/>
        <v>3225143.8544776118</v>
      </c>
      <c r="H200" s="9"/>
      <c r="I200" s="150">
        <v>2.5644</v>
      </c>
      <c r="J200" s="134">
        <v>6649529.3559395997</v>
      </c>
      <c r="K200" s="120">
        <f t="shared" si="54"/>
        <v>8270.5589004223875</v>
      </c>
      <c r="L200" s="122">
        <f t="shared" si="45"/>
        <v>25930156.59</v>
      </c>
      <c r="M200" s="116">
        <f t="shared" si="46"/>
        <v>19280627.234060399</v>
      </c>
      <c r="N200" s="123">
        <f t="shared" si="47"/>
        <v>23980.879644353732</v>
      </c>
      <c r="O200" s="5"/>
      <c r="P200" s="5">
        <f t="shared" si="48"/>
        <v>1</v>
      </c>
      <c r="Q200" s="7">
        <f t="shared" si="49"/>
        <v>804</v>
      </c>
      <c r="W200" s="124">
        <f t="shared" si="50"/>
        <v>6649529.3559396006</v>
      </c>
      <c r="X200">
        <f t="shared" si="51"/>
        <v>0</v>
      </c>
    </row>
    <row r="201" spans="1:24">
      <c r="A201" s="23" t="s">
        <v>582</v>
      </c>
      <c r="B201" s="35" t="s">
        <v>230</v>
      </c>
      <c r="C201" s="125">
        <v>301</v>
      </c>
      <c r="D201" s="132">
        <v>43836566</v>
      </c>
      <c r="E201" s="116">
        <f t="shared" si="52"/>
        <v>145636.4318936877</v>
      </c>
      <c r="F201" s="134">
        <v>43566003</v>
      </c>
      <c r="G201" s="117">
        <f t="shared" si="53"/>
        <v>144737.55149501661</v>
      </c>
      <c r="H201" s="9"/>
      <c r="I201" s="136">
        <v>3.08</v>
      </c>
      <c r="J201" s="134">
        <v>134183.28924000001</v>
      </c>
      <c r="K201" s="120">
        <f t="shared" si="54"/>
        <v>445.79165860465122</v>
      </c>
      <c r="L201" s="122">
        <f t="shared" si="45"/>
        <v>435660.03</v>
      </c>
      <c r="M201" s="116">
        <f t="shared" si="46"/>
        <v>301476.74076000002</v>
      </c>
      <c r="N201" s="123">
        <f t="shared" si="47"/>
        <v>1001.583856345515</v>
      </c>
      <c r="O201" s="5"/>
      <c r="P201" s="5">
        <f t="shared" si="48"/>
        <v>1</v>
      </c>
      <c r="Q201" s="7">
        <f t="shared" si="49"/>
        <v>301</v>
      </c>
      <c r="W201" s="124">
        <f t="shared" si="50"/>
        <v>134183.28924000001</v>
      </c>
      <c r="X201">
        <f t="shared" si="51"/>
        <v>0</v>
      </c>
    </row>
    <row r="202" spans="1:24">
      <c r="A202" s="24" t="s">
        <v>446</v>
      </c>
      <c r="B202" s="37" t="s">
        <v>230</v>
      </c>
      <c r="C202" s="125">
        <v>1991</v>
      </c>
      <c r="D202" s="132">
        <v>865737994</v>
      </c>
      <c r="E202" s="116">
        <f t="shared" si="52"/>
        <v>434825.71270718233</v>
      </c>
      <c r="F202" s="134">
        <v>715988924</v>
      </c>
      <c r="G202" s="117">
        <f t="shared" si="53"/>
        <v>359612.71923656453</v>
      </c>
      <c r="H202" s="9"/>
      <c r="I202" s="136">
        <v>2.87</v>
      </c>
      <c r="J202" s="134">
        <v>2054888.2118800001</v>
      </c>
      <c r="K202" s="120">
        <f t="shared" si="54"/>
        <v>1032.0885042089403</v>
      </c>
      <c r="L202" s="122">
        <f t="shared" si="45"/>
        <v>7159889.2400000002</v>
      </c>
      <c r="M202" s="116">
        <f t="shared" si="46"/>
        <v>5105001.0281199999</v>
      </c>
      <c r="N202" s="123">
        <f t="shared" si="47"/>
        <v>2564.0386881567051</v>
      </c>
      <c r="O202" s="5"/>
      <c r="P202" s="5">
        <f t="shared" si="48"/>
        <v>1</v>
      </c>
      <c r="Q202" s="7">
        <f t="shared" si="49"/>
        <v>1991</v>
      </c>
      <c r="S202" s="124"/>
      <c r="T202" s="124"/>
      <c r="U202" s="124"/>
      <c r="W202" s="124">
        <f t="shared" si="50"/>
        <v>2054888.2118800001</v>
      </c>
      <c r="X202">
        <f t="shared" si="51"/>
        <v>0</v>
      </c>
    </row>
    <row r="203" spans="1:24">
      <c r="A203" s="23" t="s">
        <v>231</v>
      </c>
      <c r="B203" s="37" t="s">
        <v>230</v>
      </c>
      <c r="C203" s="125">
        <v>17425</v>
      </c>
      <c r="D203" s="132">
        <v>3258387286</v>
      </c>
      <c r="E203" s="116">
        <f t="shared" si="52"/>
        <v>186994.96619799139</v>
      </c>
      <c r="F203" s="134">
        <v>2194437526</v>
      </c>
      <c r="G203" s="117">
        <f t="shared" si="53"/>
        <v>125936.15644189384</v>
      </c>
      <c r="H203" s="9"/>
      <c r="I203" s="150">
        <v>5</v>
      </c>
      <c r="J203" s="134">
        <v>10972187.630000001</v>
      </c>
      <c r="K203" s="120">
        <f t="shared" si="54"/>
        <v>629.68078220946916</v>
      </c>
      <c r="L203" s="122">
        <f t="shared" si="45"/>
        <v>21944375.260000002</v>
      </c>
      <c r="M203" s="116">
        <f t="shared" si="46"/>
        <v>10972187.630000001</v>
      </c>
      <c r="N203" s="123">
        <f t="shared" si="47"/>
        <v>629.68078220946916</v>
      </c>
      <c r="O203" s="5"/>
      <c r="P203" s="5">
        <f t="shared" si="48"/>
        <v>1</v>
      </c>
      <c r="Q203" s="7">
        <f t="shared" si="49"/>
        <v>17425</v>
      </c>
      <c r="S203" s="124">
        <f>SUM(D199:D203)</f>
        <v>9453294281</v>
      </c>
      <c r="T203" s="124">
        <f>SUM(F199:F203)</f>
        <v>7632296803</v>
      </c>
      <c r="U203" s="124">
        <f>SUM(J199:J203)</f>
        <v>23210643.168866001</v>
      </c>
      <c r="W203" s="124">
        <f t="shared" si="50"/>
        <v>10972187.630000001</v>
      </c>
      <c r="X203">
        <f t="shared" si="51"/>
        <v>0</v>
      </c>
    </row>
    <row r="204" spans="1:24">
      <c r="A204" s="23" t="s">
        <v>232</v>
      </c>
      <c r="B204" s="37" t="s">
        <v>233</v>
      </c>
      <c r="C204" s="125">
        <v>40242</v>
      </c>
      <c r="D204" s="132">
        <v>11610970659</v>
      </c>
      <c r="E204" s="116">
        <f t="shared" si="52"/>
        <v>288528.66803339793</v>
      </c>
      <c r="F204" s="134">
        <v>10383081593</v>
      </c>
      <c r="G204" s="117">
        <f t="shared" si="53"/>
        <v>258016.04276626412</v>
      </c>
      <c r="H204" s="9"/>
      <c r="I204" s="136">
        <v>1.7261</v>
      </c>
      <c r="J204" s="134">
        <v>17922237.137677301</v>
      </c>
      <c r="K204" s="120">
        <f t="shared" si="54"/>
        <v>445.36149141884846</v>
      </c>
      <c r="L204" s="122">
        <f t="shared" si="45"/>
        <v>103830815.93000001</v>
      </c>
      <c r="M204" s="116">
        <f t="shared" si="46"/>
        <v>85908578.79232271</v>
      </c>
      <c r="N204" s="123">
        <f t="shared" si="47"/>
        <v>2134.7989362437929</v>
      </c>
      <c r="O204" s="5"/>
      <c r="P204" s="5">
        <f t="shared" si="48"/>
        <v>1</v>
      </c>
      <c r="Q204" s="7">
        <f t="shared" si="49"/>
        <v>40242</v>
      </c>
      <c r="W204" s="124">
        <f t="shared" si="50"/>
        <v>17922237.137677301</v>
      </c>
      <c r="X204">
        <f t="shared" si="51"/>
        <v>0</v>
      </c>
    </row>
    <row r="205" spans="1:24">
      <c r="A205" s="23" t="s">
        <v>234</v>
      </c>
      <c r="B205" s="37" t="s">
        <v>233</v>
      </c>
      <c r="C205" s="125">
        <v>3093</v>
      </c>
      <c r="D205" s="132">
        <v>5548756563</v>
      </c>
      <c r="E205" s="116">
        <f t="shared" si="52"/>
        <v>1793972.3773035887</v>
      </c>
      <c r="F205" s="134">
        <v>5140872078</v>
      </c>
      <c r="G205" s="117">
        <f t="shared" si="53"/>
        <v>1662098.9582929194</v>
      </c>
      <c r="H205" s="9"/>
      <c r="I205" s="136">
        <v>1.9654</v>
      </c>
      <c r="J205" s="134">
        <v>10103869.9821012</v>
      </c>
      <c r="K205" s="120">
        <f t="shared" si="54"/>
        <v>3266.6892926289042</v>
      </c>
      <c r="L205" s="122">
        <f t="shared" si="45"/>
        <v>51408720.780000001</v>
      </c>
      <c r="M205" s="116">
        <f t="shared" si="46"/>
        <v>41304850.797898799</v>
      </c>
      <c r="N205" s="123">
        <f t="shared" si="47"/>
        <v>13354.300290300291</v>
      </c>
      <c r="O205" s="5"/>
      <c r="P205" s="5">
        <f t="shared" si="48"/>
        <v>1</v>
      </c>
      <c r="Q205" s="7">
        <f t="shared" si="49"/>
        <v>3093</v>
      </c>
      <c r="W205" s="124">
        <f t="shared" si="50"/>
        <v>10103869.9821012</v>
      </c>
      <c r="X205">
        <f t="shared" si="51"/>
        <v>0</v>
      </c>
    </row>
    <row r="206" spans="1:24">
      <c r="A206" s="23" t="s">
        <v>235</v>
      </c>
      <c r="B206" s="37" t="s">
        <v>233</v>
      </c>
      <c r="C206" s="125">
        <v>5922</v>
      </c>
      <c r="D206" s="132">
        <v>1864583032</v>
      </c>
      <c r="E206" s="116">
        <f t="shared" si="52"/>
        <v>314856.97939885175</v>
      </c>
      <c r="F206" s="134">
        <v>1349504175</v>
      </c>
      <c r="G206" s="117">
        <f t="shared" si="53"/>
        <v>227879.79989868289</v>
      </c>
      <c r="H206" s="9"/>
      <c r="I206" s="136">
        <v>3.6244999999999998</v>
      </c>
      <c r="J206" s="134">
        <v>4891277.8822874995</v>
      </c>
      <c r="K206" s="120">
        <f t="shared" si="54"/>
        <v>825.95033473277601</v>
      </c>
      <c r="L206" s="122">
        <f t="shared" si="45"/>
        <v>13495041.75</v>
      </c>
      <c r="M206" s="116">
        <f t="shared" si="46"/>
        <v>8603763.8677125014</v>
      </c>
      <c r="N206" s="123">
        <f t="shared" si="47"/>
        <v>1452.8476642540529</v>
      </c>
      <c r="O206" s="5"/>
      <c r="P206" s="5">
        <f t="shared" si="48"/>
        <v>1</v>
      </c>
      <c r="Q206" s="7">
        <f t="shared" si="49"/>
        <v>5922</v>
      </c>
      <c r="W206" s="124">
        <f t="shared" si="50"/>
        <v>4891277.8822874995</v>
      </c>
      <c r="X206">
        <f t="shared" si="51"/>
        <v>0</v>
      </c>
    </row>
    <row r="207" spans="1:24">
      <c r="A207" s="23" t="s">
        <v>236</v>
      </c>
      <c r="B207" s="37" t="s">
        <v>233</v>
      </c>
      <c r="C207" s="125">
        <v>3117</v>
      </c>
      <c r="D207" s="132">
        <v>421359923</v>
      </c>
      <c r="E207" s="116">
        <f t="shared" si="52"/>
        <v>135181.23933269168</v>
      </c>
      <c r="F207" s="134">
        <v>248442649</v>
      </c>
      <c r="G207" s="117">
        <f t="shared" si="53"/>
        <v>79705.694257298688</v>
      </c>
      <c r="H207" s="9"/>
      <c r="I207" s="136">
        <v>9.6999999999999993</v>
      </c>
      <c r="J207" s="134">
        <v>2409893.6952999998</v>
      </c>
      <c r="K207" s="120">
        <f t="shared" si="54"/>
        <v>773.1452342957972</v>
      </c>
      <c r="L207" s="122">
        <f t="shared" si="45"/>
        <v>2484426.4900000002</v>
      </c>
      <c r="M207" s="116">
        <f t="shared" si="46"/>
        <v>74532.794700000435</v>
      </c>
      <c r="N207" s="123">
        <f t="shared" si="47"/>
        <v>23.911708277189746</v>
      </c>
      <c r="O207" s="5"/>
      <c r="P207" s="5">
        <f t="shared" si="48"/>
        <v>1</v>
      </c>
      <c r="Q207" s="7">
        <f t="shared" si="49"/>
        <v>3117</v>
      </c>
      <c r="W207" s="124">
        <f t="shared" si="50"/>
        <v>2409893.6952999998</v>
      </c>
      <c r="X207">
        <f t="shared" si="51"/>
        <v>0</v>
      </c>
    </row>
    <row r="208" spans="1:24">
      <c r="A208" s="23" t="s">
        <v>237</v>
      </c>
      <c r="B208" s="37" t="s">
        <v>233</v>
      </c>
      <c r="C208" s="125">
        <v>49248</v>
      </c>
      <c r="D208" s="132">
        <v>23023569562</v>
      </c>
      <c r="E208" s="116">
        <f t="shared" si="52"/>
        <v>467502.63080734242</v>
      </c>
      <c r="F208" s="134">
        <v>17231851942</v>
      </c>
      <c r="G208" s="117">
        <f t="shared" si="53"/>
        <v>349899.52773716697</v>
      </c>
      <c r="H208" s="9"/>
      <c r="I208" s="136">
        <v>5.5590000000000002</v>
      </c>
      <c r="J208" s="134">
        <v>95791864.945578009</v>
      </c>
      <c r="K208" s="120">
        <f t="shared" si="54"/>
        <v>1945.0914746909116</v>
      </c>
      <c r="L208" s="122">
        <f t="shared" si="45"/>
        <v>172318519.42000002</v>
      </c>
      <c r="M208" s="116">
        <f t="shared" si="46"/>
        <v>76526654.474422008</v>
      </c>
      <c r="N208" s="123">
        <f t="shared" si="47"/>
        <v>1553.9038026807589</v>
      </c>
      <c r="O208" s="5"/>
      <c r="P208" s="5">
        <f t="shared" si="48"/>
        <v>1</v>
      </c>
      <c r="Q208" s="7">
        <f t="shared" si="49"/>
        <v>49248</v>
      </c>
      <c r="W208" s="124">
        <f t="shared" si="50"/>
        <v>95791864.945578009</v>
      </c>
      <c r="X208">
        <f t="shared" si="51"/>
        <v>0</v>
      </c>
    </row>
    <row r="209" spans="1:24">
      <c r="A209" s="23" t="s">
        <v>524</v>
      </c>
      <c r="B209" s="37" t="s">
        <v>233</v>
      </c>
      <c r="C209" s="125">
        <v>45425</v>
      </c>
      <c r="D209" s="132">
        <v>4344591599</v>
      </c>
      <c r="E209" s="116">
        <f t="shared" si="52"/>
        <v>95643.183247110617</v>
      </c>
      <c r="F209" s="134">
        <v>2734914828</v>
      </c>
      <c r="G209" s="117">
        <f t="shared" si="53"/>
        <v>60207.260935608145</v>
      </c>
      <c r="H209" s="9"/>
      <c r="I209" s="136">
        <v>2.6198000000000001</v>
      </c>
      <c r="J209" s="134">
        <v>7164929.8663944006</v>
      </c>
      <c r="K209" s="120">
        <f t="shared" si="54"/>
        <v>157.73098219910622</v>
      </c>
      <c r="L209" s="122">
        <f t="shared" si="45"/>
        <v>27349148.280000001</v>
      </c>
      <c r="M209" s="116">
        <f t="shared" si="46"/>
        <v>20184218.413605601</v>
      </c>
      <c r="N209" s="123">
        <f t="shared" si="47"/>
        <v>444.34162715697522</v>
      </c>
      <c r="O209" s="5"/>
      <c r="P209" s="5">
        <f t="shared" si="48"/>
        <v>1</v>
      </c>
      <c r="Q209" s="7">
        <f t="shared" si="49"/>
        <v>45425</v>
      </c>
      <c r="W209" s="124">
        <f t="shared" si="50"/>
        <v>7164929.8663944006</v>
      </c>
      <c r="X209">
        <f t="shared" si="51"/>
        <v>0</v>
      </c>
    </row>
    <row r="210" spans="1:24">
      <c r="A210" s="23" t="s">
        <v>501</v>
      </c>
      <c r="B210" s="37" t="s">
        <v>233</v>
      </c>
      <c r="C210" s="125">
        <v>75874</v>
      </c>
      <c r="D210" s="132">
        <v>16357635624</v>
      </c>
      <c r="E210" s="116">
        <f t="shared" si="52"/>
        <v>215589.47233571447</v>
      </c>
      <c r="F210" s="134">
        <v>14044235515</v>
      </c>
      <c r="G210" s="117">
        <f t="shared" si="53"/>
        <v>185099.44796636529</v>
      </c>
      <c r="H210" s="9"/>
      <c r="I210" s="136">
        <v>1.9</v>
      </c>
      <c r="J210" s="134">
        <v>26684047.478500001</v>
      </c>
      <c r="K210" s="120">
        <f t="shared" si="54"/>
        <v>351.68895113609409</v>
      </c>
      <c r="L210" s="122">
        <f t="shared" si="45"/>
        <v>140442355.15000001</v>
      </c>
      <c r="M210" s="116">
        <f t="shared" si="46"/>
        <v>113758307.6715</v>
      </c>
      <c r="N210" s="123">
        <f t="shared" si="47"/>
        <v>1499.3055285275589</v>
      </c>
      <c r="O210" s="5"/>
      <c r="P210" s="5">
        <f t="shared" si="48"/>
        <v>1</v>
      </c>
      <c r="Q210" s="7">
        <f t="shared" si="49"/>
        <v>75874</v>
      </c>
      <c r="W210" s="124">
        <f t="shared" si="50"/>
        <v>26684047.478500001</v>
      </c>
      <c r="X210">
        <f t="shared" si="51"/>
        <v>0</v>
      </c>
    </row>
    <row r="211" spans="1:24">
      <c r="A211" s="23" t="s">
        <v>238</v>
      </c>
      <c r="B211" s="37" t="s">
        <v>233</v>
      </c>
      <c r="C211" s="125">
        <v>1986</v>
      </c>
      <c r="D211" s="132">
        <v>317207493</v>
      </c>
      <c r="E211" s="116">
        <f t="shared" si="52"/>
        <v>159721.7990936556</v>
      </c>
      <c r="F211" s="134">
        <v>179283744</v>
      </c>
      <c r="G211" s="117">
        <f t="shared" si="53"/>
        <v>90273.788519637455</v>
      </c>
      <c r="H211" s="9"/>
      <c r="I211" s="136">
        <v>8.3000000000000007</v>
      </c>
      <c r="J211" s="134">
        <v>1488055.0752000001</v>
      </c>
      <c r="K211" s="120">
        <f t="shared" si="54"/>
        <v>749.27244471299093</v>
      </c>
      <c r="L211" s="122">
        <f t="shared" si="45"/>
        <v>1792837.44</v>
      </c>
      <c r="M211" s="116">
        <f t="shared" si="46"/>
        <v>304782.36479999986</v>
      </c>
      <c r="N211" s="123">
        <f t="shared" si="47"/>
        <v>153.46544048338362</v>
      </c>
      <c r="O211" s="5"/>
      <c r="P211" s="5">
        <f t="shared" si="48"/>
        <v>1</v>
      </c>
      <c r="Q211" s="7">
        <f t="shared" si="49"/>
        <v>1986</v>
      </c>
      <c r="W211" s="124">
        <f t="shared" si="50"/>
        <v>1488055.0752000001</v>
      </c>
      <c r="X211">
        <f t="shared" si="51"/>
        <v>0</v>
      </c>
    </row>
    <row r="212" spans="1:24">
      <c r="A212" s="23" t="s">
        <v>239</v>
      </c>
      <c r="B212" s="37" t="s">
        <v>233</v>
      </c>
      <c r="C212" s="125">
        <v>13085</v>
      </c>
      <c r="D212" s="132">
        <v>963957694</v>
      </c>
      <c r="E212" s="116">
        <f t="shared" si="52"/>
        <v>73668.910508215515</v>
      </c>
      <c r="F212" s="134">
        <v>611881911</v>
      </c>
      <c r="G212" s="117">
        <f t="shared" si="53"/>
        <v>46762.087199082918</v>
      </c>
      <c r="H212" s="9"/>
      <c r="I212" s="136">
        <v>7.2946</v>
      </c>
      <c r="J212" s="134">
        <v>4463433.7879806003</v>
      </c>
      <c r="K212" s="120">
        <f t="shared" si="54"/>
        <v>341.11072128243029</v>
      </c>
      <c r="L212" s="122">
        <f t="shared" si="45"/>
        <v>6118819.1100000003</v>
      </c>
      <c r="M212" s="116">
        <f t="shared" si="46"/>
        <v>1655385.3220194001</v>
      </c>
      <c r="N212" s="123">
        <f t="shared" si="47"/>
        <v>126.51015070839894</v>
      </c>
      <c r="O212" s="5"/>
      <c r="P212" s="5">
        <f t="shared" si="48"/>
        <v>1</v>
      </c>
      <c r="Q212" s="7">
        <f t="shared" si="49"/>
        <v>13085</v>
      </c>
      <c r="W212" s="124">
        <f t="shared" si="50"/>
        <v>4463433.7879806003</v>
      </c>
      <c r="X212">
        <f t="shared" si="51"/>
        <v>0</v>
      </c>
    </row>
    <row r="213" spans="1:24">
      <c r="A213" s="23" t="s">
        <v>240</v>
      </c>
      <c r="B213" s="37" t="s">
        <v>233</v>
      </c>
      <c r="C213" s="125">
        <v>961</v>
      </c>
      <c r="D213" s="132">
        <v>1555162200</v>
      </c>
      <c r="E213" s="116">
        <f t="shared" si="52"/>
        <v>1618274.9219562956</v>
      </c>
      <c r="F213" s="134">
        <v>1171218436</v>
      </c>
      <c r="G213" s="117">
        <f t="shared" si="53"/>
        <v>1218749.673257024</v>
      </c>
      <c r="H213" s="9"/>
      <c r="I213" s="136">
        <v>7.7720000000000002</v>
      </c>
      <c r="J213" s="134">
        <v>9102709.6845920011</v>
      </c>
      <c r="K213" s="120">
        <f t="shared" si="54"/>
        <v>9472.1224605535917</v>
      </c>
      <c r="L213" s="122">
        <f t="shared" si="45"/>
        <v>11712184.359999999</v>
      </c>
      <c r="M213" s="116">
        <f t="shared" si="46"/>
        <v>2609474.6754079983</v>
      </c>
      <c r="N213" s="123">
        <f t="shared" si="47"/>
        <v>2715.3742720166474</v>
      </c>
      <c r="O213" s="5"/>
      <c r="P213" s="5">
        <f t="shared" si="48"/>
        <v>1</v>
      </c>
      <c r="Q213" s="7">
        <f t="shared" si="49"/>
        <v>961</v>
      </c>
      <c r="W213" s="124">
        <f t="shared" si="50"/>
        <v>9102709.6845920011</v>
      </c>
      <c r="X213">
        <f t="shared" si="51"/>
        <v>0</v>
      </c>
    </row>
    <row r="214" spans="1:24">
      <c r="A214" s="23" t="s">
        <v>241</v>
      </c>
      <c r="B214" s="37" t="s">
        <v>233</v>
      </c>
      <c r="C214" s="125">
        <v>223109</v>
      </c>
      <c r="D214" s="132">
        <v>19461100506</v>
      </c>
      <c r="E214" s="116">
        <f t="shared" si="52"/>
        <v>87226.873438543495</v>
      </c>
      <c r="F214" s="134">
        <v>12324033358</v>
      </c>
      <c r="G214" s="117">
        <f t="shared" si="53"/>
        <v>55237.723973483815</v>
      </c>
      <c r="H214" s="9"/>
      <c r="I214" s="136">
        <v>6.3018000000000001</v>
      </c>
      <c r="J214" s="134">
        <v>77663593.415444404</v>
      </c>
      <c r="K214" s="120">
        <f t="shared" si="54"/>
        <v>348.09708893610031</v>
      </c>
      <c r="L214" s="122">
        <f t="shared" si="45"/>
        <v>123240333.58</v>
      </c>
      <c r="M214" s="116">
        <f t="shared" si="46"/>
        <v>45576740.164555594</v>
      </c>
      <c r="N214" s="123">
        <f t="shared" si="47"/>
        <v>204.28015079873782</v>
      </c>
      <c r="O214" s="5"/>
      <c r="P214" s="5">
        <f t="shared" si="48"/>
        <v>1</v>
      </c>
      <c r="Q214" s="7">
        <f t="shared" si="49"/>
        <v>223109</v>
      </c>
      <c r="W214" s="124">
        <f t="shared" si="50"/>
        <v>77663593.415444404</v>
      </c>
      <c r="X214">
        <f t="shared" si="51"/>
        <v>0</v>
      </c>
    </row>
    <row r="215" spans="1:24">
      <c r="A215" s="23" t="s">
        <v>242</v>
      </c>
      <c r="B215" s="37" t="s">
        <v>233</v>
      </c>
      <c r="C215" s="125">
        <v>23068</v>
      </c>
      <c r="D215" s="132">
        <v>2435013193</v>
      </c>
      <c r="E215" s="116">
        <f t="shared" si="52"/>
        <v>105558.05414426912</v>
      </c>
      <c r="F215" s="134">
        <v>1473276929</v>
      </c>
      <c r="G215" s="117">
        <f t="shared" si="53"/>
        <v>63866.695378879835</v>
      </c>
      <c r="H215" s="9"/>
      <c r="I215" s="136">
        <v>5.1612999999999998</v>
      </c>
      <c r="J215" s="134">
        <v>7604024.213647699</v>
      </c>
      <c r="K215" s="120">
        <f t="shared" si="54"/>
        <v>329.63517485901247</v>
      </c>
      <c r="L215" s="122">
        <f t="shared" si="45"/>
        <v>14732769.290000001</v>
      </c>
      <c r="M215" s="116">
        <f t="shared" si="46"/>
        <v>7128745.076352302</v>
      </c>
      <c r="N215" s="123">
        <f t="shared" si="47"/>
        <v>309.03177892978596</v>
      </c>
      <c r="O215" s="5"/>
      <c r="P215" s="5">
        <f t="shared" si="48"/>
        <v>1</v>
      </c>
      <c r="Q215" s="7">
        <f t="shared" si="49"/>
        <v>23068</v>
      </c>
      <c r="W215" s="124">
        <f t="shared" si="50"/>
        <v>7604024.2136476999</v>
      </c>
      <c r="X215">
        <f t="shared" si="51"/>
        <v>0</v>
      </c>
    </row>
    <row r="216" spans="1:24">
      <c r="A216" s="23" t="s">
        <v>243</v>
      </c>
      <c r="B216" s="37" t="s">
        <v>233</v>
      </c>
      <c r="C216" s="125">
        <v>80737</v>
      </c>
      <c r="D216" s="132">
        <v>5310139936</v>
      </c>
      <c r="E216" s="116">
        <f t="shared" si="52"/>
        <v>65770.835379070311</v>
      </c>
      <c r="F216" s="134">
        <v>3452082411</v>
      </c>
      <c r="G216" s="117">
        <f t="shared" si="53"/>
        <v>42757.130076668691</v>
      </c>
      <c r="H216" s="9"/>
      <c r="I216" s="136">
        <v>6.2054999999999998</v>
      </c>
      <c r="J216" s="134">
        <v>21421897.401460499</v>
      </c>
      <c r="K216" s="120">
        <f t="shared" si="54"/>
        <v>265.32937069076752</v>
      </c>
      <c r="L216" s="122">
        <f t="shared" si="45"/>
        <v>34520824.109999999</v>
      </c>
      <c r="M216" s="116">
        <f t="shared" si="46"/>
        <v>13098926.708539501</v>
      </c>
      <c r="N216" s="123">
        <f t="shared" si="47"/>
        <v>162.24193007591936</v>
      </c>
      <c r="O216" s="5"/>
      <c r="P216" s="5">
        <f t="shared" si="48"/>
        <v>1</v>
      </c>
      <c r="Q216" s="7">
        <f t="shared" si="49"/>
        <v>80737</v>
      </c>
      <c r="W216" s="124">
        <f t="shared" si="50"/>
        <v>21421897.401460499</v>
      </c>
      <c r="X216">
        <f t="shared" si="51"/>
        <v>0</v>
      </c>
    </row>
    <row r="217" spans="1:24">
      <c r="A217" s="23" t="s">
        <v>244</v>
      </c>
      <c r="B217" s="37" t="s">
        <v>233</v>
      </c>
      <c r="C217" s="125">
        <v>84</v>
      </c>
      <c r="D217" s="132">
        <v>916833008</v>
      </c>
      <c r="E217" s="116">
        <f t="shared" si="52"/>
        <v>10914678.666666666</v>
      </c>
      <c r="F217" s="134">
        <v>676444172</v>
      </c>
      <c r="G217" s="117">
        <f t="shared" si="53"/>
        <v>8052906.8095238097</v>
      </c>
      <c r="H217" s="9"/>
      <c r="I217" s="136">
        <v>6.3</v>
      </c>
      <c r="J217" s="134">
        <v>4261598.2835999997</v>
      </c>
      <c r="K217" s="120">
        <f t="shared" si="54"/>
        <v>50733.312899999997</v>
      </c>
      <c r="L217" s="122">
        <f t="shared" si="45"/>
        <v>6764441.7199999997</v>
      </c>
      <c r="M217" s="116">
        <f t="shared" si="46"/>
        <v>2502843.4364</v>
      </c>
      <c r="N217" s="123">
        <f t="shared" si="47"/>
        <v>29795.755195238096</v>
      </c>
      <c r="O217" s="5"/>
      <c r="P217" s="5">
        <f t="shared" si="48"/>
        <v>1</v>
      </c>
      <c r="Q217" s="7">
        <f t="shared" si="49"/>
        <v>84</v>
      </c>
      <c r="W217" s="124">
        <f t="shared" si="50"/>
        <v>4261598.2835999997</v>
      </c>
      <c r="X217">
        <f t="shared" si="51"/>
        <v>0</v>
      </c>
    </row>
    <row r="218" spans="1:24">
      <c r="A218" s="23" t="s">
        <v>246</v>
      </c>
      <c r="B218" s="37" t="s">
        <v>233</v>
      </c>
      <c r="C218" s="125">
        <v>14809</v>
      </c>
      <c r="D218" s="132">
        <v>9334363582</v>
      </c>
      <c r="E218" s="116">
        <f t="shared" si="52"/>
        <v>630316.9411844149</v>
      </c>
      <c r="F218" s="134">
        <v>8127998275</v>
      </c>
      <c r="G218" s="117">
        <f t="shared" si="53"/>
        <v>548855.30927138904</v>
      </c>
      <c r="H218" s="9"/>
      <c r="I218" s="136">
        <v>3.2021999999999999</v>
      </c>
      <c r="J218" s="134">
        <v>26027476.076204997</v>
      </c>
      <c r="K218" s="120">
        <f t="shared" si="54"/>
        <v>1757.5444713488416</v>
      </c>
      <c r="L218" s="122">
        <f t="shared" si="45"/>
        <v>81279982.75</v>
      </c>
      <c r="M218" s="116">
        <f t="shared" si="46"/>
        <v>55252506.673795</v>
      </c>
      <c r="N218" s="123">
        <f t="shared" si="47"/>
        <v>3731.0086213650484</v>
      </c>
      <c r="O218" s="5"/>
      <c r="P218" s="5">
        <f t="shared" si="48"/>
        <v>1</v>
      </c>
      <c r="Q218" s="7">
        <f t="shared" si="49"/>
        <v>14809</v>
      </c>
      <c r="W218" s="124">
        <f t="shared" si="50"/>
        <v>26027476.076205</v>
      </c>
      <c r="X218">
        <f t="shared" si="51"/>
        <v>0</v>
      </c>
    </row>
    <row r="219" spans="1:24">
      <c r="A219" s="23" t="s">
        <v>247</v>
      </c>
      <c r="B219" s="37" t="s">
        <v>233</v>
      </c>
      <c r="C219" s="125">
        <v>1056</v>
      </c>
      <c r="D219" s="132">
        <v>2992179489</v>
      </c>
      <c r="E219" s="116">
        <f t="shared" si="52"/>
        <v>2833503.3039772729</v>
      </c>
      <c r="F219" s="134">
        <v>2587968530</v>
      </c>
      <c r="G219" s="117">
        <f t="shared" si="53"/>
        <v>2450727.7746212119</v>
      </c>
      <c r="H219" s="9"/>
      <c r="I219" s="136">
        <v>4.8</v>
      </c>
      <c r="J219" s="134">
        <v>12422248.944</v>
      </c>
      <c r="K219" s="120">
        <f t="shared" si="54"/>
        <v>11763.493318181818</v>
      </c>
      <c r="L219" s="122">
        <f t="shared" si="45"/>
        <v>25879685.300000001</v>
      </c>
      <c r="M219" s="116">
        <f t="shared" si="46"/>
        <v>13457436.356000001</v>
      </c>
      <c r="N219" s="123">
        <f t="shared" si="47"/>
        <v>12743.784428030303</v>
      </c>
      <c r="O219" s="5"/>
      <c r="P219" s="5">
        <f t="shared" si="48"/>
        <v>1</v>
      </c>
      <c r="Q219" s="7">
        <f t="shared" si="49"/>
        <v>1056</v>
      </c>
      <c r="W219" s="124">
        <f t="shared" si="50"/>
        <v>12422248.943999998</v>
      </c>
      <c r="X219">
        <f t="shared" si="51"/>
        <v>0</v>
      </c>
    </row>
    <row r="220" spans="1:24">
      <c r="A220" s="23" t="s">
        <v>248</v>
      </c>
      <c r="B220" s="37" t="s">
        <v>233</v>
      </c>
      <c r="C220" s="125">
        <v>442241</v>
      </c>
      <c r="D220" s="132">
        <v>85291881744</v>
      </c>
      <c r="E220" s="116">
        <f t="shared" si="52"/>
        <v>192862.89996630797</v>
      </c>
      <c r="F220" s="134">
        <v>61387595982</v>
      </c>
      <c r="G220" s="117">
        <f t="shared" si="53"/>
        <v>138810.27761333753</v>
      </c>
      <c r="H220" s="9"/>
      <c r="I220" s="136">
        <v>7.6665000000000001</v>
      </c>
      <c r="J220" s="134">
        <v>470628004.596003</v>
      </c>
      <c r="K220" s="120">
        <f t="shared" si="54"/>
        <v>1064.1889933226521</v>
      </c>
      <c r="L220" s="122">
        <f t="shared" si="45"/>
        <v>613875959.82000005</v>
      </c>
      <c r="M220" s="116">
        <f t="shared" si="46"/>
        <v>143247955.22399706</v>
      </c>
      <c r="N220" s="123">
        <f t="shared" si="47"/>
        <v>323.91378281072326</v>
      </c>
      <c r="O220" s="5"/>
      <c r="P220" s="5">
        <f t="shared" si="48"/>
        <v>1</v>
      </c>
      <c r="Q220" s="7">
        <f t="shared" si="49"/>
        <v>442241</v>
      </c>
      <c r="W220" s="124">
        <f t="shared" si="50"/>
        <v>470628004.596003</v>
      </c>
      <c r="X220">
        <f t="shared" si="51"/>
        <v>0</v>
      </c>
    </row>
    <row r="221" spans="1:24">
      <c r="A221" s="23" t="s">
        <v>249</v>
      </c>
      <c r="B221" s="37" t="s">
        <v>233</v>
      </c>
      <c r="C221" s="125">
        <v>82890</v>
      </c>
      <c r="D221" s="132">
        <v>49647991131</v>
      </c>
      <c r="E221" s="116">
        <f t="shared" si="52"/>
        <v>598962.37339847989</v>
      </c>
      <c r="F221" s="134">
        <v>40594151846</v>
      </c>
      <c r="G221" s="117">
        <f t="shared" si="53"/>
        <v>489735.21348775487</v>
      </c>
      <c r="H221" s="9"/>
      <c r="I221" s="136">
        <v>5.7287999999999997</v>
      </c>
      <c r="J221" s="134">
        <v>232555777.09536478</v>
      </c>
      <c r="K221" s="120">
        <f t="shared" si="54"/>
        <v>2805.5950910286497</v>
      </c>
      <c r="L221" s="122">
        <f t="shared" si="45"/>
        <v>405941518.46000004</v>
      </c>
      <c r="M221" s="116">
        <f t="shared" si="46"/>
        <v>173385741.36463526</v>
      </c>
      <c r="N221" s="123">
        <f t="shared" si="47"/>
        <v>2091.7570438488992</v>
      </c>
      <c r="O221" s="5"/>
      <c r="P221" s="5">
        <f t="shared" si="48"/>
        <v>1</v>
      </c>
      <c r="Q221" s="7">
        <f t="shared" si="49"/>
        <v>82890</v>
      </c>
      <c r="W221" s="124">
        <f t="shared" si="50"/>
        <v>232555777.09536481</v>
      </c>
      <c r="X221">
        <f t="shared" si="51"/>
        <v>0</v>
      </c>
    </row>
    <row r="222" spans="1:24">
      <c r="A222" s="23" t="s">
        <v>500</v>
      </c>
      <c r="B222" s="37" t="s">
        <v>233</v>
      </c>
      <c r="C222" s="125">
        <v>111640</v>
      </c>
      <c r="D222" s="132">
        <v>9026721056</v>
      </c>
      <c r="E222" s="116">
        <f t="shared" si="52"/>
        <v>80855.616768183449</v>
      </c>
      <c r="F222" s="134">
        <v>5213085119</v>
      </c>
      <c r="G222" s="117">
        <f t="shared" si="53"/>
        <v>46695.495512361158</v>
      </c>
      <c r="H222" s="9"/>
      <c r="I222" s="136">
        <v>6.9363000000000001</v>
      </c>
      <c r="J222" s="134">
        <v>36159522.310919702</v>
      </c>
      <c r="K222" s="120">
        <f t="shared" si="54"/>
        <v>323.89396552239072</v>
      </c>
      <c r="L222" s="122">
        <f t="shared" si="45"/>
        <v>52130851.189999998</v>
      </c>
      <c r="M222" s="116">
        <f t="shared" si="46"/>
        <v>15971328.879080296</v>
      </c>
      <c r="N222" s="123">
        <f t="shared" si="47"/>
        <v>143.06098960122085</v>
      </c>
      <c r="O222" s="5"/>
      <c r="P222" s="5">
        <f t="shared" si="48"/>
        <v>1</v>
      </c>
      <c r="Q222" s="7">
        <f t="shared" si="49"/>
        <v>111640</v>
      </c>
      <c r="W222" s="124">
        <f t="shared" si="50"/>
        <v>36159522.310919702</v>
      </c>
      <c r="X222">
        <f t="shared" si="51"/>
        <v>0</v>
      </c>
    </row>
    <row r="223" spans="1:24">
      <c r="A223" s="23" t="s">
        <v>459</v>
      </c>
      <c r="B223" s="37" t="s">
        <v>233</v>
      </c>
      <c r="C223" s="125">
        <v>30467</v>
      </c>
      <c r="D223" s="132">
        <v>5021017639</v>
      </c>
      <c r="E223" s="116">
        <f t="shared" si="52"/>
        <v>164801.83933436178</v>
      </c>
      <c r="F223" s="134">
        <v>3583764873</v>
      </c>
      <c r="G223" s="117">
        <f t="shared" si="53"/>
        <v>117627.75701578757</v>
      </c>
      <c r="H223" s="9"/>
      <c r="I223" s="136">
        <v>2.3127</v>
      </c>
      <c r="J223" s="134">
        <v>8288173.0217870995</v>
      </c>
      <c r="K223" s="120">
        <f t="shared" si="54"/>
        <v>272.03771365041189</v>
      </c>
      <c r="L223" s="122">
        <f t="shared" si="45"/>
        <v>35837648.730000004</v>
      </c>
      <c r="M223" s="116">
        <f t="shared" si="46"/>
        <v>27549475.708212905</v>
      </c>
      <c r="N223" s="123">
        <f t="shared" si="47"/>
        <v>904.23985650746397</v>
      </c>
      <c r="O223" s="5"/>
      <c r="P223" s="5">
        <f t="shared" si="48"/>
        <v>1</v>
      </c>
      <c r="Q223" s="7">
        <f t="shared" si="49"/>
        <v>30467</v>
      </c>
      <c r="W223" s="124">
        <f t="shared" si="50"/>
        <v>8288173.0217870995</v>
      </c>
      <c r="X223">
        <f t="shared" si="51"/>
        <v>0</v>
      </c>
    </row>
    <row r="224" spans="1:24">
      <c r="A224" s="23" t="s">
        <v>250</v>
      </c>
      <c r="B224" s="37" t="s">
        <v>233</v>
      </c>
      <c r="C224" s="125">
        <v>11567</v>
      </c>
      <c r="D224" s="132">
        <v>2115860142</v>
      </c>
      <c r="E224" s="116">
        <f t="shared" si="52"/>
        <v>182922.11826748509</v>
      </c>
      <c r="F224" s="134">
        <v>1251399615</v>
      </c>
      <c r="G224" s="117">
        <f t="shared" si="53"/>
        <v>108187.05066136422</v>
      </c>
      <c r="H224" s="9"/>
      <c r="I224" s="136">
        <v>7.9</v>
      </c>
      <c r="J224" s="134">
        <v>9886056.9584999997</v>
      </c>
      <c r="K224" s="120">
        <f t="shared" si="54"/>
        <v>854.67770022477737</v>
      </c>
      <c r="L224" s="122">
        <f t="shared" si="45"/>
        <v>12513996.15</v>
      </c>
      <c r="M224" s="116">
        <f t="shared" si="46"/>
        <v>2627939.1915000007</v>
      </c>
      <c r="N224" s="123">
        <f t="shared" si="47"/>
        <v>227.19280638886494</v>
      </c>
      <c r="O224" s="5"/>
      <c r="P224" s="5">
        <f t="shared" si="48"/>
        <v>1</v>
      </c>
      <c r="Q224" s="7">
        <f t="shared" si="49"/>
        <v>11567</v>
      </c>
      <c r="W224" s="124">
        <f t="shared" si="50"/>
        <v>9886056.9585000016</v>
      </c>
      <c r="X224">
        <f t="shared" si="51"/>
        <v>0</v>
      </c>
    </row>
    <row r="225" spans="1:24">
      <c r="A225" s="24" t="s">
        <v>251</v>
      </c>
      <c r="B225" s="37" t="s">
        <v>233</v>
      </c>
      <c r="C225" s="125">
        <v>13859</v>
      </c>
      <c r="D225" s="132">
        <v>1930953980</v>
      </c>
      <c r="E225" s="116">
        <f t="shared" si="52"/>
        <v>139328.52153835053</v>
      </c>
      <c r="F225" s="134">
        <v>1302490440</v>
      </c>
      <c r="G225" s="117">
        <f t="shared" si="53"/>
        <v>93981.559997113785</v>
      </c>
      <c r="H225" s="9"/>
      <c r="I225" s="136">
        <v>7.33</v>
      </c>
      <c r="J225" s="134">
        <v>9547254.9252000004</v>
      </c>
      <c r="K225" s="120">
        <f t="shared" si="54"/>
        <v>688.88483477884415</v>
      </c>
      <c r="L225" s="122">
        <f t="shared" si="45"/>
        <v>13024904.4</v>
      </c>
      <c r="M225" s="116">
        <f t="shared" si="46"/>
        <v>3477649.4748</v>
      </c>
      <c r="N225" s="123">
        <f t="shared" si="47"/>
        <v>250.93076519229382</v>
      </c>
      <c r="O225" s="5"/>
      <c r="P225" s="5">
        <f t="shared" si="48"/>
        <v>1</v>
      </c>
      <c r="Q225" s="7">
        <f t="shared" si="49"/>
        <v>13859</v>
      </c>
      <c r="W225" s="124">
        <f t="shared" si="50"/>
        <v>9547254.9252000004</v>
      </c>
      <c r="X225">
        <f t="shared" si="51"/>
        <v>0</v>
      </c>
    </row>
    <row r="226" spans="1:24">
      <c r="A226" s="23" t="s">
        <v>599</v>
      </c>
      <c r="B226" s="37" t="s">
        <v>233</v>
      </c>
      <c r="C226" s="125">
        <v>8159</v>
      </c>
      <c r="D226" s="132">
        <v>1277831135</v>
      </c>
      <c r="E226" s="116">
        <f t="shared" si="52"/>
        <v>156616.14597377129</v>
      </c>
      <c r="F226" s="134">
        <v>1074905255</v>
      </c>
      <c r="G226" s="117">
        <f t="shared" si="53"/>
        <v>131744.73035911264</v>
      </c>
      <c r="H226" s="9"/>
      <c r="I226" s="136">
        <v>5.85</v>
      </c>
      <c r="J226" s="134">
        <v>6288195.74175</v>
      </c>
      <c r="K226" s="120">
        <f t="shared" si="54"/>
        <v>770.70667260080893</v>
      </c>
      <c r="L226" s="122">
        <f t="shared" si="45"/>
        <v>10749052.550000001</v>
      </c>
      <c r="M226" s="116">
        <f t="shared" si="46"/>
        <v>4460856.8082500007</v>
      </c>
      <c r="N226" s="123">
        <f t="shared" si="47"/>
        <v>546.74063099031753</v>
      </c>
      <c r="O226" s="5"/>
      <c r="P226" s="5">
        <f t="shared" si="48"/>
        <v>1</v>
      </c>
      <c r="Q226" s="7">
        <f t="shared" si="49"/>
        <v>8159</v>
      </c>
      <c r="W226" s="124">
        <f t="shared" si="50"/>
        <v>6288195.7417499991</v>
      </c>
      <c r="X226">
        <f t="shared" si="51"/>
        <v>0</v>
      </c>
    </row>
    <row r="227" spans="1:24">
      <c r="A227" s="23" t="s">
        <v>253</v>
      </c>
      <c r="B227" s="37" t="s">
        <v>233</v>
      </c>
      <c r="C227" s="125">
        <v>60191</v>
      </c>
      <c r="D227" s="132">
        <v>5933177575</v>
      </c>
      <c r="E227" s="116">
        <f t="shared" si="52"/>
        <v>98572.503779634833</v>
      </c>
      <c r="F227" s="134">
        <v>3690814833</v>
      </c>
      <c r="G227" s="117">
        <f t="shared" si="53"/>
        <v>61318.383695236829</v>
      </c>
      <c r="H227" s="9"/>
      <c r="I227" s="136">
        <v>7.5</v>
      </c>
      <c r="J227" s="134">
        <v>27681111.247499999</v>
      </c>
      <c r="K227" s="120">
        <f t="shared" si="54"/>
        <v>459.88787771427621</v>
      </c>
      <c r="L227" s="122">
        <f t="shared" si="45"/>
        <v>36908148.329999998</v>
      </c>
      <c r="M227" s="116">
        <f t="shared" si="46"/>
        <v>9227037.0824999996</v>
      </c>
      <c r="N227" s="123">
        <f t="shared" si="47"/>
        <v>153.29595923809205</v>
      </c>
      <c r="O227" s="5"/>
      <c r="P227" s="5">
        <f t="shared" si="48"/>
        <v>1</v>
      </c>
      <c r="Q227" s="7">
        <f t="shared" si="49"/>
        <v>60191</v>
      </c>
      <c r="W227" s="124">
        <f t="shared" si="50"/>
        <v>27681111.247499999</v>
      </c>
      <c r="X227">
        <f t="shared" si="51"/>
        <v>0</v>
      </c>
    </row>
    <row r="228" spans="1:24">
      <c r="A228" s="23" t="s">
        <v>254</v>
      </c>
      <c r="B228" s="37" t="s">
        <v>233</v>
      </c>
      <c r="C228" s="125">
        <v>43676</v>
      </c>
      <c r="D228" s="132">
        <v>4900849705</v>
      </c>
      <c r="E228" s="116">
        <f t="shared" si="52"/>
        <v>112209.21570198736</v>
      </c>
      <c r="F228" s="134">
        <v>3463733709</v>
      </c>
      <c r="G228" s="117">
        <f t="shared" si="53"/>
        <v>79305.195278871688</v>
      </c>
      <c r="H228" s="9"/>
      <c r="I228" s="136">
        <v>6.2</v>
      </c>
      <c r="J228" s="134">
        <v>21475148.9958</v>
      </c>
      <c r="K228" s="120">
        <f t="shared" si="54"/>
        <v>491.6922107290045</v>
      </c>
      <c r="L228" s="122">
        <f t="shared" si="45"/>
        <v>34637337.090000004</v>
      </c>
      <c r="M228" s="116">
        <f t="shared" si="46"/>
        <v>13162188.094200004</v>
      </c>
      <c r="N228" s="123">
        <f t="shared" si="47"/>
        <v>301.35974205971252</v>
      </c>
      <c r="O228" s="5"/>
      <c r="P228" s="5">
        <f t="shared" si="48"/>
        <v>1</v>
      </c>
      <c r="Q228" s="7">
        <f t="shared" si="49"/>
        <v>43676</v>
      </c>
      <c r="W228" s="124">
        <f t="shared" si="50"/>
        <v>21475148.9958</v>
      </c>
      <c r="X228">
        <f t="shared" si="51"/>
        <v>0</v>
      </c>
    </row>
    <row r="229" spans="1:24">
      <c r="A229" s="23" t="s">
        <v>255</v>
      </c>
      <c r="B229" s="37" t="s">
        <v>233</v>
      </c>
      <c r="C229" s="125">
        <v>16463</v>
      </c>
      <c r="D229" s="132">
        <v>1830967602</v>
      </c>
      <c r="E229" s="116">
        <f t="shared" si="52"/>
        <v>111217.12944177854</v>
      </c>
      <c r="F229" s="134">
        <v>1225025029</v>
      </c>
      <c r="G229" s="117">
        <f t="shared" si="53"/>
        <v>74410.801737228932</v>
      </c>
      <c r="H229" s="9"/>
      <c r="I229" s="136">
        <v>9.8000000000000007</v>
      </c>
      <c r="J229" s="134">
        <v>12005245.284200002</v>
      </c>
      <c r="K229" s="120">
        <f t="shared" si="54"/>
        <v>729.22585702484366</v>
      </c>
      <c r="L229" s="122">
        <f t="shared" si="45"/>
        <v>12250250.290000001</v>
      </c>
      <c r="M229" s="116">
        <f t="shared" si="46"/>
        <v>245005.00579999946</v>
      </c>
      <c r="N229" s="123">
        <f t="shared" si="47"/>
        <v>14.882160347445755</v>
      </c>
      <c r="O229" s="5"/>
      <c r="P229" s="5">
        <f t="shared" si="48"/>
        <v>1</v>
      </c>
      <c r="Q229" s="7">
        <f t="shared" si="49"/>
        <v>16463</v>
      </c>
      <c r="W229" s="124">
        <f t="shared" si="50"/>
        <v>12005245.284200002</v>
      </c>
      <c r="X229">
        <f t="shared" si="51"/>
        <v>0</v>
      </c>
    </row>
    <row r="230" spans="1:24">
      <c r="A230" s="23" t="s">
        <v>493</v>
      </c>
      <c r="B230" s="37" t="s">
        <v>233</v>
      </c>
      <c r="C230" s="125">
        <v>24439</v>
      </c>
      <c r="D230" s="132">
        <v>4576284946</v>
      </c>
      <c r="E230" s="116">
        <f t="shared" si="52"/>
        <v>187253.36331273784</v>
      </c>
      <c r="F230" s="134">
        <v>3167343066</v>
      </c>
      <c r="G230" s="117">
        <f t="shared" si="53"/>
        <v>129601.99132534064</v>
      </c>
      <c r="H230" s="9"/>
      <c r="I230" s="136">
        <v>2.2349999999999999</v>
      </c>
      <c r="J230" s="134">
        <v>7079011.7525099991</v>
      </c>
      <c r="K230" s="120">
        <f t="shared" si="54"/>
        <v>289.66045061213629</v>
      </c>
      <c r="L230" s="122">
        <f t="shared" si="45"/>
        <v>31673430.66</v>
      </c>
      <c r="M230" s="116">
        <f t="shared" si="46"/>
        <v>24594418.90749</v>
      </c>
      <c r="N230" s="123">
        <f t="shared" si="47"/>
        <v>1006.3594626412701</v>
      </c>
      <c r="O230" s="5"/>
      <c r="P230" s="5">
        <f t="shared" si="48"/>
        <v>1</v>
      </c>
      <c r="Q230" s="7">
        <f t="shared" si="49"/>
        <v>24439</v>
      </c>
      <c r="W230" s="124">
        <f t="shared" si="50"/>
        <v>7079011.75251</v>
      </c>
      <c r="X230">
        <f t="shared" si="51"/>
        <v>0</v>
      </c>
    </row>
    <row r="231" spans="1:24">
      <c r="A231" s="23" t="s">
        <v>256</v>
      </c>
      <c r="B231" s="37" t="s">
        <v>233</v>
      </c>
      <c r="C231" s="125">
        <v>18388</v>
      </c>
      <c r="D231" s="132">
        <v>6510706529</v>
      </c>
      <c r="E231" s="116">
        <f t="shared" si="52"/>
        <v>354073.66374809656</v>
      </c>
      <c r="F231" s="134">
        <v>5106290789</v>
      </c>
      <c r="G231" s="117">
        <f t="shared" si="53"/>
        <v>277696.91043071571</v>
      </c>
      <c r="H231" s="9"/>
      <c r="I231" s="150">
        <v>2.35</v>
      </c>
      <c r="J231" s="134">
        <v>11999783.354149999</v>
      </c>
      <c r="K231" s="120">
        <f t="shared" si="54"/>
        <v>652.58773951218177</v>
      </c>
      <c r="L231" s="122">
        <f t="shared" si="45"/>
        <v>51062907.890000001</v>
      </c>
      <c r="M231" s="116">
        <f t="shared" si="46"/>
        <v>39063124.535850003</v>
      </c>
      <c r="N231" s="123">
        <f t="shared" si="47"/>
        <v>2124.3813647949751</v>
      </c>
      <c r="O231" s="5"/>
      <c r="P231" s="5">
        <f t="shared" si="48"/>
        <v>1</v>
      </c>
      <c r="Q231" s="7">
        <f t="shared" si="49"/>
        <v>18388</v>
      </c>
      <c r="W231" s="124">
        <f t="shared" si="50"/>
        <v>11999783.354150001</v>
      </c>
      <c r="X231">
        <f t="shared" si="51"/>
        <v>0</v>
      </c>
    </row>
    <row r="232" spans="1:24">
      <c r="A232" s="23" t="s">
        <v>257</v>
      </c>
      <c r="B232" s="37" t="s">
        <v>233</v>
      </c>
      <c r="C232" s="125">
        <v>12026</v>
      </c>
      <c r="D232" s="132">
        <v>2927821445</v>
      </c>
      <c r="E232" s="116">
        <f t="shared" si="52"/>
        <v>243457.62888741062</v>
      </c>
      <c r="F232" s="134">
        <v>2018756268</v>
      </c>
      <c r="G232" s="117">
        <f t="shared" si="53"/>
        <v>167865.97937801431</v>
      </c>
      <c r="H232" s="9"/>
      <c r="I232" s="136">
        <v>4.3</v>
      </c>
      <c r="J232" s="134">
        <v>8680651.9523999989</v>
      </c>
      <c r="K232" s="120">
        <f t="shared" si="54"/>
        <v>721.82371132546143</v>
      </c>
      <c r="L232" s="122">
        <f t="shared" si="45"/>
        <v>20187562.68</v>
      </c>
      <c r="M232" s="116">
        <f t="shared" si="46"/>
        <v>11506910.727600001</v>
      </c>
      <c r="N232" s="123">
        <f t="shared" si="47"/>
        <v>956.83608245468156</v>
      </c>
      <c r="O232" s="5"/>
      <c r="P232" s="5">
        <f t="shared" si="48"/>
        <v>1</v>
      </c>
      <c r="Q232" s="7">
        <f t="shared" si="49"/>
        <v>12026</v>
      </c>
      <c r="W232" s="124">
        <f t="shared" si="50"/>
        <v>8680651.9524000008</v>
      </c>
      <c r="X232">
        <f t="shared" si="51"/>
        <v>0</v>
      </c>
    </row>
    <row r="233" spans="1:24">
      <c r="A233" s="23" t="s">
        <v>258</v>
      </c>
      <c r="B233" s="37" t="s">
        <v>233</v>
      </c>
      <c r="C233" s="125">
        <v>22342</v>
      </c>
      <c r="D233" s="132">
        <v>12473449628</v>
      </c>
      <c r="E233" s="116">
        <f t="shared" si="52"/>
        <v>558296.01772446511</v>
      </c>
      <c r="F233" s="134">
        <v>11522719072</v>
      </c>
      <c r="G233" s="117">
        <f t="shared" si="53"/>
        <v>515742.50613194879</v>
      </c>
      <c r="H233" s="9"/>
      <c r="I233" s="136">
        <v>2.2000000000000002</v>
      </c>
      <c r="J233" s="134">
        <v>25349981.9584</v>
      </c>
      <c r="K233" s="120">
        <f t="shared" si="54"/>
        <v>1134.6335134902874</v>
      </c>
      <c r="L233" s="122">
        <f t="shared" si="45"/>
        <v>115227190.72</v>
      </c>
      <c r="M233" s="116">
        <f t="shared" si="46"/>
        <v>89877208.761600003</v>
      </c>
      <c r="N233" s="123">
        <f t="shared" si="47"/>
        <v>4022.7915478292007</v>
      </c>
      <c r="O233" s="5"/>
      <c r="P233" s="5">
        <f t="shared" si="48"/>
        <v>1</v>
      </c>
      <c r="Q233" s="7">
        <f t="shared" si="49"/>
        <v>22342</v>
      </c>
      <c r="W233" s="124">
        <f t="shared" si="50"/>
        <v>25349981.9584</v>
      </c>
      <c r="X233">
        <f t="shared" si="51"/>
        <v>0</v>
      </c>
    </row>
    <row r="234" spans="1:24">
      <c r="A234" s="23" t="s">
        <v>259</v>
      </c>
      <c r="B234" s="37" t="s">
        <v>233</v>
      </c>
      <c r="C234" s="125">
        <v>5689</v>
      </c>
      <c r="D234" s="132">
        <v>3665212054</v>
      </c>
      <c r="E234" s="116">
        <f t="shared" si="52"/>
        <v>644262.97310599405</v>
      </c>
      <c r="F234" s="134">
        <v>3104997941</v>
      </c>
      <c r="G234" s="117">
        <f t="shared" si="53"/>
        <v>545789.75936016871</v>
      </c>
      <c r="H234" s="9"/>
      <c r="I234" s="136">
        <v>4.3498999999999999</v>
      </c>
      <c r="J234" s="134">
        <v>13506430.5435559</v>
      </c>
      <c r="K234" s="120">
        <f t="shared" si="54"/>
        <v>2374.1308742407982</v>
      </c>
      <c r="L234" s="122">
        <f t="shared" si="45"/>
        <v>31049979.41</v>
      </c>
      <c r="M234" s="116">
        <f t="shared" si="46"/>
        <v>17543548.8664441</v>
      </c>
      <c r="N234" s="123">
        <f t="shared" si="47"/>
        <v>3083.7667193608895</v>
      </c>
      <c r="O234" s="5"/>
      <c r="P234" s="5">
        <f t="shared" si="48"/>
        <v>1</v>
      </c>
      <c r="Q234" s="7">
        <f t="shared" si="49"/>
        <v>5689</v>
      </c>
      <c r="W234" s="124">
        <f t="shared" si="50"/>
        <v>13506430.5435559</v>
      </c>
      <c r="X234">
        <f t="shared" si="51"/>
        <v>0</v>
      </c>
    </row>
    <row r="235" spans="1:24">
      <c r="A235" s="23" t="s">
        <v>260</v>
      </c>
      <c r="B235" s="35" t="s">
        <v>233</v>
      </c>
      <c r="C235" s="125">
        <v>19363</v>
      </c>
      <c r="D235" s="132">
        <v>2457954084</v>
      </c>
      <c r="E235" s="116">
        <f t="shared" si="52"/>
        <v>126940.76764964107</v>
      </c>
      <c r="F235" s="134">
        <v>1911200871</v>
      </c>
      <c r="G235" s="117">
        <f t="shared" si="53"/>
        <v>98703.75825027113</v>
      </c>
      <c r="H235" s="9"/>
      <c r="I235" s="150">
        <v>3.9948000000000001</v>
      </c>
      <c r="J235" s="134">
        <v>7634865.2394708004</v>
      </c>
      <c r="K235" s="120">
        <f t="shared" si="54"/>
        <v>394.30177345818316</v>
      </c>
      <c r="L235" s="122">
        <f t="shared" si="45"/>
        <v>19112008.710000001</v>
      </c>
      <c r="M235" s="116">
        <f t="shared" si="46"/>
        <v>11477143.470529201</v>
      </c>
      <c r="N235" s="123">
        <f t="shared" si="47"/>
        <v>592.7358090445282</v>
      </c>
      <c r="O235" s="5"/>
      <c r="P235" s="5">
        <f t="shared" si="48"/>
        <v>1</v>
      </c>
      <c r="Q235" s="7">
        <f t="shared" si="49"/>
        <v>19363</v>
      </c>
      <c r="W235" s="124">
        <f t="shared" si="50"/>
        <v>7634865.2394707995</v>
      </c>
      <c r="X235">
        <f t="shared" si="51"/>
        <v>0</v>
      </c>
    </row>
    <row r="236" spans="1:24">
      <c r="A236" s="23" t="s">
        <v>261</v>
      </c>
      <c r="B236" s="35" t="s">
        <v>233</v>
      </c>
      <c r="C236" s="125">
        <v>2364</v>
      </c>
      <c r="D236" s="132">
        <v>359204744</v>
      </c>
      <c r="E236" s="116">
        <f t="shared" si="52"/>
        <v>151947.86125211505</v>
      </c>
      <c r="F236" s="134">
        <v>272273120</v>
      </c>
      <c r="G236" s="117">
        <f t="shared" si="53"/>
        <v>115174.75465313029</v>
      </c>
      <c r="H236" s="9"/>
      <c r="I236" s="136">
        <v>5</v>
      </c>
      <c r="J236" s="134">
        <v>1361365.6</v>
      </c>
      <c r="K236" s="120">
        <f t="shared" si="54"/>
        <v>575.87377326565149</v>
      </c>
      <c r="L236" s="122">
        <f t="shared" si="45"/>
        <v>2722731.2</v>
      </c>
      <c r="M236" s="116">
        <f t="shared" si="46"/>
        <v>1361365.6</v>
      </c>
      <c r="N236" s="123">
        <f t="shared" si="47"/>
        <v>575.87377326565149</v>
      </c>
      <c r="O236" s="5"/>
      <c r="P236" s="5">
        <f t="shared" si="48"/>
        <v>1</v>
      </c>
      <c r="Q236" s="7">
        <f t="shared" si="49"/>
        <v>2364</v>
      </c>
      <c r="S236" s="124"/>
      <c r="T236" s="124"/>
      <c r="U236" s="124"/>
      <c r="W236" s="124">
        <f t="shared" si="50"/>
        <v>1361365.6</v>
      </c>
      <c r="X236">
        <f t="shared" si="51"/>
        <v>0</v>
      </c>
    </row>
    <row r="237" spans="1:24">
      <c r="A237" s="23" t="s">
        <v>262</v>
      </c>
      <c r="B237" s="35" t="s">
        <v>233</v>
      </c>
      <c r="C237" s="125">
        <v>7233</v>
      </c>
      <c r="D237" s="132">
        <v>884102835</v>
      </c>
      <c r="E237" s="116">
        <f t="shared" si="52"/>
        <v>122231.83119037743</v>
      </c>
      <c r="F237" s="134">
        <v>637486400</v>
      </c>
      <c r="G237" s="117">
        <f t="shared" si="53"/>
        <v>88135.82192727775</v>
      </c>
      <c r="H237" s="7"/>
      <c r="I237" s="136">
        <v>6.8857999999999997</v>
      </c>
      <c r="J237" s="134">
        <v>4389603.8531200001</v>
      </c>
      <c r="K237" s="120">
        <f t="shared" si="54"/>
        <v>606.88564262684918</v>
      </c>
      <c r="L237" s="122">
        <f t="shared" si="45"/>
        <v>6374864</v>
      </c>
      <c r="M237" s="116">
        <f t="shared" si="46"/>
        <v>1985260.1468799999</v>
      </c>
      <c r="N237" s="123">
        <f t="shared" si="47"/>
        <v>274.47257664592837</v>
      </c>
      <c r="O237" s="5"/>
      <c r="P237" s="5">
        <f t="shared" si="48"/>
        <v>1</v>
      </c>
      <c r="Q237" s="7">
        <f t="shared" si="49"/>
        <v>7233</v>
      </c>
      <c r="S237" s="124">
        <f>SUM(D204:D237)</f>
        <v>307289412037</v>
      </c>
      <c r="T237" s="124">
        <f>SUM(F204:F237)</f>
        <v>232265124774</v>
      </c>
      <c r="U237" s="124">
        <f>SUM(J204:J237)</f>
        <v>1243939342.3005998</v>
      </c>
      <c r="W237" s="124">
        <f t="shared" si="50"/>
        <v>4389603.8531200001</v>
      </c>
      <c r="X237">
        <f t="shared" si="51"/>
        <v>0</v>
      </c>
    </row>
    <row r="238" spans="1:24">
      <c r="A238" s="23" t="s">
        <v>263</v>
      </c>
      <c r="B238" s="35" t="s">
        <v>264</v>
      </c>
      <c r="C238" s="125">
        <v>7107</v>
      </c>
      <c r="D238" s="132">
        <v>5023347841</v>
      </c>
      <c r="E238" s="116">
        <f t="shared" si="52"/>
        <v>706816.91867173207</v>
      </c>
      <c r="F238" s="134">
        <v>3989028993</v>
      </c>
      <c r="G238" s="117">
        <f t="shared" si="53"/>
        <v>561281.69311945967</v>
      </c>
      <c r="H238" s="7"/>
      <c r="I238" s="136">
        <v>3.0150000000000001</v>
      </c>
      <c r="J238" s="134">
        <v>12026922.413895</v>
      </c>
      <c r="K238" s="120">
        <f t="shared" si="54"/>
        <v>1692.264304755171</v>
      </c>
      <c r="L238" s="122">
        <f t="shared" si="45"/>
        <v>39890289.93</v>
      </c>
      <c r="M238" s="116">
        <f t="shared" si="46"/>
        <v>27863367.516105</v>
      </c>
      <c r="N238" s="123">
        <f t="shared" si="47"/>
        <v>3920.5526264394257</v>
      </c>
      <c r="O238" s="5"/>
      <c r="P238" s="5">
        <f t="shared" si="48"/>
        <v>1</v>
      </c>
      <c r="Q238" s="7">
        <f t="shared" si="49"/>
        <v>7107</v>
      </c>
      <c r="W238" s="124">
        <f t="shared" si="50"/>
        <v>12026922.413895002</v>
      </c>
      <c r="X238">
        <f t="shared" si="51"/>
        <v>0</v>
      </c>
    </row>
    <row r="239" spans="1:24">
      <c r="A239" s="23" t="s">
        <v>265</v>
      </c>
      <c r="B239" s="35" t="s">
        <v>264</v>
      </c>
      <c r="C239" s="125">
        <v>790</v>
      </c>
      <c r="D239" s="132">
        <v>856049214</v>
      </c>
      <c r="E239" s="116">
        <f t="shared" si="52"/>
        <v>1083606.6000000001</v>
      </c>
      <c r="F239" s="134">
        <v>777290902</v>
      </c>
      <c r="G239" s="117">
        <f t="shared" si="53"/>
        <v>983912.53417721519</v>
      </c>
      <c r="H239" s="7"/>
      <c r="I239" s="136">
        <v>2.4979</v>
      </c>
      <c r="J239" s="134">
        <v>1941594.9441058</v>
      </c>
      <c r="K239" s="120">
        <f t="shared" si="54"/>
        <v>2457.7151191212656</v>
      </c>
      <c r="L239" s="122">
        <f t="shared" si="45"/>
        <v>7772909.0200000005</v>
      </c>
      <c r="M239" s="116">
        <f t="shared" si="46"/>
        <v>5831314.0758942002</v>
      </c>
      <c r="N239" s="123">
        <f t="shared" si="47"/>
        <v>7381.4102226508867</v>
      </c>
      <c r="O239" s="5"/>
      <c r="P239" s="5">
        <f t="shared" si="48"/>
        <v>1</v>
      </c>
      <c r="Q239" s="7">
        <f t="shared" si="49"/>
        <v>790</v>
      </c>
      <c r="W239" s="124">
        <f t="shared" si="50"/>
        <v>1941594.9441058</v>
      </c>
      <c r="X239">
        <f t="shared" si="51"/>
        <v>0</v>
      </c>
    </row>
    <row r="240" spans="1:24">
      <c r="A240" s="23" t="s">
        <v>266</v>
      </c>
      <c r="B240" s="35" t="s">
        <v>264</v>
      </c>
      <c r="C240" s="125">
        <v>26444</v>
      </c>
      <c r="D240" s="132">
        <v>12883989938</v>
      </c>
      <c r="E240" s="116">
        <f t="shared" si="52"/>
        <v>487217.89207381639</v>
      </c>
      <c r="F240" s="134">
        <v>8056243851</v>
      </c>
      <c r="G240" s="117">
        <f t="shared" si="53"/>
        <v>304652.9969369233</v>
      </c>
      <c r="H240" s="7"/>
      <c r="I240" s="136">
        <v>2.0857999999999999</v>
      </c>
      <c r="J240" s="134">
        <v>16803713.424415797</v>
      </c>
      <c r="K240" s="120">
        <f t="shared" si="54"/>
        <v>635.4452210110345</v>
      </c>
      <c r="L240" s="122">
        <f t="shared" si="45"/>
        <v>80562438.510000005</v>
      </c>
      <c r="M240" s="116">
        <f t="shared" si="46"/>
        <v>63758725.085584208</v>
      </c>
      <c r="N240" s="123">
        <f t="shared" si="47"/>
        <v>2411.0847483581988</v>
      </c>
      <c r="O240" s="5"/>
      <c r="P240" s="5">
        <f t="shared" si="48"/>
        <v>1</v>
      </c>
      <c r="Q240" s="7">
        <f t="shared" si="49"/>
        <v>26444</v>
      </c>
      <c r="W240" s="124">
        <f t="shared" si="50"/>
        <v>16803713.424415801</v>
      </c>
      <c r="X240">
        <f t="shared" si="51"/>
        <v>0</v>
      </c>
    </row>
    <row r="241" spans="1:24">
      <c r="A241" s="23" t="s">
        <v>267</v>
      </c>
      <c r="B241" s="35" t="s">
        <v>264</v>
      </c>
      <c r="C241" s="125">
        <v>210</v>
      </c>
      <c r="D241" s="132">
        <v>87367882</v>
      </c>
      <c r="E241" s="116">
        <f t="shared" si="52"/>
        <v>416037.53333333333</v>
      </c>
      <c r="F241" s="134">
        <v>72189461</v>
      </c>
      <c r="G241" s="117">
        <f t="shared" si="53"/>
        <v>343759.33809523808</v>
      </c>
      <c r="H241" s="7"/>
      <c r="I241" s="136">
        <v>2.5981999999999998</v>
      </c>
      <c r="J241" s="134">
        <v>187562.65757019998</v>
      </c>
      <c r="K241" s="120">
        <f t="shared" si="54"/>
        <v>893.15551223904754</v>
      </c>
      <c r="L241" s="122">
        <f t="shared" si="45"/>
        <v>721894.61</v>
      </c>
      <c r="M241" s="116">
        <f t="shared" si="46"/>
        <v>534331.95242980006</v>
      </c>
      <c r="N241" s="123">
        <f t="shared" si="47"/>
        <v>2544.4378687133335</v>
      </c>
      <c r="O241" s="5"/>
      <c r="P241" s="5">
        <f t="shared" si="48"/>
        <v>1</v>
      </c>
      <c r="Q241" s="7">
        <f t="shared" si="49"/>
        <v>210</v>
      </c>
      <c r="W241" s="124">
        <f t="shared" si="50"/>
        <v>187562.65757019998</v>
      </c>
      <c r="X241">
        <f t="shared" si="51"/>
        <v>0</v>
      </c>
    </row>
    <row r="242" spans="1:24">
      <c r="A242" s="23" t="s">
        <v>449</v>
      </c>
      <c r="B242" s="35" t="s">
        <v>264</v>
      </c>
      <c r="C242" s="125">
        <v>9689</v>
      </c>
      <c r="D242" s="132">
        <v>3687106483</v>
      </c>
      <c r="E242" s="116">
        <f t="shared" si="52"/>
        <v>380545.61698833731</v>
      </c>
      <c r="F242" s="134">
        <v>2924712999</v>
      </c>
      <c r="G242" s="117">
        <f t="shared" si="53"/>
        <v>301859.11848487979</v>
      </c>
      <c r="H242" s="7"/>
      <c r="I242" s="136">
        <v>2.59</v>
      </c>
      <c r="J242" s="134">
        <v>7575006.6674100002</v>
      </c>
      <c r="K242" s="120">
        <f t="shared" si="54"/>
        <v>781.81511687583861</v>
      </c>
      <c r="L242" s="122">
        <f t="shared" si="45"/>
        <v>29247129.990000002</v>
      </c>
      <c r="M242" s="116">
        <f t="shared" si="46"/>
        <v>21672123.322590001</v>
      </c>
      <c r="N242" s="123">
        <f t="shared" si="47"/>
        <v>2236.776067972959</v>
      </c>
      <c r="O242" s="5"/>
      <c r="P242" s="5">
        <f t="shared" si="48"/>
        <v>1</v>
      </c>
      <c r="Q242" s="7">
        <f t="shared" si="49"/>
        <v>9689</v>
      </c>
      <c r="S242" s="124">
        <f>SUM(D238:D242)</f>
        <v>22537861358</v>
      </c>
      <c r="T242" s="124">
        <f>SUM(F238:F242)</f>
        <v>15819466206</v>
      </c>
      <c r="U242" s="124">
        <f>SUM(J238:J242)</f>
        <v>38534800.107396796</v>
      </c>
      <c r="W242" s="124">
        <f t="shared" si="50"/>
        <v>7575006.6674099993</v>
      </c>
      <c r="X242">
        <f t="shared" si="51"/>
        <v>0</v>
      </c>
    </row>
    <row r="243" spans="1:24">
      <c r="A243" s="23" t="s">
        <v>268</v>
      </c>
      <c r="B243" s="35" t="s">
        <v>269</v>
      </c>
      <c r="C243" s="125">
        <v>1526</v>
      </c>
      <c r="D243" s="132">
        <v>194187057</v>
      </c>
      <c r="E243" s="116">
        <f t="shared" si="52"/>
        <v>127252.33093053736</v>
      </c>
      <c r="F243" s="134">
        <v>104123126</v>
      </c>
      <c r="G243" s="117">
        <f t="shared" si="53"/>
        <v>68232.716906946269</v>
      </c>
      <c r="H243" s="7"/>
      <c r="I243" s="136">
        <v>2.4723000000000002</v>
      </c>
      <c r="J243" s="134">
        <v>257423.60440980003</v>
      </c>
      <c r="K243" s="120">
        <f t="shared" si="54"/>
        <v>168.69174600904327</v>
      </c>
      <c r="L243" s="122">
        <f t="shared" si="45"/>
        <v>1041231.26</v>
      </c>
      <c r="M243" s="116">
        <f t="shared" si="46"/>
        <v>783807.65559019998</v>
      </c>
      <c r="N243" s="123">
        <f t="shared" si="47"/>
        <v>513.63542306041938</v>
      </c>
      <c r="O243" s="5"/>
      <c r="P243" s="5">
        <f t="shared" si="48"/>
        <v>1</v>
      </c>
      <c r="Q243" s="7">
        <f t="shared" si="49"/>
        <v>1526</v>
      </c>
      <c r="W243" s="124">
        <f t="shared" si="50"/>
        <v>257423.60440980003</v>
      </c>
      <c r="X243">
        <f t="shared" si="51"/>
        <v>0</v>
      </c>
    </row>
    <row r="244" spans="1:24">
      <c r="A244" s="23" t="s">
        <v>270</v>
      </c>
      <c r="B244" s="35" t="s">
        <v>269</v>
      </c>
      <c r="C244" s="125">
        <v>13052</v>
      </c>
      <c r="D244" s="132">
        <v>4049631568</v>
      </c>
      <c r="E244" s="116">
        <f t="shared" si="52"/>
        <v>310269.04443763406</v>
      </c>
      <c r="F244" s="134">
        <v>2745527708</v>
      </c>
      <c r="G244" s="117">
        <f t="shared" si="53"/>
        <v>210353.02696904688</v>
      </c>
      <c r="H244" s="7"/>
      <c r="I244" s="136">
        <v>5.4683000000000002</v>
      </c>
      <c r="J244" s="134">
        <v>15013369.165656401</v>
      </c>
      <c r="K244" s="120">
        <f t="shared" si="54"/>
        <v>1150.2734573748392</v>
      </c>
      <c r="L244" s="122">
        <f t="shared" si="45"/>
        <v>27455277.080000002</v>
      </c>
      <c r="M244" s="116">
        <f t="shared" si="46"/>
        <v>12441907.914343601</v>
      </c>
      <c r="N244" s="123">
        <f t="shared" si="47"/>
        <v>953.25681231562987</v>
      </c>
      <c r="O244" s="5"/>
      <c r="P244" s="5">
        <f t="shared" si="48"/>
        <v>1</v>
      </c>
      <c r="Q244" s="7">
        <f t="shared" si="49"/>
        <v>13052</v>
      </c>
      <c r="S244" s="124"/>
      <c r="T244" s="124"/>
      <c r="U244" s="124"/>
      <c r="W244" s="124">
        <f t="shared" si="50"/>
        <v>15013369.165656401</v>
      </c>
      <c r="X244">
        <f t="shared" si="51"/>
        <v>0</v>
      </c>
    </row>
    <row r="245" spans="1:24">
      <c r="A245" s="23" t="s">
        <v>271</v>
      </c>
      <c r="B245" s="35" t="s">
        <v>269</v>
      </c>
      <c r="C245" s="125">
        <v>2967</v>
      </c>
      <c r="D245" s="132">
        <v>362832179</v>
      </c>
      <c r="E245" s="116">
        <f t="shared" si="52"/>
        <v>122289.24132119986</v>
      </c>
      <c r="F245" s="156">
        <v>106386455</v>
      </c>
      <c r="G245" s="117">
        <f t="shared" si="53"/>
        <v>35856.573980451634</v>
      </c>
      <c r="H245" s="7"/>
      <c r="I245" s="136">
        <v>2.5</v>
      </c>
      <c r="J245" s="134">
        <v>265966.13750000001</v>
      </c>
      <c r="K245" s="120">
        <f t="shared" si="54"/>
        <v>89.641434951129085</v>
      </c>
      <c r="L245" s="122">
        <f t="shared" si="45"/>
        <v>1063864.55</v>
      </c>
      <c r="M245" s="116">
        <f t="shared" si="46"/>
        <v>797898.41250000009</v>
      </c>
      <c r="N245" s="123">
        <f t="shared" si="47"/>
        <v>268.9243048533873</v>
      </c>
      <c r="O245" s="5"/>
      <c r="P245" s="5">
        <f t="shared" si="48"/>
        <v>1</v>
      </c>
      <c r="Q245" s="7">
        <f t="shared" si="49"/>
        <v>2967</v>
      </c>
      <c r="S245" s="124">
        <f>SUM(D243:D245)</f>
        <v>4606650804</v>
      </c>
      <c r="T245" s="124">
        <f>SUM(F243:F245)</f>
        <v>2956037289</v>
      </c>
      <c r="U245" s="124">
        <f>SUM(J243:J245)</f>
        <v>15536758.907566201</v>
      </c>
      <c r="W245" s="124">
        <f t="shared" si="50"/>
        <v>265966.13750000001</v>
      </c>
      <c r="X245">
        <f t="shared" si="51"/>
        <v>0</v>
      </c>
    </row>
    <row r="246" spans="1:24">
      <c r="A246" s="23" t="s">
        <v>272</v>
      </c>
      <c r="B246" s="35" t="s">
        <v>273</v>
      </c>
      <c r="C246" s="125">
        <v>457</v>
      </c>
      <c r="D246" s="132">
        <v>72234970</v>
      </c>
      <c r="E246" s="116">
        <f t="shared" si="52"/>
        <v>158063.39168490152</v>
      </c>
      <c r="F246" s="134">
        <v>56955504</v>
      </c>
      <c r="G246" s="117">
        <f t="shared" si="53"/>
        <v>124629.11159737418</v>
      </c>
      <c r="H246" s="7"/>
      <c r="I246" s="136">
        <v>3</v>
      </c>
      <c r="J246" s="134">
        <v>170866.51199999999</v>
      </c>
      <c r="K246" s="120">
        <f t="shared" si="54"/>
        <v>373.88733479212249</v>
      </c>
      <c r="L246" s="122">
        <f t="shared" si="45"/>
        <v>569555.04</v>
      </c>
      <c r="M246" s="116">
        <f t="shared" si="46"/>
        <v>398688.52800000005</v>
      </c>
      <c r="N246" s="123">
        <f t="shared" si="47"/>
        <v>872.40378118161937</v>
      </c>
      <c r="O246" s="5"/>
      <c r="P246" s="5">
        <f t="shared" si="48"/>
        <v>1</v>
      </c>
      <c r="Q246" s="7">
        <f t="shared" si="49"/>
        <v>457</v>
      </c>
      <c r="W246" s="124">
        <f t="shared" si="50"/>
        <v>170866.51200000002</v>
      </c>
      <c r="X246">
        <f t="shared" si="51"/>
        <v>0</v>
      </c>
    </row>
    <row r="247" spans="1:24">
      <c r="A247" s="23" t="s">
        <v>274</v>
      </c>
      <c r="B247" s="35" t="s">
        <v>273</v>
      </c>
      <c r="C247" s="125">
        <v>27134</v>
      </c>
      <c r="D247" s="132">
        <v>1871116259</v>
      </c>
      <c r="E247" s="116">
        <f t="shared" si="52"/>
        <v>68958.364376796642</v>
      </c>
      <c r="F247" s="134">
        <v>1305108142</v>
      </c>
      <c r="G247" s="117">
        <f t="shared" si="53"/>
        <v>48098.626888774234</v>
      </c>
      <c r="H247" s="9"/>
      <c r="I247" s="136">
        <v>6.9466000000000001</v>
      </c>
      <c r="J247" s="134">
        <v>9066064.2192171998</v>
      </c>
      <c r="K247" s="120">
        <f t="shared" si="54"/>
        <v>334.12192154555908</v>
      </c>
      <c r="L247" s="122">
        <f t="shared" si="45"/>
        <v>13051081.42</v>
      </c>
      <c r="M247" s="116">
        <f t="shared" si="46"/>
        <v>3985017.2007828001</v>
      </c>
      <c r="N247" s="123">
        <f t="shared" si="47"/>
        <v>146.86434734218324</v>
      </c>
      <c r="O247" s="5"/>
      <c r="P247" s="5">
        <f t="shared" si="48"/>
        <v>1</v>
      </c>
      <c r="Q247" s="7">
        <f t="shared" si="49"/>
        <v>27134</v>
      </c>
      <c r="W247" s="124">
        <f t="shared" si="50"/>
        <v>9066064.2192171998</v>
      </c>
      <c r="X247">
        <f t="shared" si="51"/>
        <v>0</v>
      </c>
    </row>
    <row r="248" spans="1:24">
      <c r="A248" s="23" t="s">
        <v>275</v>
      </c>
      <c r="B248" s="35" t="s">
        <v>273</v>
      </c>
      <c r="C248" s="125">
        <v>13931</v>
      </c>
      <c r="D248" s="132">
        <v>6629565744</v>
      </c>
      <c r="E248" s="116">
        <f t="shared" si="52"/>
        <v>475885.84767784079</v>
      </c>
      <c r="F248" s="134">
        <v>5686741419</v>
      </c>
      <c r="G248" s="117">
        <f t="shared" si="53"/>
        <v>408207.69643241691</v>
      </c>
      <c r="H248" s="9"/>
      <c r="I248" s="136">
        <v>1.615</v>
      </c>
      <c r="J248" s="134">
        <v>9184087.3916849997</v>
      </c>
      <c r="K248" s="120">
        <f t="shared" si="54"/>
        <v>659.25542973835331</v>
      </c>
      <c r="L248" s="122">
        <f t="shared" si="45"/>
        <v>56867414.189999998</v>
      </c>
      <c r="M248" s="116">
        <f t="shared" si="46"/>
        <v>47683326.798314996</v>
      </c>
      <c r="N248" s="123">
        <f t="shared" si="47"/>
        <v>3422.8215345858157</v>
      </c>
      <c r="O248" s="5"/>
      <c r="P248" s="5">
        <f t="shared" si="48"/>
        <v>1</v>
      </c>
      <c r="Q248" s="7">
        <f t="shared" si="49"/>
        <v>13931</v>
      </c>
      <c r="W248" s="124">
        <f t="shared" si="50"/>
        <v>9184087.3916849997</v>
      </c>
      <c r="X248">
        <f t="shared" si="51"/>
        <v>0</v>
      </c>
    </row>
    <row r="249" spans="1:24">
      <c r="A249" s="23" t="s">
        <v>276</v>
      </c>
      <c r="B249" s="35" t="s">
        <v>273</v>
      </c>
      <c r="C249" s="125">
        <v>20922</v>
      </c>
      <c r="D249" s="132">
        <v>2336638048</v>
      </c>
      <c r="E249" s="116">
        <f t="shared" si="52"/>
        <v>111683.30216996463</v>
      </c>
      <c r="F249" s="134">
        <v>1544586236</v>
      </c>
      <c r="G249" s="117">
        <f t="shared" si="53"/>
        <v>73825.936143772109</v>
      </c>
      <c r="H249" s="7"/>
      <c r="I249" s="150">
        <v>5.3292999999999999</v>
      </c>
      <c r="J249" s="134">
        <v>8231563.4275147999</v>
      </c>
      <c r="K249" s="120">
        <f t="shared" si="54"/>
        <v>393.4405614910047</v>
      </c>
      <c r="L249" s="122">
        <f t="shared" si="45"/>
        <v>15445862.359999999</v>
      </c>
      <c r="M249" s="116">
        <f t="shared" si="46"/>
        <v>7214298.9324851995</v>
      </c>
      <c r="N249" s="123">
        <f t="shared" si="47"/>
        <v>344.81879994671635</v>
      </c>
      <c r="O249" s="5"/>
      <c r="P249" s="5">
        <f t="shared" si="48"/>
        <v>1</v>
      </c>
      <c r="Q249" s="7">
        <f t="shared" si="49"/>
        <v>20922</v>
      </c>
      <c r="W249" s="124">
        <f t="shared" si="50"/>
        <v>8231563.4275148008</v>
      </c>
      <c r="X249">
        <f t="shared" si="51"/>
        <v>0</v>
      </c>
    </row>
    <row r="250" spans="1:24">
      <c r="A250" s="23" t="s">
        <v>277</v>
      </c>
      <c r="B250" s="35" t="s">
        <v>273</v>
      </c>
      <c r="C250" s="125">
        <v>584</v>
      </c>
      <c r="D250" s="132">
        <v>34999329</v>
      </c>
      <c r="E250" s="116">
        <f t="shared" si="52"/>
        <v>59930.357876712325</v>
      </c>
      <c r="F250" s="134">
        <v>18979113</v>
      </c>
      <c r="G250" s="117">
        <f t="shared" si="53"/>
        <v>32498.48116438356</v>
      </c>
      <c r="H250" s="7"/>
      <c r="I250" s="136">
        <v>3.5</v>
      </c>
      <c r="J250" s="134">
        <v>66426.895499999999</v>
      </c>
      <c r="K250" s="120">
        <f t="shared" si="54"/>
        <v>113.74468407534246</v>
      </c>
      <c r="L250" s="122">
        <f t="shared" si="45"/>
        <v>189791.13</v>
      </c>
      <c r="M250" s="116">
        <f t="shared" si="46"/>
        <v>123364.23450000001</v>
      </c>
      <c r="N250" s="123">
        <f t="shared" si="47"/>
        <v>211.24012756849316</v>
      </c>
      <c r="O250" s="5"/>
      <c r="P250" s="5">
        <f t="shared" si="48"/>
        <v>1</v>
      </c>
      <c r="Q250" s="7">
        <f t="shared" si="49"/>
        <v>584</v>
      </c>
      <c r="W250" s="124">
        <f t="shared" si="50"/>
        <v>66426.895499999999</v>
      </c>
      <c r="X250">
        <f t="shared" si="51"/>
        <v>0</v>
      </c>
    </row>
    <row r="251" spans="1:24">
      <c r="A251" s="23" t="s">
        <v>278</v>
      </c>
      <c r="B251" s="35" t="s">
        <v>273</v>
      </c>
      <c r="C251" s="125">
        <v>3982</v>
      </c>
      <c r="D251" s="132">
        <v>469453426</v>
      </c>
      <c r="E251" s="116">
        <f t="shared" si="52"/>
        <v>117893.87895529885</v>
      </c>
      <c r="F251" s="134">
        <v>312599720</v>
      </c>
      <c r="G251" s="117">
        <f t="shared" si="53"/>
        <v>78503.194374686092</v>
      </c>
      <c r="H251" s="7"/>
      <c r="I251" s="136">
        <v>5.0260999999999996</v>
      </c>
      <c r="J251" s="134">
        <v>1571157.452692</v>
      </c>
      <c r="K251" s="120">
        <f t="shared" si="54"/>
        <v>394.56490524660973</v>
      </c>
      <c r="L251" s="122">
        <f t="shared" si="45"/>
        <v>3125997.2</v>
      </c>
      <c r="M251" s="116">
        <f t="shared" si="46"/>
        <v>1554839.7473080002</v>
      </c>
      <c r="N251" s="123">
        <f t="shared" si="47"/>
        <v>390.46703850025119</v>
      </c>
      <c r="O251" s="5"/>
      <c r="P251" s="5">
        <f t="shared" si="48"/>
        <v>1</v>
      </c>
      <c r="Q251" s="7">
        <f t="shared" si="49"/>
        <v>3982</v>
      </c>
      <c r="W251" s="124">
        <f t="shared" si="50"/>
        <v>1571157.4526919997</v>
      </c>
      <c r="X251">
        <f t="shared" si="51"/>
        <v>0</v>
      </c>
    </row>
    <row r="252" spans="1:24">
      <c r="A252" s="23" t="s">
        <v>279</v>
      </c>
      <c r="B252" s="35" t="s">
        <v>273</v>
      </c>
      <c r="C252" s="125">
        <v>15772</v>
      </c>
      <c r="D252" s="132">
        <v>1907558120</v>
      </c>
      <c r="E252" s="116">
        <f t="shared" si="52"/>
        <v>120945.86101952828</v>
      </c>
      <c r="F252" s="134">
        <v>1255344485</v>
      </c>
      <c r="G252" s="117">
        <f t="shared" si="53"/>
        <v>79593.233895511032</v>
      </c>
      <c r="H252" s="7"/>
      <c r="I252" s="136">
        <v>3.7</v>
      </c>
      <c r="J252" s="134">
        <v>4644774.5944999997</v>
      </c>
      <c r="K252" s="120">
        <f t="shared" si="54"/>
        <v>294.49496541339079</v>
      </c>
      <c r="L252" s="122">
        <f t="shared" si="45"/>
        <v>12553444.85</v>
      </c>
      <c r="M252" s="116">
        <f t="shared" si="46"/>
        <v>7908670.2555</v>
      </c>
      <c r="N252" s="123">
        <f t="shared" si="47"/>
        <v>501.43737354171952</v>
      </c>
      <c r="O252" s="5"/>
      <c r="P252" s="5">
        <f t="shared" si="48"/>
        <v>1</v>
      </c>
      <c r="Q252" s="7">
        <f t="shared" si="49"/>
        <v>15772</v>
      </c>
      <c r="W252" s="124">
        <f t="shared" si="50"/>
        <v>4644774.5945000006</v>
      </c>
      <c r="X252">
        <f t="shared" si="51"/>
        <v>0</v>
      </c>
    </row>
    <row r="253" spans="1:24">
      <c r="A253" s="23" t="s">
        <v>280</v>
      </c>
      <c r="B253" s="35" t="s">
        <v>273</v>
      </c>
      <c r="C253" s="125">
        <v>737</v>
      </c>
      <c r="D253" s="132">
        <v>155416044</v>
      </c>
      <c r="E253" s="116">
        <f t="shared" si="52"/>
        <v>210876.58616010853</v>
      </c>
      <c r="F253" s="134">
        <v>108451254</v>
      </c>
      <c r="G253" s="117">
        <f t="shared" si="53"/>
        <v>147152.3120759837</v>
      </c>
      <c r="H253" s="7"/>
      <c r="I253" s="136">
        <v>1.8</v>
      </c>
      <c r="J253" s="134">
        <v>195212.25720000002</v>
      </c>
      <c r="K253" s="120">
        <f t="shared" si="54"/>
        <v>264.8741617367707</v>
      </c>
      <c r="L253" s="122">
        <f t="shared" si="45"/>
        <v>1084512.54</v>
      </c>
      <c r="M253" s="116">
        <f t="shared" si="46"/>
        <v>889300.28280000004</v>
      </c>
      <c r="N253" s="123">
        <f t="shared" si="47"/>
        <v>1206.6489590230665</v>
      </c>
      <c r="O253" s="5"/>
      <c r="P253" s="5">
        <f t="shared" si="48"/>
        <v>1</v>
      </c>
      <c r="Q253" s="7">
        <f t="shared" si="49"/>
        <v>737</v>
      </c>
      <c r="S253" s="124"/>
      <c r="T253" s="124"/>
      <c r="U253" s="124"/>
      <c r="W253" s="124">
        <f t="shared" si="50"/>
        <v>195212.25719999999</v>
      </c>
      <c r="X253">
        <f t="shared" si="51"/>
        <v>0</v>
      </c>
    </row>
    <row r="254" spans="1:24">
      <c r="A254" s="23" t="s">
        <v>281</v>
      </c>
      <c r="B254" s="35" t="s">
        <v>273</v>
      </c>
      <c r="C254" s="125">
        <v>4752</v>
      </c>
      <c r="D254" s="132">
        <v>461716336</v>
      </c>
      <c r="E254" s="116">
        <f t="shared" si="52"/>
        <v>97162.528619528617</v>
      </c>
      <c r="F254" s="134">
        <v>276013208</v>
      </c>
      <c r="G254" s="117">
        <f t="shared" si="53"/>
        <v>58083.587542087545</v>
      </c>
      <c r="H254" s="7"/>
      <c r="I254" s="136">
        <v>5.024</v>
      </c>
      <c r="J254" s="134">
        <v>1386690.356992</v>
      </c>
      <c r="K254" s="120">
        <f t="shared" si="54"/>
        <v>291.8119438114478</v>
      </c>
      <c r="L254" s="122">
        <f t="shared" si="45"/>
        <v>2760132.08</v>
      </c>
      <c r="M254" s="116">
        <f t="shared" si="46"/>
        <v>1373441.7230080001</v>
      </c>
      <c r="N254" s="123">
        <f t="shared" si="47"/>
        <v>289.02393160942762</v>
      </c>
      <c r="O254" s="5"/>
      <c r="P254" s="5">
        <f t="shared" si="48"/>
        <v>1</v>
      </c>
      <c r="Q254" s="7">
        <f t="shared" si="49"/>
        <v>4752</v>
      </c>
      <c r="S254" s="124">
        <f>SUM(D246:D254)</f>
        <v>13938698276</v>
      </c>
      <c r="T254" s="124">
        <f>SUM(F246:F254)</f>
        <v>10564779081</v>
      </c>
      <c r="U254" s="124">
        <f>SUM(J246:J254)</f>
        <v>34516843.107300997</v>
      </c>
      <c r="W254" s="124">
        <f t="shared" si="50"/>
        <v>1386690.356992</v>
      </c>
      <c r="X254">
        <f t="shared" si="51"/>
        <v>0</v>
      </c>
    </row>
    <row r="255" spans="1:24">
      <c r="A255" s="23" t="s">
        <v>282</v>
      </c>
      <c r="B255" s="35" t="s">
        <v>282</v>
      </c>
      <c r="C255" s="125">
        <v>5254</v>
      </c>
      <c r="D255" s="132">
        <v>498440217</v>
      </c>
      <c r="E255" s="116">
        <f t="shared" si="52"/>
        <v>94868.712790255042</v>
      </c>
      <c r="F255" s="134">
        <v>331780700</v>
      </c>
      <c r="G255" s="117">
        <f t="shared" si="53"/>
        <v>63148.210886943278</v>
      </c>
      <c r="H255" s="7"/>
      <c r="I255" s="136">
        <v>7.6017999999999999</v>
      </c>
      <c r="J255" s="134">
        <v>2522130.5252599996</v>
      </c>
      <c r="K255" s="120">
        <f t="shared" si="54"/>
        <v>480.04006952036536</v>
      </c>
      <c r="L255" s="122">
        <f t="shared" si="45"/>
        <v>3317807</v>
      </c>
      <c r="M255" s="116">
        <f t="shared" si="46"/>
        <v>795676.47474000044</v>
      </c>
      <c r="N255" s="123">
        <f t="shared" si="47"/>
        <v>151.44203934906747</v>
      </c>
      <c r="O255" s="5"/>
      <c r="P255" s="5">
        <f t="shared" si="48"/>
        <v>1</v>
      </c>
      <c r="Q255" s="7">
        <f t="shared" si="49"/>
        <v>5254</v>
      </c>
      <c r="S255" s="124">
        <f>SUM(D255)</f>
        <v>498440217</v>
      </c>
      <c r="T255" s="124">
        <f>SUM(F255)</f>
        <v>331780700</v>
      </c>
      <c r="U255" s="124">
        <f>SUM(J255)</f>
        <v>2522130.5252599996</v>
      </c>
      <c r="W255" s="124">
        <f t="shared" si="50"/>
        <v>2522130.52526</v>
      </c>
      <c r="X255">
        <f t="shared" si="51"/>
        <v>0</v>
      </c>
    </row>
    <row r="256" spans="1:24">
      <c r="A256" s="23" t="s">
        <v>283</v>
      </c>
      <c r="B256" s="35" t="s">
        <v>284</v>
      </c>
      <c r="C256" s="125">
        <v>54873</v>
      </c>
      <c r="D256" s="132">
        <v>5842395697</v>
      </c>
      <c r="E256" s="116">
        <f t="shared" si="52"/>
        <v>106471.22805386984</v>
      </c>
      <c r="F256" s="134">
        <v>3819008652</v>
      </c>
      <c r="G256" s="117">
        <f t="shared" si="53"/>
        <v>69597.227270242191</v>
      </c>
      <c r="H256" s="7"/>
      <c r="I256" s="136">
        <v>4.2876000000000003</v>
      </c>
      <c r="J256" s="134">
        <v>16374381.4963152</v>
      </c>
      <c r="K256" s="120">
        <f t="shared" si="54"/>
        <v>298.40507164389044</v>
      </c>
      <c r="L256" s="122">
        <f t="shared" si="45"/>
        <v>38190086.520000003</v>
      </c>
      <c r="M256" s="116">
        <f t="shared" si="46"/>
        <v>21815705.023684803</v>
      </c>
      <c r="N256" s="123">
        <f t="shared" si="47"/>
        <v>397.56720105853157</v>
      </c>
      <c r="O256" s="5"/>
      <c r="P256" s="5">
        <f t="shared" si="48"/>
        <v>1</v>
      </c>
      <c r="Q256" s="7">
        <f t="shared" si="49"/>
        <v>54873</v>
      </c>
      <c r="W256" s="124">
        <f t="shared" si="50"/>
        <v>16374381.4963152</v>
      </c>
      <c r="X256">
        <f t="shared" si="51"/>
        <v>0</v>
      </c>
    </row>
    <row r="257" spans="1:24">
      <c r="A257" s="23" t="s">
        <v>285</v>
      </c>
      <c r="B257" s="35" t="s">
        <v>284</v>
      </c>
      <c r="C257" s="125">
        <v>29</v>
      </c>
      <c r="D257" s="132">
        <v>10919783520</v>
      </c>
      <c r="E257" s="116">
        <f t="shared" si="52"/>
        <v>376544259.31034482</v>
      </c>
      <c r="F257" s="134">
        <v>9940179344</v>
      </c>
      <c r="G257" s="117">
        <f t="shared" si="53"/>
        <v>342764804.96551722</v>
      </c>
      <c r="H257" s="7"/>
      <c r="I257" s="136">
        <v>1.6236999999999999</v>
      </c>
      <c r="J257" s="134">
        <v>16139869.200852798</v>
      </c>
      <c r="K257" s="120">
        <f t="shared" si="54"/>
        <v>556547.21382251033</v>
      </c>
      <c r="L257" s="122">
        <f t="shared" si="45"/>
        <v>99401793.439999998</v>
      </c>
      <c r="M257" s="116">
        <f t="shared" si="46"/>
        <v>83261924.239147201</v>
      </c>
      <c r="N257" s="123">
        <f t="shared" si="47"/>
        <v>2871100.8358326619</v>
      </c>
      <c r="O257" s="5"/>
      <c r="P257" s="5">
        <f t="shared" si="48"/>
        <v>1</v>
      </c>
      <c r="Q257" s="7">
        <f t="shared" si="49"/>
        <v>29</v>
      </c>
      <c r="W257" s="124">
        <f t="shared" si="50"/>
        <v>16139869.200852798</v>
      </c>
      <c r="X257">
        <f t="shared" si="51"/>
        <v>0</v>
      </c>
    </row>
    <row r="258" spans="1:24">
      <c r="A258" s="23" t="s">
        <v>286</v>
      </c>
      <c r="B258" s="35" t="s">
        <v>284</v>
      </c>
      <c r="C258" s="125">
        <v>7032</v>
      </c>
      <c r="D258" s="132">
        <v>1195441918</v>
      </c>
      <c r="E258" s="116">
        <f t="shared" si="52"/>
        <v>170000.27275312855</v>
      </c>
      <c r="F258" s="134">
        <v>839842676</v>
      </c>
      <c r="G258" s="117">
        <f t="shared" si="53"/>
        <v>119431.55233219567</v>
      </c>
      <c r="H258" s="7"/>
      <c r="I258" s="136">
        <v>4.4017999999999997</v>
      </c>
      <c r="J258" s="134">
        <v>3696819.4912167997</v>
      </c>
      <c r="K258" s="120">
        <f t="shared" si="54"/>
        <v>525.71380705585887</v>
      </c>
      <c r="L258" s="122">
        <f t="shared" si="45"/>
        <v>8398426.7599999998</v>
      </c>
      <c r="M258" s="116">
        <f t="shared" si="46"/>
        <v>4701607.2687832005</v>
      </c>
      <c r="N258" s="123">
        <f t="shared" si="47"/>
        <v>668.60171626609792</v>
      </c>
      <c r="O258" s="5"/>
      <c r="P258" s="5">
        <f t="shared" si="48"/>
        <v>1</v>
      </c>
      <c r="Q258" s="7">
        <f t="shared" si="49"/>
        <v>7032</v>
      </c>
      <c r="W258" s="124">
        <f t="shared" si="50"/>
        <v>3696819.4912168002</v>
      </c>
      <c r="X258">
        <f t="shared" si="51"/>
        <v>0</v>
      </c>
    </row>
    <row r="259" spans="1:24">
      <c r="A259" s="23" t="s">
        <v>287</v>
      </c>
      <c r="B259" s="35" t="s">
        <v>284</v>
      </c>
      <c r="C259" s="125">
        <v>2349</v>
      </c>
      <c r="D259" s="132">
        <v>362641467</v>
      </c>
      <c r="E259" s="116">
        <f t="shared" si="52"/>
        <v>154381.21200510857</v>
      </c>
      <c r="F259" s="134">
        <v>255667980</v>
      </c>
      <c r="G259" s="117">
        <f t="shared" si="53"/>
        <v>108841.20051085568</v>
      </c>
      <c r="H259" s="7"/>
      <c r="I259" s="136">
        <v>7.2938000000000001</v>
      </c>
      <c r="J259" s="134">
        <v>1864791.112524</v>
      </c>
      <c r="K259" s="120">
        <f t="shared" si="54"/>
        <v>793.86594828607917</v>
      </c>
      <c r="L259" s="122">
        <f t="shared" si="45"/>
        <v>2556679.8000000003</v>
      </c>
      <c r="M259" s="116">
        <f t="shared" si="46"/>
        <v>691888.68747600028</v>
      </c>
      <c r="N259" s="123">
        <f t="shared" si="47"/>
        <v>294.54605682247779</v>
      </c>
      <c r="O259" s="5"/>
      <c r="P259" s="5">
        <f t="shared" si="48"/>
        <v>1</v>
      </c>
      <c r="Q259" s="7">
        <f t="shared" si="49"/>
        <v>2349</v>
      </c>
      <c r="W259" s="124">
        <f t="shared" si="50"/>
        <v>1864791.1125240002</v>
      </c>
      <c r="X259">
        <f t="shared" si="51"/>
        <v>0</v>
      </c>
    </row>
    <row r="260" spans="1:24">
      <c r="A260" s="23" t="s">
        <v>288</v>
      </c>
      <c r="B260" s="35" t="s">
        <v>284</v>
      </c>
      <c r="C260" s="125">
        <v>2685</v>
      </c>
      <c r="D260" s="132">
        <v>532074763</v>
      </c>
      <c r="E260" s="116">
        <f t="shared" si="52"/>
        <v>198165.64729981378</v>
      </c>
      <c r="F260" s="134">
        <v>395457733</v>
      </c>
      <c r="G260" s="117">
        <f t="shared" si="53"/>
        <v>147284.07188081936</v>
      </c>
      <c r="H260" s="7"/>
      <c r="I260" s="136">
        <v>5.25</v>
      </c>
      <c r="J260" s="134">
        <v>2076153.09825</v>
      </c>
      <c r="K260" s="120">
        <f t="shared" si="54"/>
        <v>773.24137737430169</v>
      </c>
      <c r="L260" s="122">
        <f t="shared" si="45"/>
        <v>3954577.33</v>
      </c>
      <c r="M260" s="116">
        <f t="shared" si="46"/>
        <v>1878424.23175</v>
      </c>
      <c r="N260" s="123">
        <f t="shared" si="47"/>
        <v>699.59934143389205</v>
      </c>
      <c r="O260" s="5"/>
      <c r="P260" s="5">
        <f t="shared" si="48"/>
        <v>1</v>
      </c>
      <c r="Q260" s="7">
        <f t="shared" si="49"/>
        <v>2685</v>
      </c>
      <c r="W260" s="124">
        <f t="shared" si="50"/>
        <v>2076153.09825</v>
      </c>
      <c r="X260">
        <f t="shared" si="51"/>
        <v>0</v>
      </c>
    </row>
    <row r="261" spans="1:24">
      <c r="A261" s="23" t="s">
        <v>289</v>
      </c>
      <c r="B261" s="35" t="s">
        <v>284</v>
      </c>
      <c r="C261" s="125">
        <v>24</v>
      </c>
      <c r="D261" s="132">
        <v>3301327541</v>
      </c>
      <c r="E261" s="116">
        <f t="shared" si="52"/>
        <v>137555314.20833334</v>
      </c>
      <c r="F261" s="134">
        <v>2894625786</v>
      </c>
      <c r="G261" s="117">
        <f t="shared" si="53"/>
        <v>120609407.75</v>
      </c>
      <c r="H261" s="7"/>
      <c r="I261" s="136">
        <v>1.5914999999999999</v>
      </c>
      <c r="J261" s="134">
        <v>4606796.9384189993</v>
      </c>
      <c r="K261" s="120">
        <f t="shared" si="54"/>
        <v>191949.87243412496</v>
      </c>
      <c r="L261" s="122">
        <f t="shared" ref="L261:L325" si="55">(F261*0.01)</f>
        <v>28946257.859999999</v>
      </c>
      <c r="M261" s="116">
        <f t="shared" ref="M261:M325" si="56">(L261-J261)</f>
        <v>24339460.921581</v>
      </c>
      <c r="N261" s="123">
        <f t="shared" ref="N261:N325" si="57">(M261/C261)</f>
        <v>1014144.205065875</v>
      </c>
      <c r="O261" s="5"/>
      <c r="P261" s="5">
        <f t="shared" si="48"/>
        <v>1</v>
      </c>
      <c r="Q261" s="7">
        <f t="shared" si="49"/>
        <v>24</v>
      </c>
      <c r="W261" s="124">
        <f t="shared" si="50"/>
        <v>4606796.9384189993</v>
      </c>
      <c r="X261">
        <f t="shared" si="51"/>
        <v>0</v>
      </c>
    </row>
    <row r="262" spans="1:24">
      <c r="A262" s="23" t="s">
        <v>290</v>
      </c>
      <c r="B262" s="35" t="s">
        <v>284</v>
      </c>
      <c r="C262" s="125">
        <v>19543</v>
      </c>
      <c r="D262" s="132">
        <v>4185897428</v>
      </c>
      <c r="E262" s="116">
        <f t="shared" si="52"/>
        <v>214189.09215575911</v>
      </c>
      <c r="F262" s="134">
        <v>3372293632</v>
      </c>
      <c r="G262" s="117">
        <f t="shared" si="53"/>
        <v>172557.62329222739</v>
      </c>
      <c r="H262" s="7"/>
      <c r="I262" s="136">
        <v>4.3452999999999999</v>
      </c>
      <c r="J262" s="134">
        <v>14653627.5191296</v>
      </c>
      <c r="K262" s="120">
        <f t="shared" si="54"/>
        <v>749.81464049171575</v>
      </c>
      <c r="L262" s="122">
        <f t="shared" si="55"/>
        <v>33722936.32</v>
      </c>
      <c r="M262" s="116">
        <f t="shared" si="56"/>
        <v>19069308.8008704</v>
      </c>
      <c r="N262" s="123">
        <f t="shared" si="57"/>
        <v>975.76159243055827</v>
      </c>
      <c r="O262" s="5"/>
      <c r="P262" s="5">
        <f t="shared" ref="P262:P326" si="58">IF(I262&gt;0,1,0)</f>
        <v>1</v>
      </c>
      <c r="Q262" s="7">
        <f t="shared" ref="Q262:Q326" si="59">IF(I262&gt;0,C262,0)</f>
        <v>19543</v>
      </c>
      <c r="W262" s="124">
        <f>F262*(I262/1000)</f>
        <v>14653627.5191296</v>
      </c>
      <c r="X262">
        <f t="shared" ref="X262:X325" si="60">IF(W262=J262,0,1)</f>
        <v>0</v>
      </c>
    </row>
    <row r="263" spans="1:24">
      <c r="A263" s="23" t="s">
        <v>291</v>
      </c>
      <c r="B263" s="35" t="s">
        <v>284</v>
      </c>
      <c r="C263" s="125">
        <v>3516</v>
      </c>
      <c r="D263" s="132">
        <v>519531817</v>
      </c>
      <c r="E263" s="116">
        <f t="shared" ref="E263:E326" si="61">(D263/C263)</f>
        <v>147762.17775881683</v>
      </c>
      <c r="F263" s="134">
        <v>390268596</v>
      </c>
      <c r="G263" s="117">
        <f t="shared" ref="G263:G326" si="62">(F263/C263)</f>
        <v>110997.89419795222</v>
      </c>
      <c r="H263" s="7"/>
      <c r="I263" s="136">
        <v>6.5</v>
      </c>
      <c r="J263" s="134">
        <v>2536745.8739999998</v>
      </c>
      <c r="K263" s="120">
        <f t="shared" ref="K263:K277" si="63">(J263/C263)</f>
        <v>721.48631228668933</v>
      </c>
      <c r="L263" s="122">
        <f t="shared" si="55"/>
        <v>3902685.96</v>
      </c>
      <c r="M263" s="116">
        <f t="shared" si="56"/>
        <v>1365940.0860000001</v>
      </c>
      <c r="N263" s="123">
        <f t="shared" si="57"/>
        <v>388.49262969283279</v>
      </c>
      <c r="O263" s="5"/>
      <c r="P263" s="5">
        <f t="shared" si="58"/>
        <v>1</v>
      </c>
      <c r="Q263" s="7">
        <f t="shared" si="59"/>
        <v>3516</v>
      </c>
      <c r="W263" s="124">
        <f>F263*(I263/1000)</f>
        <v>2536745.8739999998</v>
      </c>
      <c r="X263">
        <f t="shared" si="60"/>
        <v>0</v>
      </c>
    </row>
    <row r="264" spans="1:24">
      <c r="A264" s="23" t="s">
        <v>292</v>
      </c>
      <c r="B264" s="35" t="s">
        <v>284</v>
      </c>
      <c r="C264" s="125">
        <v>47295</v>
      </c>
      <c r="D264" s="132">
        <v>4981179207</v>
      </c>
      <c r="E264" s="116">
        <f t="shared" si="61"/>
        <v>105321.47599111957</v>
      </c>
      <c r="F264" s="134">
        <v>3338591876</v>
      </c>
      <c r="G264" s="117">
        <f t="shared" si="62"/>
        <v>70590.799788561155</v>
      </c>
      <c r="H264" s="7"/>
      <c r="I264" s="136">
        <v>5.15</v>
      </c>
      <c r="J264" s="134">
        <v>17193748.161400001</v>
      </c>
      <c r="K264" s="120">
        <f t="shared" si="63"/>
        <v>363.54261891109002</v>
      </c>
      <c r="L264" s="122">
        <f t="shared" si="55"/>
        <v>33385918.760000002</v>
      </c>
      <c r="M264" s="116">
        <f t="shared" si="56"/>
        <v>16192170.5986</v>
      </c>
      <c r="N264" s="123">
        <f t="shared" si="57"/>
        <v>342.3653789745216</v>
      </c>
      <c r="O264" s="5"/>
      <c r="P264" s="5">
        <f t="shared" si="58"/>
        <v>1</v>
      </c>
      <c r="Q264" s="7">
        <f t="shared" si="59"/>
        <v>47295</v>
      </c>
      <c r="W264" s="124">
        <f>F264*(I264/1000)</f>
        <v>17193748.161400001</v>
      </c>
      <c r="X264">
        <f t="shared" si="60"/>
        <v>0</v>
      </c>
    </row>
    <row r="265" spans="1:24">
      <c r="A265" s="23" t="s">
        <v>293</v>
      </c>
      <c r="B265" s="35" t="s">
        <v>284</v>
      </c>
      <c r="C265" s="125">
        <v>307573</v>
      </c>
      <c r="D265" s="132">
        <v>61170846263</v>
      </c>
      <c r="E265" s="116">
        <f t="shared" si="61"/>
        <v>198882.36699255137</v>
      </c>
      <c r="F265" s="134">
        <v>37245271169</v>
      </c>
      <c r="G265" s="117">
        <f t="shared" si="62"/>
        <v>121094.08553091461</v>
      </c>
      <c r="H265" s="7"/>
      <c r="I265" s="136">
        <v>6.65</v>
      </c>
      <c r="J265" s="134">
        <v>247681053.27384999</v>
      </c>
      <c r="K265" s="120">
        <f t="shared" si="63"/>
        <v>805.27566878058212</v>
      </c>
      <c r="L265" s="122">
        <f t="shared" si="55"/>
        <v>372452711.69</v>
      </c>
      <c r="M265" s="116">
        <f t="shared" si="56"/>
        <v>124771658.41615</v>
      </c>
      <c r="N265" s="123">
        <f t="shared" si="57"/>
        <v>405.66518652856394</v>
      </c>
      <c r="O265" s="5"/>
      <c r="P265" s="5">
        <f t="shared" si="58"/>
        <v>1</v>
      </c>
      <c r="Q265" s="7">
        <f t="shared" si="59"/>
        <v>307573</v>
      </c>
      <c r="W265" s="124">
        <f t="shared" ref="W265:W325" si="64">F265*(I265/1000)</f>
        <v>247681053.27385002</v>
      </c>
      <c r="X265">
        <f t="shared" si="60"/>
        <v>0</v>
      </c>
    </row>
    <row r="266" spans="1:24">
      <c r="A266" s="23" t="s">
        <v>294</v>
      </c>
      <c r="B266" s="35" t="s">
        <v>284</v>
      </c>
      <c r="C266" s="125">
        <v>3030</v>
      </c>
      <c r="D266" s="132">
        <v>988509520</v>
      </c>
      <c r="E266" s="116">
        <f t="shared" si="61"/>
        <v>326240.76567656768</v>
      </c>
      <c r="F266" s="134">
        <v>759506932</v>
      </c>
      <c r="G266" s="117">
        <f t="shared" si="62"/>
        <v>250662.35379537955</v>
      </c>
      <c r="H266" s="7"/>
      <c r="I266" s="136">
        <v>3.7425000000000002</v>
      </c>
      <c r="J266" s="134">
        <v>2842454.69301</v>
      </c>
      <c r="K266" s="120">
        <f t="shared" si="63"/>
        <v>938.10385907920795</v>
      </c>
      <c r="L266" s="122">
        <f t="shared" si="55"/>
        <v>7595069.3200000003</v>
      </c>
      <c r="M266" s="116">
        <f t="shared" si="56"/>
        <v>4752614.6269899998</v>
      </c>
      <c r="N266" s="123">
        <f t="shared" si="57"/>
        <v>1568.5196788745875</v>
      </c>
      <c r="O266" s="5"/>
      <c r="P266" s="5">
        <f t="shared" si="58"/>
        <v>1</v>
      </c>
      <c r="Q266" s="7">
        <f t="shared" si="59"/>
        <v>3030</v>
      </c>
      <c r="W266" s="124">
        <f t="shared" si="64"/>
        <v>2842454.69301</v>
      </c>
      <c r="X266">
        <f t="shared" si="60"/>
        <v>0</v>
      </c>
    </row>
    <row r="267" spans="1:24">
      <c r="A267" s="23" t="s">
        <v>295</v>
      </c>
      <c r="B267" s="35" t="s">
        <v>284</v>
      </c>
      <c r="C267" s="125">
        <v>46964</v>
      </c>
      <c r="D267" s="132">
        <v>5765913242</v>
      </c>
      <c r="E267" s="116">
        <f t="shared" si="61"/>
        <v>122773.04407631377</v>
      </c>
      <c r="F267" s="134">
        <v>4096285803</v>
      </c>
      <c r="G267" s="117">
        <f t="shared" si="62"/>
        <v>87221.825291712797</v>
      </c>
      <c r="H267" s="7"/>
      <c r="I267" s="136">
        <v>4.5</v>
      </c>
      <c r="J267" s="134">
        <v>18433286.113499999</v>
      </c>
      <c r="K267" s="120">
        <f t="shared" si="63"/>
        <v>392.4982138127076</v>
      </c>
      <c r="L267" s="122">
        <f t="shared" si="55"/>
        <v>40962858.030000001</v>
      </c>
      <c r="M267" s="116">
        <f t="shared" si="56"/>
        <v>22529571.916500002</v>
      </c>
      <c r="N267" s="123">
        <f t="shared" si="57"/>
        <v>479.72003910442044</v>
      </c>
      <c r="O267" s="5"/>
      <c r="P267" s="5">
        <f t="shared" si="58"/>
        <v>1</v>
      </c>
      <c r="Q267" s="7">
        <f t="shared" si="59"/>
        <v>46964</v>
      </c>
      <c r="S267" s="124"/>
      <c r="T267" s="124"/>
      <c r="U267" s="124"/>
      <c r="W267" s="124">
        <f t="shared" si="64"/>
        <v>18433286.113499999</v>
      </c>
      <c r="X267">
        <f t="shared" si="60"/>
        <v>0</v>
      </c>
    </row>
    <row r="268" spans="1:24">
      <c r="A268" s="23" t="s">
        <v>296</v>
      </c>
      <c r="B268" s="35" t="s">
        <v>284</v>
      </c>
      <c r="C268" s="125">
        <v>29795</v>
      </c>
      <c r="D268" s="132">
        <v>9503539597</v>
      </c>
      <c r="E268" s="116">
        <f t="shared" si="61"/>
        <v>318964.24222184933</v>
      </c>
      <c r="F268" s="134">
        <v>6619272839</v>
      </c>
      <c r="G268" s="117">
        <f t="shared" si="62"/>
        <v>222160.52488672597</v>
      </c>
      <c r="H268" s="7"/>
      <c r="I268" s="136">
        <v>4.0922999999999998</v>
      </c>
      <c r="J268" s="134">
        <v>27088050.2390397</v>
      </c>
      <c r="K268" s="120">
        <f t="shared" si="63"/>
        <v>909.14751599394867</v>
      </c>
      <c r="L268" s="122">
        <f t="shared" si="55"/>
        <v>66192728.390000001</v>
      </c>
      <c r="M268" s="116">
        <f t="shared" si="56"/>
        <v>39104678.150960296</v>
      </c>
      <c r="N268" s="123">
        <f t="shared" si="57"/>
        <v>1312.4577328733108</v>
      </c>
      <c r="O268" s="5"/>
      <c r="P268" s="5">
        <f t="shared" si="58"/>
        <v>1</v>
      </c>
      <c r="Q268" s="7">
        <f t="shared" si="59"/>
        <v>29795</v>
      </c>
      <c r="S268" s="124">
        <f>SUM(D256:D268)</f>
        <v>109269081980</v>
      </c>
      <c r="T268" s="124">
        <f>SUM(F256:F268)</f>
        <v>73966273018</v>
      </c>
      <c r="U268" s="124">
        <f>SUM(J256:J268)</f>
        <v>375187777.21150708</v>
      </c>
      <c r="W268" s="124">
        <f t="shared" si="64"/>
        <v>27088050.2390397</v>
      </c>
      <c r="X268">
        <f t="shared" si="60"/>
        <v>0</v>
      </c>
    </row>
    <row r="269" spans="1:24">
      <c r="A269" s="24" t="s">
        <v>297</v>
      </c>
      <c r="B269" s="35" t="s">
        <v>298</v>
      </c>
      <c r="C269" s="125">
        <v>79226</v>
      </c>
      <c r="D269" s="132">
        <v>6405958983</v>
      </c>
      <c r="E269" s="116">
        <f t="shared" si="61"/>
        <v>80856.776601115795</v>
      </c>
      <c r="F269" s="134">
        <v>3980574333</v>
      </c>
      <c r="G269" s="117">
        <f t="shared" si="62"/>
        <v>50243.282924797415</v>
      </c>
      <c r="H269" s="7"/>
      <c r="I269" s="136">
        <v>4.6253000000000002</v>
      </c>
      <c r="J269" s="134">
        <v>18411350.4624249</v>
      </c>
      <c r="K269" s="120">
        <f t="shared" si="63"/>
        <v>232.39025651206549</v>
      </c>
      <c r="L269" s="122">
        <f t="shared" si="55"/>
        <v>39805743.329999998</v>
      </c>
      <c r="M269" s="116">
        <f t="shared" si="56"/>
        <v>21394392.867575098</v>
      </c>
      <c r="N269" s="123">
        <f t="shared" si="57"/>
        <v>270.04257273590866</v>
      </c>
      <c r="O269" s="5"/>
      <c r="P269" s="5">
        <f t="shared" si="58"/>
        <v>1</v>
      </c>
      <c r="Q269" s="7">
        <f t="shared" si="59"/>
        <v>79226</v>
      </c>
      <c r="S269" s="124"/>
      <c r="T269" s="124"/>
      <c r="U269" s="124"/>
      <c r="W269" s="124">
        <f t="shared" si="64"/>
        <v>18411350.462424904</v>
      </c>
      <c r="X269">
        <f t="shared" si="60"/>
        <v>0</v>
      </c>
    </row>
    <row r="270" spans="1:24">
      <c r="A270" s="23" t="s">
        <v>546</v>
      </c>
      <c r="B270" s="35" t="s">
        <v>298</v>
      </c>
      <c r="C270" s="125">
        <v>58964</v>
      </c>
      <c r="D270" s="132">
        <v>4776797590</v>
      </c>
      <c r="E270" s="116">
        <f t="shared" si="61"/>
        <v>81012.102130113286</v>
      </c>
      <c r="F270" s="134">
        <v>2753079322</v>
      </c>
      <c r="G270" s="117">
        <f t="shared" si="62"/>
        <v>46690.85072247473</v>
      </c>
      <c r="H270" s="7"/>
      <c r="I270" s="136">
        <v>5.1128</v>
      </c>
      <c r="J270" s="134">
        <v>14075943.957521601</v>
      </c>
      <c r="K270" s="120">
        <f t="shared" si="63"/>
        <v>238.72098157386881</v>
      </c>
      <c r="L270" s="122">
        <f t="shared" si="55"/>
        <v>27530793.219999999</v>
      </c>
      <c r="M270" s="116">
        <f t="shared" si="56"/>
        <v>13454849.262478398</v>
      </c>
      <c r="N270" s="123">
        <f t="shared" si="57"/>
        <v>228.18752565087848</v>
      </c>
      <c r="O270" s="5"/>
      <c r="P270" s="5">
        <f t="shared" si="58"/>
        <v>1</v>
      </c>
      <c r="Q270" s="7">
        <f t="shared" si="59"/>
        <v>58964</v>
      </c>
      <c r="S270" s="124">
        <f>SUM(D269:D270)</f>
        <v>11182756573</v>
      </c>
      <c r="T270" s="124">
        <f>SUM(F269:F270)</f>
        <v>6733653655</v>
      </c>
      <c r="U270" s="124">
        <f>SUM(J269:J270)</f>
        <v>32487294.419946499</v>
      </c>
      <c r="W270" s="124">
        <f t="shared" si="64"/>
        <v>14075943.957521599</v>
      </c>
      <c r="X270">
        <f t="shared" si="60"/>
        <v>0</v>
      </c>
    </row>
    <row r="271" spans="1:24">
      <c r="A271" s="23" t="s">
        <v>299</v>
      </c>
      <c r="B271" s="35" t="s">
        <v>300</v>
      </c>
      <c r="C271" s="125">
        <v>2142</v>
      </c>
      <c r="D271" s="132">
        <v>692715211</v>
      </c>
      <c r="E271" s="116">
        <f t="shared" si="61"/>
        <v>323396.45704948646</v>
      </c>
      <c r="F271" s="134">
        <v>589418897</v>
      </c>
      <c r="G271" s="117">
        <f t="shared" si="62"/>
        <v>275172.22082166199</v>
      </c>
      <c r="H271" s="7"/>
      <c r="I271" s="136">
        <v>7.61</v>
      </c>
      <c r="J271" s="134">
        <v>4485477.8061699998</v>
      </c>
      <c r="K271" s="120">
        <f t="shared" si="63"/>
        <v>2094.0606004528477</v>
      </c>
      <c r="L271" s="122">
        <f t="shared" si="55"/>
        <v>5894188.9699999997</v>
      </c>
      <c r="M271" s="116">
        <f t="shared" si="56"/>
        <v>1408711.16383</v>
      </c>
      <c r="N271" s="123">
        <f t="shared" si="57"/>
        <v>657.66160776377217</v>
      </c>
      <c r="O271" s="5"/>
      <c r="P271" s="5">
        <f t="shared" si="58"/>
        <v>1</v>
      </c>
      <c r="Q271" s="7">
        <f t="shared" si="59"/>
        <v>2142</v>
      </c>
      <c r="W271" s="124">
        <f t="shared" si="64"/>
        <v>4485477.8061700007</v>
      </c>
      <c r="X271">
        <f t="shared" si="60"/>
        <v>0</v>
      </c>
    </row>
    <row r="272" spans="1:24">
      <c r="A272" s="23" t="s">
        <v>301</v>
      </c>
      <c r="B272" s="35" t="s">
        <v>300</v>
      </c>
      <c r="C272" s="125">
        <v>16698</v>
      </c>
      <c r="D272" s="132">
        <v>742891971</v>
      </c>
      <c r="E272" s="116">
        <f t="shared" si="61"/>
        <v>44489.877290693497</v>
      </c>
      <c r="F272" s="134">
        <v>389375050</v>
      </c>
      <c r="G272" s="117">
        <f t="shared" si="62"/>
        <v>23318.663911845731</v>
      </c>
      <c r="H272" s="9"/>
      <c r="I272" s="136">
        <v>6.5419</v>
      </c>
      <c r="J272" s="134">
        <v>2547252.6395949996</v>
      </c>
      <c r="K272" s="120">
        <f t="shared" si="63"/>
        <v>152.54836744490356</v>
      </c>
      <c r="L272" s="122">
        <f t="shared" si="55"/>
        <v>3893750.5</v>
      </c>
      <c r="M272" s="116">
        <f t="shared" si="56"/>
        <v>1346497.8604050004</v>
      </c>
      <c r="N272" s="123">
        <f t="shared" si="57"/>
        <v>80.638271673553746</v>
      </c>
      <c r="O272" s="5"/>
      <c r="P272" s="5">
        <f t="shared" si="58"/>
        <v>1</v>
      </c>
      <c r="Q272" s="7">
        <f t="shared" si="59"/>
        <v>16698</v>
      </c>
      <c r="W272" s="124">
        <f t="shared" si="64"/>
        <v>2547252.6395950001</v>
      </c>
      <c r="X272">
        <f t="shared" si="60"/>
        <v>0</v>
      </c>
    </row>
    <row r="273" spans="1:24">
      <c r="A273" s="23" t="s">
        <v>302</v>
      </c>
      <c r="B273" s="35" t="s">
        <v>300</v>
      </c>
      <c r="C273" s="125">
        <v>97422</v>
      </c>
      <c r="D273" s="132">
        <v>33383877317</v>
      </c>
      <c r="E273" s="116">
        <f t="shared" si="61"/>
        <v>342672.88001683395</v>
      </c>
      <c r="F273" s="134">
        <v>26102841431</v>
      </c>
      <c r="G273" s="117">
        <f t="shared" si="62"/>
        <v>267935.79921372997</v>
      </c>
      <c r="H273" s="9"/>
      <c r="I273" s="136">
        <v>3.5703999999999998</v>
      </c>
      <c r="J273" s="134">
        <v>93197585.045242399</v>
      </c>
      <c r="K273" s="120">
        <f t="shared" si="63"/>
        <v>956.63797751270147</v>
      </c>
      <c r="L273" s="122">
        <f t="shared" si="55"/>
        <v>261028414.31</v>
      </c>
      <c r="M273" s="116">
        <f t="shared" si="56"/>
        <v>167830829.2647576</v>
      </c>
      <c r="N273" s="123">
        <f t="shared" si="57"/>
        <v>1722.7200146245982</v>
      </c>
      <c r="O273" s="5"/>
      <c r="P273" s="5">
        <f t="shared" si="58"/>
        <v>1</v>
      </c>
      <c r="Q273" s="7">
        <f t="shared" si="59"/>
        <v>97422</v>
      </c>
      <c r="W273" s="124">
        <f t="shared" si="64"/>
        <v>93197585.045242384</v>
      </c>
      <c r="X273">
        <f t="shared" si="60"/>
        <v>0</v>
      </c>
    </row>
    <row r="274" spans="1:24">
      <c r="A274" s="23" t="s">
        <v>303</v>
      </c>
      <c r="B274" s="35" t="s">
        <v>300</v>
      </c>
      <c r="C274" s="125">
        <v>80380</v>
      </c>
      <c r="D274" s="132">
        <v>9326580143</v>
      </c>
      <c r="E274" s="116">
        <f t="shared" si="61"/>
        <v>116031.10404329436</v>
      </c>
      <c r="F274" s="134">
        <v>6607021651</v>
      </c>
      <c r="G274" s="117">
        <f t="shared" si="62"/>
        <v>82197.333304304557</v>
      </c>
      <c r="H274" s="9"/>
      <c r="I274" s="136">
        <v>7.9</v>
      </c>
      <c r="J274" s="134">
        <v>52195471.042900003</v>
      </c>
      <c r="K274" s="120">
        <f t="shared" si="63"/>
        <v>649.35893310400604</v>
      </c>
      <c r="L274" s="122">
        <f t="shared" si="55"/>
        <v>66070216.509999998</v>
      </c>
      <c r="M274" s="116">
        <f t="shared" si="56"/>
        <v>13874745.467099994</v>
      </c>
      <c r="N274" s="123">
        <f t="shared" si="57"/>
        <v>172.61439993903949</v>
      </c>
      <c r="O274" s="5"/>
      <c r="P274" s="5">
        <f t="shared" si="58"/>
        <v>1</v>
      </c>
      <c r="Q274" s="7">
        <f t="shared" si="59"/>
        <v>80380</v>
      </c>
      <c r="W274" s="124">
        <f t="shared" si="64"/>
        <v>52195471.042900003</v>
      </c>
      <c r="X274">
        <f t="shared" si="60"/>
        <v>0</v>
      </c>
    </row>
    <row r="275" spans="1:24">
      <c r="A275" s="23" t="s">
        <v>304</v>
      </c>
      <c r="B275" s="35" t="s">
        <v>300</v>
      </c>
      <c r="C275" s="125">
        <v>502</v>
      </c>
      <c r="D275" s="147">
        <v>83277460</v>
      </c>
      <c r="E275" s="116">
        <f t="shared" si="61"/>
        <v>165891.35458167331</v>
      </c>
      <c r="F275" s="134">
        <v>59730069</v>
      </c>
      <c r="G275" s="117">
        <f t="shared" si="62"/>
        <v>118984.20119521912</v>
      </c>
      <c r="H275" s="98"/>
      <c r="I275" s="150">
        <v>10</v>
      </c>
      <c r="J275" s="134">
        <v>597300.68999999994</v>
      </c>
      <c r="K275" s="120">
        <f t="shared" si="63"/>
        <v>1189.8420119521911</v>
      </c>
      <c r="L275" s="122">
        <f t="shared" si="55"/>
        <v>597300.69000000006</v>
      </c>
      <c r="M275" s="116">
        <f t="shared" si="56"/>
        <v>1.1641532182693481E-10</v>
      </c>
      <c r="N275" s="123">
        <f t="shared" si="57"/>
        <v>2.3190303152775859E-13</v>
      </c>
      <c r="O275" s="5"/>
      <c r="P275" s="5">
        <f t="shared" si="58"/>
        <v>1</v>
      </c>
      <c r="Q275" s="7">
        <f t="shared" si="59"/>
        <v>502</v>
      </c>
      <c r="W275" s="124">
        <f t="shared" si="64"/>
        <v>597300.69000000006</v>
      </c>
      <c r="X275">
        <f t="shared" si="60"/>
        <v>0</v>
      </c>
    </row>
    <row r="276" spans="1:24">
      <c r="A276" s="23" t="s">
        <v>305</v>
      </c>
      <c r="B276" s="35" t="s">
        <v>300</v>
      </c>
      <c r="C276" s="125">
        <v>134</v>
      </c>
      <c r="D276" s="132" t="s">
        <v>564</v>
      </c>
      <c r="E276" s="116"/>
      <c r="F276" s="134"/>
      <c r="G276" s="117"/>
      <c r="H276" s="9" t="s">
        <v>588</v>
      </c>
      <c r="I276" s="136"/>
      <c r="J276" s="134"/>
      <c r="K276" s="120"/>
      <c r="L276" s="122">
        <f t="shared" si="55"/>
        <v>0</v>
      </c>
      <c r="M276" s="116">
        <f t="shared" si="56"/>
        <v>0</v>
      </c>
      <c r="N276" s="123">
        <f t="shared" si="57"/>
        <v>0</v>
      </c>
      <c r="O276" s="5"/>
      <c r="P276" s="5">
        <f t="shared" si="58"/>
        <v>0</v>
      </c>
      <c r="Q276" s="7">
        <f t="shared" si="59"/>
        <v>0</v>
      </c>
      <c r="W276" s="124">
        <f t="shared" si="64"/>
        <v>0</v>
      </c>
      <c r="X276">
        <f t="shared" si="60"/>
        <v>0</v>
      </c>
    </row>
    <row r="277" spans="1:24">
      <c r="A277" s="23" t="s">
        <v>306</v>
      </c>
      <c r="B277" s="35" t="s">
        <v>300</v>
      </c>
      <c r="C277" s="125">
        <v>66846</v>
      </c>
      <c r="D277" s="147">
        <v>15631831520</v>
      </c>
      <c r="E277" s="116">
        <f t="shared" si="61"/>
        <v>233848.42054872392</v>
      </c>
      <c r="F277" s="134">
        <v>11888367678</v>
      </c>
      <c r="G277" s="117">
        <f t="shared" si="62"/>
        <v>177847.10645363972</v>
      </c>
      <c r="H277" s="98"/>
      <c r="I277" s="151">
        <v>6.6611000000000002</v>
      </c>
      <c r="J277" s="134">
        <v>79189605.93992579</v>
      </c>
      <c r="K277" s="120">
        <f t="shared" si="63"/>
        <v>1184.6573607983394</v>
      </c>
      <c r="L277" s="122">
        <f t="shared" si="55"/>
        <v>118883676.78</v>
      </c>
      <c r="M277" s="116">
        <f t="shared" si="56"/>
        <v>39694070.840074211</v>
      </c>
      <c r="N277" s="123">
        <f t="shared" si="57"/>
        <v>593.81370373805782</v>
      </c>
      <c r="O277" s="5"/>
      <c r="P277" s="5">
        <f t="shared" si="58"/>
        <v>1</v>
      </c>
      <c r="Q277" s="7">
        <f t="shared" si="59"/>
        <v>66846</v>
      </c>
      <c r="W277" s="124">
        <f t="shared" si="64"/>
        <v>79189605.939925805</v>
      </c>
      <c r="X277">
        <f t="shared" si="60"/>
        <v>0</v>
      </c>
    </row>
    <row r="278" spans="1:24">
      <c r="A278" s="23" t="s">
        <v>307</v>
      </c>
      <c r="B278" s="35" t="s">
        <v>300</v>
      </c>
      <c r="C278" s="125">
        <v>217</v>
      </c>
      <c r="D278" s="132" t="s">
        <v>564</v>
      </c>
      <c r="E278" s="116"/>
      <c r="F278" s="134"/>
      <c r="G278" s="117"/>
      <c r="H278" s="9" t="s">
        <v>588</v>
      </c>
      <c r="I278" s="136"/>
      <c r="J278" s="134"/>
      <c r="K278" s="120"/>
      <c r="L278" s="122">
        <f t="shared" si="55"/>
        <v>0</v>
      </c>
      <c r="M278" s="116">
        <f t="shared" si="56"/>
        <v>0</v>
      </c>
      <c r="N278" s="123">
        <f t="shared" si="57"/>
        <v>0</v>
      </c>
      <c r="O278" s="5"/>
      <c r="P278" s="5">
        <f t="shared" si="58"/>
        <v>0</v>
      </c>
      <c r="Q278" s="7">
        <f t="shared" si="59"/>
        <v>0</v>
      </c>
      <c r="W278" s="124">
        <f t="shared" si="64"/>
        <v>0</v>
      </c>
      <c r="X278">
        <f t="shared" si="60"/>
        <v>0</v>
      </c>
    </row>
    <row r="279" spans="1:24">
      <c r="A279" s="23" t="s">
        <v>308</v>
      </c>
      <c r="B279" s="35" t="s">
        <v>300</v>
      </c>
      <c r="C279" s="125">
        <v>255</v>
      </c>
      <c r="D279" s="132">
        <v>255167973</v>
      </c>
      <c r="E279" s="116">
        <f t="shared" si="61"/>
        <v>1000658.7176470588</v>
      </c>
      <c r="F279" s="134">
        <v>193082425</v>
      </c>
      <c r="G279" s="117">
        <f t="shared" si="62"/>
        <v>757185.98039215687</v>
      </c>
      <c r="H279" s="7"/>
      <c r="I279" s="136">
        <v>6.5452000000000004</v>
      </c>
      <c r="J279" s="134">
        <v>1263763.0881100001</v>
      </c>
      <c r="K279" s="120">
        <f t="shared" ref="K279:K342" si="65">(J279/C279)</f>
        <v>4955.9336788627452</v>
      </c>
      <c r="L279" s="122">
        <f t="shared" si="55"/>
        <v>1930824.25</v>
      </c>
      <c r="M279" s="116">
        <f t="shared" si="56"/>
        <v>667061.16188999987</v>
      </c>
      <c r="N279" s="123">
        <f t="shared" si="57"/>
        <v>2615.9261250588229</v>
      </c>
      <c r="O279" s="5"/>
      <c r="P279" s="5">
        <f t="shared" si="58"/>
        <v>1</v>
      </c>
      <c r="Q279" s="7">
        <f t="shared" si="59"/>
        <v>255</v>
      </c>
      <c r="W279" s="124">
        <f t="shared" si="64"/>
        <v>1263763.0881100001</v>
      </c>
      <c r="X279">
        <f t="shared" si="60"/>
        <v>0</v>
      </c>
    </row>
    <row r="280" spans="1:24">
      <c r="A280" s="23" t="s">
        <v>309</v>
      </c>
      <c r="B280" s="35" t="s">
        <v>300</v>
      </c>
      <c r="C280" s="125">
        <v>43990</v>
      </c>
      <c r="D280" s="132">
        <v>3413992038</v>
      </c>
      <c r="E280" s="116">
        <f t="shared" si="61"/>
        <v>77608.36640145487</v>
      </c>
      <c r="F280" s="134">
        <v>2139454533</v>
      </c>
      <c r="G280" s="117">
        <f t="shared" si="62"/>
        <v>48635.020072743806</v>
      </c>
      <c r="H280" s="7"/>
      <c r="I280" s="136">
        <v>6.4</v>
      </c>
      <c r="J280" s="134">
        <v>13692509.011200001</v>
      </c>
      <c r="K280" s="120">
        <f t="shared" si="65"/>
        <v>311.26412846556036</v>
      </c>
      <c r="L280" s="122">
        <f t="shared" si="55"/>
        <v>21394545.330000002</v>
      </c>
      <c r="M280" s="116">
        <f t="shared" si="56"/>
        <v>7702036.3188000005</v>
      </c>
      <c r="N280" s="123">
        <f t="shared" si="57"/>
        <v>175.08607226187772</v>
      </c>
      <c r="O280" s="5"/>
      <c r="P280" s="5">
        <f t="shared" si="58"/>
        <v>1</v>
      </c>
      <c r="Q280" s="7">
        <f t="shared" si="59"/>
        <v>43990</v>
      </c>
      <c r="W280" s="124">
        <f t="shared" si="64"/>
        <v>13692509.011200001</v>
      </c>
      <c r="X280">
        <f t="shared" si="60"/>
        <v>0</v>
      </c>
    </row>
    <row r="281" spans="1:24">
      <c r="A281" s="23" t="s">
        <v>310</v>
      </c>
      <c r="B281" s="35" t="s">
        <v>300</v>
      </c>
      <c r="C281" s="125">
        <v>954</v>
      </c>
      <c r="D281" s="132">
        <v>1532196567</v>
      </c>
      <c r="E281" s="116">
        <f t="shared" si="61"/>
        <v>1606076.0660377359</v>
      </c>
      <c r="F281" s="134">
        <v>1229616560</v>
      </c>
      <c r="G281" s="117">
        <f t="shared" si="62"/>
        <v>1288906.247379455</v>
      </c>
      <c r="H281" s="7"/>
      <c r="I281" s="136">
        <v>3.7591000000000001</v>
      </c>
      <c r="J281" s="134">
        <v>4622251.610696</v>
      </c>
      <c r="K281" s="120">
        <f t="shared" si="65"/>
        <v>4845.1274745241089</v>
      </c>
      <c r="L281" s="122">
        <f t="shared" si="55"/>
        <v>12296165.6</v>
      </c>
      <c r="M281" s="116">
        <f t="shared" si="56"/>
        <v>7673913.9893039996</v>
      </c>
      <c r="N281" s="123">
        <f t="shared" si="57"/>
        <v>8043.9349992704401</v>
      </c>
      <c r="O281" s="5"/>
      <c r="P281" s="5">
        <f t="shared" si="58"/>
        <v>1</v>
      </c>
      <c r="Q281" s="7">
        <f t="shared" si="59"/>
        <v>954</v>
      </c>
      <c r="W281" s="124">
        <f t="shared" si="64"/>
        <v>4622251.610696</v>
      </c>
      <c r="X281">
        <f t="shared" si="60"/>
        <v>0</v>
      </c>
    </row>
    <row r="282" spans="1:24">
      <c r="A282" s="23" t="s">
        <v>311</v>
      </c>
      <c r="B282" s="35" t="s">
        <v>300</v>
      </c>
      <c r="C282" s="125">
        <v>2187</v>
      </c>
      <c r="D282" s="132">
        <v>192904250</v>
      </c>
      <c r="E282" s="116">
        <f t="shared" si="61"/>
        <v>88204.961133973484</v>
      </c>
      <c r="F282" s="134">
        <v>111712591</v>
      </c>
      <c r="G282" s="117">
        <f t="shared" si="62"/>
        <v>51080.288523090989</v>
      </c>
      <c r="H282" s="7"/>
      <c r="I282" s="136">
        <v>4.5</v>
      </c>
      <c r="J282" s="134">
        <v>502706.65950000001</v>
      </c>
      <c r="K282" s="120">
        <f t="shared" si="65"/>
        <v>229.86129835390946</v>
      </c>
      <c r="L282" s="122">
        <f t="shared" si="55"/>
        <v>1117125.9099999999</v>
      </c>
      <c r="M282" s="116">
        <f t="shared" si="56"/>
        <v>614419.25049999985</v>
      </c>
      <c r="N282" s="123">
        <f t="shared" si="57"/>
        <v>280.94158687700036</v>
      </c>
      <c r="O282" s="5"/>
      <c r="P282" s="5">
        <f t="shared" si="58"/>
        <v>1</v>
      </c>
      <c r="Q282" s="7">
        <f t="shared" si="59"/>
        <v>2187</v>
      </c>
      <c r="W282" s="124">
        <f t="shared" si="64"/>
        <v>502706.65949999995</v>
      </c>
      <c r="X282">
        <f t="shared" si="60"/>
        <v>0</v>
      </c>
    </row>
    <row r="283" spans="1:24">
      <c r="A283" s="23" t="s">
        <v>312</v>
      </c>
      <c r="B283" s="35" t="s">
        <v>300</v>
      </c>
      <c r="C283" s="125">
        <v>4295</v>
      </c>
      <c r="D283" s="132">
        <v>3089343664</v>
      </c>
      <c r="E283" s="116">
        <f t="shared" si="61"/>
        <v>719288.39674039581</v>
      </c>
      <c r="F283" s="134">
        <v>2662827187</v>
      </c>
      <c r="G283" s="117">
        <f t="shared" si="62"/>
        <v>619983.04703143192</v>
      </c>
      <c r="H283" s="7"/>
      <c r="I283" s="136">
        <v>3.2294</v>
      </c>
      <c r="J283" s="134">
        <v>8599334.1176977996</v>
      </c>
      <c r="K283" s="120">
        <f t="shared" si="65"/>
        <v>2002.1732520833061</v>
      </c>
      <c r="L283" s="122">
        <f t="shared" si="55"/>
        <v>26628271.870000001</v>
      </c>
      <c r="M283" s="116">
        <f t="shared" si="56"/>
        <v>18028937.7523022</v>
      </c>
      <c r="N283" s="123">
        <f t="shared" si="57"/>
        <v>4197.6572182310128</v>
      </c>
      <c r="O283" s="5"/>
      <c r="P283" s="5">
        <f t="shared" si="58"/>
        <v>1</v>
      </c>
      <c r="Q283" s="7">
        <f t="shared" si="59"/>
        <v>4295</v>
      </c>
      <c r="W283" s="124">
        <f t="shared" si="64"/>
        <v>8599334.1176977996</v>
      </c>
      <c r="X283">
        <f t="shared" si="60"/>
        <v>0</v>
      </c>
    </row>
    <row r="284" spans="1:24">
      <c r="A284" s="23" t="s">
        <v>313</v>
      </c>
      <c r="B284" s="35" t="s">
        <v>300</v>
      </c>
      <c r="C284" s="125">
        <v>2687</v>
      </c>
      <c r="D284" s="132">
        <v>495876884</v>
      </c>
      <c r="E284" s="116">
        <f t="shared" si="61"/>
        <v>184546.66319315223</v>
      </c>
      <c r="F284" s="134">
        <v>379715208</v>
      </c>
      <c r="G284" s="117">
        <f t="shared" si="62"/>
        <v>141315.67100855973</v>
      </c>
      <c r="H284" s="7"/>
      <c r="I284" s="136">
        <v>3.2</v>
      </c>
      <c r="J284" s="134">
        <v>1215088.6656000002</v>
      </c>
      <c r="K284" s="120">
        <f t="shared" si="65"/>
        <v>452.21014722739119</v>
      </c>
      <c r="L284" s="122">
        <f t="shared" si="55"/>
        <v>3797152.08</v>
      </c>
      <c r="M284" s="116">
        <f t="shared" si="56"/>
        <v>2582063.4144000001</v>
      </c>
      <c r="N284" s="123">
        <f t="shared" si="57"/>
        <v>960.94656285820622</v>
      </c>
      <c r="O284" s="5"/>
      <c r="P284" s="5">
        <f t="shared" si="58"/>
        <v>1</v>
      </c>
      <c r="Q284" s="7">
        <f t="shared" si="59"/>
        <v>2687</v>
      </c>
      <c r="W284" s="124">
        <f t="shared" si="64"/>
        <v>1215088.6655999999</v>
      </c>
      <c r="X284">
        <f t="shared" si="60"/>
        <v>0</v>
      </c>
    </row>
    <row r="285" spans="1:24">
      <c r="A285" s="23" t="s">
        <v>314</v>
      </c>
      <c r="B285" s="35" t="s">
        <v>300</v>
      </c>
      <c r="C285" s="125">
        <v>3858</v>
      </c>
      <c r="D285" s="132">
        <v>2002078449</v>
      </c>
      <c r="E285" s="116">
        <f t="shared" si="61"/>
        <v>518942.05520995334</v>
      </c>
      <c r="F285" s="134">
        <v>1668456080</v>
      </c>
      <c r="G285" s="117">
        <f t="shared" si="62"/>
        <v>432466.58372213581</v>
      </c>
      <c r="H285" s="7"/>
      <c r="I285" s="136">
        <v>1.9999</v>
      </c>
      <c r="J285" s="134">
        <v>3336745.314392</v>
      </c>
      <c r="K285" s="120">
        <f t="shared" si="65"/>
        <v>864.88992078589945</v>
      </c>
      <c r="L285" s="122">
        <f t="shared" si="55"/>
        <v>16684560.800000001</v>
      </c>
      <c r="M285" s="116">
        <f t="shared" si="56"/>
        <v>13347815.485608</v>
      </c>
      <c r="N285" s="123">
        <f t="shared" si="57"/>
        <v>3459.7759164354588</v>
      </c>
      <c r="O285" s="5"/>
      <c r="P285" s="5">
        <f t="shared" si="58"/>
        <v>1</v>
      </c>
      <c r="Q285" s="7">
        <f t="shared" si="59"/>
        <v>3858</v>
      </c>
      <c r="W285" s="124">
        <f t="shared" si="64"/>
        <v>3336745.3143920004</v>
      </c>
      <c r="X285">
        <f t="shared" si="60"/>
        <v>0</v>
      </c>
    </row>
    <row r="286" spans="1:24">
      <c r="A286" s="23" t="s">
        <v>315</v>
      </c>
      <c r="B286" s="35" t="s">
        <v>300</v>
      </c>
      <c r="C286" s="125">
        <v>61047</v>
      </c>
      <c r="D286" s="132">
        <v>15415720011</v>
      </c>
      <c r="E286" s="116">
        <f t="shared" si="61"/>
        <v>252522.15524104377</v>
      </c>
      <c r="F286" s="134">
        <v>11900283285</v>
      </c>
      <c r="G286" s="117">
        <f t="shared" si="62"/>
        <v>194936.41432011401</v>
      </c>
      <c r="H286" s="7"/>
      <c r="I286" s="136">
        <v>2.4632999999999998</v>
      </c>
      <c r="J286" s="134">
        <v>29313967.815940499</v>
      </c>
      <c r="K286" s="120">
        <f t="shared" si="65"/>
        <v>480.18686939473685</v>
      </c>
      <c r="L286" s="122">
        <f t="shared" si="55"/>
        <v>119002832.85000001</v>
      </c>
      <c r="M286" s="116">
        <f t="shared" si="56"/>
        <v>89688865.03405951</v>
      </c>
      <c r="N286" s="123">
        <f t="shared" si="57"/>
        <v>1469.1772738064035</v>
      </c>
      <c r="O286" s="5"/>
      <c r="P286" s="5">
        <f t="shared" si="58"/>
        <v>1</v>
      </c>
      <c r="Q286" s="7">
        <f t="shared" si="59"/>
        <v>61047</v>
      </c>
      <c r="W286" s="124">
        <f t="shared" si="64"/>
        <v>29313967.815940499</v>
      </c>
      <c r="X286">
        <f t="shared" si="60"/>
        <v>0</v>
      </c>
    </row>
    <row r="287" spans="1:24">
      <c r="A287" s="23" t="s">
        <v>316</v>
      </c>
      <c r="B287" s="35" t="s">
        <v>300</v>
      </c>
      <c r="C287" s="125">
        <v>405</v>
      </c>
      <c r="D287" s="132">
        <v>502841316</v>
      </c>
      <c r="E287" s="116">
        <f t="shared" si="61"/>
        <v>1241583.4962962964</v>
      </c>
      <c r="F287" s="134">
        <v>385452340</v>
      </c>
      <c r="G287" s="117">
        <f t="shared" si="62"/>
        <v>951734.17283950618</v>
      </c>
      <c r="H287" s="7"/>
      <c r="I287" s="136">
        <v>5.56</v>
      </c>
      <c r="J287" s="134">
        <v>2143115.0104</v>
      </c>
      <c r="K287" s="120">
        <f t="shared" si="65"/>
        <v>5291.6420009876547</v>
      </c>
      <c r="L287" s="122">
        <f t="shared" si="55"/>
        <v>3854523.4</v>
      </c>
      <c r="M287" s="116">
        <f t="shared" si="56"/>
        <v>1711408.3895999999</v>
      </c>
      <c r="N287" s="123">
        <f t="shared" si="57"/>
        <v>4225.6997274074074</v>
      </c>
      <c r="O287" s="5"/>
      <c r="P287" s="5">
        <f t="shared" si="58"/>
        <v>1</v>
      </c>
      <c r="Q287" s="7">
        <f t="shared" si="59"/>
        <v>405</v>
      </c>
      <c r="W287" s="124">
        <f t="shared" si="64"/>
        <v>2143115.0104</v>
      </c>
      <c r="X287">
        <f t="shared" si="60"/>
        <v>0</v>
      </c>
    </row>
    <row r="288" spans="1:24">
      <c r="A288" s="23" t="s">
        <v>317</v>
      </c>
      <c r="B288" s="35" t="s">
        <v>300</v>
      </c>
      <c r="C288" s="125">
        <v>3564</v>
      </c>
      <c r="D288" s="132">
        <v>474043319</v>
      </c>
      <c r="E288" s="116">
        <f t="shared" si="61"/>
        <v>133008.78759820428</v>
      </c>
      <c r="F288" s="134">
        <v>285464780</v>
      </c>
      <c r="G288" s="117">
        <f t="shared" si="62"/>
        <v>80096.739618406282</v>
      </c>
      <c r="H288" s="7"/>
      <c r="I288" s="136">
        <v>6.2797999999999998</v>
      </c>
      <c r="J288" s="134">
        <v>1792661.725444</v>
      </c>
      <c r="K288" s="120">
        <f t="shared" si="65"/>
        <v>502.99150545566778</v>
      </c>
      <c r="L288" s="122">
        <f t="shared" si="55"/>
        <v>2854647.8000000003</v>
      </c>
      <c r="M288" s="116">
        <f t="shared" si="56"/>
        <v>1061986.0745560003</v>
      </c>
      <c r="N288" s="123">
        <f t="shared" si="57"/>
        <v>297.97589072839514</v>
      </c>
      <c r="O288" s="5"/>
      <c r="P288" s="5">
        <f t="shared" si="58"/>
        <v>1</v>
      </c>
      <c r="Q288" s="7">
        <f t="shared" si="59"/>
        <v>3564</v>
      </c>
      <c r="W288" s="124">
        <f t="shared" si="64"/>
        <v>1792661.7254439997</v>
      </c>
      <c r="X288">
        <f t="shared" si="60"/>
        <v>0</v>
      </c>
    </row>
    <row r="289" spans="1:24">
      <c r="A289" s="23" t="s">
        <v>318</v>
      </c>
      <c r="B289" s="35" t="s">
        <v>300</v>
      </c>
      <c r="C289" s="125">
        <v>9047</v>
      </c>
      <c r="D289" s="132">
        <v>1052731613</v>
      </c>
      <c r="E289" s="116">
        <f t="shared" si="61"/>
        <v>116362.50834530784</v>
      </c>
      <c r="F289" s="134">
        <v>776206028</v>
      </c>
      <c r="G289" s="117">
        <f t="shared" si="62"/>
        <v>85797.062893776936</v>
      </c>
      <c r="H289" s="7"/>
      <c r="I289" s="136">
        <v>5.3474000000000004</v>
      </c>
      <c r="J289" s="134">
        <v>4150684.1141272001</v>
      </c>
      <c r="K289" s="120">
        <f t="shared" si="65"/>
        <v>458.79121411818284</v>
      </c>
      <c r="L289" s="122">
        <f t="shared" si="55"/>
        <v>7762060.2800000003</v>
      </c>
      <c r="M289" s="116">
        <f t="shared" si="56"/>
        <v>3611376.1658728002</v>
      </c>
      <c r="N289" s="123">
        <f t="shared" si="57"/>
        <v>399.17941481958661</v>
      </c>
      <c r="O289" s="5"/>
      <c r="P289" s="5">
        <f t="shared" si="58"/>
        <v>1</v>
      </c>
      <c r="Q289" s="7">
        <f t="shared" si="59"/>
        <v>9047</v>
      </c>
      <c r="W289" s="124">
        <f t="shared" si="64"/>
        <v>4150684.1141272001</v>
      </c>
      <c r="X289">
        <f t="shared" si="60"/>
        <v>0</v>
      </c>
    </row>
    <row r="290" spans="1:24">
      <c r="A290" s="24" t="s">
        <v>628</v>
      </c>
      <c r="B290" s="35" t="s">
        <v>300</v>
      </c>
      <c r="C290" s="125">
        <v>42219</v>
      </c>
      <c r="D290" s="132">
        <v>3398454165</v>
      </c>
      <c r="E290" s="116">
        <f t="shared" si="61"/>
        <v>80495.847012008817</v>
      </c>
      <c r="F290" s="134">
        <v>2174248532</v>
      </c>
      <c r="G290" s="117">
        <f t="shared" si="62"/>
        <v>51499.290177408278</v>
      </c>
      <c r="H290" s="7"/>
      <c r="I290" s="136">
        <v>5.4945000000000004</v>
      </c>
      <c r="J290" s="134">
        <v>11946408.559074001</v>
      </c>
      <c r="K290" s="120">
        <f t="shared" si="65"/>
        <v>282.96284987976981</v>
      </c>
      <c r="L290" s="122">
        <f t="shared" si="55"/>
        <v>21742485.32</v>
      </c>
      <c r="M290" s="116">
        <f t="shared" si="56"/>
        <v>9796076.7609259989</v>
      </c>
      <c r="N290" s="123">
        <f t="shared" si="57"/>
        <v>232.03005189431295</v>
      </c>
      <c r="O290" s="5"/>
      <c r="P290" s="5">
        <f t="shared" si="58"/>
        <v>1</v>
      </c>
      <c r="Q290" s="7">
        <f t="shared" si="59"/>
        <v>42219</v>
      </c>
      <c r="W290" s="124">
        <f t="shared" si="64"/>
        <v>11946408.559074001</v>
      </c>
      <c r="X290">
        <f t="shared" si="60"/>
        <v>0</v>
      </c>
    </row>
    <row r="291" spans="1:24">
      <c r="A291" s="23" t="s">
        <v>319</v>
      </c>
      <c r="B291" s="35" t="s">
        <v>300</v>
      </c>
      <c r="C291" s="125">
        <v>11504</v>
      </c>
      <c r="D291" s="132">
        <v>1705203741</v>
      </c>
      <c r="E291" s="116">
        <f t="shared" si="61"/>
        <v>148227.02894645341</v>
      </c>
      <c r="F291" s="134">
        <v>1216224521</v>
      </c>
      <c r="G291" s="117">
        <f t="shared" si="62"/>
        <v>105721.88117176635</v>
      </c>
      <c r="H291" s="9"/>
      <c r="I291" s="136">
        <v>3.5</v>
      </c>
      <c r="J291" s="134">
        <v>4256785.8234999999</v>
      </c>
      <c r="K291" s="120">
        <f t="shared" si="65"/>
        <v>370.02658410118221</v>
      </c>
      <c r="L291" s="122">
        <f t="shared" si="55"/>
        <v>12162245.210000001</v>
      </c>
      <c r="M291" s="116">
        <f t="shared" si="56"/>
        <v>7905459.386500001</v>
      </c>
      <c r="N291" s="123">
        <f t="shared" si="57"/>
        <v>687.19222761648132</v>
      </c>
      <c r="O291" s="5"/>
      <c r="P291" s="5">
        <f t="shared" si="58"/>
        <v>1</v>
      </c>
      <c r="Q291" s="7">
        <f t="shared" si="59"/>
        <v>11504</v>
      </c>
      <c r="W291" s="124">
        <f t="shared" si="64"/>
        <v>4256785.8234999999</v>
      </c>
      <c r="X291">
        <f t="shared" si="60"/>
        <v>0</v>
      </c>
    </row>
    <row r="292" spans="1:24">
      <c r="A292" s="23" t="s">
        <v>531</v>
      </c>
      <c r="B292" s="35" t="s">
        <v>300</v>
      </c>
      <c r="C292" s="125">
        <v>3355</v>
      </c>
      <c r="D292" s="132">
        <v>693655313</v>
      </c>
      <c r="E292" s="116">
        <f t="shared" si="61"/>
        <v>206752.70134128167</v>
      </c>
      <c r="F292" s="134">
        <v>358789695</v>
      </c>
      <c r="G292" s="117">
        <f t="shared" si="62"/>
        <v>106941.78688524591</v>
      </c>
      <c r="H292" s="7"/>
      <c r="I292" s="136">
        <v>3</v>
      </c>
      <c r="J292" s="134">
        <v>1076369.085</v>
      </c>
      <c r="K292" s="120">
        <f t="shared" si="65"/>
        <v>320.82536065573771</v>
      </c>
      <c r="L292" s="122">
        <f t="shared" si="55"/>
        <v>3587896.95</v>
      </c>
      <c r="M292" s="116">
        <f t="shared" si="56"/>
        <v>2511527.8650000002</v>
      </c>
      <c r="N292" s="123">
        <f t="shared" si="57"/>
        <v>748.59250819672138</v>
      </c>
      <c r="O292" s="5"/>
      <c r="P292" s="5">
        <f t="shared" si="58"/>
        <v>1</v>
      </c>
      <c r="Q292" s="7">
        <f t="shared" si="59"/>
        <v>3355</v>
      </c>
      <c r="W292" s="124">
        <f t="shared" si="64"/>
        <v>1076369.085</v>
      </c>
      <c r="X292">
        <f t="shared" si="60"/>
        <v>0</v>
      </c>
    </row>
    <row r="293" spans="1:24">
      <c r="A293" s="23" t="s">
        <v>320</v>
      </c>
      <c r="B293" s="35" t="s">
        <v>300</v>
      </c>
      <c r="C293" s="125">
        <v>419</v>
      </c>
      <c r="D293" s="132">
        <v>1562950913</v>
      </c>
      <c r="E293" s="116">
        <f t="shared" si="61"/>
        <v>3730193.1097852029</v>
      </c>
      <c r="F293" s="134">
        <v>1393448223</v>
      </c>
      <c r="G293" s="117">
        <f t="shared" si="62"/>
        <v>3325652.0835322198</v>
      </c>
      <c r="H293" s="7"/>
      <c r="I293" s="157">
        <v>3.1695000000000002</v>
      </c>
      <c r="J293" s="134">
        <v>4416534.1427985001</v>
      </c>
      <c r="K293" s="120">
        <f t="shared" si="65"/>
        <v>10540.65427875537</v>
      </c>
      <c r="L293" s="122">
        <f t="shared" si="55"/>
        <v>13934482.23</v>
      </c>
      <c r="M293" s="116">
        <f t="shared" si="56"/>
        <v>9517948.0872015003</v>
      </c>
      <c r="N293" s="123">
        <f t="shared" si="57"/>
        <v>22715.866556566827</v>
      </c>
      <c r="O293" s="5"/>
      <c r="P293" s="5">
        <f t="shared" si="58"/>
        <v>1</v>
      </c>
      <c r="Q293" s="7">
        <f t="shared" si="59"/>
        <v>419</v>
      </c>
      <c r="W293" s="124">
        <f t="shared" si="64"/>
        <v>4416534.1427985001</v>
      </c>
      <c r="X293">
        <f t="shared" si="60"/>
        <v>0</v>
      </c>
    </row>
    <row r="294" spans="1:24">
      <c r="A294" s="23" t="s">
        <v>321</v>
      </c>
      <c r="B294" s="35" t="s">
        <v>300</v>
      </c>
      <c r="C294" s="125">
        <v>2142</v>
      </c>
      <c r="D294" s="132">
        <v>292418560</v>
      </c>
      <c r="E294" s="116">
        <f t="shared" si="61"/>
        <v>136516.60130718953</v>
      </c>
      <c r="F294" s="134">
        <v>231137158</v>
      </c>
      <c r="G294" s="117">
        <f t="shared" si="62"/>
        <v>107907.16993464052</v>
      </c>
      <c r="H294" s="7"/>
      <c r="I294" s="136">
        <v>9.9</v>
      </c>
      <c r="J294" s="134">
        <v>2288257.8642000002</v>
      </c>
      <c r="K294" s="120">
        <f t="shared" si="65"/>
        <v>1068.2809823529412</v>
      </c>
      <c r="L294" s="122">
        <f t="shared" si="55"/>
        <v>2311371.58</v>
      </c>
      <c r="M294" s="116">
        <f t="shared" si="56"/>
        <v>23113.715799999889</v>
      </c>
      <c r="N294" s="123">
        <f t="shared" si="57"/>
        <v>10.790716993464001</v>
      </c>
      <c r="O294" s="5"/>
      <c r="P294" s="5">
        <f t="shared" si="58"/>
        <v>1</v>
      </c>
      <c r="Q294" s="7">
        <f t="shared" si="59"/>
        <v>2142</v>
      </c>
      <c r="W294" s="124">
        <f t="shared" si="64"/>
        <v>2288257.8642000002</v>
      </c>
      <c r="X294">
        <f t="shared" si="60"/>
        <v>0</v>
      </c>
    </row>
    <row r="295" spans="1:24">
      <c r="A295" s="23" t="s">
        <v>322</v>
      </c>
      <c r="B295" s="35" t="s">
        <v>300</v>
      </c>
      <c r="C295" s="125">
        <v>13162</v>
      </c>
      <c r="D295" s="132">
        <v>3350039719</v>
      </c>
      <c r="E295" s="116">
        <f t="shared" si="61"/>
        <v>254523.60727852909</v>
      </c>
      <c r="F295" s="134">
        <v>2433243145</v>
      </c>
      <c r="G295" s="117">
        <f t="shared" si="62"/>
        <v>184868.79995441422</v>
      </c>
      <c r="H295" s="7"/>
      <c r="I295" s="136">
        <v>7.5</v>
      </c>
      <c r="J295" s="134">
        <v>18249323.587499999</v>
      </c>
      <c r="K295" s="120">
        <f t="shared" si="65"/>
        <v>1386.5159996581065</v>
      </c>
      <c r="L295" s="122">
        <f t="shared" si="55"/>
        <v>24332431.449999999</v>
      </c>
      <c r="M295" s="116">
        <f t="shared" si="56"/>
        <v>6083107.8625000007</v>
      </c>
      <c r="N295" s="123">
        <f t="shared" si="57"/>
        <v>462.17199988603562</v>
      </c>
      <c r="O295" s="5"/>
      <c r="P295" s="5">
        <f t="shared" si="58"/>
        <v>1</v>
      </c>
      <c r="Q295" s="7">
        <f t="shared" si="59"/>
        <v>13162</v>
      </c>
      <c r="W295" s="124">
        <f t="shared" si="64"/>
        <v>18249323.587499999</v>
      </c>
      <c r="X295">
        <f t="shared" si="60"/>
        <v>0</v>
      </c>
    </row>
    <row r="296" spans="1:24">
      <c r="A296" s="23" t="s">
        <v>323</v>
      </c>
      <c r="B296" s="35" t="s">
        <v>300</v>
      </c>
      <c r="C296" s="125">
        <v>1830</v>
      </c>
      <c r="D296" s="132">
        <v>1405286333</v>
      </c>
      <c r="E296" s="116">
        <f t="shared" si="61"/>
        <v>767916.02896174858</v>
      </c>
      <c r="F296" s="134">
        <v>1098274480</v>
      </c>
      <c r="G296" s="117">
        <f t="shared" si="62"/>
        <v>600149.9890710382</v>
      </c>
      <c r="H296" s="9"/>
      <c r="I296" s="136">
        <v>5.35</v>
      </c>
      <c r="J296" s="134">
        <v>5875768.4680000003</v>
      </c>
      <c r="K296" s="120">
        <f t="shared" si="65"/>
        <v>3210.8024415300547</v>
      </c>
      <c r="L296" s="122">
        <f t="shared" si="55"/>
        <v>10982744.800000001</v>
      </c>
      <c r="M296" s="116">
        <f t="shared" si="56"/>
        <v>5106976.3320000004</v>
      </c>
      <c r="N296" s="123">
        <f t="shared" si="57"/>
        <v>2790.697449180328</v>
      </c>
      <c r="O296" s="5"/>
      <c r="P296" s="5">
        <f t="shared" si="58"/>
        <v>1</v>
      </c>
      <c r="Q296" s="7">
        <f t="shared" si="59"/>
        <v>1830</v>
      </c>
      <c r="W296" s="124">
        <f t="shared" si="64"/>
        <v>5875768.4679999994</v>
      </c>
      <c r="X296">
        <f t="shared" si="60"/>
        <v>0</v>
      </c>
    </row>
    <row r="297" spans="1:24">
      <c r="A297" s="23" t="s">
        <v>324</v>
      </c>
      <c r="B297" s="35" t="s">
        <v>300</v>
      </c>
      <c r="C297" s="125">
        <v>5524</v>
      </c>
      <c r="D297" s="132">
        <v>257147388</v>
      </c>
      <c r="E297" s="116">
        <f t="shared" si="61"/>
        <v>46550.939174511223</v>
      </c>
      <c r="F297" s="134">
        <v>93251049</v>
      </c>
      <c r="G297" s="117">
        <f t="shared" si="62"/>
        <v>16881.073316437363</v>
      </c>
      <c r="H297" s="7"/>
      <c r="I297" s="136">
        <v>6.5419</v>
      </c>
      <c r="J297" s="134">
        <v>610039.03745309997</v>
      </c>
      <c r="K297" s="120">
        <f t="shared" si="65"/>
        <v>110.43429352880159</v>
      </c>
      <c r="L297" s="122">
        <f t="shared" si="55"/>
        <v>932510.49</v>
      </c>
      <c r="M297" s="116">
        <f t="shared" si="56"/>
        <v>322471.45254690002</v>
      </c>
      <c r="N297" s="123">
        <f t="shared" si="57"/>
        <v>58.376439635572055</v>
      </c>
      <c r="O297" s="5"/>
      <c r="P297" s="5">
        <f t="shared" si="58"/>
        <v>1</v>
      </c>
      <c r="Q297" s="7">
        <f t="shared" si="59"/>
        <v>5524</v>
      </c>
      <c r="W297" s="124">
        <f t="shared" si="64"/>
        <v>610039.03745309997</v>
      </c>
      <c r="X297">
        <f t="shared" si="60"/>
        <v>0</v>
      </c>
    </row>
    <row r="298" spans="1:24">
      <c r="A298" s="23" t="s">
        <v>300</v>
      </c>
      <c r="B298" s="35" t="s">
        <v>300</v>
      </c>
      <c r="C298" s="125">
        <v>9245</v>
      </c>
      <c r="D298" s="132">
        <v>24859779683</v>
      </c>
      <c r="E298" s="116">
        <f t="shared" si="61"/>
        <v>2688997.2615467822</v>
      </c>
      <c r="F298" s="134">
        <v>20051414243</v>
      </c>
      <c r="G298" s="117">
        <f t="shared" si="62"/>
        <v>2168892.8332071388</v>
      </c>
      <c r="H298" s="7"/>
      <c r="I298" s="136">
        <v>2.9962</v>
      </c>
      <c r="J298" s="134">
        <v>60078047.3548766</v>
      </c>
      <c r="K298" s="120">
        <f t="shared" si="65"/>
        <v>6498.4367068552301</v>
      </c>
      <c r="L298" s="122">
        <f t="shared" si="55"/>
        <v>200514142.43000001</v>
      </c>
      <c r="M298" s="116">
        <f t="shared" si="56"/>
        <v>140436095.0751234</v>
      </c>
      <c r="N298" s="123">
        <f t="shared" si="57"/>
        <v>15190.49162521616</v>
      </c>
      <c r="O298" s="5"/>
      <c r="P298" s="5">
        <f t="shared" si="58"/>
        <v>1</v>
      </c>
      <c r="Q298" s="7">
        <f t="shared" si="59"/>
        <v>9245</v>
      </c>
      <c r="W298" s="124">
        <f t="shared" si="64"/>
        <v>60078047.3548766</v>
      </c>
      <c r="X298">
        <f t="shared" si="60"/>
        <v>0</v>
      </c>
    </row>
    <row r="299" spans="1:24">
      <c r="A299" s="23" t="s">
        <v>325</v>
      </c>
      <c r="B299" s="35" t="s">
        <v>300</v>
      </c>
      <c r="C299" s="125">
        <v>59182</v>
      </c>
      <c r="D299" s="132">
        <v>16333485027</v>
      </c>
      <c r="E299" s="116">
        <f t="shared" si="61"/>
        <v>275987.37837518164</v>
      </c>
      <c r="F299" s="134">
        <v>13068235112</v>
      </c>
      <c r="G299" s="117">
        <f t="shared" si="62"/>
        <v>220814.35422932648</v>
      </c>
      <c r="H299" s="7"/>
      <c r="I299" s="136">
        <v>5.55</v>
      </c>
      <c r="J299" s="134">
        <v>72528704.871599987</v>
      </c>
      <c r="K299" s="120">
        <f t="shared" si="65"/>
        <v>1225.5196659727617</v>
      </c>
      <c r="L299" s="122">
        <f t="shared" si="55"/>
        <v>130682351.12</v>
      </c>
      <c r="M299" s="116">
        <f t="shared" si="56"/>
        <v>58153646.248400018</v>
      </c>
      <c r="N299" s="123">
        <f t="shared" si="57"/>
        <v>982.6238763205032</v>
      </c>
      <c r="O299" s="5"/>
      <c r="P299" s="5">
        <f t="shared" si="58"/>
        <v>1</v>
      </c>
      <c r="Q299" s="7">
        <f t="shared" si="59"/>
        <v>59182</v>
      </c>
      <c r="W299" s="124">
        <f t="shared" si="64"/>
        <v>72528704.871600002</v>
      </c>
      <c r="X299">
        <f t="shared" si="60"/>
        <v>0</v>
      </c>
    </row>
    <row r="300" spans="1:24">
      <c r="A300" s="23" t="s">
        <v>326</v>
      </c>
      <c r="B300" s="35" t="s">
        <v>300</v>
      </c>
      <c r="C300" s="125">
        <v>1330</v>
      </c>
      <c r="D300" s="132">
        <v>718073319</v>
      </c>
      <c r="E300" s="116">
        <f t="shared" si="61"/>
        <v>539904.75112781953</v>
      </c>
      <c r="F300" s="134">
        <v>630357960</v>
      </c>
      <c r="G300" s="117">
        <f t="shared" si="62"/>
        <v>473953.35338345863</v>
      </c>
      <c r="H300" s="9"/>
      <c r="I300" s="136">
        <v>6.35</v>
      </c>
      <c r="J300" s="134">
        <v>4002773.0460000001</v>
      </c>
      <c r="K300" s="120">
        <f t="shared" si="65"/>
        <v>3009.6037939849625</v>
      </c>
      <c r="L300" s="122">
        <f t="shared" si="55"/>
        <v>6303579.6000000006</v>
      </c>
      <c r="M300" s="116">
        <f t="shared" si="56"/>
        <v>2300806.5540000005</v>
      </c>
      <c r="N300" s="123">
        <f t="shared" si="57"/>
        <v>1729.9297398496244</v>
      </c>
      <c r="O300" s="5"/>
      <c r="P300" s="5">
        <f t="shared" si="58"/>
        <v>1</v>
      </c>
      <c r="Q300" s="7">
        <f t="shared" si="59"/>
        <v>1330</v>
      </c>
      <c r="W300" s="124">
        <f t="shared" si="64"/>
        <v>4002773.0459999996</v>
      </c>
      <c r="X300">
        <f t="shared" si="60"/>
        <v>0</v>
      </c>
    </row>
    <row r="301" spans="1:24">
      <c r="A301" s="23" t="s">
        <v>327</v>
      </c>
      <c r="B301" s="35" t="s">
        <v>300</v>
      </c>
      <c r="C301" s="125">
        <v>26890</v>
      </c>
      <c r="D301" s="132">
        <v>2147796934</v>
      </c>
      <c r="E301" s="116">
        <f t="shared" si="61"/>
        <v>79873.444923763484</v>
      </c>
      <c r="F301" s="134">
        <v>1434068623</v>
      </c>
      <c r="G301" s="117">
        <f t="shared" si="62"/>
        <v>53330.926850130163</v>
      </c>
      <c r="H301" s="7"/>
      <c r="I301" s="136">
        <v>3.5</v>
      </c>
      <c r="J301" s="134">
        <v>5019240.1804999998</v>
      </c>
      <c r="K301" s="120">
        <f t="shared" si="65"/>
        <v>186.65824397545555</v>
      </c>
      <c r="L301" s="122">
        <f t="shared" si="55"/>
        <v>14340686.23</v>
      </c>
      <c r="M301" s="116">
        <f t="shared" si="56"/>
        <v>9321446.0494999997</v>
      </c>
      <c r="N301" s="123">
        <f t="shared" si="57"/>
        <v>346.65102452584603</v>
      </c>
      <c r="O301" s="5"/>
      <c r="P301" s="5">
        <f t="shared" si="58"/>
        <v>1</v>
      </c>
      <c r="Q301" s="7">
        <f t="shared" si="59"/>
        <v>26890</v>
      </c>
      <c r="W301" s="124">
        <f t="shared" si="64"/>
        <v>5019240.1804999998</v>
      </c>
      <c r="X301">
        <f t="shared" si="60"/>
        <v>0</v>
      </c>
    </row>
    <row r="302" spans="1:24">
      <c r="A302" s="23" t="s">
        <v>328</v>
      </c>
      <c r="B302" s="35" t="s">
        <v>300</v>
      </c>
      <c r="C302" s="125">
        <v>37604</v>
      </c>
      <c r="D302" s="132">
        <v>7844227597</v>
      </c>
      <c r="E302" s="116">
        <f t="shared" si="61"/>
        <v>208600.88280502075</v>
      </c>
      <c r="F302" s="134">
        <v>5998244330</v>
      </c>
      <c r="G302" s="117">
        <f t="shared" si="62"/>
        <v>159510.80549941494</v>
      </c>
      <c r="H302" s="7"/>
      <c r="I302" s="136">
        <v>8.452</v>
      </c>
      <c r="J302" s="134">
        <v>50697161.077159993</v>
      </c>
      <c r="K302" s="120">
        <f t="shared" si="65"/>
        <v>1348.1853280810551</v>
      </c>
      <c r="L302" s="122">
        <f t="shared" si="55"/>
        <v>59982443.300000004</v>
      </c>
      <c r="M302" s="116">
        <f t="shared" si="56"/>
        <v>9285282.2228400111</v>
      </c>
      <c r="N302" s="123">
        <f t="shared" si="57"/>
        <v>246.92272691309464</v>
      </c>
      <c r="O302" s="5"/>
      <c r="P302" s="5">
        <f t="shared" si="58"/>
        <v>1</v>
      </c>
      <c r="Q302" s="7">
        <f t="shared" si="59"/>
        <v>37604</v>
      </c>
      <c r="W302" s="124">
        <f t="shared" si="64"/>
        <v>50697161.077159993</v>
      </c>
      <c r="X302">
        <f t="shared" si="60"/>
        <v>0</v>
      </c>
    </row>
    <row r="303" spans="1:24">
      <c r="A303" s="23" t="s">
        <v>329</v>
      </c>
      <c r="B303" s="35" t="s">
        <v>300</v>
      </c>
      <c r="C303" s="125">
        <v>38932</v>
      </c>
      <c r="D303" s="132">
        <v>4693800128</v>
      </c>
      <c r="E303" s="116">
        <f t="shared" si="61"/>
        <v>120564.06370081168</v>
      </c>
      <c r="F303" s="134">
        <v>3221702246</v>
      </c>
      <c r="G303" s="117">
        <f t="shared" si="62"/>
        <v>82752.035497791017</v>
      </c>
      <c r="H303" s="7"/>
      <c r="I303" s="136">
        <v>1.92</v>
      </c>
      <c r="J303" s="134">
        <v>6185668.3123199996</v>
      </c>
      <c r="K303" s="120">
        <f t="shared" si="65"/>
        <v>158.88390815575875</v>
      </c>
      <c r="L303" s="122">
        <f t="shared" si="55"/>
        <v>32217022.460000001</v>
      </c>
      <c r="M303" s="116">
        <f t="shared" si="56"/>
        <v>26031354.147679999</v>
      </c>
      <c r="N303" s="123">
        <f t="shared" si="57"/>
        <v>668.63644682215147</v>
      </c>
      <c r="O303" s="5"/>
      <c r="P303" s="5">
        <f t="shared" si="58"/>
        <v>1</v>
      </c>
      <c r="Q303" s="7">
        <f t="shared" si="59"/>
        <v>38932</v>
      </c>
      <c r="W303" s="124">
        <f t="shared" si="64"/>
        <v>6185668.3123199996</v>
      </c>
      <c r="X303">
        <f t="shared" si="60"/>
        <v>0</v>
      </c>
    </row>
    <row r="304" spans="1:24">
      <c r="A304" s="23" t="s">
        <v>330</v>
      </c>
      <c r="B304" s="35" t="s">
        <v>300</v>
      </c>
      <c r="C304" s="125">
        <v>4860</v>
      </c>
      <c r="D304" s="132">
        <v>189644139</v>
      </c>
      <c r="E304" s="116">
        <f t="shared" si="61"/>
        <v>39021.427777777775</v>
      </c>
      <c r="F304" s="134">
        <v>72710749</v>
      </c>
      <c r="G304" s="117">
        <f t="shared" si="62"/>
        <v>14961.059465020577</v>
      </c>
      <c r="H304" s="7"/>
      <c r="I304" s="136">
        <v>6.3089000000000004</v>
      </c>
      <c r="J304" s="134">
        <v>458724.84436610003</v>
      </c>
      <c r="K304" s="120">
        <f t="shared" si="65"/>
        <v>94.387828058868323</v>
      </c>
      <c r="L304" s="122">
        <f t="shared" si="55"/>
        <v>727107.49</v>
      </c>
      <c r="M304" s="116">
        <f t="shared" si="56"/>
        <v>268382.64563389996</v>
      </c>
      <c r="N304" s="123">
        <f t="shared" si="57"/>
        <v>55.222766591337439</v>
      </c>
      <c r="O304" s="5"/>
      <c r="P304" s="5">
        <f t="shared" si="58"/>
        <v>1</v>
      </c>
      <c r="Q304" s="7">
        <f t="shared" si="59"/>
        <v>4860</v>
      </c>
      <c r="W304" s="124">
        <f t="shared" si="64"/>
        <v>458724.84436610003</v>
      </c>
      <c r="X304">
        <f t="shared" si="60"/>
        <v>0</v>
      </c>
    </row>
    <row r="305" spans="1:24">
      <c r="A305" s="23" t="s">
        <v>331</v>
      </c>
      <c r="B305" s="35" t="s">
        <v>300</v>
      </c>
      <c r="C305" s="125">
        <v>1471</v>
      </c>
      <c r="D305" s="132">
        <v>508967798</v>
      </c>
      <c r="E305" s="116">
        <f t="shared" si="61"/>
        <v>346001.22229775664</v>
      </c>
      <c r="F305" s="134">
        <v>439264124</v>
      </c>
      <c r="G305" s="117">
        <f t="shared" si="62"/>
        <v>298615.99184228416</v>
      </c>
      <c r="H305" s="7"/>
      <c r="I305" s="136">
        <v>3.5367000000000002</v>
      </c>
      <c r="J305" s="134">
        <v>1553545.4273508</v>
      </c>
      <c r="K305" s="120">
        <f t="shared" si="65"/>
        <v>1056.1151783486064</v>
      </c>
      <c r="L305" s="122">
        <f t="shared" si="55"/>
        <v>4392641.24</v>
      </c>
      <c r="M305" s="116">
        <f t="shared" si="56"/>
        <v>2839095.8126492002</v>
      </c>
      <c r="N305" s="123">
        <f t="shared" si="57"/>
        <v>1930.0447400742353</v>
      </c>
      <c r="O305" s="5"/>
      <c r="P305" s="5">
        <f t="shared" si="58"/>
        <v>1</v>
      </c>
      <c r="Q305" s="7">
        <f t="shared" si="59"/>
        <v>1471</v>
      </c>
      <c r="W305" s="124">
        <f t="shared" si="64"/>
        <v>1553545.4273508</v>
      </c>
      <c r="X305">
        <f t="shared" si="60"/>
        <v>0</v>
      </c>
    </row>
    <row r="306" spans="1:24">
      <c r="A306" s="23" t="s">
        <v>332</v>
      </c>
      <c r="B306" s="35" t="s">
        <v>300</v>
      </c>
      <c r="C306" s="125">
        <v>6158</v>
      </c>
      <c r="D306" s="132">
        <v>1728446994</v>
      </c>
      <c r="E306" s="116">
        <f t="shared" si="61"/>
        <v>280683.17538161739</v>
      </c>
      <c r="F306" s="134">
        <v>1226378532</v>
      </c>
      <c r="G306" s="117">
        <f t="shared" si="62"/>
        <v>199152.08379343944</v>
      </c>
      <c r="H306" s="7"/>
      <c r="I306" s="136">
        <v>6.6289999999999996</v>
      </c>
      <c r="J306" s="134">
        <v>8129663.2886279989</v>
      </c>
      <c r="K306" s="120">
        <f t="shared" si="65"/>
        <v>1320.1791634667097</v>
      </c>
      <c r="L306" s="122">
        <f t="shared" si="55"/>
        <v>12263785.32</v>
      </c>
      <c r="M306" s="116">
        <f t="shared" si="56"/>
        <v>4134122.0313720014</v>
      </c>
      <c r="N306" s="123">
        <f t="shared" si="57"/>
        <v>671.34167446768458</v>
      </c>
      <c r="O306" s="5"/>
      <c r="P306" s="5">
        <f t="shared" si="58"/>
        <v>1</v>
      </c>
      <c r="Q306" s="7">
        <f t="shared" si="59"/>
        <v>6158</v>
      </c>
      <c r="W306" s="124">
        <f t="shared" si="64"/>
        <v>8129663.2886279989</v>
      </c>
      <c r="X306">
        <f t="shared" si="60"/>
        <v>0</v>
      </c>
    </row>
    <row r="307" spans="1:24">
      <c r="A307" s="23" t="s">
        <v>333</v>
      </c>
      <c r="B307" s="35" t="s">
        <v>300</v>
      </c>
      <c r="C307" s="125">
        <v>61637</v>
      </c>
      <c r="D307" s="132">
        <v>12734595306</v>
      </c>
      <c r="E307" s="116">
        <f t="shared" si="61"/>
        <v>206606.34531206905</v>
      </c>
      <c r="F307" s="134">
        <v>8828894894</v>
      </c>
      <c r="G307" s="117">
        <f t="shared" si="62"/>
        <v>143240.17869137044</v>
      </c>
      <c r="H307" s="7"/>
      <c r="I307" s="136">
        <v>2.4700000000000002</v>
      </c>
      <c r="J307" s="134">
        <v>21807370.388179999</v>
      </c>
      <c r="K307" s="120">
        <f t="shared" si="65"/>
        <v>353.80324136768496</v>
      </c>
      <c r="L307" s="122">
        <f t="shared" si="55"/>
        <v>88288948.939999998</v>
      </c>
      <c r="M307" s="116">
        <f t="shared" si="56"/>
        <v>66481578.551819995</v>
      </c>
      <c r="N307" s="123">
        <f t="shared" si="57"/>
        <v>1078.5985455460193</v>
      </c>
      <c r="O307" s="5"/>
      <c r="P307" s="5">
        <f t="shared" si="58"/>
        <v>1</v>
      </c>
      <c r="Q307" s="7">
        <f t="shared" si="59"/>
        <v>61637</v>
      </c>
      <c r="W307" s="124">
        <f t="shared" si="64"/>
        <v>21807370.388180003</v>
      </c>
      <c r="X307">
        <f t="shared" si="60"/>
        <v>0</v>
      </c>
    </row>
    <row r="308" spans="1:24">
      <c r="A308" s="24" t="s">
        <v>334</v>
      </c>
      <c r="B308" s="35" t="s">
        <v>300</v>
      </c>
      <c r="C308" s="125">
        <v>117415</v>
      </c>
      <c r="D308" s="132">
        <v>20696510786</v>
      </c>
      <c r="E308" s="116">
        <f t="shared" si="61"/>
        <v>176268.03037090661</v>
      </c>
      <c r="F308" s="134">
        <v>14618544369</v>
      </c>
      <c r="G308" s="117">
        <f t="shared" si="62"/>
        <v>124503.2097176681</v>
      </c>
      <c r="H308" s="7"/>
      <c r="I308" s="136">
        <v>8.3465000000000007</v>
      </c>
      <c r="J308" s="134">
        <v>122013680.5758585</v>
      </c>
      <c r="K308" s="120">
        <f t="shared" si="65"/>
        <v>1039.1660399085167</v>
      </c>
      <c r="L308" s="122">
        <f>(F308*0.01)</f>
        <v>146185443.69</v>
      </c>
      <c r="M308" s="116">
        <f>(L308-J308)</f>
        <v>24171763.114141494</v>
      </c>
      <c r="N308" s="123">
        <f>(M308/C308)</f>
        <v>205.86605726816416</v>
      </c>
      <c r="O308" s="5"/>
      <c r="P308" s="5">
        <f>IF(I308&gt;0,1,0)</f>
        <v>1</v>
      </c>
      <c r="Q308" s="7">
        <f>IF(I308&gt;0,C308,0)</f>
        <v>117415</v>
      </c>
      <c r="S308" s="124"/>
      <c r="T308" s="124"/>
      <c r="U308" s="124"/>
      <c r="W308" s="124">
        <f t="shared" si="64"/>
        <v>122013680.57585852</v>
      </c>
      <c r="X308">
        <f t="shared" si="60"/>
        <v>0</v>
      </c>
    </row>
    <row r="309" spans="1:24">
      <c r="A309" s="23" t="s">
        <v>614</v>
      </c>
      <c r="B309" s="35" t="s">
        <v>300</v>
      </c>
      <c r="C309" s="125">
        <v>906</v>
      </c>
      <c r="D309" s="132">
        <v>384657930</v>
      </c>
      <c r="E309" s="116">
        <f t="shared" si="61"/>
        <v>424567.25165562914</v>
      </c>
      <c r="F309" s="134">
        <v>220342779</v>
      </c>
      <c r="G309" s="117">
        <f t="shared" si="62"/>
        <v>243203.95033112582</v>
      </c>
      <c r="H309" s="7"/>
      <c r="I309" s="136">
        <v>5.125</v>
      </c>
      <c r="J309" s="134">
        <v>1129256.7423749999</v>
      </c>
      <c r="K309" s="120">
        <f t="shared" si="65"/>
        <v>1246.4202454470199</v>
      </c>
      <c r="L309" s="122">
        <f t="shared" si="55"/>
        <v>2203427.79</v>
      </c>
      <c r="M309" s="116">
        <f t="shared" si="56"/>
        <v>1074171.0476250001</v>
      </c>
      <c r="N309" s="123">
        <f t="shared" si="57"/>
        <v>1185.6192578642385</v>
      </c>
      <c r="O309" s="5"/>
      <c r="P309" s="5">
        <f t="shared" si="58"/>
        <v>1</v>
      </c>
      <c r="Q309" s="7">
        <f t="shared" si="59"/>
        <v>906</v>
      </c>
      <c r="S309" s="124">
        <f>SUM(D271:D309)</f>
        <v>193793211479</v>
      </c>
      <c r="T309" s="124">
        <f>SUM(F271:F309)</f>
        <v>146177800557</v>
      </c>
      <c r="U309" s="124">
        <f>SUM(J271:J309)</f>
        <v>705168842.97368109</v>
      </c>
      <c r="W309" s="124">
        <f t="shared" si="64"/>
        <v>1129256.7423750001</v>
      </c>
      <c r="X309">
        <f t="shared" si="60"/>
        <v>0</v>
      </c>
    </row>
    <row r="310" spans="1:24">
      <c r="A310" s="23" t="s">
        <v>335</v>
      </c>
      <c r="B310" s="35" t="s">
        <v>336</v>
      </c>
      <c r="C310" s="125">
        <v>7275</v>
      </c>
      <c r="D310" s="132">
        <v>688198046</v>
      </c>
      <c r="E310" s="116">
        <f t="shared" si="61"/>
        <v>94597.669553264612</v>
      </c>
      <c r="F310" s="134">
        <v>303418289</v>
      </c>
      <c r="G310" s="117">
        <f t="shared" si="62"/>
        <v>41706.981305841924</v>
      </c>
      <c r="H310" s="7"/>
      <c r="I310" s="136">
        <v>7.14</v>
      </c>
      <c r="J310" s="134">
        <v>2166406.5834599999</v>
      </c>
      <c r="K310" s="120">
        <f t="shared" si="65"/>
        <v>297.78784652371132</v>
      </c>
      <c r="L310" s="122">
        <f t="shared" si="55"/>
        <v>3034182.89</v>
      </c>
      <c r="M310" s="116">
        <f t="shared" si="56"/>
        <v>867776.30654000025</v>
      </c>
      <c r="N310" s="123">
        <f t="shared" si="57"/>
        <v>119.28196653470793</v>
      </c>
      <c r="O310" s="5"/>
      <c r="P310" s="5">
        <f t="shared" si="58"/>
        <v>1</v>
      </c>
      <c r="Q310" s="7">
        <f t="shared" si="59"/>
        <v>7275</v>
      </c>
      <c r="W310" s="124">
        <f t="shared" si="64"/>
        <v>2166406.5834599999</v>
      </c>
      <c r="X310">
        <f t="shared" si="60"/>
        <v>0</v>
      </c>
    </row>
    <row r="311" spans="1:24">
      <c r="A311" s="23" t="s">
        <v>337</v>
      </c>
      <c r="B311" s="35" t="s">
        <v>336</v>
      </c>
      <c r="C311" s="125">
        <v>16728</v>
      </c>
      <c r="D311" s="132">
        <v>1129362548</v>
      </c>
      <c r="E311" s="116">
        <f t="shared" si="61"/>
        <v>67513.303921568629</v>
      </c>
      <c r="F311" s="134">
        <v>668102256</v>
      </c>
      <c r="G311" s="117">
        <f t="shared" si="62"/>
        <v>39939.15925394548</v>
      </c>
      <c r="H311" s="7"/>
      <c r="I311" s="136">
        <v>8.75</v>
      </c>
      <c r="J311" s="134">
        <v>5845894.7400000002</v>
      </c>
      <c r="K311" s="120">
        <f t="shared" si="65"/>
        <v>349.46764347202298</v>
      </c>
      <c r="L311" s="122">
        <f t="shared" si="55"/>
        <v>6681022.5600000005</v>
      </c>
      <c r="M311" s="116">
        <f t="shared" si="56"/>
        <v>835127.8200000003</v>
      </c>
      <c r="N311" s="123">
        <f t="shared" si="57"/>
        <v>49.92394906743187</v>
      </c>
      <c r="O311" s="5"/>
      <c r="P311" s="5">
        <f t="shared" si="58"/>
        <v>1</v>
      </c>
      <c r="Q311" s="7">
        <f t="shared" si="59"/>
        <v>16728</v>
      </c>
      <c r="W311" s="124">
        <f t="shared" si="64"/>
        <v>5845894.7400000002</v>
      </c>
      <c r="X311">
        <f t="shared" si="60"/>
        <v>0</v>
      </c>
    </row>
    <row r="312" spans="1:24">
      <c r="A312" s="23" t="s">
        <v>338</v>
      </c>
      <c r="B312" s="35" t="s">
        <v>336</v>
      </c>
      <c r="C312" s="125">
        <v>3052</v>
      </c>
      <c r="D312" s="132">
        <v>403764983</v>
      </c>
      <c r="E312" s="116">
        <f t="shared" si="61"/>
        <v>132295.21068152032</v>
      </c>
      <c r="F312" s="134">
        <v>313146528</v>
      </c>
      <c r="G312" s="117">
        <f t="shared" si="62"/>
        <v>102603.71166448231</v>
      </c>
      <c r="H312" s="7"/>
      <c r="I312" s="136">
        <v>6.7847</v>
      </c>
      <c r="J312" s="134">
        <v>2124605.2485215999</v>
      </c>
      <c r="K312" s="120">
        <f t="shared" si="65"/>
        <v>696.13540253001304</v>
      </c>
      <c r="L312" s="122">
        <f t="shared" si="55"/>
        <v>3131465.2800000003</v>
      </c>
      <c r="M312" s="116">
        <f t="shared" si="56"/>
        <v>1006860.0314784003</v>
      </c>
      <c r="N312" s="123">
        <f t="shared" si="57"/>
        <v>329.90171411481009</v>
      </c>
      <c r="O312" s="5"/>
      <c r="P312" s="5">
        <f t="shared" si="58"/>
        <v>1</v>
      </c>
      <c r="Q312" s="7">
        <f t="shared" si="59"/>
        <v>3052</v>
      </c>
      <c r="W312" s="124">
        <f t="shared" si="64"/>
        <v>2124605.2485215999</v>
      </c>
      <c r="X312">
        <f t="shared" si="60"/>
        <v>0</v>
      </c>
    </row>
    <row r="313" spans="1:24">
      <c r="A313" s="24" t="s">
        <v>339</v>
      </c>
      <c r="B313" s="35" t="s">
        <v>336</v>
      </c>
      <c r="C313" s="125">
        <v>1297</v>
      </c>
      <c r="D313" s="132">
        <v>132089544</v>
      </c>
      <c r="E313" s="116">
        <f t="shared" si="61"/>
        <v>101842.36237471086</v>
      </c>
      <c r="F313" s="134">
        <v>75281812</v>
      </c>
      <c r="G313" s="117">
        <f t="shared" si="62"/>
        <v>58043.031611410952</v>
      </c>
      <c r="H313" s="7"/>
      <c r="I313" s="136">
        <v>4.0199999999999996</v>
      </c>
      <c r="J313" s="134">
        <v>302632.88423999993</v>
      </c>
      <c r="K313" s="120">
        <f t="shared" si="65"/>
        <v>233.33298707787196</v>
      </c>
      <c r="L313" s="122">
        <f t="shared" si="55"/>
        <v>752818.12</v>
      </c>
      <c r="M313" s="116">
        <f t="shared" si="56"/>
        <v>450185.23576000007</v>
      </c>
      <c r="N313" s="123">
        <f t="shared" si="57"/>
        <v>347.09732903623751</v>
      </c>
      <c r="O313" s="5"/>
      <c r="P313" s="5">
        <f t="shared" si="58"/>
        <v>1</v>
      </c>
      <c r="Q313" s="7">
        <f t="shared" si="59"/>
        <v>1297</v>
      </c>
      <c r="W313" s="124">
        <f t="shared" si="64"/>
        <v>302632.88423999993</v>
      </c>
      <c r="X313">
        <f t="shared" si="60"/>
        <v>0</v>
      </c>
    </row>
    <row r="314" spans="1:24">
      <c r="A314" s="23" t="s">
        <v>547</v>
      </c>
      <c r="B314" s="35" t="s">
        <v>336</v>
      </c>
      <c r="C314" s="125">
        <v>2362</v>
      </c>
      <c r="D314" s="132">
        <v>76552769</v>
      </c>
      <c r="E314" s="116">
        <f t="shared" si="61"/>
        <v>32410.147756138864</v>
      </c>
      <c r="F314" s="134">
        <v>10717308</v>
      </c>
      <c r="G314" s="117">
        <f t="shared" si="62"/>
        <v>4537.3869602032173</v>
      </c>
      <c r="H314" s="7"/>
      <c r="I314" s="136">
        <v>0.7</v>
      </c>
      <c r="J314" s="134">
        <v>7502.1155999999992</v>
      </c>
      <c r="K314" s="120">
        <f t="shared" si="65"/>
        <v>3.1761708721422521</v>
      </c>
      <c r="L314" s="122">
        <f t="shared" si="55"/>
        <v>107173.08</v>
      </c>
      <c r="M314" s="116">
        <f t="shared" si="56"/>
        <v>99670.964399999997</v>
      </c>
      <c r="N314" s="123">
        <f t="shared" si="57"/>
        <v>42.197698729889922</v>
      </c>
      <c r="O314" s="5"/>
      <c r="P314" s="5">
        <f t="shared" si="58"/>
        <v>1</v>
      </c>
      <c r="Q314" s="7">
        <f t="shared" si="59"/>
        <v>2362</v>
      </c>
      <c r="S314" s="124"/>
      <c r="T314" s="124"/>
      <c r="U314" s="124"/>
      <c r="W314" s="124">
        <f t="shared" si="64"/>
        <v>7502.1156000000001</v>
      </c>
      <c r="X314">
        <f t="shared" si="60"/>
        <v>0</v>
      </c>
    </row>
    <row r="315" spans="1:24">
      <c r="A315" s="23" t="s">
        <v>340</v>
      </c>
      <c r="B315" s="35" t="s">
        <v>336</v>
      </c>
      <c r="C315" s="125">
        <v>17194</v>
      </c>
      <c r="D315" s="132">
        <v>1327140275</v>
      </c>
      <c r="E315" s="116">
        <f t="shared" si="61"/>
        <v>77186.243747819011</v>
      </c>
      <c r="F315" s="134">
        <v>843313128</v>
      </c>
      <c r="G315" s="117">
        <f t="shared" si="62"/>
        <v>49046.942421775035</v>
      </c>
      <c r="H315" s="7"/>
      <c r="I315" s="136">
        <v>6.35</v>
      </c>
      <c r="J315" s="134">
        <v>5355038.3627999993</v>
      </c>
      <c r="K315" s="120">
        <f t="shared" si="65"/>
        <v>311.44808437827146</v>
      </c>
      <c r="L315" s="122">
        <f t="shared" si="55"/>
        <v>8433131.2799999993</v>
      </c>
      <c r="M315" s="116">
        <f t="shared" si="56"/>
        <v>3078092.9172</v>
      </c>
      <c r="N315" s="123">
        <f t="shared" si="57"/>
        <v>179.02133983947888</v>
      </c>
      <c r="O315" s="5"/>
      <c r="P315" s="5">
        <f t="shared" si="58"/>
        <v>1</v>
      </c>
      <c r="Q315" s="7">
        <f t="shared" si="59"/>
        <v>17194</v>
      </c>
      <c r="S315" s="124">
        <f>SUM(D310:D315)</f>
        <v>3757108165</v>
      </c>
      <c r="T315" s="124">
        <f>SUM(F310:F315)</f>
        <v>2213979321</v>
      </c>
      <c r="U315" s="124">
        <f>SUM(J310:J315)</f>
        <v>15802079.934621599</v>
      </c>
      <c r="W315" s="124">
        <f t="shared" si="64"/>
        <v>5355038.3628000002</v>
      </c>
      <c r="X315">
        <f t="shared" si="60"/>
        <v>0</v>
      </c>
    </row>
    <row r="316" spans="1:24">
      <c r="A316" s="23" t="s">
        <v>341</v>
      </c>
      <c r="B316" s="35" t="s">
        <v>342</v>
      </c>
      <c r="C316" s="125">
        <v>4273</v>
      </c>
      <c r="D316" s="132">
        <v>1255684762</v>
      </c>
      <c r="E316" s="116">
        <f t="shared" si="61"/>
        <v>293864.91036742338</v>
      </c>
      <c r="F316" s="134">
        <v>879021141</v>
      </c>
      <c r="G316" s="117">
        <f t="shared" si="62"/>
        <v>205715.22139012403</v>
      </c>
      <c r="H316" s="7"/>
      <c r="I316" s="136">
        <v>6.5</v>
      </c>
      <c r="J316" s="134">
        <v>5713637.4165000003</v>
      </c>
      <c r="K316" s="120">
        <f t="shared" si="65"/>
        <v>1337.1489390358063</v>
      </c>
      <c r="L316" s="122">
        <f t="shared" si="55"/>
        <v>8790211.4100000001</v>
      </c>
      <c r="M316" s="116">
        <f t="shared" si="56"/>
        <v>3076573.9934999999</v>
      </c>
      <c r="N316" s="123">
        <f t="shared" si="57"/>
        <v>720.00327486543404</v>
      </c>
      <c r="O316" s="5"/>
      <c r="P316" s="5">
        <f t="shared" si="58"/>
        <v>1</v>
      </c>
      <c r="Q316" s="7">
        <f t="shared" si="59"/>
        <v>4273</v>
      </c>
      <c r="W316" s="124">
        <f t="shared" si="64"/>
        <v>5713637.4164999994</v>
      </c>
      <c r="X316">
        <f t="shared" si="60"/>
        <v>0</v>
      </c>
    </row>
    <row r="317" spans="1:24">
      <c r="A317" s="23" t="s">
        <v>343</v>
      </c>
      <c r="B317" s="35" t="s">
        <v>342</v>
      </c>
      <c r="C317" s="125">
        <v>1633</v>
      </c>
      <c r="D317" s="132">
        <v>766791906</v>
      </c>
      <c r="E317" s="116">
        <f t="shared" si="61"/>
        <v>469560.26086956525</v>
      </c>
      <c r="F317" s="134">
        <v>594232641</v>
      </c>
      <c r="G317" s="117">
        <f t="shared" si="62"/>
        <v>363890.16595223517</v>
      </c>
      <c r="H317" s="7"/>
      <c r="I317" s="136">
        <v>2.0394000000000001</v>
      </c>
      <c r="J317" s="134">
        <v>1211878.0480554001</v>
      </c>
      <c r="K317" s="120">
        <f t="shared" si="65"/>
        <v>742.11760444298841</v>
      </c>
      <c r="L317" s="122">
        <f t="shared" si="55"/>
        <v>5942326.4100000001</v>
      </c>
      <c r="M317" s="116">
        <f t="shared" si="56"/>
        <v>4730448.3619446</v>
      </c>
      <c r="N317" s="123">
        <f t="shared" si="57"/>
        <v>2896.784055079363</v>
      </c>
      <c r="O317" s="5"/>
      <c r="P317" s="5">
        <f t="shared" si="58"/>
        <v>1</v>
      </c>
      <c r="Q317" s="7">
        <f t="shared" si="59"/>
        <v>1633</v>
      </c>
      <c r="W317" s="124">
        <f t="shared" si="64"/>
        <v>1211878.0480554001</v>
      </c>
      <c r="X317">
        <f t="shared" si="60"/>
        <v>0</v>
      </c>
    </row>
    <row r="318" spans="1:24">
      <c r="A318" s="23" t="s">
        <v>344</v>
      </c>
      <c r="B318" s="35" t="s">
        <v>342</v>
      </c>
      <c r="C318" s="125">
        <v>2311</v>
      </c>
      <c r="D318" s="132">
        <v>367600515</v>
      </c>
      <c r="E318" s="116">
        <f t="shared" si="61"/>
        <v>159065.56252704456</v>
      </c>
      <c r="F318" s="134">
        <v>255982987</v>
      </c>
      <c r="G318" s="117">
        <f t="shared" si="62"/>
        <v>110767.19472090005</v>
      </c>
      <c r="H318" s="7"/>
      <c r="I318" s="136">
        <v>5.35</v>
      </c>
      <c r="J318" s="134">
        <v>1369508.9804499999</v>
      </c>
      <c r="K318" s="120">
        <f t="shared" si="65"/>
        <v>592.60449175681515</v>
      </c>
      <c r="L318" s="122">
        <f t="shared" si="55"/>
        <v>2559829.87</v>
      </c>
      <c r="M318" s="116">
        <f t="shared" si="56"/>
        <v>1190320.8895500002</v>
      </c>
      <c r="N318" s="123">
        <f t="shared" si="57"/>
        <v>515.0674554521853</v>
      </c>
      <c r="O318" s="5"/>
      <c r="P318" s="5">
        <f t="shared" si="58"/>
        <v>1</v>
      </c>
      <c r="Q318" s="7">
        <f t="shared" si="59"/>
        <v>2311</v>
      </c>
      <c r="W318" s="124">
        <f t="shared" si="64"/>
        <v>1369508.9804499999</v>
      </c>
      <c r="X318">
        <f t="shared" si="60"/>
        <v>0</v>
      </c>
    </row>
    <row r="319" spans="1:24">
      <c r="A319" s="23" t="s">
        <v>345</v>
      </c>
      <c r="B319" s="35" t="s">
        <v>342</v>
      </c>
      <c r="C319" s="125">
        <v>73</v>
      </c>
      <c r="D319" s="132">
        <v>225614491</v>
      </c>
      <c r="E319" s="116">
        <f t="shared" si="61"/>
        <v>3090609.4657534244</v>
      </c>
      <c r="F319" s="134">
        <v>181431682</v>
      </c>
      <c r="G319" s="117">
        <f t="shared" si="62"/>
        <v>2485365.506849315</v>
      </c>
      <c r="H319" s="7"/>
      <c r="I319" s="136">
        <v>0.58230000000000004</v>
      </c>
      <c r="J319" s="134">
        <v>105647.66842860001</v>
      </c>
      <c r="K319" s="120">
        <f t="shared" si="65"/>
        <v>1447.2283346383563</v>
      </c>
      <c r="L319" s="122">
        <f t="shared" si="55"/>
        <v>1814316.82</v>
      </c>
      <c r="M319" s="116">
        <f t="shared" si="56"/>
        <v>1708669.1515714</v>
      </c>
      <c r="N319" s="123">
        <f t="shared" si="57"/>
        <v>23406.426733854794</v>
      </c>
      <c r="O319" s="5"/>
      <c r="P319" s="5">
        <f t="shared" si="58"/>
        <v>1</v>
      </c>
      <c r="Q319" s="7">
        <f t="shared" si="59"/>
        <v>73</v>
      </c>
      <c r="W319" s="124">
        <f t="shared" si="64"/>
        <v>105647.66842859999</v>
      </c>
      <c r="X319">
        <f t="shared" si="60"/>
        <v>0</v>
      </c>
    </row>
    <row r="320" spans="1:24">
      <c r="A320" s="129" t="s">
        <v>346</v>
      </c>
      <c r="B320" s="130" t="s">
        <v>342</v>
      </c>
      <c r="C320" s="131">
        <v>117292</v>
      </c>
      <c r="D320" s="132">
        <v>18576531906</v>
      </c>
      <c r="E320" s="133">
        <f t="shared" si="61"/>
        <v>158378.50753674589</v>
      </c>
      <c r="F320" s="134">
        <v>12717958772</v>
      </c>
      <c r="G320" s="134">
        <f t="shared" si="62"/>
        <v>108429.89097295639</v>
      </c>
      <c r="H320" s="135"/>
      <c r="I320" s="136">
        <v>5.9550000000000001</v>
      </c>
      <c r="J320" s="134">
        <v>75735444.487259999</v>
      </c>
      <c r="K320" s="137">
        <f t="shared" si="65"/>
        <v>645.70000074395523</v>
      </c>
      <c r="L320" s="138">
        <f t="shared" si="55"/>
        <v>127179587.72</v>
      </c>
      <c r="M320" s="133">
        <f t="shared" si="56"/>
        <v>51444143.23274</v>
      </c>
      <c r="N320" s="139">
        <f t="shared" si="57"/>
        <v>438.59890898560855</v>
      </c>
      <c r="O320" s="5"/>
      <c r="P320" s="5">
        <f t="shared" si="58"/>
        <v>1</v>
      </c>
      <c r="Q320" s="7">
        <f t="shared" si="59"/>
        <v>117292</v>
      </c>
      <c r="W320" s="124">
        <f t="shared" si="64"/>
        <v>75735444.487259999</v>
      </c>
      <c r="X320">
        <f t="shared" si="60"/>
        <v>0</v>
      </c>
    </row>
    <row r="321" spans="1:24">
      <c r="A321" s="23" t="s">
        <v>347</v>
      </c>
      <c r="B321" s="35" t="s">
        <v>342</v>
      </c>
      <c r="C321" s="125">
        <v>36068</v>
      </c>
      <c r="D321" s="132">
        <v>5098784952</v>
      </c>
      <c r="E321" s="116">
        <f t="shared" si="61"/>
        <v>141365.89087279583</v>
      </c>
      <c r="F321" s="134">
        <v>3057294312</v>
      </c>
      <c r="G321" s="117">
        <f t="shared" si="62"/>
        <v>84764.730841743367</v>
      </c>
      <c r="H321" s="7"/>
      <c r="I321" s="136">
        <v>4.1345000000000001</v>
      </c>
      <c r="J321" s="134">
        <v>12640383.332964001</v>
      </c>
      <c r="K321" s="120">
        <f t="shared" si="65"/>
        <v>350.45977966518802</v>
      </c>
      <c r="L321" s="122">
        <f t="shared" si="55"/>
        <v>30572943.120000001</v>
      </c>
      <c r="M321" s="116">
        <f t="shared" si="56"/>
        <v>17932559.787036002</v>
      </c>
      <c r="N321" s="123">
        <f t="shared" si="57"/>
        <v>497.18752875224578</v>
      </c>
      <c r="O321" s="5"/>
      <c r="P321" s="5">
        <f t="shared" si="58"/>
        <v>1</v>
      </c>
      <c r="Q321" s="7">
        <f t="shared" si="59"/>
        <v>36068</v>
      </c>
      <c r="W321" s="124">
        <f t="shared" si="64"/>
        <v>12640383.332964001</v>
      </c>
      <c r="X321">
        <f t="shared" si="60"/>
        <v>0</v>
      </c>
    </row>
    <row r="322" spans="1:24">
      <c r="A322" s="23" t="s">
        <v>348</v>
      </c>
      <c r="B322" s="35" t="s">
        <v>342</v>
      </c>
      <c r="C322" s="125">
        <v>11783</v>
      </c>
      <c r="D322" s="132">
        <v>1784065945</v>
      </c>
      <c r="E322" s="116">
        <f t="shared" si="61"/>
        <v>151410.16252227785</v>
      </c>
      <c r="F322" s="134">
        <v>1108362697</v>
      </c>
      <c r="G322" s="117">
        <f t="shared" si="62"/>
        <v>94064.558855978947</v>
      </c>
      <c r="H322" s="7"/>
      <c r="I322" s="136">
        <v>4.0389999999999997</v>
      </c>
      <c r="J322" s="134">
        <v>4476676.9331829995</v>
      </c>
      <c r="K322" s="120">
        <f t="shared" si="65"/>
        <v>379.92675321929897</v>
      </c>
      <c r="L322" s="122">
        <f t="shared" si="55"/>
        <v>11083626.970000001</v>
      </c>
      <c r="M322" s="116">
        <f t="shared" si="56"/>
        <v>6606950.0368170012</v>
      </c>
      <c r="N322" s="123">
        <f t="shared" si="57"/>
        <v>560.71883534049061</v>
      </c>
      <c r="O322" s="5"/>
      <c r="P322" s="5">
        <f t="shared" si="58"/>
        <v>1</v>
      </c>
      <c r="Q322" s="7">
        <f t="shared" si="59"/>
        <v>11783</v>
      </c>
      <c r="W322" s="124">
        <f t="shared" si="64"/>
        <v>4476676.9331830004</v>
      </c>
      <c r="X322">
        <f t="shared" si="60"/>
        <v>0</v>
      </c>
    </row>
    <row r="323" spans="1:24">
      <c r="A323" s="23" t="s">
        <v>349</v>
      </c>
      <c r="B323" s="35" t="s">
        <v>342</v>
      </c>
      <c r="C323" s="125">
        <v>3673</v>
      </c>
      <c r="D323" s="132">
        <v>1700425005</v>
      </c>
      <c r="E323" s="116">
        <f t="shared" si="61"/>
        <v>462952.62864143751</v>
      </c>
      <c r="F323" s="134">
        <v>1334018967</v>
      </c>
      <c r="G323" s="117">
        <f t="shared" si="62"/>
        <v>363196.01606316364</v>
      </c>
      <c r="H323" s="98"/>
      <c r="I323" s="136">
        <v>1.8326</v>
      </c>
      <c r="J323" s="134">
        <v>2444723.1589242001</v>
      </c>
      <c r="K323" s="120">
        <f t="shared" si="65"/>
        <v>665.59301903735366</v>
      </c>
      <c r="L323" s="122">
        <f t="shared" si="55"/>
        <v>13340189.67</v>
      </c>
      <c r="M323" s="116">
        <f t="shared" si="56"/>
        <v>10895466.5110758</v>
      </c>
      <c r="N323" s="123">
        <f t="shared" si="57"/>
        <v>2966.3671415942827</v>
      </c>
      <c r="O323" s="5"/>
      <c r="P323" s="5">
        <f t="shared" si="58"/>
        <v>1</v>
      </c>
      <c r="Q323" s="7">
        <f t="shared" si="59"/>
        <v>3673</v>
      </c>
      <c r="W323" s="124">
        <f t="shared" si="64"/>
        <v>2444723.1589242001</v>
      </c>
      <c r="X323">
        <f t="shared" si="60"/>
        <v>0</v>
      </c>
    </row>
    <row r="324" spans="1:24">
      <c r="A324" s="23" t="s">
        <v>350</v>
      </c>
      <c r="B324" s="35" t="s">
        <v>342</v>
      </c>
      <c r="C324" s="125">
        <v>1190</v>
      </c>
      <c r="D324" s="132">
        <v>1228838308</v>
      </c>
      <c r="E324" s="116">
        <f t="shared" si="61"/>
        <v>1032637.2336134454</v>
      </c>
      <c r="F324" s="134">
        <v>1083522351</v>
      </c>
      <c r="G324" s="117">
        <f t="shared" si="62"/>
        <v>910522.98403361347</v>
      </c>
      <c r="H324" s="7"/>
      <c r="I324" s="136">
        <v>1.87</v>
      </c>
      <c r="J324" s="134">
        <v>2026186.7963700001</v>
      </c>
      <c r="K324" s="120">
        <f t="shared" si="65"/>
        <v>1702.6779801428572</v>
      </c>
      <c r="L324" s="122">
        <f t="shared" si="55"/>
        <v>10835223.51</v>
      </c>
      <c r="M324" s="116">
        <f t="shared" si="56"/>
        <v>8809036.7136300001</v>
      </c>
      <c r="N324" s="123">
        <f t="shared" si="57"/>
        <v>7402.5518601932772</v>
      </c>
      <c r="O324" s="5"/>
      <c r="P324" s="5">
        <f t="shared" si="58"/>
        <v>1</v>
      </c>
      <c r="Q324" s="7">
        <f t="shared" si="59"/>
        <v>1190</v>
      </c>
      <c r="W324" s="124">
        <f t="shared" si="64"/>
        <v>2026186.7963700001</v>
      </c>
      <c r="X324">
        <f t="shared" si="60"/>
        <v>0</v>
      </c>
    </row>
    <row r="325" spans="1:24">
      <c r="A325" s="23" t="s">
        <v>351</v>
      </c>
      <c r="B325" s="35" t="s">
        <v>342</v>
      </c>
      <c r="C325" s="125">
        <v>5047</v>
      </c>
      <c r="D325" s="132">
        <v>343853548</v>
      </c>
      <c r="E325" s="116">
        <f t="shared" si="61"/>
        <v>68130.284921735685</v>
      </c>
      <c r="F325" s="134">
        <v>198385170</v>
      </c>
      <c r="G325" s="117">
        <f t="shared" si="62"/>
        <v>39307.543094907865</v>
      </c>
      <c r="H325" s="7"/>
      <c r="I325" s="136">
        <v>5.4374000000000002</v>
      </c>
      <c r="J325" s="134">
        <v>1078699.523358</v>
      </c>
      <c r="K325" s="120">
        <f t="shared" si="65"/>
        <v>213.73083482425201</v>
      </c>
      <c r="L325" s="122">
        <f t="shared" si="55"/>
        <v>1983851.7</v>
      </c>
      <c r="M325" s="116">
        <f t="shared" si="56"/>
        <v>905152.17664199998</v>
      </c>
      <c r="N325" s="123">
        <f t="shared" si="57"/>
        <v>179.34459612482664</v>
      </c>
      <c r="O325" s="5"/>
      <c r="P325" s="5">
        <f t="shared" si="58"/>
        <v>1</v>
      </c>
      <c r="Q325" s="7">
        <f t="shared" si="59"/>
        <v>5047</v>
      </c>
      <c r="W325" s="124">
        <f t="shared" si="64"/>
        <v>1078699.523358</v>
      </c>
      <c r="X325">
        <f t="shared" si="60"/>
        <v>0</v>
      </c>
    </row>
    <row r="326" spans="1:24">
      <c r="A326" s="23" t="s">
        <v>352</v>
      </c>
      <c r="B326" s="35" t="s">
        <v>342</v>
      </c>
      <c r="C326" s="125">
        <v>82485</v>
      </c>
      <c r="D326" s="132">
        <v>7994264225</v>
      </c>
      <c r="E326" s="116">
        <f t="shared" si="61"/>
        <v>96917.793841304476</v>
      </c>
      <c r="F326" s="134">
        <v>5521765435</v>
      </c>
      <c r="G326" s="117">
        <f t="shared" si="62"/>
        <v>66942.661514214706</v>
      </c>
      <c r="H326" s="7"/>
      <c r="I326" s="136">
        <v>5.62</v>
      </c>
      <c r="J326" s="134">
        <v>31032321.7447</v>
      </c>
      <c r="K326" s="120">
        <f t="shared" si="65"/>
        <v>376.21775770988665</v>
      </c>
      <c r="L326" s="122">
        <f t="shared" ref="L326:L389" si="66">(F326*0.01)</f>
        <v>55217654.350000001</v>
      </c>
      <c r="M326" s="116">
        <f t="shared" ref="M326:M389" si="67">(L326-J326)</f>
        <v>24185332.605300002</v>
      </c>
      <c r="N326" s="123">
        <f t="shared" ref="N326:N389" si="68">(M326/C326)</f>
        <v>293.20885743226046</v>
      </c>
      <c r="O326" s="5"/>
      <c r="P326" s="5">
        <f t="shared" si="58"/>
        <v>1</v>
      </c>
      <c r="Q326" s="7">
        <f t="shared" si="59"/>
        <v>82485</v>
      </c>
      <c r="W326" s="124">
        <f t="shared" ref="W326:W389" si="69">F326*(I326/1000)</f>
        <v>31032321.7447</v>
      </c>
      <c r="X326">
        <f t="shared" ref="X326:X389" si="70">IF(W326=J326,0,1)</f>
        <v>0</v>
      </c>
    </row>
    <row r="327" spans="1:24">
      <c r="A327" s="23" t="s">
        <v>353</v>
      </c>
      <c r="B327" s="35" t="s">
        <v>342</v>
      </c>
      <c r="C327" s="125">
        <v>3895</v>
      </c>
      <c r="D327" s="132">
        <v>1803931701</v>
      </c>
      <c r="E327" s="116">
        <f t="shared" ref="E327:E388" si="71">(D327/C327)</f>
        <v>463140.35969191272</v>
      </c>
      <c r="F327" s="134">
        <v>1418713814</v>
      </c>
      <c r="G327" s="117">
        <f t="shared" ref="G327:G388" si="72">(F327/C327)</f>
        <v>364239.74685494223</v>
      </c>
      <c r="H327" s="7"/>
      <c r="I327" s="136">
        <v>2.75</v>
      </c>
      <c r="J327" s="134">
        <v>3901462.9885</v>
      </c>
      <c r="K327" s="120">
        <f t="shared" si="65"/>
        <v>1001.6593038510912</v>
      </c>
      <c r="L327" s="122">
        <f t="shared" si="66"/>
        <v>14187138.140000001</v>
      </c>
      <c r="M327" s="116">
        <f t="shared" si="67"/>
        <v>10285675.151500002</v>
      </c>
      <c r="N327" s="123">
        <f t="shared" si="68"/>
        <v>2640.7381646983317</v>
      </c>
      <c r="O327" s="5"/>
      <c r="P327" s="5">
        <f t="shared" ref="P327:P390" si="73">IF(I327&gt;0,1,0)</f>
        <v>1</v>
      </c>
      <c r="Q327" s="7">
        <f t="shared" ref="Q327:Q390" si="74">IF(I327&gt;0,C327,0)</f>
        <v>3895</v>
      </c>
      <c r="W327" s="124">
        <f t="shared" si="69"/>
        <v>3901462.9885</v>
      </c>
      <c r="X327">
        <f t="shared" si="70"/>
        <v>0</v>
      </c>
    </row>
    <row r="328" spans="1:24">
      <c r="A328" s="23" t="s">
        <v>354</v>
      </c>
      <c r="B328" s="35" t="s">
        <v>342</v>
      </c>
      <c r="C328" s="125">
        <v>1495</v>
      </c>
      <c r="D328" s="132">
        <v>688734074</v>
      </c>
      <c r="E328" s="116">
        <f t="shared" si="71"/>
        <v>460691.68829431437</v>
      </c>
      <c r="F328" s="134">
        <v>576968139</v>
      </c>
      <c r="G328" s="117">
        <f t="shared" si="72"/>
        <v>385931.86555183947</v>
      </c>
      <c r="H328" s="7"/>
      <c r="I328" s="136">
        <v>1</v>
      </c>
      <c r="J328" s="134">
        <v>576968.13899999997</v>
      </c>
      <c r="K328" s="120">
        <f t="shared" si="65"/>
        <v>385.93186555183945</v>
      </c>
      <c r="L328" s="122">
        <f t="shared" si="66"/>
        <v>5769681.3899999997</v>
      </c>
      <c r="M328" s="116">
        <f t="shared" si="67"/>
        <v>5192713.2510000002</v>
      </c>
      <c r="N328" s="123">
        <f t="shared" si="68"/>
        <v>3473.3867899665552</v>
      </c>
      <c r="O328" s="5"/>
      <c r="P328" s="5">
        <f t="shared" si="73"/>
        <v>1</v>
      </c>
      <c r="Q328" s="7">
        <f t="shared" si="74"/>
        <v>1495</v>
      </c>
      <c r="W328" s="124">
        <f t="shared" si="69"/>
        <v>576968.13899999997</v>
      </c>
      <c r="X328">
        <f t="shared" si="70"/>
        <v>0</v>
      </c>
    </row>
    <row r="329" spans="1:24">
      <c r="A329" s="23" t="s">
        <v>355</v>
      </c>
      <c r="B329" s="35" t="s">
        <v>342</v>
      </c>
      <c r="C329" s="125">
        <v>14898</v>
      </c>
      <c r="D329" s="132">
        <v>2224830739</v>
      </c>
      <c r="E329" s="116">
        <f t="shared" si="71"/>
        <v>149337.54456974092</v>
      </c>
      <c r="F329" s="134">
        <v>1580238473</v>
      </c>
      <c r="G329" s="117">
        <f t="shared" si="72"/>
        <v>106070.51100818902</v>
      </c>
      <c r="H329" s="7"/>
      <c r="I329" s="136">
        <v>4.05</v>
      </c>
      <c r="J329" s="134">
        <v>6399965.8156499993</v>
      </c>
      <c r="K329" s="120">
        <f t="shared" si="65"/>
        <v>429.58556958316547</v>
      </c>
      <c r="L329" s="122">
        <f t="shared" si="66"/>
        <v>15802384.73</v>
      </c>
      <c r="M329" s="116">
        <f t="shared" si="67"/>
        <v>9402418.9143500011</v>
      </c>
      <c r="N329" s="123">
        <f t="shared" si="68"/>
        <v>631.11954049872475</v>
      </c>
      <c r="O329" s="5"/>
      <c r="P329" s="5">
        <f t="shared" si="73"/>
        <v>1</v>
      </c>
      <c r="Q329" s="7">
        <f t="shared" si="74"/>
        <v>14898</v>
      </c>
      <c r="W329" s="124">
        <f t="shared" si="69"/>
        <v>6399965.8156499993</v>
      </c>
      <c r="X329">
        <f t="shared" si="70"/>
        <v>0</v>
      </c>
    </row>
    <row r="330" spans="1:24">
      <c r="A330" s="23" t="s">
        <v>356</v>
      </c>
      <c r="B330" s="35" t="s">
        <v>342</v>
      </c>
      <c r="C330" s="125">
        <v>53093</v>
      </c>
      <c r="D330" s="132">
        <v>5978172948</v>
      </c>
      <c r="E330" s="116">
        <f t="shared" si="71"/>
        <v>112598.13813497071</v>
      </c>
      <c r="F330" s="134">
        <v>4112578050</v>
      </c>
      <c r="G330" s="117">
        <f t="shared" si="72"/>
        <v>77459.892076168238</v>
      </c>
      <c r="H330" s="7"/>
      <c r="I330" s="136">
        <v>5.49</v>
      </c>
      <c r="J330" s="134">
        <v>22578053.4945</v>
      </c>
      <c r="K330" s="120">
        <f t="shared" si="65"/>
        <v>425.25480749816359</v>
      </c>
      <c r="L330" s="122">
        <f t="shared" si="66"/>
        <v>41125780.5</v>
      </c>
      <c r="M330" s="116">
        <f t="shared" si="67"/>
        <v>18547727.0055</v>
      </c>
      <c r="N330" s="123">
        <f t="shared" si="68"/>
        <v>349.34411326351875</v>
      </c>
      <c r="O330" s="5"/>
      <c r="P330" s="5">
        <f t="shared" si="73"/>
        <v>1</v>
      </c>
      <c r="Q330" s="7">
        <f t="shared" si="74"/>
        <v>53093</v>
      </c>
      <c r="W330" s="124">
        <f t="shared" si="69"/>
        <v>22578053.4945</v>
      </c>
      <c r="X330">
        <f t="shared" si="70"/>
        <v>0</v>
      </c>
    </row>
    <row r="331" spans="1:24">
      <c r="A331" s="23" t="s">
        <v>357</v>
      </c>
      <c r="B331" s="35" t="s">
        <v>342</v>
      </c>
      <c r="C331" s="125">
        <v>1376</v>
      </c>
      <c r="D331" s="132">
        <v>697552093</v>
      </c>
      <c r="E331" s="116">
        <f t="shared" si="71"/>
        <v>506941.92805232556</v>
      </c>
      <c r="F331" s="134">
        <v>550595144</v>
      </c>
      <c r="G331" s="117">
        <f t="shared" si="72"/>
        <v>400141.81976744183</v>
      </c>
      <c r="H331" s="7"/>
      <c r="I331" s="136">
        <v>1.8149</v>
      </c>
      <c r="J331" s="134">
        <v>999275.12684559997</v>
      </c>
      <c r="K331" s="120">
        <f t="shared" si="65"/>
        <v>726.21738869593025</v>
      </c>
      <c r="L331" s="122">
        <f t="shared" si="66"/>
        <v>5505951.4400000004</v>
      </c>
      <c r="M331" s="116">
        <f t="shared" si="67"/>
        <v>4506676.3131544003</v>
      </c>
      <c r="N331" s="123">
        <f t="shared" si="68"/>
        <v>3275.2008089784886</v>
      </c>
      <c r="O331" s="5"/>
      <c r="P331" s="5">
        <f t="shared" si="73"/>
        <v>1</v>
      </c>
      <c r="Q331" s="7">
        <f t="shared" si="74"/>
        <v>1376</v>
      </c>
      <c r="W331" s="124">
        <f t="shared" si="69"/>
        <v>999275.12684559997</v>
      </c>
      <c r="X331">
        <f t="shared" si="70"/>
        <v>0</v>
      </c>
    </row>
    <row r="332" spans="1:24">
      <c r="A332" s="23" t="s">
        <v>358</v>
      </c>
      <c r="B332" s="35" t="s">
        <v>342</v>
      </c>
      <c r="C332" s="125">
        <v>2176</v>
      </c>
      <c r="D332" s="132">
        <v>985018439</v>
      </c>
      <c r="E332" s="116">
        <f t="shared" si="71"/>
        <v>452673.91498161765</v>
      </c>
      <c r="F332" s="134">
        <v>777578567</v>
      </c>
      <c r="G332" s="117">
        <f t="shared" si="72"/>
        <v>357343.0914522059</v>
      </c>
      <c r="H332" s="7"/>
      <c r="I332" s="136">
        <v>1.6896</v>
      </c>
      <c r="J332" s="134">
        <v>1313796.7468032001</v>
      </c>
      <c r="K332" s="120">
        <f t="shared" si="65"/>
        <v>603.76688731764716</v>
      </c>
      <c r="L332" s="122">
        <f t="shared" si="66"/>
        <v>7775785.6699999999</v>
      </c>
      <c r="M332" s="116">
        <f t="shared" si="67"/>
        <v>6461988.9231968001</v>
      </c>
      <c r="N332" s="123">
        <f t="shared" si="68"/>
        <v>2969.6640272044119</v>
      </c>
      <c r="O332" s="5"/>
      <c r="P332" s="5">
        <f t="shared" si="73"/>
        <v>1</v>
      </c>
      <c r="Q332" s="7">
        <f t="shared" si="74"/>
        <v>2176</v>
      </c>
      <c r="W332" s="124">
        <f t="shared" si="69"/>
        <v>1313796.7468032001</v>
      </c>
      <c r="X332">
        <f t="shared" si="70"/>
        <v>0</v>
      </c>
    </row>
    <row r="333" spans="1:24">
      <c r="A333" s="23" t="s">
        <v>359</v>
      </c>
      <c r="B333" s="35" t="s">
        <v>342</v>
      </c>
      <c r="C333" s="125">
        <v>17072</v>
      </c>
      <c r="D333" s="132">
        <v>2556624910</v>
      </c>
      <c r="E333" s="116">
        <f t="shared" si="71"/>
        <v>149755.44224461107</v>
      </c>
      <c r="F333" s="134">
        <v>1476708047</v>
      </c>
      <c r="G333" s="117">
        <f t="shared" si="72"/>
        <v>86498.83124414245</v>
      </c>
      <c r="H333" s="7"/>
      <c r="I333" s="136">
        <v>3.95</v>
      </c>
      <c r="J333" s="134">
        <v>5832996.7856500009</v>
      </c>
      <c r="K333" s="120">
        <f t="shared" si="65"/>
        <v>341.67038341436273</v>
      </c>
      <c r="L333" s="122">
        <f t="shared" si="66"/>
        <v>14767080.470000001</v>
      </c>
      <c r="M333" s="116">
        <f t="shared" si="67"/>
        <v>8934083.6843499988</v>
      </c>
      <c r="N333" s="123">
        <f t="shared" si="68"/>
        <v>523.31792902706184</v>
      </c>
      <c r="O333" s="5"/>
      <c r="P333" s="5">
        <f t="shared" si="73"/>
        <v>1</v>
      </c>
      <c r="Q333" s="7">
        <f t="shared" si="74"/>
        <v>17072</v>
      </c>
      <c r="W333" s="124">
        <f t="shared" si="69"/>
        <v>5832996.7856500009</v>
      </c>
      <c r="X333">
        <f t="shared" si="70"/>
        <v>0</v>
      </c>
    </row>
    <row r="334" spans="1:24">
      <c r="A334" s="23" t="s">
        <v>360</v>
      </c>
      <c r="B334" s="35" t="s">
        <v>342</v>
      </c>
      <c r="C334" s="125">
        <v>19364</v>
      </c>
      <c r="D334" s="132">
        <v>2607247514</v>
      </c>
      <c r="E334" s="116">
        <f t="shared" si="71"/>
        <v>134644.05670316052</v>
      </c>
      <c r="F334" s="134">
        <v>1719710522</v>
      </c>
      <c r="G334" s="117">
        <f t="shared" si="72"/>
        <v>88809.673724437103</v>
      </c>
      <c r="H334" s="7"/>
      <c r="I334" s="136">
        <v>2.4792999999999998</v>
      </c>
      <c r="J334" s="134">
        <v>4263678.2971945992</v>
      </c>
      <c r="K334" s="120">
        <f t="shared" si="65"/>
        <v>220.18582406499686</v>
      </c>
      <c r="L334" s="122">
        <f t="shared" si="66"/>
        <v>17197105.219999999</v>
      </c>
      <c r="M334" s="116">
        <f t="shared" si="67"/>
        <v>12933426.922805399</v>
      </c>
      <c r="N334" s="123">
        <f t="shared" si="68"/>
        <v>667.91091317937401</v>
      </c>
      <c r="O334" s="5"/>
      <c r="P334" s="5">
        <f t="shared" si="73"/>
        <v>1</v>
      </c>
      <c r="Q334" s="7">
        <f t="shared" si="74"/>
        <v>19364</v>
      </c>
      <c r="W334" s="124">
        <f t="shared" si="69"/>
        <v>4263678.2971946001</v>
      </c>
      <c r="X334">
        <f t="shared" si="70"/>
        <v>0</v>
      </c>
    </row>
    <row r="335" spans="1:24">
      <c r="A335" s="24" t="s">
        <v>361</v>
      </c>
      <c r="B335" s="35" t="s">
        <v>342</v>
      </c>
      <c r="C335" s="125">
        <v>5353</v>
      </c>
      <c r="D335" s="132">
        <v>910134413</v>
      </c>
      <c r="E335" s="116">
        <f t="shared" si="71"/>
        <v>170023.24173360731</v>
      </c>
      <c r="F335" s="134">
        <v>690076277</v>
      </c>
      <c r="G335" s="117">
        <f t="shared" si="72"/>
        <v>128913.93181393611</v>
      </c>
      <c r="H335" s="7"/>
      <c r="I335" s="136">
        <v>3.7806000000000002</v>
      </c>
      <c r="J335" s="134">
        <v>2608902.3728262</v>
      </c>
      <c r="K335" s="120">
        <f t="shared" si="65"/>
        <v>487.37201061576684</v>
      </c>
      <c r="L335" s="122">
        <f t="shared" si="66"/>
        <v>6900762.7700000005</v>
      </c>
      <c r="M335" s="116">
        <f t="shared" si="67"/>
        <v>4291860.3971738005</v>
      </c>
      <c r="N335" s="123">
        <f t="shared" si="68"/>
        <v>801.76730752359435</v>
      </c>
      <c r="O335" s="5"/>
      <c r="P335" s="5">
        <f t="shared" si="73"/>
        <v>1</v>
      </c>
      <c r="Q335" s="7">
        <f t="shared" si="74"/>
        <v>5353</v>
      </c>
      <c r="W335" s="124">
        <f t="shared" si="69"/>
        <v>2608902.3728262</v>
      </c>
      <c r="X335">
        <f t="shared" si="70"/>
        <v>0</v>
      </c>
    </row>
    <row r="336" spans="1:24">
      <c r="A336" s="24" t="s">
        <v>561</v>
      </c>
      <c r="B336" s="35" t="s">
        <v>342</v>
      </c>
      <c r="C336" s="125">
        <v>8879</v>
      </c>
      <c r="D336" s="132">
        <v>4401425551</v>
      </c>
      <c r="E336" s="116">
        <f t="shared" si="71"/>
        <v>495711.85392499156</v>
      </c>
      <c r="F336" s="134">
        <v>3437952488</v>
      </c>
      <c r="G336" s="117">
        <f t="shared" si="72"/>
        <v>387200.41536209034</v>
      </c>
      <c r="H336" s="7"/>
      <c r="I336" s="136">
        <v>3.15</v>
      </c>
      <c r="J336" s="134">
        <v>10829550.337199999</v>
      </c>
      <c r="K336" s="120">
        <f t="shared" si="65"/>
        <v>1219.6813083905845</v>
      </c>
      <c r="L336" s="122">
        <f t="shared" si="66"/>
        <v>34379524.880000003</v>
      </c>
      <c r="M336" s="116">
        <f t="shared" si="67"/>
        <v>23549974.542800002</v>
      </c>
      <c r="N336" s="123">
        <f t="shared" si="68"/>
        <v>2652.3228452303188</v>
      </c>
      <c r="O336" s="5"/>
      <c r="P336" s="5">
        <f t="shared" si="73"/>
        <v>1</v>
      </c>
      <c r="Q336" s="7">
        <f t="shared" si="74"/>
        <v>8879</v>
      </c>
      <c r="W336" s="124">
        <f t="shared" si="69"/>
        <v>10829550.337200001</v>
      </c>
      <c r="X336">
        <f t="shared" si="70"/>
        <v>0</v>
      </c>
    </row>
    <row r="337" spans="1:24">
      <c r="A337" s="23" t="s">
        <v>548</v>
      </c>
      <c r="B337" s="35" t="s">
        <v>342</v>
      </c>
      <c r="C337" s="125">
        <v>258308</v>
      </c>
      <c r="D337" s="132">
        <v>36862970498</v>
      </c>
      <c r="E337" s="116">
        <f t="shared" si="71"/>
        <v>142709.36439444384</v>
      </c>
      <c r="F337" s="134">
        <v>22828569981</v>
      </c>
      <c r="G337" s="117">
        <f t="shared" si="72"/>
        <v>88377.324670548333</v>
      </c>
      <c r="H337" s="7"/>
      <c r="I337" s="136">
        <v>6.7549999999999999</v>
      </c>
      <c r="J337" s="134">
        <v>154206990.22165501</v>
      </c>
      <c r="K337" s="120">
        <f t="shared" si="65"/>
        <v>596.98882814955402</v>
      </c>
      <c r="L337" s="122">
        <f t="shared" si="66"/>
        <v>228285699.81</v>
      </c>
      <c r="M337" s="116">
        <f t="shared" si="67"/>
        <v>74078709.588344991</v>
      </c>
      <c r="N337" s="123">
        <f t="shared" si="68"/>
        <v>286.78441855592934</v>
      </c>
      <c r="O337" s="5"/>
      <c r="P337" s="5">
        <f t="shared" si="73"/>
        <v>1</v>
      </c>
      <c r="Q337" s="7">
        <f t="shared" si="74"/>
        <v>258308</v>
      </c>
      <c r="W337" s="124">
        <f t="shared" si="69"/>
        <v>154206990.22165498</v>
      </c>
      <c r="X337">
        <f t="shared" si="70"/>
        <v>0</v>
      </c>
    </row>
    <row r="338" spans="1:24">
      <c r="A338" s="23" t="s">
        <v>362</v>
      </c>
      <c r="B338" s="35" t="s">
        <v>342</v>
      </c>
      <c r="C338" s="125">
        <v>25117</v>
      </c>
      <c r="D338" s="132">
        <v>3215996490</v>
      </c>
      <c r="E338" s="116">
        <f t="shared" si="71"/>
        <v>128040.62945415455</v>
      </c>
      <c r="F338" s="134">
        <v>2034349039</v>
      </c>
      <c r="G338" s="117">
        <f t="shared" si="72"/>
        <v>80994.905402715289</v>
      </c>
      <c r="H338" s="7"/>
      <c r="I338" s="136">
        <v>5.37</v>
      </c>
      <c r="J338" s="134">
        <v>10924454.339430001</v>
      </c>
      <c r="K338" s="120">
        <f t="shared" si="65"/>
        <v>434.94264201258113</v>
      </c>
      <c r="L338" s="122">
        <f t="shared" si="66"/>
        <v>20343490.390000001</v>
      </c>
      <c r="M338" s="116">
        <f t="shared" si="67"/>
        <v>9419036.05057</v>
      </c>
      <c r="N338" s="123">
        <f t="shared" si="68"/>
        <v>375.00641201457182</v>
      </c>
      <c r="O338" s="5"/>
      <c r="P338" s="5">
        <f t="shared" si="73"/>
        <v>1</v>
      </c>
      <c r="Q338" s="7">
        <f t="shared" si="74"/>
        <v>25117</v>
      </c>
      <c r="S338" s="124"/>
      <c r="T338" s="124"/>
      <c r="U338" s="124"/>
      <c r="W338" s="124">
        <f t="shared" si="69"/>
        <v>10924454.339429999</v>
      </c>
      <c r="X338">
        <f t="shared" si="70"/>
        <v>0</v>
      </c>
    </row>
    <row r="339" spans="1:24">
      <c r="A339" s="23" t="s">
        <v>363</v>
      </c>
      <c r="B339" s="35" t="s">
        <v>342</v>
      </c>
      <c r="C339" s="125">
        <v>6584</v>
      </c>
      <c r="D339" s="132">
        <v>2673458633</v>
      </c>
      <c r="E339" s="116">
        <f t="shared" si="71"/>
        <v>406053.86284933169</v>
      </c>
      <c r="F339" s="134">
        <v>2111978036</v>
      </c>
      <c r="G339" s="117">
        <f t="shared" si="72"/>
        <v>320774.30680437427</v>
      </c>
      <c r="H339" s="7"/>
      <c r="I339" s="136">
        <v>3.6128999999999998</v>
      </c>
      <c r="J339" s="134">
        <v>7630365.4462643992</v>
      </c>
      <c r="K339" s="120">
        <f t="shared" si="65"/>
        <v>1158.9254930535235</v>
      </c>
      <c r="L339" s="122">
        <f t="shared" si="66"/>
        <v>21119780.359999999</v>
      </c>
      <c r="M339" s="116">
        <f t="shared" si="67"/>
        <v>13489414.9137356</v>
      </c>
      <c r="N339" s="123">
        <f t="shared" si="68"/>
        <v>2048.8175749902189</v>
      </c>
      <c r="O339" s="5"/>
      <c r="P339" s="5">
        <f t="shared" si="73"/>
        <v>1</v>
      </c>
      <c r="Q339" s="7">
        <f t="shared" si="74"/>
        <v>6584</v>
      </c>
      <c r="S339" s="124">
        <f>SUM(D316:D339)</f>
        <v>104948553566</v>
      </c>
      <c r="T339" s="124">
        <f>SUM(F316:F339)</f>
        <v>70247992732</v>
      </c>
      <c r="U339" s="124">
        <f>SUM(J316:J339)</f>
        <v>369901568.20171213</v>
      </c>
      <c r="W339" s="124">
        <f t="shared" si="69"/>
        <v>7630365.4462643992</v>
      </c>
      <c r="X339">
        <f t="shared" si="70"/>
        <v>0</v>
      </c>
    </row>
    <row r="340" spans="1:24">
      <c r="A340" s="23" t="s">
        <v>364</v>
      </c>
      <c r="B340" s="35" t="s">
        <v>365</v>
      </c>
      <c r="C340" s="125">
        <v>15616</v>
      </c>
      <c r="D340" s="132">
        <v>1922188920</v>
      </c>
      <c r="E340" s="116">
        <f t="shared" si="71"/>
        <v>123090.99129098361</v>
      </c>
      <c r="F340" s="134">
        <v>1379728147</v>
      </c>
      <c r="G340" s="117">
        <f t="shared" si="72"/>
        <v>88353.493019979505</v>
      </c>
      <c r="H340" s="7"/>
      <c r="I340" s="136">
        <v>4.2515000000000001</v>
      </c>
      <c r="J340" s="134">
        <v>5865914.2169704996</v>
      </c>
      <c r="K340" s="120">
        <f t="shared" si="65"/>
        <v>375.63487557444284</v>
      </c>
      <c r="L340" s="122">
        <f t="shared" si="66"/>
        <v>13797281.470000001</v>
      </c>
      <c r="M340" s="116">
        <f t="shared" si="67"/>
        <v>7931367.2530295011</v>
      </c>
      <c r="N340" s="123">
        <f t="shared" si="68"/>
        <v>507.90005462535225</v>
      </c>
      <c r="O340" s="5"/>
      <c r="P340" s="5">
        <f t="shared" si="73"/>
        <v>1</v>
      </c>
      <c r="Q340" s="7">
        <f t="shared" si="74"/>
        <v>15616</v>
      </c>
      <c r="W340" s="124">
        <f t="shared" si="69"/>
        <v>5865914.2169705005</v>
      </c>
      <c r="X340">
        <f t="shared" si="70"/>
        <v>0</v>
      </c>
    </row>
    <row r="341" spans="1:24">
      <c r="A341" s="23" t="s">
        <v>366</v>
      </c>
      <c r="B341" s="35" t="s">
        <v>365</v>
      </c>
      <c r="C341" s="125">
        <v>19309</v>
      </c>
      <c r="D341" s="132">
        <v>1559218570</v>
      </c>
      <c r="E341" s="116">
        <f t="shared" si="71"/>
        <v>80750.871096379924</v>
      </c>
      <c r="F341" s="134">
        <v>797538804</v>
      </c>
      <c r="G341" s="117">
        <f t="shared" si="72"/>
        <v>41303.993163809624</v>
      </c>
      <c r="H341" s="7"/>
      <c r="I341" s="136">
        <v>3.0861999999999998</v>
      </c>
      <c r="J341" s="134">
        <v>2461364.2569048</v>
      </c>
      <c r="K341" s="120">
        <f t="shared" si="65"/>
        <v>127.47238370214926</v>
      </c>
      <c r="L341" s="122">
        <f t="shared" si="66"/>
        <v>7975388.04</v>
      </c>
      <c r="M341" s="116">
        <f t="shared" si="67"/>
        <v>5514023.7830951996</v>
      </c>
      <c r="N341" s="123">
        <f t="shared" si="68"/>
        <v>285.56754793594695</v>
      </c>
      <c r="O341" s="5"/>
      <c r="P341" s="5">
        <f t="shared" si="73"/>
        <v>1</v>
      </c>
      <c r="Q341" s="7">
        <f t="shared" si="74"/>
        <v>19309</v>
      </c>
      <c r="W341" s="124">
        <f t="shared" si="69"/>
        <v>2461364.2569048</v>
      </c>
      <c r="X341">
        <f t="shared" si="70"/>
        <v>0</v>
      </c>
    </row>
    <row r="342" spans="1:24">
      <c r="A342" s="23" t="s">
        <v>367</v>
      </c>
      <c r="B342" s="35" t="s">
        <v>365</v>
      </c>
      <c r="C342" s="125">
        <v>9043</v>
      </c>
      <c r="D342" s="132">
        <v>627596969</v>
      </c>
      <c r="E342" s="116">
        <f t="shared" si="71"/>
        <v>69401.412031405504</v>
      </c>
      <c r="F342" s="134">
        <v>434060555</v>
      </c>
      <c r="G342" s="117">
        <f t="shared" si="72"/>
        <v>47999.619042353203</v>
      </c>
      <c r="H342" s="9"/>
      <c r="I342" s="136">
        <v>7.5</v>
      </c>
      <c r="J342" s="134">
        <v>3255454.1625000001</v>
      </c>
      <c r="K342" s="120">
        <f t="shared" si="65"/>
        <v>359.99714281764903</v>
      </c>
      <c r="L342" s="122">
        <f t="shared" si="66"/>
        <v>4340605.55</v>
      </c>
      <c r="M342" s="116">
        <f t="shared" si="67"/>
        <v>1085151.3874999997</v>
      </c>
      <c r="N342" s="123">
        <f t="shared" si="68"/>
        <v>119.99904760588298</v>
      </c>
      <c r="O342" s="5"/>
      <c r="P342" s="5">
        <f t="shared" si="73"/>
        <v>1</v>
      </c>
      <c r="Q342" s="7">
        <f t="shared" si="74"/>
        <v>9043</v>
      </c>
      <c r="W342" s="124">
        <f t="shared" si="69"/>
        <v>3255454.1625000001</v>
      </c>
      <c r="X342">
        <f t="shared" si="70"/>
        <v>0</v>
      </c>
    </row>
    <row r="343" spans="1:24">
      <c r="A343" s="23" t="s">
        <v>368</v>
      </c>
      <c r="B343" s="35" t="s">
        <v>365</v>
      </c>
      <c r="C343" s="125">
        <v>5235</v>
      </c>
      <c r="D343" s="132">
        <v>394365603</v>
      </c>
      <c r="E343" s="116">
        <f t="shared" si="71"/>
        <v>75332.493409742121</v>
      </c>
      <c r="F343" s="134">
        <v>222429249</v>
      </c>
      <c r="G343" s="117">
        <f t="shared" si="72"/>
        <v>42488.872779369631</v>
      </c>
      <c r="H343" s="7"/>
      <c r="I343" s="136">
        <v>7.9</v>
      </c>
      <c r="J343" s="134">
        <v>1757191.0671000001</v>
      </c>
      <c r="K343" s="120">
        <f t="shared" ref="K343:K388" si="75">(J343/C343)</f>
        <v>335.66209495702009</v>
      </c>
      <c r="L343" s="122">
        <f t="shared" si="66"/>
        <v>2224292.4900000002</v>
      </c>
      <c r="M343" s="116">
        <f t="shared" si="67"/>
        <v>467101.42290000012</v>
      </c>
      <c r="N343" s="123">
        <f t="shared" si="68"/>
        <v>89.226632836676245</v>
      </c>
      <c r="O343" s="5"/>
      <c r="P343" s="5">
        <f t="shared" si="73"/>
        <v>1</v>
      </c>
      <c r="Q343" s="7">
        <f t="shared" si="74"/>
        <v>5235</v>
      </c>
      <c r="W343" s="124">
        <f t="shared" si="69"/>
        <v>1757191.0671000001</v>
      </c>
      <c r="X343">
        <f t="shared" si="70"/>
        <v>0</v>
      </c>
    </row>
    <row r="344" spans="1:24">
      <c r="A344" s="23" t="s">
        <v>369</v>
      </c>
      <c r="B344" s="35" t="s">
        <v>365</v>
      </c>
      <c r="C344" s="125">
        <v>3008</v>
      </c>
      <c r="D344" s="132">
        <v>210729032</v>
      </c>
      <c r="E344" s="116">
        <f t="shared" si="71"/>
        <v>70056.194148936163</v>
      </c>
      <c r="F344" s="134">
        <v>111803678</v>
      </c>
      <c r="G344" s="117">
        <f t="shared" si="72"/>
        <v>37168.775930851065</v>
      </c>
      <c r="H344" s="7"/>
      <c r="I344" s="136">
        <v>7.6516000000000002</v>
      </c>
      <c r="J344" s="134">
        <v>855477.02258480003</v>
      </c>
      <c r="K344" s="120">
        <f t="shared" si="75"/>
        <v>284.4006059125</v>
      </c>
      <c r="L344" s="122">
        <f t="shared" si="66"/>
        <v>1118036.78</v>
      </c>
      <c r="M344" s="116">
        <f t="shared" si="67"/>
        <v>262559.7574152</v>
      </c>
      <c r="N344" s="123">
        <f t="shared" si="68"/>
        <v>87.287153396010638</v>
      </c>
      <c r="O344" s="5"/>
      <c r="P344" s="5">
        <f t="shared" si="73"/>
        <v>1</v>
      </c>
      <c r="Q344" s="7">
        <f t="shared" si="74"/>
        <v>3008</v>
      </c>
      <c r="W344" s="124">
        <f t="shared" si="69"/>
        <v>855477.02258480003</v>
      </c>
      <c r="X344">
        <f t="shared" si="70"/>
        <v>0</v>
      </c>
    </row>
    <row r="345" spans="1:24">
      <c r="A345" s="23" t="s">
        <v>370</v>
      </c>
      <c r="B345" s="35" t="s">
        <v>365</v>
      </c>
      <c r="C345" s="125">
        <v>5100</v>
      </c>
      <c r="D345" s="132">
        <v>260271961</v>
      </c>
      <c r="E345" s="116">
        <f t="shared" si="71"/>
        <v>51033.717843137252</v>
      </c>
      <c r="F345" s="134">
        <v>137457569</v>
      </c>
      <c r="G345" s="117">
        <f t="shared" si="72"/>
        <v>26952.464509803922</v>
      </c>
      <c r="H345" s="7"/>
      <c r="I345" s="150">
        <v>7.8898999999999999</v>
      </c>
      <c r="J345" s="134">
        <v>1084526.4736531</v>
      </c>
      <c r="K345" s="120">
        <f t="shared" si="75"/>
        <v>212.65224973590196</v>
      </c>
      <c r="L345" s="122">
        <f t="shared" si="66"/>
        <v>1374575.69</v>
      </c>
      <c r="M345" s="116">
        <f t="shared" si="67"/>
        <v>290049.21634689998</v>
      </c>
      <c r="N345" s="123">
        <f t="shared" si="68"/>
        <v>56.872395362137247</v>
      </c>
      <c r="O345" s="5"/>
      <c r="P345" s="5">
        <f t="shared" si="73"/>
        <v>1</v>
      </c>
      <c r="Q345" s="7">
        <f t="shared" si="74"/>
        <v>5100</v>
      </c>
      <c r="W345" s="124">
        <f t="shared" si="69"/>
        <v>1084526.4736531</v>
      </c>
      <c r="X345">
        <f t="shared" si="70"/>
        <v>0</v>
      </c>
    </row>
    <row r="346" spans="1:24">
      <c r="A346" s="23" t="s">
        <v>371</v>
      </c>
      <c r="B346" s="35" t="s">
        <v>365</v>
      </c>
      <c r="C346" s="125">
        <v>2877</v>
      </c>
      <c r="D346" s="132">
        <v>269062672</v>
      </c>
      <c r="E346" s="116">
        <f t="shared" si="71"/>
        <v>93521.957594716718</v>
      </c>
      <c r="F346" s="134">
        <v>145694049</v>
      </c>
      <c r="G346" s="117">
        <f t="shared" si="72"/>
        <v>50640.962460896764</v>
      </c>
      <c r="H346" s="7"/>
      <c r="I346" s="136">
        <v>6.5529999999999999</v>
      </c>
      <c r="J346" s="134">
        <v>954733.10309700004</v>
      </c>
      <c r="K346" s="120">
        <f t="shared" si="75"/>
        <v>331.85022700625655</v>
      </c>
      <c r="L346" s="122">
        <f t="shared" si="66"/>
        <v>1456940.49</v>
      </c>
      <c r="M346" s="116">
        <f t="shared" si="67"/>
        <v>502207.38690299995</v>
      </c>
      <c r="N346" s="123">
        <f t="shared" si="68"/>
        <v>174.55939760271113</v>
      </c>
      <c r="O346" s="5"/>
      <c r="P346" s="5">
        <f t="shared" si="73"/>
        <v>1</v>
      </c>
      <c r="Q346" s="7">
        <f t="shared" si="74"/>
        <v>2877</v>
      </c>
      <c r="W346" s="124">
        <f t="shared" si="69"/>
        <v>954733.10309699993</v>
      </c>
      <c r="X346">
        <f t="shared" si="70"/>
        <v>0</v>
      </c>
    </row>
    <row r="347" spans="1:24">
      <c r="A347" s="23" t="s">
        <v>372</v>
      </c>
      <c r="B347" s="35" t="s">
        <v>365</v>
      </c>
      <c r="C347" s="125">
        <v>26669</v>
      </c>
      <c r="D347" s="132">
        <v>2145792881</v>
      </c>
      <c r="E347" s="116">
        <f t="shared" si="71"/>
        <v>80460.192770632566</v>
      </c>
      <c r="F347" s="134">
        <v>1444940384</v>
      </c>
      <c r="G347" s="117">
        <f t="shared" si="72"/>
        <v>54180.523604184636</v>
      </c>
      <c r="H347" s="7"/>
      <c r="I347" s="136">
        <v>7.5895000000000001</v>
      </c>
      <c r="J347" s="134">
        <v>10966375.044368001</v>
      </c>
      <c r="K347" s="120">
        <f t="shared" si="75"/>
        <v>411.20308389395933</v>
      </c>
      <c r="L347" s="122">
        <f t="shared" si="66"/>
        <v>14449403.84</v>
      </c>
      <c r="M347" s="116">
        <f t="shared" si="67"/>
        <v>3483028.7956319991</v>
      </c>
      <c r="N347" s="123">
        <f t="shared" si="68"/>
        <v>130.60215214788704</v>
      </c>
      <c r="O347" s="5"/>
      <c r="P347" s="5">
        <f t="shared" si="73"/>
        <v>1</v>
      </c>
      <c r="Q347" s="7">
        <f t="shared" si="74"/>
        <v>26669</v>
      </c>
      <c r="W347" s="124">
        <f t="shared" si="69"/>
        <v>10966375.044368001</v>
      </c>
      <c r="X347">
        <f t="shared" si="70"/>
        <v>0</v>
      </c>
    </row>
    <row r="348" spans="1:24">
      <c r="A348" s="23" t="s">
        <v>373</v>
      </c>
      <c r="B348" s="35" t="s">
        <v>365</v>
      </c>
      <c r="C348" s="125">
        <v>251</v>
      </c>
      <c r="D348" s="132">
        <v>20281561</v>
      </c>
      <c r="E348" s="116">
        <f t="shared" si="71"/>
        <v>80803.031872509964</v>
      </c>
      <c r="F348" s="134">
        <v>13235267</v>
      </c>
      <c r="G348" s="117">
        <f t="shared" si="72"/>
        <v>52730.147410358564</v>
      </c>
      <c r="H348" s="7"/>
      <c r="I348" s="136">
        <v>9.9758999999999993</v>
      </c>
      <c r="J348" s="134">
        <v>132033.70006529998</v>
      </c>
      <c r="K348" s="120">
        <f t="shared" si="75"/>
        <v>526.03067755099596</v>
      </c>
      <c r="L348" s="122">
        <f t="shared" si="66"/>
        <v>132352.67000000001</v>
      </c>
      <c r="M348" s="116">
        <f t="shared" si="67"/>
        <v>318.96993470002781</v>
      </c>
      <c r="N348" s="123">
        <f t="shared" si="68"/>
        <v>1.2707965525897522</v>
      </c>
      <c r="O348" s="5"/>
      <c r="P348" s="5">
        <f t="shared" si="73"/>
        <v>1</v>
      </c>
      <c r="Q348" s="7">
        <f t="shared" si="74"/>
        <v>251</v>
      </c>
      <c r="W348" s="124">
        <f t="shared" si="69"/>
        <v>132033.70006529998</v>
      </c>
      <c r="X348">
        <f t="shared" si="70"/>
        <v>0</v>
      </c>
    </row>
    <row r="349" spans="1:24">
      <c r="A349" s="23" t="s">
        <v>374</v>
      </c>
      <c r="B349" s="35" t="s">
        <v>365</v>
      </c>
      <c r="C349" s="125">
        <v>243</v>
      </c>
      <c r="D349" s="132">
        <v>24204078</v>
      </c>
      <c r="E349" s="116">
        <f t="shared" si="71"/>
        <v>99605.259259259255</v>
      </c>
      <c r="F349" s="134">
        <v>16009690</v>
      </c>
      <c r="G349" s="117">
        <f t="shared" si="72"/>
        <v>65883.497942386835</v>
      </c>
      <c r="H349" s="7"/>
      <c r="I349" s="136">
        <v>0.91290000000000004</v>
      </c>
      <c r="J349" s="134">
        <v>14615.246001</v>
      </c>
      <c r="K349" s="120">
        <f t="shared" si="75"/>
        <v>60.145045271604936</v>
      </c>
      <c r="L349" s="122">
        <f t="shared" si="66"/>
        <v>160096.9</v>
      </c>
      <c r="M349" s="116">
        <f t="shared" si="67"/>
        <v>145481.653999</v>
      </c>
      <c r="N349" s="123">
        <f t="shared" si="68"/>
        <v>598.68993415226339</v>
      </c>
      <c r="O349" s="5"/>
      <c r="P349" s="5">
        <f t="shared" si="73"/>
        <v>1</v>
      </c>
      <c r="Q349" s="7">
        <f t="shared" si="74"/>
        <v>243</v>
      </c>
      <c r="W349" s="124">
        <f t="shared" si="69"/>
        <v>14615.246001</v>
      </c>
      <c r="X349">
        <f t="shared" si="70"/>
        <v>0</v>
      </c>
    </row>
    <row r="350" spans="1:24">
      <c r="A350" s="23" t="s">
        <v>375</v>
      </c>
      <c r="B350" s="35" t="s">
        <v>365</v>
      </c>
      <c r="C350" s="125">
        <v>6374</v>
      </c>
      <c r="D350" s="132">
        <v>427524105</v>
      </c>
      <c r="E350" s="116">
        <f t="shared" si="71"/>
        <v>67073.12598054597</v>
      </c>
      <c r="F350" s="134">
        <v>235442880</v>
      </c>
      <c r="G350" s="117">
        <f t="shared" si="72"/>
        <v>36938.010668340132</v>
      </c>
      <c r="H350" s="7"/>
      <c r="I350" s="136">
        <v>7.2389999999999999</v>
      </c>
      <c r="J350" s="134">
        <v>1704371.00832</v>
      </c>
      <c r="K350" s="120">
        <f t="shared" si="75"/>
        <v>267.39425922811421</v>
      </c>
      <c r="L350" s="122">
        <f t="shared" si="66"/>
        <v>2354428.8000000003</v>
      </c>
      <c r="M350" s="116">
        <f t="shared" si="67"/>
        <v>650057.79168000026</v>
      </c>
      <c r="N350" s="123">
        <f t="shared" si="68"/>
        <v>101.98584745528714</v>
      </c>
      <c r="O350" s="5"/>
      <c r="P350" s="5">
        <f t="shared" si="73"/>
        <v>1</v>
      </c>
      <c r="Q350" s="7">
        <f t="shared" si="74"/>
        <v>6374</v>
      </c>
      <c r="W350" s="124">
        <f t="shared" si="69"/>
        <v>1704371.00832</v>
      </c>
      <c r="X350">
        <f t="shared" si="70"/>
        <v>0</v>
      </c>
    </row>
    <row r="351" spans="1:24">
      <c r="A351" s="23" t="s">
        <v>376</v>
      </c>
      <c r="B351" s="35" t="s">
        <v>365</v>
      </c>
      <c r="C351" s="125">
        <v>1537</v>
      </c>
      <c r="D351" s="132">
        <v>145514520</v>
      </c>
      <c r="E351" s="116">
        <f t="shared" si="71"/>
        <v>94674.378659726746</v>
      </c>
      <c r="F351" s="134">
        <v>92752293</v>
      </c>
      <c r="G351" s="117">
        <f t="shared" si="72"/>
        <v>60346.319453480806</v>
      </c>
      <c r="H351" s="9"/>
      <c r="I351" s="136">
        <v>8.4276</v>
      </c>
      <c r="J351" s="134">
        <v>781679.22448679991</v>
      </c>
      <c r="K351" s="120">
        <f t="shared" si="75"/>
        <v>508.57464182615479</v>
      </c>
      <c r="L351" s="122">
        <f t="shared" si="66"/>
        <v>927522.93</v>
      </c>
      <c r="M351" s="116">
        <f t="shared" si="67"/>
        <v>145843.70551320014</v>
      </c>
      <c r="N351" s="123">
        <f t="shared" si="68"/>
        <v>94.888552708653307</v>
      </c>
      <c r="O351" s="5"/>
      <c r="P351" s="5">
        <f t="shared" si="73"/>
        <v>1</v>
      </c>
      <c r="Q351" s="7">
        <f t="shared" si="74"/>
        <v>1537</v>
      </c>
      <c r="W351" s="124">
        <f t="shared" si="69"/>
        <v>781679.22448680003</v>
      </c>
      <c r="X351">
        <f t="shared" si="70"/>
        <v>0</v>
      </c>
    </row>
    <row r="352" spans="1:24">
      <c r="A352" s="23" t="s">
        <v>377</v>
      </c>
      <c r="B352" s="35" t="s">
        <v>365</v>
      </c>
      <c r="C352" s="125">
        <v>16361</v>
      </c>
      <c r="D352" s="132">
        <v>1380471550</v>
      </c>
      <c r="E352" s="116">
        <f t="shared" si="71"/>
        <v>84375.744147668229</v>
      </c>
      <c r="F352" s="134">
        <v>860329804</v>
      </c>
      <c r="G352" s="117">
        <f t="shared" si="72"/>
        <v>52584.18214045596</v>
      </c>
      <c r="H352" s="9"/>
      <c r="I352" s="136">
        <v>6.7973999999999997</v>
      </c>
      <c r="J352" s="134">
        <v>5848005.8097095992</v>
      </c>
      <c r="K352" s="120">
        <f t="shared" si="75"/>
        <v>357.43571968153532</v>
      </c>
      <c r="L352" s="122">
        <f t="shared" si="66"/>
        <v>8603298.040000001</v>
      </c>
      <c r="M352" s="116">
        <f t="shared" si="67"/>
        <v>2755292.2302904017</v>
      </c>
      <c r="N352" s="123">
        <f t="shared" si="68"/>
        <v>168.40610172302436</v>
      </c>
      <c r="O352" s="5"/>
      <c r="P352" s="5">
        <f t="shared" si="73"/>
        <v>1</v>
      </c>
      <c r="Q352" s="7">
        <f t="shared" si="74"/>
        <v>16361</v>
      </c>
      <c r="W352" s="124">
        <f t="shared" si="69"/>
        <v>5848005.8097095992</v>
      </c>
      <c r="X352">
        <f t="shared" si="70"/>
        <v>0</v>
      </c>
    </row>
    <row r="353" spans="1:24">
      <c r="A353" s="23" t="s">
        <v>378</v>
      </c>
      <c r="B353" s="35" t="s">
        <v>365</v>
      </c>
      <c r="C353" s="125">
        <v>112641</v>
      </c>
      <c r="D353" s="132">
        <v>11676801676</v>
      </c>
      <c r="E353" s="116">
        <f t="shared" si="71"/>
        <v>103663.86729521223</v>
      </c>
      <c r="F353" s="134">
        <v>7423131357</v>
      </c>
      <c r="G353" s="117">
        <f t="shared" si="72"/>
        <v>65900.794177963617</v>
      </c>
      <c r="H353" s="9"/>
      <c r="I353" s="136">
        <v>5.4644000000000004</v>
      </c>
      <c r="J353" s="134">
        <v>40562958.987190805</v>
      </c>
      <c r="K353" s="120">
        <f t="shared" si="75"/>
        <v>360.10829970606443</v>
      </c>
      <c r="L353" s="122">
        <f t="shared" si="66"/>
        <v>74231313.570000008</v>
      </c>
      <c r="M353" s="116">
        <f t="shared" si="67"/>
        <v>33668354.582809202</v>
      </c>
      <c r="N353" s="123">
        <f t="shared" si="68"/>
        <v>298.89964207357178</v>
      </c>
      <c r="O353" s="5"/>
      <c r="P353" s="5">
        <f t="shared" si="73"/>
        <v>1</v>
      </c>
      <c r="Q353" s="7">
        <f t="shared" si="74"/>
        <v>112641</v>
      </c>
      <c r="W353" s="124">
        <f t="shared" si="69"/>
        <v>40562958.987190805</v>
      </c>
      <c r="X353">
        <f t="shared" si="70"/>
        <v>0</v>
      </c>
    </row>
    <row r="354" spans="1:24">
      <c r="A354" s="23" t="s">
        <v>379</v>
      </c>
      <c r="B354" s="35" t="s">
        <v>365</v>
      </c>
      <c r="C354" s="125">
        <v>3952</v>
      </c>
      <c r="D354" s="132">
        <v>354731092</v>
      </c>
      <c r="E354" s="116">
        <f t="shared" si="71"/>
        <v>89759.891700404856</v>
      </c>
      <c r="F354" s="134">
        <v>240256202</v>
      </c>
      <c r="G354" s="117">
        <f t="shared" si="72"/>
        <v>60793.573380566799</v>
      </c>
      <c r="H354" s="7"/>
      <c r="I354" s="136">
        <v>6.44</v>
      </c>
      <c r="J354" s="134">
        <v>1547249.9408800001</v>
      </c>
      <c r="K354" s="120">
        <f t="shared" si="75"/>
        <v>391.51061257085024</v>
      </c>
      <c r="L354" s="122">
        <f t="shared" si="66"/>
        <v>2402562.02</v>
      </c>
      <c r="M354" s="116">
        <f t="shared" si="67"/>
        <v>855312.07911999989</v>
      </c>
      <c r="N354" s="123">
        <f t="shared" si="68"/>
        <v>216.42512123481779</v>
      </c>
      <c r="O354" s="5"/>
      <c r="P354" s="5">
        <f t="shared" si="73"/>
        <v>1</v>
      </c>
      <c r="Q354" s="7">
        <f t="shared" si="74"/>
        <v>3952</v>
      </c>
      <c r="W354" s="124">
        <f t="shared" si="69"/>
        <v>1547249.9408800001</v>
      </c>
      <c r="X354">
        <f t="shared" si="70"/>
        <v>0</v>
      </c>
    </row>
    <row r="355" spans="1:24">
      <c r="A355" s="23" t="s">
        <v>380</v>
      </c>
      <c r="B355" s="35" t="s">
        <v>365</v>
      </c>
      <c r="C355" s="125">
        <v>2713</v>
      </c>
      <c r="D355" s="132">
        <v>259087809</v>
      </c>
      <c r="E355" s="116">
        <f t="shared" si="71"/>
        <v>95498.639513453745</v>
      </c>
      <c r="F355" s="134">
        <v>182123695</v>
      </c>
      <c r="G355" s="117">
        <f t="shared" si="72"/>
        <v>67130.00184297825</v>
      </c>
      <c r="H355" s="7"/>
      <c r="I355" s="136">
        <v>6</v>
      </c>
      <c r="J355" s="134">
        <v>1092742.17</v>
      </c>
      <c r="K355" s="120">
        <f t="shared" si="75"/>
        <v>402.7800110578695</v>
      </c>
      <c r="L355" s="122">
        <f t="shared" si="66"/>
        <v>1821236.95</v>
      </c>
      <c r="M355" s="116">
        <f t="shared" si="67"/>
        <v>728494.78</v>
      </c>
      <c r="N355" s="123">
        <f t="shared" si="68"/>
        <v>268.52000737191304</v>
      </c>
      <c r="O355" s="5"/>
      <c r="P355" s="5">
        <f t="shared" si="73"/>
        <v>1</v>
      </c>
      <c r="Q355" s="7">
        <f t="shared" si="74"/>
        <v>2713</v>
      </c>
      <c r="S355" s="124"/>
      <c r="T355" s="124"/>
      <c r="U355" s="124"/>
      <c r="W355" s="124">
        <f t="shared" si="69"/>
        <v>1092742.17</v>
      </c>
      <c r="X355">
        <f t="shared" si="70"/>
        <v>0</v>
      </c>
    </row>
    <row r="356" spans="1:24">
      <c r="A356" s="23" t="s">
        <v>381</v>
      </c>
      <c r="B356" s="35" t="s">
        <v>365</v>
      </c>
      <c r="C356" s="125">
        <v>49219</v>
      </c>
      <c r="D356" s="132">
        <v>4420494404</v>
      </c>
      <c r="E356" s="116">
        <f t="shared" si="71"/>
        <v>89812.763445011078</v>
      </c>
      <c r="F356" s="134">
        <v>2826311036</v>
      </c>
      <c r="G356" s="117">
        <f t="shared" si="72"/>
        <v>57423.170645482438</v>
      </c>
      <c r="H356" s="7"/>
      <c r="I356" s="136">
        <v>6.79</v>
      </c>
      <c r="J356" s="134">
        <v>19190651.934439998</v>
      </c>
      <c r="K356" s="120">
        <f t="shared" si="75"/>
        <v>389.9033286828257</v>
      </c>
      <c r="L356" s="122">
        <f t="shared" si="66"/>
        <v>28263110.359999999</v>
      </c>
      <c r="M356" s="116">
        <f t="shared" si="67"/>
        <v>9072458.4255600013</v>
      </c>
      <c r="N356" s="123">
        <f t="shared" si="68"/>
        <v>184.32837777199865</v>
      </c>
      <c r="O356" s="5"/>
      <c r="P356" s="5">
        <f t="shared" si="73"/>
        <v>1</v>
      </c>
      <c r="Q356" s="7">
        <f t="shared" si="74"/>
        <v>49219</v>
      </c>
      <c r="S356" s="124">
        <f>SUM(D340:D356)</f>
        <v>26098337403</v>
      </c>
      <c r="T356" s="124">
        <f>SUM(F340:F356)</f>
        <v>16563244659</v>
      </c>
      <c r="U356" s="124">
        <f>SUM(J340:J356)</f>
        <v>98075343.368271708</v>
      </c>
      <c r="W356" s="124">
        <f t="shared" si="69"/>
        <v>19190651.934440002</v>
      </c>
      <c r="X356">
        <f t="shared" si="70"/>
        <v>0</v>
      </c>
    </row>
    <row r="357" spans="1:24">
      <c r="A357" s="23" t="s">
        <v>382</v>
      </c>
      <c r="B357" s="35" t="s">
        <v>383</v>
      </c>
      <c r="C357" s="125">
        <v>1654</v>
      </c>
      <c r="D357" s="132">
        <v>135423872</v>
      </c>
      <c r="E357" s="116">
        <f t="shared" si="71"/>
        <v>81876.585247883922</v>
      </c>
      <c r="F357" s="134">
        <v>74717020</v>
      </c>
      <c r="G357" s="117">
        <f t="shared" si="72"/>
        <v>45173.530834340992</v>
      </c>
      <c r="H357" s="7"/>
      <c r="I357" s="136">
        <v>8.5914000000000001</v>
      </c>
      <c r="J357" s="134">
        <v>641923.80562800006</v>
      </c>
      <c r="K357" s="120">
        <f t="shared" si="75"/>
        <v>388.10387281015721</v>
      </c>
      <c r="L357" s="122">
        <f t="shared" si="66"/>
        <v>747170.20000000007</v>
      </c>
      <c r="M357" s="116">
        <f t="shared" si="67"/>
        <v>105246.39437200001</v>
      </c>
      <c r="N357" s="123">
        <f t="shared" si="68"/>
        <v>63.631435533252727</v>
      </c>
      <c r="O357" s="5"/>
      <c r="P357" s="5">
        <f t="shared" si="73"/>
        <v>1</v>
      </c>
      <c r="Q357" s="7">
        <f t="shared" si="74"/>
        <v>1654</v>
      </c>
      <c r="W357" s="124">
        <f t="shared" si="69"/>
        <v>641923.80562800006</v>
      </c>
      <c r="X357">
        <f t="shared" si="70"/>
        <v>0</v>
      </c>
    </row>
    <row r="358" spans="1:24">
      <c r="A358" s="23" t="s">
        <v>384</v>
      </c>
      <c r="B358" s="35" t="s">
        <v>383</v>
      </c>
      <c r="C358" s="125">
        <v>1441</v>
      </c>
      <c r="D358" s="132">
        <v>124137498</v>
      </c>
      <c r="E358" s="116">
        <f t="shared" si="71"/>
        <v>86146.771686328939</v>
      </c>
      <c r="F358" s="134">
        <v>61453357</v>
      </c>
      <c r="G358" s="117">
        <f t="shared" si="72"/>
        <v>42646.326856349755</v>
      </c>
      <c r="H358" s="7"/>
      <c r="I358" s="136">
        <v>8.1760000000000002</v>
      </c>
      <c r="J358" s="134">
        <v>502442.646832</v>
      </c>
      <c r="K358" s="120">
        <f t="shared" si="75"/>
        <v>348.67636837751559</v>
      </c>
      <c r="L358" s="122">
        <f t="shared" si="66"/>
        <v>614533.57000000007</v>
      </c>
      <c r="M358" s="116">
        <f t="shared" si="67"/>
        <v>112090.92316800007</v>
      </c>
      <c r="N358" s="123">
        <f t="shared" si="68"/>
        <v>77.786900185982006</v>
      </c>
      <c r="O358" s="5"/>
      <c r="P358" s="5">
        <f t="shared" si="73"/>
        <v>1</v>
      </c>
      <c r="Q358" s="7">
        <f t="shared" si="74"/>
        <v>1441</v>
      </c>
      <c r="W358" s="124">
        <f t="shared" si="69"/>
        <v>502442.64683200006</v>
      </c>
      <c r="X358">
        <f t="shared" si="70"/>
        <v>0</v>
      </c>
    </row>
    <row r="359" spans="1:24">
      <c r="A359" s="23" t="s">
        <v>385</v>
      </c>
      <c r="B359" s="35" t="s">
        <v>383</v>
      </c>
      <c r="C359" s="125">
        <v>10446</v>
      </c>
      <c r="D359" s="132">
        <v>968217699</v>
      </c>
      <c r="E359" s="116">
        <f t="shared" si="71"/>
        <v>92687.89000574383</v>
      </c>
      <c r="F359" s="134">
        <v>485532241</v>
      </c>
      <c r="G359" s="117">
        <f t="shared" si="72"/>
        <v>46480.206873444382</v>
      </c>
      <c r="H359" s="7"/>
      <c r="I359" s="136">
        <v>6.4</v>
      </c>
      <c r="J359" s="134">
        <v>3107406.3424</v>
      </c>
      <c r="K359" s="120">
        <f t="shared" si="75"/>
        <v>297.47332399004404</v>
      </c>
      <c r="L359" s="122">
        <f t="shared" si="66"/>
        <v>4855322.41</v>
      </c>
      <c r="M359" s="116">
        <f t="shared" si="67"/>
        <v>1747916.0676000002</v>
      </c>
      <c r="N359" s="123">
        <f t="shared" si="68"/>
        <v>167.32874474439978</v>
      </c>
      <c r="O359" s="5"/>
      <c r="P359" s="5">
        <f t="shared" si="73"/>
        <v>1</v>
      </c>
      <c r="Q359" s="7">
        <f t="shared" si="74"/>
        <v>10446</v>
      </c>
      <c r="W359" s="124">
        <f t="shared" si="69"/>
        <v>3107406.3424</v>
      </c>
      <c r="X359">
        <f t="shared" si="70"/>
        <v>0</v>
      </c>
    </row>
    <row r="360" spans="1:24">
      <c r="A360" s="23" t="s">
        <v>386</v>
      </c>
      <c r="B360" s="35" t="s">
        <v>383</v>
      </c>
      <c r="C360" s="125">
        <v>784</v>
      </c>
      <c r="D360" s="132">
        <v>52596239</v>
      </c>
      <c r="E360" s="116">
        <f t="shared" si="71"/>
        <v>67087.039540816331</v>
      </c>
      <c r="F360" s="134">
        <v>33671028</v>
      </c>
      <c r="G360" s="117">
        <f t="shared" si="72"/>
        <v>42947.739795918365</v>
      </c>
      <c r="H360" s="7"/>
      <c r="I360" s="136">
        <v>5.2973999999999997</v>
      </c>
      <c r="J360" s="134">
        <v>178368.9037272</v>
      </c>
      <c r="K360" s="120">
        <f t="shared" si="75"/>
        <v>227.51135679489795</v>
      </c>
      <c r="L360" s="122">
        <f t="shared" si="66"/>
        <v>336710.28</v>
      </c>
      <c r="M360" s="116">
        <f t="shared" si="67"/>
        <v>158341.37627280003</v>
      </c>
      <c r="N360" s="123">
        <f t="shared" si="68"/>
        <v>201.96604116428574</v>
      </c>
      <c r="O360" s="5"/>
      <c r="P360" s="5">
        <f t="shared" si="73"/>
        <v>1</v>
      </c>
      <c r="Q360" s="7">
        <f t="shared" si="74"/>
        <v>784</v>
      </c>
      <c r="S360" s="124"/>
      <c r="T360" s="124"/>
      <c r="U360" s="124"/>
      <c r="W360" s="124">
        <f t="shared" si="69"/>
        <v>178368.9037272</v>
      </c>
      <c r="X360">
        <f t="shared" si="70"/>
        <v>0</v>
      </c>
    </row>
    <row r="361" spans="1:24">
      <c r="A361" s="23" t="s">
        <v>387</v>
      </c>
      <c r="B361" s="35" t="s">
        <v>383</v>
      </c>
      <c r="C361" s="125">
        <v>714</v>
      </c>
      <c r="D361" s="132">
        <v>85966485</v>
      </c>
      <c r="E361" s="116">
        <f t="shared" si="71"/>
        <v>120401.23949579832</v>
      </c>
      <c r="F361" s="134">
        <v>61133653</v>
      </c>
      <c r="G361" s="117">
        <f t="shared" si="72"/>
        <v>85621.362745098042</v>
      </c>
      <c r="H361" s="9"/>
      <c r="I361" s="136">
        <v>5.5049999999999999</v>
      </c>
      <c r="J361" s="134">
        <v>336540.75976499997</v>
      </c>
      <c r="K361" s="120">
        <f t="shared" si="75"/>
        <v>471.34560191176467</v>
      </c>
      <c r="L361" s="122">
        <f t="shared" si="66"/>
        <v>611336.53</v>
      </c>
      <c r="M361" s="116">
        <f t="shared" si="67"/>
        <v>274795.77023500006</v>
      </c>
      <c r="N361" s="123">
        <f t="shared" si="68"/>
        <v>384.86802553921575</v>
      </c>
      <c r="O361" s="5"/>
      <c r="P361" s="5">
        <f t="shared" si="73"/>
        <v>1</v>
      </c>
      <c r="Q361" s="7">
        <f t="shared" si="74"/>
        <v>714</v>
      </c>
      <c r="S361" s="124">
        <f>SUM(D357:D361)</f>
        <v>1366341793</v>
      </c>
      <c r="T361" s="124">
        <f>SUM(F357:F361)</f>
        <v>716507299</v>
      </c>
      <c r="U361" s="124">
        <f>SUM(J357:J361)</f>
        <v>4766682.4583521998</v>
      </c>
      <c r="W361" s="124">
        <f t="shared" si="69"/>
        <v>336540.75976499997</v>
      </c>
      <c r="X361">
        <f t="shared" si="70"/>
        <v>0</v>
      </c>
    </row>
    <row r="362" spans="1:24">
      <c r="A362" s="23" t="s">
        <v>390</v>
      </c>
      <c r="B362" s="35" t="s">
        <v>391</v>
      </c>
      <c r="C362" s="125">
        <v>6302</v>
      </c>
      <c r="D362" s="132">
        <v>1445745451</v>
      </c>
      <c r="E362" s="116">
        <f t="shared" si="71"/>
        <v>229410.57616629641</v>
      </c>
      <c r="F362" s="134">
        <v>918321936</v>
      </c>
      <c r="G362" s="117">
        <f t="shared" si="72"/>
        <v>145719.1266264678</v>
      </c>
      <c r="H362" s="9"/>
      <c r="I362" s="136">
        <v>1.9722999999999999</v>
      </c>
      <c r="J362" s="134">
        <v>1811206.3543727999</v>
      </c>
      <c r="K362" s="120">
        <f t="shared" si="75"/>
        <v>287.40183344538241</v>
      </c>
      <c r="L362" s="122">
        <f t="shared" si="66"/>
        <v>9183219.3599999994</v>
      </c>
      <c r="M362" s="116">
        <f t="shared" si="67"/>
        <v>7372013.0056272</v>
      </c>
      <c r="N362" s="123">
        <f t="shared" si="68"/>
        <v>1169.7894328192954</v>
      </c>
      <c r="O362" s="5"/>
      <c r="P362" s="5">
        <f t="shared" si="73"/>
        <v>1</v>
      </c>
      <c r="Q362" s="7">
        <f t="shared" si="74"/>
        <v>6302</v>
      </c>
      <c r="W362" s="124">
        <f t="shared" si="69"/>
        <v>1811206.3543727999</v>
      </c>
      <c r="X362">
        <f t="shared" si="70"/>
        <v>0</v>
      </c>
    </row>
    <row r="363" spans="1:24">
      <c r="A363" s="23" t="s">
        <v>392</v>
      </c>
      <c r="B363" s="35" t="s">
        <v>391</v>
      </c>
      <c r="C363" s="125">
        <v>524</v>
      </c>
      <c r="D363" s="132">
        <v>66555335</v>
      </c>
      <c r="E363" s="116">
        <f t="shared" si="71"/>
        <v>127013.99809160305</v>
      </c>
      <c r="F363" s="134">
        <v>45522623</v>
      </c>
      <c r="G363" s="117">
        <f t="shared" si="72"/>
        <v>86875.234732824421</v>
      </c>
      <c r="H363" s="9"/>
      <c r="I363" s="136">
        <v>2.5</v>
      </c>
      <c r="J363" s="134">
        <v>113806.5575</v>
      </c>
      <c r="K363" s="120">
        <f t="shared" si="75"/>
        <v>217.18808683206106</v>
      </c>
      <c r="L363" s="122">
        <f t="shared" si="66"/>
        <v>455226.23</v>
      </c>
      <c r="M363" s="116">
        <f t="shared" si="67"/>
        <v>341419.67249999999</v>
      </c>
      <c r="N363" s="123">
        <f t="shared" si="68"/>
        <v>651.56426049618312</v>
      </c>
      <c r="O363" s="5"/>
      <c r="P363" s="5">
        <f t="shared" si="73"/>
        <v>1</v>
      </c>
      <c r="Q363" s="7">
        <f t="shared" si="74"/>
        <v>524</v>
      </c>
      <c r="S363" s="124"/>
      <c r="T363" s="124"/>
      <c r="U363" s="124"/>
      <c r="W363" s="124">
        <f t="shared" si="69"/>
        <v>113806.5575</v>
      </c>
      <c r="X363">
        <f t="shared" si="70"/>
        <v>0</v>
      </c>
    </row>
    <row r="364" spans="1:24">
      <c r="A364" s="23" t="s">
        <v>393</v>
      </c>
      <c r="B364" s="35" t="s">
        <v>391</v>
      </c>
      <c r="C364" s="125">
        <v>10197</v>
      </c>
      <c r="D364" s="132">
        <v>671507820</v>
      </c>
      <c r="E364" s="116">
        <f t="shared" si="71"/>
        <v>65853.468667255074</v>
      </c>
      <c r="F364" s="134">
        <v>384519241</v>
      </c>
      <c r="G364" s="117">
        <f t="shared" si="72"/>
        <v>37709.055702657643</v>
      </c>
      <c r="H364" s="7"/>
      <c r="I364" s="136">
        <v>3.0840999999999998</v>
      </c>
      <c r="J364" s="134">
        <v>1185895.7911681</v>
      </c>
      <c r="K364" s="120">
        <f t="shared" si="75"/>
        <v>116.29849869256644</v>
      </c>
      <c r="L364" s="122">
        <f t="shared" si="66"/>
        <v>3845192.41</v>
      </c>
      <c r="M364" s="116">
        <f t="shared" si="67"/>
        <v>2659296.6188318999</v>
      </c>
      <c r="N364" s="123">
        <f t="shared" si="68"/>
        <v>260.79205833400999</v>
      </c>
      <c r="O364" s="5"/>
      <c r="P364" s="5">
        <f t="shared" si="73"/>
        <v>1</v>
      </c>
      <c r="Q364" s="7">
        <f t="shared" si="74"/>
        <v>10197</v>
      </c>
      <c r="S364" s="124">
        <f>SUM(D362:D364)</f>
        <v>2183808606</v>
      </c>
      <c r="T364" s="184">
        <f>SUM(F362:F364)</f>
        <v>1348363800</v>
      </c>
      <c r="U364" s="124">
        <f>SUM(J362:J364)</f>
        <v>3110908.7030408997</v>
      </c>
      <c r="W364" s="124">
        <f t="shared" si="69"/>
        <v>1185895.7911681</v>
      </c>
      <c r="X364">
        <f t="shared" si="70"/>
        <v>0</v>
      </c>
    </row>
    <row r="365" spans="1:24">
      <c r="A365" s="23" t="s">
        <v>394</v>
      </c>
      <c r="B365" s="35" t="s">
        <v>395</v>
      </c>
      <c r="C365" s="125">
        <v>74793</v>
      </c>
      <c r="D365" s="132">
        <v>8175999801</v>
      </c>
      <c r="E365" s="116">
        <f t="shared" si="71"/>
        <v>109315.04019092696</v>
      </c>
      <c r="F365" s="134">
        <v>5109695927</v>
      </c>
      <c r="G365" s="117">
        <f t="shared" si="72"/>
        <v>68317.836254729715</v>
      </c>
      <c r="H365" s="7"/>
      <c r="I365" s="136">
        <v>3.7667000000000002</v>
      </c>
      <c r="J365" s="134">
        <v>19246691.648230899</v>
      </c>
      <c r="K365" s="120">
        <f t="shared" si="75"/>
        <v>257.33279382069043</v>
      </c>
      <c r="L365" s="122">
        <f t="shared" si="66"/>
        <v>51096959.270000003</v>
      </c>
      <c r="M365" s="116">
        <f t="shared" si="67"/>
        <v>31850267.621769104</v>
      </c>
      <c r="N365" s="123">
        <f t="shared" si="68"/>
        <v>425.84556872660681</v>
      </c>
      <c r="O365" s="5"/>
      <c r="P365" s="5">
        <f t="shared" si="73"/>
        <v>1</v>
      </c>
      <c r="Q365" s="7">
        <f t="shared" si="74"/>
        <v>74793</v>
      </c>
      <c r="W365" s="124">
        <f t="shared" si="69"/>
        <v>19246691.648230899</v>
      </c>
      <c r="X365">
        <f t="shared" si="70"/>
        <v>0</v>
      </c>
    </row>
    <row r="366" spans="1:24">
      <c r="A366" s="23" t="s">
        <v>395</v>
      </c>
      <c r="B366" s="35" t="s">
        <v>395</v>
      </c>
      <c r="C366" s="125">
        <v>54842</v>
      </c>
      <c r="D366" s="132">
        <v>16659018470</v>
      </c>
      <c r="E366" s="116">
        <f t="shared" si="71"/>
        <v>303763.87567922397</v>
      </c>
      <c r="F366" s="134">
        <v>11789953930</v>
      </c>
      <c r="G366" s="117">
        <f t="shared" si="72"/>
        <v>214980.37872433537</v>
      </c>
      <c r="H366" s="7"/>
      <c r="I366" s="136">
        <v>3.2631999999999999</v>
      </c>
      <c r="J366" s="134">
        <v>38472977.664375998</v>
      </c>
      <c r="K366" s="120">
        <f t="shared" si="75"/>
        <v>701.52397185325117</v>
      </c>
      <c r="L366" s="122">
        <f t="shared" si="66"/>
        <v>117899539.3</v>
      </c>
      <c r="M366" s="116">
        <f t="shared" si="67"/>
        <v>79426561.635623991</v>
      </c>
      <c r="N366" s="123">
        <f t="shared" si="68"/>
        <v>1448.2798153901024</v>
      </c>
      <c r="O366" s="5"/>
      <c r="P366" s="5">
        <f t="shared" si="73"/>
        <v>1</v>
      </c>
      <c r="Q366" s="7">
        <f t="shared" si="74"/>
        <v>54842</v>
      </c>
      <c r="S366" s="124"/>
      <c r="T366" s="124"/>
      <c r="U366" s="124"/>
      <c r="W366" s="124">
        <f t="shared" si="69"/>
        <v>38472977.664375998</v>
      </c>
      <c r="X366">
        <f t="shared" si="70"/>
        <v>0</v>
      </c>
    </row>
    <row r="367" spans="1:24">
      <c r="A367" s="23" t="s">
        <v>396</v>
      </c>
      <c r="B367" s="35" t="s">
        <v>395</v>
      </c>
      <c r="C367" s="125">
        <v>25463</v>
      </c>
      <c r="D367" s="132">
        <v>5832648238</v>
      </c>
      <c r="E367" s="116">
        <f t="shared" si="71"/>
        <v>229063.67034520677</v>
      </c>
      <c r="F367" s="134">
        <v>4502976973</v>
      </c>
      <c r="G367" s="117">
        <f t="shared" si="72"/>
        <v>176843.92934846639</v>
      </c>
      <c r="H367" s="7"/>
      <c r="I367" s="136">
        <v>4.3600000000000003</v>
      </c>
      <c r="J367" s="134">
        <v>19632979.602280002</v>
      </c>
      <c r="K367" s="120">
        <f t="shared" si="75"/>
        <v>771.03953195931365</v>
      </c>
      <c r="L367" s="122">
        <f t="shared" si="66"/>
        <v>45029769.730000004</v>
      </c>
      <c r="M367" s="116">
        <f t="shared" si="67"/>
        <v>25396790.127720002</v>
      </c>
      <c r="N367" s="123">
        <f t="shared" si="68"/>
        <v>997.39976152535064</v>
      </c>
      <c r="O367" s="5"/>
      <c r="P367" s="5">
        <f t="shared" si="73"/>
        <v>1</v>
      </c>
      <c r="Q367" s="7">
        <f t="shared" si="74"/>
        <v>25463</v>
      </c>
      <c r="S367" s="124">
        <f>SUM(D365:D367)</f>
        <v>30667666509</v>
      </c>
      <c r="T367" s="124">
        <f>SUM(F365:F367)</f>
        <v>21402626830</v>
      </c>
      <c r="U367" s="124">
        <f>SUM(J365:J367)</f>
        <v>77352648.914886907</v>
      </c>
      <c r="W367" s="124">
        <f t="shared" si="69"/>
        <v>19632979.602280002</v>
      </c>
      <c r="X367">
        <f t="shared" si="70"/>
        <v>0</v>
      </c>
    </row>
    <row r="368" spans="1:24">
      <c r="A368" s="23" t="s">
        <v>397</v>
      </c>
      <c r="B368" s="35" t="s">
        <v>360</v>
      </c>
      <c r="C368" s="125">
        <v>46231</v>
      </c>
      <c r="D368" s="132">
        <v>5021226841</v>
      </c>
      <c r="E368" s="116">
        <f t="shared" si="71"/>
        <v>108611.68568709308</v>
      </c>
      <c r="F368" s="134">
        <v>3683853352</v>
      </c>
      <c r="G368" s="117">
        <f t="shared" si="72"/>
        <v>79683.618178278644</v>
      </c>
      <c r="H368" s="7"/>
      <c r="I368" s="136">
        <v>3.1</v>
      </c>
      <c r="J368" s="134">
        <v>11419945.3912</v>
      </c>
      <c r="K368" s="120">
        <f t="shared" si="75"/>
        <v>247.01921635266382</v>
      </c>
      <c r="L368" s="122">
        <f t="shared" si="66"/>
        <v>36838533.520000003</v>
      </c>
      <c r="M368" s="116">
        <f t="shared" si="67"/>
        <v>25418588.128800005</v>
      </c>
      <c r="N368" s="123">
        <f t="shared" si="68"/>
        <v>549.81696543012276</v>
      </c>
      <c r="O368" s="5"/>
      <c r="P368" s="5">
        <f t="shared" si="73"/>
        <v>1</v>
      </c>
      <c r="Q368" s="7">
        <f t="shared" si="74"/>
        <v>46231</v>
      </c>
      <c r="W368" s="124">
        <f t="shared" si="69"/>
        <v>11419945.3912</v>
      </c>
      <c r="X368">
        <f t="shared" si="70"/>
        <v>0</v>
      </c>
    </row>
    <row r="369" spans="1:24">
      <c r="A369" s="23" t="s">
        <v>398</v>
      </c>
      <c r="B369" s="35" t="s">
        <v>360</v>
      </c>
      <c r="C369" s="125">
        <v>28794</v>
      </c>
      <c r="D369" s="132">
        <v>2455583126</v>
      </c>
      <c r="E369" s="116">
        <f t="shared" si="71"/>
        <v>85281.069875668545</v>
      </c>
      <c r="F369" s="134">
        <v>1731481016</v>
      </c>
      <c r="G369" s="117">
        <f t="shared" si="72"/>
        <v>60133.3964020282</v>
      </c>
      <c r="H369" s="7"/>
      <c r="I369" s="136">
        <v>2.9990000000000001</v>
      </c>
      <c r="J369" s="134">
        <v>5192711.5669840006</v>
      </c>
      <c r="K369" s="120">
        <f t="shared" si="75"/>
        <v>180.34005580968258</v>
      </c>
      <c r="L369" s="122">
        <f t="shared" si="66"/>
        <v>17314810.16</v>
      </c>
      <c r="M369" s="116">
        <f t="shared" si="67"/>
        <v>12122098.593015999</v>
      </c>
      <c r="N369" s="123">
        <f t="shared" si="68"/>
        <v>420.99390821059939</v>
      </c>
      <c r="O369" s="5"/>
      <c r="P369" s="5">
        <f t="shared" si="73"/>
        <v>1</v>
      </c>
      <c r="Q369" s="7">
        <f t="shared" si="74"/>
        <v>28794</v>
      </c>
      <c r="W369" s="124">
        <f t="shared" si="69"/>
        <v>5192711.5669839997</v>
      </c>
      <c r="X369">
        <f t="shared" si="70"/>
        <v>0</v>
      </c>
    </row>
    <row r="370" spans="1:24">
      <c r="A370" s="23" t="s">
        <v>399</v>
      </c>
      <c r="B370" s="35" t="s">
        <v>360</v>
      </c>
      <c r="C370" s="125">
        <v>16798</v>
      </c>
      <c r="D370" s="132">
        <v>3485507873</v>
      </c>
      <c r="E370" s="116">
        <f t="shared" si="71"/>
        <v>207495.40856054291</v>
      </c>
      <c r="F370" s="134">
        <v>2806016894</v>
      </c>
      <c r="G370" s="117">
        <f t="shared" si="72"/>
        <v>167044.70139302299</v>
      </c>
      <c r="H370" s="7"/>
      <c r="I370" s="136">
        <v>3.5895000000000001</v>
      </c>
      <c r="J370" s="134">
        <v>10072197.641013</v>
      </c>
      <c r="K370" s="120">
        <f t="shared" si="75"/>
        <v>599.60695565025594</v>
      </c>
      <c r="L370" s="122">
        <f t="shared" si="66"/>
        <v>28060168.940000001</v>
      </c>
      <c r="M370" s="116">
        <f t="shared" si="67"/>
        <v>17987971.298987001</v>
      </c>
      <c r="N370" s="123">
        <f t="shared" si="68"/>
        <v>1070.8400582799738</v>
      </c>
      <c r="O370" s="5"/>
      <c r="P370" s="5">
        <f t="shared" si="73"/>
        <v>1</v>
      </c>
      <c r="Q370" s="7">
        <f t="shared" si="74"/>
        <v>16798</v>
      </c>
      <c r="W370" s="124">
        <f t="shared" si="69"/>
        <v>10072197.641013</v>
      </c>
      <c r="X370">
        <f t="shared" si="70"/>
        <v>0</v>
      </c>
    </row>
    <row r="371" spans="1:24">
      <c r="A371" s="23" t="s">
        <v>400</v>
      </c>
      <c r="B371" s="35" t="s">
        <v>360</v>
      </c>
      <c r="C371" s="125">
        <v>15087</v>
      </c>
      <c r="D371" s="147">
        <v>1874493040</v>
      </c>
      <c r="E371" s="116">
        <f t="shared" si="71"/>
        <v>124245.57831245443</v>
      </c>
      <c r="F371" s="134">
        <v>1288613740</v>
      </c>
      <c r="G371" s="117">
        <f t="shared" si="72"/>
        <v>85412.191953337315</v>
      </c>
      <c r="H371" s="7"/>
      <c r="I371" s="136">
        <v>5.5</v>
      </c>
      <c r="J371" s="134">
        <v>7087375.5700000003</v>
      </c>
      <c r="K371" s="120">
        <f t="shared" si="75"/>
        <v>469.76705574335523</v>
      </c>
      <c r="L371" s="122">
        <f t="shared" si="66"/>
        <v>12886137.4</v>
      </c>
      <c r="M371" s="116">
        <f t="shared" si="67"/>
        <v>5798761.8300000001</v>
      </c>
      <c r="N371" s="123">
        <f t="shared" si="68"/>
        <v>384.35486379001787</v>
      </c>
      <c r="O371" s="5"/>
      <c r="P371" s="5">
        <f t="shared" si="73"/>
        <v>1</v>
      </c>
      <c r="Q371" s="7">
        <f t="shared" si="74"/>
        <v>15087</v>
      </c>
      <c r="W371" s="124">
        <f t="shared" si="69"/>
        <v>7087375.5699999994</v>
      </c>
      <c r="X371">
        <f t="shared" si="70"/>
        <v>0</v>
      </c>
    </row>
    <row r="372" spans="1:24">
      <c r="A372" s="23" t="s">
        <v>401</v>
      </c>
      <c r="B372" s="35" t="s">
        <v>360</v>
      </c>
      <c r="C372" s="125">
        <v>40059</v>
      </c>
      <c r="D372" s="132">
        <v>4615655947</v>
      </c>
      <c r="E372" s="116">
        <f t="shared" si="71"/>
        <v>115221.44704061509</v>
      </c>
      <c r="F372" s="134">
        <v>3193480159</v>
      </c>
      <c r="G372" s="117">
        <f t="shared" si="72"/>
        <v>79719.417833695305</v>
      </c>
      <c r="H372" s="7"/>
      <c r="I372" s="136">
        <v>5.1230000000000002</v>
      </c>
      <c r="J372" s="134">
        <v>16360198.854557002</v>
      </c>
      <c r="K372" s="120">
        <f t="shared" si="75"/>
        <v>408.40257756202107</v>
      </c>
      <c r="L372" s="122">
        <f t="shared" si="66"/>
        <v>31934801.59</v>
      </c>
      <c r="M372" s="116">
        <f t="shared" si="67"/>
        <v>15574602.735442998</v>
      </c>
      <c r="N372" s="123">
        <f t="shared" si="68"/>
        <v>388.79160077493191</v>
      </c>
      <c r="O372" s="5"/>
      <c r="P372" s="5">
        <f t="shared" si="73"/>
        <v>1</v>
      </c>
      <c r="Q372" s="7">
        <f t="shared" si="74"/>
        <v>40059</v>
      </c>
      <c r="W372" s="124">
        <f t="shared" si="69"/>
        <v>16360198.854557</v>
      </c>
      <c r="X372">
        <f t="shared" si="70"/>
        <v>0</v>
      </c>
    </row>
    <row r="373" spans="1:24">
      <c r="A373" s="23" t="s">
        <v>402</v>
      </c>
      <c r="B373" s="35" t="s">
        <v>360</v>
      </c>
      <c r="C373" s="125">
        <v>61051</v>
      </c>
      <c r="D373" s="132">
        <v>4615655947</v>
      </c>
      <c r="E373" s="116">
        <f t="shared" si="71"/>
        <v>75603.281633388484</v>
      </c>
      <c r="F373" s="134">
        <v>3193480159</v>
      </c>
      <c r="G373" s="117">
        <f t="shared" si="72"/>
        <v>52308.400501220291</v>
      </c>
      <c r="H373" s="7"/>
      <c r="I373" s="136">
        <v>5.1230000000000002</v>
      </c>
      <c r="J373" s="134">
        <v>16360198.854557002</v>
      </c>
      <c r="K373" s="120">
        <f t="shared" si="75"/>
        <v>267.97593576775159</v>
      </c>
      <c r="L373" s="122">
        <f t="shared" si="66"/>
        <v>31934801.59</v>
      </c>
      <c r="M373" s="116">
        <f t="shared" si="67"/>
        <v>15574602.735442998</v>
      </c>
      <c r="N373" s="123">
        <f t="shared" si="68"/>
        <v>255.10806924445131</v>
      </c>
      <c r="O373" s="5"/>
      <c r="P373" s="5">
        <f t="shared" si="73"/>
        <v>1</v>
      </c>
      <c r="Q373" s="7">
        <f t="shared" si="74"/>
        <v>61051</v>
      </c>
      <c r="S373" s="124"/>
      <c r="T373" s="124"/>
      <c r="U373" s="124"/>
      <c r="W373" s="124">
        <f t="shared" si="69"/>
        <v>16360198.854557</v>
      </c>
      <c r="X373">
        <f t="shared" si="70"/>
        <v>0</v>
      </c>
    </row>
    <row r="374" spans="1:24">
      <c r="A374" s="23" t="s">
        <v>403</v>
      </c>
      <c r="B374" s="37" t="s">
        <v>360</v>
      </c>
      <c r="C374" s="125">
        <v>38342</v>
      </c>
      <c r="D374" s="132">
        <v>3987154850</v>
      </c>
      <c r="E374" s="116">
        <f t="shared" si="71"/>
        <v>103989.22461008816</v>
      </c>
      <c r="F374" s="134">
        <v>2708235730</v>
      </c>
      <c r="G374" s="117">
        <f t="shared" si="72"/>
        <v>70633.658390276978</v>
      </c>
      <c r="H374" s="7"/>
      <c r="I374" s="136">
        <v>2.41</v>
      </c>
      <c r="J374" s="134">
        <v>6526848.1093000006</v>
      </c>
      <c r="K374" s="120">
        <f t="shared" si="75"/>
        <v>170.22711672056755</v>
      </c>
      <c r="L374" s="122">
        <f t="shared" si="66"/>
        <v>27082357.300000001</v>
      </c>
      <c r="M374" s="116">
        <f t="shared" si="67"/>
        <v>20555509.190700002</v>
      </c>
      <c r="N374" s="123">
        <f t="shared" si="68"/>
        <v>536.10946718220237</v>
      </c>
      <c r="O374" s="5"/>
      <c r="P374" s="5">
        <f t="shared" si="73"/>
        <v>1</v>
      </c>
      <c r="Q374" s="7">
        <f t="shared" si="74"/>
        <v>38342</v>
      </c>
      <c r="S374" s="124">
        <f>SUM(D368:D374)</f>
        <v>26055277624</v>
      </c>
      <c r="T374" s="124">
        <f>SUM(F368:F374)</f>
        <v>18605161050</v>
      </c>
      <c r="U374" s="124">
        <f>SUM(J368:J374)</f>
        <v>73019475.987610996</v>
      </c>
      <c r="W374" s="124">
        <f t="shared" si="69"/>
        <v>6526848.1093000006</v>
      </c>
      <c r="X374">
        <f t="shared" si="70"/>
        <v>0</v>
      </c>
    </row>
    <row r="375" spans="1:24">
      <c r="A375" s="24" t="s">
        <v>549</v>
      </c>
      <c r="B375" s="37" t="s">
        <v>551</v>
      </c>
      <c r="C375" s="125">
        <v>14329</v>
      </c>
      <c r="D375" s="132">
        <v>3240424401</v>
      </c>
      <c r="E375" s="116">
        <f t="shared" si="71"/>
        <v>226144.49026449857</v>
      </c>
      <c r="F375" s="134">
        <v>2000051246</v>
      </c>
      <c r="G375" s="117">
        <f t="shared" si="72"/>
        <v>139580.65782678485</v>
      </c>
      <c r="H375" s="7"/>
      <c r="I375" s="136">
        <v>7.5</v>
      </c>
      <c r="J375" s="134">
        <v>15000384.345000001</v>
      </c>
      <c r="K375" s="120">
        <f t="shared" si="75"/>
        <v>1046.8549337008862</v>
      </c>
      <c r="L375" s="122">
        <f t="shared" si="66"/>
        <v>20000512.460000001</v>
      </c>
      <c r="M375" s="116">
        <f t="shared" si="67"/>
        <v>5000128.1150000002</v>
      </c>
      <c r="N375" s="123">
        <f t="shared" si="68"/>
        <v>348.9516445669621</v>
      </c>
      <c r="O375" s="5"/>
      <c r="P375" s="5">
        <f t="shared" si="73"/>
        <v>1</v>
      </c>
      <c r="Q375" s="7">
        <f t="shared" si="74"/>
        <v>14329</v>
      </c>
      <c r="W375" s="124">
        <f t="shared" si="69"/>
        <v>15000384.344999999</v>
      </c>
      <c r="X375">
        <f t="shared" si="70"/>
        <v>0</v>
      </c>
    </row>
    <row r="376" spans="1:24">
      <c r="A376" s="24" t="s">
        <v>550</v>
      </c>
      <c r="B376" s="37" t="s">
        <v>551</v>
      </c>
      <c r="C376" s="125">
        <v>6803</v>
      </c>
      <c r="D376" s="132">
        <v>1814047713</v>
      </c>
      <c r="E376" s="116">
        <f t="shared" si="71"/>
        <v>266654.08099367924</v>
      </c>
      <c r="F376" s="134">
        <v>1463339291</v>
      </c>
      <c r="G376" s="117">
        <f t="shared" si="72"/>
        <v>215102.0565926797</v>
      </c>
      <c r="H376" s="7"/>
      <c r="I376" s="136">
        <v>2.4500000000000002</v>
      </c>
      <c r="J376" s="134">
        <v>3585181.2629500004</v>
      </c>
      <c r="K376" s="120">
        <f t="shared" si="75"/>
        <v>527.00003865206531</v>
      </c>
      <c r="L376" s="122">
        <f t="shared" si="66"/>
        <v>14633392.91</v>
      </c>
      <c r="M376" s="116">
        <f t="shared" si="67"/>
        <v>11048211.647050001</v>
      </c>
      <c r="N376" s="123">
        <f t="shared" si="68"/>
        <v>1624.0205272747319</v>
      </c>
      <c r="O376" s="5"/>
      <c r="P376" s="5">
        <f t="shared" si="73"/>
        <v>1</v>
      </c>
      <c r="Q376" s="7">
        <f t="shared" si="74"/>
        <v>6803</v>
      </c>
      <c r="S376" s="124">
        <f>SUM(D375:D376)</f>
        <v>5054472114</v>
      </c>
      <c r="T376" s="124">
        <f>SUM(F375:F376)</f>
        <v>3463390537</v>
      </c>
      <c r="U376" s="124">
        <f>SUM(J375:J376)</f>
        <v>18585565.607950002</v>
      </c>
      <c r="W376" s="124">
        <f t="shared" si="69"/>
        <v>3585181.2629500004</v>
      </c>
      <c r="X376">
        <f t="shared" si="70"/>
        <v>0</v>
      </c>
    </row>
    <row r="377" spans="1:24">
      <c r="A377" s="23" t="s">
        <v>389</v>
      </c>
      <c r="B377" s="37" t="s">
        <v>552</v>
      </c>
      <c r="C377" s="125">
        <v>47297</v>
      </c>
      <c r="D377" s="132">
        <v>4495684764</v>
      </c>
      <c r="E377" s="116">
        <f t="shared" si="71"/>
        <v>95052.218195657231</v>
      </c>
      <c r="F377" s="134">
        <v>2699124576</v>
      </c>
      <c r="G377" s="117">
        <f t="shared" si="72"/>
        <v>57067.564031545342</v>
      </c>
      <c r="H377" s="7"/>
      <c r="I377" s="136">
        <v>6.9</v>
      </c>
      <c r="J377" s="134">
        <v>18623959.5744</v>
      </c>
      <c r="K377" s="120">
        <f t="shared" si="75"/>
        <v>393.76619181766284</v>
      </c>
      <c r="L377" s="122">
        <f t="shared" si="66"/>
        <v>26991245.760000002</v>
      </c>
      <c r="M377" s="116">
        <f t="shared" si="67"/>
        <v>8367286.1856000014</v>
      </c>
      <c r="N377" s="123">
        <f t="shared" si="68"/>
        <v>176.90944849779058</v>
      </c>
      <c r="O377" s="5"/>
      <c r="P377" s="5">
        <f t="shared" si="73"/>
        <v>1</v>
      </c>
      <c r="Q377" s="7">
        <f t="shared" si="74"/>
        <v>47297</v>
      </c>
      <c r="W377" s="124">
        <f t="shared" si="69"/>
        <v>18623959.5744</v>
      </c>
      <c r="X377">
        <f t="shared" si="70"/>
        <v>0</v>
      </c>
    </row>
    <row r="378" spans="1:24">
      <c r="A378" s="24" t="s">
        <v>553</v>
      </c>
      <c r="B378" s="37" t="s">
        <v>552</v>
      </c>
      <c r="C378" s="125">
        <v>204851</v>
      </c>
      <c r="D378" s="132">
        <v>19749327916</v>
      </c>
      <c r="E378" s="116">
        <f t="shared" si="71"/>
        <v>96408.257299207718</v>
      </c>
      <c r="F378" s="134">
        <v>11795767510</v>
      </c>
      <c r="G378" s="117">
        <f t="shared" si="72"/>
        <v>57582.181732088204</v>
      </c>
      <c r="H378" s="7"/>
      <c r="I378" s="136">
        <v>4.9806999999999997</v>
      </c>
      <c r="J378" s="134">
        <v>58751179.237057</v>
      </c>
      <c r="K378" s="120">
        <f t="shared" si="75"/>
        <v>286.79957255301173</v>
      </c>
      <c r="L378" s="122">
        <f t="shared" si="66"/>
        <v>117957675.10000001</v>
      </c>
      <c r="M378" s="116">
        <f t="shared" si="67"/>
        <v>59206495.862943009</v>
      </c>
      <c r="N378" s="123">
        <f t="shared" si="68"/>
        <v>289.02224476787035</v>
      </c>
      <c r="O378" s="5"/>
      <c r="P378" s="5">
        <f t="shared" si="73"/>
        <v>1</v>
      </c>
      <c r="Q378" s="7">
        <f t="shared" si="74"/>
        <v>204851</v>
      </c>
      <c r="W378" s="124">
        <f t="shared" si="69"/>
        <v>58751179.237056993</v>
      </c>
      <c r="X378">
        <f t="shared" si="70"/>
        <v>0</v>
      </c>
    </row>
    <row r="379" spans="1:24">
      <c r="A379" s="24" t="s">
        <v>554</v>
      </c>
      <c r="B379" s="37" t="s">
        <v>552</v>
      </c>
      <c r="C379" s="125">
        <v>613</v>
      </c>
      <c r="D379" s="132">
        <v>108474575</v>
      </c>
      <c r="E379" s="116">
        <f t="shared" si="71"/>
        <v>176956.89233278955</v>
      </c>
      <c r="F379" s="134">
        <v>70765810</v>
      </c>
      <c r="G379" s="117">
        <f t="shared" si="72"/>
        <v>115441.77814029364</v>
      </c>
      <c r="H379" s="7"/>
      <c r="I379" s="136">
        <v>1.7649999999999999</v>
      </c>
      <c r="J379" s="134">
        <v>124901.65465</v>
      </c>
      <c r="K379" s="120">
        <f t="shared" si="75"/>
        <v>203.75473841761826</v>
      </c>
      <c r="L379" s="122">
        <f t="shared" si="66"/>
        <v>707658.1</v>
      </c>
      <c r="M379" s="116">
        <f t="shared" si="67"/>
        <v>582756.44534999994</v>
      </c>
      <c r="N379" s="123">
        <f t="shared" si="68"/>
        <v>950.66304298531804</v>
      </c>
      <c r="O379" s="5"/>
      <c r="P379" s="5">
        <f t="shared" si="73"/>
        <v>1</v>
      </c>
      <c r="Q379" s="7">
        <f t="shared" si="74"/>
        <v>613</v>
      </c>
      <c r="S379" s="124">
        <f>SUM(D377:D379)</f>
        <v>24353487255</v>
      </c>
      <c r="T379" s="124">
        <f>SUM(F377:F379)</f>
        <v>14565657896</v>
      </c>
      <c r="U379" s="124">
        <f>SUM(J377:J379)</f>
        <v>77500040.466107011</v>
      </c>
      <c r="W379" s="124">
        <f t="shared" si="69"/>
        <v>124901.65465</v>
      </c>
      <c r="X379">
        <f t="shared" si="70"/>
        <v>0</v>
      </c>
    </row>
    <row r="380" spans="1:24">
      <c r="A380" s="23" t="s">
        <v>404</v>
      </c>
      <c r="B380" s="35" t="s">
        <v>405</v>
      </c>
      <c r="C380" s="125">
        <v>3047</v>
      </c>
      <c r="D380" s="132">
        <v>258637280</v>
      </c>
      <c r="E380" s="116">
        <f t="shared" si="71"/>
        <v>84882.599277978341</v>
      </c>
      <c r="F380" s="134">
        <v>169827335</v>
      </c>
      <c r="G380" s="117">
        <f t="shared" si="72"/>
        <v>55735.91565474237</v>
      </c>
      <c r="H380" s="9"/>
      <c r="I380" s="136">
        <v>3.722</v>
      </c>
      <c r="J380" s="134">
        <v>632097.34086999996</v>
      </c>
      <c r="K380" s="120">
        <f t="shared" si="75"/>
        <v>207.44907806695107</v>
      </c>
      <c r="L380" s="122">
        <f t="shared" si="66"/>
        <v>1698273.35</v>
      </c>
      <c r="M380" s="116">
        <f t="shared" si="67"/>
        <v>1066176.0091300001</v>
      </c>
      <c r="N380" s="123">
        <f t="shared" si="68"/>
        <v>349.91007848047263</v>
      </c>
      <c r="O380" s="5"/>
      <c r="P380" s="5">
        <f t="shared" si="73"/>
        <v>1</v>
      </c>
      <c r="Q380" s="7">
        <f t="shared" si="74"/>
        <v>3047</v>
      </c>
      <c r="W380" s="124">
        <f t="shared" si="69"/>
        <v>632097.34086999996</v>
      </c>
      <c r="X380">
        <f t="shared" si="70"/>
        <v>0</v>
      </c>
    </row>
    <row r="381" spans="1:24">
      <c r="A381" s="23" t="s">
        <v>406</v>
      </c>
      <c r="B381" s="35" t="s">
        <v>405</v>
      </c>
      <c r="C381" s="125">
        <v>846</v>
      </c>
      <c r="D381" s="132">
        <v>55526834</v>
      </c>
      <c r="E381" s="116">
        <f t="shared" si="71"/>
        <v>65634.555555555562</v>
      </c>
      <c r="F381" s="134">
        <v>30573069</v>
      </c>
      <c r="G381" s="117">
        <f t="shared" si="72"/>
        <v>36138.379432624111</v>
      </c>
      <c r="H381" s="9"/>
      <c r="I381" s="136">
        <v>4.3334999999999999</v>
      </c>
      <c r="J381" s="134">
        <v>132488.3945115</v>
      </c>
      <c r="K381" s="120">
        <f t="shared" si="75"/>
        <v>156.60566727127659</v>
      </c>
      <c r="L381" s="122">
        <f t="shared" si="66"/>
        <v>305730.69</v>
      </c>
      <c r="M381" s="116">
        <f t="shared" si="67"/>
        <v>173242.29548850001</v>
      </c>
      <c r="N381" s="123">
        <f t="shared" si="68"/>
        <v>204.77812705496456</v>
      </c>
      <c r="O381" s="5"/>
      <c r="P381" s="5">
        <f t="shared" si="73"/>
        <v>1</v>
      </c>
      <c r="Q381" s="7">
        <f t="shared" si="74"/>
        <v>846</v>
      </c>
      <c r="W381" s="124">
        <f t="shared" si="69"/>
        <v>132488.3945115</v>
      </c>
      <c r="X381">
        <f t="shared" si="70"/>
        <v>0</v>
      </c>
    </row>
    <row r="382" spans="1:24">
      <c r="A382" s="23" t="s">
        <v>407</v>
      </c>
      <c r="B382" s="35" t="s">
        <v>405</v>
      </c>
      <c r="C382" s="125">
        <v>642</v>
      </c>
      <c r="D382" s="147">
        <v>37196628</v>
      </c>
      <c r="E382" s="116">
        <f t="shared" si="71"/>
        <v>57938.672897196258</v>
      </c>
      <c r="F382" s="134">
        <v>20172896</v>
      </c>
      <c r="G382" s="117">
        <f t="shared" si="72"/>
        <v>31421.956386292833</v>
      </c>
      <c r="H382" s="98"/>
      <c r="I382" s="136">
        <v>4.0875000000000004</v>
      </c>
      <c r="J382" s="134">
        <v>82456.712400000004</v>
      </c>
      <c r="K382" s="120">
        <f t="shared" si="75"/>
        <v>128.43724672897196</v>
      </c>
      <c r="L382" s="122">
        <f t="shared" si="66"/>
        <v>201728.96</v>
      </c>
      <c r="M382" s="116">
        <f t="shared" si="67"/>
        <v>119272.24759999999</v>
      </c>
      <c r="N382" s="123">
        <f t="shared" si="68"/>
        <v>185.78231713395635</v>
      </c>
      <c r="O382" s="5"/>
      <c r="P382" s="5">
        <f t="shared" si="73"/>
        <v>1</v>
      </c>
      <c r="Q382" s="7">
        <f t="shared" si="74"/>
        <v>642</v>
      </c>
      <c r="W382" s="124">
        <f t="shared" si="69"/>
        <v>82456.712400000004</v>
      </c>
      <c r="X382">
        <f t="shared" si="70"/>
        <v>0</v>
      </c>
    </row>
    <row r="383" spans="1:24">
      <c r="A383" s="23" t="s">
        <v>408</v>
      </c>
      <c r="B383" s="35" t="s">
        <v>405</v>
      </c>
      <c r="C383" s="125">
        <v>778</v>
      </c>
      <c r="D383" s="132">
        <v>38267940</v>
      </c>
      <c r="E383" s="116">
        <f t="shared" si="71"/>
        <v>49187.583547557842</v>
      </c>
      <c r="F383" s="134">
        <v>24346354</v>
      </c>
      <c r="G383" s="117">
        <f t="shared" si="72"/>
        <v>31293.514138817482</v>
      </c>
      <c r="H383" s="7"/>
      <c r="I383" s="150">
        <v>8</v>
      </c>
      <c r="J383" s="134">
        <v>194770.83199999999</v>
      </c>
      <c r="K383" s="120">
        <f t="shared" si="75"/>
        <v>250.34811311053983</v>
      </c>
      <c r="L383" s="122">
        <f t="shared" si="66"/>
        <v>243463.54</v>
      </c>
      <c r="M383" s="116">
        <f t="shared" si="67"/>
        <v>48692.708000000013</v>
      </c>
      <c r="N383" s="123">
        <f t="shared" si="68"/>
        <v>62.587028277634978</v>
      </c>
      <c r="O383" s="5"/>
      <c r="P383" s="5">
        <f t="shared" si="73"/>
        <v>1</v>
      </c>
      <c r="Q383" s="7">
        <f t="shared" si="74"/>
        <v>778</v>
      </c>
      <c r="W383" s="124">
        <f t="shared" si="69"/>
        <v>194770.83199999999</v>
      </c>
      <c r="X383">
        <f t="shared" si="70"/>
        <v>0</v>
      </c>
    </row>
    <row r="384" spans="1:24">
      <c r="A384" s="23" t="s">
        <v>409</v>
      </c>
      <c r="B384" s="35" t="s">
        <v>405</v>
      </c>
      <c r="C384" s="125">
        <v>15730</v>
      </c>
      <c r="D384" s="132">
        <v>2749758767</v>
      </c>
      <c r="E384" s="116">
        <f t="shared" si="71"/>
        <v>174809.83897012079</v>
      </c>
      <c r="F384" s="134">
        <v>2210032681</v>
      </c>
      <c r="G384" s="117">
        <f t="shared" si="72"/>
        <v>140497.94539097266</v>
      </c>
      <c r="H384" s="7"/>
      <c r="I384" s="136">
        <v>3.3980000000000001</v>
      </c>
      <c r="J384" s="154">
        <v>7509691.0500380006</v>
      </c>
      <c r="K384" s="120">
        <f t="shared" si="75"/>
        <v>477.41201843852514</v>
      </c>
      <c r="L384" s="122">
        <f t="shared" si="66"/>
        <v>22100326.809999999</v>
      </c>
      <c r="M384" s="116">
        <f t="shared" si="67"/>
        <v>14590635.759961998</v>
      </c>
      <c r="N384" s="123">
        <f t="shared" si="68"/>
        <v>927.56743547120141</v>
      </c>
      <c r="O384" s="5"/>
      <c r="P384" s="5">
        <f t="shared" si="73"/>
        <v>1</v>
      </c>
      <c r="Q384" s="7">
        <f t="shared" si="74"/>
        <v>15730</v>
      </c>
      <c r="S384" s="124">
        <f>SUM(D380:D384)</f>
        <v>3139387449</v>
      </c>
      <c r="T384" s="124">
        <f>SUM(F380:F384)</f>
        <v>2454952335</v>
      </c>
      <c r="U384" s="124">
        <f>SUM(J380:J384)</f>
        <v>8551504.3298195004</v>
      </c>
      <c r="W384" s="124">
        <f t="shared" si="69"/>
        <v>7509691.0500379996</v>
      </c>
      <c r="X384">
        <f t="shared" si="70"/>
        <v>0</v>
      </c>
    </row>
    <row r="385" spans="1:24">
      <c r="A385" s="23" t="s">
        <v>410</v>
      </c>
      <c r="B385" s="35" t="s">
        <v>411</v>
      </c>
      <c r="C385" s="125">
        <v>711</v>
      </c>
      <c r="D385" s="132">
        <v>40306612</v>
      </c>
      <c r="E385" s="116">
        <f t="shared" si="71"/>
        <v>56690.030942334743</v>
      </c>
      <c r="F385" s="134">
        <v>24553400</v>
      </c>
      <c r="G385" s="117">
        <f t="shared" si="72"/>
        <v>34533.614627285511</v>
      </c>
      <c r="H385" s="7"/>
      <c r="I385" s="136">
        <v>6</v>
      </c>
      <c r="J385" s="134">
        <v>147320.4</v>
      </c>
      <c r="K385" s="120">
        <f t="shared" si="75"/>
        <v>207.20168776371307</v>
      </c>
      <c r="L385" s="122">
        <f t="shared" si="66"/>
        <v>245534</v>
      </c>
      <c r="M385" s="116">
        <f t="shared" si="67"/>
        <v>98213.6</v>
      </c>
      <c r="N385" s="123">
        <f t="shared" si="68"/>
        <v>138.13445850914206</v>
      </c>
      <c r="O385" s="5"/>
      <c r="P385" s="5">
        <f t="shared" si="73"/>
        <v>1</v>
      </c>
      <c r="Q385" s="7">
        <f t="shared" si="74"/>
        <v>711</v>
      </c>
      <c r="W385" s="124">
        <f t="shared" si="69"/>
        <v>147320.4</v>
      </c>
      <c r="X385">
        <f t="shared" si="70"/>
        <v>0</v>
      </c>
    </row>
    <row r="386" spans="1:24">
      <c r="A386" s="23" t="s">
        <v>412</v>
      </c>
      <c r="B386" s="35" t="s">
        <v>411</v>
      </c>
      <c r="C386" s="125">
        <v>6735</v>
      </c>
      <c r="D386" s="132">
        <v>338030021</v>
      </c>
      <c r="E386" s="116">
        <f t="shared" si="71"/>
        <v>50190.055085374908</v>
      </c>
      <c r="F386" s="134">
        <v>217630716</v>
      </c>
      <c r="G386" s="117">
        <f t="shared" si="72"/>
        <v>32313.395100222719</v>
      </c>
      <c r="H386" s="7"/>
      <c r="I386" s="136">
        <v>9.2521000000000004</v>
      </c>
      <c r="J386" s="134">
        <v>2013541.1475036002</v>
      </c>
      <c r="K386" s="120">
        <f t="shared" si="75"/>
        <v>298.96676280677065</v>
      </c>
      <c r="L386" s="122">
        <f t="shared" si="66"/>
        <v>2176307.16</v>
      </c>
      <c r="M386" s="116">
        <f t="shared" si="67"/>
        <v>162766.01249639993</v>
      </c>
      <c r="N386" s="123">
        <f t="shared" si="68"/>
        <v>24.167188195456561</v>
      </c>
      <c r="O386" s="5"/>
      <c r="P386" s="5">
        <f t="shared" si="73"/>
        <v>1</v>
      </c>
      <c r="Q386" s="7">
        <f t="shared" si="74"/>
        <v>6735</v>
      </c>
      <c r="S386" s="124">
        <f>SUM(D385:D386)</f>
        <v>378336633</v>
      </c>
      <c r="T386" s="124">
        <f>SUM(F385:F386)</f>
        <v>242184116</v>
      </c>
      <c r="U386" s="124">
        <f>SUM(J385:J386)</f>
        <v>2160861.5475036004</v>
      </c>
      <c r="W386" s="124">
        <f t="shared" si="69"/>
        <v>2013541.1475036002</v>
      </c>
      <c r="X386">
        <f t="shared" si="70"/>
        <v>0</v>
      </c>
    </row>
    <row r="387" spans="1:24">
      <c r="A387" s="23" t="s">
        <v>413</v>
      </c>
      <c r="B387" s="35" t="s">
        <v>414</v>
      </c>
      <c r="C387" s="125">
        <v>6898</v>
      </c>
      <c r="D387" s="132">
        <v>425514558</v>
      </c>
      <c r="E387" s="116">
        <f t="shared" si="71"/>
        <v>61686.656712090458</v>
      </c>
      <c r="F387" s="134">
        <v>259696067</v>
      </c>
      <c r="G387" s="117">
        <f t="shared" si="72"/>
        <v>37648.023630037693</v>
      </c>
      <c r="H387" s="9"/>
      <c r="I387" s="136">
        <v>6.6744000000000003</v>
      </c>
      <c r="J387" s="134">
        <v>1733315.4295848</v>
      </c>
      <c r="K387" s="120">
        <f t="shared" si="75"/>
        <v>251.27796891632357</v>
      </c>
      <c r="L387" s="122">
        <f t="shared" si="66"/>
        <v>2596960.67</v>
      </c>
      <c r="M387" s="116">
        <f t="shared" si="67"/>
        <v>863645.24041519989</v>
      </c>
      <c r="N387" s="123">
        <f t="shared" si="68"/>
        <v>125.20226738405333</v>
      </c>
      <c r="O387" s="5"/>
      <c r="P387" s="5">
        <f t="shared" si="73"/>
        <v>1</v>
      </c>
      <c r="Q387" s="7">
        <f t="shared" si="74"/>
        <v>6898</v>
      </c>
      <c r="S387" s="124">
        <f>SUM(D387)</f>
        <v>425514558</v>
      </c>
      <c r="T387" s="124">
        <f>SUM(F387)</f>
        <v>259696067</v>
      </c>
      <c r="U387" s="124">
        <f>SUM(J387)</f>
        <v>1733315.4295848</v>
      </c>
      <c r="W387" s="124">
        <f t="shared" si="69"/>
        <v>1733315.4295848</v>
      </c>
      <c r="X387">
        <f t="shared" si="70"/>
        <v>0</v>
      </c>
    </row>
    <row r="388" spans="1:24">
      <c r="A388" s="23" t="s">
        <v>415</v>
      </c>
      <c r="B388" s="35" t="s">
        <v>416</v>
      </c>
      <c r="C388" s="125">
        <v>1986</v>
      </c>
      <c r="D388" s="132">
        <v>71940322</v>
      </c>
      <c r="E388" s="116">
        <f t="shared" si="71"/>
        <v>36223.727089627391</v>
      </c>
      <c r="F388" s="134">
        <v>35807037</v>
      </c>
      <c r="G388" s="117">
        <f t="shared" si="72"/>
        <v>18029.726586102719</v>
      </c>
      <c r="H388" s="9"/>
      <c r="I388" s="136">
        <v>2.75</v>
      </c>
      <c r="J388" s="134">
        <v>98469.351750000002</v>
      </c>
      <c r="K388" s="120">
        <f t="shared" si="75"/>
        <v>49.581748111782481</v>
      </c>
      <c r="L388" s="122">
        <f t="shared" si="66"/>
        <v>358070.37</v>
      </c>
      <c r="M388" s="116">
        <f t="shared" si="67"/>
        <v>259601.01824999999</v>
      </c>
      <c r="N388" s="123">
        <f t="shared" si="68"/>
        <v>130.7155177492447</v>
      </c>
      <c r="O388" s="5"/>
      <c r="P388" s="5">
        <f t="shared" si="73"/>
        <v>1</v>
      </c>
      <c r="Q388" s="7">
        <f t="shared" si="74"/>
        <v>1986</v>
      </c>
      <c r="W388" s="124">
        <f t="shared" si="69"/>
        <v>98469.351749999987</v>
      </c>
      <c r="X388">
        <f t="shared" si="70"/>
        <v>0</v>
      </c>
    </row>
    <row r="389" spans="1:24">
      <c r="A389" s="23" t="s">
        <v>417</v>
      </c>
      <c r="B389" s="35" t="s">
        <v>416</v>
      </c>
      <c r="C389" s="125">
        <v>224</v>
      </c>
      <c r="D389" s="147" t="s">
        <v>564</v>
      </c>
      <c r="E389" s="116"/>
      <c r="F389" s="134"/>
      <c r="G389" s="117"/>
      <c r="H389" s="98" t="s">
        <v>588</v>
      </c>
      <c r="I389" s="136"/>
      <c r="J389" s="134"/>
      <c r="K389" s="120"/>
      <c r="L389" s="122">
        <f t="shared" si="66"/>
        <v>0</v>
      </c>
      <c r="M389" s="116">
        <f t="shared" si="67"/>
        <v>0</v>
      </c>
      <c r="N389" s="123">
        <f t="shared" si="68"/>
        <v>0</v>
      </c>
      <c r="O389" s="5"/>
      <c r="P389" s="5">
        <f t="shared" si="73"/>
        <v>0</v>
      </c>
      <c r="Q389" s="7">
        <f t="shared" si="74"/>
        <v>0</v>
      </c>
      <c r="W389" s="124">
        <f t="shared" si="69"/>
        <v>0</v>
      </c>
      <c r="X389">
        <f t="shared" si="70"/>
        <v>0</v>
      </c>
    </row>
    <row r="390" spans="1:24">
      <c r="A390" s="23" t="s">
        <v>418</v>
      </c>
      <c r="B390" s="35" t="s">
        <v>416</v>
      </c>
      <c r="C390" s="125">
        <v>378</v>
      </c>
      <c r="D390" s="132">
        <v>14512147</v>
      </c>
      <c r="E390" s="116">
        <f t="shared" ref="E390:E406" si="76">(D390/C390)</f>
        <v>38391.923280423282</v>
      </c>
      <c r="F390" s="134">
        <v>8035076</v>
      </c>
      <c r="G390" s="117">
        <f t="shared" ref="G390:G406" si="77">(F390/C390)</f>
        <v>21256.814814814814</v>
      </c>
      <c r="H390" s="7"/>
      <c r="I390" s="150">
        <v>1.7295</v>
      </c>
      <c r="J390" s="134">
        <v>13896.663941999999</v>
      </c>
      <c r="K390" s="120">
        <f t="shared" ref="K390:K406" si="78">(J390/C390)</f>
        <v>36.763661222222218</v>
      </c>
      <c r="L390" s="122">
        <f t="shared" ref="L390:L416" si="79">(F390*0.01)</f>
        <v>80350.759999999995</v>
      </c>
      <c r="M390" s="116">
        <f t="shared" ref="M390:M416" si="80">(L390-J390)</f>
        <v>66454.096057999996</v>
      </c>
      <c r="N390" s="123">
        <f t="shared" ref="N390:N416" si="81">(M390/C390)</f>
        <v>175.80448692592591</v>
      </c>
      <c r="O390" s="5"/>
      <c r="P390" s="5">
        <f t="shared" si="73"/>
        <v>1</v>
      </c>
      <c r="Q390" s="7">
        <f t="shared" si="74"/>
        <v>378</v>
      </c>
      <c r="S390" s="124">
        <f>SUM(D388:D390)</f>
        <v>86452469</v>
      </c>
      <c r="T390" s="124">
        <f>SUM(F388:F390)</f>
        <v>43842113</v>
      </c>
      <c r="U390" s="124">
        <f>SUM(J388:J390)</f>
        <v>112366.015692</v>
      </c>
      <c r="W390" s="124">
        <f t="shared" ref="W390:W416" si="82">F390*(I390/1000)</f>
        <v>13896.663942000001</v>
      </c>
      <c r="X390">
        <f t="shared" ref="X390:X416" si="83">IF(W390=J390,0,1)</f>
        <v>0</v>
      </c>
    </row>
    <row r="391" spans="1:24">
      <c r="A391" s="23" t="s">
        <v>419</v>
      </c>
      <c r="B391" s="35" t="s">
        <v>420</v>
      </c>
      <c r="C391" s="125">
        <v>71488</v>
      </c>
      <c r="D391" s="132">
        <v>9455201257</v>
      </c>
      <c r="E391" s="116">
        <f t="shared" si="76"/>
        <v>132262.7749692256</v>
      </c>
      <c r="F391" s="134">
        <v>5790132014</v>
      </c>
      <c r="G391" s="117">
        <f t="shared" si="77"/>
        <v>80994.460804610557</v>
      </c>
      <c r="H391" s="7"/>
      <c r="I391" s="136">
        <v>5.53</v>
      </c>
      <c r="J391" s="134">
        <v>32019430.037420001</v>
      </c>
      <c r="K391" s="120">
        <f t="shared" si="78"/>
        <v>447.89936824949643</v>
      </c>
      <c r="L391" s="122">
        <f t="shared" si="79"/>
        <v>57901320.140000001</v>
      </c>
      <c r="M391" s="116">
        <f t="shared" si="80"/>
        <v>25881890.10258</v>
      </c>
      <c r="N391" s="123">
        <f t="shared" si="81"/>
        <v>362.04523979660922</v>
      </c>
      <c r="O391" s="5"/>
      <c r="P391" s="5">
        <f t="shared" ref="P391:P416" si="84">IF(I391&gt;0,1,0)</f>
        <v>1</v>
      </c>
      <c r="Q391" s="7">
        <f t="shared" ref="Q391:Q416" si="85">IF(I391&gt;0,C391,0)</f>
        <v>71488</v>
      </c>
      <c r="W391" s="124">
        <f t="shared" si="82"/>
        <v>32019430.037420001</v>
      </c>
      <c r="X391">
        <f t="shared" si="83"/>
        <v>0</v>
      </c>
    </row>
    <row r="392" spans="1:24">
      <c r="A392" s="23" t="s">
        <v>421</v>
      </c>
      <c r="B392" s="35" t="s">
        <v>420</v>
      </c>
      <c r="C392" s="125">
        <v>5179</v>
      </c>
      <c r="D392" s="132">
        <v>2011952944</v>
      </c>
      <c r="E392" s="116">
        <f t="shared" si="76"/>
        <v>388482.90094612859</v>
      </c>
      <c r="F392" s="134">
        <v>1719476116</v>
      </c>
      <c r="G392" s="117">
        <f t="shared" si="77"/>
        <v>332009.29059664026</v>
      </c>
      <c r="H392" s="7"/>
      <c r="I392" s="136">
        <v>5.0476000000000001</v>
      </c>
      <c r="J392" s="134">
        <v>8679227.6431215983</v>
      </c>
      <c r="K392" s="120">
        <f t="shared" si="78"/>
        <v>1675.8500952156012</v>
      </c>
      <c r="L392" s="122">
        <f t="shared" si="79"/>
        <v>17194761.16</v>
      </c>
      <c r="M392" s="116">
        <f t="shared" si="80"/>
        <v>8515533.5168784019</v>
      </c>
      <c r="N392" s="123">
        <f t="shared" si="81"/>
        <v>1644.2428107508017</v>
      </c>
      <c r="O392" s="5"/>
      <c r="P392" s="5">
        <f t="shared" si="84"/>
        <v>1</v>
      </c>
      <c r="Q392" s="7">
        <f t="shared" si="85"/>
        <v>5179</v>
      </c>
      <c r="W392" s="124">
        <f t="shared" si="82"/>
        <v>8679227.6431216002</v>
      </c>
      <c r="X392">
        <f t="shared" si="83"/>
        <v>0</v>
      </c>
    </row>
    <row r="393" spans="1:24">
      <c r="A393" s="23" t="s">
        <v>462</v>
      </c>
      <c r="B393" s="35" t="s">
        <v>420</v>
      </c>
      <c r="C393" s="125">
        <v>22260</v>
      </c>
      <c r="D393" s="132">
        <v>3145890436</v>
      </c>
      <c r="E393" s="116">
        <f t="shared" si="76"/>
        <v>141324.81743036836</v>
      </c>
      <c r="F393" s="134">
        <v>2295052794</v>
      </c>
      <c r="G393" s="117">
        <f t="shared" si="77"/>
        <v>103102.10215633424</v>
      </c>
      <c r="H393" s="7"/>
      <c r="I393" s="136">
        <v>2.9247000000000001</v>
      </c>
      <c r="J393" s="134">
        <v>6712340.9066118002</v>
      </c>
      <c r="K393" s="120">
        <f t="shared" si="78"/>
        <v>301.54271817663073</v>
      </c>
      <c r="L393" s="122">
        <f t="shared" si="79"/>
        <v>22950527.940000001</v>
      </c>
      <c r="M393" s="116">
        <f t="shared" si="80"/>
        <v>16238187.033388201</v>
      </c>
      <c r="N393" s="123">
        <f t="shared" si="81"/>
        <v>729.47830338671167</v>
      </c>
      <c r="O393" s="5"/>
      <c r="P393" s="5">
        <f t="shared" si="84"/>
        <v>1</v>
      </c>
      <c r="Q393" s="7">
        <f t="shared" si="85"/>
        <v>22260</v>
      </c>
      <c r="W393" s="124">
        <f t="shared" si="82"/>
        <v>6712340.9066118002</v>
      </c>
      <c r="X393">
        <f t="shared" si="83"/>
        <v>0</v>
      </c>
    </row>
    <row r="394" spans="1:24">
      <c r="A394" s="23" t="s">
        <v>463</v>
      </c>
      <c r="B394" s="35" t="s">
        <v>420</v>
      </c>
      <c r="C394" s="125">
        <v>37351</v>
      </c>
      <c r="D394" s="132">
        <v>3648221685</v>
      </c>
      <c r="E394" s="116">
        <f t="shared" si="76"/>
        <v>97674.00297180799</v>
      </c>
      <c r="F394" s="134">
        <v>2107625053</v>
      </c>
      <c r="G394" s="117">
        <f t="shared" si="77"/>
        <v>56427.540172953872</v>
      </c>
      <c r="H394" s="7"/>
      <c r="I394" s="136">
        <v>6.7840999999999996</v>
      </c>
      <c r="J394" s="134">
        <v>14298339.122057298</v>
      </c>
      <c r="K394" s="120">
        <f t="shared" si="78"/>
        <v>382.8100752873363</v>
      </c>
      <c r="L394" s="122">
        <f t="shared" si="79"/>
        <v>21076250.530000001</v>
      </c>
      <c r="M394" s="116">
        <f t="shared" si="80"/>
        <v>6777911.407942703</v>
      </c>
      <c r="N394" s="123">
        <f t="shared" si="81"/>
        <v>181.46532644220244</v>
      </c>
      <c r="O394" s="5"/>
      <c r="P394" s="5">
        <f t="shared" si="84"/>
        <v>1</v>
      </c>
      <c r="Q394" s="7">
        <f t="shared" si="85"/>
        <v>37351</v>
      </c>
      <c r="W394" s="124">
        <f t="shared" si="82"/>
        <v>14298339.122057298</v>
      </c>
      <c r="X394">
        <f t="shared" si="83"/>
        <v>0</v>
      </c>
    </row>
    <row r="395" spans="1:24">
      <c r="A395" s="23" t="s">
        <v>422</v>
      </c>
      <c r="B395" s="35" t="s">
        <v>420</v>
      </c>
      <c r="C395" s="125">
        <v>93692</v>
      </c>
      <c r="D395" s="132">
        <v>6229053022</v>
      </c>
      <c r="E395" s="116">
        <f t="shared" si="76"/>
        <v>66484.363894462702</v>
      </c>
      <c r="F395" s="134">
        <v>2928717097</v>
      </c>
      <c r="G395" s="117">
        <f t="shared" si="77"/>
        <v>31258.987928531784</v>
      </c>
      <c r="H395" s="7"/>
      <c r="I395" s="136">
        <v>7.85</v>
      </c>
      <c r="J395" s="134">
        <v>22990429.211449999</v>
      </c>
      <c r="K395" s="120">
        <f t="shared" si="78"/>
        <v>245.38305523897449</v>
      </c>
      <c r="L395" s="122">
        <f t="shared" si="79"/>
        <v>29287170.969999999</v>
      </c>
      <c r="M395" s="116">
        <f t="shared" si="80"/>
        <v>6296741.7585499994</v>
      </c>
      <c r="N395" s="123">
        <f t="shared" si="81"/>
        <v>67.206824046343328</v>
      </c>
      <c r="O395" s="5"/>
      <c r="P395" s="5">
        <f t="shared" si="84"/>
        <v>1</v>
      </c>
      <c r="Q395" s="7">
        <f t="shared" si="85"/>
        <v>93692</v>
      </c>
      <c r="W395" s="124">
        <f t="shared" si="82"/>
        <v>22990429.211449999</v>
      </c>
      <c r="X395">
        <f t="shared" si="83"/>
        <v>0</v>
      </c>
    </row>
    <row r="396" spans="1:24">
      <c r="A396" s="23" t="s">
        <v>423</v>
      </c>
      <c r="B396" s="35" t="s">
        <v>420</v>
      </c>
      <c r="C396" s="125">
        <v>23097</v>
      </c>
      <c r="D396" s="132">
        <v>2068870809</v>
      </c>
      <c r="E396" s="116">
        <f t="shared" si="76"/>
        <v>89573.13975841018</v>
      </c>
      <c r="F396" s="134">
        <v>1161362186</v>
      </c>
      <c r="G396" s="117">
        <f t="shared" si="77"/>
        <v>50281.949430661989</v>
      </c>
      <c r="H396" s="7"/>
      <c r="I396" s="136">
        <v>6.7</v>
      </c>
      <c r="J396" s="134">
        <v>7781126.6461999994</v>
      </c>
      <c r="K396" s="120">
        <f t="shared" si="78"/>
        <v>336.88906118543531</v>
      </c>
      <c r="L396" s="122">
        <f t="shared" si="79"/>
        <v>11613621.859999999</v>
      </c>
      <c r="M396" s="116">
        <f t="shared" si="80"/>
        <v>3832495.2138</v>
      </c>
      <c r="N396" s="123">
        <f t="shared" si="81"/>
        <v>165.93043312118456</v>
      </c>
      <c r="O396" s="5"/>
      <c r="P396" s="5">
        <f t="shared" si="84"/>
        <v>1</v>
      </c>
      <c r="Q396" s="7">
        <f t="shared" si="85"/>
        <v>23097</v>
      </c>
      <c r="W396" s="124">
        <f t="shared" si="82"/>
        <v>7781126.6462000003</v>
      </c>
      <c r="X396">
        <f t="shared" si="83"/>
        <v>0</v>
      </c>
    </row>
    <row r="397" spans="1:24">
      <c r="A397" s="23" t="s">
        <v>424</v>
      </c>
      <c r="B397" s="35" t="s">
        <v>420</v>
      </c>
      <c r="C397" s="125">
        <v>12958</v>
      </c>
      <c r="D397" s="132">
        <v>1028966118</v>
      </c>
      <c r="E397" s="116">
        <f t="shared" si="76"/>
        <v>79407.788084580956</v>
      </c>
      <c r="F397" s="134">
        <v>705969306</v>
      </c>
      <c r="G397" s="117">
        <f t="shared" si="77"/>
        <v>54481.347893193393</v>
      </c>
      <c r="H397" s="7"/>
      <c r="I397" s="136">
        <v>6.25</v>
      </c>
      <c r="J397" s="134">
        <v>4412308.1624999996</v>
      </c>
      <c r="K397" s="120">
        <f t="shared" si="78"/>
        <v>340.50842433245867</v>
      </c>
      <c r="L397" s="122">
        <f t="shared" si="79"/>
        <v>7059693.0600000005</v>
      </c>
      <c r="M397" s="116">
        <f t="shared" si="80"/>
        <v>2647384.8975000009</v>
      </c>
      <c r="N397" s="123">
        <f t="shared" si="81"/>
        <v>204.30505459947528</v>
      </c>
      <c r="O397" s="5"/>
      <c r="P397" s="5">
        <f t="shared" si="84"/>
        <v>1</v>
      </c>
      <c r="Q397" s="7">
        <f t="shared" si="85"/>
        <v>12958</v>
      </c>
      <c r="W397" s="124">
        <f t="shared" si="82"/>
        <v>4412308.1625000006</v>
      </c>
      <c r="X397">
        <f t="shared" si="83"/>
        <v>0</v>
      </c>
    </row>
    <row r="398" spans="1:24">
      <c r="A398" s="23" t="s">
        <v>425</v>
      </c>
      <c r="B398" s="35" t="s">
        <v>420</v>
      </c>
      <c r="C398" s="125">
        <v>2842</v>
      </c>
      <c r="D398" s="132">
        <v>229471527</v>
      </c>
      <c r="E398" s="116">
        <f t="shared" si="76"/>
        <v>80742.97220267418</v>
      </c>
      <c r="F398" s="134">
        <v>116675365</v>
      </c>
      <c r="G398" s="117">
        <f t="shared" si="77"/>
        <v>41053.963757916958</v>
      </c>
      <c r="H398" s="7"/>
      <c r="I398" s="136">
        <v>6.85</v>
      </c>
      <c r="J398" s="134">
        <v>799226.25025000004</v>
      </c>
      <c r="K398" s="120">
        <f t="shared" si="78"/>
        <v>281.21965174173118</v>
      </c>
      <c r="L398" s="122">
        <f t="shared" si="79"/>
        <v>1166753.6500000001</v>
      </c>
      <c r="M398" s="116">
        <f t="shared" si="80"/>
        <v>367527.3997500001</v>
      </c>
      <c r="N398" s="123">
        <f t="shared" si="81"/>
        <v>129.31998583743845</v>
      </c>
      <c r="O398" s="5"/>
      <c r="P398" s="5">
        <f t="shared" si="84"/>
        <v>1</v>
      </c>
      <c r="Q398" s="7">
        <f t="shared" si="85"/>
        <v>2842</v>
      </c>
      <c r="W398" s="124">
        <f t="shared" si="82"/>
        <v>799226.25024999992</v>
      </c>
      <c r="X398">
        <f t="shared" si="83"/>
        <v>0</v>
      </c>
    </row>
    <row r="399" spans="1:24">
      <c r="A399" s="23" t="s">
        <v>426</v>
      </c>
      <c r="B399" s="35" t="s">
        <v>420</v>
      </c>
      <c r="C399" s="125">
        <v>30142</v>
      </c>
      <c r="D399" s="132">
        <v>6515733705</v>
      </c>
      <c r="E399" s="116">
        <f t="shared" si="76"/>
        <v>216167.92863778118</v>
      </c>
      <c r="F399" s="134">
        <v>4543794994</v>
      </c>
      <c r="G399" s="117">
        <f t="shared" si="77"/>
        <v>150746.3006436202</v>
      </c>
      <c r="H399" s="7"/>
      <c r="I399" s="136">
        <v>3.7421000000000002</v>
      </c>
      <c r="J399" s="134">
        <v>17003335.247047402</v>
      </c>
      <c r="K399" s="120">
        <f t="shared" si="78"/>
        <v>564.10773163849126</v>
      </c>
      <c r="L399" s="122">
        <f t="shared" si="79"/>
        <v>45437949.939999998</v>
      </c>
      <c r="M399" s="116">
        <f t="shared" si="80"/>
        <v>28434614.692952596</v>
      </c>
      <c r="N399" s="123">
        <f t="shared" si="81"/>
        <v>943.35527479771065</v>
      </c>
      <c r="O399" s="5"/>
      <c r="P399" s="5">
        <f t="shared" si="84"/>
        <v>1</v>
      </c>
      <c r="Q399" s="7">
        <f t="shared" si="85"/>
        <v>30142</v>
      </c>
      <c r="W399" s="124">
        <f t="shared" si="82"/>
        <v>17003335.247047402</v>
      </c>
      <c r="X399">
        <f t="shared" si="83"/>
        <v>0</v>
      </c>
    </row>
    <row r="400" spans="1:24">
      <c r="A400" s="23" t="s">
        <v>427</v>
      </c>
      <c r="B400" s="35" t="s">
        <v>420</v>
      </c>
      <c r="C400" s="125">
        <v>1986</v>
      </c>
      <c r="D400" s="132">
        <v>258182058</v>
      </c>
      <c r="E400" s="116">
        <f t="shared" si="76"/>
        <v>130001.03625377643</v>
      </c>
      <c r="F400" s="134">
        <v>135782975</v>
      </c>
      <c r="G400" s="117">
        <f t="shared" si="77"/>
        <v>68370.07804632427</v>
      </c>
      <c r="H400" s="7"/>
      <c r="I400" s="136">
        <v>5.6820000000000004</v>
      </c>
      <c r="J400" s="134">
        <v>771518.86395000003</v>
      </c>
      <c r="K400" s="120">
        <f t="shared" si="78"/>
        <v>388.47878345921453</v>
      </c>
      <c r="L400" s="122">
        <f t="shared" si="79"/>
        <v>1357829.75</v>
      </c>
      <c r="M400" s="116">
        <f t="shared" si="80"/>
        <v>586310.88604999997</v>
      </c>
      <c r="N400" s="123">
        <f t="shared" si="81"/>
        <v>295.2219970040282</v>
      </c>
      <c r="O400" s="5"/>
      <c r="P400" s="5">
        <f t="shared" si="84"/>
        <v>1</v>
      </c>
      <c r="Q400" s="7">
        <f t="shared" si="85"/>
        <v>1986</v>
      </c>
      <c r="W400" s="124">
        <f t="shared" si="82"/>
        <v>771518.86395000003</v>
      </c>
      <c r="X400">
        <f t="shared" si="83"/>
        <v>0</v>
      </c>
    </row>
    <row r="401" spans="1:24">
      <c r="A401" s="23" t="s">
        <v>428</v>
      </c>
      <c r="B401" s="35" t="s">
        <v>420</v>
      </c>
      <c r="C401" s="125">
        <v>12632</v>
      </c>
      <c r="D401" s="132">
        <v>1292276177</v>
      </c>
      <c r="E401" s="116">
        <f t="shared" si="76"/>
        <v>102301.78728625712</v>
      </c>
      <c r="F401" s="134">
        <v>826666051</v>
      </c>
      <c r="G401" s="117">
        <f t="shared" si="77"/>
        <v>65442.214297023434</v>
      </c>
      <c r="H401" s="7"/>
      <c r="I401" s="136">
        <v>7.8331999999999997</v>
      </c>
      <c r="J401" s="134">
        <v>6475440.5106931999</v>
      </c>
      <c r="K401" s="120">
        <f t="shared" si="78"/>
        <v>512.62195303144392</v>
      </c>
      <c r="L401" s="122">
        <f t="shared" si="79"/>
        <v>8266660.5099999998</v>
      </c>
      <c r="M401" s="116">
        <f t="shared" si="80"/>
        <v>1791219.9993067998</v>
      </c>
      <c r="N401" s="123">
        <f t="shared" si="81"/>
        <v>141.80018993879037</v>
      </c>
      <c r="O401" s="5"/>
      <c r="P401" s="5">
        <f t="shared" si="84"/>
        <v>1</v>
      </c>
      <c r="Q401" s="7">
        <f t="shared" si="85"/>
        <v>12632</v>
      </c>
      <c r="W401" s="124">
        <f t="shared" si="82"/>
        <v>6475440.5106931999</v>
      </c>
      <c r="X401">
        <f t="shared" si="83"/>
        <v>0</v>
      </c>
    </row>
    <row r="402" spans="1:24">
      <c r="A402" s="23" t="s">
        <v>429</v>
      </c>
      <c r="B402" s="35" t="s">
        <v>420</v>
      </c>
      <c r="C402" s="125">
        <v>43080</v>
      </c>
      <c r="D402" s="132">
        <v>5743402663</v>
      </c>
      <c r="E402" s="116">
        <f t="shared" si="76"/>
        <v>133319.46757195913</v>
      </c>
      <c r="F402" s="134">
        <v>3912185653</v>
      </c>
      <c r="G402" s="117">
        <f t="shared" si="77"/>
        <v>90812.108936861652</v>
      </c>
      <c r="H402" s="7"/>
      <c r="I402" s="136">
        <v>3.9068000000000001</v>
      </c>
      <c r="J402" s="134">
        <v>15284126.909140401</v>
      </c>
      <c r="K402" s="120">
        <f t="shared" si="78"/>
        <v>354.78474719453112</v>
      </c>
      <c r="L402" s="122">
        <f t="shared" si="79"/>
        <v>39121856.530000001</v>
      </c>
      <c r="M402" s="116">
        <f t="shared" si="80"/>
        <v>23837729.620859601</v>
      </c>
      <c r="N402" s="123">
        <f t="shared" si="81"/>
        <v>553.33634217408542</v>
      </c>
      <c r="O402" s="5"/>
      <c r="P402" s="5">
        <f t="shared" si="84"/>
        <v>1</v>
      </c>
      <c r="Q402" s="7">
        <f t="shared" si="85"/>
        <v>43080</v>
      </c>
      <c r="W402" s="124">
        <f t="shared" si="82"/>
        <v>15284126.909140401</v>
      </c>
      <c r="X402">
        <f t="shared" si="83"/>
        <v>0</v>
      </c>
    </row>
    <row r="403" spans="1:24">
      <c r="A403" s="23" t="s">
        <v>430</v>
      </c>
      <c r="B403" s="35" t="s">
        <v>420</v>
      </c>
      <c r="C403" s="125">
        <v>1542</v>
      </c>
      <c r="D403" s="132">
        <v>139888063</v>
      </c>
      <c r="E403" s="116">
        <f t="shared" si="76"/>
        <v>90718.588197146557</v>
      </c>
      <c r="F403" s="134">
        <v>56445789</v>
      </c>
      <c r="G403" s="117">
        <f t="shared" si="77"/>
        <v>36605.570038910504</v>
      </c>
      <c r="H403" s="7"/>
      <c r="I403" s="136">
        <v>5.8357999999999999</v>
      </c>
      <c r="J403" s="134">
        <v>329406.33544619998</v>
      </c>
      <c r="K403" s="120">
        <f t="shared" si="78"/>
        <v>213.62278563307393</v>
      </c>
      <c r="L403" s="122">
        <f t="shared" si="79"/>
        <v>564457.89</v>
      </c>
      <c r="M403" s="116">
        <f t="shared" si="80"/>
        <v>235051.55455380003</v>
      </c>
      <c r="N403" s="123">
        <f t="shared" si="81"/>
        <v>152.43291475603115</v>
      </c>
      <c r="O403" s="5"/>
      <c r="P403" s="5">
        <f t="shared" si="84"/>
        <v>1</v>
      </c>
      <c r="Q403" s="7">
        <f t="shared" si="85"/>
        <v>1542</v>
      </c>
      <c r="W403" s="124">
        <f t="shared" si="82"/>
        <v>329406.33544619998</v>
      </c>
      <c r="X403">
        <f t="shared" si="83"/>
        <v>0</v>
      </c>
    </row>
    <row r="404" spans="1:24">
      <c r="A404" s="23" t="s">
        <v>431</v>
      </c>
      <c r="B404" s="35" t="s">
        <v>420</v>
      </c>
      <c r="C404" s="125">
        <v>3364</v>
      </c>
      <c r="D404" s="132">
        <v>1223055194</v>
      </c>
      <c r="E404" s="116">
        <f t="shared" si="76"/>
        <v>363571.69857312721</v>
      </c>
      <c r="F404" s="134">
        <v>949647709</v>
      </c>
      <c r="G404" s="117">
        <f t="shared" si="77"/>
        <v>282297.17865636147</v>
      </c>
      <c r="H404" s="7"/>
      <c r="I404" s="136">
        <v>5.9</v>
      </c>
      <c r="J404" s="134">
        <v>5602921.4831000008</v>
      </c>
      <c r="K404" s="120">
        <f t="shared" si="78"/>
        <v>1665.553354072533</v>
      </c>
      <c r="L404" s="122">
        <f t="shared" si="79"/>
        <v>9496477.0899999999</v>
      </c>
      <c r="M404" s="116">
        <f t="shared" si="80"/>
        <v>3893555.6068999991</v>
      </c>
      <c r="N404" s="123">
        <f t="shared" si="81"/>
        <v>1157.4184324910818</v>
      </c>
      <c r="O404" s="5"/>
      <c r="P404" s="5">
        <f t="shared" si="84"/>
        <v>1</v>
      </c>
      <c r="Q404" s="7">
        <f t="shared" si="85"/>
        <v>3364</v>
      </c>
      <c r="W404" s="124">
        <f t="shared" si="82"/>
        <v>5602921.4831000008</v>
      </c>
      <c r="X404">
        <f t="shared" si="83"/>
        <v>0</v>
      </c>
    </row>
    <row r="405" spans="1:24">
      <c r="A405" s="23" t="s">
        <v>432</v>
      </c>
      <c r="B405" s="35" t="s">
        <v>420</v>
      </c>
      <c r="C405" s="125">
        <v>62596</v>
      </c>
      <c r="D405" s="132">
        <v>5898064897</v>
      </c>
      <c r="E405" s="116">
        <f t="shared" si="76"/>
        <v>94224.309812128573</v>
      </c>
      <c r="F405" s="134">
        <v>3762245788</v>
      </c>
      <c r="G405" s="117">
        <f t="shared" si="77"/>
        <v>60103.613457728927</v>
      </c>
      <c r="H405" s="7"/>
      <c r="I405" s="136">
        <v>4.6622000000000003</v>
      </c>
      <c r="J405" s="134">
        <v>17540342.312813602</v>
      </c>
      <c r="K405" s="120">
        <f t="shared" si="78"/>
        <v>280.21506666262383</v>
      </c>
      <c r="L405" s="122">
        <f t="shared" si="79"/>
        <v>37622457.880000003</v>
      </c>
      <c r="M405" s="116">
        <f t="shared" si="80"/>
        <v>20082115.5671864</v>
      </c>
      <c r="N405" s="123">
        <f t="shared" si="81"/>
        <v>320.82106791466549</v>
      </c>
      <c r="O405" s="5"/>
      <c r="P405" s="5">
        <f t="shared" si="84"/>
        <v>1</v>
      </c>
      <c r="Q405" s="7">
        <f t="shared" si="85"/>
        <v>62596</v>
      </c>
      <c r="W405" s="124">
        <f t="shared" si="82"/>
        <v>17540342.312813599</v>
      </c>
      <c r="X405">
        <f t="shared" si="83"/>
        <v>0</v>
      </c>
    </row>
    <row r="406" spans="1:24">
      <c r="A406" s="23" t="s">
        <v>433</v>
      </c>
      <c r="B406" s="35" t="s">
        <v>420</v>
      </c>
      <c r="C406" s="125">
        <v>12865</v>
      </c>
      <c r="D406" s="132">
        <v>1050308398</v>
      </c>
      <c r="E406" s="116">
        <f t="shared" si="76"/>
        <v>81640.761601243677</v>
      </c>
      <c r="F406" s="134">
        <v>657072154</v>
      </c>
      <c r="G406" s="117">
        <f t="shared" si="77"/>
        <v>51074.399844539446</v>
      </c>
      <c r="H406" s="9"/>
      <c r="I406" s="136">
        <v>7.75</v>
      </c>
      <c r="J406" s="134">
        <v>5092309.1935000001</v>
      </c>
      <c r="K406" s="120">
        <f t="shared" si="78"/>
        <v>395.8265987951807</v>
      </c>
      <c r="L406" s="122">
        <f t="shared" si="79"/>
        <v>6570721.54</v>
      </c>
      <c r="M406" s="116">
        <f t="shared" si="80"/>
        <v>1478412.3465</v>
      </c>
      <c r="N406" s="123">
        <f t="shared" si="81"/>
        <v>114.91739965021375</v>
      </c>
      <c r="O406" s="5"/>
      <c r="P406" s="5">
        <f t="shared" si="84"/>
        <v>1</v>
      </c>
      <c r="Q406" s="7">
        <f t="shared" si="85"/>
        <v>12865</v>
      </c>
      <c r="S406" s="124">
        <f>SUM(D391:D406)</f>
        <v>49938538953</v>
      </c>
      <c r="T406" s="124">
        <f>SUM(F391:F406)</f>
        <v>31668851044</v>
      </c>
      <c r="U406" s="124">
        <f>SUM(J391:J406)</f>
        <v>165791828.83530152</v>
      </c>
      <c r="W406" s="124">
        <f t="shared" si="82"/>
        <v>5092309.1935000001</v>
      </c>
      <c r="X406">
        <f t="shared" si="83"/>
        <v>0</v>
      </c>
    </row>
    <row r="407" spans="1:24">
      <c r="A407" s="23" t="s">
        <v>435</v>
      </c>
      <c r="B407" s="35" t="s">
        <v>434</v>
      </c>
      <c r="C407" s="125">
        <v>426</v>
      </c>
      <c r="D407" s="147" t="s">
        <v>564</v>
      </c>
      <c r="E407" s="116"/>
      <c r="F407" s="134"/>
      <c r="G407" s="117"/>
      <c r="H407" s="98" t="s">
        <v>588</v>
      </c>
      <c r="I407" s="136"/>
      <c r="J407" s="134"/>
      <c r="K407" s="120"/>
      <c r="L407" s="122">
        <f t="shared" si="79"/>
        <v>0</v>
      </c>
      <c r="M407" s="116">
        <f t="shared" si="80"/>
        <v>0</v>
      </c>
      <c r="N407" s="123">
        <f t="shared" si="81"/>
        <v>0</v>
      </c>
      <c r="O407" s="5"/>
      <c r="P407" s="5">
        <f t="shared" si="84"/>
        <v>0</v>
      </c>
      <c r="Q407" s="7">
        <f t="shared" si="85"/>
        <v>0</v>
      </c>
      <c r="W407" s="124">
        <f t="shared" si="82"/>
        <v>0</v>
      </c>
      <c r="X407">
        <f t="shared" si="83"/>
        <v>0</v>
      </c>
    </row>
    <row r="408" spans="1:24">
      <c r="A408" s="24" t="s">
        <v>555</v>
      </c>
      <c r="B408" s="35" t="s">
        <v>434</v>
      </c>
      <c r="C408" s="125">
        <v>274</v>
      </c>
      <c r="D408" s="132">
        <v>48625182</v>
      </c>
      <c r="E408" s="116">
        <f>(D408/C408)</f>
        <v>177464.16788321169</v>
      </c>
      <c r="F408" s="134">
        <v>31954438</v>
      </c>
      <c r="G408" s="117">
        <f>(F408/C408)</f>
        <v>116622.03649635037</v>
      </c>
      <c r="H408" s="9"/>
      <c r="I408" s="136">
        <v>5.5419</v>
      </c>
      <c r="J408" s="134">
        <v>177088.2999522</v>
      </c>
      <c r="K408" s="120">
        <f>(J408/C408)</f>
        <v>646.30766405912414</v>
      </c>
      <c r="L408" s="122">
        <f t="shared" si="79"/>
        <v>319544.38</v>
      </c>
      <c r="M408" s="116">
        <f t="shared" si="80"/>
        <v>142456.0800478</v>
      </c>
      <c r="N408" s="123">
        <f t="shared" si="81"/>
        <v>519.91270090437956</v>
      </c>
      <c r="O408" s="5"/>
      <c r="P408" s="5">
        <f t="shared" si="84"/>
        <v>1</v>
      </c>
      <c r="Q408" s="7">
        <f t="shared" si="85"/>
        <v>274</v>
      </c>
      <c r="S408" s="124">
        <f>SUM(D407:D408)</f>
        <v>48625182</v>
      </c>
      <c r="T408" s="124">
        <f>SUM(F407:F408)</f>
        <v>31954438</v>
      </c>
      <c r="U408" s="124">
        <f>SUM(J407:J408)</f>
        <v>177088.2999522</v>
      </c>
      <c r="W408" s="124">
        <f t="shared" si="82"/>
        <v>177088.2999522</v>
      </c>
      <c r="X408">
        <f t="shared" si="83"/>
        <v>0</v>
      </c>
    </row>
    <row r="409" spans="1:24">
      <c r="A409" s="23" t="s">
        <v>436</v>
      </c>
      <c r="B409" s="35" t="s">
        <v>437</v>
      </c>
      <c r="C409" s="125">
        <v>5919</v>
      </c>
      <c r="D409" s="132">
        <v>375455253</v>
      </c>
      <c r="E409" s="116">
        <f>(D409/C409)</f>
        <v>63432.210339584388</v>
      </c>
      <c r="F409" s="134">
        <v>251777190</v>
      </c>
      <c r="G409" s="117">
        <f>(F409/C409)</f>
        <v>42537.116066903196</v>
      </c>
      <c r="H409" s="9"/>
      <c r="I409" s="150">
        <v>5</v>
      </c>
      <c r="J409" s="134">
        <v>1258885.95</v>
      </c>
      <c r="K409" s="120">
        <f>(J409/C409)</f>
        <v>212.68558033451595</v>
      </c>
      <c r="L409" s="122">
        <f t="shared" si="79"/>
        <v>2517771.9</v>
      </c>
      <c r="M409" s="116">
        <f t="shared" si="80"/>
        <v>1258885.95</v>
      </c>
      <c r="N409" s="123">
        <f t="shared" si="81"/>
        <v>212.68558033451595</v>
      </c>
      <c r="O409" s="5"/>
      <c r="P409" s="5">
        <f t="shared" si="84"/>
        <v>1</v>
      </c>
      <c r="Q409" s="7">
        <f t="shared" si="85"/>
        <v>5919</v>
      </c>
      <c r="W409" s="124">
        <f t="shared" si="82"/>
        <v>1258885.95</v>
      </c>
      <c r="X409">
        <f t="shared" si="83"/>
        <v>0</v>
      </c>
    </row>
    <row r="410" spans="1:24">
      <c r="A410" s="23" t="s">
        <v>438</v>
      </c>
      <c r="B410" s="35" t="s">
        <v>437</v>
      </c>
      <c r="C410" s="125">
        <v>5861</v>
      </c>
      <c r="D410" s="132">
        <v>600142562</v>
      </c>
      <c r="E410" s="116">
        <f>(D410/C410)</f>
        <v>102395.93277597679</v>
      </c>
      <c r="F410" s="134">
        <v>451325486</v>
      </c>
      <c r="G410" s="117">
        <f>(F410/C410)</f>
        <v>77004.860262753791</v>
      </c>
      <c r="H410" s="9"/>
      <c r="I410" s="150">
        <v>4.7302</v>
      </c>
      <c r="J410" s="134">
        <v>2134859.8138771998</v>
      </c>
      <c r="K410" s="120">
        <f>(J410/C410)</f>
        <v>364.24839001487794</v>
      </c>
      <c r="L410" s="122">
        <f t="shared" si="79"/>
        <v>4513254.8600000003</v>
      </c>
      <c r="M410" s="116">
        <f t="shared" si="80"/>
        <v>2378395.0461228006</v>
      </c>
      <c r="N410" s="123">
        <f t="shared" si="81"/>
        <v>405.80021261266006</v>
      </c>
      <c r="O410" s="5"/>
      <c r="P410" s="5">
        <f t="shared" si="84"/>
        <v>1</v>
      </c>
      <c r="Q410" s="7">
        <f t="shared" si="85"/>
        <v>5861</v>
      </c>
      <c r="W410" s="124">
        <f t="shared" si="82"/>
        <v>2134859.8138772002</v>
      </c>
      <c r="X410">
        <f t="shared" si="83"/>
        <v>0</v>
      </c>
    </row>
    <row r="411" spans="1:24">
      <c r="A411" s="23" t="s">
        <v>439</v>
      </c>
      <c r="B411" s="35" t="s">
        <v>437</v>
      </c>
      <c r="C411" s="125">
        <v>556</v>
      </c>
      <c r="D411" s="147" t="s">
        <v>564</v>
      </c>
      <c r="E411" s="116"/>
      <c r="F411" s="134"/>
      <c r="G411" s="117"/>
      <c r="H411" s="98" t="s">
        <v>588</v>
      </c>
      <c r="I411" s="136"/>
      <c r="J411" s="134"/>
      <c r="K411" s="120"/>
      <c r="L411" s="122">
        <f t="shared" si="79"/>
        <v>0</v>
      </c>
      <c r="M411" s="116">
        <f t="shared" si="80"/>
        <v>0</v>
      </c>
      <c r="N411" s="123">
        <f t="shared" si="81"/>
        <v>0</v>
      </c>
      <c r="O411" s="5"/>
      <c r="P411" s="5">
        <f t="shared" si="84"/>
        <v>0</v>
      </c>
      <c r="Q411" s="7">
        <f t="shared" si="85"/>
        <v>0</v>
      </c>
      <c r="S411" s="124">
        <f>SUM(D409:D411)</f>
        <v>975597815</v>
      </c>
      <c r="T411" s="124">
        <f>SUM(F409:F411)</f>
        <v>703102676</v>
      </c>
      <c r="U411" s="124">
        <f>SUM(J409:J411)</f>
        <v>3393745.7638772</v>
      </c>
      <c r="W411" s="124">
        <f t="shared" si="82"/>
        <v>0</v>
      </c>
      <c r="X411">
        <f t="shared" si="83"/>
        <v>0</v>
      </c>
    </row>
    <row r="412" spans="1:24">
      <c r="A412" s="23" t="s">
        <v>440</v>
      </c>
      <c r="B412" s="35" t="s">
        <v>441</v>
      </c>
      <c r="C412" s="125">
        <v>301</v>
      </c>
      <c r="D412" s="147" t="s">
        <v>564</v>
      </c>
      <c r="E412" s="116"/>
      <c r="F412" s="134"/>
      <c r="G412" s="117"/>
      <c r="H412" s="98" t="s">
        <v>588</v>
      </c>
      <c r="I412" s="136"/>
      <c r="J412" s="134"/>
      <c r="K412" s="120"/>
      <c r="L412" s="122">
        <f t="shared" si="79"/>
        <v>0</v>
      </c>
      <c r="M412" s="116">
        <f t="shared" si="80"/>
        <v>0</v>
      </c>
      <c r="N412" s="123">
        <f t="shared" si="81"/>
        <v>0</v>
      </c>
      <c r="O412" s="5"/>
      <c r="P412" s="5">
        <f t="shared" si="84"/>
        <v>0</v>
      </c>
      <c r="Q412" s="7">
        <f t="shared" si="85"/>
        <v>0</v>
      </c>
      <c r="W412" s="124">
        <f t="shared" si="82"/>
        <v>0</v>
      </c>
      <c r="X412">
        <f t="shared" si="83"/>
        <v>0</v>
      </c>
    </row>
    <row r="413" spans="1:24">
      <c r="A413" s="23" t="s">
        <v>442</v>
      </c>
      <c r="B413" s="35" t="s">
        <v>441</v>
      </c>
      <c r="C413" s="125">
        <v>3660</v>
      </c>
      <c r="D413" s="132">
        <v>236253020</v>
      </c>
      <c r="E413" s="116">
        <f>(D413/C413)</f>
        <v>64550.005464480877</v>
      </c>
      <c r="F413" s="134">
        <v>150822055</v>
      </c>
      <c r="G413" s="117">
        <f>(F413/C413)</f>
        <v>41208.211748633883</v>
      </c>
      <c r="H413" s="9"/>
      <c r="I413" s="150">
        <v>7</v>
      </c>
      <c r="J413" s="134">
        <v>1055754.385</v>
      </c>
      <c r="K413" s="120">
        <f>(J413/C413)</f>
        <v>288.45748224043717</v>
      </c>
      <c r="L413" s="122">
        <f t="shared" si="79"/>
        <v>1508220.55</v>
      </c>
      <c r="M413" s="116">
        <f t="shared" si="80"/>
        <v>452466.16500000004</v>
      </c>
      <c r="N413" s="123">
        <f t="shared" si="81"/>
        <v>123.62463524590164</v>
      </c>
      <c r="O413" s="5"/>
      <c r="P413" s="5">
        <f t="shared" si="84"/>
        <v>1</v>
      </c>
      <c r="Q413" s="7">
        <f t="shared" si="85"/>
        <v>3660</v>
      </c>
      <c r="W413" s="124">
        <f t="shared" si="82"/>
        <v>1055754.385</v>
      </c>
      <c r="X413">
        <f t="shared" si="83"/>
        <v>0</v>
      </c>
    </row>
    <row r="414" spans="1:24">
      <c r="A414" s="23" t="s">
        <v>443</v>
      </c>
      <c r="B414" s="35" t="s">
        <v>441</v>
      </c>
      <c r="C414" s="125">
        <v>237</v>
      </c>
      <c r="D414" s="147" t="s">
        <v>564</v>
      </c>
      <c r="E414" s="116"/>
      <c r="F414" s="134"/>
      <c r="G414" s="117"/>
      <c r="H414" s="98" t="s">
        <v>588</v>
      </c>
      <c r="I414" s="136"/>
      <c r="J414" s="134"/>
      <c r="K414" s="120"/>
      <c r="L414" s="122">
        <f t="shared" si="79"/>
        <v>0</v>
      </c>
      <c r="M414" s="116">
        <f t="shared" si="80"/>
        <v>0</v>
      </c>
      <c r="N414" s="123">
        <f t="shared" si="81"/>
        <v>0</v>
      </c>
      <c r="O414" s="5"/>
      <c r="P414" s="5">
        <f t="shared" si="84"/>
        <v>0</v>
      </c>
      <c r="Q414" s="7">
        <f t="shared" si="85"/>
        <v>0</v>
      </c>
      <c r="W414" s="124">
        <f t="shared" si="82"/>
        <v>0</v>
      </c>
      <c r="X414">
        <f t="shared" si="83"/>
        <v>0</v>
      </c>
    </row>
    <row r="415" spans="1:24">
      <c r="A415" s="23" t="s">
        <v>444</v>
      </c>
      <c r="B415" s="35" t="s">
        <v>441</v>
      </c>
      <c r="C415" s="125">
        <v>732</v>
      </c>
      <c r="D415" s="132">
        <v>47958613</v>
      </c>
      <c r="E415" s="116">
        <f>(D415/C415)</f>
        <v>65517.230874316941</v>
      </c>
      <c r="F415" s="134">
        <v>19236842</v>
      </c>
      <c r="G415" s="117">
        <f>(F415/C415)</f>
        <v>26279.838797814209</v>
      </c>
      <c r="H415" s="9"/>
      <c r="I415" s="150">
        <v>4.8281999999999998</v>
      </c>
      <c r="J415" s="134">
        <v>92879.32054439999</v>
      </c>
      <c r="K415" s="120">
        <f>(J415/C415)</f>
        <v>126.88431768360654</v>
      </c>
      <c r="L415" s="122">
        <f t="shared" si="79"/>
        <v>192368.42</v>
      </c>
      <c r="M415" s="116">
        <f t="shared" si="80"/>
        <v>99489.099455600022</v>
      </c>
      <c r="N415" s="123">
        <f t="shared" si="81"/>
        <v>135.91407029453555</v>
      </c>
      <c r="O415" s="5"/>
      <c r="P415" s="5">
        <f t="shared" si="84"/>
        <v>1</v>
      </c>
      <c r="Q415" s="7">
        <f t="shared" si="85"/>
        <v>732</v>
      </c>
      <c r="W415" s="124">
        <f t="shared" si="82"/>
        <v>92879.32054439999</v>
      </c>
      <c r="X415">
        <f t="shared" si="83"/>
        <v>0</v>
      </c>
    </row>
    <row r="416" spans="1:24">
      <c r="A416" s="23" t="s">
        <v>445</v>
      </c>
      <c r="B416" s="35" t="s">
        <v>441</v>
      </c>
      <c r="C416" s="125">
        <v>371</v>
      </c>
      <c r="D416" s="147" t="s">
        <v>564</v>
      </c>
      <c r="E416" s="116"/>
      <c r="F416" s="134"/>
      <c r="G416" s="117"/>
      <c r="H416" s="98" t="s">
        <v>588</v>
      </c>
      <c r="I416" s="136"/>
      <c r="J416" s="134"/>
      <c r="K416" s="120"/>
      <c r="L416" s="122">
        <f t="shared" si="79"/>
        <v>0</v>
      </c>
      <c r="M416" s="116">
        <f t="shared" si="80"/>
        <v>0</v>
      </c>
      <c r="N416" s="123">
        <f t="shared" si="81"/>
        <v>0</v>
      </c>
      <c r="O416" s="5"/>
      <c r="P416" s="5">
        <f t="shared" si="84"/>
        <v>0</v>
      </c>
      <c r="Q416" s="7">
        <f t="shared" si="85"/>
        <v>0</v>
      </c>
      <c r="S416" s="124">
        <f>SUM(D412:D416)</f>
        <v>284211633</v>
      </c>
      <c r="T416" s="124">
        <f>SUM(F412:F416)</f>
        <v>170058897</v>
      </c>
      <c r="U416" s="124">
        <f>SUM(J412:J416)</f>
        <v>1148633.7055444</v>
      </c>
      <c r="W416" s="124">
        <f t="shared" si="82"/>
        <v>0</v>
      </c>
      <c r="X416">
        <f t="shared" si="83"/>
        <v>0</v>
      </c>
    </row>
    <row r="417" spans="1:24">
      <c r="A417" s="70" t="s">
        <v>583</v>
      </c>
      <c r="B417" s="71"/>
      <c r="C417" s="72">
        <f>SUM(C6:C416)</f>
        <v>10831738</v>
      </c>
      <c r="D417" s="158">
        <f>SUM(D6:D416)</f>
        <v>1627211143979</v>
      </c>
      <c r="E417" s="74">
        <f>(D417/Q417)</f>
        <v>165193.36526376446</v>
      </c>
      <c r="F417" s="167">
        <f>SUM(F6:F416)</f>
        <v>1149265908278</v>
      </c>
      <c r="G417" s="76">
        <f>(F417/Q417)</f>
        <v>116672.69098656675</v>
      </c>
      <c r="H417" s="71"/>
      <c r="I417" s="168"/>
      <c r="J417" s="169">
        <f>SUM(J6:J416)</f>
        <v>5680746701.8668261</v>
      </c>
      <c r="K417" s="79">
        <f>(J417/Q417)</f>
        <v>576.70552980463276</v>
      </c>
      <c r="L417" s="79">
        <f>SUM(L6:L416)</f>
        <v>11492659082.779999</v>
      </c>
      <c r="M417" s="78">
        <f>SUM(M6:M416)</f>
        <v>5811912380.9131651</v>
      </c>
      <c r="N417" s="80">
        <f>(M417/Q417)</f>
        <v>590.02138006103394</v>
      </c>
      <c r="O417" s="20"/>
      <c r="P417" s="20">
        <f>SUM(P6:P416)</f>
        <v>391</v>
      </c>
      <c r="Q417" s="21">
        <f>SUM(Q6:Q416)</f>
        <v>9850342</v>
      </c>
      <c r="S417" s="124"/>
      <c r="T417" s="124"/>
      <c r="U417" s="124"/>
      <c r="W417" s="124">
        <f>SUM(W6:W416)</f>
        <v>5680746701.5134678</v>
      </c>
      <c r="X417">
        <f>SUM(X6:X416)</f>
        <v>3</v>
      </c>
    </row>
    <row r="418" spans="1:24">
      <c r="A418" s="27" t="s">
        <v>453</v>
      </c>
      <c r="B418" s="13"/>
      <c r="C418" s="60">
        <f>(P417)</f>
        <v>391</v>
      </c>
      <c r="D418" s="159"/>
      <c r="E418" s="16"/>
      <c r="F418" s="141"/>
      <c r="G418" s="16"/>
      <c r="H418" s="16"/>
      <c r="I418" s="170"/>
      <c r="J418" s="159"/>
      <c r="K418" s="17"/>
      <c r="L418" s="2"/>
      <c r="M418" s="2"/>
      <c r="N418" s="63"/>
      <c r="O418" s="2"/>
      <c r="P418" s="2"/>
      <c r="Q418" s="2"/>
      <c r="S418" s="124"/>
      <c r="T418" s="124"/>
      <c r="U418" s="124"/>
    </row>
    <row r="419" spans="1:24">
      <c r="A419" s="22"/>
      <c r="B419" s="16"/>
      <c r="C419" s="16"/>
      <c r="D419" s="160"/>
      <c r="E419" s="16"/>
      <c r="F419" s="160"/>
      <c r="G419" s="16"/>
      <c r="H419" s="107"/>
      <c r="I419" s="171"/>
      <c r="J419" s="160"/>
      <c r="K419" s="17"/>
      <c r="L419" s="2"/>
      <c r="M419" s="2"/>
      <c r="N419" s="63"/>
      <c r="O419" s="2"/>
      <c r="P419" s="2"/>
      <c r="Q419" s="2"/>
      <c r="S419" s="124"/>
      <c r="T419" s="124"/>
      <c r="U419" s="124"/>
    </row>
    <row r="420" spans="1:24">
      <c r="A420" s="204" t="s">
        <v>498</v>
      </c>
      <c r="B420" s="192"/>
      <c r="C420" s="192"/>
      <c r="D420" s="192"/>
      <c r="E420" s="192"/>
      <c r="F420" s="192"/>
      <c r="G420" s="192"/>
      <c r="H420" s="192"/>
      <c r="I420" s="192"/>
      <c r="J420" s="192"/>
      <c r="K420" s="192"/>
      <c r="L420" s="192"/>
      <c r="M420" s="192"/>
      <c r="N420" s="193"/>
      <c r="O420" s="1"/>
      <c r="P420" s="1"/>
      <c r="Q420" s="1"/>
    </row>
    <row r="421" spans="1:24">
      <c r="A421" s="191" t="s">
        <v>565</v>
      </c>
      <c r="B421" s="192"/>
      <c r="C421" s="192"/>
      <c r="D421" s="192"/>
      <c r="E421" s="192"/>
      <c r="F421" s="192"/>
      <c r="G421" s="192"/>
      <c r="H421" s="192"/>
      <c r="I421" s="192"/>
      <c r="J421" s="192"/>
      <c r="K421" s="192"/>
      <c r="L421" s="192"/>
      <c r="M421" s="192"/>
      <c r="N421" s="193"/>
      <c r="O421" s="1"/>
      <c r="P421" s="1"/>
      <c r="Q421" s="1"/>
    </row>
    <row r="422" spans="1:24" ht="25.5" customHeight="1">
      <c r="A422" s="191" t="s">
        <v>577</v>
      </c>
      <c r="B422" s="192"/>
      <c r="C422" s="192"/>
      <c r="D422" s="192"/>
      <c r="E422" s="192"/>
      <c r="F422" s="192"/>
      <c r="G422" s="192"/>
      <c r="H422" s="192"/>
      <c r="I422" s="192"/>
      <c r="J422" s="192"/>
      <c r="K422" s="192"/>
      <c r="L422" s="192"/>
      <c r="M422" s="192"/>
      <c r="N422" s="193"/>
      <c r="O422" s="1"/>
      <c r="P422" s="1"/>
      <c r="Q422" s="1"/>
    </row>
    <row r="423" spans="1:24" ht="25.5" customHeight="1">
      <c r="A423" s="191" t="s">
        <v>578</v>
      </c>
      <c r="B423" s="192"/>
      <c r="C423" s="192"/>
      <c r="D423" s="192"/>
      <c r="E423" s="192"/>
      <c r="F423" s="192"/>
      <c r="G423" s="192"/>
      <c r="H423" s="192"/>
      <c r="I423" s="192"/>
      <c r="J423" s="192"/>
      <c r="K423" s="192"/>
      <c r="L423" s="192"/>
      <c r="M423" s="192"/>
      <c r="N423" s="193"/>
      <c r="O423" s="1"/>
      <c r="P423" s="1"/>
      <c r="Q423" s="1"/>
    </row>
    <row r="424" spans="1:24" ht="12.75" customHeight="1">
      <c r="A424" s="191" t="s">
        <v>636</v>
      </c>
      <c r="B424" s="192"/>
      <c r="C424" s="192"/>
      <c r="D424" s="192"/>
      <c r="E424" s="192"/>
      <c r="F424" s="192"/>
      <c r="G424" s="192"/>
      <c r="H424" s="192"/>
      <c r="I424" s="192"/>
      <c r="J424" s="192"/>
      <c r="K424" s="192"/>
      <c r="L424" s="192"/>
      <c r="M424" s="192"/>
      <c r="N424" s="193"/>
      <c r="O424" s="1"/>
      <c r="P424" s="1"/>
      <c r="Q424" s="1"/>
    </row>
    <row r="425" spans="1:24">
      <c r="A425" s="194"/>
      <c r="B425" s="192"/>
      <c r="C425" s="192"/>
      <c r="D425" s="192"/>
      <c r="E425" s="192"/>
      <c r="F425" s="192"/>
      <c r="G425" s="192"/>
      <c r="H425" s="192"/>
      <c r="I425" s="192"/>
      <c r="J425" s="192"/>
      <c r="K425" s="192"/>
      <c r="L425" s="192"/>
      <c r="M425" s="192"/>
      <c r="N425" s="193"/>
      <c r="O425" s="1"/>
      <c r="P425" s="1"/>
      <c r="Q425" s="1"/>
    </row>
    <row r="426" spans="1:24">
      <c r="A426" s="191" t="s">
        <v>579</v>
      </c>
      <c r="B426" s="192"/>
      <c r="C426" s="192"/>
      <c r="D426" s="192"/>
      <c r="E426" s="192"/>
      <c r="F426" s="192"/>
      <c r="G426" s="192"/>
      <c r="H426" s="192"/>
      <c r="I426" s="192"/>
      <c r="J426" s="192"/>
      <c r="K426" s="192"/>
      <c r="L426" s="192"/>
      <c r="M426" s="192"/>
      <c r="N426" s="193"/>
      <c r="O426" s="1"/>
      <c r="P426" s="1"/>
      <c r="Q426" s="1"/>
    </row>
    <row r="427" spans="1:24">
      <c r="A427" s="191" t="s">
        <v>630</v>
      </c>
      <c r="B427" s="192"/>
      <c r="C427" s="192"/>
      <c r="D427" s="192"/>
      <c r="E427" s="192"/>
      <c r="F427" s="192"/>
      <c r="G427" s="192"/>
      <c r="H427" s="192"/>
      <c r="I427" s="192"/>
      <c r="J427" s="192"/>
      <c r="K427" s="192"/>
      <c r="L427" s="192"/>
      <c r="M427" s="192"/>
      <c r="N427" s="193"/>
      <c r="O427" s="1"/>
      <c r="P427" s="1"/>
      <c r="Q427" s="1"/>
    </row>
    <row r="428" spans="1:24" ht="15" customHeight="1" thickBot="1">
      <c r="A428" s="188" t="s">
        <v>635</v>
      </c>
      <c r="B428" s="189"/>
      <c r="C428" s="189"/>
      <c r="D428" s="189"/>
      <c r="E428" s="189"/>
      <c r="F428" s="189"/>
      <c r="G428" s="189"/>
      <c r="H428" s="189"/>
      <c r="I428" s="189"/>
      <c r="J428" s="189"/>
      <c r="K428" s="189"/>
      <c r="L428" s="189"/>
      <c r="M428" s="189"/>
      <c r="N428" s="190"/>
      <c r="O428" s="1"/>
      <c r="P428" s="1"/>
      <c r="Q428" s="1"/>
    </row>
    <row r="429" spans="1:24">
      <c r="A429" s="4"/>
      <c r="B429" s="1"/>
      <c r="C429" s="1"/>
      <c r="D429" s="161"/>
      <c r="E429" s="1"/>
      <c r="F429" s="161"/>
      <c r="G429" s="1"/>
      <c r="H429" s="1"/>
      <c r="I429" s="172"/>
      <c r="J429" s="172"/>
      <c r="K429" s="3"/>
      <c r="L429" s="1"/>
      <c r="M429" s="1"/>
      <c r="N429" s="1"/>
      <c r="O429" s="1"/>
      <c r="P429" s="1"/>
      <c r="Q429" s="1"/>
    </row>
    <row r="430" spans="1:24">
      <c r="A430" s="4"/>
      <c r="B430" s="1"/>
      <c r="C430" s="186"/>
      <c r="D430" s="161"/>
      <c r="E430" s="1"/>
      <c r="F430" s="161"/>
      <c r="G430" s="1"/>
      <c r="H430" s="1"/>
      <c r="I430" s="172"/>
      <c r="J430" s="172"/>
      <c r="K430" s="3"/>
      <c r="L430" s="1"/>
      <c r="M430" s="1"/>
      <c r="N430" s="1"/>
      <c r="O430" s="1"/>
      <c r="P430" s="1"/>
      <c r="Q430" s="1"/>
    </row>
    <row r="431" spans="1:24">
      <c r="A431" s="2"/>
      <c r="B431" s="2"/>
      <c r="C431" s="2"/>
      <c r="D431" s="162"/>
      <c r="E431" s="2"/>
      <c r="F431" s="162"/>
      <c r="G431" s="2"/>
      <c r="H431" s="2"/>
      <c r="I431" s="162"/>
      <c r="J431" s="162"/>
      <c r="K431" s="2"/>
      <c r="L431" s="2"/>
      <c r="M431" s="2"/>
      <c r="N431" s="2"/>
      <c r="O431" s="2"/>
      <c r="P431" s="2"/>
      <c r="Q431" s="2"/>
    </row>
  </sheetData>
  <mergeCells count="13">
    <mergeCell ref="A1:N1"/>
    <mergeCell ref="D2:G2"/>
    <mergeCell ref="L2:N2"/>
    <mergeCell ref="A422:N422"/>
    <mergeCell ref="A423:N423"/>
    <mergeCell ref="S2:U2"/>
    <mergeCell ref="A420:N420"/>
    <mergeCell ref="A421:N421"/>
    <mergeCell ref="A428:N428"/>
    <mergeCell ref="A424:N424"/>
    <mergeCell ref="A425:N425"/>
    <mergeCell ref="A426:N426"/>
    <mergeCell ref="A427:N427"/>
  </mergeCells>
  <printOptions horizontalCentered="1"/>
  <pageMargins left="0.5" right="0.5" top="0.5" bottom="0.5" header="0.3" footer="0.3"/>
  <pageSetup paperSize="5" scale="80" fitToHeight="0" orientation="landscape" r:id="rId1"/>
  <headerFooter>
    <oddFooter>&amp;LOffice of Economic and Demographic Research&amp;CPage &amp;P of &amp;N&amp;RJanuary 24, 2023</oddFooter>
  </headerFooter>
  <ignoredErrors>
    <ignoredError sqref="E417 K41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431"/>
  <sheetViews>
    <sheetView topLeftCell="B1" workbookViewId="0">
      <selection activeCell="T98" sqref="T98"/>
    </sheetView>
  </sheetViews>
  <sheetFormatPr defaultRowHeight="12.75"/>
  <cols>
    <col min="1" max="1" width="25.7109375" customWidth="1"/>
    <col min="2" max="2" width="16.7109375" customWidth="1"/>
    <col min="3" max="3" width="11.7109375" customWidth="1"/>
    <col min="4" max="4" width="19.7109375" style="163" customWidth="1"/>
    <col min="5" max="5" width="13.7109375" customWidth="1"/>
    <col min="6" max="6" width="19.7109375" style="163" customWidth="1"/>
    <col min="7" max="7" width="13.7109375" customWidth="1"/>
    <col min="8" max="8" width="1.7109375" customWidth="1"/>
    <col min="9" max="9" width="10.7109375" style="163" customWidth="1"/>
    <col min="10" max="10" width="15.7109375" style="163" customWidth="1"/>
    <col min="11" max="11" width="13.7109375" customWidth="1"/>
    <col min="12" max="12" width="16.7109375" customWidth="1"/>
    <col min="13" max="13" width="15.7109375" customWidth="1"/>
    <col min="14" max="14" width="14.7109375" customWidth="1"/>
    <col min="15" max="15" width="2.7109375" customWidth="1"/>
    <col min="16" max="16" width="4.5703125" customWidth="1"/>
    <col min="17" max="17" width="10.7109375" customWidth="1"/>
    <col min="19" max="20" width="17.7109375" customWidth="1"/>
    <col min="21" max="21" width="16.7109375" customWidth="1"/>
    <col min="23" max="23" width="15.7109375" customWidth="1"/>
  </cols>
  <sheetData>
    <row r="1" spans="1:24" ht="26.25">
      <c r="A1" s="197" t="s">
        <v>620</v>
      </c>
      <c r="B1" s="198"/>
      <c r="C1" s="198"/>
      <c r="D1" s="198"/>
      <c r="E1" s="198"/>
      <c r="F1" s="198"/>
      <c r="G1" s="198"/>
      <c r="H1" s="198"/>
      <c r="I1" s="198"/>
      <c r="J1" s="198"/>
      <c r="K1" s="198"/>
      <c r="L1" s="198"/>
      <c r="M1" s="198"/>
      <c r="N1" s="199"/>
    </row>
    <row r="2" spans="1:24" ht="18">
      <c r="A2" s="41"/>
      <c r="B2" s="42"/>
      <c r="C2" s="164"/>
      <c r="D2" s="200" t="s">
        <v>562</v>
      </c>
      <c r="E2" s="201"/>
      <c r="F2" s="201"/>
      <c r="G2" s="202"/>
      <c r="H2" s="44"/>
      <c r="I2" s="176" t="s">
        <v>456</v>
      </c>
      <c r="J2" s="177"/>
      <c r="K2" s="68"/>
      <c r="L2" s="201" t="s">
        <v>503</v>
      </c>
      <c r="M2" s="201"/>
      <c r="N2" s="203"/>
      <c r="S2" s="200" t="s">
        <v>591</v>
      </c>
      <c r="T2" s="201"/>
      <c r="U2" s="202"/>
    </row>
    <row r="3" spans="1:24" ht="12.75" customHeight="1">
      <c r="A3" s="46"/>
      <c r="B3" s="47"/>
      <c r="C3" s="48">
        <v>2019</v>
      </c>
      <c r="D3" s="165"/>
      <c r="E3" s="50" t="s">
        <v>1</v>
      </c>
      <c r="F3" s="173"/>
      <c r="G3" s="50" t="s">
        <v>1</v>
      </c>
      <c r="H3" s="52"/>
      <c r="I3" s="178"/>
      <c r="J3" s="179"/>
      <c r="K3" s="67" t="s">
        <v>1</v>
      </c>
      <c r="L3" s="66" t="s">
        <v>455</v>
      </c>
      <c r="M3" s="50" t="s">
        <v>455</v>
      </c>
      <c r="N3" s="59" t="s">
        <v>1</v>
      </c>
      <c r="S3" s="51"/>
      <c r="T3" s="51"/>
      <c r="U3" s="54"/>
    </row>
    <row r="4" spans="1:24">
      <c r="A4" s="46"/>
      <c r="B4" s="47"/>
      <c r="C4" s="48" t="s">
        <v>3</v>
      </c>
      <c r="D4" s="165" t="s">
        <v>563</v>
      </c>
      <c r="E4" s="56" t="s">
        <v>563</v>
      </c>
      <c r="F4" s="174" t="s">
        <v>2</v>
      </c>
      <c r="G4" s="56" t="s">
        <v>2</v>
      </c>
      <c r="H4" s="52"/>
      <c r="I4" s="180" t="s">
        <v>4</v>
      </c>
      <c r="J4" s="181" t="s">
        <v>455</v>
      </c>
      <c r="K4" s="69" t="s">
        <v>455</v>
      </c>
      <c r="L4" s="67" t="s">
        <v>454</v>
      </c>
      <c r="M4" s="82" t="s">
        <v>495</v>
      </c>
      <c r="N4" s="55" t="s">
        <v>495</v>
      </c>
      <c r="S4" s="48" t="s">
        <v>563</v>
      </c>
      <c r="T4" s="56" t="s">
        <v>2</v>
      </c>
      <c r="U4" s="58" t="s">
        <v>455</v>
      </c>
    </row>
    <row r="5" spans="1:24">
      <c r="A5" s="85" t="s">
        <v>5</v>
      </c>
      <c r="B5" s="86" t="s">
        <v>6</v>
      </c>
      <c r="C5" s="48" t="s">
        <v>458</v>
      </c>
      <c r="D5" s="166" t="s">
        <v>7</v>
      </c>
      <c r="E5" s="89" t="s">
        <v>7</v>
      </c>
      <c r="F5" s="175" t="s">
        <v>7</v>
      </c>
      <c r="G5" s="89" t="s">
        <v>7</v>
      </c>
      <c r="H5" s="91"/>
      <c r="I5" s="182" t="s">
        <v>587</v>
      </c>
      <c r="J5" s="175" t="s">
        <v>454</v>
      </c>
      <c r="K5" s="90" t="s">
        <v>454</v>
      </c>
      <c r="L5" s="93" t="s">
        <v>502</v>
      </c>
      <c r="M5" s="94" t="s">
        <v>496</v>
      </c>
      <c r="N5" s="95" t="s">
        <v>496</v>
      </c>
      <c r="O5" s="19"/>
      <c r="P5" s="19"/>
      <c r="Q5" s="19"/>
      <c r="S5" s="87" t="s">
        <v>7</v>
      </c>
      <c r="T5" s="90" t="s">
        <v>7</v>
      </c>
      <c r="U5" s="90" t="s">
        <v>454</v>
      </c>
    </row>
    <row r="6" spans="1:24">
      <c r="A6" s="22" t="s">
        <v>8</v>
      </c>
      <c r="B6" s="33" t="s">
        <v>8</v>
      </c>
      <c r="C6" s="97">
        <v>10298</v>
      </c>
      <c r="D6" s="141">
        <v>1390589621</v>
      </c>
      <c r="E6" s="38">
        <f t="shared" ref="E6:E14" si="0">(D6/C6)</f>
        <v>135034.9214410565</v>
      </c>
      <c r="F6" s="141">
        <v>857735356</v>
      </c>
      <c r="G6" s="39">
        <f t="shared" ref="G6:G14" si="1">(F6/C6)</f>
        <v>83291.450378714319</v>
      </c>
      <c r="H6" s="15"/>
      <c r="I6" s="145">
        <v>5.39</v>
      </c>
      <c r="J6" s="146">
        <v>4623193.5688399998</v>
      </c>
      <c r="K6" s="84">
        <f t="shared" ref="K6:K13" si="2">(J6/C6)</f>
        <v>448.94091754127015</v>
      </c>
      <c r="L6" s="65">
        <f t="shared" ref="L6:L69" si="3">(F6*0.01)</f>
        <v>8577353.5600000005</v>
      </c>
      <c r="M6" s="83">
        <f t="shared" ref="M6:M69" si="4">(L6-J6)</f>
        <v>3954159.9911600007</v>
      </c>
      <c r="N6" s="62">
        <f t="shared" ref="N6:N69" si="5">(M6/C6)</f>
        <v>383.97358624587304</v>
      </c>
      <c r="O6" s="5"/>
      <c r="P6" s="5">
        <f t="shared" ref="P6:P69" si="6">IF(I6&gt;0,1,0)</f>
        <v>1</v>
      </c>
      <c r="Q6" s="7">
        <f t="shared" ref="Q6:Q69" si="7">IF(I6&gt;0,C6,0)</f>
        <v>10298</v>
      </c>
      <c r="S6" s="124"/>
      <c r="W6" s="124">
        <f>F6*(I6/1000)</f>
        <v>4623193.5688399998</v>
      </c>
      <c r="X6">
        <f>IF(W6=J6,0,1)</f>
        <v>0</v>
      </c>
    </row>
    <row r="7" spans="1:24">
      <c r="A7" s="23" t="s">
        <v>9</v>
      </c>
      <c r="B7" s="35" t="s">
        <v>8</v>
      </c>
      <c r="C7" s="97">
        <v>1201</v>
      </c>
      <c r="D7" s="132">
        <v>77034597</v>
      </c>
      <c r="E7" s="116">
        <f t="shared" si="0"/>
        <v>64142.045795170692</v>
      </c>
      <c r="F7" s="132">
        <v>41196489</v>
      </c>
      <c r="G7" s="117">
        <f t="shared" si="1"/>
        <v>34301.822647793502</v>
      </c>
      <c r="H7" s="7"/>
      <c r="I7" s="136">
        <v>5.5148999999999999</v>
      </c>
      <c r="J7" s="134">
        <v>227194.51718609998</v>
      </c>
      <c r="K7" s="120">
        <f t="shared" si="2"/>
        <v>189.17112172031639</v>
      </c>
      <c r="L7" s="122">
        <f t="shared" si="3"/>
        <v>411964.89</v>
      </c>
      <c r="M7" s="116">
        <f t="shared" si="4"/>
        <v>184770.37281390003</v>
      </c>
      <c r="N7" s="123">
        <f t="shared" si="5"/>
        <v>153.84710475761867</v>
      </c>
      <c r="O7" s="5"/>
      <c r="P7" s="5">
        <f t="shared" si="6"/>
        <v>1</v>
      </c>
      <c r="Q7" s="7">
        <f t="shared" si="7"/>
        <v>1201</v>
      </c>
      <c r="S7" s="124"/>
      <c r="W7" s="124">
        <f t="shared" ref="W7:W70" si="8">F7*(I7/1000)</f>
        <v>227194.51718609998</v>
      </c>
      <c r="X7">
        <f t="shared" ref="X7:X70" si="9">IF(W7=J7,0,1)</f>
        <v>0</v>
      </c>
    </row>
    <row r="8" spans="1:24">
      <c r="A8" s="23" t="s">
        <v>10</v>
      </c>
      <c r="B8" s="35" t="s">
        <v>8</v>
      </c>
      <c r="C8" s="97">
        <v>133068</v>
      </c>
      <c r="D8" s="132">
        <v>16684944980</v>
      </c>
      <c r="E8" s="116">
        <f t="shared" si="0"/>
        <v>125386.60669732768</v>
      </c>
      <c r="F8" s="132">
        <v>7201765633</v>
      </c>
      <c r="G8" s="117">
        <f t="shared" si="1"/>
        <v>54120.942923918599</v>
      </c>
      <c r="H8" s="7"/>
      <c r="I8" s="136">
        <v>5.2973999999999997</v>
      </c>
      <c r="J8" s="134">
        <v>38150633.264254197</v>
      </c>
      <c r="K8" s="120">
        <f t="shared" si="2"/>
        <v>286.70028304516637</v>
      </c>
      <c r="L8" s="122">
        <f t="shared" si="3"/>
        <v>72017656.329999998</v>
      </c>
      <c r="M8" s="116">
        <f t="shared" si="4"/>
        <v>33867023.065745801</v>
      </c>
      <c r="N8" s="123">
        <f t="shared" si="5"/>
        <v>254.50914619401959</v>
      </c>
      <c r="O8" s="5"/>
      <c r="P8" s="5">
        <f t="shared" si="6"/>
        <v>1</v>
      </c>
      <c r="Q8" s="7">
        <f t="shared" si="7"/>
        <v>133068</v>
      </c>
      <c r="S8" s="124"/>
      <c r="W8" s="124">
        <f t="shared" si="8"/>
        <v>38150633.264254197</v>
      </c>
      <c r="X8">
        <f t="shared" si="9"/>
        <v>0</v>
      </c>
    </row>
    <row r="9" spans="1:24">
      <c r="A9" s="23" t="s">
        <v>11</v>
      </c>
      <c r="B9" s="35" t="s">
        <v>8</v>
      </c>
      <c r="C9" s="97">
        <v>1456</v>
      </c>
      <c r="D9" s="132">
        <v>114497165</v>
      </c>
      <c r="E9" s="116">
        <f t="shared" si="0"/>
        <v>78638.162774725279</v>
      </c>
      <c r="F9" s="134">
        <v>49978027</v>
      </c>
      <c r="G9" s="117">
        <f t="shared" si="1"/>
        <v>34325.567994505494</v>
      </c>
      <c r="H9" s="7"/>
      <c r="I9" s="136">
        <v>5.3193999999999999</v>
      </c>
      <c r="J9" s="134">
        <v>265853.11682380002</v>
      </c>
      <c r="K9" s="120">
        <f t="shared" si="2"/>
        <v>182.59142638997255</v>
      </c>
      <c r="L9" s="122">
        <f t="shared" si="3"/>
        <v>499780.27</v>
      </c>
      <c r="M9" s="116">
        <f t="shared" si="4"/>
        <v>233927.15317619999</v>
      </c>
      <c r="N9" s="123">
        <f t="shared" si="5"/>
        <v>160.66425355508241</v>
      </c>
      <c r="O9" s="5"/>
      <c r="P9" s="5">
        <f t="shared" si="6"/>
        <v>1</v>
      </c>
      <c r="Q9" s="7">
        <f t="shared" si="7"/>
        <v>1456</v>
      </c>
      <c r="S9" s="124"/>
      <c r="W9" s="124">
        <f t="shared" si="8"/>
        <v>265853.11682380002</v>
      </c>
      <c r="X9">
        <f t="shared" si="9"/>
        <v>0</v>
      </c>
    </row>
    <row r="10" spans="1:24">
      <c r="A10" s="23" t="s">
        <v>12</v>
      </c>
      <c r="B10" s="35" t="s">
        <v>8</v>
      </c>
      <c r="C10" s="97">
        <v>6444</v>
      </c>
      <c r="D10" s="132">
        <v>510198488</v>
      </c>
      <c r="E10" s="116">
        <f t="shared" si="0"/>
        <v>79174.191185599004</v>
      </c>
      <c r="F10" s="134">
        <v>295934544</v>
      </c>
      <c r="G10" s="117">
        <f t="shared" si="1"/>
        <v>45924.044692737429</v>
      </c>
      <c r="H10" s="7"/>
      <c r="I10" s="136">
        <v>5.88</v>
      </c>
      <c r="J10" s="134">
        <v>1740095.1187200001</v>
      </c>
      <c r="K10" s="120">
        <f t="shared" si="2"/>
        <v>270.03338279329608</v>
      </c>
      <c r="L10" s="122">
        <f t="shared" si="3"/>
        <v>2959345.44</v>
      </c>
      <c r="M10" s="116">
        <f t="shared" si="4"/>
        <v>1219250.3212799998</v>
      </c>
      <c r="N10" s="123">
        <f t="shared" si="5"/>
        <v>189.20706413407819</v>
      </c>
      <c r="O10" s="5"/>
      <c r="P10" s="5">
        <f t="shared" si="6"/>
        <v>1</v>
      </c>
      <c r="Q10" s="7">
        <f t="shared" si="7"/>
        <v>6444</v>
      </c>
      <c r="S10" s="124"/>
      <c r="W10" s="124">
        <f t="shared" si="8"/>
        <v>1740095.1187199999</v>
      </c>
      <c r="X10">
        <f t="shared" si="9"/>
        <v>0</v>
      </c>
    </row>
    <row r="11" spans="1:24">
      <c r="A11" s="23" t="s">
        <v>559</v>
      </c>
      <c r="B11" s="35" t="s">
        <v>8</v>
      </c>
      <c r="C11" s="97">
        <v>392</v>
      </c>
      <c r="D11" s="132">
        <v>21393543</v>
      </c>
      <c r="E11" s="116">
        <f t="shared" si="0"/>
        <v>54575.364795918365</v>
      </c>
      <c r="F11" s="134">
        <v>10391716</v>
      </c>
      <c r="G11" s="117">
        <f t="shared" si="1"/>
        <v>26509.479591836734</v>
      </c>
      <c r="H11" s="7"/>
      <c r="I11" s="136">
        <v>6.6673999999999998</v>
      </c>
      <c r="J11" s="134">
        <v>69285.727258400002</v>
      </c>
      <c r="K11" s="120">
        <f t="shared" si="2"/>
        <v>176.74930423061224</v>
      </c>
      <c r="L11" s="122">
        <f t="shared" si="3"/>
        <v>103917.16</v>
      </c>
      <c r="M11" s="116">
        <f t="shared" si="4"/>
        <v>34631.432741600001</v>
      </c>
      <c r="N11" s="123">
        <f t="shared" si="5"/>
        <v>88.3454916877551</v>
      </c>
      <c r="O11" s="5"/>
      <c r="P11" s="5">
        <f t="shared" si="6"/>
        <v>1</v>
      </c>
      <c r="Q11" s="7">
        <f t="shared" si="7"/>
        <v>392</v>
      </c>
      <c r="S11" s="124"/>
      <c r="W11" s="124">
        <f t="shared" si="8"/>
        <v>69285.727258400002</v>
      </c>
      <c r="X11">
        <f t="shared" si="9"/>
        <v>0</v>
      </c>
    </row>
    <row r="12" spans="1:24">
      <c r="A12" s="23" t="s">
        <v>13</v>
      </c>
      <c r="B12" s="35" t="s">
        <v>8</v>
      </c>
      <c r="C12" s="97">
        <v>615</v>
      </c>
      <c r="D12" s="132">
        <v>53177115</v>
      </c>
      <c r="E12" s="116">
        <f t="shared" si="0"/>
        <v>86466.85365853658</v>
      </c>
      <c r="F12" s="134">
        <v>34437720</v>
      </c>
      <c r="G12" s="117">
        <f t="shared" si="1"/>
        <v>55996.292682926833</v>
      </c>
      <c r="H12" s="7"/>
      <c r="I12" s="136">
        <v>5.6542000000000003</v>
      </c>
      <c r="J12" s="134">
        <v>194717.75642400002</v>
      </c>
      <c r="K12" s="120">
        <f t="shared" si="2"/>
        <v>316.61423808780489</v>
      </c>
      <c r="L12" s="122">
        <f t="shared" si="3"/>
        <v>344377.2</v>
      </c>
      <c r="M12" s="116">
        <f t="shared" si="4"/>
        <v>149659.44357599999</v>
      </c>
      <c r="N12" s="123">
        <f t="shared" si="5"/>
        <v>243.34868874146341</v>
      </c>
      <c r="O12" s="5"/>
      <c r="P12" s="5">
        <f t="shared" si="6"/>
        <v>1</v>
      </c>
      <c r="Q12" s="7">
        <f t="shared" si="7"/>
        <v>615</v>
      </c>
      <c r="S12" s="124"/>
      <c r="W12" s="124">
        <f t="shared" si="8"/>
        <v>194717.75642400002</v>
      </c>
      <c r="X12">
        <f t="shared" si="9"/>
        <v>0</v>
      </c>
    </row>
    <row r="13" spans="1:24">
      <c r="A13" s="23" t="s">
        <v>14</v>
      </c>
      <c r="B13" s="35" t="s">
        <v>8</v>
      </c>
      <c r="C13" s="97">
        <v>6573</v>
      </c>
      <c r="D13" s="132">
        <v>827519726</v>
      </c>
      <c r="E13" s="116">
        <f t="shared" si="0"/>
        <v>125896.80906739693</v>
      </c>
      <c r="F13" s="134">
        <v>464618207</v>
      </c>
      <c r="G13" s="117">
        <f t="shared" si="1"/>
        <v>70685.867488209347</v>
      </c>
      <c r="H13" s="7"/>
      <c r="I13" s="136">
        <v>5.9999000000000002</v>
      </c>
      <c r="J13" s="134">
        <v>2787662.7801793003</v>
      </c>
      <c r="K13" s="120">
        <f t="shared" si="2"/>
        <v>424.10813634250729</v>
      </c>
      <c r="L13" s="122">
        <f t="shared" si="3"/>
        <v>4646182.07</v>
      </c>
      <c r="M13" s="116">
        <f t="shared" si="4"/>
        <v>1858519.2898207</v>
      </c>
      <c r="N13" s="123">
        <f t="shared" si="5"/>
        <v>282.75053853958616</v>
      </c>
      <c r="O13" s="5"/>
      <c r="P13" s="5">
        <f t="shared" si="6"/>
        <v>1</v>
      </c>
      <c r="Q13" s="7">
        <f t="shared" si="7"/>
        <v>6573</v>
      </c>
      <c r="S13" s="124"/>
      <c r="W13" s="124">
        <f t="shared" si="8"/>
        <v>2787662.7801792999</v>
      </c>
      <c r="X13">
        <f t="shared" si="9"/>
        <v>0</v>
      </c>
    </row>
    <row r="14" spans="1:24">
      <c r="A14" s="23" t="s">
        <v>15</v>
      </c>
      <c r="B14" s="35" t="s">
        <v>8</v>
      </c>
      <c r="C14" s="97">
        <v>960</v>
      </c>
      <c r="D14" s="132">
        <v>52389467</v>
      </c>
      <c r="E14" s="116">
        <f t="shared" si="0"/>
        <v>54572.361458333333</v>
      </c>
      <c r="F14" s="134">
        <v>28155634</v>
      </c>
      <c r="G14" s="117">
        <f t="shared" si="1"/>
        <v>29328.785416666666</v>
      </c>
      <c r="H14" s="7"/>
      <c r="I14" s="136">
        <v>7.5179999999999998</v>
      </c>
      <c r="J14" s="134">
        <v>211674.05641200001</v>
      </c>
      <c r="K14" s="120">
        <f>(J14/C14)</f>
        <v>220.49380876250001</v>
      </c>
      <c r="L14" s="122">
        <f t="shared" si="3"/>
        <v>281556.34000000003</v>
      </c>
      <c r="M14" s="116">
        <f>(L14-J14)</f>
        <v>69882.28358800002</v>
      </c>
      <c r="N14" s="123">
        <f t="shared" si="5"/>
        <v>72.794045404166681</v>
      </c>
      <c r="O14" s="5"/>
      <c r="P14" s="5">
        <f t="shared" si="6"/>
        <v>1</v>
      </c>
      <c r="Q14" s="7">
        <f t="shared" si="7"/>
        <v>960</v>
      </c>
      <c r="S14" s="124">
        <f>SUM(D6:D14)</f>
        <v>19731744702</v>
      </c>
      <c r="T14" s="183">
        <f>SUM(F6:F14)</f>
        <v>8984213326</v>
      </c>
      <c r="U14" s="183">
        <f>SUM(J6:J14)</f>
        <v>48270309.9060978</v>
      </c>
      <c r="W14" s="124">
        <f t="shared" si="8"/>
        <v>211674.05641199998</v>
      </c>
      <c r="X14">
        <f t="shared" si="9"/>
        <v>0</v>
      </c>
    </row>
    <row r="15" spans="1:24">
      <c r="A15" s="24" t="s">
        <v>544</v>
      </c>
      <c r="B15" s="35" t="s">
        <v>16</v>
      </c>
      <c r="C15" s="125">
        <v>454</v>
      </c>
      <c r="D15" s="147" t="s">
        <v>564</v>
      </c>
      <c r="E15" s="116"/>
      <c r="F15" s="134"/>
      <c r="G15" s="117"/>
      <c r="H15" s="98" t="s">
        <v>588</v>
      </c>
      <c r="I15" s="136"/>
      <c r="J15" s="134"/>
      <c r="K15" s="120"/>
      <c r="L15" s="122">
        <f t="shared" si="3"/>
        <v>0</v>
      </c>
      <c r="M15" s="116">
        <f t="shared" si="4"/>
        <v>0</v>
      </c>
      <c r="N15" s="123">
        <f t="shared" si="5"/>
        <v>0</v>
      </c>
      <c r="O15" s="5"/>
      <c r="P15" s="5">
        <f t="shared" si="6"/>
        <v>0</v>
      </c>
      <c r="Q15" s="7">
        <f t="shared" si="7"/>
        <v>0</v>
      </c>
      <c r="W15" s="124">
        <f t="shared" si="8"/>
        <v>0</v>
      </c>
      <c r="X15">
        <f t="shared" si="9"/>
        <v>0</v>
      </c>
    </row>
    <row r="16" spans="1:24">
      <c r="A16" s="23" t="s">
        <v>17</v>
      </c>
      <c r="B16" s="35" t="s">
        <v>16</v>
      </c>
      <c r="C16" s="125">
        <v>6957</v>
      </c>
      <c r="D16" s="132">
        <v>461772642</v>
      </c>
      <c r="E16" s="116">
        <f>(D16/C16)</f>
        <v>66375.253988788274</v>
      </c>
      <c r="F16" s="134">
        <v>267542405</v>
      </c>
      <c r="G16" s="117">
        <f>(F16/C16)</f>
        <v>38456.576829092999</v>
      </c>
      <c r="H16" s="7"/>
      <c r="I16" s="136">
        <v>3.6</v>
      </c>
      <c r="J16" s="134">
        <v>963152.65800000005</v>
      </c>
      <c r="K16" s="120">
        <f>(J16/C16)</f>
        <v>138.44367658473482</v>
      </c>
      <c r="L16" s="122">
        <f t="shared" si="3"/>
        <v>2675424.0500000003</v>
      </c>
      <c r="M16" s="116">
        <f t="shared" si="4"/>
        <v>1712271.3920000002</v>
      </c>
      <c r="N16" s="123">
        <f t="shared" si="5"/>
        <v>246.12209170619522</v>
      </c>
      <c r="O16" s="5"/>
      <c r="P16" s="5">
        <f t="shared" si="6"/>
        <v>1</v>
      </c>
      <c r="Q16" s="7">
        <f t="shared" si="7"/>
        <v>6957</v>
      </c>
      <c r="S16" s="124">
        <f>SUM(D15:D16)</f>
        <v>461772642</v>
      </c>
      <c r="T16" s="124">
        <f>SUM(F15:F16)</f>
        <v>267542405</v>
      </c>
      <c r="U16" s="124">
        <f>SUM(J15:J16)</f>
        <v>963152.65800000005</v>
      </c>
      <c r="W16" s="124">
        <f t="shared" si="8"/>
        <v>963152.65799999994</v>
      </c>
      <c r="X16">
        <f t="shared" si="9"/>
        <v>0</v>
      </c>
    </row>
    <row r="17" spans="1:24">
      <c r="A17" s="23" t="s">
        <v>18</v>
      </c>
      <c r="B17" s="35" t="s">
        <v>19</v>
      </c>
      <c r="C17" s="125">
        <v>13211</v>
      </c>
      <c r="D17" s="132">
        <v>606298877</v>
      </c>
      <c r="E17" s="116">
        <f>(D17/C17)</f>
        <v>45893.4885322837</v>
      </c>
      <c r="F17" s="134">
        <v>417715247</v>
      </c>
      <c r="G17" s="117">
        <f>(F17/C17)</f>
        <v>31618.745515101051</v>
      </c>
      <c r="H17" s="8"/>
      <c r="I17" s="136">
        <v>2.75</v>
      </c>
      <c r="J17" s="134">
        <v>1148716.92925</v>
      </c>
      <c r="K17" s="120">
        <f>(J17/C17)</f>
        <v>86.951550166527895</v>
      </c>
      <c r="L17" s="122">
        <f t="shared" si="3"/>
        <v>4177152.47</v>
      </c>
      <c r="M17" s="116">
        <f t="shared" si="4"/>
        <v>3028435.5407500002</v>
      </c>
      <c r="N17" s="123">
        <f t="shared" si="5"/>
        <v>229.23590498448263</v>
      </c>
      <c r="O17" s="5"/>
      <c r="P17" s="5">
        <f t="shared" si="6"/>
        <v>1</v>
      </c>
      <c r="Q17" s="7">
        <f t="shared" si="7"/>
        <v>13211</v>
      </c>
      <c r="W17" s="124">
        <f t="shared" si="8"/>
        <v>1148716.92925</v>
      </c>
      <c r="X17">
        <f t="shared" si="9"/>
        <v>0</v>
      </c>
    </row>
    <row r="18" spans="1:24">
      <c r="A18" s="23" t="s">
        <v>21</v>
      </c>
      <c r="B18" s="35" t="s">
        <v>19</v>
      </c>
      <c r="C18" s="125">
        <v>19586</v>
      </c>
      <c r="D18" s="132">
        <v>1394915923</v>
      </c>
      <c r="E18" s="116">
        <f>(D18/C18)</f>
        <v>71220.051210047997</v>
      </c>
      <c r="F18" s="134">
        <v>988220897</v>
      </c>
      <c r="G18" s="117">
        <f>(F18/C18)</f>
        <v>50455.473144082505</v>
      </c>
      <c r="H18" s="7"/>
      <c r="I18" s="136">
        <v>3.9</v>
      </c>
      <c r="J18" s="134">
        <v>3854061.4982999996</v>
      </c>
      <c r="K18" s="120">
        <f>(J18/C18)</f>
        <v>196.77634526192176</v>
      </c>
      <c r="L18" s="122">
        <f t="shared" si="3"/>
        <v>9882208.9700000007</v>
      </c>
      <c r="M18" s="116">
        <f t="shared" si="4"/>
        <v>6028147.4717000015</v>
      </c>
      <c r="N18" s="123">
        <f t="shared" si="5"/>
        <v>307.77838617890336</v>
      </c>
      <c r="O18" s="5"/>
      <c r="P18" s="5">
        <f t="shared" si="6"/>
        <v>1</v>
      </c>
      <c r="Q18" s="7">
        <f t="shared" si="7"/>
        <v>19586</v>
      </c>
      <c r="W18" s="124">
        <f t="shared" si="8"/>
        <v>3854061.4982999996</v>
      </c>
      <c r="X18">
        <f t="shared" si="9"/>
        <v>0</v>
      </c>
    </row>
    <row r="19" spans="1:24">
      <c r="A19" s="23" t="s">
        <v>22</v>
      </c>
      <c r="B19" s="35" t="s">
        <v>19</v>
      </c>
      <c r="C19" s="125">
        <v>627</v>
      </c>
      <c r="D19" s="132">
        <v>368856807</v>
      </c>
      <c r="E19" s="116">
        <f>(D19/C19)</f>
        <v>588288.36842105258</v>
      </c>
      <c r="F19" s="134">
        <v>307925554</v>
      </c>
      <c r="G19" s="117">
        <f>(F19/C19)</f>
        <v>491109.336523126</v>
      </c>
      <c r="H19" s="7"/>
      <c r="I19" s="150">
        <v>8</v>
      </c>
      <c r="J19" s="134">
        <v>2463404.432</v>
      </c>
      <c r="K19" s="120">
        <f>(J19/C19)</f>
        <v>3928.8746921850079</v>
      </c>
      <c r="L19" s="122">
        <f t="shared" si="3"/>
        <v>3079255.54</v>
      </c>
      <c r="M19" s="116">
        <f t="shared" si="4"/>
        <v>615851.10800000001</v>
      </c>
      <c r="N19" s="123">
        <f t="shared" si="5"/>
        <v>982.21867304625198</v>
      </c>
      <c r="O19" s="5"/>
      <c r="P19" s="5">
        <f t="shared" si="6"/>
        <v>1</v>
      </c>
      <c r="Q19" s="7">
        <f t="shared" si="7"/>
        <v>627</v>
      </c>
      <c r="W19" s="124">
        <f t="shared" si="8"/>
        <v>2463404.432</v>
      </c>
      <c r="X19">
        <f t="shared" si="9"/>
        <v>0</v>
      </c>
    </row>
    <row r="20" spans="1:24">
      <c r="A20" s="23" t="s">
        <v>23</v>
      </c>
      <c r="B20" s="35" t="s">
        <v>19</v>
      </c>
      <c r="C20" s="125">
        <v>32951</v>
      </c>
      <c r="D20" s="132">
        <v>2914278327</v>
      </c>
      <c r="E20" s="116">
        <f>(D20/C20)</f>
        <v>88442.788595186794</v>
      </c>
      <c r="F20" s="134">
        <v>2056999225</v>
      </c>
      <c r="G20" s="117">
        <f>(F20/C20)</f>
        <v>62426.00300446117</v>
      </c>
      <c r="H20" s="7"/>
      <c r="I20" s="136">
        <v>5.5468999999999999</v>
      </c>
      <c r="J20" s="134">
        <v>11409969.001152501</v>
      </c>
      <c r="K20" s="120">
        <f>(J20/C20)</f>
        <v>346.27079606544567</v>
      </c>
      <c r="L20" s="122">
        <f t="shared" si="3"/>
        <v>20569992.25</v>
      </c>
      <c r="M20" s="116">
        <f t="shared" si="4"/>
        <v>9160023.2488474995</v>
      </c>
      <c r="N20" s="123">
        <f t="shared" si="5"/>
        <v>277.98923397916604</v>
      </c>
      <c r="O20" s="5"/>
      <c r="P20" s="5">
        <f t="shared" si="6"/>
        <v>1</v>
      </c>
      <c r="Q20" s="7">
        <f t="shared" si="7"/>
        <v>32951</v>
      </c>
      <c r="W20" s="124">
        <f t="shared" si="8"/>
        <v>11409969.001152499</v>
      </c>
      <c r="X20">
        <f t="shared" si="9"/>
        <v>0</v>
      </c>
    </row>
    <row r="21" spans="1:24">
      <c r="A21" s="23" t="s">
        <v>24</v>
      </c>
      <c r="B21" s="35" t="s">
        <v>19</v>
      </c>
      <c r="C21" s="125">
        <v>13435</v>
      </c>
      <c r="D21" s="147" t="s">
        <v>564</v>
      </c>
      <c r="E21" s="116"/>
      <c r="F21" s="134"/>
      <c r="G21" s="117"/>
      <c r="H21" s="98" t="s">
        <v>588</v>
      </c>
      <c r="I21" s="151"/>
      <c r="J21" s="134"/>
      <c r="K21" s="120"/>
      <c r="L21" s="122">
        <f t="shared" si="3"/>
        <v>0</v>
      </c>
      <c r="M21" s="116">
        <f t="shared" si="4"/>
        <v>0</v>
      </c>
      <c r="N21" s="123">
        <f t="shared" si="5"/>
        <v>0</v>
      </c>
      <c r="O21" s="5"/>
      <c r="P21" s="5">
        <f t="shared" si="6"/>
        <v>0</v>
      </c>
      <c r="Q21" s="7">
        <f t="shared" si="7"/>
        <v>0</v>
      </c>
      <c r="W21" s="124">
        <f t="shared" si="8"/>
        <v>0</v>
      </c>
      <c r="X21">
        <f t="shared" si="9"/>
        <v>0</v>
      </c>
    </row>
    <row r="22" spans="1:24">
      <c r="A22" s="23" t="s">
        <v>25</v>
      </c>
      <c r="B22" s="35" t="s">
        <v>19</v>
      </c>
      <c r="C22" s="125">
        <v>3694</v>
      </c>
      <c r="D22" s="147" t="s">
        <v>564</v>
      </c>
      <c r="E22" s="116"/>
      <c r="F22" s="134"/>
      <c r="G22" s="117"/>
      <c r="H22" s="98" t="s">
        <v>588</v>
      </c>
      <c r="I22" s="151"/>
      <c r="J22" s="134"/>
      <c r="K22" s="120"/>
      <c r="L22" s="122">
        <f t="shared" si="3"/>
        <v>0</v>
      </c>
      <c r="M22" s="116">
        <f t="shared" si="4"/>
        <v>0</v>
      </c>
      <c r="N22" s="123">
        <f t="shared" si="5"/>
        <v>0</v>
      </c>
      <c r="O22" s="5"/>
      <c r="P22" s="5">
        <f t="shared" si="6"/>
        <v>0</v>
      </c>
      <c r="Q22" s="7">
        <f t="shared" si="7"/>
        <v>0</v>
      </c>
      <c r="W22" s="124">
        <f t="shared" si="8"/>
        <v>0</v>
      </c>
      <c r="X22">
        <f t="shared" si="9"/>
        <v>0</v>
      </c>
    </row>
    <row r="23" spans="1:24">
      <c r="A23" s="23" t="s">
        <v>26</v>
      </c>
      <c r="B23" s="35" t="s">
        <v>19</v>
      </c>
      <c r="C23" s="125">
        <v>7793</v>
      </c>
      <c r="D23" s="147">
        <v>303164711</v>
      </c>
      <c r="E23" s="116">
        <f t="shared" ref="E23:E38" si="10">(D23/C23)</f>
        <v>38902.182856409599</v>
      </c>
      <c r="F23" s="134">
        <v>176666054</v>
      </c>
      <c r="G23" s="117">
        <f t="shared" ref="G23:G38" si="11">(F23/C23)</f>
        <v>22669.838829718978</v>
      </c>
      <c r="H23" s="98"/>
      <c r="I23" s="136">
        <v>3.4649999999999999</v>
      </c>
      <c r="J23" s="134">
        <v>612147.87711</v>
      </c>
      <c r="K23" s="120">
        <f>(J23/C23)</f>
        <v>78.550991544976256</v>
      </c>
      <c r="L23" s="122">
        <f t="shared" si="3"/>
        <v>1766660.54</v>
      </c>
      <c r="M23" s="116">
        <f t="shared" si="4"/>
        <v>1154512.66289</v>
      </c>
      <c r="N23" s="123">
        <f t="shared" si="5"/>
        <v>148.14739675221352</v>
      </c>
      <c r="O23" s="5"/>
      <c r="P23" s="5">
        <f t="shared" si="6"/>
        <v>1</v>
      </c>
      <c r="Q23" s="7">
        <f t="shared" si="7"/>
        <v>7793</v>
      </c>
      <c r="S23" s="124">
        <f>SUM(D17:D23)</f>
        <v>5587514645</v>
      </c>
      <c r="T23" s="124">
        <f>SUM(F17:F23)</f>
        <v>3947526977</v>
      </c>
      <c r="U23" s="124">
        <f>SUM(J17:J23)</f>
        <v>19488299.7378125</v>
      </c>
      <c r="W23" s="124">
        <f t="shared" si="8"/>
        <v>612147.87711</v>
      </c>
      <c r="X23">
        <f t="shared" si="9"/>
        <v>0</v>
      </c>
    </row>
    <row r="24" spans="1:24">
      <c r="A24" s="23" t="s">
        <v>27</v>
      </c>
      <c r="B24" s="35" t="s">
        <v>28</v>
      </c>
      <c r="C24" s="125">
        <v>317</v>
      </c>
      <c r="D24" s="132">
        <v>15589838</v>
      </c>
      <c r="E24" s="116">
        <f t="shared" si="10"/>
        <v>49179.299684542588</v>
      </c>
      <c r="F24" s="134">
        <v>8712509</v>
      </c>
      <c r="G24" s="117">
        <f t="shared" si="11"/>
        <v>27484.255520504732</v>
      </c>
      <c r="H24" s="7"/>
      <c r="I24" s="136">
        <v>0.3019</v>
      </c>
      <c r="J24" s="134">
        <v>2630.3064671000002</v>
      </c>
      <c r="K24" s="120">
        <f t="shared" ref="K24:K38" si="12">(J24/C24)</f>
        <v>8.29749674164038</v>
      </c>
      <c r="L24" s="122">
        <f t="shared" si="3"/>
        <v>87125.09</v>
      </c>
      <c r="M24" s="116">
        <f t="shared" si="4"/>
        <v>84494.783532899994</v>
      </c>
      <c r="N24" s="123">
        <f t="shared" si="5"/>
        <v>266.54505846340692</v>
      </c>
      <c r="O24" s="5"/>
      <c r="P24" s="5">
        <f t="shared" si="6"/>
        <v>1</v>
      </c>
      <c r="Q24" s="7">
        <f t="shared" si="7"/>
        <v>317</v>
      </c>
      <c r="W24" s="124">
        <f t="shared" si="8"/>
        <v>2630.3064671000002</v>
      </c>
      <c r="X24">
        <f t="shared" si="9"/>
        <v>0</v>
      </c>
    </row>
    <row r="25" spans="1:24">
      <c r="A25" s="23" t="s">
        <v>29</v>
      </c>
      <c r="B25" s="35" t="s">
        <v>28</v>
      </c>
      <c r="C25" s="125">
        <v>487</v>
      </c>
      <c r="D25" s="132">
        <v>14054287</v>
      </c>
      <c r="E25" s="116">
        <f t="shared" si="10"/>
        <v>28858.905544147845</v>
      </c>
      <c r="F25" s="134">
        <v>8634305</v>
      </c>
      <c r="G25" s="117">
        <f t="shared" si="11"/>
        <v>17729.579055441478</v>
      </c>
      <c r="H25" s="7"/>
      <c r="I25" s="136">
        <v>0.75</v>
      </c>
      <c r="J25" s="134">
        <v>6475.7287500000002</v>
      </c>
      <c r="K25" s="120">
        <f t="shared" si="12"/>
        <v>13.297184291581109</v>
      </c>
      <c r="L25" s="122">
        <f t="shared" si="3"/>
        <v>86343.05</v>
      </c>
      <c r="M25" s="116">
        <f t="shared" si="4"/>
        <v>79867.321250000008</v>
      </c>
      <c r="N25" s="123">
        <f t="shared" si="5"/>
        <v>163.9986062628337</v>
      </c>
      <c r="O25" s="5"/>
      <c r="P25" s="5">
        <f t="shared" si="6"/>
        <v>1</v>
      </c>
      <c r="Q25" s="7">
        <f t="shared" si="7"/>
        <v>487</v>
      </c>
      <c r="W25" s="124">
        <f t="shared" si="8"/>
        <v>6475.7287500000002</v>
      </c>
      <c r="X25">
        <f t="shared" si="9"/>
        <v>0</v>
      </c>
    </row>
    <row r="26" spans="1:24">
      <c r="A26" s="23" t="s">
        <v>30</v>
      </c>
      <c r="B26" s="35" t="s">
        <v>28</v>
      </c>
      <c r="C26" s="125">
        <v>715</v>
      </c>
      <c r="D26" s="132">
        <v>27456262</v>
      </c>
      <c r="E26" s="116">
        <f t="shared" si="10"/>
        <v>38400.366433566436</v>
      </c>
      <c r="F26" s="134">
        <v>16656244</v>
      </c>
      <c r="G26" s="117">
        <f t="shared" si="11"/>
        <v>23295.446153846155</v>
      </c>
      <c r="H26" s="7"/>
      <c r="I26" s="150">
        <v>1.6405000000000001</v>
      </c>
      <c r="J26" s="134">
        <v>27324.568282</v>
      </c>
      <c r="K26" s="120">
        <f t="shared" si="12"/>
        <v>38.216179415384616</v>
      </c>
      <c r="L26" s="122">
        <f t="shared" si="3"/>
        <v>166562.44</v>
      </c>
      <c r="M26" s="116">
        <f t="shared" si="4"/>
        <v>139237.87171800001</v>
      </c>
      <c r="N26" s="123">
        <f t="shared" si="5"/>
        <v>194.73828212307694</v>
      </c>
      <c r="O26" s="5"/>
      <c r="P26" s="5">
        <f t="shared" si="6"/>
        <v>1</v>
      </c>
      <c r="Q26" s="7">
        <f t="shared" si="7"/>
        <v>715</v>
      </c>
      <c r="W26" s="124">
        <f t="shared" si="8"/>
        <v>27324.568282</v>
      </c>
      <c r="X26">
        <f t="shared" si="9"/>
        <v>0</v>
      </c>
    </row>
    <row r="27" spans="1:24">
      <c r="A27" s="23" t="s">
        <v>31</v>
      </c>
      <c r="B27" s="35" t="s">
        <v>28</v>
      </c>
      <c r="C27" s="125">
        <v>5438</v>
      </c>
      <c r="D27" s="132">
        <v>307382878</v>
      </c>
      <c r="E27" s="116">
        <f t="shared" si="10"/>
        <v>56524.986759838175</v>
      </c>
      <c r="F27" s="134">
        <v>210969574</v>
      </c>
      <c r="G27" s="117">
        <f t="shared" si="11"/>
        <v>38795.43471864656</v>
      </c>
      <c r="H27" s="7"/>
      <c r="I27" s="150">
        <v>5.0709999999999997</v>
      </c>
      <c r="J27" s="134">
        <v>1069826.709754</v>
      </c>
      <c r="K27" s="120">
        <f t="shared" si="12"/>
        <v>196.7316494582567</v>
      </c>
      <c r="L27" s="122">
        <f t="shared" si="3"/>
        <v>2109695.7400000002</v>
      </c>
      <c r="M27" s="116">
        <f t="shared" si="4"/>
        <v>1039869.0302460003</v>
      </c>
      <c r="N27" s="123">
        <f t="shared" si="5"/>
        <v>191.22269772820894</v>
      </c>
      <c r="O27" s="5"/>
      <c r="P27" s="5">
        <f t="shared" si="6"/>
        <v>1</v>
      </c>
      <c r="Q27" s="7">
        <f t="shared" si="7"/>
        <v>5438</v>
      </c>
      <c r="S27" s="124">
        <f>SUM(D24:D27)</f>
        <v>364483265</v>
      </c>
      <c r="T27" s="124">
        <f>SUM(F24:F27)</f>
        <v>244972632</v>
      </c>
      <c r="U27" s="124">
        <f>SUM(J24:J27)</f>
        <v>1106257.3132531</v>
      </c>
      <c r="W27" s="124">
        <f t="shared" si="8"/>
        <v>1069826.709754</v>
      </c>
      <c r="X27">
        <f t="shared" si="9"/>
        <v>0</v>
      </c>
    </row>
    <row r="28" spans="1:24">
      <c r="A28" s="23" t="s">
        <v>32</v>
      </c>
      <c r="B28" s="35" t="s">
        <v>33</v>
      </c>
      <c r="C28" s="125">
        <v>10241</v>
      </c>
      <c r="D28" s="132">
        <v>1749467382</v>
      </c>
      <c r="E28" s="116">
        <f t="shared" si="10"/>
        <v>170829.74143150082</v>
      </c>
      <c r="F28" s="134">
        <v>1306681294</v>
      </c>
      <c r="G28" s="117">
        <f t="shared" si="11"/>
        <v>127593.1348501123</v>
      </c>
      <c r="H28" s="7"/>
      <c r="I28" s="150">
        <v>3.67</v>
      </c>
      <c r="J28" s="134">
        <v>4795520.3489799993</v>
      </c>
      <c r="K28" s="120">
        <f t="shared" si="12"/>
        <v>468.26680489991207</v>
      </c>
      <c r="L28" s="122">
        <f t="shared" si="3"/>
        <v>13066812.939999999</v>
      </c>
      <c r="M28" s="116">
        <f t="shared" si="4"/>
        <v>8271292.5910200002</v>
      </c>
      <c r="N28" s="123">
        <f t="shared" si="5"/>
        <v>807.66454360121088</v>
      </c>
      <c r="O28" s="5"/>
      <c r="P28" s="5">
        <f t="shared" si="6"/>
        <v>1</v>
      </c>
      <c r="Q28" s="7">
        <f t="shared" si="7"/>
        <v>10241</v>
      </c>
      <c r="W28" s="124">
        <f t="shared" si="8"/>
        <v>4795520.3489800002</v>
      </c>
      <c r="X28">
        <f t="shared" si="9"/>
        <v>0</v>
      </c>
    </row>
    <row r="29" spans="1:24">
      <c r="A29" s="23" t="s">
        <v>34</v>
      </c>
      <c r="B29" s="35" t="s">
        <v>33</v>
      </c>
      <c r="C29" s="125">
        <v>19328</v>
      </c>
      <c r="D29" s="132">
        <v>1745291153</v>
      </c>
      <c r="E29" s="116">
        <f t="shared" si="10"/>
        <v>90298.590283526486</v>
      </c>
      <c r="F29" s="134">
        <v>1099762247</v>
      </c>
      <c r="G29" s="117">
        <f t="shared" si="11"/>
        <v>56899.950693294704</v>
      </c>
      <c r="H29" s="7"/>
      <c r="I29" s="136">
        <v>5.9790000000000001</v>
      </c>
      <c r="J29" s="134">
        <v>6575478.4748129994</v>
      </c>
      <c r="K29" s="120">
        <f t="shared" si="12"/>
        <v>340.20480519520896</v>
      </c>
      <c r="L29" s="122">
        <f t="shared" si="3"/>
        <v>10997622.470000001</v>
      </c>
      <c r="M29" s="116">
        <f t="shared" si="4"/>
        <v>4422143.9951870013</v>
      </c>
      <c r="N29" s="123">
        <f t="shared" si="5"/>
        <v>228.79470173773805</v>
      </c>
      <c r="O29" s="5"/>
      <c r="P29" s="5">
        <f t="shared" si="6"/>
        <v>1</v>
      </c>
      <c r="Q29" s="7">
        <f t="shared" si="7"/>
        <v>19328</v>
      </c>
      <c r="W29" s="124">
        <f t="shared" si="8"/>
        <v>6575478.4748130003</v>
      </c>
      <c r="X29">
        <f t="shared" si="9"/>
        <v>0</v>
      </c>
    </row>
    <row r="30" spans="1:24">
      <c r="A30" s="23" t="s">
        <v>35</v>
      </c>
      <c r="B30" s="35" t="s">
        <v>33</v>
      </c>
      <c r="C30" s="125">
        <v>11378</v>
      </c>
      <c r="D30" s="132">
        <v>3017984080</v>
      </c>
      <c r="E30" s="116">
        <f t="shared" si="10"/>
        <v>265247.32641940587</v>
      </c>
      <c r="F30" s="134">
        <v>2100124604</v>
      </c>
      <c r="G30" s="117">
        <f t="shared" si="11"/>
        <v>184577.65899103534</v>
      </c>
      <c r="H30" s="7"/>
      <c r="I30" s="136">
        <v>5.8293999999999997</v>
      </c>
      <c r="J30" s="134">
        <v>12242466.3665576</v>
      </c>
      <c r="K30" s="120">
        <f t="shared" si="12"/>
        <v>1075.9770053223413</v>
      </c>
      <c r="L30" s="122">
        <f t="shared" si="3"/>
        <v>21001246.039999999</v>
      </c>
      <c r="M30" s="116">
        <f t="shared" si="4"/>
        <v>8758779.6734423991</v>
      </c>
      <c r="N30" s="123">
        <f t="shared" si="5"/>
        <v>769.79958458801184</v>
      </c>
      <c r="O30" s="5"/>
      <c r="P30" s="5">
        <f t="shared" si="6"/>
        <v>1</v>
      </c>
      <c r="Q30" s="7">
        <f t="shared" si="7"/>
        <v>11378</v>
      </c>
      <c r="W30" s="124">
        <f t="shared" si="8"/>
        <v>12242466.366557598</v>
      </c>
      <c r="X30">
        <f t="shared" si="9"/>
        <v>0</v>
      </c>
    </row>
    <row r="31" spans="1:24">
      <c r="A31" s="23" t="s">
        <v>530</v>
      </c>
      <c r="B31" s="35" t="s">
        <v>33</v>
      </c>
      <c r="C31" s="125">
        <v>4346</v>
      </c>
      <c r="D31" s="132">
        <v>690279330</v>
      </c>
      <c r="E31" s="116">
        <f t="shared" si="10"/>
        <v>158830.95490105843</v>
      </c>
      <c r="F31" s="134">
        <v>424637120</v>
      </c>
      <c r="G31" s="117">
        <f t="shared" si="11"/>
        <v>97707.574781408184</v>
      </c>
      <c r="H31" s="9"/>
      <c r="I31" s="136">
        <v>1.2484</v>
      </c>
      <c r="J31" s="134">
        <v>530116.98060799995</v>
      </c>
      <c r="K31" s="120">
        <f t="shared" si="12"/>
        <v>121.97813635710997</v>
      </c>
      <c r="L31" s="122">
        <f t="shared" si="3"/>
        <v>4246371.2</v>
      </c>
      <c r="M31" s="116">
        <f t="shared" si="4"/>
        <v>3716254.2193920002</v>
      </c>
      <c r="N31" s="123">
        <f t="shared" si="5"/>
        <v>855.097611456972</v>
      </c>
      <c r="O31" s="5"/>
      <c r="P31" s="5">
        <f t="shared" si="6"/>
        <v>1</v>
      </c>
      <c r="Q31" s="7">
        <f t="shared" si="7"/>
        <v>4346</v>
      </c>
      <c r="W31" s="124">
        <f t="shared" si="8"/>
        <v>530116.98060799995</v>
      </c>
      <c r="X31">
        <f t="shared" si="9"/>
        <v>0</v>
      </c>
    </row>
    <row r="32" spans="1:24">
      <c r="A32" s="23" t="s">
        <v>36</v>
      </c>
      <c r="B32" s="35" t="s">
        <v>33</v>
      </c>
      <c r="C32" s="125">
        <v>2853</v>
      </c>
      <c r="D32" s="132">
        <v>638515252</v>
      </c>
      <c r="E32" s="116">
        <f t="shared" si="10"/>
        <v>223804.85524009814</v>
      </c>
      <c r="F32" s="134">
        <v>432731867</v>
      </c>
      <c r="G32" s="117">
        <f t="shared" si="11"/>
        <v>151676.08377146863</v>
      </c>
      <c r="H32" s="7"/>
      <c r="I32" s="136">
        <v>5.9484000000000004</v>
      </c>
      <c r="J32" s="134">
        <v>2574062.2376628001</v>
      </c>
      <c r="K32" s="120">
        <f t="shared" si="12"/>
        <v>902.23001670620408</v>
      </c>
      <c r="L32" s="122">
        <f t="shared" si="3"/>
        <v>4327318.67</v>
      </c>
      <c r="M32" s="116">
        <f t="shared" si="4"/>
        <v>1753256.4323371998</v>
      </c>
      <c r="N32" s="123">
        <f t="shared" si="5"/>
        <v>614.53082100848223</v>
      </c>
      <c r="O32" s="5"/>
      <c r="P32" s="5">
        <f t="shared" si="6"/>
        <v>1</v>
      </c>
      <c r="Q32" s="7">
        <f t="shared" si="7"/>
        <v>2853</v>
      </c>
      <c r="W32" s="124">
        <f t="shared" si="8"/>
        <v>2574062.2376628001</v>
      </c>
      <c r="X32">
        <f t="shared" si="9"/>
        <v>0</v>
      </c>
    </row>
    <row r="33" spans="1:24">
      <c r="A33" s="23" t="s">
        <v>37</v>
      </c>
      <c r="B33" s="35" t="s">
        <v>33</v>
      </c>
      <c r="C33" s="125">
        <v>8637</v>
      </c>
      <c r="D33" s="132">
        <v>1402155319</v>
      </c>
      <c r="E33" s="116">
        <f t="shared" si="10"/>
        <v>162342.86430473544</v>
      </c>
      <c r="F33" s="134">
        <v>966785289</v>
      </c>
      <c r="G33" s="117">
        <f t="shared" si="11"/>
        <v>111935.31191385898</v>
      </c>
      <c r="H33" s="7"/>
      <c r="I33" s="136">
        <v>5.6401000000000003</v>
      </c>
      <c r="J33" s="134">
        <v>5452765.7084889002</v>
      </c>
      <c r="K33" s="120">
        <f t="shared" si="12"/>
        <v>631.32635272535606</v>
      </c>
      <c r="L33" s="122">
        <f t="shared" si="3"/>
        <v>9667852.8900000006</v>
      </c>
      <c r="M33" s="116">
        <f t="shared" si="4"/>
        <v>4215087.1815111004</v>
      </c>
      <c r="N33" s="123">
        <f t="shared" si="5"/>
        <v>488.02676641323382</v>
      </c>
      <c r="O33" s="5"/>
      <c r="P33" s="5">
        <f t="shared" si="6"/>
        <v>1</v>
      </c>
      <c r="Q33" s="7">
        <f t="shared" si="7"/>
        <v>8637</v>
      </c>
      <c r="W33" s="124">
        <f t="shared" si="8"/>
        <v>5452765.7084889002</v>
      </c>
      <c r="X33">
        <f t="shared" si="9"/>
        <v>0</v>
      </c>
    </row>
    <row r="34" spans="1:24">
      <c r="A34" s="23" t="s">
        <v>38</v>
      </c>
      <c r="B34" s="35" t="s">
        <v>33</v>
      </c>
      <c r="C34" s="125">
        <v>2979</v>
      </c>
      <c r="D34" s="132">
        <v>425704992</v>
      </c>
      <c r="E34" s="116">
        <f t="shared" si="10"/>
        <v>142901.97784491439</v>
      </c>
      <c r="F34" s="134">
        <v>261575195</v>
      </c>
      <c r="G34" s="117">
        <f t="shared" si="11"/>
        <v>87806.37630077207</v>
      </c>
      <c r="H34" s="7"/>
      <c r="I34" s="136">
        <v>2.2679999999999998</v>
      </c>
      <c r="J34" s="134">
        <v>593252.54226000002</v>
      </c>
      <c r="K34" s="120">
        <f t="shared" si="12"/>
        <v>199.14486145015107</v>
      </c>
      <c r="L34" s="122">
        <f t="shared" si="3"/>
        <v>2615751.9500000002</v>
      </c>
      <c r="M34" s="116">
        <f t="shared" si="4"/>
        <v>2022499.4077400002</v>
      </c>
      <c r="N34" s="123">
        <f t="shared" si="5"/>
        <v>678.91890155756971</v>
      </c>
      <c r="O34" s="5"/>
      <c r="P34" s="5">
        <f t="shared" si="6"/>
        <v>1</v>
      </c>
      <c r="Q34" s="7">
        <f t="shared" si="7"/>
        <v>2979</v>
      </c>
      <c r="W34" s="124">
        <f t="shared" si="8"/>
        <v>593252.5422599999</v>
      </c>
      <c r="X34">
        <f t="shared" si="9"/>
        <v>0</v>
      </c>
    </row>
    <row r="35" spans="1:24">
      <c r="A35" s="23" t="s">
        <v>39</v>
      </c>
      <c r="B35" s="35" t="s">
        <v>33</v>
      </c>
      <c r="C35" s="125">
        <v>83349</v>
      </c>
      <c r="D35" s="132">
        <v>9136041473</v>
      </c>
      <c r="E35" s="116">
        <f t="shared" si="10"/>
        <v>109611.89064055958</v>
      </c>
      <c r="F35" s="134">
        <v>5409523617</v>
      </c>
      <c r="G35" s="117">
        <f t="shared" si="11"/>
        <v>64902.081812619224</v>
      </c>
      <c r="H35" s="7"/>
      <c r="I35" s="136">
        <v>7.1878000000000002</v>
      </c>
      <c r="J35" s="134">
        <v>38882573.854272597</v>
      </c>
      <c r="K35" s="120">
        <f t="shared" si="12"/>
        <v>466.50318365274444</v>
      </c>
      <c r="L35" s="122">
        <f t="shared" si="3"/>
        <v>54095236.170000002</v>
      </c>
      <c r="M35" s="116">
        <f t="shared" si="4"/>
        <v>15212662.315727405</v>
      </c>
      <c r="N35" s="123">
        <f t="shared" si="5"/>
        <v>182.51763447344786</v>
      </c>
      <c r="O35" s="5"/>
      <c r="P35" s="5">
        <f t="shared" si="6"/>
        <v>1</v>
      </c>
      <c r="Q35" s="7">
        <f t="shared" si="7"/>
        <v>83349</v>
      </c>
      <c r="W35" s="124">
        <f t="shared" si="8"/>
        <v>38882573.854272604</v>
      </c>
      <c r="X35">
        <f t="shared" si="9"/>
        <v>0</v>
      </c>
    </row>
    <row r="36" spans="1:24">
      <c r="A36" s="23" t="s">
        <v>40</v>
      </c>
      <c r="B36" s="35" t="s">
        <v>33</v>
      </c>
      <c r="C36" s="125">
        <v>3111</v>
      </c>
      <c r="D36" s="132">
        <v>675906080</v>
      </c>
      <c r="E36" s="116">
        <f t="shared" si="10"/>
        <v>217263.28511732561</v>
      </c>
      <c r="F36" s="134">
        <v>431144880</v>
      </c>
      <c r="G36" s="117">
        <f t="shared" si="11"/>
        <v>138587.23240115718</v>
      </c>
      <c r="H36" s="7"/>
      <c r="I36" s="136">
        <v>4.5339999999999998</v>
      </c>
      <c r="J36" s="134">
        <v>1954810.8859199998</v>
      </c>
      <c r="K36" s="120">
        <f t="shared" si="12"/>
        <v>628.35451170684655</v>
      </c>
      <c r="L36" s="122">
        <f t="shared" si="3"/>
        <v>4311448.8</v>
      </c>
      <c r="M36" s="116">
        <f t="shared" si="4"/>
        <v>2356637.91408</v>
      </c>
      <c r="N36" s="123">
        <f t="shared" si="5"/>
        <v>757.51781230472523</v>
      </c>
      <c r="O36" s="5"/>
      <c r="P36" s="5">
        <f t="shared" si="6"/>
        <v>1</v>
      </c>
      <c r="Q36" s="7">
        <f t="shared" si="7"/>
        <v>3111</v>
      </c>
      <c r="W36" s="124">
        <f t="shared" si="8"/>
        <v>1954810.88592</v>
      </c>
      <c r="X36">
        <f t="shared" si="9"/>
        <v>0</v>
      </c>
    </row>
    <row r="37" spans="1:24">
      <c r="A37" s="23" t="s">
        <v>41</v>
      </c>
      <c r="B37" s="35" t="s">
        <v>33</v>
      </c>
      <c r="C37" s="125">
        <v>673</v>
      </c>
      <c r="D37" s="132">
        <v>78817476</v>
      </c>
      <c r="E37" s="116">
        <f t="shared" si="10"/>
        <v>117113.63447251114</v>
      </c>
      <c r="F37" s="134">
        <v>48177376</v>
      </c>
      <c r="G37" s="117">
        <f t="shared" si="11"/>
        <v>71585.997028231795</v>
      </c>
      <c r="H37" s="7"/>
      <c r="I37" s="136">
        <v>9.8734000000000002</v>
      </c>
      <c r="J37" s="134">
        <v>475674.50419840001</v>
      </c>
      <c r="K37" s="120">
        <f t="shared" si="12"/>
        <v>706.79718305854385</v>
      </c>
      <c r="L37" s="122">
        <f t="shared" si="3"/>
        <v>481773.76</v>
      </c>
      <c r="M37" s="116">
        <f t="shared" si="4"/>
        <v>6099.2558015999966</v>
      </c>
      <c r="N37" s="123">
        <f t="shared" si="5"/>
        <v>9.0627872237741407</v>
      </c>
      <c r="O37" s="5"/>
      <c r="P37" s="5">
        <f t="shared" si="6"/>
        <v>1</v>
      </c>
      <c r="Q37" s="7">
        <f t="shared" si="7"/>
        <v>673</v>
      </c>
      <c r="W37" s="124">
        <f t="shared" si="8"/>
        <v>475674.50419840007</v>
      </c>
      <c r="X37">
        <f t="shared" si="9"/>
        <v>0</v>
      </c>
    </row>
    <row r="38" spans="1:24">
      <c r="A38" s="23" t="s">
        <v>42</v>
      </c>
      <c r="B38" s="35" t="s">
        <v>33</v>
      </c>
      <c r="C38" s="125">
        <v>115322</v>
      </c>
      <c r="D38" s="132">
        <v>8424739136</v>
      </c>
      <c r="E38" s="116">
        <f t="shared" si="10"/>
        <v>73054.049843048168</v>
      </c>
      <c r="F38" s="134">
        <v>4385193250</v>
      </c>
      <c r="G38" s="117">
        <f t="shared" si="11"/>
        <v>38025.643415826991</v>
      </c>
      <c r="H38" s="7"/>
      <c r="I38" s="136">
        <v>8.1379000000000001</v>
      </c>
      <c r="J38" s="134">
        <v>35686264.149175003</v>
      </c>
      <c r="K38" s="120">
        <f t="shared" si="12"/>
        <v>309.4488835536585</v>
      </c>
      <c r="L38" s="122">
        <f t="shared" si="3"/>
        <v>43851932.5</v>
      </c>
      <c r="M38" s="116">
        <f t="shared" si="4"/>
        <v>8165668.3508249968</v>
      </c>
      <c r="N38" s="123">
        <f t="shared" si="5"/>
        <v>70.807550604611407</v>
      </c>
      <c r="O38" s="5"/>
      <c r="P38" s="5">
        <f t="shared" si="6"/>
        <v>1</v>
      </c>
      <c r="Q38" s="7">
        <f t="shared" si="7"/>
        <v>115322</v>
      </c>
      <c r="W38" s="124">
        <f t="shared" si="8"/>
        <v>35686264.149175003</v>
      </c>
      <c r="X38">
        <f t="shared" si="9"/>
        <v>0</v>
      </c>
    </row>
    <row r="39" spans="1:24">
      <c r="A39" s="23" t="s">
        <v>43</v>
      </c>
      <c r="B39" s="35" t="s">
        <v>33</v>
      </c>
      <c r="C39" s="125">
        <v>1132</v>
      </c>
      <c r="D39" s="147" t="s">
        <v>564</v>
      </c>
      <c r="E39" s="116"/>
      <c r="F39" s="134"/>
      <c r="G39" s="117"/>
      <c r="H39" s="98" t="s">
        <v>588</v>
      </c>
      <c r="I39" s="136"/>
      <c r="J39" s="134"/>
      <c r="K39" s="120"/>
      <c r="L39" s="122">
        <f t="shared" si="3"/>
        <v>0</v>
      </c>
      <c r="M39" s="116">
        <f t="shared" si="4"/>
        <v>0</v>
      </c>
      <c r="N39" s="123">
        <f t="shared" si="5"/>
        <v>0</v>
      </c>
      <c r="O39" s="5"/>
      <c r="P39" s="5">
        <f t="shared" si="6"/>
        <v>0</v>
      </c>
      <c r="Q39" s="7">
        <f t="shared" si="7"/>
        <v>0</v>
      </c>
      <c r="W39" s="124">
        <f t="shared" si="8"/>
        <v>0</v>
      </c>
      <c r="X39">
        <f t="shared" si="9"/>
        <v>0</v>
      </c>
    </row>
    <row r="40" spans="1:24">
      <c r="A40" s="23" t="s">
        <v>44</v>
      </c>
      <c r="B40" s="35" t="s">
        <v>33</v>
      </c>
      <c r="C40" s="125">
        <v>27321</v>
      </c>
      <c r="D40" s="132">
        <v>2774638392</v>
      </c>
      <c r="E40" s="116">
        <f t="shared" ref="E40:E74" si="13">(D40/C40)</f>
        <v>101556.98517623806</v>
      </c>
      <c r="F40" s="134">
        <v>1580096556</v>
      </c>
      <c r="G40" s="117">
        <f t="shared" ref="G40:G74" si="14">(F40/C40)</f>
        <v>57834.506643241461</v>
      </c>
      <c r="H40" s="7"/>
      <c r="I40" s="136">
        <v>6.1</v>
      </c>
      <c r="J40" s="134">
        <v>9638588.9916000012</v>
      </c>
      <c r="K40" s="120">
        <f t="shared" ref="K40:K74" si="15">(J40/C40)</f>
        <v>352.79049052377297</v>
      </c>
      <c r="L40" s="122">
        <f t="shared" si="3"/>
        <v>15800965.560000001</v>
      </c>
      <c r="M40" s="116">
        <f t="shared" si="4"/>
        <v>6162376.5683999993</v>
      </c>
      <c r="N40" s="123">
        <f t="shared" si="5"/>
        <v>225.55457590864168</v>
      </c>
      <c r="O40" s="5"/>
      <c r="P40" s="5">
        <f t="shared" si="6"/>
        <v>1</v>
      </c>
      <c r="Q40" s="7">
        <f t="shared" si="7"/>
        <v>27321</v>
      </c>
      <c r="W40" s="124">
        <f t="shared" si="8"/>
        <v>9638588.9915999994</v>
      </c>
      <c r="X40">
        <f t="shared" si="9"/>
        <v>0</v>
      </c>
    </row>
    <row r="41" spans="1:24">
      <c r="A41" s="23" t="s">
        <v>45</v>
      </c>
      <c r="B41" s="35" t="s">
        <v>33</v>
      </c>
      <c r="C41" s="125">
        <v>10617</v>
      </c>
      <c r="D41" s="132">
        <v>1649310467</v>
      </c>
      <c r="E41" s="116">
        <f t="shared" si="13"/>
        <v>155346.18696430253</v>
      </c>
      <c r="F41" s="134">
        <v>970808070</v>
      </c>
      <c r="G41" s="117">
        <f t="shared" si="14"/>
        <v>91439.019497033063</v>
      </c>
      <c r="H41" s="7"/>
      <c r="I41" s="136">
        <v>8.6999999999999993</v>
      </c>
      <c r="J41" s="153">
        <v>8446030.2089999989</v>
      </c>
      <c r="K41" s="120">
        <f t="shared" si="15"/>
        <v>795.51946962418754</v>
      </c>
      <c r="L41" s="122">
        <f t="shared" si="3"/>
        <v>9708080.7000000011</v>
      </c>
      <c r="M41" s="116">
        <f t="shared" si="4"/>
        <v>1262050.4910000023</v>
      </c>
      <c r="N41" s="123">
        <f t="shared" si="5"/>
        <v>118.87072534614319</v>
      </c>
      <c r="O41" s="5"/>
      <c r="P41" s="5">
        <f t="shared" si="6"/>
        <v>1</v>
      </c>
      <c r="Q41" s="7">
        <f t="shared" si="7"/>
        <v>10617</v>
      </c>
      <c r="W41" s="124">
        <f t="shared" si="8"/>
        <v>8446030.2089999989</v>
      </c>
      <c r="X41">
        <f t="shared" si="9"/>
        <v>0</v>
      </c>
    </row>
    <row r="42" spans="1:24">
      <c r="A42" s="23" t="s">
        <v>46</v>
      </c>
      <c r="B42" s="35" t="s">
        <v>33</v>
      </c>
      <c r="C42" s="125">
        <v>47846</v>
      </c>
      <c r="D42" s="132">
        <v>3773558054</v>
      </c>
      <c r="E42" s="116">
        <f t="shared" si="13"/>
        <v>78868.830288843368</v>
      </c>
      <c r="F42" s="134">
        <v>2051026920</v>
      </c>
      <c r="G42" s="117">
        <f t="shared" si="14"/>
        <v>42867.25995903524</v>
      </c>
      <c r="H42" s="7"/>
      <c r="I42" s="136">
        <v>7.7210000000000001</v>
      </c>
      <c r="J42" s="134">
        <v>15835978.84932</v>
      </c>
      <c r="K42" s="120">
        <f t="shared" si="15"/>
        <v>330.97811414371108</v>
      </c>
      <c r="L42" s="122">
        <f t="shared" si="3"/>
        <v>20510269.199999999</v>
      </c>
      <c r="M42" s="116">
        <f t="shared" si="4"/>
        <v>4674290.3506799992</v>
      </c>
      <c r="N42" s="123">
        <f t="shared" si="5"/>
        <v>97.694485446641295</v>
      </c>
      <c r="O42" s="5"/>
      <c r="P42" s="5">
        <f t="shared" si="6"/>
        <v>1</v>
      </c>
      <c r="Q42" s="7">
        <f t="shared" si="7"/>
        <v>47846</v>
      </c>
      <c r="W42" s="124">
        <f t="shared" si="8"/>
        <v>15835978.84932</v>
      </c>
      <c r="X42">
        <f t="shared" si="9"/>
        <v>0</v>
      </c>
    </row>
    <row r="43" spans="1:24">
      <c r="A43" s="23" t="s">
        <v>47</v>
      </c>
      <c r="B43" s="35" t="s">
        <v>33</v>
      </c>
      <c r="C43" s="125">
        <v>23607</v>
      </c>
      <c r="D43" s="132">
        <v>2606803390</v>
      </c>
      <c r="E43" s="116">
        <f t="shared" si="13"/>
        <v>110425.0175795315</v>
      </c>
      <c r="F43" s="134">
        <v>1761239478</v>
      </c>
      <c r="G43" s="117">
        <f t="shared" si="14"/>
        <v>74606.662345914345</v>
      </c>
      <c r="H43" s="98"/>
      <c r="I43" s="136">
        <v>2.6017000000000001</v>
      </c>
      <c r="J43" s="134">
        <v>4582216.749912601</v>
      </c>
      <c r="K43" s="120">
        <f t="shared" si="15"/>
        <v>194.10415342536541</v>
      </c>
      <c r="L43" s="122">
        <f t="shared" si="3"/>
        <v>17612394.780000001</v>
      </c>
      <c r="M43" s="116">
        <f t="shared" si="4"/>
        <v>13030178.0300874</v>
      </c>
      <c r="N43" s="123">
        <f t="shared" si="5"/>
        <v>551.96247003377812</v>
      </c>
      <c r="O43" s="5"/>
      <c r="P43" s="5">
        <f t="shared" si="6"/>
        <v>1</v>
      </c>
      <c r="Q43" s="7">
        <f t="shared" si="7"/>
        <v>23607</v>
      </c>
      <c r="S43" s="124">
        <f>SUM(D28:D43)</f>
        <v>38789211976</v>
      </c>
      <c r="T43" s="124">
        <f>SUM(F28:F43)</f>
        <v>23229507763</v>
      </c>
      <c r="U43" s="124">
        <f>SUM(J28:J43)</f>
        <v>148265800.8527689</v>
      </c>
      <c r="W43" s="124">
        <f t="shared" si="8"/>
        <v>4582216.7499126</v>
      </c>
      <c r="X43">
        <f t="shared" si="9"/>
        <v>0</v>
      </c>
    </row>
    <row r="44" spans="1:24">
      <c r="A44" s="23" t="s">
        <v>48</v>
      </c>
      <c r="B44" s="35" t="s">
        <v>49</v>
      </c>
      <c r="C44" s="125">
        <v>58742</v>
      </c>
      <c r="D44" s="132">
        <v>6876480681</v>
      </c>
      <c r="E44" s="116">
        <f t="shared" si="13"/>
        <v>117062.42009124647</v>
      </c>
      <c r="F44" s="134">
        <v>4383117499</v>
      </c>
      <c r="G44" s="117">
        <f t="shared" si="14"/>
        <v>74616.415835347798</v>
      </c>
      <c r="H44" s="98"/>
      <c r="I44" s="150">
        <v>6.5377999999999998</v>
      </c>
      <c r="J44" s="134">
        <v>28655945.5849622</v>
      </c>
      <c r="K44" s="120">
        <f t="shared" si="15"/>
        <v>487.82720344833677</v>
      </c>
      <c r="L44" s="122">
        <f t="shared" si="3"/>
        <v>43831174.990000002</v>
      </c>
      <c r="M44" s="116">
        <f t="shared" si="4"/>
        <v>15175229.405037802</v>
      </c>
      <c r="N44" s="123">
        <f t="shared" si="5"/>
        <v>258.33695490514117</v>
      </c>
      <c r="O44" s="5"/>
      <c r="P44" s="5">
        <f t="shared" si="6"/>
        <v>1</v>
      </c>
      <c r="Q44" s="7">
        <f t="shared" si="7"/>
        <v>58742</v>
      </c>
      <c r="W44" s="124">
        <f t="shared" si="8"/>
        <v>28655945.5849622</v>
      </c>
      <c r="X44">
        <f t="shared" si="9"/>
        <v>0</v>
      </c>
    </row>
    <row r="45" spans="1:24">
      <c r="A45" s="23" t="s">
        <v>50</v>
      </c>
      <c r="B45" s="35" t="s">
        <v>49</v>
      </c>
      <c r="C45" s="125">
        <v>33991</v>
      </c>
      <c r="D45" s="132">
        <v>5049055746</v>
      </c>
      <c r="E45" s="116">
        <f t="shared" si="13"/>
        <v>148540.95925392015</v>
      </c>
      <c r="F45" s="134">
        <v>3082278040</v>
      </c>
      <c r="G45" s="117">
        <f t="shared" si="14"/>
        <v>90679.239798770257</v>
      </c>
      <c r="H45" s="98"/>
      <c r="I45" s="136">
        <v>6.8102</v>
      </c>
      <c r="J45" s="134">
        <v>20990929.908007998</v>
      </c>
      <c r="K45" s="120">
        <f t="shared" si="15"/>
        <v>617.54375887758522</v>
      </c>
      <c r="L45" s="122">
        <f t="shared" si="3"/>
        <v>30822780.400000002</v>
      </c>
      <c r="M45" s="116">
        <f t="shared" si="4"/>
        <v>9831850.4919920042</v>
      </c>
      <c r="N45" s="123">
        <f t="shared" si="5"/>
        <v>289.24863911011749</v>
      </c>
      <c r="O45" s="5"/>
      <c r="P45" s="5">
        <f t="shared" si="6"/>
        <v>1</v>
      </c>
      <c r="Q45" s="7">
        <f t="shared" si="7"/>
        <v>33991</v>
      </c>
      <c r="W45" s="124">
        <f t="shared" si="8"/>
        <v>20990929.908007998</v>
      </c>
      <c r="X45">
        <f t="shared" si="9"/>
        <v>0</v>
      </c>
    </row>
    <row r="46" spans="1:24">
      <c r="A46" s="23" t="s">
        <v>51</v>
      </c>
      <c r="B46" s="35" t="s">
        <v>49</v>
      </c>
      <c r="C46" s="125">
        <v>129067</v>
      </c>
      <c r="D46" s="132">
        <v>15646771325</v>
      </c>
      <c r="E46" s="116">
        <f t="shared" si="13"/>
        <v>121229.83663523596</v>
      </c>
      <c r="F46" s="134">
        <v>10659708237</v>
      </c>
      <c r="G46" s="117">
        <f t="shared" si="14"/>
        <v>82590.501344263059</v>
      </c>
      <c r="H46" s="98"/>
      <c r="I46" s="136">
        <v>5.8731999999999998</v>
      </c>
      <c r="J46" s="134">
        <v>62606598.417548403</v>
      </c>
      <c r="K46" s="120">
        <f t="shared" si="15"/>
        <v>485.0705324951258</v>
      </c>
      <c r="L46" s="122">
        <f t="shared" si="3"/>
        <v>106597082.37</v>
      </c>
      <c r="M46" s="116">
        <f t="shared" si="4"/>
        <v>43990483.952451602</v>
      </c>
      <c r="N46" s="123">
        <f t="shared" si="5"/>
        <v>340.8344809475048</v>
      </c>
      <c r="O46" s="5"/>
      <c r="P46" s="5">
        <f t="shared" si="6"/>
        <v>1</v>
      </c>
      <c r="Q46" s="7">
        <f t="shared" si="7"/>
        <v>129067</v>
      </c>
      <c r="W46" s="124">
        <f t="shared" si="8"/>
        <v>62606598.417548396</v>
      </c>
      <c r="X46">
        <f t="shared" si="9"/>
        <v>0</v>
      </c>
    </row>
    <row r="47" spans="1:24">
      <c r="A47" s="23" t="s">
        <v>464</v>
      </c>
      <c r="B47" s="35" t="s">
        <v>49</v>
      </c>
      <c r="C47" s="125">
        <v>31768</v>
      </c>
      <c r="D47" s="132">
        <v>5550443829</v>
      </c>
      <c r="E47" s="116">
        <f t="shared" si="13"/>
        <v>174718.07570511207</v>
      </c>
      <c r="F47" s="134">
        <v>4245233519</v>
      </c>
      <c r="G47" s="117">
        <f t="shared" si="14"/>
        <v>133632.38223998994</v>
      </c>
      <c r="H47" s="98"/>
      <c r="I47" s="136">
        <v>5.9997999999999996</v>
      </c>
      <c r="J47" s="134">
        <v>25470552.0672962</v>
      </c>
      <c r="K47" s="120">
        <f t="shared" si="15"/>
        <v>801.7675669634915</v>
      </c>
      <c r="L47" s="122">
        <f t="shared" si="3"/>
        <v>42452335.189999998</v>
      </c>
      <c r="M47" s="116">
        <f t="shared" si="4"/>
        <v>16981783.122703798</v>
      </c>
      <c r="N47" s="123">
        <f t="shared" si="5"/>
        <v>534.5562554364077</v>
      </c>
      <c r="O47" s="5"/>
      <c r="P47" s="5">
        <f t="shared" si="6"/>
        <v>1</v>
      </c>
      <c r="Q47" s="7">
        <f t="shared" si="7"/>
        <v>31768</v>
      </c>
      <c r="W47" s="124">
        <f t="shared" si="8"/>
        <v>25470552.0672962</v>
      </c>
      <c r="X47">
        <f t="shared" si="9"/>
        <v>0</v>
      </c>
    </row>
    <row r="48" spans="1:24">
      <c r="A48" s="23" t="s">
        <v>52</v>
      </c>
      <c r="B48" s="35" t="s">
        <v>49</v>
      </c>
      <c r="C48" s="125">
        <v>104249</v>
      </c>
      <c r="D48" s="132">
        <v>15699374129</v>
      </c>
      <c r="E48" s="116">
        <f t="shared" si="13"/>
        <v>150594.96138092451</v>
      </c>
      <c r="F48" s="134">
        <v>10222016544</v>
      </c>
      <c r="G48" s="117">
        <f t="shared" si="14"/>
        <v>98053.857053784683</v>
      </c>
      <c r="H48" s="98"/>
      <c r="I48" s="150">
        <v>5.6269999999999998</v>
      </c>
      <c r="J48" s="134">
        <v>57519287.093088001</v>
      </c>
      <c r="K48" s="120">
        <f t="shared" si="15"/>
        <v>551.74905364164647</v>
      </c>
      <c r="L48" s="122">
        <f t="shared" si="3"/>
        <v>102220165.44</v>
      </c>
      <c r="M48" s="116">
        <f t="shared" si="4"/>
        <v>44700878.346911997</v>
      </c>
      <c r="N48" s="123">
        <f t="shared" si="5"/>
        <v>428.78951689620038</v>
      </c>
      <c r="O48" s="5"/>
      <c r="P48" s="5">
        <f t="shared" si="6"/>
        <v>1</v>
      </c>
      <c r="Q48" s="7">
        <f t="shared" si="7"/>
        <v>104249</v>
      </c>
      <c r="W48" s="124">
        <f t="shared" si="8"/>
        <v>57519287.093088001</v>
      </c>
      <c r="X48">
        <f t="shared" si="9"/>
        <v>0</v>
      </c>
    </row>
    <row r="49" spans="1:24">
      <c r="A49" s="23" t="s">
        <v>53</v>
      </c>
      <c r="B49" s="35" t="s">
        <v>49</v>
      </c>
      <c r="C49" s="125">
        <v>79497</v>
      </c>
      <c r="D49" s="132">
        <v>10546932845</v>
      </c>
      <c r="E49" s="116">
        <f t="shared" si="13"/>
        <v>132670.8283960401</v>
      </c>
      <c r="F49" s="134">
        <v>7405941576</v>
      </c>
      <c r="G49" s="117">
        <f t="shared" si="14"/>
        <v>93160.013283520137</v>
      </c>
      <c r="H49" s="98"/>
      <c r="I49" s="136">
        <v>6.0018000000000002</v>
      </c>
      <c r="J49" s="134">
        <v>44448980.150836803</v>
      </c>
      <c r="K49" s="120">
        <f t="shared" si="15"/>
        <v>559.12776772503116</v>
      </c>
      <c r="L49" s="122">
        <f t="shared" si="3"/>
        <v>74059415.760000005</v>
      </c>
      <c r="M49" s="116">
        <f t="shared" si="4"/>
        <v>29610435.609163202</v>
      </c>
      <c r="N49" s="123">
        <f t="shared" si="5"/>
        <v>372.47236511017024</v>
      </c>
      <c r="O49" s="5"/>
      <c r="P49" s="5">
        <f t="shared" si="6"/>
        <v>1</v>
      </c>
      <c r="Q49" s="7">
        <f t="shared" si="7"/>
        <v>79497</v>
      </c>
      <c r="W49" s="124">
        <f t="shared" si="8"/>
        <v>44448980.150836796</v>
      </c>
      <c r="X49">
        <f t="shared" si="9"/>
        <v>0</v>
      </c>
    </row>
    <row r="50" spans="1:24">
      <c r="A50" s="23" t="s">
        <v>54</v>
      </c>
      <c r="B50" s="35" t="s">
        <v>49</v>
      </c>
      <c r="C50" s="125">
        <v>186220</v>
      </c>
      <c r="D50" s="132">
        <v>53079014889</v>
      </c>
      <c r="E50" s="116">
        <f t="shared" si="13"/>
        <v>285033.91090645472</v>
      </c>
      <c r="F50" s="134">
        <v>38762628574</v>
      </c>
      <c r="G50" s="117">
        <f t="shared" si="14"/>
        <v>208155.02402534636</v>
      </c>
      <c r="H50" s="98"/>
      <c r="I50" s="136">
        <v>4.1193</v>
      </c>
      <c r="J50" s="134">
        <v>159674895.88487822</v>
      </c>
      <c r="K50" s="120">
        <f t="shared" si="15"/>
        <v>857.45299046760942</v>
      </c>
      <c r="L50" s="122">
        <f t="shared" si="3"/>
        <v>387626285.74000001</v>
      </c>
      <c r="M50" s="116">
        <f t="shared" si="4"/>
        <v>227951389.85512179</v>
      </c>
      <c r="N50" s="123">
        <f t="shared" si="5"/>
        <v>1224.0972497858543</v>
      </c>
      <c r="O50" s="5"/>
      <c r="P50" s="5">
        <f t="shared" si="6"/>
        <v>1</v>
      </c>
      <c r="Q50" s="7">
        <f t="shared" si="7"/>
        <v>186220</v>
      </c>
      <c r="W50" s="124">
        <f t="shared" si="8"/>
        <v>159674895.88487822</v>
      </c>
      <c r="X50">
        <f t="shared" si="9"/>
        <v>0</v>
      </c>
    </row>
    <row r="51" spans="1:24">
      <c r="A51" s="23" t="s">
        <v>465</v>
      </c>
      <c r="B51" s="35" t="s">
        <v>49</v>
      </c>
      <c r="C51" s="125">
        <v>39834</v>
      </c>
      <c r="D51" s="132">
        <v>7209274104</v>
      </c>
      <c r="E51" s="116">
        <f t="shared" si="13"/>
        <v>180982.93176683236</v>
      </c>
      <c r="F51" s="134">
        <v>5761213381</v>
      </c>
      <c r="G51" s="117">
        <f t="shared" si="14"/>
        <v>144630.55131294875</v>
      </c>
      <c r="H51" s="98"/>
      <c r="I51" s="136">
        <v>7</v>
      </c>
      <c r="J51" s="134">
        <v>40328493.667000003</v>
      </c>
      <c r="K51" s="120">
        <f t="shared" si="15"/>
        <v>1012.4138591906412</v>
      </c>
      <c r="L51" s="122">
        <f t="shared" si="3"/>
        <v>57612133.810000002</v>
      </c>
      <c r="M51" s="116">
        <f t="shared" si="4"/>
        <v>17283640.142999999</v>
      </c>
      <c r="N51" s="123">
        <f t="shared" si="5"/>
        <v>433.89165393884622</v>
      </c>
      <c r="O51" s="5"/>
      <c r="P51" s="5">
        <f t="shared" si="6"/>
        <v>1</v>
      </c>
      <c r="Q51" s="7">
        <f t="shared" si="7"/>
        <v>39834</v>
      </c>
      <c r="W51" s="124">
        <f t="shared" si="8"/>
        <v>40328493.667000003</v>
      </c>
      <c r="X51">
        <f t="shared" si="9"/>
        <v>0</v>
      </c>
    </row>
    <row r="52" spans="1:24">
      <c r="A52" s="23" t="s">
        <v>55</v>
      </c>
      <c r="B52" s="35" t="s">
        <v>49</v>
      </c>
      <c r="C52" s="125">
        <v>1939</v>
      </c>
      <c r="D52" s="132">
        <v>1655700305</v>
      </c>
      <c r="E52" s="116">
        <f t="shared" si="13"/>
        <v>853893.91696750908</v>
      </c>
      <c r="F52" s="134">
        <v>1388302991</v>
      </c>
      <c r="G52" s="117">
        <f t="shared" si="14"/>
        <v>715989.16503352241</v>
      </c>
      <c r="H52" s="98"/>
      <c r="I52" s="136">
        <v>3.5</v>
      </c>
      <c r="J52" s="134">
        <v>4859060.4685000004</v>
      </c>
      <c r="K52" s="120">
        <f t="shared" si="15"/>
        <v>2505.9620776173288</v>
      </c>
      <c r="L52" s="122">
        <f t="shared" si="3"/>
        <v>13883029.91</v>
      </c>
      <c r="M52" s="116">
        <f t="shared" si="4"/>
        <v>9023969.4415000007</v>
      </c>
      <c r="N52" s="123">
        <f t="shared" si="5"/>
        <v>4653.929572717896</v>
      </c>
      <c r="O52" s="5"/>
      <c r="P52" s="5">
        <f t="shared" si="6"/>
        <v>1</v>
      </c>
      <c r="Q52" s="7">
        <f t="shared" si="7"/>
        <v>1939</v>
      </c>
      <c r="W52" s="124">
        <f t="shared" si="8"/>
        <v>4859060.4685000004</v>
      </c>
      <c r="X52">
        <f t="shared" si="9"/>
        <v>0</v>
      </c>
    </row>
    <row r="53" spans="1:24">
      <c r="A53" s="23" t="s">
        <v>56</v>
      </c>
      <c r="B53" s="35" t="s">
        <v>49</v>
      </c>
      <c r="C53" s="125">
        <v>150878</v>
      </c>
      <c r="D53" s="132">
        <v>24967388348</v>
      </c>
      <c r="E53" s="116">
        <f t="shared" si="13"/>
        <v>165480.64229377377</v>
      </c>
      <c r="F53" s="134">
        <v>17288218600</v>
      </c>
      <c r="G53" s="117">
        <f t="shared" si="14"/>
        <v>114584.09178276488</v>
      </c>
      <c r="H53" s="98"/>
      <c r="I53" s="136">
        <v>7.4664999999999999</v>
      </c>
      <c r="J53" s="134">
        <v>129082484.1769</v>
      </c>
      <c r="K53" s="120">
        <f t="shared" si="15"/>
        <v>855.54212129601399</v>
      </c>
      <c r="L53" s="122">
        <f t="shared" si="3"/>
        <v>172882186</v>
      </c>
      <c r="M53" s="116">
        <f t="shared" si="4"/>
        <v>43799701.823100001</v>
      </c>
      <c r="N53" s="123">
        <f t="shared" si="5"/>
        <v>290.29879653163482</v>
      </c>
      <c r="O53" s="5"/>
      <c r="P53" s="5">
        <f t="shared" si="6"/>
        <v>1</v>
      </c>
      <c r="Q53" s="7">
        <f t="shared" si="7"/>
        <v>150878</v>
      </c>
      <c r="W53" s="124">
        <f t="shared" si="8"/>
        <v>129082484.1769</v>
      </c>
      <c r="X53">
        <f t="shared" si="9"/>
        <v>0</v>
      </c>
    </row>
    <row r="54" spans="1:24">
      <c r="A54" s="23" t="s">
        <v>57</v>
      </c>
      <c r="B54" s="35" t="s">
        <v>49</v>
      </c>
      <c r="C54" s="125">
        <v>36714</v>
      </c>
      <c r="D54" s="132">
        <v>2284187964</v>
      </c>
      <c r="E54" s="116">
        <f t="shared" si="13"/>
        <v>62215.720542572315</v>
      </c>
      <c r="F54" s="134">
        <v>1261298255</v>
      </c>
      <c r="G54" s="117">
        <f t="shared" si="14"/>
        <v>34354.694530696739</v>
      </c>
      <c r="H54" s="98"/>
      <c r="I54" s="136">
        <v>8.6</v>
      </c>
      <c r="J54" s="134">
        <v>10847164.993000001</v>
      </c>
      <c r="K54" s="120">
        <f t="shared" si="15"/>
        <v>295.45037296399198</v>
      </c>
      <c r="L54" s="122">
        <f t="shared" si="3"/>
        <v>12612982.550000001</v>
      </c>
      <c r="M54" s="116">
        <f t="shared" si="4"/>
        <v>1765817.557</v>
      </c>
      <c r="N54" s="123">
        <f t="shared" si="5"/>
        <v>48.096572342975435</v>
      </c>
      <c r="O54" s="5"/>
      <c r="P54" s="5">
        <f t="shared" si="6"/>
        <v>1</v>
      </c>
      <c r="Q54" s="7">
        <f t="shared" si="7"/>
        <v>36714</v>
      </c>
      <c r="W54" s="124">
        <f t="shared" si="8"/>
        <v>10847164.993000001</v>
      </c>
      <c r="X54">
        <f t="shared" si="9"/>
        <v>0</v>
      </c>
    </row>
    <row r="55" spans="1:24">
      <c r="A55" s="23" t="s">
        <v>560</v>
      </c>
      <c r="B55" s="35" t="s">
        <v>49</v>
      </c>
      <c r="C55" s="125">
        <v>6236</v>
      </c>
      <c r="D55" s="132">
        <v>3151121211</v>
      </c>
      <c r="E55" s="116">
        <f t="shared" si="13"/>
        <v>505311.29105195636</v>
      </c>
      <c r="F55" s="134">
        <v>2609201941</v>
      </c>
      <c r="G55" s="117">
        <f t="shared" si="14"/>
        <v>418409.54794740217</v>
      </c>
      <c r="H55" s="98"/>
      <c r="I55" s="136">
        <v>3.5</v>
      </c>
      <c r="J55" s="134">
        <v>9132206.7935000006</v>
      </c>
      <c r="K55" s="120">
        <f t="shared" si="15"/>
        <v>1464.4334178159077</v>
      </c>
      <c r="L55" s="122">
        <f t="shared" si="3"/>
        <v>26092019.41</v>
      </c>
      <c r="M55" s="116">
        <f t="shared" si="4"/>
        <v>16959812.616499998</v>
      </c>
      <c r="N55" s="123">
        <f t="shared" si="5"/>
        <v>2719.662061658114</v>
      </c>
      <c r="O55" s="5"/>
      <c r="P55" s="5">
        <f t="shared" si="6"/>
        <v>1</v>
      </c>
      <c r="Q55" s="7">
        <f t="shared" si="7"/>
        <v>6236</v>
      </c>
      <c r="W55" s="124">
        <f t="shared" si="8"/>
        <v>9132206.7935000006</v>
      </c>
      <c r="X55">
        <f t="shared" si="9"/>
        <v>0</v>
      </c>
    </row>
    <row r="56" spans="1:24">
      <c r="A56" s="23" t="s">
        <v>58</v>
      </c>
      <c r="B56" s="35" t="s">
        <v>49</v>
      </c>
      <c r="C56" s="125">
        <v>72410</v>
      </c>
      <c r="D56" s="132">
        <v>4842675084</v>
      </c>
      <c r="E56" s="116">
        <f t="shared" si="13"/>
        <v>66878.540035906641</v>
      </c>
      <c r="F56" s="134">
        <v>2818097266</v>
      </c>
      <c r="G56" s="117">
        <f t="shared" si="14"/>
        <v>38918.619886755972</v>
      </c>
      <c r="H56" s="98"/>
      <c r="I56" s="136">
        <v>8.9898000000000007</v>
      </c>
      <c r="J56" s="134">
        <v>25334130.801886804</v>
      </c>
      <c r="K56" s="120">
        <f t="shared" si="15"/>
        <v>349.87060905795892</v>
      </c>
      <c r="L56" s="122">
        <f t="shared" si="3"/>
        <v>28180972.66</v>
      </c>
      <c r="M56" s="116">
        <f t="shared" si="4"/>
        <v>2846841.8581131957</v>
      </c>
      <c r="N56" s="123">
        <f t="shared" si="5"/>
        <v>39.315589809600823</v>
      </c>
      <c r="O56" s="5"/>
      <c r="P56" s="5">
        <f t="shared" si="6"/>
        <v>1</v>
      </c>
      <c r="Q56" s="7">
        <f t="shared" si="7"/>
        <v>72410</v>
      </c>
      <c r="W56" s="124">
        <f t="shared" si="8"/>
        <v>25334130.801886804</v>
      </c>
      <c r="X56">
        <f t="shared" si="9"/>
        <v>0</v>
      </c>
    </row>
    <row r="57" spans="1:24">
      <c r="A57" s="23" t="s">
        <v>59</v>
      </c>
      <c r="B57" s="35" t="s">
        <v>49</v>
      </c>
      <c r="C57" s="125">
        <v>26</v>
      </c>
      <c r="D57" s="147">
        <v>9838411</v>
      </c>
      <c r="E57" s="116">
        <f t="shared" si="13"/>
        <v>378400.42307692306</v>
      </c>
      <c r="F57" s="134">
        <v>7528358</v>
      </c>
      <c r="G57" s="117">
        <f t="shared" si="14"/>
        <v>289552.23076923075</v>
      </c>
      <c r="H57" s="98"/>
      <c r="I57" s="136">
        <v>4.7939999999999996</v>
      </c>
      <c r="J57" s="134">
        <v>36090.948251999995</v>
      </c>
      <c r="K57" s="120">
        <f t="shared" si="15"/>
        <v>1388.113394307692</v>
      </c>
      <c r="L57" s="122">
        <f t="shared" si="3"/>
        <v>75283.58</v>
      </c>
      <c r="M57" s="116">
        <f t="shared" si="4"/>
        <v>39192.631748000007</v>
      </c>
      <c r="N57" s="123">
        <f t="shared" si="5"/>
        <v>1507.4089133846157</v>
      </c>
      <c r="O57" s="5"/>
      <c r="P57" s="5">
        <f t="shared" si="6"/>
        <v>1</v>
      </c>
      <c r="Q57" s="7">
        <f t="shared" si="7"/>
        <v>26</v>
      </c>
      <c r="W57" s="124">
        <f t="shared" si="8"/>
        <v>36090.948251999995</v>
      </c>
      <c r="X57">
        <f t="shared" si="9"/>
        <v>0</v>
      </c>
    </row>
    <row r="58" spans="1:24">
      <c r="A58" s="23" t="s">
        <v>60</v>
      </c>
      <c r="B58" s="35" t="s">
        <v>49</v>
      </c>
      <c r="C58" s="125">
        <v>10587</v>
      </c>
      <c r="D58" s="132">
        <v>3429289372</v>
      </c>
      <c r="E58" s="116">
        <f t="shared" si="13"/>
        <v>323915.11967507319</v>
      </c>
      <c r="F58" s="134">
        <v>2484387382</v>
      </c>
      <c r="G58" s="117">
        <f t="shared" si="14"/>
        <v>234663.9635401908</v>
      </c>
      <c r="H58" s="98"/>
      <c r="I58" s="136">
        <v>3.5893000000000002</v>
      </c>
      <c r="J58" s="134">
        <v>8917211.6302126013</v>
      </c>
      <c r="K58" s="120">
        <f t="shared" si="15"/>
        <v>842.27936433480693</v>
      </c>
      <c r="L58" s="122">
        <f t="shared" si="3"/>
        <v>24843873.82</v>
      </c>
      <c r="M58" s="116">
        <f t="shared" si="4"/>
        <v>15926662.189787399</v>
      </c>
      <c r="N58" s="123">
        <f t="shared" si="5"/>
        <v>1504.3602710671012</v>
      </c>
      <c r="O58" s="5"/>
      <c r="P58" s="5">
        <f t="shared" si="6"/>
        <v>1</v>
      </c>
      <c r="Q58" s="7">
        <f t="shared" si="7"/>
        <v>10587</v>
      </c>
      <c r="W58" s="124">
        <f t="shared" si="8"/>
        <v>8917211.6302125994</v>
      </c>
      <c r="X58">
        <f t="shared" si="9"/>
        <v>0</v>
      </c>
    </row>
    <row r="59" spans="1:24">
      <c r="A59" s="23" t="s">
        <v>61</v>
      </c>
      <c r="B59" s="35" t="s">
        <v>49</v>
      </c>
      <c r="C59" s="125">
        <v>59116</v>
      </c>
      <c r="D59" s="132">
        <v>5419401340</v>
      </c>
      <c r="E59" s="116">
        <f t="shared" si="13"/>
        <v>91674.019554773666</v>
      </c>
      <c r="F59" s="134">
        <v>3288724347</v>
      </c>
      <c r="G59" s="117">
        <f t="shared" si="14"/>
        <v>55631.713021855336</v>
      </c>
      <c r="H59" s="98"/>
      <c r="I59" s="136">
        <v>7.1170999999999998</v>
      </c>
      <c r="J59" s="134">
        <v>23406180.0500337</v>
      </c>
      <c r="K59" s="120">
        <f t="shared" si="15"/>
        <v>395.93646474784663</v>
      </c>
      <c r="L59" s="122">
        <f t="shared" si="3"/>
        <v>32887243.470000003</v>
      </c>
      <c r="M59" s="116">
        <f t="shared" si="4"/>
        <v>9481063.4199663028</v>
      </c>
      <c r="N59" s="123">
        <f t="shared" si="5"/>
        <v>160.38066547070679</v>
      </c>
      <c r="O59" s="5"/>
      <c r="P59" s="5">
        <f t="shared" si="6"/>
        <v>1</v>
      </c>
      <c r="Q59" s="7">
        <f t="shared" si="7"/>
        <v>59116</v>
      </c>
      <c r="W59" s="124">
        <f t="shared" si="8"/>
        <v>23406180.0500337</v>
      </c>
      <c r="X59">
        <f t="shared" si="9"/>
        <v>0</v>
      </c>
    </row>
    <row r="60" spans="1:24">
      <c r="A60" s="23" t="s">
        <v>62</v>
      </c>
      <c r="B60" s="35" t="s">
        <v>49</v>
      </c>
      <c r="C60" s="125">
        <v>138837</v>
      </c>
      <c r="D60" s="132">
        <v>15560750759</v>
      </c>
      <c r="E60" s="116">
        <f t="shared" si="13"/>
        <v>112079.2782831666</v>
      </c>
      <c r="F60" s="134">
        <v>10255989668</v>
      </c>
      <c r="G60" s="117">
        <f t="shared" si="14"/>
        <v>73870.72371197879</v>
      </c>
      <c r="H60" s="98"/>
      <c r="I60" s="136">
        <v>7.1172000000000004</v>
      </c>
      <c r="J60" s="134">
        <v>72993929.665089592</v>
      </c>
      <c r="K60" s="120">
        <f t="shared" si="15"/>
        <v>525.75271480289541</v>
      </c>
      <c r="L60" s="122">
        <f t="shared" si="3"/>
        <v>102559896.68000001</v>
      </c>
      <c r="M60" s="116">
        <f t="shared" si="4"/>
        <v>29565967.014910415</v>
      </c>
      <c r="N60" s="123">
        <f t="shared" si="5"/>
        <v>212.95452231689256</v>
      </c>
      <c r="O60" s="5"/>
      <c r="P60" s="5">
        <f t="shared" si="6"/>
        <v>1</v>
      </c>
      <c r="Q60" s="7">
        <f t="shared" si="7"/>
        <v>138837</v>
      </c>
      <c r="W60" s="124">
        <f t="shared" si="8"/>
        <v>72993929.665089607</v>
      </c>
      <c r="X60">
        <f t="shared" si="9"/>
        <v>0</v>
      </c>
    </row>
    <row r="61" spans="1:24">
      <c r="A61" s="23" t="s">
        <v>63</v>
      </c>
      <c r="B61" s="35" t="s">
        <v>49</v>
      </c>
      <c r="C61" s="125">
        <v>45207</v>
      </c>
      <c r="D61" s="132">
        <v>2802745830</v>
      </c>
      <c r="E61" s="116">
        <f t="shared" si="13"/>
        <v>61998.049638330347</v>
      </c>
      <c r="F61" s="134">
        <v>1596716031</v>
      </c>
      <c r="G61" s="117">
        <f t="shared" si="14"/>
        <v>35320.105979162516</v>
      </c>
      <c r="H61" s="98"/>
      <c r="I61" s="136">
        <v>7.4</v>
      </c>
      <c r="J61" s="134">
        <v>11815698.6294</v>
      </c>
      <c r="K61" s="120">
        <f t="shared" si="15"/>
        <v>261.36878424580266</v>
      </c>
      <c r="L61" s="122">
        <f t="shared" si="3"/>
        <v>15967160.310000001</v>
      </c>
      <c r="M61" s="116">
        <f t="shared" si="4"/>
        <v>4151461.6806000005</v>
      </c>
      <c r="N61" s="123">
        <f t="shared" si="5"/>
        <v>91.832275545822569</v>
      </c>
      <c r="O61" s="5"/>
      <c r="P61" s="5">
        <f t="shared" si="6"/>
        <v>1</v>
      </c>
      <c r="Q61" s="7">
        <f t="shared" si="7"/>
        <v>45207</v>
      </c>
      <c r="W61" s="124">
        <f t="shared" si="8"/>
        <v>11815698.6294</v>
      </c>
      <c r="X61">
        <f t="shared" si="9"/>
        <v>0</v>
      </c>
    </row>
    <row r="62" spans="1:24">
      <c r="A62" s="23" t="s">
        <v>64</v>
      </c>
      <c r="B62" s="35" t="s">
        <v>49</v>
      </c>
      <c r="C62" s="125">
        <v>45576</v>
      </c>
      <c r="D62" s="132">
        <v>5478826506</v>
      </c>
      <c r="E62" s="116">
        <f t="shared" si="13"/>
        <v>120212.97406529753</v>
      </c>
      <c r="F62" s="134">
        <v>3504500626</v>
      </c>
      <c r="G62" s="117">
        <f t="shared" si="14"/>
        <v>76893.554195190445</v>
      </c>
      <c r="H62" s="98"/>
      <c r="I62" s="136">
        <v>6.0880000000000001</v>
      </c>
      <c r="J62" s="134">
        <v>21335399.811087999</v>
      </c>
      <c r="K62" s="120">
        <f t="shared" si="15"/>
        <v>468.12795794031945</v>
      </c>
      <c r="L62" s="122">
        <f t="shared" si="3"/>
        <v>35045006.259999998</v>
      </c>
      <c r="M62" s="116">
        <f t="shared" si="4"/>
        <v>13709606.448911998</v>
      </c>
      <c r="N62" s="123">
        <f t="shared" si="5"/>
        <v>300.80758401158499</v>
      </c>
      <c r="O62" s="5"/>
      <c r="P62" s="5">
        <f t="shared" si="6"/>
        <v>1</v>
      </c>
      <c r="Q62" s="7">
        <f t="shared" si="7"/>
        <v>45576</v>
      </c>
      <c r="W62" s="124">
        <f t="shared" si="8"/>
        <v>21335399.811087999</v>
      </c>
      <c r="X62">
        <f t="shared" si="9"/>
        <v>0</v>
      </c>
    </row>
    <row r="63" spans="1:24">
      <c r="A63" s="23" t="s">
        <v>65</v>
      </c>
      <c r="B63" s="35" t="s">
        <v>49</v>
      </c>
      <c r="C63" s="125">
        <v>34109</v>
      </c>
      <c r="D63" s="132">
        <v>6812328819</v>
      </c>
      <c r="E63" s="116">
        <f t="shared" si="13"/>
        <v>199722.32604297987</v>
      </c>
      <c r="F63" s="134">
        <v>5355498357</v>
      </c>
      <c r="G63" s="117">
        <f t="shared" si="14"/>
        <v>157011.29780996218</v>
      </c>
      <c r="H63" s="98"/>
      <c r="I63" s="136">
        <v>4.4000000000000004</v>
      </c>
      <c r="J63" s="134">
        <v>23564192.770800002</v>
      </c>
      <c r="K63" s="120">
        <f t="shared" si="15"/>
        <v>690.84971036383365</v>
      </c>
      <c r="L63" s="122">
        <f t="shared" si="3"/>
        <v>53554983.57</v>
      </c>
      <c r="M63" s="116">
        <f t="shared" si="4"/>
        <v>29990790.799199998</v>
      </c>
      <c r="N63" s="123">
        <f t="shared" si="5"/>
        <v>879.26326773578819</v>
      </c>
      <c r="O63" s="5"/>
      <c r="P63" s="5">
        <f t="shared" si="6"/>
        <v>1</v>
      </c>
      <c r="Q63" s="7">
        <f t="shared" si="7"/>
        <v>34109</v>
      </c>
      <c r="W63" s="124">
        <f t="shared" si="8"/>
        <v>23564192.770800002</v>
      </c>
      <c r="X63">
        <f t="shared" si="9"/>
        <v>0</v>
      </c>
    </row>
    <row r="64" spans="1:24">
      <c r="A64" s="23" t="s">
        <v>66</v>
      </c>
      <c r="B64" s="35" t="s">
        <v>49</v>
      </c>
      <c r="C64" s="125">
        <v>6408</v>
      </c>
      <c r="D64" s="132">
        <v>870879466</v>
      </c>
      <c r="E64" s="116">
        <f t="shared" si="13"/>
        <v>135905.03526841447</v>
      </c>
      <c r="F64" s="134">
        <v>736267914</v>
      </c>
      <c r="G64" s="117">
        <f t="shared" si="14"/>
        <v>114898.23876404495</v>
      </c>
      <c r="H64" s="98"/>
      <c r="I64" s="136">
        <v>8.5</v>
      </c>
      <c r="J64" s="134">
        <v>6258277.2690000003</v>
      </c>
      <c r="K64" s="120">
        <f t="shared" si="15"/>
        <v>976.63502949438202</v>
      </c>
      <c r="L64" s="122">
        <f t="shared" si="3"/>
        <v>7362679.1400000006</v>
      </c>
      <c r="M64" s="116">
        <f t="shared" si="4"/>
        <v>1104401.8710000003</v>
      </c>
      <c r="N64" s="123">
        <f t="shared" si="5"/>
        <v>172.34735814606745</v>
      </c>
      <c r="O64" s="5"/>
      <c r="P64" s="5">
        <f t="shared" si="6"/>
        <v>1</v>
      </c>
      <c r="Q64" s="7">
        <f t="shared" si="7"/>
        <v>6408</v>
      </c>
      <c r="W64" s="124">
        <f t="shared" si="8"/>
        <v>6258277.2690000003</v>
      </c>
      <c r="X64">
        <f t="shared" si="9"/>
        <v>0</v>
      </c>
    </row>
    <row r="65" spans="1:24">
      <c r="A65" s="23" t="s">
        <v>67</v>
      </c>
      <c r="B65" s="35" t="s">
        <v>49</v>
      </c>
      <c r="C65" s="125">
        <v>168023</v>
      </c>
      <c r="D65" s="132">
        <v>21071969810</v>
      </c>
      <c r="E65" s="116">
        <f t="shared" si="13"/>
        <v>125411.22233265683</v>
      </c>
      <c r="F65" s="134">
        <v>13430307935</v>
      </c>
      <c r="G65" s="117">
        <f t="shared" si="14"/>
        <v>79931.366152252958</v>
      </c>
      <c r="H65" s="98"/>
      <c r="I65" s="136">
        <v>5.6736000000000004</v>
      </c>
      <c r="J65" s="134">
        <v>76198195.100016013</v>
      </c>
      <c r="K65" s="120">
        <f t="shared" si="15"/>
        <v>453.49859900142252</v>
      </c>
      <c r="L65" s="122">
        <f t="shared" si="3"/>
        <v>134303079.34999999</v>
      </c>
      <c r="M65" s="116">
        <f t="shared" si="4"/>
        <v>58104884.249983981</v>
      </c>
      <c r="N65" s="123">
        <f t="shared" si="5"/>
        <v>345.81506252110711</v>
      </c>
      <c r="O65" s="5"/>
      <c r="P65" s="5">
        <f t="shared" si="6"/>
        <v>1</v>
      </c>
      <c r="Q65" s="7">
        <f t="shared" si="7"/>
        <v>168023</v>
      </c>
      <c r="W65" s="124">
        <f t="shared" si="8"/>
        <v>76198195.100015998</v>
      </c>
      <c r="X65">
        <f t="shared" si="9"/>
        <v>0</v>
      </c>
    </row>
    <row r="66" spans="1:24">
      <c r="A66" s="23" t="s">
        <v>68</v>
      </c>
      <c r="B66" s="35" t="s">
        <v>49</v>
      </c>
      <c r="C66" s="125">
        <v>90354</v>
      </c>
      <c r="D66" s="132">
        <v>14004685630</v>
      </c>
      <c r="E66" s="116">
        <f t="shared" si="13"/>
        <v>154997.95947052704</v>
      </c>
      <c r="F66" s="134">
        <v>9660190607</v>
      </c>
      <c r="G66" s="117">
        <f t="shared" si="14"/>
        <v>106914.91917347323</v>
      </c>
      <c r="H66" s="98"/>
      <c r="I66" s="136">
        <v>5.8</v>
      </c>
      <c r="J66" s="134">
        <v>56029105.520599999</v>
      </c>
      <c r="K66" s="120">
        <f t="shared" si="15"/>
        <v>620.10653120614472</v>
      </c>
      <c r="L66" s="122">
        <f t="shared" si="3"/>
        <v>96601906.070000008</v>
      </c>
      <c r="M66" s="116">
        <f t="shared" si="4"/>
        <v>40572800.549400009</v>
      </c>
      <c r="N66" s="123">
        <f t="shared" si="5"/>
        <v>449.04266052858765</v>
      </c>
      <c r="O66" s="5"/>
      <c r="P66" s="5">
        <f t="shared" si="6"/>
        <v>1</v>
      </c>
      <c r="Q66" s="7">
        <f t="shared" si="7"/>
        <v>90354</v>
      </c>
      <c r="W66" s="124">
        <f t="shared" si="8"/>
        <v>56029105.520599999</v>
      </c>
      <c r="X66">
        <f t="shared" si="9"/>
        <v>0</v>
      </c>
    </row>
    <row r="67" spans="1:24">
      <c r="A67" s="23" t="s">
        <v>69</v>
      </c>
      <c r="B67" s="35" t="s">
        <v>49</v>
      </c>
      <c r="C67" s="125">
        <v>112058</v>
      </c>
      <c r="D67" s="132">
        <v>18732745008</v>
      </c>
      <c r="E67" s="116">
        <f t="shared" si="13"/>
        <v>167170.08163629548</v>
      </c>
      <c r="F67" s="134">
        <v>13551708226</v>
      </c>
      <c r="G67" s="117">
        <f t="shared" si="14"/>
        <v>120934.76794160168</v>
      </c>
      <c r="H67" s="98"/>
      <c r="I67" s="136">
        <v>5.1875</v>
      </c>
      <c r="J67" s="134">
        <v>70299486.422374994</v>
      </c>
      <c r="K67" s="120">
        <f t="shared" si="15"/>
        <v>627.34910869705857</v>
      </c>
      <c r="L67" s="122">
        <f t="shared" si="3"/>
        <v>135517082.25999999</v>
      </c>
      <c r="M67" s="116">
        <f t="shared" si="4"/>
        <v>65217595.837624997</v>
      </c>
      <c r="N67" s="123">
        <f t="shared" si="5"/>
        <v>581.99857071895804</v>
      </c>
      <c r="O67" s="5"/>
      <c r="P67" s="5">
        <f t="shared" si="6"/>
        <v>1</v>
      </c>
      <c r="Q67" s="7">
        <f t="shared" si="7"/>
        <v>112058</v>
      </c>
      <c r="W67" s="124">
        <f t="shared" si="8"/>
        <v>70299486.422375008</v>
      </c>
      <c r="X67">
        <f t="shared" si="9"/>
        <v>0</v>
      </c>
    </row>
    <row r="68" spans="1:24">
      <c r="A68" s="23" t="s">
        <v>70</v>
      </c>
      <c r="B68" s="35" t="s">
        <v>49</v>
      </c>
      <c r="C68" s="125">
        <v>688</v>
      </c>
      <c r="D68" s="132">
        <v>332505226</v>
      </c>
      <c r="E68" s="116">
        <f t="shared" si="13"/>
        <v>483292.47965116281</v>
      </c>
      <c r="F68" s="134">
        <v>229758590</v>
      </c>
      <c r="G68" s="117">
        <f t="shared" si="14"/>
        <v>333951.43895348837</v>
      </c>
      <c r="H68" s="98"/>
      <c r="I68" s="136">
        <v>7.25</v>
      </c>
      <c r="J68" s="134">
        <v>1665749.7775000001</v>
      </c>
      <c r="K68" s="120">
        <f t="shared" si="15"/>
        <v>2421.1479324127909</v>
      </c>
      <c r="L68" s="122">
        <f t="shared" si="3"/>
        <v>2297585.9</v>
      </c>
      <c r="M68" s="116">
        <f t="shared" si="4"/>
        <v>631836.12249999982</v>
      </c>
      <c r="N68" s="123">
        <f t="shared" si="5"/>
        <v>918.36645712209281</v>
      </c>
      <c r="O68" s="5"/>
      <c r="P68" s="5">
        <f t="shared" si="6"/>
        <v>1</v>
      </c>
      <c r="Q68" s="7">
        <f t="shared" si="7"/>
        <v>688</v>
      </c>
      <c r="W68" s="124">
        <f t="shared" si="8"/>
        <v>1665749.7775000001</v>
      </c>
      <c r="X68">
        <f t="shared" si="9"/>
        <v>0</v>
      </c>
    </row>
    <row r="69" spans="1:24">
      <c r="A69" s="23" t="s">
        <v>450</v>
      </c>
      <c r="B69" s="35" t="s">
        <v>49</v>
      </c>
      <c r="C69" s="125">
        <v>7704</v>
      </c>
      <c r="D69" s="132">
        <v>2378800681</v>
      </c>
      <c r="E69" s="116">
        <f t="shared" si="13"/>
        <v>308774.75090861891</v>
      </c>
      <c r="F69" s="134">
        <v>1466259672</v>
      </c>
      <c r="G69" s="117">
        <f t="shared" si="14"/>
        <v>190324.46417445483</v>
      </c>
      <c r="H69" s="98"/>
      <c r="I69" s="136">
        <v>4.6563999999999997</v>
      </c>
      <c r="J69" s="134">
        <v>6827491.5367008001</v>
      </c>
      <c r="K69" s="120">
        <f t="shared" si="15"/>
        <v>886.22683498193146</v>
      </c>
      <c r="L69" s="122">
        <f t="shared" si="3"/>
        <v>14662596.720000001</v>
      </c>
      <c r="M69" s="116">
        <f t="shared" si="4"/>
        <v>7835105.1832992006</v>
      </c>
      <c r="N69" s="123">
        <f t="shared" si="5"/>
        <v>1017.0178067626169</v>
      </c>
      <c r="O69" s="5"/>
      <c r="P69" s="5">
        <f t="shared" si="6"/>
        <v>1</v>
      </c>
      <c r="Q69" s="7">
        <f t="shared" si="7"/>
        <v>7704</v>
      </c>
      <c r="W69" s="124">
        <f t="shared" si="8"/>
        <v>6827491.5367008001</v>
      </c>
      <c r="X69">
        <f t="shared" si="9"/>
        <v>0</v>
      </c>
    </row>
    <row r="70" spans="1:24">
      <c r="A70" s="23" t="s">
        <v>71</v>
      </c>
      <c r="B70" s="35" t="s">
        <v>49</v>
      </c>
      <c r="C70" s="125">
        <v>93365</v>
      </c>
      <c r="D70" s="132">
        <v>11840325152</v>
      </c>
      <c r="E70" s="116">
        <f t="shared" si="13"/>
        <v>126817.59922883307</v>
      </c>
      <c r="F70" s="134">
        <v>7748068303</v>
      </c>
      <c r="G70" s="117">
        <f t="shared" si="14"/>
        <v>82986.861275638628</v>
      </c>
      <c r="H70" s="98"/>
      <c r="I70" s="136">
        <v>6.0542999999999996</v>
      </c>
      <c r="J70" s="134">
        <v>46909129.926852897</v>
      </c>
      <c r="K70" s="120">
        <f t="shared" si="15"/>
        <v>502.42735422109888</v>
      </c>
      <c r="L70" s="122">
        <f t="shared" ref="L70:L133" si="16">(F70*0.01)</f>
        <v>77480683.030000001</v>
      </c>
      <c r="M70" s="116">
        <f t="shared" ref="M70:M133" si="17">(L70-J70)</f>
        <v>30571553.103147104</v>
      </c>
      <c r="N70" s="123">
        <f t="shared" ref="N70:N133" si="18">(M70/C70)</f>
        <v>327.44125853528737</v>
      </c>
      <c r="O70" s="5"/>
      <c r="P70" s="5">
        <f t="shared" ref="P70:P133" si="19">IF(I70&gt;0,1,0)</f>
        <v>1</v>
      </c>
      <c r="Q70" s="7">
        <f t="shared" ref="Q70:Q133" si="20">IF(I70&gt;0,C70,0)</f>
        <v>93365</v>
      </c>
      <c r="W70" s="124">
        <f t="shared" si="8"/>
        <v>46909129.926852897</v>
      </c>
      <c r="X70">
        <f t="shared" si="9"/>
        <v>0</v>
      </c>
    </row>
    <row r="71" spans="1:24">
      <c r="A71" s="23" t="s">
        <v>72</v>
      </c>
      <c r="B71" s="35" t="s">
        <v>49</v>
      </c>
      <c r="C71" s="125">
        <v>65377</v>
      </c>
      <c r="D71" s="132">
        <v>6901641812</v>
      </c>
      <c r="E71" s="116">
        <f t="shared" si="13"/>
        <v>105566.81725989262</v>
      </c>
      <c r="F71" s="154">
        <v>4085205310</v>
      </c>
      <c r="G71" s="117">
        <f t="shared" si="14"/>
        <v>62486.888508190954</v>
      </c>
      <c r="H71" s="98"/>
      <c r="I71" s="136">
        <v>7.2899000000000003</v>
      </c>
      <c r="J71" s="134">
        <v>29780738.189369</v>
      </c>
      <c r="K71" s="120">
        <f t="shared" si="15"/>
        <v>455.52316853586126</v>
      </c>
      <c r="L71" s="122">
        <f t="shared" si="16"/>
        <v>40852053.100000001</v>
      </c>
      <c r="M71" s="116">
        <f t="shared" si="17"/>
        <v>11071314.910631001</v>
      </c>
      <c r="N71" s="123">
        <f t="shared" si="18"/>
        <v>169.34571654604832</v>
      </c>
      <c r="O71" s="5"/>
      <c r="P71" s="5">
        <f t="shared" si="19"/>
        <v>1</v>
      </c>
      <c r="Q71" s="7">
        <f t="shared" si="20"/>
        <v>65377</v>
      </c>
      <c r="W71" s="124">
        <f t="shared" ref="W71:W134" si="21">F71*(I71/1000)</f>
        <v>29780738.189369</v>
      </c>
      <c r="X71">
        <f t="shared" ref="X71:X134" si="22">IF(W71=J71,0,1)</f>
        <v>0</v>
      </c>
    </row>
    <row r="72" spans="1:24">
      <c r="A72" s="23" t="s">
        <v>507</v>
      </c>
      <c r="B72" s="35" t="s">
        <v>49</v>
      </c>
      <c r="C72" s="125">
        <v>15197</v>
      </c>
      <c r="D72" s="132">
        <v>1113820146</v>
      </c>
      <c r="E72" s="116">
        <f t="shared" si="13"/>
        <v>73292.106731591761</v>
      </c>
      <c r="F72" s="134">
        <v>593474509</v>
      </c>
      <c r="G72" s="117">
        <f t="shared" si="14"/>
        <v>39052.083240113177</v>
      </c>
      <c r="H72" s="98"/>
      <c r="I72" s="136">
        <v>8.5</v>
      </c>
      <c r="J72" s="134">
        <v>5044533.3265000004</v>
      </c>
      <c r="K72" s="120">
        <f t="shared" si="15"/>
        <v>331.94270754096203</v>
      </c>
      <c r="L72" s="122">
        <f t="shared" si="16"/>
        <v>5934745.0899999999</v>
      </c>
      <c r="M72" s="116">
        <f t="shared" si="17"/>
        <v>890211.76349999942</v>
      </c>
      <c r="N72" s="123">
        <f t="shared" si="18"/>
        <v>58.57812486016973</v>
      </c>
      <c r="O72" s="5"/>
      <c r="P72" s="5">
        <f t="shared" si="19"/>
        <v>1</v>
      </c>
      <c r="Q72" s="7">
        <f t="shared" si="20"/>
        <v>15197</v>
      </c>
      <c r="W72" s="124">
        <f t="shared" si="21"/>
        <v>5044533.3265000004</v>
      </c>
      <c r="X72">
        <f t="shared" si="22"/>
        <v>0</v>
      </c>
    </row>
    <row r="73" spans="1:24">
      <c r="A73" s="23" t="s">
        <v>73</v>
      </c>
      <c r="B73" s="35" t="s">
        <v>49</v>
      </c>
      <c r="C73" s="125">
        <v>67314</v>
      </c>
      <c r="D73" s="132">
        <v>12225524045</v>
      </c>
      <c r="E73" s="116">
        <f t="shared" si="13"/>
        <v>181619.33691356925</v>
      </c>
      <c r="F73" s="134">
        <v>8878016594</v>
      </c>
      <c r="G73" s="117">
        <f t="shared" si="14"/>
        <v>131889.60088540273</v>
      </c>
      <c r="H73" s="98"/>
      <c r="I73" s="136">
        <v>3.3464</v>
      </c>
      <c r="J73" s="134">
        <v>29709394.730161604</v>
      </c>
      <c r="K73" s="120">
        <f t="shared" si="15"/>
        <v>441.3553604029118</v>
      </c>
      <c r="L73" s="122">
        <f t="shared" si="16"/>
        <v>88780165.939999998</v>
      </c>
      <c r="M73" s="116">
        <f t="shared" si="17"/>
        <v>59070771.20983839</v>
      </c>
      <c r="N73" s="123">
        <f t="shared" si="18"/>
        <v>877.54064845111554</v>
      </c>
      <c r="O73" s="5"/>
      <c r="P73" s="5">
        <f t="shared" si="19"/>
        <v>1</v>
      </c>
      <c r="Q73" s="7">
        <f t="shared" si="20"/>
        <v>67314</v>
      </c>
      <c r="W73" s="124">
        <f t="shared" si="21"/>
        <v>29709394.730161604</v>
      </c>
      <c r="X73">
        <f t="shared" si="22"/>
        <v>0</v>
      </c>
    </row>
    <row r="74" spans="1:24">
      <c r="A74" s="23" t="s">
        <v>74</v>
      </c>
      <c r="B74" s="35" t="s">
        <v>49</v>
      </c>
      <c r="C74" s="125">
        <v>12849</v>
      </c>
      <c r="D74" s="132">
        <v>2253857953</v>
      </c>
      <c r="E74" s="116">
        <f t="shared" si="13"/>
        <v>175411.15674371546</v>
      </c>
      <c r="F74" s="134">
        <v>1503247141</v>
      </c>
      <c r="G74" s="117">
        <f t="shared" si="14"/>
        <v>116993.31784574674</v>
      </c>
      <c r="H74" s="98"/>
      <c r="I74" s="136">
        <v>5.9587000000000003</v>
      </c>
      <c r="J74" s="134">
        <v>8957398.7390767001</v>
      </c>
      <c r="K74" s="120">
        <f t="shared" si="15"/>
        <v>697.12808304745113</v>
      </c>
      <c r="L74" s="122">
        <f t="shared" si="16"/>
        <v>15032471.41</v>
      </c>
      <c r="M74" s="116">
        <f t="shared" si="17"/>
        <v>6075072.6709233001</v>
      </c>
      <c r="N74" s="123">
        <f t="shared" si="18"/>
        <v>472.80509541001635</v>
      </c>
      <c r="O74" s="5"/>
      <c r="P74" s="5">
        <f t="shared" si="19"/>
        <v>1</v>
      </c>
      <c r="Q74" s="7">
        <f t="shared" si="20"/>
        <v>12849</v>
      </c>
      <c r="S74" s="124">
        <f>SUM(D44:D74)</f>
        <v>287798356426</v>
      </c>
      <c r="T74" s="124">
        <f>SUM(F44:F74)</f>
        <v>198263105993</v>
      </c>
      <c r="U74" s="183">
        <f>SUM(J44:J74)</f>
        <v>1118698934.0504324</v>
      </c>
      <c r="W74" s="124">
        <f t="shared" si="21"/>
        <v>8957398.7390767001</v>
      </c>
      <c r="X74">
        <f t="shared" si="22"/>
        <v>0</v>
      </c>
    </row>
    <row r="75" spans="1:24">
      <c r="A75" s="23" t="s">
        <v>75</v>
      </c>
      <c r="B75" s="35" t="s">
        <v>76</v>
      </c>
      <c r="C75" s="125">
        <v>517</v>
      </c>
      <c r="D75" s="147" t="s">
        <v>564</v>
      </c>
      <c r="E75" s="116"/>
      <c r="F75" s="134"/>
      <c r="G75" s="117"/>
      <c r="H75" s="98" t="s">
        <v>588</v>
      </c>
      <c r="I75" s="136"/>
      <c r="J75" s="134"/>
      <c r="K75" s="120"/>
      <c r="L75" s="122">
        <f t="shared" si="16"/>
        <v>0</v>
      </c>
      <c r="M75" s="116">
        <f t="shared" si="17"/>
        <v>0</v>
      </c>
      <c r="N75" s="123">
        <f t="shared" si="18"/>
        <v>0</v>
      </c>
      <c r="O75" s="5"/>
      <c r="P75" s="5">
        <f t="shared" si="19"/>
        <v>0</v>
      </c>
      <c r="Q75" s="7">
        <f t="shared" si="20"/>
        <v>0</v>
      </c>
      <c r="W75" s="124">
        <f t="shared" si="21"/>
        <v>0</v>
      </c>
      <c r="X75">
        <f t="shared" si="22"/>
        <v>0</v>
      </c>
    </row>
    <row r="76" spans="1:24">
      <c r="A76" s="23" t="s">
        <v>77</v>
      </c>
      <c r="B76" s="35" t="s">
        <v>76</v>
      </c>
      <c r="C76" s="125">
        <v>2414</v>
      </c>
      <c r="D76" s="132">
        <v>101683292</v>
      </c>
      <c r="E76" s="116">
        <f t="shared" ref="E76:E83" si="23">(D76/C76)</f>
        <v>42122.324772162385</v>
      </c>
      <c r="F76" s="134">
        <v>58151341</v>
      </c>
      <c r="G76" s="117">
        <f t="shared" ref="G76:G83" si="24">(F76/C76)</f>
        <v>24089.205053852525</v>
      </c>
      <c r="H76" s="7"/>
      <c r="I76" s="136">
        <v>1.5</v>
      </c>
      <c r="J76" s="134">
        <v>87227.011499999993</v>
      </c>
      <c r="K76" s="120">
        <f t="shared" ref="K76:K83" si="25">(J76/C76)</f>
        <v>36.133807580778786</v>
      </c>
      <c r="L76" s="122">
        <f t="shared" si="16"/>
        <v>581513.41</v>
      </c>
      <c r="M76" s="116">
        <f t="shared" si="17"/>
        <v>494286.39850000001</v>
      </c>
      <c r="N76" s="123">
        <f t="shared" si="18"/>
        <v>204.75824295774649</v>
      </c>
      <c r="O76" s="5"/>
      <c r="P76" s="5">
        <f t="shared" si="19"/>
        <v>1</v>
      </c>
      <c r="Q76" s="7">
        <f t="shared" si="20"/>
        <v>2414</v>
      </c>
      <c r="S76" s="124">
        <f>SUM(D75:D76)</f>
        <v>101683292</v>
      </c>
      <c r="T76" s="124">
        <f>SUM(F75:F76)</f>
        <v>58151341</v>
      </c>
      <c r="U76" s="124">
        <f>SUM(J75:J76)</f>
        <v>87227.011499999993</v>
      </c>
      <c r="W76" s="124">
        <f t="shared" si="21"/>
        <v>87227.011500000008</v>
      </c>
      <c r="X76">
        <f t="shared" si="22"/>
        <v>0</v>
      </c>
    </row>
    <row r="77" spans="1:24">
      <c r="A77" s="23" t="s">
        <v>78</v>
      </c>
      <c r="B77" s="35" t="s">
        <v>79</v>
      </c>
      <c r="C77" s="125">
        <v>19961</v>
      </c>
      <c r="D77" s="132">
        <v>4552995863</v>
      </c>
      <c r="E77" s="116">
        <f t="shared" si="23"/>
        <v>228094.57757627373</v>
      </c>
      <c r="F77" s="134">
        <v>3325350916</v>
      </c>
      <c r="G77" s="117">
        <f t="shared" si="24"/>
        <v>166592.40098191475</v>
      </c>
      <c r="H77" s="7"/>
      <c r="I77" s="136">
        <v>3.4337</v>
      </c>
      <c r="J77" s="134">
        <v>11418257.4402692</v>
      </c>
      <c r="K77" s="120">
        <f t="shared" si="25"/>
        <v>572.02832725160067</v>
      </c>
      <c r="L77" s="122">
        <f t="shared" si="16"/>
        <v>33253509.16</v>
      </c>
      <c r="M77" s="116">
        <f t="shared" si="17"/>
        <v>21835251.719730802</v>
      </c>
      <c r="N77" s="123">
        <f t="shared" si="18"/>
        <v>1093.8956825675468</v>
      </c>
      <c r="O77" s="5"/>
      <c r="P77" s="5">
        <f t="shared" si="19"/>
        <v>1</v>
      </c>
      <c r="Q77" s="7">
        <f t="shared" si="20"/>
        <v>19961</v>
      </c>
      <c r="S77" s="124">
        <f>SUM(D77)</f>
        <v>4552995863</v>
      </c>
      <c r="T77" s="124">
        <f>SUM(F77)</f>
        <v>3325350916</v>
      </c>
      <c r="U77" s="124">
        <f>SUM(J77)</f>
        <v>11418257.4402692</v>
      </c>
      <c r="W77" s="124">
        <f t="shared" si="21"/>
        <v>11418257.4402692</v>
      </c>
      <c r="X77">
        <f t="shared" si="22"/>
        <v>0</v>
      </c>
    </row>
    <row r="78" spans="1:24">
      <c r="A78" s="23" t="s">
        <v>80</v>
      </c>
      <c r="B78" s="35" t="s">
        <v>81</v>
      </c>
      <c r="C78" s="125">
        <v>3434</v>
      </c>
      <c r="D78" s="132">
        <v>653696436</v>
      </c>
      <c r="E78" s="116">
        <f t="shared" si="23"/>
        <v>190360.05707629587</v>
      </c>
      <c r="F78" s="134">
        <v>493188432</v>
      </c>
      <c r="G78" s="117">
        <f t="shared" si="24"/>
        <v>143619.22888759465</v>
      </c>
      <c r="H78" s="7"/>
      <c r="I78" s="150">
        <v>4.8</v>
      </c>
      <c r="J78" s="134">
        <v>2367304.4735999997</v>
      </c>
      <c r="K78" s="120">
        <f t="shared" si="25"/>
        <v>689.37229866045413</v>
      </c>
      <c r="L78" s="122">
        <f t="shared" si="16"/>
        <v>4931884.32</v>
      </c>
      <c r="M78" s="116">
        <f t="shared" si="17"/>
        <v>2564579.8464000006</v>
      </c>
      <c r="N78" s="123">
        <f t="shared" si="18"/>
        <v>746.81999021549234</v>
      </c>
      <c r="O78" s="5"/>
      <c r="P78" s="5">
        <f t="shared" si="19"/>
        <v>1</v>
      </c>
      <c r="Q78" s="7">
        <f t="shared" si="20"/>
        <v>3434</v>
      </c>
      <c r="W78" s="124">
        <f t="shared" si="21"/>
        <v>2367304.4735999997</v>
      </c>
      <c r="X78">
        <f t="shared" si="22"/>
        <v>0</v>
      </c>
    </row>
    <row r="79" spans="1:24">
      <c r="A79" s="23" t="s">
        <v>82</v>
      </c>
      <c r="B79" s="35" t="s">
        <v>81</v>
      </c>
      <c r="C79" s="125">
        <v>7340</v>
      </c>
      <c r="D79" s="132">
        <v>792165497</v>
      </c>
      <c r="E79" s="116">
        <f t="shared" si="23"/>
        <v>107924.45463215258</v>
      </c>
      <c r="F79" s="134">
        <v>487272067</v>
      </c>
      <c r="G79" s="117">
        <f t="shared" si="24"/>
        <v>66385.840190735689</v>
      </c>
      <c r="H79" s="7"/>
      <c r="I79" s="136">
        <v>8.2728999999999999</v>
      </c>
      <c r="J79" s="134">
        <v>4031153.0830843002</v>
      </c>
      <c r="K79" s="120">
        <f t="shared" si="25"/>
        <v>549.20341731393739</v>
      </c>
      <c r="L79" s="122">
        <f t="shared" si="16"/>
        <v>4872720.67</v>
      </c>
      <c r="M79" s="116">
        <f t="shared" si="17"/>
        <v>841567.58691569977</v>
      </c>
      <c r="N79" s="123">
        <f t="shared" si="18"/>
        <v>114.65498459341958</v>
      </c>
      <c r="O79" s="5"/>
      <c r="P79" s="5">
        <f t="shared" si="19"/>
        <v>1</v>
      </c>
      <c r="Q79" s="7">
        <f t="shared" si="20"/>
        <v>7340</v>
      </c>
      <c r="S79" s="124">
        <f>SUM(D78:D79)</f>
        <v>1445861933</v>
      </c>
      <c r="T79" s="124">
        <f>SUM(F78:F79)</f>
        <v>980460499</v>
      </c>
      <c r="U79" s="124">
        <f>SUM(J78:J79)</f>
        <v>6398457.5566843003</v>
      </c>
      <c r="W79" s="124">
        <f t="shared" si="21"/>
        <v>4031153.0830842997</v>
      </c>
      <c r="X79">
        <f t="shared" si="22"/>
        <v>0</v>
      </c>
    </row>
    <row r="80" spans="1:24">
      <c r="A80" s="23" t="s">
        <v>83</v>
      </c>
      <c r="B80" s="35" t="s">
        <v>84</v>
      </c>
      <c r="C80" s="125">
        <v>7841</v>
      </c>
      <c r="D80" s="132">
        <v>742835710</v>
      </c>
      <c r="E80" s="116">
        <f t="shared" si="23"/>
        <v>94737.368958041072</v>
      </c>
      <c r="F80" s="134">
        <v>478793663</v>
      </c>
      <c r="G80" s="117">
        <f t="shared" si="24"/>
        <v>61062.831654125752</v>
      </c>
      <c r="H80" s="7"/>
      <c r="I80" s="136">
        <v>3.8</v>
      </c>
      <c r="J80" s="134">
        <v>1819415.9193999998</v>
      </c>
      <c r="K80" s="120">
        <f t="shared" si="25"/>
        <v>232.03876028567782</v>
      </c>
      <c r="L80" s="122">
        <f t="shared" si="16"/>
        <v>4787936.63</v>
      </c>
      <c r="M80" s="116">
        <f t="shared" si="17"/>
        <v>2968520.7105999999</v>
      </c>
      <c r="N80" s="123">
        <f t="shared" si="18"/>
        <v>378.58955625557962</v>
      </c>
      <c r="O80" s="5"/>
      <c r="P80" s="5">
        <f t="shared" si="19"/>
        <v>1</v>
      </c>
      <c r="Q80" s="7">
        <f t="shared" si="20"/>
        <v>7841</v>
      </c>
      <c r="W80" s="124">
        <f t="shared" si="21"/>
        <v>1819415.9194</v>
      </c>
      <c r="X80">
        <f t="shared" si="22"/>
        <v>0</v>
      </c>
    </row>
    <row r="81" spans="1:24">
      <c r="A81" s="23" t="s">
        <v>85</v>
      </c>
      <c r="B81" s="35" t="s">
        <v>84</v>
      </c>
      <c r="C81" s="125">
        <v>1357</v>
      </c>
      <c r="D81" s="132">
        <v>112367405</v>
      </c>
      <c r="E81" s="116">
        <f t="shared" si="23"/>
        <v>82805.751658069275</v>
      </c>
      <c r="F81" s="134">
        <v>65742323</v>
      </c>
      <c r="G81" s="117">
        <f t="shared" si="24"/>
        <v>48446.811348563009</v>
      </c>
      <c r="H81" s="7"/>
      <c r="I81" s="136">
        <v>4.2900999999999998</v>
      </c>
      <c r="J81" s="134">
        <v>282041.13990230003</v>
      </c>
      <c r="K81" s="120">
        <f t="shared" si="25"/>
        <v>207.84166536647018</v>
      </c>
      <c r="L81" s="122">
        <f t="shared" si="16"/>
        <v>657423.23</v>
      </c>
      <c r="M81" s="116">
        <f t="shared" si="17"/>
        <v>375382.09009769995</v>
      </c>
      <c r="N81" s="123">
        <f t="shared" si="18"/>
        <v>276.62644811915987</v>
      </c>
      <c r="O81" s="5"/>
      <c r="P81" s="5">
        <f t="shared" si="19"/>
        <v>1</v>
      </c>
      <c r="Q81" s="7">
        <f t="shared" si="20"/>
        <v>1357</v>
      </c>
      <c r="W81" s="124">
        <f t="shared" si="21"/>
        <v>282041.13990229997</v>
      </c>
      <c r="X81">
        <f t="shared" si="22"/>
        <v>0</v>
      </c>
    </row>
    <row r="82" spans="1:24">
      <c r="A82" s="23" t="s">
        <v>86</v>
      </c>
      <c r="B82" s="35" t="s">
        <v>84</v>
      </c>
      <c r="C82" s="125">
        <v>8668</v>
      </c>
      <c r="D82" s="132">
        <v>926857367</v>
      </c>
      <c r="E82" s="116">
        <f t="shared" si="23"/>
        <v>106928.63024919243</v>
      </c>
      <c r="F82" s="134">
        <v>593290510</v>
      </c>
      <c r="G82" s="117">
        <f t="shared" si="24"/>
        <v>68446.067143516382</v>
      </c>
      <c r="H82" s="9"/>
      <c r="I82" s="136">
        <v>5.8780999999999999</v>
      </c>
      <c r="J82" s="134">
        <v>3487420.946831</v>
      </c>
      <c r="K82" s="120">
        <f t="shared" si="25"/>
        <v>402.33282727630365</v>
      </c>
      <c r="L82" s="122">
        <f t="shared" si="16"/>
        <v>5932905.1000000006</v>
      </c>
      <c r="M82" s="116">
        <f t="shared" si="17"/>
        <v>2445484.1531690005</v>
      </c>
      <c r="N82" s="123">
        <f t="shared" si="18"/>
        <v>282.12784415886023</v>
      </c>
      <c r="O82" s="5"/>
      <c r="P82" s="5">
        <f t="shared" si="19"/>
        <v>1</v>
      </c>
      <c r="Q82" s="7">
        <f t="shared" si="20"/>
        <v>8668</v>
      </c>
      <c r="W82" s="124">
        <f t="shared" si="21"/>
        <v>3487420.946831</v>
      </c>
      <c r="X82">
        <f t="shared" si="22"/>
        <v>0</v>
      </c>
    </row>
    <row r="83" spans="1:24">
      <c r="A83" s="23" t="s">
        <v>87</v>
      </c>
      <c r="B83" s="35" t="s">
        <v>84</v>
      </c>
      <c r="C83" s="125">
        <v>773</v>
      </c>
      <c r="D83" s="147">
        <v>37489123</v>
      </c>
      <c r="E83" s="116">
        <f t="shared" si="23"/>
        <v>48498.218628719274</v>
      </c>
      <c r="F83" s="134">
        <v>15163642</v>
      </c>
      <c r="G83" s="117">
        <f t="shared" si="24"/>
        <v>19616.613195342819</v>
      </c>
      <c r="H83" s="98"/>
      <c r="I83" s="136">
        <v>5</v>
      </c>
      <c r="J83" s="134">
        <v>75818.210000000006</v>
      </c>
      <c r="K83" s="120">
        <f t="shared" si="25"/>
        <v>98.08306597671411</v>
      </c>
      <c r="L83" s="122">
        <f t="shared" si="16"/>
        <v>151636.42000000001</v>
      </c>
      <c r="M83" s="116">
        <f t="shared" si="17"/>
        <v>75818.210000000006</v>
      </c>
      <c r="N83" s="123">
        <f t="shared" si="18"/>
        <v>98.08306597671411</v>
      </c>
      <c r="O83" s="5"/>
      <c r="P83" s="5">
        <f t="shared" si="19"/>
        <v>1</v>
      </c>
      <c r="Q83" s="7">
        <f t="shared" si="20"/>
        <v>773</v>
      </c>
      <c r="S83" s="124">
        <f>SUM(D80:D83)</f>
        <v>1819549605</v>
      </c>
      <c r="T83" s="124">
        <f>SUM(F80:F83)</f>
        <v>1152990138</v>
      </c>
      <c r="U83" s="124">
        <f>SUM(J80:J83)</f>
        <v>5664696.2161332993</v>
      </c>
      <c r="W83" s="124">
        <f t="shared" si="21"/>
        <v>75818.210000000006</v>
      </c>
      <c r="X83">
        <f t="shared" si="22"/>
        <v>0</v>
      </c>
    </row>
    <row r="84" spans="1:24">
      <c r="A84" s="23" t="s">
        <v>88</v>
      </c>
      <c r="B84" s="35" t="s">
        <v>89</v>
      </c>
      <c r="C84" s="125">
        <v>428</v>
      </c>
      <c r="D84" s="132">
        <v>127640662</v>
      </c>
      <c r="E84" s="116">
        <f>(D84/C84)</f>
        <v>298225.84579439252</v>
      </c>
      <c r="F84" s="134">
        <v>86562321</v>
      </c>
      <c r="G84" s="117">
        <f>(F84/C84)</f>
        <v>202248.41355140187</v>
      </c>
      <c r="H84" s="7"/>
      <c r="I84" s="136">
        <v>5.2378</v>
      </c>
      <c r="J84" s="134">
        <v>453396.12493379996</v>
      </c>
      <c r="K84" s="120">
        <f>(J84/C84)</f>
        <v>1059.3367404995327</v>
      </c>
      <c r="L84" s="122">
        <f t="shared" si="16"/>
        <v>865623.21</v>
      </c>
      <c r="M84" s="116">
        <f t="shared" si="17"/>
        <v>412227.0850662</v>
      </c>
      <c r="N84" s="123">
        <f t="shared" si="18"/>
        <v>963.14739501448594</v>
      </c>
      <c r="O84" s="5"/>
      <c r="P84" s="5">
        <f t="shared" si="19"/>
        <v>1</v>
      </c>
      <c r="Q84" s="7">
        <f t="shared" si="20"/>
        <v>428</v>
      </c>
      <c r="W84" s="124">
        <f t="shared" si="21"/>
        <v>453396.12493380002</v>
      </c>
      <c r="X84">
        <f t="shared" si="22"/>
        <v>0</v>
      </c>
    </row>
    <row r="85" spans="1:24">
      <c r="A85" s="23" t="s">
        <v>90</v>
      </c>
      <c r="B85" s="35" t="s">
        <v>89</v>
      </c>
      <c r="C85" s="125">
        <v>17348</v>
      </c>
      <c r="D85" s="132">
        <v>12539709981</v>
      </c>
      <c r="E85" s="116">
        <f>(D85/C85)</f>
        <v>722833.17852201988</v>
      </c>
      <c r="F85" s="134">
        <v>10936518096</v>
      </c>
      <c r="G85" s="117">
        <f>(F85/C85)</f>
        <v>630419.5351625547</v>
      </c>
      <c r="H85" s="7"/>
      <c r="I85" s="136">
        <v>1.8057000000000001</v>
      </c>
      <c r="J85" s="134">
        <v>19748070.725947201</v>
      </c>
      <c r="K85" s="120">
        <f>(J85/C85)</f>
        <v>1138.3485546430252</v>
      </c>
      <c r="L85" s="122">
        <f t="shared" si="16"/>
        <v>109365180.96000001</v>
      </c>
      <c r="M85" s="116">
        <f t="shared" si="17"/>
        <v>89617110.234052807</v>
      </c>
      <c r="N85" s="123">
        <f t="shared" si="18"/>
        <v>5165.8467969825233</v>
      </c>
      <c r="O85" s="5"/>
      <c r="P85" s="5">
        <f t="shared" si="19"/>
        <v>1</v>
      </c>
      <c r="Q85" s="7">
        <f t="shared" si="20"/>
        <v>17348</v>
      </c>
      <c r="W85" s="124">
        <f t="shared" si="21"/>
        <v>19748070.725947201</v>
      </c>
      <c r="X85">
        <f t="shared" si="22"/>
        <v>0</v>
      </c>
    </row>
    <row r="86" spans="1:24">
      <c r="A86" s="23" t="s">
        <v>91</v>
      </c>
      <c r="B86" s="35" t="s">
        <v>89</v>
      </c>
      <c r="C86" s="125">
        <v>20922</v>
      </c>
      <c r="D86" s="132">
        <v>29674122650</v>
      </c>
      <c r="E86" s="116">
        <f>(D86/C86)</f>
        <v>1418321.5108498232</v>
      </c>
      <c r="F86" s="134">
        <v>24119968653</v>
      </c>
      <c r="G86" s="117">
        <f>(F86/C86)</f>
        <v>1152851.9574132492</v>
      </c>
      <c r="H86" s="9"/>
      <c r="I86" s="150">
        <v>1.18</v>
      </c>
      <c r="J86" s="134">
        <v>28461563.010539997</v>
      </c>
      <c r="K86" s="120">
        <f>(J86/C86)</f>
        <v>1360.365309747634</v>
      </c>
      <c r="L86" s="122">
        <f t="shared" si="16"/>
        <v>241199686.53</v>
      </c>
      <c r="M86" s="116">
        <f t="shared" si="17"/>
        <v>212738123.51945999</v>
      </c>
      <c r="N86" s="123">
        <f t="shared" si="18"/>
        <v>10168.154264384857</v>
      </c>
      <c r="O86" s="5"/>
      <c r="P86" s="5">
        <f t="shared" si="19"/>
        <v>1</v>
      </c>
      <c r="Q86" s="7">
        <f t="shared" si="20"/>
        <v>20922</v>
      </c>
      <c r="S86" s="124">
        <f>SUM(D84:D86)</f>
        <v>42341473293</v>
      </c>
      <c r="T86" s="124">
        <f>SUM(F84:F86)</f>
        <v>35143049070</v>
      </c>
      <c r="U86" s="124">
        <f>SUM(J84:J86)</f>
        <v>48663029.861421004</v>
      </c>
      <c r="W86" s="124">
        <f t="shared" si="21"/>
        <v>28461563.010539997</v>
      </c>
      <c r="X86">
        <f t="shared" si="22"/>
        <v>0</v>
      </c>
    </row>
    <row r="87" spans="1:24">
      <c r="A87" s="23" t="s">
        <v>92</v>
      </c>
      <c r="B87" s="35" t="s">
        <v>93</v>
      </c>
      <c r="C87" s="125">
        <v>554</v>
      </c>
      <c r="D87" s="147" t="s">
        <v>564</v>
      </c>
      <c r="E87" s="116"/>
      <c r="F87" s="134"/>
      <c r="G87" s="117"/>
      <c r="H87" s="98" t="s">
        <v>588</v>
      </c>
      <c r="I87" s="136"/>
      <c r="J87" s="134"/>
      <c r="K87" s="120"/>
      <c r="L87" s="122">
        <f t="shared" si="16"/>
        <v>0</v>
      </c>
      <c r="M87" s="116">
        <f t="shared" si="17"/>
        <v>0</v>
      </c>
      <c r="N87" s="123">
        <f t="shared" si="18"/>
        <v>0</v>
      </c>
      <c r="O87" s="5"/>
      <c r="P87" s="5">
        <f t="shared" si="19"/>
        <v>0</v>
      </c>
      <c r="Q87" s="7">
        <f t="shared" si="20"/>
        <v>0</v>
      </c>
      <c r="W87" s="124">
        <f t="shared" si="21"/>
        <v>0</v>
      </c>
      <c r="X87">
        <f t="shared" si="22"/>
        <v>0</v>
      </c>
    </row>
    <row r="88" spans="1:24">
      <c r="A88" s="23" t="s">
        <v>94</v>
      </c>
      <c r="B88" s="35" t="s">
        <v>93</v>
      </c>
      <c r="C88" s="125">
        <v>12271</v>
      </c>
      <c r="D88" s="132">
        <v>1179041103</v>
      </c>
      <c r="E88" s="116">
        <f t="shared" ref="E88:E93" si="26">(D88/C88)</f>
        <v>96083.538668405177</v>
      </c>
      <c r="F88" s="134">
        <v>831176464</v>
      </c>
      <c r="G88" s="117">
        <f t="shared" ref="G88:G93" si="27">(F88/C88)</f>
        <v>67735.022736533283</v>
      </c>
      <c r="H88" s="7"/>
      <c r="I88" s="136">
        <v>4.9000000000000004</v>
      </c>
      <c r="J88" s="134">
        <v>4072764.6736000003</v>
      </c>
      <c r="K88" s="120">
        <f t="shared" ref="K88:K93" si="28">(J88/C88)</f>
        <v>331.90161140901313</v>
      </c>
      <c r="L88" s="122">
        <f t="shared" si="16"/>
        <v>8311764.6400000006</v>
      </c>
      <c r="M88" s="116">
        <f t="shared" si="17"/>
        <v>4238999.9664000003</v>
      </c>
      <c r="N88" s="123">
        <f t="shared" si="18"/>
        <v>345.44861595631983</v>
      </c>
      <c r="O88" s="5"/>
      <c r="P88" s="5">
        <f t="shared" si="19"/>
        <v>1</v>
      </c>
      <c r="Q88" s="7">
        <f t="shared" si="20"/>
        <v>12271</v>
      </c>
      <c r="S88" s="124">
        <f>SUM(D87:D88)</f>
        <v>1179041103</v>
      </c>
      <c r="T88" s="124">
        <f>SUM(F87:F88)</f>
        <v>831176464</v>
      </c>
      <c r="U88" s="124">
        <f>SUM(J87:J88)</f>
        <v>4072764.6736000003</v>
      </c>
      <c r="W88" s="124">
        <f t="shared" si="21"/>
        <v>4072764.6736000008</v>
      </c>
      <c r="X88">
        <f t="shared" si="22"/>
        <v>0</v>
      </c>
    </row>
    <row r="89" spans="1:24">
      <c r="A89" s="23" t="s">
        <v>95</v>
      </c>
      <c r="B89" s="37" t="s">
        <v>575</v>
      </c>
      <c r="C89" s="125">
        <v>7770</v>
      </c>
      <c r="D89" s="132">
        <v>406430426</v>
      </c>
      <c r="E89" s="116">
        <f t="shared" si="26"/>
        <v>52307.648133848132</v>
      </c>
      <c r="F89" s="134">
        <v>208005966</v>
      </c>
      <c r="G89" s="117">
        <f t="shared" si="27"/>
        <v>26770.394594594596</v>
      </c>
      <c r="H89" s="8"/>
      <c r="I89" s="136">
        <v>8.8194999999999997</v>
      </c>
      <c r="J89" s="134">
        <v>1834508.6171369997</v>
      </c>
      <c r="K89" s="120">
        <f t="shared" si="28"/>
        <v>236.10149512702699</v>
      </c>
      <c r="L89" s="122">
        <f t="shared" si="16"/>
        <v>2080059.6600000001</v>
      </c>
      <c r="M89" s="116">
        <f t="shared" si="17"/>
        <v>245551.04286300042</v>
      </c>
      <c r="N89" s="123">
        <f t="shared" si="18"/>
        <v>31.602450818918971</v>
      </c>
      <c r="O89" s="5"/>
      <c r="P89" s="5">
        <f t="shared" si="19"/>
        <v>1</v>
      </c>
      <c r="Q89" s="7">
        <f t="shared" si="20"/>
        <v>7770</v>
      </c>
      <c r="S89" s="124">
        <f>SUM(D89)</f>
        <v>406430426</v>
      </c>
      <c r="T89" s="124">
        <f>SUM(F89)</f>
        <v>208005966</v>
      </c>
      <c r="U89" s="124">
        <f>SUM(J89)</f>
        <v>1834508.6171369997</v>
      </c>
      <c r="W89" s="124">
        <f t="shared" si="21"/>
        <v>1834508.6171369997</v>
      </c>
      <c r="X89">
        <f t="shared" si="22"/>
        <v>0</v>
      </c>
    </row>
    <row r="90" spans="1:24">
      <c r="A90" s="23" t="s">
        <v>96</v>
      </c>
      <c r="B90" s="35" t="s">
        <v>97</v>
      </c>
      <c r="C90" s="125">
        <v>1672</v>
      </c>
      <c r="D90" s="132">
        <v>77527732</v>
      </c>
      <c r="E90" s="116">
        <f t="shared" si="26"/>
        <v>46368.260765550236</v>
      </c>
      <c r="F90" s="134">
        <v>36201368</v>
      </c>
      <c r="G90" s="117">
        <f t="shared" si="27"/>
        <v>21651.535885167465</v>
      </c>
      <c r="H90" s="8"/>
      <c r="I90" s="136">
        <v>5.6323999999999996</v>
      </c>
      <c r="J90" s="134">
        <v>203900.5851232</v>
      </c>
      <c r="K90" s="120">
        <f t="shared" si="28"/>
        <v>121.95011071961723</v>
      </c>
      <c r="L90" s="122">
        <f t="shared" si="16"/>
        <v>362013.68</v>
      </c>
      <c r="M90" s="116">
        <f t="shared" si="17"/>
        <v>158113.09487679999</v>
      </c>
      <c r="N90" s="123">
        <f t="shared" si="18"/>
        <v>94.56524813205742</v>
      </c>
      <c r="O90" s="5"/>
      <c r="P90" s="5">
        <f t="shared" si="19"/>
        <v>1</v>
      </c>
      <c r="Q90" s="7">
        <f t="shared" si="20"/>
        <v>1672</v>
      </c>
      <c r="W90" s="124">
        <f t="shared" si="21"/>
        <v>203900.58512319997</v>
      </c>
      <c r="X90">
        <f t="shared" si="22"/>
        <v>0</v>
      </c>
    </row>
    <row r="91" spans="1:24">
      <c r="A91" s="23" t="s">
        <v>98</v>
      </c>
      <c r="B91" s="35" t="s">
        <v>97</v>
      </c>
      <c r="C91" s="125">
        <v>171</v>
      </c>
      <c r="D91" s="132">
        <v>50744157</v>
      </c>
      <c r="E91" s="116">
        <f t="shared" si="26"/>
        <v>296749.4561403509</v>
      </c>
      <c r="F91" s="134">
        <v>43609908</v>
      </c>
      <c r="G91" s="117">
        <f t="shared" si="27"/>
        <v>255028.70175438595</v>
      </c>
      <c r="H91" s="9"/>
      <c r="I91" s="150">
        <v>2.5</v>
      </c>
      <c r="J91" s="134">
        <v>109024.77</v>
      </c>
      <c r="K91" s="120">
        <f t="shared" si="28"/>
        <v>637.57175438596494</v>
      </c>
      <c r="L91" s="122">
        <f t="shared" si="16"/>
        <v>436099.08</v>
      </c>
      <c r="M91" s="116">
        <f t="shared" si="17"/>
        <v>327074.31</v>
      </c>
      <c r="N91" s="123">
        <f t="shared" si="18"/>
        <v>1912.7152631578947</v>
      </c>
      <c r="O91" s="5"/>
      <c r="P91" s="5">
        <f t="shared" si="19"/>
        <v>1</v>
      </c>
      <c r="Q91" s="7">
        <f t="shared" si="20"/>
        <v>171</v>
      </c>
      <c r="S91" s="124">
        <f>SUM(D90:D91)</f>
        <v>128271889</v>
      </c>
      <c r="T91" s="124">
        <f>SUM(F90:F91)</f>
        <v>79811276</v>
      </c>
      <c r="U91" s="124">
        <f>SUM(J90:J91)</f>
        <v>312925.35512319999</v>
      </c>
      <c r="W91" s="124">
        <f t="shared" si="21"/>
        <v>109024.77</v>
      </c>
      <c r="X91">
        <f t="shared" si="22"/>
        <v>0</v>
      </c>
    </row>
    <row r="92" spans="1:24">
      <c r="A92" s="23" t="s">
        <v>99</v>
      </c>
      <c r="B92" s="35" t="s">
        <v>100</v>
      </c>
      <c r="C92" s="125">
        <v>13792</v>
      </c>
      <c r="D92" s="132">
        <v>2807737440</v>
      </c>
      <c r="E92" s="116">
        <f t="shared" si="26"/>
        <v>203577.25058004641</v>
      </c>
      <c r="F92" s="134">
        <v>1895006241</v>
      </c>
      <c r="G92" s="117">
        <f t="shared" si="27"/>
        <v>137398.94438805105</v>
      </c>
      <c r="H92" s="9"/>
      <c r="I92" s="136">
        <v>3.2284999999999999</v>
      </c>
      <c r="J92" s="134">
        <v>6118027.6490684999</v>
      </c>
      <c r="K92" s="120">
        <f t="shared" si="28"/>
        <v>443.59249195682281</v>
      </c>
      <c r="L92" s="122">
        <f t="shared" si="16"/>
        <v>18950062.41</v>
      </c>
      <c r="M92" s="116">
        <f t="shared" si="17"/>
        <v>12832034.760931499</v>
      </c>
      <c r="N92" s="123">
        <f t="shared" si="18"/>
        <v>930.39695192368754</v>
      </c>
      <c r="O92" s="5"/>
      <c r="P92" s="5">
        <f t="shared" si="19"/>
        <v>1</v>
      </c>
      <c r="Q92" s="7">
        <f t="shared" si="20"/>
        <v>13792</v>
      </c>
      <c r="W92" s="124">
        <f t="shared" si="21"/>
        <v>6118027.6490684999</v>
      </c>
      <c r="X92">
        <f t="shared" si="22"/>
        <v>0</v>
      </c>
    </row>
    <row r="93" spans="1:24">
      <c r="A93" s="23" t="s">
        <v>101</v>
      </c>
      <c r="B93" s="35" t="s">
        <v>100</v>
      </c>
      <c r="C93" s="125">
        <v>1415</v>
      </c>
      <c r="D93" s="132">
        <v>87863459</v>
      </c>
      <c r="E93" s="116">
        <f t="shared" si="26"/>
        <v>62094.317314487635</v>
      </c>
      <c r="F93" s="134">
        <v>48656413</v>
      </c>
      <c r="G93" s="117">
        <f t="shared" si="27"/>
        <v>34386.157597173144</v>
      </c>
      <c r="H93" s="9"/>
      <c r="I93" s="136">
        <v>2.7605</v>
      </c>
      <c r="J93" s="134">
        <v>134316.02808649998</v>
      </c>
      <c r="K93" s="120">
        <f t="shared" si="28"/>
        <v>94.922988046996451</v>
      </c>
      <c r="L93" s="122">
        <f t="shared" si="16"/>
        <v>486564.13</v>
      </c>
      <c r="M93" s="116">
        <f t="shared" si="17"/>
        <v>352248.1019135</v>
      </c>
      <c r="N93" s="123">
        <f t="shared" si="18"/>
        <v>248.93858792473497</v>
      </c>
      <c r="O93" s="5"/>
      <c r="P93" s="5">
        <f t="shared" si="19"/>
        <v>1</v>
      </c>
      <c r="Q93" s="7">
        <f t="shared" si="20"/>
        <v>1415</v>
      </c>
      <c r="W93" s="124">
        <f t="shared" si="21"/>
        <v>134316.02808650001</v>
      </c>
      <c r="X93">
        <f t="shared" si="22"/>
        <v>0</v>
      </c>
    </row>
    <row r="94" spans="1:24">
      <c r="A94" s="23" t="s">
        <v>102</v>
      </c>
      <c r="B94" s="35" t="s">
        <v>100</v>
      </c>
      <c r="C94" s="125">
        <v>924900</v>
      </c>
      <c r="D94" s="155" t="s">
        <v>623</v>
      </c>
      <c r="E94" s="116"/>
      <c r="F94" s="134"/>
      <c r="G94" s="117"/>
      <c r="H94" s="9"/>
      <c r="I94" s="136"/>
      <c r="J94" s="134"/>
      <c r="K94" s="120"/>
      <c r="L94" s="122">
        <f t="shared" si="16"/>
        <v>0</v>
      </c>
      <c r="M94" s="116">
        <f t="shared" si="17"/>
        <v>0</v>
      </c>
      <c r="N94" s="123">
        <f t="shared" si="18"/>
        <v>0</v>
      </c>
      <c r="O94" s="5"/>
      <c r="P94" s="5">
        <f t="shared" si="19"/>
        <v>0</v>
      </c>
      <c r="Q94" s="7">
        <f t="shared" si="20"/>
        <v>0</v>
      </c>
      <c r="W94" s="124">
        <f t="shared" si="21"/>
        <v>0</v>
      </c>
      <c r="X94">
        <f t="shared" si="22"/>
        <v>0</v>
      </c>
    </row>
    <row r="95" spans="1:24">
      <c r="A95" s="23" t="s">
        <v>103</v>
      </c>
      <c r="B95" s="35" t="s">
        <v>100</v>
      </c>
      <c r="C95" s="125">
        <v>23352</v>
      </c>
      <c r="D95" s="132">
        <v>5389267295</v>
      </c>
      <c r="E95" s="116">
        <f t="shared" ref="E95:E133" si="29">(D95/C95)</f>
        <v>230783.97118019869</v>
      </c>
      <c r="F95" s="134">
        <v>3822812371</v>
      </c>
      <c r="G95" s="117">
        <f t="shared" ref="G95:G133" si="30">(F95/C95)</f>
        <v>163703.85281774579</v>
      </c>
      <c r="H95" s="9"/>
      <c r="I95" s="136">
        <v>3.9946999999999999</v>
      </c>
      <c r="J95" s="134">
        <v>15270988.5784337</v>
      </c>
      <c r="K95" s="120">
        <f t="shared" ref="K95:K133" si="31">(J95/C95)</f>
        <v>653.94778085104917</v>
      </c>
      <c r="L95" s="122">
        <f t="shared" si="16"/>
        <v>38228123.710000001</v>
      </c>
      <c r="M95" s="116">
        <f t="shared" si="17"/>
        <v>22957135.131566301</v>
      </c>
      <c r="N95" s="123">
        <f t="shared" si="18"/>
        <v>983.09074732640886</v>
      </c>
      <c r="O95" s="5"/>
      <c r="P95" s="5">
        <f t="shared" si="19"/>
        <v>1</v>
      </c>
      <c r="Q95" s="7">
        <f t="shared" si="20"/>
        <v>23352</v>
      </c>
      <c r="W95" s="124">
        <f t="shared" si="21"/>
        <v>15270988.578433702</v>
      </c>
      <c r="X95">
        <f t="shared" si="22"/>
        <v>0</v>
      </c>
    </row>
    <row r="96" spans="1:24">
      <c r="A96" s="23" t="s">
        <v>104</v>
      </c>
      <c r="B96" s="35" t="s">
        <v>100</v>
      </c>
      <c r="C96" s="125">
        <v>7213</v>
      </c>
      <c r="D96" s="132">
        <v>1407529091</v>
      </c>
      <c r="E96" s="116">
        <f t="shared" si="29"/>
        <v>195137.81935394427</v>
      </c>
      <c r="F96" s="134">
        <v>918024408</v>
      </c>
      <c r="G96" s="117">
        <f t="shared" si="30"/>
        <v>127273.59046166643</v>
      </c>
      <c r="H96" s="7"/>
      <c r="I96" s="136">
        <v>3.3656000000000001</v>
      </c>
      <c r="J96" s="134">
        <v>3089702.9475648003</v>
      </c>
      <c r="K96" s="120">
        <f t="shared" si="31"/>
        <v>428.35199605778462</v>
      </c>
      <c r="L96" s="122">
        <f t="shared" si="16"/>
        <v>9180244.0800000001</v>
      </c>
      <c r="M96" s="116">
        <f t="shared" si="17"/>
        <v>6090541.1324351998</v>
      </c>
      <c r="N96" s="123">
        <f t="shared" si="18"/>
        <v>844.38390855887974</v>
      </c>
      <c r="O96" s="5"/>
      <c r="P96" s="5">
        <f t="shared" si="19"/>
        <v>1</v>
      </c>
      <c r="Q96" s="7">
        <f t="shared" si="20"/>
        <v>7213</v>
      </c>
      <c r="S96" s="124">
        <f>SUM(D92:D96)</f>
        <v>9692397285</v>
      </c>
      <c r="T96" s="124">
        <f>SUM(F92:F96)</f>
        <v>6684499433</v>
      </c>
      <c r="U96" s="124">
        <f>SUM(J92:J96)</f>
        <v>24613035.203153498</v>
      </c>
      <c r="W96" s="124">
        <f t="shared" si="21"/>
        <v>3089702.9475648003</v>
      </c>
      <c r="X96">
        <f t="shared" si="22"/>
        <v>0</v>
      </c>
    </row>
    <row r="97" spans="1:24">
      <c r="A97" s="23" t="s">
        <v>105</v>
      </c>
      <c r="B97" s="35" t="s">
        <v>106</v>
      </c>
      <c r="C97" s="125">
        <v>1626</v>
      </c>
      <c r="D97" s="132">
        <v>63699175</v>
      </c>
      <c r="E97" s="116">
        <f t="shared" si="29"/>
        <v>39175.384378843788</v>
      </c>
      <c r="F97" s="134">
        <v>40473151</v>
      </c>
      <c r="G97" s="117">
        <f t="shared" si="30"/>
        <v>24891.236777367772</v>
      </c>
      <c r="H97" s="7"/>
      <c r="I97" s="136">
        <v>0.9204</v>
      </c>
      <c r="J97" s="134">
        <v>37251.488180399996</v>
      </c>
      <c r="K97" s="120">
        <f t="shared" si="31"/>
        <v>22.909894329889298</v>
      </c>
      <c r="L97" s="122">
        <f t="shared" si="16"/>
        <v>404731.51</v>
      </c>
      <c r="M97" s="116">
        <f t="shared" si="17"/>
        <v>367480.02181960002</v>
      </c>
      <c r="N97" s="123">
        <f t="shared" si="18"/>
        <v>226.00247344378846</v>
      </c>
      <c r="O97" s="5"/>
      <c r="P97" s="5">
        <f t="shared" si="19"/>
        <v>1</v>
      </c>
      <c r="Q97" s="7">
        <f t="shared" si="20"/>
        <v>1626</v>
      </c>
      <c r="W97" s="124">
        <f t="shared" si="21"/>
        <v>37251.488180400003</v>
      </c>
      <c r="X97">
        <f t="shared" si="22"/>
        <v>0</v>
      </c>
    </row>
    <row r="98" spans="1:24">
      <c r="A98" s="23" t="s">
        <v>107</v>
      </c>
      <c r="B98" s="35" t="s">
        <v>106</v>
      </c>
      <c r="C98" s="125">
        <v>55226</v>
      </c>
      <c r="D98" s="132">
        <v>6857197356</v>
      </c>
      <c r="E98" s="116">
        <f t="shared" si="29"/>
        <v>124166.10574729294</v>
      </c>
      <c r="F98" s="134">
        <v>4087670833</v>
      </c>
      <c r="G98" s="117">
        <f t="shared" si="30"/>
        <v>74017.144696338684</v>
      </c>
      <c r="H98" s="7"/>
      <c r="I98" s="136">
        <v>4.2895000000000003</v>
      </c>
      <c r="J98" s="134">
        <v>17534064.038153499</v>
      </c>
      <c r="K98" s="120">
        <f t="shared" si="31"/>
        <v>317.49654217494475</v>
      </c>
      <c r="L98" s="122">
        <f t="shared" si="16"/>
        <v>40876708.329999998</v>
      </c>
      <c r="M98" s="116">
        <f t="shared" si="17"/>
        <v>23342644.291846499</v>
      </c>
      <c r="N98" s="123">
        <f t="shared" si="18"/>
        <v>422.67490478844201</v>
      </c>
      <c r="O98" s="5"/>
      <c r="P98" s="5">
        <f t="shared" si="19"/>
        <v>1</v>
      </c>
      <c r="Q98" s="7">
        <f t="shared" si="20"/>
        <v>55226</v>
      </c>
      <c r="S98" s="124">
        <f>SUM(D97:D98)</f>
        <v>6920896531</v>
      </c>
      <c r="T98" s="124">
        <f>SUM(F97:F98)</f>
        <v>4128143984</v>
      </c>
      <c r="U98" s="124">
        <f>SUM(J97:J98)</f>
        <v>17571315.526333898</v>
      </c>
      <c r="W98" s="124">
        <f t="shared" si="21"/>
        <v>17534064.038153499</v>
      </c>
      <c r="X98">
        <f t="shared" si="22"/>
        <v>0</v>
      </c>
    </row>
    <row r="99" spans="1:24">
      <c r="A99" s="23" t="s">
        <v>108</v>
      </c>
      <c r="B99" s="35" t="s">
        <v>109</v>
      </c>
      <c r="C99" s="125">
        <v>372</v>
      </c>
      <c r="D99" s="132">
        <v>104754790</v>
      </c>
      <c r="E99" s="116">
        <f t="shared" si="29"/>
        <v>281598.89784946234</v>
      </c>
      <c r="F99" s="134">
        <v>79693922</v>
      </c>
      <c r="G99" s="117">
        <f t="shared" si="30"/>
        <v>214230.97311827957</v>
      </c>
      <c r="H99" s="7"/>
      <c r="I99" s="136">
        <v>2.5</v>
      </c>
      <c r="J99" s="134">
        <v>199234.80499999999</v>
      </c>
      <c r="K99" s="120">
        <f t="shared" si="31"/>
        <v>535.57743279569888</v>
      </c>
      <c r="L99" s="122">
        <f t="shared" si="16"/>
        <v>796939.22</v>
      </c>
      <c r="M99" s="116">
        <f t="shared" si="17"/>
        <v>597704.41500000004</v>
      </c>
      <c r="N99" s="123">
        <f t="shared" si="18"/>
        <v>1606.7322983870968</v>
      </c>
      <c r="O99" s="5"/>
      <c r="P99" s="5">
        <f t="shared" si="19"/>
        <v>1</v>
      </c>
      <c r="Q99" s="7">
        <f t="shared" si="20"/>
        <v>372</v>
      </c>
      <c r="W99" s="124">
        <f t="shared" si="21"/>
        <v>199234.80499999999</v>
      </c>
      <c r="X99">
        <f t="shared" si="22"/>
        <v>0</v>
      </c>
    </row>
    <row r="100" spans="1:24">
      <c r="A100" s="23" t="s">
        <v>110</v>
      </c>
      <c r="B100" s="35" t="s">
        <v>109</v>
      </c>
      <c r="C100" s="125">
        <v>3271</v>
      </c>
      <c r="D100" s="132">
        <v>545390279</v>
      </c>
      <c r="E100" s="116">
        <f t="shared" si="29"/>
        <v>166735.02873738919</v>
      </c>
      <c r="F100" s="134">
        <v>196488489</v>
      </c>
      <c r="G100" s="117">
        <f t="shared" si="30"/>
        <v>60069.852950168148</v>
      </c>
      <c r="H100" s="7"/>
      <c r="I100" s="136">
        <v>6.43</v>
      </c>
      <c r="J100" s="134">
        <v>1263420.9842699999</v>
      </c>
      <c r="K100" s="120">
        <f t="shared" si="31"/>
        <v>386.24915446958113</v>
      </c>
      <c r="L100" s="122">
        <f t="shared" si="16"/>
        <v>1964884.8900000001</v>
      </c>
      <c r="M100" s="116">
        <f t="shared" si="17"/>
        <v>701463.90573000023</v>
      </c>
      <c r="N100" s="123">
        <f t="shared" si="18"/>
        <v>214.44937503210033</v>
      </c>
      <c r="O100" s="5"/>
      <c r="P100" s="5">
        <f t="shared" si="19"/>
        <v>1</v>
      </c>
      <c r="Q100" s="7">
        <f t="shared" si="20"/>
        <v>3271</v>
      </c>
      <c r="W100" s="124">
        <f t="shared" si="21"/>
        <v>1263420.9842699999</v>
      </c>
      <c r="X100">
        <f t="shared" si="22"/>
        <v>0</v>
      </c>
    </row>
    <row r="101" spans="1:24">
      <c r="A101" s="23" t="s">
        <v>447</v>
      </c>
      <c r="B101" s="35" t="s">
        <v>109</v>
      </c>
      <c r="C101" s="125">
        <v>86768</v>
      </c>
      <c r="D101" s="132">
        <v>8709427608</v>
      </c>
      <c r="E101" s="116">
        <f t="shared" si="29"/>
        <v>100376.03273096072</v>
      </c>
      <c r="F101" s="134">
        <v>5452405189</v>
      </c>
      <c r="G101" s="117">
        <f t="shared" si="30"/>
        <v>62838.894396551725</v>
      </c>
      <c r="H101" s="9"/>
      <c r="I101" s="136">
        <v>4.6989000000000001</v>
      </c>
      <c r="J101" s="134">
        <v>25620306.742592104</v>
      </c>
      <c r="K101" s="120">
        <f t="shared" si="31"/>
        <v>295.27368087995694</v>
      </c>
      <c r="L101" s="122">
        <f t="shared" si="16"/>
        <v>54524051.890000001</v>
      </c>
      <c r="M101" s="116">
        <f t="shared" si="17"/>
        <v>28903745.147407897</v>
      </c>
      <c r="N101" s="123">
        <f t="shared" si="18"/>
        <v>333.11526308556029</v>
      </c>
      <c r="O101" s="5"/>
      <c r="P101" s="5">
        <f t="shared" si="19"/>
        <v>1</v>
      </c>
      <c r="Q101" s="7">
        <f t="shared" si="20"/>
        <v>86768</v>
      </c>
      <c r="W101" s="124">
        <f t="shared" si="21"/>
        <v>25620306.7425921</v>
      </c>
      <c r="X101">
        <f t="shared" si="22"/>
        <v>0</v>
      </c>
    </row>
    <row r="102" spans="1:24">
      <c r="A102" s="23" t="s">
        <v>111</v>
      </c>
      <c r="B102" s="35" t="s">
        <v>557</v>
      </c>
      <c r="C102" s="125">
        <v>8</v>
      </c>
      <c r="D102" s="132">
        <v>19144241</v>
      </c>
      <c r="E102" s="116">
        <f t="shared" si="29"/>
        <v>2393030.125</v>
      </c>
      <c r="F102" s="134">
        <v>5467005</v>
      </c>
      <c r="G102" s="117">
        <f t="shared" si="30"/>
        <v>683375.625</v>
      </c>
      <c r="H102" s="7"/>
      <c r="I102" s="136">
        <v>10</v>
      </c>
      <c r="J102" s="134">
        <v>54670.05</v>
      </c>
      <c r="K102" s="120">
        <f t="shared" si="31"/>
        <v>6833.7562500000004</v>
      </c>
      <c r="L102" s="122">
        <f t="shared" si="16"/>
        <v>54670.05</v>
      </c>
      <c r="M102" s="116">
        <f t="shared" si="17"/>
        <v>0</v>
      </c>
      <c r="N102" s="123">
        <f t="shared" si="18"/>
        <v>0</v>
      </c>
      <c r="O102" s="5"/>
      <c r="P102" s="5">
        <f t="shared" si="19"/>
        <v>1</v>
      </c>
      <c r="Q102" s="7">
        <f t="shared" si="20"/>
        <v>8</v>
      </c>
      <c r="W102" s="124">
        <f t="shared" si="21"/>
        <v>54670.05</v>
      </c>
      <c r="X102">
        <f t="shared" si="22"/>
        <v>0</v>
      </c>
    </row>
    <row r="103" spans="1:24">
      <c r="A103" s="23" t="s">
        <v>112</v>
      </c>
      <c r="B103" s="35" t="s">
        <v>113</v>
      </c>
      <c r="C103" s="125">
        <v>4779</v>
      </c>
      <c r="D103" s="132">
        <f>(1053884365+10958496)</f>
        <v>1064842861</v>
      </c>
      <c r="E103" s="116">
        <f t="shared" si="29"/>
        <v>222817.08746599706</v>
      </c>
      <c r="F103" s="134">
        <f>(724592484+8311522)</f>
        <v>732904006</v>
      </c>
      <c r="G103" s="117">
        <f t="shared" si="30"/>
        <v>153359.28143963171</v>
      </c>
      <c r="H103" s="7"/>
      <c r="I103" s="136">
        <v>5.5709999999999997</v>
      </c>
      <c r="J103" s="154">
        <v>4083008.2174259997</v>
      </c>
      <c r="K103" s="120">
        <f t="shared" si="31"/>
        <v>854.36455690018829</v>
      </c>
      <c r="L103" s="122">
        <f t="shared" si="16"/>
        <v>7329040.0600000005</v>
      </c>
      <c r="M103" s="116">
        <f t="shared" si="17"/>
        <v>3246031.8425740008</v>
      </c>
      <c r="N103" s="123">
        <f t="shared" si="18"/>
        <v>679.22825749612912</v>
      </c>
      <c r="O103" s="5"/>
      <c r="P103" s="5">
        <f t="shared" si="19"/>
        <v>1</v>
      </c>
      <c r="Q103" s="7">
        <f t="shared" si="20"/>
        <v>4779</v>
      </c>
      <c r="S103" s="124">
        <f>SUM(D99:D103)</f>
        <v>10443559779</v>
      </c>
      <c r="T103" s="124">
        <f>SUM(F99:F103)</f>
        <v>6466958611</v>
      </c>
      <c r="U103" s="124">
        <f>SUM(J99:J103)</f>
        <v>31220640.799288101</v>
      </c>
      <c r="W103" s="124">
        <f t="shared" si="21"/>
        <v>4083008.2174259997</v>
      </c>
      <c r="X103">
        <f t="shared" si="22"/>
        <v>0</v>
      </c>
    </row>
    <row r="104" spans="1:24">
      <c r="A104" s="23" t="s">
        <v>114</v>
      </c>
      <c r="B104" s="35" t="s">
        <v>115</v>
      </c>
      <c r="C104" s="125">
        <v>2339</v>
      </c>
      <c r="D104" s="132">
        <v>267442687</v>
      </c>
      <c r="E104" s="116">
        <f t="shared" si="29"/>
        <v>114340.61008978196</v>
      </c>
      <c r="F104" s="134">
        <v>160631765</v>
      </c>
      <c r="G104" s="117">
        <f t="shared" si="30"/>
        <v>68675.401881145794</v>
      </c>
      <c r="H104" s="9"/>
      <c r="I104" s="150">
        <v>9.3000000000000007</v>
      </c>
      <c r="J104" s="134">
        <v>1493875.4145000002</v>
      </c>
      <c r="K104" s="120">
        <f t="shared" si="31"/>
        <v>638.68123749465587</v>
      </c>
      <c r="L104" s="122">
        <f t="shared" si="16"/>
        <v>1606317.6500000001</v>
      </c>
      <c r="M104" s="116">
        <f t="shared" si="17"/>
        <v>112442.23549999995</v>
      </c>
      <c r="N104" s="123">
        <f t="shared" si="18"/>
        <v>48.072781316802029</v>
      </c>
      <c r="O104" s="5"/>
      <c r="P104" s="5">
        <f t="shared" si="19"/>
        <v>1</v>
      </c>
      <c r="Q104" s="7">
        <f t="shared" si="20"/>
        <v>2339</v>
      </c>
      <c r="W104" s="124">
        <f t="shared" si="21"/>
        <v>1493875.4145000002</v>
      </c>
      <c r="X104">
        <f t="shared" si="22"/>
        <v>0</v>
      </c>
    </row>
    <row r="105" spans="1:24">
      <c r="A105" s="23" t="s">
        <v>116</v>
      </c>
      <c r="B105" s="35" t="s">
        <v>115</v>
      </c>
      <c r="C105" s="125">
        <v>2883</v>
      </c>
      <c r="D105" s="132">
        <v>164237876</v>
      </c>
      <c r="E105" s="116">
        <f t="shared" si="29"/>
        <v>56967.698924731179</v>
      </c>
      <c r="F105" s="134">
        <v>113205313</v>
      </c>
      <c r="G105" s="117">
        <f t="shared" si="30"/>
        <v>39266.497745404093</v>
      </c>
      <c r="H105" s="9"/>
      <c r="I105" s="136">
        <v>9</v>
      </c>
      <c r="J105" s="134">
        <v>1018847.8169999999</v>
      </c>
      <c r="K105" s="120">
        <f t="shared" si="31"/>
        <v>353.39847970863678</v>
      </c>
      <c r="L105" s="122">
        <f t="shared" si="16"/>
        <v>1132053.1300000001</v>
      </c>
      <c r="M105" s="116">
        <f t="shared" si="17"/>
        <v>113205.3130000002</v>
      </c>
      <c r="N105" s="123">
        <f t="shared" si="18"/>
        <v>39.266497745404159</v>
      </c>
      <c r="O105" s="5"/>
      <c r="P105" s="5">
        <f t="shared" si="19"/>
        <v>1</v>
      </c>
      <c r="Q105" s="7">
        <f t="shared" si="20"/>
        <v>2883</v>
      </c>
      <c r="S105" s="124">
        <f>SUM(D104:D105)</f>
        <v>431680563</v>
      </c>
      <c r="T105" s="124">
        <f>SUM(F104:F105)</f>
        <v>273837078</v>
      </c>
      <c r="U105" s="124">
        <f>SUM(J104:J105)</f>
        <v>2512723.2315000002</v>
      </c>
      <c r="W105" s="124">
        <f t="shared" si="21"/>
        <v>1018847.8169999999</v>
      </c>
      <c r="X105">
        <f t="shared" si="22"/>
        <v>0</v>
      </c>
    </row>
    <row r="106" spans="1:24">
      <c r="A106" s="23" t="s">
        <v>117</v>
      </c>
      <c r="B106" s="35" t="s">
        <v>118</v>
      </c>
      <c r="C106" s="125">
        <v>3090</v>
      </c>
      <c r="D106" s="132">
        <v>221050974</v>
      </c>
      <c r="E106" s="116">
        <f t="shared" si="29"/>
        <v>71537.53203883495</v>
      </c>
      <c r="F106" s="134">
        <v>29793891</v>
      </c>
      <c r="G106" s="117">
        <f t="shared" si="30"/>
        <v>9642.0359223300966</v>
      </c>
      <c r="H106" s="7"/>
      <c r="I106" s="136">
        <v>0.98229999999999995</v>
      </c>
      <c r="J106" s="134">
        <v>29266.539129299999</v>
      </c>
      <c r="K106" s="120">
        <f t="shared" si="31"/>
        <v>9.4713718865048548</v>
      </c>
      <c r="L106" s="122">
        <f t="shared" si="16"/>
        <v>297938.91000000003</v>
      </c>
      <c r="M106" s="116">
        <f t="shared" si="17"/>
        <v>268672.37087070005</v>
      </c>
      <c r="N106" s="123">
        <f t="shared" si="18"/>
        <v>86.948987336796137</v>
      </c>
      <c r="O106" s="5"/>
      <c r="P106" s="5">
        <f t="shared" si="19"/>
        <v>1</v>
      </c>
      <c r="Q106" s="7">
        <f t="shared" si="20"/>
        <v>3090</v>
      </c>
      <c r="W106" s="124">
        <f t="shared" si="21"/>
        <v>29266.539129299999</v>
      </c>
      <c r="X106">
        <f t="shared" si="22"/>
        <v>0</v>
      </c>
    </row>
    <row r="107" spans="1:24">
      <c r="A107" s="23" t="s">
        <v>119</v>
      </c>
      <c r="B107" s="35" t="s">
        <v>118</v>
      </c>
      <c r="C107" s="125">
        <v>553</v>
      </c>
      <c r="D107" s="132">
        <v>21185586</v>
      </c>
      <c r="E107" s="116">
        <f t="shared" si="29"/>
        <v>38310.282097649186</v>
      </c>
      <c r="F107" s="134">
        <v>7969213</v>
      </c>
      <c r="G107" s="117">
        <f t="shared" si="30"/>
        <v>14410.873417721519</v>
      </c>
      <c r="H107" s="7"/>
      <c r="I107" s="136">
        <v>5</v>
      </c>
      <c r="J107" s="134">
        <v>39846.065000000002</v>
      </c>
      <c r="K107" s="120">
        <f t="shared" si="31"/>
        <v>72.054367088607606</v>
      </c>
      <c r="L107" s="122">
        <f t="shared" si="16"/>
        <v>79692.13</v>
      </c>
      <c r="M107" s="116">
        <f t="shared" si="17"/>
        <v>39846.065000000002</v>
      </c>
      <c r="N107" s="123">
        <f t="shared" si="18"/>
        <v>72.054367088607606</v>
      </c>
      <c r="O107" s="5"/>
      <c r="P107" s="5">
        <f t="shared" si="19"/>
        <v>1</v>
      </c>
      <c r="Q107" s="7">
        <f t="shared" si="20"/>
        <v>553</v>
      </c>
      <c r="W107" s="124">
        <f t="shared" si="21"/>
        <v>39846.065000000002</v>
      </c>
      <c r="X107">
        <f t="shared" si="22"/>
        <v>0</v>
      </c>
    </row>
    <row r="108" spans="1:24">
      <c r="A108" s="23" t="s">
        <v>120</v>
      </c>
      <c r="B108" s="35" t="s">
        <v>118</v>
      </c>
      <c r="C108" s="125">
        <v>1656</v>
      </c>
      <c r="D108" s="132">
        <v>47148996</v>
      </c>
      <c r="E108" s="116">
        <f t="shared" si="29"/>
        <v>28471.615942028984</v>
      </c>
      <c r="F108" s="134">
        <v>26495694</v>
      </c>
      <c r="G108" s="117">
        <f t="shared" si="30"/>
        <v>15999.815217391304</v>
      </c>
      <c r="H108" s="7"/>
      <c r="I108" s="136">
        <v>4.9291999999999998</v>
      </c>
      <c r="J108" s="134">
        <v>130602.57486479999</v>
      </c>
      <c r="K108" s="120">
        <f t="shared" si="31"/>
        <v>78.866289169565206</v>
      </c>
      <c r="L108" s="122">
        <f t="shared" si="16"/>
        <v>264956.94</v>
      </c>
      <c r="M108" s="116">
        <f t="shared" si="17"/>
        <v>134354.36513520003</v>
      </c>
      <c r="N108" s="123">
        <f t="shared" si="18"/>
        <v>81.131863004347849</v>
      </c>
      <c r="O108" s="5"/>
      <c r="P108" s="5">
        <f t="shared" si="19"/>
        <v>1</v>
      </c>
      <c r="Q108" s="7">
        <f t="shared" si="20"/>
        <v>1656</v>
      </c>
      <c r="W108" s="124">
        <f t="shared" si="21"/>
        <v>130602.5748648</v>
      </c>
      <c r="X108">
        <f t="shared" si="22"/>
        <v>0</v>
      </c>
    </row>
    <row r="109" spans="1:24">
      <c r="A109" s="23" t="s">
        <v>121</v>
      </c>
      <c r="B109" s="35" t="s">
        <v>118</v>
      </c>
      <c r="C109" s="125">
        <v>1886</v>
      </c>
      <c r="D109" s="132">
        <v>103253866</v>
      </c>
      <c r="E109" s="116">
        <f t="shared" si="29"/>
        <v>54747.542948038179</v>
      </c>
      <c r="F109" s="134">
        <v>68980510</v>
      </c>
      <c r="G109" s="117">
        <f t="shared" si="30"/>
        <v>36575.031813361609</v>
      </c>
      <c r="H109" s="7"/>
      <c r="I109" s="136">
        <v>1.85</v>
      </c>
      <c r="J109" s="134">
        <v>127613.94349999999</v>
      </c>
      <c r="K109" s="120">
        <f t="shared" si="31"/>
        <v>67.66380885471898</v>
      </c>
      <c r="L109" s="122">
        <f t="shared" si="16"/>
        <v>689805.1</v>
      </c>
      <c r="M109" s="116">
        <f t="shared" si="17"/>
        <v>562191.15650000004</v>
      </c>
      <c r="N109" s="123">
        <f t="shared" si="18"/>
        <v>298.08650927889715</v>
      </c>
      <c r="O109" s="5"/>
      <c r="P109" s="5">
        <f t="shared" si="19"/>
        <v>1</v>
      </c>
      <c r="Q109" s="7">
        <f t="shared" si="20"/>
        <v>1886</v>
      </c>
      <c r="W109" s="124">
        <f t="shared" si="21"/>
        <v>127613.94350000001</v>
      </c>
      <c r="X109">
        <f t="shared" si="22"/>
        <v>0</v>
      </c>
    </row>
    <row r="110" spans="1:24">
      <c r="A110" s="23" t="s">
        <v>122</v>
      </c>
      <c r="B110" s="35" t="s">
        <v>118</v>
      </c>
      <c r="C110" s="125">
        <v>3449</v>
      </c>
      <c r="D110" s="132">
        <v>231402284</v>
      </c>
      <c r="E110" s="116">
        <f t="shared" si="29"/>
        <v>67092.572919686863</v>
      </c>
      <c r="F110" s="134">
        <v>161473824</v>
      </c>
      <c r="G110" s="117">
        <f t="shared" si="30"/>
        <v>46817.577268773559</v>
      </c>
      <c r="H110" s="7"/>
      <c r="I110" s="136">
        <v>4.6839000000000004</v>
      </c>
      <c r="J110" s="134">
        <v>756327.24423359998</v>
      </c>
      <c r="K110" s="120">
        <f t="shared" si="31"/>
        <v>219.28885016920847</v>
      </c>
      <c r="L110" s="122">
        <f t="shared" si="16"/>
        <v>1614738.24</v>
      </c>
      <c r="M110" s="116">
        <f t="shared" si="17"/>
        <v>858410.99576640001</v>
      </c>
      <c r="N110" s="123">
        <f t="shared" si="18"/>
        <v>248.88692251852711</v>
      </c>
      <c r="O110" s="5"/>
      <c r="P110" s="5">
        <f t="shared" si="19"/>
        <v>1</v>
      </c>
      <c r="Q110" s="7">
        <f t="shared" si="20"/>
        <v>3449</v>
      </c>
      <c r="W110" s="124">
        <f t="shared" si="21"/>
        <v>756327.2442336001</v>
      </c>
      <c r="X110">
        <f t="shared" si="22"/>
        <v>0</v>
      </c>
    </row>
    <row r="111" spans="1:24">
      <c r="A111" s="23" t="s">
        <v>123</v>
      </c>
      <c r="B111" s="35" t="s">
        <v>118</v>
      </c>
      <c r="C111" s="125">
        <v>7874</v>
      </c>
      <c r="D111" s="132">
        <v>506101457</v>
      </c>
      <c r="E111" s="116">
        <f t="shared" si="29"/>
        <v>64275.013589027178</v>
      </c>
      <c r="F111" s="134">
        <v>221488898</v>
      </c>
      <c r="G111" s="117">
        <f t="shared" si="30"/>
        <v>28129.146304292608</v>
      </c>
      <c r="H111" s="9"/>
      <c r="I111" s="136">
        <v>5</v>
      </c>
      <c r="J111" s="134">
        <v>1107444.49</v>
      </c>
      <c r="K111" s="120">
        <f t="shared" si="31"/>
        <v>140.64573152146303</v>
      </c>
      <c r="L111" s="122">
        <f t="shared" si="16"/>
        <v>2214888.98</v>
      </c>
      <c r="M111" s="116">
        <f t="shared" si="17"/>
        <v>1107444.49</v>
      </c>
      <c r="N111" s="123">
        <f t="shared" si="18"/>
        <v>140.64573152146303</v>
      </c>
      <c r="O111" s="5"/>
      <c r="P111" s="5">
        <f t="shared" si="19"/>
        <v>1</v>
      </c>
      <c r="Q111" s="7">
        <f t="shared" si="20"/>
        <v>7874</v>
      </c>
      <c r="S111" s="124">
        <f>SUM(D106:D111)</f>
        <v>1130143163</v>
      </c>
      <c r="T111" s="124">
        <f>SUM(F106:F111)</f>
        <v>516202030</v>
      </c>
      <c r="U111" s="124">
        <f>SUM(J106:J111)</f>
        <v>2191100.8567276997</v>
      </c>
      <c r="W111" s="124">
        <f t="shared" si="21"/>
        <v>1107444.49</v>
      </c>
      <c r="X111">
        <f t="shared" si="22"/>
        <v>0</v>
      </c>
    </row>
    <row r="112" spans="1:24">
      <c r="A112" s="23" t="s">
        <v>124</v>
      </c>
      <c r="B112" s="35" t="s">
        <v>125</v>
      </c>
      <c r="C112" s="125">
        <v>521</v>
      </c>
      <c r="D112" s="132">
        <v>40735365</v>
      </c>
      <c r="E112" s="116">
        <f t="shared" si="29"/>
        <v>78186.880998080611</v>
      </c>
      <c r="F112" s="134">
        <v>17442672</v>
      </c>
      <c r="G112" s="117">
        <f t="shared" si="30"/>
        <v>33479.216890595009</v>
      </c>
      <c r="H112" s="9"/>
      <c r="I112" s="136">
        <v>3</v>
      </c>
      <c r="J112" s="134">
        <v>52328.016000000003</v>
      </c>
      <c r="K112" s="120">
        <f t="shared" si="31"/>
        <v>100.43765067178504</v>
      </c>
      <c r="L112" s="122">
        <f t="shared" si="16"/>
        <v>174426.72</v>
      </c>
      <c r="M112" s="116">
        <f t="shared" si="17"/>
        <v>122098.704</v>
      </c>
      <c r="N112" s="123">
        <f t="shared" si="18"/>
        <v>234.35451823416506</v>
      </c>
      <c r="O112" s="5"/>
      <c r="P112" s="5">
        <f t="shared" si="19"/>
        <v>1</v>
      </c>
      <c r="Q112" s="7">
        <f t="shared" si="20"/>
        <v>521</v>
      </c>
      <c r="W112" s="124">
        <f t="shared" si="21"/>
        <v>52328.016000000003</v>
      </c>
      <c r="X112">
        <f t="shared" si="22"/>
        <v>0</v>
      </c>
    </row>
    <row r="113" spans="1:24">
      <c r="A113" s="23" t="s">
        <v>126</v>
      </c>
      <c r="B113" s="35" t="s">
        <v>125</v>
      </c>
      <c r="C113" s="125">
        <v>2021</v>
      </c>
      <c r="D113" s="132">
        <v>114497473</v>
      </c>
      <c r="E113" s="116">
        <f t="shared" si="29"/>
        <v>56653.870856011876</v>
      </c>
      <c r="F113" s="134">
        <v>60572430</v>
      </c>
      <c r="G113" s="117">
        <f t="shared" si="30"/>
        <v>29971.514101929737</v>
      </c>
      <c r="H113" s="9"/>
      <c r="I113" s="150">
        <v>2.25</v>
      </c>
      <c r="J113" s="134">
        <v>136287.9675</v>
      </c>
      <c r="K113" s="120">
        <f t="shared" si="31"/>
        <v>67.435906729341909</v>
      </c>
      <c r="L113" s="122">
        <f t="shared" si="16"/>
        <v>605724.30000000005</v>
      </c>
      <c r="M113" s="116">
        <f t="shared" si="17"/>
        <v>469436.33250000002</v>
      </c>
      <c r="N113" s="123">
        <f t="shared" si="18"/>
        <v>232.27923428995547</v>
      </c>
      <c r="O113" s="5"/>
      <c r="P113" s="5">
        <f t="shared" si="19"/>
        <v>1</v>
      </c>
      <c r="Q113" s="7">
        <f t="shared" si="20"/>
        <v>2021</v>
      </c>
      <c r="W113" s="124">
        <f t="shared" si="21"/>
        <v>136287.9675</v>
      </c>
      <c r="X113">
        <f t="shared" si="22"/>
        <v>0</v>
      </c>
    </row>
    <row r="114" spans="1:24">
      <c r="A114" s="23" t="s">
        <v>127</v>
      </c>
      <c r="B114" s="35" t="s">
        <v>128</v>
      </c>
      <c r="C114" s="125">
        <v>865</v>
      </c>
      <c r="D114" s="132">
        <f>(33818043+37549843)</f>
        <v>71367886</v>
      </c>
      <c r="E114" s="116">
        <f t="shared" si="29"/>
        <v>82506.226589595375</v>
      </c>
      <c r="F114" s="134">
        <f>(18682940+22071443)</f>
        <v>40754383</v>
      </c>
      <c r="G114" s="117">
        <f t="shared" si="30"/>
        <v>47114.893641618495</v>
      </c>
      <c r="H114" s="7"/>
      <c r="I114" s="150">
        <v>3</v>
      </c>
      <c r="J114" s="134">
        <f>(56048.82+66214)</f>
        <v>122262.82</v>
      </c>
      <c r="K114" s="120">
        <f t="shared" si="31"/>
        <v>141.34430057803468</v>
      </c>
      <c r="L114" s="122">
        <f t="shared" si="16"/>
        <v>407543.83</v>
      </c>
      <c r="M114" s="116">
        <f t="shared" si="17"/>
        <v>285281.01</v>
      </c>
      <c r="N114" s="123">
        <f t="shared" si="18"/>
        <v>329.80463583815032</v>
      </c>
      <c r="O114" s="5"/>
      <c r="P114" s="5">
        <f t="shared" si="19"/>
        <v>1</v>
      </c>
      <c r="Q114" s="7">
        <f t="shared" si="20"/>
        <v>865</v>
      </c>
      <c r="S114" s="124">
        <f>SUM(D112:D114)</f>
        <v>226600724</v>
      </c>
      <c r="T114" s="124">
        <f>SUM(F112:F114)</f>
        <v>118769485</v>
      </c>
      <c r="U114" s="124">
        <f>SUM(J112:J114)</f>
        <v>310878.80350000004</v>
      </c>
      <c r="W114" s="124">
        <v>122262.82</v>
      </c>
      <c r="X114">
        <f t="shared" si="22"/>
        <v>0</v>
      </c>
    </row>
    <row r="115" spans="1:24">
      <c r="A115" s="23" t="s">
        <v>129</v>
      </c>
      <c r="B115" s="35" t="s">
        <v>130</v>
      </c>
      <c r="C115" s="125">
        <v>1759</v>
      </c>
      <c r="D115" s="132">
        <v>113994936</v>
      </c>
      <c r="E115" s="116">
        <f t="shared" si="29"/>
        <v>64806.671972711767</v>
      </c>
      <c r="F115" s="134">
        <v>43028754</v>
      </c>
      <c r="G115" s="117">
        <f t="shared" si="30"/>
        <v>24462.054576463899</v>
      </c>
      <c r="H115" s="9"/>
      <c r="I115" s="136">
        <v>4.6425000000000001</v>
      </c>
      <c r="J115" s="134">
        <v>199760.990445</v>
      </c>
      <c r="K115" s="120">
        <f t="shared" si="31"/>
        <v>113.56508837123366</v>
      </c>
      <c r="L115" s="122">
        <f t="shared" si="16"/>
        <v>430287.54000000004</v>
      </c>
      <c r="M115" s="116">
        <f t="shared" si="17"/>
        <v>230526.54955500003</v>
      </c>
      <c r="N115" s="123">
        <f t="shared" si="18"/>
        <v>131.05545739340536</v>
      </c>
      <c r="O115" s="5"/>
      <c r="P115" s="5">
        <f t="shared" si="19"/>
        <v>1</v>
      </c>
      <c r="Q115" s="7">
        <f t="shared" si="20"/>
        <v>1759</v>
      </c>
      <c r="S115" s="124">
        <f>SUM(D115)</f>
        <v>113994936</v>
      </c>
      <c r="T115" s="124">
        <f>SUM(F115)</f>
        <v>43028754</v>
      </c>
      <c r="U115" s="124">
        <f>SUM(J115)</f>
        <v>199760.990445</v>
      </c>
      <c r="W115" s="124">
        <f t="shared" si="21"/>
        <v>199760.990445</v>
      </c>
      <c r="X115">
        <f t="shared" si="22"/>
        <v>0</v>
      </c>
    </row>
    <row r="116" spans="1:24">
      <c r="A116" s="24" t="s">
        <v>545</v>
      </c>
      <c r="B116" s="35" t="s">
        <v>131</v>
      </c>
      <c r="C116" s="125">
        <v>3459</v>
      </c>
      <c r="D116" s="132">
        <v>433492832</v>
      </c>
      <c r="E116" s="116">
        <f t="shared" si="29"/>
        <v>125323.16623301532</v>
      </c>
      <c r="F116" s="134">
        <v>287774429</v>
      </c>
      <c r="G116" s="117">
        <f t="shared" si="30"/>
        <v>83195.845331020522</v>
      </c>
      <c r="H116" s="9"/>
      <c r="I116" s="136">
        <v>3.5914000000000001</v>
      </c>
      <c r="J116" s="134">
        <v>1033513.0843106001</v>
      </c>
      <c r="K116" s="120">
        <f t="shared" si="31"/>
        <v>298.78955892182717</v>
      </c>
      <c r="L116" s="122">
        <f t="shared" si="16"/>
        <v>2877744.29</v>
      </c>
      <c r="M116" s="116">
        <f t="shared" si="17"/>
        <v>1844231.2056894</v>
      </c>
      <c r="N116" s="123">
        <f t="shared" si="18"/>
        <v>533.16889438837813</v>
      </c>
      <c r="O116" s="5"/>
      <c r="P116" s="5">
        <f t="shared" si="19"/>
        <v>1</v>
      </c>
      <c r="Q116" s="7">
        <f t="shared" si="20"/>
        <v>3459</v>
      </c>
      <c r="W116" s="124">
        <f t="shared" si="21"/>
        <v>1033513.0843106001</v>
      </c>
      <c r="X116">
        <f t="shared" si="22"/>
        <v>0</v>
      </c>
    </row>
    <row r="117" spans="1:24">
      <c r="A117" s="23" t="s">
        <v>132</v>
      </c>
      <c r="B117" s="35" t="s">
        <v>131</v>
      </c>
      <c r="C117" s="125">
        <v>1971</v>
      </c>
      <c r="D117" s="132">
        <v>94739084</v>
      </c>
      <c r="E117" s="116">
        <f t="shared" si="29"/>
        <v>48066.506341958397</v>
      </c>
      <c r="F117" s="134">
        <v>54304800</v>
      </c>
      <c r="G117" s="117">
        <f t="shared" si="30"/>
        <v>27551.902587519027</v>
      </c>
      <c r="H117" s="9"/>
      <c r="I117" s="136">
        <v>6.1132999999999997</v>
      </c>
      <c r="J117" s="134">
        <v>331981.53383999999</v>
      </c>
      <c r="K117" s="120">
        <f t="shared" si="31"/>
        <v>168.43304608828007</v>
      </c>
      <c r="L117" s="122">
        <f t="shared" si="16"/>
        <v>543048</v>
      </c>
      <c r="M117" s="116">
        <f t="shared" si="17"/>
        <v>211066.46616000001</v>
      </c>
      <c r="N117" s="123">
        <f t="shared" si="18"/>
        <v>107.0859797869102</v>
      </c>
      <c r="O117" s="5"/>
      <c r="P117" s="5">
        <f t="shared" si="19"/>
        <v>1</v>
      </c>
      <c r="Q117" s="7">
        <f t="shared" si="20"/>
        <v>1971</v>
      </c>
      <c r="S117" s="124">
        <f>SUM(D116:D117)</f>
        <v>528231916</v>
      </c>
      <c r="T117" s="124">
        <f>SUM(F116:F117)</f>
        <v>342079229</v>
      </c>
      <c r="U117" s="124">
        <f>SUM(J116:J117)</f>
        <v>1365494.6181506</v>
      </c>
      <c r="W117" s="124">
        <f t="shared" si="21"/>
        <v>331981.53383999999</v>
      </c>
      <c r="X117">
        <f t="shared" si="22"/>
        <v>0</v>
      </c>
    </row>
    <row r="118" spans="1:24">
      <c r="A118" s="23" t="s">
        <v>133</v>
      </c>
      <c r="B118" s="35" t="s">
        <v>134</v>
      </c>
      <c r="C118" s="125">
        <v>2845</v>
      </c>
      <c r="D118" s="132">
        <v>101833784</v>
      </c>
      <c r="E118" s="116">
        <f t="shared" si="29"/>
        <v>35793.948681898066</v>
      </c>
      <c r="F118" s="134">
        <v>50236855</v>
      </c>
      <c r="G118" s="117">
        <f t="shared" si="30"/>
        <v>17657.945518453427</v>
      </c>
      <c r="H118" s="7"/>
      <c r="I118" s="136">
        <v>7.9489999999999998</v>
      </c>
      <c r="J118" s="134">
        <v>399332.76039499999</v>
      </c>
      <c r="K118" s="120">
        <f t="shared" si="31"/>
        <v>140.3630089261863</v>
      </c>
      <c r="L118" s="122">
        <f t="shared" si="16"/>
        <v>502368.55</v>
      </c>
      <c r="M118" s="116">
        <f t="shared" si="17"/>
        <v>103035.789605</v>
      </c>
      <c r="N118" s="123">
        <f t="shared" si="18"/>
        <v>36.216446258347979</v>
      </c>
      <c r="O118" s="5"/>
      <c r="P118" s="5">
        <f t="shared" si="19"/>
        <v>1</v>
      </c>
      <c r="Q118" s="7">
        <f t="shared" si="20"/>
        <v>2845</v>
      </c>
      <c r="W118" s="124">
        <f t="shared" si="21"/>
        <v>399332.76039499999</v>
      </c>
      <c r="X118">
        <f t="shared" si="22"/>
        <v>0</v>
      </c>
    </row>
    <row r="119" spans="1:24">
      <c r="A119" s="23" t="s">
        <v>135</v>
      </c>
      <c r="B119" s="35" t="s">
        <v>134</v>
      </c>
      <c r="C119" s="125">
        <v>874</v>
      </c>
      <c r="D119" s="132">
        <v>20843978</v>
      </c>
      <c r="E119" s="116">
        <f t="shared" si="29"/>
        <v>23848.945080091533</v>
      </c>
      <c r="F119" s="134">
        <v>12575016</v>
      </c>
      <c r="G119" s="117">
        <f t="shared" si="30"/>
        <v>14387.890160183066</v>
      </c>
      <c r="H119" s="7"/>
      <c r="I119" s="136">
        <v>4.95</v>
      </c>
      <c r="J119" s="134">
        <v>62246.3292</v>
      </c>
      <c r="K119" s="120">
        <f t="shared" si="31"/>
        <v>71.220056292906179</v>
      </c>
      <c r="L119" s="122">
        <f t="shared" si="16"/>
        <v>125750.16</v>
      </c>
      <c r="M119" s="116">
        <f t="shared" si="17"/>
        <v>63503.830800000003</v>
      </c>
      <c r="N119" s="123">
        <f t="shared" si="18"/>
        <v>72.658845308924484</v>
      </c>
      <c r="O119" s="5"/>
      <c r="P119" s="5">
        <f t="shared" si="19"/>
        <v>1</v>
      </c>
      <c r="Q119" s="7">
        <f t="shared" si="20"/>
        <v>874</v>
      </c>
      <c r="W119" s="124">
        <f t="shared" si="21"/>
        <v>62246.329200000007</v>
      </c>
      <c r="X119">
        <f t="shared" si="22"/>
        <v>0</v>
      </c>
    </row>
    <row r="120" spans="1:24">
      <c r="A120" s="23" t="s">
        <v>136</v>
      </c>
      <c r="B120" s="35" t="s">
        <v>134</v>
      </c>
      <c r="C120" s="125">
        <v>827</v>
      </c>
      <c r="D120" s="132">
        <v>36197687</v>
      </c>
      <c r="E120" s="116">
        <f t="shared" si="29"/>
        <v>43769.875453446191</v>
      </c>
      <c r="F120" s="134">
        <v>17896678</v>
      </c>
      <c r="G120" s="117">
        <f t="shared" si="30"/>
        <v>21640.481257557436</v>
      </c>
      <c r="H120" s="7"/>
      <c r="I120" s="136">
        <v>4.3902999999999999</v>
      </c>
      <c r="J120" s="134">
        <v>78571.785423399997</v>
      </c>
      <c r="K120" s="120">
        <f t="shared" si="31"/>
        <v>95.00820486505441</v>
      </c>
      <c r="L120" s="122">
        <f t="shared" si="16"/>
        <v>178966.78</v>
      </c>
      <c r="M120" s="116">
        <f t="shared" si="17"/>
        <v>100394.9945766</v>
      </c>
      <c r="N120" s="123">
        <f t="shared" si="18"/>
        <v>121.39660771051996</v>
      </c>
      <c r="O120" s="5"/>
      <c r="P120" s="5">
        <f t="shared" si="19"/>
        <v>1</v>
      </c>
      <c r="Q120" s="7">
        <f t="shared" si="20"/>
        <v>827</v>
      </c>
      <c r="S120" s="124">
        <f>SUM(D118:D120)</f>
        <v>158875449</v>
      </c>
      <c r="T120" s="124">
        <f>SUM(F118:F120)</f>
        <v>80708549</v>
      </c>
      <c r="U120" s="124">
        <f>SUM(J118:J120)</f>
        <v>540150.87501839991</v>
      </c>
      <c r="W120" s="124">
        <f t="shared" si="21"/>
        <v>78571.785423399997</v>
      </c>
      <c r="X120">
        <f t="shared" si="22"/>
        <v>0</v>
      </c>
    </row>
    <row r="121" spans="1:24">
      <c r="A121" s="23" t="s">
        <v>137</v>
      </c>
      <c r="B121" s="35" t="s">
        <v>138</v>
      </c>
      <c r="C121" s="125">
        <v>2923</v>
      </c>
      <c r="D121" s="132">
        <v>77157551</v>
      </c>
      <c r="E121" s="116">
        <f t="shared" si="29"/>
        <v>26396.698939445774</v>
      </c>
      <c r="F121" s="134">
        <v>38101940</v>
      </c>
      <c r="G121" s="117">
        <f t="shared" si="30"/>
        <v>13035.217242559014</v>
      </c>
      <c r="H121" s="7"/>
      <c r="I121" s="136">
        <v>7.2965</v>
      </c>
      <c r="J121" s="134">
        <v>278010.80520999996</v>
      </c>
      <c r="K121" s="120">
        <f t="shared" si="31"/>
        <v>95.111462610331841</v>
      </c>
      <c r="L121" s="122">
        <f t="shared" si="16"/>
        <v>381019.4</v>
      </c>
      <c r="M121" s="116">
        <f t="shared" si="17"/>
        <v>103008.59479000006</v>
      </c>
      <c r="N121" s="123">
        <f t="shared" si="18"/>
        <v>35.24070981525832</v>
      </c>
      <c r="O121" s="5"/>
      <c r="P121" s="5">
        <f t="shared" si="19"/>
        <v>1</v>
      </c>
      <c r="Q121" s="7">
        <f t="shared" si="20"/>
        <v>2923</v>
      </c>
      <c r="W121" s="124">
        <f t="shared" si="21"/>
        <v>278010.80521000002</v>
      </c>
      <c r="X121">
        <f t="shared" si="22"/>
        <v>0</v>
      </c>
    </row>
    <row r="122" spans="1:24">
      <c r="A122" s="23" t="s">
        <v>139</v>
      </c>
      <c r="B122" s="35" t="s">
        <v>138</v>
      </c>
      <c r="C122" s="125">
        <v>5229</v>
      </c>
      <c r="D122" s="132">
        <v>256923034</v>
      </c>
      <c r="E122" s="116">
        <f t="shared" si="29"/>
        <v>49134.257793077071</v>
      </c>
      <c r="F122" s="134">
        <v>125106770</v>
      </c>
      <c r="G122" s="117">
        <f t="shared" si="30"/>
        <v>23925.563205201761</v>
      </c>
      <c r="H122" s="7"/>
      <c r="I122" s="136">
        <v>5.6353999999999997</v>
      </c>
      <c r="J122" s="134">
        <v>705026.691658</v>
      </c>
      <c r="K122" s="120">
        <f t="shared" si="31"/>
        <v>134.83011888659399</v>
      </c>
      <c r="L122" s="122">
        <f t="shared" si="16"/>
        <v>1251067.7</v>
      </c>
      <c r="M122" s="116">
        <f t="shared" si="17"/>
        <v>546041.00834199996</v>
      </c>
      <c r="N122" s="123">
        <f t="shared" si="18"/>
        <v>104.4255131654236</v>
      </c>
      <c r="O122" s="5"/>
      <c r="P122" s="5">
        <f t="shared" si="19"/>
        <v>1</v>
      </c>
      <c r="Q122" s="7">
        <f t="shared" si="20"/>
        <v>5229</v>
      </c>
      <c r="W122" s="124">
        <f t="shared" si="21"/>
        <v>705026.691658</v>
      </c>
      <c r="X122">
        <f t="shared" si="22"/>
        <v>0</v>
      </c>
    </row>
    <row r="123" spans="1:24">
      <c r="A123" s="23" t="s">
        <v>140</v>
      </c>
      <c r="B123" s="35" t="s">
        <v>138</v>
      </c>
      <c r="C123" s="125">
        <v>1778</v>
      </c>
      <c r="D123" s="132">
        <v>60666584</v>
      </c>
      <c r="E123" s="116">
        <f t="shared" si="29"/>
        <v>34120.688413948257</v>
      </c>
      <c r="F123" s="134">
        <v>28185790</v>
      </c>
      <c r="G123" s="117">
        <f t="shared" si="30"/>
        <v>15852.525309336334</v>
      </c>
      <c r="H123" s="7"/>
      <c r="I123" s="136">
        <v>8.5540000000000003</v>
      </c>
      <c r="J123" s="134">
        <v>241101.24765999999</v>
      </c>
      <c r="K123" s="120">
        <f t="shared" si="31"/>
        <v>135.60250149606298</v>
      </c>
      <c r="L123" s="122">
        <f t="shared" si="16"/>
        <v>281857.90000000002</v>
      </c>
      <c r="M123" s="116">
        <f t="shared" si="17"/>
        <v>40756.65234000003</v>
      </c>
      <c r="N123" s="123">
        <f t="shared" si="18"/>
        <v>22.922751597300355</v>
      </c>
      <c r="O123" s="5"/>
      <c r="P123" s="5">
        <f t="shared" si="19"/>
        <v>1</v>
      </c>
      <c r="Q123" s="7">
        <f t="shared" si="20"/>
        <v>1778</v>
      </c>
      <c r="S123" s="124">
        <f>SUM(D121:D123)</f>
        <v>394747169</v>
      </c>
      <c r="T123" s="124">
        <f>SUM(F121:F123)</f>
        <v>191394500</v>
      </c>
      <c r="U123" s="124">
        <f>SUM(J121:J123)</f>
        <v>1224138.7445279998</v>
      </c>
      <c r="W123" s="124">
        <f t="shared" si="21"/>
        <v>241101.24766000002</v>
      </c>
      <c r="X123">
        <f t="shared" si="22"/>
        <v>0</v>
      </c>
    </row>
    <row r="124" spans="1:24">
      <c r="A124" s="23" t="s">
        <v>141</v>
      </c>
      <c r="B124" s="35" t="s">
        <v>142</v>
      </c>
      <c r="C124" s="125">
        <v>7972</v>
      </c>
      <c r="D124" s="132">
        <v>522415788</v>
      </c>
      <c r="E124" s="116">
        <f t="shared" si="29"/>
        <v>65531.333166081284</v>
      </c>
      <c r="F124" s="134">
        <v>242561793</v>
      </c>
      <c r="G124" s="117">
        <f t="shared" si="30"/>
        <v>30426.71763672855</v>
      </c>
      <c r="H124" s="7"/>
      <c r="I124" s="136">
        <v>6.5313999999999997</v>
      </c>
      <c r="J124" s="134">
        <v>1584268.0948002001</v>
      </c>
      <c r="K124" s="120">
        <f t="shared" si="31"/>
        <v>198.72906357252887</v>
      </c>
      <c r="L124" s="122">
        <f t="shared" si="16"/>
        <v>2425617.9300000002</v>
      </c>
      <c r="M124" s="116">
        <f t="shared" si="17"/>
        <v>841349.83519980009</v>
      </c>
      <c r="N124" s="123">
        <f t="shared" si="18"/>
        <v>105.53811279475666</v>
      </c>
      <c r="O124" s="5"/>
      <c r="P124" s="5">
        <f t="shared" si="19"/>
        <v>1</v>
      </c>
      <c r="Q124" s="7">
        <f t="shared" si="20"/>
        <v>7972</v>
      </c>
      <c r="W124" s="124">
        <f t="shared" si="21"/>
        <v>1584268.0948001998</v>
      </c>
      <c r="X124">
        <f t="shared" si="22"/>
        <v>0</v>
      </c>
    </row>
    <row r="125" spans="1:24">
      <c r="A125" s="23" t="s">
        <v>558</v>
      </c>
      <c r="B125" s="35" t="s">
        <v>142</v>
      </c>
      <c r="C125" s="125">
        <v>5108</v>
      </c>
      <c r="D125" s="132">
        <v>441713068</v>
      </c>
      <c r="E125" s="116">
        <f t="shared" si="29"/>
        <v>86474.758809710256</v>
      </c>
      <c r="F125" s="134">
        <v>217678207</v>
      </c>
      <c r="G125" s="117">
        <f t="shared" si="30"/>
        <v>42615.15407204385</v>
      </c>
      <c r="H125" s="7"/>
      <c r="I125" s="136">
        <v>3.6046</v>
      </c>
      <c r="J125" s="134">
        <v>784642.86495220009</v>
      </c>
      <c r="K125" s="120">
        <f t="shared" si="31"/>
        <v>153.61058436808929</v>
      </c>
      <c r="L125" s="122">
        <f t="shared" si="16"/>
        <v>2176782.0699999998</v>
      </c>
      <c r="M125" s="116">
        <f t="shared" si="17"/>
        <v>1392139.2050477997</v>
      </c>
      <c r="N125" s="123">
        <f t="shared" si="18"/>
        <v>272.54095635234921</v>
      </c>
      <c r="O125" s="5"/>
      <c r="P125" s="5">
        <f t="shared" si="19"/>
        <v>1</v>
      </c>
      <c r="Q125" s="7">
        <f t="shared" si="20"/>
        <v>5108</v>
      </c>
      <c r="S125" s="124">
        <f>SUM(D124:D125)</f>
        <v>964128856</v>
      </c>
      <c r="T125" s="124">
        <f>SUM(F124:F125)</f>
        <v>460240000</v>
      </c>
      <c r="U125" s="124">
        <f>SUM(J124:J125)</f>
        <v>2368910.9597524004</v>
      </c>
      <c r="W125" s="124">
        <f t="shared" si="21"/>
        <v>784642.86495219998</v>
      </c>
      <c r="X125">
        <f t="shared" si="22"/>
        <v>0</v>
      </c>
    </row>
    <row r="126" spans="1:24">
      <c r="A126" s="23" t="s">
        <v>143</v>
      </c>
      <c r="B126" s="35" t="s">
        <v>144</v>
      </c>
      <c r="C126" s="125">
        <v>8661</v>
      </c>
      <c r="D126" s="132">
        <v>1046312838</v>
      </c>
      <c r="E126" s="116">
        <f t="shared" si="29"/>
        <v>120807.3938344302</v>
      </c>
      <c r="F126" s="134">
        <v>442579145</v>
      </c>
      <c r="G126" s="117">
        <f t="shared" si="30"/>
        <v>51100.236115921951</v>
      </c>
      <c r="H126" s="7"/>
      <c r="I126" s="136">
        <v>6.2</v>
      </c>
      <c r="J126" s="134">
        <v>2743990.699</v>
      </c>
      <c r="K126" s="120">
        <f t="shared" si="31"/>
        <v>316.82146391871606</v>
      </c>
      <c r="L126" s="122">
        <f t="shared" si="16"/>
        <v>4425791.45</v>
      </c>
      <c r="M126" s="116">
        <f t="shared" si="17"/>
        <v>1681800.7510000002</v>
      </c>
      <c r="N126" s="123">
        <f t="shared" si="18"/>
        <v>194.18089724050341</v>
      </c>
      <c r="O126" s="5"/>
      <c r="P126" s="5">
        <f t="shared" si="19"/>
        <v>1</v>
      </c>
      <c r="Q126" s="7">
        <f t="shared" si="20"/>
        <v>8661</v>
      </c>
      <c r="W126" s="124">
        <f t="shared" si="21"/>
        <v>2743990.699</v>
      </c>
      <c r="X126">
        <f t="shared" si="22"/>
        <v>0</v>
      </c>
    </row>
    <row r="127" spans="1:24">
      <c r="A127" s="23" t="s">
        <v>145</v>
      </c>
      <c r="B127" s="35" t="s">
        <v>144</v>
      </c>
      <c r="C127" s="125">
        <v>9</v>
      </c>
      <c r="D127" s="132">
        <v>49138562</v>
      </c>
      <c r="E127" s="116">
        <f t="shared" si="29"/>
        <v>5459840.222222222</v>
      </c>
      <c r="F127" s="134">
        <v>17173941</v>
      </c>
      <c r="G127" s="117">
        <f t="shared" si="30"/>
        <v>1908215.6666666667</v>
      </c>
      <c r="H127" s="7"/>
      <c r="I127" s="136">
        <v>2.8658000000000001</v>
      </c>
      <c r="J127" s="134">
        <v>49217.080117800004</v>
      </c>
      <c r="K127" s="120">
        <f t="shared" si="31"/>
        <v>5468.5644575333336</v>
      </c>
      <c r="L127" s="122">
        <f t="shared" si="16"/>
        <v>171739.41</v>
      </c>
      <c r="M127" s="116">
        <f t="shared" si="17"/>
        <v>122522.32988219999</v>
      </c>
      <c r="N127" s="123">
        <f t="shared" si="18"/>
        <v>13613.592209133332</v>
      </c>
      <c r="O127" s="5"/>
      <c r="P127" s="5">
        <f t="shared" si="19"/>
        <v>1</v>
      </c>
      <c r="Q127" s="7">
        <f t="shared" si="20"/>
        <v>9</v>
      </c>
      <c r="S127" s="124">
        <f>SUM(D126:D127)</f>
        <v>1095451400</v>
      </c>
      <c r="T127" s="124">
        <f>SUM(F126:F127)</f>
        <v>459753086</v>
      </c>
      <c r="U127" s="124">
        <f>SUM(J126:J127)</f>
        <v>2793207.7791177998</v>
      </c>
      <c r="W127" s="124">
        <f t="shared" si="21"/>
        <v>49217.080117799997</v>
      </c>
      <c r="X127">
        <f t="shared" si="22"/>
        <v>0</v>
      </c>
    </row>
    <row r="128" spans="1:24">
      <c r="A128" s="23" t="s">
        <v>146</v>
      </c>
      <c r="B128" s="35" t="s">
        <v>147</v>
      </c>
      <c r="C128" s="125">
        <v>11222</v>
      </c>
      <c r="D128" s="132">
        <v>600135331</v>
      </c>
      <c r="E128" s="116">
        <f t="shared" si="29"/>
        <v>53478.464712172521</v>
      </c>
      <c r="F128" s="134">
        <v>306459077</v>
      </c>
      <c r="G128" s="117">
        <f t="shared" si="30"/>
        <v>27308.775351987169</v>
      </c>
      <c r="H128" s="7"/>
      <c r="I128" s="136">
        <v>0.3</v>
      </c>
      <c r="J128" s="134">
        <v>91937.723099999988</v>
      </c>
      <c r="K128" s="120">
        <f t="shared" si="31"/>
        <v>8.1926326055961489</v>
      </c>
      <c r="L128" s="122">
        <f t="shared" si="16"/>
        <v>3064590.77</v>
      </c>
      <c r="M128" s="116">
        <f t="shared" si="17"/>
        <v>2972653.0469</v>
      </c>
      <c r="N128" s="123">
        <f t="shared" si="18"/>
        <v>264.89512091427554</v>
      </c>
      <c r="O128" s="5"/>
      <c r="P128" s="5">
        <f t="shared" si="19"/>
        <v>1</v>
      </c>
      <c r="Q128" s="7">
        <f t="shared" si="20"/>
        <v>11222</v>
      </c>
      <c r="W128" s="124">
        <f t="shared" si="21"/>
        <v>91937.723099999988</v>
      </c>
      <c r="X128">
        <f t="shared" si="22"/>
        <v>0</v>
      </c>
    </row>
    <row r="129" spans="1:24">
      <c r="A129" s="23" t="s">
        <v>148</v>
      </c>
      <c r="B129" s="35" t="s">
        <v>147</v>
      </c>
      <c r="C129" s="125">
        <v>2636</v>
      </c>
      <c r="D129" s="132">
        <v>303336169</v>
      </c>
      <c r="E129" s="116">
        <f t="shared" si="29"/>
        <v>115074.41919575114</v>
      </c>
      <c r="F129" s="134">
        <v>207614499</v>
      </c>
      <c r="G129" s="117">
        <f t="shared" si="30"/>
        <v>78761.190819423369</v>
      </c>
      <c r="H129" s="7"/>
      <c r="I129" s="136">
        <v>3.5</v>
      </c>
      <c r="J129" s="134">
        <v>726650.74650000001</v>
      </c>
      <c r="K129" s="120">
        <f t="shared" si="31"/>
        <v>275.6641678679818</v>
      </c>
      <c r="L129" s="122">
        <f t="shared" si="16"/>
        <v>2076144.99</v>
      </c>
      <c r="M129" s="116">
        <f t="shared" si="17"/>
        <v>1349494.2434999999</v>
      </c>
      <c r="N129" s="123">
        <f t="shared" si="18"/>
        <v>511.94774032625185</v>
      </c>
      <c r="O129" s="5"/>
      <c r="P129" s="5">
        <f t="shared" si="19"/>
        <v>1</v>
      </c>
      <c r="Q129" s="7">
        <f t="shared" si="20"/>
        <v>2636</v>
      </c>
      <c r="W129" s="124">
        <f t="shared" si="21"/>
        <v>726650.74650000001</v>
      </c>
      <c r="X129">
        <f t="shared" si="22"/>
        <v>0</v>
      </c>
    </row>
    <row r="130" spans="1:24">
      <c r="A130" s="23" t="s">
        <v>149</v>
      </c>
      <c r="B130" s="35" t="s">
        <v>147</v>
      </c>
      <c r="C130" s="125">
        <v>11113</v>
      </c>
      <c r="D130" s="132">
        <v>903097701</v>
      </c>
      <c r="E130" s="116">
        <f t="shared" si="29"/>
        <v>81264.978043732568</v>
      </c>
      <c r="F130" s="134">
        <v>611980695</v>
      </c>
      <c r="G130" s="117">
        <f t="shared" si="30"/>
        <v>55068.900836857734</v>
      </c>
      <c r="H130" s="7"/>
      <c r="I130" s="136">
        <v>5.3183999999999996</v>
      </c>
      <c r="J130" s="134">
        <v>3254758.1282879994</v>
      </c>
      <c r="K130" s="120">
        <f t="shared" si="31"/>
        <v>292.87844221074414</v>
      </c>
      <c r="L130" s="122">
        <f t="shared" si="16"/>
        <v>6119806.9500000002</v>
      </c>
      <c r="M130" s="116">
        <f t="shared" si="17"/>
        <v>2865048.8217120008</v>
      </c>
      <c r="N130" s="123">
        <f t="shared" si="18"/>
        <v>257.81056615783325</v>
      </c>
      <c r="O130" s="5"/>
      <c r="P130" s="5">
        <f t="shared" si="19"/>
        <v>1</v>
      </c>
      <c r="Q130" s="7">
        <f t="shared" si="20"/>
        <v>11113</v>
      </c>
      <c r="S130" s="124">
        <f>SUM(D128:D130)</f>
        <v>1806569201</v>
      </c>
      <c r="T130" s="124">
        <f>SUM(F128:F130)</f>
        <v>1126054271</v>
      </c>
      <c r="U130" s="124">
        <f>SUM(J128:J130)</f>
        <v>4073346.5978879994</v>
      </c>
      <c r="W130" s="124">
        <f t="shared" si="21"/>
        <v>3254758.1282879994</v>
      </c>
      <c r="X130">
        <f t="shared" si="22"/>
        <v>0</v>
      </c>
    </row>
    <row r="131" spans="1:24">
      <c r="A131" s="23" t="s">
        <v>150</v>
      </c>
      <c r="B131" s="35" t="s">
        <v>151</v>
      </c>
      <c r="C131" s="125">
        <v>39478</v>
      </c>
      <c r="D131" s="132">
        <v>3570087992</v>
      </c>
      <c r="E131" s="116">
        <f t="shared" si="29"/>
        <v>90432.341861289839</v>
      </c>
      <c r="F131" s="134">
        <v>2389387930</v>
      </c>
      <c r="G131" s="117">
        <f t="shared" si="30"/>
        <v>60524.54354323927</v>
      </c>
      <c r="H131" s="7"/>
      <c r="I131" s="136">
        <v>5.7157</v>
      </c>
      <c r="J131" s="134">
        <v>13657024.591500999</v>
      </c>
      <c r="K131" s="120">
        <f t="shared" si="31"/>
        <v>345.94013353009268</v>
      </c>
      <c r="L131" s="122">
        <f t="shared" si="16"/>
        <v>23893879.300000001</v>
      </c>
      <c r="M131" s="116">
        <f t="shared" si="17"/>
        <v>10236854.708499001</v>
      </c>
      <c r="N131" s="123">
        <f t="shared" si="18"/>
        <v>259.30530190230007</v>
      </c>
      <c r="O131" s="5"/>
      <c r="P131" s="5">
        <f t="shared" si="19"/>
        <v>1</v>
      </c>
      <c r="Q131" s="7">
        <f t="shared" si="20"/>
        <v>39478</v>
      </c>
      <c r="W131" s="124">
        <f t="shared" si="21"/>
        <v>13657024.591500999</v>
      </c>
      <c r="X131">
        <f t="shared" si="22"/>
        <v>0</v>
      </c>
    </row>
    <row r="132" spans="1:24">
      <c r="A132" s="23" t="s">
        <v>152</v>
      </c>
      <c r="B132" s="35" t="s">
        <v>151</v>
      </c>
      <c r="C132" s="125">
        <v>390473</v>
      </c>
      <c r="D132" s="132">
        <v>57096355851</v>
      </c>
      <c r="E132" s="116">
        <f t="shared" si="29"/>
        <v>146223.56949392147</v>
      </c>
      <c r="F132" s="134">
        <v>36924675986</v>
      </c>
      <c r="G132" s="117">
        <f t="shared" si="30"/>
        <v>94563.967255098309</v>
      </c>
      <c r="H132" s="7"/>
      <c r="I132" s="136">
        <v>6.2076000000000002</v>
      </c>
      <c r="J132" s="134">
        <v>229213618.6506936</v>
      </c>
      <c r="K132" s="120">
        <f t="shared" si="31"/>
        <v>587.01528313274821</v>
      </c>
      <c r="L132" s="122">
        <f t="shared" si="16"/>
        <v>369246759.86000001</v>
      </c>
      <c r="M132" s="116">
        <f t="shared" si="17"/>
        <v>140033141.20930642</v>
      </c>
      <c r="N132" s="123">
        <f t="shared" si="18"/>
        <v>358.62438941823484</v>
      </c>
      <c r="O132" s="5"/>
      <c r="P132" s="5">
        <f t="shared" si="19"/>
        <v>1</v>
      </c>
      <c r="Q132" s="7">
        <f t="shared" si="20"/>
        <v>390473</v>
      </c>
      <c r="W132" s="124">
        <f t="shared" si="21"/>
        <v>229213618.65069363</v>
      </c>
      <c r="X132">
        <f t="shared" si="22"/>
        <v>0</v>
      </c>
    </row>
    <row r="133" spans="1:24">
      <c r="A133" s="23" t="s">
        <v>153</v>
      </c>
      <c r="B133" s="35" t="s">
        <v>151</v>
      </c>
      <c r="C133" s="125">
        <v>26669</v>
      </c>
      <c r="D133" s="132">
        <v>2545450032</v>
      </c>
      <c r="E133" s="116">
        <f t="shared" si="29"/>
        <v>95446.024672841129</v>
      </c>
      <c r="F133" s="134">
        <v>1839429042</v>
      </c>
      <c r="G133" s="117">
        <f t="shared" si="30"/>
        <v>68972.553976527051</v>
      </c>
      <c r="H133" s="9"/>
      <c r="I133" s="136">
        <v>6.5549999999999997</v>
      </c>
      <c r="J133" s="134">
        <v>12057457.370309999</v>
      </c>
      <c r="K133" s="120">
        <f t="shared" si="31"/>
        <v>452.11509131613479</v>
      </c>
      <c r="L133" s="122">
        <f t="shared" si="16"/>
        <v>18394290.420000002</v>
      </c>
      <c r="M133" s="116">
        <f t="shared" si="17"/>
        <v>6336833.0496900026</v>
      </c>
      <c r="N133" s="123">
        <f t="shared" si="18"/>
        <v>237.61044844913579</v>
      </c>
      <c r="O133" s="5"/>
      <c r="P133" s="5">
        <f t="shared" si="19"/>
        <v>1</v>
      </c>
      <c r="Q133" s="7">
        <f t="shared" si="20"/>
        <v>26669</v>
      </c>
      <c r="S133" s="124">
        <f>SUM(D131:D133)</f>
        <v>63211893875</v>
      </c>
      <c r="T133" s="124">
        <f>SUM(F131:F133)</f>
        <v>41153492958</v>
      </c>
      <c r="U133" s="124">
        <f>SUM(J131:J133)</f>
        <v>254928100.6125046</v>
      </c>
      <c r="W133" s="124">
        <f t="shared" si="21"/>
        <v>12057457.370309999</v>
      </c>
      <c r="X133">
        <f t="shared" si="22"/>
        <v>0</v>
      </c>
    </row>
    <row r="134" spans="1:24">
      <c r="A134" s="23" t="s">
        <v>154</v>
      </c>
      <c r="B134" s="35" t="s">
        <v>155</v>
      </c>
      <c r="C134" s="125">
        <v>2755</v>
      </c>
      <c r="D134" s="147" t="s">
        <v>564</v>
      </c>
      <c r="E134" s="116"/>
      <c r="F134" s="134"/>
      <c r="G134" s="117"/>
      <c r="H134" s="98" t="s">
        <v>588</v>
      </c>
      <c r="I134" s="136"/>
      <c r="J134" s="134"/>
      <c r="K134" s="120"/>
      <c r="L134" s="122">
        <f t="shared" ref="L134:L197" si="32">(F134*0.01)</f>
        <v>0</v>
      </c>
      <c r="M134" s="116">
        <f t="shared" ref="M134:M197" si="33">(L134-J134)</f>
        <v>0</v>
      </c>
      <c r="N134" s="123">
        <f t="shared" ref="N134:N197" si="34">(M134/C134)</f>
        <v>0</v>
      </c>
      <c r="O134" s="5"/>
      <c r="P134" s="5">
        <f t="shared" ref="P134:P198" si="35">IF(I134&gt;0,1,0)</f>
        <v>0</v>
      </c>
      <c r="Q134" s="7">
        <f t="shared" ref="Q134:Q198" si="36">IF(I134&gt;0,C134,0)</f>
        <v>0</v>
      </c>
      <c r="W134" s="124">
        <f t="shared" si="21"/>
        <v>0</v>
      </c>
      <c r="X134">
        <f t="shared" si="22"/>
        <v>0</v>
      </c>
    </row>
    <row r="135" spans="1:24">
      <c r="A135" s="23" t="s">
        <v>156</v>
      </c>
      <c r="B135" s="35" t="s">
        <v>155</v>
      </c>
      <c r="C135" s="125">
        <v>395</v>
      </c>
      <c r="D135" s="132">
        <v>11375420</v>
      </c>
      <c r="E135" s="116">
        <f>(D135/C135)</f>
        <v>28798.531645569619</v>
      </c>
      <c r="F135" s="134">
        <v>5674290</v>
      </c>
      <c r="G135" s="117">
        <f>(F135/C135)</f>
        <v>14365.291139240506</v>
      </c>
      <c r="H135" s="7"/>
      <c r="I135" s="151">
        <v>1.9</v>
      </c>
      <c r="J135" s="134">
        <v>10781.151</v>
      </c>
      <c r="K135" s="120">
        <f>(J135/C135)</f>
        <v>27.29405316455696</v>
      </c>
      <c r="L135" s="122">
        <f t="shared" si="32"/>
        <v>56742.9</v>
      </c>
      <c r="M135" s="116">
        <f t="shared" si="33"/>
        <v>45961.749000000003</v>
      </c>
      <c r="N135" s="123">
        <f t="shared" si="34"/>
        <v>116.35885822784812</v>
      </c>
      <c r="O135" s="5"/>
      <c r="P135" s="5">
        <f t="shared" si="35"/>
        <v>1</v>
      </c>
      <c r="Q135" s="7">
        <f t="shared" si="36"/>
        <v>395</v>
      </c>
      <c r="W135" s="124">
        <f t="shared" ref="W135:W198" si="37">F135*(I135/1000)</f>
        <v>10781.151</v>
      </c>
      <c r="X135">
        <f t="shared" ref="X135:X198" si="38">IF(W135=J135,0,1)</f>
        <v>0</v>
      </c>
    </row>
    <row r="136" spans="1:24">
      <c r="A136" s="23" t="s">
        <v>157</v>
      </c>
      <c r="B136" s="35" t="s">
        <v>155</v>
      </c>
      <c r="C136" s="125">
        <v>202</v>
      </c>
      <c r="D136" s="132">
        <v>4536588</v>
      </c>
      <c r="E136" s="116">
        <f>(D136/C136)</f>
        <v>22458.356435643564</v>
      </c>
      <c r="F136" s="134">
        <v>2016826</v>
      </c>
      <c r="G136" s="117">
        <f>(F136/C136)</f>
        <v>9984.287128712871</v>
      </c>
      <c r="H136" s="9"/>
      <c r="I136" s="136">
        <v>1.0105999999999999</v>
      </c>
      <c r="J136" s="134">
        <v>2038.2043555999999</v>
      </c>
      <c r="K136" s="120">
        <f>(J136/C136)</f>
        <v>10.090120572277227</v>
      </c>
      <c r="L136" s="122">
        <f t="shared" si="32"/>
        <v>20168.260000000002</v>
      </c>
      <c r="M136" s="116">
        <f t="shared" si="33"/>
        <v>18130.055644400003</v>
      </c>
      <c r="N136" s="123">
        <f t="shared" si="34"/>
        <v>89.752750714851501</v>
      </c>
      <c r="O136" s="5"/>
      <c r="P136" s="5">
        <f t="shared" si="35"/>
        <v>1</v>
      </c>
      <c r="Q136" s="7">
        <f t="shared" si="36"/>
        <v>202</v>
      </c>
      <c r="W136" s="124">
        <f t="shared" si="37"/>
        <v>2038.2043555999999</v>
      </c>
      <c r="X136">
        <f t="shared" si="38"/>
        <v>0</v>
      </c>
    </row>
    <row r="137" spans="1:24">
      <c r="A137" s="23" t="s">
        <v>158</v>
      </c>
      <c r="B137" s="35" t="s">
        <v>155</v>
      </c>
      <c r="C137" s="125">
        <v>532</v>
      </c>
      <c r="D137" s="147">
        <v>25306959</v>
      </c>
      <c r="E137" s="116">
        <f>(D137/C137)</f>
        <v>47569.471804511275</v>
      </c>
      <c r="F137" s="134">
        <v>13536505</v>
      </c>
      <c r="G137" s="117">
        <f>(F137/C137)</f>
        <v>25444.558270676691</v>
      </c>
      <c r="H137" s="98"/>
      <c r="I137" s="136">
        <v>0</v>
      </c>
      <c r="J137" s="134">
        <v>0</v>
      </c>
      <c r="K137" s="120">
        <f>(J137/C137)</f>
        <v>0</v>
      </c>
      <c r="L137" s="122">
        <f t="shared" si="32"/>
        <v>135365.04999999999</v>
      </c>
      <c r="M137" s="116">
        <f t="shared" si="33"/>
        <v>135365.04999999999</v>
      </c>
      <c r="N137" s="123">
        <f t="shared" si="34"/>
        <v>254.44558270676688</v>
      </c>
      <c r="O137" s="5"/>
      <c r="P137" s="5">
        <f t="shared" si="35"/>
        <v>0</v>
      </c>
      <c r="Q137" s="7">
        <f t="shared" si="36"/>
        <v>0</v>
      </c>
      <c r="W137" s="124">
        <f t="shared" si="37"/>
        <v>0</v>
      </c>
      <c r="X137">
        <f t="shared" si="38"/>
        <v>0</v>
      </c>
    </row>
    <row r="138" spans="1:24">
      <c r="A138" s="23" t="s">
        <v>159</v>
      </c>
      <c r="B138" s="35" t="s">
        <v>155</v>
      </c>
      <c r="C138" s="125">
        <v>412</v>
      </c>
      <c r="D138" s="147" t="s">
        <v>564</v>
      </c>
      <c r="E138" s="116"/>
      <c r="F138" s="134"/>
      <c r="G138" s="117"/>
      <c r="H138" s="98" t="s">
        <v>588</v>
      </c>
      <c r="I138" s="136"/>
      <c r="J138" s="134"/>
      <c r="K138" s="120"/>
      <c r="L138" s="122">
        <f t="shared" si="32"/>
        <v>0</v>
      </c>
      <c r="M138" s="116">
        <f t="shared" si="33"/>
        <v>0</v>
      </c>
      <c r="N138" s="123">
        <f t="shared" si="34"/>
        <v>0</v>
      </c>
      <c r="O138" s="5"/>
      <c r="P138" s="5">
        <f t="shared" si="35"/>
        <v>0</v>
      </c>
      <c r="Q138" s="7">
        <f t="shared" si="36"/>
        <v>0</v>
      </c>
      <c r="S138" s="183">
        <f>SUM(D134:D138)</f>
        <v>41218967</v>
      </c>
      <c r="T138" s="183">
        <f>SUM(F134:F138)</f>
        <v>21227621</v>
      </c>
      <c r="U138" s="124">
        <f>SUM(J134:J138)</f>
        <v>12819.355355600001</v>
      </c>
      <c r="W138" s="124">
        <f t="shared" si="37"/>
        <v>0</v>
      </c>
      <c r="X138">
        <f t="shared" si="38"/>
        <v>0</v>
      </c>
    </row>
    <row r="139" spans="1:24">
      <c r="A139" s="23" t="s">
        <v>160</v>
      </c>
      <c r="B139" s="35" t="s">
        <v>161</v>
      </c>
      <c r="C139" s="125">
        <v>5611</v>
      </c>
      <c r="D139" s="132">
        <v>466862683</v>
      </c>
      <c r="E139" s="116">
        <f t="shared" ref="E139:E144" si="39">(D139/C139)</f>
        <v>83204.898057387269</v>
      </c>
      <c r="F139" s="134">
        <v>112484113</v>
      </c>
      <c r="G139" s="117">
        <f t="shared" ref="G139:G144" si="40">(F139/C139)</f>
        <v>20047.070575654965</v>
      </c>
      <c r="H139" s="7"/>
      <c r="I139" s="150">
        <v>5.2210000000000001</v>
      </c>
      <c r="J139" s="134">
        <v>587279.55397300003</v>
      </c>
      <c r="K139" s="120">
        <f t="shared" ref="K139:K144" si="41">(J139/C139)</f>
        <v>104.66575547549456</v>
      </c>
      <c r="L139" s="122">
        <f t="shared" si="32"/>
        <v>1124841.1300000001</v>
      </c>
      <c r="M139" s="116">
        <f t="shared" si="33"/>
        <v>537561.57602700009</v>
      </c>
      <c r="N139" s="123">
        <f t="shared" si="34"/>
        <v>95.804950281055085</v>
      </c>
      <c r="O139" s="5"/>
      <c r="P139" s="5">
        <f t="shared" si="35"/>
        <v>1</v>
      </c>
      <c r="Q139" s="7">
        <f t="shared" si="36"/>
        <v>5611</v>
      </c>
      <c r="W139" s="124">
        <f t="shared" si="37"/>
        <v>587279.55397300003</v>
      </c>
      <c r="X139">
        <f t="shared" si="38"/>
        <v>0</v>
      </c>
    </row>
    <row r="140" spans="1:24">
      <c r="A140" s="23" t="s">
        <v>162</v>
      </c>
      <c r="B140" s="35" t="s">
        <v>161</v>
      </c>
      <c r="C140" s="125">
        <v>4314</v>
      </c>
      <c r="D140" s="132">
        <v>4159306957</v>
      </c>
      <c r="E140" s="116">
        <f t="shared" si="39"/>
        <v>964141.62192860455</v>
      </c>
      <c r="F140" s="134">
        <v>3351246516</v>
      </c>
      <c r="G140" s="117">
        <f t="shared" si="40"/>
        <v>776830.43949930463</v>
      </c>
      <c r="H140" s="7"/>
      <c r="I140" s="136">
        <v>1.3349</v>
      </c>
      <c r="J140" s="134">
        <v>4473578.9742083997</v>
      </c>
      <c r="K140" s="120">
        <f t="shared" si="41"/>
        <v>1036.9909536876216</v>
      </c>
      <c r="L140" s="122">
        <f t="shared" si="32"/>
        <v>33512465.16</v>
      </c>
      <c r="M140" s="116">
        <f t="shared" si="33"/>
        <v>29038886.1857916</v>
      </c>
      <c r="N140" s="123">
        <f t="shared" si="34"/>
        <v>6731.313441305424</v>
      </c>
      <c r="O140" s="5"/>
      <c r="P140" s="5">
        <f t="shared" si="35"/>
        <v>1</v>
      </c>
      <c r="Q140" s="7">
        <f t="shared" si="36"/>
        <v>4314</v>
      </c>
      <c r="W140" s="124">
        <f t="shared" si="37"/>
        <v>4473578.9742083997</v>
      </c>
      <c r="X140">
        <f t="shared" si="38"/>
        <v>0</v>
      </c>
    </row>
    <row r="141" spans="1:24">
      <c r="A141" s="23" t="s">
        <v>163</v>
      </c>
      <c r="B141" s="35" t="s">
        <v>161</v>
      </c>
      <c r="C141" s="125">
        <v>425</v>
      </c>
      <c r="D141" s="132">
        <v>516057081</v>
      </c>
      <c r="E141" s="116">
        <f t="shared" si="39"/>
        <v>1214251.9552941176</v>
      </c>
      <c r="F141" s="134">
        <v>446883438</v>
      </c>
      <c r="G141" s="117">
        <f t="shared" si="40"/>
        <v>1051490.4423529413</v>
      </c>
      <c r="H141" s="7"/>
      <c r="I141" s="136">
        <v>1.6</v>
      </c>
      <c r="J141" s="134">
        <v>715013.50080000004</v>
      </c>
      <c r="K141" s="120">
        <f t="shared" si="41"/>
        <v>1682.384707764706</v>
      </c>
      <c r="L141" s="122">
        <f t="shared" si="32"/>
        <v>4468834.38</v>
      </c>
      <c r="M141" s="116">
        <f t="shared" si="33"/>
        <v>3753820.8791999999</v>
      </c>
      <c r="N141" s="123">
        <f t="shared" si="34"/>
        <v>8832.5197157647053</v>
      </c>
      <c r="O141" s="5"/>
      <c r="P141" s="5">
        <f t="shared" si="35"/>
        <v>1</v>
      </c>
      <c r="Q141" s="7">
        <f t="shared" si="36"/>
        <v>425</v>
      </c>
      <c r="W141" s="124">
        <f t="shared" si="37"/>
        <v>715013.50080000004</v>
      </c>
      <c r="X141">
        <f t="shared" si="38"/>
        <v>0</v>
      </c>
    </row>
    <row r="142" spans="1:24">
      <c r="A142" s="23" t="s">
        <v>164</v>
      </c>
      <c r="B142" s="35" t="s">
        <v>161</v>
      </c>
      <c r="C142" s="125">
        <v>25168</v>
      </c>
      <c r="D142" s="132">
        <v>2448716950</v>
      </c>
      <c r="E142" s="116">
        <f t="shared" si="39"/>
        <v>97294.856563890658</v>
      </c>
      <c r="F142" s="134">
        <v>1382764169</v>
      </c>
      <c r="G142" s="117">
        <f t="shared" si="40"/>
        <v>54941.360815321044</v>
      </c>
      <c r="H142" s="7"/>
      <c r="I142" s="136">
        <v>2.9399000000000002</v>
      </c>
      <c r="J142" s="134">
        <v>4065188.3804431004</v>
      </c>
      <c r="K142" s="120">
        <f t="shared" si="41"/>
        <v>161.52210666096235</v>
      </c>
      <c r="L142" s="122">
        <f t="shared" si="32"/>
        <v>13827641.689999999</v>
      </c>
      <c r="M142" s="116">
        <f t="shared" si="33"/>
        <v>9762453.3095568996</v>
      </c>
      <c r="N142" s="123">
        <f t="shared" si="34"/>
        <v>387.8915014922481</v>
      </c>
      <c r="O142" s="5"/>
      <c r="P142" s="5">
        <f t="shared" si="35"/>
        <v>1</v>
      </c>
      <c r="Q142" s="7">
        <f t="shared" si="36"/>
        <v>25168</v>
      </c>
      <c r="W142" s="124">
        <f t="shared" si="37"/>
        <v>4065188.3804430999</v>
      </c>
      <c r="X142">
        <f t="shared" si="38"/>
        <v>0</v>
      </c>
    </row>
    <row r="143" spans="1:24">
      <c r="A143" s="23" t="s">
        <v>165</v>
      </c>
      <c r="B143" s="35" t="s">
        <v>161</v>
      </c>
      <c r="C143" s="125">
        <v>16708</v>
      </c>
      <c r="D143" s="132">
        <v>4220382869</v>
      </c>
      <c r="E143" s="116">
        <f t="shared" si="39"/>
        <v>252596.53273880776</v>
      </c>
      <c r="F143" s="134">
        <v>3043311816</v>
      </c>
      <c r="G143" s="117">
        <f t="shared" si="40"/>
        <v>182146.98443859228</v>
      </c>
      <c r="H143" s="7"/>
      <c r="I143" s="136">
        <v>2.5</v>
      </c>
      <c r="J143" s="134">
        <v>7608279.54</v>
      </c>
      <c r="K143" s="120">
        <f t="shared" si="41"/>
        <v>455.36746109648072</v>
      </c>
      <c r="L143" s="122">
        <f t="shared" si="32"/>
        <v>30433118.16</v>
      </c>
      <c r="M143" s="116">
        <f t="shared" si="33"/>
        <v>22824838.620000001</v>
      </c>
      <c r="N143" s="123">
        <f t="shared" si="34"/>
        <v>1366.1023832894423</v>
      </c>
      <c r="O143" s="5"/>
      <c r="P143" s="5">
        <f t="shared" si="35"/>
        <v>1</v>
      </c>
      <c r="Q143" s="7">
        <f t="shared" si="36"/>
        <v>16708</v>
      </c>
      <c r="S143" s="124">
        <f>SUM(D139:D143)</f>
        <v>11811326540</v>
      </c>
      <c r="T143" s="124">
        <f>SUM(F139:F143)</f>
        <v>8336690052</v>
      </c>
      <c r="U143" s="124">
        <f>SUM(J139:J143)</f>
        <v>17449339.949424502</v>
      </c>
      <c r="W143" s="124">
        <f t="shared" si="37"/>
        <v>7608279.54</v>
      </c>
      <c r="X143">
        <f t="shared" si="38"/>
        <v>0</v>
      </c>
    </row>
    <row r="144" spans="1:24">
      <c r="A144" s="23" t="s">
        <v>166</v>
      </c>
      <c r="B144" s="35" t="s">
        <v>167</v>
      </c>
      <c r="C144" s="125">
        <v>495</v>
      </c>
      <c r="D144" s="132">
        <v>14292289</v>
      </c>
      <c r="E144" s="116">
        <f t="shared" si="39"/>
        <v>28873.31111111111</v>
      </c>
      <c r="F144" s="134">
        <v>8319280</v>
      </c>
      <c r="G144" s="117">
        <f t="shared" si="40"/>
        <v>16806.626262626261</v>
      </c>
      <c r="H144" s="9"/>
      <c r="I144" s="136">
        <v>1.5564</v>
      </c>
      <c r="J144" s="134">
        <v>12948.127392</v>
      </c>
      <c r="K144" s="120">
        <f t="shared" si="41"/>
        <v>26.157833115151515</v>
      </c>
      <c r="L144" s="122">
        <f t="shared" si="32"/>
        <v>83192.800000000003</v>
      </c>
      <c r="M144" s="116">
        <f t="shared" si="33"/>
        <v>70244.672608000008</v>
      </c>
      <c r="N144" s="123">
        <f t="shared" si="34"/>
        <v>141.90842951111114</v>
      </c>
      <c r="O144" s="5"/>
      <c r="P144" s="5">
        <f t="shared" si="35"/>
        <v>1</v>
      </c>
      <c r="Q144" s="7">
        <f t="shared" si="36"/>
        <v>495</v>
      </c>
      <c r="W144" s="124">
        <f t="shared" si="37"/>
        <v>12948.127392</v>
      </c>
      <c r="X144">
        <f t="shared" si="38"/>
        <v>0</v>
      </c>
    </row>
    <row r="145" spans="1:24">
      <c r="A145" s="23" t="s">
        <v>168</v>
      </c>
      <c r="B145" s="35" t="s">
        <v>167</v>
      </c>
      <c r="C145" s="125">
        <v>112</v>
      </c>
      <c r="D145" s="147" t="s">
        <v>564</v>
      </c>
      <c r="E145" s="116"/>
      <c r="F145" s="134"/>
      <c r="G145" s="117"/>
      <c r="H145" s="98" t="s">
        <v>588</v>
      </c>
      <c r="I145" s="136"/>
      <c r="J145" s="134"/>
      <c r="K145" s="120"/>
      <c r="L145" s="122">
        <f t="shared" si="32"/>
        <v>0</v>
      </c>
      <c r="M145" s="116">
        <f t="shared" si="33"/>
        <v>0</v>
      </c>
      <c r="N145" s="123">
        <f t="shared" si="34"/>
        <v>0</v>
      </c>
      <c r="O145" s="5"/>
      <c r="P145" s="5">
        <f t="shared" si="35"/>
        <v>0</v>
      </c>
      <c r="Q145" s="7">
        <f t="shared" si="36"/>
        <v>0</v>
      </c>
      <c r="W145" s="124">
        <f t="shared" si="37"/>
        <v>0</v>
      </c>
      <c r="X145">
        <f t="shared" si="38"/>
        <v>0</v>
      </c>
    </row>
    <row r="146" spans="1:24">
      <c r="A146" s="23" t="s">
        <v>169</v>
      </c>
      <c r="B146" s="35" t="s">
        <v>167</v>
      </c>
      <c r="C146" s="125">
        <v>215</v>
      </c>
      <c r="D146" s="132">
        <v>14636360</v>
      </c>
      <c r="E146" s="116">
        <f>(D146/C146)</f>
        <v>68076.093023255817</v>
      </c>
      <c r="F146" s="134">
        <v>9240838</v>
      </c>
      <c r="G146" s="117">
        <f>(F146/C146)</f>
        <v>42980.641860465119</v>
      </c>
      <c r="H146" s="7"/>
      <c r="I146" s="151">
        <v>2.9399000000000002</v>
      </c>
      <c r="J146" s="134">
        <v>27167.139636200005</v>
      </c>
      <c r="K146" s="120">
        <f>(J146/C146)</f>
        <v>126.35878900558141</v>
      </c>
      <c r="L146" s="122">
        <f t="shared" si="32"/>
        <v>92408.38</v>
      </c>
      <c r="M146" s="116">
        <f t="shared" si="33"/>
        <v>65241.240363799996</v>
      </c>
      <c r="N146" s="123">
        <f t="shared" si="34"/>
        <v>303.44762959906973</v>
      </c>
      <c r="O146" s="5"/>
      <c r="P146" s="5">
        <f t="shared" si="35"/>
        <v>1</v>
      </c>
      <c r="Q146" s="7">
        <f t="shared" si="36"/>
        <v>215</v>
      </c>
      <c r="W146" s="124">
        <f t="shared" si="37"/>
        <v>27167.139636200001</v>
      </c>
      <c r="X146">
        <f t="shared" si="38"/>
        <v>0</v>
      </c>
    </row>
    <row r="147" spans="1:24">
      <c r="A147" s="23" t="s">
        <v>170</v>
      </c>
      <c r="B147" s="35" t="s">
        <v>167</v>
      </c>
      <c r="C147" s="125">
        <v>856</v>
      </c>
      <c r="D147" s="132">
        <v>30248472</v>
      </c>
      <c r="E147" s="116">
        <f>(D147/C147)</f>
        <v>35337</v>
      </c>
      <c r="F147" s="134">
        <v>15563826</v>
      </c>
      <c r="G147" s="117">
        <f>(F147/C147)</f>
        <v>18182.039719626169</v>
      </c>
      <c r="H147" s="7"/>
      <c r="I147" s="136">
        <v>4.1372999999999998</v>
      </c>
      <c r="J147" s="134">
        <v>64392.217309799998</v>
      </c>
      <c r="K147" s="120">
        <f>(J147/C147)</f>
        <v>75.224552932009345</v>
      </c>
      <c r="L147" s="122">
        <f t="shared" si="32"/>
        <v>155638.26</v>
      </c>
      <c r="M147" s="116">
        <f t="shared" si="33"/>
        <v>91246.042690200004</v>
      </c>
      <c r="N147" s="123">
        <f t="shared" si="34"/>
        <v>106.59584426425234</v>
      </c>
      <c r="O147" s="5"/>
      <c r="P147" s="5">
        <f t="shared" si="35"/>
        <v>1</v>
      </c>
      <c r="Q147" s="7">
        <f t="shared" si="36"/>
        <v>856</v>
      </c>
      <c r="W147" s="124">
        <f t="shared" si="37"/>
        <v>64392.217309799998</v>
      </c>
      <c r="X147">
        <f t="shared" si="38"/>
        <v>0</v>
      </c>
    </row>
    <row r="148" spans="1:24">
      <c r="A148" s="23" t="s">
        <v>171</v>
      </c>
      <c r="B148" s="35" t="s">
        <v>167</v>
      </c>
      <c r="C148" s="125">
        <v>2238</v>
      </c>
      <c r="D148" s="132">
        <v>126220904</v>
      </c>
      <c r="E148" s="116">
        <f>(D148/C148)</f>
        <v>56398.974084003574</v>
      </c>
      <c r="F148" s="134">
        <v>83787349</v>
      </c>
      <c r="G148" s="117">
        <f>(F148/C148)</f>
        <v>37438.493744414656</v>
      </c>
      <c r="H148" s="9"/>
      <c r="I148" s="136">
        <v>4</v>
      </c>
      <c r="J148" s="134">
        <v>335149.39600000001</v>
      </c>
      <c r="K148" s="120">
        <f>(J148/C148)</f>
        <v>149.75397497765863</v>
      </c>
      <c r="L148" s="122">
        <f t="shared" si="32"/>
        <v>837873.49</v>
      </c>
      <c r="M148" s="116">
        <f t="shared" si="33"/>
        <v>502724.09399999998</v>
      </c>
      <c r="N148" s="123">
        <f t="shared" si="34"/>
        <v>224.63096246648792</v>
      </c>
      <c r="O148" s="5"/>
      <c r="P148" s="5">
        <f t="shared" si="35"/>
        <v>1</v>
      </c>
      <c r="Q148" s="7">
        <f t="shared" si="36"/>
        <v>2238</v>
      </c>
      <c r="W148" s="124">
        <f t="shared" si="37"/>
        <v>335149.39600000001</v>
      </c>
      <c r="X148">
        <f t="shared" si="38"/>
        <v>0</v>
      </c>
    </row>
    <row r="149" spans="1:24">
      <c r="A149" s="23" t="s">
        <v>172</v>
      </c>
      <c r="B149" s="35" t="s">
        <v>167</v>
      </c>
      <c r="C149" s="125">
        <v>907</v>
      </c>
      <c r="D149" s="147" t="s">
        <v>564</v>
      </c>
      <c r="E149" s="116"/>
      <c r="F149" s="134"/>
      <c r="G149" s="117"/>
      <c r="H149" s="98" t="s">
        <v>588</v>
      </c>
      <c r="I149" s="136"/>
      <c r="J149" s="134"/>
      <c r="K149" s="120"/>
      <c r="L149" s="122">
        <f t="shared" si="32"/>
        <v>0</v>
      </c>
      <c r="M149" s="116">
        <f t="shared" si="33"/>
        <v>0</v>
      </c>
      <c r="N149" s="123">
        <f t="shared" si="34"/>
        <v>0</v>
      </c>
      <c r="O149" s="5"/>
      <c r="P149" s="5">
        <f t="shared" si="35"/>
        <v>0</v>
      </c>
      <c r="Q149" s="7">
        <f t="shared" si="36"/>
        <v>0</v>
      </c>
      <c r="W149" s="124">
        <f t="shared" si="37"/>
        <v>0</v>
      </c>
      <c r="X149">
        <f t="shared" si="38"/>
        <v>0</v>
      </c>
    </row>
    <row r="150" spans="1:24">
      <c r="A150" s="23" t="s">
        <v>173</v>
      </c>
      <c r="B150" s="35" t="s">
        <v>167</v>
      </c>
      <c r="C150" s="125">
        <v>659</v>
      </c>
      <c r="D150" s="132">
        <v>23264301</v>
      </c>
      <c r="E150" s="116">
        <f t="shared" ref="E150:E198" si="42">(D150/C150)</f>
        <v>35302.429438543244</v>
      </c>
      <c r="F150" s="134">
        <v>12126090</v>
      </c>
      <c r="G150" s="117">
        <f t="shared" ref="G150:G198" si="43">(F150/C150)</f>
        <v>18400.743550834599</v>
      </c>
      <c r="H150" s="7"/>
      <c r="I150" s="150">
        <v>1</v>
      </c>
      <c r="J150" s="134">
        <v>12126.09</v>
      </c>
      <c r="K150" s="120">
        <f t="shared" ref="K150:K198" si="44">(J150/C150)</f>
        <v>18.400743550834598</v>
      </c>
      <c r="L150" s="122">
        <f t="shared" si="32"/>
        <v>121260.90000000001</v>
      </c>
      <c r="M150" s="116">
        <f t="shared" si="33"/>
        <v>109134.81000000001</v>
      </c>
      <c r="N150" s="123">
        <f t="shared" si="34"/>
        <v>165.6066919575114</v>
      </c>
      <c r="O150" s="5"/>
      <c r="P150" s="5">
        <f t="shared" si="35"/>
        <v>1</v>
      </c>
      <c r="Q150" s="7">
        <f t="shared" si="36"/>
        <v>659</v>
      </c>
      <c r="W150" s="124">
        <f t="shared" si="37"/>
        <v>12126.09</v>
      </c>
      <c r="X150">
        <f t="shared" si="38"/>
        <v>0</v>
      </c>
    </row>
    <row r="151" spans="1:24">
      <c r="A151" s="23" t="s">
        <v>508</v>
      </c>
      <c r="B151" s="35" t="s">
        <v>167</v>
      </c>
      <c r="C151" s="125">
        <v>318</v>
      </c>
      <c r="D151" s="132">
        <v>7596852</v>
      </c>
      <c r="E151" s="116">
        <f t="shared" si="42"/>
        <v>23889.471698113208</v>
      </c>
      <c r="F151" s="134">
        <v>4039367</v>
      </c>
      <c r="G151" s="117">
        <f t="shared" si="43"/>
        <v>12702.411949685535</v>
      </c>
      <c r="H151" s="9"/>
      <c r="I151" s="136">
        <v>3.9878999999999998</v>
      </c>
      <c r="J151" s="134">
        <v>16108.5916593</v>
      </c>
      <c r="K151" s="120">
        <f t="shared" si="44"/>
        <v>50.655948614150944</v>
      </c>
      <c r="L151" s="122">
        <f t="shared" si="32"/>
        <v>40393.67</v>
      </c>
      <c r="M151" s="116">
        <f t="shared" si="33"/>
        <v>24285.078340699998</v>
      </c>
      <c r="N151" s="123">
        <f t="shared" si="34"/>
        <v>76.368170882704391</v>
      </c>
      <c r="O151" s="5"/>
      <c r="P151" s="5">
        <f t="shared" si="35"/>
        <v>1</v>
      </c>
      <c r="Q151" s="7">
        <f t="shared" si="36"/>
        <v>318</v>
      </c>
      <c r="W151" s="124">
        <f t="shared" si="37"/>
        <v>16108.5916593</v>
      </c>
      <c r="X151">
        <f t="shared" si="38"/>
        <v>0</v>
      </c>
    </row>
    <row r="152" spans="1:24">
      <c r="A152" s="23" t="s">
        <v>175</v>
      </c>
      <c r="B152" s="35" t="s">
        <v>167</v>
      </c>
      <c r="C152" s="125">
        <v>2070</v>
      </c>
      <c r="D152" s="147">
        <v>45095868</v>
      </c>
      <c r="E152" s="116">
        <f t="shared" si="42"/>
        <v>21785.44347826087</v>
      </c>
      <c r="F152" s="134">
        <v>14003392</v>
      </c>
      <c r="G152" s="117">
        <f t="shared" si="43"/>
        <v>6764.9236714975841</v>
      </c>
      <c r="H152" s="98"/>
      <c r="I152" s="136">
        <v>1</v>
      </c>
      <c r="J152" s="134">
        <v>14003.392</v>
      </c>
      <c r="K152" s="120">
        <f t="shared" si="44"/>
        <v>6.7649236714975842</v>
      </c>
      <c r="L152" s="122">
        <f t="shared" si="32"/>
        <v>140033.92000000001</v>
      </c>
      <c r="M152" s="116">
        <f t="shared" si="33"/>
        <v>126030.52800000002</v>
      </c>
      <c r="N152" s="123">
        <f t="shared" si="34"/>
        <v>60.884313043478272</v>
      </c>
      <c r="O152" s="5"/>
      <c r="P152" s="5">
        <f t="shared" si="35"/>
        <v>1</v>
      </c>
      <c r="Q152" s="7">
        <f t="shared" si="36"/>
        <v>2070</v>
      </c>
      <c r="W152" s="124">
        <f t="shared" si="37"/>
        <v>14003.392</v>
      </c>
      <c r="X152">
        <f t="shared" si="38"/>
        <v>0</v>
      </c>
    </row>
    <row r="153" spans="1:24">
      <c r="A153" s="23" t="s">
        <v>176</v>
      </c>
      <c r="B153" s="35" t="s">
        <v>167</v>
      </c>
      <c r="C153" s="125">
        <v>6030</v>
      </c>
      <c r="D153" s="132">
        <v>450118724</v>
      </c>
      <c r="E153" s="116">
        <f t="shared" si="42"/>
        <v>74646.554560530683</v>
      </c>
      <c r="F153" s="134">
        <v>232670586</v>
      </c>
      <c r="G153" s="117">
        <f t="shared" si="43"/>
        <v>38585.503482587068</v>
      </c>
      <c r="H153" s="7"/>
      <c r="I153" s="150">
        <v>2.9984999999999999</v>
      </c>
      <c r="J153" s="134">
        <v>697662.75212099997</v>
      </c>
      <c r="K153" s="120">
        <f t="shared" si="44"/>
        <v>115.6986321925373</v>
      </c>
      <c r="L153" s="122">
        <f t="shared" si="32"/>
        <v>2326705.86</v>
      </c>
      <c r="M153" s="116">
        <f t="shared" si="33"/>
        <v>1629043.1078789998</v>
      </c>
      <c r="N153" s="123">
        <f t="shared" si="34"/>
        <v>270.1564026333333</v>
      </c>
      <c r="O153" s="5"/>
      <c r="P153" s="5">
        <f t="shared" si="35"/>
        <v>1</v>
      </c>
      <c r="Q153" s="7">
        <f t="shared" si="36"/>
        <v>6030</v>
      </c>
      <c r="W153" s="124">
        <f t="shared" si="37"/>
        <v>697662.75212099997</v>
      </c>
      <c r="X153">
        <f t="shared" si="38"/>
        <v>0</v>
      </c>
    </row>
    <row r="154" spans="1:24">
      <c r="A154" s="23" t="s">
        <v>177</v>
      </c>
      <c r="B154" s="35" t="s">
        <v>167</v>
      </c>
      <c r="C154" s="125">
        <v>1802</v>
      </c>
      <c r="D154" s="132">
        <v>57532103</v>
      </c>
      <c r="E154" s="116">
        <f t="shared" si="42"/>
        <v>31926.805216426194</v>
      </c>
      <c r="F154" s="134">
        <v>32018303</v>
      </c>
      <c r="G154" s="117">
        <f t="shared" si="43"/>
        <v>17768.203662597116</v>
      </c>
      <c r="H154" s="7"/>
      <c r="I154" s="136">
        <v>1.6753</v>
      </c>
      <c r="J154" s="134">
        <v>53640.263015900004</v>
      </c>
      <c r="K154" s="120">
        <f t="shared" si="44"/>
        <v>29.767071595948948</v>
      </c>
      <c r="L154" s="122">
        <f t="shared" si="32"/>
        <v>320183.03000000003</v>
      </c>
      <c r="M154" s="116">
        <f t="shared" si="33"/>
        <v>266542.76698410005</v>
      </c>
      <c r="N154" s="123">
        <f t="shared" si="34"/>
        <v>147.91496503002222</v>
      </c>
      <c r="O154" s="5"/>
      <c r="P154" s="5">
        <f t="shared" si="35"/>
        <v>1</v>
      </c>
      <c r="Q154" s="7">
        <f t="shared" si="36"/>
        <v>1802</v>
      </c>
      <c r="S154" s="124">
        <f>SUM(D144:D154)</f>
        <v>769005873</v>
      </c>
      <c r="T154" s="124">
        <f>SUM(F144:F154)</f>
        <v>411769031</v>
      </c>
      <c r="U154" s="124">
        <f>SUM(J144:J154)</f>
        <v>1233197.9691342001</v>
      </c>
      <c r="W154" s="124">
        <f t="shared" si="37"/>
        <v>53640.263015900004</v>
      </c>
      <c r="X154">
        <f t="shared" si="38"/>
        <v>0</v>
      </c>
    </row>
    <row r="155" spans="1:24">
      <c r="A155" s="23" t="s">
        <v>178</v>
      </c>
      <c r="B155" s="35" t="s">
        <v>179</v>
      </c>
      <c r="C155" s="125">
        <v>2449</v>
      </c>
      <c r="D155" s="132">
        <v>158951876</v>
      </c>
      <c r="E155" s="116">
        <f t="shared" si="42"/>
        <v>64904.808493262557</v>
      </c>
      <c r="F155" s="134">
        <v>94051024</v>
      </c>
      <c r="G155" s="117">
        <f t="shared" si="43"/>
        <v>38403.848101265823</v>
      </c>
      <c r="H155" s="7"/>
      <c r="I155" s="136">
        <v>7.2</v>
      </c>
      <c r="J155" s="134">
        <v>677167.37280000013</v>
      </c>
      <c r="K155" s="120">
        <f t="shared" si="44"/>
        <v>276.507706329114</v>
      </c>
      <c r="L155" s="122">
        <f t="shared" si="32"/>
        <v>940510.24</v>
      </c>
      <c r="M155" s="116">
        <f t="shared" si="33"/>
        <v>263342.86719999986</v>
      </c>
      <c r="N155" s="123">
        <f t="shared" si="34"/>
        <v>107.53077468354425</v>
      </c>
      <c r="O155" s="5"/>
      <c r="P155" s="5">
        <f t="shared" si="35"/>
        <v>1</v>
      </c>
      <c r="Q155" s="7">
        <f t="shared" si="36"/>
        <v>2449</v>
      </c>
      <c r="S155" s="124">
        <f>SUM(D155)</f>
        <v>158951876</v>
      </c>
      <c r="T155" s="124">
        <f>SUM(F155)</f>
        <v>94051024</v>
      </c>
      <c r="U155" s="124">
        <f>SUM(J155)</f>
        <v>677167.37280000013</v>
      </c>
      <c r="W155" s="124">
        <f t="shared" si="37"/>
        <v>677167.37280000001</v>
      </c>
      <c r="X155">
        <f t="shared" si="38"/>
        <v>0</v>
      </c>
    </row>
    <row r="156" spans="1:24">
      <c r="A156" s="23" t="s">
        <v>180</v>
      </c>
      <c r="B156" s="35" t="s">
        <v>181</v>
      </c>
      <c r="C156" s="125">
        <v>1217</v>
      </c>
      <c r="D156" s="132">
        <v>44392776</v>
      </c>
      <c r="E156" s="116">
        <f t="shared" si="42"/>
        <v>36477.219391947408</v>
      </c>
      <c r="F156" s="134">
        <v>23749502</v>
      </c>
      <c r="G156" s="117">
        <f t="shared" si="43"/>
        <v>19514.792111750205</v>
      </c>
      <c r="H156" s="7"/>
      <c r="I156" s="136">
        <v>6</v>
      </c>
      <c r="J156" s="134">
        <v>142497.01199999999</v>
      </c>
      <c r="K156" s="120">
        <f t="shared" si="44"/>
        <v>117.08875267050122</v>
      </c>
      <c r="L156" s="122">
        <f t="shared" si="32"/>
        <v>237495.02000000002</v>
      </c>
      <c r="M156" s="116">
        <f t="shared" si="33"/>
        <v>94998.008000000031</v>
      </c>
      <c r="N156" s="123">
        <f t="shared" si="34"/>
        <v>78.059168447000843</v>
      </c>
      <c r="O156" s="5"/>
      <c r="P156" s="5">
        <f t="shared" si="35"/>
        <v>1</v>
      </c>
      <c r="Q156" s="7">
        <f t="shared" si="36"/>
        <v>1217</v>
      </c>
      <c r="S156" s="124">
        <f>SUM(D156)</f>
        <v>44392776</v>
      </c>
      <c r="T156" s="124">
        <f>SUM(F156)</f>
        <v>23749502</v>
      </c>
      <c r="U156" s="124">
        <f>SUM(J156)</f>
        <v>142497.01199999999</v>
      </c>
      <c r="W156" s="124">
        <f t="shared" si="37"/>
        <v>142497.01200000002</v>
      </c>
      <c r="X156">
        <f t="shared" si="38"/>
        <v>0</v>
      </c>
    </row>
    <row r="157" spans="1:24">
      <c r="A157" s="23" t="s">
        <v>182</v>
      </c>
      <c r="B157" s="35" t="s">
        <v>183</v>
      </c>
      <c r="C157" s="125">
        <v>1937</v>
      </c>
      <c r="D157" s="147">
        <v>99304960</v>
      </c>
      <c r="E157" s="116">
        <f t="shared" si="42"/>
        <v>51267.403200826018</v>
      </c>
      <c r="F157" s="134">
        <v>58096765</v>
      </c>
      <c r="G157" s="117">
        <f t="shared" si="43"/>
        <v>29993.167268972637</v>
      </c>
      <c r="H157" s="9"/>
      <c r="I157" s="136">
        <v>7.5</v>
      </c>
      <c r="J157" s="134">
        <v>435725.73749999999</v>
      </c>
      <c r="K157" s="120">
        <f t="shared" si="44"/>
        <v>224.94875451729479</v>
      </c>
      <c r="L157" s="122">
        <f t="shared" si="32"/>
        <v>580967.65</v>
      </c>
      <c r="M157" s="116">
        <f t="shared" si="33"/>
        <v>145241.91250000003</v>
      </c>
      <c r="N157" s="123">
        <f t="shared" si="34"/>
        <v>74.98291817243161</v>
      </c>
      <c r="O157" s="5"/>
      <c r="P157" s="5">
        <f t="shared" si="35"/>
        <v>1</v>
      </c>
      <c r="Q157" s="7">
        <f t="shared" si="36"/>
        <v>1937</v>
      </c>
      <c r="W157" s="124">
        <f t="shared" si="37"/>
        <v>435725.73749999999</v>
      </c>
      <c r="X157">
        <f t="shared" si="38"/>
        <v>0</v>
      </c>
    </row>
    <row r="158" spans="1:24">
      <c r="A158" s="23" t="s">
        <v>184</v>
      </c>
      <c r="B158" s="35" t="s">
        <v>183</v>
      </c>
      <c r="C158" s="125">
        <v>40750</v>
      </c>
      <c r="D158" s="147">
        <v>4446464337</v>
      </c>
      <c r="E158" s="116">
        <f t="shared" si="42"/>
        <v>109115.68925153374</v>
      </c>
      <c r="F158" s="134">
        <v>3122263059</v>
      </c>
      <c r="G158" s="117">
        <f t="shared" si="43"/>
        <v>76619.952368098166</v>
      </c>
      <c r="H158" s="9"/>
      <c r="I158" s="136">
        <v>4.2061000000000002</v>
      </c>
      <c r="J158" s="134">
        <v>13132550.652459901</v>
      </c>
      <c r="K158" s="120">
        <f t="shared" si="44"/>
        <v>322.27118165545767</v>
      </c>
      <c r="L158" s="122">
        <f t="shared" si="32"/>
        <v>31222630.59</v>
      </c>
      <c r="M158" s="116">
        <f t="shared" si="33"/>
        <v>18090079.937540099</v>
      </c>
      <c r="N158" s="123">
        <f t="shared" si="34"/>
        <v>443.92834202552388</v>
      </c>
      <c r="O158" s="5"/>
      <c r="P158" s="5">
        <f t="shared" si="35"/>
        <v>1</v>
      </c>
      <c r="Q158" s="7">
        <f t="shared" si="36"/>
        <v>40750</v>
      </c>
      <c r="W158" s="124">
        <f t="shared" si="37"/>
        <v>13132550.652459899</v>
      </c>
      <c r="X158">
        <f t="shared" si="38"/>
        <v>0</v>
      </c>
    </row>
    <row r="159" spans="1:24">
      <c r="A159" s="23" t="s">
        <v>185</v>
      </c>
      <c r="B159" s="35" t="s">
        <v>183</v>
      </c>
      <c r="C159" s="125">
        <v>21368</v>
      </c>
      <c r="D159" s="132">
        <v>1651963539</v>
      </c>
      <c r="E159" s="116">
        <f t="shared" si="42"/>
        <v>77310.161877573948</v>
      </c>
      <c r="F159" s="134">
        <v>1079601155</v>
      </c>
      <c r="G159" s="117">
        <f t="shared" si="43"/>
        <v>50524.202311868212</v>
      </c>
      <c r="H159" s="7"/>
      <c r="I159" s="136">
        <v>7.5810000000000004</v>
      </c>
      <c r="J159" s="134">
        <v>8184456.3560549999</v>
      </c>
      <c r="K159" s="120">
        <f t="shared" si="44"/>
        <v>383.0239777262729</v>
      </c>
      <c r="L159" s="122">
        <f t="shared" si="32"/>
        <v>10796011.550000001</v>
      </c>
      <c r="M159" s="116">
        <f t="shared" si="33"/>
        <v>2611555.1939450009</v>
      </c>
      <c r="N159" s="123">
        <f t="shared" si="34"/>
        <v>122.21804539240925</v>
      </c>
      <c r="O159" s="5"/>
      <c r="P159" s="5">
        <f t="shared" si="35"/>
        <v>1</v>
      </c>
      <c r="Q159" s="7">
        <f t="shared" si="36"/>
        <v>21368</v>
      </c>
      <c r="W159" s="124">
        <f t="shared" si="37"/>
        <v>8184456.3560549999</v>
      </c>
      <c r="X159">
        <f t="shared" si="38"/>
        <v>0</v>
      </c>
    </row>
    <row r="160" spans="1:24">
      <c r="A160" s="23" t="s">
        <v>186</v>
      </c>
      <c r="B160" s="35" t="s">
        <v>183</v>
      </c>
      <c r="C160" s="125">
        <v>10094</v>
      </c>
      <c r="D160" s="132">
        <v>983532073</v>
      </c>
      <c r="E160" s="116">
        <f t="shared" si="42"/>
        <v>97437.296710917377</v>
      </c>
      <c r="F160" s="134">
        <v>747762402</v>
      </c>
      <c r="G160" s="117">
        <f t="shared" si="43"/>
        <v>74079.889241133351</v>
      </c>
      <c r="H160" s="7"/>
      <c r="I160" s="136">
        <v>3.9134000000000002</v>
      </c>
      <c r="J160" s="134">
        <v>2926293.3839868</v>
      </c>
      <c r="K160" s="120">
        <f t="shared" si="44"/>
        <v>289.90423855625124</v>
      </c>
      <c r="L160" s="122">
        <f t="shared" si="32"/>
        <v>7477624.0200000005</v>
      </c>
      <c r="M160" s="116">
        <f t="shared" si="33"/>
        <v>4551330.6360132005</v>
      </c>
      <c r="N160" s="123">
        <f t="shared" si="34"/>
        <v>450.89465385508225</v>
      </c>
      <c r="O160" s="5"/>
      <c r="P160" s="5">
        <f t="shared" si="35"/>
        <v>1</v>
      </c>
      <c r="Q160" s="7">
        <f t="shared" si="36"/>
        <v>10094</v>
      </c>
      <c r="W160" s="124">
        <f t="shared" si="37"/>
        <v>2926293.3839868</v>
      </c>
      <c r="X160">
        <f t="shared" si="38"/>
        <v>0</v>
      </c>
    </row>
    <row r="161" spans="1:24">
      <c r="A161" s="23" t="s">
        <v>187</v>
      </c>
      <c r="B161" s="35" t="s">
        <v>183</v>
      </c>
      <c r="C161" s="125">
        <v>18255</v>
      </c>
      <c r="D161" s="132">
        <v>1409307673</v>
      </c>
      <c r="E161" s="116">
        <f t="shared" si="42"/>
        <v>77201.187236373589</v>
      </c>
      <c r="F161" s="134">
        <v>960514778</v>
      </c>
      <c r="G161" s="117">
        <f t="shared" si="43"/>
        <v>52616.531251711858</v>
      </c>
      <c r="H161" s="7"/>
      <c r="I161" s="136">
        <v>5.2</v>
      </c>
      <c r="J161" s="134">
        <v>4994676.8456000006</v>
      </c>
      <c r="K161" s="120">
        <f t="shared" si="44"/>
        <v>273.60596250890171</v>
      </c>
      <c r="L161" s="122">
        <f t="shared" si="32"/>
        <v>9605147.7799999993</v>
      </c>
      <c r="M161" s="116">
        <f t="shared" si="33"/>
        <v>4610470.9343999987</v>
      </c>
      <c r="N161" s="123">
        <f t="shared" si="34"/>
        <v>252.55935000821685</v>
      </c>
      <c r="O161" s="5"/>
      <c r="P161" s="5">
        <f t="shared" si="35"/>
        <v>1</v>
      </c>
      <c r="Q161" s="7">
        <f t="shared" si="36"/>
        <v>18255</v>
      </c>
      <c r="W161" s="124">
        <f t="shared" si="37"/>
        <v>4994676.8455999997</v>
      </c>
      <c r="X161">
        <f t="shared" si="38"/>
        <v>0</v>
      </c>
    </row>
    <row r="162" spans="1:24">
      <c r="A162" s="23" t="s">
        <v>188</v>
      </c>
      <c r="B162" s="35" t="s">
        <v>183</v>
      </c>
      <c r="C162" s="125">
        <v>1611</v>
      </c>
      <c r="D162" s="132">
        <v>160689449</v>
      </c>
      <c r="E162" s="116">
        <f t="shared" si="42"/>
        <v>99745.15766604594</v>
      </c>
      <c r="F162" s="134">
        <v>103154190</v>
      </c>
      <c r="G162" s="117">
        <f t="shared" si="43"/>
        <v>64031.154562383614</v>
      </c>
      <c r="H162" s="7"/>
      <c r="I162" s="136">
        <v>8.9179999999999993</v>
      </c>
      <c r="J162" s="134">
        <v>919929.06641999993</v>
      </c>
      <c r="K162" s="120">
        <f t="shared" si="44"/>
        <v>571.02983638733701</v>
      </c>
      <c r="L162" s="122">
        <f t="shared" si="32"/>
        <v>1031541.9</v>
      </c>
      <c r="M162" s="116">
        <f t="shared" si="33"/>
        <v>111612.83358000009</v>
      </c>
      <c r="N162" s="123">
        <f t="shared" si="34"/>
        <v>69.281709236499125</v>
      </c>
      <c r="O162" s="5"/>
      <c r="P162" s="5">
        <f t="shared" si="35"/>
        <v>1</v>
      </c>
      <c r="Q162" s="7">
        <f t="shared" si="36"/>
        <v>1611</v>
      </c>
      <c r="W162" s="124">
        <f t="shared" si="37"/>
        <v>919929.06641999993</v>
      </c>
      <c r="X162">
        <f t="shared" si="38"/>
        <v>0</v>
      </c>
    </row>
    <row r="163" spans="1:24">
      <c r="A163" s="23" t="s">
        <v>189</v>
      </c>
      <c r="B163" s="35" t="s">
        <v>183</v>
      </c>
      <c r="C163" s="125">
        <v>15655</v>
      </c>
      <c r="D163" s="132">
        <v>1677090996</v>
      </c>
      <c r="E163" s="116">
        <f t="shared" si="42"/>
        <v>107128.13771957842</v>
      </c>
      <c r="F163" s="134">
        <v>1196136595</v>
      </c>
      <c r="G163" s="117">
        <f t="shared" si="43"/>
        <v>76406.042478441392</v>
      </c>
      <c r="H163" s="7"/>
      <c r="I163" s="136">
        <v>3.3961999999999999</v>
      </c>
      <c r="J163" s="134">
        <v>4062319.1039389996</v>
      </c>
      <c r="K163" s="120">
        <f t="shared" si="44"/>
        <v>259.49020146528261</v>
      </c>
      <c r="L163" s="122">
        <f t="shared" si="32"/>
        <v>11961365.950000001</v>
      </c>
      <c r="M163" s="116">
        <f t="shared" si="33"/>
        <v>7899046.8460610015</v>
      </c>
      <c r="N163" s="123">
        <f t="shared" si="34"/>
        <v>504.57022331913134</v>
      </c>
      <c r="O163" s="5"/>
      <c r="P163" s="5">
        <f t="shared" si="35"/>
        <v>1</v>
      </c>
      <c r="Q163" s="7">
        <f t="shared" si="36"/>
        <v>15655</v>
      </c>
      <c r="W163" s="124">
        <f t="shared" si="37"/>
        <v>4062319.1039389996</v>
      </c>
      <c r="X163">
        <f t="shared" si="38"/>
        <v>0</v>
      </c>
    </row>
    <row r="164" spans="1:24">
      <c r="A164" s="23" t="s">
        <v>190</v>
      </c>
      <c r="B164" s="35" t="s">
        <v>183</v>
      </c>
      <c r="C164" s="125">
        <v>23993</v>
      </c>
      <c r="D164" s="132">
        <v>2184572609</v>
      </c>
      <c r="E164" s="116">
        <f t="shared" si="42"/>
        <v>91050.415079398153</v>
      </c>
      <c r="F164" s="134">
        <v>1436258901</v>
      </c>
      <c r="G164" s="117">
        <f t="shared" si="43"/>
        <v>59861.580502646604</v>
      </c>
      <c r="H164" s="7"/>
      <c r="I164" s="136">
        <v>4.2678000000000003</v>
      </c>
      <c r="J164" s="134">
        <v>6129665.7376878001</v>
      </c>
      <c r="K164" s="120">
        <f t="shared" si="44"/>
        <v>255.47725326919519</v>
      </c>
      <c r="L164" s="122">
        <f t="shared" si="32"/>
        <v>14362589.01</v>
      </c>
      <c r="M164" s="116">
        <f t="shared" si="33"/>
        <v>8232923.2723121997</v>
      </c>
      <c r="N164" s="123">
        <f t="shared" si="34"/>
        <v>343.13855175727087</v>
      </c>
      <c r="O164" s="5"/>
      <c r="P164" s="5">
        <f t="shared" si="35"/>
        <v>1</v>
      </c>
      <c r="Q164" s="7">
        <f t="shared" si="36"/>
        <v>23993</v>
      </c>
      <c r="W164" s="124">
        <f t="shared" si="37"/>
        <v>6129665.737687801</v>
      </c>
      <c r="X164">
        <f t="shared" si="38"/>
        <v>0</v>
      </c>
    </row>
    <row r="165" spans="1:24">
      <c r="A165" s="23" t="s">
        <v>191</v>
      </c>
      <c r="B165" s="35" t="s">
        <v>183</v>
      </c>
      <c r="C165" s="125">
        <v>6205</v>
      </c>
      <c r="D165" s="132">
        <v>324772410</v>
      </c>
      <c r="E165" s="116">
        <f t="shared" si="42"/>
        <v>52340.436744560837</v>
      </c>
      <c r="F165" s="134">
        <v>169760982</v>
      </c>
      <c r="G165" s="117">
        <f t="shared" si="43"/>
        <v>27358.740048348107</v>
      </c>
      <c r="H165" s="7"/>
      <c r="I165" s="136">
        <v>7.55</v>
      </c>
      <c r="J165" s="134">
        <v>1281695.4140999999</v>
      </c>
      <c r="K165" s="120">
        <f t="shared" si="44"/>
        <v>206.55848736502818</v>
      </c>
      <c r="L165" s="122">
        <f t="shared" si="32"/>
        <v>1697609.82</v>
      </c>
      <c r="M165" s="116">
        <f t="shared" si="33"/>
        <v>415914.40590000013</v>
      </c>
      <c r="N165" s="123">
        <f t="shared" si="34"/>
        <v>67.028913118452877</v>
      </c>
      <c r="O165" s="5"/>
      <c r="P165" s="5">
        <f t="shared" si="35"/>
        <v>1</v>
      </c>
      <c r="Q165" s="7">
        <f t="shared" si="36"/>
        <v>6205</v>
      </c>
      <c r="W165" s="124">
        <f t="shared" si="37"/>
        <v>1281695.4140999999</v>
      </c>
      <c r="X165">
        <f t="shared" si="38"/>
        <v>0</v>
      </c>
    </row>
    <row r="166" spans="1:24">
      <c r="A166" s="23" t="s">
        <v>192</v>
      </c>
      <c r="B166" s="35" t="s">
        <v>183</v>
      </c>
      <c r="C166" s="125">
        <v>12882</v>
      </c>
      <c r="D166" s="147">
        <v>1036822624</v>
      </c>
      <c r="E166" s="116">
        <f t="shared" si="42"/>
        <v>80486.15308181959</v>
      </c>
      <c r="F166" s="134">
        <v>644484077</v>
      </c>
      <c r="G166" s="117">
        <f t="shared" si="43"/>
        <v>50029.815013196705</v>
      </c>
      <c r="H166" s="7"/>
      <c r="I166" s="136">
        <v>6.18</v>
      </c>
      <c r="J166" s="134">
        <v>3982911.5958599998</v>
      </c>
      <c r="K166" s="120">
        <f t="shared" si="44"/>
        <v>309.18425678155563</v>
      </c>
      <c r="L166" s="122">
        <f t="shared" si="32"/>
        <v>6444840.7700000005</v>
      </c>
      <c r="M166" s="116">
        <f t="shared" si="33"/>
        <v>2461929.1741400007</v>
      </c>
      <c r="N166" s="123">
        <f t="shared" si="34"/>
        <v>191.11389335041147</v>
      </c>
      <c r="O166" s="5"/>
      <c r="P166" s="5">
        <f t="shared" si="35"/>
        <v>1</v>
      </c>
      <c r="Q166" s="7">
        <f t="shared" si="36"/>
        <v>12882</v>
      </c>
      <c r="W166" s="124">
        <f t="shared" si="37"/>
        <v>3982911.5958599998</v>
      </c>
      <c r="X166">
        <f t="shared" si="38"/>
        <v>0</v>
      </c>
    </row>
    <row r="167" spans="1:24">
      <c r="A167" s="23" t="s">
        <v>193</v>
      </c>
      <c r="B167" s="35" t="s">
        <v>183</v>
      </c>
      <c r="C167" s="125">
        <v>1878</v>
      </c>
      <c r="D167" s="132">
        <v>184366290</v>
      </c>
      <c r="E167" s="116">
        <f t="shared" si="42"/>
        <v>98171.613418530353</v>
      </c>
      <c r="F167" s="134">
        <v>104603669</v>
      </c>
      <c r="G167" s="117">
        <f t="shared" si="43"/>
        <v>55699.504259850903</v>
      </c>
      <c r="H167" s="7"/>
      <c r="I167" s="136">
        <v>2.83</v>
      </c>
      <c r="J167" s="134">
        <v>296028.38326999999</v>
      </c>
      <c r="K167" s="120">
        <f t="shared" si="44"/>
        <v>157.62959705537807</v>
      </c>
      <c r="L167" s="122">
        <f t="shared" si="32"/>
        <v>1046036.6900000001</v>
      </c>
      <c r="M167" s="116">
        <f t="shared" si="33"/>
        <v>750008.30673000007</v>
      </c>
      <c r="N167" s="123">
        <f t="shared" si="34"/>
        <v>399.36544554313105</v>
      </c>
      <c r="O167" s="5"/>
      <c r="P167" s="5">
        <f t="shared" si="35"/>
        <v>1</v>
      </c>
      <c r="Q167" s="7">
        <f t="shared" si="36"/>
        <v>1878</v>
      </c>
      <c r="W167" s="124">
        <f t="shared" si="37"/>
        <v>296028.38326999999</v>
      </c>
      <c r="X167">
        <f t="shared" si="38"/>
        <v>0</v>
      </c>
    </row>
    <row r="168" spans="1:24">
      <c r="A168" s="23" t="s">
        <v>194</v>
      </c>
      <c r="B168" s="35" t="s">
        <v>183</v>
      </c>
      <c r="C168" s="125">
        <v>14928</v>
      </c>
      <c r="D168" s="132">
        <v>1718795581</v>
      </c>
      <c r="E168" s="116">
        <f t="shared" si="42"/>
        <v>115139.03945605573</v>
      </c>
      <c r="F168" s="134">
        <v>1199875039</v>
      </c>
      <c r="G168" s="117">
        <f t="shared" si="43"/>
        <v>80377.481176312969</v>
      </c>
      <c r="H168" s="7"/>
      <c r="I168" s="136">
        <v>6.2</v>
      </c>
      <c r="J168" s="134">
        <v>7439225.2418</v>
      </c>
      <c r="K168" s="120">
        <f t="shared" si="44"/>
        <v>498.34038329314041</v>
      </c>
      <c r="L168" s="122">
        <f t="shared" si="32"/>
        <v>11998750.390000001</v>
      </c>
      <c r="M168" s="116">
        <f t="shared" si="33"/>
        <v>4559525.1482000006</v>
      </c>
      <c r="N168" s="123">
        <f t="shared" si="34"/>
        <v>305.43442846998931</v>
      </c>
      <c r="O168" s="5"/>
      <c r="P168" s="5">
        <f t="shared" si="35"/>
        <v>1</v>
      </c>
      <c r="Q168" s="7">
        <f t="shared" si="36"/>
        <v>14928</v>
      </c>
      <c r="W168" s="124">
        <f t="shared" si="37"/>
        <v>7439225.2418</v>
      </c>
      <c r="X168">
        <f t="shared" si="38"/>
        <v>0</v>
      </c>
    </row>
    <row r="169" spans="1:24">
      <c r="A169" s="23" t="s">
        <v>195</v>
      </c>
      <c r="B169" s="35" t="s">
        <v>183</v>
      </c>
      <c r="C169" s="125">
        <v>17777</v>
      </c>
      <c r="D169" s="132">
        <v>1728894748</v>
      </c>
      <c r="E169" s="116">
        <f t="shared" si="42"/>
        <v>97254.584463070263</v>
      </c>
      <c r="F169" s="134">
        <v>977427706</v>
      </c>
      <c r="G169" s="117">
        <f t="shared" si="43"/>
        <v>54982.713956235588</v>
      </c>
      <c r="H169" s="7"/>
      <c r="I169" s="136">
        <v>6.95</v>
      </c>
      <c r="J169" s="134">
        <v>6793122.5566999996</v>
      </c>
      <c r="K169" s="120">
        <f t="shared" si="44"/>
        <v>382.1298619958373</v>
      </c>
      <c r="L169" s="122">
        <f t="shared" si="32"/>
        <v>9774277.0600000005</v>
      </c>
      <c r="M169" s="116">
        <f t="shared" si="33"/>
        <v>2981154.5033000009</v>
      </c>
      <c r="N169" s="123">
        <f t="shared" si="34"/>
        <v>167.69727756651858</v>
      </c>
      <c r="O169" s="5"/>
      <c r="P169" s="5">
        <f t="shared" si="35"/>
        <v>1</v>
      </c>
      <c r="Q169" s="7">
        <f t="shared" si="36"/>
        <v>17777</v>
      </c>
      <c r="W169" s="124">
        <f t="shared" si="37"/>
        <v>6793122.5567000005</v>
      </c>
      <c r="X169">
        <f t="shared" si="38"/>
        <v>0</v>
      </c>
    </row>
    <row r="170" spans="1:24">
      <c r="A170" s="23" t="s">
        <v>196</v>
      </c>
      <c r="B170" s="35" t="s">
        <v>183</v>
      </c>
      <c r="C170" s="125">
        <v>4154</v>
      </c>
      <c r="D170" s="132">
        <v>248329292</v>
      </c>
      <c r="E170" s="116">
        <f t="shared" si="42"/>
        <v>59780.763601348095</v>
      </c>
      <c r="F170" s="134">
        <v>148337466</v>
      </c>
      <c r="G170" s="117">
        <f t="shared" si="43"/>
        <v>35709.548868560421</v>
      </c>
      <c r="H170" s="7"/>
      <c r="I170" s="136">
        <v>7.1089000000000002</v>
      </c>
      <c r="J170" s="134">
        <v>1054516.2120474</v>
      </c>
      <c r="K170" s="120">
        <f t="shared" si="44"/>
        <v>253.85561195170919</v>
      </c>
      <c r="L170" s="122">
        <f t="shared" si="32"/>
        <v>1483374.66</v>
      </c>
      <c r="M170" s="116">
        <f t="shared" si="33"/>
        <v>428858.44795259996</v>
      </c>
      <c r="N170" s="123">
        <f t="shared" si="34"/>
        <v>103.23987673389503</v>
      </c>
      <c r="O170" s="5"/>
      <c r="P170" s="5">
        <f t="shared" si="35"/>
        <v>1</v>
      </c>
      <c r="Q170" s="7">
        <f t="shared" si="36"/>
        <v>4154</v>
      </c>
      <c r="S170" s="124">
        <f>SUM(D157:D170)</f>
        <v>17854906581</v>
      </c>
      <c r="T170" s="124">
        <f>SUM(F157:F170)</f>
        <v>11948276784</v>
      </c>
      <c r="U170" s="124">
        <f>SUM(J157:J170)</f>
        <v>61633116.287425898</v>
      </c>
      <c r="W170" s="124">
        <f t="shared" si="37"/>
        <v>1054516.2120474</v>
      </c>
      <c r="X170">
        <f t="shared" si="38"/>
        <v>0</v>
      </c>
    </row>
    <row r="171" spans="1:24">
      <c r="A171" s="23" t="s">
        <v>448</v>
      </c>
      <c r="B171" s="35" t="s">
        <v>198</v>
      </c>
      <c r="C171" s="125">
        <v>54437</v>
      </c>
      <c r="D171" s="132">
        <v>13721289090</v>
      </c>
      <c r="E171" s="116">
        <f t="shared" si="42"/>
        <v>252058.14225618605</v>
      </c>
      <c r="F171" s="134">
        <v>11292473193</v>
      </c>
      <c r="G171" s="117">
        <f t="shared" si="43"/>
        <v>207441.1373330639</v>
      </c>
      <c r="H171" s="7"/>
      <c r="I171" s="136">
        <v>0.81730000000000003</v>
      </c>
      <c r="J171" s="134">
        <v>9229338.3406389002</v>
      </c>
      <c r="K171" s="120">
        <f t="shared" si="44"/>
        <v>169.54164154231313</v>
      </c>
      <c r="L171" s="122">
        <f t="shared" si="32"/>
        <v>112924731.93000001</v>
      </c>
      <c r="M171" s="116">
        <f t="shared" si="33"/>
        <v>103695393.5893611</v>
      </c>
      <c r="N171" s="123">
        <f t="shared" si="34"/>
        <v>1904.8697317883259</v>
      </c>
      <c r="O171" s="5"/>
      <c r="P171" s="5">
        <f t="shared" si="35"/>
        <v>1</v>
      </c>
      <c r="Q171" s="7">
        <f t="shared" si="36"/>
        <v>54437</v>
      </c>
      <c r="W171" s="124">
        <f t="shared" si="37"/>
        <v>9229338.3406389002</v>
      </c>
      <c r="X171">
        <f t="shared" si="38"/>
        <v>0</v>
      </c>
    </row>
    <row r="172" spans="1:24">
      <c r="A172" s="23" t="s">
        <v>197</v>
      </c>
      <c r="B172" s="35" t="s">
        <v>198</v>
      </c>
      <c r="C172" s="125">
        <v>185837</v>
      </c>
      <c r="D172" s="132">
        <v>22653086214</v>
      </c>
      <c r="E172" s="116">
        <f t="shared" si="42"/>
        <v>121897.61034670168</v>
      </c>
      <c r="F172" s="134">
        <v>15416015928</v>
      </c>
      <c r="G172" s="117">
        <f t="shared" si="43"/>
        <v>82954.502752412067</v>
      </c>
      <c r="H172" s="7"/>
      <c r="I172" s="136">
        <v>6.4903000000000004</v>
      </c>
      <c r="J172" s="134">
        <v>100054568.17749842</v>
      </c>
      <c r="K172" s="120">
        <f t="shared" si="44"/>
        <v>538.39960921398006</v>
      </c>
      <c r="L172" s="122">
        <f t="shared" si="32"/>
        <v>154160159.28</v>
      </c>
      <c r="M172" s="116">
        <f t="shared" si="33"/>
        <v>54105591.102501586</v>
      </c>
      <c r="N172" s="123">
        <f t="shared" si="34"/>
        <v>291.14541831014054</v>
      </c>
      <c r="O172" s="5"/>
      <c r="P172" s="5">
        <f t="shared" si="35"/>
        <v>1</v>
      </c>
      <c r="Q172" s="7">
        <f t="shared" si="36"/>
        <v>185837</v>
      </c>
      <c r="W172" s="124">
        <f t="shared" si="37"/>
        <v>100054568.1774984</v>
      </c>
      <c r="X172">
        <f t="shared" si="38"/>
        <v>0</v>
      </c>
    </row>
    <row r="173" spans="1:24">
      <c r="A173" s="24" t="s">
        <v>598</v>
      </c>
      <c r="B173" s="37" t="s">
        <v>198</v>
      </c>
      <c r="C173" s="125">
        <v>32412</v>
      </c>
      <c r="D173" s="147">
        <v>8284006502</v>
      </c>
      <c r="E173" s="116">
        <f t="shared" si="42"/>
        <v>255584.55207947674</v>
      </c>
      <c r="F173" s="134">
        <v>6808708418</v>
      </c>
      <c r="G173" s="117">
        <f t="shared" si="43"/>
        <v>210067.51875848451</v>
      </c>
      <c r="H173" s="98"/>
      <c r="I173" s="136">
        <v>0.77259999999999995</v>
      </c>
      <c r="J173" s="134">
        <v>5260408.1237467993</v>
      </c>
      <c r="K173" s="120">
        <f t="shared" si="44"/>
        <v>162.29816499280511</v>
      </c>
      <c r="L173" s="122">
        <f t="shared" si="32"/>
        <v>68087084.180000007</v>
      </c>
      <c r="M173" s="116">
        <f t="shared" si="33"/>
        <v>62826676.05625321</v>
      </c>
      <c r="N173" s="123">
        <f t="shared" si="34"/>
        <v>1938.3770225920402</v>
      </c>
      <c r="O173" s="5"/>
      <c r="P173" s="5">
        <f>IF(I173&gt;0,1,0)</f>
        <v>1</v>
      </c>
      <c r="Q173" s="7">
        <f>IF(I173&gt;0,C173,0)</f>
        <v>32412</v>
      </c>
      <c r="W173" s="124">
        <f t="shared" si="37"/>
        <v>5260408.1237467993</v>
      </c>
      <c r="X173">
        <f t="shared" si="38"/>
        <v>0</v>
      </c>
    </row>
    <row r="174" spans="1:24">
      <c r="A174" s="23" t="s">
        <v>199</v>
      </c>
      <c r="B174" s="35" t="s">
        <v>198</v>
      </c>
      <c r="C174" s="125">
        <v>87871</v>
      </c>
      <c r="D174" s="132">
        <v>10251894924</v>
      </c>
      <c r="E174" s="116">
        <f t="shared" si="42"/>
        <v>116669.83332384973</v>
      </c>
      <c r="F174" s="134">
        <v>7104946482</v>
      </c>
      <c r="G174" s="117">
        <f t="shared" si="43"/>
        <v>80856.556565874969</v>
      </c>
      <c r="H174" s="7"/>
      <c r="I174" s="136">
        <v>8.25</v>
      </c>
      <c r="J174" s="134">
        <v>58615808.476499997</v>
      </c>
      <c r="K174" s="120">
        <f t="shared" si="44"/>
        <v>667.0665916684685</v>
      </c>
      <c r="L174" s="122">
        <f t="shared" si="32"/>
        <v>71049464.820000008</v>
      </c>
      <c r="M174" s="116">
        <f t="shared" si="33"/>
        <v>12433656.343500011</v>
      </c>
      <c r="N174" s="123">
        <f t="shared" si="34"/>
        <v>141.49897399028134</v>
      </c>
      <c r="O174" s="5"/>
      <c r="P174" s="5">
        <f t="shared" si="35"/>
        <v>1</v>
      </c>
      <c r="Q174" s="7">
        <f t="shared" si="36"/>
        <v>87871</v>
      </c>
      <c r="W174" s="124">
        <f t="shared" si="37"/>
        <v>58615808.476500005</v>
      </c>
      <c r="X174">
        <f t="shared" si="38"/>
        <v>0</v>
      </c>
    </row>
    <row r="175" spans="1:24">
      <c r="A175" s="23" t="s">
        <v>200</v>
      </c>
      <c r="B175" s="35" t="s">
        <v>198</v>
      </c>
      <c r="C175" s="125">
        <v>6520</v>
      </c>
      <c r="D175" s="132">
        <v>4130994032</v>
      </c>
      <c r="E175" s="116">
        <f t="shared" si="42"/>
        <v>633588.04171779146</v>
      </c>
      <c r="F175" s="134">
        <v>3560752377</v>
      </c>
      <c r="G175" s="117">
        <f t="shared" si="43"/>
        <v>546127.66518404905</v>
      </c>
      <c r="H175" s="7"/>
      <c r="I175" s="136">
        <v>0.95</v>
      </c>
      <c r="J175" s="134">
        <v>3382714.7581499997</v>
      </c>
      <c r="K175" s="120">
        <f t="shared" si="44"/>
        <v>518.82128192484663</v>
      </c>
      <c r="L175" s="122">
        <f t="shared" si="32"/>
        <v>35607523.770000003</v>
      </c>
      <c r="M175" s="116">
        <f t="shared" si="33"/>
        <v>32224809.011850003</v>
      </c>
      <c r="N175" s="123">
        <f t="shared" si="34"/>
        <v>4942.455369915645</v>
      </c>
      <c r="O175" s="5"/>
      <c r="P175" s="5">
        <f t="shared" si="35"/>
        <v>1</v>
      </c>
      <c r="Q175" s="7">
        <f t="shared" si="36"/>
        <v>6520</v>
      </c>
      <c r="W175" s="124">
        <f t="shared" si="37"/>
        <v>3382714.7581500001</v>
      </c>
      <c r="X175">
        <f t="shared" si="38"/>
        <v>0</v>
      </c>
    </row>
    <row r="176" spans="1:24">
      <c r="A176" s="23" t="s">
        <v>201</v>
      </c>
      <c r="B176" s="35" t="s">
        <v>198</v>
      </c>
      <c r="C176" s="125">
        <v>6756</v>
      </c>
      <c r="D176" s="132">
        <v>6087115973</v>
      </c>
      <c r="E176" s="116">
        <f t="shared" si="42"/>
        <v>900994.07534043817</v>
      </c>
      <c r="F176" s="134">
        <v>5277861635</v>
      </c>
      <c r="G176" s="117">
        <f t="shared" si="43"/>
        <v>781211.01761397277</v>
      </c>
      <c r="H176" s="7"/>
      <c r="I176" s="136">
        <v>1.8922000000000001</v>
      </c>
      <c r="J176" s="134">
        <v>9986769.7857469991</v>
      </c>
      <c r="K176" s="120">
        <f t="shared" si="44"/>
        <v>1478.2074875291592</v>
      </c>
      <c r="L176" s="122">
        <f t="shared" si="32"/>
        <v>52778616.350000001</v>
      </c>
      <c r="M176" s="116">
        <f t="shared" si="33"/>
        <v>42791846.564253002</v>
      </c>
      <c r="N176" s="123">
        <f t="shared" si="34"/>
        <v>6333.9026886105685</v>
      </c>
      <c r="O176" s="5"/>
      <c r="P176" s="5">
        <f t="shared" si="35"/>
        <v>1</v>
      </c>
      <c r="Q176" s="7">
        <f t="shared" si="36"/>
        <v>6756</v>
      </c>
      <c r="S176" s="184">
        <f>SUM(D171:D176)</f>
        <v>65128386735</v>
      </c>
      <c r="T176" s="184">
        <f>SUM(F171:F176)</f>
        <v>49460758033</v>
      </c>
      <c r="U176" s="184">
        <f>SUM(J171:J176)</f>
        <v>186529607.66228113</v>
      </c>
      <c r="W176" s="124">
        <f t="shared" si="37"/>
        <v>9986769.7857470009</v>
      </c>
      <c r="X176">
        <f t="shared" si="38"/>
        <v>0</v>
      </c>
    </row>
    <row r="177" spans="1:24">
      <c r="A177" s="23" t="s">
        <v>202</v>
      </c>
      <c r="B177" s="35" t="s">
        <v>203</v>
      </c>
      <c r="C177" s="125">
        <v>195713</v>
      </c>
      <c r="D177" s="132">
        <v>20668776787</v>
      </c>
      <c r="E177" s="116">
        <f t="shared" si="42"/>
        <v>105607.58246514028</v>
      </c>
      <c r="F177" s="134">
        <v>11923851038</v>
      </c>
      <c r="G177" s="117">
        <f t="shared" si="43"/>
        <v>60925.186563999327</v>
      </c>
      <c r="H177" s="7"/>
      <c r="I177" s="136">
        <v>4.0999999999999996</v>
      </c>
      <c r="J177" s="134">
        <v>48887789.255799994</v>
      </c>
      <c r="K177" s="120">
        <f t="shared" si="44"/>
        <v>249.79326491239721</v>
      </c>
      <c r="L177" s="122">
        <f t="shared" si="32"/>
        <v>119238510.38</v>
      </c>
      <c r="M177" s="116">
        <f t="shared" si="33"/>
        <v>70350721.124200001</v>
      </c>
      <c r="N177" s="123">
        <f t="shared" si="34"/>
        <v>359.45860072759604</v>
      </c>
      <c r="O177" s="5"/>
      <c r="P177" s="5">
        <f t="shared" si="35"/>
        <v>1</v>
      </c>
      <c r="Q177" s="7">
        <f t="shared" si="36"/>
        <v>195713</v>
      </c>
      <c r="S177" s="124">
        <f>SUM(D177)</f>
        <v>20668776787</v>
      </c>
      <c r="T177" s="124">
        <f>SUM(F177)</f>
        <v>11923851038</v>
      </c>
      <c r="U177" s="124">
        <f>SUM(J177)</f>
        <v>48887789.255799994</v>
      </c>
      <c r="W177" s="124">
        <f t="shared" si="37"/>
        <v>48887789.255799994</v>
      </c>
      <c r="X177">
        <f t="shared" si="38"/>
        <v>0</v>
      </c>
    </row>
    <row r="178" spans="1:24">
      <c r="A178" s="23" t="s">
        <v>204</v>
      </c>
      <c r="B178" s="35" t="s">
        <v>205</v>
      </c>
      <c r="C178" s="125">
        <v>1166</v>
      </c>
      <c r="D178" s="132">
        <v>84347528</v>
      </c>
      <c r="E178" s="116">
        <f t="shared" si="42"/>
        <v>72339.217838765006</v>
      </c>
      <c r="F178" s="134">
        <v>43166813</v>
      </c>
      <c r="G178" s="117">
        <f t="shared" si="43"/>
        <v>37021.280445969125</v>
      </c>
      <c r="H178" s="7"/>
      <c r="I178" s="136">
        <v>4.8471000000000002</v>
      </c>
      <c r="J178" s="134">
        <v>209233.85929230001</v>
      </c>
      <c r="K178" s="120">
        <f t="shared" si="44"/>
        <v>179.44584844965695</v>
      </c>
      <c r="L178" s="122">
        <f t="shared" si="32"/>
        <v>431668.13</v>
      </c>
      <c r="M178" s="116">
        <f t="shared" si="33"/>
        <v>222434.27070769999</v>
      </c>
      <c r="N178" s="123">
        <f t="shared" si="34"/>
        <v>190.76695601003431</v>
      </c>
      <c r="O178" s="5"/>
      <c r="P178" s="5">
        <f t="shared" si="35"/>
        <v>1</v>
      </c>
      <c r="Q178" s="7">
        <f t="shared" si="36"/>
        <v>1166</v>
      </c>
      <c r="W178" s="124">
        <f t="shared" si="37"/>
        <v>209233.85929230001</v>
      </c>
      <c r="X178">
        <f t="shared" si="38"/>
        <v>0</v>
      </c>
    </row>
    <row r="179" spans="1:24">
      <c r="A179" s="23" t="s">
        <v>206</v>
      </c>
      <c r="B179" s="35" t="s">
        <v>205</v>
      </c>
      <c r="C179" s="125">
        <v>714</v>
      </c>
      <c r="D179" s="132">
        <v>204420292</v>
      </c>
      <c r="E179" s="116">
        <f t="shared" si="42"/>
        <v>286302.92997198878</v>
      </c>
      <c r="F179" s="134">
        <v>151508054</v>
      </c>
      <c r="G179" s="117">
        <f t="shared" si="43"/>
        <v>212196.15406162466</v>
      </c>
      <c r="H179" s="7"/>
      <c r="I179" s="136">
        <v>4.9584999999999999</v>
      </c>
      <c r="J179" s="134">
        <v>751252.6857589999</v>
      </c>
      <c r="K179" s="120">
        <f t="shared" si="44"/>
        <v>1052.1746299145657</v>
      </c>
      <c r="L179" s="122">
        <f t="shared" si="32"/>
        <v>1515080.54</v>
      </c>
      <c r="M179" s="116">
        <f t="shared" si="33"/>
        <v>763827.85424100014</v>
      </c>
      <c r="N179" s="123">
        <f t="shared" si="34"/>
        <v>1069.7869107016809</v>
      </c>
      <c r="O179" s="5"/>
      <c r="P179" s="5">
        <f t="shared" si="35"/>
        <v>1</v>
      </c>
      <c r="Q179" s="7">
        <f t="shared" si="36"/>
        <v>714</v>
      </c>
      <c r="W179" s="124">
        <f t="shared" si="37"/>
        <v>751252.68575900001</v>
      </c>
      <c r="X179">
        <f t="shared" si="38"/>
        <v>0</v>
      </c>
    </row>
    <row r="180" spans="1:24">
      <c r="A180" s="23" t="s">
        <v>207</v>
      </c>
      <c r="B180" s="35" t="s">
        <v>205</v>
      </c>
      <c r="C180" s="125">
        <v>2229</v>
      </c>
      <c r="D180" s="132">
        <v>179627659</v>
      </c>
      <c r="E180" s="116">
        <f t="shared" si="42"/>
        <v>80586.657245401526</v>
      </c>
      <c r="F180" s="134">
        <v>129931813</v>
      </c>
      <c r="G180" s="117">
        <f t="shared" si="43"/>
        <v>58291.526693584565</v>
      </c>
      <c r="H180" s="7"/>
      <c r="I180" s="136">
        <v>7.9074999999999998</v>
      </c>
      <c r="J180" s="134">
        <v>1027435.8112975</v>
      </c>
      <c r="K180" s="120">
        <f t="shared" si="44"/>
        <v>460.94024732951999</v>
      </c>
      <c r="L180" s="122">
        <f t="shared" si="32"/>
        <v>1299318.1300000001</v>
      </c>
      <c r="M180" s="116">
        <f t="shared" si="33"/>
        <v>271882.31870250008</v>
      </c>
      <c r="N180" s="123">
        <f t="shared" si="34"/>
        <v>121.97501960632574</v>
      </c>
      <c r="O180" s="5"/>
      <c r="P180" s="5">
        <f t="shared" si="35"/>
        <v>1</v>
      </c>
      <c r="Q180" s="7">
        <f t="shared" si="36"/>
        <v>2229</v>
      </c>
      <c r="W180" s="124">
        <f t="shared" si="37"/>
        <v>1027435.8112974999</v>
      </c>
      <c r="X180">
        <f t="shared" si="38"/>
        <v>0</v>
      </c>
    </row>
    <row r="181" spans="1:24">
      <c r="A181" s="23" t="s">
        <v>208</v>
      </c>
      <c r="B181" s="35" t="s">
        <v>205</v>
      </c>
      <c r="C181" s="125">
        <v>1311</v>
      </c>
      <c r="D181" s="132">
        <v>95046207</v>
      </c>
      <c r="E181" s="116">
        <f t="shared" si="42"/>
        <v>72499.013729977116</v>
      </c>
      <c r="F181" s="134">
        <v>67368064</v>
      </c>
      <c r="G181" s="117">
        <f t="shared" si="43"/>
        <v>51386.776506483598</v>
      </c>
      <c r="H181" s="7"/>
      <c r="I181" s="136">
        <v>5</v>
      </c>
      <c r="J181" s="134">
        <v>336840.32</v>
      </c>
      <c r="K181" s="120">
        <f t="shared" si="44"/>
        <v>256.93388253241801</v>
      </c>
      <c r="L181" s="122">
        <f t="shared" si="32"/>
        <v>673680.64</v>
      </c>
      <c r="M181" s="116">
        <f t="shared" si="33"/>
        <v>336840.32</v>
      </c>
      <c r="N181" s="123">
        <f t="shared" si="34"/>
        <v>256.93388253241801</v>
      </c>
      <c r="O181" s="5"/>
      <c r="P181" s="5">
        <f t="shared" si="35"/>
        <v>1</v>
      </c>
      <c r="Q181" s="7">
        <f t="shared" si="36"/>
        <v>1311</v>
      </c>
      <c r="W181" s="124">
        <f t="shared" si="37"/>
        <v>336840.32</v>
      </c>
      <c r="X181">
        <f t="shared" si="38"/>
        <v>0</v>
      </c>
    </row>
    <row r="182" spans="1:24">
      <c r="A182" s="23" t="s">
        <v>209</v>
      </c>
      <c r="B182" s="35" t="s">
        <v>205</v>
      </c>
      <c r="C182" s="125">
        <v>120</v>
      </c>
      <c r="D182" s="132">
        <v>10295093</v>
      </c>
      <c r="E182" s="116">
        <f t="shared" si="42"/>
        <v>85792.441666666666</v>
      </c>
      <c r="F182" s="134">
        <v>6965103</v>
      </c>
      <c r="G182" s="117">
        <f t="shared" si="43"/>
        <v>58042.525000000001</v>
      </c>
      <c r="H182" s="7"/>
      <c r="I182" s="136">
        <v>7.9194000000000004</v>
      </c>
      <c r="J182" s="134">
        <v>55159.436698199999</v>
      </c>
      <c r="K182" s="120">
        <f t="shared" si="44"/>
        <v>459.66197248499998</v>
      </c>
      <c r="L182" s="122">
        <f t="shared" si="32"/>
        <v>69651.03</v>
      </c>
      <c r="M182" s="116">
        <f t="shared" si="33"/>
        <v>14491.5933018</v>
      </c>
      <c r="N182" s="123">
        <f t="shared" si="34"/>
        <v>120.763277515</v>
      </c>
      <c r="O182" s="5"/>
      <c r="P182" s="5">
        <f t="shared" si="35"/>
        <v>1</v>
      </c>
      <c r="Q182" s="7">
        <f t="shared" si="36"/>
        <v>120</v>
      </c>
      <c r="W182" s="124">
        <f t="shared" si="37"/>
        <v>55159.436698199999</v>
      </c>
      <c r="X182">
        <f t="shared" si="38"/>
        <v>0</v>
      </c>
    </row>
    <row r="183" spans="1:24">
      <c r="A183" s="23" t="s">
        <v>210</v>
      </c>
      <c r="B183" s="35" t="s">
        <v>205</v>
      </c>
      <c r="C183" s="125">
        <v>2893</v>
      </c>
      <c r="D183" s="132">
        <v>181680544</v>
      </c>
      <c r="E183" s="116">
        <f t="shared" si="42"/>
        <v>62800.049775319734</v>
      </c>
      <c r="F183" s="134">
        <v>104005864</v>
      </c>
      <c r="G183" s="117">
        <f t="shared" si="43"/>
        <v>35950.868994123746</v>
      </c>
      <c r="H183" s="7"/>
      <c r="I183" s="136">
        <v>6.5</v>
      </c>
      <c r="J183" s="134">
        <v>676038.11600000004</v>
      </c>
      <c r="K183" s="120">
        <f t="shared" si="44"/>
        <v>233.68064846180437</v>
      </c>
      <c r="L183" s="122">
        <f t="shared" si="32"/>
        <v>1040058.64</v>
      </c>
      <c r="M183" s="116">
        <f t="shared" si="33"/>
        <v>364020.52399999998</v>
      </c>
      <c r="N183" s="123">
        <f t="shared" si="34"/>
        <v>125.82804147943311</v>
      </c>
      <c r="O183" s="5"/>
      <c r="P183" s="5">
        <f t="shared" si="35"/>
        <v>1</v>
      </c>
      <c r="Q183" s="7">
        <f t="shared" si="36"/>
        <v>2893</v>
      </c>
      <c r="W183" s="124">
        <f t="shared" si="37"/>
        <v>676038.11599999992</v>
      </c>
      <c r="X183">
        <f t="shared" si="38"/>
        <v>0</v>
      </c>
    </row>
    <row r="184" spans="1:24">
      <c r="A184" s="23" t="s">
        <v>211</v>
      </c>
      <c r="B184" s="35" t="s">
        <v>205</v>
      </c>
      <c r="C184" s="125">
        <v>508</v>
      </c>
      <c r="D184" s="132">
        <v>81369840</v>
      </c>
      <c r="E184" s="116">
        <f t="shared" si="42"/>
        <v>160176.85039370079</v>
      </c>
      <c r="F184" s="134">
        <v>59130425</v>
      </c>
      <c r="G184" s="117">
        <f t="shared" si="43"/>
        <v>116398.47440944881</v>
      </c>
      <c r="H184" s="7"/>
      <c r="I184" s="136">
        <v>2.9</v>
      </c>
      <c r="J184" s="134">
        <v>171478.23250000001</v>
      </c>
      <c r="K184" s="120">
        <f t="shared" si="44"/>
        <v>337.55557578740161</v>
      </c>
      <c r="L184" s="122">
        <f t="shared" si="32"/>
        <v>591304.25</v>
      </c>
      <c r="M184" s="116">
        <f t="shared" si="33"/>
        <v>419826.01749999996</v>
      </c>
      <c r="N184" s="123">
        <f t="shared" si="34"/>
        <v>826.42916830708657</v>
      </c>
      <c r="O184" s="5"/>
      <c r="P184" s="5">
        <f t="shared" si="35"/>
        <v>1</v>
      </c>
      <c r="Q184" s="7">
        <f t="shared" si="36"/>
        <v>508</v>
      </c>
      <c r="S184" s="124">
        <f>SUM(D178:D184)</f>
        <v>836787163</v>
      </c>
      <c r="T184" s="124">
        <f>SUM(F178:F184)</f>
        <v>562076136</v>
      </c>
      <c r="U184" s="124">
        <f>SUM(J178:J184)</f>
        <v>3227438.4615469999</v>
      </c>
      <c r="W184" s="124">
        <f t="shared" si="37"/>
        <v>171478.23249999998</v>
      </c>
      <c r="X184">
        <f t="shared" si="38"/>
        <v>0</v>
      </c>
    </row>
    <row r="185" spans="1:24">
      <c r="A185" s="23" t="s">
        <v>212</v>
      </c>
      <c r="B185" s="35" t="s">
        <v>213</v>
      </c>
      <c r="C185" s="125">
        <v>940</v>
      </c>
      <c r="D185" s="132">
        <v>71635724</v>
      </c>
      <c r="E185" s="116">
        <f t="shared" si="42"/>
        <v>76208.217021276592</v>
      </c>
      <c r="F185" s="134">
        <v>23356529</v>
      </c>
      <c r="G185" s="117">
        <f t="shared" si="43"/>
        <v>24847.371276595746</v>
      </c>
      <c r="H185" s="7"/>
      <c r="I185" s="136">
        <v>6.4391999999999996</v>
      </c>
      <c r="J185" s="134">
        <v>150397.36153679999</v>
      </c>
      <c r="K185" s="120">
        <f t="shared" si="44"/>
        <v>159.99719312425532</v>
      </c>
      <c r="L185" s="122">
        <f t="shared" si="32"/>
        <v>233565.29</v>
      </c>
      <c r="M185" s="116">
        <f t="shared" si="33"/>
        <v>83167.92846320002</v>
      </c>
      <c r="N185" s="123">
        <f t="shared" si="34"/>
        <v>88.476519641702154</v>
      </c>
      <c r="O185" s="5"/>
      <c r="P185" s="5">
        <f t="shared" si="35"/>
        <v>1</v>
      </c>
      <c r="Q185" s="7">
        <f t="shared" si="36"/>
        <v>940</v>
      </c>
      <c r="S185" s="124">
        <f>SUM(D185)</f>
        <v>71635724</v>
      </c>
      <c r="T185" s="124">
        <f>SUM(F185)</f>
        <v>23356529</v>
      </c>
      <c r="U185" s="124">
        <f>SUM(J185)</f>
        <v>150397.36153679999</v>
      </c>
      <c r="W185" s="124">
        <f t="shared" si="37"/>
        <v>150397.36153679999</v>
      </c>
      <c r="X185">
        <f t="shared" si="38"/>
        <v>0</v>
      </c>
    </row>
    <row r="186" spans="1:24">
      <c r="A186" s="23" t="s">
        <v>214</v>
      </c>
      <c r="B186" s="35" t="s">
        <v>215</v>
      </c>
      <c r="C186" s="125">
        <v>791</v>
      </c>
      <c r="D186" s="132">
        <v>19074899</v>
      </c>
      <c r="E186" s="116">
        <f t="shared" si="42"/>
        <v>24114.916561314792</v>
      </c>
      <c r="F186" s="134">
        <v>11061676</v>
      </c>
      <c r="G186" s="117">
        <f t="shared" si="43"/>
        <v>13984.419721871049</v>
      </c>
      <c r="H186" s="7"/>
      <c r="I186" s="136">
        <v>10</v>
      </c>
      <c r="J186" s="134">
        <v>110616.76</v>
      </c>
      <c r="K186" s="120">
        <f t="shared" si="44"/>
        <v>139.84419721871049</v>
      </c>
      <c r="L186" s="122">
        <f t="shared" si="32"/>
        <v>110616.76000000001</v>
      </c>
      <c r="M186" s="116">
        <f t="shared" si="33"/>
        <v>1.4551915228366852E-11</v>
      </c>
      <c r="N186" s="123">
        <f t="shared" si="34"/>
        <v>1.8396858695786161E-14</v>
      </c>
      <c r="O186" s="5"/>
      <c r="P186" s="5">
        <f t="shared" si="35"/>
        <v>1</v>
      </c>
      <c r="Q186" s="7">
        <f t="shared" si="36"/>
        <v>791</v>
      </c>
      <c r="W186" s="124">
        <f t="shared" si="37"/>
        <v>110616.76000000001</v>
      </c>
      <c r="X186">
        <f t="shared" si="38"/>
        <v>0</v>
      </c>
    </row>
    <row r="187" spans="1:24">
      <c r="A187" s="23" t="s">
        <v>198</v>
      </c>
      <c r="B187" s="35" t="s">
        <v>215</v>
      </c>
      <c r="C187" s="125">
        <v>338</v>
      </c>
      <c r="D187" s="132">
        <v>18108631</v>
      </c>
      <c r="E187" s="116">
        <f t="shared" si="42"/>
        <v>53575.831360946744</v>
      </c>
      <c r="F187" s="134">
        <v>7823582</v>
      </c>
      <c r="G187" s="117">
        <f t="shared" si="43"/>
        <v>23146.692307692309</v>
      </c>
      <c r="H187" s="7"/>
      <c r="I187" s="136">
        <v>7</v>
      </c>
      <c r="J187" s="134">
        <v>54765.074000000001</v>
      </c>
      <c r="K187" s="120">
        <f t="shared" si="44"/>
        <v>162.02684615384615</v>
      </c>
      <c r="L187" s="122">
        <f t="shared" si="32"/>
        <v>78235.820000000007</v>
      </c>
      <c r="M187" s="116">
        <f t="shared" si="33"/>
        <v>23470.746000000006</v>
      </c>
      <c r="N187" s="123">
        <f t="shared" si="34"/>
        <v>69.440076923076944</v>
      </c>
      <c r="O187" s="5"/>
      <c r="P187" s="5">
        <f t="shared" si="35"/>
        <v>1</v>
      </c>
      <c r="Q187" s="7">
        <f t="shared" si="36"/>
        <v>338</v>
      </c>
      <c r="W187" s="124">
        <f t="shared" si="37"/>
        <v>54765.074000000001</v>
      </c>
      <c r="X187">
        <f t="shared" si="38"/>
        <v>0</v>
      </c>
    </row>
    <row r="188" spans="1:24">
      <c r="A188" s="23" t="s">
        <v>215</v>
      </c>
      <c r="B188" s="35" t="s">
        <v>215</v>
      </c>
      <c r="C188" s="125">
        <v>2998</v>
      </c>
      <c r="D188" s="132">
        <v>148257118</v>
      </c>
      <c r="E188" s="116">
        <f t="shared" si="42"/>
        <v>49452.007338225485</v>
      </c>
      <c r="F188" s="134">
        <v>88744753</v>
      </c>
      <c r="G188" s="117">
        <f t="shared" si="43"/>
        <v>29601.318545697133</v>
      </c>
      <c r="H188" s="7"/>
      <c r="I188" s="136">
        <v>7</v>
      </c>
      <c r="J188" s="134">
        <v>621213.27099999995</v>
      </c>
      <c r="K188" s="120">
        <f t="shared" si="44"/>
        <v>207.20922981987991</v>
      </c>
      <c r="L188" s="122">
        <f t="shared" si="32"/>
        <v>887447.53</v>
      </c>
      <c r="M188" s="116">
        <f t="shared" si="33"/>
        <v>266234.25900000008</v>
      </c>
      <c r="N188" s="123">
        <f t="shared" si="34"/>
        <v>88.80395563709142</v>
      </c>
      <c r="O188" s="5"/>
      <c r="P188" s="5">
        <f t="shared" si="35"/>
        <v>1</v>
      </c>
      <c r="Q188" s="7">
        <f t="shared" si="36"/>
        <v>2998</v>
      </c>
      <c r="S188" s="124">
        <f>SUM(D186:D188)</f>
        <v>185440648</v>
      </c>
      <c r="T188" s="124">
        <f>SUM(F186:F188)</f>
        <v>107630011</v>
      </c>
      <c r="U188" s="124">
        <f>SUM(J186:J188)</f>
        <v>786595.10499999998</v>
      </c>
      <c r="W188" s="124">
        <f t="shared" si="37"/>
        <v>621213.27100000007</v>
      </c>
      <c r="X188">
        <f t="shared" si="38"/>
        <v>0</v>
      </c>
    </row>
    <row r="189" spans="1:24">
      <c r="A189" s="23" t="s">
        <v>216</v>
      </c>
      <c r="B189" s="35" t="s">
        <v>217</v>
      </c>
      <c r="C189" s="125">
        <v>1623</v>
      </c>
      <c r="D189" s="132">
        <v>1449669547</v>
      </c>
      <c r="E189" s="116">
        <f t="shared" si="42"/>
        <v>893203.66420209489</v>
      </c>
      <c r="F189" s="134">
        <v>1200971774</v>
      </c>
      <c r="G189" s="117">
        <f t="shared" si="43"/>
        <v>739970.2858903266</v>
      </c>
      <c r="H189" s="7"/>
      <c r="I189" s="136">
        <v>2.0499999999999998</v>
      </c>
      <c r="J189" s="134">
        <v>2461992.1366999997</v>
      </c>
      <c r="K189" s="120">
        <f t="shared" si="44"/>
        <v>1516.9390860751691</v>
      </c>
      <c r="L189" s="122">
        <f t="shared" si="32"/>
        <v>12009717.74</v>
      </c>
      <c r="M189" s="116">
        <f t="shared" si="33"/>
        <v>9547725.6033000015</v>
      </c>
      <c r="N189" s="123">
        <f t="shared" si="34"/>
        <v>5882.763772828097</v>
      </c>
      <c r="O189" s="5"/>
      <c r="P189" s="5">
        <f t="shared" si="35"/>
        <v>1</v>
      </c>
      <c r="Q189" s="7">
        <f t="shared" si="36"/>
        <v>1623</v>
      </c>
      <c r="W189" s="124">
        <f t="shared" si="37"/>
        <v>2461992.1366999997</v>
      </c>
      <c r="X189">
        <f t="shared" si="38"/>
        <v>0</v>
      </c>
    </row>
    <row r="190" spans="1:24">
      <c r="A190" s="23" t="s">
        <v>218</v>
      </c>
      <c r="B190" s="35" t="s">
        <v>217</v>
      </c>
      <c r="C190" s="125">
        <v>57006</v>
      </c>
      <c r="D190" s="132">
        <v>5507831170</v>
      </c>
      <c r="E190" s="116">
        <f t="shared" si="42"/>
        <v>96618.446654738102</v>
      </c>
      <c r="F190" s="134">
        <v>3922524818</v>
      </c>
      <c r="G190" s="117">
        <f t="shared" si="43"/>
        <v>68808.98182647441</v>
      </c>
      <c r="H190" s="7"/>
      <c r="I190" s="136">
        <v>5.8975999999999997</v>
      </c>
      <c r="J190" s="134">
        <v>23133482.366636798</v>
      </c>
      <c r="K190" s="120">
        <f t="shared" si="44"/>
        <v>405.8078512198154</v>
      </c>
      <c r="L190" s="122">
        <f t="shared" si="32"/>
        <v>39225248.18</v>
      </c>
      <c r="M190" s="116">
        <f t="shared" si="33"/>
        <v>16091765.813363202</v>
      </c>
      <c r="N190" s="123">
        <f t="shared" si="34"/>
        <v>282.28196704492865</v>
      </c>
      <c r="O190" s="5"/>
      <c r="P190" s="5">
        <f t="shared" si="35"/>
        <v>1</v>
      </c>
      <c r="Q190" s="7">
        <f t="shared" si="36"/>
        <v>57006</v>
      </c>
      <c r="W190" s="124">
        <f t="shared" si="37"/>
        <v>23133482.366636798</v>
      </c>
      <c r="X190">
        <f t="shared" si="38"/>
        <v>0</v>
      </c>
    </row>
    <row r="191" spans="1:24">
      <c r="A191" s="23" t="s">
        <v>219</v>
      </c>
      <c r="B191" s="35" t="s">
        <v>217</v>
      </c>
      <c r="C191" s="125">
        <v>1202</v>
      </c>
      <c r="D191" s="132">
        <v>816513541</v>
      </c>
      <c r="E191" s="116">
        <f t="shared" si="42"/>
        <v>679295.79118136445</v>
      </c>
      <c r="F191" s="134">
        <v>650311339</v>
      </c>
      <c r="G191" s="117">
        <f t="shared" si="43"/>
        <v>541024.40848585695</v>
      </c>
      <c r="H191" s="7"/>
      <c r="I191" s="136">
        <v>2.3329</v>
      </c>
      <c r="J191" s="134">
        <v>1517111.3227531</v>
      </c>
      <c r="K191" s="120">
        <f t="shared" si="44"/>
        <v>1262.1558425566554</v>
      </c>
      <c r="L191" s="122">
        <f t="shared" si="32"/>
        <v>6503113.3900000006</v>
      </c>
      <c r="M191" s="116">
        <f t="shared" si="33"/>
        <v>4986002.0672469009</v>
      </c>
      <c r="N191" s="123">
        <f t="shared" si="34"/>
        <v>4148.0882423019139</v>
      </c>
      <c r="O191" s="5"/>
      <c r="P191" s="5">
        <f t="shared" si="35"/>
        <v>1</v>
      </c>
      <c r="Q191" s="7">
        <f t="shared" si="36"/>
        <v>1202</v>
      </c>
      <c r="W191" s="124">
        <f t="shared" si="37"/>
        <v>1517111.3227531002</v>
      </c>
      <c r="X191">
        <f t="shared" si="38"/>
        <v>0</v>
      </c>
    </row>
    <row r="192" spans="1:24">
      <c r="A192" s="23" t="s">
        <v>220</v>
      </c>
      <c r="B192" s="35" t="s">
        <v>217</v>
      </c>
      <c r="C192" s="125">
        <v>3927</v>
      </c>
      <c r="D192" s="132">
        <v>2501041741</v>
      </c>
      <c r="E192" s="116">
        <f t="shared" si="42"/>
        <v>636883.56022408966</v>
      </c>
      <c r="F192" s="134">
        <v>2096407949</v>
      </c>
      <c r="G192" s="117">
        <f t="shared" si="43"/>
        <v>533844.65215176984</v>
      </c>
      <c r="H192" s="7"/>
      <c r="I192" s="136">
        <v>2.25</v>
      </c>
      <c r="J192" s="134">
        <v>4716917.8852500003</v>
      </c>
      <c r="K192" s="120">
        <f t="shared" si="44"/>
        <v>1201.1504673414822</v>
      </c>
      <c r="L192" s="122">
        <f t="shared" si="32"/>
        <v>20964079.490000002</v>
      </c>
      <c r="M192" s="116">
        <f t="shared" si="33"/>
        <v>16247161.604750002</v>
      </c>
      <c r="N192" s="123">
        <f t="shared" si="34"/>
        <v>4137.2960541762168</v>
      </c>
      <c r="O192" s="5"/>
      <c r="P192" s="5">
        <f t="shared" si="35"/>
        <v>1</v>
      </c>
      <c r="Q192" s="7">
        <f t="shared" si="36"/>
        <v>3927</v>
      </c>
      <c r="W192" s="124">
        <f t="shared" si="37"/>
        <v>4716917.8852499994</v>
      </c>
      <c r="X192">
        <f t="shared" si="38"/>
        <v>0</v>
      </c>
    </row>
    <row r="193" spans="1:24">
      <c r="A193" s="23" t="s">
        <v>221</v>
      </c>
      <c r="B193" s="35" t="s">
        <v>217</v>
      </c>
      <c r="C193" s="125">
        <v>13360</v>
      </c>
      <c r="D193" s="132">
        <v>1383062193</v>
      </c>
      <c r="E193" s="116">
        <f t="shared" si="42"/>
        <v>103522.61923652695</v>
      </c>
      <c r="F193" s="134">
        <v>913413958</v>
      </c>
      <c r="G193" s="117">
        <f t="shared" si="43"/>
        <v>68369.308233532938</v>
      </c>
      <c r="H193" s="7"/>
      <c r="I193" s="136">
        <v>5.9671000000000003</v>
      </c>
      <c r="J193" s="134">
        <v>5450432.4287818</v>
      </c>
      <c r="K193" s="120">
        <f t="shared" si="44"/>
        <v>407.96649916031436</v>
      </c>
      <c r="L193" s="122">
        <f t="shared" si="32"/>
        <v>9134139.5800000001</v>
      </c>
      <c r="M193" s="116">
        <f t="shared" si="33"/>
        <v>3683707.1512182001</v>
      </c>
      <c r="N193" s="123">
        <f t="shared" si="34"/>
        <v>275.72658317501498</v>
      </c>
      <c r="O193" s="5"/>
      <c r="P193" s="5">
        <f t="shared" si="35"/>
        <v>1</v>
      </c>
      <c r="Q193" s="7">
        <f t="shared" si="36"/>
        <v>13360</v>
      </c>
      <c r="W193" s="124">
        <f t="shared" si="37"/>
        <v>5450432.4287818</v>
      </c>
      <c r="X193">
        <f t="shared" si="38"/>
        <v>0</v>
      </c>
    </row>
    <row r="194" spans="1:24">
      <c r="A194" s="23" t="s">
        <v>478</v>
      </c>
      <c r="B194" s="35" t="s">
        <v>222</v>
      </c>
      <c r="C194" s="125">
        <v>7043</v>
      </c>
      <c r="D194" s="132">
        <f>(2137573994+4800192207)</f>
        <v>6937766201</v>
      </c>
      <c r="E194" s="116">
        <f t="shared" si="42"/>
        <v>985058.38435325853</v>
      </c>
      <c r="F194" s="134">
        <f>(1851503160+4310961756)</f>
        <v>6162464916</v>
      </c>
      <c r="G194" s="117">
        <f t="shared" si="43"/>
        <v>874977.27048132895</v>
      </c>
      <c r="H194" s="7"/>
      <c r="I194" s="136">
        <v>2.1143999999999998</v>
      </c>
      <c r="J194" s="134">
        <f>(3914818.281504+9115098)</f>
        <v>13029916.281504</v>
      </c>
      <c r="K194" s="120">
        <f t="shared" si="44"/>
        <v>1850.0520064608831</v>
      </c>
      <c r="L194" s="122">
        <f t="shared" si="32"/>
        <v>61624649.160000004</v>
      </c>
      <c r="M194" s="116">
        <f t="shared" si="33"/>
        <v>48594732.878496006</v>
      </c>
      <c r="N194" s="123">
        <f t="shared" si="34"/>
        <v>6899.7206983524075</v>
      </c>
      <c r="O194" s="5"/>
      <c r="P194" s="5">
        <f t="shared" si="35"/>
        <v>1</v>
      </c>
      <c r="Q194" s="7">
        <f t="shared" si="36"/>
        <v>7043</v>
      </c>
      <c r="S194" s="124">
        <f>SUM(D189:D194)</f>
        <v>18595884393</v>
      </c>
      <c r="T194" s="124">
        <f>SUM(F189:F194)</f>
        <v>14946094754</v>
      </c>
      <c r="U194" s="124">
        <f>SUM(J189:J194)</f>
        <v>50309852.421625696</v>
      </c>
      <c r="W194" s="124">
        <v>13029916.281504</v>
      </c>
      <c r="X194">
        <f t="shared" si="38"/>
        <v>0</v>
      </c>
    </row>
    <row r="195" spans="1:24">
      <c r="A195" s="23" t="s">
        <v>223</v>
      </c>
      <c r="B195" s="35" t="s">
        <v>224</v>
      </c>
      <c r="C195" s="125">
        <v>5273</v>
      </c>
      <c r="D195" s="132">
        <v>345489101</v>
      </c>
      <c r="E195" s="116">
        <f t="shared" si="42"/>
        <v>65520.406030722552</v>
      </c>
      <c r="F195" s="134">
        <v>238001319</v>
      </c>
      <c r="G195" s="117">
        <f t="shared" si="43"/>
        <v>45135.846576901196</v>
      </c>
      <c r="H195" s="7"/>
      <c r="I195" s="136">
        <v>5</v>
      </c>
      <c r="J195" s="134">
        <v>1190006.595</v>
      </c>
      <c r="K195" s="120">
        <f t="shared" si="44"/>
        <v>225.67923288450598</v>
      </c>
      <c r="L195" s="122">
        <f t="shared" si="32"/>
        <v>2380013.19</v>
      </c>
      <c r="M195" s="116">
        <f t="shared" si="33"/>
        <v>1190006.595</v>
      </c>
      <c r="N195" s="123">
        <f t="shared" si="34"/>
        <v>225.67923288450598</v>
      </c>
      <c r="O195" s="5"/>
      <c r="P195" s="5">
        <f t="shared" si="35"/>
        <v>1</v>
      </c>
      <c r="Q195" s="7">
        <f t="shared" si="36"/>
        <v>5273</v>
      </c>
      <c r="W195" s="124">
        <f t="shared" si="37"/>
        <v>1190006.595</v>
      </c>
      <c r="X195">
        <f t="shared" si="38"/>
        <v>0</v>
      </c>
    </row>
    <row r="196" spans="1:24">
      <c r="A196" s="23" t="s">
        <v>225</v>
      </c>
      <c r="B196" s="35" t="s">
        <v>224</v>
      </c>
      <c r="C196" s="125">
        <v>1810</v>
      </c>
      <c r="D196" s="132">
        <v>262249015</v>
      </c>
      <c r="E196" s="116">
        <f t="shared" si="42"/>
        <v>144888.95856353591</v>
      </c>
      <c r="F196" s="134">
        <v>173713142</v>
      </c>
      <c r="G196" s="117">
        <f t="shared" si="43"/>
        <v>95974.111602209945</v>
      </c>
      <c r="H196" s="7"/>
      <c r="I196" s="136">
        <v>6.5</v>
      </c>
      <c r="J196" s="134">
        <v>1129135.423</v>
      </c>
      <c r="K196" s="120">
        <f t="shared" si="44"/>
        <v>623.83172541436466</v>
      </c>
      <c r="L196" s="122">
        <f t="shared" si="32"/>
        <v>1737131.42</v>
      </c>
      <c r="M196" s="116">
        <f t="shared" si="33"/>
        <v>607995.99699999997</v>
      </c>
      <c r="N196" s="123">
        <f t="shared" si="34"/>
        <v>335.90939060773479</v>
      </c>
      <c r="O196" s="5"/>
      <c r="P196" s="5">
        <f t="shared" si="35"/>
        <v>1</v>
      </c>
      <c r="Q196" s="7">
        <f t="shared" si="36"/>
        <v>1810</v>
      </c>
      <c r="W196" s="124">
        <f t="shared" si="37"/>
        <v>1129135.423</v>
      </c>
      <c r="X196">
        <f t="shared" si="38"/>
        <v>0</v>
      </c>
    </row>
    <row r="197" spans="1:24">
      <c r="A197" s="23" t="s">
        <v>226</v>
      </c>
      <c r="B197" s="35" t="s">
        <v>224</v>
      </c>
      <c r="C197" s="125">
        <v>484</v>
      </c>
      <c r="D197" s="132">
        <v>35364332</v>
      </c>
      <c r="E197" s="116">
        <f t="shared" si="42"/>
        <v>73066.801652892565</v>
      </c>
      <c r="F197" s="134">
        <v>19843562</v>
      </c>
      <c r="G197" s="117">
        <f t="shared" si="43"/>
        <v>40999.095041322311</v>
      </c>
      <c r="H197" s="7"/>
      <c r="I197" s="136">
        <v>2.2078000000000002</v>
      </c>
      <c r="J197" s="134">
        <v>43810.616183600003</v>
      </c>
      <c r="K197" s="120">
        <f t="shared" si="44"/>
        <v>90.517802032231415</v>
      </c>
      <c r="L197" s="122">
        <f t="shared" si="32"/>
        <v>198435.62</v>
      </c>
      <c r="M197" s="116">
        <f t="shared" si="33"/>
        <v>154625.00381639999</v>
      </c>
      <c r="N197" s="123">
        <f t="shared" si="34"/>
        <v>319.47314838099169</v>
      </c>
      <c r="O197" s="5"/>
      <c r="P197" s="5">
        <f t="shared" si="35"/>
        <v>1</v>
      </c>
      <c r="Q197" s="7">
        <f t="shared" si="36"/>
        <v>484</v>
      </c>
      <c r="W197" s="124">
        <f t="shared" si="37"/>
        <v>43810.616183600003</v>
      </c>
      <c r="X197">
        <f t="shared" si="38"/>
        <v>0</v>
      </c>
    </row>
    <row r="198" spans="1:24">
      <c r="A198" s="23" t="s">
        <v>227</v>
      </c>
      <c r="B198" s="35" t="s">
        <v>224</v>
      </c>
      <c r="C198" s="125">
        <v>61549</v>
      </c>
      <c r="D198" s="132">
        <v>6840271102</v>
      </c>
      <c r="E198" s="116">
        <f t="shared" si="42"/>
        <v>111135.37347479245</v>
      </c>
      <c r="F198" s="134">
        <v>4906626279</v>
      </c>
      <c r="G198" s="117">
        <f t="shared" si="43"/>
        <v>79719.025150692949</v>
      </c>
      <c r="H198" s="9"/>
      <c r="I198" s="136">
        <v>6.6177000000000001</v>
      </c>
      <c r="J198" s="134">
        <v>32470580.726538301</v>
      </c>
      <c r="K198" s="120">
        <f t="shared" si="44"/>
        <v>527.55659273974072</v>
      </c>
      <c r="L198" s="122">
        <f t="shared" ref="L198:L261" si="45">(F198*0.01)</f>
        <v>49066262.789999999</v>
      </c>
      <c r="M198" s="116">
        <f t="shared" ref="M198:M261" si="46">(L198-J198)</f>
        <v>16595682.063461699</v>
      </c>
      <c r="N198" s="123">
        <f t="shared" ref="N198:N261" si="47">(M198/C198)</f>
        <v>269.63365876718871</v>
      </c>
      <c r="O198" s="5"/>
      <c r="P198" s="5">
        <f t="shared" si="35"/>
        <v>1</v>
      </c>
      <c r="Q198" s="7">
        <f t="shared" si="36"/>
        <v>61549</v>
      </c>
      <c r="W198" s="124">
        <f t="shared" si="37"/>
        <v>32470580.726538301</v>
      </c>
      <c r="X198">
        <f t="shared" si="38"/>
        <v>0</v>
      </c>
    </row>
    <row r="199" spans="1:24">
      <c r="A199" s="23" t="s">
        <v>228</v>
      </c>
      <c r="B199" s="35" t="s">
        <v>224</v>
      </c>
      <c r="C199" s="125">
        <v>558</v>
      </c>
      <c r="D199" s="147" t="s">
        <v>564</v>
      </c>
      <c r="E199" s="116"/>
      <c r="F199" s="134"/>
      <c r="G199" s="117"/>
      <c r="H199" s="98" t="s">
        <v>588</v>
      </c>
      <c r="I199" s="136"/>
      <c r="J199" s="134"/>
      <c r="K199" s="120"/>
      <c r="L199" s="122">
        <f t="shared" si="45"/>
        <v>0</v>
      </c>
      <c r="M199" s="116">
        <f t="shared" si="46"/>
        <v>0</v>
      </c>
      <c r="N199" s="123">
        <f t="shared" si="47"/>
        <v>0</v>
      </c>
      <c r="O199" s="5"/>
      <c r="P199" s="5">
        <f t="shared" ref="P199:P262" si="48">IF(I199&gt;0,1,0)</f>
        <v>0</v>
      </c>
      <c r="Q199" s="7">
        <f t="shared" ref="Q199:Q262" si="49">IF(I199&gt;0,C199,0)</f>
        <v>0</v>
      </c>
      <c r="S199" s="124">
        <f>SUM(D195:D199)</f>
        <v>7483373550</v>
      </c>
      <c r="T199" s="124">
        <f>SUM(F195:F199)</f>
        <v>5338184302</v>
      </c>
      <c r="U199" s="124">
        <f>SUM(J195:J199)</f>
        <v>34833533.360721901</v>
      </c>
      <c r="W199" s="124">
        <f t="shared" ref="W199:W262" si="50">F199*(I199/1000)</f>
        <v>0</v>
      </c>
      <c r="X199">
        <f t="shared" ref="X199:X262" si="51">IF(W199=J199,0,1)</f>
        <v>0</v>
      </c>
    </row>
    <row r="200" spans="1:24">
      <c r="A200" s="23" t="s">
        <v>616</v>
      </c>
      <c r="B200" s="35" t="s">
        <v>230</v>
      </c>
      <c r="C200" s="125">
        <v>6728</v>
      </c>
      <c r="D200" s="132">
        <v>2244546403</v>
      </c>
      <c r="E200" s="116">
        <f t="shared" ref="E200:E263" si="52">(D200/C200)</f>
        <v>333612.72339476814</v>
      </c>
      <c r="F200" s="134">
        <v>2021833742</v>
      </c>
      <c r="G200" s="117">
        <f t="shared" ref="G200:G263" si="53">(F200/C200)</f>
        <v>300510.36593341263</v>
      </c>
      <c r="H200" s="9"/>
      <c r="I200" s="136">
        <v>1.6304000000000001</v>
      </c>
      <c r="J200" s="134">
        <v>3296397.7329568001</v>
      </c>
      <c r="K200" s="120">
        <f t="shared" ref="K200:K263" si="54">(J200/C200)</f>
        <v>489.95210061783592</v>
      </c>
      <c r="L200" s="122">
        <f t="shared" si="45"/>
        <v>20218337.420000002</v>
      </c>
      <c r="M200" s="116">
        <f t="shared" si="46"/>
        <v>16921939.687043201</v>
      </c>
      <c r="N200" s="123">
        <f t="shared" si="47"/>
        <v>2515.1515587162903</v>
      </c>
      <c r="O200" s="5"/>
      <c r="P200" s="5">
        <f t="shared" si="48"/>
        <v>1</v>
      </c>
      <c r="Q200" s="7">
        <f t="shared" si="49"/>
        <v>6728</v>
      </c>
      <c r="W200" s="124">
        <f t="shared" si="50"/>
        <v>3296397.7329568001</v>
      </c>
      <c r="X200">
        <f t="shared" si="51"/>
        <v>0</v>
      </c>
    </row>
    <row r="201" spans="1:24">
      <c r="A201" s="24" t="s">
        <v>229</v>
      </c>
      <c r="B201" s="35" t="s">
        <v>230</v>
      </c>
      <c r="C201" s="125">
        <v>829</v>
      </c>
      <c r="D201" s="132">
        <v>2935871339</v>
      </c>
      <c r="E201" s="116">
        <f t="shared" si="52"/>
        <v>3541461.2050663452</v>
      </c>
      <c r="F201" s="134">
        <v>2521208686</v>
      </c>
      <c r="G201" s="117">
        <f t="shared" si="53"/>
        <v>3041265.0012062727</v>
      </c>
      <c r="H201" s="9"/>
      <c r="I201" s="150">
        <v>2.548</v>
      </c>
      <c r="J201" s="134">
        <v>6424039.7319280002</v>
      </c>
      <c r="K201" s="120">
        <f t="shared" si="54"/>
        <v>7749.1432230735827</v>
      </c>
      <c r="L201" s="122">
        <f t="shared" si="45"/>
        <v>25212086.859999999</v>
      </c>
      <c r="M201" s="116">
        <f t="shared" si="46"/>
        <v>18788047.128072001</v>
      </c>
      <c r="N201" s="123">
        <f t="shared" si="47"/>
        <v>22663.506788989143</v>
      </c>
      <c r="O201" s="5"/>
      <c r="P201" s="5">
        <f t="shared" si="48"/>
        <v>1</v>
      </c>
      <c r="Q201" s="7">
        <f t="shared" si="49"/>
        <v>829</v>
      </c>
      <c r="W201" s="124">
        <f t="shared" si="50"/>
        <v>6424039.7319280002</v>
      </c>
      <c r="X201">
        <f t="shared" si="51"/>
        <v>0</v>
      </c>
    </row>
    <row r="202" spans="1:24">
      <c r="A202" s="23" t="s">
        <v>582</v>
      </c>
      <c r="B202" s="35" t="s">
        <v>230</v>
      </c>
      <c r="C202" s="125">
        <v>303</v>
      </c>
      <c r="D202" s="132">
        <v>36982189</v>
      </c>
      <c r="E202" s="116">
        <f t="shared" si="52"/>
        <v>122053.42904290429</v>
      </c>
      <c r="F202" s="134">
        <v>36788998</v>
      </c>
      <c r="G202" s="117">
        <f t="shared" si="53"/>
        <v>121415.83498349835</v>
      </c>
      <c r="H202" s="9"/>
      <c r="I202" s="136">
        <v>4.8007999999999997</v>
      </c>
      <c r="J202" s="134">
        <v>176616.6215984</v>
      </c>
      <c r="K202" s="120">
        <f t="shared" si="54"/>
        <v>582.89314058877892</v>
      </c>
      <c r="L202" s="122">
        <f t="shared" si="45"/>
        <v>367889.98</v>
      </c>
      <c r="M202" s="116">
        <f t="shared" si="46"/>
        <v>191273.35840159998</v>
      </c>
      <c r="N202" s="123">
        <f t="shared" si="47"/>
        <v>631.26520924620456</v>
      </c>
      <c r="O202" s="5"/>
      <c r="P202" s="5">
        <f t="shared" si="48"/>
        <v>1</v>
      </c>
      <c r="Q202" s="7">
        <f t="shared" si="49"/>
        <v>303</v>
      </c>
      <c r="W202" s="124">
        <f t="shared" si="50"/>
        <v>176616.6215984</v>
      </c>
      <c r="X202">
        <f t="shared" si="51"/>
        <v>0</v>
      </c>
    </row>
    <row r="203" spans="1:24">
      <c r="A203" s="24" t="s">
        <v>446</v>
      </c>
      <c r="B203" s="37" t="s">
        <v>230</v>
      </c>
      <c r="C203" s="125">
        <v>2090</v>
      </c>
      <c r="D203" s="132">
        <v>860343812</v>
      </c>
      <c r="E203" s="116">
        <f t="shared" si="52"/>
        <v>411647.75693779904</v>
      </c>
      <c r="F203" s="134">
        <v>698817365</v>
      </c>
      <c r="G203" s="117">
        <f t="shared" si="53"/>
        <v>334362.3755980861</v>
      </c>
      <c r="H203" s="9"/>
      <c r="I203" s="136">
        <v>2.87</v>
      </c>
      <c r="J203" s="134">
        <v>2005605.8375500003</v>
      </c>
      <c r="K203" s="120">
        <f t="shared" si="54"/>
        <v>959.62001796650736</v>
      </c>
      <c r="L203" s="122">
        <f t="shared" si="45"/>
        <v>6988173.6500000004</v>
      </c>
      <c r="M203" s="116">
        <f t="shared" si="46"/>
        <v>4982567.8124500001</v>
      </c>
      <c r="N203" s="123">
        <f t="shared" si="47"/>
        <v>2384.003738014354</v>
      </c>
      <c r="O203" s="5"/>
      <c r="P203" s="5">
        <f t="shared" si="48"/>
        <v>1</v>
      </c>
      <c r="Q203" s="7">
        <f t="shared" si="49"/>
        <v>2090</v>
      </c>
      <c r="S203" s="124"/>
      <c r="T203" s="124"/>
      <c r="U203" s="124"/>
      <c r="W203" s="124">
        <f t="shared" si="50"/>
        <v>2005605.8375500001</v>
      </c>
      <c r="X203">
        <f t="shared" si="51"/>
        <v>0</v>
      </c>
    </row>
    <row r="204" spans="1:24">
      <c r="A204" s="23" t="s">
        <v>231</v>
      </c>
      <c r="B204" s="37" t="s">
        <v>230</v>
      </c>
      <c r="C204" s="125">
        <v>16504</v>
      </c>
      <c r="D204" s="132">
        <v>3120493846</v>
      </c>
      <c r="E204" s="116">
        <f t="shared" si="52"/>
        <v>189075.00278720309</v>
      </c>
      <c r="F204" s="134">
        <v>2057727049</v>
      </c>
      <c r="G204" s="117">
        <f t="shared" si="53"/>
        <v>124680.50466553563</v>
      </c>
      <c r="H204" s="9"/>
      <c r="I204" s="150">
        <v>5</v>
      </c>
      <c r="J204" s="134">
        <v>10288635.244999999</v>
      </c>
      <c r="K204" s="120">
        <f t="shared" si="54"/>
        <v>623.40252332767807</v>
      </c>
      <c r="L204" s="122">
        <f t="shared" si="45"/>
        <v>20577270.490000002</v>
      </c>
      <c r="M204" s="116">
        <f t="shared" si="46"/>
        <v>10288635.245000003</v>
      </c>
      <c r="N204" s="123">
        <f t="shared" si="47"/>
        <v>623.4025233276783</v>
      </c>
      <c r="O204" s="5"/>
      <c r="P204" s="5">
        <f t="shared" si="48"/>
        <v>1</v>
      </c>
      <c r="Q204" s="7">
        <f t="shared" si="49"/>
        <v>16504</v>
      </c>
      <c r="S204" s="124">
        <f>SUM(D200:D204)</f>
        <v>9198237589</v>
      </c>
      <c r="T204" s="124">
        <f>SUM(F200:F204)</f>
        <v>7336375840</v>
      </c>
      <c r="U204" s="124">
        <f>SUM(J200:J204)</f>
        <v>22191295.1690332</v>
      </c>
      <c r="W204" s="124">
        <f t="shared" si="50"/>
        <v>10288635.245000001</v>
      </c>
      <c r="X204">
        <f t="shared" si="51"/>
        <v>0</v>
      </c>
    </row>
    <row r="205" spans="1:24">
      <c r="A205" s="23" t="s">
        <v>232</v>
      </c>
      <c r="B205" s="37" t="s">
        <v>233</v>
      </c>
      <c r="C205" s="125">
        <v>38031</v>
      </c>
      <c r="D205" s="132">
        <v>12099013652</v>
      </c>
      <c r="E205" s="116">
        <f t="shared" si="52"/>
        <v>318135.56446057162</v>
      </c>
      <c r="F205" s="134">
        <v>10585894217</v>
      </c>
      <c r="G205" s="117">
        <f t="shared" si="53"/>
        <v>278349.08934816334</v>
      </c>
      <c r="H205" s="9"/>
      <c r="I205" s="136">
        <v>1.7261</v>
      </c>
      <c r="J205" s="134">
        <v>18272312.007963698</v>
      </c>
      <c r="K205" s="120">
        <f t="shared" si="54"/>
        <v>480.45836312386467</v>
      </c>
      <c r="L205" s="122">
        <f t="shared" si="45"/>
        <v>105858942.17</v>
      </c>
      <c r="M205" s="116">
        <f t="shared" si="46"/>
        <v>87586630.1620363</v>
      </c>
      <c r="N205" s="123">
        <f t="shared" si="47"/>
        <v>2303.0325303577688</v>
      </c>
      <c r="O205" s="5"/>
      <c r="P205" s="5">
        <f t="shared" si="48"/>
        <v>1</v>
      </c>
      <c r="Q205" s="7">
        <f t="shared" si="49"/>
        <v>38031</v>
      </c>
      <c r="W205" s="124">
        <f t="shared" si="50"/>
        <v>18272312.007963698</v>
      </c>
      <c r="X205">
        <f t="shared" si="51"/>
        <v>0</v>
      </c>
    </row>
    <row r="206" spans="1:24">
      <c r="A206" s="23" t="s">
        <v>234</v>
      </c>
      <c r="B206" s="37" t="s">
        <v>233</v>
      </c>
      <c r="C206" s="125">
        <v>2924</v>
      </c>
      <c r="D206" s="132">
        <v>5961248884</v>
      </c>
      <c r="E206" s="116">
        <f t="shared" si="52"/>
        <v>2038730.8084815321</v>
      </c>
      <c r="F206" s="134">
        <v>5392796774</v>
      </c>
      <c r="G206" s="117">
        <f t="shared" si="53"/>
        <v>1844321.742134063</v>
      </c>
      <c r="H206" s="9"/>
      <c r="I206" s="136">
        <v>1.9654</v>
      </c>
      <c r="J206" s="134">
        <v>10599002.779619601</v>
      </c>
      <c r="K206" s="120">
        <f t="shared" si="54"/>
        <v>3624.8299519902876</v>
      </c>
      <c r="L206" s="122">
        <f t="shared" si="45"/>
        <v>53927967.740000002</v>
      </c>
      <c r="M206" s="116">
        <f t="shared" si="46"/>
        <v>43328964.960380405</v>
      </c>
      <c r="N206" s="123">
        <f t="shared" si="47"/>
        <v>14818.387469350344</v>
      </c>
      <c r="O206" s="5"/>
      <c r="P206" s="5">
        <f t="shared" si="48"/>
        <v>1</v>
      </c>
      <c r="Q206" s="7">
        <f t="shared" si="49"/>
        <v>2924</v>
      </c>
      <c r="W206" s="124">
        <f t="shared" si="50"/>
        <v>10599002.779619601</v>
      </c>
      <c r="X206">
        <f t="shared" si="51"/>
        <v>0</v>
      </c>
    </row>
    <row r="207" spans="1:24">
      <c r="A207" s="23" t="s">
        <v>235</v>
      </c>
      <c r="B207" s="37" t="s">
        <v>233</v>
      </c>
      <c r="C207" s="125">
        <v>6039</v>
      </c>
      <c r="D207" s="132">
        <v>1910462775</v>
      </c>
      <c r="E207" s="116">
        <f t="shared" si="52"/>
        <v>316354.1604570293</v>
      </c>
      <c r="F207" s="134">
        <v>1307741751</v>
      </c>
      <c r="G207" s="117">
        <f t="shared" si="53"/>
        <v>216549.38748137109</v>
      </c>
      <c r="H207" s="9"/>
      <c r="I207" s="136">
        <v>3.6244999999999998</v>
      </c>
      <c r="J207" s="134">
        <v>4739909.9764994998</v>
      </c>
      <c r="K207" s="120">
        <f t="shared" si="54"/>
        <v>784.88325492622948</v>
      </c>
      <c r="L207" s="122">
        <f t="shared" si="45"/>
        <v>13077417.51</v>
      </c>
      <c r="M207" s="116">
        <f t="shared" si="46"/>
        <v>8337507.5335005</v>
      </c>
      <c r="N207" s="123">
        <f t="shared" si="47"/>
        <v>1380.6106198874813</v>
      </c>
      <c r="O207" s="5"/>
      <c r="P207" s="5">
        <f t="shared" si="48"/>
        <v>1</v>
      </c>
      <c r="Q207" s="7">
        <f t="shared" si="49"/>
        <v>6039</v>
      </c>
      <c r="W207" s="124">
        <f t="shared" si="50"/>
        <v>4739909.9764994998</v>
      </c>
      <c r="X207">
        <f t="shared" si="51"/>
        <v>0</v>
      </c>
    </row>
    <row r="208" spans="1:24">
      <c r="A208" s="23" t="s">
        <v>236</v>
      </c>
      <c r="B208" s="37" t="s">
        <v>233</v>
      </c>
      <c r="C208" s="125">
        <v>3194</v>
      </c>
      <c r="D208" s="132">
        <v>411026925</v>
      </c>
      <c r="E208" s="116">
        <f t="shared" si="52"/>
        <v>128687.20256731371</v>
      </c>
      <c r="F208" s="134">
        <v>229853314</v>
      </c>
      <c r="G208" s="117">
        <f t="shared" si="53"/>
        <v>71964.093299937376</v>
      </c>
      <c r="H208" s="9"/>
      <c r="I208" s="136">
        <v>9.6999999999999993</v>
      </c>
      <c r="J208" s="134">
        <v>2229577.1457999996</v>
      </c>
      <c r="K208" s="120">
        <f t="shared" si="54"/>
        <v>698.05170500939244</v>
      </c>
      <c r="L208" s="122">
        <f t="shared" si="45"/>
        <v>2298533.14</v>
      </c>
      <c r="M208" s="116">
        <f t="shared" si="46"/>
        <v>68955.994200000539</v>
      </c>
      <c r="N208" s="123">
        <f t="shared" si="47"/>
        <v>21.589227989981385</v>
      </c>
      <c r="O208" s="5"/>
      <c r="P208" s="5">
        <f t="shared" si="48"/>
        <v>1</v>
      </c>
      <c r="Q208" s="7">
        <f t="shared" si="49"/>
        <v>3194</v>
      </c>
      <c r="W208" s="124">
        <f t="shared" si="50"/>
        <v>2229577.1457999996</v>
      </c>
      <c r="X208">
        <f t="shared" si="51"/>
        <v>0</v>
      </c>
    </row>
    <row r="209" spans="1:24">
      <c r="A209" s="23" t="s">
        <v>237</v>
      </c>
      <c r="B209" s="37" t="s">
        <v>233</v>
      </c>
      <c r="C209" s="125">
        <v>50635</v>
      </c>
      <c r="D209" s="132">
        <v>22799430197</v>
      </c>
      <c r="E209" s="116">
        <f t="shared" si="52"/>
        <v>450270.17274612421</v>
      </c>
      <c r="F209" s="134">
        <v>16689268447</v>
      </c>
      <c r="G209" s="117">
        <f t="shared" si="53"/>
        <v>329599.45585069613</v>
      </c>
      <c r="H209" s="9"/>
      <c r="I209" s="136">
        <v>5.5590000000000002</v>
      </c>
      <c r="J209" s="134">
        <v>92775643.296873003</v>
      </c>
      <c r="K209" s="120">
        <f t="shared" si="54"/>
        <v>1832.2433750740199</v>
      </c>
      <c r="L209" s="122">
        <f t="shared" si="45"/>
        <v>166892684.47</v>
      </c>
      <c r="M209" s="116">
        <f t="shared" si="46"/>
        <v>74117041.173126996</v>
      </c>
      <c r="N209" s="123">
        <f t="shared" si="47"/>
        <v>1463.7511834329416</v>
      </c>
      <c r="O209" s="5"/>
      <c r="P209" s="5">
        <f t="shared" si="48"/>
        <v>1</v>
      </c>
      <c r="Q209" s="7">
        <f t="shared" si="49"/>
        <v>50635</v>
      </c>
      <c r="W209" s="124">
        <f t="shared" si="50"/>
        <v>92775643.296873003</v>
      </c>
      <c r="X209">
        <f t="shared" si="51"/>
        <v>0</v>
      </c>
    </row>
    <row r="210" spans="1:24">
      <c r="A210" s="23" t="s">
        <v>524</v>
      </c>
      <c r="B210" s="37" t="s">
        <v>233</v>
      </c>
      <c r="C210" s="125">
        <v>45411</v>
      </c>
      <c r="D210" s="132">
        <v>4234450099</v>
      </c>
      <c r="E210" s="116">
        <f t="shared" si="52"/>
        <v>93247.233027240101</v>
      </c>
      <c r="F210" s="134">
        <v>2620535674</v>
      </c>
      <c r="G210" s="117">
        <f t="shared" si="53"/>
        <v>57707.068199334964</v>
      </c>
      <c r="H210" s="9"/>
      <c r="I210" s="136">
        <v>2.4323000000000001</v>
      </c>
      <c r="J210" s="134">
        <v>6373928.9198702006</v>
      </c>
      <c r="K210" s="120">
        <f t="shared" si="54"/>
        <v>140.36090198124245</v>
      </c>
      <c r="L210" s="122">
        <f t="shared" si="45"/>
        <v>26205356.740000002</v>
      </c>
      <c r="M210" s="116">
        <f t="shared" si="46"/>
        <v>19831427.820129801</v>
      </c>
      <c r="N210" s="123">
        <f t="shared" si="47"/>
        <v>436.70978001210722</v>
      </c>
      <c r="O210" s="5"/>
      <c r="P210" s="5">
        <f t="shared" si="48"/>
        <v>1</v>
      </c>
      <c r="Q210" s="7">
        <f t="shared" si="49"/>
        <v>45411</v>
      </c>
      <c r="W210" s="124">
        <f t="shared" si="50"/>
        <v>6373928.9198702006</v>
      </c>
      <c r="X210">
        <f t="shared" si="51"/>
        <v>0</v>
      </c>
    </row>
    <row r="211" spans="1:24">
      <c r="A211" s="23" t="s">
        <v>501</v>
      </c>
      <c r="B211" s="37" t="s">
        <v>233</v>
      </c>
      <c r="C211" s="125">
        <v>70420</v>
      </c>
      <c r="D211" s="132">
        <v>15716551581</v>
      </c>
      <c r="E211" s="116">
        <f t="shared" si="52"/>
        <v>223183.06704061347</v>
      </c>
      <c r="F211" s="134">
        <v>13371577744</v>
      </c>
      <c r="G211" s="117">
        <f t="shared" si="53"/>
        <v>189883.23976143141</v>
      </c>
      <c r="H211" s="9"/>
      <c r="I211" s="136">
        <v>1.9</v>
      </c>
      <c r="J211" s="134">
        <v>25405997.713599999</v>
      </c>
      <c r="K211" s="120">
        <f t="shared" si="54"/>
        <v>360.77815554671969</v>
      </c>
      <c r="L211" s="122">
        <f t="shared" si="45"/>
        <v>133715777.44</v>
      </c>
      <c r="M211" s="116">
        <f t="shared" si="46"/>
        <v>108309779.7264</v>
      </c>
      <c r="N211" s="123">
        <f t="shared" si="47"/>
        <v>1538.0542420675945</v>
      </c>
      <c r="O211" s="5"/>
      <c r="P211" s="5">
        <f t="shared" si="48"/>
        <v>1</v>
      </c>
      <c r="Q211" s="7">
        <f t="shared" si="49"/>
        <v>70420</v>
      </c>
      <c r="W211" s="124">
        <f t="shared" si="50"/>
        <v>25405997.713599999</v>
      </c>
      <c r="X211">
        <f t="shared" si="51"/>
        <v>0</v>
      </c>
    </row>
    <row r="212" spans="1:24">
      <c r="A212" s="23" t="s">
        <v>238</v>
      </c>
      <c r="B212" s="37" t="s">
        <v>233</v>
      </c>
      <c r="C212" s="125">
        <v>2150</v>
      </c>
      <c r="D212" s="132">
        <v>299733147</v>
      </c>
      <c r="E212" s="116">
        <f t="shared" si="52"/>
        <v>139410.76604651162</v>
      </c>
      <c r="F212" s="134">
        <v>165859121</v>
      </c>
      <c r="G212" s="117">
        <f t="shared" si="53"/>
        <v>77143.777209302323</v>
      </c>
      <c r="H212" s="9"/>
      <c r="I212" s="136">
        <v>8.3000000000000007</v>
      </c>
      <c r="J212" s="134">
        <v>1376630.7043000001</v>
      </c>
      <c r="K212" s="120">
        <f t="shared" si="54"/>
        <v>640.29335083720935</v>
      </c>
      <c r="L212" s="122">
        <f t="shared" si="45"/>
        <v>1658591.21</v>
      </c>
      <c r="M212" s="116">
        <f t="shared" si="46"/>
        <v>281960.50569999986</v>
      </c>
      <c r="N212" s="123">
        <f t="shared" si="47"/>
        <v>131.14442125581388</v>
      </c>
      <c r="O212" s="5"/>
      <c r="P212" s="5">
        <f t="shared" si="48"/>
        <v>1</v>
      </c>
      <c r="Q212" s="7">
        <f t="shared" si="49"/>
        <v>2150</v>
      </c>
      <c r="W212" s="124">
        <f t="shared" si="50"/>
        <v>1376630.7043000001</v>
      </c>
      <c r="X212">
        <f t="shared" si="51"/>
        <v>0</v>
      </c>
    </row>
    <row r="213" spans="1:24">
      <c r="A213" s="23" t="s">
        <v>239</v>
      </c>
      <c r="B213" s="37" t="s">
        <v>233</v>
      </c>
      <c r="C213" s="125">
        <v>13250</v>
      </c>
      <c r="D213" s="132">
        <v>878953196</v>
      </c>
      <c r="E213" s="116">
        <f t="shared" si="52"/>
        <v>66336.090264150946</v>
      </c>
      <c r="F213" s="134">
        <v>546807144</v>
      </c>
      <c r="G213" s="117">
        <f t="shared" si="53"/>
        <v>41268.463698113206</v>
      </c>
      <c r="H213" s="9"/>
      <c r="I213" s="136">
        <v>7.1858000000000004</v>
      </c>
      <c r="J213" s="134">
        <v>3929246.7753552003</v>
      </c>
      <c r="K213" s="120">
        <f t="shared" si="54"/>
        <v>296.54692644190192</v>
      </c>
      <c r="L213" s="122">
        <f t="shared" si="45"/>
        <v>5468071.4400000004</v>
      </c>
      <c r="M213" s="116">
        <f t="shared" si="46"/>
        <v>1538824.6646448001</v>
      </c>
      <c r="N213" s="123">
        <f t="shared" si="47"/>
        <v>116.1377105392302</v>
      </c>
      <c r="O213" s="5"/>
      <c r="P213" s="5">
        <f t="shared" si="48"/>
        <v>1</v>
      </c>
      <c r="Q213" s="7">
        <f t="shared" si="49"/>
        <v>13250</v>
      </c>
      <c r="W213" s="124">
        <f t="shared" si="50"/>
        <v>3929246.7753551998</v>
      </c>
      <c r="X213">
        <f t="shared" si="51"/>
        <v>0</v>
      </c>
    </row>
    <row r="214" spans="1:24">
      <c r="A214" s="23" t="s">
        <v>240</v>
      </c>
      <c r="B214" s="37" t="s">
        <v>233</v>
      </c>
      <c r="C214" s="125">
        <v>947</v>
      </c>
      <c r="D214" s="132">
        <v>1580334097</v>
      </c>
      <c r="E214" s="116">
        <f t="shared" si="52"/>
        <v>1668779.4054910243</v>
      </c>
      <c r="F214" s="134">
        <v>1146503627</v>
      </c>
      <c r="G214" s="117">
        <f t="shared" si="53"/>
        <v>1210669.0887011616</v>
      </c>
      <c r="H214" s="9"/>
      <c r="I214" s="136">
        <v>7.5780000000000003</v>
      </c>
      <c r="J214" s="134">
        <v>8688204.4854060002</v>
      </c>
      <c r="K214" s="120">
        <f t="shared" si="54"/>
        <v>9174.4503541774029</v>
      </c>
      <c r="L214" s="122">
        <f t="shared" si="45"/>
        <v>11465036.27</v>
      </c>
      <c r="M214" s="116">
        <f t="shared" si="46"/>
        <v>2776831.7845939994</v>
      </c>
      <c r="N214" s="123">
        <f t="shared" si="47"/>
        <v>2932.2405328342124</v>
      </c>
      <c r="O214" s="5"/>
      <c r="P214" s="5">
        <f t="shared" si="48"/>
        <v>1</v>
      </c>
      <c r="Q214" s="7">
        <f t="shared" si="49"/>
        <v>947</v>
      </c>
      <c r="W214" s="124">
        <f t="shared" si="50"/>
        <v>8688204.4854060002</v>
      </c>
      <c r="X214">
        <f t="shared" si="51"/>
        <v>0</v>
      </c>
    </row>
    <row r="215" spans="1:24">
      <c r="A215" s="23" t="s">
        <v>241</v>
      </c>
      <c r="B215" s="37" t="s">
        <v>233</v>
      </c>
      <c r="C215" s="125">
        <v>239722</v>
      </c>
      <c r="D215" s="132">
        <v>18085576705</v>
      </c>
      <c r="E215" s="116">
        <f t="shared" si="52"/>
        <v>75443.958856508791</v>
      </c>
      <c r="F215" s="134">
        <v>11167018144</v>
      </c>
      <c r="G215" s="117">
        <f t="shared" si="53"/>
        <v>46583.201141322032</v>
      </c>
      <c r="H215" s="9"/>
      <c r="I215" s="136">
        <v>6.3018000000000001</v>
      </c>
      <c r="J215" s="134">
        <v>70372314.939859211</v>
      </c>
      <c r="K215" s="120">
        <f t="shared" si="54"/>
        <v>293.55801695238324</v>
      </c>
      <c r="L215" s="122">
        <f t="shared" si="45"/>
        <v>111670181.44</v>
      </c>
      <c r="M215" s="116">
        <f t="shared" si="46"/>
        <v>41297866.500140786</v>
      </c>
      <c r="N215" s="123">
        <f t="shared" si="47"/>
        <v>172.27399446083709</v>
      </c>
      <c r="O215" s="5"/>
      <c r="P215" s="5">
        <f t="shared" si="48"/>
        <v>1</v>
      </c>
      <c r="Q215" s="7">
        <f t="shared" si="49"/>
        <v>239722</v>
      </c>
      <c r="W215" s="124">
        <f t="shared" si="50"/>
        <v>70372314.939859197</v>
      </c>
      <c r="X215">
        <f t="shared" si="51"/>
        <v>0</v>
      </c>
    </row>
    <row r="216" spans="1:24">
      <c r="A216" s="23" t="s">
        <v>242</v>
      </c>
      <c r="B216" s="37" t="s">
        <v>233</v>
      </c>
      <c r="C216" s="125">
        <v>23633</v>
      </c>
      <c r="D216" s="132">
        <v>2339845521</v>
      </c>
      <c r="E216" s="116">
        <f t="shared" si="52"/>
        <v>99007.553886514623</v>
      </c>
      <c r="F216" s="134">
        <v>1360641745</v>
      </c>
      <c r="G216" s="117">
        <f t="shared" si="53"/>
        <v>57573.805483857315</v>
      </c>
      <c r="H216" s="9"/>
      <c r="I216" s="136">
        <v>5.1612999999999998</v>
      </c>
      <c r="J216" s="134">
        <v>7022680.2384684999</v>
      </c>
      <c r="K216" s="120">
        <f t="shared" si="54"/>
        <v>297.15568224383276</v>
      </c>
      <c r="L216" s="122">
        <f t="shared" si="45"/>
        <v>13606417.450000001</v>
      </c>
      <c r="M216" s="116">
        <f t="shared" si="46"/>
        <v>6583737.2115315013</v>
      </c>
      <c r="N216" s="123">
        <f t="shared" si="47"/>
        <v>278.58237259474043</v>
      </c>
      <c r="O216" s="5"/>
      <c r="P216" s="5">
        <f t="shared" si="48"/>
        <v>1</v>
      </c>
      <c r="Q216" s="7">
        <f t="shared" si="49"/>
        <v>23633</v>
      </c>
      <c r="W216" s="124">
        <f t="shared" si="50"/>
        <v>7022680.2384684999</v>
      </c>
      <c r="X216">
        <f t="shared" si="51"/>
        <v>0</v>
      </c>
    </row>
    <row r="217" spans="1:24">
      <c r="A217" s="23" t="s">
        <v>243</v>
      </c>
      <c r="B217" s="37" t="s">
        <v>233</v>
      </c>
      <c r="C217" s="125">
        <v>76236</v>
      </c>
      <c r="D217" s="132">
        <v>4958441766</v>
      </c>
      <c r="E217" s="116">
        <f t="shared" si="52"/>
        <v>65040.686368644732</v>
      </c>
      <c r="F217" s="134">
        <v>3114275223</v>
      </c>
      <c r="G217" s="117">
        <f t="shared" si="53"/>
        <v>40850.45415551708</v>
      </c>
      <c r="H217" s="9"/>
      <c r="I217" s="136">
        <v>5.9215</v>
      </c>
      <c r="J217" s="134">
        <v>18441180.732994501</v>
      </c>
      <c r="K217" s="120">
        <f t="shared" si="54"/>
        <v>241.89596428189438</v>
      </c>
      <c r="L217" s="122">
        <f t="shared" si="45"/>
        <v>31142752.23</v>
      </c>
      <c r="M217" s="116">
        <f t="shared" si="46"/>
        <v>12701571.4970055</v>
      </c>
      <c r="N217" s="123">
        <f t="shared" si="47"/>
        <v>166.60857727327641</v>
      </c>
      <c r="O217" s="5"/>
      <c r="P217" s="5">
        <f t="shared" si="48"/>
        <v>1</v>
      </c>
      <c r="Q217" s="7">
        <f t="shared" si="49"/>
        <v>76236</v>
      </c>
      <c r="W217" s="124">
        <f t="shared" si="50"/>
        <v>18441180.732994501</v>
      </c>
      <c r="X217">
        <f t="shared" si="51"/>
        <v>0</v>
      </c>
    </row>
    <row r="218" spans="1:24">
      <c r="A218" s="23" t="s">
        <v>244</v>
      </c>
      <c r="B218" s="37" t="s">
        <v>233</v>
      </c>
      <c r="C218" s="125">
        <v>87</v>
      </c>
      <c r="D218" s="132">
        <v>926054890</v>
      </c>
      <c r="E218" s="116">
        <f t="shared" si="52"/>
        <v>10644309.08045977</v>
      </c>
      <c r="F218" s="134">
        <v>648985362</v>
      </c>
      <c r="G218" s="117">
        <f t="shared" si="53"/>
        <v>7459601.8620689651</v>
      </c>
      <c r="H218" s="9"/>
      <c r="I218" s="136">
        <v>6.3</v>
      </c>
      <c r="J218" s="134">
        <v>4088607.7805999997</v>
      </c>
      <c r="K218" s="120">
        <f t="shared" si="54"/>
        <v>46995.491731034483</v>
      </c>
      <c r="L218" s="122">
        <f t="shared" si="45"/>
        <v>6489853.6200000001</v>
      </c>
      <c r="M218" s="116">
        <f t="shared" si="46"/>
        <v>2401245.8394000004</v>
      </c>
      <c r="N218" s="123">
        <f t="shared" si="47"/>
        <v>27600.526889655179</v>
      </c>
      <c r="O218" s="5"/>
      <c r="P218" s="5">
        <f t="shared" si="48"/>
        <v>1</v>
      </c>
      <c r="Q218" s="7">
        <f t="shared" si="49"/>
        <v>87</v>
      </c>
      <c r="W218" s="124">
        <f t="shared" si="50"/>
        <v>4088607.7806000002</v>
      </c>
      <c r="X218">
        <f t="shared" si="51"/>
        <v>0</v>
      </c>
    </row>
    <row r="219" spans="1:24">
      <c r="A219" s="23" t="s">
        <v>246</v>
      </c>
      <c r="B219" s="37" t="s">
        <v>233</v>
      </c>
      <c r="C219" s="125">
        <v>12922</v>
      </c>
      <c r="D219" s="132">
        <v>9657008478</v>
      </c>
      <c r="E219" s="116">
        <f t="shared" si="52"/>
        <v>747330.79074446682</v>
      </c>
      <c r="F219" s="134">
        <v>8247075868</v>
      </c>
      <c r="G219" s="117">
        <f t="shared" si="53"/>
        <v>638219.77000464324</v>
      </c>
      <c r="H219" s="9"/>
      <c r="I219" s="136">
        <v>3.1949999999999998</v>
      </c>
      <c r="J219" s="134">
        <v>26349407.398259997</v>
      </c>
      <c r="K219" s="120">
        <f t="shared" si="54"/>
        <v>2039.112165164835</v>
      </c>
      <c r="L219" s="122">
        <f t="shared" si="45"/>
        <v>82470758.680000007</v>
      </c>
      <c r="M219" s="116">
        <f t="shared" si="46"/>
        <v>56121351.28174001</v>
      </c>
      <c r="N219" s="123">
        <f t="shared" si="47"/>
        <v>4343.0855348815976</v>
      </c>
      <c r="O219" s="5"/>
      <c r="P219" s="5">
        <f t="shared" si="48"/>
        <v>1</v>
      </c>
      <c r="Q219" s="7">
        <f t="shared" si="49"/>
        <v>12922</v>
      </c>
      <c r="W219" s="124">
        <f t="shared" si="50"/>
        <v>26349407.398260001</v>
      </c>
      <c r="X219">
        <f t="shared" si="51"/>
        <v>0</v>
      </c>
    </row>
    <row r="220" spans="1:24">
      <c r="A220" s="23" t="s">
        <v>247</v>
      </c>
      <c r="B220" s="37" t="s">
        <v>233</v>
      </c>
      <c r="C220" s="125">
        <v>847</v>
      </c>
      <c r="D220" s="132">
        <v>2561376915</v>
      </c>
      <c r="E220" s="116">
        <f t="shared" si="52"/>
        <v>3024057.7508854782</v>
      </c>
      <c r="F220" s="134">
        <v>2350367510</v>
      </c>
      <c r="G220" s="117">
        <f t="shared" si="53"/>
        <v>2774932.1251475797</v>
      </c>
      <c r="H220" s="9"/>
      <c r="I220" s="136">
        <v>5.05</v>
      </c>
      <c r="J220" s="134">
        <v>11869355.9255</v>
      </c>
      <c r="K220" s="120">
        <f t="shared" si="54"/>
        <v>14013.407231995277</v>
      </c>
      <c r="L220" s="122">
        <f t="shared" si="45"/>
        <v>23503675.100000001</v>
      </c>
      <c r="M220" s="116">
        <f t="shared" si="46"/>
        <v>11634319.174500002</v>
      </c>
      <c r="N220" s="123">
        <f t="shared" si="47"/>
        <v>13735.914019480522</v>
      </c>
      <c r="O220" s="5"/>
      <c r="P220" s="5">
        <f t="shared" si="48"/>
        <v>1</v>
      </c>
      <c r="Q220" s="7">
        <f t="shared" si="49"/>
        <v>847</v>
      </c>
      <c r="W220" s="124">
        <f t="shared" si="50"/>
        <v>11869355.9255</v>
      </c>
      <c r="X220">
        <f t="shared" si="51"/>
        <v>0</v>
      </c>
    </row>
    <row r="221" spans="1:24">
      <c r="A221" s="23" t="s">
        <v>248</v>
      </c>
      <c r="B221" s="37" t="s">
        <v>233</v>
      </c>
      <c r="C221" s="125">
        <v>490947</v>
      </c>
      <c r="D221" s="132">
        <v>82804111770</v>
      </c>
      <c r="E221" s="116">
        <f t="shared" si="52"/>
        <v>168662.01803860703</v>
      </c>
      <c r="F221" s="134">
        <v>57686674711</v>
      </c>
      <c r="G221" s="117">
        <f t="shared" si="53"/>
        <v>117500.81925543898</v>
      </c>
      <c r="H221" s="9"/>
      <c r="I221" s="136">
        <v>7.5664999999999996</v>
      </c>
      <c r="J221" s="134">
        <v>436486224.20078146</v>
      </c>
      <c r="K221" s="120">
        <f t="shared" si="54"/>
        <v>889.0699488962789</v>
      </c>
      <c r="L221" s="122">
        <f t="shared" si="45"/>
        <v>576866747.11000001</v>
      </c>
      <c r="M221" s="116">
        <f t="shared" si="46"/>
        <v>140380522.90921855</v>
      </c>
      <c r="N221" s="123">
        <f t="shared" si="47"/>
        <v>285.93824365811088</v>
      </c>
      <c r="O221" s="5"/>
      <c r="P221" s="5">
        <f t="shared" si="48"/>
        <v>1</v>
      </c>
      <c r="Q221" s="7">
        <f t="shared" si="49"/>
        <v>490947</v>
      </c>
      <c r="W221" s="124">
        <f t="shared" si="50"/>
        <v>436486224.20078146</v>
      </c>
      <c r="X221">
        <f t="shared" si="51"/>
        <v>0</v>
      </c>
    </row>
    <row r="222" spans="1:24">
      <c r="A222" s="23" t="s">
        <v>249</v>
      </c>
      <c r="B222" s="37" t="s">
        <v>233</v>
      </c>
      <c r="C222" s="125">
        <v>93988</v>
      </c>
      <c r="D222" s="132">
        <v>49604486457</v>
      </c>
      <c r="E222" s="116">
        <f t="shared" si="52"/>
        <v>527774.67822487978</v>
      </c>
      <c r="F222" s="134">
        <v>39310500026</v>
      </c>
      <c r="G222" s="117">
        <f t="shared" si="53"/>
        <v>418250.20243009744</v>
      </c>
      <c r="H222" s="9"/>
      <c r="I222" s="136">
        <v>5.7287999999999997</v>
      </c>
      <c r="J222" s="134">
        <v>225201992.54894879</v>
      </c>
      <c r="K222" s="120">
        <f t="shared" si="54"/>
        <v>2396.0717596815421</v>
      </c>
      <c r="L222" s="122">
        <f t="shared" si="45"/>
        <v>393105000.25999999</v>
      </c>
      <c r="M222" s="116">
        <f t="shared" si="46"/>
        <v>167903007.7110512</v>
      </c>
      <c r="N222" s="123">
        <f t="shared" si="47"/>
        <v>1786.4302646194321</v>
      </c>
      <c r="O222" s="5"/>
      <c r="P222" s="5">
        <f t="shared" si="48"/>
        <v>1</v>
      </c>
      <c r="Q222" s="7">
        <f t="shared" si="49"/>
        <v>93988</v>
      </c>
      <c r="W222" s="124">
        <f t="shared" si="50"/>
        <v>225201992.54894879</v>
      </c>
      <c r="X222">
        <f t="shared" si="51"/>
        <v>0</v>
      </c>
    </row>
    <row r="223" spans="1:24">
      <c r="A223" s="23" t="s">
        <v>500</v>
      </c>
      <c r="B223" s="37" t="s">
        <v>233</v>
      </c>
      <c r="C223" s="125">
        <v>114284</v>
      </c>
      <c r="D223" s="132">
        <v>8643909505</v>
      </c>
      <c r="E223" s="116">
        <f t="shared" si="52"/>
        <v>75635.342698890483</v>
      </c>
      <c r="F223" s="134">
        <v>4870848134</v>
      </c>
      <c r="G223" s="117">
        <f t="shared" si="53"/>
        <v>42620.56048090721</v>
      </c>
      <c r="H223" s="9"/>
      <c r="I223" s="136">
        <v>6.9363000000000001</v>
      </c>
      <c r="J223" s="134">
        <v>33785663.911864199</v>
      </c>
      <c r="K223" s="120">
        <f t="shared" si="54"/>
        <v>295.6289936637167</v>
      </c>
      <c r="L223" s="122">
        <f t="shared" si="45"/>
        <v>48708481.340000004</v>
      </c>
      <c r="M223" s="116">
        <f t="shared" si="46"/>
        <v>14922817.428135805</v>
      </c>
      <c r="N223" s="123">
        <f t="shared" si="47"/>
        <v>130.57661114535549</v>
      </c>
      <c r="O223" s="5"/>
      <c r="P223" s="5">
        <f t="shared" si="48"/>
        <v>1</v>
      </c>
      <c r="Q223" s="7">
        <f t="shared" si="49"/>
        <v>114284</v>
      </c>
      <c r="W223" s="124">
        <f t="shared" si="50"/>
        <v>33785663.911864199</v>
      </c>
      <c r="X223">
        <f t="shared" si="51"/>
        <v>0</v>
      </c>
    </row>
    <row r="224" spans="1:24">
      <c r="A224" s="23" t="s">
        <v>459</v>
      </c>
      <c r="B224" s="37" t="s">
        <v>233</v>
      </c>
      <c r="C224" s="125">
        <v>31523</v>
      </c>
      <c r="D224" s="132">
        <v>4759003044</v>
      </c>
      <c r="E224" s="116">
        <f t="shared" si="52"/>
        <v>150969.23021286045</v>
      </c>
      <c r="F224" s="134">
        <v>3321693913</v>
      </c>
      <c r="G224" s="117">
        <f t="shared" si="53"/>
        <v>105373.66091425308</v>
      </c>
      <c r="H224" s="9"/>
      <c r="I224" s="136">
        <v>2.3127</v>
      </c>
      <c r="J224" s="134">
        <v>7682081.5125951003</v>
      </c>
      <c r="K224" s="120">
        <f t="shared" si="54"/>
        <v>243.69766559639311</v>
      </c>
      <c r="L224" s="122">
        <f t="shared" si="45"/>
        <v>33216939.129999999</v>
      </c>
      <c r="M224" s="116">
        <f t="shared" si="46"/>
        <v>25534857.6174049</v>
      </c>
      <c r="N224" s="123">
        <f t="shared" si="47"/>
        <v>810.03894354613772</v>
      </c>
      <c r="O224" s="5"/>
      <c r="P224" s="5">
        <f t="shared" si="48"/>
        <v>1</v>
      </c>
      <c r="Q224" s="7">
        <f t="shared" si="49"/>
        <v>31523</v>
      </c>
      <c r="W224" s="124">
        <f t="shared" si="50"/>
        <v>7682081.5125951003</v>
      </c>
      <c r="X224">
        <f t="shared" si="51"/>
        <v>0</v>
      </c>
    </row>
    <row r="225" spans="1:24">
      <c r="A225" s="23" t="s">
        <v>250</v>
      </c>
      <c r="B225" s="37" t="s">
        <v>233</v>
      </c>
      <c r="C225" s="125">
        <v>10805</v>
      </c>
      <c r="D225" s="132">
        <v>2068326275</v>
      </c>
      <c r="E225" s="116">
        <f t="shared" si="52"/>
        <v>191423.07033780657</v>
      </c>
      <c r="F225" s="134">
        <v>1187243460</v>
      </c>
      <c r="G225" s="117">
        <f t="shared" si="53"/>
        <v>109879.08005552985</v>
      </c>
      <c r="H225" s="9"/>
      <c r="I225" s="136">
        <v>7.9</v>
      </c>
      <c r="J225" s="134">
        <v>9379223.3340000007</v>
      </c>
      <c r="K225" s="120">
        <f t="shared" si="54"/>
        <v>868.04473243868586</v>
      </c>
      <c r="L225" s="122">
        <f t="shared" si="45"/>
        <v>11872434.6</v>
      </c>
      <c r="M225" s="116">
        <f t="shared" si="46"/>
        <v>2493211.2659999989</v>
      </c>
      <c r="N225" s="123">
        <f t="shared" si="47"/>
        <v>230.74606811661258</v>
      </c>
      <c r="O225" s="5"/>
      <c r="P225" s="5">
        <f t="shared" si="48"/>
        <v>1</v>
      </c>
      <c r="Q225" s="7">
        <f t="shared" si="49"/>
        <v>10805</v>
      </c>
      <c r="W225" s="124">
        <f t="shared" si="50"/>
        <v>9379223.3340000007</v>
      </c>
      <c r="X225">
        <f t="shared" si="51"/>
        <v>0</v>
      </c>
    </row>
    <row r="226" spans="1:24">
      <c r="A226" s="24" t="s">
        <v>251</v>
      </c>
      <c r="B226" s="37" t="s">
        <v>233</v>
      </c>
      <c r="C226" s="125">
        <v>14237</v>
      </c>
      <c r="D226" s="132">
        <v>1905760435</v>
      </c>
      <c r="E226" s="116">
        <f t="shared" si="52"/>
        <v>133859.69199971904</v>
      </c>
      <c r="F226" s="134">
        <v>1243714481</v>
      </c>
      <c r="G226" s="117">
        <f t="shared" si="53"/>
        <v>87357.904123059634</v>
      </c>
      <c r="H226" s="9"/>
      <c r="I226" s="136">
        <v>7.33</v>
      </c>
      <c r="J226" s="134">
        <v>9116427.14573</v>
      </c>
      <c r="K226" s="120">
        <f t="shared" si="54"/>
        <v>640.3334372220271</v>
      </c>
      <c r="L226" s="122">
        <f t="shared" si="45"/>
        <v>12437144.810000001</v>
      </c>
      <c r="M226" s="116">
        <f t="shared" si="46"/>
        <v>3320717.6642700005</v>
      </c>
      <c r="N226" s="123">
        <f t="shared" si="47"/>
        <v>233.24560400856925</v>
      </c>
      <c r="O226" s="5"/>
      <c r="P226" s="5">
        <f t="shared" si="48"/>
        <v>1</v>
      </c>
      <c r="Q226" s="7">
        <f t="shared" si="49"/>
        <v>14237</v>
      </c>
      <c r="W226" s="124">
        <f t="shared" si="50"/>
        <v>9116427.14573</v>
      </c>
      <c r="X226">
        <f t="shared" si="51"/>
        <v>0</v>
      </c>
    </row>
    <row r="227" spans="1:24">
      <c r="A227" s="23" t="s">
        <v>599</v>
      </c>
      <c r="B227" s="37" t="s">
        <v>233</v>
      </c>
      <c r="C227" s="125">
        <v>9074</v>
      </c>
      <c r="D227" s="132">
        <v>1293797311</v>
      </c>
      <c r="E227" s="116">
        <f t="shared" si="52"/>
        <v>142582.90841966055</v>
      </c>
      <c r="F227" s="134">
        <v>1080588301</v>
      </c>
      <c r="G227" s="117">
        <f t="shared" si="53"/>
        <v>119086.21346704871</v>
      </c>
      <c r="H227" s="9"/>
      <c r="I227" s="136">
        <v>5.4992000000000001</v>
      </c>
      <c r="J227" s="134">
        <v>5942371.1848592004</v>
      </c>
      <c r="K227" s="120">
        <f t="shared" si="54"/>
        <v>654.87890509799433</v>
      </c>
      <c r="L227" s="122">
        <f t="shared" si="45"/>
        <v>10805883.01</v>
      </c>
      <c r="M227" s="116">
        <f t="shared" si="46"/>
        <v>4863511.8251407994</v>
      </c>
      <c r="N227" s="123">
        <f t="shared" si="47"/>
        <v>535.98322957249275</v>
      </c>
      <c r="O227" s="5"/>
      <c r="P227" s="5">
        <f t="shared" si="48"/>
        <v>1</v>
      </c>
      <c r="Q227" s="7">
        <f t="shared" si="49"/>
        <v>9074</v>
      </c>
      <c r="W227" s="124">
        <f t="shared" si="50"/>
        <v>5942371.1848592004</v>
      </c>
      <c r="X227">
        <f t="shared" si="51"/>
        <v>0</v>
      </c>
    </row>
    <row r="228" spans="1:24">
      <c r="A228" s="23" t="s">
        <v>253</v>
      </c>
      <c r="B228" s="37" t="s">
        <v>233</v>
      </c>
      <c r="C228" s="125">
        <v>65109</v>
      </c>
      <c r="D228" s="132">
        <v>5565005276</v>
      </c>
      <c r="E228" s="116">
        <f t="shared" si="52"/>
        <v>85472.135588013945</v>
      </c>
      <c r="F228" s="134">
        <v>3330713955</v>
      </c>
      <c r="G228" s="117">
        <f t="shared" si="53"/>
        <v>51155.968529696358</v>
      </c>
      <c r="H228" s="9"/>
      <c r="I228" s="136">
        <v>7.5</v>
      </c>
      <c r="J228" s="134">
        <v>24980354.662500001</v>
      </c>
      <c r="K228" s="120">
        <f t="shared" si="54"/>
        <v>383.66976397272271</v>
      </c>
      <c r="L228" s="122">
        <f t="shared" si="45"/>
        <v>33307139.550000001</v>
      </c>
      <c r="M228" s="116">
        <f t="shared" si="46"/>
        <v>8326784.8874999993</v>
      </c>
      <c r="N228" s="123">
        <f t="shared" si="47"/>
        <v>127.88992132424087</v>
      </c>
      <c r="O228" s="5"/>
      <c r="P228" s="5">
        <f t="shared" si="48"/>
        <v>1</v>
      </c>
      <c r="Q228" s="7">
        <f t="shared" si="49"/>
        <v>65109</v>
      </c>
      <c r="W228" s="124">
        <f t="shared" si="50"/>
        <v>24980354.662499998</v>
      </c>
      <c r="X228">
        <f t="shared" si="51"/>
        <v>0</v>
      </c>
    </row>
    <row r="229" spans="1:24">
      <c r="A229" s="23" t="s">
        <v>254</v>
      </c>
      <c r="B229" s="37" t="s">
        <v>233</v>
      </c>
      <c r="C229" s="125">
        <v>47691</v>
      </c>
      <c r="D229" s="132">
        <v>4729079730</v>
      </c>
      <c r="E229" s="116">
        <f t="shared" si="52"/>
        <v>99160.842297288793</v>
      </c>
      <c r="F229" s="134">
        <v>3281685562</v>
      </c>
      <c r="G229" s="117">
        <f t="shared" si="53"/>
        <v>68811.422742236478</v>
      </c>
      <c r="H229" s="9"/>
      <c r="I229" s="136">
        <v>6.2</v>
      </c>
      <c r="J229" s="134">
        <v>20346450.4844</v>
      </c>
      <c r="K229" s="120">
        <f t="shared" si="54"/>
        <v>426.6308210018662</v>
      </c>
      <c r="L229" s="122">
        <f t="shared" si="45"/>
        <v>32816855.620000001</v>
      </c>
      <c r="M229" s="116">
        <f t="shared" si="46"/>
        <v>12470405.135600001</v>
      </c>
      <c r="N229" s="123">
        <f t="shared" si="47"/>
        <v>261.48340642049862</v>
      </c>
      <c r="O229" s="5"/>
      <c r="P229" s="5">
        <f t="shared" si="48"/>
        <v>1</v>
      </c>
      <c r="Q229" s="7">
        <f t="shared" si="49"/>
        <v>47691</v>
      </c>
      <c r="W229" s="124">
        <f t="shared" si="50"/>
        <v>20346450.4844</v>
      </c>
      <c r="X229">
        <f t="shared" si="51"/>
        <v>0</v>
      </c>
    </row>
    <row r="230" spans="1:24">
      <c r="A230" s="23" t="s">
        <v>255</v>
      </c>
      <c r="B230" s="37" t="s">
        <v>233</v>
      </c>
      <c r="C230" s="125">
        <v>18143</v>
      </c>
      <c r="D230" s="132">
        <v>1732096338</v>
      </c>
      <c r="E230" s="116">
        <f t="shared" si="52"/>
        <v>95469.125172242741</v>
      </c>
      <c r="F230" s="134">
        <v>1143481500</v>
      </c>
      <c r="G230" s="117">
        <f t="shared" si="53"/>
        <v>63026.043102022821</v>
      </c>
      <c r="H230" s="9"/>
      <c r="I230" s="136">
        <v>9.8000000000000007</v>
      </c>
      <c r="J230" s="134">
        <v>11206118.699999999</v>
      </c>
      <c r="K230" s="120">
        <f t="shared" si="54"/>
        <v>617.65522239982363</v>
      </c>
      <c r="L230" s="122">
        <f t="shared" si="45"/>
        <v>11434815</v>
      </c>
      <c r="M230" s="116">
        <f t="shared" si="46"/>
        <v>228696.30000000075</v>
      </c>
      <c r="N230" s="123">
        <f t="shared" si="47"/>
        <v>12.605208620404605</v>
      </c>
      <c r="O230" s="5"/>
      <c r="P230" s="5">
        <f t="shared" si="48"/>
        <v>1</v>
      </c>
      <c r="Q230" s="7">
        <f t="shared" si="49"/>
        <v>18143</v>
      </c>
      <c r="W230" s="124">
        <f t="shared" si="50"/>
        <v>11206118.700000001</v>
      </c>
      <c r="X230">
        <f t="shared" si="51"/>
        <v>0</v>
      </c>
    </row>
    <row r="231" spans="1:24">
      <c r="A231" s="23" t="s">
        <v>493</v>
      </c>
      <c r="B231" s="37" t="s">
        <v>233</v>
      </c>
      <c r="C231" s="125">
        <v>24341</v>
      </c>
      <c r="D231" s="132">
        <v>4506061514</v>
      </c>
      <c r="E231" s="116">
        <f t="shared" si="52"/>
        <v>185122.283965326</v>
      </c>
      <c r="F231" s="134">
        <v>3033312916</v>
      </c>
      <c r="G231" s="117">
        <f t="shared" si="53"/>
        <v>124617.4321515139</v>
      </c>
      <c r="H231" s="9"/>
      <c r="I231" s="136">
        <v>2.2000000000000002</v>
      </c>
      <c r="J231" s="134">
        <v>6673288.4152000006</v>
      </c>
      <c r="K231" s="120">
        <f t="shared" si="54"/>
        <v>274.15835073333062</v>
      </c>
      <c r="L231" s="122">
        <f t="shared" si="45"/>
        <v>30333129.16</v>
      </c>
      <c r="M231" s="116">
        <f t="shared" si="46"/>
        <v>23659840.744800001</v>
      </c>
      <c r="N231" s="123">
        <f t="shared" si="47"/>
        <v>972.01597078180851</v>
      </c>
      <c r="O231" s="5"/>
      <c r="P231" s="5">
        <f t="shared" si="48"/>
        <v>1</v>
      </c>
      <c r="Q231" s="7">
        <f t="shared" si="49"/>
        <v>24341</v>
      </c>
      <c r="W231" s="124">
        <f t="shared" si="50"/>
        <v>6673288.4152000006</v>
      </c>
      <c r="X231">
        <f t="shared" si="51"/>
        <v>0</v>
      </c>
    </row>
    <row r="232" spans="1:24">
      <c r="A232" s="23" t="s">
        <v>256</v>
      </c>
      <c r="B232" s="37" t="s">
        <v>233</v>
      </c>
      <c r="C232" s="125">
        <v>18510</v>
      </c>
      <c r="D232" s="132">
        <v>6600442361</v>
      </c>
      <c r="E232" s="116">
        <f t="shared" si="52"/>
        <v>356587.91793625068</v>
      </c>
      <c r="F232" s="134">
        <v>4993662119</v>
      </c>
      <c r="G232" s="117">
        <f t="shared" si="53"/>
        <v>269781.85407887626</v>
      </c>
      <c r="H232" s="9"/>
      <c r="I232" s="150">
        <v>2.399</v>
      </c>
      <c r="J232" s="134">
        <v>11979795.423481001</v>
      </c>
      <c r="K232" s="120">
        <f t="shared" si="54"/>
        <v>647.20666793522423</v>
      </c>
      <c r="L232" s="122">
        <f t="shared" si="45"/>
        <v>49936621.189999998</v>
      </c>
      <c r="M232" s="116">
        <f t="shared" si="46"/>
        <v>37956825.766518995</v>
      </c>
      <c r="N232" s="123">
        <f t="shared" si="47"/>
        <v>2050.6118728535384</v>
      </c>
      <c r="O232" s="5"/>
      <c r="P232" s="5">
        <f t="shared" si="48"/>
        <v>1</v>
      </c>
      <c r="Q232" s="7">
        <f t="shared" si="49"/>
        <v>18510</v>
      </c>
      <c r="W232" s="124">
        <f t="shared" si="50"/>
        <v>11979795.423481001</v>
      </c>
      <c r="X232">
        <f t="shared" si="51"/>
        <v>0</v>
      </c>
    </row>
    <row r="233" spans="1:24">
      <c r="A233" s="23" t="s">
        <v>257</v>
      </c>
      <c r="B233" s="37" t="s">
        <v>233</v>
      </c>
      <c r="C233" s="125">
        <v>12965</v>
      </c>
      <c r="D233" s="132">
        <v>2890964167</v>
      </c>
      <c r="E233" s="116">
        <f t="shared" si="52"/>
        <v>222982.19568067876</v>
      </c>
      <c r="F233" s="134">
        <v>1956998519</v>
      </c>
      <c r="G233" s="117">
        <f t="shared" si="53"/>
        <v>150944.73729271116</v>
      </c>
      <c r="H233" s="9"/>
      <c r="I233" s="136">
        <v>4.3</v>
      </c>
      <c r="J233" s="134">
        <v>8415093.6316999998</v>
      </c>
      <c r="K233" s="120">
        <f t="shared" si="54"/>
        <v>649.06237035865786</v>
      </c>
      <c r="L233" s="122">
        <f t="shared" si="45"/>
        <v>19569985.190000001</v>
      </c>
      <c r="M233" s="116">
        <f t="shared" si="46"/>
        <v>11154891.558300002</v>
      </c>
      <c r="N233" s="123">
        <f t="shared" si="47"/>
        <v>860.38500256845361</v>
      </c>
      <c r="O233" s="5"/>
      <c r="P233" s="5">
        <f t="shared" si="48"/>
        <v>1</v>
      </c>
      <c r="Q233" s="7">
        <f t="shared" si="49"/>
        <v>12965</v>
      </c>
      <c r="W233" s="124">
        <f t="shared" si="50"/>
        <v>8415093.6316999998</v>
      </c>
      <c r="X233">
        <f t="shared" si="51"/>
        <v>0</v>
      </c>
    </row>
    <row r="234" spans="1:24">
      <c r="A234" s="23" t="s">
        <v>258</v>
      </c>
      <c r="B234" s="37" t="s">
        <v>233</v>
      </c>
      <c r="C234" s="125">
        <v>23253</v>
      </c>
      <c r="D234" s="132">
        <v>12360374960</v>
      </c>
      <c r="E234" s="116">
        <f t="shared" si="52"/>
        <v>531560.4420934933</v>
      </c>
      <c r="F234" s="134">
        <v>11197015109</v>
      </c>
      <c r="G234" s="117">
        <f t="shared" si="53"/>
        <v>481529.91480669164</v>
      </c>
      <c r="H234" s="9"/>
      <c r="I234" s="136">
        <v>2.2000000000000002</v>
      </c>
      <c r="J234" s="134">
        <v>24633433.239800002</v>
      </c>
      <c r="K234" s="120">
        <f t="shared" si="54"/>
        <v>1059.3658125747218</v>
      </c>
      <c r="L234" s="122">
        <f t="shared" si="45"/>
        <v>111970151.09</v>
      </c>
      <c r="M234" s="116">
        <f t="shared" si="46"/>
        <v>87336717.850199997</v>
      </c>
      <c r="N234" s="123">
        <f t="shared" si="47"/>
        <v>3755.9333354921946</v>
      </c>
      <c r="O234" s="5"/>
      <c r="P234" s="5">
        <f t="shared" si="48"/>
        <v>1</v>
      </c>
      <c r="Q234" s="7">
        <f t="shared" si="49"/>
        <v>23253</v>
      </c>
      <c r="W234" s="124">
        <f t="shared" si="50"/>
        <v>24633433.239800002</v>
      </c>
      <c r="X234">
        <f t="shared" si="51"/>
        <v>0</v>
      </c>
    </row>
    <row r="235" spans="1:24">
      <c r="A235" s="23" t="s">
        <v>259</v>
      </c>
      <c r="B235" s="37" t="s">
        <v>233</v>
      </c>
      <c r="C235" s="125">
        <v>6015</v>
      </c>
      <c r="D235" s="132">
        <v>3669005015</v>
      </c>
      <c r="E235" s="116">
        <f t="shared" si="52"/>
        <v>609975.89609310054</v>
      </c>
      <c r="F235" s="134">
        <v>3037660583</v>
      </c>
      <c r="G235" s="117">
        <f t="shared" si="53"/>
        <v>505014.22826267662</v>
      </c>
      <c r="H235" s="9"/>
      <c r="I235" s="136">
        <v>4.4000000000000004</v>
      </c>
      <c r="J235" s="134">
        <v>13365706.565200001</v>
      </c>
      <c r="K235" s="120">
        <f t="shared" si="54"/>
        <v>2222.0626043557772</v>
      </c>
      <c r="L235" s="122">
        <f t="shared" si="45"/>
        <v>30376605.830000002</v>
      </c>
      <c r="M235" s="116">
        <f t="shared" si="46"/>
        <v>17010899.264800001</v>
      </c>
      <c r="N235" s="123">
        <f t="shared" si="47"/>
        <v>2828.0796782709895</v>
      </c>
      <c r="O235" s="5"/>
      <c r="P235" s="5">
        <f t="shared" si="48"/>
        <v>1</v>
      </c>
      <c r="Q235" s="7">
        <f t="shared" si="49"/>
        <v>6015</v>
      </c>
      <c r="W235" s="124">
        <f t="shared" si="50"/>
        <v>13365706.565200001</v>
      </c>
      <c r="X235">
        <f t="shared" si="51"/>
        <v>0</v>
      </c>
    </row>
    <row r="236" spans="1:24">
      <c r="A236" s="23" t="s">
        <v>260</v>
      </c>
      <c r="B236" s="35" t="s">
        <v>233</v>
      </c>
      <c r="C236" s="125">
        <v>22328</v>
      </c>
      <c r="D236" s="132">
        <v>2280265994</v>
      </c>
      <c r="E236" s="116">
        <f t="shared" si="52"/>
        <v>102125.85068075958</v>
      </c>
      <c r="F236" s="134">
        <v>1814295848</v>
      </c>
      <c r="G236" s="117">
        <f t="shared" si="53"/>
        <v>81256.532067359367</v>
      </c>
      <c r="H236" s="9"/>
      <c r="I236" s="150">
        <v>3.9948000000000001</v>
      </c>
      <c r="J236" s="134">
        <v>7247749.0535904011</v>
      </c>
      <c r="K236" s="120">
        <f t="shared" si="54"/>
        <v>324.60359430268727</v>
      </c>
      <c r="L236" s="122">
        <f t="shared" si="45"/>
        <v>18142958.48</v>
      </c>
      <c r="M236" s="116">
        <f t="shared" si="46"/>
        <v>10895209.426409598</v>
      </c>
      <c r="N236" s="123">
        <f t="shared" si="47"/>
        <v>487.96172637090643</v>
      </c>
      <c r="O236" s="5"/>
      <c r="P236" s="5">
        <f t="shared" si="48"/>
        <v>1</v>
      </c>
      <c r="Q236" s="7">
        <f t="shared" si="49"/>
        <v>22328</v>
      </c>
      <c r="W236" s="124">
        <f t="shared" si="50"/>
        <v>7247749.0535903992</v>
      </c>
      <c r="X236">
        <f t="shared" si="51"/>
        <v>0</v>
      </c>
    </row>
    <row r="237" spans="1:24">
      <c r="A237" s="23" t="s">
        <v>261</v>
      </c>
      <c r="B237" s="35" t="s">
        <v>233</v>
      </c>
      <c r="C237" s="125">
        <v>2441</v>
      </c>
      <c r="D237" s="132">
        <v>365842186</v>
      </c>
      <c r="E237" s="116">
        <f t="shared" si="52"/>
        <v>149873.89840229414</v>
      </c>
      <c r="F237" s="134">
        <v>263990178</v>
      </c>
      <c r="G237" s="117">
        <f t="shared" si="53"/>
        <v>108148.3727980336</v>
      </c>
      <c r="H237" s="9"/>
      <c r="I237" s="136">
        <v>5.0999999999999996</v>
      </c>
      <c r="J237" s="134">
        <v>1346349.9077999999</v>
      </c>
      <c r="K237" s="120">
        <f t="shared" si="54"/>
        <v>551.55670126997131</v>
      </c>
      <c r="L237" s="122">
        <f t="shared" si="45"/>
        <v>2639901.7800000003</v>
      </c>
      <c r="M237" s="116">
        <f t="shared" si="46"/>
        <v>1293551.8722000003</v>
      </c>
      <c r="N237" s="123">
        <f t="shared" si="47"/>
        <v>529.92702671036477</v>
      </c>
      <c r="O237" s="5"/>
      <c r="P237" s="5">
        <f t="shared" si="48"/>
        <v>1</v>
      </c>
      <c r="Q237" s="7">
        <f t="shared" si="49"/>
        <v>2441</v>
      </c>
      <c r="S237" s="124"/>
      <c r="T237" s="124"/>
      <c r="U237" s="124"/>
      <c r="W237" s="124">
        <f t="shared" si="50"/>
        <v>1346349.9077999999</v>
      </c>
      <c r="X237">
        <f t="shared" si="51"/>
        <v>0</v>
      </c>
    </row>
    <row r="238" spans="1:24">
      <c r="A238" s="23" t="s">
        <v>262</v>
      </c>
      <c r="B238" s="35" t="s">
        <v>233</v>
      </c>
      <c r="C238" s="125">
        <v>7828</v>
      </c>
      <c r="D238" s="132">
        <v>792406667</v>
      </c>
      <c r="E238" s="116">
        <f t="shared" si="52"/>
        <v>101227.21857434849</v>
      </c>
      <c r="F238" s="134">
        <v>560148337</v>
      </c>
      <c r="G238" s="117">
        <f t="shared" si="53"/>
        <v>71557.018012263667</v>
      </c>
      <c r="H238" s="7"/>
      <c r="I238" s="136">
        <v>6.8857999999999997</v>
      </c>
      <c r="J238" s="134">
        <v>3857069.4189145998</v>
      </c>
      <c r="K238" s="120">
        <f t="shared" si="54"/>
        <v>492.72731462884514</v>
      </c>
      <c r="L238" s="122">
        <f t="shared" si="45"/>
        <v>5601483.3700000001</v>
      </c>
      <c r="M238" s="116">
        <f t="shared" si="46"/>
        <v>1744413.9510854003</v>
      </c>
      <c r="N238" s="123">
        <f t="shared" si="47"/>
        <v>222.84286549379155</v>
      </c>
      <c r="O238" s="5"/>
      <c r="P238" s="5">
        <f t="shared" si="48"/>
        <v>1</v>
      </c>
      <c r="Q238" s="7">
        <f t="shared" si="49"/>
        <v>7828</v>
      </c>
      <c r="S238" s="124">
        <f>SUM(D205:D238)</f>
        <v>300990447833</v>
      </c>
      <c r="T238" s="124">
        <f>SUM(F205:F238)</f>
        <v>222259429317</v>
      </c>
      <c r="U238" s="124">
        <f>SUM(J205:J238)</f>
        <v>1174179394.162334</v>
      </c>
      <c r="W238" s="124">
        <f t="shared" si="50"/>
        <v>3857069.4189146003</v>
      </c>
      <c r="X238">
        <f t="shared" si="51"/>
        <v>0</v>
      </c>
    </row>
    <row r="239" spans="1:24">
      <c r="A239" s="23" t="s">
        <v>263</v>
      </c>
      <c r="B239" s="35" t="s">
        <v>264</v>
      </c>
      <c r="C239" s="125">
        <v>6211</v>
      </c>
      <c r="D239" s="132">
        <v>4690599845</v>
      </c>
      <c r="E239" s="116">
        <f t="shared" si="52"/>
        <v>755208.47609080665</v>
      </c>
      <c r="F239" s="134">
        <v>3701473253</v>
      </c>
      <c r="G239" s="117">
        <f t="shared" si="53"/>
        <v>595954.47641281597</v>
      </c>
      <c r="H239" s="7"/>
      <c r="I239" s="136">
        <v>3.2</v>
      </c>
      <c r="J239" s="134">
        <v>11844714.409600001</v>
      </c>
      <c r="K239" s="120">
        <f t="shared" si="54"/>
        <v>1907.0543245210113</v>
      </c>
      <c r="L239" s="122">
        <f t="shared" si="45"/>
        <v>37014732.530000001</v>
      </c>
      <c r="M239" s="116">
        <f t="shared" si="46"/>
        <v>25170018.1204</v>
      </c>
      <c r="N239" s="123">
        <f t="shared" si="47"/>
        <v>4052.4904396071488</v>
      </c>
      <c r="O239" s="5"/>
      <c r="P239" s="5">
        <f t="shared" si="48"/>
        <v>1</v>
      </c>
      <c r="Q239" s="7">
        <f t="shared" si="49"/>
        <v>6211</v>
      </c>
      <c r="W239" s="124">
        <f t="shared" si="50"/>
        <v>11844714.409600001</v>
      </c>
      <c r="X239">
        <f t="shared" si="51"/>
        <v>0</v>
      </c>
    </row>
    <row r="240" spans="1:24">
      <c r="A240" s="23" t="s">
        <v>265</v>
      </c>
      <c r="B240" s="35" t="s">
        <v>264</v>
      </c>
      <c r="C240" s="125">
        <v>760</v>
      </c>
      <c r="D240" s="132">
        <v>840422823</v>
      </c>
      <c r="E240" s="116">
        <f t="shared" si="52"/>
        <v>1105819.5039473684</v>
      </c>
      <c r="F240" s="134">
        <v>744467528</v>
      </c>
      <c r="G240" s="117">
        <f t="shared" si="53"/>
        <v>979562.53684210521</v>
      </c>
      <c r="H240" s="7"/>
      <c r="I240" s="136">
        <v>2.4979</v>
      </c>
      <c r="J240" s="134">
        <v>1859605.4381911999</v>
      </c>
      <c r="K240" s="120">
        <f t="shared" si="54"/>
        <v>2446.8492607778944</v>
      </c>
      <c r="L240" s="122">
        <f t="shared" si="45"/>
        <v>7444675.2800000003</v>
      </c>
      <c r="M240" s="116">
        <f t="shared" si="46"/>
        <v>5585069.8418088006</v>
      </c>
      <c r="N240" s="123">
        <f t="shared" si="47"/>
        <v>7348.7761076431589</v>
      </c>
      <c r="O240" s="5"/>
      <c r="P240" s="5">
        <f t="shared" si="48"/>
        <v>1</v>
      </c>
      <c r="Q240" s="7">
        <f t="shared" si="49"/>
        <v>760</v>
      </c>
      <c r="W240" s="124">
        <f t="shared" si="50"/>
        <v>1859605.4381911999</v>
      </c>
      <c r="X240">
        <f t="shared" si="51"/>
        <v>0</v>
      </c>
    </row>
    <row r="241" spans="1:24">
      <c r="A241" s="23" t="s">
        <v>266</v>
      </c>
      <c r="B241" s="35" t="s">
        <v>264</v>
      </c>
      <c r="C241" s="125">
        <v>25171</v>
      </c>
      <c r="D241" s="132">
        <v>12660151042</v>
      </c>
      <c r="E241" s="116">
        <f t="shared" si="52"/>
        <v>502965.75590957847</v>
      </c>
      <c r="F241" s="134">
        <v>7792198127</v>
      </c>
      <c r="G241" s="117">
        <f t="shared" si="53"/>
        <v>309570.46311231179</v>
      </c>
      <c r="H241" s="7"/>
      <c r="I241" s="136">
        <v>2.1535000000000002</v>
      </c>
      <c r="J241" s="134">
        <v>16780498.6664945</v>
      </c>
      <c r="K241" s="120">
        <f t="shared" si="54"/>
        <v>666.65999231236344</v>
      </c>
      <c r="L241" s="122">
        <f t="shared" si="45"/>
        <v>77921981.269999996</v>
      </c>
      <c r="M241" s="116">
        <f t="shared" si="46"/>
        <v>61141482.603505492</v>
      </c>
      <c r="N241" s="123">
        <f t="shared" si="47"/>
        <v>2429.0446388107543</v>
      </c>
      <c r="O241" s="5"/>
      <c r="P241" s="5">
        <f t="shared" si="48"/>
        <v>1</v>
      </c>
      <c r="Q241" s="7">
        <f t="shared" si="49"/>
        <v>25171</v>
      </c>
      <c r="W241" s="124">
        <f t="shared" si="50"/>
        <v>16780498.6664945</v>
      </c>
      <c r="X241">
        <f t="shared" si="51"/>
        <v>0</v>
      </c>
    </row>
    <row r="242" spans="1:24">
      <c r="A242" s="23" t="s">
        <v>267</v>
      </c>
      <c r="B242" s="35" t="s">
        <v>264</v>
      </c>
      <c r="C242" s="125">
        <v>183</v>
      </c>
      <c r="D242" s="132">
        <v>86923195</v>
      </c>
      <c r="E242" s="116">
        <f t="shared" si="52"/>
        <v>474990.13661202183</v>
      </c>
      <c r="F242" s="134">
        <v>69949430</v>
      </c>
      <c r="G242" s="117">
        <f t="shared" si="53"/>
        <v>382237.32240437157</v>
      </c>
      <c r="H242" s="7"/>
      <c r="I242" s="136">
        <v>2.4083000000000001</v>
      </c>
      <c r="J242" s="134">
        <v>168459.21226899998</v>
      </c>
      <c r="K242" s="120">
        <f t="shared" si="54"/>
        <v>920.54214354644796</v>
      </c>
      <c r="L242" s="122">
        <f t="shared" si="45"/>
        <v>699494.3</v>
      </c>
      <c r="M242" s="116">
        <f t="shared" si="46"/>
        <v>531035.08773100004</v>
      </c>
      <c r="N242" s="123">
        <f t="shared" si="47"/>
        <v>2901.831080497268</v>
      </c>
      <c r="O242" s="5"/>
      <c r="P242" s="5">
        <f t="shared" si="48"/>
        <v>1</v>
      </c>
      <c r="Q242" s="7">
        <f t="shared" si="49"/>
        <v>183</v>
      </c>
      <c r="W242" s="124">
        <f t="shared" si="50"/>
        <v>168459.21226899998</v>
      </c>
      <c r="X242">
        <f t="shared" si="51"/>
        <v>0</v>
      </c>
    </row>
    <row r="243" spans="1:24">
      <c r="A243" s="23" t="s">
        <v>449</v>
      </c>
      <c r="B243" s="35" t="s">
        <v>264</v>
      </c>
      <c r="C243" s="125">
        <v>8593</v>
      </c>
      <c r="D243" s="132">
        <v>3553391381</v>
      </c>
      <c r="E243" s="116">
        <f t="shared" si="52"/>
        <v>413521.63167694636</v>
      </c>
      <c r="F243" s="134">
        <v>2719699591</v>
      </c>
      <c r="G243" s="117">
        <f t="shared" si="53"/>
        <v>316501.75619690446</v>
      </c>
      <c r="H243" s="7"/>
      <c r="I243" s="136">
        <v>2.59</v>
      </c>
      <c r="J243" s="134">
        <v>7044021.9406899996</v>
      </c>
      <c r="K243" s="120">
        <f t="shared" si="54"/>
        <v>819.73954854998249</v>
      </c>
      <c r="L243" s="122">
        <f t="shared" si="45"/>
        <v>27196995.91</v>
      </c>
      <c r="M243" s="116">
        <f t="shared" si="46"/>
        <v>20152973.969310001</v>
      </c>
      <c r="N243" s="123">
        <f t="shared" si="47"/>
        <v>2345.2780134190621</v>
      </c>
      <c r="O243" s="5"/>
      <c r="P243" s="5">
        <f t="shared" si="48"/>
        <v>1</v>
      </c>
      <c r="Q243" s="7">
        <f t="shared" si="49"/>
        <v>8593</v>
      </c>
      <c r="S243" s="124">
        <f>SUM(D239:D243)</f>
        <v>21831488286</v>
      </c>
      <c r="T243" s="124">
        <f>SUM(F239:F243)</f>
        <v>15027787929</v>
      </c>
      <c r="U243" s="124">
        <f>SUM(J239:J243)</f>
        <v>37697299.667244703</v>
      </c>
      <c r="W243" s="124">
        <f t="shared" si="50"/>
        <v>7044021.9406899996</v>
      </c>
      <c r="X243">
        <f t="shared" si="51"/>
        <v>0</v>
      </c>
    </row>
    <row r="244" spans="1:24">
      <c r="A244" s="23" t="s">
        <v>268</v>
      </c>
      <c r="B244" s="35" t="s">
        <v>269</v>
      </c>
      <c r="C244" s="125">
        <v>1315</v>
      </c>
      <c r="D244" s="132">
        <v>187432875</v>
      </c>
      <c r="E244" s="116">
        <f t="shared" si="52"/>
        <v>142534.50570342207</v>
      </c>
      <c r="F244" s="134">
        <v>98654028</v>
      </c>
      <c r="G244" s="117">
        <f t="shared" si="53"/>
        <v>75022.07452471483</v>
      </c>
      <c r="H244" s="7"/>
      <c r="I244" s="136">
        <v>2.6078999999999999</v>
      </c>
      <c r="J244" s="134">
        <v>257279.83962119999</v>
      </c>
      <c r="K244" s="120">
        <f t="shared" si="54"/>
        <v>195.65006815300379</v>
      </c>
      <c r="L244" s="122">
        <f t="shared" si="45"/>
        <v>986540.28</v>
      </c>
      <c r="M244" s="116">
        <f t="shared" si="46"/>
        <v>729260.44037880003</v>
      </c>
      <c r="N244" s="123">
        <f t="shared" si="47"/>
        <v>554.57067709414446</v>
      </c>
      <c r="O244" s="5"/>
      <c r="P244" s="5">
        <f t="shared" si="48"/>
        <v>1</v>
      </c>
      <c r="Q244" s="7">
        <f t="shared" si="49"/>
        <v>1315</v>
      </c>
      <c r="W244" s="124">
        <f t="shared" si="50"/>
        <v>257279.83962119999</v>
      </c>
      <c r="X244">
        <f t="shared" si="51"/>
        <v>0</v>
      </c>
    </row>
    <row r="245" spans="1:24">
      <c r="A245" s="23" t="s">
        <v>270</v>
      </c>
      <c r="B245" s="35" t="s">
        <v>269</v>
      </c>
      <c r="C245" s="125">
        <v>12915</v>
      </c>
      <c r="D245" s="132">
        <v>3696967557</v>
      </c>
      <c r="E245" s="116">
        <f t="shared" si="52"/>
        <v>286253.77909407666</v>
      </c>
      <c r="F245" s="134">
        <v>2507629083</v>
      </c>
      <c r="G245" s="117">
        <f t="shared" si="53"/>
        <v>194164.07921022066</v>
      </c>
      <c r="H245" s="7"/>
      <c r="I245" s="136">
        <v>6.3552999999999997</v>
      </c>
      <c r="J245" s="134">
        <v>15936735.1111899</v>
      </c>
      <c r="K245" s="120">
        <f t="shared" si="54"/>
        <v>1233.9709726047154</v>
      </c>
      <c r="L245" s="122">
        <f t="shared" si="45"/>
        <v>25076290.830000002</v>
      </c>
      <c r="M245" s="116">
        <f t="shared" si="46"/>
        <v>9139555.718810102</v>
      </c>
      <c r="N245" s="123">
        <f t="shared" si="47"/>
        <v>707.6698194974914</v>
      </c>
      <c r="O245" s="5"/>
      <c r="P245" s="5">
        <f t="shared" si="48"/>
        <v>1</v>
      </c>
      <c r="Q245" s="7">
        <f t="shared" si="49"/>
        <v>12915</v>
      </c>
      <c r="S245" s="124"/>
      <c r="T245" s="124"/>
      <c r="U245" s="124"/>
      <c r="W245" s="124">
        <f t="shared" si="50"/>
        <v>15936735.111189898</v>
      </c>
      <c r="X245">
        <f t="shared" si="51"/>
        <v>0</v>
      </c>
    </row>
    <row r="246" spans="1:24">
      <c r="A246" s="23" t="s">
        <v>271</v>
      </c>
      <c r="B246" s="35" t="s">
        <v>269</v>
      </c>
      <c r="C246" s="125">
        <v>3036</v>
      </c>
      <c r="D246" s="132">
        <v>296778520</v>
      </c>
      <c r="E246" s="116">
        <f t="shared" si="52"/>
        <v>97753.135704874832</v>
      </c>
      <c r="F246" s="156">
        <v>99839117</v>
      </c>
      <c r="G246" s="117">
        <f t="shared" si="53"/>
        <v>32885.084650856392</v>
      </c>
      <c r="H246" s="7"/>
      <c r="I246" s="136">
        <v>2.16</v>
      </c>
      <c r="J246" s="134">
        <v>215652.49272000004</v>
      </c>
      <c r="K246" s="120">
        <f t="shared" si="54"/>
        <v>71.031782845849818</v>
      </c>
      <c r="L246" s="122">
        <f t="shared" si="45"/>
        <v>998391.17</v>
      </c>
      <c r="M246" s="116">
        <f t="shared" si="46"/>
        <v>782738.67727999995</v>
      </c>
      <c r="N246" s="123">
        <f t="shared" si="47"/>
        <v>257.81906366271409</v>
      </c>
      <c r="O246" s="5"/>
      <c r="P246" s="5">
        <f t="shared" si="48"/>
        <v>1</v>
      </c>
      <c r="Q246" s="7">
        <f t="shared" si="49"/>
        <v>3036</v>
      </c>
      <c r="S246" s="124">
        <f>SUM(D244:D246)</f>
        <v>4181178952</v>
      </c>
      <c r="T246" s="124">
        <f>SUM(F244:F246)</f>
        <v>2706122228</v>
      </c>
      <c r="U246" s="124">
        <f>SUM(J244:J246)</f>
        <v>16409667.4435311</v>
      </c>
      <c r="W246" s="124">
        <f t="shared" si="50"/>
        <v>215652.49272000001</v>
      </c>
      <c r="X246">
        <f t="shared" si="51"/>
        <v>0</v>
      </c>
    </row>
    <row r="247" spans="1:24">
      <c r="A247" s="23" t="s">
        <v>272</v>
      </c>
      <c r="B247" s="35" t="s">
        <v>273</v>
      </c>
      <c r="C247" s="125">
        <v>417</v>
      </c>
      <c r="D247" s="132">
        <v>68612461</v>
      </c>
      <c r="E247" s="116">
        <f t="shared" si="52"/>
        <v>164538.2757793765</v>
      </c>
      <c r="F247" s="134">
        <v>54836086</v>
      </c>
      <c r="G247" s="117">
        <f t="shared" si="53"/>
        <v>131501.40527577937</v>
      </c>
      <c r="H247" s="7"/>
      <c r="I247" s="136">
        <v>3</v>
      </c>
      <c r="J247" s="134">
        <v>164508.258</v>
      </c>
      <c r="K247" s="120">
        <f t="shared" si="54"/>
        <v>394.50421582733816</v>
      </c>
      <c r="L247" s="122">
        <f t="shared" si="45"/>
        <v>548360.86</v>
      </c>
      <c r="M247" s="116">
        <f t="shared" si="46"/>
        <v>383852.60199999996</v>
      </c>
      <c r="N247" s="123">
        <f t="shared" si="47"/>
        <v>920.50983693045555</v>
      </c>
      <c r="O247" s="5"/>
      <c r="P247" s="5">
        <f t="shared" si="48"/>
        <v>1</v>
      </c>
      <c r="Q247" s="7">
        <f t="shared" si="49"/>
        <v>417</v>
      </c>
      <c r="W247" s="124">
        <f t="shared" si="50"/>
        <v>164508.258</v>
      </c>
      <c r="X247">
        <f t="shared" si="51"/>
        <v>0</v>
      </c>
    </row>
    <row r="248" spans="1:24">
      <c r="A248" s="23" t="s">
        <v>274</v>
      </c>
      <c r="B248" s="35" t="s">
        <v>273</v>
      </c>
      <c r="C248" s="125">
        <v>25675</v>
      </c>
      <c r="D248" s="132">
        <v>1710799450</v>
      </c>
      <c r="E248" s="116">
        <f t="shared" si="52"/>
        <v>66632.889970788703</v>
      </c>
      <c r="F248" s="134">
        <v>1197525688</v>
      </c>
      <c r="G248" s="117">
        <f t="shared" si="53"/>
        <v>46641.701577409935</v>
      </c>
      <c r="H248" s="9"/>
      <c r="I248" s="136">
        <v>6.9466000000000001</v>
      </c>
      <c r="J248" s="134">
        <v>8318731.9442608003</v>
      </c>
      <c r="K248" s="120">
        <f t="shared" si="54"/>
        <v>324.00124417763584</v>
      </c>
      <c r="L248" s="122">
        <f t="shared" si="45"/>
        <v>11975256.880000001</v>
      </c>
      <c r="M248" s="116">
        <f t="shared" si="46"/>
        <v>3656524.9357392006</v>
      </c>
      <c r="N248" s="123">
        <f t="shared" si="47"/>
        <v>142.41577159646351</v>
      </c>
      <c r="O248" s="5"/>
      <c r="P248" s="5">
        <f t="shared" si="48"/>
        <v>1</v>
      </c>
      <c r="Q248" s="7">
        <f t="shared" si="49"/>
        <v>25675</v>
      </c>
      <c r="W248" s="124">
        <f t="shared" si="50"/>
        <v>8318731.9442607993</v>
      </c>
      <c r="X248">
        <f t="shared" si="51"/>
        <v>0</v>
      </c>
    </row>
    <row r="249" spans="1:24">
      <c r="A249" s="23" t="s">
        <v>275</v>
      </c>
      <c r="B249" s="35" t="s">
        <v>273</v>
      </c>
      <c r="C249" s="125">
        <v>13441</v>
      </c>
      <c r="D249" s="132">
        <v>6216404045</v>
      </c>
      <c r="E249" s="116">
        <f t="shared" si="52"/>
        <v>462495.65099322965</v>
      </c>
      <c r="F249" s="134">
        <v>5390784913</v>
      </c>
      <c r="G249" s="117">
        <f t="shared" si="53"/>
        <v>401070.22639684548</v>
      </c>
      <c r="H249" s="9"/>
      <c r="I249" s="136">
        <v>1.615</v>
      </c>
      <c r="J249" s="134">
        <v>8706117.6344950013</v>
      </c>
      <c r="K249" s="120">
        <f t="shared" si="54"/>
        <v>647.72841563090549</v>
      </c>
      <c r="L249" s="122">
        <f t="shared" si="45"/>
        <v>53907849.130000003</v>
      </c>
      <c r="M249" s="116">
        <f t="shared" si="46"/>
        <v>45201731.495505005</v>
      </c>
      <c r="N249" s="123">
        <f t="shared" si="47"/>
        <v>3362.9738483375495</v>
      </c>
      <c r="O249" s="5"/>
      <c r="P249" s="5">
        <f t="shared" si="48"/>
        <v>1</v>
      </c>
      <c r="Q249" s="7">
        <f t="shared" si="49"/>
        <v>13441</v>
      </c>
      <c r="W249" s="124">
        <f t="shared" si="50"/>
        <v>8706117.6344949994</v>
      </c>
      <c r="X249">
        <f t="shared" si="51"/>
        <v>0</v>
      </c>
    </row>
    <row r="250" spans="1:24">
      <c r="A250" s="23" t="s">
        <v>276</v>
      </c>
      <c r="B250" s="35" t="s">
        <v>273</v>
      </c>
      <c r="C250" s="125">
        <v>20940</v>
      </c>
      <c r="D250" s="132">
        <v>2163083015</v>
      </c>
      <c r="E250" s="116">
        <f t="shared" si="52"/>
        <v>103299.09336198663</v>
      </c>
      <c r="F250" s="134">
        <v>1449068231</v>
      </c>
      <c r="G250" s="117">
        <f t="shared" si="53"/>
        <v>69200.966141356257</v>
      </c>
      <c r="H250" s="7"/>
      <c r="I250" s="150">
        <v>5.6395</v>
      </c>
      <c r="J250" s="134">
        <v>8172020.2887244998</v>
      </c>
      <c r="K250" s="120">
        <f t="shared" si="54"/>
        <v>390.2588485541786</v>
      </c>
      <c r="L250" s="122">
        <f t="shared" si="45"/>
        <v>14490682.310000001</v>
      </c>
      <c r="M250" s="116">
        <f t="shared" si="46"/>
        <v>6318662.0212755008</v>
      </c>
      <c r="N250" s="123">
        <f t="shared" si="47"/>
        <v>301.75081285938398</v>
      </c>
      <c r="O250" s="5"/>
      <c r="P250" s="5">
        <f t="shared" si="48"/>
        <v>1</v>
      </c>
      <c r="Q250" s="7">
        <f t="shared" si="49"/>
        <v>20940</v>
      </c>
      <c r="W250" s="124">
        <f t="shared" si="50"/>
        <v>8172020.2887244998</v>
      </c>
      <c r="X250">
        <f t="shared" si="51"/>
        <v>0</v>
      </c>
    </row>
    <row r="251" spans="1:24">
      <c r="A251" s="23" t="s">
        <v>277</v>
      </c>
      <c r="B251" s="35" t="s">
        <v>273</v>
      </c>
      <c r="C251" s="125">
        <v>578</v>
      </c>
      <c r="D251" s="132">
        <v>33172275</v>
      </c>
      <c r="E251" s="116">
        <f t="shared" si="52"/>
        <v>57391.479238754328</v>
      </c>
      <c r="F251" s="134">
        <v>17952602</v>
      </c>
      <c r="G251" s="117">
        <f t="shared" si="53"/>
        <v>31059.865051903114</v>
      </c>
      <c r="H251" s="7"/>
      <c r="I251" s="136">
        <v>3.5</v>
      </c>
      <c r="J251" s="134">
        <v>62834.107000000004</v>
      </c>
      <c r="K251" s="120">
        <f t="shared" si="54"/>
        <v>108.7095276816609</v>
      </c>
      <c r="L251" s="122">
        <f t="shared" si="45"/>
        <v>179526.02</v>
      </c>
      <c r="M251" s="116">
        <f t="shared" si="46"/>
        <v>116691.91299999999</v>
      </c>
      <c r="N251" s="123">
        <f t="shared" si="47"/>
        <v>201.88912283737022</v>
      </c>
      <c r="O251" s="5"/>
      <c r="P251" s="5">
        <f t="shared" si="48"/>
        <v>1</v>
      </c>
      <c r="Q251" s="7">
        <f t="shared" si="49"/>
        <v>578</v>
      </c>
      <c r="W251" s="124">
        <f t="shared" si="50"/>
        <v>62834.107000000004</v>
      </c>
      <c r="X251">
        <f t="shared" si="51"/>
        <v>0</v>
      </c>
    </row>
    <row r="252" spans="1:24">
      <c r="A252" s="23" t="s">
        <v>278</v>
      </c>
      <c r="B252" s="35" t="s">
        <v>273</v>
      </c>
      <c r="C252" s="125">
        <v>4013</v>
      </c>
      <c r="D252" s="132">
        <v>438043549</v>
      </c>
      <c r="E252" s="116">
        <f t="shared" si="52"/>
        <v>109156.12982805881</v>
      </c>
      <c r="F252" s="134">
        <v>298698562</v>
      </c>
      <c r="G252" s="117">
        <f t="shared" si="53"/>
        <v>74432.734114129082</v>
      </c>
      <c r="H252" s="7"/>
      <c r="I252" s="136">
        <v>5.0260999999999996</v>
      </c>
      <c r="J252" s="134">
        <v>1501288.8424682</v>
      </c>
      <c r="K252" s="120">
        <f t="shared" si="54"/>
        <v>374.10636493102419</v>
      </c>
      <c r="L252" s="122">
        <f t="shared" si="45"/>
        <v>2986985.62</v>
      </c>
      <c r="M252" s="116">
        <f t="shared" si="46"/>
        <v>1485696.7775318001</v>
      </c>
      <c r="N252" s="123">
        <f t="shared" si="47"/>
        <v>370.22097621026666</v>
      </c>
      <c r="O252" s="5"/>
      <c r="P252" s="5">
        <f t="shared" si="48"/>
        <v>1</v>
      </c>
      <c r="Q252" s="7">
        <f t="shared" si="49"/>
        <v>4013</v>
      </c>
      <c r="W252" s="124">
        <f t="shared" si="50"/>
        <v>1501288.8424681998</v>
      </c>
      <c r="X252">
        <f t="shared" si="51"/>
        <v>0</v>
      </c>
    </row>
    <row r="253" spans="1:24">
      <c r="A253" s="23" t="s">
        <v>279</v>
      </c>
      <c r="B253" s="35" t="s">
        <v>273</v>
      </c>
      <c r="C253" s="125">
        <v>14693</v>
      </c>
      <c r="D253" s="132">
        <v>1770537071</v>
      </c>
      <c r="E253" s="116">
        <f t="shared" si="52"/>
        <v>120502.08065064996</v>
      </c>
      <c r="F253" s="134">
        <v>1175073705</v>
      </c>
      <c r="G253" s="117">
        <f t="shared" si="53"/>
        <v>79975.070101408841</v>
      </c>
      <c r="H253" s="7"/>
      <c r="I253" s="136">
        <v>3.7</v>
      </c>
      <c r="J253" s="134">
        <v>4347772.7084999997</v>
      </c>
      <c r="K253" s="120">
        <f t="shared" si="54"/>
        <v>295.90775937521266</v>
      </c>
      <c r="L253" s="122">
        <f t="shared" si="45"/>
        <v>11750737.050000001</v>
      </c>
      <c r="M253" s="116">
        <f t="shared" si="46"/>
        <v>7402964.341500001</v>
      </c>
      <c r="N253" s="123">
        <f t="shared" si="47"/>
        <v>503.84294163887574</v>
      </c>
      <c r="O253" s="5"/>
      <c r="P253" s="5">
        <f t="shared" si="48"/>
        <v>1</v>
      </c>
      <c r="Q253" s="7">
        <f t="shared" si="49"/>
        <v>14693</v>
      </c>
      <c r="W253" s="124">
        <f t="shared" si="50"/>
        <v>4347772.7085000006</v>
      </c>
      <c r="X253">
        <f t="shared" si="51"/>
        <v>0</v>
      </c>
    </row>
    <row r="254" spans="1:24">
      <c r="A254" s="23" t="s">
        <v>280</v>
      </c>
      <c r="B254" s="35" t="s">
        <v>273</v>
      </c>
      <c r="C254" s="125">
        <v>839</v>
      </c>
      <c r="D254" s="132">
        <v>146093243</v>
      </c>
      <c r="E254" s="116">
        <f t="shared" si="52"/>
        <v>174127.82240762812</v>
      </c>
      <c r="F254" s="134">
        <v>103307857</v>
      </c>
      <c r="G254" s="117">
        <f t="shared" si="53"/>
        <v>123132.12991656734</v>
      </c>
      <c r="H254" s="7"/>
      <c r="I254" s="136">
        <v>2</v>
      </c>
      <c r="J254" s="134">
        <v>206615.71400000001</v>
      </c>
      <c r="K254" s="120">
        <f t="shared" si="54"/>
        <v>246.2642598331347</v>
      </c>
      <c r="L254" s="122">
        <f t="shared" si="45"/>
        <v>1033078.5700000001</v>
      </c>
      <c r="M254" s="116">
        <f t="shared" si="46"/>
        <v>826462.85600000003</v>
      </c>
      <c r="N254" s="123">
        <f t="shared" si="47"/>
        <v>985.05703933253881</v>
      </c>
      <c r="O254" s="5"/>
      <c r="P254" s="5">
        <f t="shared" si="48"/>
        <v>1</v>
      </c>
      <c r="Q254" s="7">
        <f t="shared" si="49"/>
        <v>839</v>
      </c>
      <c r="S254" s="124"/>
      <c r="T254" s="124"/>
      <c r="U254" s="124"/>
      <c r="W254" s="124">
        <f t="shared" si="50"/>
        <v>206615.71400000001</v>
      </c>
      <c r="X254">
        <f t="shared" si="51"/>
        <v>0</v>
      </c>
    </row>
    <row r="255" spans="1:24">
      <c r="A255" s="23" t="s">
        <v>281</v>
      </c>
      <c r="B255" s="35" t="s">
        <v>273</v>
      </c>
      <c r="C255" s="125">
        <v>5339</v>
      </c>
      <c r="D255" s="132">
        <v>423029287</v>
      </c>
      <c r="E255" s="116">
        <f t="shared" si="52"/>
        <v>79233.805394268595</v>
      </c>
      <c r="F255" s="134">
        <v>252827758</v>
      </c>
      <c r="G255" s="117">
        <f t="shared" si="53"/>
        <v>47354.890054317286</v>
      </c>
      <c r="H255" s="7"/>
      <c r="I255" s="136">
        <v>5.024</v>
      </c>
      <c r="J255" s="134">
        <v>1270206.656192</v>
      </c>
      <c r="K255" s="120">
        <f t="shared" si="54"/>
        <v>237.91096763289005</v>
      </c>
      <c r="L255" s="122">
        <f t="shared" si="45"/>
        <v>2528277.58</v>
      </c>
      <c r="M255" s="116">
        <f t="shared" si="46"/>
        <v>1258070.9238080001</v>
      </c>
      <c r="N255" s="123">
        <f t="shared" si="47"/>
        <v>235.63793291028284</v>
      </c>
      <c r="O255" s="5"/>
      <c r="P255" s="5">
        <f t="shared" si="48"/>
        <v>1</v>
      </c>
      <c r="Q255" s="7">
        <f t="shared" si="49"/>
        <v>5339</v>
      </c>
      <c r="S255" s="124">
        <f>SUM(D247:D255)</f>
        <v>12969774396</v>
      </c>
      <c r="T255" s="124">
        <f>SUM(F247:F255)</f>
        <v>9940075402</v>
      </c>
      <c r="U255" s="124">
        <f>SUM(J247:J255)</f>
        <v>32750096.153640505</v>
      </c>
      <c r="W255" s="124">
        <f t="shared" si="50"/>
        <v>1270206.656192</v>
      </c>
      <c r="X255">
        <f t="shared" si="51"/>
        <v>0</v>
      </c>
    </row>
    <row r="256" spans="1:24">
      <c r="A256" s="23" t="s">
        <v>282</v>
      </c>
      <c r="B256" s="35" t="s">
        <v>282</v>
      </c>
      <c r="C256" s="125">
        <v>5603</v>
      </c>
      <c r="D256" s="132">
        <v>471492804</v>
      </c>
      <c r="E256" s="116">
        <f t="shared" si="52"/>
        <v>84150.063180439058</v>
      </c>
      <c r="F256" s="134">
        <v>309741027</v>
      </c>
      <c r="G256" s="117">
        <f t="shared" si="53"/>
        <v>55281.282705693382</v>
      </c>
      <c r="H256" s="7"/>
      <c r="I256" s="136">
        <v>7.6017999999999999</v>
      </c>
      <c r="J256" s="134">
        <v>2354589.3390486003</v>
      </c>
      <c r="K256" s="120">
        <f t="shared" si="54"/>
        <v>420.23725487214</v>
      </c>
      <c r="L256" s="122">
        <f t="shared" si="45"/>
        <v>3097410.27</v>
      </c>
      <c r="M256" s="116">
        <f t="shared" si="46"/>
        <v>742820.93095139973</v>
      </c>
      <c r="N256" s="123">
        <f t="shared" si="47"/>
        <v>132.5755721847938</v>
      </c>
      <c r="O256" s="5"/>
      <c r="P256" s="5">
        <f t="shared" si="48"/>
        <v>1</v>
      </c>
      <c r="Q256" s="7">
        <f t="shared" si="49"/>
        <v>5603</v>
      </c>
      <c r="S256" s="124">
        <f>SUM(D256)</f>
        <v>471492804</v>
      </c>
      <c r="T256" s="124">
        <f>SUM(F256)</f>
        <v>309741027</v>
      </c>
      <c r="U256" s="124">
        <f>SUM(J256)</f>
        <v>2354589.3390486003</v>
      </c>
      <c r="W256" s="124">
        <f t="shared" si="50"/>
        <v>2354589.3390485998</v>
      </c>
      <c r="X256">
        <f t="shared" si="51"/>
        <v>0</v>
      </c>
    </row>
    <row r="257" spans="1:24">
      <c r="A257" s="23" t="s">
        <v>283</v>
      </c>
      <c r="B257" s="35" t="s">
        <v>284</v>
      </c>
      <c r="C257" s="125">
        <v>52404</v>
      </c>
      <c r="D257" s="132">
        <v>5457890233</v>
      </c>
      <c r="E257" s="116">
        <f t="shared" si="52"/>
        <v>104150.2601518968</v>
      </c>
      <c r="F257" s="134">
        <v>3538429775</v>
      </c>
      <c r="G257" s="117">
        <f t="shared" si="53"/>
        <v>67522.131421265556</v>
      </c>
      <c r="H257" s="7"/>
      <c r="I257" s="136">
        <v>4.0376000000000003</v>
      </c>
      <c r="J257" s="134">
        <v>14286764.059540002</v>
      </c>
      <c r="K257" s="120">
        <f t="shared" si="54"/>
        <v>272.62735782650185</v>
      </c>
      <c r="L257" s="122">
        <f t="shared" si="45"/>
        <v>35384297.75</v>
      </c>
      <c r="M257" s="116">
        <f t="shared" si="46"/>
        <v>21097533.690459996</v>
      </c>
      <c r="N257" s="123">
        <f t="shared" si="47"/>
        <v>402.59395638615365</v>
      </c>
      <c r="O257" s="5"/>
      <c r="P257" s="5">
        <f t="shared" si="48"/>
        <v>1</v>
      </c>
      <c r="Q257" s="7">
        <f t="shared" si="49"/>
        <v>52404</v>
      </c>
      <c r="W257" s="124">
        <f t="shared" si="50"/>
        <v>14286764.059540002</v>
      </c>
      <c r="X257">
        <f t="shared" si="51"/>
        <v>0</v>
      </c>
    </row>
    <row r="258" spans="1:24">
      <c r="A258" s="23" t="s">
        <v>285</v>
      </c>
      <c r="B258" s="35" t="s">
        <v>284</v>
      </c>
      <c r="C258" s="125">
        <v>15</v>
      </c>
      <c r="D258" s="132">
        <v>10346177710</v>
      </c>
      <c r="E258" s="116">
        <f t="shared" si="52"/>
        <v>689745180.66666663</v>
      </c>
      <c r="F258" s="134">
        <v>9019917550</v>
      </c>
      <c r="G258" s="117">
        <f t="shared" si="53"/>
        <v>601327836.66666663</v>
      </c>
      <c r="H258" s="7"/>
      <c r="I258" s="136">
        <v>1.7256</v>
      </c>
      <c r="J258" s="134">
        <v>15564769.724280002</v>
      </c>
      <c r="K258" s="120">
        <f t="shared" si="54"/>
        <v>1037651.3149520002</v>
      </c>
      <c r="L258" s="122">
        <f t="shared" si="45"/>
        <v>90199175.5</v>
      </c>
      <c r="M258" s="116">
        <f t="shared" si="46"/>
        <v>74634405.77572</v>
      </c>
      <c r="N258" s="123">
        <f t="shared" si="47"/>
        <v>4975627.0517146671</v>
      </c>
      <c r="O258" s="5"/>
      <c r="P258" s="5">
        <f t="shared" si="48"/>
        <v>1</v>
      </c>
      <c r="Q258" s="7">
        <f t="shared" si="49"/>
        <v>15</v>
      </c>
      <c r="W258" s="124">
        <f t="shared" si="50"/>
        <v>15564769.724280002</v>
      </c>
      <c r="X258">
        <f t="shared" si="51"/>
        <v>0</v>
      </c>
    </row>
    <row r="259" spans="1:24">
      <c r="A259" s="23" t="s">
        <v>286</v>
      </c>
      <c r="B259" s="35" t="s">
        <v>284</v>
      </c>
      <c r="C259" s="125">
        <v>7365</v>
      </c>
      <c r="D259" s="132">
        <v>1125943299</v>
      </c>
      <c r="E259" s="116">
        <f t="shared" si="52"/>
        <v>152877.56945010184</v>
      </c>
      <c r="F259" s="134">
        <v>793294434</v>
      </c>
      <c r="G259" s="117">
        <f t="shared" si="53"/>
        <v>107711.39633401221</v>
      </c>
      <c r="H259" s="7"/>
      <c r="I259" s="136">
        <v>4.4017999999999997</v>
      </c>
      <c r="J259" s="134">
        <v>3491923.4395811995</v>
      </c>
      <c r="K259" s="120">
        <f t="shared" si="54"/>
        <v>474.12402438305492</v>
      </c>
      <c r="L259" s="122">
        <f t="shared" si="45"/>
        <v>7932944.3399999999</v>
      </c>
      <c r="M259" s="116">
        <f t="shared" si="46"/>
        <v>4441020.9004188003</v>
      </c>
      <c r="N259" s="123">
        <f t="shared" si="47"/>
        <v>602.98993895706724</v>
      </c>
      <c r="O259" s="5"/>
      <c r="P259" s="5">
        <f t="shared" si="48"/>
        <v>1</v>
      </c>
      <c r="Q259" s="7">
        <f t="shared" si="49"/>
        <v>7365</v>
      </c>
      <c r="W259" s="124">
        <f t="shared" si="50"/>
        <v>3491923.4395812</v>
      </c>
      <c r="X259">
        <f t="shared" si="51"/>
        <v>0</v>
      </c>
    </row>
    <row r="260" spans="1:24">
      <c r="A260" s="23" t="s">
        <v>287</v>
      </c>
      <c r="B260" s="35" t="s">
        <v>284</v>
      </c>
      <c r="C260" s="125">
        <v>2348</v>
      </c>
      <c r="D260" s="132">
        <v>329542486</v>
      </c>
      <c r="E260" s="116">
        <f t="shared" si="52"/>
        <v>140350.29216354343</v>
      </c>
      <c r="F260" s="134">
        <v>235011630</v>
      </c>
      <c r="G260" s="117">
        <f t="shared" si="53"/>
        <v>100090.13202725723</v>
      </c>
      <c r="H260" s="7"/>
      <c r="I260" s="136">
        <v>7.2938000000000001</v>
      </c>
      <c r="J260" s="134">
        <v>1714127.8268939999</v>
      </c>
      <c r="K260" s="120">
        <f t="shared" si="54"/>
        <v>730.03740498040884</v>
      </c>
      <c r="L260" s="122">
        <f t="shared" si="45"/>
        <v>2350116.3000000003</v>
      </c>
      <c r="M260" s="116">
        <f t="shared" si="46"/>
        <v>635988.47310600034</v>
      </c>
      <c r="N260" s="123">
        <f t="shared" si="47"/>
        <v>270.86391529216371</v>
      </c>
      <c r="O260" s="5"/>
      <c r="P260" s="5">
        <f t="shared" si="48"/>
        <v>1</v>
      </c>
      <c r="Q260" s="7">
        <f t="shared" si="49"/>
        <v>2348</v>
      </c>
      <c r="W260" s="124">
        <f t="shared" si="50"/>
        <v>1714127.8268940002</v>
      </c>
      <c r="X260">
        <f t="shared" si="51"/>
        <v>0</v>
      </c>
    </row>
    <row r="261" spans="1:24">
      <c r="A261" s="23" t="s">
        <v>288</v>
      </c>
      <c r="B261" s="35" t="s">
        <v>284</v>
      </c>
      <c r="C261" s="125">
        <v>2717</v>
      </c>
      <c r="D261" s="132">
        <v>501177249</v>
      </c>
      <c r="E261" s="116">
        <f t="shared" si="52"/>
        <v>184459.78984173722</v>
      </c>
      <c r="F261" s="134">
        <v>370067205</v>
      </c>
      <c r="G261" s="117">
        <f t="shared" si="53"/>
        <v>136204.34486566065</v>
      </c>
      <c r="H261" s="7"/>
      <c r="I261" s="136">
        <v>5.25</v>
      </c>
      <c r="J261" s="134">
        <v>1942852.8262499999</v>
      </c>
      <c r="K261" s="120">
        <f t="shared" si="54"/>
        <v>715.07281054471844</v>
      </c>
      <c r="L261" s="122">
        <f t="shared" si="45"/>
        <v>3700672.0500000003</v>
      </c>
      <c r="M261" s="116">
        <f t="shared" si="46"/>
        <v>1757819.2237500004</v>
      </c>
      <c r="N261" s="123">
        <f t="shared" si="47"/>
        <v>646.97063811188821</v>
      </c>
      <c r="O261" s="5"/>
      <c r="P261" s="5">
        <f t="shared" si="48"/>
        <v>1</v>
      </c>
      <c r="Q261" s="7">
        <f t="shared" si="49"/>
        <v>2717</v>
      </c>
      <c r="W261" s="124">
        <f t="shared" si="50"/>
        <v>1942852.8262500002</v>
      </c>
      <c r="X261">
        <f t="shared" si="51"/>
        <v>0</v>
      </c>
    </row>
    <row r="262" spans="1:24">
      <c r="A262" s="23" t="s">
        <v>289</v>
      </c>
      <c r="B262" s="35" t="s">
        <v>284</v>
      </c>
      <c r="C262" s="125">
        <v>24</v>
      </c>
      <c r="D262" s="132">
        <v>3141489398</v>
      </c>
      <c r="E262" s="116">
        <f t="shared" si="52"/>
        <v>130895391.58333333</v>
      </c>
      <c r="F262" s="134">
        <v>2727382510</v>
      </c>
      <c r="G262" s="117">
        <f t="shared" si="53"/>
        <v>113640937.91666667</v>
      </c>
      <c r="H262" s="7"/>
      <c r="I262" s="136">
        <v>1.669</v>
      </c>
      <c r="J262" s="134">
        <v>4552001.409190001</v>
      </c>
      <c r="K262" s="120">
        <f t="shared" si="54"/>
        <v>189666.72538291672</v>
      </c>
      <c r="L262" s="122">
        <f t="shared" ref="L262:L326" si="55">(F262*0.01)</f>
        <v>27273825.100000001</v>
      </c>
      <c r="M262" s="116">
        <f t="shared" ref="M262:M326" si="56">(L262-J262)</f>
        <v>22721823.690810002</v>
      </c>
      <c r="N262" s="123">
        <f t="shared" ref="N262:N326" si="57">(M262/C262)</f>
        <v>946742.65378375014</v>
      </c>
      <c r="O262" s="5"/>
      <c r="P262" s="5">
        <f t="shared" si="48"/>
        <v>1</v>
      </c>
      <c r="Q262" s="7">
        <f t="shared" si="49"/>
        <v>24</v>
      </c>
      <c r="W262" s="124">
        <f t="shared" si="50"/>
        <v>4552001.40919</v>
      </c>
      <c r="X262">
        <f t="shared" si="51"/>
        <v>0</v>
      </c>
    </row>
    <row r="263" spans="1:24">
      <c r="A263" s="23" t="s">
        <v>290</v>
      </c>
      <c r="B263" s="35" t="s">
        <v>284</v>
      </c>
      <c r="C263" s="125">
        <v>21096</v>
      </c>
      <c r="D263" s="132">
        <v>3921176224</v>
      </c>
      <c r="E263" s="116">
        <f t="shared" si="52"/>
        <v>185872.97231702693</v>
      </c>
      <c r="F263" s="134">
        <v>3078746489</v>
      </c>
      <c r="G263" s="117">
        <f t="shared" si="53"/>
        <v>145939.8221937808</v>
      </c>
      <c r="H263" s="7"/>
      <c r="I263" s="136">
        <v>4.3452999999999999</v>
      </c>
      <c r="J263" s="134">
        <v>13378077.118651699</v>
      </c>
      <c r="K263" s="120">
        <f t="shared" si="54"/>
        <v>634.15230937863578</v>
      </c>
      <c r="L263" s="122">
        <f t="shared" si="55"/>
        <v>30787464.890000001</v>
      </c>
      <c r="M263" s="116">
        <f t="shared" si="56"/>
        <v>17409387.771348301</v>
      </c>
      <c r="N263" s="123">
        <f t="shared" si="57"/>
        <v>825.24591255917244</v>
      </c>
      <c r="O263" s="5"/>
      <c r="P263" s="5">
        <f t="shared" ref="P263:P327" si="58">IF(I263&gt;0,1,0)</f>
        <v>1</v>
      </c>
      <c r="Q263" s="7">
        <f t="shared" ref="Q263:Q327" si="59">IF(I263&gt;0,C263,0)</f>
        <v>21096</v>
      </c>
      <c r="W263" s="124">
        <f t="shared" ref="W263:W326" si="60">F263*(I263/1000)</f>
        <v>13378077.118651699</v>
      </c>
      <c r="X263">
        <f t="shared" ref="X263:X326" si="61">IF(W263=J263,0,1)</f>
        <v>0</v>
      </c>
    </row>
    <row r="264" spans="1:24">
      <c r="A264" s="23" t="s">
        <v>291</v>
      </c>
      <c r="B264" s="35" t="s">
        <v>284</v>
      </c>
      <c r="C264" s="125">
        <v>3365</v>
      </c>
      <c r="D264" s="132">
        <v>445058476</v>
      </c>
      <c r="E264" s="116">
        <f t="shared" ref="E264:E327" si="62">(D264/C264)</f>
        <v>132261.06270430906</v>
      </c>
      <c r="F264" s="134">
        <v>330327491</v>
      </c>
      <c r="G264" s="117">
        <f t="shared" ref="G264:G327" si="63">(F264/C264)</f>
        <v>98165.673402674598</v>
      </c>
      <c r="H264" s="7"/>
      <c r="I264" s="136">
        <v>6.5</v>
      </c>
      <c r="J264" s="134">
        <v>2147128.6915000002</v>
      </c>
      <c r="K264" s="120">
        <f t="shared" ref="K264:K278" si="64">(J264/C264)</f>
        <v>638.07687711738492</v>
      </c>
      <c r="L264" s="122">
        <f t="shared" si="55"/>
        <v>3303274.91</v>
      </c>
      <c r="M264" s="116">
        <f t="shared" si="56"/>
        <v>1156146.2185</v>
      </c>
      <c r="N264" s="123">
        <f t="shared" si="57"/>
        <v>343.57985690936107</v>
      </c>
      <c r="O264" s="5"/>
      <c r="P264" s="5">
        <f t="shared" si="58"/>
        <v>1</v>
      </c>
      <c r="Q264" s="7">
        <f t="shared" si="59"/>
        <v>3365</v>
      </c>
      <c r="W264" s="124">
        <f t="shared" si="60"/>
        <v>2147128.6914999997</v>
      </c>
      <c r="X264">
        <f t="shared" si="61"/>
        <v>0</v>
      </c>
    </row>
    <row r="265" spans="1:24">
      <c r="A265" s="23" t="s">
        <v>292</v>
      </c>
      <c r="B265" s="35" t="s">
        <v>284</v>
      </c>
      <c r="C265" s="125">
        <v>47580</v>
      </c>
      <c r="D265" s="132">
        <v>4523752910</v>
      </c>
      <c r="E265" s="116">
        <f t="shared" si="62"/>
        <v>95076.774064733079</v>
      </c>
      <c r="F265" s="134">
        <v>2983952839</v>
      </c>
      <c r="G265" s="117">
        <f t="shared" si="63"/>
        <v>62714.435456073981</v>
      </c>
      <c r="H265" s="7"/>
      <c r="I265" s="136">
        <v>5.25</v>
      </c>
      <c r="J265" s="134">
        <v>15665752.404750001</v>
      </c>
      <c r="K265" s="120">
        <f t="shared" si="64"/>
        <v>329.25078614438843</v>
      </c>
      <c r="L265" s="122">
        <f t="shared" si="55"/>
        <v>29839528.390000001</v>
      </c>
      <c r="M265" s="116">
        <f t="shared" si="56"/>
        <v>14173775.98525</v>
      </c>
      <c r="N265" s="123">
        <f t="shared" si="57"/>
        <v>297.8935684163514</v>
      </c>
      <c r="O265" s="5"/>
      <c r="P265" s="5">
        <f t="shared" si="58"/>
        <v>1</v>
      </c>
      <c r="Q265" s="7">
        <f t="shared" si="59"/>
        <v>47580</v>
      </c>
      <c r="W265" s="124">
        <f t="shared" si="60"/>
        <v>15665752.404750001</v>
      </c>
      <c r="X265">
        <f t="shared" si="61"/>
        <v>0</v>
      </c>
    </row>
    <row r="266" spans="1:24">
      <c r="A266" s="23" t="s">
        <v>293</v>
      </c>
      <c r="B266" s="35" t="s">
        <v>284</v>
      </c>
      <c r="C266" s="125">
        <v>291800</v>
      </c>
      <c r="D266" s="132">
        <v>57275636154</v>
      </c>
      <c r="E266" s="116">
        <f t="shared" si="62"/>
        <v>196283.87989718985</v>
      </c>
      <c r="F266" s="134">
        <v>33853111189</v>
      </c>
      <c r="G266" s="117">
        <f t="shared" si="63"/>
        <v>116014.77446538725</v>
      </c>
      <c r="H266" s="7"/>
      <c r="I266" s="136">
        <v>6.65</v>
      </c>
      <c r="J266" s="134">
        <v>225123189.40685001</v>
      </c>
      <c r="K266" s="120">
        <f t="shared" si="64"/>
        <v>771.49825019482523</v>
      </c>
      <c r="L266" s="122">
        <f t="shared" si="55"/>
        <v>338531111.88999999</v>
      </c>
      <c r="M266" s="116">
        <f t="shared" si="56"/>
        <v>113407922.48314998</v>
      </c>
      <c r="N266" s="123">
        <f t="shared" si="57"/>
        <v>388.64949445904722</v>
      </c>
      <c r="O266" s="5"/>
      <c r="P266" s="5">
        <f t="shared" si="58"/>
        <v>1</v>
      </c>
      <c r="Q266" s="7">
        <f t="shared" si="59"/>
        <v>291800</v>
      </c>
      <c r="W266" s="124">
        <f t="shared" si="60"/>
        <v>225123189.40685001</v>
      </c>
      <c r="X266">
        <f t="shared" si="61"/>
        <v>0</v>
      </c>
    </row>
    <row r="267" spans="1:24">
      <c r="A267" s="23" t="s">
        <v>294</v>
      </c>
      <c r="B267" s="35" t="s">
        <v>284</v>
      </c>
      <c r="C267" s="125">
        <v>2972</v>
      </c>
      <c r="D267" s="132">
        <v>969564783</v>
      </c>
      <c r="E267" s="116">
        <f t="shared" si="62"/>
        <v>326233.10329744278</v>
      </c>
      <c r="F267" s="134">
        <v>725680443</v>
      </c>
      <c r="G267" s="117">
        <f t="shared" si="63"/>
        <v>244172.42362045762</v>
      </c>
      <c r="H267" s="7"/>
      <c r="I267" s="136">
        <v>3.7425000000000002</v>
      </c>
      <c r="J267" s="134">
        <v>2715859.0579275005</v>
      </c>
      <c r="K267" s="120">
        <f t="shared" si="64"/>
        <v>913.81529539956273</v>
      </c>
      <c r="L267" s="122">
        <f t="shared" si="55"/>
        <v>7256804.4299999997</v>
      </c>
      <c r="M267" s="116">
        <f t="shared" si="56"/>
        <v>4540945.3720724992</v>
      </c>
      <c r="N267" s="123">
        <f t="shared" si="57"/>
        <v>1527.9089408050131</v>
      </c>
      <c r="O267" s="5"/>
      <c r="P267" s="5">
        <f t="shared" si="58"/>
        <v>1</v>
      </c>
      <c r="Q267" s="7">
        <f t="shared" si="59"/>
        <v>2972</v>
      </c>
      <c r="W267" s="124">
        <f t="shared" si="60"/>
        <v>2715859.0579275</v>
      </c>
      <c r="X267">
        <f t="shared" si="61"/>
        <v>0</v>
      </c>
    </row>
    <row r="268" spans="1:24">
      <c r="A268" s="23" t="s">
        <v>295</v>
      </c>
      <c r="B268" s="35" t="s">
        <v>284</v>
      </c>
      <c r="C268" s="125">
        <v>47245</v>
      </c>
      <c r="D268" s="132">
        <v>5273480232</v>
      </c>
      <c r="E268" s="116">
        <f t="shared" si="62"/>
        <v>111619.85886337179</v>
      </c>
      <c r="F268" s="134">
        <v>3737687476</v>
      </c>
      <c r="G268" s="117">
        <f t="shared" si="63"/>
        <v>79112.868578685579</v>
      </c>
      <c r="H268" s="7"/>
      <c r="I268" s="136">
        <v>4.5</v>
      </c>
      <c r="J268" s="134">
        <v>16819593.642000001</v>
      </c>
      <c r="K268" s="120">
        <f t="shared" si="64"/>
        <v>356.00790860408512</v>
      </c>
      <c r="L268" s="122">
        <f t="shared" si="55"/>
        <v>37376874.759999998</v>
      </c>
      <c r="M268" s="116">
        <f t="shared" si="56"/>
        <v>20557281.117999997</v>
      </c>
      <c r="N268" s="123">
        <f t="shared" si="57"/>
        <v>435.12077718277061</v>
      </c>
      <c r="O268" s="5"/>
      <c r="P268" s="5">
        <f t="shared" si="58"/>
        <v>1</v>
      </c>
      <c r="Q268" s="7">
        <f t="shared" si="59"/>
        <v>47245</v>
      </c>
      <c r="S268" s="124"/>
      <c r="T268" s="124"/>
      <c r="U268" s="124"/>
      <c r="W268" s="124">
        <f t="shared" si="60"/>
        <v>16819593.641999997</v>
      </c>
      <c r="X268">
        <f t="shared" si="61"/>
        <v>0</v>
      </c>
    </row>
    <row r="269" spans="1:24">
      <c r="A269" s="23" t="s">
        <v>296</v>
      </c>
      <c r="B269" s="35" t="s">
        <v>284</v>
      </c>
      <c r="C269" s="125">
        <v>30239</v>
      </c>
      <c r="D269" s="132">
        <v>9008448257</v>
      </c>
      <c r="E269" s="116">
        <f t="shared" si="62"/>
        <v>297908.27266113297</v>
      </c>
      <c r="F269" s="134">
        <v>6156327237</v>
      </c>
      <c r="G269" s="117">
        <f t="shared" si="63"/>
        <v>203588.98234068588</v>
      </c>
      <c r="H269" s="7"/>
      <c r="I269" s="136">
        <v>4.0922999999999998</v>
      </c>
      <c r="J269" s="134">
        <v>25193537.951975096</v>
      </c>
      <c r="K269" s="120">
        <f t="shared" si="64"/>
        <v>833.14719243278864</v>
      </c>
      <c r="L269" s="122">
        <f t="shared" si="55"/>
        <v>61563272.370000005</v>
      </c>
      <c r="M269" s="116">
        <f t="shared" si="56"/>
        <v>36369734.418024912</v>
      </c>
      <c r="N269" s="123">
        <f t="shared" si="57"/>
        <v>1202.7426309740704</v>
      </c>
      <c r="O269" s="5"/>
      <c r="P269" s="5">
        <f t="shared" si="58"/>
        <v>1</v>
      </c>
      <c r="Q269" s="7">
        <f t="shared" si="59"/>
        <v>30239</v>
      </c>
      <c r="S269" s="124">
        <f>SUM(D257:D269)</f>
        <v>102319337411</v>
      </c>
      <c r="T269" s="124">
        <f>SUM(F257:F269)</f>
        <v>67549936268</v>
      </c>
      <c r="U269" s="124">
        <f>SUM(J257:J269)</f>
        <v>342595577.55938953</v>
      </c>
      <c r="W269" s="124">
        <f t="shared" si="60"/>
        <v>25193537.9519751</v>
      </c>
      <c r="X269">
        <f t="shared" si="61"/>
        <v>0</v>
      </c>
    </row>
    <row r="270" spans="1:24">
      <c r="A270" s="24" t="s">
        <v>297</v>
      </c>
      <c r="B270" s="35" t="s">
        <v>298</v>
      </c>
      <c r="C270" s="125">
        <v>74800</v>
      </c>
      <c r="D270" s="132">
        <v>5978856085</v>
      </c>
      <c r="E270" s="116">
        <f t="shared" si="62"/>
        <v>79931.231082887694</v>
      </c>
      <c r="F270" s="134">
        <v>3675225330</v>
      </c>
      <c r="G270" s="117">
        <f t="shared" si="63"/>
        <v>49134.028475935826</v>
      </c>
      <c r="H270" s="7"/>
      <c r="I270" s="136">
        <v>4.6253000000000002</v>
      </c>
      <c r="J270" s="134">
        <v>16999019.718849</v>
      </c>
      <c r="K270" s="120">
        <f t="shared" si="64"/>
        <v>227.25962190974599</v>
      </c>
      <c r="L270" s="122">
        <f t="shared" si="55"/>
        <v>36752253.300000004</v>
      </c>
      <c r="M270" s="116">
        <f t="shared" si="56"/>
        <v>19753233.581151005</v>
      </c>
      <c r="N270" s="123">
        <f t="shared" si="57"/>
        <v>264.08066284961234</v>
      </c>
      <c r="O270" s="5"/>
      <c r="P270" s="5">
        <f t="shared" si="58"/>
        <v>1</v>
      </c>
      <c r="Q270" s="7">
        <f t="shared" si="59"/>
        <v>74800</v>
      </c>
      <c r="S270" s="124"/>
      <c r="T270" s="124"/>
      <c r="U270" s="124"/>
      <c r="W270" s="124">
        <f t="shared" si="60"/>
        <v>16999019.718849003</v>
      </c>
      <c r="X270">
        <f t="shared" si="61"/>
        <v>0</v>
      </c>
    </row>
    <row r="271" spans="1:24">
      <c r="A271" s="23" t="s">
        <v>546</v>
      </c>
      <c r="B271" s="35" t="s">
        <v>298</v>
      </c>
      <c r="C271" s="125">
        <v>47874</v>
      </c>
      <c r="D271" s="132">
        <v>4259651123</v>
      </c>
      <c r="E271" s="116">
        <f t="shared" si="62"/>
        <v>88976.294502235032</v>
      </c>
      <c r="F271" s="134">
        <v>2381495973</v>
      </c>
      <c r="G271" s="117">
        <f t="shared" si="63"/>
        <v>49745.080273217194</v>
      </c>
      <c r="H271" s="7"/>
      <c r="I271" s="136">
        <v>5.1128</v>
      </c>
      <c r="J271" s="134">
        <v>12176112.6107544</v>
      </c>
      <c r="K271" s="120">
        <f t="shared" si="64"/>
        <v>254.33664642090488</v>
      </c>
      <c r="L271" s="122">
        <f t="shared" si="55"/>
        <v>23814959.73</v>
      </c>
      <c r="M271" s="116">
        <f t="shared" si="56"/>
        <v>11638847.1192456</v>
      </c>
      <c r="N271" s="123">
        <f t="shared" si="57"/>
        <v>243.11415631126707</v>
      </c>
      <c r="O271" s="5"/>
      <c r="P271" s="5">
        <f t="shared" si="58"/>
        <v>1</v>
      </c>
      <c r="Q271" s="7">
        <f t="shared" si="59"/>
        <v>47874</v>
      </c>
      <c r="S271" s="124">
        <f>SUM(D270:D271)</f>
        <v>10238507208</v>
      </c>
      <c r="T271" s="124">
        <f>SUM(F270:F271)</f>
        <v>6056721303</v>
      </c>
      <c r="U271" s="124">
        <f>SUM(J270:J271)</f>
        <v>29175132.3296034</v>
      </c>
      <c r="W271" s="124">
        <f t="shared" si="60"/>
        <v>12176112.610754399</v>
      </c>
      <c r="X271">
        <f t="shared" si="61"/>
        <v>0</v>
      </c>
    </row>
    <row r="272" spans="1:24">
      <c r="A272" s="23" t="s">
        <v>299</v>
      </c>
      <c r="B272" s="35" t="s">
        <v>300</v>
      </c>
      <c r="C272" s="125">
        <v>2036</v>
      </c>
      <c r="D272" s="132">
        <v>639815855</v>
      </c>
      <c r="E272" s="116">
        <f t="shared" si="62"/>
        <v>314251.40225933201</v>
      </c>
      <c r="F272" s="134">
        <v>529181055</v>
      </c>
      <c r="G272" s="117">
        <f t="shared" si="63"/>
        <v>259912.10952848723</v>
      </c>
      <c r="H272" s="7"/>
      <c r="I272" s="136">
        <v>7.68</v>
      </c>
      <c r="J272" s="134">
        <v>4064110.5023999996</v>
      </c>
      <c r="K272" s="120">
        <f t="shared" si="64"/>
        <v>1996.1250011787818</v>
      </c>
      <c r="L272" s="122">
        <f t="shared" si="55"/>
        <v>5291810.55</v>
      </c>
      <c r="M272" s="116">
        <f t="shared" si="56"/>
        <v>1227700.0476000002</v>
      </c>
      <c r="N272" s="123">
        <f t="shared" si="57"/>
        <v>602.99609410609048</v>
      </c>
      <c r="O272" s="5"/>
      <c r="P272" s="5">
        <f t="shared" si="58"/>
        <v>1</v>
      </c>
      <c r="Q272" s="7">
        <f t="shared" si="59"/>
        <v>2036</v>
      </c>
      <c r="W272" s="124">
        <f t="shared" si="60"/>
        <v>4064110.5023999996</v>
      </c>
      <c r="X272">
        <f t="shared" si="61"/>
        <v>0</v>
      </c>
    </row>
    <row r="273" spans="1:24">
      <c r="A273" s="23" t="s">
        <v>301</v>
      </c>
      <c r="B273" s="35" t="s">
        <v>300</v>
      </c>
      <c r="C273" s="125">
        <v>17979</v>
      </c>
      <c r="D273" s="132">
        <v>689381400</v>
      </c>
      <c r="E273" s="116">
        <f t="shared" si="62"/>
        <v>38343.700984481897</v>
      </c>
      <c r="F273" s="134">
        <v>357498823</v>
      </c>
      <c r="G273" s="117">
        <f t="shared" si="63"/>
        <v>19884.244006896934</v>
      </c>
      <c r="H273" s="9"/>
      <c r="I273" s="136">
        <v>6.5419</v>
      </c>
      <c r="J273" s="134">
        <v>2338721.5501836999</v>
      </c>
      <c r="K273" s="120">
        <f t="shared" si="64"/>
        <v>130.08073586871905</v>
      </c>
      <c r="L273" s="122">
        <f t="shared" si="55"/>
        <v>3574988.23</v>
      </c>
      <c r="M273" s="116">
        <f t="shared" si="56"/>
        <v>1236266.6798163</v>
      </c>
      <c r="N273" s="123">
        <f t="shared" si="57"/>
        <v>68.761704200250293</v>
      </c>
      <c r="O273" s="5"/>
      <c r="P273" s="5">
        <f t="shared" si="58"/>
        <v>1</v>
      </c>
      <c r="Q273" s="7">
        <f t="shared" si="59"/>
        <v>17979</v>
      </c>
      <c r="W273" s="124">
        <f t="shared" si="60"/>
        <v>2338721.5501836999</v>
      </c>
      <c r="X273">
        <f t="shared" si="61"/>
        <v>0</v>
      </c>
    </row>
    <row r="274" spans="1:24">
      <c r="A274" s="23" t="s">
        <v>302</v>
      </c>
      <c r="B274" s="35" t="s">
        <v>300</v>
      </c>
      <c r="C274" s="125">
        <v>94488</v>
      </c>
      <c r="D274" s="132">
        <v>32423522085</v>
      </c>
      <c r="E274" s="116">
        <f t="shared" si="62"/>
        <v>343149.62836550671</v>
      </c>
      <c r="F274" s="134">
        <v>24966225251</v>
      </c>
      <c r="G274" s="117">
        <f t="shared" si="63"/>
        <v>264226.4123592414</v>
      </c>
      <c r="H274" s="9"/>
      <c r="I274" s="136">
        <v>3.4792999999999998</v>
      </c>
      <c r="J274" s="134">
        <v>86864987.515804291</v>
      </c>
      <c r="K274" s="120">
        <f t="shared" si="64"/>
        <v>919.32295652150844</v>
      </c>
      <c r="L274" s="122">
        <f t="shared" si="55"/>
        <v>249662252.50999999</v>
      </c>
      <c r="M274" s="116">
        <f t="shared" si="56"/>
        <v>162797264.9941957</v>
      </c>
      <c r="N274" s="123">
        <f t="shared" si="57"/>
        <v>1722.9411670709053</v>
      </c>
      <c r="O274" s="5"/>
      <c r="P274" s="5">
        <f t="shared" si="58"/>
        <v>1</v>
      </c>
      <c r="Q274" s="7">
        <f t="shared" si="59"/>
        <v>94488</v>
      </c>
      <c r="W274" s="124">
        <f t="shared" si="60"/>
        <v>86864987.515804291</v>
      </c>
      <c r="X274">
        <f t="shared" si="61"/>
        <v>0</v>
      </c>
    </row>
    <row r="275" spans="1:24">
      <c r="A275" s="23" t="s">
        <v>303</v>
      </c>
      <c r="B275" s="35" t="s">
        <v>300</v>
      </c>
      <c r="C275" s="125">
        <v>77696</v>
      </c>
      <c r="D275" s="132">
        <v>8953086904</v>
      </c>
      <c r="E275" s="116">
        <f t="shared" si="62"/>
        <v>115232.2758443163</v>
      </c>
      <c r="F275" s="134">
        <v>6200166521</v>
      </c>
      <c r="G275" s="117">
        <f t="shared" si="63"/>
        <v>79800.331046643332</v>
      </c>
      <c r="H275" s="9"/>
      <c r="I275" s="136">
        <v>7.9</v>
      </c>
      <c r="J275" s="134">
        <v>48981315.515900001</v>
      </c>
      <c r="K275" s="120">
        <f t="shared" si="64"/>
        <v>630.42261526848233</v>
      </c>
      <c r="L275" s="122">
        <f t="shared" si="55"/>
        <v>62001665.210000001</v>
      </c>
      <c r="M275" s="116">
        <f t="shared" si="56"/>
        <v>13020349.6941</v>
      </c>
      <c r="N275" s="123">
        <f t="shared" si="57"/>
        <v>167.580695197951</v>
      </c>
      <c r="O275" s="5"/>
      <c r="P275" s="5">
        <f t="shared" si="58"/>
        <v>1</v>
      </c>
      <c r="Q275" s="7">
        <f t="shared" si="59"/>
        <v>77696</v>
      </c>
      <c r="W275" s="124">
        <f t="shared" si="60"/>
        <v>48981315.515900008</v>
      </c>
      <c r="X275">
        <f t="shared" si="61"/>
        <v>0</v>
      </c>
    </row>
    <row r="276" spans="1:24">
      <c r="A276" s="23" t="s">
        <v>304</v>
      </c>
      <c r="B276" s="35" t="s">
        <v>300</v>
      </c>
      <c r="C276" s="125">
        <v>612</v>
      </c>
      <c r="D276" s="147">
        <v>78467231</v>
      </c>
      <c r="E276" s="116">
        <f t="shared" si="62"/>
        <v>128214.42973856209</v>
      </c>
      <c r="F276" s="134">
        <v>53736144</v>
      </c>
      <c r="G276" s="117">
        <f t="shared" si="63"/>
        <v>87804.156862745105</v>
      </c>
      <c r="H276" s="98"/>
      <c r="I276" s="150">
        <v>10</v>
      </c>
      <c r="J276" s="134">
        <v>537361.43999999994</v>
      </c>
      <c r="K276" s="120">
        <f t="shared" si="64"/>
        <v>878.04156862745094</v>
      </c>
      <c r="L276" s="122">
        <f t="shared" si="55"/>
        <v>537361.44000000006</v>
      </c>
      <c r="M276" s="116">
        <f t="shared" si="56"/>
        <v>1.1641532182693481E-10</v>
      </c>
      <c r="N276" s="123">
        <f t="shared" si="57"/>
        <v>1.9022111409629872E-13</v>
      </c>
      <c r="O276" s="5"/>
      <c r="P276" s="5">
        <f t="shared" si="58"/>
        <v>1</v>
      </c>
      <c r="Q276" s="7">
        <f t="shared" si="59"/>
        <v>612</v>
      </c>
      <c r="W276" s="124">
        <f t="shared" si="60"/>
        <v>537361.44000000006</v>
      </c>
      <c r="X276">
        <f t="shared" si="61"/>
        <v>0</v>
      </c>
    </row>
    <row r="277" spans="1:24">
      <c r="A277" s="23" t="s">
        <v>305</v>
      </c>
      <c r="B277" s="35" t="s">
        <v>300</v>
      </c>
      <c r="C277" s="125">
        <v>139</v>
      </c>
      <c r="D277" s="132" t="s">
        <v>564</v>
      </c>
      <c r="E277" s="116"/>
      <c r="F277" s="134"/>
      <c r="G277" s="117"/>
      <c r="H277" s="9" t="s">
        <v>588</v>
      </c>
      <c r="I277" s="136"/>
      <c r="J277" s="134"/>
      <c r="K277" s="120"/>
      <c r="L277" s="122">
        <f t="shared" si="55"/>
        <v>0</v>
      </c>
      <c r="M277" s="116">
        <f t="shared" si="56"/>
        <v>0</v>
      </c>
      <c r="N277" s="123">
        <f t="shared" si="57"/>
        <v>0</v>
      </c>
      <c r="O277" s="5"/>
      <c r="P277" s="5">
        <f t="shared" si="58"/>
        <v>0</v>
      </c>
      <c r="Q277" s="7">
        <f t="shared" si="59"/>
        <v>0</v>
      </c>
      <c r="W277" s="124">
        <f t="shared" si="60"/>
        <v>0</v>
      </c>
      <c r="X277">
        <f t="shared" si="61"/>
        <v>0</v>
      </c>
    </row>
    <row r="278" spans="1:24">
      <c r="A278" s="23" t="s">
        <v>306</v>
      </c>
      <c r="B278" s="35" t="s">
        <v>300</v>
      </c>
      <c r="C278" s="125">
        <v>67102</v>
      </c>
      <c r="D278" s="147">
        <v>14859415125</v>
      </c>
      <c r="E278" s="116">
        <f t="shared" si="62"/>
        <v>221445.18978569939</v>
      </c>
      <c r="F278" s="134">
        <v>11089878317</v>
      </c>
      <c r="G278" s="117">
        <f t="shared" si="63"/>
        <v>165268.96839140414</v>
      </c>
      <c r="H278" s="98"/>
      <c r="I278" s="151">
        <v>6.6611000000000002</v>
      </c>
      <c r="J278" s="134">
        <v>73870788.457368702</v>
      </c>
      <c r="K278" s="120">
        <f t="shared" si="64"/>
        <v>1100.873125351982</v>
      </c>
      <c r="L278" s="122">
        <f t="shared" si="55"/>
        <v>110898783.17</v>
      </c>
      <c r="M278" s="116">
        <f t="shared" si="56"/>
        <v>37027994.7126313</v>
      </c>
      <c r="N278" s="123">
        <f t="shared" si="57"/>
        <v>551.8165585620593</v>
      </c>
      <c r="O278" s="5"/>
      <c r="P278" s="5">
        <f t="shared" si="58"/>
        <v>1</v>
      </c>
      <c r="Q278" s="7">
        <f t="shared" si="59"/>
        <v>67102</v>
      </c>
      <c r="W278" s="124">
        <f t="shared" si="60"/>
        <v>73870788.457368702</v>
      </c>
      <c r="X278">
        <f t="shared" si="61"/>
        <v>0</v>
      </c>
    </row>
    <row r="279" spans="1:24">
      <c r="A279" s="23" t="s">
        <v>307</v>
      </c>
      <c r="B279" s="35" t="s">
        <v>300</v>
      </c>
      <c r="C279" s="125">
        <v>234</v>
      </c>
      <c r="D279" s="132" t="s">
        <v>564</v>
      </c>
      <c r="E279" s="116"/>
      <c r="F279" s="134"/>
      <c r="G279" s="117"/>
      <c r="H279" s="9" t="s">
        <v>588</v>
      </c>
      <c r="I279" s="136"/>
      <c r="J279" s="134"/>
      <c r="K279" s="120"/>
      <c r="L279" s="122">
        <f t="shared" si="55"/>
        <v>0</v>
      </c>
      <c r="M279" s="116">
        <f t="shared" si="56"/>
        <v>0</v>
      </c>
      <c r="N279" s="123">
        <f t="shared" si="57"/>
        <v>0</v>
      </c>
      <c r="O279" s="5"/>
      <c r="P279" s="5">
        <f t="shared" si="58"/>
        <v>0</v>
      </c>
      <c r="Q279" s="7">
        <f t="shared" si="59"/>
        <v>0</v>
      </c>
      <c r="W279" s="124">
        <f t="shared" si="60"/>
        <v>0</v>
      </c>
      <c r="X279">
        <f t="shared" si="61"/>
        <v>0</v>
      </c>
    </row>
    <row r="280" spans="1:24">
      <c r="A280" s="23" t="s">
        <v>308</v>
      </c>
      <c r="B280" s="35" t="s">
        <v>300</v>
      </c>
      <c r="C280" s="125">
        <v>258</v>
      </c>
      <c r="D280" s="132">
        <v>206419708</v>
      </c>
      <c r="E280" s="116">
        <f t="shared" si="62"/>
        <v>800076.38759689918</v>
      </c>
      <c r="F280" s="134">
        <v>170559496</v>
      </c>
      <c r="G280" s="117">
        <f t="shared" si="63"/>
        <v>661083.31782945734</v>
      </c>
      <c r="H280" s="7"/>
      <c r="I280" s="136">
        <v>6.5452000000000004</v>
      </c>
      <c r="J280" s="134">
        <v>1116346.0132192001</v>
      </c>
      <c r="K280" s="120">
        <f t="shared" ref="K280:K343" si="65">(J280/C280)</f>
        <v>4326.9225318573644</v>
      </c>
      <c r="L280" s="122">
        <f t="shared" si="55"/>
        <v>1705594.96</v>
      </c>
      <c r="M280" s="116">
        <f t="shared" si="56"/>
        <v>589248.94678079989</v>
      </c>
      <c r="N280" s="123">
        <f t="shared" si="57"/>
        <v>2283.9106464372089</v>
      </c>
      <c r="O280" s="5"/>
      <c r="P280" s="5">
        <f t="shared" si="58"/>
        <v>1</v>
      </c>
      <c r="Q280" s="7">
        <f t="shared" si="59"/>
        <v>258</v>
      </c>
      <c r="W280" s="124">
        <f t="shared" si="60"/>
        <v>1116346.0132192001</v>
      </c>
      <c r="X280">
        <f t="shared" si="61"/>
        <v>0</v>
      </c>
    </row>
    <row r="281" spans="1:24">
      <c r="A281" s="23" t="s">
        <v>309</v>
      </c>
      <c r="B281" s="35" t="s">
        <v>300</v>
      </c>
      <c r="C281" s="125">
        <v>39813</v>
      </c>
      <c r="D281" s="132">
        <v>3212238279</v>
      </c>
      <c r="E281" s="116">
        <f t="shared" si="62"/>
        <v>80683.150704543747</v>
      </c>
      <c r="F281" s="134">
        <v>1970295189</v>
      </c>
      <c r="G281" s="117">
        <f t="shared" si="63"/>
        <v>49488.739582548413</v>
      </c>
      <c r="H281" s="7"/>
      <c r="I281" s="136">
        <v>6.4</v>
      </c>
      <c r="J281" s="134">
        <v>12609889.2096</v>
      </c>
      <c r="K281" s="120">
        <f t="shared" si="65"/>
        <v>316.72793332830986</v>
      </c>
      <c r="L281" s="122">
        <f t="shared" si="55"/>
        <v>19702951.890000001</v>
      </c>
      <c r="M281" s="116">
        <f t="shared" si="56"/>
        <v>7093062.6804000009</v>
      </c>
      <c r="N281" s="123">
        <f t="shared" si="57"/>
        <v>178.1594624971743</v>
      </c>
      <c r="O281" s="5"/>
      <c r="P281" s="5">
        <f t="shared" si="58"/>
        <v>1</v>
      </c>
      <c r="Q281" s="7">
        <f t="shared" si="59"/>
        <v>39813</v>
      </c>
      <c r="W281" s="124">
        <f t="shared" si="60"/>
        <v>12609889.2096</v>
      </c>
      <c r="X281">
        <f t="shared" si="61"/>
        <v>0</v>
      </c>
    </row>
    <row r="282" spans="1:24">
      <c r="A282" s="23" t="s">
        <v>310</v>
      </c>
      <c r="B282" s="35" t="s">
        <v>300</v>
      </c>
      <c r="C282" s="125">
        <v>1032</v>
      </c>
      <c r="D282" s="132">
        <v>1552865388</v>
      </c>
      <c r="E282" s="116">
        <f t="shared" si="62"/>
        <v>1504714.5232558139</v>
      </c>
      <c r="F282" s="134">
        <v>1195147298</v>
      </c>
      <c r="G282" s="117">
        <f t="shared" si="63"/>
        <v>1158088.4670542635</v>
      </c>
      <c r="H282" s="7"/>
      <c r="I282" s="136">
        <v>3.8605999999999998</v>
      </c>
      <c r="J282" s="134">
        <v>4613985.6586587997</v>
      </c>
      <c r="K282" s="120">
        <f t="shared" si="65"/>
        <v>4470.9163359096892</v>
      </c>
      <c r="L282" s="122">
        <f t="shared" si="55"/>
        <v>11951472.98</v>
      </c>
      <c r="M282" s="116">
        <f t="shared" si="56"/>
        <v>7337487.3213412007</v>
      </c>
      <c r="N282" s="123">
        <f t="shared" si="57"/>
        <v>7109.9683346329466</v>
      </c>
      <c r="O282" s="5"/>
      <c r="P282" s="5">
        <f t="shared" si="58"/>
        <v>1</v>
      </c>
      <c r="Q282" s="7">
        <f t="shared" si="59"/>
        <v>1032</v>
      </c>
      <c r="W282" s="124">
        <f t="shared" si="60"/>
        <v>4613985.6586587997</v>
      </c>
      <c r="X282">
        <f t="shared" si="61"/>
        <v>0</v>
      </c>
    </row>
    <row r="283" spans="1:24">
      <c r="A283" s="23" t="s">
        <v>311</v>
      </c>
      <c r="B283" s="35" t="s">
        <v>300</v>
      </c>
      <c r="C283" s="125">
        <v>2099</v>
      </c>
      <c r="D283" s="132">
        <v>187692804</v>
      </c>
      <c r="E283" s="116">
        <f t="shared" si="62"/>
        <v>89420.106717484523</v>
      </c>
      <c r="F283" s="134">
        <v>104428794</v>
      </c>
      <c r="G283" s="117">
        <f t="shared" si="63"/>
        <v>49751.6884230586</v>
      </c>
      <c r="H283" s="7"/>
      <c r="I283" s="136">
        <v>4.5</v>
      </c>
      <c r="J283" s="134">
        <v>469929.57299999997</v>
      </c>
      <c r="K283" s="120">
        <f t="shared" si="65"/>
        <v>223.8825979037637</v>
      </c>
      <c r="L283" s="122">
        <f t="shared" si="55"/>
        <v>1044287.9400000001</v>
      </c>
      <c r="M283" s="116">
        <f t="shared" si="56"/>
        <v>574358.36700000009</v>
      </c>
      <c r="N283" s="123">
        <f t="shared" si="57"/>
        <v>273.63428632682235</v>
      </c>
      <c r="O283" s="5"/>
      <c r="P283" s="5">
        <f t="shared" si="58"/>
        <v>1</v>
      </c>
      <c r="Q283" s="7">
        <f t="shared" si="59"/>
        <v>2099</v>
      </c>
      <c r="W283" s="124">
        <f t="shared" si="60"/>
        <v>469929.57299999997</v>
      </c>
      <c r="X283">
        <f t="shared" si="61"/>
        <v>0</v>
      </c>
    </row>
    <row r="284" spans="1:24">
      <c r="A284" s="23" t="s">
        <v>312</v>
      </c>
      <c r="B284" s="35" t="s">
        <v>300</v>
      </c>
      <c r="C284" s="125">
        <v>3671</v>
      </c>
      <c r="D284" s="132">
        <v>3092795858</v>
      </c>
      <c r="E284" s="116">
        <f t="shared" si="62"/>
        <v>842494.10460365028</v>
      </c>
      <c r="F284" s="134">
        <v>2602348266</v>
      </c>
      <c r="G284" s="117">
        <f t="shared" si="63"/>
        <v>708893.56197221461</v>
      </c>
      <c r="H284" s="7"/>
      <c r="I284" s="136">
        <v>3.2294</v>
      </c>
      <c r="J284" s="134">
        <v>8404023.4902203996</v>
      </c>
      <c r="K284" s="120">
        <f t="shared" si="65"/>
        <v>2289.3008690330698</v>
      </c>
      <c r="L284" s="122">
        <f t="shared" si="55"/>
        <v>26023482.66</v>
      </c>
      <c r="M284" s="116">
        <f t="shared" si="56"/>
        <v>17619459.169779599</v>
      </c>
      <c r="N284" s="123">
        <f t="shared" si="57"/>
        <v>4799.6347506890761</v>
      </c>
      <c r="O284" s="5"/>
      <c r="P284" s="5">
        <f t="shared" si="58"/>
        <v>1</v>
      </c>
      <c r="Q284" s="7">
        <f t="shared" si="59"/>
        <v>3671</v>
      </c>
      <c r="W284" s="124">
        <f t="shared" si="60"/>
        <v>8404023.4902203996</v>
      </c>
      <c r="X284">
        <f t="shared" si="61"/>
        <v>0</v>
      </c>
    </row>
    <row r="285" spans="1:24">
      <c r="A285" s="23" t="s">
        <v>313</v>
      </c>
      <c r="B285" s="35" t="s">
        <v>300</v>
      </c>
      <c r="C285" s="125">
        <v>2789</v>
      </c>
      <c r="D285" s="132">
        <v>487316940</v>
      </c>
      <c r="E285" s="116">
        <f t="shared" si="62"/>
        <v>174728.19648619578</v>
      </c>
      <c r="F285" s="134">
        <v>366764810</v>
      </c>
      <c r="G285" s="117">
        <f t="shared" si="63"/>
        <v>131504.05521692362</v>
      </c>
      <c r="H285" s="7"/>
      <c r="I285" s="136">
        <v>3.2</v>
      </c>
      <c r="J285" s="134">
        <v>1173647.392</v>
      </c>
      <c r="K285" s="120">
        <f t="shared" si="65"/>
        <v>420.81297669415562</v>
      </c>
      <c r="L285" s="122">
        <f t="shared" si="55"/>
        <v>3667648.1</v>
      </c>
      <c r="M285" s="116">
        <f t="shared" si="56"/>
        <v>2494000.7080000001</v>
      </c>
      <c r="N285" s="123">
        <f t="shared" si="57"/>
        <v>894.2275754750807</v>
      </c>
      <c r="O285" s="5"/>
      <c r="P285" s="5">
        <f t="shared" si="58"/>
        <v>1</v>
      </c>
      <c r="Q285" s="7">
        <f t="shared" si="59"/>
        <v>2789</v>
      </c>
      <c r="W285" s="124">
        <f t="shared" si="60"/>
        <v>1173647.392</v>
      </c>
      <c r="X285">
        <f t="shared" si="61"/>
        <v>0</v>
      </c>
    </row>
    <row r="286" spans="1:24">
      <c r="A286" s="23" t="s">
        <v>314</v>
      </c>
      <c r="B286" s="35" t="s">
        <v>300</v>
      </c>
      <c r="C286" s="125">
        <v>3442</v>
      </c>
      <c r="D286" s="132">
        <v>1930637027</v>
      </c>
      <c r="E286" s="116">
        <f t="shared" si="62"/>
        <v>560905.5859965136</v>
      </c>
      <c r="F286" s="134">
        <v>1599554197</v>
      </c>
      <c r="G286" s="117">
        <f t="shared" si="63"/>
        <v>464716.50116211508</v>
      </c>
      <c r="H286" s="7"/>
      <c r="I286" s="136">
        <v>2.0078999999999998</v>
      </c>
      <c r="J286" s="134">
        <v>3211744.8721562997</v>
      </c>
      <c r="K286" s="120">
        <f t="shared" si="65"/>
        <v>933.10426268341075</v>
      </c>
      <c r="L286" s="122">
        <f t="shared" si="55"/>
        <v>15995541.970000001</v>
      </c>
      <c r="M286" s="116">
        <f t="shared" si="56"/>
        <v>12783797.097843701</v>
      </c>
      <c r="N286" s="123">
        <f t="shared" si="57"/>
        <v>3714.0607489377398</v>
      </c>
      <c r="O286" s="5"/>
      <c r="P286" s="5">
        <f t="shared" si="58"/>
        <v>1</v>
      </c>
      <c r="Q286" s="7">
        <f t="shared" si="59"/>
        <v>3442</v>
      </c>
      <c r="W286" s="124">
        <f t="shared" si="60"/>
        <v>3211744.8721563001</v>
      </c>
      <c r="X286">
        <f t="shared" si="61"/>
        <v>0</v>
      </c>
    </row>
    <row r="287" spans="1:24">
      <c r="A287" s="23" t="s">
        <v>315</v>
      </c>
      <c r="B287" s="35" t="s">
        <v>300</v>
      </c>
      <c r="C287" s="125">
        <v>62497</v>
      </c>
      <c r="D287" s="132">
        <v>14991028589</v>
      </c>
      <c r="E287" s="116">
        <f t="shared" si="62"/>
        <v>239867.97108661215</v>
      </c>
      <c r="F287" s="134">
        <v>11381790376</v>
      </c>
      <c r="G287" s="117">
        <f t="shared" si="63"/>
        <v>182117.38765060724</v>
      </c>
      <c r="H287" s="7"/>
      <c r="I287" s="136">
        <v>2.4632999999999998</v>
      </c>
      <c r="J287" s="134">
        <v>28036764.2332008</v>
      </c>
      <c r="K287" s="120">
        <f t="shared" si="65"/>
        <v>448.60976099974079</v>
      </c>
      <c r="L287" s="122">
        <f t="shared" si="55"/>
        <v>113817903.76000001</v>
      </c>
      <c r="M287" s="116">
        <f t="shared" si="56"/>
        <v>85781139.526799202</v>
      </c>
      <c r="N287" s="123">
        <f t="shared" si="57"/>
        <v>1372.5641155063315</v>
      </c>
      <c r="O287" s="5"/>
      <c r="P287" s="5">
        <f t="shared" si="58"/>
        <v>1</v>
      </c>
      <c r="Q287" s="7">
        <f t="shared" si="59"/>
        <v>62497</v>
      </c>
      <c r="W287" s="124">
        <f t="shared" si="60"/>
        <v>28036764.2332008</v>
      </c>
      <c r="X287">
        <f t="shared" si="61"/>
        <v>0</v>
      </c>
    </row>
    <row r="288" spans="1:24">
      <c r="A288" s="23" t="s">
        <v>316</v>
      </c>
      <c r="B288" s="35" t="s">
        <v>300</v>
      </c>
      <c r="C288" s="125">
        <v>406</v>
      </c>
      <c r="D288" s="132">
        <v>497544605</v>
      </c>
      <c r="E288" s="116">
        <f t="shared" si="62"/>
        <v>1225479.3226600986</v>
      </c>
      <c r="F288" s="134">
        <v>371939343</v>
      </c>
      <c r="G288" s="117">
        <f t="shared" si="63"/>
        <v>916106.75615763548</v>
      </c>
      <c r="H288" s="7"/>
      <c r="I288" s="136">
        <v>4.8499999999999996</v>
      </c>
      <c r="J288" s="134">
        <v>1803905.8135499998</v>
      </c>
      <c r="K288" s="120">
        <f t="shared" si="65"/>
        <v>4443.1177673645316</v>
      </c>
      <c r="L288" s="122">
        <f t="shared" si="55"/>
        <v>3719393.43</v>
      </c>
      <c r="M288" s="116">
        <f t="shared" si="56"/>
        <v>1915487.6164500003</v>
      </c>
      <c r="N288" s="123">
        <f t="shared" si="57"/>
        <v>4717.9497942118232</v>
      </c>
      <c r="O288" s="5"/>
      <c r="P288" s="5">
        <f t="shared" si="58"/>
        <v>1</v>
      </c>
      <c r="Q288" s="7">
        <f t="shared" si="59"/>
        <v>406</v>
      </c>
      <c r="W288" s="124">
        <f t="shared" si="60"/>
        <v>1803905.8135499998</v>
      </c>
      <c r="X288">
        <f t="shared" si="61"/>
        <v>0</v>
      </c>
    </row>
    <row r="289" spans="1:24">
      <c r="A289" s="23" t="s">
        <v>317</v>
      </c>
      <c r="B289" s="35" t="s">
        <v>300</v>
      </c>
      <c r="C289" s="125">
        <v>3420</v>
      </c>
      <c r="D289" s="132">
        <v>469396865</v>
      </c>
      <c r="E289" s="116">
        <f t="shared" si="62"/>
        <v>137250.54532163742</v>
      </c>
      <c r="F289" s="134">
        <v>273186329</v>
      </c>
      <c r="G289" s="117">
        <f t="shared" si="63"/>
        <v>79879.043567251458</v>
      </c>
      <c r="H289" s="7"/>
      <c r="I289" s="136">
        <v>6.2797999999999998</v>
      </c>
      <c r="J289" s="134">
        <v>1715555.5088541999</v>
      </c>
      <c r="K289" s="120">
        <f t="shared" si="65"/>
        <v>501.6244177936257</v>
      </c>
      <c r="L289" s="122">
        <f t="shared" si="55"/>
        <v>2731863.29</v>
      </c>
      <c r="M289" s="116">
        <f t="shared" si="56"/>
        <v>1016307.7811458001</v>
      </c>
      <c r="N289" s="123">
        <f t="shared" si="57"/>
        <v>297.16601787888891</v>
      </c>
      <c r="O289" s="5"/>
      <c r="P289" s="5">
        <f t="shared" si="58"/>
        <v>1</v>
      </c>
      <c r="Q289" s="7">
        <f t="shared" si="59"/>
        <v>3420</v>
      </c>
      <c r="W289" s="124">
        <f t="shared" si="60"/>
        <v>1715555.5088541999</v>
      </c>
      <c r="X289">
        <f t="shared" si="61"/>
        <v>0</v>
      </c>
    </row>
    <row r="290" spans="1:24">
      <c r="A290" s="23" t="s">
        <v>318</v>
      </c>
      <c r="B290" s="35" t="s">
        <v>300</v>
      </c>
      <c r="C290" s="125">
        <v>8916</v>
      </c>
      <c r="D290" s="132">
        <v>1009870003</v>
      </c>
      <c r="E290" s="116">
        <f t="shared" si="62"/>
        <v>113264.91733961417</v>
      </c>
      <c r="F290" s="134">
        <v>723230353</v>
      </c>
      <c r="G290" s="117">
        <f t="shared" si="63"/>
        <v>81116.010879318084</v>
      </c>
      <c r="H290" s="7"/>
      <c r="I290" s="136">
        <v>5.3474000000000004</v>
      </c>
      <c r="J290" s="134">
        <v>3867401.9896322004</v>
      </c>
      <c r="K290" s="120">
        <f t="shared" si="65"/>
        <v>433.75975657606557</v>
      </c>
      <c r="L290" s="122">
        <f t="shared" si="55"/>
        <v>7232303.5300000003</v>
      </c>
      <c r="M290" s="116">
        <f t="shared" si="56"/>
        <v>3364901.5403677998</v>
      </c>
      <c r="N290" s="123">
        <f t="shared" si="57"/>
        <v>377.40035221711526</v>
      </c>
      <c r="O290" s="5"/>
      <c r="P290" s="5">
        <f t="shared" si="58"/>
        <v>1</v>
      </c>
      <c r="Q290" s="7">
        <f t="shared" si="59"/>
        <v>8916</v>
      </c>
      <c r="W290" s="124">
        <f t="shared" si="60"/>
        <v>3867401.9896322004</v>
      </c>
      <c r="X290">
        <f t="shared" si="61"/>
        <v>0</v>
      </c>
    </row>
    <row r="291" spans="1:24">
      <c r="A291" s="24" t="s">
        <v>628</v>
      </c>
      <c r="B291" s="35" t="s">
        <v>300</v>
      </c>
      <c r="C291" s="125">
        <v>38484</v>
      </c>
      <c r="D291" s="132">
        <v>3190601241</v>
      </c>
      <c r="E291" s="116">
        <f t="shared" si="62"/>
        <v>82907.214452759596</v>
      </c>
      <c r="F291" s="134">
        <v>1992096147</v>
      </c>
      <c r="G291" s="117">
        <f t="shared" si="63"/>
        <v>51764.269488618644</v>
      </c>
      <c r="H291" s="7"/>
      <c r="I291" s="136">
        <v>5.4945000000000004</v>
      </c>
      <c r="J291" s="134">
        <v>10945572.279691502</v>
      </c>
      <c r="K291" s="120">
        <f t="shared" si="65"/>
        <v>284.41877870521523</v>
      </c>
      <c r="L291" s="122">
        <f t="shared" si="55"/>
        <v>19920961.469999999</v>
      </c>
      <c r="M291" s="116">
        <f t="shared" si="56"/>
        <v>8975389.1903084964</v>
      </c>
      <c r="N291" s="123">
        <f t="shared" si="57"/>
        <v>233.22391618097123</v>
      </c>
      <c r="O291" s="5"/>
      <c r="P291" s="5">
        <f t="shared" si="58"/>
        <v>1</v>
      </c>
      <c r="Q291" s="7">
        <f t="shared" si="59"/>
        <v>38484</v>
      </c>
      <c r="W291" s="124">
        <f t="shared" si="60"/>
        <v>10945572.279691501</v>
      </c>
      <c r="X291">
        <f t="shared" si="61"/>
        <v>0</v>
      </c>
    </row>
    <row r="292" spans="1:24">
      <c r="A292" s="23" t="s">
        <v>319</v>
      </c>
      <c r="B292" s="35" t="s">
        <v>300</v>
      </c>
      <c r="C292" s="125">
        <v>11419</v>
      </c>
      <c r="D292" s="132">
        <v>1637843679</v>
      </c>
      <c r="E292" s="116">
        <f t="shared" si="62"/>
        <v>143431.4457483142</v>
      </c>
      <c r="F292" s="134">
        <v>1139051019</v>
      </c>
      <c r="G292" s="117">
        <f t="shared" si="63"/>
        <v>99750.50521061389</v>
      </c>
      <c r="H292" s="9"/>
      <c r="I292" s="136">
        <v>3.5</v>
      </c>
      <c r="J292" s="134">
        <v>3986678.5665000002</v>
      </c>
      <c r="K292" s="120">
        <f t="shared" si="65"/>
        <v>349.12676823714861</v>
      </c>
      <c r="L292" s="122">
        <f t="shared" si="55"/>
        <v>11390510.189999999</v>
      </c>
      <c r="M292" s="116">
        <f t="shared" si="56"/>
        <v>7403831.6234999988</v>
      </c>
      <c r="N292" s="123">
        <f t="shared" si="57"/>
        <v>648.37828386899014</v>
      </c>
      <c r="O292" s="5"/>
      <c r="P292" s="5">
        <f t="shared" si="58"/>
        <v>1</v>
      </c>
      <c r="Q292" s="7">
        <f t="shared" si="59"/>
        <v>11419</v>
      </c>
      <c r="W292" s="124">
        <f t="shared" si="60"/>
        <v>3986678.5665000002</v>
      </c>
      <c r="X292">
        <f t="shared" si="61"/>
        <v>0</v>
      </c>
    </row>
    <row r="293" spans="1:24">
      <c r="A293" s="23" t="s">
        <v>531</v>
      </c>
      <c r="B293" s="35" t="s">
        <v>300</v>
      </c>
      <c r="C293" s="125">
        <v>3404</v>
      </c>
      <c r="D293" s="132">
        <v>673237173</v>
      </c>
      <c r="E293" s="116">
        <f t="shared" si="62"/>
        <v>197778.25293772033</v>
      </c>
      <c r="F293" s="134">
        <v>332537842</v>
      </c>
      <c r="G293" s="117">
        <f t="shared" si="63"/>
        <v>97690.317861339601</v>
      </c>
      <c r="H293" s="7"/>
      <c r="I293" s="136">
        <v>3</v>
      </c>
      <c r="J293" s="134">
        <v>997613.52599999995</v>
      </c>
      <c r="K293" s="120">
        <f t="shared" si="65"/>
        <v>293.07095358401881</v>
      </c>
      <c r="L293" s="122">
        <f t="shared" si="55"/>
        <v>3325378.42</v>
      </c>
      <c r="M293" s="116">
        <f t="shared" si="56"/>
        <v>2327764.8939999999</v>
      </c>
      <c r="N293" s="123">
        <f t="shared" si="57"/>
        <v>683.83222502937713</v>
      </c>
      <c r="O293" s="5"/>
      <c r="P293" s="5">
        <f t="shared" si="58"/>
        <v>1</v>
      </c>
      <c r="Q293" s="7">
        <f t="shared" si="59"/>
        <v>3404</v>
      </c>
      <c r="W293" s="124">
        <f t="shared" si="60"/>
        <v>997613.52600000007</v>
      </c>
      <c r="X293">
        <f t="shared" si="61"/>
        <v>0</v>
      </c>
    </row>
    <row r="294" spans="1:24">
      <c r="A294" s="23" t="s">
        <v>320</v>
      </c>
      <c r="B294" s="35" t="s">
        <v>300</v>
      </c>
      <c r="C294" s="125">
        <v>425</v>
      </c>
      <c r="D294" s="132">
        <v>1586485528</v>
      </c>
      <c r="E294" s="116">
        <f t="shared" si="62"/>
        <v>3732907.1247058823</v>
      </c>
      <c r="F294" s="134">
        <v>1377171761</v>
      </c>
      <c r="G294" s="117">
        <f t="shared" si="63"/>
        <v>3240404.1435294119</v>
      </c>
      <c r="H294" s="7"/>
      <c r="I294" s="157">
        <v>3.028</v>
      </c>
      <c r="J294" s="134">
        <v>4170076.0923080002</v>
      </c>
      <c r="K294" s="120">
        <f t="shared" si="65"/>
        <v>9811.9437466070594</v>
      </c>
      <c r="L294" s="122">
        <f t="shared" si="55"/>
        <v>13771717.609999999</v>
      </c>
      <c r="M294" s="116">
        <f t="shared" si="56"/>
        <v>9601641.5176919997</v>
      </c>
      <c r="N294" s="123">
        <f t="shared" si="57"/>
        <v>22592.097688687059</v>
      </c>
      <c r="O294" s="5"/>
      <c r="P294" s="5">
        <f t="shared" si="58"/>
        <v>1</v>
      </c>
      <c r="Q294" s="7">
        <f t="shared" si="59"/>
        <v>425</v>
      </c>
      <c r="W294" s="124">
        <f t="shared" si="60"/>
        <v>4170076.0923079997</v>
      </c>
      <c r="X294">
        <f t="shared" si="61"/>
        <v>0</v>
      </c>
    </row>
    <row r="295" spans="1:24">
      <c r="A295" s="23" t="s">
        <v>321</v>
      </c>
      <c r="B295" s="35" t="s">
        <v>300</v>
      </c>
      <c r="C295" s="125">
        <v>2062</v>
      </c>
      <c r="D295" s="132">
        <v>272435964</v>
      </c>
      <c r="E295" s="116">
        <f t="shared" si="62"/>
        <v>132122.19398642096</v>
      </c>
      <c r="F295" s="134">
        <v>216922705</v>
      </c>
      <c r="G295" s="117">
        <f t="shared" si="63"/>
        <v>105200.14791464598</v>
      </c>
      <c r="H295" s="7"/>
      <c r="I295" s="136">
        <v>9.8000000000000007</v>
      </c>
      <c r="J295" s="134">
        <v>2125842.5090000001</v>
      </c>
      <c r="K295" s="120">
        <f t="shared" si="65"/>
        <v>1030.9614495635306</v>
      </c>
      <c r="L295" s="122">
        <f t="shared" si="55"/>
        <v>2169227.0499999998</v>
      </c>
      <c r="M295" s="116">
        <f t="shared" si="56"/>
        <v>43384.540999999736</v>
      </c>
      <c r="N295" s="123">
        <f t="shared" si="57"/>
        <v>21.040029582929066</v>
      </c>
      <c r="O295" s="5"/>
      <c r="P295" s="5">
        <f t="shared" si="58"/>
        <v>1</v>
      </c>
      <c r="Q295" s="7">
        <f t="shared" si="59"/>
        <v>2062</v>
      </c>
      <c r="W295" s="124">
        <f t="shared" si="60"/>
        <v>2125842.5090000001</v>
      </c>
      <c r="X295">
        <f t="shared" si="61"/>
        <v>0</v>
      </c>
    </row>
    <row r="296" spans="1:24">
      <c r="A296" s="23" t="s">
        <v>322</v>
      </c>
      <c r="B296" s="35" t="s">
        <v>300</v>
      </c>
      <c r="C296" s="125">
        <v>12622</v>
      </c>
      <c r="D296" s="132">
        <v>3267607190</v>
      </c>
      <c r="E296" s="116">
        <f t="shared" si="62"/>
        <v>258881.88797337981</v>
      </c>
      <c r="F296" s="134">
        <v>2344581746</v>
      </c>
      <c r="G296" s="117">
        <f t="shared" si="63"/>
        <v>185753.58469339248</v>
      </c>
      <c r="H296" s="7"/>
      <c r="I296" s="136">
        <v>7.5</v>
      </c>
      <c r="J296" s="134">
        <v>17584363.094999999</v>
      </c>
      <c r="K296" s="120">
        <f t="shared" si="65"/>
        <v>1393.1518852004435</v>
      </c>
      <c r="L296" s="122">
        <f t="shared" si="55"/>
        <v>23445817.460000001</v>
      </c>
      <c r="M296" s="116">
        <f t="shared" si="56"/>
        <v>5861454.3650000021</v>
      </c>
      <c r="N296" s="123">
        <f t="shared" si="57"/>
        <v>464.38396173348139</v>
      </c>
      <c r="O296" s="5"/>
      <c r="P296" s="5">
        <f t="shared" si="58"/>
        <v>1</v>
      </c>
      <c r="Q296" s="7">
        <f t="shared" si="59"/>
        <v>12622</v>
      </c>
      <c r="W296" s="124">
        <f t="shared" si="60"/>
        <v>17584363.094999999</v>
      </c>
      <c r="X296">
        <f t="shared" si="61"/>
        <v>0</v>
      </c>
    </row>
    <row r="297" spans="1:24">
      <c r="A297" s="23" t="s">
        <v>323</v>
      </c>
      <c r="B297" s="35" t="s">
        <v>300</v>
      </c>
      <c r="C297" s="125">
        <v>1836</v>
      </c>
      <c r="D297" s="132">
        <v>1378574742</v>
      </c>
      <c r="E297" s="116">
        <f t="shared" si="62"/>
        <v>750857.70261437912</v>
      </c>
      <c r="F297" s="134">
        <v>1050485327</v>
      </c>
      <c r="G297" s="117">
        <f t="shared" si="63"/>
        <v>572159.76416122005</v>
      </c>
      <c r="H297" s="9"/>
      <c r="I297" s="136">
        <v>5.35</v>
      </c>
      <c r="J297" s="134">
        <v>5620096.49945</v>
      </c>
      <c r="K297" s="120">
        <f t="shared" si="65"/>
        <v>3061.0547382625273</v>
      </c>
      <c r="L297" s="122">
        <f t="shared" si="55"/>
        <v>10504853.27</v>
      </c>
      <c r="M297" s="116">
        <f t="shared" si="56"/>
        <v>4884756.7705499995</v>
      </c>
      <c r="N297" s="123">
        <f t="shared" si="57"/>
        <v>2660.542903349673</v>
      </c>
      <c r="O297" s="5"/>
      <c r="P297" s="5">
        <f t="shared" si="58"/>
        <v>1</v>
      </c>
      <c r="Q297" s="7">
        <f t="shared" si="59"/>
        <v>1836</v>
      </c>
      <c r="W297" s="124">
        <f t="shared" si="60"/>
        <v>5620096.49945</v>
      </c>
      <c r="X297">
        <f t="shared" si="61"/>
        <v>0</v>
      </c>
    </row>
    <row r="298" spans="1:24">
      <c r="A298" s="23" t="s">
        <v>324</v>
      </c>
      <c r="B298" s="35" t="s">
        <v>300</v>
      </c>
      <c r="C298" s="125">
        <v>5907</v>
      </c>
      <c r="D298" s="132">
        <v>238871765</v>
      </c>
      <c r="E298" s="116">
        <f t="shared" si="62"/>
        <v>40438.761638733704</v>
      </c>
      <c r="F298" s="134">
        <v>89397189</v>
      </c>
      <c r="G298" s="117">
        <f t="shared" si="63"/>
        <v>15134.110208227527</v>
      </c>
      <c r="H298" s="7"/>
      <c r="I298" s="136">
        <v>6.5419</v>
      </c>
      <c r="J298" s="134">
        <v>584827.47071909998</v>
      </c>
      <c r="K298" s="120">
        <f t="shared" si="65"/>
        <v>99.005835571203647</v>
      </c>
      <c r="L298" s="122">
        <f t="shared" si="55"/>
        <v>893971.89</v>
      </c>
      <c r="M298" s="116">
        <f t="shared" si="56"/>
        <v>309144.41928090004</v>
      </c>
      <c r="N298" s="123">
        <f t="shared" si="57"/>
        <v>52.335266511071616</v>
      </c>
      <c r="O298" s="5"/>
      <c r="P298" s="5">
        <f t="shared" si="58"/>
        <v>1</v>
      </c>
      <c r="Q298" s="7">
        <f t="shared" si="59"/>
        <v>5907</v>
      </c>
      <c r="W298" s="124">
        <f t="shared" si="60"/>
        <v>584827.47071909998</v>
      </c>
      <c r="X298">
        <f t="shared" si="61"/>
        <v>0</v>
      </c>
    </row>
    <row r="299" spans="1:24">
      <c r="A299" s="23" t="s">
        <v>300</v>
      </c>
      <c r="B299" s="35" t="s">
        <v>300</v>
      </c>
      <c r="C299" s="125">
        <v>8321</v>
      </c>
      <c r="D299" s="132">
        <v>24225710114</v>
      </c>
      <c r="E299" s="116">
        <f t="shared" si="62"/>
        <v>2911394.0769138327</v>
      </c>
      <c r="F299" s="134">
        <v>19175353217</v>
      </c>
      <c r="G299" s="117">
        <f t="shared" si="63"/>
        <v>2304452.9764451389</v>
      </c>
      <c r="H299" s="7"/>
      <c r="I299" s="136">
        <v>3.0680999999999998</v>
      </c>
      <c r="J299" s="134">
        <v>58831901.2050777</v>
      </c>
      <c r="K299" s="120">
        <f t="shared" si="65"/>
        <v>7070.2921770313305</v>
      </c>
      <c r="L299" s="122">
        <f t="shared" si="55"/>
        <v>191753532.17000002</v>
      </c>
      <c r="M299" s="116">
        <f t="shared" si="56"/>
        <v>132921630.96492231</v>
      </c>
      <c r="N299" s="123">
        <f t="shared" si="57"/>
        <v>15974.237587420059</v>
      </c>
      <c r="O299" s="5"/>
      <c r="P299" s="5">
        <f t="shared" si="58"/>
        <v>1</v>
      </c>
      <c r="Q299" s="7">
        <f t="shared" si="59"/>
        <v>8321</v>
      </c>
      <c r="W299" s="124">
        <f t="shared" si="60"/>
        <v>58831901.205077693</v>
      </c>
      <c r="X299">
        <f t="shared" si="61"/>
        <v>0</v>
      </c>
    </row>
    <row r="300" spans="1:24">
      <c r="A300" s="23" t="s">
        <v>325</v>
      </c>
      <c r="B300" s="35" t="s">
        <v>300</v>
      </c>
      <c r="C300" s="125">
        <v>55621</v>
      </c>
      <c r="D300" s="132">
        <v>15861880186</v>
      </c>
      <c r="E300" s="116">
        <f t="shared" si="62"/>
        <v>285177.90377735026</v>
      </c>
      <c r="F300" s="134">
        <v>12644779817</v>
      </c>
      <c r="G300" s="117">
        <f t="shared" si="63"/>
        <v>227338.23226838783</v>
      </c>
      <c r="H300" s="7"/>
      <c r="I300" s="136">
        <v>5.55</v>
      </c>
      <c r="J300" s="134">
        <v>70178527.984349996</v>
      </c>
      <c r="K300" s="120">
        <f t="shared" si="65"/>
        <v>1261.7271890895524</v>
      </c>
      <c r="L300" s="122">
        <f t="shared" si="55"/>
        <v>126447798.17</v>
      </c>
      <c r="M300" s="116">
        <f t="shared" si="56"/>
        <v>56269270.185650006</v>
      </c>
      <c r="N300" s="123">
        <f t="shared" si="57"/>
        <v>1011.655133594326</v>
      </c>
      <c r="O300" s="5"/>
      <c r="P300" s="5">
        <f t="shared" si="58"/>
        <v>1</v>
      </c>
      <c r="Q300" s="7">
        <f t="shared" si="59"/>
        <v>55621</v>
      </c>
      <c r="W300" s="124">
        <f t="shared" si="60"/>
        <v>70178527.984349996</v>
      </c>
      <c r="X300">
        <f t="shared" si="61"/>
        <v>0</v>
      </c>
    </row>
    <row r="301" spans="1:24">
      <c r="A301" s="23" t="s">
        <v>326</v>
      </c>
      <c r="B301" s="35" t="s">
        <v>300</v>
      </c>
      <c r="C301" s="125">
        <v>1193</v>
      </c>
      <c r="D301" s="132">
        <v>699183495</v>
      </c>
      <c r="E301" s="116">
        <f t="shared" si="62"/>
        <v>586071.66387259006</v>
      </c>
      <c r="F301" s="134">
        <v>606748300</v>
      </c>
      <c r="G301" s="117">
        <f t="shared" si="63"/>
        <v>508590.36043587595</v>
      </c>
      <c r="H301" s="9"/>
      <c r="I301" s="136">
        <v>6.35</v>
      </c>
      <c r="J301" s="134">
        <v>3852851.7050000001</v>
      </c>
      <c r="K301" s="120">
        <f t="shared" si="65"/>
        <v>3229.5487887678123</v>
      </c>
      <c r="L301" s="122">
        <f t="shared" si="55"/>
        <v>6067483</v>
      </c>
      <c r="M301" s="116">
        <f t="shared" si="56"/>
        <v>2214631.2949999999</v>
      </c>
      <c r="N301" s="123">
        <f t="shared" si="57"/>
        <v>1856.3548155909471</v>
      </c>
      <c r="O301" s="5"/>
      <c r="P301" s="5">
        <f t="shared" si="58"/>
        <v>1</v>
      </c>
      <c r="Q301" s="7">
        <f t="shared" si="59"/>
        <v>1193</v>
      </c>
      <c r="W301" s="124">
        <f t="shared" si="60"/>
        <v>3852851.7050000001</v>
      </c>
      <c r="X301">
        <f t="shared" si="61"/>
        <v>0</v>
      </c>
    </row>
    <row r="302" spans="1:24">
      <c r="A302" s="23" t="s">
        <v>327</v>
      </c>
      <c r="B302" s="35" t="s">
        <v>300</v>
      </c>
      <c r="C302" s="125">
        <v>23560</v>
      </c>
      <c r="D302" s="132">
        <v>2000538457</v>
      </c>
      <c r="E302" s="116">
        <f t="shared" si="62"/>
        <v>84912.498174872671</v>
      </c>
      <c r="F302" s="134">
        <v>1322323161</v>
      </c>
      <c r="G302" s="117">
        <f t="shared" si="63"/>
        <v>56125.770840407473</v>
      </c>
      <c r="H302" s="7"/>
      <c r="I302" s="136">
        <v>3.5</v>
      </c>
      <c r="J302" s="134">
        <v>4628131.0635000002</v>
      </c>
      <c r="K302" s="120">
        <f t="shared" si="65"/>
        <v>196.44019794142616</v>
      </c>
      <c r="L302" s="122">
        <f t="shared" si="55"/>
        <v>13223231.609999999</v>
      </c>
      <c r="M302" s="116">
        <f t="shared" si="56"/>
        <v>8595100.5464999992</v>
      </c>
      <c r="N302" s="123">
        <f t="shared" si="57"/>
        <v>364.8175104626485</v>
      </c>
      <c r="O302" s="5"/>
      <c r="P302" s="5">
        <f t="shared" si="58"/>
        <v>1</v>
      </c>
      <c r="Q302" s="7">
        <f t="shared" si="59"/>
        <v>23560</v>
      </c>
      <c r="W302" s="124">
        <f t="shared" si="60"/>
        <v>4628131.0635000002</v>
      </c>
      <c r="X302">
        <f t="shared" si="61"/>
        <v>0</v>
      </c>
    </row>
    <row r="303" spans="1:24">
      <c r="A303" s="23" t="s">
        <v>328</v>
      </c>
      <c r="B303" s="35" t="s">
        <v>300</v>
      </c>
      <c r="C303" s="125">
        <v>35735</v>
      </c>
      <c r="D303" s="132">
        <v>7380651674</v>
      </c>
      <c r="E303" s="116">
        <f t="shared" si="62"/>
        <v>206538.45456835037</v>
      </c>
      <c r="F303" s="134">
        <v>5593032045</v>
      </c>
      <c r="G303" s="117">
        <f t="shared" si="63"/>
        <v>156514.11907093885</v>
      </c>
      <c r="H303" s="7"/>
      <c r="I303" s="136">
        <v>8.452</v>
      </c>
      <c r="J303" s="134">
        <v>47272306.844339997</v>
      </c>
      <c r="K303" s="120">
        <f t="shared" si="65"/>
        <v>1322.8573343875751</v>
      </c>
      <c r="L303" s="122">
        <f t="shared" si="55"/>
        <v>55930320.450000003</v>
      </c>
      <c r="M303" s="116">
        <f t="shared" si="56"/>
        <v>8658013.6056600064</v>
      </c>
      <c r="N303" s="123">
        <f t="shared" si="57"/>
        <v>242.28385632181352</v>
      </c>
      <c r="O303" s="5"/>
      <c r="P303" s="5">
        <f t="shared" si="58"/>
        <v>1</v>
      </c>
      <c r="Q303" s="7">
        <f t="shared" si="59"/>
        <v>35735</v>
      </c>
      <c r="W303" s="124">
        <f t="shared" si="60"/>
        <v>47272306.844339997</v>
      </c>
      <c r="X303">
        <f t="shared" si="61"/>
        <v>0</v>
      </c>
    </row>
    <row r="304" spans="1:24">
      <c r="A304" s="23" t="s">
        <v>329</v>
      </c>
      <c r="B304" s="35" t="s">
        <v>300</v>
      </c>
      <c r="C304" s="125">
        <v>38691</v>
      </c>
      <c r="D304" s="132">
        <v>4428298570</v>
      </c>
      <c r="E304" s="116">
        <f t="shared" si="62"/>
        <v>114452.93660024295</v>
      </c>
      <c r="F304" s="134">
        <v>2970217503</v>
      </c>
      <c r="G304" s="117">
        <f t="shared" si="63"/>
        <v>76767.659223075127</v>
      </c>
      <c r="H304" s="7"/>
      <c r="I304" s="136">
        <v>1.92</v>
      </c>
      <c r="J304" s="134">
        <v>5702817.6057600006</v>
      </c>
      <c r="K304" s="120">
        <f t="shared" si="65"/>
        <v>147.39390570830426</v>
      </c>
      <c r="L304" s="122">
        <f t="shared" si="55"/>
        <v>29702175.030000001</v>
      </c>
      <c r="M304" s="116">
        <f t="shared" si="56"/>
        <v>23999357.424240001</v>
      </c>
      <c r="N304" s="123">
        <f t="shared" si="57"/>
        <v>620.28268652244708</v>
      </c>
      <c r="O304" s="5"/>
      <c r="P304" s="5">
        <f t="shared" si="58"/>
        <v>1</v>
      </c>
      <c r="Q304" s="7">
        <f t="shared" si="59"/>
        <v>38691</v>
      </c>
      <c r="W304" s="124">
        <f t="shared" si="60"/>
        <v>5702817.6057599997</v>
      </c>
      <c r="X304">
        <f t="shared" si="61"/>
        <v>0</v>
      </c>
    </row>
    <row r="305" spans="1:24">
      <c r="A305" s="23" t="s">
        <v>330</v>
      </c>
      <c r="B305" s="35" t="s">
        <v>300</v>
      </c>
      <c r="C305" s="125">
        <v>5270</v>
      </c>
      <c r="D305" s="132">
        <v>167464250</v>
      </c>
      <c r="E305" s="116">
        <f t="shared" si="62"/>
        <v>31776.897533206829</v>
      </c>
      <c r="F305" s="134">
        <v>69047186</v>
      </c>
      <c r="G305" s="117">
        <f t="shared" si="63"/>
        <v>13101.932827324477</v>
      </c>
      <c r="H305" s="7"/>
      <c r="I305" s="136">
        <v>6.3089000000000004</v>
      </c>
      <c r="J305" s="134">
        <v>435611.79175540002</v>
      </c>
      <c r="K305" s="120">
        <f t="shared" si="65"/>
        <v>82.6587840143074</v>
      </c>
      <c r="L305" s="122">
        <f t="shared" si="55"/>
        <v>690471.86</v>
      </c>
      <c r="M305" s="116">
        <f t="shared" si="56"/>
        <v>254860.06824459997</v>
      </c>
      <c r="N305" s="123">
        <f t="shared" si="57"/>
        <v>48.360544258937374</v>
      </c>
      <c r="O305" s="5"/>
      <c r="P305" s="5">
        <f t="shared" si="58"/>
        <v>1</v>
      </c>
      <c r="Q305" s="7">
        <f t="shared" si="59"/>
        <v>5270</v>
      </c>
      <c r="W305" s="124">
        <f t="shared" si="60"/>
        <v>435611.79175540002</v>
      </c>
      <c r="X305">
        <f t="shared" si="61"/>
        <v>0</v>
      </c>
    </row>
    <row r="306" spans="1:24">
      <c r="A306" s="23" t="s">
        <v>331</v>
      </c>
      <c r="B306" s="35" t="s">
        <v>300</v>
      </c>
      <c r="C306" s="125">
        <v>1448</v>
      </c>
      <c r="D306" s="132">
        <v>429812638</v>
      </c>
      <c r="E306" s="116">
        <f t="shared" si="62"/>
        <v>296831.93232044199</v>
      </c>
      <c r="F306" s="134">
        <v>361062621</v>
      </c>
      <c r="G306" s="117">
        <f t="shared" si="63"/>
        <v>249352.63881215471</v>
      </c>
      <c r="H306" s="7"/>
      <c r="I306" s="136">
        <v>3.5935000000000001</v>
      </c>
      <c r="J306" s="134">
        <v>1297478.5285635001</v>
      </c>
      <c r="K306" s="120">
        <f t="shared" si="65"/>
        <v>896.04870757147796</v>
      </c>
      <c r="L306" s="122">
        <f t="shared" si="55"/>
        <v>3610626.21</v>
      </c>
      <c r="M306" s="116">
        <f t="shared" si="56"/>
        <v>2313147.6814364996</v>
      </c>
      <c r="N306" s="123">
        <f t="shared" si="57"/>
        <v>1597.4776805500687</v>
      </c>
      <c r="O306" s="5"/>
      <c r="P306" s="5">
        <f t="shared" si="58"/>
        <v>1</v>
      </c>
      <c r="Q306" s="7">
        <f t="shared" si="59"/>
        <v>1448</v>
      </c>
      <c r="W306" s="124">
        <f t="shared" si="60"/>
        <v>1297478.5285635001</v>
      </c>
      <c r="X306">
        <f t="shared" si="61"/>
        <v>0</v>
      </c>
    </row>
    <row r="307" spans="1:24">
      <c r="A307" s="23" t="s">
        <v>332</v>
      </c>
      <c r="B307" s="35" t="s">
        <v>300</v>
      </c>
      <c r="C307" s="125">
        <v>5850</v>
      </c>
      <c r="D307" s="132">
        <v>1642485845</v>
      </c>
      <c r="E307" s="116">
        <f t="shared" si="62"/>
        <v>280766.81111111114</v>
      </c>
      <c r="F307" s="134">
        <v>1171870845</v>
      </c>
      <c r="G307" s="117">
        <f t="shared" si="63"/>
        <v>200319.80256410257</v>
      </c>
      <c r="H307" s="7"/>
      <c r="I307" s="136">
        <v>6.6289999999999996</v>
      </c>
      <c r="J307" s="134">
        <v>7768331.8315049987</v>
      </c>
      <c r="K307" s="120">
        <f t="shared" si="65"/>
        <v>1327.9199711974356</v>
      </c>
      <c r="L307" s="122">
        <f t="shared" si="55"/>
        <v>11718708.450000001</v>
      </c>
      <c r="M307" s="116">
        <f t="shared" si="56"/>
        <v>3950376.6184950024</v>
      </c>
      <c r="N307" s="123">
        <f t="shared" si="57"/>
        <v>675.27805444359012</v>
      </c>
      <c r="O307" s="5"/>
      <c r="P307" s="5">
        <f t="shared" si="58"/>
        <v>1</v>
      </c>
      <c r="Q307" s="7">
        <f t="shared" si="59"/>
        <v>5850</v>
      </c>
      <c r="W307" s="124">
        <f t="shared" si="60"/>
        <v>7768331.8315049997</v>
      </c>
      <c r="X307">
        <f t="shared" si="61"/>
        <v>0</v>
      </c>
    </row>
    <row r="308" spans="1:24">
      <c r="A308" s="23" t="s">
        <v>333</v>
      </c>
      <c r="B308" s="35" t="s">
        <v>300</v>
      </c>
      <c r="C308" s="125">
        <v>62373</v>
      </c>
      <c r="D308" s="132">
        <v>12599614174</v>
      </c>
      <c r="E308" s="116">
        <f t="shared" si="62"/>
        <v>202004.29952062591</v>
      </c>
      <c r="F308" s="134">
        <v>8639464341</v>
      </c>
      <c r="G308" s="117">
        <f t="shared" si="63"/>
        <v>138512.887643692</v>
      </c>
      <c r="H308" s="7"/>
      <c r="I308" s="136">
        <v>2.4700000000000002</v>
      </c>
      <c r="J308" s="134">
        <v>21339476.92227</v>
      </c>
      <c r="K308" s="120">
        <f t="shared" si="65"/>
        <v>342.12683247991919</v>
      </c>
      <c r="L308" s="122">
        <f t="shared" si="55"/>
        <v>86394643.409999996</v>
      </c>
      <c r="M308" s="116">
        <f t="shared" si="56"/>
        <v>65055166.487729996</v>
      </c>
      <c r="N308" s="123">
        <f t="shared" si="57"/>
        <v>1043.0020439570005</v>
      </c>
      <c r="O308" s="5"/>
      <c r="P308" s="5">
        <f t="shared" si="58"/>
        <v>1</v>
      </c>
      <c r="Q308" s="7">
        <f t="shared" si="59"/>
        <v>62373</v>
      </c>
      <c r="W308" s="124">
        <f t="shared" si="60"/>
        <v>21339476.922270004</v>
      </c>
      <c r="X308">
        <f t="shared" si="61"/>
        <v>0</v>
      </c>
    </row>
    <row r="309" spans="1:24">
      <c r="A309" s="24" t="s">
        <v>334</v>
      </c>
      <c r="B309" s="35" t="s">
        <v>300</v>
      </c>
      <c r="C309" s="125">
        <v>115176</v>
      </c>
      <c r="D309" s="132">
        <v>19553832519</v>
      </c>
      <c r="E309" s="116">
        <f t="shared" si="62"/>
        <v>169773.49898416337</v>
      </c>
      <c r="F309" s="134">
        <v>13577595375</v>
      </c>
      <c r="G309" s="117">
        <f t="shared" si="63"/>
        <v>117885.63046988955</v>
      </c>
      <c r="H309" s="7"/>
      <c r="I309" s="136">
        <v>8.3465000000000007</v>
      </c>
      <c r="J309" s="134">
        <v>113325399.79743752</v>
      </c>
      <c r="K309" s="120">
        <f t="shared" si="65"/>
        <v>983.93241471693341</v>
      </c>
      <c r="L309" s="122">
        <f>(F309*0.01)</f>
        <v>135775953.75</v>
      </c>
      <c r="M309" s="116">
        <f>(L309-J309)</f>
        <v>22450553.952562481</v>
      </c>
      <c r="N309" s="123">
        <f>(M309/C309)</f>
        <v>194.92388998196222</v>
      </c>
      <c r="O309" s="5"/>
      <c r="P309" s="5">
        <f>IF(I309&gt;0,1,0)</f>
        <v>1</v>
      </c>
      <c r="Q309" s="7">
        <f>IF(I309&gt;0,C309,0)</f>
        <v>115176</v>
      </c>
      <c r="S309" s="124"/>
      <c r="T309" s="124"/>
      <c r="U309" s="124"/>
      <c r="W309" s="124">
        <f t="shared" si="60"/>
        <v>113325399.79743752</v>
      </c>
      <c r="X309">
        <f t="shared" si="61"/>
        <v>0</v>
      </c>
    </row>
    <row r="310" spans="1:24">
      <c r="A310" s="23" t="s">
        <v>614</v>
      </c>
      <c r="B310" s="35" t="s">
        <v>300</v>
      </c>
      <c r="C310" s="125">
        <v>380</v>
      </c>
      <c r="D310" s="132">
        <v>258006012</v>
      </c>
      <c r="E310" s="116">
        <f t="shared" si="62"/>
        <v>678963.18947368418</v>
      </c>
      <c r="F310" s="134">
        <v>108206287</v>
      </c>
      <c r="G310" s="117">
        <f t="shared" si="63"/>
        <v>284753.38684210525</v>
      </c>
      <c r="H310" s="7"/>
      <c r="I310" s="136">
        <v>5.125</v>
      </c>
      <c r="J310" s="134">
        <v>554557.220875</v>
      </c>
      <c r="K310" s="120">
        <f t="shared" si="65"/>
        <v>1459.3611075657896</v>
      </c>
      <c r="L310" s="122">
        <f t="shared" si="55"/>
        <v>1082062.8700000001</v>
      </c>
      <c r="M310" s="116">
        <f t="shared" si="56"/>
        <v>527505.64912500011</v>
      </c>
      <c r="N310" s="123">
        <f t="shared" si="57"/>
        <v>1388.1727608552635</v>
      </c>
      <c r="O310" s="5"/>
      <c r="P310" s="5">
        <f t="shared" si="58"/>
        <v>1</v>
      </c>
      <c r="Q310" s="7">
        <f t="shared" si="59"/>
        <v>380</v>
      </c>
      <c r="S310" s="124">
        <f>SUM(D272:D310)</f>
        <v>186774629882</v>
      </c>
      <c r="T310" s="124">
        <f>SUM(F272:F310)</f>
        <v>138737874996</v>
      </c>
      <c r="U310" s="124">
        <f>SUM(J272:J310)</f>
        <v>664882941.2748512</v>
      </c>
      <c r="W310" s="124">
        <f t="shared" si="60"/>
        <v>554557.220875</v>
      </c>
      <c r="X310">
        <f t="shared" si="61"/>
        <v>0</v>
      </c>
    </row>
    <row r="311" spans="1:24">
      <c r="A311" s="23" t="s">
        <v>335</v>
      </c>
      <c r="B311" s="35" t="s">
        <v>336</v>
      </c>
      <c r="C311" s="125">
        <v>7314</v>
      </c>
      <c r="D311" s="132">
        <v>677981907</v>
      </c>
      <c r="E311" s="116">
        <f t="shared" si="62"/>
        <v>92696.459803117308</v>
      </c>
      <c r="F311" s="134">
        <v>285406784</v>
      </c>
      <c r="G311" s="117">
        <f t="shared" si="63"/>
        <v>39021.983046212743</v>
      </c>
      <c r="H311" s="7"/>
      <c r="I311" s="136">
        <v>7.14</v>
      </c>
      <c r="J311" s="134">
        <v>2037804.4377599999</v>
      </c>
      <c r="K311" s="120">
        <f t="shared" si="65"/>
        <v>278.61695894995898</v>
      </c>
      <c r="L311" s="122">
        <f t="shared" si="55"/>
        <v>2854067.84</v>
      </c>
      <c r="M311" s="116">
        <f t="shared" si="56"/>
        <v>816263.40223999997</v>
      </c>
      <c r="N311" s="123">
        <f t="shared" si="57"/>
        <v>111.60287151216843</v>
      </c>
      <c r="O311" s="5"/>
      <c r="P311" s="5">
        <f t="shared" si="58"/>
        <v>1</v>
      </c>
      <c r="Q311" s="7">
        <f t="shared" si="59"/>
        <v>7314</v>
      </c>
      <c r="W311" s="124">
        <f t="shared" si="60"/>
        <v>2037804.4377599999</v>
      </c>
      <c r="X311">
        <f t="shared" si="61"/>
        <v>0</v>
      </c>
    </row>
    <row r="312" spans="1:24">
      <c r="A312" s="23" t="s">
        <v>337</v>
      </c>
      <c r="B312" s="35" t="s">
        <v>336</v>
      </c>
      <c r="C312" s="125">
        <v>16027</v>
      </c>
      <c r="D312" s="132">
        <v>1086314862</v>
      </c>
      <c r="E312" s="116">
        <f t="shared" si="62"/>
        <v>67780.299619392274</v>
      </c>
      <c r="F312" s="134">
        <v>625499749</v>
      </c>
      <c r="G312" s="117">
        <f t="shared" si="63"/>
        <v>39027.874773819181</v>
      </c>
      <c r="H312" s="7"/>
      <c r="I312" s="136">
        <v>8.75</v>
      </c>
      <c r="J312" s="134">
        <v>5473122.80375</v>
      </c>
      <c r="K312" s="120">
        <f t="shared" si="65"/>
        <v>341.49390427091782</v>
      </c>
      <c r="L312" s="122">
        <f t="shared" si="55"/>
        <v>6254997.4900000002</v>
      </c>
      <c r="M312" s="116">
        <f t="shared" si="56"/>
        <v>781874.68625000026</v>
      </c>
      <c r="N312" s="123">
        <f t="shared" si="57"/>
        <v>48.784843467273994</v>
      </c>
      <c r="O312" s="5"/>
      <c r="P312" s="5">
        <f t="shared" si="58"/>
        <v>1</v>
      </c>
      <c r="Q312" s="7">
        <f t="shared" si="59"/>
        <v>16027</v>
      </c>
      <c r="W312" s="124">
        <f t="shared" si="60"/>
        <v>5473122.8037500009</v>
      </c>
      <c r="X312">
        <f t="shared" si="61"/>
        <v>0</v>
      </c>
    </row>
    <row r="313" spans="1:24">
      <c r="A313" s="23" t="s">
        <v>338</v>
      </c>
      <c r="B313" s="35" t="s">
        <v>336</v>
      </c>
      <c r="C313" s="125">
        <v>2862</v>
      </c>
      <c r="D313" s="132">
        <v>385375197</v>
      </c>
      <c r="E313" s="116">
        <f t="shared" si="62"/>
        <v>134652.40985324947</v>
      </c>
      <c r="F313" s="134">
        <v>298127919</v>
      </c>
      <c r="G313" s="117">
        <f t="shared" si="63"/>
        <v>104167.68658280923</v>
      </c>
      <c r="H313" s="7"/>
      <c r="I313" s="136">
        <v>5.7847</v>
      </c>
      <c r="J313" s="134">
        <v>1724580.5730393</v>
      </c>
      <c r="K313" s="120">
        <f t="shared" si="65"/>
        <v>602.57881657557652</v>
      </c>
      <c r="L313" s="122">
        <f t="shared" si="55"/>
        <v>2981279.19</v>
      </c>
      <c r="M313" s="116">
        <f t="shared" si="56"/>
        <v>1256698.6169606999</v>
      </c>
      <c r="N313" s="123">
        <f t="shared" si="57"/>
        <v>439.09804925251569</v>
      </c>
      <c r="O313" s="5"/>
      <c r="P313" s="5">
        <f t="shared" si="58"/>
        <v>1</v>
      </c>
      <c r="Q313" s="7">
        <f t="shared" si="59"/>
        <v>2862</v>
      </c>
      <c r="W313" s="124">
        <f t="shared" si="60"/>
        <v>1724580.5730393</v>
      </c>
      <c r="X313">
        <f t="shared" si="61"/>
        <v>0</v>
      </c>
    </row>
    <row r="314" spans="1:24">
      <c r="A314" s="24" t="s">
        <v>339</v>
      </c>
      <c r="B314" s="35" t="s">
        <v>336</v>
      </c>
      <c r="C314" s="125">
        <v>1320</v>
      </c>
      <c r="D314" s="132">
        <v>126887505</v>
      </c>
      <c r="E314" s="116">
        <f t="shared" si="62"/>
        <v>96126.897727272721</v>
      </c>
      <c r="F314" s="134">
        <v>69398787</v>
      </c>
      <c r="G314" s="117">
        <f t="shared" si="63"/>
        <v>52574.838636363638</v>
      </c>
      <c r="H314" s="7"/>
      <c r="I314" s="136">
        <v>4.1500000000000004</v>
      </c>
      <c r="J314" s="134">
        <v>288004.96604999999</v>
      </c>
      <c r="K314" s="120">
        <f t="shared" si="65"/>
        <v>218.18558034090907</v>
      </c>
      <c r="L314" s="122">
        <f t="shared" si="55"/>
        <v>693987.87</v>
      </c>
      <c r="M314" s="116">
        <f t="shared" si="56"/>
        <v>405982.90395000001</v>
      </c>
      <c r="N314" s="123">
        <f t="shared" si="57"/>
        <v>307.56280602272727</v>
      </c>
      <c r="O314" s="5"/>
      <c r="P314" s="5">
        <f t="shared" si="58"/>
        <v>1</v>
      </c>
      <c r="Q314" s="7">
        <f t="shared" si="59"/>
        <v>1320</v>
      </c>
      <c r="W314" s="124">
        <f t="shared" si="60"/>
        <v>288004.96604999999</v>
      </c>
      <c r="X314">
        <f t="shared" si="61"/>
        <v>0</v>
      </c>
    </row>
    <row r="315" spans="1:24">
      <c r="A315" s="23" t="s">
        <v>547</v>
      </c>
      <c r="B315" s="35" t="s">
        <v>336</v>
      </c>
      <c r="C315" s="125">
        <v>1325</v>
      </c>
      <c r="D315" s="132">
        <v>77411592</v>
      </c>
      <c r="E315" s="116">
        <f t="shared" si="62"/>
        <v>58423.843018867927</v>
      </c>
      <c r="F315" s="134">
        <v>10294326</v>
      </c>
      <c r="G315" s="117">
        <f t="shared" si="63"/>
        <v>7769.3026415094337</v>
      </c>
      <c r="H315" s="7"/>
      <c r="I315" s="136">
        <v>0.7</v>
      </c>
      <c r="J315" s="134">
        <v>7206.0281999999988</v>
      </c>
      <c r="K315" s="120">
        <f t="shared" si="65"/>
        <v>5.4385118490566029</v>
      </c>
      <c r="L315" s="122">
        <f t="shared" si="55"/>
        <v>102943.26000000001</v>
      </c>
      <c r="M315" s="116">
        <f t="shared" si="56"/>
        <v>95737.231800000009</v>
      </c>
      <c r="N315" s="123">
        <f t="shared" si="57"/>
        <v>72.254514566037741</v>
      </c>
      <c r="O315" s="5"/>
      <c r="P315" s="5">
        <f t="shared" si="58"/>
        <v>1</v>
      </c>
      <c r="Q315" s="7">
        <f t="shared" si="59"/>
        <v>1325</v>
      </c>
      <c r="S315" s="124"/>
      <c r="T315" s="124"/>
      <c r="U315" s="124"/>
      <c r="W315" s="124">
        <f t="shared" si="60"/>
        <v>7206.0281999999997</v>
      </c>
      <c r="X315">
        <f t="shared" si="61"/>
        <v>0</v>
      </c>
    </row>
    <row r="316" spans="1:24">
      <c r="A316" s="23" t="s">
        <v>340</v>
      </c>
      <c r="B316" s="35" t="s">
        <v>336</v>
      </c>
      <c r="C316" s="125">
        <v>16670</v>
      </c>
      <c r="D316" s="132">
        <v>1253288931</v>
      </c>
      <c r="E316" s="116">
        <f t="shared" si="62"/>
        <v>75182.29940011997</v>
      </c>
      <c r="F316" s="134">
        <v>774173659</v>
      </c>
      <c r="G316" s="117">
        <f t="shared" si="63"/>
        <v>46441.131313737249</v>
      </c>
      <c r="H316" s="7"/>
      <c r="I316" s="136">
        <v>6.35</v>
      </c>
      <c r="J316" s="134">
        <v>4916002.73465</v>
      </c>
      <c r="K316" s="120">
        <f t="shared" si="65"/>
        <v>294.90118384223155</v>
      </c>
      <c r="L316" s="122">
        <f t="shared" si="55"/>
        <v>7741736.5899999999</v>
      </c>
      <c r="M316" s="116">
        <f t="shared" si="56"/>
        <v>2825733.8553499999</v>
      </c>
      <c r="N316" s="123">
        <f t="shared" si="57"/>
        <v>169.51012929514096</v>
      </c>
      <c r="O316" s="5"/>
      <c r="P316" s="5">
        <f t="shared" si="58"/>
        <v>1</v>
      </c>
      <c r="Q316" s="7">
        <f t="shared" si="59"/>
        <v>16670</v>
      </c>
      <c r="S316" s="124">
        <f>SUM(D311:D316)</f>
        <v>3607259994</v>
      </c>
      <c r="T316" s="124">
        <f>SUM(F311:F316)</f>
        <v>2062901224</v>
      </c>
      <c r="U316" s="124">
        <f>SUM(J311:J316)</f>
        <v>14446721.543449301</v>
      </c>
      <c r="W316" s="124">
        <f t="shared" si="60"/>
        <v>4916002.73465</v>
      </c>
      <c r="X316">
        <f t="shared" si="61"/>
        <v>0</v>
      </c>
    </row>
    <row r="317" spans="1:24">
      <c r="A317" s="23" t="s">
        <v>341</v>
      </c>
      <c r="B317" s="35" t="s">
        <v>342</v>
      </c>
      <c r="C317" s="125">
        <v>4053</v>
      </c>
      <c r="D317" s="132">
        <v>1186251969</v>
      </c>
      <c r="E317" s="116">
        <f t="shared" si="62"/>
        <v>292684.91709844558</v>
      </c>
      <c r="F317" s="134">
        <v>816492865</v>
      </c>
      <c r="G317" s="117">
        <f t="shared" si="63"/>
        <v>201453.95139402911</v>
      </c>
      <c r="H317" s="7"/>
      <c r="I317" s="136">
        <v>6.5</v>
      </c>
      <c r="J317" s="134">
        <v>5307203.6224999996</v>
      </c>
      <c r="K317" s="120">
        <f t="shared" si="65"/>
        <v>1309.4506840611891</v>
      </c>
      <c r="L317" s="122">
        <f t="shared" si="55"/>
        <v>8164928.6500000004</v>
      </c>
      <c r="M317" s="116">
        <f t="shared" si="56"/>
        <v>2857725.0275000008</v>
      </c>
      <c r="N317" s="123">
        <f t="shared" si="57"/>
        <v>705.08882987910204</v>
      </c>
      <c r="O317" s="5"/>
      <c r="P317" s="5">
        <f t="shared" si="58"/>
        <v>1</v>
      </c>
      <c r="Q317" s="7">
        <f t="shared" si="59"/>
        <v>4053</v>
      </c>
      <c r="W317" s="124">
        <f t="shared" si="60"/>
        <v>5307203.6224999996</v>
      </c>
      <c r="X317">
        <f t="shared" si="61"/>
        <v>0</v>
      </c>
    </row>
    <row r="318" spans="1:24">
      <c r="A318" s="23" t="s">
        <v>343</v>
      </c>
      <c r="B318" s="35" t="s">
        <v>342</v>
      </c>
      <c r="C318" s="125">
        <v>1591</v>
      </c>
      <c r="D318" s="132">
        <v>747650516</v>
      </c>
      <c r="E318" s="116">
        <f t="shared" si="62"/>
        <v>469924.90006285353</v>
      </c>
      <c r="F318" s="134">
        <v>566642182</v>
      </c>
      <c r="G318" s="117">
        <f t="shared" si="63"/>
        <v>356154.73412947834</v>
      </c>
      <c r="H318" s="7"/>
      <c r="I318" s="136">
        <v>2.0394000000000001</v>
      </c>
      <c r="J318" s="134">
        <v>1155610.0659708001</v>
      </c>
      <c r="K318" s="120">
        <f t="shared" si="65"/>
        <v>726.34196478365811</v>
      </c>
      <c r="L318" s="122">
        <f t="shared" si="55"/>
        <v>5666421.8200000003</v>
      </c>
      <c r="M318" s="116">
        <f t="shared" si="56"/>
        <v>4510811.7540292004</v>
      </c>
      <c r="N318" s="123">
        <f t="shared" si="57"/>
        <v>2835.2053765111255</v>
      </c>
      <c r="O318" s="5"/>
      <c r="P318" s="5">
        <f t="shared" si="58"/>
        <v>1</v>
      </c>
      <c r="Q318" s="7">
        <f t="shared" si="59"/>
        <v>1591</v>
      </c>
      <c r="W318" s="124">
        <f t="shared" si="60"/>
        <v>1155610.0659708001</v>
      </c>
      <c r="X318">
        <f t="shared" si="61"/>
        <v>0</v>
      </c>
    </row>
    <row r="319" spans="1:24">
      <c r="A319" s="23" t="s">
        <v>344</v>
      </c>
      <c r="B319" s="35" t="s">
        <v>342</v>
      </c>
      <c r="C319" s="125">
        <v>2094</v>
      </c>
      <c r="D319" s="132">
        <v>344201182</v>
      </c>
      <c r="E319" s="116">
        <f t="shared" si="62"/>
        <v>164374.96752626551</v>
      </c>
      <c r="F319" s="134">
        <v>239651974</v>
      </c>
      <c r="G319" s="117">
        <f t="shared" si="63"/>
        <v>114446.97898758357</v>
      </c>
      <c r="H319" s="7"/>
      <c r="I319" s="136">
        <v>5.35</v>
      </c>
      <c r="J319" s="134">
        <v>1282138.0608999999</v>
      </c>
      <c r="K319" s="120">
        <f t="shared" si="65"/>
        <v>612.29133758357204</v>
      </c>
      <c r="L319" s="122">
        <f t="shared" si="55"/>
        <v>2396519.7400000002</v>
      </c>
      <c r="M319" s="116">
        <f t="shared" si="56"/>
        <v>1114381.6791000003</v>
      </c>
      <c r="N319" s="123">
        <f t="shared" si="57"/>
        <v>532.17845229226373</v>
      </c>
      <c r="O319" s="5"/>
      <c r="P319" s="5">
        <f t="shared" si="58"/>
        <v>1</v>
      </c>
      <c r="Q319" s="7">
        <f t="shared" si="59"/>
        <v>2094</v>
      </c>
      <c r="W319" s="124">
        <f t="shared" si="60"/>
        <v>1282138.0608999999</v>
      </c>
      <c r="X319">
        <f t="shared" si="61"/>
        <v>0</v>
      </c>
    </row>
    <row r="320" spans="1:24">
      <c r="A320" s="23" t="s">
        <v>345</v>
      </c>
      <c r="B320" s="35" t="s">
        <v>342</v>
      </c>
      <c r="C320" s="125">
        <v>116</v>
      </c>
      <c r="D320" s="132">
        <v>236998338</v>
      </c>
      <c r="E320" s="116">
        <f t="shared" si="62"/>
        <v>2043089.1206896552</v>
      </c>
      <c r="F320" s="134">
        <v>166329925</v>
      </c>
      <c r="G320" s="117">
        <f t="shared" si="63"/>
        <v>1433878.6637931035</v>
      </c>
      <c r="H320" s="7"/>
      <c r="I320" s="136">
        <v>0.63500000000000001</v>
      </c>
      <c r="J320" s="134">
        <v>105619.502375</v>
      </c>
      <c r="K320" s="120">
        <f t="shared" si="65"/>
        <v>910.51295150862063</v>
      </c>
      <c r="L320" s="122">
        <f t="shared" si="55"/>
        <v>1663299.25</v>
      </c>
      <c r="M320" s="116">
        <f t="shared" si="56"/>
        <v>1557679.7476250001</v>
      </c>
      <c r="N320" s="123">
        <f t="shared" si="57"/>
        <v>13428.273686422415</v>
      </c>
      <c r="O320" s="5"/>
      <c r="P320" s="5">
        <f t="shared" si="58"/>
        <v>1</v>
      </c>
      <c r="Q320" s="7">
        <f t="shared" si="59"/>
        <v>116</v>
      </c>
      <c r="W320" s="124">
        <f t="shared" si="60"/>
        <v>105619.50237500001</v>
      </c>
      <c r="X320">
        <f t="shared" si="61"/>
        <v>0</v>
      </c>
    </row>
    <row r="321" spans="1:24">
      <c r="A321" s="129" t="s">
        <v>346</v>
      </c>
      <c r="B321" s="130" t="s">
        <v>342</v>
      </c>
      <c r="C321" s="131">
        <v>116585</v>
      </c>
      <c r="D321" s="132">
        <v>17455241899</v>
      </c>
      <c r="E321" s="133">
        <f t="shared" si="62"/>
        <v>149721.16394905004</v>
      </c>
      <c r="F321" s="134">
        <v>11912552704</v>
      </c>
      <c r="G321" s="134">
        <f t="shared" si="63"/>
        <v>102179.11998970708</v>
      </c>
      <c r="H321" s="135"/>
      <c r="I321" s="136">
        <v>5.9550000000000001</v>
      </c>
      <c r="J321" s="134">
        <v>70939251.352320001</v>
      </c>
      <c r="K321" s="137">
        <f t="shared" si="65"/>
        <v>608.47665953870569</v>
      </c>
      <c r="L321" s="138">
        <f t="shared" si="55"/>
        <v>119125527.04000001</v>
      </c>
      <c r="M321" s="133">
        <f t="shared" si="56"/>
        <v>48186275.687680006</v>
      </c>
      <c r="N321" s="139">
        <f t="shared" si="57"/>
        <v>413.31454035836521</v>
      </c>
      <c r="O321" s="5"/>
      <c r="P321" s="5">
        <f t="shared" si="58"/>
        <v>1</v>
      </c>
      <c r="Q321" s="7">
        <f t="shared" si="59"/>
        <v>116585</v>
      </c>
      <c r="W321" s="124">
        <f t="shared" si="60"/>
        <v>70939251.352320001</v>
      </c>
      <c r="X321">
        <f t="shared" si="61"/>
        <v>0</v>
      </c>
    </row>
    <row r="322" spans="1:24">
      <c r="A322" s="23" t="s">
        <v>347</v>
      </c>
      <c r="B322" s="35" t="s">
        <v>342</v>
      </c>
      <c r="C322" s="125">
        <v>37623</v>
      </c>
      <c r="D322" s="132">
        <v>4728970102</v>
      </c>
      <c r="E322" s="116">
        <f t="shared" si="62"/>
        <v>125693.59439704436</v>
      </c>
      <c r="F322" s="134">
        <v>2823839751</v>
      </c>
      <c r="G322" s="117">
        <f t="shared" si="63"/>
        <v>75056.20899449804</v>
      </c>
      <c r="H322" s="7"/>
      <c r="I322" s="136">
        <v>4.1345000000000001</v>
      </c>
      <c r="J322" s="134">
        <v>11675165.4505095</v>
      </c>
      <c r="K322" s="120">
        <f t="shared" si="65"/>
        <v>310.31989608775217</v>
      </c>
      <c r="L322" s="122">
        <f t="shared" si="55"/>
        <v>28238397.510000002</v>
      </c>
      <c r="M322" s="116">
        <f t="shared" si="56"/>
        <v>16563232.059490502</v>
      </c>
      <c r="N322" s="123">
        <f t="shared" si="57"/>
        <v>440.24219385722836</v>
      </c>
      <c r="O322" s="5"/>
      <c r="P322" s="5">
        <f t="shared" si="58"/>
        <v>1</v>
      </c>
      <c r="Q322" s="7">
        <f t="shared" si="59"/>
        <v>37623</v>
      </c>
      <c r="W322" s="124">
        <f t="shared" si="60"/>
        <v>11675165.4505095</v>
      </c>
      <c r="X322">
        <f t="shared" si="61"/>
        <v>0</v>
      </c>
    </row>
    <row r="323" spans="1:24">
      <c r="A323" s="23" t="s">
        <v>348</v>
      </c>
      <c r="B323" s="35" t="s">
        <v>342</v>
      </c>
      <c r="C323" s="125">
        <v>12584</v>
      </c>
      <c r="D323" s="132">
        <v>1635860800</v>
      </c>
      <c r="E323" s="116">
        <f t="shared" si="62"/>
        <v>129995.29561347743</v>
      </c>
      <c r="F323" s="134">
        <v>1022089529</v>
      </c>
      <c r="G323" s="117">
        <f t="shared" si="63"/>
        <v>81221.354815638901</v>
      </c>
      <c r="H323" s="7"/>
      <c r="I323" s="136">
        <v>4.0389999999999997</v>
      </c>
      <c r="J323" s="134">
        <v>4128219.6076309998</v>
      </c>
      <c r="K323" s="120">
        <f t="shared" si="65"/>
        <v>328.05305210036551</v>
      </c>
      <c r="L323" s="122">
        <f t="shared" si="55"/>
        <v>10220895.290000001</v>
      </c>
      <c r="M323" s="116">
        <f t="shared" si="56"/>
        <v>6092675.6823690012</v>
      </c>
      <c r="N323" s="123">
        <f t="shared" si="57"/>
        <v>484.16049605602365</v>
      </c>
      <c r="O323" s="5"/>
      <c r="P323" s="5">
        <f t="shared" si="58"/>
        <v>1</v>
      </c>
      <c r="Q323" s="7">
        <f t="shared" si="59"/>
        <v>12584</v>
      </c>
      <c r="W323" s="124">
        <f t="shared" si="60"/>
        <v>4128219.6076310002</v>
      </c>
      <c r="X323">
        <f t="shared" si="61"/>
        <v>0</v>
      </c>
    </row>
    <row r="324" spans="1:24">
      <c r="A324" s="23" t="s">
        <v>349</v>
      </c>
      <c r="B324" s="35" t="s">
        <v>342</v>
      </c>
      <c r="C324" s="125">
        <v>4432</v>
      </c>
      <c r="D324" s="132">
        <v>1617599033</v>
      </c>
      <c r="E324" s="116">
        <f t="shared" si="62"/>
        <v>364981.73127256316</v>
      </c>
      <c r="F324" s="134">
        <v>1255762331</v>
      </c>
      <c r="G324" s="117">
        <f t="shared" si="63"/>
        <v>283339.87612815882</v>
      </c>
      <c r="H324" s="98"/>
      <c r="I324" s="136">
        <v>1.8326</v>
      </c>
      <c r="J324" s="134">
        <v>2301310.0477906</v>
      </c>
      <c r="K324" s="120">
        <f t="shared" si="65"/>
        <v>519.24865699246391</v>
      </c>
      <c r="L324" s="122">
        <f t="shared" si="55"/>
        <v>12557623.310000001</v>
      </c>
      <c r="M324" s="116">
        <f t="shared" si="56"/>
        <v>10256313.262209401</v>
      </c>
      <c r="N324" s="123">
        <f t="shared" si="57"/>
        <v>2314.1501042891246</v>
      </c>
      <c r="O324" s="5"/>
      <c r="P324" s="5">
        <f t="shared" si="58"/>
        <v>1</v>
      </c>
      <c r="Q324" s="7">
        <f t="shared" si="59"/>
        <v>4432</v>
      </c>
      <c r="W324" s="124">
        <f t="shared" si="60"/>
        <v>2301310.0477906</v>
      </c>
      <c r="X324">
        <f t="shared" si="61"/>
        <v>0</v>
      </c>
    </row>
    <row r="325" spans="1:24">
      <c r="A325" s="23" t="s">
        <v>350</v>
      </c>
      <c r="B325" s="35" t="s">
        <v>342</v>
      </c>
      <c r="C325" s="125">
        <v>1467</v>
      </c>
      <c r="D325" s="132">
        <v>1170156308</v>
      </c>
      <c r="E325" s="116">
        <f t="shared" si="62"/>
        <v>797652.56169052492</v>
      </c>
      <c r="F325" s="134">
        <v>1023773904</v>
      </c>
      <c r="G325" s="117">
        <f t="shared" si="63"/>
        <v>697869.05521472392</v>
      </c>
      <c r="H325" s="7"/>
      <c r="I325" s="136">
        <v>1.87</v>
      </c>
      <c r="J325" s="134">
        <v>1914457.2004800001</v>
      </c>
      <c r="K325" s="120">
        <f t="shared" si="65"/>
        <v>1305.0151332515338</v>
      </c>
      <c r="L325" s="122">
        <f t="shared" si="55"/>
        <v>10237739.040000001</v>
      </c>
      <c r="M325" s="116">
        <f t="shared" si="56"/>
        <v>8323281.8395200009</v>
      </c>
      <c r="N325" s="123">
        <f t="shared" si="57"/>
        <v>5673.6754188957057</v>
      </c>
      <c r="O325" s="5"/>
      <c r="P325" s="5">
        <f t="shared" si="58"/>
        <v>1</v>
      </c>
      <c r="Q325" s="7">
        <f t="shared" si="59"/>
        <v>1467</v>
      </c>
      <c r="W325" s="124">
        <f t="shared" si="60"/>
        <v>1914457.2004800001</v>
      </c>
      <c r="X325">
        <f t="shared" si="61"/>
        <v>0</v>
      </c>
    </row>
    <row r="326" spans="1:24">
      <c r="A326" s="23" t="s">
        <v>351</v>
      </c>
      <c r="B326" s="35" t="s">
        <v>342</v>
      </c>
      <c r="C326" s="125">
        <v>5110</v>
      </c>
      <c r="D326" s="132">
        <v>315327111</v>
      </c>
      <c r="E326" s="116">
        <f t="shared" si="62"/>
        <v>61707.849510763212</v>
      </c>
      <c r="F326" s="134">
        <v>178752826</v>
      </c>
      <c r="G326" s="117">
        <f t="shared" si="63"/>
        <v>34980.983561643836</v>
      </c>
      <c r="H326" s="7"/>
      <c r="I326" s="136">
        <v>5.4374000000000002</v>
      </c>
      <c r="J326" s="134">
        <v>971950.61609240004</v>
      </c>
      <c r="K326" s="120">
        <f t="shared" si="65"/>
        <v>190.20560001808221</v>
      </c>
      <c r="L326" s="122">
        <f t="shared" si="55"/>
        <v>1787528.26</v>
      </c>
      <c r="M326" s="116">
        <f t="shared" si="56"/>
        <v>815577.64390759997</v>
      </c>
      <c r="N326" s="123">
        <f t="shared" si="57"/>
        <v>159.60423559835615</v>
      </c>
      <c r="O326" s="5"/>
      <c r="P326" s="5">
        <f t="shared" si="58"/>
        <v>1</v>
      </c>
      <c r="Q326" s="7">
        <f t="shared" si="59"/>
        <v>5110</v>
      </c>
      <c r="W326" s="124">
        <f t="shared" si="60"/>
        <v>971950.61609240004</v>
      </c>
      <c r="X326">
        <f t="shared" si="61"/>
        <v>0</v>
      </c>
    </row>
    <row r="327" spans="1:24">
      <c r="A327" s="23" t="s">
        <v>352</v>
      </c>
      <c r="B327" s="35" t="s">
        <v>342</v>
      </c>
      <c r="C327" s="125">
        <v>83737</v>
      </c>
      <c r="D327" s="132">
        <v>7446274702</v>
      </c>
      <c r="E327" s="116">
        <f t="shared" si="62"/>
        <v>88924.545923546335</v>
      </c>
      <c r="F327" s="134">
        <v>5084567796</v>
      </c>
      <c r="G327" s="117">
        <f t="shared" si="63"/>
        <v>60720.68256565198</v>
      </c>
      <c r="H327" s="7"/>
      <c r="I327" s="136">
        <v>5.62</v>
      </c>
      <c r="J327" s="134">
        <v>28575271.013519999</v>
      </c>
      <c r="K327" s="120">
        <f t="shared" si="65"/>
        <v>341.25023601896413</v>
      </c>
      <c r="L327" s="122">
        <f t="shared" ref="L327:L390" si="66">(F327*0.01)</f>
        <v>50845677.960000001</v>
      </c>
      <c r="M327" s="116">
        <f t="shared" ref="M327:M390" si="67">(L327-J327)</f>
        <v>22270406.946480002</v>
      </c>
      <c r="N327" s="123">
        <f t="shared" ref="N327:N390" si="68">(M327/C327)</f>
        <v>265.95658963755568</v>
      </c>
      <c r="O327" s="5"/>
      <c r="P327" s="5">
        <f t="shared" si="58"/>
        <v>1</v>
      </c>
      <c r="Q327" s="7">
        <f t="shared" si="59"/>
        <v>83737</v>
      </c>
      <c r="W327" s="124">
        <f t="shared" ref="W327:W390" si="69">F327*(I327/1000)</f>
        <v>28575271.013519999</v>
      </c>
      <c r="X327">
        <f t="shared" ref="X327:X390" si="70">IF(W327=J327,0,1)</f>
        <v>0</v>
      </c>
    </row>
    <row r="328" spans="1:24">
      <c r="A328" s="23" t="s">
        <v>353</v>
      </c>
      <c r="B328" s="35" t="s">
        <v>342</v>
      </c>
      <c r="C328" s="125">
        <v>4417</v>
      </c>
      <c r="D328" s="132">
        <v>1699361640</v>
      </c>
      <c r="E328" s="116">
        <f t="shared" ref="E328:E389" si="71">(D328/C328)</f>
        <v>384732.08965361107</v>
      </c>
      <c r="F328" s="134">
        <v>1330552557</v>
      </c>
      <c r="G328" s="117">
        <f t="shared" ref="G328:G389" si="72">(F328/C328)</f>
        <v>301234.44804165722</v>
      </c>
      <c r="H328" s="7"/>
      <c r="I328" s="136">
        <v>2.75</v>
      </c>
      <c r="J328" s="134">
        <v>3659019.5317500001</v>
      </c>
      <c r="K328" s="120">
        <f t="shared" si="65"/>
        <v>828.39473211455743</v>
      </c>
      <c r="L328" s="122">
        <f t="shared" si="66"/>
        <v>13305525.57</v>
      </c>
      <c r="M328" s="116">
        <f t="shared" si="67"/>
        <v>9646506.0382499993</v>
      </c>
      <c r="N328" s="123">
        <f t="shared" si="68"/>
        <v>2183.949748302015</v>
      </c>
      <c r="O328" s="5"/>
      <c r="P328" s="5">
        <f t="shared" ref="P328:P391" si="73">IF(I328&gt;0,1,0)</f>
        <v>1</v>
      </c>
      <c r="Q328" s="7">
        <f t="shared" ref="Q328:Q391" si="74">IF(I328&gt;0,C328,0)</f>
        <v>4417</v>
      </c>
      <c r="W328" s="124">
        <f t="shared" si="69"/>
        <v>3659019.5317499996</v>
      </c>
      <c r="X328">
        <f t="shared" si="70"/>
        <v>0</v>
      </c>
    </row>
    <row r="329" spans="1:24">
      <c r="A329" s="23" t="s">
        <v>354</v>
      </c>
      <c r="B329" s="35" t="s">
        <v>342</v>
      </c>
      <c r="C329" s="125">
        <v>1498</v>
      </c>
      <c r="D329" s="132">
        <v>655704711</v>
      </c>
      <c r="E329" s="116">
        <f t="shared" si="71"/>
        <v>437720.10080106807</v>
      </c>
      <c r="F329" s="134">
        <v>543407205</v>
      </c>
      <c r="G329" s="117">
        <f t="shared" si="72"/>
        <v>362755.14352469961</v>
      </c>
      <c r="H329" s="7"/>
      <c r="I329" s="136">
        <v>1</v>
      </c>
      <c r="J329" s="134">
        <v>543407.20499999996</v>
      </c>
      <c r="K329" s="120">
        <f t="shared" si="65"/>
        <v>362.75514352469958</v>
      </c>
      <c r="L329" s="122">
        <f t="shared" si="66"/>
        <v>5434072.0499999998</v>
      </c>
      <c r="M329" s="116">
        <f t="shared" si="67"/>
        <v>4890664.8449999997</v>
      </c>
      <c r="N329" s="123">
        <f t="shared" si="68"/>
        <v>3264.7962917222962</v>
      </c>
      <c r="O329" s="5"/>
      <c r="P329" s="5">
        <f t="shared" si="73"/>
        <v>1</v>
      </c>
      <c r="Q329" s="7">
        <f t="shared" si="74"/>
        <v>1498</v>
      </c>
      <c r="W329" s="124">
        <f t="shared" si="69"/>
        <v>543407.20499999996</v>
      </c>
      <c r="X329">
        <f t="shared" si="70"/>
        <v>0</v>
      </c>
    </row>
    <row r="330" spans="1:24">
      <c r="A330" s="23" t="s">
        <v>355</v>
      </c>
      <c r="B330" s="35" t="s">
        <v>342</v>
      </c>
      <c r="C330" s="125">
        <v>14800</v>
      </c>
      <c r="D330" s="132">
        <v>2076559607</v>
      </c>
      <c r="E330" s="116">
        <f t="shared" si="71"/>
        <v>140308.08155405405</v>
      </c>
      <c r="F330" s="134">
        <v>1473848744</v>
      </c>
      <c r="G330" s="117">
        <f t="shared" si="72"/>
        <v>99584.374594594599</v>
      </c>
      <c r="H330" s="7"/>
      <c r="I330" s="136">
        <v>4.05</v>
      </c>
      <c r="J330" s="134">
        <v>5969087.4131999994</v>
      </c>
      <c r="K330" s="120">
        <f t="shared" si="65"/>
        <v>403.31671710810809</v>
      </c>
      <c r="L330" s="122">
        <f t="shared" si="66"/>
        <v>14738487.439999999</v>
      </c>
      <c r="M330" s="116">
        <f t="shared" si="67"/>
        <v>8769400.0267999992</v>
      </c>
      <c r="N330" s="123">
        <f t="shared" si="68"/>
        <v>592.52702883783775</v>
      </c>
      <c r="O330" s="5"/>
      <c r="P330" s="5">
        <f t="shared" si="73"/>
        <v>1</v>
      </c>
      <c r="Q330" s="7">
        <f t="shared" si="74"/>
        <v>14800</v>
      </c>
      <c r="W330" s="124">
        <f t="shared" si="69"/>
        <v>5969087.4131999994</v>
      </c>
      <c r="X330">
        <f t="shared" si="70"/>
        <v>0</v>
      </c>
    </row>
    <row r="331" spans="1:24">
      <c r="A331" s="23" t="s">
        <v>356</v>
      </c>
      <c r="B331" s="35" t="s">
        <v>342</v>
      </c>
      <c r="C331" s="125">
        <v>53284</v>
      </c>
      <c r="D331" s="132">
        <v>5542177268</v>
      </c>
      <c r="E331" s="116">
        <f t="shared" si="71"/>
        <v>104012.03490728924</v>
      </c>
      <c r="F331" s="134">
        <v>3803228167</v>
      </c>
      <c r="G331" s="117">
        <f t="shared" si="72"/>
        <v>71376.551441333228</v>
      </c>
      <c r="H331" s="7"/>
      <c r="I331" s="136">
        <v>5.49</v>
      </c>
      <c r="J331" s="134">
        <v>20879722.636830002</v>
      </c>
      <c r="K331" s="120">
        <f t="shared" si="65"/>
        <v>391.8572674129195</v>
      </c>
      <c r="L331" s="122">
        <f t="shared" si="66"/>
        <v>38032281.670000002</v>
      </c>
      <c r="M331" s="116">
        <f t="shared" si="67"/>
        <v>17152559.03317</v>
      </c>
      <c r="N331" s="123">
        <f t="shared" si="68"/>
        <v>321.90824700041287</v>
      </c>
      <c r="O331" s="5"/>
      <c r="P331" s="5">
        <f t="shared" si="73"/>
        <v>1</v>
      </c>
      <c r="Q331" s="7">
        <f t="shared" si="74"/>
        <v>53284</v>
      </c>
      <c r="W331" s="124">
        <f t="shared" si="69"/>
        <v>20879722.636830002</v>
      </c>
      <c r="X331">
        <f t="shared" si="70"/>
        <v>0</v>
      </c>
    </row>
    <row r="332" spans="1:24">
      <c r="A332" s="23" t="s">
        <v>357</v>
      </c>
      <c r="B332" s="35" t="s">
        <v>342</v>
      </c>
      <c r="C332" s="125">
        <v>1481</v>
      </c>
      <c r="D332" s="132">
        <v>652254240</v>
      </c>
      <c r="E332" s="116">
        <f t="shared" si="71"/>
        <v>440414.74679270765</v>
      </c>
      <c r="F332" s="134">
        <v>518162586</v>
      </c>
      <c r="G332" s="117">
        <f t="shared" si="72"/>
        <v>349873.45442268735</v>
      </c>
      <c r="H332" s="7"/>
      <c r="I332" s="136">
        <v>1.8149</v>
      </c>
      <c r="J332" s="134">
        <v>940413.27733140008</v>
      </c>
      <c r="K332" s="120">
        <f t="shared" si="65"/>
        <v>634.9853324317354</v>
      </c>
      <c r="L332" s="122">
        <f t="shared" si="66"/>
        <v>5181625.8600000003</v>
      </c>
      <c r="M332" s="116">
        <f t="shared" si="67"/>
        <v>4241212.5826686006</v>
      </c>
      <c r="N332" s="123">
        <f t="shared" si="68"/>
        <v>2863.7492117951388</v>
      </c>
      <c r="O332" s="5"/>
      <c r="P332" s="5">
        <f t="shared" si="73"/>
        <v>1</v>
      </c>
      <c r="Q332" s="7">
        <f t="shared" si="74"/>
        <v>1481</v>
      </c>
      <c r="W332" s="124">
        <f t="shared" si="69"/>
        <v>940413.27733139996</v>
      </c>
      <c r="X332">
        <f t="shared" si="70"/>
        <v>0</v>
      </c>
    </row>
    <row r="333" spans="1:24">
      <c r="A333" s="23" t="s">
        <v>358</v>
      </c>
      <c r="B333" s="35" t="s">
        <v>342</v>
      </c>
      <c r="C333" s="125">
        <v>2213</v>
      </c>
      <c r="D333" s="132">
        <v>912795220</v>
      </c>
      <c r="E333" s="116">
        <f t="shared" si="71"/>
        <v>412469.59783099865</v>
      </c>
      <c r="F333" s="134">
        <v>726332997</v>
      </c>
      <c r="G333" s="117">
        <f t="shared" si="72"/>
        <v>328211.9281518301</v>
      </c>
      <c r="H333" s="7"/>
      <c r="I333" s="136">
        <v>1.8</v>
      </c>
      <c r="J333" s="134">
        <v>1307399.3946000002</v>
      </c>
      <c r="K333" s="120">
        <f t="shared" si="65"/>
        <v>590.78147067329428</v>
      </c>
      <c r="L333" s="122">
        <f t="shared" si="66"/>
        <v>7263329.9699999997</v>
      </c>
      <c r="M333" s="116">
        <f t="shared" si="67"/>
        <v>5955930.5753999995</v>
      </c>
      <c r="N333" s="123">
        <f t="shared" si="68"/>
        <v>2691.3378108450065</v>
      </c>
      <c r="O333" s="5"/>
      <c r="P333" s="5">
        <f t="shared" si="73"/>
        <v>1</v>
      </c>
      <c r="Q333" s="7">
        <f t="shared" si="74"/>
        <v>2213</v>
      </c>
      <c r="W333" s="124">
        <f t="shared" si="69"/>
        <v>1307399.3946</v>
      </c>
      <c r="X333">
        <f t="shared" si="70"/>
        <v>0</v>
      </c>
    </row>
    <row r="334" spans="1:24">
      <c r="A334" s="23" t="s">
        <v>359</v>
      </c>
      <c r="B334" s="35" t="s">
        <v>342</v>
      </c>
      <c r="C334" s="125">
        <v>17608</v>
      </c>
      <c r="D334" s="132">
        <v>2349720329</v>
      </c>
      <c r="E334" s="116">
        <f t="shared" si="71"/>
        <v>133446.17952067242</v>
      </c>
      <c r="F334" s="134">
        <v>1365025761</v>
      </c>
      <c r="G334" s="117">
        <f t="shared" si="72"/>
        <v>77523.044127669244</v>
      </c>
      <c r="H334" s="7"/>
      <c r="I334" s="136">
        <v>3.95</v>
      </c>
      <c r="J334" s="134">
        <v>5391851.7559500001</v>
      </c>
      <c r="K334" s="120">
        <f t="shared" si="65"/>
        <v>306.21602430429351</v>
      </c>
      <c r="L334" s="122">
        <f t="shared" si="66"/>
        <v>13650257.609999999</v>
      </c>
      <c r="M334" s="116">
        <f t="shared" si="67"/>
        <v>8258405.8540499993</v>
      </c>
      <c r="N334" s="123">
        <f t="shared" si="68"/>
        <v>469.01441697239886</v>
      </c>
      <c r="O334" s="5"/>
      <c r="P334" s="5">
        <f t="shared" si="73"/>
        <v>1</v>
      </c>
      <c r="Q334" s="7">
        <f t="shared" si="74"/>
        <v>17608</v>
      </c>
      <c r="W334" s="124">
        <f t="shared" si="69"/>
        <v>5391851.7559500001</v>
      </c>
      <c r="X334">
        <f t="shared" si="70"/>
        <v>0</v>
      </c>
    </row>
    <row r="335" spans="1:24">
      <c r="A335" s="23" t="s">
        <v>360</v>
      </c>
      <c r="B335" s="35" t="s">
        <v>342</v>
      </c>
      <c r="C335" s="125">
        <v>19449</v>
      </c>
      <c r="D335" s="132">
        <v>2417099284</v>
      </c>
      <c r="E335" s="116">
        <f t="shared" si="71"/>
        <v>124278.84641883902</v>
      </c>
      <c r="F335" s="134">
        <v>1580842335</v>
      </c>
      <c r="G335" s="117">
        <f t="shared" si="72"/>
        <v>81281.419867345365</v>
      </c>
      <c r="H335" s="7"/>
      <c r="I335" s="136">
        <v>2.4792999999999998</v>
      </c>
      <c r="J335" s="134">
        <v>3919382.4011654998</v>
      </c>
      <c r="K335" s="120">
        <f t="shared" si="65"/>
        <v>201.52102427710935</v>
      </c>
      <c r="L335" s="122">
        <f t="shared" si="66"/>
        <v>15808423.35</v>
      </c>
      <c r="M335" s="116">
        <f t="shared" si="67"/>
        <v>11889040.948834499</v>
      </c>
      <c r="N335" s="123">
        <f t="shared" si="68"/>
        <v>611.29317439634428</v>
      </c>
      <c r="O335" s="5"/>
      <c r="P335" s="5">
        <f t="shared" si="73"/>
        <v>1</v>
      </c>
      <c r="Q335" s="7">
        <f t="shared" si="74"/>
        <v>19449</v>
      </c>
      <c r="W335" s="124">
        <f t="shared" si="69"/>
        <v>3919382.4011654998</v>
      </c>
      <c r="X335">
        <f t="shared" si="70"/>
        <v>0</v>
      </c>
    </row>
    <row r="336" spans="1:24">
      <c r="A336" s="24" t="s">
        <v>361</v>
      </c>
      <c r="B336" s="35" t="s">
        <v>342</v>
      </c>
      <c r="C336" s="125">
        <v>5085</v>
      </c>
      <c r="D336" s="132">
        <v>877034495</v>
      </c>
      <c r="E336" s="116">
        <f t="shared" si="71"/>
        <v>172474.82694198625</v>
      </c>
      <c r="F336" s="134">
        <v>656534476</v>
      </c>
      <c r="G336" s="117">
        <f t="shared" si="72"/>
        <v>129111.99134709931</v>
      </c>
      <c r="H336" s="7"/>
      <c r="I336" s="136">
        <v>3.5</v>
      </c>
      <c r="J336" s="134">
        <v>2297870.6660000002</v>
      </c>
      <c r="K336" s="120">
        <f t="shared" si="65"/>
        <v>451.89196971484762</v>
      </c>
      <c r="L336" s="122">
        <f t="shared" si="66"/>
        <v>6565344.7599999998</v>
      </c>
      <c r="M336" s="116">
        <f t="shared" si="67"/>
        <v>4267474.0939999996</v>
      </c>
      <c r="N336" s="123">
        <f t="shared" si="68"/>
        <v>839.22794375614546</v>
      </c>
      <c r="O336" s="5"/>
      <c r="P336" s="5">
        <f t="shared" si="73"/>
        <v>1</v>
      </c>
      <c r="Q336" s="7">
        <f t="shared" si="74"/>
        <v>5085</v>
      </c>
      <c r="W336" s="124">
        <f t="shared" si="69"/>
        <v>2297870.6660000002</v>
      </c>
      <c r="X336">
        <f t="shared" si="70"/>
        <v>0</v>
      </c>
    </row>
    <row r="337" spans="1:24">
      <c r="A337" s="24" t="s">
        <v>561</v>
      </c>
      <c r="B337" s="35" t="s">
        <v>342</v>
      </c>
      <c r="C337" s="125">
        <v>9522</v>
      </c>
      <c r="D337" s="132">
        <v>3928113413</v>
      </c>
      <c r="E337" s="116">
        <f t="shared" si="71"/>
        <v>412530.2891199328</v>
      </c>
      <c r="F337" s="134">
        <v>3057752286</v>
      </c>
      <c r="G337" s="117">
        <f t="shared" si="72"/>
        <v>321125.00378071831</v>
      </c>
      <c r="H337" s="7"/>
      <c r="I337" s="136">
        <v>3.15</v>
      </c>
      <c r="J337" s="134">
        <v>9631919.7008999996</v>
      </c>
      <c r="K337" s="120">
        <f t="shared" si="65"/>
        <v>1011.5437619092627</v>
      </c>
      <c r="L337" s="122">
        <f t="shared" si="66"/>
        <v>30577522.859999999</v>
      </c>
      <c r="M337" s="116">
        <f t="shared" si="67"/>
        <v>20945603.1591</v>
      </c>
      <c r="N337" s="123">
        <f t="shared" si="68"/>
        <v>2199.7062758979205</v>
      </c>
      <c r="O337" s="5"/>
      <c r="P337" s="5">
        <f t="shared" si="73"/>
        <v>1</v>
      </c>
      <c r="Q337" s="7">
        <f t="shared" si="74"/>
        <v>9522</v>
      </c>
      <c r="W337" s="124">
        <f t="shared" si="69"/>
        <v>9631919.7008999996</v>
      </c>
      <c r="X337">
        <f t="shared" si="70"/>
        <v>0</v>
      </c>
    </row>
    <row r="338" spans="1:24">
      <c r="A338" s="23" t="s">
        <v>548</v>
      </c>
      <c r="B338" s="35" t="s">
        <v>342</v>
      </c>
      <c r="C338" s="125">
        <v>269357</v>
      </c>
      <c r="D338" s="132">
        <v>33641710332</v>
      </c>
      <c r="E338" s="116">
        <f t="shared" si="71"/>
        <v>124896.36553718671</v>
      </c>
      <c r="F338" s="134">
        <v>20889687911</v>
      </c>
      <c r="G338" s="117">
        <f t="shared" si="72"/>
        <v>77553.907680141972</v>
      </c>
      <c r="H338" s="7"/>
      <c r="I338" s="136">
        <v>6.7549999999999999</v>
      </c>
      <c r="J338" s="134">
        <v>141109841.83880499</v>
      </c>
      <c r="K338" s="120">
        <f t="shared" si="65"/>
        <v>523.87664637935893</v>
      </c>
      <c r="L338" s="122">
        <f t="shared" si="66"/>
        <v>208896879.11000001</v>
      </c>
      <c r="M338" s="116">
        <f t="shared" si="67"/>
        <v>67787037.271195024</v>
      </c>
      <c r="N338" s="123">
        <f t="shared" si="68"/>
        <v>251.66243042206077</v>
      </c>
      <c r="O338" s="5"/>
      <c r="P338" s="5">
        <f t="shared" si="73"/>
        <v>1</v>
      </c>
      <c r="Q338" s="7">
        <f t="shared" si="74"/>
        <v>269357</v>
      </c>
      <c r="W338" s="124">
        <f t="shared" si="69"/>
        <v>141109841.83880499</v>
      </c>
      <c r="X338">
        <f t="shared" si="70"/>
        <v>0</v>
      </c>
    </row>
    <row r="339" spans="1:24">
      <c r="A339" s="23" t="s">
        <v>362</v>
      </c>
      <c r="B339" s="35" t="s">
        <v>342</v>
      </c>
      <c r="C339" s="125">
        <v>25507</v>
      </c>
      <c r="D339" s="132">
        <v>3032829924</v>
      </c>
      <c r="E339" s="116">
        <f t="shared" si="71"/>
        <v>118901.86709530717</v>
      </c>
      <c r="F339" s="134">
        <v>1916653655</v>
      </c>
      <c r="G339" s="117">
        <f t="shared" si="72"/>
        <v>75142.261143999684</v>
      </c>
      <c r="H339" s="7"/>
      <c r="I339" s="136">
        <v>5.37</v>
      </c>
      <c r="J339" s="134">
        <v>10292430.127350001</v>
      </c>
      <c r="K339" s="120">
        <f t="shared" si="65"/>
        <v>403.51394234327836</v>
      </c>
      <c r="L339" s="122">
        <f t="shared" si="66"/>
        <v>19166536.550000001</v>
      </c>
      <c r="M339" s="116">
        <f t="shared" si="67"/>
        <v>8874106.4226500001</v>
      </c>
      <c r="N339" s="123">
        <f t="shared" si="68"/>
        <v>347.90866909671854</v>
      </c>
      <c r="O339" s="5"/>
      <c r="P339" s="5">
        <f t="shared" si="73"/>
        <v>1</v>
      </c>
      <c r="Q339" s="7">
        <f t="shared" si="74"/>
        <v>25507</v>
      </c>
      <c r="S339" s="124"/>
      <c r="T339" s="124"/>
      <c r="U339" s="124"/>
      <c r="W339" s="124">
        <f t="shared" si="69"/>
        <v>10292430.127349999</v>
      </c>
      <c r="X339">
        <f t="shared" si="70"/>
        <v>0</v>
      </c>
    </row>
    <row r="340" spans="1:24">
      <c r="A340" s="23" t="s">
        <v>363</v>
      </c>
      <c r="B340" s="35" t="s">
        <v>342</v>
      </c>
      <c r="C340" s="125">
        <v>6873</v>
      </c>
      <c r="D340" s="132">
        <v>2572271383</v>
      </c>
      <c r="E340" s="116">
        <f t="shared" si="71"/>
        <v>374257.43969154661</v>
      </c>
      <c r="F340" s="134">
        <v>1993655565</v>
      </c>
      <c r="G340" s="117">
        <f t="shared" si="72"/>
        <v>290070.64818856394</v>
      </c>
      <c r="H340" s="7"/>
      <c r="I340" s="136">
        <v>3.6128999999999998</v>
      </c>
      <c r="J340" s="134">
        <v>7202878.1907885</v>
      </c>
      <c r="K340" s="120">
        <f t="shared" si="65"/>
        <v>1047.9962448404626</v>
      </c>
      <c r="L340" s="122">
        <f t="shared" si="66"/>
        <v>19936555.650000002</v>
      </c>
      <c r="M340" s="116">
        <f t="shared" si="67"/>
        <v>12733677.459211502</v>
      </c>
      <c r="N340" s="123">
        <f t="shared" si="68"/>
        <v>1852.7102370451771</v>
      </c>
      <c r="O340" s="5"/>
      <c r="P340" s="5">
        <f t="shared" si="73"/>
        <v>1</v>
      </c>
      <c r="Q340" s="7">
        <f t="shared" si="74"/>
        <v>6873</v>
      </c>
      <c r="S340" s="124">
        <f>SUM(D317:D340)</f>
        <v>97242163806</v>
      </c>
      <c r="T340" s="124">
        <f>SUM(F317:F340)</f>
        <v>64946140032</v>
      </c>
      <c r="U340" s="124">
        <f>SUM(J317:J340)</f>
        <v>341501420.67975968</v>
      </c>
      <c r="W340" s="124">
        <f t="shared" si="69"/>
        <v>7202878.1907884991</v>
      </c>
      <c r="X340">
        <f t="shared" si="70"/>
        <v>0</v>
      </c>
    </row>
    <row r="341" spans="1:24">
      <c r="A341" s="23" t="s">
        <v>364</v>
      </c>
      <c r="B341" s="35" t="s">
        <v>365</v>
      </c>
      <c r="C341" s="125">
        <v>16534</v>
      </c>
      <c r="D341" s="132">
        <v>1788483627</v>
      </c>
      <c r="E341" s="116">
        <f t="shared" si="71"/>
        <v>108170.05122777307</v>
      </c>
      <c r="F341" s="134">
        <v>1307303659</v>
      </c>
      <c r="G341" s="117">
        <f t="shared" si="72"/>
        <v>79067.59761703157</v>
      </c>
      <c r="H341" s="7"/>
      <c r="I341" s="136">
        <v>4.2515000000000001</v>
      </c>
      <c r="J341" s="134">
        <v>5558001.5062384997</v>
      </c>
      <c r="K341" s="120">
        <f t="shared" si="65"/>
        <v>336.15589126880968</v>
      </c>
      <c r="L341" s="122">
        <f t="shared" si="66"/>
        <v>13073036.59</v>
      </c>
      <c r="M341" s="116">
        <f t="shared" si="67"/>
        <v>7515035.0837615002</v>
      </c>
      <c r="N341" s="123">
        <f t="shared" si="68"/>
        <v>454.52008490150598</v>
      </c>
      <c r="O341" s="5"/>
      <c r="P341" s="5">
        <f t="shared" si="73"/>
        <v>1</v>
      </c>
      <c r="Q341" s="7">
        <f t="shared" si="74"/>
        <v>16534</v>
      </c>
      <c r="W341" s="124">
        <f t="shared" si="69"/>
        <v>5558001.5062384997</v>
      </c>
      <c r="X341">
        <f t="shared" si="70"/>
        <v>0</v>
      </c>
    </row>
    <row r="342" spans="1:24">
      <c r="A342" s="23" t="s">
        <v>366</v>
      </c>
      <c r="B342" s="35" t="s">
        <v>365</v>
      </c>
      <c r="C342" s="125">
        <v>19665</v>
      </c>
      <c r="D342" s="132">
        <v>1400948880</v>
      </c>
      <c r="E342" s="116">
        <f t="shared" si="71"/>
        <v>71240.726163234169</v>
      </c>
      <c r="F342" s="134">
        <v>737047374</v>
      </c>
      <c r="G342" s="117">
        <f t="shared" si="72"/>
        <v>37480.16140350877</v>
      </c>
      <c r="H342" s="7"/>
      <c r="I342" s="136">
        <v>3.2768000000000002</v>
      </c>
      <c r="J342" s="134">
        <v>2415156.8351232</v>
      </c>
      <c r="K342" s="120">
        <f t="shared" si="65"/>
        <v>122.81499288701754</v>
      </c>
      <c r="L342" s="122">
        <f t="shared" si="66"/>
        <v>7370473.7400000002</v>
      </c>
      <c r="M342" s="116">
        <f t="shared" si="67"/>
        <v>4955316.9048768003</v>
      </c>
      <c r="N342" s="123">
        <f t="shared" si="68"/>
        <v>251.98662114807018</v>
      </c>
      <c r="O342" s="5"/>
      <c r="P342" s="5">
        <f t="shared" si="73"/>
        <v>1</v>
      </c>
      <c r="Q342" s="7">
        <f t="shared" si="74"/>
        <v>19665</v>
      </c>
      <c r="W342" s="124">
        <f t="shared" si="69"/>
        <v>2415156.8351232004</v>
      </c>
      <c r="X342">
        <f t="shared" si="70"/>
        <v>0</v>
      </c>
    </row>
    <row r="343" spans="1:24">
      <c r="A343" s="23" t="s">
        <v>367</v>
      </c>
      <c r="B343" s="35" t="s">
        <v>365</v>
      </c>
      <c r="C343" s="125">
        <v>6038</v>
      </c>
      <c r="D343" s="132">
        <v>485896315</v>
      </c>
      <c r="E343" s="116">
        <f t="shared" si="71"/>
        <v>80473.056475654186</v>
      </c>
      <c r="F343" s="134">
        <v>328462583</v>
      </c>
      <c r="G343" s="117">
        <f t="shared" si="72"/>
        <v>54399.235342828753</v>
      </c>
      <c r="H343" s="9"/>
      <c r="I343" s="136">
        <v>7.5</v>
      </c>
      <c r="J343" s="134">
        <v>2463469.3725000001</v>
      </c>
      <c r="K343" s="120">
        <f t="shared" si="65"/>
        <v>407.99426507121564</v>
      </c>
      <c r="L343" s="122">
        <f t="shared" si="66"/>
        <v>3284625.83</v>
      </c>
      <c r="M343" s="116">
        <f t="shared" si="67"/>
        <v>821156.45750000002</v>
      </c>
      <c r="N343" s="123">
        <f t="shared" si="68"/>
        <v>135.99808835707188</v>
      </c>
      <c r="O343" s="5"/>
      <c r="P343" s="5">
        <f t="shared" si="73"/>
        <v>1</v>
      </c>
      <c r="Q343" s="7">
        <f t="shared" si="74"/>
        <v>6038</v>
      </c>
      <c r="W343" s="124">
        <f t="shared" si="69"/>
        <v>2463469.3725000001</v>
      </c>
      <c r="X343">
        <f t="shared" si="70"/>
        <v>0</v>
      </c>
    </row>
    <row r="344" spans="1:24">
      <c r="A344" s="23" t="s">
        <v>368</v>
      </c>
      <c r="B344" s="35" t="s">
        <v>365</v>
      </c>
      <c r="C344" s="125">
        <v>4957</v>
      </c>
      <c r="D344" s="132">
        <v>360181606</v>
      </c>
      <c r="E344" s="116">
        <f t="shared" si="71"/>
        <v>72661.207585233002</v>
      </c>
      <c r="F344" s="134">
        <v>206274194</v>
      </c>
      <c r="G344" s="117">
        <f t="shared" si="72"/>
        <v>41612.708089570304</v>
      </c>
      <c r="H344" s="7"/>
      <c r="I344" s="136">
        <v>7.9</v>
      </c>
      <c r="J344" s="134">
        <v>1629566.1326000001</v>
      </c>
      <c r="K344" s="120">
        <f t="shared" ref="K344:K389" si="75">(J344/C344)</f>
        <v>328.74039390760544</v>
      </c>
      <c r="L344" s="122">
        <f t="shared" si="66"/>
        <v>2062741.94</v>
      </c>
      <c r="M344" s="116">
        <f t="shared" si="67"/>
        <v>433175.80739999982</v>
      </c>
      <c r="N344" s="123">
        <f t="shared" si="68"/>
        <v>87.386686988097608</v>
      </c>
      <c r="O344" s="5"/>
      <c r="P344" s="5">
        <f t="shared" si="73"/>
        <v>1</v>
      </c>
      <c r="Q344" s="7">
        <f t="shared" si="74"/>
        <v>4957</v>
      </c>
      <c r="W344" s="124">
        <f t="shared" si="69"/>
        <v>1629566.1326000001</v>
      </c>
      <c r="X344">
        <f t="shared" si="70"/>
        <v>0</v>
      </c>
    </row>
    <row r="345" spans="1:24">
      <c r="A345" s="23" t="s">
        <v>369</v>
      </c>
      <c r="B345" s="35" t="s">
        <v>365</v>
      </c>
      <c r="C345" s="125">
        <v>2649</v>
      </c>
      <c r="D345" s="132">
        <v>181192136</v>
      </c>
      <c r="E345" s="116">
        <f t="shared" si="71"/>
        <v>68400.202340505857</v>
      </c>
      <c r="F345" s="134">
        <v>93959322</v>
      </c>
      <c r="G345" s="117">
        <f t="shared" si="72"/>
        <v>35469.732729331823</v>
      </c>
      <c r="H345" s="7"/>
      <c r="I345" s="136">
        <v>7.6516000000000002</v>
      </c>
      <c r="J345" s="134">
        <v>718939.14821520005</v>
      </c>
      <c r="K345" s="120">
        <f t="shared" si="75"/>
        <v>271.40020695175542</v>
      </c>
      <c r="L345" s="122">
        <f t="shared" si="66"/>
        <v>939593.22</v>
      </c>
      <c r="M345" s="116">
        <f t="shared" si="67"/>
        <v>220654.07178479992</v>
      </c>
      <c r="N345" s="123">
        <f t="shared" si="68"/>
        <v>83.297120341562817</v>
      </c>
      <c r="O345" s="5"/>
      <c r="P345" s="5">
        <f t="shared" si="73"/>
        <v>1</v>
      </c>
      <c r="Q345" s="7">
        <f t="shared" si="74"/>
        <v>2649</v>
      </c>
      <c r="W345" s="124">
        <f t="shared" si="69"/>
        <v>718939.14821520005</v>
      </c>
      <c r="X345">
        <f t="shared" si="70"/>
        <v>0</v>
      </c>
    </row>
    <row r="346" spans="1:24">
      <c r="A346" s="23" t="s">
        <v>370</v>
      </c>
      <c r="B346" s="35" t="s">
        <v>365</v>
      </c>
      <c r="C346" s="125">
        <v>5786</v>
      </c>
      <c r="D346" s="132">
        <v>228009322</v>
      </c>
      <c r="E346" s="116">
        <f t="shared" si="71"/>
        <v>39407.072589007948</v>
      </c>
      <c r="F346" s="134">
        <v>114184277</v>
      </c>
      <c r="G346" s="117">
        <f t="shared" si="72"/>
        <v>19734.579502246801</v>
      </c>
      <c r="H346" s="7"/>
      <c r="I346" s="150">
        <v>7.8898999999999999</v>
      </c>
      <c r="J346" s="134">
        <v>900902.52710230008</v>
      </c>
      <c r="K346" s="120">
        <f t="shared" si="75"/>
        <v>155.70385881477705</v>
      </c>
      <c r="L346" s="122">
        <f t="shared" si="66"/>
        <v>1141842.77</v>
      </c>
      <c r="M346" s="116">
        <f t="shared" si="67"/>
        <v>240940.24289769994</v>
      </c>
      <c r="N346" s="123">
        <f t="shared" si="68"/>
        <v>41.641936207690968</v>
      </c>
      <c r="O346" s="5"/>
      <c r="P346" s="5">
        <f t="shared" si="73"/>
        <v>1</v>
      </c>
      <c r="Q346" s="7">
        <f t="shared" si="74"/>
        <v>5786</v>
      </c>
      <c r="W346" s="124">
        <f t="shared" si="69"/>
        <v>900902.52710229997</v>
      </c>
      <c r="X346">
        <f t="shared" si="70"/>
        <v>0</v>
      </c>
    </row>
    <row r="347" spans="1:24">
      <c r="A347" s="23" t="s">
        <v>371</v>
      </c>
      <c r="B347" s="35" t="s">
        <v>365</v>
      </c>
      <c r="C347" s="125">
        <v>3197</v>
      </c>
      <c r="D347" s="132">
        <v>252808034</v>
      </c>
      <c r="E347" s="116">
        <f t="shared" si="71"/>
        <v>79076.644979668432</v>
      </c>
      <c r="F347" s="134">
        <v>135522918</v>
      </c>
      <c r="G347" s="117">
        <f t="shared" si="72"/>
        <v>42390.653112292777</v>
      </c>
      <c r="H347" s="7"/>
      <c r="I347" s="136">
        <v>6.9705000000000004</v>
      </c>
      <c r="J347" s="134">
        <v>944662.49991900008</v>
      </c>
      <c r="K347" s="120">
        <f t="shared" si="75"/>
        <v>295.48404751923681</v>
      </c>
      <c r="L347" s="122">
        <f t="shared" si="66"/>
        <v>1355229.18</v>
      </c>
      <c r="M347" s="116">
        <f t="shared" si="67"/>
        <v>410566.68008099985</v>
      </c>
      <c r="N347" s="123">
        <f t="shared" si="68"/>
        <v>128.42248360369092</v>
      </c>
      <c r="O347" s="5"/>
      <c r="P347" s="5">
        <f t="shared" si="73"/>
        <v>1</v>
      </c>
      <c r="Q347" s="7">
        <f t="shared" si="74"/>
        <v>3197</v>
      </c>
      <c r="W347" s="124">
        <f t="shared" si="69"/>
        <v>944662.49991899997</v>
      </c>
      <c r="X347">
        <f t="shared" si="70"/>
        <v>0</v>
      </c>
    </row>
    <row r="348" spans="1:24">
      <c r="A348" s="23" t="s">
        <v>372</v>
      </c>
      <c r="B348" s="35" t="s">
        <v>365</v>
      </c>
      <c r="C348" s="125">
        <v>25533</v>
      </c>
      <c r="D348" s="132">
        <v>1905986845</v>
      </c>
      <c r="E348" s="116">
        <f t="shared" si="71"/>
        <v>74647.978890063838</v>
      </c>
      <c r="F348" s="134">
        <v>1314818622</v>
      </c>
      <c r="G348" s="117">
        <f t="shared" si="72"/>
        <v>51494.874162848078</v>
      </c>
      <c r="H348" s="7"/>
      <c r="I348" s="136">
        <v>7.5895000000000001</v>
      </c>
      <c r="J348" s="134">
        <v>9978815.9316690005</v>
      </c>
      <c r="K348" s="120">
        <f t="shared" si="75"/>
        <v>390.82034745893554</v>
      </c>
      <c r="L348" s="122">
        <f t="shared" si="66"/>
        <v>13148186.220000001</v>
      </c>
      <c r="M348" s="116">
        <f t="shared" si="67"/>
        <v>3169370.2883310001</v>
      </c>
      <c r="N348" s="123">
        <f t="shared" si="68"/>
        <v>124.1283941695453</v>
      </c>
      <c r="O348" s="5"/>
      <c r="P348" s="5">
        <f t="shared" si="73"/>
        <v>1</v>
      </c>
      <c r="Q348" s="7">
        <f t="shared" si="74"/>
        <v>25533</v>
      </c>
      <c r="W348" s="124">
        <f t="shared" si="69"/>
        <v>9978815.9316690005</v>
      </c>
      <c r="X348">
        <f t="shared" si="70"/>
        <v>0</v>
      </c>
    </row>
    <row r="349" spans="1:24">
      <c r="A349" s="23" t="s">
        <v>373</v>
      </c>
      <c r="B349" s="35" t="s">
        <v>365</v>
      </c>
      <c r="C349" s="125">
        <v>263</v>
      </c>
      <c r="D349" s="132">
        <v>19042347</v>
      </c>
      <c r="E349" s="116">
        <f t="shared" si="71"/>
        <v>72404.361216730045</v>
      </c>
      <c r="F349" s="134">
        <v>12639796</v>
      </c>
      <c r="G349" s="117">
        <f t="shared" si="72"/>
        <v>48060.0608365019</v>
      </c>
      <c r="H349" s="7"/>
      <c r="I349" s="136">
        <v>9.9758999999999993</v>
      </c>
      <c r="J349" s="134">
        <v>126093.34091639999</v>
      </c>
      <c r="K349" s="120">
        <f t="shared" si="75"/>
        <v>479.44236089885925</v>
      </c>
      <c r="L349" s="122">
        <f t="shared" si="66"/>
        <v>126397.96</v>
      </c>
      <c r="M349" s="116">
        <f t="shared" si="67"/>
        <v>304.61908360001689</v>
      </c>
      <c r="N349" s="123">
        <f t="shared" si="68"/>
        <v>1.1582474661597602</v>
      </c>
      <c r="O349" s="5"/>
      <c r="P349" s="5">
        <f t="shared" si="73"/>
        <v>1</v>
      </c>
      <c r="Q349" s="7">
        <f t="shared" si="74"/>
        <v>263</v>
      </c>
      <c r="W349" s="124">
        <f t="shared" si="69"/>
        <v>126093.34091639999</v>
      </c>
      <c r="X349">
        <f t="shared" si="70"/>
        <v>0</v>
      </c>
    </row>
    <row r="350" spans="1:24">
      <c r="A350" s="23" t="s">
        <v>374</v>
      </c>
      <c r="B350" s="35" t="s">
        <v>365</v>
      </c>
      <c r="C350" s="125">
        <v>256</v>
      </c>
      <c r="D350" s="132">
        <v>23270823</v>
      </c>
      <c r="E350" s="116">
        <f t="shared" si="71"/>
        <v>90901.65234375</v>
      </c>
      <c r="F350" s="134">
        <v>14823874</v>
      </c>
      <c r="G350" s="117">
        <f t="shared" si="72"/>
        <v>57905.7578125</v>
      </c>
      <c r="H350" s="7"/>
      <c r="I350" s="136">
        <v>0.98070000000000002</v>
      </c>
      <c r="J350" s="134">
        <v>14537.773231800002</v>
      </c>
      <c r="K350" s="120">
        <f t="shared" si="75"/>
        <v>56.788176686718757</v>
      </c>
      <c r="L350" s="122">
        <f t="shared" si="66"/>
        <v>148238.74</v>
      </c>
      <c r="M350" s="116">
        <f t="shared" si="67"/>
        <v>133700.96676819999</v>
      </c>
      <c r="N350" s="123">
        <f t="shared" si="68"/>
        <v>522.26940143828119</v>
      </c>
      <c r="O350" s="5"/>
      <c r="P350" s="5">
        <f t="shared" si="73"/>
        <v>1</v>
      </c>
      <c r="Q350" s="7">
        <f t="shared" si="74"/>
        <v>256</v>
      </c>
      <c r="W350" s="124">
        <f t="shared" si="69"/>
        <v>14537.7732318</v>
      </c>
      <c r="X350">
        <f t="shared" si="70"/>
        <v>0</v>
      </c>
    </row>
    <row r="351" spans="1:24">
      <c r="A351" s="23" t="s">
        <v>375</v>
      </c>
      <c r="B351" s="35" t="s">
        <v>365</v>
      </c>
      <c r="C351" s="125">
        <v>6199</v>
      </c>
      <c r="D351" s="132">
        <v>389224931</v>
      </c>
      <c r="E351" s="116">
        <f t="shared" si="71"/>
        <v>62788.341829327313</v>
      </c>
      <c r="F351" s="134">
        <v>209865579</v>
      </c>
      <c r="G351" s="117">
        <f t="shared" si="72"/>
        <v>33854.747378609456</v>
      </c>
      <c r="H351" s="7"/>
      <c r="I351" s="136">
        <v>7.2389999999999999</v>
      </c>
      <c r="J351" s="134">
        <v>1519216.9263810001</v>
      </c>
      <c r="K351" s="120">
        <f t="shared" si="75"/>
        <v>245.07451627375386</v>
      </c>
      <c r="L351" s="122">
        <f t="shared" si="66"/>
        <v>2098655.79</v>
      </c>
      <c r="M351" s="116">
        <f t="shared" si="67"/>
        <v>579438.86361899995</v>
      </c>
      <c r="N351" s="123">
        <f t="shared" si="68"/>
        <v>93.472957512340699</v>
      </c>
      <c r="O351" s="5"/>
      <c r="P351" s="5">
        <f t="shared" si="73"/>
        <v>1</v>
      </c>
      <c r="Q351" s="7">
        <f t="shared" si="74"/>
        <v>6199</v>
      </c>
      <c r="W351" s="124">
        <f t="shared" si="69"/>
        <v>1519216.9263809999</v>
      </c>
      <c r="X351">
        <f t="shared" si="70"/>
        <v>0</v>
      </c>
    </row>
    <row r="352" spans="1:24">
      <c r="A352" s="23" t="s">
        <v>376</v>
      </c>
      <c r="B352" s="35" t="s">
        <v>365</v>
      </c>
      <c r="C352" s="125">
        <v>1430</v>
      </c>
      <c r="D352" s="132">
        <v>132998814</v>
      </c>
      <c r="E352" s="116">
        <f t="shared" si="71"/>
        <v>93006.163636363635</v>
      </c>
      <c r="F352" s="134">
        <v>86013150</v>
      </c>
      <c r="G352" s="117">
        <f t="shared" si="72"/>
        <v>60149.055944055945</v>
      </c>
      <c r="H352" s="9"/>
      <c r="I352" s="136">
        <v>8.4276</v>
      </c>
      <c r="J352" s="134">
        <v>724884.42294000008</v>
      </c>
      <c r="K352" s="120">
        <f t="shared" si="75"/>
        <v>506.9121838741259</v>
      </c>
      <c r="L352" s="122">
        <f t="shared" si="66"/>
        <v>860131.5</v>
      </c>
      <c r="M352" s="116">
        <f t="shared" si="67"/>
        <v>135247.07705999992</v>
      </c>
      <c r="N352" s="123">
        <f t="shared" si="68"/>
        <v>94.578375566433508</v>
      </c>
      <c r="O352" s="5"/>
      <c r="P352" s="5">
        <f t="shared" si="73"/>
        <v>1</v>
      </c>
      <c r="Q352" s="7">
        <f t="shared" si="74"/>
        <v>1430</v>
      </c>
      <c r="W352" s="124">
        <f t="shared" si="69"/>
        <v>724884.42294000008</v>
      </c>
      <c r="X352">
        <f t="shared" si="70"/>
        <v>0</v>
      </c>
    </row>
    <row r="353" spans="1:24">
      <c r="A353" s="23" t="s">
        <v>377</v>
      </c>
      <c r="B353" s="35" t="s">
        <v>365</v>
      </c>
      <c r="C353" s="125">
        <v>16062</v>
      </c>
      <c r="D353" s="132">
        <v>1220638407</v>
      </c>
      <c r="E353" s="116">
        <f t="shared" si="71"/>
        <v>75995.418192005978</v>
      </c>
      <c r="F353" s="134">
        <v>778069309</v>
      </c>
      <c r="G353" s="117">
        <f t="shared" si="72"/>
        <v>48441.620532934874</v>
      </c>
      <c r="H353" s="9"/>
      <c r="I353" s="136">
        <v>6.9339000000000004</v>
      </c>
      <c r="J353" s="134">
        <v>5395054.7816751003</v>
      </c>
      <c r="K353" s="120">
        <f t="shared" si="75"/>
        <v>335.88935261331716</v>
      </c>
      <c r="L353" s="122">
        <f t="shared" si="66"/>
        <v>7780693.0899999999</v>
      </c>
      <c r="M353" s="116">
        <f t="shared" si="67"/>
        <v>2385638.3083248995</v>
      </c>
      <c r="N353" s="123">
        <f t="shared" si="68"/>
        <v>148.52685271603158</v>
      </c>
      <c r="O353" s="5"/>
      <c r="P353" s="5">
        <f t="shared" si="73"/>
        <v>1</v>
      </c>
      <c r="Q353" s="7">
        <f t="shared" si="74"/>
        <v>16062</v>
      </c>
      <c r="W353" s="124">
        <f t="shared" si="69"/>
        <v>5395054.7816751003</v>
      </c>
      <c r="X353">
        <f t="shared" si="70"/>
        <v>0</v>
      </c>
    </row>
    <row r="354" spans="1:24">
      <c r="A354" s="23" t="s">
        <v>378</v>
      </c>
      <c r="B354" s="35" t="s">
        <v>365</v>
      </c>
      <c r="C354" s="125">
        <v>107552</v>
      </c>
      <c r="D354" s="132">
        <v>10647762864</v>
      </c>
      <c r="E354" s="116">
        <f t="shared" si="71"/>
        <v>99001.067985718531</v>
      </c>
      <c r="F354" s="134">
        <v>6901966858</v>
      </c>
      <c r="G354" s="117">
        <f t="shared" si="72"/>
        <v>64173.300896310619</v>
      </c>
      <c r="H354" s="9"/>
      <c r="I354" s="136">
        <v>5.4644000000000004</v>
      </c>
      <c r="J354" s="134">
        <v>37715107.698855199</v>
      </c>
      <c r="K354" s="120">
        <f t="shared" si="75"/>
        <v>350.66858541779976</v>
      </c>
      <c r="L354" s="122">
        <f t="shared" si="66"/>
        <v>69019668.579999998</v>
      </c>
      <c r="M354" s="116">
        <f t="shared" si="67"/>
        <v>31304560.881144799</v>
      </c>
      <c r="N354" s="123">
        <f t="shared" si="68"/>
        <v>291.06442354530645</v>
      </c>
      <c r="O354" s="5"/>
      <c r="P354" s="5">
        <f t="shared" si="73"/>
        <v>1</v>
      </c>
      <c r="Q354" s="7">
        <f t="shared" si="74"/>
        <v>107552</v>
      </c>
      <c r="W354" s="124">
        <f t="shared" si="69"/>
        <v>37715107.698855199</v>
      </c>
      <c r="X354">
        <f t="shared" si="70"/>
        <v>0</v>
      </c>
    </row>
    <row r="355" spans="1:24">
      <c r="A355" s="23" t="s">
        <v>379</v>
      </c>
      <c r="B355" s="35" t="s">
        <v>365</v>
      </c>
      <c r="C355" s="125">
        <v>3983</v>
      </c>
      <c r="D355" s="132">
        <v>325670436</v>
      </c>
      <c r="E355" s="116">
        <f t="shared" si="71"/>
        <v>81765.110720562385</v>
      </c>
      <c r="F355" s="134">
        <v>216646185</v>
      </c>
      <c r="G355" s="117">
        <f t="shared" si="72"/>
        <v>54392.715289982429</v>
      </c>
      <c r="H355" s="7"/>
      <c r="I355" s="136">
        <v>6.44</v>
      </c>
      <c r="J355" s="134">
        <v>1395201.4314000001</v>
      </c>
      <c r="K355" s="120">
        <f t="shared" si="75"/>
        <v>350.28908646748687</v>
      </c>
      <c r="L355" s="122">
        <f t="shared" si="66"/>
        <v>2166461.85</v>
      </c>
      <c r="M355" s="116">
        <f t="shared" si="67"/>
        <v>771260.41859999998</v>
      </c>
      <c r="N355" s="123">
        <f t="shared" si="68"/>
        <v>193.63806643233744</v>
      </c>
      <c r="O355" s="5"/>
      <c r="P355" s="5">
        <f t="shared" si="73"/>
        <v>1</v>
      </c>
      <c r="Q355" s="7">
        <f t="shared" si="74"/>
        <v>3983</v>
      </c>
      <c r="W355" s="124">
        <f t="shared" si="69"/>
        <v>1395201.4314000001</v>
      </c>
      <c r="X355">
        <f t="shared" si="70"/>
        <v>0</v>
      </c>
    </row>
    <row r="356" spans="1:24">
      <c r="A356" s="23" t="s">
        <v>380</v>
      </c>
      <c r="B356" s="35" t="s">
        <v>365</v>
      </c>
      <c r="C356" s="125">
        <v>2321</v>
      </c>
      <c r="D356" s="132">
        <v>227813004</v>
      </c>
      <c r="E356" s="116">
        <f t="shared" si="71"/>
        <v>98152.953037483836</v>
      </c>
      <c r="F356" s="134">
        <v>162127299</v>
      </c>
      <c r="G356" s="117">
        <f t="shared" si="72"/>
        <v>69852.347694959069</v>
      </c>
      <c r="H356" s="7"/>
      <c r="I356" s="136">
        <v>6</v>
      </c>
      <c r="J356" s="134">
        <v>972763.79399999999</v>
      </c>
      <c r="K356" s="120">
        <f t="shared" si="75"/>
        <v>419.11408616975439</v>
      </c>
      <c r="L356" s="122">
        <f t="shared" si="66"/>
        <v>1621272.99</v>
      </c>
      <c r="M356" s="116">
        <f t="shared" si="67"/>
        <v>648509.196</v>
      </c>
      <c r="N356" s="123">
        <f t="shared" si="68"/>
        <v>279.40939077983626</v>
      </c>
      <c r="O356" s="5"/>
      <c r="P356" s="5">
        <f t="shared" si="73"/>
        <v>1</v>
      </c>
      <c r="Q356" s="7">
        <f t="shared" si="74"/>
        <v>2321</v>
      </c>
      <c r="S356" s="124"/>
      <c r="T356" s="124"/>
      <c r="U356" s="124"/>
      <c r="W356" s="124">
        <f t="shared" si="69"/>
        <v>972763.79399999999</v>
      </c>
      <c r="X356">
        <f t="shared" si="70"/>
        <v>0</v>
      </c>
    </row>
    <row r="357" spans="1:24">
      <c r="A357" s="23" t="s">
        <v>381</v>
      </c>
      <c r="B357" s="35" t="s">
        <v>365</v>
      </c>
      <c r="C357" s="125">
        <v>44815</v>
      </c>
      <c r="D357" s="132">
        <v>4003713157</v>
      </c>
      <c r="E357" s="116">
        <f t="shared" si="71"/>
        <v>89338.684748410131</v>
      </c>
      <c r="F357" s="134">
        <v>2601009589</v>
      </c>
      <c r="G357" s="117">
        <f t="shared" si="72"/>
        <v>58038.817114805308</v>
      </c>
      <c r="H357" s="7"/>
      <c r="I357" s="136">
        <v>6.79</v>
      </c>
      <c r="J357" s="134">
        <v>17660855.109310001</v>
      </c>
      <c r="K357" s="120">
        <f t="shared" si="75"/>
        <v>394.0835682095281</v>
      </c>
      <c r="L357" s="122">
        <f t="shared" si="66"/>
        <v>26010095.890000001</v>
      </c>
      <c r="M357" s="116">
        <f t="shared" si="67"/>
        <v>8349240.7806899995</v>
      </c>
      <c r="N357" s="123">
        <f t="shared" si="68"/>
        <v>186.30460293852502</v>
      </c>
      <c r="O357" s="5"/>
      <c r="P357" s="5">
        <f t="shared" si="73"/>
        <v>1</v>
      </c>
      <c r="Q357" s="7">
        <f t="shared" si="74"/>
        <v>44815</v>
      </c>
      <c r="S357" s="124">
        <f>SUM(D341:D357)</f>
        <v>23593641548</v>
      </c>
      <c r="T357" s="124">
        <f>SUM(F341:F357)</f>
        <v>15220734588</v>
      </c>
      <c r="U357" s="124">
        <f>SUM(J341:J357)</f>
        <v>90133229.232076705</v>
      </c>
      <c r="W357" s="124">
        <f t="shared" si="69"/>
        <v>17660855.109310001</v>
      </c>
      <c r="X357">
        <f t="shared" si="70"/>
        <v>0</v>
      </c>
    </row>
    <row r="358" spans="1:24">
      <c r="A358" s="23" t="s">
        <v>382</v>
      </c>
      <c r="B358" s="35" t="s">
        <v>383</v>
      </c>
      <c r="C358" s="125">
        <v>1583</v>
      </c>
      <c r="D358" s="132">
        <v>125529344</v>
      </c>
      <c r="E358" s="116">
        <f t="shared" si="71"/>
        <v>79298.385344283</v>
      </c>
      <c r="F358" s="134">
        <v>69478867</v>
      </c>
      <c r="G358" s="117">
        <f t="shared" si="72"/>
        <v>43890.629816803536</v>
      </c>
      <c r="H358" s="7"/>
      <c r="I358" s="136">
        <v>8.5914000000000001</v>
      </c>
      <c r="J358" s="134">
        <v>596920.73794379993</v>
      </c>
      <c r="K358" s="120">
        <f t="shared" si="75"/>
        <v>377.08195700808585</v>
      </c>
      <c r="L358" s="122">
        <f t="shared" si="66"/>
        <v>694788.67</v>
      </c>
      <c r="M358" s="116">
        <f t="shared" si="67"/>
        <v>97867.932056200108</v>
      </c>
      <c r="N358" s="123">
        <f t="shared" si="68"/>
        <v>61.824341159949533</v>
      </c>
      <c r="O358" s="5"/>
      <c r="P358" s="5">
        <f t="shared" si="73"/>
        <v>1</v>
      </c>
      <c r="Q358" s="7">
        <f t="shared" si="74"/>
        <v>1583</v>
      </c>
      <c r="W358" s="124">
        <f t="shared" si="69"/>
        <v>596920.73794380005</v>
      </c>
      <c r="X358">
        <f t="shared" si="70"/>
        <v>0</v>
      </c>
    </row>
    <row r="359" spans="1:24">
      <c r="A359" s="23" t="s">
        <v>384</v>
      </c>
      <c r="B359" s="35" t="s">
        <v>383</v>
      </c>
      <c r="C359" s="125">
        <v>1350</v>
      </c>
      <c r="D359" s="132">
        <v>116305414</v>
      </c>
      <c r="E359" s="116">
        <f t="shared" si="71"/>
        <v>86152.158518518525</v>
      </c>
      <c r="F359" s="134">
        <v>55455897</v>
      </c>
      <c r="G359" s="117">
        <f t="shared" si="72"/>
        <v>41078.44222222222</v>
      </c>
      <c r="H359" s="7"/>
      <c r="I359" s="136">
        <v>8.5602</v>
      </c>
      <c r="J359" s="134">
        <v>474713.56949940004</v>
      </c>
      <c r="K359" s="120">
        <f t="shared" si="75"/>
        <v>351.63968111066669</v>
      </c>
      <c r="L359" s="122">
        <f t="shared" si="66"/>
        <v>554558.97</v>
      </c>
      <c r="M359" s="116">
        <f t="shared" si="67"/>
        <v>79845.400500599935</v>
      </c>
      <c r="N359" s="123">
        <f t="shared" si="68"/>
        <v>59.144741111555504</v>
      </c>
      <c r="O359" s="5"/>
      <c r="P359" s="5">
        <f t="shared" si="73"/>
        <v>1</v>
      </c>
      <c r="Q359" s="7">
        <f t="shared" si="74"/>
        <v>1350</v>
      </c>
      <c r="W359" s="124">
        <f t="shared" si="69"/>
        <v>474713.56949940004</v>
      </c>
      <c r="X359">
        <f t="shared" si="70"/>
        <v>0</v>
      </c>
    </row>
    <row r="360" spans="1:24">
      <c r="A360" s="23" t="s">
        <v>385</v>
      </c>
      <c r="B360" s="35" t="s">
        <v>383</v>
      </c>
      <c r="C360" s="125">
        <v>10723</v>
      </c>
      <c r="D360" s="132">
        <v>877011383</v>
      </c>
      <c r="E360" s="116">
        <f t="shared" si="71"/>
        <v>81787.874941714079</v>
      </c>
      <c r="F360" s="134">
        <v>461384690</v>
      </c>
      <c r="G360" s="117">
        <f t="shared" si="72"/>
        <v>43027.575305418257</v>
      </c>
      <c r="H360" s="7"/>
      <c r="I360" s="136">
        <v>6.4</v>
      </c>
      <c r="J360" s="134">
        <v>2952862.0159999998</v>
      </c>
      <c r="K360" s="120">
        <f t="shared" si="75"/>
        <v>275.37648195467682</v>
      </c>
      <c r="L360" s="122">
        <f t="shared" si="66"/>
        <v>4613846.9000000004</v>
      </c>
      <c r="M360" s="116">
        <f t="shared" si="67"/>
        <v>1660984.8840000005</v>
      </c>
      <c r="N360" s="123">
        <f t="shared" si="68"/>
        <v>154.8992710995058</v>
      </c>
      <c r="O360" s="5"/>
      <c r="P360" s="5">
        <f t="shared" si="73"/>
        <v>1</v>
      </c>
      <c r="Q360" s="7">
        <f t="shared" si="74"/>
        <v>10723</v>
      </c>
      <c r="W360" s="124">
        <f t="shared" si="69"/>
        <v>2952862.0160000003</v>
      </c>
      <c r="X360">
        <f t="shared" si="70"/>
        <v>0</v>
      </c>
    </row>
    <row r="361" spans="1:24">
      <c r="A361" s="23" t="s">
        <v>386</v>
      </c>
      <c r="B361" s="35" t="s">
        <v>383</v>
      </c>
      <c r="C361" s="125">
        <v>880</v>
      </c>
      <c r="D361" s="132">
        <v>48971291</v>
      </c>
      <c r="E361" s="116">
        <f t="shared" si="71"/>
        <v>55649.194318181821</v>
      </c>
      <c r="F361" s="134">
        <v>30515524</v>
      </c>
      <c r="G361" s="117">
        <f t="shared" si="72"/>
        <v>34676.731818181819</v>
      </c>
      <c r="H361" s="7"/>
      <c r="I361" s="136">
        <v>5.7123999999999997</v>
      </c>
      <c r="J361" s="134">
        <v>174316.87929760001</v>
      </c>
      <c r="K361" s="120">
        <f t="shared" si="75"/>
        <v>198.08736283818183</v>
      </c>
      <c r="L361" s="122">
        <f t="shared" si="66"/>
        <v>305155.24</v>
      </c>
      <c r="M361" s="116">
        <f t="shared" si="67"/>
        <v>130838.36070239998</v>
      </c>
      <c r="N361" s="123">
        <f t="shared" si="68"/>
        <v>148.67995534363635</v>
      </c>
      <c r="O361" s="5"/>
      <c r="P361" s="5">
        <f t="shared" si="73"/>
        <v>1</v>
      </c>
      <c r="Q361" s="7">
        <f t="shared" si="74"/>
        <v>880</v>
      </c>
      <c r="S361" s="124"/>
      <c r="T361" s="124"/>
      <c r="U361" s="124"/>
      <c r="W361" s="124">
        <f t="shared" si="69"/>
        <v>174316.87929759998</v>
      </c>
      <c r="X361">
        <f t="shared" si="70"/>
        <v>0</v>
      </c>
    </row>
    <row r="362" spans="1:24">
      <c r="A362" s="23" t="s">
        <v>387</v>
      </c>
      <c r="B362" s="35" t="s">
        <v>383</v>
      </c>
      <c r="C362" s="125">
        <v>717</v>
      </c>
      <c r="D362" s="132">
        <v>79224748</v>
      </c>
      <c r="E362" s="116">
        <f t="shared" si="71"/>
        <v>110494.7670850767</v>
      </c>
      <c r="F362" s="134">
        <v>57512838</v>
      </c>
      <c r="G362" s="117">
        <f t="shared" si="72"/>
        <v>80213.163179916315</v>
      </c>
      <c r="H362" s="9"/>
      <c r="I362" s="136">
        <v>5.5049999999999999</v>
      </c>
      <c r="J362" s="134">
        <v>316608.17319</v>
      </c>
      <c r="K362" s="120">
        <f t="shared" si="75"/>
        <v>441.5734633054393</v>
      </c>
      <c r="L362" s="122">
        <f t="shared" si="66"/>
        <v>575128.38</v>
      </c>
      <c r="M362" s="116">
        <f t="shared" si="67"/>
        <v>258520.20681</v>
      </c>
      <c r="N362" s="123">
        <f t="shared" si="68"/>
        <v>360.55816849372383</v>
      </c>
      <c r="O362" s="5"/>
      <c r="P362" s="5">
        <f t="shared" si="73"/>
        <v>1</v>
      </c>
      <c r="Q362" s="7">
        <f t="shared" si="74"/>
        <v>717</v>
      </c>
      <c r="S362" s="124">
        <f>SUM(D358:D362)</f>
        <v>1247042180</v>
      </c>
      <c r="T362" s="124">
        <f>SUM(F358:F362)</f>
        <v>674347816</v>
      </c>
      <c r="U362" s="124">
        <f>SUM(J358:J362)</f>
        <v>4515421.3759307992</v>
      </c>
      <c r="W362" s="124">
        <f t="shared" si="69"/>
        <v>316608.17318999994</v>
      </c>
      <c r="X362">
        <f t="shared" si="70"/>
        <v>0</v>
      </c>
    </row>
    <row r="363" spans="1:24">
      <c r="A363" s="23" t="s">
        <v>390</v>
      </c>
      <c r="B363" s="35" t="s">
        <v>391</v>
      </c>
      <c r="C363" s="125">
        <v>5849</v>
      </c>
      <c r="D363" s="132">
        <v>1385712576</v>
      </c>
      <c r="E363" s="116">
        <f t="shared" si="71"/>
        <v>236914.44281073689</v>
      </c>
      <c r="F363" s="134">
        <v>868739730</v>
      </c>
      <c r="G363" s="117">
        <f t="shared" si="72"/>
        <v>148527.9073345871</v>
      </c>
      <c r="H363" s="9"/>
      <c r="I363" s="136">
        <v>1.9722999999999999</v>
      </c>
      <c r="J363" s="134">
        <v>1713415.3694789999</v>
      </c>
      <c r="K363" s="120">
        <f t="shared" si="75"/>
        <v>292.94159163600614</v>
      </c>
      <c r="L363" s="122">
        <f t="shared" si="66"/>
        <v>8687397.3000000007</v>
      </c>
      <c r="M363" s="116">
        <f t="shared" si="67"/>
        <v>6973981.9305210011</v>
      </c>
      <c r="N363" s="123">
        <f t="shared" si="68"/>
        <v>1192.3374817098652</v>
      </c>
      <c r="O363" s="5"/>
      <c r="P363" s="5">
        <f t="shared" si="73"/>
        <v>1</v>
      </c>
      <c r="Q363" s="7">
        <f t="shared" si="74"/>
        <v>5849</v>
      </c>
      <c r="W363" s="124">
        <f t="shared" si="69"/>
        <v>1713415.3694789999</v>
      </c>
      <c r="X363">
        <f t="shared" si="70"/>
        <v>0</v>
      </c>
    </row>
    <row r="364" spans="1:24">
      <c r="A364" s="23" t="s">
        <v>392</v>
      </c>
      <c r="B364" s="35" t="s">
        <v>391</v>
      </c>
      <c r="C364" s="125">
        <v>521</v>
      </c>
      <c r="D364" s="132">
        <v>74418710</v>
      </c>
      <c r="E364" s="116">
        <f t="shared" si="71"/>
        <v>142838.21497120921</v>
      </c>
      <c r="F364" s="134">
        <v>51655999</v>
      </c>
      <c r="G364" s="117">
        <f t="shared" si="72"/>
        <v>99147.790786948171</v>
      </c>
      <c r="H364" s="9"/>
      <c r="I364" s="136">
        <v>2.5</v>
      </c>
      <c r="J364" s="134">
        <v>129139.9975</v>
      </c>
      <c r="K364" s="120">
        <f t="shared" si="75"/>
        <v>247.86947696737045</v>
      </c>
      <c r="L364" s="122">
        <f t="shared" si="66"/>
        <v>516559.99</v>
      </c>
      <c r="M364" s="116">
        <f t="shared" si="67"/>
        <v>387419.99249999999</v>
      </c>
      <c r="N364" s="123">
        <f t="shared" si="68"/>
        <v>743.60843090211131</v>
      </c>
      <c r="O364" s="5"/>
      <c r="P364" s="5">
        <f t="shared" si="73"/>
        <v>1</v>
      </c>
      <c r="Q364" s="7">
        <f t="shared" si="74"/>
        <v>521</v>
      </c>
      <c r="S364" s="124"/>
      <c r="T364" s="124"/>
      <c r="U364" s="124"/>
      <c r="W364" s="124">
        <f t="shared" si="69"/>
        <v>129139.9975</v>
      </c>
      <c r="X364">
        <f t="shared" si="70"/>
        <v>0</v>
      </c>
    </row>
    <row r="365" spans="1:24">
      <c r="A365" s="23" t="s">
        <v>393</v>
      </c>
      <c r="B365" s="35" t="s">
        <v>391</v>
      </c>
      <c r="C365" s="125">
        <v>10551</v>
      </c>
      <c r="D365" s="132">
        <v>627304510</v>
      </c>
      <c r="E365" s="116">
        <f t="shared" si="71"/>
        <v>59454.507629608568</v>
      </c>
      <c r="F365" s="134">
        <v>363026952</v>
      </c>
      <c r="G365" s="117">
        <f t="shared" si="72"/>
        <v>34406.876315041227</v>
      </c>
      <c r="H365" s="7"/>
      <c r="I365" s="136">
        <v>3.2372999999999998</v>
      </c>
      <c r="J365" s="134">
        <v>1175227.1517095999</v>
      </c>
      <c r="K365" s="120">
        <f t="shared" si="75"/>
        <v>111.38538069468295</v>
      </c>
      <c r="L365" s="122">
        <f t="shared" si="66"/>
        <v>3630269.52</v>
      </c>
      <c r="M365" s="116">
        <f t="shared" si="67"/>
        <v>2455042.3682904001</v>
      </c>
      <c r="N365" s="123">
        <f t="shared" si="68"/>
        <v>232.68338245572932</v>
      </c>
      <c r="O365" s="5"/>
      <c r="P365" s="5">
        <f t="shared" si="73"/>
        <v>1</v>
      </c>
      <c r="Q365" s="7">
        <f t="shared" si="74"/>
        <v>10551</v>
      </c>
      <c r="S365" s="124">
        <f>SUM(D363:D365)</f>
        <v>2087435796</v>
      </c>
      <c r="T365" s="183">
        <f>SUM(F363:F365)</f>
        <v>1283422681</v>
      </c>
      <c r="U365" s="124">
        <f>SUM(J363:J365)</f>
        <v>3017782.5186885996</v>
      </c>
      <c r="W365" s="124">
        <f t="shared" si="69"/>
        <v>1175227.1517095999</v>
      </c>
      <c r="X365">
        <f t="shared" si="70"/>
        <v>0</v>
      </c>
    </row>
    <row r="366" spans="1:24">
      <c r="A366" s="23" t="s">
        <v>394</v>
      </c>
      <c r="B366" s="35" t="s">
        <v>395</v>
      </c>
      <c r="C366" s="125">
        <v>73652</v>
      </c>
      <c r="D366" s="132">
        <v>7311265574</v>
      </c>
      <c r="E366" s="116">
        <f t="shared" si="71"/>
        <v>99267.712675826857</v>
      </c>
      <c r="F366" s="134">
        <v>4602086603</v>
      </c>
      <c r="G366" s="117">
        <f t="shared" si="72"/>
        <v>62484.204135665022</v>
      </c>
      <c r="H366" s="7"/>
      <c r="I366" s="136">
        <v>3.8734999999999999</v>
      </c>
      <c r="J366" s="134">
        <v>17826182.456720501</v>
      </c>
      <c r="K366" s="120">
        <f t="shared" si="75"/>
        <v>242.03256471949848</v>
      </c>
      <c r="L366" s="122">
        <f t="shared" si="66"/>
        <v>46020866.030000001</v>
      </c>
      <c r="M366" s="116">
        <f t="shared" si="67"/>
        <v>28194683.5732795</v>
      </c>
      <c r="N366" s="123">
        <f t="shared" si="68"/>
        <v>382.80947663715176</v>
      </c>
      <c r="O366" s="5"/>
      <c r="P366" s="5">
        <f t="shared" si="73"/>
        <v>1</v>
      </c>
      <c r="Q366" s="7">
        <f t="shared" si="74"/>
        <v>73652</v>
      </c>
      <c r="W366" s="124">
        <f t="shared" si="69"/>
        <v>17826182.456720497</v>
      </c>
      <c r="X366">
        <f t="shared" si="70"/>
        <v>0</v>
      </c>
    </row>
    <row r="367" spans="1:24">
      <c r="A367" s="23" t="s">
        <v>395</v>
      </c>
      <c r="B367" s="35" t="s">
        <v>395</v>
      </c>
      <c r="C367" s="125">
        <v>56692</v>
      </c>
      <c r="D367" s="132">
        <v>16316026376</v>
      </c>
      <c r="E367" s="116">
        <f t="shared" si="71"/>
        <v>287801.21315176744</v>
      </c>
      <c r="F367" s="134">
        <v>11157314390</v>
      </c>
      <c r="G367" s="117">
        <f t="shared" si="72"/>
        <v>196805.7995837155</v>
      </c>
      <c r="H367" s="7"/>
      <c r="I367" s="136">
        <v>3.2631999999999999</v>
      </c>
      <c r="J367" s="134">
        <v>36408548.317447998</v>
      </c>
      <c r="K367" s="120">
        <f t="shared" si="75"/>
        <v>642.21668520158039</v>
      </c>
      <c r="L367" s="122">
        <f t="shared" si="66"/>
        <v>111573143.90000001</v>
      </c>
      <c r="M367" s="116">
        <f t="shared" si="67"/>
        <v>75164595.582552016</v>
      </c>
      <c r="N367" s="123">
        <f t="shared" si="68"/>
        <v>1325.8413106355749</v>
      </c>
      <c r="O367" s="5"/>
      <c r="P367" s="5">
        <f t="shared" si="73"/>
        <v>1</v>
      </c>
      <c r="Q367" s="7">
        <f t="shared" si="74"/>
        <v>56692</v>
      </c>
      <c r="S367" s="124"/>
      <c r="T367" s="124"/>
      <c r="U367" s="124"/>
      <c r="W367" s="124">
        <f t="shared" si="69"/>
        <v>36408548.317447998</v>
      </c>
      <c r="X367">
        <f t="shared" si="70"/>
        <v>0</v>
      </c>
    </row>
    <row r="368" spans="1:24">
      <c r="A368" s="23" t="s">
        <v>396</v>
      </c>
      <c r="B368" s="35" t="s">
        <v>395</v>
      </c>
      <c r="C368" s="125">
        <v>23315</v>
      </c>
      <c r="D368" s="132">
        <v>5608159143</v>
      </c>
      <c r="E368" s="116">
        <f t="shared" si="71"/>
        <v>240538.67222817929</v>
      </c>
      <c r="F368" s="134">
        <v>4252231909</v>
      </c>
      <c r="G368" s="117">
        <f t="shared" si="72"/>
        <v>182381.81037958397</v>
      </c>
      <c r="H368" s="7"/>
      <c r="I368" s="136">
        <v>3.7</v>
      </c>
      <c r="J368" s="134">
        <v>15733258.063300001</v>
      </c>
      <c r="K368" s="120">
        <f t="shared" si="75"/>
        <v>674.81269840446066</v>
      </c>
      <c r="L368" s="122">
        <f t="shared" si="66"/>
        <v>42522319.090000004</v>
      </c>
      <c r="M368" s="116">
        <f t="shared" si="67"/>
        <v>26789061.026700005</v>
      </c>
      <c r="N368" s="123">
        <f t="shared" si="68"/>
        <v>1149.0054053913791</v>
      </c>
      <c r="O368" s="5"/>
      <c r="P368" s="5">
        <f t="shared" si="73"/>
        <v>1</v>
      </c>
      <c r="Q368" s="7">
        <f t="shared" si="74"/>
        <v>23315</v>
      </c>
      <c r="S368" s="124">
        <f>SUM(D366:D368)</f>
        <v>29235451093</v>
      </c>
      <c r="T368" s="124">
        <f>SUM(F366:F368)</f>
        <v>20011632902</v>
      </c>
      <c r="U368" s="124">
        <f>SUM(J366:J368)</f>
        <v>69967988.837468505</v>
      </c>
      <c r="W368" s="124">
        <f t="shared" si="69"/>
        <v>15733258.063300001</v>
      </c>
      <c r="X368">
        <f t="shared" si="70"/>
        <v>0</v>
      </c>
    </row>
    <row r="369" spans="1:24">
      <c r="A369" s="23" t="s">
        <v>397</v>
      </c>
      <c r="B369" s="35" t="s">
        <v>360</v>
      </c>
      <c r="C369" s="125">
        <v>45293</v>
      </c>
      <c r="D369" s="132">
        <v>4813899439</v>
      </c>
      <c r="E369" s="116">
        <f t="shared" si="71"/>
        <v>106283.51928554081</v>
      </c>
      <c r="F369" s="134">
        <v>3496531939</v>
      </c>
      <c r="G369" s="117">
        <f t="shared" si="72"/>
        <v>77198.064579515602</v>
      </c>
      <c r="H369" s="7"/>
      <c r="I369" s="136">
        <v>3.1</v>
      </c>
      <c r="J369" s="134">
        <v>10839249.0109</v>
      </c>
      <c r="K369" s="120">
        <f t="shared" si="75"/>
        <v>239.31400019649837</v>
      </c>
      <c r="L369" s="122">
        <f t="shared" si="66"/>
        <v>34965319.390000001</v>
      </c>
      <c r="M369" s="116">
        <f t="shared" si="67"/>
        <v>24126070.379100002</v>
      </c>
      <c r="N369" s="123">
        <f t="shared" si="68"/>
        <v>532.66664559865774</v>
      </c>
      <c r="O369" s="5"/>
      <c r="P369" s="5">
        <f t="shared" si="73"/>
        <v>1</v>
      </c>
      <c r="Q369" s="7">
        <f t="shared" si="74"/>
        <v>45293</v>
      </c>
      <c r="W369" s="124">
        <f t="shared" si="69"/>
        <v>10839249.0109</v>
      </c>
      <c r="X369">
        <f t="shared" si="70"/>
        <v>0</v>
      </c>
    </row>
    <row r="370" spans="1:24">
      <c r="A370" s="23" t="s">
        <v>398</v>
      </c>
      <c r="B370" s="35" t="s">
        <v>360</v>
      </c>
      <c r="C370" s="125">
        <v>30035</v>
      </c>
      <c r="D370" s="132">
        <v>2330996399</v>
      </c>
      <c r="E370" s="116">
        <f t="shared" si="71"/>
        <v>77609.335741634757</v>
      </c>
      <c r="F370" s="134">
        <v>1630003090</v>
      </c>
      <c r="G370" s="117">
        <f t="shared" si="72"/>
        <v>54270.121191942737</v>
      </c>
      <c r="H370" s="7"/>
      <c r="I370" s="136">
        <v>3.0518999999999998</v>
      </c>
      <c r="J370" s="134">
        <v>4974606.4303709995</v>
      </c>
      <c r="K370" s="120">
        <f t="shared" si="75"/>
        <v>165.62698286569002</v>
      </c>
      <c r="L370" s="122">
        <f t="shared" si="66"/>
        <v>16300030.9</v>
      </c>
      <c r="M370" s="116">
        <f t="shared" si="67"/>
        <v>11325424.469629001</v>
      </c>
      <c r="N370" s="123">
        <f t="shared" si="68"/>
        <v>377.07422905373733</v>
      </c>
      <c r="O370" s="5"/>
      <c r="P370" s="5">
        <f t="shared" si="73"/>
        <v>1</v>
      </c>
      <c r="Q370" s="7">
        <f t="shared" si="74"/>
        <v>30035</v>
      </c>
      <c r="W370" s="124">
        <f t="shared" si="69"/>
        <v>4974606.4303709995</v>
      </c>
      <c r="X370">
        <f t="shared" si="70"/>
        <v>0</v>
      </c>
    </row>
    <row r="371" spans="1:24">
      <c r="A371" s="23" t="s">
        <v>399</v>
      </c>
      <c r="B371" s="35" t="s">
        <v>360</v>
      </c>
      <c r="C371" s="125">
        <v>17449</v>
      </c>
      <c r="D371" s="132">
        <v>3290355990</v>
      </c>
      <c r="E371" s="116">
        <f t="shared" si="71"/>
        <v>188569.88881884349</v>
      </c>
      <c r="F371" s="134">
        <v>2639739729</v>
      </c>
      <c r="G371" s="117">
        <f t="shared" si="72"/>
        <v>151283.15255888589</v>
      </c>
      <c r="H371" s="7"/>
      <c r="I371" s="136">
        <v>3.5895000000000001</v>
      </c>
      <c r="J371" s="134">
        <v>9475345.7572454996</v>
      </c>
      <c r="K371" s="120">
        <f t="shared" si="75"/>
        <v>543.03087611012086</v>
      </c>
      <c r="L371" s="122">
        <f t="shared" si="66"/>
        <v>26397397.289999999</v>
      </c>
      <c r="M371" s="116">
        <f t="shared" si="67"/>
        <v>16922051.532754499</v>
      </c>
      <c r="N371" s="123">
        <f t="shared" si="68"/>
        <v>969.80064947873802</v>
      </c>
      <c r="O371" s="5"/>
      <c r="P371" s="5">
        <f t="shared" si="73"/>
        <v>1</v>
      </c>
      <c r="Q371" s="7">
        <f t="shared" si="74"/>
        <v>17449</v>
      </c>
      <c r="W371" s="124">
        <f t="shared" si="69"/>
        <v>9475345.7572455015</v>
      </c>
      <c r="X371">
        <f t="shared" si="70"/>
        <v>0</v>
      </c>
    </row>
    <row r="372" spans="1:24">
      <c r="A372" s="23" t="s">
        <v>400</v>
      </c>
      <c r="B372" s="35" t="s">
        <v>360</v>
      </c>
      <c r="C372" s="125">
        <v>15815</v>
      </c>
      <c r="D372" s="147">
        <v>1737480774</v>
      </c>
      <c r="E372" s="116">
        <f t="shared" si="71"/>
        <v>109862.83743281694</v>
      </c>
      <c r="F372" s="134">
        <v>1192670870</v>
      </c>
      <c r="G372" s="117">
        <f t="shared" si="72"/>
        <v>75413.902624091046</v>
      </c>
      <c r="H372" s="7"/>
      <c r="I372" s="136">
        <v>5.5</v>
      </c>
      <c r="J372" s="134">
        <v>6559689.7850000001</v>
      </c>
      <c r="K372" s="120">
        <f t="shared" si="75"/>
        <v>414.7764644325008</v>
      </c>
      <c r="L372" s="122">
        <f t="shared" si="66"/>
        <v>11926708.700000001</v>
      </c>
      <c r="M372" s="116">
        <f t="shared" si="67"/>
        <v>5367018.915000001</v>
      </c>
      <c r="N372" s="123">
        <f t="shared" si="68"/>
        <v>339.36256180840979</v>
      </c>
      <c r="O372" s="5"/>
      <c r="P372" s="5">
        <f t="shared" si="73"/>
        <v>1</v>
      </c>
      <c r="Q372" s="7">
        <f t="shared" si="74"/>
        <v>15815</v>
      </c>
      <c r="W372" s="124">
        <f t="shared" si="69"/>
        <v>6559689.7849999992</v>
      </c>
      <c r="X372">
        <f t="shared" si="70"/>
        <v>0</v>
      </c>
    </row>
    <row r="373" spans="1:24">
      <c r="A373" s="23" t="s">
        <v>401</v>
      </c>
      <c r="B373" s="35" t="s">
        <v>360</v>
      </c>
      <c r="C373" s="125">
        <v>40021</v>
      </c>
      <c r="D373" s="132">
        <v>4395957651</v>
      </c>
      <c r="E373" s="116">
        <f t="shared" si="71"/>
        <v>109841.27460583193</v>
      </c>
      <c r="F373" s="134">
        <v>3026583029</v>
      </c>
      <c r="G373" s="117">
        <f t="shared" si="72"/>
        <v>75624.8726668499</v>
      </c>
      <c r="H373" s="7"/>
      <c r="I373" s="136">
        <v>5.1144999999999996</v>
      </c>
      <c r="J373" s="134">
        <v>15479458.901820499</v>
      </c>
      <c r="K373" s="120">
        <f t="shared" si="75"/>
        <v>386.78341125460383</v>
      </c>
      <c r="L373" s="122">
        <f t="shared" si="66"/>
        <v>30265830.289999999</v>
      </c>
      <c r="M373" s="116">
        <f t="shared" si="67"/>
        <v>14786371.3881795</v>
      </c>
      <c r="N373" s="123">
        <f t="shared" si="68"/>
        <v>369.46531541389521</v>
      </c>
      <c r="O373" s="5"/>
      <c r="P373" s="5">
        <f t="shared" si="73"/>
        <v>1</v>
      </c>
      <c r="Q373" s="7">
        <f t="shared" si="74"/>
        <v>40021</v>
      </c>
      <c r="W373" s="124">
        <f t="shared" si="69"/>
        <v>15479458.901820498</v>
      </c>
      <c r="X373">
        <f t="shared" si="70"/>
        <v>0</v>
      </c>
    </row>
    <row r="374" spans="1:24">
      <c r="A374" s="23" t="s">
        <v>402</v>
      </c>
      <c r="B374" s="35" t="s">
        <v>360</v>
      </c>
      <c r="C374" s="125">
        <v>60269</v>
      </c>
      <c r="D374" s="132">
        <v>5152407638</v>
      </c>
      <c r="E374" s="116">
        <f t="shared" si="71"/>
        <v>85490.179661185684</v>
      </c>
      <c r="F374" s="134">
        <v>3452772184</v>
      </c>
      <c r="G374" s="117">
        <f t="shared" si="72"/>
        <v>57289.355788216162</v>
      </c>
      <c r="H374" s="7"/>
      <c r="I374" s="136">
        <v>7.3250000000000002</v>
      </c>
      <c r="J374" s="134">
        <v>25291556.2478</v>
      </c>
      <c r="K374" s="120">
        <f t="shared" si="75"/>
        <v>419.64453114868343</v>
      </c>
      <c r="L374" s="122">
        <f t="shared" si="66"/>
        <v>34527721.840000004</v>
      </c>
      <c r="M374" s="116">
        <f t="shared" si="67"/>
        <v>9236165.5922000036</v>
      </c>
      <c r="N374" s="123">
        <f t="shared" si="68"/>
        <v>153.2490267334783</v>
      </c>
      <c r="O374" s="5"/>
      <c r="P374" s="5">
        <f t="shared" si="73"/>
        <v>1</v>
      </c>
      <c r="Q374" s="7">
        <f t="shared" si="74"/>
        <v>60269</v>
      </c>
      <c r="S374" s="124"/>
      <c r="T374" s="124"/>
      <c r="U374" s="124"/>
      <c r="W374" s="124">
        <f t="shared" si="69"/>
        <v>25291556.2478</v>
      </c>
      <c r="X374">
        <f t="shared" si="70"/>
        <v>0</v>
      </c>
    </row>
    <row r="375" spans="1:24">
      <c r="A375" s="23" t="s">
        <v>403</v>
      </c>
      <c r="B375" s="37" t="s">
        <v>360</v>
      </c>
      <c r="C375" s="125">
        <v>38595</v>
      </c>
      <c r="D375" s="132">
        <v>3736781132</v>
      </c>
      <c r="E375" s="116">
        <f t="shared" si="71"/>
        <v>96820.342842337093</v>
      </c>
      <c r="F375" s="134">
        <v>2509878198</v>
      </c>
      <c r="G375" s="117">
        <f t="shared" si="72"/>
        <v>65031.174970851149</v>
      </c>
      <c r="H375" s="7"/>
      <c r="I375" s="136">
        <v>2.4300000000000002</v>
      </c>
      <c r="J375" s="134">
        <v>6099004.0211400008</v>
      </c>
      <c r="K375" s="120">
        <f t="shared" si="75"/>
        <v>158.0257551791683</v>
      </c>
      <c r="L375" s="122">
        <f t="shared" si="66"/>
        <v>25098781.98</v>
      </c>
      <c r="M375" s="116">
        <f t="shared" si="67"/>
        <v>18999777.958859999</v>
      </c>
      <c r="N375" s="123">
        <f t="shared" si="68"/>
        <v>492.28599452934316</v>
      </c>
      <c r="O375" s="5"/>
      <c r="P375" s="5">
        <f t="shared" si="73"/>
        <v>1</v>
      </c>
      <c r="Q375" s="7">
        <f t="shared" si="74"/>
        <v>38595</v>
      </c>
      <c r="S375" s="124">
        <f>SUM(D369:D375)</f>
        <v>25457879023</v>
      </c>
      <c r="T375" s="124">
        <f>SUM(F369:F375)</f>
        <v>17948179039</v>
      </c>
      <c r="U375" s="124">
        <f>SUM(J369:J375)</f>
        <v>78718910.154276982</v>
      </c>
      <c r="W375" s="124">
        <f t="shared" si="69"/>
        <v>6099004.0211400008</v>
      </c>
      <c r="X375">
        <f t="shared" si="70"/>
        <v>0</v>
      </c>
    </row>
    <row r="376" spans="1:24">
      <c r="A376" s="24" t="s">
        <v>549</v>
      </c>
      <c r="B376" s="37" t="s">
        <v>551</v>
      </c>
      <c r="C376" s="125">
        <v>14653</v>
      </c>
      <c r="D376" s="132">
        <v>2913273960</v>
      </c>
      <c r="E376" s="116">
        <f t="shared" si="71"/>
        <v>198817.57728792739</v>
      </c>
      <c r="F376" s="134">
        <v>1761293671</v>
      </c>
      <c r="G376" s="117">
        <f t="shared" si="72"/>
        <v>120200.20958165564</v>
      </c>
      <c r="H376" s="7"/>
      <c r="I376" s="136">
        <v>7.5</v>
      </c>
      <c r="J376" s="134">
        <v>13209702.532500001</v>
      </c>
      <c r="K376" s="120">
        <f t="shared" si="75"/>
        <v>901.50157186241734</v>
      </c>
      <c r="L376" s="122">
        <f t="shared" si="66"/>
        <v>17612936.710000001</v>
      </c>
      <c r="M376" s="116">
        <f t="shared" si="67"/>
        <v>4403234.1775000002</v>
      </c>
      <c r="N376" s="123">
        <f t="shared" si="68"/>
        <v>300.50052395413911</v>
      </c>
      <c r="O376" s="5"/>
      <c r="P376" s="5">
        <f t="shared" si="73"/>
        <v>1</v>
      </c>
      <c r="Q376" s="7">
        <f t="shared" si="74"/>
        <v>14653</v>
      </c>
      <c r="W376" s="124">
        <f t="shared" si="69"/>
        <v>13209702.532499999</v>
      </c>
      <c r="X376">
        <f t="shared" si="70"/>
        <v>0</v>
      </c>
    </row>
    <row r="377" spans="1:24">
      <c r="A377" s="24" t="s">
        <v>550</v>
      </c>
      <c r="B377" s="37" t="s">
        <v>551</v>
      </c>
      <c r="C377" s="125">
        <v>6749</v>
      </c>
      <c r="D377" s="132">
        <v>1723196257</v>
      </c>
      <c r="E377" s="116">
        <f t="shared" si="71"/>
        <v>255326.16046821751</v>
      </c>
      <c r="F377" s="134">
        <v>1377712359</v>
      </c>
      <c r="G377" s="117">
        <f t="shared" si="72"/>
        <v>204135.77700400059</v>
      </c>
      <c r="H377" s="7"/>
      <c r="I377" s="136">
        <v>2.3992</v>
      </c>
      <c r="J377" s="134">
        <v>3305407.4917128002</v>
      </c>
      <c r="K377" s="120">
        <f t="shared" si="75"/>
        <v>489.76255618799826</v>
      </c>
      <c r="L377" s="122">
        <f t="shared" si="66"/>
        <v>13777123.59</v>
      </c>
      <c r="M377" s="116">
        <f t="shared" si="67"/>
        <v>10471716.098287199</v>
      </c>
      <c r="N377" s="123">
        <f t="shared" si="68"/>
        <v>1551.5952138520074</v>
      </c>
      <c r="O377" s="5"/>
      <c r="P377" s="5">
        <f t="shared" si="73"/>
        <v>1</v>
      </c>
      <c r="Q377" s="7">
        <f t="shared" si="74"/>
        <v>6749</v>
      </c>
      <c r="S377" s="124">
        <f>SUM(D376:D377)</f>
        <v>4636470217</v>
      </c>
      <c r="T377" s="124">
        <f>SUM(F376:F377)</f>
        <v>3139006030</v>
      </c>
      <c r="U377" s="124">
        <f>SUM(J376:J377)</f>
        <v>16515110.0242128</v>
      </c>
      <c r="W377" s="124">
        <f t="shared" si="69"/>
        <v>3305407.4917128002</v>
      </c>
      <c r="X377">
        <f t="shared" si="70"/>
        <v>0</v>
      </c>
    </row>
    <row r="378" spans="1:24">
      <c r="A378" s="23" t="s">
        <v>389</v>
      </c>
      <c r="B378" s="37" t="s">
        <v>552</v>
      </c>
      <c r="C378" s="125">
        <v>43653</v>
      </c>
      <c r="D378" s="132">
        <v>4344836896</v>
      </c>
      <c r="E378" s="116">
        <f t="shared" si="71"/>
        <v>99531.232584243917</v>
      </c>
      <c r="F378" s="134">
        <v>2561593701</v>
      </c>
      <c r="G378" s="117">
        <f t="shared" si="72"/>
        <v>58680.816919799327</v>
      </c>
      <c r="H378" s="7"/>
      <c r="I378" s="136">
        <v>6.9</v>
      </c>
      <c r="J378" s="134">
        <v>17674996.536900003</v>
      </c>
      <c r="K378" s="120">
        <f t="shared" si="75"/>
        <v>404.89763674661543</v>
      </c>
      <c r="L378" s="122">
        <f t="shared" si="66"/>
        <v>25615937.010000002</v>
      </c>
      <c r="M378" s="116">
        <f t="shared" si="67"/>
        <v>7940940.4730999991</v>
      </c>
      <c r="N378" s="123">
        <f t="shared" si="68"/>
        <v>181.91053245137789</v>
      </c>
      <c r="O378" s="5"/>
      <c r="P378" s="5">
        <f t="shared" si="73"/>
        <v>1</v>
      </c>
      <c r="Q378" s="7">
        <f t="shared" si="74"/>
        <v>43653</v>
      </c>
      <c r="W378" s="124">
        <f t="shared" si="69"/>
        <v>17674996.536900003</v>
      </c>
      <c r="X378">
        <f t="shared" si="70"/>
        <v>0</v>
      </c>
    </row>
    <row r="379" spans="1:24">
      <c r="A379" s="24" t="s">
        <v>553</v>
      </c>
      <c r="B379" s="37" t="s">
        <v>552</v>
      </c>
      <c r="C379" s="125">
        <v>191903</v>
      </c>
      <c r="D379" s="132">
        <v>18890750510</v>
      </c>
      <c r="E379" s="116">
        <f t="shared" si="71"/>
        <v>98439.057805245364</v>
      </c>
      <c r="F379" s="134">
        <v>10767373519</v>
      </c>
      <c r="G379" s="117">
        <f t="shared" si="72"/>
        <v>56108.416851221707</v>
      </c>
      <c r="H379" s="7"/>
      <c r="I379" s="136">
        <v>5.0547000000000004</v>
      </c>
      <c r="J379" s="134">
        <v>54425842.926489301</v>
      </c>
      <c r="K379" s="120">
        <f t="shared" si="75"/>
        <v>283.61121465787039</v>
      </c>
      <c r="L379" s="122">
        <f t="shared" si="66"/>
        <v>107673735.19</v>
      </c>
      <c r="M379" s="116">
        <f t="shared" si="67"/>
        <v>53247892.263510697</v>
      </c>
      <c r="N379" s="123">
        <f t="shared" si="68"/>
        <v>277.47295385434671</v>
      </c>
      <c r="O379" s="5"/>
      <c r="P379" s="5">
        <f t="shared" si="73"/>
        <v>1</v>
      </c>
      <c r="Q379" s="7">
        <f t="shared" si="74"/>
        <v>191903</v>
      </c>
      <c r="W379" s="124">
        <f t="shared" si="69"/>
        <v>54425842.926489308</v>
      </c>
      <c r="X379">
        <f t="shared" si="70"/>
        <v>0</v>
      </c>
    </row>
    <row r="380" spans="1:24">
      <c r="A380" s="24" t="s">
        <v>554</v>
      </c>
      <c r="B380" s="37" t="s">
        <v>552</v>
      </c>
      <c r="C380" s="125">
        <v>646</v>
      </c>
      <c r="D380" s="132">
        <v>108353412</v>
      </c>
      <c r="E380" s="116">
        <f t="shared" si="71"/>
        <v>167729.73993808049</v>
      </c>
      <c r="F380" s="134">
        <v>67807898</v>
      </c>
      <c r="G380" s="117">
        <f t="shared" si="72"/>
        <v>104965.78637770898</v>
      </c>
      <c r="H380" s="7"/>
      <c r="I380" s="136">
        <v>1.784</v>
      </c>
      <c r="J380" s="134">
        <v>120969.290032</v>
      </c>
      <c r="K380" s="120">
        <f t="shared" si="75"/>
        <v>187.25896289783282</v>
      </c>
      <c r="L380" s="122">
        <f t="shared" si="66"/>
        <v>678078.98</v>
      </c>
      <c r="M380" s="116">
        <f t="shared" si="67"/>
        <v>557109.68996799993</v>
      </c>
      <c r="N380" s="123">
        <f t="shared" si="68"/>
        <v>862.39890087925687</v>
      </c>
      <c r="O380" s="5"/>
      <c r="P380" s="5">
        <f t="shared" si="73"/>
        <v>1</v>
      </c>
      <c r="Q380" s="7">
        <f t="shared" si="74"/>
        <v>646</v>
      </c>
      <c r="S380" s="124">
        <f>SUM(D378:D380)</f>
        <v>23343940818</v>
      </c>
      <c r="T380" s="124">
        <f>SUM(F378:F380)</f>
        <v>13396775118</v>
      </c>
      <c r="U380" s="124">
        <f>SUM(J378:J380)</f>
        <v>72221808.753421307</v>
      </c>
      <c r="W380" s="124">
        <f t="shared" si="69"/>
        <v>120969.290032</v>
      </c>
      <c r="X380">
        <f t="shared" si="70"/>
        <v>0</v>
      </c>
    </row>
    <row r="381" spans="1:24">
      <c r="A381" s="23" t="s">
        <v>404</v>
      </c>
      <c r="B381" s="35" t="s">
        <v>405</v>
      </c>
      <c r="C381" s="125">
        <v>2509</v>
      </c>
      <c r="D381" s="132">
        <v>257093198</v>
      </c>
      <c r="E381" s="116">
        <f t="shared" si="71"/>
        <v>102468.39298525309</v>
      </c>
      <c r="F381" s="134">
        <v>161138495</v>
      </c>
      <c r="G381" s="117">
        <f t="shared" si="72"/>
        <v>64224.190912714228</v>
      </c>
      <c r="H381" s="9"/>
      <c r="I381" s="136">
        <v>3.8691</v>
      </c>
      <c r="J381" s="134">
        <v>623460.95100450004</v>
      </c>
      <c r="K381" s="120">
        <f t="shared" si="75"/>
        <v>248.48981706038265</v>
      </c>
      <c r="L381" s="122">
        <f t="shared" si="66"/>
        <v>1611384.95</v>
      </c>
      <c r="M381" s="116">
        <f t="shared" si="67"/>
        <v>987923.99899549992</v>
      </c>
      <c r="N381" s="123">
        <f t="shared" si="68"/>
        <v>393.75209206675964</v>
      </c>
      <c r="O381" s="5"/>
      <c r="P381" s="5">
        <f t="shared" si="73"/>
        <v>1</v>
      </c>
      <c r="Q381" s="7">
        <f t="shared" si="74"/>
        <v>2509</v>
      </c>
      <c r="W381" s="124">
        <f t="shared" si="69"/>
        <v>623460.95100450004</v>
      </c>
      <c r="X381">
        <f t="shared" si="70"/>
        <v>0</v>
      </c>
    </row>
    <row r="382" spans="1:24">
      <c r="A382" s="23" t="s">
        <v>406</v>
      </c>
      <c r="B382" s="35" t="s">
        <v>405</v>
      </c>
      <c r="C382" s="125">
        <v>1148</v>
      </c>
      <c r="D382" s="132">
        <v>56380414</v>
      </c>
      <c r="E382" s="116">
        <f t="shared" si="71"/>
        <v>49111.85888501742</v>
      </c>
      <c r="F382" s="134">
        <v>30247926</v>
      </c>
      <c r="G382" s="117">
        <f t="shared" si="72"/>
        <v>26348.367595818814</v>
      </c>
      <c r="H382" s="9"/>
      <c r="I382" s="136">
        <v>4.1055000000000001</v>
      </c>
      <c r="J382" s="134">
        <v>124182.860193</v>
      </c>
      <c r="K382" s="120">
        <f t="shared" si="75"/>
        <v>108.17322316463415</v>
      </c>
      <c r="L382" s="122">
        <f t="shared" si="66"/>
        <v>302479.26</v>
      </c>
      <c r="M382" s="116">
        <f t="shared" si="67"/>
        <v>178296.39980700001</v>
      </c>
      <c r="N382" s="123">
        <f t="shared" si="68"/>
        <v>155.31045279355402</v>
      </c>
      <c r="O382" s="5"/>
      <c r="P382" s="5">
        <f t="shared" si="73"/>
        <v>1</v>
      </c>
      <c r="Q382" s="7">
        <f t="shared" si="74"/>
        <v>1148</v>
      </c>
      <c r="W382" s="124">
        <f t="shared" si="69"/>
        <v>124182.860193</v>
      </c>
      <c r="X382">
        <f t="shared" si="70"/>
        <v>0</v>
      </c>
    </row>
    <row r="383" spans="1:24">
      <c r="A383" s="23" t="s">
        <v>407</v>
      </c>
      <c r="B383" s="35" t="s">
        <v>405</v>
      </c>
      <c r="C383" s="125">
        <v>725</v>
      </c>
      <c r="D383" s="147">
        <v>34372959</v>
      </c>
      <c r="E383" s="116">
        <f t="shared" si="71"/>
        <v>47410.977931034482</v>
      </c>
      <c r="F383" s="134">
        <v>16457905</v>
      </c>
      <c r="G383" s="117">
        <f t="shared" si="72"/>
        <v>22700.558620689655</v>
      </c>
      <c r="H383" s="98"/>
      <c r="I383" s="136">
        <v>4.3653000000000004</v>
      </c>
      <c r="J383" s="134">
        <v>71843.692696500002</v>
      </c>
      <c r="K383" s="120">
        <f t="shared" si="75"/>
        <v>99.094748546896554</v>
      </c>
      <c r="L383" s="122">
        <f t="shared" si="66"/>
        <v>164579.05000000002</v>
      </c>
      <c r="M383" s="116">
        <f t="shared" si="67"/>
        <v>92735.357303500015</v>
      </c>
      <c r="N383" s="123">
        <f t="shared" si="68"/>
        <v>127.91083766000003</v>
      </c>
      <c r="O383" s="5"/>
      <c r="P383" s="5">
        <f t="shared" si="73"/>
        <v>1</v>
      </c>
      <c r="Q383" s="7">
        <f t="shared" si="74"/>
        <v>725</v>
      </c>
      <c r="W383" s="124">
        <f t="shared" si="69"/>
        <v>71843.692696500017</v>
      </c>
      <c r="X383">
        <f t="shared" si="70"/>
        <v>0</v>
      </c>
    </row>
    <row r="384" spans="1:24">
      <c r="A384" s="23" t="s">
        <v>408</v>
      </c>
      <c r="B384" s="35" t="s">
        <v>405</v>
      </c>
      <c r="C384" s="125">
        <v>817</v>
      </c>
      <c r="D384" s="132">
        <v>36748387</v>
      </c>
      <c r="E384" s="116">
        <f t="shared" si="71"/>
        <v>44979.665850673191</v>
      </c>
      <c r="F384" s="134">
        <v>22908072</v>
      </c>
      <c r="G384" s="117">
        <f t="shared" si="72"/>
        <v>28039.255813953489</v>
      </c>
      <c r="H384" s="7"/>
      <c r="I384" s="150">
        <v>7</v>
      </c>
      <c r="J384" s="134">
        <v>160356.50399999999</v>
      </c>
      <c r="K384" s="120">
        <f t="shared" si="75"/>
        <v>196.2747906976744</v>
      </c>
      <c r="L384" s="122">
        <f t="shared" si="66"/>
        <v>229080.72</v>
      </c>
      <c r="M384" s="116">
        <f t="shared" si="67"/>
        <v>68724.216000000015</v>
      </c>
      <c r="N384" s="123">
        <f t="shared" si="68"/>
        <v>84.117767441860479</v>
      </c>
      <c r="O384" s="5"/>
      <c r="P384" s="5">
        <f t="shared" si="73"/>
        <v>1</v>
      </c>
      <c r="Q384" s="7">
        <f t="shared" si="74"/>
        <v>817</v>
      </c>
      <c r="W384" s="124">
        <f t="shared" si="69"/>
        <v>160356.50400000002</v>
      </c>
      <c r="X384">
        <f t="shared" si="70"/>
        <v>0</v>
      </c>
    </row>
    <row r="385" spans="1:24">
      <c r="A385" s="23" t="s">
        <v>409</v>
      </c>
      <c r="B385" s="35" t="s">
        <v>405</v>
      </c>
      <c r="C385" s="125">
        <v>12665</v>
      </c>
      <c r="D385" s="132">
        <v>2021743984</v>
      </c>
      <c r="E385" s="116">
        <f t="shared" si="71"/>
        <v>159632.37141729175</v>
      </c>
      <c r="F385" s="134">
        <v>1640299715</v>
      </c>
      <c r="G385" s="117">
        <f t="shared" si="72"/>
        <v>129514.38728780103</v>
      </c>
      <c r="H385" s="7"/>
      <c r="I385" s="136">
        <v>3.3980000000000001</v>
      </c>
      <c r="J385" s="154">
        <v>5573738.4315700009</v>
      </c>
      <c r="K385" s="120">
        <f t="shared" si="75"/>
        <v>440.08988800394798</v>
      </c>
      <c r="L385" s="122">
        <f t="shared" si="66"/>
        <v>16402997.15</v>
      </c>
      <c r="M385" s="116">
        <f t="shared" si="67"/>
        <v>10829258.718429999</v>
      </c>
      <c r="N385" s="123">
        <f t="shared" si="68"/>
        <v>855.05398487406228</v>
      </c>
      <c r="O385" s="5"/>
      <c r="P385" s="5">
        <f t="shared" si="73"/>
        <v>1</v>
      </c>
      <c r="Q385" s="7">
        <f t="shared" si="74"/>
        <v>12665</v>
      </c>
      <c r="S385" s="124">
        <f>SUM(D381:D385)</f>
        <v>2406338942</v>
      </c>
      <c r="T385" s="124">
        <f>SUM(F381:F385)</f>
        <v>1871052113</v>
      </c>
      <c r="U385" s="124">
        <f>SUM(J381:J385)</f>
        <v>6553582.439464001</v>
      </c>
      <c r="W385" s="124">
        <f t="shared" si="69"/>
        <v>5573738.43157</v>
      </c>
      <c r="X385">
        <f t="shared" si="70"/>
        <v>0</v>
      </c>
    </row>
    <row r="386" spans="1:24">
      <c r="A386" s="23" t="s">
        <v>410</v>
      </c>
      <c r="B386" s="35" t="s">
        <v>411</v>
      </c>
      <c r="C386" s="125">
        <v>751</v>
      </c>
      <c r="D386" s="132">
        <v>40199864</v>
      </c>
      <c r="E386" s="116">
        <f t="shared" si="71"/>
        <v>53528.447403462051</v>
      </c>
      <c r="F386" s="134">
        <v>24204373</v>
      </c>
      <c r="G386" s="117">
        <f t="shared" si="72"/>
        <v>32229.524633821573</v>
      </c>
      <c r="H386" s="7"/>
      <c r="I386" s="136">
        <v>6</v>
      </c>
      <c r="J386" s="134">
        <v>145226.23800000001</v>
      </c>
      <c r="K386" s="120">
        <f t="shared" si="75"/>
        <v>193.37714780292944</v>
      </c>
      <c r="L386" s="122">
        <f t="shared" si="66"/>
        <v>242043.73</v>
      </c>
      <c r="M386" s="116">
        <f t="shared" si="67"/>
        <v>96817.491999999998</v>
      </c>
      <c r="N386" s="123">
        <f t="shared" si="68"/>
        <v>128.91809853528628</v>
      </c>
      <c r="O386" s="5"/>
      <c r="P386" s="5">
        <f t="shared" si="73"/>
        <v>1</v>
      </c>
      <c r="Q386" s="7">
        <f t="shared" si="74"/>
        <v>751</v>
      </c>
      <c r="W386" s="124">
        <f t="shared" si="69"/>
        <v>145226.23800000001</v>
      </c>
      <c r="X386">
        <f t="shared" si="70"/>
        <v>0</v>
      </c>
    </row>
    <row r="387" spans="1:24">
      <c r="A387" s="23" t="s">
        <v>412</v>
      </c>
      <c r="B387" s="35" t="s">
        <v>411</v>
      </c>
      <c r="C387" s="125">
        <v>6895</v>
      </c>
      <c r="D387" s="132">
        <v>333732815</v>
      </c>
      <c r="E387" s="116">
        <f t="shared" si="71"/>
        <v>48402.148658448154</v>
      </c>
      <c r="F387" s="134">
        <v>215819654</v>
      </c>
      <c r="G387" s="117">
        <f t="shared" si="72"/>
        <v>31300.892530819434</v>
      </c>
      <c r="H387" s="7"/>
      <c r="I387" s="136">
        <v>9.1770999999999994</v>
      </c>
      <c r="J387" s="134">
        <v>1980598.5467233998</v>
      </c>
      <c r="K387" s="120">
        <f t="shared" si="75"/>
        <v>287.25142084458298</v>
      </c>
      <c r="L387" s="122">
        <f t="shared" si="66"/>
        <v>2158196.54</v>
      </c>
      <c r="M387" s="116">
        <f t="shared" si="67"/>
        <v>177597.99327660026</v>
      </c>
      <c r="N387" s="123">
        <f t="shared" si="68"/>
        <v>25.757504463611351</v>
      </c>
      <c r="O387" s="5"/>
      <c r="P387" s="5">
        <f t="shared" si="73"/>
        <v>1</v>
      </c>
      <c r="Q387" s="7">
        <f t="shared" si="74"/>
        <v>6895</v>
      </c>
      <c r="S387" s="124">
        <f>SUM(D386:D387)</f>
        <v>373932679</v>
      </c>
      <c r="T387" s="124">
        <f>SUM(F386:F387)</f>
        <v>240024027</v>
      </c>
      <c r="U387" s="124">
        <f>SUM(J386:J387)</f>
        <v>2125824.7847233997</v>
      </c>
      <c r="W387" s="124">
        <f t="shared" si="69"/>
        <v>1980598.5467233998</v>
      </c>
      <c r="X387">
        <f t="shared" si="70"/>
        <v>0</v>
      </c>
    </row>
    <row r="388" spans="1:24">
      <c r="A388" s="23" t="s">
        <v>413</v>
      </c>
      <c r="B388" s="35" t="s">
        <v>414</v>
      </c>
      <c r="C388" s="125">
        <v>7031</v>
      </c>
      <c r="D388" s="132">
        <v>397925077</v>
      </c>
      <c r="E388" s="116">
        <f t="shared" si="71"/>
        <v>56595.801024036409</v>
      </c>
      <c r="F388" s="134">
        <v>229077339</v>
      </c>
      <c r="G388" s="117">
        <f t="shared" si="72"/>
        <v>32581.046650547574</v>
      </c>
      <c r="H388" s="9"/>
      <c r="I388" s="136">
        <v>6.53</v>
      </c>
      <c r="J388" s="134">
        <v>1495875.02367</v>
      </c>
      <c r="K388" s="120">
        <f t="shared" si="75"/>
        <v>212.75423462807566</v>
      </c>
      <c r="L388" s="122">
        <f t="shared" si="66"/>
        <v>2290773.39</v>
      </c>
      <c r="M388" s="116">
        <f t="shared" si="67"/>
        <v>794898.36633000011</v>
      </c>
      <c r="N388" s="123">
        <f t="shared" si="68"/>
        <v>113.05623187740009</v>
      </c>
      <c r="O388" s="5"/>
      <c r="P388" s="5">
        <f t="shared" si="73"/>
        <v>1</v>
      </c>
      <c r="Q388" s="7">
        <f t="shared" si="74"/>
        <v>7031</v>
      </c>
      <c r="S388" s="124">
        <f>SUM(D388)</f>
        <v>397925077</v>
      </c>
      <c r="T388" s="124">
        <f>SUM(F388)</f>
        <v>229077339</v>
      </c>
      <c r="U388" s="124">
        <f>SUM(J388)</f>
        <v>1495875.02367</v>
      </c>
      <c r="W388" s="124">
        <f t="shared" si="69"/>
        <v>1495875.02367</v>
      </c>
      <c r="X388">
        <f t="shared" si="70"/>
        <v>0</v>
      </c>
    </row>
    <row r="389" spans="1:24">
      <c r="A389" s="23" t="s">
        <v>415</v>
      </c>
      <c r="B389" s="35" t="s">
        <v>416</v>
      </c>
      <c r="C389" s="125">
        <v>1779</v>
      </c>
      <c r="D389" s="132">
        <v>70896270</v>
      </c>
      <c r="E389" s="116">
        <f t="shared" si="71"/>
        <v>39851.753794266442</v>
      </c>
      <c r="F389" s="134">
        <v>34901930</v>
      </c>
      <c r="G389" s="117">
        <f t="shared" si="72"/>
        <v>19618.84766722878</v>
      </c>
      <c r="H389" s="9"/>
      <c r="I389" s="136">
        <v>2.75</v>
      </c>
      <c r="J389" s="134">
        <v>95980.307499999995</v>
      </c>
      <c r="K389" s="120">
        <f t="shared" si="75"/>
        <v>53.951831084879146</v>
      </c>
      <c r="L389" s="122">
        <f t="shared" si="66"/>
        <v>349019.3</v>
      </c>
      <c r="M389" s="116">
        <f t="shared" si="67"/>
        <v>253038.99249999999</v>
      </c>
      <c r="N389" s="123">
        <f t="shared" si="68"/>
        <v>142.23664558740865</v>
      </c>
      <c r="O389" s="5"/>
      <c r="P389" s="5">
        <f t="shared" si="73"/>
        <v>1</v>
      </c>
      <c r="Q389" s="7">
        <f t="shared" si="74"/>
        <v>1779</v>
      </c>
      <c r="W389" s="124">
        <f t="shared" si="69"/>
        <v>95980.307499999995</v>
      </c>
      <c r="X389">
        <f t="shared" si="70"/>
        <v>0</v>
      </c>
    </row>
    <row r="390" spans="1:24">
      <c r="A390" s="23" t="s">
        <v>417</v>
      </c>
      <c r="B390" s="35" t="s">
        <v>416</v>
      </c>
      <c r="C390" s="125">
        <v>245</v>
      </c>
      <c r="D390" s="147" t="s">
        <v>564</v>
      </c>
      <c r="E390" s="116"/>
      <c r="F390" s="134"/>
      <c r="G390" s="117"/>
      <c r="H390" s="98" t="s">
        <v>588</v>
      </c>
      <c r="I390" s="136"/>
      <c r="J390" s="134"/>
      <c r="K390" s="120"/>
      <c r="L390" s="122">
        <f t="shared" si="66"/>
        <v>0</v>
      </c>
      <c r="M390" s="116">
        <f t="shared" si="67"/>
        <v>0</v>
      </c>
      <c r="N390" s="123">
        <f t="shared" si="68"/>
        <v>0</v>
      </c>
      <c r="O390" s="5"/>
      <c r="P390" s="5">
        <f t="shared" si="73"/>
        <v>0</v>
      </c>
      <c r="Q390" s="7">
        <f t="shared" si="74"/>
        <v>0</v>
      </c>
      <c r="W390" s="124">
        <f t="shared" si="69"/>
        <v>0</v>
      </c>
      <c r="X390">
        <f t="shared" si="70"/>
        <v>0</v>
      </c>
    </row>
    <row r="391" spans="1:24">
      <c r="A391" s="23" t="s">
        <v>418</v>
      </c>
      <c r="B391" s="35" t="s">
        <v>416</v>
      </c>
      <c r="C391" s="125">
        <v>387</v>
      </c>
      <c r="D391" s="132">
        <v>14040746</v>
      </c>
      <c r="E391" s="116">
        <f t="shared" ref="E391:E407" si="76">(D391/C391)</f>
        <v>36280.997416020669</v>
      </c>
      <c r="F391" s="134">
        <v>7251913</v>
      </c>
      <c r="G391" s="117">
        <f t="shared" ref="G391:G407" si="77">(F391/C391)</f>
        <v>18738.793281653747</v>
      </c>
      <c r="H391" s="7"/>
      <c r="I391" s="150">
        <v>1.4</v>
      </c>
      <c r="J391" s="134">
        <v>10152.678199999998</v>
      </c>
      <c r="K391" s="120">
        <f t="shared" ref="K391:K407" si="78">(J391/C391)</f>
        <v>26.234310594315243</v>
      </c>
      <c r="L391" s="122">
        <f t="shared" ref="L391:L417" si="79">(F391*0.01)</f>
        <v>72519.13</v>
      </c>
      <c r="M391" s="116">
        <f t="shared" ref="M391:M417" si="80">(L391-J391)</f>
        <v>62366.45180000001</v>
      </c>
      <c r="N391" s="123">
        <f t="shared" ref="N391:N417" si="81">(M391/C391)</f>
        <v>161.15362222222225</v>
      </c>
      <c r="O391" s="5"/>
      <c r="P391" s="5">
        <f t="shared" si="73"/>
        <v>1</v>
      </c>
      <c r="Q391" s="7">
        <f t="shared" si="74"/>
        <v>387</v>
      </c>
      <c r="S391" s="124">
        <f>SUM(D389:D391)</f>
        <v>84937016</v>
      </c>
      <c r="T391" s="124">
        <f>SUM(F389:F391)</f>
        <v>42153843</v>
      </c>
      <c r="U391" s="124">
        <f>SUM(J389:J391)</f>
        <v>106132.98569999999</v>
      </c>
      <c r="W391" s="124">
        <f t="shared" ref="W391:W416" si="82">F391*(I391/1000)</f>
        <v>10152.6782</v>
      </c>
      <c r="X391">
        <f t="shared" ref="X391:X416" si="83">IF(W391=J391,0,1)</f>
        <v>0</v>
      </c>
    </row>
    <row r="392" spans="1:24">
      <c r="A392" s="23" t="s">
        <v>419</v>
      </c>
      <c r="B392" s="35" t="s">
        <v>420</v>
      </c>
      <c r="C392" s="125">
        <v>67351</v>
      </c>
      <c r="D392" s="132">
        <v>8684446397</v>
      </c>
      <c r="E392" s="116">
        <f t="shared" si="76"/>
        <v>128943.09508396311</v>
      </c>
      <c r="F392" s="134">
        <v>5292431102</v>
      </c>
      <c r="G392" s="117">
        <f t="shared" si="77"/>
        <v>78579.844426957279</v>
      </c>
      <c r="H392" s="7"/>
      <c r="I392" s="136">
        <v>5.8586999999999998</v>
      </c>
      <c r="J392" s="134">
        <v>31006766.097287398</v>
      </c>
      <c r="K392" s="120">
        <f t="shared" si="78"/>
        <v>460.37573454421459</v>
      </c>
      <c r="L392" s="122">
        <f t="shared" si="79"/>
        <v>52924311.020000003</v>
      </c>
      <c r="M392" s="116">
        <f t="shared" si="80"/>
        <v>21917544.922712605</v>
      </c>
      <c r="N392" s="123">
        <f t="shared" si="81"/>
        <v>325.42270972535829</v>
      </c>
      <c r="O392" s="5"/>
      <c r="P392" s="5">
        <f t="shared" ref="P392:P417" si="84">IF(I392&gt;0,1,0)</f>
        <v>1</v>
      </c>
      <c r="Q392" s="7">
        <f t="shared" ref="Q392:Q417" si="85">IF(I392&gt;0,C392,0)</f>
        <v>67351</v>
      </c>
      <c r="W392" s="124">
        <f t="shared" si="82"/>
        <v>31006766.097287398</v>
      </c>
      <c r="X392">
        <f t="shared" si="83"/>
        <v>0</v>
      </c>
    </row>
    <row r="393" spans="1:24">
      <c r="A393" s="23" t="s">
        <v>421</v>
      </c>
      <c r="B393" s="35" t="s">
        <v>420</v>
      </c>
      <c r="C393" s="125">
        <v>4372</v>
      </c>
      <c r="D393" s="132">
        <v>1943705669</v>
      </c>
      <c r="E393" s="116">
        <f t="shared" si="76"/>
        <v>444580.43664226896</v>
      </c>
      <c r="F393" s="134">
        <v>1655289900</v>
      </c>
      <c r="G393" s="117">
        <f t="shared" si="77"/>
        <v>378611.59652333026</v>
      </c>
      <c r="H393" s="7"/>
      <c r="I393" s="136">
        <v>5.23</v>
      </c>
      <c r="J393" s="134">
        <v>8657166.1769999992</v>
      </c>
      <c r="K393" s="120">
        <f t="shared" si="78"/>
        <v>1980.1386498170173</v>
      </c>
      <c r="L393" s="122">
        <f t="shared" si="79"/>
        <v>16552899</v>
      </c>
      <c r="M393" s="116">
        <f t="shared" si="80"/>
        <v>7895732.8230000008</v>
      </c>
      <c r="N393" s="123">
        <f t="shared" si="81"/>
        <v>1805.9773154162856</v>
      </c>
      <c r="O393" s="5"/>
      <c r="P393" s="5">
        <f t="shared" si="84"/>
        <v>1</v>
      </c>
      <c r="Q393" s="7">
        <f t="shared" si="85"/>
        <v>4372</v>
      </c>
      <c r="W393" s="124">
        <f t="shared" si="82"/>
        <v>8657166.1770000011</v>
      </c>
      <c r="X393">
        <f t="shared" si="83"/>
        <v>0</v>
      </c>
    </row>
    <row r="394" spans="1:24">
      <c r="A394" s="23" t="s">
        <v>462</v>
      </c>
      <c r="B394" s="35" t="s">
        <v>420</v>
      </c>
      <c r="C394" s="125">
        <v>21176</v>
      </c>
      <c r="D394" s="132">
        <v>2816821104</v>
      </c>
      <c r="E394" s="116">
        <f t="shared" si="76"/>
        <v>133019.50812240271</v>
      </c>
      <c r="F394" s="134">
        <v>1999543110</v>
      </c>
      <c r="G394" s="117">
        <f t="shared" si="77"/>
        <v>94424.967415942578</v>
      </c>
      <c r="H394" s="7"/>
      <c r="I394" s="136">
        <v>3.5</v>
      </c>
      <c r="J394" s="134">
        <v>6998400.8849999998</v>
      </c>
      <c r="K394" s="120">
        <f t="shared" si="78"/>
        <v>330.48738595579903</v>
      </c>
      <c r="L394" s="122">
        <f t="shared" si="79"/>
        <v>19995431.100000001</v>
      </c>
      <c r="M394" s="116">
        <f t="shared" si="80"/>
        <v>12997030.215000002</v>
      </c>
      <c r="N394" s="123">
        <f t="shared" si="81"/>
        <v>613.76228820362678</v>
      </c>
      <c r="O394" s="5"/>
      <c r="P394" s="5">
        <f t="shared" si="84"/>
        <v>1</v>
      </c>
      <c r="Q394" s="7">
        <f t="shared" si="85"/>
        <v>21176</v>
      </c>
      <c r="W394" s="124">
        <f t="shared" si="82"/>
        <v>6998400.8849999998</v>
      </c>
      <c r="X394">
        <f t="shared" si="83"/>
        <v>0</v>
      </c>
    </row>
    <row r="395" spans="1:24">
      <c r="A395" s="23" t="s">
        <v>463</v>
      </c>
      <c r="B395" s="35" t="s">
        <v>420</v>
      </c>
      <c r="C395" s="125">
        <v>35763</v>
      </c>
      <c r="D395" s="132">
        <v>3327038034</v>
      </c>
      <c r="E395" s="116">
        <f t="shared" si="76"/>
        <v>93030.171797667979</v>
      </c>
      <c r="F395" s="134">
        <v>1928950433</v>
      </c>
      <c r="G395" s="117">
        <f t="shared" si="77"/>
        <v>53937.041998713757</v>
      </c>
      <c r="H395" s="7"/>
      <c r="I395" s="136">
        <v>6.7840999999999996</v>
      </c>
      <c r="J395" s="134">
        <v>13086192.632515298</v>
      </c>
      <c r="K395" s="120">
        <f t="shared" si="78"/>
        <v>365.91428662347391</v>
      </c>
      <c r="L395" s="122">
        <f t="shared" si="79"/>
        <v>19289504.330000002</v>
      </c>
      <c r="M395" s="116">
        <f t="shared" si="80"/>
        <v>6203311.6974847037</v>
      </c>
      <c r="N395" s="123">
        <f t="shared" si="81"/>
        <v>173.45613336366367</v>
      </c>
      <c r="O395" s="5"/>
      <c r="P395" s="5">
        <f t="shared" si="84"/>
        <v>1</v>
      </c>
      <c r="Q395" s="7">
        <f t="shared" si="85"/>
        <v>35763</v>
      </c>
      <c r="W395" s="124">
        <f t="shared" si="82"/>
        <v>13086192.632515298</v>
      </c>
      <c r="X395">
        <f t="shared" si="83"/>
        <v>0</v>
      </c>
    </row>
    <row r="396" spans="1:24">
      <c r="A396" s="23" t="s">
        <v>422</v>
      </c>
      <c r="B396" s="35" t="s">
        <v>420</v>
      </c>
      <c r="C396" s="125">
        <v>91520</v>
      </c>
      <c r="D396" s="132">
        <v>5807861558</v>
      </c>
      <c r="E396" s="116">
        <f t="shared" si="76"/>
        <v>63460.02576486014</v>
      </c>
      <c r="F396" s="134">
        <v>2620987669</v>
      </c>
      <c r="G396" s="117">
        <f t="shared" si="77"/>
        <v>28638.414215472028</v>
      </c>
      <c r="H396" s="7"/>
      <c r="I396" s="136">
        <v>7.85</v>
      </c>
      <c r="J396" s="134">
        <v>20574753.201649997</v>
      </c>
      <c r="K396" s="120">
        <f t="shared" si="78"/>
        <v>224.81155159145538</v>
      </c>
      <c r="L396" s="122">
        <f t="shared" si="79"/>
        <v>26209876.690000001</v>
      </c>
      <c r="M396" s="116">
        <f t="shared" si="80"/>
        <v>5635123.488350004</v>
      </c>
      <c r="N396" s="123">
        <f t="shared" si="81"/>
        <v>61.572590563264903</v>
      </c>
      <c r="O396" s="5"/>
      <c r="P396" s="5">
        <f t="shared" si="84"/>
        <v>1</v>
      </c>
      <c r="Q396" s="7">
        <f t="shared" si="85"/>
        <v>91520</v>
      </c>
      <c r="W396" s="124">
        <f t="shared" si="82"/>
        <v>20574753.201649997</v>
      </c>
      <c r="X396">
        <f t="shared" si="83"/>
        <v>0</v>
      </c>
    </row>
    <row r="397" spans="1:24">
      <c r="A397" s="23" t="s">
        <v>423</v>
      </c>
      <c r="B397" s="35" t="s">
        <v>420</v>
      </c>
      <c r="C397" s="125">
        <v>23455</v>
      </c>
      <c r="D397" s="132">
        <v>1876235797</v>
      </c>
      <c r="E397" s="116">
        <f t="shared" si="76"/>
        <v>79992.999232573013</v>
      </c>
      <c r="F397" s="134">
        <v>1040273019</v>
      </c>
      <c r="G397" s="117">
        <f t="shared" si="77"/>
        <v>44351.866083990622</v>
      </c>
      <c r="H397" s="7"/>
      <c r="I397" s="136">
        <v>6.7</v>
      </c>
      <c r="J397" s="134">
        <v>6969829.2273000004</v>
      </c>
      <c r="K397" s="120">
        <f t="shared" si="78"/>
        <v>297.15750276273718</v>
      </c>
      <c r="L397" s="122">
        <f t="shared" si="79"/>
        <v>10402730.189999999</v>
      </c>
      <c r="M397" s="116">
        <f t="shared" si="80"/>
        <v>3432900.9626999991</v>
      </c>
      <c r="N397" s="123">
        <f t="shared" si="81"/>
        <v>146.36115807716902</v>
      </c>
      <c r="O397" s="5"/>
      <c r="P397" s="5">
        <f t="shared" si="84"/>
        <v>1</v>
      </c>
      <c r="Q397" s="7">
        <f t="shared" si="85"/>
        <v>23455</v>
      </c>
      <c r="W397" s="124">
        <f t="shared" si="82"/>
        <v>6969829.2273000004</v>
      </c>
      <c r="X397">
        <f t="shared" si="83"/>
        <v>0</v>
      </c>
    </row>
    <row r="398" spans="1:24">
      <c r="A398" s="23" t="s">
        <v>424</v>
      </c>
      <c r="B398" s="35" t="s">
        <v>420</v>
      </c>
      <c r="C398" s="125">
        <v>12153</v>
      </c>
      <c r="D398" s="132">
        <v>964300720</v>
      </c>
      <c r="E398" s="116">
        <f t="shared" si="76"/>
        <v>79346.722619929234</v>
      </c>
      <c r="F398" s="134">
        <v>659532572</v>
      </c>
      <c r="G398" s="117">
        <f t="shared" si="77"/>
        <v>54269.116432156668</v>
      </c>
      <c r="H398" s="7"/>
      <c r="I398" s="136">
        <v>6.25</v>
      </c>
      <c r="J398" s="134">
        <v>4122078.5750000002</v>
      </c>
      <c r="K398" s="120">
        <f t="shared" si="78"/>
        <v>339.18197770097919</v>
      </c>
      <c r="L398" s="122">
        <f t="shared" si="79"/>
        <v>6595325.7199999997</v>
      </c>
      <c r="M398" s="116">
        <f t="shared" si="80"/>
        <v>2473247.1449999996</v>
      </c>
      <c r="N398" s="123">
        <f t="shared" si="81"/>
        <v>203.50918662058749</v>
      </c>
      <c r="O398" s="5"/>
      <c r="P398" s="5">
        <f t="shared" si="84"/>
        <v>1</v>
      </c>
      <c r="Q398" s="7">
        <f t="shared" si="85"/>
        <v>12153</v>
      </c>
      <c r="W398" s="124">
        <f t="shared" si="82"/>
        <v>4122078.5750000002</v>
      </c>
      <c r="X398">
        <f t="shared" si="83"/>
        <v>0</v>
      </c>
    </row>
    <row r="399" spans="1:24">
      <c r="A399" s="23" t="s">
        <v>425</v>
      </c>
      <c r="B399" s="35" t="s">
        <v>420</v>
      </c>
      <c r="C399" s="125">
        <v>2773</v>
      </c>
      <c r="D399" s="132">
        <v>207254202</v>
      </c>
      <c r="E399" s="116">
        <f t="shared" si="76"/>
        <v>74740.065632888567</v>
      </c>
      <c r="F399" s="134">
        <v>102471601</v>
      </c>
      <c r="G399" s="117">
        <f t="shared" si="77"/>
        <v>36953.336098088716</v>
      </c>
      <c r="H399" s="7"/>
      <c r="I399" s="136">
        <v>7</v>
      </c>
      <c r="J399" s="134">
        <v>717301.20700000005</v>
      </c>
      <c r="K399" s="120">
        <f t="shared" si="78"/>
        <v>258.673352686621</v>
      </c>
      <c r="L399" s="122">
        <f t="shared" si="79"/>
        <v>1024716.01</v>
      </c>
      <c r="M399" s="116">
        <f t="shared" si="80"/>
        <v>307414.80299999996</v>
      </c>
      <c r="N399" s="123">
        <f t="shared" si="81"/>
        <v>110.86000829426612</v>
      </c>
      <c r="O399" s="5"/>
      <c r="P399" s="5">
        <f t="shared" si="84"/>
        <v>1</v>
      </c>
      <c r="Q399" s="7">
        <f t="shared" si="85"/>
        <v>2773</v>
      </c>
      <c r="W399" s="124">
        <f t="shared" si="82"/>
        <v>717301.20700000005</v>
      </c>
      <c r="X399">
        <f t="shared" si="83"/>
        <v>0</v>
      </c>
    </row>
    <row r="400" spans="1:24">
      <c r="A400" s="23" t="s">
        <v>426</v>
      </c>
      <c r="B400" s="35" t="s">
        <v>420</v>
      </c>
      <c r="C400" s="125">
        <v>27173</v>
      </c>
      <c r="D400" s="132">
        <v>6008424597</v>
      </c>
      <c r="E400" s="116">
        <f t="shared" si="76"/>
        <v>221117.45471607847</v>
      </c>
      <c r="F400" s="134">
        <v>4130062644</v>
      </c>
      <c r="G400" s="117">
        <f t="shared" si="77"/>
        <v>151991.41221065028</v>
      </c>
      <c r="H400" s="7"/>
      <c r="I400" s="136">
        <v>3.7421000000000002</v>
      </c>
      <c r="J400" s="134">
        <v>15455107.420112399</v>
      </c>
      <c r="K400" s="120">
        <f t="shared" si="78"/>
        <v>568.76706363347444</v>
      </c>
      <c r="L400" s="122">
        <f t="shared" si="79"/>
        <v>41300626.439999998</v>
      </c>
      <c r="M400" s="116">
        <f t="shared" si="80"/>
        <v>25845519.019887596</v>
      </c>
      <c r="N400" s="123">
        <f t="shared" si="81"/>
        <v>951.14705847302821</v>
      </c>
      <c r="O400" s="5"/>
      <c r="P400" s="5">
        <f t="shared" si="84"/>
        <v>1</v>
      </c>
      <c r="Q400" s="7">
        <f t="shared" si="85"/>
        <v>27173</v>
      </c>
      <c r="W400" s="124">
        <f t="shared" si="82"/>
        <v>15455107.420112401</v>
      </c>
      <c r="X400">
        <f t="shared" si="83"/>
        <v>0</v>
      </c>
    </row>
    <row r="401" spans="1:24">
      <c r="A401" s="23" t="s">
        <v>427</v>
      </c>
      <c r="B401" s="35" t="s">
        <v>420</v>
      </c>
      <c r="C401" s="125">
        <v>2041</v>
      </c>
      <c r="D401" s="132">
        <v>230491679</v>
      </c>
      <c r="E401" s="116">
        <f t="shared" si="76"/>
        <v>112930.75894169525</v>
      </c>
      <c r="F401" s="134">
        <v>122274637</v>
      </c>
      <c r="G401" s="117">
        <f t="shared" si="77"/>
        <v>59909.180303772664</v>
      </c>
      <c r="H401" s="7"/>
      <c r="I401" s="136">
        <v>5.6820000000000004</v>
      </c>
      <c r="J401" s="134">
        <v>694764.48743400001</v>
      </c>
      <c r="K401" s="120">
        <f t="shared" si="78"/>
        <v>340.40396248603628</v>
      </c>
      <c r="L401" s="122">
        <f t="shared" si="79"/>
        <v>1222746.3700000001</v>
      </c>
      <c r="M401" s="116">
        <f t="shared" si="80"/>
        <v>527981.8825660001</v>
      </c>
      <c r="N401" s="123">
        <f t="shared" si="81"/>
        <v>258.68784055169039</v>
      </c>
      <c r="O401" s="5"/>
      <c r="P401" s="5">
        <f t="shared" si="84"/>
        <v>1</v>
      </c>
      <c r="Q401" s="7">
        <f t="shared" si="85"/>
        <v>2041</v>
      </c>
      <c r="W401" s="124">
        <f t="shared" si="82"/>
        <v>694764.48743400001</v>
      </c>
      <c r="X401">
        <f t="shared" si="83"/>
        <v>0</v>
      </c>
    </row>
    <row r="402" spans="1:24">
      <c r="A402" s="23" t="s">
        <v>428</v>
      </c>
      <c r="B402" s="35" t="s">
        <v>420</v>
      </c>
      <c r="C402" s="125">
        <v>12103</v>
      </c>
      <c r="D402" s="132">
        <v>1171185218</v>
      </c>
      <c r="E402" s="116">
        <f t="shared" si="76"/>
        <v>96768.174667437823</v>
      </c>
      <c r="F402" s="134">
        <v>753682742</v>
      </c>
      <c r="G402" s="117">
        <f t="shared" si="77"/>
        <v>62272.390481698749</v>
      </c>
      <c r="H402" s="7"/>
      <c r="I402" s="136">
        <v>7.8331999999999997</v>
      </c>
      <c r="J402" s="134">
        <v>5903747.6546343993</v>
      </c>
      <c r="K402" s="120">
        <f t="shared" si="78"/>
        <v>487.79208912124261</v>
      </c>
      <c r="L402" s="122">
        <f t="shared" si="79"/>
        <v>7536827.4199999999</v>
      </c>
      <c r="M402" s="116">
        <f t="shared" si="80"/>
        <v>1633079.7653656006</v>
      </c>
      <c r="N402" s="123">
        <f t="shared" si="81"/>
        <v>134.93181569574492</v>
      </c>
      <c r="O402" s="5"/>
      <c r="P402" s="5">
        <f t="shared" si="84"/>
        <v>1</v>
      </c>
      <c r="Q402" s="7">
        <f t="shared" si="85"/>
        <v>12103</v>
      </c>
      <c r="W402" s="124">
        <f t="shared" si="82"/>
        <v>5903747.6546344003</v>
      </c>
      <c r="X402">
        <f t="shared" si="83"/>
        <v>0</v>
      </c>
    </row>
    <row r="403" spans="1:24">
      <c r="A403" s="23" t="s">
        <v>429</v>
      </c>
      <c r="B403" s="35" t="s">
        <v>420</v>
      </c>
      <c r="C403" s="125">
        <v>41289</v>
      </c>
      <c r="D403" s="132">
        <v>5388650644</v>
      </c>
      <c r="E403" s="116">
        <f t="shared" si="76"/>
        <v>130510.56320085253</v>
      </c>
      <c r="F403" s="134">
        <v>3663498047</v>
      </c>
      <c r="G403" s="117">
        <f t="shared" si="77"/>
        <v>88728.185400469854</v>
      </c>
      <c r="H403" s="7"/>
      <c r="I403" s="136">
        <v>4.0869999999999997</v>
      </c>
      <c r="J403" s="134">
        <v>14972716.518088998</v>
      </c>
      <c r="K403" s="120">
        <f t="shared" si="78"/>
        <v>362.63209373172026</v>
      </c>
      <c r="L403" s="122">
        <f t="shared" si="79"/>
        <v>36634980.469999999</v>
      </c>
      <c r="M403" s="116">
        <f t="shared" si="80"/>
        <v>21662263.951911002</v>
      </c>
      <c r="N403" s="123">
        <f t="shared" si="81"/>
        <v>524.64976027297837</v>
      </c>
      <c r="O403" s="5"/>
      <c r="P403" s="5">
        <f t="shared" si="84"/>
        <v>1</v>
      </c>
      <c r="Q403" s="7">
        <f t="shared" si="85"/>
        <v>41289</v>
      </c>
      <c r="W403" s="124">
        <f t="shared" si="82"/>
        <v>14972716.518088998</v>
      </c>
      <c r="X403">
        <f t="shared" si="83"/>
        <v>0</v>
      </c>
    </row>
    <row r="404" spans="1:24">
      <c r="A404" s="23" t="s">
        <v>430</v>
      </c>
      <c r="B404" s="35" t="s">
        <v>420</v>
      </c>
      <c r="C404" s="125">
        <v>1739</v>
      </c>
      <c r="D404" s="132">
        <v>122626265</v>
      </c>
      <c r="E404" s="116">
        <f t="shared" si="76"/>
        <v>70515.391029327206</v>
      </c>
      <c r="F404" s="134">
        <v>51944554</v>
      </c>
      <c r="G404" s="117">
        <f t="shared" si="77"/>
        <v>29870.358826912019</v>
      </c>
      <c r="H404" s="7"/>
      <c r="I404" s="136">
        <v>5.8357999999999999</v>
      </c>
      <c r="J404" s="134">
        <v>303138.02823320002</v>
      </c>
      <c r="K404" s="120">
        <f t="shared" si="78"/>
        <v>174.31744004209318</v>
      </c>
      <c r="L404" s="122">
        <f t="shared" si="79"/>
        <v>519445.54000000004</v>
      </c>
      <c r="M404" s="116">
        <f t="shared" si="80"/>
        <v>216307.51176680002</v>
      </c>
      <c r="N404" s="123">
        <f t="shared" si="81"/>
        <v>124.38614822702704</v>
      </c>
      <c r="O404" s="5"/>
      <c r="P404" s="5">
        <f t="shared" si="84"/>
        <v>1</v>
      </c>
      <c r="Q404" s="7">
        <f t="shared" si="85"/>
        <v>1739</v>
      </c>
      <c r="W404" s="124">
        <f t="shared" si="82"/>
        <v>303138.02823319996</v>
      </c>
      <c r="X404">
        <f t="shared" si="83"/>
        <v>0</v>
      </c>
    </row>
    <row r="405" spans="1:24">
      <c r="A405" s="23" t="s">
        <v>431</v>
      </c>
      <c r="B405" s="35" t="s">
        <v>420</v>
      </c>
      <c r="C405" s="125">
        <v>3151</v>
      </c>
      <c r="D405" s="132">
        <v>1195934196</v>
      </c>
      <c r="E405" s="116">
        <f t="shared" si="76"/>
        <v>379541.16026658204</v>
      </c>
      <c r="F405" s="134">
        <v>915463934</v>
      </c>
      <c r="G405" s="117">
        <f t="shared" si="77"/>
        <v>290531.23897175502</v>
      </c>
      <c r="H405" s="7"/>
      <c r="I405" s="136">
        <v>5.9</v>
      </c>
      <c r="J405" s="134">
        <v>5401237.2106000008</v>
      </c>
      <c r="K405" s="120">
        <f t="shared" si="78"/>
        <v>1714.1343099333546</v>
      </c>
      <c r="L405" s="122">
        <f t="shared" si="79"/>
        <v>9154639.3399999999</v>
      </c>
      <c r="M405" s="116">
        <f t="shared" si="80"/>
        <v>3753402.129399999</v>
      </c>
      <c r="N405" s="123">
        <f t="shared" si="81"/>
        <v>1191.1780797841952</v>
      </c>
      <c r="O405" s="5"/>
      <c r="P405" s="5">
        <f t="shared" si="84"/>
        <v>1</v>
      </c>
      <c r="Q405" s="7">
        <f t="shared" si="85"/>
        <v>3151</v>
      </c>
      <c r="W405" s="124">
        <f t="shared" si="82"/>
        <v>5401237.2106000008</v>
      </c>
      <c r="X405">
        <f t="shared" si="83"/>
        <v>0</v>
      </c>
    </row>
    <row r="406" spans="1:24">
      <c r="A406" s="23" t="s">
        <v>432</v>
      </c>
      <c r="B406" s="35" t="s">
        <v>420</v>
      </c>
      <c r="C406" s="125">
        <v>61617</v>
      </c>
      <c r="D406" s="132">
        <v>5473808695</v>
      </c>
      <c r="E406" s="116">
        <f t="shared" si="76"/>
        <v>88836.014330460748</v>
      </c>
      <c r="F406" s="134">
        <v>3475870645</v>
      </c>
      <c r="G406" s="117">
        <f t="shared" si="77"/>
        <v>56410.903565574437</v>
      </c>
      <c r="H406" s="7"/>
      <c r="I406" s="136">
        <v>4.5254000000000003</v>
      </c>
      <c r="J406" s="134">
        <v>15729705.016883001</v>
      </c>
      <c r="K406" s="120">
        <f t="shared" si="78"/>
        <v>255.28190299565057</v>
      </c>
      <c r="L406" s="122">
        <f t="shared" si="79"/>
        <v>34758706.450000003</v>
      </c>
      <c r="M406" s="116">
        <f t="shared" si="80"/>
        <v>19029001.433117002</v>
      </c>
      <c r="N406" s="123">
        <f t="shared" si="81"/>
        <v>308.82713266009387</v>
      </c>
      <c r="O406" s="5"/>
      <c r="P406" s="5">
        <f t="shared" si="84"/>
        <v>1</v>
      </c>
      <c r="Q406" s="7">
        <f t="shared" si="85"/>
        <v>61617</v>
      </c>
      <c r="W406" s="124">
        <f t="shared" si="82"/>
        <v>15729705.016883003</v>
      </c>
      <c r="X406">
        <f t="shared" si="83"/>
        <v>0</v>
      </c>
    </row>
    <row r="407" spans="1:24">
      <c r="A407" s="23" t="s">
        <v>433</v>
      </c>
      <c r="B407" s="35" t="s">
        <v>420</v>
      </c>
      <c r="C407" s="125">
        <v>12819</v>
      </c>
      <c r="D407" s="132">
        <v>972009773</v>
      </c>
      <c r="E407" s="116">
        <f t="shared" si="76"/>
        <v>75825.709727747875</v>
      </c>
      <c r="F407" s="134">
        <v>609030039</v>
      </c>
      <c r="G407" s="117">
        <f t="shared" si="77"/>
        <v>47509.949216007488</v>
      </c>
      <c r="H407" s="9"/>
      <c r="I407" s="136">
        <v>7.75</v>
      </c>
      <c r="J407" s="134">
        <v>4719982.8022499997</v>
      </c>
      <c r="K407" s="120">
        <f t="shared" si="78"/>
        <v>368.202106424058</v>
      </c>
      <c r="L407" s="122">
        <f t="shared" si="79"/>
        <v>6090300.3899999997</v>
      </c>
      <c r="M407" s="116">
        <f t="shared" si="80"/>
        <v>1370317.5877499999</v>
      </c>
      <c r="N407" s="123">
        <f t="shared" si="81"/>
        <v>106.89738573601684</v>
      </c>
      <c r="O407" s="5"/>
      <c r="P407" s="5">
        <f t="shared" si="84"/>
        <v>1</v>
      </c>
      <c r="Q407" s="7">
        <f t="shared" si="85"/>
        <v>12819</v>
      </c>
      <c r="S407" s="124">
        <f>SUM(D392:D407)</f>
        <v>46190794548</v>
      </c>
      <c r="T407" s="124">
        <f>SUM(F392:F407)</f>
        <v>29021306648</v>
      </c>
      <c r="U407" s="124">
        <f>SUM(J392:J407)</f>
        <v>155312887.14098868</v>
      </c>
      <c r="W407" s="124">
        <f t="shared" si="82"/>
        <v>4719982.8022499997</v>
      </c>
      <c r="X407">
        <f t="shared" si="83"/>
        <v>0</v>
      </c>
    </row>
    <row r="408" spans="1:24">
      <c r="A408" s="23" t="s">
        <v>435</v>
      </c>
      <c r="B408" s="35" t="s">
        <v>434</v>
      </c>
      <c r="C408" s="125">
        <v>506</v>
      </c>
      <c r="D408" s="147" t="s">
        <v>564</v>
      </c>
      <c r="E408" s="116"/>
      <c r="F408" s="134"/>
      <c r="G408" s="117"/>
      <c r="H408" s="98" t="s">
        <v>588</v>
      </c>
      <c r="I408" s="136"/>
      <c r="J408" s="134"/>
      <c r="K408" s="120"/>
      <c r="L408" s="122">
        <f t="shared" si="79"/>
        <v>0</v>
      </c>
      <c r="M408" s="116">
        <f t="shared" si="80"/>
        <v>0</v>
      </c>
      <c r="N408" s="123">
        <f t="shared" si="81"/>
        <v>0</v>
      </c>
      <c r="O408" s="5"/>
      <c r="P408" s="5">
        <f t="shared" si="84"/>
        <v>0</v>
      </c>
      <c r="Q408" s="7">
        <f t="shared" si="85"/>
        <v>0</v>
      </c>
      <c r="W408" s="124">
        <f t="shared" si="82"/>
        <v>0</v>
      </c>
      <c r="X408">
        <f t="shared" si="83"/>
        <v>0</v>
      </c>
    </row>
    <row r="409" spans="1:24">
      <c r="A409" s="24" t="s">
        <v>555</v>
      </c>
      <c r="B409" s="35" t="s">
        <v>434</v>
      </c>
      <c r="C409" s="125">
        <v>363</v>
      </c>
      <c r="D409" s="132">
        <v>48074825</v>
      </c>
      <c r="E409" s="116">
        <f>(D409/C409)</f>
        <v>132437.53443526171</v>
      </c>
      <c r="F409" s="134">
        <v>32058023</v>
      </c>
      <c r="G409" s="117">
        <f>(F409/C409)</f>
        <v>88314.112947658403</v>
      </c>
      <c r="H409" s="9"/>
      <c r="I409" s="136">
        <v>4.5270999999999999</v>
      </c>
      <c r="J409" s="134">
        <v>145129.87592329999</v>
      </c>
      <c r="K409" s="120">
        <f>(J409/C409)</f>
        <v>399.80682072534432</v>
      </c>
      <c r="L409" s="122">
        <f t="shared" si="79"/>
        <v>320580.23</v>
      </c>
      <c r="M409" s="116">
        <f t="shared" si="80"/>
        <v>175450.35407669999</v>
      </c>
      <c r="N409" s="123">
        <f t="shared" si="81"/>
        <v>483.33430875123963</v>
      </c>
      <c r="O409" s="5"/>
      <c r="P409" s="5">
        <f t="shared" si="84"/>
        <v>1</v>
      </c>
      <c r="Q409" s="7">
        <f t="shared" si="85"/>
        <v>363</v>
      </c>
      <c r="S409" s="124">
        <f>SUM(D408:D409)</f>
        <v>48074825</v>
      </c>
      <c r="T409" s="124">
        <f>SUM(F408:F409)</f>
        <v>32058023</v>
      </c>
      <c r="U409" s="124">
        <f>SUM(J408:J409)</f>
        <v>145129.87592329999</v>
      </c>
      <c r="W409" s="124">
        <f t="shared" si="82"/>
        <v>145129.87592329999</v>
      </c>
      <c r="X409">
        <f t="shared" si="83"/>
        <v>0</v>
      </c>
    </row>
    <row r="410" spans="1:24">
      <c r="A410" s="23" t="s">
        <v>436</v>
      </c>
      <c r="B410" s="35" t="s">
        <v>437</v>
      </c>
      <c r="C410" s="125">
        <v>5629</v>
      </c>
      <c r="D410" s="132">
        <v>357809743</v>
      </c>
      <c r="E410" s="116">
        <f>(D410/C410)</f>
        <v>63565.418902114056</v>
      </c>
      <c r="F410" s="134">
        <v>239433868</v>
      </c>
      <c r="G410" s="117">
        <f>(F410/C410)</f>
        <v>42535.773316752529</v>
      </c>
      <c r="H410" s="9"/>
      <c r="I410" s="150">
        <v>4.5</v>
      </c>
      <c r="J410" s="134">
        <v>1077452.406</v>
      </c>
      <c r="K410" s="120">
        <f>(J410/C410)</f>
        <v>191.41097992538639</v>
      </c>
      <c r="L410" s="122">
        <f t="shared" si="79"/>
        <v>2394338.6800000002</v>
      </c>
      <c r="M410" s="116">
        <f t="shared" si="80"/>
        <v>1316886.2740000002</v>
      </c>
      <c r="N410" s="123">
        <f t="shared" si="81"/>
        <v>233.94675324213895</v>
      </c>
      <c r="O410" s="5"/>
      <c r="P410" s="5">
        <f t="shared" si="84"/>
        <v>1</v>
      </c>
      <c r="Q410" s="7">
        <f t="shared" si="85"/>
        <v>5629</v>
      </c>
      <c r="W410" s="124">
        <f t="shared" si="82"/>
        <v>1077452.406</v>
      </c>
      <c r="X410">
        <f t="shared" si="83"/>
        <v>0</v>
      </c>
    </row>
    <row r="411" spans="1:24">
      <c r="A411" s="23" t="s">
        <v>438</v>
      </c>
      <c r="B411" s="35" t="s">
        <v>437</v>
      </c>
      <c r="C411" s="125">
        <v>4316</v>
      </c>
      <c r="D411" s="132">
        <v>493127694</v>
      </c>
      <c r="E411" s="116">
        <f>(D411/C411)</f>
        <v>114255.72150139017</v>
      </c>
      <c r="F411" s="134">
        <v>369425323</v>
      </c>
      <c r="G411" s="117">
        <f>(F411/C411)</f>
        <v>85594.375115848001</v>
      </c>
      <c r="H411" s="9"/>
      <c r="I411" s="150">
        <v>4.7302</v>
      </c>
      <c r="J411" s="134">
        <v>1747455.6628546</v>
      </c>
      <c r="K411" s="120">
        <f>(J411/C411)</f>
        <v>404.87851317298424</v>
      </c>
      <c r="L411" s="122">
        <f t="shared" si="79"/>
        <v>3694253.23</v>
      </c>
      <c r="M411" s="116">
        <f t="shared" si="80"/>
        <v>1946797.5671454</v>
      </c>
      <c r="N411" s="123">
        <f t="shared" si="81"/>
        <v>451.0652379854958</v>
      </c>
      <c r="O411" s="5"/>
      <c r="P411" s="5">
        <f t="shared" si="84"/>
        <v>1</v>
      </c>
      <c r="Q411" s="7">
        <f t="shared" si="85"/>
        <v>4316</v>
      </c>
      <c r="W411" s="124">
        <f t="shared" si="82"/>
        <v>1747455.6628546002</v>
      </c>
      <c r="X411">
        <f t="shared" si="83"/>
        <v>0</v>
      </c>
    </row>
    <row r="412" spans="1:24">
      <c r="A412" s="23" t="s">
        <v>439</v>
      </c>
      <c r="B412" s="35" t="s">
        <v>437</v>
      </c>
      <c r="C412" s="125">
        <v>614</v>
      </c>
      <c r="D412" s="147" t="s">
        <v>564</v>
      </c>
      <c r="E412" s="116"/>
      <c r="F412" s="134"/>
      <c r="G412" s="117"/>
      <c r="H412" s="98" t="s">
        <v>588</v>
      </c>
      <c r="I412" s="136"/>
      <c r="J412" s="134"/>
      <c r="K412" s="120"/>
      <c r="L412" s="122">
        <f t="shared" si="79"/>
        <v>0</v>
      </c>
      <c r="M412" s="116">
        <f t="shared" si="80"/>
        <v>0</v>
      </c>
      <c r="N412" s="123">
        <f t="shared" si="81"/>
        <v>0</v>
      </c>
      <c r="O412" s="5"/>
      <c r="P412" s="5">
        <f t="shared" si="84"/>
        <v>0</v>
      </c>
      <c r="Q412" s="7">
        <f t="shared" si="85"/>
        <v>0</v>
      </c>
      <c r="S412" s="124">
        <f>SUM(D410:D412)</f>
        <v>850937437</v>
      </c>
      <c r="T412" s="124">
        <f>SUM(F410:F412)</f>
        <v>608859191</v>
      </c>
      <c r="U412" s="124">
        <f>SUM(J410:J412)</f>
        <v>2824908.0688546002</v>
      </c>
      <c r="W412" s="124">
        <f t="shared" si="82"/>
        <v>0</v>
      </c>
      <c r="X412">
        <f t="shared" si="83"/>
        <v>0</v>
      </c>
    </row>
    <row r="413" spans="1:24">
      <c r="A413" s="23" t="s">
        <v>440</v>
      </c>
      <c r="B413" s="35" t="s">
        <v>441</v>
      </c>
      <c r="C413" s="125">
        <v>316</v>
      </c>
      <c r="D413" s="147" t="s">
        <v>564</v>
      </c>
      <c r="E413" s="116"/>
      <c r="F413" s="134"/>
      <c r="G413" s="117"/>
      <c r="H413" s="98" t="s">
        <v>588</v>
      </c>
      <c r="I413" s="136"/>
      <c r="J413" s="134"/>
      <c r="K413" s="120"/>
      <c r="L413" s="122">
        <f t="shared" si="79"/>
        <v>0</v>
      </c>
      <c r="M413" s="116">
        <f t="shared" si="80"/>
        <v>0</v>
      </c>
      <c r="N413" s="123">
        <f t="shared" si="81"/>
        <v>0</v>
      </c>
      <c r="O413" s="5"/>
      <c r="P413" s="5">
        <f t="shared" si="84"/>
        <v>0</v>
      </c>
      <c r="Q413" s="7">
        <f t="shared" si="85"/>
        <v>0</v>
      </c>
      <c r="W413" s="124">
        <f t="shared" si="82"/>
        <v>0</v>
      </c>
      <c r="X413">
        <f t="shared" si="83"/>
        <v>0</v>
      </c>
    </row>
    <row r="414" spans="1:24">
      <c r="A414" s="23" t="s">
        <v>442</v>
      </c>
      <c r="B414" s="35" t="s">
        <v>441</v>
      </c>
      <c r="C414" s="125">
        <v>3568</v>
      </c>
      <c r="D414" s="132">
        <v>213013003</v>
      </c>
      <c r="E414" s="116">
        <f>(D414/C414)</f>
        <v>59700.953755605384</v>
      </c>
      <c r="F414" s="134">
        <v>142601808</v>
      </c>
      <c r="G414" s="117">
        <f>(F414/C414)</f>
        <v>39966.874439461884</v>
      </c>
      <c r="H414" s="9"/>
      <c r="I414" s="150">
        <v>7</v>
      </c>
      <c r="J414" s="134">
        <v>998212.65599999996</v>
      </c>
      <c r="K414" s="120">
        <f>(J414/C414)</f>
        <v>279.76812107623317</v>
      </c>
      <c r="L414" s="122">
        <f t="shared" si="79"/>
        <v>1426018.08</v>
      </c>
      <c r="M414" s="116">
        <f t="shared" si="80"/>
        <v>427805.42400000012</v>
      </c>
      <c r="N414" s="123">
        <f t="shared" si="81"/>
        <v>119.90062331838568</v>
      </c>
      <c r="O414" s="5"/>
      <c r="P414" s="5">
        <f t="shared" si="84"/>
        <v>1</v>
      </c>
      <c r="Q414" s="7">
        <f t="shared" si="85"/>
        <v>3568</v>
      </c>
      <c r="W414" s="124">
        <f t="shared" si="82"/>
        <v>998212.65600000008</v>
      </c>
      <c r="X414">
        <f t="shared" si="83"/>
        <v>0</v>
      </c>
    </row>
    <row r="415" spans="1:24">
      <c r="A415" s="23" t="s">
        <v>443</v>
      </c>
      <c r="B415" s="35" t="s">
        <v>441</v>
      </c>
      <c r="C415" s="125">
        <v>238</v>
      </c>
      <c r="D415" s="147" t="s">
        <v>564</v>
      </c>
      <c r="E415" s="116"/>
      <c r="F415" s="134"/>
      <c r="G415" s="117"/>
      <c r="H415" s="98" t="s">
        <v>588</v>
      </c>
      <c r="I415" s="136"/>
      <c r="J415" s="134"/>
      <c r="K415" s="120"/>
      <c r="L415" s="122">
        <f t="shared" si="79"/>
        <v>0</v>
      </c>
      <c r="M415" s="116">
        <f t="shared" si="80"/>
        <v>0</v>
      </c>
      <c r="N415" s="123">
        <f t="shared" si="81"/>
        <v>0</v>
      </c>
      <c r="O415" s="5"/>
      <c r="P415" s="5">
        <f t="shared" si="84"/>
        <v>0</v>
      </c>
      <c r="Q415" s="7">
        <f t="shared" si="85"/>
        <v>0</v>
      </c>
      <c r="W415" s="124">
        <f t="shared" si="82"/>
        <v>0</v>
      </c>
      <c r="X415">
        <f t="shared" si="83"/>
        <v>0</v>
      </c>
    </row>
    <row r="416" spans="1:24">
      <c r="A416" s="23" t="s">
        <v>444</v>
      </c>
      <c r="B416" s="35" t="s">
        <v>441</v>
      </c>
      <c r="C416" s="125">
        <v>740</v>
      </c>
      <c r="D416" s="132">
        <v>32603629</v>
      </c>
      <c r="E416" s="116">
        <f>(D416/C416)</f>
        <v>44058.958108108105</v>
      </c>
      <c r="F416" s="134">
        <v>17623315</v>
      </c>
      <c r="G416" s="117">
        <f>(F416/C416)</f>
        <v>23815.29054054054</v>
      </c>
      <c r="H416" s="9"/>
      <c r="I416" s="150">
        <v>4.8281999999999998</v>
      </c>
      <c r="J416" s="134">
        <v>85088.889482999992</v>
      </c>
      <c r="K416" s="120">
        <f>(J416/C416)</f>
        <v>114.98498578783783</v>
      </c>
      <c r="L416" s="122">
        <f t="shared" si="79"/>
        <v>176233.15</v>
      </c>
      <c r="M416" s="116">
        <f t="shared" si="80"/>
        <v>91144.260517000002</v>
      </c>
      <c r="N416" s="123">
        <f t="shared" si="81"/>
        <v>123.16791961756758</v>
      </c>
      <c r="O416" s="5"/>
      <c r="P416" s="5">
        <f t="shared" si="84"/>
        <v>1</v>
      </c>
      <c r="Q416" s="7">
        <f t="shared" si="85"/>
        <v>740</v>
      </c>
      <c r="W416" s="124">
        <f t="shared" si="82"/>
        <v>85088.889482999992</v>
      </c>
      <c r="X416">
        <f t="shared" si="83"/>
        <v>0</v>
      </c>
    </row>
    <row r="417" spans="1:24">
      <c r="A417" s="23" t="s">
        <v>445</v>
      </c>
      <c r="B417" s="35" t="s">
        <v>441</v>
      </c>
      <c r="C417" s="125">
        <v>361</v>
      </c>
      <c r="D417" s="147" t="s">
        <v>564</v>
      </c>
      <c r="E417" s="116"/>
      <c r="F417" s="134"/>
      <c r="G417" s="117"/>
      <c r="H417" s="98" t="s">
        <v>588</v>
      </c>
      <c r="I417" s="136"/>
      <c r="J417" s="134"/>
      <c r="K417" s="120"/>
      <c r="L417" s="122">
        <f t="shared" si="79"/>
        <v>0</v>
      </c>
      <c r="M417" s="116">
        <f t="shared" si="80"/>
        <v>0</v>
      </c>
      <c r="N417" s="123">
        <f t="shared" si="81"/>
        <v>0</v>
      </c>
      <c r="O417" s="5"/>
      <c r="P417" s="5">
        <f t="shared" si="84"/>
        <v>0</v>
      </c>
      <c r="Q417" s="7">
        <f t="shared" si="85"/>
        <v>0</v>
      </c>
      <c r="S417" s="124">
        <f>SUM(D413:D417)</f>
        <v>245616632</v>
      </c>
      <c r="T417" s="124">
        <f>SUM(F413:F417)</f>
        <v>160225123</v>
      </c>
      <c r="U417" s="124">
        <f>SUM(J413:J417)</f>
        <v>1083301.5454829999</v>
      </c>
      <c r="W417" s="124">
        <f>SUM(W6:W416)</f>
        <v>5349952806.5055618</v>
      </c>
      <c r="X417">
        <f>SUM(X6:X416)</f>
        <v>0</v>
      </c>
    </row>
    <row r="418" spans="1:24">
      <c r="A418" s="70" t="s">
        <v>583</v>
      </c>
      <c r="B418" s="71"/>
      <c r="C418" s="72">
        <f>SUM(C6:C417)</f>
        <v>10739436</v>
      </c>
      <c r="D418" s="158">
        <f>SUM(D6:D417)</f>
        <v>1555502585512</v>
      </c>
      <c r="E418" s="74">
        <f>(D418/Q418)</f>
        <v>158938.4934609512</v>
      </c>
      <c r="F418" s="167">
        <f>SUM(F6:F417)</f>
        <v>1082770701598</v>
      </c>
      <c r="G418" s="76">
        <f>(F418/Q418)</f>
        <v>110635.58857344995</v>
      </c>
      <c r="H418" s="71"/>
      <c r="I418" s="168"/>
      <c r="J418" s="169">
        <f>SUM(J6:J417)</f>
        <v>5349952806.5055618</v>
      </c>
      <c r="K418" s="79">
        <f>(J418/Q418)</f>
        <v>546.64868260138428</v>
      </c>
      <c r="L418" s="79">
        <f>SUM(L6:L417)</f>
        <v>10827707015.980005</v>
      </c>
      <c r="M418" s="78">
        <f>SUM(M6:M417)</f>
        <v>5477754209.4744425</v>
      </c>
      <c r="N418" s="80">
        <f>(M418/Q418)</f>
        <v>559.70720313311574</v>
      </c>
      <c r="O418" s="20"/>
      <c r="P418" s="20">
        <f>SUM(P6:P417)</f>
        <v>391</v>
      </c>
      <c r="Q418" s="21">
        <f>SUM(Q6:Q417)</f>
        <v>9786821</v>
      </c>
      <c r="S418" s="124"/>
      <c r="T418" s="124"/>
      <c r="U418" s="124"/>
    </row>
    <row r="419" spans="1:24">
      <c r="A419" s="27" t="s">
        <v>453</v>
      </c>
      <c r="B419" s="13"/>
      <c r="C419" s="60">
        <f>(P418)</f>
        <v>391</v>
      </c>
      <c r="D419" s="159"/>
      <c r="E419" s="16"/>
      <c r="F419" s="141"/>
      <c r="G419" s="16"/>
      <c r="H419" s="16"/>
      <c r="I419" s="170"/>
      <c r="J419" s="159"/>
      <c r="K419" s="17"/>
      <c r="L419" s="2"/>
      <c r="M419" s="2"/>
      <c r="N419" s="63"/>
      <c r="O419" s="2"/>
      <c r="P419" s="2"/>
      <c r="Q419" s="2"/>
      <c r="S419" s="124"/>
      <c r="T419" s="124"/>
      <c r="U419" s="124"/>
    </row>
    <row r="420" spans="1:24">
      <c r="A420" s="22"/>
      <c r="B420" s="16"/>
      <c r="C420" s="16"/>
      <c r="D420" s="160"/>
      <c r="E420" s="16"/>
      <c r="F420" s="160"/>
      <c r="G420" s="16"/>
      <c r="H420" s="107"/>
      <c r="I420" s="171"/>
      <c r="J420" s="160"/>
      <c r="K420" s="17"/>
      <c r="L420" s="2"/>
      <c r="M420" s="2"/>
      <c r="N420" s="63"/>
      <c r="O420" s="2"/>
      <c r="P420" s="2"/>
      <c r="Q420" s="2"/>
      <c r="S420" s="124"/>
      <c r="T420" s="124"/>
      <c r="U420" s="124"/>
    </row>
    <row r="421" spans="1:24">
      <c r="A421" s="204" t="s">
        <v>498</v>
      </c>
      <c r="B421" s="192"/>
      <c r="C421" s="192"/>
      <c r="D421" s="192"/>
      <c r="E421" s="192"/>
      <c r="F421" s="192"/>
      <c r="G421" s="192"/>
      <c r="H421" s="192"/>
      <c r="I421" s="192"/>
      <c r="J421" s="192"/>
      <c r="K421" s="192"/>
      <c r="L421" s="192"/>
      <c r="M421" s="192"/>
      <c r="N421" s="193"/>
      <c r="O421" s="1"/>
      <c r="P421" s="1"/>
      <c r="Q421" s="1"/>
    </row>
    <row r="422" spans="1:24">
      <c r="A422" s="191" t="s">
        <v>565</v>
      </c>
      <c r="B422" s="192"/>
      <c r="C422" s="192"/>
      <c r="D422" s="192"/>
      <c r="E422" s="192"/>
      <c r="F422" s="192"/>
      <c r="G422" s="192"/>
      <c r="H422" s="192"/>
      <c r="I422" s="192"/>
      <c r="J422" s="192"/>
      <c r="K422" s="192"/>
      <c r="L422" s="192"/>
      <c r="M422" s="192"/>
      <c r="N422" s="193"/>
      <c r="O422" s="1"/>
      <c r="P422" s="1"/>
      <c r="Q422" s="1"/>
    </row>
    <row r="423" spans="1:24" ht="25.5" customHeight="1">
      <c r="A423" s="191" t="s">
        <v>577</v>
      </c>
      <c r="B423" s="192"/>
      <c r="C423" s="192"/>
      <c r="D423" s="192"/>
      <c r="E423" s="192"/>
      <c r="F423" s="192"/>
      <c r="G423" s="192"/>
      <c r="H423" s="192"/>
      <c r="I423" s="192"/>
      <c r="J423" s="192"/>
      <c r="K423" s="192"/>
      <c r="L423" s="192"/>
      <c r="M423" s="192"/>
      <c r="N423" s="193"/>
      <c r="O423" s="1"/>
      <c r="P423" s="1"/>
      <c r="Q423" s="1"/>
    </row>
    <row r="424" spans="1:24" ht="25.5" customHeight="1">
      <c r="A424" s="191" t="s">
        <v>578</v>
      </c>
      <c r="B424" s="192"/>
      <c r="C424" s="192"/>
      <c r="D424" s="192"/>
      <c r="E424" s="192"/>
      <c r="F424" s="192"/>
      <c r="G424" s="192"/>
      <c r="H424" s="192"/>
      <c r="I424" s="192"/>
      <c r="J424" s="192"/>
      <c r="K424" s="192"/>
      <c r="L424" s="192"/>
      <c r="M424" s="192"/>
      <c r="N424" s="193"/>
      <c r="O424" s="1"/>
      <c r="P424" s="1"/>
      <c r="Q424" s="1"/>
    </row>
    <row r="425" spans="1:24">
      <c r="A425" s="194"/>
      <c r="B425" s="192"/>
      <c r="C425" s="192"/>
      <c r="D425" s="192"/>
      <c r="E425" s="192"/>
      <c r="F425" s="192"/>
      <c r="G425" s="192"/>
      <c r="H425" s="192"/>
      <c r="I425" s="192"/>
      <c r="J425" s="192"/>
      <c r="K425" s="192"/>
      <c r="L425" s="192"/>
      <c r="M425" s="192"/>
      <c r="N425" s="193"/>
      <c r="O425" s="1"/>
      <c r="P425" s="1"/>
      <c r="Q425" s="1"/>
    </row>
    <row r="426" spans="1:24">
      <c r="A426" s="191" t="s">
        <v>579</v>
      </c>
      <c r="B426" s="192"/>
      <c r="C426" s="192"/>
      <c r="D426" s="192"/>
      <c r="E426" s="192"/>
      <c r="F426" s="192"/>
      <c r="G426" s="192"/>
      <c r="H426" s="192"/>
      <c r="I426" s="192"/>
      <c r="J426" s="192"/>
      <c r="K426" s="192"/>
      <c r="L426" s="192"/>
      <c r="M426" s="192"/>
      <c r="N426" s="193"/>
      <c r="O426" s="1"/>
      <c r="P426" s="1"/>
      <c r="Q426" s="1"/>
    </row>
    <row r="427" spans="1:24">
      <c r="A427" s="191" t="s">
        <v>625</v>
      </c>
      <c r="B427" s="192"/>
      <c r="C427" s="192"/>
      <c r="D427" s="192"/>
      <c r="E427" s="192"/>
      <c r="F427" s="192"/>
      <c r="G427" s="192"/>
      <c r="H427" s="192"/>
      <c r="I427" s="192"/>
      <c r="J427" s="192"/>
      <c r="K427" s="192"/>
      <c r="L427" s="192"/>
      <c r="M427" s="192"/>
      <c r="N427" s="193"/>
      <c r="O427" s="1"/>
      <c r="P427" s="1"/>
      <c r="Q427" s="1"/>
    </row>
    <row r="428" spans="1:24" ht="15" customHeight="1" thickBot="1">
      <c r="A428" s="188" t="s">
        <v>622</v>
      </c>
      <c r="B428" s="189"/>
      <c r="C428" s="189"/>
      <c r="D428" s="189"/>
      <c r="E428" s="189"/>
      <c r="F428" s="189"/>
      <c r="G428" s="189"/>
      <c r="H428" s="189"/>
      <c r="I428" s="189"/>
      <c r="J428" s="189"/>
      <c r="K428" s="189"/>
      <c r="L428" s="189"/>
      <c r="M428" s="189"/>
      <c r="N428" s="190"/>
      <c r="O428" s="1"/>
      <c r="P428" s="1"/>
      <c r="Q428" s="1"/>
    </row>
    <row r="429" spans="1:24">
      <c r="A429" s="4"/>
      <c r="B429" s="1"/>
      <c r="C429" s="1"/>
      <c r="D429" s="161"/>
      <c r="E429" s="1"/>
      <c r="F429" s="161"/>
      <c r="G429" s="1"/>
      <c r="H429" s="1"/>
      <c r="I429" s="172"/>
      <c r="J429" s="172"/>
      <c r="K429" s="3"/>
      <c r="L429" s="1"/>
      <c r="M429" s="1"/>
      <c r="N429" s="1"/>
      <c r="O429" s="1"/>
      <c r="P429" s="1"/>
      <c r="Q429" s="1"/>
    </row>
    <row r="430" spans="1:24">
      <c r="A430" s="4"/>
      <c r="B430" s="1"/>
      <c r="C430" s="1"/>
      <c r="D430" s="161"/>
      <c r="E430" s="1"/>
      <c r="F430" s="161"/>
      <c r="G430" s="1"/>
      <c r="H430" s="1"/>
      <c r="I430" s="172"/>
      <c r="J430" s="172"/>
      <c r="K430" s="3"/>
      <c r="L430" s="1"/>
      <c r="M430" s="1"/>
      <c r="N430" s="1"/>
      <c r="O430" s="1"/>
      <c r="P430" s="1"/>
      <c r="Q430" s="1"/>
    </row>
    <row r="431" spans="1:24">
      <c r="A431" s="2"/>
      <c r="B431" s="2"/>
      <c r="C431" s="2"/>
      <c r="D431" s="162"/>
      <c r="E431" s="2"/>
      <c r="F431" s="162"/>
      <c r="G431" s="2"/>
      <c r="H431" s="2"/>
      <c r="I431" s="162"/>
      <c r="J431" s="162"/>
      <c r="K431" s="2"/>
      <c r="L431" s="2"/>
      <c r="M431" s="2"/>
      <c r="N431" s="2"/>
      <c r="O431" s="2"/>
      <c r="P431" s="2"/>
      <c r="Q431" s="2"/>
    </row>
  </sheetData>
  <mergeCells count="12">
    <mergeCell ref="A428:N428"/>
    <mergeCell ref="A1:N1"/>
    <mergeCell ref="D2:G2"/>
    <mergeCell ref="L2:N2"/>
    <mergeCell ref="S2:U2"/>
    <mergeCell ref="A421:N421"/>
    <mergeCell ref="A422:N422"/>
    <mergeCell ref="A423:N423"/>
    <mergeCell ref="A424:N424"/>
    <mergeCell ref="A425:N425"/>
    <mergeCell ref="A426:N426"/>
    <mergeCell ref="A427:N427"/>
  </mergeCells>
  <printOptions horizontalCentered="1"/>
  <pageMargins left="0.5" right="0.5" top="0.5" bottom="0.5" header="0.3" footer="0.3"/>
  <pageSetup paperSize="5" scale="80" fitToHeight="0" orientation="landscape" r:id="rId1"/>
  <headerFooter>
    <oddFooter>&amp;LOffice of Economic and Demographic Research&amp;CPage &amp;P of &amp;N&amp;RFebruary 19, 2021</oddFooter>
  </headerFooter>
  <ignoredErrors>
    <ignoredError sqref="E418 K41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431"/>
  <sheetViews>
    <sheetView workbookViewId="0">
      <selection sqref="A1:N1"/>
    </sheetView>
  </sheetViews>
  <sheetFormatPr defaultRowHeight="12.75"/>
  <cols>
    <col min="1" max="1" width="25.7109375" customWidth="1"/>
    <col min="2" max="2" width="16.7109375" customWidth="1"/>
    <col min="3" max="3" width="11.7109375" customWidth="1"/>
    <col min="4" max="4" width="19.7109375" style="163" customWidth="1"/>
    <col min="5" max="5" width="13.7109375" customWidth="1"/>
    <col min="6" max="6" width="19.7109375" style="163" customWidth="1"/>
    <col min="7" max="7" width="13.7109375" customWidth="1"/>
    <col min="8" max="8" width="1.7109375" customWidth="1"/>
    <col min="9" max="9" width="10.7109375" style="163" customWidth="1"/>
    <col min="10" max="10" width="15.7109375" style="163" customWidth="1"/>
    <col min="11" max="11" width="13.7109375" customWidth="1"/>
    <col min="12" max="12" width="16.7109375" customWidth="1"/>
    <col min="13" max="13" width="15.7109375" customWidth="1"/>
    <col min="14" max="14" width="14.7109375" customWidth="1"/>
    <col min="15" max="15" width="2.7109375" customWidth="1"/>
    <col min="16" max="16" width="4.5703125" customWidth="1"/>
    <col min="17" max="17" width="10.7109375" customWidth="1"/>
    <col min="19" max="20" width="17.7109375" customWidth="1"/>
    <col min="21" max="21" width="16.7109375" customWidth="1"/>
  </cols>
  <sheetData>
    <row r="1" spans="1:21" ht="26.25">
      <c r="A1" s="197" t="s">
        <v>615</v>
      </c>
      <c r="B1" s="198"/>
      <c r="C1" s="198"/>
      <c r="D1" s="198"/>
      <c r="E1" s="198"/>
      <c r="F1" s="198"/>
      <c r="G1" s="198"/>
      <c r="H1" s="198"/>
      <c r="I1" s="198"/>
      <c r="J1" s="198"/>
      <c r="K1" s="198"/>
      <c r="L1" s="198"/>
      <c r="M1" s="198"/>
      <c r="N1" s="199"/>
    </row>
    <row r="2" spans="1:21" ht="18">
      <c r="A2" s="41"/>
      <c r="B2" s="42"/>
      <c r="C2" s="164"/>
      <c r="D2" s="200" t="s">
        <v>562</v>
      </c>
      <c r="E2" s="201"/>
      <c r="F2" s="201"/>
      <c r="G2" s="202"/>
      <c r="H2" s="44"/>
      <c r="I2" s="176" t="s">
        <v>456</v>
      </c>
      <c r="J2" s="177"/>
      <c r="K2" s="68"/>
      <c r="L2" s="201" t="s">
        <v>503</v>
      </c>
      <c r="M2" s="201"/>
      <c r="N2" s="203"/>
      <c r="S2" s="200" t="s">
        <v>591</v>
      </c>
      <c r="T2" s="201"/>
      <c r="U2" s="202"/>
    </row>
    <row r="3" spans="1:21" ht="12.75" customHeight="1">
      <c r="A3" s="46"/>
      <c r="B3" s="47"/>
      <c r="C3" s="48">
        <v>2018</v>
      </c>
      <c r="D3" s="165"/>
      <c r="E3" s="50" t="s">
        <v>1</v>
      </c>
      <c r="F3" s="173"/>
      <c r="G3" s="50" t="s">
        <v>1</v>
      </c>
      <c r="H3" s="52"/>
      <c r="I3" s="178"/>
      <c r="J3" s="179"/>
      <c r="K3" s="67" t="s">
        <v>1</v>
      </c>
      <c r="L3" s="66" t="s">
        <v>455</v>
      </c>
      <c r="M3" s="50" t="s">
        <v>455</v>
      </c>
      <c r="N3" s="59" t="s">
        <v>1</v>
      </c>
      <c r="S3" s="51"/>
      <c r="T3" s="51"/>
      <c r="U3" s="54"/>
    </row>
    <row r="4" spans="1:21">
      <c r="A4" s="46"/>
      <c r="B4" s="47"/>
      <c r="C4" s="48" t="s">
        <v>3</v>
      </c>
      <c r="D4" s="165" t="s">
        <v>563</v>
      </c>
      <c r="E4" s="56" t="s">
        <v>563</v>
      </c>
      <c r="F4" s="174" t="s">
        <v>2</v>
      </c>
      <c r="G4" s="56" t="s">
        <v>2</v>
      </c>
      <c r="H4" s="52"/>
      <c r="I4" s="180" t="s">
        <v>4</v>
      </c>
      <c r="J4" s="181" t="s">
        <v>455</v>
      </c>
      <c r="K4" s="69" t="s">
        <v>455</v>
      </c>
      <c r="L4" s="67" t="s">
        <v>454</v>
      </c>
      <c r="M4" s="82" t="s">
        <v>495</v>
      </c>
      <c r="N4" s="55" t="s">
        <v>495</v>
      </c>
      <c r="S4" s="48" t="s">
        <v>563</v>
      </c>
      <c r="T4" s="56" t="s">
        <v>2</v>
      </c>
      <c r="U4" s="58" t="s">
        <v>455</v>
      </c>
    </row>
    <row r="5" spans="1:21">
      <c r="A5" s="85" t="s">
        <v>5</v>
      </c>
      <c r="B5" s="86" t="s">
        <v>6</v>
      </c>
      <c r="C5" s="48" t="s">
        <v>458</v>
      </c>
      <c r="D5" s="166" t="s">
        <v>7</v>
      </c>
      <c r="E5" s="89" t="s">
        <v>7</v>
      </c>
      <c r="F5" s="175" t="s">
        <v>7</v>
      </c>
      <c r="G5" s="89" t="s">
        <v>7</v>
      </c>
      <c r="H5" s="91"/>
      <c r="I5" s="182" t="s">
        <v>587</v>
      </c>
      <c r="J5" s="175" t="s">
        <v>454</v>
      </c>
      <c r="K5" s="90" t="s">
        <v>454</v>
      </c>
      <c r="L5" s="93" t="s">
        <v>502</v>
      </c>
      <c r="M5" s="94" t="s">
        <v>496</v>
      </c>
      <c r="N5" s="95" t="s">
        <v>496</v>
      </c>
      <c r="O5" s="19"/>
      <c r="P5" s="19"/>
      <c r="Q5" s="19"/>
      <c r="S5" s="87" t="s">
        <v>7</v>
      </c>
      <c r="T5" s="90" t="s">
        <v>7</v>
      </c>
      <c r="U5" s="90" t="s">
        <v>454</v>
      </c>
    </row>
    <row r="6" spans="1:21">
      <c r="A6" s="22" t="s">
        <v>8</v>
      </c>
      <c r="B6" s="33" t="s">
        <v>8</v>
      </c>
      <c r="C6" s="97">
        <v>10155</v>
      </c>
      <c r="D6" s="141">
        <v>1350956248</v>
      </c>
      <c r="E6" s="38">
        <f t="shared" ref="E6:E14" si="0">(D6/C6)</f>
        <v>133033.60393894633</v>
      </c>
      <c r="F6" s="141">
        <v>820268032</v>
      </c>
      <c r="G6" s="39">
        <f t="shared" ref="G6:G14" si="1">(F6/C6)</f>
        <v>80774.793894633185</v>
      </c>
      <c r="H6" s="15"/>
      <c r="I6" s="145">
        <v>5.39</v>
      </c>
      <c r="J6" s="146">
        <v>4421244.6924799997</v>
      </c>
      <c r="K6" s="84">
        <f t="shared" ref="K6:K14" si="2">(J6/C6)</f>
        <v>435.37613909207283</v>
      </c>
      <c r="L6" s="65">
        <f t="shared" ref="L6:L69" si="3">(F6*0.01)</f>
        <v>8202680.3200000003</v>
      </c>
      <c r="M6" s="83">
        <f t="shared" ref="M6:M69" si="4">(L6-J6)</f>
        <v>3781435.6275200006</v>
      </c>
      <c r="N6" s="62">
        <f t="shared" ref="N6:N69" si="5">(M6/C6)</f>
        <v>372.37179985425905</v>
      </c>
      <c r="O6" s="5"/>
      <c r="P6" s="5">
        <f t="shared" ref="P6:P69" si="6">IF(I6&gt;0,1,0)</f>
        <v>1</v>
      </c>
      <c r="Q6" s="7">
        <f t="shared" ref="Q6:Q69" si="7">IF(I6&gt;0,C6,0)</f>
        <v>10155</v>
      </c>
    </row>
    <row r="7" spans="1:21">
      <c r="A7" s="23" t="s">
        <v>9</v>
      </c>
      <c r="B7" s="35" t="s">
        <v>8</v>
      </c>
      <c r="C7" s="97">
        <v>1168</v>
      </c>
      <c r="D7" s="132">
        <v>72791853</v>
      </c>
      <c r="E7" s="116">
        <f t="shared" si="0"/>
        <v>62321.791952054795</v>
      </c>
      <c r="F7" s="132">
        <v>40743541</v>
      </c>
      <c r="G7" s="117">
        <f t="shared" si="1"/>
        <v>34883.168664383564</v>
      </c>
      <c r="H7" s="7"/>
      <c r="I7" s="136">
        <v>5.2549000000000001</v>
      </c>
      <c r="J7" s="134">
        <v>214103.23360089998</v>
      </c>
      <c r="K7" s="120">
        <f t="shared" si="2"/>
        <v>183.30756301446917</v>
      </c>
      <c r="L7" s="122">
        <f t="shared" si="3"/>
        <v>407435.41000000003</v>
      </c>
      <c r="M7" s="116">
        <f t="shared" si="4"/>
        <v>193332.17639910005</v>
      </c>
      <c r="N7" s="123">
        <f t="shared" si="5"/>
        <v>165.52412362936647</v>
      </c>
      <c r="O7" s="5"/>
      <c r="P7" s="5">
        <f t="shared" si="6"/>
        <v>1</v>
      </c>
      <c r="Q7" s="7">
        <f t="shared" si="7"/>
        <v>1168</v>
      </c>
    </row>
    <row r="8" spans="1:21">
      <c r="A8" s="23" t="s">
        <v>10</v>
      </c>
      <c r="B8" s="35" t="s">
        <v>8</v>
      </c>
      <c r="C8" s="97">
        <v>131217</v>
      </c>
      <c r="D8" s="132">
        <v>16158048375</v>
      </c>
      <c r="E8" s="116">
        <f t="shared" si="0"/>
        <v>123139.90088936647</v>
      </c>
      <c r="F8" s="132">
        <v>6701205051</v>
      </c>
      <c r="G8" s="117">
        <f t="shared" si="1"/>
        <v>51069.640755389926</v>
      </c>
      <c r="H8" s="7"/>
      <c r="I8" s="136">
        <v>4.7473999999999998</v>
      </c>
      <c r="J8" s="134">
        <v>31813300.859117396</v>
      </c>
      <c r="K8" s="120">
        <f t="shared" si="2"/>
        <v>242.4480125221381</v>
      </c>
      <c r="L8" s="122">
        <f t="shared" si="3"/>
        <v>67012050.509999998</v>
      </c>
      <c r="M8" s="116">
        <f t="shared" si="4"/>
        <v>35198749.650882602</v>
      </c>
      <c r="N8" s="123">
        <f t="shared" si="5"/>
        <v>268.24839503176116</v>
      </c>
      <c r="O8" s="5"/>
      <c r="P8" s="5">
        <f t="shared" si="6"/>
        <v>1</v>
      </c>
      <c r="Q8" s="7">
        <f t="shared" si="7"/>
        <v>131217</v>
      </c>
    </row>
    <row r="9" spans="1:21">
      <c r="A9" s="23" t="s">
        <v>11</v>
      </c>
      <c r="B9" s="35" t="s">
        <v>8</v>
      </c>
      <c r="C9" s="97">
        <v>1422</v>
      </c>
      <c r="D9" s="132">
        <v>113261279</v>
      </c>
      <c r="E9" s="116">
        <f t="shared" si="0"/>
        <v>79649.281997187063</v>
      </c>
      <c r="F9" s="134">
        <v>47844287</v>
      </c>
      <c r="G9" s="117">
        <f t="shared" si="1"/>
        <v>33645.771448663851</v>
      </c>
      <c r="H9" s="7"/>
      <c r="I9" s="136">
        <v>5.3193999999999999</v>
      </c>
      <c r="J9" s="134">
        <v>254502.9002678</v>
      </c>
      <c r="K9" s="120">
        <f t="shared" si="2"/>
        <v>178.97531664402251</v>
      </c>
      <c r="L9" s="122">
        <f t="shared" si="3"/>
        <v>478442.87</v>
      </c>
      <c r="M9" s="116">
        <f t="shared" si="4"/>
        <v>223939.9697322</v>
      </c>
      <c r="N9" s="123">
        <f t="shared" si="5"/>
        <v>157.48239784261602</v>
      </c>
      <c r="O9" s="5"/>
      <c r="P9" s="5">
        <f t="shared" si="6"/>
        <v>1</v>
      </c>
      <c r="Q9" s="7">
        <f t="shared" si="7"/>
        <v>1422</v>
      </c>
    </row>
    <row r="10" spans="1:21">
      <c r="A10" s="23" t="s">
        <v>12</v>
      </c>
      <c r="B10" s="35" t="s">
        <v>8</v>
      </c>
      <c r="C10" s="97">
        <v>6221</v>
      </c>
      <c r="D10" s="132">
        <v>485702261</v>
      </c>
      <c r="E10" s="116">
        <f t="shared" si="0"/>
        <v>78074.628034078123</v>
      </c>
      <c r="F10" s="134">
        <v>273189576</v>
      </c>
      <c r="G10" s="117">
        <f t="shared" si="1"/>
        <v>43914.093554090985</v>
      </c>
      <c r="H10" s="7"/>
      <c r="I10" s="136">
        <v>5.88</v>
      </c>
      <c r="J10" s="134">
        <v>1606354.70688</v>
      </c>
      <c r="K10" s="120">
        <f t="shared" si="2"/>
        <v>258.21487009805497</v>
      </c>
      <c r="L10" s="122">
        <f t="shared" si="3"/>
        <v>2731895.7600000002</v>
      </c>
      <c r="M10" s="116">
        <f t="shared" si="4"/>
        <v>1125541.0531200003</v>
      </c>
      <c r="N10" s="123">
        <f t="shared" si="5"/>
        <v>180.92606544285491</v>
      </c>
      <c r="O10" s="5"/>
      <c r="P10" s="5">
        <f t="shared" si="6"/>
        <v>1</v>
      </c>
      <c r="Q10" s="7">
        <f t="shared" si="7"/>
        <v>6221</v>
      </c>
    </row>
    <row r="11" spans="1:21">
      <c r="A11" s="23" t="s">
        <v>559</v>
      </c>
      <c r="B11" s="35" t="s">
        <v>8</v>
      </c>
      <c r="C11" s="97">
        <v>390</v>
      </c>
      <c r="D11" s="132">
        <v>21956226</v>
      </c>
      <c r="E11" s="116">
        <f t="shared" si="0"/>
        <v>56298.015384615384</v>
      </c>
      <c r="F11" s="134">
        <v>10879606</v>
      </c>
      <c r="G11" s="117">
        <f t="shared" si="1"/>
        <v>27896.425641025642</v>
      </c>
      <c r="H11" s="7"/>
      <c r="I11" s="136">
        <v>6.3685999999999998</v>
      </c>
      <c r="J11" s="134">
        <v>69287.858771599989</v>
      </c>
      <c r="K11" s="120">
        <f t="shared" si="2"/>
        <v>177.66117633743588</v>
      </c>
      <c r="L11" s="122">
        <f t="shared" si="3"/>
        <v>108796.06</v>
      </c>
      <c r="M11" s="116">
        <f t="shared" si="4"/>
        <v>39508.201228400008</v>
      </c>
      <c r="N11" s="123">
        <f t="shared" si="5"/>
        <v>101.30308007282053</v>
      </c>
      <c r="O11" s="5"/>
      <c r="P11" s="5">
        <f t="shared" si="6"/>
        <v>1</v>
      </c>
      <c r="Q11" s="7">
        <f t="shared" si="7"/>
        <v>390</v>
      </c>
    </row>
    <row r="12" spans="1:21">
      <c r="A12" s="23" t="s">
        <v>13</v>
      </c>
      <c r="B12" s="35" t="s">
        <v>8</v>
      </c>
      <c r="C12" s="97">
        <v>605</v>
      </c>
      <c r="D12" s="132">
        <v>53670109</v>
      </c>
      <c r="E12" s="116">
        <f t="shared" si="0"/>
        <v>88710.923966942151</v>
      </c>
      <c r="F12" s="134">
        <v>33717766</v>
      </c>
      <c r="G12" s="117">
        <f t="shared" si="1"/>
        <v>55731.84462809917</v>
      </c>
      <c r="H12" s="7"/>
      <c r="I12" s="136">
        <v>5.7743000000000002</v>
      </c>
      <c r="J12" s="134">
        <v>194696.49621380001</v>
      </c>
      <c r="K12" s="120">
        <f t="shared" si="2"/>
        <v>321.81239043603307</v>
      </c>
      <c r="L12" s="122">
        <f t="shared" si="3"/>
        <v>337177.66000000003</v>
      </c>
      <c r="M12" s="116">
        <f t="shared" si="4"/>
        <v>142481.16378620002</v>
      </c>
      <c r="N12" s="123">
        <f t="shared" si="5"/>
        <v>235.50605584495872</v>
      </c>
      <c r="O12" s="5"/>
      <c r="P12" s="5">
        <f t="shared" si="6"/>
        <v>1</v>
      </c>
      <c r="Q12" s="7">
        <f t="shared" si="7"/>
        <v>605</v>
      </c>
    </row>
    <row r="13" spans="1:21">
      <c r="A13" s="23" t="s">
        <v>14</v>
      </c>
      <c r="B13" s="35" t="s">
        <v>8</v>
      </c>
      <c r="C13" s="97">
        <v>6249</v>
      </c>
      <c r="D13" s="132">
        <v>748593078</v>
      </c>
      <c r="E13" s="116">
        <f t="shared" si="0"/>
        <v>119794.05952952472</v>
      </c>
      <c r="F13" s="134">
        <v>422265307</v>
      </c>
      <c r="G13" s="117">
        <f t="shared" si="1"/>
        <v>67573.260841734678</v>
      </c>
      <c r="H13" s="7"/>
      <c r="I13" s="136">
        <v>5.9999000000000002</v>
      </c>
      <c r="J13" s="134">
        <v>2533549.6154693002</v>
      </c>
      <c r="K13" s="120">
        <f t="shared" si="2"/>
        <v>405.43280772432394</v>
      </c>
      <c r="L13" s="122">
        <f t="shared" si="3"/>
        <v>4222653.07</v>
      </c>
      <c r="M13" s="116">
        <f t="shared" si="4"/>
        <v>1689103.4545307001</v>
      </c>
      <c r="N13" s="123">
        <f t="shared" si="5"/>
        <v>270.29980069302292</v>
      </c>
      <c r="O13" s="5"/>
      <c r="P13" s="5">
        <f t="shared" si="6"/>
        <v>1</v>
      </c>
      <c r="Q13" s="7">
        <f t="shared" si="7"/>
        <v>6249</v>
      </c>
    </row>
    <row r="14" spans="1:21">
      <c r="A14" s="23" t="s">
        <v>15</v>
      </c>
      <c r="B14" s="35" t="s">
        <v>8</v>
      </c>
      <c r="C14" s="97">
        <v>960</v>
      </c>
      <c r="D14" s="132">
        <v>50076370</v>
      </c>
      <c r="E14" s="116">
        <f t="shared" si="0"/>
        <v>52162.885416666664</v>
      </c>
      <c r="F14" s="134">
        <v>25893189</v>
      </c>
      <c r="G14" s="117">
        <f t="shared" si="1"/>
        <v>26972.071875000001</v>
      </c>
      <c r="H14" s="7"/>
      <c r="I14" s="136">
        <v>7.5179999999999998</v>
      </c>
      <c r="J14" s="134">
        <v>194664.99490199998</v>
      </c>
      <c r="K14" s="120">
        <f t="shared" si="2"/>
        <v>202.77603635624999</v>
      </c>
      <c r="L14" s="122">
        <f t="shared" si="3"/>
        <v>258931.89</v>
      </c>
      <c r="M14" s="116">
        <f t="shared" si="4"/>
        <v>64266.895098000037</v>
      </c>
      <c r="N14" s="123">
        <f t="shared" si="5"/>
        <v>66.944682393750043</v>
      </c>
      <c r="O14" s="5"/>
      <c r="P14" s="5">
        <f t="shared" si="6"/>
        <v>1</v>
      </c>
      <c r="Q14" s="7">
        <f t="shared" si="7"/>
        <v>960</v>
      </c>
      <c r="S14" s="124">
        <f>SUM(D6:D14)</f>
        <v>19055055799</v>
      </c>
      <c r="T14" s="124">
        <f>SUM(F6:F14)</f>
        <v>8376006355</v>
      </c>
      <c r="U14" s="124">
        <f>SUM(J6:J14)</f>
        <v>41301705.357702799</v>
      </c>
    </row>
    <row r="15" spans="1:21">
      <c r="A15" s="24" t="s">
        <v>544</v>
      </c>
      <c r="B15" s="35" t="s">
        <v>16</v>
      </c>
      <c r="C15" s="125">
        <v>446</v>
      </c>
      <c r="D15" s="147" t="s">
        <v>564</v>
      </c>
      <c r="E15" s="116"/>
      <c r="F15" s="134"/>
      <c r="G15" s="117"/>
      <c r="H15" s="98" t="s">
        <v>588</v>
      </c>
      <c r="I15" s="136"/>
      <c r="J15" s="134"/>
      <c r="K15" s="120"/>
      <c r="L15" s="122">
        <f t="shared" si="3"/>
        <v>0</v>
      </c>
      <c r="M15" s="116">
        <f t="shared" si="4"/>
        <v>0</v>
      </c>
      <c r="N15" s="123">
        <f t="shared" si="5"/>
        <v>0</v>
      </c>
      <c r="O15" s="5"/>
      <c r="P15" s="5">
        <f t="shared" si="6"/>
        <v>0</v>
      </c>
      <c r="Q15" s="7">
        <f t="shared" si="7"/>
        <v>0</v>
      </c>
    </row>
    <row r="16" spans="1:21">
      <c r="A16" s="23" t="s">
        <v>17</v>
      </c>
      <c r="B16" s="35" t="s">
        <v>16</v>
      </c>
      <c r="C16" s="125">
        <v>6743</v>
      </c>
      <c r="D16" s="132">
        <v>438505479</v>
      </c>
      <c r="E16" s="116">
        <f>(D16/C16)</f>
        <v>65031.214444609228</v>
      </c>
      <c r="F16" s="134">
        <v>252572505</v>
      </c>
      <c r="G16" s="117">
        <f>(F16/C16)</f>
        <v>37456.993178110635</v>
      </c>
      <c r="H16" s="7"/>
      <c r="I16" s="136">
        <v>3.6</v>
      </c>
      <c r="J16" s="134">
        <v>909261.01800000004</v>
      </c>
      <c r="K16" s="120">
        <f>(J16/C16)</f>
        <v>134.84517544119828</v>
      </c>
      <c r="L16" s="122">
        <f t="shared" si="3"/>
        <v>2525725.0500000003</v>
      </c>
      <c r="M16" s="116">
        <f t="shared" si="4"/>
        <v>1616464.0320000001</v>
      </c>
      <c r="N16" s="123">
        <f t="shared" si="5"/>
        <v>239.72475633990808</v>
      </c>
      <c r="O16" s="5"/>
      <c r="P16" s="5">
        <f t="shared" si="6"/>
        <v>1</v>
      </c>
      <c r="Q16" s="7">
        <f t="shared" si="7"/>
        <v>6743</v>
      </c>
      <c r="S16" s="124">
        <f>SUM(D15:D16)</f>
        <v>438505479</v>
      </c>
      <c r="T16" s="124">
        <f>SUM(F15:F16)</f>
        <v>252572505</v>
      </c>
      <c r="U16" s="124">
        <f>SUM(J15:J16)</f>
        <v>909261.01800000004</v>
      </c>
    </row>
    <row r="17" spans="1:21">
      <c r="A17" s="23" t="s">
        <v>18</v>
      </c>
      <c r="B17" s="35" t="s">
        <v>19</v>
      </c>
      <c r="C17" s="125">
        <v>15855</v>
      </c>
      <c r="D17" s="132">
        <v>711673627</v>
      </c>
      <c r="E17" s="116">
        <f>(D17/C17)</f>
        <v>44886.38454746137</v>
      </c>
      <c r="F17" s="134">
        <v>492655362</v>
      </c>
      <c r="G17" s="117">
        <f>(F17/C17)</f>
        <v>31072.555156102175</v>
      </c>
      <c r="H17" s="8"/>
      <c r="I17" s="136">
        <v>1.99</v>
      </c>
      <c r="J17" s="134">
        <v>980384.17038000003</v>
      </c>
      <c r="K17" s="120">
        <f>(J17/C17)</f>
        <v>61.834384760643331</v>
      </c>
      <c r="L17" s="122">
        <f t="shared" si="3"/>
        <v>4926553.62</v>
      </c>
      <c r="M17" s="116">
        <f t="shared" si="4"/>
        <v>3946169.4496200001</v>
      </c>
      <c r="N17" s="123">
        <f t="shared" si="5"/>
        <v>248.89116680037844</v>
      </c>
      <c r="O17" s="5"/>
      <c r="P17" s="5">
        <f t="shared" si="6"/>
        <v>1</v>
      </c>
      <c r="Q17" s="7">
        <f t="shared" si="7"/>
        <v>15855</v>
      </c>
    </row>
    <row r="18" spans="1:21">
      <c r="A18" s="23" t="s">
        <v>21</v>
      </c>
      <c r="B18" s="35" t="s">
        <v>19</v>
      </c>
      <c r="C18" s="125">
        <v>21201</v>
      </c>
      <c r="D18" s="132">
        <v>1571202644</v>
      </c>
      <c r="E18" s="116">
        <f>(D18/C18)</f>
        <v>74109.836517145421</v>
      </c>
      <c r="F18" s="134">
        <v>1122405982</v>
      </c>
      <c r="G18" s="117">
        <f>(F18/C18)</f>
        <v>52941.181170699492</v>
      </c>
      <c r="H18" s="7"/>
      <c r="I18" s="136">
        <v>3.9</v>
      </c>
      <c r="J18" s="134">
        <v>4377383.3298000004</v>
      </c>
      <c r="K18" s="120">
        <f>(J18/C18)</f>
        <v>206.47060656572805</v>
      </c>
      <c r="L18" s="122">
        <f t="shared" si="3"/>
        <v>11224059.82</v>
      </c>
      <c r="M18" s="116">
        <f t="shared" si="4"/>
        <v>6846676.4901999999</v>
      </c>
      <c r="N18" s="123">
        <f t="shared" si="5"/>
        <v>322.94120514126689</v>
      </c>
      <c r="O18" s="5"/>
      <c r="P18" s="5">
        <f t="shared" si="6"/>
        <v>1</v>
      </c>
      <c r="Q18" s="7">
        <f t="shared" si="7"/>
        <v>21201</v>
      </c>
    </row>
    <row r="19" spans="1:21">
      <c r="A19" s="23" t="s">
        <v>22</v>
      </c>
      <c r="B19" s="35" t="s">
        <v>19</v>
      </c>
      <c r="C19" s="125">
        <v>1285</v>
      </c>
      <c r="D19" s="132">
        <v>497797195</v>
      </c>
      <c r="E19" s="116">
        <f>(D19/C19)</f>
        <v>387390.81322957197</v>
      </c>
      <c r="F19" s="134">
        <v>419897936</v>
      </c>
      <c r="G19" s="117">
        <f>(F19/C19)</f>
        <v>326768.82178988325</v>
      </c>
      <c r="H19" s="7"/>
      <c r="I19" s="150">
        <v>5.327</v>
      </c>
      <c r="J19" s="134">
        <v>2236796.3050720003</v>
      </c>
      <c r="K19" s="120">
        <f>(J19/C19)</f>
        <v>1740.6975136747083</v>
      </c>
      <c r="L19" s="122">
        <f t="shared" si="3"/>
        <v>4198979.3600000003</v>
      </c>
      <c r="M19" s="116">
        <f t="shared" si="4"/>
        <v>1962183.0549280001</v>
      </c>
      <c r="N19" s="123">
        <f t="shared" si="5"/>
        <v>1526.9907042241246</v>
      </c>
      <c r="O19" s="5"/>
      <c r="P19" s="5">
        <f t="shared" si="6"/>
        <v>1</v>
      </c>
      <c r="Q19" s="7">
        <f t="shared" si="7"/>
        <v>1285</v>
      </c>
    </row>
    <row r="20" spans="1:21">
      <c r="A20" s="23" t="s">
        <v>23</v>
      </c>
      <c r="B20" s="35" t="s">
        <v>19</v>
      </c>
      <c r="C20" s="125">
        <v>37208</v>
      </c>
      <c r="D20" s="132">
        <v>3405395008</v>
      </c>
      <c r="E20" s="116">
        <f>(D20/C20)</f>
        <v>91523.194151795309</v>
      </c>
      <c r="F20" s="134">
        <v>2395503395</v>
      </c>
      <c r="G20" s="117">
        <f>(F20/C20)</f>
        <v>64381.407089873144</v>
      </c>
      <c r="H20" s="7"/>
      <c r="I20" s="136">
        <v>4.3499999999999996</v>
      </c>
      <c r="J20" s="134">
        <v>10420439.76825</v>
      </c>
      <c r="K20" s="120">
        <f>(J20/C20)</f>
        <v>280.0591208409482</v>
      </c>
      <c r="L20" s="122">
        <f t="shared" si="3"/>
        <v>23955033.949999999</v>
      </c>
      <c r="M20" s="116">
        <f t="shared" si="4"/>
        <v>13534594.18175</v>
      </c>
      <c r="N20" s="123">
        <f t="shared" si="5"/>
        <v>363.75495005778328</v>
      </c>
      <c r="O20" s="5"/>
      <c r="P20" s="5">
        <f t="shared" si="6"/>
        <v>1</v>
      </c>
      <c r="Q20" s="7">
        <f t="shared" si="7"/>
        <v>37208</v>
      </c>
    </row>
    <row r="21" spans="1:21">
      <c r="A21" s="23" t="s">
        <v>24</v>
      </c>
      <c r="B21" s="35" t="s">
        <v>19</v>
      </c>
      <c r="C21" s="125">
        <v>13099</v>
      </c>
      <c r="D21" s="147" t="s">
        <v>564</v>
      </c>
      <c r="E21" s="116"/>
      <c r="F21" s="134"/>
      <c r="G21" s="117"/>
      <c r="H21" s="98" t="s">
        <v>588</v>
      </c>
      <c r="I21" s="151"/>
      <c r="J21" s="134"/>
      <c r="K21" s="120"/>
      <c r="L21" s="122">
        <f t="shared" si="3"/>
        <v>0</v>
      </c>
      <c r="M21" s="116">
        <f t="shared" si="4"/>
        <v>0</v>
      </c>
      <c r="N21" s="123">
        <f t="shared" si="5"/>
        <v>0</v>
      </c>
      <c r="O21" s="5"/>
      <c r="P21" s="5">
        <f t="shared" si="6"/>
        <v>0</v>
      </c>
      <c r="Q21" s="7">
        <f t="shared" si="7"/>
        <v>0</v>
      </c>
    </row>
    <row r="22" spans="1:21">
      <c r="A22" s="23" t="s">
        <v>25</v>
      </c>
      <c r="B22" s="35" t="s">
        <v>19</v>
      </c>
      <c r="C22" s="125">
        <v>4467</v>
      </c>
      <c r="D22" s="147" t="s">
        <v>564</v>
      </c>
      <c r="E22" s="116"/>
      <c r="F22" s="134"/>
      <c r="G22" s="117"/>
      <c r="H22" s="98" t="s">
        <v>588</v>
      </c>
      <c r="I22" s="151"/>
      <c r="J22" s="134"/>
      <c r="K22" s="120"/>
      <c r="L22" s="122">
        <f t="shared" si="3"/>
        <v>0</v>
      </c>
      <c r="M22" s="116">
        <f t="shared" si="4"/>
        <v>0</v>
      </c>
      <c r="N22" s="123">
        <f t="shared" si="5"/>
        <v>0</v>
      </c>
      <c r="O22" s="5"/>
      <c r="P22" s="5">
        <f t="shared" si="6"/>
        <v>0</v>
      </c>
      <c r="Q22" s="7">
        <f t="shared" si="7"/>
        <v>0</v>
      </c>
    </row>
    <row r="23" spans="1:21">
      <c r="A23" s="23" t="s">
        <v>26</v>
      </c>
      <c r="B23" s="35" t="s">
        <v>19</v>
      </c>
      <c r="C23" s="125">
        <v>9621</v>
      </c>
      <c r="D23" s="147">
        <v>364669820</v>
      </c>
      <c r="E23" s="116">
        <f t="shared" ref="E23:E38" si="8">(D23/C23)</f>
        <v>37903.525621037312</v>
      </c>
      <c r="F23" s="134">
        <v>205058758</v>
      </c>
      <c r="G23" s="117">
        <f t="shared" ref="G23:G38" si="9">(F23/C23)</f>
        <v>21313.663652426982</v>
      </c>
      <c r="H23" s="98"/>
      <c r="I23" s="136">
        <v>3.4649999999999999</v>
      </c>
      <c r="J23" s="134">
        <v>710528.59646999999</v>
      </c>
      <c r="K23" s="120">
        <f>(J23/C23)</f>
        <v>73.851844555659497</v>
      </c>
      <c r="L23" s="122">
        <f t="shared" si="3"/>
        <v>2050587.58</v>
      </c>
      <c r="M23" s="116">
        <f t="shared" si="4"/>
        <v>1340058.9835300001</v>
      </c>
      <c r="N23" s="123">
        <f t="shared" si="5"/>
        <v>139.28479196861034</v>
      </c>
      <c r="O23" s="5"/>
      <c r="P23" s="5">
        <f t="shared" si="6"/>
        <v>1</v>
      </c>
      <c r="Q23" s="7">
        <f t="shared" si="7"/>
        <v>9621</v>
      </c>
      <c r="S23" s="124">
        <f>SUM(D17:D23)</f>
        <v>6550738294</v>
      </c>
      <c r="T23" s="124">
        <f>SUM(F17:F23)</f>
        <v>4635521433</v>
      </c>
      <c r="U23" s="124">
        <f>SUM(J17:J23)</f>
        <v>18725532.169971999</v>
      </c>
    </row>
    <row r="24" spans="1:21">
      <c r="A24" s="23" t="s">
        <v>27</v>
      </c>
      <c r="B24" s="35" t="s">
        <v>28</v>
      </c>
      <c r="C24" s="125">
        <v>322</v>
      </c>
      <c r="D24" s="132">
        <v>15452433</v>
      </c>
      <c r="E24" s="116">
        <f t="shared" si="8"/>
        <v>47988.922360248449</v>
      </c>
      <c r="F24" s="134">
        <v>8779271</v>
      </c>
      <c r="G24" s="117">
        <f t="shared" si="9"/>
        <v>27264.816770186335</v>
      </c>
      <c r="H24" s="7"/>
      <c r="I24" s="136">
        <v>0.29920000000000002</v>
      </c>
      <c r="J24" s="134">
        <v>2626.7578831999999</v>
      </c>
      <c r="K24" s="120">
        <f t="shared" ref="K24:K38" si="10">(J24/C24)</f>
        <v>8.1576331776397506</v>
      </c>
      <c r="L24" s="122">
        <f t="shared" si="3"/>
        <v>87792.71</v>
      </c>
      <c r="M24" s="116">
        <f t="shared" si="4"/>
        <v>85165.952116800006</v>
      </c>
      <c r="N24" s="123">
        <f t="shared" si="5"/>
        <v>264.49053452422362</v>
      </c>
      <c r="O24" s="5"/>
      <c r="P24" s="5">
        <f t="shared" si="6"/>
        <v>1</v>
      </c>
      <c r="Q24" s="7">
        <f t="shared" si="7"/>
        <v>322</v>
      </c>
    </row>
    <row r="25" spans="1:21">
      <c r="A25" s="23" t="s">
        <v>29</v>
      </c>
      <c r="B25" s="35" t="s">
        <v>28</v>
      </c>
      <c r="C25" s="125">
        <v>465</v>
      </c>
      <c r="D25" s="132">
        <v>13829621</v>
      </c>
      <c r="E25" s="116">
        <f t="shared" si="8"/>
        <v>29741.120430107527</v>
      </c>
      <c r="F25" s="134">
        <v>8438562</v>
      </c>
      <c r="G25" s="117">
        <f t="shared" si="9"/>
        <v>18147.445161290321</v>
      </c>
      <c r="H25" s="7"/>
      <c r="I25" s="136">
        <v>0.5</v>
      </c>
      <c r="J25" s="134">
        <v>4219.2809999999999</v>
      </c>
      <c r="K25" s="120">
        <f t="shared" si="10"/>
        <v>9.0737225806451605</v>
      </c>
      <c r="L25" s="122">
        <f t="shared" si="3"/>
        <v>84385.62</v>
      </c>
      <c r="M25" s="116">
        <f t="shared" si="4"/>
        <v>80166.338999999993</v>
      </c>
      <c r="N25" s="123">
        <f t="shared" si="5"/>
        <v>172.40072903225806</v>
      </c>
      <c r="O25" s="5"/>
      <c r="P25" s="5">
        <f t="shared" si="6"/>
        <v>1</v>
      </c>
      <c r="Q25" s="7">
        <f t="shared" si="7"/>
        <v>465</v>
      </c>
    </row>
    <row r="26" spans="1:21">
      <c r="A26" s="23" t="s">
        <v>30</v>
      </c>
      <c r="B26" s="35" t="s">
        <v>28</v>
      </c>
      <c r="C26" s="125">
        <v>718</v>
      </c>
      <c r="D26" s="132">
        <v>27122306</v>
      </c>
      <c r="E26" s="116">
        <f t="shared" si="8"/>
        <v>37774.799442896932</v>
      </c>
      <c r="F26" s="134">
        <v>16342051</v>
      </c>
      <c r="G26" s="117">
        <f t="shared" si="9"/>
        <v>22760.516713091922</v>
      </c>
      <c r="H26" s="7"/>
      <c r="I26" s="150">
        <v>1.6405000000000001</v>
      </c>
      <c r="J26" s="134">
        <v>26809.134665500002</v>
      </c>
      <c r="K26" s="120">
        <f t="shared" si="10"/>
        <v>37.338627667827303</v>
      </c>
      <c r="L26" s="122">
        <f t="shared" si="3"/>
        <v>163420.51</v>
      </c>
      <c r="M26" s="116">
        <f t="shared" si="4"/>
        <v>136611.37533450002</v>
      </c>
      <c r="N26" s="123">
        <f t="shared" si="5"/>
        <v>190.26653946309193</v>
      </c>
      <c r="O26" s="5"/>
      <c r="P26" s="5">
        <f t="shared" si="6"/>
        <v>1</v>
      </c>
      <c r="Q26" s="7">
        <f t="shared" si="7"/>
        <v>718</v>
      </c>
    </row>
    <row r="27" spans="1:21">
      <c r="A27" s="23" t="s">
        <v>31</v>
      </c>
      <c r="B27" s="35" t="s">
        <v>28</v>
      </c>
      <c r="C27" s="125">
        <v>5352</v>
      </c>
      <c r="D27" s="132">
        <v>295802466</v>
      </c>
      <c r="E27" s="116">
        <f t="shared" si="8"/>
        <v>55269.519058295962</v>
      </c>
      <c r="F27" s="134">
        <v>201260326</v>
      </c>
      <c r="G27" s="117">
        <f t="shared" si="9"/>
        <v>37604.694693572499</v>
      </c>
      <c r="H27" s="7"/>
      <c r="I27" s="150">
        <v>4.1124999999999998</v>
      </c>
      <c r="J27" s="134">
        <v>827683.09067499998</v>
      </c>
      <c r="K27" s="120">
        <f t="shared" si="10"/>
        <v>154.6493069273169</v>
      </c>
      <c r="L27" s="122">
        <f t="shared" si="3"/>
        <v>2012603.26</v>
      </c>
      <c r="M27" s="116">
        <f t="shared" si="4"/>
        <v>1184920.1693250001</v>
      </c>
      <c r="N27" s="123">
        <f t="shared" si="5"/>
        <v>221.3976400084081</v>
      </c>
      <c r="O27" s="5"/>
      <c r="P27" s="5">
        <f t="shared" si="6"/>
        <v>1</v>
      </c>
      <c r="Q27" s="7">
        <f t="shared" si="7"/>
        <v>5352</v>
      </c>
      <c r="S27" s="124">
        <f>SUM(D24:D27)</f>
        <v>352206826</v>
      </c>
      <c r="T27" s="124">
        <f>SUM(F24:F27)</f>
        <v>234820210</v>
      </c>
      <c r="U27" s="124">
        <f>SUM(J24:J27)</f>
        <v>861338.26422370004</v>
      </c>
    </row>
    <row r="28" spans="1:21">
      <c r="A28" s="23" t="s">
        <v>32</v>
      </c>
      <c r="B28" s="35" t="s">
        <v>33</v>
      </c>
      <c r="C28" s="125">
        <v>10227</v>
      </c>
      <c r="D28" s="132">
        <v>1637342663</v>
      </c>
      <c r="E28" s="116">
        <f t="shared" si="8"/>
        <v>160099.99638212574</v>
      </c>
      <c r="F28" s="134">
        <v>1227415621</v>
      </c>
      <c r="G28" s="117">
        <f t="shared" si="9"/>
        <v>120017.17228903882</v>
      </c>
      <c r="H28" s="7"/>
      <c r="I28" s="150">
        <v>3.77</v>
      </c>
      <c r="J28" s="134">
        <v>4627356.8911699997</v>
      </c>
      <c r="K28" s="120">
        <f t="shared" si="10"/>
        <v>452.46473952967631</v>
      </c>
      <c r="L28" s="122">
        <f t="shared" si="3"/>
        <v>12274156.210000001</v>
      </c>
      <c r="M28" s="116">
        <f t="shared" si="4"/>
        <v>7646799.3188300012</v>
      </c>
      <c r="N28" s="123">
        <f t="shared" si="5"/>
        <v>747.706983360712</v>
      </c>
      <c r="O28" s="5"/>
      <c r="P28" s="5">
        <f t="shared" si="6"/>
        <v>1</v>
      </c>
      <c r="Q28" s="7">
        <f t="shared" si="7"/>
        <v>10227</v>
      </c>
    </row>
    <row r="29" spans="1:21">
      <c r="A29" s="23" t="s">
        <v>34</v>
      </c>
      <c r="B29" s="35" t="s">
        <v>33</v>
      </c>
      <c r="C29" s="125">
        <v>19286</v>
      </c>
      <c r="D29" s="132">
        <v>1567761700</v>
      </c>
      <c r="E29" s="116">
        <f t="shared" si="8"/>
        <v>81290.143108990975</v>
      </c>
      <c r="F29" s="134">
        <v>971766039</v>
      </c>
      <c r="G29" s="117">
        <f t="shared" si="9"/>
        <v>50387.122213004252</v>
      </c>
      <c r="H29" s="7"/>
      <c r="I29" s="136">
        <v>5.9790000000000001</v>
      </c>
      <c r="J29" s="134">
        <v>5810189.1471809996</v>
      </c>
      <c r="K29" s="120">
        <f t="shared" si="10"/>
        <v>301.26460371155241</v>
      </c>
      <c r="L29" s="122">
        <f t="shared" si="3"/>
        <v>9717660.3900000006</v>
      </c>
      <c r="M29" s="116">
        <f t="shared" si="4"/>
        <v>3907471.242819001</v>
      </c>
      <c r="N29" s="123">
        <f t="shared" si="5"/>
        <v>202.60661841849014</v>
      </c>
      <c r="O29" s="5"/>
      <c r="P29" s="5">
        <f t="shared" si="6"/>
        <v>1</v>
      </c>
      <c r="Q29" s="7">
        <f t="shared" si="7"/>
        <v>19286</v>
      </c>
    </row>
    <row r="30" spans="1:21">
      <c r="A30" s="23" t="s">
        <v>35</v>
      </c>
      <c r="B30" s="35" t="s">
        <v>33</v>
      </c>
      <c r="C30" s="125">
        <v>11328</v>
      </c>
      <c r="D30" s="132">
        <v>2893847609</v>
      </c>
      <c r="E30" s="116">
        <f t="shared" si="8"/>
        <v>255459.71124646891</v>
      </c>
      <c r="F30" s="134">
        <v>1976818625</v>
      </c>
      <c r="G30" s="117">
        <f t="shared" si="9"/>
        <v>174507.29387358757</v>
      </c>
      <c r="H30" s="7"/>
      <c r="I30" s="136">
        <v>5.7298</v>
      </c>
      <c r="J30" s="134">
        <v>11326775.357525</v>
      </c>
      <c r="K30" s="120">
        <f t="shared" si="10"/>
        <v>999.89189243688213</v>
      </c>
      <c r="L30" s="122">
        <f t="shared" si="3"/>
        <v>19768186.25</v>
      </c>
      <c r="M30" s="116">
        <f t="shared" si="4"/>
        <v>8441410.8924749997</v>
      </c>
      <c r="N30" s="123">
        <f t="shared" si="5"/>
        <v>745.18104629899358</v>
      </c>
      <c r="O30" s="5"/>
      <c r="P30" s="5">
        <f t="shared" si="6"/>
        <v>1</v>
      </c>
      <c r="Q30" s="7">
        <f t="shared" si="7"/>
        <v>11328</v>
      </c>
    </row>
    <row r="31" spans="1:21">
      <c r="A31" s="23" t="s">
        <v>530</v>
      </c>
      <c r="B31" s="35" t="s">
        <v>33</v>
      </c>
      <c r="C31" s="125">
        <v>4260</v>
      </c>
      <c r="D31" s="132">
        <v>664143968</v>
      </c>
      <c r="E31" s="116">
        <f t="shared" si="8"/>
        <v>155902.3399061033</v>
      </c>
      <c r="F31" s="134">
        <v>397153960</v>
      </c>
      <c r="G31" s="117">
        <f t="shared" si="9"/>
        <v>93228.629107981222</v>
      </c>
      <c r="H31" s="9"/>
      <c r="I31" s="136">
        <v>1.1850000000000001</v>
      </c>
      <c r="J31" s="134">
        <v>470627.44260000001</v>
      </c>
      <c r="K31" s="120">
        <f t="shared" si="10"/>
        <v>110.47592549295774</v>
      </c>
      <c r="L31" s="122">
        <f t="shared" si="3"/>
        <v>3971539.6</v>
      </c>
      <c r="M31" s="116">
        <f t="shared" si="4"/>
        <v>3500912.1573999999</v>
      </c>
      <c r="N31" s="123">
        <f t="shared" si="5"/>
        <v>821.81036558685446</v>
      </c>
      <c r="O31" s="5"/>
      <c r="P31" s="5">
        <f t="shared" si="6"/>
        <v>1</v>
      </c>
      <c r="Q31" s="7">
        <f t="shared" si="7"/>
        <v>4260</v>
      </c>
    </row>
    <row r="32" spans="1:21">
      <c r="A32" s="23" t="s">
        <v>36</v>
      </c>
      <c r="B32" s="35" t="s">
        <v>33</v>
      </c>
      <c r="C32" s="125">
        <v>2842</v>
      </c>
      <c r="D32" s="132">
        <v>619900774</v>
      </c>
      <c r="E32" s="116">
        <f t="shared" si="8"/>
        <v>218121.31386347642</v>
      </c>
      <c r="F32" s="134">
        <v>408877304</v>
      </c>
      <c r="G32" s="117">
        <f t="shared" si="9"/>
        <v>143869.56509500352</v>
      </c>
      <c r="H32" s="7"/>
      <c r="I32" s="136">
        <v>6.0697999999999999</v>
      </c>
      <c r="J32" s="134">
        <v>2481803.4598192</v>
      </c>
      <c r="K32" s="120">
        <f t="shared" si="10"/>
        <v>873.25948621365239</v>
      </c>
      <c r="L32" s="122">
        <f t="shared" si="3"/>
        <v>4088773.04</v>
      </c>
      <c r="M32" s="116">
        <f t="shared" si="4"/>
        <v>1606969.5801808001</v>
      </c>
      <c r="N32" s="123">
        <f t="shared" si="5"/>
        <v>565.43616473638281</v>
      </c>
      <c r="O32" s="5"/>
      <c r="P32" s="5">
        <f t="shared" si="6"/>
        <v>1</v>
      </c>
      <c r="Q32" s="7">
        <f t="shared" si="7"/>
        <v>2842</v>
      </c>
    </row>
    <row r="33" spans="1:21">
      <c r="A33" s="23" t="s">
        <v>37</v>
      </c>
      <c r="B33" s="35" t="s">
        <v>33</v>
      </c>
      <c r="C33" s="125">
        <v>8526</v>
      </c>
      <c r="D33" s="132">
        <v>1363851591</v>
      </c>
      <c r="E33" s="116">
        <f t="shared" si="8"/>
        <v>159963.82723434202</v>
      </c>
      <c r="F33" s="134">
        <v>904915922</v>
      </c>
      <c r="G33" s="117">
        <f t="shared" si="9"/>
        <v>106136.04527328172</v>
      </c>
      <c r="H33" s="7"/>
      <c r="I33" s="136">
        <v>5.6401000000000003</v>
      </c>
      <c r="J33" s="134">
        <v>5103816.2916722</v>
      </c>
      <c r="K33" s="120">
        <f t="shared" si="10"/>
        <v>598.61790894583623</v>
      </c>
      <c r="L33" s="122">
        <f t="shared" si="3"/>
        <v>9049159.2200000007</v>
      </c>
      <c r="M33" s="116">
        <f t="shared" si="4"/>
        <v>3945342.9283278007</v>
      </c>
      <c r="N33" s="123">
        <f t="shared" si="5"/>
        <v>462.74254378698106</v>
      </c>
      <c r="O33" s="5"/>
      <c r="P33" s="5">
        <f t="shared" si="6"/>
        <v>1</v>
      </c>
      <c r="Q33" s="7">
        <f t="shared" si="7"/>
        <v>8526</v>
      </c>
    </row>
    <row r="34" spans="1:21">
      <c r="A34" s="23" t="s">
        <v>38</v>
      </c>
      <c r="B34" s="35" t="s">
        <v>33</v>
      </c>
      <c r="C34" s="125">
        <v>2899</v>
      </c>
      <c r="D34" s="132">
        <v>406417222</v>
      </c>
      <c r="E34" s="116">
        <f t="shared" si="8"/>
        <v>140192.21179717145</v>
      </c>
      <c r="F34" s="134">
        <v>245389077</v>
      </c>
      <c r="G34" s="117">
        <f t="shared" si="9"/>
        <v>84646.111417730252</v>
      </c>
      <c r="H34" s="7"/>
      <c r="I34" s="136">
        <v>2.1581999999999999</v>
      </c>
      <c r="J34" s="134">
        <v>529598.70598139998</v>
      </c>
      <c r="K34" s="120">
        <f t="shared" si="10"/>
        <v>182.68323766174541</v>
      </c>
      <c r="L34" s="122">
        <f t="shared" si="3"/>
        <v>2453890.77</v>
      </c>
      <c r="M34" s="116">
        <f t="shared" si="4"/>
        <v>1924292.0640186002</v>
      </c>
      <c r="N34" s="123">
        <f t="shared" si="5"/>
        <v>663.77787651555718</v>
      </c>
      <c r="O34" s="5"/>
      <c r="P34" s="5">
        <f t="shared" si="6"/>
        <v>1</v>
      </c>
      <c r="Q34" s="7">
        <f t="shared" si="7"/>
        <v>2899</v>
      </c>
    </row>
    <row r="35" spans="1:21">
      <c r="A35" s="23" t="s">
        <v>39</v>
      </c>
      <c r="B35" s="35" t="s">
        <v>33</v>
      </c>
      <c r="C35" s="125">
        <v>82040</v>
      </c>
      <c r="D35" s="132">
        <v>8517246497</v>
      </c>
      <c r="E35" s="116">
        <f t="shared" si="8"/>
        <v>103818.21668698196</v>
      </c>
      <c r="F35" s="134">
        <v>4973229506</v>
      </c>
      <c r="G35" s="117">
        <f t="shared" si="9"/>
        <v>60619.56979522184</v>
      </c>
      <c r="H35" s="7"/>
      <c r="I35" s="136">
        <v>7.1878000000000002</v>
      </c>
      <c r="J35" s="134">
        <v>35746579.043226801</v>
      </c>
      <c r="K35" s="120">
        <f t="shared" si="10"/>
        <v>435.7213437740956</v>
      </c>
      <c r="L35" s="122">
        <f t="shared" si="3"/>
        <v>49732295.060000002</v>
      </c>
      <c r="M35" s="116">
        <f t="shared" si="4"/>
        <v>13985716.016773202</v>
      </c>
      <c r="N35" s="123">
        <f t="shared" si="5"/>
        <v>170.47435417812289</v>
      </c>
      <c r="O35" s="5"/>
      <c r="P35" s="5">
        <f t="shared" si="6"/>
        <v>1</v>
      </c>
      <c r="Q35" s="7">
        <f t="shared" si="7"/>
        <v>82040</v>
      </c>
    </row>
    <row r="36" spans="1:21">
      <c r="A36" s="23" t="s">
        <v>40</v>
      </c>
      <c r="B36" s="35" t="s">
        <v>33</v>
      </c>
      <c r="C36" s="125">
        <v>3095</v>
      </c>
      <c r="D36" s="132">
        <v>651595946</v>
      </c>
      <c r="E36" s="116">
        <f t="shared" si="8"/>
        <v>210531.80807754444</v>
      </c>
      <c r="F36" s="134">
        <v>407392948</v>
      </c>
      <c r="G36" s="117">
        <f t="shared" si="9"/>
        <v>131629.38546042005</v>
      </c>
      <c r="H36" s="7"/>
      <c r="I36" s="136">
        <v>4.3884999999999996</v>
      </c>
      <c r="J36" s="134">
        <v>1787843.9522979998</v>
      </c>
      <c r="K36" s="120">
        <f t="shared" si="10"/>
        <v>577.65555809305329</v>
      </c>
      <c r="L36" s="122">
        <f t="shared" si="3"/>
        <v>4073929.48</v>
      </c>
      <c r="M36" s="116">
        <f t="shared" si="4"/>
        <v>2286085.527702</v>
      </c>
      <c r="N36" s="123">
        <f t="shared" si="5"/>
        <v>738.63829651114702</v>
      </c>
      <c r="O36" s="5"/>
      <c r="P36" s="5">
        <f t="shared" si="6"/>
        <v>1</v>
      </c>
      <c r="Q36" s="7">
        <f t="shared" si="7"/>
        <v>3095</v>
      </c>
    </row>
    <row r="37" spans="1:21">
      <c r="A37" s="23" t="s">
        <v>41</v>
      </c>
      <c r="B37" s="35" t="s">
        <v>33</v>
      </c>
      <c r="C37" s="125">
        <v>673</v>
      </c>
      <c r="D37" s="132">
        <v>74775134</v>
      </c>
      <c r="E37" s="116">
        <f t="shared" si="8"/>
        <v>111107.18276374442</v>
      </c>
      <c r="F37" s="134">
        <v>44943804</v>
      </c>
      <c r="G37" s="117">
        <f t="shared" si="9"/>
        <v>66781.283803863305</v>
      </c>
      <c r="H37" s="7"/>
      <c r="I37" s="136">
        <v>9.9707000000000008</v>
      </c>
      <c r="J37" s="134">
        <v>448121.18654279999</v>
      </c>
      <c r="K37" s="120">
        <f t="shared" si="10"/>
        <v>665.85614642317978</v>
      </c>
      <c r="L37" s="122">
        <f t="shared" si="3"/>
        <v>449438.04000000004</v>
      </c>
      <c r="M37" s="116">
        <f t="shared" si="4"/>
        <v>1316.8534572000499</v>
      </c>
      <c r="N37" s="123">
        <f t="shared" si="5"/>
        <v>1.9566916154532688</v>
      </c>
      <c r="O37" s="5"/>
      <c r="P37" s="5">
        <f t="shared" si="6"/>
        <v>1</v>
      </c>
      <c r="Q37" s="7">
        <f t="shared" si="7"/>
        <v>673</v>
      </c>
    </row>
    <row r="38" spans="1:21">
      <c r="A38" s="23" t="s">
        <v>42</v>
      </c>
      <c r="B38" s="35" t="s">
        <v>33</v>
      </c>
      <c r="C38" s="125">
        <v>112703</v>
      </c>
      <c r="D38" s="132">
        <v>7663127729</v>
      </c>
      <c r="E38" s="116">
        <f t="shared" si="8"/>
        <v>67993.999529737455</v>
      </c>
      <c r="F38" s="134">
        <v>3987435532</v>
      </c>
      <c r="G38" s="117">
        <f t="shared" si="9"/>
        <v>35380.030096803101</v>
      </c>
      <c r="H38" s="7"/>
      <c r="I38" s="136">
        <v>8.4499999999999993</v>
      </c>
      <c r="J38" s="134">
        <v>33693830.245399997</v>
      </c>
      <c r="K38" s="120">
        <f t="shared" si="10"/>
        <v>298.96125431798617</v>
      </c>
      <c r="L38" s="122">
        <f t="shared" si="3"/>
        <v>39874355.32</v>
      </c>
      <c r="M38" s="116">
        <f t="shared" si="4"/>
        <v>6180525.0746000037</v>
      </c>
      <c r="N38" s="123">
        <f t="shared" si="5"/>
        <v>54.839046650044843</v>
      </c>
      <c r="O38" s="5"/>
      <c r="P38" s="5">
        <f t="shared" si="6"/>
        <v>1</v>
      </c>
      <c r="Q38" s="7">
        <f t="shared" si="7"/>
        <v>112703</v>
      </c>
    </row>
    <row r="39" spans="1:21">
      <c r="A39" s="23" t="s">
        <v>43</v>
      </c>
      <c r="B39" s="35" t="s">
        <v>33</v>
      </c>
      <c r="C39" s="125">
        <v>1108</v>
      </c>
      <c r="D39" s="147" t="s">
        <v>564</v>
      </c>
      <c r="E39" s="116"/>
      <c r="F39" s="134"/>
      <c r="G39" s="117"/>
      <c r="H39" s="98" t="s">
        <v>588</v>
      </c>
      <c r="I39" s="136"/>
      <c r="J39" s="134"/>
      <c r="K39" s="120"/>
      <c r="L39" s="122">
        <f t="shared" si="3"/>
        <v>0</v>
      </c>
      <c r="M39" s="116">
        <f t="shared" si="4"/>
        <v>0</v>
      </c>
      <c r="N39" s="123">
        <f t="shared" si="5"/>
        <v>0</v>
      </c>
      <c r="O39" s="5"/>
      <c r="P39" s="5">
        <f t="shared" si="6"/>
        <v>0</v>
      </c>
      <c r="Q39" s="7">
        <f t="shared" si="7"/>
        <v>0</v>
      </c>
    </row>
    <row r="40" spans="1:21">
      <c r="A40" s="23" t="s">
        <v>44</v>
      </c>
      <c r="B40" s="35" t="s">
        <v>33</v>
      </c>
      <c r="C40" s="125">
        <v>26882</v>
      </c>
      <c r="D40" s="132">
        <v>2609155413</v>
      </c>
      <c r="E40" s="116">
        <f t="shared" ref="E40:E74" si="11">(D40/C40)</f>
        <v>97059.571944051786</v>
      </c>
      <c r="F40" s="134">
        <v>1471291549</v>
      </c>
      <c r="G40" s="117">
        <f t="shared" ref="G40:G74" si="12">(F40/C40)</f>
        <v>54731.476415445279</v>
      </c>
      <c r="H40" s="7"/>
      <c r="I40" s="136">
        <v>6.15</v>
      </c>
      <c r="J40" s="134">
        <v>9048443.0263500009</v>
      </c>
      <c r="K40" s="120">
        <f t="shared" ref="K40:K74" si="13">(J40/C40)</f>
        <v>336.59857995498851</v>
      </c>
      <c r="L40" s="122">
        <f t="shared" si="3"/>
        <v>14712915.49</v>
      </c>
      <c r="M40" s="116">
        <f t="shared" si="4"/>
        <v>5664472.4636499994</v>
      </c>
      <c r="N40" s="123">
        <f t="shared" si="5"/>
        <v>210.71618419946429</v>
      </c>
      <c r="O40" s="5"/>
      <c r="P40" s="5">
        <f t="shared" si="6"/>
        <v>1</v>
      </c>
      <c r="Q40" s="7">
        <f t="shared" si="7"/>
        <v>26882</v>
      </c>
    </row>
    <row r="41" spans="1:21">
      <c r="A41" s="23" t="s">
        <v>45</v>
      </c>
      <c r="B41" s="35" t="s">
        <v>33</v>
      </c>
      <c r="C41" s="125">
        <v>10346</v>
      </c>
      <c r="D41" s="132">
        <v>1593770070</v>
      </c>
      <c r="E41" s="116">
        <f t="shared" si="11"/>
        <v>154046.98144210322</v>
      </c>
      <c r="F41" s="134">
        <v>915229667</v>
      </c>
      <c r="G41" s="117">
        <f t="shared" si="12"/>
        <v>88462.175430117917</v>
      </c>
      <c r="H41" s="7"/>
      <c r="I41" s="136">
        <v>8.8211999999999993</v>
      </c>
      <c r="J41" s="153">
        <v>8073423.9385404</v>
      </c>
      <c r="K41" s="120">
        <f t="shared" si="13"/>
        <v>780.34254190415618</v>
      </c>
      <c r="L41" s="122">
        <f t="shared" si="3"/>
        <v>9152296.6699999999</v>
      </c>
      <c r="M41" s="116">
        <f t="shared" si="4"/>
        <v>1078872.7314595999</v>
      </c>
      <c r="N41" s="123">
        <f t="shared" si="5"/>
        <v>104.279212397023</v>
      </c>
      <c r="O41" s="5"/>
      <c r="P41" s="5">
        <f t="shared" si="6"/>
        <v>1</v>
      </c>
      <c r="Q41" s="7">
        <f t="shared" si="7"/>
        <v>10346</v>
      </c>
    </row>
    <row r="42" spans="1:21">
      <c r="A42" s="23" t="s">
        <v>46</v>
      </c>
      <c r="B42" s="35" t="s">
        <v>33</v>
      </c>
      <c r="C42" s="125">
        <v>47456</v>
      </c>
      <c r="D42" s="132">
        <v>3450861464</v>
      </c>
      <c r="E42" s="116">
        <f t="shared" si="11"/>
        <v>72717.074005394476</v>
      </c>
      <c r="F42" s="134">
        <v>1880430090</v>
      </c>
      <c r="G42" s="117">
        <f t="shared" si="12"/>
        <v>39624.706886378961</v>
      </c>
      <c r="H42" s="7"/>
      <c r="I42" s="136">
        <v>7.9516999999999998</v>
      </c>
      <c r="J42" s="134">
        <v>14952615.946652999</v>
      </c>
      <c r="K42" s="120">
        <f t="shared" si="13"/>
        <v>315.0837817484196</v>
      </c>
      <c r="L42" s="122">
        <f t="shared" si="3"/>
        <v>18804300.900000002</v>
      </c>
      <c r="M42" s="116">
        <f t="shared" si="4"/>
        <v>3851684.9533470031</v>
      </c>
      <c r="N42" s="123">
        <f t="shared" si="5"/>
        <v>81.163287115370096</v>
      </c>
      <c r="O42" s="5"/>
      <c r="P42" s="5">
        <f t="shared" si="6"/>
        <v>1</v>
      </c>
      <c r="Q42" s="7">
        <f t="shared" si="7"/>
        <v>47456</v>
      </c>
    </row>
    <row r="43" spans="1:21">
      <c r="A43" s="23" t="s">
        <v>47</v>
      </c>
      <c r="B43" s="35" t="s">
        <v>33</v>
      </c>
      <c r="C43" s="125">
        <v>21990</v>
      </c>
      <c r="D43" s="132">
        <v>2374566898</v>
      </c>
      <c r="E43" s="116">
        <f t="shared" si="11"/>
        <v>107983.9426102774</v>
      </c>
      <c r="F43" s="134">
        <v>1587013653</v>
      </c>
      <c r="G43" s="117">
        <f t="shared" si="12"/>
        <v>72169.788676671218</v>
      </c>
      <c r="H43" s="98"/>
      <c r="I43" s="136">
        <v>2.6017000000000001</v>
      </c>
      <c r="J43" s="134">
        <v>4128933.4210101003</v>
      </c>
      <c r="K43" s="120">
        <f t="shared" si="13"/>
        <v>187.76413920009551</v>
      </c>
      <c r="L43" s="122">
        <f t="shared" si="3"/>
        <v>15870136.530000001</v>
      </c>
      <c r="M43" s="116">
        <f t="shared" si="4"/>
        <v>11741203.108989902</v>
      </c>
      <c r="N43" s="123">
        <f t="shared" si="5"/>
        <v>533.93374756661672</v>
      </c>
      <c r="O43" s="5"/>
      <c r="P43" s="5">
        <f t="shared" si="6"/>
        <v>1</v>
      </c>
      <c r="Q43" s="7">
        <f t="shared" si="7"/>
        <v>21990</v>
      </c>
      <c r="S43" s="124">
        <f>SUM(D28:D43)</f>
        <v>36088364678</v>
      </c>
      <c r="T43" s="124">
        <f>SUM(F28:F43)</f>
        <v>21399303297</v>
      </c>
      <c r="U43" s="124">
        <f>SUM(J28:J43)</f>
        <v>138229958.05596989</v>
      </c>
    </row>
    <row r="44" spans="1:21">
      <c r="A44" s="23" t="s">
        <v>48</v>
      </c>
      <c r="B44" s="35" t="s">
        <v>49</v>
      </c>
      <c r="C44" s="125">
        <v>58344</v>
      </c>
      <c r="D44" s="132">
        <v>6532756027</v>
      </c>
      <c r="E44" s="116">
        <f t="shared" si="11"/>
        <v>111969.6288735774</v>
      </c>
      <c r="F44" s="134">
        <v>4144421514</v>
      </c>
      <c r="G44" s="117">
        <f t="shared" si="12"/>
        <v>71034.236836692726</v>
      </c>
      <c r="H44" s="98"/>
      <c r="I44" s="150">
        <v>6.5377999999999998</v>
      </c>
      <c r="J44" s="134">
        <v>27095398.974229198</v>
      </c>
      <c r="K44" s="120">
        <f t="shared" si="13"/>
        <v>464.40763359092961</v>
      </c>
      <c r="L44" s="122">
        <f t="shared" si="3"/>
        <v>41444215.140000001</v>
      </c>
      <c r="M44" s="116">
        <f t="shared" si="4"/>
        <v>14348816.165770803</v>
      </c>
      <c r="N44" s="123">
        <f t="shared" si="5"/>
        <v>245.93473477599758</v>
      </c>
      <c r="O44" s="5"/>
      <c r="P44" s="5">
        <f t="shared" si="6"/>
        <v>1</v>
      </c>
      <c r="Q44" s="7">
        <f t="shared" si="7"/>
        <v>58344</v>
      </c>
    </row>
    <row r="45" spans="1:21">
      <c r="A45" s="23" t="s">
        <v>50</v>
      </c>
      <c r="B45" s="35" t="s">
        <v>49</v>
      </c>
      <c r="C45" s="125">
        <v>33906</v>
      </c>
      <c r="D45" s="132">
        <v>4843666878</v>
      </c>
      <c r="E45" s="116">
        <f t="shared" si="11"/>
        <v>142855.74464696515</v>
      </c>
      <c r="F45" s="134">
        <v>2943905339</v>
      </c>
      <c r="G45" s="117">
        <f t="shared" si="12"/>
        <v>86825.498112428482</v>
      </c>
      <c r="H45" s="98"/>
      <c r="I45" s="136">
        <v>7.1346999999999996</v>
      </c>
      <c r="J45" s="134">
        <v>21003881.4221633</v>
      </c>
      <c r="K45" s="120">
        <f t="shared" si="13"/>
        <v>619.47388138274346</v>
      </c>
      <c r="L45" s="122">
        <f t="shared" si="3"/>
        <v>29439053.390000001</v>
      </c>
      <c r="M45" s="116">
        <f t="shared" si="4"/>
        <v>8435171.9678367004</v>
      </c>
      <c r="N45" s="123">
        <f t="shared" si="5"/>
        <v>248.78109974154134</v>
      </c>
      <c r="O45" s="5"/>
      <c r="P45" s="5">
        <f t="shared" si="6"/>
        <v>1</v>
      </c>
      <c r="Q45" s="7">
        <f t="shared" si="7"/>
        <v>33906</v>
      </c>
    </row>
    <row r="46" spans="1:21">
      <c r="A46" s="23" t="s">
        <v>51</v>
      </c>
      <c r="B46" s="35" t="s">
        <v>49</v>
      </c>
      <c r="C46" s="125">
        <v>128757</v>
      </c>
      <c r="D46" s="132">
        <v>14992398448</v>
      </c>
      <c r="E46" s="116">
        <f t="shared" si="11"/>
        <v>116439.48249803894</v>
      </c>
      <c r="F46" s="134">
        <v>10194469682</v>
      </c>
      <c r="G46" s="117">
        <f t="shared" si="12"/>
        <v>79176.042327795774</v>
      </c>
      <c r="H46" s="98"/>
      <c r="I46" s="136">
        <v>5.8731999999999998</v>
      </c>
      <c r="J46" s="134">
        <v>59874159.336322397</v>
      </c>
      <c r="K46" s="120">
        <f t="shared" si="13"/>
        <v>465.01673179961011</v>
      </c>
      <c r="L46" s="122">
        <f t="shared" si="3"/>
        <v>101944696.82000001</v>
      </c>
      <c r="M46" s="116">
        <f t="shared" si="4"/>
        <v>42070537.483677611</v>
      </c>
      <c r="N46" s="123">
        <f t="shared" si="5"/>
        <v>326.74369147834767</v>
      </c>
      <c r="O46" s="5"/>
      <c r="P46" s="5">
        <f t="shared" si="6"/>
        <v>1</v>
      </c>
      <c r="Q46" s="7">
        <f t="shared" si="7"/>
        <v>128757</v>
      </c>
    </row>
    <row r="47" spans="1:21">
      <c r="A47" s="23" t="s">
        <v>464</v>
      </c>
      <c r="B47" s="35" t="s">
        <v>49</v>
      </c>
      <c r="C47" s="125">
        <v>31755</v>
      </c>
      <c r="D47" s="132">
        <v>5347701945</v>
      </c>
      <c r="E47" s="116">
        <f t="shared" si="11"/>
        <v>168405.03684459141</v>
      </c>
      <c r="F47" s="134">
        <v>4089673918</v>
      </c>
      <c r="G47" s="117">
        <f t="shared" si="12"/>
        <v>128788.34570933711</v>
      </c>
      <c r="H47" s="98"/>
      <c r="I47" s="136">
        <v>5.9997999999999996</v>
      </c>
      <c r="J47" s="134">
        <v>24537225.573216401</v>
      </c>
      <c r="K47" s="120">
        <f t="shared" si="13"/>
        <v>772.70431658688085</v>
      </c>
      <c r="L47" s="122">
        <f t="shared" si="3"/>
        <v>40896739.18</v>
      </c>
      <c r="M47" s="116">
        <f t="shared" si="4"/>
        <v>16359513.606783599</v>
      </c>
      <c r="N47" s="123">
        <f t="shared" si="5"/>
        <v>515.17914050649028</v>
      </c>
      <c r="O47" s="5"/>
      <c r="P47" s="5">
        <f t="shared" si="6"/>
        <v>1</v>
      </c>
      <c r="Q47" s="7">
        <f t="shared" si="7"/>
        <v>31755</v>
      </c>
    </row>
    <row r="48" spans="1:21">
      <c r="A48" s="23" t="s">
        <v>52</v>
      </c>
      <c r="B48" s="35" t="s">
        <v>49</v>
      </c>
      <c r="C48" s="125">
        <v>103171</v>
      </c>
      <c r="D48" s="132">
        <v>14822705163</v>
      </c>
      <c r="E48" s="116">
        <f t="shared" si="11"/>
        <v>143671.23671380524</v>
      </c>
      <c r="F48" s="134">
        <v>9583912263</v>
      </c>
      <c r="G48" s="117">
        <f t="shared" si="12"/>
        <v>92893.470674898956</v>
      </c>
      <c r="H48" s="98"/>
      <c r="I48" s="150">
        <v>5.6269999999999998</v>
      </c>
      <c r="J48" s="134">
        <v>53928674.303901002</v>
      </c>
      <c r="K48" s="120">
        <f t="shared" si="13"/>
        <v>522.71155948765647</v>
      </c>
      <c r="L48" s="122">
        <f t="shared" si="3"/>
        <v>95839122.629999995</v>
      </c>
      <c r="M48" s="116">
        <f t="shared" si="4"/>
        <v>41910448.326098993</v>
      </c>
      <c r="N48" s="123">
        <f t="shared" si="5"/>
        <v>406.22314726133305</v>
      </c>
      <c r="O48" s="5"/>
      <c r="P48" s="5">
        <f t="shared" si="6"/>
        <v>1</v>
      </c>
      <c r="Q48" s="7">
        <f t="shared" si="7"/>
        <v>103171</v>
      </c>
    </row>
    <row r="49" spans="1:17">
      <c r="A49" s="23" t="s">
        <v>53</v>
      </c>
      <c r="B49" s="35" t="s">
        <v>49</v>
      </c>
      <c r="C49" s="125">
        <v>78573</v>
      </c>
      <c r="D49" s="132">
        <v>9945320901</v>
      </c>
      <c r="E49" s="116">
        <f t="shared" si="11"/>
        <v>126574.2799816731</v>
      </c>
      <c r="F49" s="134">
        <v>7026367545</v>
      </c>
      <c r="G49" s="117">
        <f t="shared" si="12"/>
        <v>89424.707533122069</v>
      </c>
      <c r="H49" s="98"/>
      <c r="I49" s="136">
        <v>6.1266999999999996</v>
      </c>
      <c r="J49" s="134">
        <v>43048446.037951499</v>
      </c>
      <c r="K49" s="120">
        <f t="shared" si="13"/>
        <v>547.87835564317891</v>
      </c>
      <c r="L49" s="122">
        <f t="shared" si="3"/>
        <v>70263675.450000003</v>
      </c>
      <c r="M49" s="116">
        <f t="shared" si="4"/>
        <v>27215229.412048504</v>
      </c>
      <c r="N49" s="123">
        <f t="shared" si="5"/>
        <v>346.36871968804172</v>
      </c>
      <c r="O49" s="5"/>
      <c r="P49" s="5">
        <f t="shared" si="6"/>
        <v>1</v>
      </c>
      <c r="Q49" s="7">
        <f t="shared" si="7"/>
        <v>78573</v>
      </c>
    </row>
    <row r="50" spans="1:17">
      <c r="A50" s="23" t="s">
        <v>54</v>
      </c>
      <c r="B50" s="35" t="s">
        <v>49</v>
      </c>
      <c r="C50" s="125">
        <v>182827</v>
      </c>
      <c r="D50" s="132">
        <v>50115459803</v>
      </c>
      <c r="E50" s="116">
        <f t="shared" si="11"/>
        <v>274114.10679494822</v>
      </c>
      <c r="F50" s="134">
        <v>36105845628</v>
      </c>
      <c r="G50" s="117">
        <f t="shared" si="12"/>
        <v>197486.39767649199</v>
      </c>
      <c r="H50" s="98"/>
      <c r="I50" s="136">
        <v>4.1193</v>
      </c>
      <c r="J50" s="134">
        <v>148730809.8954204</v>
      </c>
      <c r="K50" s="120">
        <f t="shared" si="13"/>
        <v>813.50571794877339</v>
      </c>
      <c r="L50" s="122">
        <f t="shared" si="3"/>
        <v>361058456.28000003</v>
      </c>
      <c r="M50" s="116">
        <f t="shared" si="4"/>
        <v>212327646.38457963</v>
      </c>
      <c r="N50" s="123">
        <f t="shared" si="5"/>
        <v>1161.3582588161466</v>
      </c>
      <c r="O50" s="5"/>
      <c r="P50" s="5">
        <f t="shared" si="6"/>
        <v>1</v>
      </c>
      <c r="Q50" s="7">
        <f t="shared" si="7"/>
        <v>182827</v>
      </c>
    </row>
    <row r="51" spans="1:17">
      <c r="A51" s="23" t="s">
        <v>465</v>
      </c>
      <c r="B51" s="35" t="s">
        <v>49</v>
      </c>
      <c r="C51" s="125">
        <v>39054</v>
      </c>
      <c r="D51" s="132">
        <v>7012166648</v>
      </c>
      <c r="E51" s="116">
        <f t="shared" si="11"/>
        <v>179550.53638551748</v>
      </c>
      <c r="F51" s="134">
        <v>5546369640</v>
      </c>
      <c r="G51" s="117">
        <f t="shared" si="12"/>
        <v>142017.96589337839</v>
      </c>
      <c r="H51" s="98"/>
      <c r="I51" s="136">
        <v>6.3190999999999997</v>
      </c>
      <c r="J51" s="134">
        <v>35048064.392123997</v>
      </c>
      <c r="K51" s="120">
        <f t="shared" si="13"/>
        <v>897.42572827684739</v>
      </c>
      <c r="L51" s="122">
        <f t="shared" si="3"/>
        <v>55463696.399999999</v>
      </c>
      <c r="M51" s="116">
        <f t="shared" si="4"/>
        <v>20415632.007876001</v>
      </c>
      <c r="N51" s="123">
        <f t="shared" si="5"/>
        <v>522.75393065693663</v>
      </c>
      <c r="O51" s="5"/>
      <c r="P51" s="5">
        <f t="shared" si="6"/>
        <v>1</v>
      </c>
      <c r="Q51" s="7">
        <f t="shared" si="7"/>
        <v>39054</v>
      </c>
    </row>
    <row r="52" spans="1:17">
      <c r="A52" s="23" t="s">
        <v>55</v>
      </c>
      <c r="B52" s="35" t="s">
        <v>49</v>
      </c>
      <c r="C52" s="125">
        <v>1918</v>
      </c>
      <c r="D52" s="132">
        <v>1699796904</v>
      </c>
      <c r="E52" s="116">
        <f t="shared" si="11"/>
        <v>886234.04796663194</v>
      </c>
      <c r="F52" s="134">
        <v>1372566220</v>
      </c>
      <c r="G52" s="117">
        <f t="shared" si="12"/>
        <v>715623.68091762252</v>
      </c>
      <c r="H52" s="98"/>
      <c r="I52" s="136">
        <v>3.5</v>
      </c>
      <c r="J52" s="134">
        <v>4803981.7699999996</v>
      </c>
      <c r="K52" s="120">
        <f t="shared" si="13"/>
        <v>2504.6828832116785</v>
      </c>
      <c r="L52" s="122">
        <f t="shared" si="3"/>
        <v>13725662.200000001</v>
      </c>
      <c r="M52" s="116">
        <f t="shared" si="4"/>
        <v>8921680.4300000016</v>
      </c>
      <c r="N52" s="123">
        <f t="shared" si="5"/>
        <v>4651.5539259645475</v>
      </c>
      <c r="O52" s="5"/>
      <c r="P52" s="5">
        <f t="shared" si="6"/>
        <v>1</v>
      </c>
      <c r="Q52" s="7">
        <f t="shared" si="7"/>
        <v>1918</v>
      </c>
    </row>
    <row r="53" spans="1:17">
      <c r="A53" s="23" t="s">
        <v>56</v>
      </c>
      <c r="B53" s="35" t="s">
        <v>49</v>
      </c>
      <c r="C53" s="125">
        <v>149028</v>
      </c>
      <c r="D53" s="132">
        <v>24011886060</v>
      </c>
      <c r="E53" s="116">
        <f t="shared" si="11"/>
        <v>161123.31951042757</v>
      </c>
      <c r="F53" s="134">
        <v>16340903208</v>
      </c>
      <c r="G53" s="117">
        <f t="shared" si="12"/>
        <v>109649.8859811579</v>
      </c>
      <c r="H53" s="98"/>
      <c r="I53" s="136">
        <v>7.4664999999999999</v>
      </c>
      <c r="J53" s="134">
        <v>122009353.802532</v>
      </c>
      <c r="K53" s="120">
        <f t="shared" si="13"/>
        <v>818.70087367831547</v>
      </c>
      <c r="L53" s="122">
        <f t="shared" si="3"/>
        <v>163409032.08000001</v>
      </c>
      <c r="M53" s="116">
        <f t="shared" si="4"/>
        <v>41399678.277468011</v>
      </c>
      <c r="N53" s="123">
        <f t="shared" si="5"/>
        <v>277.79798613326363</v>
      </c>
      <c r="O53" s="5"/>
      <c r="P53" s="5">
        <f t="shared" si="6"/>
        <v>1</v>
      </c>
      <c r="Q53" s="7">
        <f t="shared" si="7"/>
        <v>149028</v>
      </c>
    </row>
    <row r="54" spans="1:17">
      <c r="A54" s="23" t="s">
        <v>57</v>
      </c>
      <c r="B54" s="35" t="s">
        <v>49</v>
      </c>
      <c r="C54" s="125">
        <v>36475</v>
      </c>
      <c r="D54" s="132">
        <v>1968718234</v>
      </c>
      <c r="E54" s="116">
        <f t="shared" si="11"/>
        <v>53974.454667580532</v>
      </c>
      <c r="F54" s="134">
        <v>1111121535</v>
      </c>
      <c r="G54" s="117">
        <f t="shared" si="12"/>
        <v>30462.55065113091</v>
      </c>
      <c r="H54" s="98"/>
      <c r="I54" s="136">
        <v>8.6</v>
      </c>
      <c r="J54" s="134">
        <v>9555645.2009999994</v>
      </c>
      <c r="K54" s="120">
        <f t="shared" si="13"/>
        <v>261.97793559972581</v>
      </c>
      <c r="L54" s="122">
        <f t="shared" si="3"/>
        <v>11111215.35</v>
      </c>
      <c r="M54" s="116">
        <f t="shared" si="4"/>
        <v>1555570.1490000002</v>
      </c>
      <c r="N54" s="123">
        <f t="shared" si="5"/>
        <v>42.64757091158328</v>
      </c>
      <c r="O54" s="5"/>
      <c r="P54" s="5">
        <f t="shared" si="6"/>
        <v>1</v>
      </c>
      <c r="Q54" s="7">
        <f t="shared" si="7"/>
        <v>36475</v>
      </c>
    </row>
    <row r="55" spans="1:17">
      <c r="A55" s="23" t="s">
        <v>560</v>
      </c>
      <c r="B55" s="35" t="s">
        <v>49</v>
      </c>
      <c r="C55" s="125">
        <v>6199</v>
      </c>
      <c r="D55" s="132">
        <v>3029291658</v>
      </c>
      <c r="E55" s="116">
        <f t="shared" si="11"/>
        <v>488674.24713663495</v>
      </c>
      <c r="F55" s="134">
        <v>2500803075</v>
      </c>
      <c r="G55" s="117">
        <f t="shared" si="12"/>
        <v>403420.40248427168</v>
      </c>
      <c r="H55" s="98"/>
      <c r="I55" s="136">
        <v>3.5989</v>
      </c>
      <c r="J55" s="134">
        <v>9000140.1866175011</v>
      </c>
      <c r="K55" s="120">
        <f t="shared" si="13"/>
        <v>1451.8696865006455</v>
      </c>
      <c r="L55" s="122">
        <f t="shared" si="3"/>
        <v>25008030.75</v>
      </c>
      <c r="M55" s="116">
        <f t="shared" si="4"/>
        <v>16007890.563382499</v>
      </c>
      <c r="N55" s="123">
        <f t="shared" si="5"/>
        <v>2582.3343383420711</v>
      </c>
      <c r="O55" s="5"/>
      <c r="P55" s="5">
        <f t="shared" si="6"/>
        <v>1</v>
      </c>
      <c r="Q55" s="7">
        <f t="shared" si="7"/>
        <v>6199</v>
      </c>
    </row>
    <row r="56" spans="1:17">
      <c r="A56" s="23" t="s">
        <v>58</v>
      </c>
      <c r="B56" s="35" t="s">
        <v>49</v>
      </c>
      <c r="C56" s="125">
        <v>71751</v>
      </c>
      <c r="D56" s="132">
        <v>4435795050</v>
      </c>
      <c r="E56" s="116">
        <f t="shared" si="11"/>
        <v>61822.06589455199</v>
      </c>
      <c r="F56" s="134">
        <v>2620127515</v>
      </c>
      <c r="G56" s="117">
        <f t="shared" si="12"/>
        <v>36516.947708045882</v>
      </c>
      <c r="H56" s="98"/>
      <c r="I56" s="136">
        <v>7.9897999999999998</v>
      </c>
      <c r="J56" s="134">
        <v>20934294.819347002</v>
      </c>
      <c r="K56" s="120">
        <f t="shared" si="13"/>
        <v>291.76310879774502</v>
      </c>
      <c r="L56" s="122">
        <f t="shared" si="3"/>
        <v>26201275.150000002</v>
      </c>
      <c r="M56" s="116">
        <f t="shared" si="4"/>
        <v>5266980.3306530006</v>
      </c>
      <c r="N56" s="123">
        <f t="shared" si="5"/>
        <v>73.406368282713842</v>
      </c>
      <c r="O56" s="5"/>
      <c r="P56" s="5">
        <f t="shared" si="6"/>
        <v>1</v>
      </c>
      <c r="Q56" s="7">
        <f t="shared" si="7"/>
        <v>71751</v>
      </c>
    </row>
    <row r="57" spans="1:17">
      <c r="A57" s="23" t="s">
        <v>59</v>
      </c>
      <c r="B57" s="35" t="s">
        <v>49</v>
      </c>
      <c r="C57" s="125">
        <v>26</v>
      </c>
      <c r="D57" s="147">
        <v>9716318</v>
      </c>
      <c r="E57" s="116">
        <f t="shared" si="11"/>
        <v>373704.53846153844</v>
      </c>
      <c r="F57" s="134">
        <v>7183418</v>
      </c>
      <c r="G57" s="117">
        <f t="shared" si="12"/>
        <v>276285.30769230769</v>
      </c>
      <c r="H57" s="98"/>
      <c r="I57" s="136">
        <v>4.7939999999999996</v>
      </c>
      <c r="J57" s="134">
        <v>34437.305891999997</v>
      </c>
      <c r="K57" s="120">
        <f t="shared" si="13"/>
        <v>1324.511765076923</v>
      </c>
      <c r="L57" s="122">
        <f t="shared" si="3"/>
        <v>71834.180000000008</v>
      </c>
      <c r="M57" s="116">
        <f t="shared" si="4"/>
        <v>37396.874108000011</v>
      </c>
      <c r="N57" s="123">
        <f t="shared" si="5"/>
        <v>1438.3413118461542</v>
      </c>
      <c r="O57" s="5"/>
      <c r="P57" s="5">
        <f t="shared" si="6"/>
        <v>1</v>
      </c>
      <c r="Q57" s="7">
        <f t="shared" si="7"/>
        <v>26</v>
      </c>
    </row>
    <row r="58" spans="1:17">
      <c r="A58" s="23" t="s">
        <v>60</v>
      </c>
      <c r="B58" s="35" t="s">
        <v>49</v>
      </c>
      <c r="C58" s="125">
        <v>10560</v>
      </c>
      <c r="D58" s="132">
        <v>3369070048</v>
      </c>
      <c r="E58" s="116">
        <f t="shared" si="11"/>
        <v>319040.72424242424</v>
      </c>
      <c r="F58" s="134">
        <v>2388580377</v>
      </c>
      <c r="G58" s="117">
        <f t="shared" si="12"/>
        <v>226191.32357954545</v>
      </c>
      <c r="H58" s="98"/>
      <c r="I58" s="136">
        <v>3.5893000000000002</v>
      </c>
      <c r="J58" s="134">
        <v>8573331.5471660998</v>
      </c>
      <c r="K58" s="120">
        <f t="shared" si="13"/>
        <v>811.86851772406249</v>
      </c>
      <c r="L58" s="122">
        <f t="shared" si="3"/>
        <v>23885803.77</v>
      </c>
      <c r="M58" s="116">
        <f t="shared" si="4"/>
        <v>15312472.2228339</v>
      </c>
      <c r="N58" s="123">
        <f t="shared" si="5"/>
        <v>1450.044718071392</v>
      </c>
      <c r="O58" s="5"/>
      <c r="P58" s="5">
        <f t="shared" si="6"/>
        <v>1</v>
      </c>
      <c r="Q58" s="7">
        <f t="shared" si="7"/>
        <v>10560</v>
      </c>
    </row>
    <row r="59" spans="1:17">
      <c r="A59" s="23" t="s">
        <v>61</v>
      </c>
      <c r="B59" s="35" t="s">
        <v>49</v>
      </c>
      <c r="C59" s="125">
        <v>58329</v>
      </c>
      <c r="D59" s="132">
        <v>5061072195</v>
      </c>
      <c r="E59" s="116">
        <f t="shared" si="11"/>
        <v>86767.683227896923</v>
      </c>
      <c r="F59" s="134">
        <v>3081610158</v>
      </c>
      <c r="G59" s="117">
        <f t="shared" si="12"/>
        <v>52831.527336316409</v>
      </c>
      <c r="H59" s="98"/>
      <c r="I59" s="136">
        <v>6.5594000000000001</v>
      </c>
      <c r="J59" s="134">
        <v>20213513.670385201</v>
      </c>
      <c r="K59" s="120">
        <f t="shared" si="13"/>
        <v>346.54312040983388</v>
      </c>
      <c r="L59" s="122">
        <f t="shared" si="3"/>
        <v>30816101.580000002</v>
      </c>
      <c r="M59" s="116">
        <f t="shared" si="4"/>
        <v>10602587.909614801</v>
      </c>
      <c r="N59" s="123">
        <f t="shared" si="5"/>
        <v>181.77215295333028</v>
      </c>
      <c r="O59" s="5"/>
      <c r="P59" s="5">
        <f t="shared" si="6"/>
        <v>1</v>
      </c>
      <c r="Q59" s="7">
        <f t="shared" si="7"/>
        <v>58329</v>
      </c>
    </row>
    <row r="60" spans="1:17">
      <c r="A60" s="23" t="s">
        <v>62</v>
      </c>
      <c r="B60" s="35" t="s">
        <v>49</v>
      </c>
      <c r="C60" s="125">
        <v>137107</v>
      </c>
      <c r="D60" s="132">
        <v>14754805413</v>
      </c>
      <c r="E60" s="116">
        <f t="shared" si="11"/>
        <v>107615.2597095699</v>
      </c>
      <c r="F60" s="134">
        <v>9770277953</v>
      </c>
      <c r="G60" s="117">
        <f t="shared" si="12"/>
        <v>71260.241657975159</v>
      </c>
      <c r="H60" s="98"/>
      <c r="I60" s="136">
        <v>7.1172000000000004</v>
      </c>
      <c r="J60" s="134">
        <v>69537022.247091591</v>
      </c>
      <c r="K60" s="120">
        <f t="shared" si="13"/>
        <v>507.17339192814075</v>
      </c>
      <c r="L60" s="122">
        <f t="shared" si="3"/>
        <v>97702779.530000001</v>
      </c>
      <c r="M60" s="116">
        <f t="shared" si="4"/>
        <v>28165757.28290841</v>
      </c>
      <c r="N60" s="123">
        <f t="shared" si="5"/>
        <v>205.42902465161086</v>
      </c>
      <c r="O60" s="5"/>
      <c r="P60" s="5">
        <f t="shared" si="6"/>
        <v>1</v>
      </c>
      <c r="Q60" s="7">
        <f t="shared" si="7"/>
        <v>137107</v>
      </c>
    </row>
    <row r="61" spans="1:17">
      <c r="A61" s="23" t="s">
        <v>63</v>
      </c>
      <c r="B61" s="35" t="s">
        <v>49</v>
      </c>
      <c r="C61" s="125">
        <v>44841</v>
      </c>
      <c r="D61" s="132">
        <v>2532201358</v>
      </c>
      <c r="E61" s="116">
        <f t="shared" si="11"/>
        <v>56470.670993064385</v>
      </c>
      <c r="F61" s="134">
        <v>1476265399</v>
      </c>
      <c r="G61" s="117">
        <f t="shared" si="12"/>
        <v>32922.222943288507</v>
      </c>
      <c r="H61" s="98"/>
      <c r="I61" s="136">
        <v>7.4</v>
      </c>
      <c r="J61" s="134">
        <v>10924363.9526</v>
      </c>
      <c r="K61" s="120">
        <f t="shared" si="13"/>
        <v>243.62444978033497</v>
      </c>
      <c r="L61" s="122">
        <f t="shared" si="3"/>
        <v>14762653.99</v>
      </c>
      <c r="M61" s="116">
        <f t="shared" si="4"/>
        <v>3838290.0373999998</v>
      </c>
      <c r="N61" s="123">
        <f t="shared" si="5"/>
        <v>85.597779652550116</v>
      </c>
      <c r="O61" s="5"/>
      <c r="P61" s="5">
        <f t="shared" si="6"/>
        <v>1</v>
      </c>
      <c r="Q61" s="7">
        <f t="shared" si="7"/>
        <v>44841</v>
      </c>
    </row>
    <row r="62" spans="1:17">
      <c r="A62" s="23" t="s">
        <v>64</v>
      </c>
      <c r="B62" s="35" t="s">
        <v>49</v>
      </c>
      <c r="C62" s="125">
        <v>45276</v>
      </c>
      <c r="D62" s="132">
        <v>5083055203</v>
      </c>
      <c r="E62" s="116">
        <f t="shared" si="11"/>
        <v>112268.20397119888</v>
      </c>
      <c r="F62" s="134">
        <v>3263954977</v>
      </c>
      <c r="G62" s="117">
        <f t="shared" si="12"/>
        <v>72090.17971993993</v>
      </c>
      <c r="H62" s="98"/>
      <c r="I62" s="136">
        <v>5.9984999999999999</v>
      </c>
      <c r="J62" s="134">
        <v>19578833.929534499</v>
      </c>
      <c r="K62" s="120">
        <f t="shared" si="13"/>
        <v>432.43294305005958</v>
      </c>
      <c r="L62" s="122">
        <f t="shared" si="3"/>
        <v>32639549.77</v>
      </c>
      <c r="M62" s="116">
        <f t="shared" si="4"/>
        <v>13060715.840465501</v>
      </c>
      <c r="N62" s="123">
        <f t="shared" si="5"/>
        <v>288.46885414933962</v>
      </c>
      <c r="O62" s="5"/>
      <c r="P62" s="5">
        <f t="shared" si="6"/>
        <v>1</v>
      </c>
      <c r="Q62" s="7">
        <f t="shared" si="7"/>
        <v>45276</v>
      </c>
    </row>
    <row r="63" spans="1:17">
      <c r="A63" s="23" t="s">
        <v>65</v>
      </c>
      <c r="B63" s="35" t="s">
        <v>49</v>
      </c>
      <c r="C63" s="125">
        <v>32742</v>
      </c>
      <c r="D63" s="132">
        <v>6414542793</v>
      </c>
      <c r="E63" s="116">
        <f t="shared" si="11"/>
        <v>195911.75838372731</v>
      </c>
      <c r="F63" s="134">
        <v>5008111030</v>
      </c>
      <c r="G63" s="117">
        <f t="shared" si="12"/>
        <v>152956.78425264187</v>
      </c>
      <c r="H63" s="98"/>
      <c r="I63" s="136">
        <v>4.4000000000000004</v>
      </c>
      <c r="J63" s="134">
        <v>22035688.532000002</v>
      </c>
      <c r="K63" s="120">
        <f t="shared" si="13"/>
        <v>673.00985071162427</v>
      </c>
      <c r="L63" s="122">
        <f t="shared" si="3"/>
        <v>50081110.300000004</v>
      </c>
      <c r="M63" s="116">
        <f t="shared" si="4"/>
        <v>28045421.768000003</v>
      </c>
      <c r="N63" s="123">
        <f t="shared" si="5"/>
        <v>856.55799181479449</v>
      </c>
      <c r="O63" s="5"/>
      <c r="P63" s="5">
        <f t="shared" si="6"/>
        <v>1</v>
      </c>
      <c r="Q63" s="7">
        <f t="shared" si="7"/>
        <v>32742</v>
      </c>
    </row>
    <row r="64" spans="1:17">
      <c r="A64" s="23" t="s">
        <v>66</v>
      </c>
      <c r="B64" s="35" t="s">
        <v>49</v>
      </c>
      <c r="C64" s="125">
        <v>6384</v>
      </c>
      <c r="D64" s="132">
        <v>819302715</v>
      </c>
      <c r="E64" s="116">
        <f t="shared" si="11"/>
        <v>128336.89144736843</v>
      </c>
      <c r="F64" s="134">
        <v>696894253</v>
      </c>
      <c r="G64" s="117">
        <f t="shared" si="12"/>
        <v>109162.63361528821</v>
      </c>
      <c r="H64" s="98"/>
      <c r="I64" s="136">
        <v>8.5</v>
      </c>
      <c r="J64" s="134">
        <v>5923601.1505000005</v>
      </c>
      <c r="K64" s="120">
        <f t="shared" si="13"/>
        <v>927.88238572994999</v>
      </c>
      <c r="L64" s="122">
        <f t="shared" si="3"/>
        <v>6968942.5300000003</v>
      </c>
      <c r="M64" s="116">
        <f t="shared" si="4"/>
        <v>1045341.3794999998</v>
      </c>
      <c r="N64" s="123">
        <f t="shared" si="5"/>
        <v>163.7439504229323</v>
      </c>
      <c r="O64" s="5"/>
      <c r="P64" s="5">
        <f t="shared" si="6"/>
        <v>1</v>
      </c>
      <c r="Q64" s="7">
        <f t="shared" si="7"/>
        <v>6384</v>
      </c>
    </row>
    <row r="65" spans="1:21">
      <c r="A65" s="23" t="s">
        <v>67</v>
      </c>
      <c r="B65" s="35" t="s">
        <v>49</v>
      </c>
      <c r="C65" s="125">
        <v>165352</v>
      </c>
      <c r="D65" s="132">
        <v>19745512209</v>
      </c>
      <c r="E65" s="116">
        <f t="shared" si="11"/>
        <v>119415.01892326673</v>
      </c>
      <c r="F65" s="134">
        <v>12577805135</v>
      </c>
      <c r="G65" s="117">
        <f t="shared" si="12"/>
        <v>76066.846091973493</v>
      </c>
      <c r="H65" s="98"/>
      <c r="I65" s="136">
        <v>5.6736000000000004</v>
      </c>
      <c r="J65" s="134">
        <v>71361435.213936001</v>
      </c>
      <c r="K65" s="120">
        <f t="shared" si="13"/>
        <v>431.57285798742078</v>
      </c>
      <c r="L65" s="122">
        <f t="shared" si="3"/>
        <v>125778051.35000001</v>
      </c>
      <c r="M65" s="116">
        <f t="shared" si="4"/>
        <v>54416616.136064008</v>
      </c>
      <c r="N65" s="123">
        <f t="shared" si="5"/>
        <v>329.09560293231414</v>
      </c>
      <c r="O65" s="5"/>
      <c r="P65" s="5">
        <f t="shared" si="6"/>
        <v>1</v>
      </c>
      <c r="Q65" s="7">
        <f t="shared" si="7"/>
        <v>165352</v>
      </c>
    </row>
    <row r="66" spans="1:21">
      <c r="A66" s="23" t="s">
        <v>68</v>
      </c>
      <c r="B66" s="35" t="s">
        <v>49</v>
      </c>
      <c r="C66" s="125">
        <v>89595</v>
      </c>
      <c r="D66" s="132">
        <v>13427543111</v>
      </c>
      <c r="E66" s="116">
        <f t="shared" si="11"/>
        <v>149869.33546514873</v>
      </c>
      <c r="F66" s="134">
        <v>9217551380</v>
      </c>
      <c r="G66" s="117">
        <f t="shared" si="12"/>
        <v>102880.19844857414</v>
      </c>
      <c r="H66" s="98"/>
      <c r="I66" s="136">
        <v>5.8</v>
      </c>
      <c r="J66" s="134">
        <v>53461798.004000001</v>
      </c>
      <c r="K66" s="120">
        <f t="shared" si="13"/>
        <v>596.70515100172997</v>
      </c>
      <c r="L66" s="122">
        <f t="shared" si="3"/>
        <v>92175513.799999997</v>
      </c>
      <c r="M66" s="116">
        <f t="shared" si="4"/>
        <v>38713715.795999996</v>
      </c>
      <c r="N66" s="123">
        <f t="shared" si="5"/>
        <v>432.09683348401137</v>
      </c>
      <c r="O66" s="5"/>
      <c r="P66" s="5">
        <f t="shared" si="6"/>
        <v>1</v>
      </c>
      <c r="Q66" s="7">
        <f t="shared" si="7"/>
        <v>89595</v>
      </c>
    </row>
    <row r="67" spans="1:21">
      <c r="A67" s="23" t="s">
        <v>69</v>
      </c>
      <c r="B67" s="35" t="s">
        <v>49</v>
      </c>
      <c r="C67" s="125">
        <v>110371</v>
      </c>
      <c r="D67" s="132">
        <v>17734329695</v>
      </c>
      <c r="E67" s="116">
        <f t="shared" si="11"/>
        <v>160679.25175091284</v>
      </c>
      <c r="F67" s="134">
        <v>12821740614</v>
      </c>
      <c r="G67" s="117">
        <f t="shared" si="12"/>
        <v>116169.47036812206</v>
      </c>
      <c r="H67" s="98"/>
      <c r="I67" s="136">
        <v>5.1360999999999999</v>
      </c>
      <c r="J67" s="134">
        <v>65853741.967565402</v>
      </c>
      <c r="K67" s="120">
        <f t="shared" si="13"/>
        <v>596.65801675771172</v>
      </c>
      <c r="L67" s="122">
        <f t="shared" si="3"/>
        <v>128217406.14</v>
      </c>
      <c r="M67" s="116">
        <f t="shared" si="4"/>
        <v>62363664.172434598</v>
      </c>
      <c r="N67" s="123">
        <f t="shared" si="5"/>
        <v>565.03668692350891</v>
      </c>
      <c r="O67" s="5"/>
      <c r="P67" s="5">
        <f t="shared" si="6"/>
        <v>1</v>
      </c>
      <c r="Q67" s="7">
        <f t="shared" si="7"/>
        <v>110371</v>
      </c>
    </row>
    <row r="68" spans="1:21">
      <c r="A68" s="23" t="s">
        <v>70</v>
      </c>
      <c r="B68" s="35" t="s">
        <v>49</v>
      </c>
      <c r="C68" s="125">
        <v>695</v>
      </c>
      <c r="D68" s="132">
        <v>313729169</v>
      </c>
      <c r="E68" s="116">
        <f t="shared" si="11"/>
        <v>451408.87625899282</v>
      </c>
      <c r="F68" s="134">
        <v>218726137</v>
      </c>
      <c r="G68" s="117">
        <f t="shared" si="12"/>
        <v>314713.86618705036</v>
      </c>
      <c r="H68" s="98"/>
      <c r="I68" s="136">
        <v>7.25</v>
      </c>
      <c r="J68" s="134">
        <v>1585764.4932500001</v>
      </c>
      <c r="K68" s="120">
        <f t="shared" si="13"/>
        <v>2281.6755298561152</v>
      </c>
      <c r="L68" s="122">
        <f t="shared" si="3"/>
        <v>2187261.37</v>
      </c>
      <c r="M68" s="116">
        <f t="shared" si="4"/>
        <v>601496.87675000005</v>
      </c>
      <c r="N68" s="123">
        <f t="shared" si="5"/>
        <v>865.46313201438852</v>
      </c>
      <c r="O68" s="5"/>
      <c r="P68" s="5">
        <f t="shared" si="6"/>
        <v>1</v>
      </c>
      <c r="Q68" s="7">
        <f t="shared" si="7"/>
        <v>695</v>
      </c>
    </row>
    <row r="69" spans="1:21">
      <c r="A69" s="23" t="s">
        <v>450</v>
      </c>
      <c r="B69" s="35" t="s">
        <v>49</v>
      </c>
      <c r="C69" s="125">
        <v>7706</v>
      </c>
      <c r="D69" s="132">
        <v>2336891682</v>
      </c>
      <c r="E69" s="116">
        <f t="shared" si="11"/>
        <v>303256.12276148458</v>
      </c>
      <c r="F69" s="134">
        <v>1404856416</v>
      </c>
      <c r="G69" s="117">
        <f t="shared" si="12"/>
        <v>182306.82792629121</v>
      </c>
      <c r="H69" s="98"/>
      <c r="I69" s="136">
        <v>4.8311000000000002</v>
      </c>
      <c r="J69" s="134">
        <v>6787001.8313376009</v>
      </c>
      <c r="K69" s="120">
        <f t="shared" si="13"/>
        <v>880.7425163947056</v>
      </c>
      <c r="L69" s="122">
        <f t="shared" si="3"/>
        <v>14048564.16</v>
      </c>
      <c r="M69" s="116">
        <f t="shared" si="4"/>
        <v>7261562.3286623992</v>
      </c>
      <c r="N69" s="123">
        <f t="shared" si="5"/>
        <v>942.32576286820654</v>
      </c>
      <c r="O69" s="5"/>
      <c r="P69" s="5">
        <f t="shared" si="6"/>
        <v>1</v>
      </c>
      <c r="Q69" s="7">
        <f t="shared" si="7"/>
        <v>7706</v>
      </c>
    </row>
    <row r="70" spans="1:21">
      <c r="A70" s="23" t="s">
        <v>71</v>
      </c>
      <c r="B70" s="35" t="s">
        <v>49</v>
      </c>
      <c r="C70" s="125">
        <v>92663</v>
      </c>
      <c r="D70" s="132">
        <v>11144181659</v>
      </c>
      <c r="E70" s="116">
        <f t="shared" si="11"/>
        <v>120265.71186989413</v>
      </c>
      <c r="F70" s="134">
        <v>7317371011</v>
      </c>
      <c r="G70" s="117">
        <f t="shared" si="12"/>
        <v>78967.559986186505</v>
      </c>
      <c r="H70" s="98"/>
      <c r="I70" s="136">
        <v>6.0542999999999996</v>
      </c>
      <c r="J70" s="134">
        <v>44301559.311897293</v>
      </c>
      <c r="K70" s="120">
        <f t="shared" si="13"/>
        <v>478.09329842436887</v>
      </c>
      <c r="L70" s="122">
        <f t="shared" ref="L70:L133" si="14">(F70*0.01)</f>
        <v>73173710.109999999</v>
      </c>
      <c r="M70" s="116">
        <f t="shared" ref="M70:M133" si="15">(L70-J70)</f>
        <v>28872150.798102707</v>
      </c>
      <c r="N70" s="123">
        <f t="shared" ref="N70:N133" si="16">(M70/C70)</f>
        <v>311.58230143749614</v>
      </c>
      <c r="O70" s="5"/>
      <c r="P70" s="5">
        <f t="shared" ref="P70:P133" si="17">IF(I70&gt;0,1,0)</f>
        <v>1</v>
      </c>
      <c r="Q70" s="7">
        <f t="shared" ref="Q70:Q133" si="18">IF(I70&gt;0,C70,0)</f>
        <v>92663</v>
      </c>
    </row>
    <row r="71" spans="1:21">
      <c r="A71" s="23" t="s">
        <v>72</v>
      </c>
      <c r="B71" s="35" t="s">
        <v>49</v>
      </c>
      <c r="C71" s="125">
        <v>64663</v>
      </c>
      <c r="D71" s="132">
        <v>6247552074</v>
      </c>
      <c r="E71" s="116">
        <f t="shared" si="11"/>
        <v>96617.108299955158</v>
      </c>
      <c r="F71" s="154">
        <v>3751105149</v>
      </c>
      <c r="G71" s="117">
        <f t="shared" si="12"/>
        <v>58010.069885405872</v>
      </c>
      <c r="H71" s="98"/>
      <c r="I71" s="136">
        <v>7.2899000000000003</v>
      </c>
      <c r="J71" s="134">
        <v>27345181.425695103</v>
      </c>
      <c r="K71" s="120">
        <f t="shared" si="13"/>
        <v>422.88760845762033</v>
      </c>
      <c r="L71" s="122">
        <f t="shared" si="14"/>
        <v>37511051.490000002</v>
      </c>
      <c r="M71" s="116">
        <f t="shared" si="15"/>
        <v>10165870.064304899</v>
      </c>
      <c r="N71" s="123">
        <f t="shared" si="16"/>
        <v>157.21309039643845</v>
      </c>
      <c r="O71" s="5"/>
      <c r="P71" s="5">
        <f t="shared" si="17"/>
        <v>1</v>
      </c>
      <c r="Q71" s="7">
        <f t="shared" si="18"/>
        <v>64663</v>
      </c>
    </row>
    <row r="72" spans="1:21">
      <c r="A72" s="23" t="s">
        <v>507</v>
      </c>
      <c r="B72" s="35" t="s">
        <v>49</v>
      </c>
      <c r="C72" s="125">
        <v>14985</v>
      </c>
      <c r="D72" s="132">
        <v>991428072</v>
      </c>
      <c r="E72" s="116">
        <f t="shared" si="11"/>
        <v>66161.366166166161</v>
      </c>
      <c r="F72" s="134">
        <v>537839477</v>
      </c>
      <c r="G72" s="117">
        <f t="shared" si="12"/>
        <v>35891.856990323657</v>
      </c>
      <c r="H72" s="98"/>
      <c r="I72" s="136">
        <v>8.65</v>
      </c>
      <c r="J72" s="134">
        <v>4652311.4760500006</v>
      </c>
      <c r="K72" s="120">
        <f t="shared" si="13"/>
        <v>310.4645629662997</v>
      </c>
      <c r="L72" s="122">
        <f t="shared" si="14"/>
        <v>5378394.7700000005</v>
      </c>
      <c r="M72" s="116">
        <f t="shared" si="15"/>
        <v>726083.29394999985</v>
      </c>
      <c r="N72" s="123">
        <f t="shared" si="16"/>
        <v>48.454006936936928</v>
      </c>
      <c r="O72" s="5"/>
      <c r="P72" s="5">
        <f t="shared" si="17"/>
        <v>1</v>
      </c>
      <c r="Q72" s="7">
        <f t="shared" si="18"/>
        <v>14985</v>
      </c>
    </row>
    <row r="73" spans="1:21">
      <c r="A73" s="23" t="s">
        <v>73</v>
      </c>
      <c r="B73" s="35" t="s">
        <v>49</v>
      </c>
      <c r="C73" s="125">
        <v>66972</v>
      </c>
      <c r="D73" s="132">
        <v>11750789011</v>
      </c>
      <c r="E73" s="116">
        <f t="shared" si="11"/>
        <v>175458.23644209519</v>
      </c>
      <c r="F73" s="134">
        <v>8551106087</v>
      </c>
      <c r="G73" s="117">
        <f t="shared" si="12"/>
        <v>127681.80862151347</v>
      </c>
      <c r="H73" s="98"/>
      <c r="I73" s="136">
        <v>3.3464</v>
      </c>
      <c r="J73" s="134">
        <v>28615421.409536801</v>
      </c>
      <c r="K73" s="120">
        <f t="shared" si="13"/>
        <v>427.27440437103269</v>
      </c>
      <c r="L73" s="122">
        <f t="shared" si="14"/>
        <v>85511060.870000005</v>
      </c>
      <c r="M73" s="116">
        <f t="shared" si="15"/>
        <v>56895639.460463203</v>
      </c>
      <c r="N73" s="123">
        <f t="shared" si="16"/>
        <v>849.54368184410203</v>
      </c>
      <c r="O73" s="5"/>
      <c r="P73" s="5">
        <f t="shared" si="17"/>
        <v>1</v>
      </c>
      <c r="Q73" s="7">
        <f t="shared" si="18"/>
        <v>66972</v>
      </c>
    </row>
    <row r="74" spans="1:21">
      <c r="A74" s="23" t="s">
        <v>74</v>
      </c>
      <c r="B74" s="35" t="s">
        <v>49</v>
      </c>
      <c r="C74" s="125">
        <v>12831</v>
      </c>
      <c r="D74" s="132">
        <v>2158345684</v>
      </c>
      <c r="E74" s="116">
        <f t="shared" si="11"/>
        <v>168213.36481957757</v>
      </c>
      <c r="F74" s="134">
        <v>1411615750</v>
      </c>
      <c r="G74" s="117">
        <f t="shared" si="12"/>
        <v>110016.03538305666</v>
      </c>
      <c r="H74" s="98"/>
      <c r="I74" s="136">
        <v>5.9587000000000003</v>
      </c>
      <c r="J74" s="134">
        <v>8411394.7695250008</v>
      </c>
      <c r="K74" s="120">
        <f t="shared" si="13"/>
        <v>655.55255003701973</v>
      </c>
      <c r="L74" s="122">
        <f t="shared" si="14"/>
        <v>14116157.5</v>
      </c>
      <c r="M74" s="116">
        <f t="shared" si="15"/>
        <v>5704762.7304749992</v>
      </c>
      <c r="N74" s="123">
        <f t="shared" si="16"/>
        <v>444.60780379354679</v>
      </c>
      <c r="O74" s="5"/>
      <c r="P74" s="5">
        <f t="shared" si="17"/>
        <v>1</v>
      </c>
      <c r="Q74" s="7">
        <f t="shared" si="18"/>
        <v>12831</v>
      </c>
      <c r="S74" s="124">
        <f>SUM(D44:D74)</f>
        <v>272651732128</v>
      </c>
      <c r="T74" s="124">
        <f>SUM(F44:F74)</f>
        <v>187083081803</v>
      </c>
      <c r="U74" s="124">
        <f>SUM(J44:J74)</f>
        <v>1048766477.9527874</v>
      </c>
    </row>
    <row r="75" spans="1:21">
      <c r="A75" s="23" t="s">
        <v>75</v>
      </c>
      <c r="B75" s="35" t="s">
        <v>76</v>
      </c>
      <c r="C75" s="125">
        <v>565</v>
      </c>
      <c r="D75" s="147" t="s">
        <v>564</v>
      </c>
      <c r="E75" s="116"/>
      <c r="F75" s="134"/>
      <c r="G75" s="117"/>
      <c r="H75" s="98" t="s">
        <v>588</v>
      </c>
      <c r="I75" s="136"/>
      <c r="J75" s="134"/>
      <c r="K75" s="120"/>
      <c r="L75" s="122">
        <f t="shared" si="14"/>
        <v>0</v>
      </c>
      <c r="M75" s="116">
        <f t="shared" si="15"/>
        <v>0</v>
      </c>
      <c r="N75" s="123">
        <f t="shared" si="16"/>
        <v>0</v>
      </c>
      <c r="O75" s="5"/>
      <c r="P75" s="5">
        <f t="shared" si="17"/>
        <v>0</v>
      </c>
      <c r="Q75" s="7">
        <f t="shared" si="18"/>
        <v>0</v>
      </c>
    </row>
    <row r="76" spans="1:21">
      <c r="A76" s="23" t="s">
        <v>77</v>
      </c>
      <c r="B76" s="35" t="s">
        <v>76</v>
      </c>
      <c r="C76" s="125">
        <v>2498</v>
      </c>
      <c r="D76" s="132">
        <v>110008921</v>
      </c>
      <c r="E76" s="116">
        <f t="shared" ref="E76:E82" si="19">(D76/C76)</f>
        <v>44038.799439551643</v>
      </c>
      <c r="F76" s="134">
        <v>64019173</v>
      </c>
      <c r="G76" s="117">
        <f t="shared" ref="G76:G82" si="20">(F76/C76)</f>
        <v>25628.171737389912</v>
      </c>
      <c r="H76" s="7"/>
      <c r="I76" s="136">
        <v>1.5</v>
      </c>
      <c r="J76" s="134">
        <v>96028.7595</v>
      </c>
      <c r="K76" s="120">
        <f t="shared" ref="K76:K82" si="21">(J76/C76)</f>
        <v>38.442257606084866</v>
      </c>
      <c r="L76" s="122">
        <f t="shared" si="14"/>
        <v>640191.73</v>
      </c>
      <c r="M76" s="116">
        <f t="shared" si="15"/>
        <v>544162.97049999994</v>
      </c>
      <c r="N76" s="123">
        <f t="shared" si="16"/>
        <v>217.83945976781422</v>
      </c>
      <c r="O76" s="5"/>
      <c r="P76" s="5">
        <f t="shared" si="17"/>
        <v>1</v>
      </c>
      <c r="Q76" s="7">
        <f t="shared" si="18"/>
        <v>2498</v>
      </c>
      <c r="S76" s="124">
        <f>SUM(D75:D76)</f>
        <v>110008921</v>
      </c>
      <c r="T76" s="124">
        <f>SUM(F75:F76)</f>
        <v>64019173</v>
      </c>
      <c r="U76" s="124">
        <f>SUM(J75:J76)</f>
        <v>96028.7595</v>
      </c>
    </row>
    <row r="77" spans="1:21">
      <c r="A77" s="23" t="s">
        <v>78</v>
      </c>
      <c r="B77" s="35" t="s">
        <v>79</v>
      </c>
      <c r="C77" s="125">
        <v>19487</v>
      </c>
      <c r="D77" s="132">
        <v>4315934312</v>
      </c>
      <c r="E77" s="116">
        <f t="shared" si="19"/>
        <v>221477.61646225688</v>
      </c>
      <c r="F77" s="134">
        <v>3108678379</v>
      </c>
      <c r="G77" s="117">
        <f t="shared" si="20"/>
        <v>159525.75455431826</v>
      </c>
      <c r="H77" s="7"/>
      <c r="I77" s="136">
        <v>3.1968999999999999</v>
      </c>
      <c r="J77" s="134">
        <v>9938133.9098250996</v>
      </c>
      <c r="K77" s="120">
        <f t="shared" si="21"/>
        <v>509.98788473470006</v>
      </c>
      <c r="L77" s="122">
        <f t="shared" si="14"/>
        <v>31086783.789999999</v>
      </c>
      <c r="M77" s="116">
        <f t="shared" si="15"/>
        <v>21148649.880174898</v>
      </c>
      <c r="N77" s="123">
        <f t="shared" si="16"/>
        <v>1085.2696608084825</v>
      </c>
      <c r="O77" s="5"/>
      <c r="P77" s="5">
        <f t="shared" si="17"/>
        <v>1</v>
      </c>
      <c r="Q77" s="7">
        <f t="shared" si="18"/>
        <v>19487</v>
      </c>
      <c r="S77" s="124">
        <f>SUM(D77)</f>
        <v>4315934312</v>
      </c>
      <c r="T77" s="124">
        <f>SUM(F77)</f>
        <v>3108678379</v>
      </c>
      <c r="U77" s="124">
        <f>SUM(J77)</f>
        <v>9938133.9098250996</v>
      </c>
    </row>
    <row r="78" spans="1:21">
      <c r="A78" s="23" t="s">
        <v>80</v>
      </c>
      <c r="B78" s="35" t="s">
        <v>81</v>
      </c>
      <c r="C78" s="125">
        <v>3333</v>
      </c>
      <c r="D78" s="132">
        <v>612610234</v>
      </c>
      <c r="E78" s="116">
        <f t="shared" si="19"/>
        <v>183801.45034503451</v>
      </c>
      <c r="F78" s="134">
        <v>467981836</v>
      </c>
      <c r="G78" s="117">
        <f t="shared" si="20"/>
        <v>140408.59165916592</v>
      </c>
      <c r="H78" s="7"/>
      <c r="I78" s="150">
        <v>4.5</v>
      </c>
      <c r="J78" s="134">
        <v>2105918.2620000001</v>
      </c>
      <c r="K78" s="120">
        <f t="shared" si="21"/>
        <v>631.83866246624666</v>
      </c>
      <c r="L78" s="122">
        <f t="shared" si="14"/>
        <v>4679818.3600000003</v>
      </c>
      <c r="M78" s="116">
        <f t="shared" si="15"/>
        <v>2573900.0980000002</v>
      </c>
      <c r="N78" s="123">
        <f t="shared" si="16"/>
        <v>772.24725412541261</v>
      </c>
      <c r="O78" s="5"/>
      <c r="P78" s="5">
        <f t="shared" si="17"/>
        <v>1</v>
      </c>
      <c r="Q78" s="7">
        <f t="shared" si="18"/>
        <v>3333</v>
      </c>
    </row>
    <row r="79" spans="1:21">
      <c r="A79" s="23" t="s">
        <v>82</v>
      </c>
      <c r="B79" s="35" t="s">
        <v>81</v>
      </c>
      <c r="C79" s="125">
        <v>7380</v>
      </c>
      <c r="D79" s="132">
        <v>736404103</v>
      </c>
      <c r="E79" s="116">
        <f t="shared" si="19"/>
        <v>99783.753794037941</v>
      </c>
      <c r="F79" s="134">
        <v>457881785</v>
      </c>
      <c r="G79" s="117">
        <f t="shared" si="20"/>
        <v>62043.602303523032</v>
      </c>
      <c r="H79" s="7"/>
      <c r="I79" s="136">
        <v>8.2728999999999999</v>
      </c>
      <c r="J79" s="134">
        <v>3788010.2191265002</v>
      </c>
      <c r="K79" s="120">
        <f t="shared" si="21"/>
        <v>513.28051749681572</v>
      </c>
      <c r="L79" s="122">
        <f t="shared" si="14"/>
        <v>4578817.8500000006</v>
      </c>
      <c r="M79" s="116">
        <f t="shared" si="15"/>
        <v>790807.63087350037</v>
      </c>
      <c r="N79" s="123">
        <f t="shared" si="16"/>
        <v>107.15550553841469</v>
      </c>
      <c r="O79" s="5"/>
      <c r="P79" s="5">
        <f t="shared" si="17"/>
        <v>1</v>
      </c>
      <c r="Q79" s="7">
        <f t="shared" si="18"/>
        <v>7380</v>
      </c>
      <c r="S79" s="124">
        <f>SUM(D78:D79)</f>
        <v>1349014337</v>
      </c>
      <c r="T79" s="124">
        <f>SUM(F78:F79)</f>
        <v>925863621</v>
      </c>
      <c r="U79" s="124">
        <f>SUM(J78:J79)</f>
        <v>5893928.4811265003</v>
      </c>
    </row>
    <row r="80" spans="1:21">
      <c r="A80" s="23" t="s">
        <v>83</v>
      </c>
      <c r="B80" s="35" t="s">
        <v>84</v>
      </c>
      <c r="C80" s="125">
        <v>7813</v>
      </c>
      <c r="D80" s="132">
        <v>680563177</v>
      </c>
      <c r="E80" s="116">
        <f t="shared" si="19"/>
        <v>87106.511839242288</v>
      </c>
      <c r="F80" s="134">
        <v>444076731</v>
      </c>
      <c r="G80" s="117">
        <f t="shared" si="20"/>
        <v>56838.183924228848</v>
      </c>
      <c r="H80" s="7"/>
      <c r="I80" s="136">
        <v>3.6</v>
      </c>
      <c r="J80" s="134">
        <v>1598676.2316000001</v>
      </c>
      <c r="K80" s="120">
        <f t="shared" si="21"/>
        <v>204.61746212722386</v>
      </c>
      <c r="L80" s="122">
        <f t="shared" si="14"/>
        <v>4440767.3100000005</v>
      </c>
      <c r="M80" s="116">
        <f t="shared" si="15"/>
        <v>2842091.0784000005</v>
      </c>
      <c r="N80" s="123">
        <f t="shared" si="16"/>
        <v>363.76437711506469</v>
      </c>
      <c r="O80" s="5"/>
      <c r="P80" s="5">
        <f t="shared" si="17"/>
        <v>1</v>
      </c>
      <c r="Q80" s="7">
        <f t="shared" si="18"/>
        <v>7813</v>
      </c>
    </row>
    <row r="81" spans="1:21">
      <c r="A81" s="23" t="s">
        <v>85</v>
      </c>
      <c r="B81" s="35" t="s">
        <v>84</v>
      </c>
      <c r="C81" s="125">
        <v>1364</v>
      </c>
      <c r="D81" s="132">
        <v>107220658</v>
      </c>
      <c r="E81" s="116">
        <f t="shared" si="19"/>
        <v>78607.520527859233</v>
      </c>
      <c r="F81" s="134">
        <v>62944968</v>
      </c>
      <c r="G81" s="117">
        <f t="shared" si="20"/>
        <v>46147.337243401758</v>
      </c>
      <c r="H81" s="7"/>
      <c r="I81" s="136">
        <v>4.2900999999999998</v>
      </c>
      <c r="J81" s="134">
        <v>270040.20721679996</v>
      </c>
      <c r="K81" s="120">
        <f t="shared" si="21"/>
        <v>197.97669150791785</v>
      </c>
      <c r="L81" s="122">
        <f t="shared" si="14"/>
        <v>629449.68000000005</v>
      </c>
      <c r="M81" s="116">
        <f t="shared" si="15"/>
        <v>359409.47278320009</v>
      </c>
      <c r="N81" s="123">
        <f t="shared" si="16"/>
        <v>263.49668092609977</v>
      </c>
      <c r="O81" s="5"/>
      <c r="P81" s="5">
        <f t="shared" si="17"/>
        <v>1</v>
      </c>
      <c r="Q81" s="7">
        <f t="shared" si="18"/>
        <v>1364</v>
      </c>
    </row>
    <row r="82" spans="1:21">
      <c r="A82" s="23" t="s">
        <v>86</v>
      </c>
      <c r="B82" s="35" t="s">
        <v>84</v>
      </c>
      <c r="C82" s="125">
        <v>8630</v>
      </c>
      <c r="D82" s="132">
        <v>870250840</v>
      </c>
      <c r="E82" s="116">
        <f t="shared" si="19"/>
        <v>100840.19003476246</v>
      </c>
      <c r="F82" s="134">
        <v>558408804</v>
      </c>
      <c r="G82" s="117">
        <f t="shared" si="20"/>
        <v>64705.539281575897</v>
      </c>
      <c r="H82" s="9"/>
      <c r="I82" s="136">
        <v>5.8780999999999999</v>
      </c>
      <c r="J82" s="134">
        <v>3282382.7907924</v>
      </c>
      <c r="K82" s="120">
        <f t="shared" si="21"/>
        <v>380.3456304510313</v>
      </c>
      <c r="L82" s="122">
        <f t="shared" si="14"/>
        <v>5584088.04</v>
      </c>
      <c r="M82" s="116">
        <f t="shared" si="15"/>
        <v>2301705.2492076</v>
      </c>
      <c r="N82" s="123">
        <f t="shared" si="16"/>
        <v>266.70976236472768</v>
      </c>
      <c r="O82" s="5"/>
      <c r="P82" s="5">
        <f t="shared" si="17"/>
        <v>1</v>
      </c>
      <c r="Q82" s="7">
        <f t="shared" si="18"/>
        <v>8630</v>
      </c>
    </row>
    <row r="83" spans="1:21">
      <c r="A83" s="23" t="s">
        <v>87</v>
      </c>
      <c r="B83" s="35" t="s">
        <v>84</v>
      </c>
      <c r="C83" s="125">
        <v>766</v>
      </c>
      <c r="D83" s="147" t="s">
        <v>564</v>
      </c>
      <c r="E83" s="116"/>
      <c r="F83" s="134"/>
      <c r="G83" s="117"/>
      <c r="H83" s="98" t="s">
        <v>588</v>
      </c>
      <c r="I83" s="136"/>
      <c r="J83" s="134"/>
      <c r="K83" s="120"/>
      <c r="L83" s="122">
        <f t="shared" si="14"/>
        <v>0</v>
      </c>
      <c r="M83" s="116">
        <f t="shared" si="15"/>
        <v>0</v>
      </c>
      <c r="N83" s="123">
        <f t="shared" si="16"/>
        <v>0</v>
      </c>
      <c r="O83" s="5"/>
      <c r="P83" s="5">
        <f t="shared" si="17"/>
        <v>0</v>
      </c>
      <c r="Q83" s="7">
        <f t="shared" si="18"/>
        <v>0</v>
      </c>
      <c r="S83" s="124">
        <f>SUM(D80:D83)</f>
        <v>1658034675</v>
      </c>
      <c r="T83" s="124">
        <f>SUM(F80:F83)</f>
        <v>1065430503</v>
      </c>
      <c r="U83" s="124">
        <f>SUM(J80:J83)</f>
        <v>5151099.2296091998</v>
      </c>
    </row>
    <row r="84" spans="1:21">
      <c r="A84" s="23" t="s">
        <v>88</v>
      </c>
      <c r="B84" s="35" t="s">
        <v>89</v>
      </c>
      <c r="C84" s="125">
        <v>408</v>
      </c>
      <c r="D84" s="132">
        <v>113811765</v>
      </c>
      <c r="E84" s="116">
        <f>(D84/C84)</f>
        <v>278950.4044117647</v>
      </c>
      <c r="F84" s="134">
        <v>82185721</v>
      </c>
      <c r="G84" s="117">
        <f>(F84/C84)</f>
        <v>201435.59068627452</v>
      </c>
      <c r="H84" s="7"/>
      <c r="I84" s="136">
        <v>4.7835000000000001</v>
      </c>
      <c r="J84" s="134">
        <v>393135.3964035</v>
      </c>
      <c r="K84" s="120">
        <f>(J84/C84)</f>
        <v>963.56714804779415</v>
      </c>
      <c r="L84" s="122">
        <f t="shared" si="14"/>
        <v>821857.21</v>
      </c>
      <c r="M84" s="116">
        <f t="shared" si="15"/>
        <v>428721.81359649997</v>
      </c>
      <c r="N84" s="123">
        <f t="shared" si="16"/>
        <v>1050.7887588149508</v>
      </c>
      <c r="O84" s="5"/>
      <c r="P84" s="5">
        <f t="shared" si="17"/>
        <v>1</v>
      </c>
      <c r="Q84" s="7">
        <f t="shared" si="18"/>
        <v>408</v>
      </c>
    </row>
    <row r="85" spans="1:21">
      <c r="A85" s="23" t="s">
        <v>90</v>
      </c>
      <c r="B85" s="35" t="s">
        <v>89</v>
      </c>
      <c r="C85" s="125">
        <v>17094</v>
      </c>
      <c r="D85" s="132">
        <v>11952254401</v>
      </c>
      <c r="E85" s="116">
        <f>(D85/C85)</f>
        <v>699207.58166608168</v>
      </c>
      <c r="F85" s="134">
        <v>10359346700</v>
      </c>
      <c r="G85" s="117">
        <f>(F85/C85)</f>
        <v>606022.38797238795</v>
      </c>
      <c r="H85" s="7"/>
      <c r="I85" s="136">
        <v>1.8492</v>
      </c>
      <c r="J85" s="134">
        <v>19156503.917640001</v>
      </c>
      <c r="K85" s="120">
        <f>(J85/C85)</f>
        <v>1120.6565998385399</v>
      </c>
      <c r="L85" s="122">
        <f t="shared" si="14"/>
        <v>103593467</v>
      </c>
      <c r="M85" s="116">
        <f t="shared" si="15"/>
        <v>84436963.082359999</v>
      </c>
      <c r="N85" s="123">
        <f t="shared" si="16"/>
        <v>4939.5672798853402</v>
      </c>
      <c r="O85" s="5"/>
      <c r="P85" s="5">
        <f t="shared" si="17"/>
        <v>1</v>
      </c>
      <c r="Q85" s="7">
        <f t="shared" si="18"/>
        <v>17094</v>
      </c>
    </row>
    <row r="86" spans="1:21">
      <c r="A86" s="23" t="s">
        <v>91</v>
      </c>
      <c r="B86" s="35" t="s">
        <v>89</v>
      </c>
      <c r="C86" s="125">
        <v>20344</v>
      </c>
      <c r="D86" s="132">
        <v>28389087498</v>
      </c>
      <c r="E86" s="116">
        <f>(D86/C86)</f>
        <v>1395452.5903460479</v>
      </c>
      <c r="F86" s="134">
        <v>23065226649</v>
      </c>
      <c r="G86" s="117">
        <f>(F86/C86)</f>
        <v>1133760.6492823437</v>
      </c>
      <c r="H86" s="9"/>
      <c r="I86" s="150">
        <v>1.18</v>
      </c>
      <c r="J86" s="134">
        <v>27216967.44582</v>
      </c>
      <c r="K86" s="120">
        <f>(J86/C86)</f>
        <v>1337.8375661531657</v>
      </c>
      <c r="L86" s="122">
        <f t="shared" si="14"/>
        <v>230652266.49000001</v>
      </c>
      <c r="M86" s="116">
        <f t="shared" si="15"/>
        <v>203435299.04418001</v>
      </c>
      <c r="N86" s="123">
        <f t="shared" si="16"/>
        <v>9999.768926670271</v>
      </c>
      <c r="O86" s="5"/>
      <c r="P86" s="5">
        <f t="shared" si="17"/>
        <v>1</v>
      </c>
      <c r="Q86" s="7">
        <f t="shared" si="18"/>
        <v>20344</v>
      </c>
      <c r="S86" s="124">
        <f>SUM(D84:D86)</f>
        <v>40455153664</v>
      </c>
      <c r="T86" s="124">
        <f>SUM(F84:F86)</f>
        <v>33506759070</v>
      </c>
      <c r="U86" s="124">
        <f>SUM(J84:J86)</f>
        <v>46766606.759863496</v>
      </c>
    </row>
    <row r="87" spans="1:21">
      <c r="A87" s="23" t="s">
        <v>92</v>
      </c>
      <c r="B87" s="35" t="s">
        <v>93</v>
      </c>
      <c r="C87" s="125">
        <v>552</v>
      </c>
      <c r="D87" s="147" t="s">
        <v>564</v>
      </c>
      <c r="E87" s="116"/>
      <c r="F87" s="134"/>
      <c r="G87" s="117"/>
      <c r="H87" s="98" t="s">
        <v>588</v>
      </c>
      <c r="I87" s="136"/>
      <c r="J87" s="134"/>
      <c r="K87" s="120"/>
      <c r="L87" s="122">
        <f t="shared" si="14"/>
        <v>0</v>
      </c>
      <c r="M87" s="116">
        <f t="shared" si="15"/>
        <v>0</v>
      </c>
      <c r="N87" s="123">
        <f t="shared" si="16"/>
        <v>0</v>
      </c>
      <c r="O87" s="5"/>
      <c r="P87" s="5">
        <f t="shared" si="17"/>
        <v>0</v>
      </c>
      <c r="Q87" s="7">
        <f t="shared" si="18"/>
        <v>0</v>
      </c>
    </row>
    <row r="88" spans="1:21">
      <c r="A88" s="23" t="s">
        <v>94</v>
      </c>
      <c r="B88" s="35" t="s">
        <v>93</v>
      </c>
      <c r="C88" s="125">
        <v>12322</v>
      </c>
      <c r="D88" s="132">
        <v>1040016402</v>
      </c>
      <c r="E88" s="116">
        <f t="shared" ref="E88:E93" si="22">(D88/C88)</f>
        <v>84403.213926310666</v>
      </c>
      <c r="F88" s="134">
        <v>737082616</v>
      </c>
      <c r="G88" s="117">
        <f t="shared" ref="G88:G93" si="23">(F88/C88)</f>
        <v>59818.423632527185</v>
      </c>
      <c r="H88" s="7"/>
      <c r="I88" s="136">
        <v>4.9000000000000004</v>
      </c>
      <c r="J88" s="134">
        <v>3611704.8184000002</v>
      </c>
      <c r="K88" s="120">
        <f t="shared" ref="K88:K93" si="24">(J88/C88)</f>
        <v>293.11027579938326</v>
      </c>
      <c r="L88" s="122">
        <f t="shared" si="14"/>
        <v>7370826.1600000001</v>
      </c>
      <c r="M88" s="116">
        <f t="shared" si="15"/>
        <v>3759121.3415999999</v>
      </c>
      <c r="N88" s="123">
        <f t="shared" si="16"/>
        <v>305.07396052588865</v>
      </c>
      <c r="O88" s="5"/>
      <c r="P88" s="5">
        <f t="shared" si="17"/>
        <v>1</v>
      </c>
      <c r="Q88" s="7">
        <f t="shared" si="18"/>
        <v>12322</v>
      </c>
      <c r="S88" s="124">
        <f>SUM(D87:D88)</f>
        <v>1040016402</v>
      </c>
      <c r="T88" s="124">
        <f>SUM(F87:F88)</f>
        <v>737082616</v>
      </c>
      <c r="U88" s="124">
        <f>SUM(J87:J88)</f>
        <v>3611704.8184000002</v>
      </c>
    </row>
    <row r="89" spans="1:21">
      <c r="A89" s="23" t="s">
        <v>95</v>
      </c>
      <c r="B89" s="37" t="s">
        <v>575</v>
      </c>
      <c r="C89" s="125">
        <v>7673</v>
      </c>
      <c r="D89" s="132">
        <v>382246719</v>
      </c>
      <c r="E89" s="116">
        <f t="shared" si="22"/>
        <v>49817.114427212306</v>
      </c>
      <c r="F89" s="134">
        <v>201134556</v>
      </c>
      <c r="G89" s="117">
        <f t="shared" si="23"/>
        <v>26213.287631956209</v>
      </c>
      <c r="H89" s="8"/>
      <c r="I89" s="136">
        <v>8.8194999999999997</v>
      </c>
      <c r="J89" s="134">
        <v>1773906.216642</v>
      </c>
      <c r="K89" s="120">
        <f t="shared" si="24"/>
        <v>231.1880902700378</v>
      </c>
      <c r="L89" s="122">
        <f t="shared" si="14"/>
        <v>2011345.56</v>
      </c>
      <c r="M89" s="116">
        <f t="shared" si="15"/>
        <v>237439.34335800004</v>
      </c>
      <c r="N89" s="123">
        <f t="shared" si="16"/>
        <v>30.944786049524311</v>
      </c>
      <c r="O89" s="5"/>
      <c r="P89" s="5">
        <f t="shared" si="17"/>
        <v>1</v>
      </c>
      <c r="Q89" s="7">
        <f t="shared" si="18"/>
        <v>7673</v>
      </c>
      <c r="S89" s="124">
        <f>SUM(D89)</f>
        <v>382246719</v>
      </c>
      <c r="T89" s="124">
        <f>SUM(F89)</f>
        <v>201134556</v>
      </c>
      <c r="U89" s="124">
        <f>SUM(J89)</f>
        <v>1773906.216642</v>
      </c>
    </row>
    <row r="90" spans="1:21">
      <c r="A90" s="23" t="s">
        <v>96</v>
      </c>
      <c r="B90" s="35" t="s">
        <v>97</v>
      </c>
      <c r="C90" s="125">
        <v>1696</v>
      </c>
      <c r="D90" s="132">
        <v>71931426</v>
      </c>
      <c r="E90" s="116">
        <f t="shared" si="22"/>
        <v>42412.397405660377</v>
      </c>
      <c r="F90" s="134">
        <v>30694105</v>
      </c>
      <c r="G90" s="117">
        <f t="shared" si="23"/>
        <v>18097.939268867925</v>
      </c>
      <c r="H90" s="8"/>
      <c r="I90" s="136">
        <v>6.6303999999999998</v>
      </c>
      <c r="J90" s="134">
        <v>203514.19379200001</v>
      </c>
      <c r="K90" s="120">
        <f t="shared" si="24"/>
        <v>119.99657652830189</v>
      </c>
      <c r="L90" s="122">
        <f t="shared" si="14"/>
        <v>306941.05</v>
      </c>
      <c r="M90" s="116">
        <f t="shared" si="15"/>
        <v>103426.85620799998</v>
      </c>
      <c r="N90" s="123">
        <f t="shared" si="16"/>
        <v>60.982816160377347</v>
      </c>
      <c r="O90" s="5"/>
      <c r="P90" s="5">
        <f t="shared" si="17"/>
        <v>1</v>
      </c>
      <c r="Q90" s="7">
        <f t="shared" si="18"/>
        <v>1696</v>
      </c>
    </row>
    <row r="91" spans="1:21">
      <c r="A91" s="23" t="s">
        <v>98</v>
      </c>
      <c r="B91" s="35" t="s">
        <v>97</v>
      </c>
      <c r="C91" s="125">
        <v>171</v>
      </c>
      <c r="D91" s="132">
        <v>49795647</v>
      </c>
      <c r="E91" s="116">
        <f t="shared" si="22"/>
        <v>291202.6140350877</v>
      </c>
      <c r="F91" s="134">
        <v>42726148</v>
      </c>
      <c r="G91" s="117">
        <f t="shared" si="23"/>
        <v>249860.51461988303</v>
      </c>
      <c r="H91" s="9"/>
      <c r="I91" s="150">
        <v>2.5</v>
      </c>
      <c r="J91" s="134">
        <v>106815.37</v>
      </c>
      <c r="K91" s="120">
        <f t="shared" si="24"/>
        <v>624.65128654970761</v>
      </c>
      <c r="L91" s="122">
        <f t="shared" si="14"/>
        <v>427261.48</v>
      </c>
      <c r="M91" s="116">
        <f t="shared" si="15"/>
        <v>320446.11</v>
      </c>
      <c r="N91" s="123">
        <f t="shared" si="16"/>
        <v>1873.9538596491227</v>
      </c>
      <c r="O91" s="5"/>
      <c r="P91" s="5">
        <f t="shared" si="17"/>
        <v>1</v>
      </c>
      <c r="Q91" s="7">
        <f t="shared" si="18"/>
        <v>171</v>
      </c>
      <c r="S91" s="124">
        <f>SUM(D90:D91)</f>
        <v>121727073</v>
      </c>
      <c r="T91" s="124">
        <f>SUM(F90:F91)</f>
        <v>73420253</v>
      </c>
      <c r="U91" s="124">
        <f>SUM(J90:J91)</f>
        <v>310329.563792</v>
      </c>
    </row>
    <row r="92" spans="1:21">
      <c r="A92" s="23" t="s">
        <v>99</v>
      </c>
      <c r="B92" s="35" t="s">
        <v>100</v>
      </c>
      <c r="C92" s="125">
        <v>13570</v>
      </c>
      <c r="D92" s="132">
        <v>2642133494</v>
      </c>
      <c r="E92" s="116">
        <f t="shared" si="22"/>
        <v>194704.01577008105</v>
      </c>
      <c r="F92" s="134">
        <v>1764458557</v>
      </c>
      <c r="G92" s="117">
        <f t="shared" si="23"/>
        <v>130026.42277081798</v>
      </c>
      <c r="H92" s="9"/>
      <c r="I92" s="136">
        <v>3.2284999999999999</v>
      </c>
      <c r="J92" s="134">
        <v>5696554.4512745002</v>
      </c>
      <c r="K92" s="120">
        <f t="shared" si="24"/>
        <v>419.79030591558586</v>
      </c>
      <c r="L92" s="122">
        <f t="shared" si="14"/>
        <v>17644585.57</v>
      </c>
      <c r="M92" s="116">
        <f t="shared" si="15"/>
        <v>11948031.118725501</v>
      </c>
      <c r="N92" s="123">
        <f t="shared" si="16"/>
        <v>880.47392179259407</v>
      </c>
      <c r="O92" s="5"/>
      <c r="P92" s="5">
        <f t="shared" si="17"/>
        <v>1</v>
      </c>
      <c r="Q92" s="7">
        <f t="shared" si="18"/>
        <v>13570</v>
      </c>
    </row>
    <row r="93" spans="1:21">
      <c r="A93" s="23" t="s">
        <v>101</v>
      </c>
      <c r="B93" s="35" t="s">
        <v>100</v>
      </c>
      <c r="C93" s="125">
        <v>1419</v>
      </c>
      <c r="D93" s="132">
        <v>86311153</v>
      </c>
      <c r="E93" s="116">
        <f t="shared" si="22"/>
        <v>60825.336856941511</v>
      </c>
      <c r="F93" s="134">
        <v>47205778</v>
      </c>
      <c r="G93" s="117">
        <f t="shared" si="23"/>
        <v>33266.933051444677</v>
      </c>
      <c r="H93" s="9"/>
      <c r="I93" s="136">
        <v>2.8191000000000002</v>
      </c>
      <c r="J93" s="134">
        <v>133077.80875980001</v>
      </c>
      <c r="K93" s="120">
        <f t="shared" si="24"/>
        <v>93.782810965327698</v>
      </c>
      <c r="L93" s="122">
        <f t="shared" si="14"/>
        <v>472057.78</v>
      </c>
      <c r="M93" s="116">
        <f t="shared" si="15"/>
        <v>338979.97124019999</v>
      </c>
      <c r="N93" s="123">
        <f t="shared" si="16"/>
        <v>238.8865195491191</v>
      </c>
      <c r="O93" s="5"/>
      <c r="P93" s="5">
        <f t="shared" si="17"/>
        <v>1</v>
      </c>
      <c r="Q93" s="7">
        <f t="shared" si="18"/>
        <v>1419</v>
      </c>
    </row>
    <row r="94" spans="1:21">
      <c r="A94" s="23" t="s">
        <v>102</v>
      </c>
      <c r="B94" s="35" t="s">
        <v>100</v>
      </c>
      <c r="C94" s="125">
        <v>907093</v>
      </c>
      <c r="D94" s="155" t="s">
        <v>618</v>
      </c>
      <c r="E94" s="116"/>
      <c r="F94" s="134"/>
      <c r="G94" s="117"/>
      <c r="H94" s="9"/>
      <c r="I94" s="136"/>
      <c r="J94" s="134"/>
      <c r="K94" s="120"/>
      <c r="L94" s="122">
        <f t="shared" si="14"/>
        <v>0</v>
      </c>
      <c r="M94" s="116">
        <f t="shared" si="15"/>
        <v>0</v>
      </c>
      <c r="N94" s="123">
        <f t="shared" si="16"/>
        <v>0</v>
      </c>
      <c r="O94" s="5"/>
      <c r="P94" s="5">
        <f t="shared" si="17"/>
        <v>0</v>
      </c>
      <c r="Q94" s="7">
        <f t="shared" si="18"/>
        <v>0</v>
      </c>
    </row>
    <row r="95" spans="1:21">
      <c r="A95" s="23" t="s">
        <v>103</v>
      </c>
      <c r="B95" s="35" t="s">
        <v>100</v>
      </c>
      <c r="C95" s="125">
        <v>23494</v>
      </c>
      <c r="D95" s="132">
        <v>5206854688</v>
      </c>
      <c r="E95" s="116">
        <f t="shared" ref="E95:E133" si="25">(D95/C95)</f>
        <v>221624.86966885164</v>
      </c>
      <c r="F95" s="134">
        <v>3607700692</v>
      </c>
      <c r="G95" s="117">
        <f t="shared" ref="G95:G133" si="26">(F95/C95)</f>
        <v>153558.38477909254</v>
      </c>
      <c r="H95" s="9"/>
      <c r="I95" s="136">
        <v>3.9946999999999999</v>
      </c>
      <c r="J95" s="134">
        <v>14411681.9543324</v>
      </c>
      <c r="K95" s="120">
        <f t="shared" ref="K95:K133" si="27">(J95/C95)</f>
        <v>613.4196796770409</v>
      </c>
      <c r="L95" s="122">
        <f t="shared" si="14"/>
        <v>36077006.920000002</v>
      </c>
      <c r="M95" s="116">
        <f t="shared" si="15"/>
        <v>21665324.965667602</v>
      </c>
      <c r="N95" s="123">
        <f t="shared" si="16"/>
        <v>922.16416811388444</v>
      </c>
      <c r="O95" s="5"/>
      <c r="P95" s="5">
        <f t="shared" si="17"/>
        <v>1</v>
      </c>
      <c r="Q95" s="7">
        <f t="shared" si="18"/>
        <v>23494</v>
      </c>
    </row>
    <row r="96" spans="1:21">
      <c r="A96" s="23" t="s">
        <v>104</v>
      </c>
      <c r="B96" s="35" t="s">
        <v>100</v>
      </c>
      <c r="C96" s="125">
        <v>7285</v>
      </c>
      <c r="D96" s="132">
        <v>1310765650</v>
      </c>
      <c r="E96" s="116">
        <f t="shared" si="25"/>
        <v>179926.65065202472</v>
      </c>
      <c r="F96" s="134">
        <v>858188044</v>
      </c>
      <c r="G96" s="117">
        <f t="shared" si="26"/>
        <v>117802.06506520248</v>
      </c>
      <c r="H96" s="7"/>
      <c r="I96" s="136">
        <v>3.3656000000000001</v>
      </c>
      <c r="J96" s="134">
        <v>2888317.6808864004</v>
      </c>
      <c r="K96" s="120">
        <f t="shared" si="27"/>
        <v>396.47463018344547</v>
      </c>
      <c r="L96" s="122">
        <f t="shared" si="14"/>
        <v>8581880.4399999995</v>
      </c>
      <c r="M96" s="116">
        <f t="shared" si="15"/>
        <v>5693562.7591135986</v>
      </c>
      <c r="N96" s="123">
        <f t="shared" si="16"/>
        <v>781.54602046857906</v>
      </c>
      <c r="O96" s="5"/>
      <c r="P96" s="5">
        <f t="shared" si="17"/>
        <v>1</v>
      </c>
      <c r="Q96" s="7">
        <f t="shared" si="18"/>
        <v>7285</v>
      </c>
      <c r="S96" s="124">
        <f>SUM(D92:D96)</f>
        <v>9246064985</v>
      </c>
      <c r="T96" s="124">
        <f>SUM(F92:F96)</f>
        <v>6277553071</v>
      </c>
      <c r="U96" s="124">
        <f>SUM(J92:J96)</f>
        <v>23129631.8952531</v>
      </c>
    </row>
    <row r="97" spans="1:21">
      <c r="A97" s="23" t="s">
        <v>105</v>
      </c>
      <c r="B97" s="35" t="s">
        <v>106</v>
      </c>
      <c r="C97" s="125">
        <v>1602</v>
      </c>
      <c r="D97" s="132">
        <v>58279202</v>
      </c>
      <c r="E97" s="116">
        <f t="shared" si="25"/>
        <v>36379.027465667918</v>
      </c>
      <c r="F97" s="134">
        <v>36869557</v>
      </c>
      <c r="G97" s="117">
        <f t="shared" si="26"/>
        <v>23014.704744069913</v>
      </c>
      <c r="H97" s="7"/>
      <c r="I97" s="136">
        <v>0.9204</v>
      </c>
      <c r="J97" s="134">
        <v>33934.740262799998</v>
      </c>
      <c r="K97" s="120">
        <f t="shared" si="27"/>
        <v>21.182734246441946</v>
      </c>
      <c r="L97" s="122">
        <f t="shared" si="14"/>
        <v>368695.57</v>
      </c>
      <c r="M97" s="116">
        <f t="shared" si="15"/>
        <v>334760.82973719999</v>
      </c>
      <c r="N97" s="123">
        <f t="shared" si="16"/>
        <v>208.96431319425719</v>
      </c>
      <c r="O97" s="5"/>
      <c r="P97" s="5">
        <f t="shared" si="17"/>
        <v>1</v>
      </c>
      <c r="Q97" s="7">
        <f t="shared" si="18"/>
        <v>1602</v>
      </c>
    </row>
    <row r="98" spans="1:21">
      <c r="A98" s="23" t="s">
        <v>107</v>
      </c>
      <c r="B98" s="35" t="s">
        <v>106</v>
      </c>
      <c r="C98" s="125">
        <v>54801</v>
      </c>
      <c r="D98" s="132">
        <v>6279629488</v>
      </c>
      <c r="E98" s="116">
        <f t="shared" si="25"/>
        <v>114589.68792540282</v>
      </c>
      <c r="F98" s="134">
        <v>3778167555</v>
      </c>
      <c r="G98" s="117">
        <f t="shared" si="26"/>
        <v>68943.405321070779</v>
      </c>
      <c r="H98" s="7"/>
      <c r="I98" s="136">
        <v>4.2895000000000003</v>
      </c>
      <c r="J98" s="134">
        <v>16206449.727172501</v>
      </c>
      <c r="K98" s="120">
        <f t="shared" si="27"/>
        <v>295.73273712473315</v>
      </c>
      <c r="L98" s="122">
        <f t="shared" si="14"/>
        <v>37781675.550000004</v>
      </c>
      <c r="M98" s="116">
        <f t="shared" si="15"/>
        <v>21575225.822827503</v>
      </c>
      <c r="N98" s="123">
        <f t="shared" si="16"/>
        <v>393.70131608597478</v>
      </c>
      <c r="O98" s="5"/>
      <c r="P98" s="5">
        <f t="shared" si="17"/>
        <v>1</v>
      </c>
      <c r="Q98" s="7">
        <f t="shared" si="18"/>
        <v>54801</v>
      </c>
      <c r="S98" s="124">
        <f>SUM(D97:D98)</f>
        <v>6337908690</v>
      </c>
      <c r="T98" s="124">
        <f>SUM(F97:F98)</f>
        <v>3815037112</v>
      </c>
      <c r="U98" s="124">
        <f>SUM(J97:J98)</f>
        <v>16240384.467435302</v>
      </c>
    </row>
    <row r="99" spans="1:21">
      <c r="A99" s="23" t="s">
        <v>108</v>
      </c>
      <c r="B99" s="35" t="s">
        <v>109</v>
      </c>
      <c r="C99" s="125">
        <v>356</v>
      </c>
      <c r="D99" s="132">
        <v>94698271</v>
      </c>
      <c r="E99" s="116">
        <f t="shared" si="25"/>
        <v>266006.37921348313</v>
      </c>
      <c r="F99" s="134">
        <v>73229080</v>
      </c>
      <c r="G99" s="117">
        <f t="shared" si="26"/>
        <v>205699.66292134832</v>
      </c>
      <c r="H99" s="7"/>
      <c r="I99" s="136">
        <v>2.5</v>
      </c>
      <c r="J99" s="134">
        <v>183072.7</v>
      </c>
      <c r="K99" s="120">
        <f t="shared" si="27"/>
        <v>514.24915730337079</v>
      </c>
      <c r="L99" s="122">
        <f t="shared" si="14"/>
        <v>732290.8</v>
      </c>
      <c r="M99" s="116">
        <f t="shared" si="15"/>
        <v>549218.10000000009</v>
      </c>
      <c r="N99" s="123">
        <f t="shared" si="16"/>
        <v>1542.7474719101126</v>
      </c>
      <c r="O99" s="5"/>
      <c r="P99" s="5">
        <f t="shared" si="17"/>
        <v>1</v>
      </c>
      <c r="Q99" s="7">
        <f t="shared" si="18"/>
        <v>356</v>
      </c>
    </row>
    <row r="100" spans="1:21">
      <c r="A100" s="23" t="s">
        <v>110</v>
      </c>
      <c r="B100" s="35" t="s">
        <v>109</v>
      </c>
      <c r="C100" s="125">
        <v>3056</v>
      </c>
      <c r="D100" s="132">
        <v>500221837</v>
      </c>
      <c r="E100" s="116">
        <f t="shared" si="25"/>
        <v>163685.15608638743</v>
      </c>
      <c r="F100" s="134">
        <v>176320904</v>
      </c>
      <c r="G100" s="117">
        <f t="shared" si="26"/>
        <v>57696.630890052358</v>
      </c>
      <c r="H100" s="7"/>
      <c r="I100" s="136">
        <v>6.43</v>
      </c>
      <c r="J100" s="134">
        <v>1133743.4127200001</v>
      </c>
      <c r="K100" s="120">
        <f t="shared" si="27"/>
        <v>370.98933662303671</v>
      </c>
      <c r="L100" s="122">
        <f t="shared" si="14"/>
        <v>1763209.04</v>
      </c>
      <c r="M100" s="116">
        <f t="shared" si="15"/>
        <v>629465.6272799999</v>
      </c>
      <c r="N100" s="123">
        <f t="shared" si="16"/>
        <v>205.97697227748688</v>
      </c>
      <c r="O100" s="5"/>
      <c r="P100" s="5">
        <f t="shared" si="17"/>
        <v>1</v>
      </c>
      <c r="Q100" s="7">
        <f t="shared" si="18"/>
        <v>3056</v>
      </c>
    </row>
    <row r="101" spans="1:21">
      <c r="A101" s="23" t="s">
        <v>447</v>
      </c>
      <c r="B101" s="35" t="s">
        <v>109</v>
      </c>
      <c r="C101" s="125">
        <v>84575</v>
      </c>
      <c r="D101" s="132">
        <v>7931393383</v>
      </c>
      <c r="E101" s="116">
        <f t="shared" si="25"/>
        <v>93779.407425362107</v>
      </c>
      <c r="F101" s="134">
        <v>4995651282</v>
      </c>
      <c r="G101" s="117">
        <f t="shared" si="26"/>
        <v>59067.706556310965</v>
      </c>
      <c r="H101" s="9"/>
      <c r="I101" s="136">
        <v>4.6989000000000001</v>
      </c>
      <c r="J101" s="134">
        <v>23474065.808989801</v>
      </c>
      <c r="K101" s="120">
        <f t="shared" si="27"/>
        <v>277.55324633744959</v>
      </c>
      <c r="L101" s="122">
        <f t="shared" si="14"/>
        <v>49956512.82</v>
      </c>
      <c r="M101" s="116">
        <f t="shared" si="15"/>
        <v>26482447.0110102</v>
      </c>
      <c r="N101" s="123">
        <f t="shared" si="16"/>
        <v>313.12381922566004</v>
      </c>
      <c r="O101" s="5"/>
      <c r="P101" s="5">
        <f t="shared" si="17"/>
        <v>1</v>
      </c>
      <c r="Q101" s="7">
        <f t="shared" si="18"/>
        <v>84575</v>
      </c>
    </row>
    <row r="102" spans="1:21">
      <c r="A102" s="23" t="s">
        <v>111</v>
      </c>
      <c r="B102" s="35" t="s">
        <v>557</v>
      </c>
      <c r="C102" s="125">
        <v>8</v>
      </c>
      <c r="D102" s="132">
        <v>19230463</v>
      </c>
      <c r="E102" s="116">
        <f t="shared" si="25"/>
        <v>2403807.875</v>
      </c>
      <c r="F102" s="134">
        <v>5195860</v>
      </c>
      <c r="G102" s="117">
        <f t="shared" si="26"/>
        <v>649482.5</v>
      </c>
      <c r="H102" s="7"/>
      <c r="I102" s="136">
        <v>10</v>
      </c>
      <c r="J102" s="134">
        <v>51958.6</v>
      </c>
      <c r="K102" s="120">
        <f t="shared" si="27"/>
        <v>6494.8249999999998</v>
      </c>
      <c r="L102" s="122">
        <f t="shared" si="14"/>
        <v>51958.6</v>
      </c>
      <c r="M102" s="116">
        <f t="shared" si="15"/>
        <v>0</v>
      </c>
      <c r="N102" s="123">
        <f t="shared" si="16"/>
        <v>0</v>
      </c>
      <c r="O102" s="5"/>
      <c r="P102" s="5">
        <f t="shared" si="17"/>
        <v>1</v>
      </c>
      <c r="Q102" s="7">
        <f t="shared" si="18"/>
        <v>8</v>
      </c>
    </row>
    <row r="103" spans="1:21">
      <c r="A103" s="23" t="s">
        <v>112</v>
      </c>
      <c r="B103" s="35" t="s">
        <v>113</v>
      </c>
      <c r="C103" s="125">
        <v>4726</v>
      </c>
      <c r="D103" s="132">
        <f>(914370334+12734038)</f>
        <v>927104372</v>
      </c>
      <c r="E103" s="116">
        <f t="shared" si="25"/>
        <v>196171.04782056707</v>
      </c>
      <c r="F103" s="134">
        <f>(648550846+9102293)</f>
        <v>657653139</v>
      </c>
      <c r="G103" s="117">
        <f t="shared" si="26"/>
        <v>139156.39843419383</v>
      </c>
      <c r="H103" s="7"/>
      <c r="I103" s="136">
        <v>5.39</v>
      </c>
      <c r="J103" s="134">
        <f>(3495689.05994+49061)</f>
        <v>3544750.0599400001</v>
      </c>
      <c r="K103" s="120">
        <f t="shared" si="27"/>
        <v>750.0529115404147</v>
      </c>
      <c r="L103" s="122">
        <f t="shared" si="14"/>
        <v>6576531.3900000006</v>
      </c>
      <c r="M103" s="116">
        <f t="shared" si="15"/>
        <v>3031781.3300600005</v>
      </c>
      <c r="N103" s="123">
        <f t="shared" si="16"/>
        <v>641.5110728015236</v>
      </c>
      <c r="O103" s="5"/>
      <c r="P103" s="5">
        <f t="shared" si="17"/>
        <v>1</v>
      </c>
      <c r="Q103" s="7">
        <f t="shared" si="18"/>
        <v>4726</v>
      </c>
      <c r="S103" s="124">
        <f>SUM(D99:D103)</f>
        <v>9472648326</v>
      </c>
      <c r="T103" s="124">
        <f>SUM(F99:F103)</f>
        <v>5908050265</v>
      </c>
      <c r="U103" s="124">
        <f>SUM(J99:J103)</f>
        <v>28387590.581649803</v>
      </c>
    </row>
    <row r="104" spans="1:21">
      <c r="A104" s="23" t="s">
        <v>114</v>
      </c>
      <c r="B104" s="35" t="s">
        <v>115</v>
      </c>
      <c r="C104" s="125">
        <v>2363</v>
      </c>
      <c r="D104" s="132">
        <v>240013440</v>
      </c>
      <c r="E104" s="116">
        <f t="shared" si="25"/>
        <v>101571.49386373254</v>
      </c>
      <c r="F104" s="134">
        <v>148428475</v>
      </c>
      <c r="G104" s="117">
        <f t="shared" si="26"/>
        <v>62813.573846804909</v>
      </c>
      <c r="H104" s="9"/>
      <c r="I104" s="150">
        <v>9.6043000000000003</v>
      </c>
      <c r="J104" s="134">
        <v>1425551.6024425002</v>
      </c>
      <c r="K104" s="120">
        <f t="shared" si="27"/>
        <v>603.28040729686847</v>
      </c>
      <c r="L104" s="122">
        <f t="shared" si="14"/>
        <v>1484284.75</v>
      </c>
      <c r="M104" s="116">
        <f t="shared" si="15"/>
        <v>58733.147557499819</v>
      </c>
      <c r="N104" s="123">
        <f t="shared" si="16"/>
        <v>24.855331171180627</v>
      </c>
      <c r="O104" s="5"/>
      <c r="P104" s="5">
        <f t="shared" si="17"/>
        <v>1</v>
      </c>
      <c r="Q104" s="7">
        <f t="shared" si="18"/>
        <v>2363</v>
      </c>
    </row>
    <row r="105" spans="1:21">
      <c r="A105" s="23" t="s">
        <v>116</v>
      </c>
      <c r="B105" s="35" t="s">
        <v>115</v>
      </c>
      <c r="C105" s="125">
        <v>2646</v>
      </c>
      <c r="D105" s="132">
        <v>160183315</v>
      </c>
      <c r="E105" s="116">
        <f t="shared" si="25"/>
        <v>60537.911942554798</v>
      </c>
      <c r="F105" s="134">
        <v>110060825</v>
      </c>
      <c r="G105" s="117">
        <f t="shared" si="26"/>
        <v>41595.171957671955</v>
      </c>
      <c r="H105" s="9"/>
      <c r="I105" s="136">
        <v>9</v>
      </c>
      <c r="J105" s="134">
        <v>990547.42500000005</v>
      </c>
      <c r="K105" s="120">
        <f t="shared" si="27"/>
        <v>374.35654761904766</v>
      </c>
      <c r="L105" s="122">
        <f t="shared" si="14"/>
        <v>1100608.25</v>
      </c>
      <c r="M105" s="116">
        <f t="shared" si="15"/>
        <v>110060.82499999995</v>
      </c>
      <c r="N105" s="123">
        <f t="shared" si="16"/>
        <v>41.595171957671937</v>
      </c>
      <c r="O105" s="5"/>
      <c r="P105" s="5">
        <f t="shared" si="17"/>
        <v>1</v>
      </c>
      <c r="Q105" s="7">
        <f t="shared" si="18"/>
        <v>2646</v>
      </c>
      <c r="S105" s="124">
        <f>SUM(D104:D105)</f>
        <v>400196755</v>
      </c>
      <c r="T105" s="124">
        <f>SUM(F104:F105)</f>
        <v>258489300</v>
      </c>
      <c r="U105" s="124">
        <f>SUM(J104:J105)</f>
        <v>2416099.0274425</v>
      </c>
    </row>
    <row r="106" spans="1:21">
      <c r="A106" s="23" t="s">
        <v>117</v>
      </c>
      <c r="B106" s="35" t="s">
        <v>118</v>
      </c>
      <c r="C106" s="125">
        <v>2970</v>
      </c>
      <c r="D106" s="132">
        <v>220039945</v>
      </c>
      <c r="E106" s="116">
        <f t="shared" si="25"/>
        <v>74087.523569023571</v>
      </c>
      <c r="F106" s="134">
        <v>30097699</v>
      </c>
      <c r="G106" s="117">
        <f t="shared" si="26"/>
        <v>10133.905387205386</v>
      </c>
      <c r="H106" s="7"/>
      <c r="I106" s="136">
        <v>0.97460000000000002</v>
      </c>
      <c r="J106" s="134">
        <v>29333.217445399998</v>
      </c>
      <c r="K106" s="120">
        <f t="shared" si="27"/>
        <v>9.876504190370369</v>
      </c>
      <c r="L106" s="122">
        <f t="shared" si="14"/>
        <v>300976.99</v>
      </c>
      <c r="M106" s="116">
        <f t="shared" si="15"/>
        <v>271643.77255459997</v>
      </c>
      <c r="N106" s="123">
        <f t="shared" si="16"/>
        <v>91.462549681683498</v>
      </c>
      <c r="O106" s="5"/>
      <c r="P106" s="5">
        <f t="shared" si="17"/>
        <v>1</v>
      </c>
      <c r="Q106" s="7">
        <f t="shared" si="18"/>
        <v>2970</v>
      </c>
    </row>
    <row r="107" spans="1:21">
      <c r="A107" s="23" t="s">
        <v>119</v>
      </c>
      <c r="B107" s="35" t="s">
        <v>118</v>
      </c>
      <c r="C107" s="125">
        <v>591</v>
      </c>
      <c r="D107" s="132">
        <v>21642657</v>
      </c>
      <c r="E107" s="116">
        <f t="shared" si="25"/>
        <v>36620.401015228425</v>
      </c>
      <c r="F107" s="134">
        <v>8348508</v>
      </c>
      <c r="G107" s="117">
        <f t="shared" si="26"/>
        <v>14126.071065989847</v>
      </c>
      <c r="H107" s="7"/>
      <c r="I107" s="136">
        <v>5</v>
      </c>
      <c r="J107" s="134">
        <v>41742.54</v>
      </c>
      <c r="K107" s="120">
        <f t="shared" si="27"/>
        <v>70.630355329949239</v>
      </c>
      <c r="L107" s="122">
        <f t="shared" si="14"/>
        <v>83485.08</v>
      </c>
      <c r="M107" s="116">
        <f t="shared" si="15"/>
        <v>41742.54</v>
      </c>
      <c r="N107" s="123">
        <f t="shared" si="16"/>
        <v>70.630355329949239</v>
      </c>
      <c r="O107" s="5"/>
      <c r="P107" s="5">
        <f t="shared" si="17"/>
        <v>1</v>
      </c>
      <c r="Q107" s="7">
        <f t="shared" si="18"/>
        <v>591</v>
      </c>
    </row>
    <row r="108" spans="1:21">
      <c r="A108" s="23" t="s">
        <v>120</v>
      </c>
      <c r="B108" s="35" t="s">
        <v>118</v>
      </c>
      <c r="C108" s="125">
        <v>1656</v>
      </c>
      <c r="D108" s="132">
        <v>46818626</v>
      </c>
      <c r="E108" s="116">
        <f t="shared" si="25"/>
        <v>28272.117149758455</v>
      </c>
      <c r="F108" s="134">
        <v>25513134</v>
      </c>
      <c r="G108" s="117">
        <f t="shared" si="26"/>
        <v>15406.481884057972</v>
      </c>
      <c r="H108" s="7"/>
      <c r="I108" s="136">
        <v>4.7362000000000002</v>
      </c>
      <c r="J108" s="134">
        <v>120835.3052508</v>
      </c>
      <c r="K108" s="120">
        <f t="shared" si="27"/>
        <v>72.968179499275365</v>
      </c>
      <c r="L108" s="122">
        <f t="shared" si="14"/>
        <v>255131.34</v>
      </c>
      <c r="M108" s="116">
        <f t="shared" si="15"/>
        <v>134296.03474919999</v>
      </c>
      <c r="N108" s="123">
        <f t="shared" si="16"/>
        <v>81.096639341304339</v>
      </c>
      <c r="O108" s="5"/>
      <c r="P108" s="5">
        <f t="shared" si="17"/>
        <v>1</v>
      </c>
      <c r="Q108" s="7">
        <f t="shared" si="18"/>
        <v>1656</v>
      </c>
    </row>
    <row r="109" spans="1:21">
      <c r="A109" s="23" t="s">
        <v>121</v>
      </c>
      <c r="B109" s="35" t="s">
        <v>118</v>
      </c>
      <c r="C109" s="125">
        <v>1800</v>
      </c>
      <c r="D109" s="132">
        <v>97175654</v>
      </c>
      <c r="E109" s="116">
        <f t="shared" si="25"/>
        <v>53986.474444444444</v>
      </c>
      <c r="F109" s="134">
        <v>66846697</v>
      </c>
      <c r="G109" s="117">
        <f t="shared" si="26"/>
        <v>37137.053888888891</v>
      </c>
      <c r="H109" s="7"/>
      <c r="I109" s="136">
        <v>1.8776999999999999</v>
      </c>
      <c r="J109" s="134">
        <v>125518.0429569</v>
      </c>
      <c r="K109" s="120">
        <f t="shared" si="27"/>
        <v>69.732246087166672</v>
      </c>
      <c r="L109" s="122">
        <f t="shared" si="14"/>
        <v>668466.97</v>
      </c>
      <c r="M109" s="116">
        <f t="shared" si="15"/>
        <v>542948.9270431</v>
      </c>
      <c r="N109" s="123">
        <f t="shared" si="16"/>
        <v>301.63829280172223</v>
      </c>
      <c r="O109" s="5"/>
      <c r="P109" s="5">
        <f t="shared" si="17"/>
        <v>1</v>
      </c>
      <c r="Q109" s="7">
        <f t="shared" si="18"/>
        <v>1800</v>
      </c>
    </row>
    <row r="110" spans="1:21">
      <c r="A110" s="23" t="s">
        <v>122</v>
      </c>
      <c r="B110" s="35" t="s">
        <v>118</v>
      </c>
      <c r="C110" s="125">
        <v>3409</v>
      </c>
      <c r="D110" s="132">
        <v>204781292</v>
      </c>
      <c r="E110" s="116">
        <f t="shared" si="25"/>
        <v>60070.780874156648</v>
      </c>
      <c r="F110" s="134">
        <v>144011086</v>
      </c>
      <c r="G110" s="117">
        <f t="shared" si="26"/>
        <v>42244.378410090932</v>
      </c>
      <c r="H110" s="7"/>
      <c r="I110" s="136">
        <v>5</v>
      </c>
      <c r="J110" s="134">
        <v>720055.43</v>
      </c>
      <c r="K110" s="120">
        <f t="shared" si="27"/>
        <v>211.2218920504547</v>
      </c>
      <c r="L110" s="122">
        <f t="shared" si="14"/>
        <v>1440110.86</v>
      </c>
      <c r="M110" s="116">
        <f t="shared" si="15"/>
        <v>720055.43</v>
      </c>
      <c r="N110" s="123">
        <f t="shared" si="16"/>
        <v>211.2218920504547</v>
      </c>
      <c r="O110" s="5"/>
      <c r="P110" s="5">
        <f t="shared" si="17"/>
        <v>1</v>
      </c>
      <c r="Q110" s="7">
        <f t="shared" si="18"/>
        <v>3409</v>
      </c>
    </row>
    <row r="111" spans="1:21">
      <c r="A111" s="23" t="s">
        <v>123</v>
      </c>
      <c r="B111" s="35" t="s">
        <v>118</v>
      </c>
      <c r="C111" s="125">
        <v>8176</v>
      </c>
      <c r="D111" s="132">
        <v>498680710</v>
      </c>
      <c r="E111" s="116">
        <f t="shared" si="25"/>
        <v>60993.237524461838</v>
      </c>
      <c r="F111" s="134">
        <v>217450566</v>
      </c>
      <c r="G111" s="117">
        <f t="shared" si="26"/>
        <v>26596.204256360077</v>
      </c>
      <c r="H111" s="9"/>
      <c r="I111" s="136">
        <v>5</v>
      </c>
      <c r="J111" s="134">
        <v>1087252.83</v>
      </c>
      <c r="K111" s="120">
        <f t="shared" si="27"/>
        <v>132.98102128180039</v>
      </c>
      <c r="L111" s="122">
        <f t="shared" si="14"/>
        <v>2174505.66</v>
      </c>
      <c r="M111" s="116">
        <f t="shared" si="15"/>
        <v>1087252.83</v>
      </c>
      <c r="N111" s="123">
        <f t="shared" si="16"/>
        <v>132.98102128180039</v>
      </c>
      <c r="O111" s="5"/>
      <c r="P111" s="5">
        <f t="shared" si="17"/>
        <v>1</v>
      </c>
      <c r="Q111" s="7">
        <f t="shared" si="18"/>
        <v>8176</v>
      </c>
      <c r="S111" s="124">
        <f>SUM(D106:D111)</f>
        <v>1089138884</v>
      </c>
      <c r="T111" s="124">
        <f>SUM(F106:F111)</f>
        <v>492267690</v>
      </c>
      <c r="U111" s="124">
        <f>SUM(J106:J111)</f>
        <v>2124737.3656531</v>
      </c>
    </row>
    <row r="112" spans="1:21">
      <c r="A112" s="23" t="s">
        <v>124</v>
      </c>
      <c r="B112" s="35" t="s">
        <v>125</v>
      </c>
      <c r="C112" s="125">
        <v>498</v>
      </c>
      <c r="D112" s="132">
        <v>39833933</v>
      </c>
      <c r="E112" s="116">
        <f t="shared" si="25"/>
        <v>79987.817269076302</v>
      </c>
      <c r="F112" s="134">
        <v>17420668</v>
      </c>
      <c r="G112" s="117">
        <f t="shared" si="26"/>
        <v>34981.26104417671</v>
      </c>
      <c r="H112" s="9"/>
      <c r="I112" s="136">
        <v>3</v>
      </c>
      <c r="J112" s="134">
        <v>52262.004000000001</v>
      </c>
      <c r="K112" s="120">
        <f t="shared" si="27"/>
        <v>104.94378313253013</v>
      </c>
      <c r="L112" s="122">
        <f t="shared" si="14"/>
        <v>174206.68</v>
      </c>
      <c r="M112" s="116">
        <f t="shared" si="15"/>
        <v>121944.67599999999</v>
      </c>
      <c r="N112" s="123">
        <f t="shared" si="16"/>
        <v>244.86882730923693</v>
      </c>
      <c r="O112" s="5"/>
      <c r="P112" s="5">
        <f t="shared" si="17"/>
        <v>1</v>
      </c>
      <c r="Q112" s="7">
        <f t="shared" si="18"/>
        <v>498</v>
      </c>
    </row>
    <row r="113" spans="1:21">
      <c r="A113" s="23" t="s">
        <v>126</v>
      </c>
      <c r="B113" s="35" t="s">
        <v>125</v>
      </c>
      <c r="C113" s="125">
        <v>2029</v>
      </c>
      <c r="D113" s="132">
        <v>111634570</v>
      </c>
      <c r="E113" s="116">
        <f t="shared" si="25"/>
        <v>55019.502217841298</v>
      </c>
      <c r="F113" s="134">
        <v>59418330</v>
      </c>
      <c r="G113" s="117">
        <f t="shared" si="26"/>
        <v>29284.539181862987</v>
      </c>
      <c r="H113" s="9"/>
      <c r="I113" s="150">
        <v>2.25</v>
      </c>
      <c r="J113" s="134">
        <v>133691.24249999999</v>
      </c>
      <c r="K113" s="120">
        <f t="shared" si="27"/>
        <v>65.890213159191717</v>
      </c>
      <c r="L113" s="122">
        <f t="shared" si="14"/>
        <v>594183.30000000005</v>
      </c>
      <c r="M113" s="116">
        <f t="shared" si="15"/>
        <v>460492.05750000005</v>
      </c>
      <c r="N113" s="123">
        <f t="shared" si="16"/>
        <v>226.95517865943816</v>
      </c>
      <c r="O113" s="5"/>
      <c r="P113" s="5">
        <f t="shared" si="17"/>
        <v>1</v>
      </c>
      <c r="Q113" s="7">
        <f t="shared" si="18"/>
        <v>2029</v>
      </c>
    </row>
    <row r="114" spans="1:21">
      <c r="A114" s="23" t="s">
        <v>127</v>
      </c>
      <c r="B114" s="35" t="s">
        <v>128</v>
      </c>
      <c r="C114" s="125">
        <v>859</v>
      </c>
      <c r="D114" s="147">
        <f>(32839117+36730778)</f>
        <v>69569895</v>
      </c>
      <c r="E114" s="116">
        <f t="shared" si="25"/>
        <v>80989.400465657745</v>
      </c>
      <c r="F114" s="134">
        <f>(18246421+21824156)</f>
        <v>40070577</v>
      </c>
      <c r="G114" s="117">
        <f t="shared" si="26"/>
        <v>46647.935972060535</v>
      </c>
      <c r="H114" s="7"/>
      <c r="I114" s="150">
        <v>3</v>
      </c>
      <c r="J114" s="134">
        <f>(54739.263+65472)</f>
        <v>120211.26300000001</v>
      </c>
      <c r="K114" s="120">
        <f t="shared" si="27"/>
        <v>139.94326309662398</v>
      </c>
      <c r="L114" s="122">
        <f t="shared" si="14"/>
        <v>400705.77</v>
      </c>
      <c r="M114" s="116">
        <f t="shared" si="15"/>
        <v>280494.50699999998</v>
      </c>
      <c r="N114" s="123">
        <f t="shared" si="16"/>
        <v>326.53609662398134</v>
      </c>
      <c r="O114" s="5"/>
      <c r="P114" s="5">
        <f t="shared" si="17"/>
        <v>1</v>
      </c>
      <c r="Q114" s="7">
        <f t="shared" si="18"/>
        <v>859</v>
      </c>
      <c r="S114" s="124">
        <f>SUM(D112:D114)</f>
        <v>221038398</v>
      </c>
      <c r="T114" s="124">
        <f>SUM(F112:F114)</f>
        <v>116909575</v>
      </c>
      <c r="U114" s="124">
        <f>SUM(J112:J114)</f>
        <v>306164.50950000004</v>
      </c>
    </row>
    <row r="115" spans="1:21">
      <c r="A115" s="23" t="s">
        <v>129</v>
      </c>
      <c r="B115" s="35" t="s">
        <v>130</v>
      </c>
      <c r="C115" s="125">
        <v>1740</v>
      </c>
      <c r="D115" s="132">
        <v>107657491</v>
      </c>
      <c r="E115" s="116">
        <f t="shared" si="25"/>
        <v>61872.121264367815</v>
      </c>
      <c r="F115" s="134">
        <v>40409452</v>
      </c>
      <c r="G115" s="117">
        <f t="shared" si="26"/>
        <v>23223.822988505748</v>
      </c>
      <c r="H115" s="9"/>
      <c r="I115" s="136">
        <v>4.8555999999999999</v>
      </c>
      <c r="J115" s="134">
        <v>196212.13513119999</v>
      </c>
      <c r="K115" s="120">
        <f t="shared" si="27"/>
        <v>112.7655949029885</v>
      </c>
      <c r="L115" s="122">
        <f t="shared" si="14"/>
        <v>404094.52</v>
      </c>
      <c r="M115" s="116">
        <f t="shared" si="15"/>
        <v>207882.38486880003</v>
      </c>
      <c r="N115" s="123">
        <f t="shared" si="16"/>
        <v>119.47263498206898</v>
      </c>
      <c r="O115" s="5"/>
      <c r="P115" s="5">
        <f t="shared" si="17"/>
        <v>1</v>
      </c>
      <c r="Q115" s="7">
        <f t="shared" si="18"/>
        <v>1740</v>
      </c>
      <c r="S115" s="124">
        <f>SUM(D115)</f>
        <v>107657491</v>
      </c>
      <c r="T115" s="124">
        <f>SUM(F115)</f>
        <v>40409452</v>
      </c>
      <c r="U115" s="124">
        <f>SUM(J115)</f>
        <v>196212.13513119999</v>
      </c>
    </row>
    <row r="116" spans="1:21">
      <c r="A116" s="24" t="s">
        <v>545</v>
      </c>
      <c r="B116" s="35" t="s">
        <v>131</v>
      </c>
      <c r="C116" s="125">
        <v>3700</v>
      </c>
      <c r="D116" s="132">
        <v>480063344</v>
      </c>
      <c r="E116" s="116">
        <f t="shared" si="25"/>
        <v>129746.84972972973</v>
      </c>
      <c r="F116" s="134">
        <v>307812673</v>
      </c>
      <c r="G116" s="117">
        <f t="shared" si="26"/>
        <v>83192.614324324328</v>
      </c>
      <c r="H116" s="9"/>
      <c r="I116" s="136">
        <v>3.5914000000000001</v>
      </c>
      <c r="J116" s="134">
        <v>1105478.4338122001</v>
      </c>
      <c r="K116" s="120">
        <f t="shared" si="27"/>
        <v>298.77795508437839</v>
      </c>
      <c r="L116" s="122">
        <f t="shared" si="14"/>
        <v>3078126.73</v>
      </c>
      <c r="M116" s="116">
        <f t="shared" si="15"/>
        <v>1972648.2961877999</v>
      </c>
      <c r="N116" s="123">
        <f t="shared" si="16"/>
        <v>533.14818815886485</v>
      </c>
      <c r="O116" s="5"/>
      <c r="P116" s="5">
        <f t="shared" si="17"/>
        <v>1</v>
      </c>
      <c r="Q116" s="7">
        <f t="shared" si="18"/>
        <v>3700</v>
      </c>
    </row>
    <row r="117" spans="1:21">
      <c r="A117" s="23" t="s">
        <v>132</v>
      </c>
      <c r="B117" s="35" t="s">
        <v>131</v>
      </c>
      <c r="C117" s="125">
        <v>2052</v>
      </c>
      <c r="D117" s="132">
        <v>101505342</v>
      </c>
      <c r="E117" s="116">
        <f t="shared" si="25"/>
        <v>49466.540935672514</v>
      </c>
      <c r="F117" s="134">
        <v>56255403</v>
      </c>
      <c r="G117" s="117">
        <f t="shared" si="26"/>
        <v>27414.91374269006</v>
      </c>
      <c r="H117" s="9"/>
      <c r="I117" s="136">
        <v>6.133</v>
      </c>
      <c r="J117" s="134">
        <v>345014.38659899996</v>
      </c>
      <c r="K117" s="120">
        <f t="shared" si="27"/>
        <v>168.1356659839181</v>
      </c>
      <c r="L117" s="122">
        <f t="shared" si="14"/>
        <v>562554.03</v>
      </c>
      <c r="M117" s="116">
        <f t="shared" si="15"/>
        <v>217539.64340100007</v>
      </c>
      <c r="N117" s="123">
        <f t="shared" si="16"/>
        <v>106.01347144298249</v>
      </c>
      <c r="O117" s="5"/>
      <c r="P117" s="5">
        <f t="shared" si="17"/>
        <v>1</v>
      </c>
      <c r="Q117" s="7">
        <f t="shared" si="18"/>
        <v>2052</v>
      </c>
      <c r="S117" s="124">
        <f>SUM(D116:D117)</f>
        <v>581568686</v>
      </c>
      <c r="T117" s="124">
        <f>SUM(F116:F117)</f>
        <v>364068076</v>
      </c>
      <c r="U117" s="124">
        <f>SUM(J116:J117)</f>
        <v>1450492.8204112002</v>
      </c>
    </row>
    <row r="118" spans="1:21">
      <c r="A118" s="23" t="s">
        <v>133</v>
      </c>
      <c r="B118" s="35" t="s">
        <v>134</v>
      </c>
      <c r="C118" s="125">
        <v>2819</v>
      </c>
      <c r="D118" s="132">
        <v>95402001</v>
      </c>
      <c r="E118" s="116">
        <f t="shared" si="25"/>
        <v>33842.497694217811</v>
      </c>
      <c r="F118" s="134">
        <v>45932729</v>
      </c>
      <c r="G118" s="117">
        <f t="shared" si="26"/>
        <v>16293.979780063852</v>
      </c>
      <c r="H118" s="7"/>
      <c r="I118" s="136">
        <v>7.9489999999999998</v>
      </c>
      <c r="J118" s="134">
        <v>365119.26282099995</v>
      </c>
      <c r="K118" s="120">
        <f t="shared" si="27"/>
        <v>129.52084527172755</v>
      </c>
      <c r="L118" s="122">
        <f t="shared" si="14"/>
        <v>459327.29000000004</v>
      </c>
      <c r="M118" s="116">
        <f t="shared" si="15"/>
        <v>94208.027179000084</v>
      </c>
      <c r="N118" s="123">
        <f t="shared" si="16"/>
        <v>33.418952528910992</v>
      </c>
      <c r="O118" s="5"/>
      <c r="P118" s="5">
        <f t="shared" si="17"/>
        <v>1</v>
      </c>
      <c r="Q118" s="7">
        <f t="shared" si="18"/>
        <v>2819</v>
      </c>
    </row>
    <row r="119" spans="1:21">
      <c r="A119" s="23" t="s">
        <v>135</v>
      </c>
      <c r="B119" s="35" t="s">
        <v>134</v>
      </c>
      <c r="C119" s="125">
        <v>880</v>
      </c>
      <c r="D119" s="132">
        <v>19589208</v>
      </c>
      <c r="E119" s="116">
        <f t="shared" si="25"/>
        <v>22260.463636363635</v>
      </c>
      <c r="F119" s="134">
        <v>12106111</v>
      </c>
      <c r="G119" s="117">
        <f t="shared" si="26"/>
        <v>13756.944318181819</v>
      </c>
      <c r="H119" s="7"/>
      <c r="I119" s="136">
        <v>4.9000000000000004</v>
      </c>
      <c r="J119" s="134">
        <v>59319.943900000006</v>
      </c>
      <c r="K119" s="120">
        <f t="shared" si="27"/>
        <v>67.409027159090911</v>
      </c>
      <c r="L119" s="122">
        <f t="shared" si="14"/>
        <v>121061.11</v>
      </c>
      <c r="M119" s="116">
        <f t="shared" si="15"/>
        <v>61741.166099999995</v>
      </c>
      <c r="N119" s="123">
        <f t="shared" si="16"/>
        <v>70.160416022727262</v>
      </c>
      <c r="O119" s="5"/>
      <c r="P119" s="5">
        <f t="shared" si="17"/>
        <v>1</v>
      </c>
      <c r="Q119" s="7">
        <f t="shared" si="18"/>
        <v>880</v>
      </c>
    </row>
    <row r="120" spans="1:21">
      <c r="A120" s="23" t="s">
        <v>136</v>
      </c>
      <c r="B120" s="35" t="s">
        <v>134</v>
      </c>
      <c r="C120" s="125">
        <v>764</v>
      </c>
      <c r="D120" s="132">
        <v>34641632</v>
      </c>
      <c r="E120" s="116">
        <f t="shared" si="25"/>
        <v>45342.450261780104</v>
      </c>
      <c r="F120" s="134">
        <v>17190550</v>
      </c>
      <c r="G120" s="117">
        <f t="shared" si="26"/>
        <v>22500.719895287959</v>
      </c>
      <c r="H120" s="7"/>
      <c r="I120" s="136">
        <v>4.4134000000000002</v>
      </c>
      <c r="J120" s="134">
        <v>75868.77337000001</v>
      </c>
      <c r="K120" s="120">
        <f t="shared" si="27"/>
        <v>99.304677185863881</v>
      </c>
      <c r="L120" s="122">
        <f t="shared" si="14"/>
        <v>171905.5</v>
      </c>
      <c r="M120" s="116">
        <f t="shared" si="15"/>
        <v>96036.72662999999</v>
      </c>
      <c r="N120" s="123">
        <f t="shared" si="16"/>
        <v>125.7025217670157</v>
      </c>
      <c r="O120" s="5"/>
      <c r="P120" s="5">
        <f t="shared" si="17"/>
        <v>1</v>
      </c>
      <c r="Q120" s="7">
        <f t="shared" si="18"/>
        <v>764</v>
      </c>
      <c r="S120" s="124">
        <f>SUM(D118:D120)</f>
        <v>149632841</v>
      </c>
      <c r="T120" s="124">
        <f>SUM(F118:F120)</f>
        <v>75229390</v>
      </c>
      <c r="U120" s="124">
        <f>SUM(J118:J120)</f>
        <v>500307.98009099998</v>
      </c>
    </row>
    <row r="121" spans="1:21">
      <c r="A121" s="23" t="s">
        <v>137</v>
      </c>
      <c r="B121" s="35" t="s">
        <v>138</v>
      </c>
      <c r="C121" s="125">
        <v>2869</v>
      </c>
      <c r="D121" s="132">
        <v>73283348</v>
      </c>
      <c r="E121" s="116">
        <f t="shared" si="25"/>
        <v>25543.167654234923</v>
      </c>
      <c r="F121" s="134">
        <v>37762709</v>
      </c>
      <c r="G121" s="117">
        <f t="shared" si="26"/>
        <v>13162.324503311258</v>
      </c>
      <c r="H121" s="7"/>
      <c r="I121" s="136">
        <v>7.25</v>
      </c>
      <c r="J121" s="134">
        <v>273779.64025</v>
      </c>
      <c r="K121" s="120">
        <f t="shared" si="27"/>
        <v>95.426852649006619</v>
      </c>
      <c r="L121" s="122">
        <f t="shared" si="14"/>
        <v>377627.09</v>
      </c>
      <c r="M121" s="116">
        <f t="shared" si="15"/>
        <v>103847.44975000003</v>
      </c>
      <c r="N121" s="123">
        <f t="shared" si="16"/>
        <v>36.19639238410597</v>
      </c>
      <c r="O121" s="5"/>
      <c r="P121" s="5">
        <f t="shared" si="17"/>
        <v>1</v>
      </c>
      <c r="Q121" s="7">
        <f t="shared" si="18"/>
        <v>2869</v>
      </c>
    </row>
    <row r="122" spans="1:21">
      <c r="A122" s="23" t="s">
        <v>139</v>
      </c>
      <c r="B122" s="35" t="s">
        <v>138</v>
      </c>
      <c r="C122" s="125">
        <v>5133</v>
      </c>
      <c r="D122" s="132">
        <v>245665460</v>
      </c>
      <c r="E122" s="116">
        <f t="shared" si="25"/>
        <v>47860.015585427624</v>
      </c>
      <c r="F122" s="134">
        <v>118560693</v>
      </c>
      <c r="G122" s="117">
        <f t="shared" si="26"/>
        <v>23097.738749269432</v>
      </c>
      <c r="H122" s="7"/>
      <c r="I122" s="136">
        <v>5.6353999999999997</v>
      </c>
      <c r="J122" s="134">
        <v>668136.92933219997</v>
      </c>
      <c r="K122" s="120">
        <f t="shared" si="27"/>
        <v>130.16499694763297</v>
      </c>
      <c r="L122" s="122">
        <f t="shared" si="14"/>
        <v>1185606.93</v>
      </c>
      <c r="M122" s="116">
        <f t="shared" si="15"/>
        <v>517470.00066779996</v>
      </c>
      <c r="N122" s="123">
        <f t="shared" si="16"/>
        <v>100.81239054506136</v>
      </c>
      <c r="O122" s="5"/>
      <c r="P122" s="5">
        <f t="shared" si="17"/>
        <v>1</v>
      </c>
      <c r="Q122" s="7">
        <f t="shared" si="18"/>
        <v>5133</v>
      </c>
    </row>
    <row r="123" spans="1:21">
      <c r="A123" s="23" t="s">
        <v>140</v>
      </c>
      <c r="B123" s="35" t="s">
        <v>138</v>
      </c>
      <c r="C123" s="125">
        <v>1796</v>
      </c>
      <c r="D123" s="132">
        <v>58182809</v>
      </c>
      <c r="E123" s="116">
        <f t="shared" si="25"/>
        <v>32395.773385300668</v>
      </c>
      <c r="F123" s="134">
        <v>26865003</v>
      </c>
      <c r="G123" s="117">
        <f t="shared" si="26"/>
        <v>14958.242204899778</v>
      </c>
      <c r="H123" s="7"/>
      <c r="I123" s="136">
        <v>8.5540000000000003</v>
      </c>
      <c r="J123" s="134">
        <v>229803.23566199999</v>
      </c>
      <c r="K123" s="120">
        <f t="shared" si="27"/>
        <v>127.95280382071269</v>
      </c>
      <c r="L123" s="122">
        <f t="shared" si="14"/>
        <v>268650.03000000003</v>
      </c>
      <c r="M123" s="116">
        <f t="shared" si="15"/>
        <v>38846.794338000036</v>
      </c>
      <c r="N123" s="123">
        <f t="shared" si="16"/>
        <v>21.629618228285096</v>
      </c>
      <c r="O123" s="5"/>
      <c r="P123" s="5">
        <f t="shared" si="17"/>
        <v>1</v>
      </c>
      <c r="Q123" s="7">
        <f t="shared" si="18"/>
        <v>1796</v>
      </c>
      <c r="S123" s="124">
        <f>SUM(D121:D123)</f>
        <v>377131617</v>
      </c>
      <c r="T123" s="124">
        <f>SUM(F121:F123)</f>
        <v>183188405</v>
      </c>
      <c r="U123" s="124">
        <f>SUM(J121:J123)</f>
        <v>1171719.8052441999</v>
      </c>
    </row>
    <row r="124" spans="1:21">
      <c r="A124" s="23" t="s">
        <v>141</v>
      </c>
      <c r="B124" s="35" t="s">
        <v>142</v>
      </c>
      <c r="C124" s="125">
        <v>7943</v>
      </c>
      <c r="D124" s="132">
        <v>499985898</v>
      </c>
      <c r="E124" s="116">
        <f t="shared" si="25"/>
        <v>62946.732720634522</v>
      </c>
      <c r="F124" s="134">
        <v>231811238</v>
      </c>
      <c r="G124" s="117">
        <f t="shared" si="26"/>
        <v>29184.343195266272</v>
      </c>
      <c r="H124" s="7"/>
      <c r="I124" s="136">
        <v>6.5313999999999997</v>
      </c>
      <c r="J124" s="134">
        <v>1514051.9198731999</v>
      </c>
      <c r="K124" s="120">
        <f t="shared" si="27"/>
        <v>190.61461914556213</v>
      </c>
      <c r="L124" s="122">
        <f t="shared" si="14"/>
        <v>2318112.38</v>
      </c>
      <c r="M124" s="116">
        <f t="shared" si="15"/>
        <v>804060.4601268</v>
      </c>
      <c r="N124" s="123">
        <f t="shared" si="16"/>
        <v>101.2288128071006</v>
      </c>
      <c r="O124" s="5"/>
      <c r="P124" s="5">
        <f t="shared" si="17"/>
        <v>1</v>
      </c>
      <c r="Q124" s="7">
        <f t="shared" si="18"/>
        <v>7943</v>
      </c>
    </row>
    <row r="125" spans="1:21">
      <c r="A125" s="23" t="s">
        <v>558</v>
      </c>
      <c r="B125" s="35" t="s">
        <v>142</v>
      </c>
      <c r="C125" s="125">
        <v>5025</v>
      </c>
      <c r="D125" s="132">
        <v>428841626</v>
      </c>
      <c r="E125" s="116">
        <f t="shared" si="25"/>
        <v>85341.617114427863</v>
      </c>
      <c r="F125" s="134">
        <v>209717448</v>
      </c>
      <c r="G125" s="117">
        <f t="shared" si="26"/>
        <v>41734.81552238806</v>
      </c>
      <c r="H125" s="7"/>
      <c r="I125" s="136">
        <v>3.6046</v>
      </c>
      <c r="J125" s="134">
        <v>755947.51306079992</v>
      </c>
      <c r="K125" s="120">
        <f t="shared" si="27"/>
        <v>150.43731603199998</v>
      </c>
      <c r="L125" s="122">
        <f t="shared" si="14"/>
        <v>2097174.48</v>
      </c>
      <c r="M125" s="116">
        <f t="shared" si="15"/>
        <v>1341226.9669392002</v>
      </c>
      <c r="N125" s="123">
        <f t="shared" si="16"/>
        <v>266.91083919188065</v>
      </c>
      <c r="O125" s="5"/>
      <c r="P125" s="5">
        <f t="shared" si="17"/>
        <v>1</v>
      </c>
      <c r="Q125" s="7">
        <f t="shared" si="18"/>
        <v>5025</v>
      </c>
      <c r="S125" s="124">
        <f>SUM(D124:D125)</f>
        <v>928827524</v>
      </c>
      <c r="T125" s="124">
        <f>SUM(F124:F125)</f>
        <v>441528686</v>
      </c>
      <c r="U125" s="124">
        <f>SUM(J124:J125)</f>
        <v>2269999.4329339997</v>
      </c>
    </row>
    <row r="126" spans="1:21">
      <c r="A126" s="23" t="s">
        <v>143</v>
      </c>
      <c r="B126" s="35" t="s">
        <v>144</v>
      </c>
      <c r="C126" s="125">
        <v>8410</v>
      </c>
      <c r="D126" s="132">
        <v>1010858343</v>
      </c>
      <c r="E126" s="116">
        <f t="shared" si="25"/>
        <v>120197.187039239</v>
      </c>
      <c r="F126" s="134">
        <v>430698776</v>
      </c>
      <c r="G126" s="117">
        <f t="shared" si="26"/>
        <v>51212.696313912013</v>
      </c>
      <c r="H126" s="7"/>
      <c r="I126" s="136">
        <v>6.2</v>
      </c>
      <c r="J126" s="134">
        <v>2670332.4112000004</v>
      </c>
      <c r="K126" s="120">
        <f t="shared" si="27"/>
        <v>317.51871714625452</v>
      </c>
      <c r="L126" s="122">
        <f t="shared" si="14"/>
        <v>4306987.76</v>
      </c>
      <c r="M126" s="116">
        <f t="shared" si="15"/>
        <v>1636655.3487999993</v>
      </c>
      <c r="N126" s="123">
        <f t="shared" si="16"/>
        <v>194.60824599286556</v>
      </c>
      <c r="O126" s="5"/>
      <c r="P126" s="5">
        <f t="shared" si="17"/>
        <v>1</v>
      </c>
      <c r="Q126" s="7">
        <f t="shared" si="18"/>
        <v>8410</v>
      </c>
    </row>
    <row r="127" spans="1:21">
      <c r="A127" s="23" t="s">
        <v>145</v>
      </c>
      <c r="B127" s="35" t="s">
        <v>144</v>
      </c>
      <c r="C127" s="125">
        <v>9</v>
      </c>
      <c r="D127" s="132">
        <v>48209496</v>
      </c>
      <c r="E127" s="116">
        <f t="shared" si="25"/>
        <v>5356610.666666667</v>
      </c>
      <c r="F127" s="134">
        <v>17166748</v>
      </c>
      <c r="G127" s="117">
        <f t="shared" si="26"/>
        <v>1907416.4444444445</v>
      </c>
      <c r="H127" s="7"/>
      <c r="I127" s="136">
        <v>2.8420999999999998</v>
      </c>
      <c r="J127" s="134">
        <v>48789.614490799999</v>
      </c>
      <c r="K127" s="120">
        <f t="shared" si="27"/>
        <v>5421.0682767555554</v>
      </c>
      <c r="L127" s="122">
        <f t="shared" si="14"/>
        <v>171667.48</v>
      </c>
      <c r="M127" s="116">
        <f t="shared" si="15"/>
        <v>122877.86550920001</v>
      </c>
      <c r="N127" s="123">
        <f t="shared" si="16"/>
        <v>13653.096167688891</v>
      </c>
      <c r="O127" s="5"/>
      <c r="P127" s="5">
        <f t="shared" si="17"/>
        <v>1</v>
      </c>
      <c r="Q127" s="7">
        <f t="shared" si="18"/>
        <v>9</v>
      </c>
      <c r="S127" s="124">
        <f>SUM(D126:D127)</f>
        <v>1059067839</v>
      </c>
      <c r="T127" s="124">
        <f>SUM(F126:F127)</f>
        <v>447865524</v>
      </c>
      <c r="U127" s="124">
        <f>SUM(J126:J127)</f>
        <v>2719122.0256908005</v>
      </c>
    </row>
    <row r="128" spans="1:21">
      <c r="A128" s="23" t="s">
        <v>146</v>
      </c>
      <c r="B128" s="35" t="s">
        <v>147</v>
      </c>
      <c r="C128" s="125">
        <v>11187</v>
      </c>
      <c r="D128" s="132">
        <v>581808664</v>
      </c>
      <c r="E128" s="116">
        <f t="shared" si="25"/>
        <v>52007.568070081346</v>
      </c>
      <c r="F128" s="134">
        <v>290582108</v>
      </c>
      <c r="G128" s="117">
        <f t="shared" si="26"/>
        <v>25974.980602485026</v>
      </c>
      <c r="H128" s="7"/>
      <c r="I128" s="136">
        <v>0.3</v>
      </c>
      <c r="J128" s="134">
        <v>87174.632399999988</v>
      </c>
      <c r="K128" s="120">
        <f t="shared" si="27"/>
        <v>7.792494180745507</v>
      </c>
      <c r="L128" s="122">
        <f t="shared" si="14"/>
        <v>2905821.08</v>
      </c>
      <c r="M128" s="116">
        <f t="shared" si="15"/>
        <v>2818646.4476000001</v>
      </c>
      <c r="N128" s="123">
        <f t="shared" si="16"/>
        <v>251.95731184410477</v>
      </c>
      <c r="O128" s="5"/>
      <c r="P128" s="5">
        <f t="shared" si="17"/>
        <v>1</v>
      </c>
      <c r="Q128" s="7">
        <f t="shared" si="18"/>
        <v>11187</v>
      </c>
    </row>
    <row r="129" spans="1:21">
      <c r="A129" s="23" t="s">
        <v>148</v>
      </c>
      <c r="B129" s="35" t="s">
        <v>147</v>
      </c>
      <c r="C129" s="125">
        <v>2632</v>
      </c>
      <c r="D129" s="132">
        <v>288327768</v>
      </c>
      <c r="E129" s="116">
        <f t="shared" si="25"/>
        <v>109547.02431610943</v>
      </c>
      <c r="F129" s="134">
        <v>195689143</v>
      </c>
      <c r="G129" s="117">
        <f t="shared" si="26"/>
        <v>74349.978343465045</v>
      </c>
      <c r="H129" s="7"/>
      <c r="I129" s="136">
        <v>3.65</v>
      </c>
      <c r="J129" s="134">
        <v>714265.37194999994</v>
      </c>
      <c r="K129" s="120">
        <f t="shared" si="27"/>
        <v>271.3774209536474</v>
      </c>
      <c r="L129" s="122">
        <f t="shared" si="14"/>
        <v>1956891.43</v>
      </c>
      <c r="M129" s="116">
        <f t="shared" si="15"/>
        <v>1242626.0580500001</v>
      </c>
      <c r="N129" s="123">
        <f t="shared" si="16"/>
        <v>472.12236248100311</v>
      </c>
      <c r="O129" s="5"/>
      <c r="P129" s="5">
        <f t="shared" si="17"/>
        <v>1</v>
      </c>
      <c r="Q129" s="7">
        <f t="shared" si="18"/>
        <v>2632</v>
      </c>
    </row>
    <row r="130" spans="1:21">
      <c r="A130" s="23" t="s">
        <v>149</v>
      </c>
      <c r="B130" s="35" t="s">
        <v>147</v>
      </c>
      <c r="C130" s="125">
        <v>11087</v>
      </c>
      <c r="D130" s="132">
        <v>873855923</v>
      </c>
      <c r="E130" s="116">
        <f t="shared" si="25"/>
        <v>78818.068278163613</v>
      </c>
      <c r="F130" s="134">
        <v>589114452</v>
      </c>
      <c r="G130" s="117">
        <f t="shared" si="26"/>
        <v>53135.604942725717</v>
      </c>
      <c r="H130" s="7"/>
      <c r="I130" s="136">
        <v>5.3183999999999996</v>
      </c>
      <c r="J130" s="134">
        <v>3133146.3015167997</v>
      </c>
      <c r="K130" s="120">
        <f t="shared" si="27"/>
        <v>282.59640132739241</v>
      </c>
      <c r="L130" s="122">
        <f t="shared" si="14"/>
        <v>5891144.5200000005</v>
      </c>
      <c r="M130" s="116">
        <f t="shared" si="15"/>
        <v>2757998.2184832008</v>
      </c>
      <c r="N130" s="123">
        <f t="shared" si="16"/>
        <v>248.75964809986476</v>
      </c>
      <c r="O130" s="5"/>
      <c r="P130" s="5">
        <f t="shared" si="17"/>
        <v>1</v>
      </c>
      <c r="Q130" s="7">
        <f t="shared" si="18"/>
        <v>11087</v>
      </c>
      <c r="S130" s="124">
        <f>SUM(D128:D130)</f>
        <v>1743992355</v>
      </c>
      <c r="T130" s="124">
        <f>SUM(F128:F130)</f>
        <v>1075385703</v>
      </c>
      <c r="U130" s="124">
        <f>SUM(J128:J130)</f>
        <v>3934586.3058667998</v>
      </c>
    </row>
    <row r="131" spans="1:21">
      <c r="A131" s="23" t="s">
        <v>150</v>
      </c>
      <c r="B131" s="35" t="s">
        <v>151</v>
      </c>
      <c r="C131" s="125">
        <v>38938</v>
      </c>
      <c r="D131" s="132">
        <v>3274105718</v>
      </c>
      <c r="E131" s="116">
        <f t="shared" si="25"/>
        <v>84085.102419230578</v>
      </c>
      <c r="F131" s="134">
        <v>2175004737</v>
      </c>
      <c r="G131" s="117">
        <f t="shared" si="26"/>
        <v>55858.152370435047</v>
      </c>
      <c r="H131" s="7"/>
      <c r="I131" s="136">
        <v>5.7157</v>
      </c>
      <c r="J131" s="134">
        <v>12431674.575270901</v>
      </c>
      <c r="K131" s="120">
        <f t="shared" si="27"/>
        <v>319.26844150369561</v>
      </c>
      <c r="L131" s="122">
        <f t="shared" si="14"/>
        <v>21750047.370000001</v>
      </c>
      <c r="M131" s="116">
        <f t="shared" si="15"/>
        <v>9318372.7947291005</v>
      </c>
      <c r="N131" s="123">
        <f t="shared" si="16"/>
        <v>239.31308220065489</v>
      </c>
      <c r="O131" s="5"/>
      <c r="P131" s="5">
        <f t="shared" si="17"/>
        <v>1</v>
      </c>
      <c r="Q131" s="7">
        <f t="shared" si="18"/>
        <v>38938</v>
      </c>
    </row>
    <row r="132" spans="1:21">
      <c r="A132" s="23" t="s">
        <v>152</v>
      </c>
      <c r="B132" s="35" t="s">
        <v>151</v>
      </c>
      <c r="C132" s="125">
        <v>378531</v>
      </c>
      <c r="D132" s="132">
        <v>52987543695</v>
      </c>
      <c r="E132" s="116">
        <f t="shared" si="25"/>
        <v>139982.04557882974</v>
      </c>
      <c r="F132" s="134">
        <v>33838982097</v>
      </c>
      <c r="G132" s="117">
        <f t="shared" si="26"/>
        <v>89395.537213596777</v>
      </c>
      <c r="H132" s="7"/>
      <c r="I132" s="136">
        <v>6.2076000000000002</v>
      </c>
      <c r="J132" s="134">
        <v>210058865.26533723</v>
      </c>
      <c r="K132" s="120">
        <f t="shared" si="27"/>
        <v>554.93173680712346</v>
      </c>
      <c r="L132" s="122">
        <f t="shared" si="14"/>
        <v>338389820.97000003</v>
      </c>
      <c r="M132" s="116">
        <f t="shared" si="15"/>
        <v>128330955.7046628</v>
      </c>
      <c r="N132" s="123">
        <f t="shared" si="16"/>
        <v>339.02363532884442</v>
      </c>
      <c r="O132" s="5"/>
      <c r="P132" s="5">
        <f t="shared" si="17"/>
        <v>1</v>
      </c>
      <c r="Q132" s="7">
        <f t="shared" si="18"/>
        <v>378531</v>
      </c>
    </row>
    <row r="133" spans="1:21">
      <c r="A133" s="23" t="s">
        <v>153</v>
      </c>
      <c r="B133" s="35" t="s">
        <v>151</v>
      </c>
      <c r="C133" s="125">
        <v>26512</v>
      </c>
      <c r="D133" s="132">
        <v>2399636313</v>
      </c>
      <c r="E133" s="116">
        <f t="shared" si="25"/>
        <v>90511.327436632462</v>
      </c>
      <c r="F133" s="134">
        <v>1711904890</v>
      </c>
      <c r="G133" s="117">
        <f t="shared" si="26"/>
        <v>64570.944855159927</v>
      </c>
      <c r="H133" s="9"/>
      <c r="I133" s="136">
        <v>6.5549999999999997</v>
      </c>
      <c r="J133" s="134">
        <v>11221536.553949999</v>
      </c>
      <c r="K133" s="120">
        <f t="shared" si="27"/>
        <v>423.26254352557328</v>
      </c>
      <c r="L133" s="122">
        <f t="shared" si="14"/>
        <v>17119048.899999999</v>
      </c>
      <c r="M133" s="116">
        <f t="shared" si="15"/>
        <v>5897512.3460499998</v>
      </c>
      <c r="N133" s="123">
        <f t="shared" si="16"/>
        <v>222.44690502602595</v>
      </c>
      <c r="O133" s="5"/>
      <c r="P133" s="5">
        <f t="shared" si="17"/>
        <v>1</v>
      </c>
      <c r="Q133" s="7">
        <f t="shared" si="18"/>
        <v>26512</v>
      </c>
      <c r="S133" s="124">
        <f>SUM(D131:D133)</f>
        <v>58661285726</v>
      </c>
      <c r="T133" s="124">
        <f>SUM(F131:F133)</f>
        <v>37725891724</v>
      </c>
      <c r="U133" s="124">
        <f>SUM(J131:J133)</f>
        <v>233712076.39455813</v>
      </c>
    </row>
    <row r="134" spans="1:21">
      <c r="A134" s="23" t="s">
        <v>154</v>
      </c>
      <c r="B134" s="35" t="s">
        <v>155</v>
      </c>
      <c r="C134" s="125">
        <v>2677</v>
      </c>
      <c r="D134" s="147" t="s">
        <v>564</v>
      </c>
      <c r="E134" s="116"/>
      <c r="F134" s="134"/>
      <c r="G134" s="117"/>
      <c r="H134" s="98" t="s">
        <v>588</v>
      </c>
      <c r="I134" s="136"/>
      <c r="J134" s="134"/>
      <c r="K134" s="120"/>
      <c r="L134" s="122">
        <f t="shared" ref="L134:L197" si="28">(F134*0.01)</f>
        <v>0</v>
      </c>
      <c r="M134" s="116">
        <f t="shared" ref="M134:M197" si="29">(L134-J134)</f>
        <v>0</v>
      </c>
      <c r="N134" s="123">
        <f t="shared" ref="N134:N197" si="30">(M134/C134)</f>
        <v>0</v>
      </c>
      <c r="O134" s="5"/>
      <c r="P134" s="5">
        <f t="shared" ref="P134:P198" si="31">IF(I134&gt;0,1,0)</f>
        <v>0</v>
      </c>
      <c r="Q134" s="7">
        <f t="shared" ref="Q134:Q198" si="32">IF(I134&gt;0,C134,0)</f>
        <v>0</v>
      </c>
    </row>
    <row r="135" spans="1:21">
      <c r="A135" s="23" t="s">
        <v>156</v>
      </c>
      <c r="B135" s="35" t="s">
        <v>155</v>
      </c>
      <c r="C135" s="125">
        <v>385</v>
      </c>
      <c r="D135" s="132">
        <v>11352725</v>
      </c>
      <c r="E135" s="116">
        <f>(D135/C135)</f>
        <v>29487.597402597403</v>
      </c>
      <c r="F135" s="134">
        <v>5612385</v>
      </c>
      <c r="G135" s="117">
        <f>(F135/C135)</f>
        <v>14577.623376623376</v>
      </c>
      <c r="H135" s="7"/>
      <c r="I135" s="151">
        <v>1.8153999999999999</v>
      </c>
      <c r="J135" s="134">
        <v>10188.723729000001</v>
      </c>
      <c r="K135" s="120">
        <f>(J135/C135)</f>
        <v>26.46421747792208</v>
      </c>
      <c r="L135" s="122">
        <f t="shared" si="28"/>
        <v>56123.85</v>
      </c>
      <c r="M135" s="116">
        <f t="shared" si="29"/>
        <v>45935.126271000001</v>
      </c>
      <c r="N135" s="123">
        <f t="shared" si="30"/>
        <v>119.3120162883117</v>
      </c>
      <c r="O135" s="5"/>
      <c r="P135" s="5">
        <f t="shared" si="31"/>
        <v>1</v>
      </c>
      <c r="Q135" s="7">
        <f t="shared" si="32"/>
        <v>385</v>
      </c>
    </row>
    <row r="136" spans="1:21">
      <c r="A136" s="23" t="s">
        <v>157</v>
      </c>
      <c r="B136" s="35" t="s">
        <v>155</v>
      </c>
      <c r="C136" s="125">
        <v>187</v>
      </c>
      <c r="D136" s="132">
        <v>4497284</v>
      </c>
      <c r="E136" s="116">
        <f>(D136/C136)</f>
        <v>24049.647058823528</v>
      </c>
      <c r="F136" s="134">
        <v>2050907</v>
      </c>
      <c r="G136" s="117">
        <f>(F136/C136)</f>
        <v>10967.417112299465</v>
      </c>
      <c r="H136" s="9"/>
      <c r="I136" s="136">
        <v>1</v>
      </c>
      <c r="J136" s="134">
        <v>2050.9070000000002</v>
      </c>
      <c r="K136" s="120">
        <f>(J136/C136)</f>
        <v>10.967417112299467</v>
      </c>
      <c r="L136" s="122">
        <f t="shared" si="28"/>
        <v>20509.07</v>
      </c>
      <c r="M136" s="116">
        <f t="shared" si="29"/>
        <v>18458.163</v>
      </c>
      <c r="N136" s="123">
        <f t="shared" si="30"/>
        <v>98.706754010695192</v>
      </c>
      <c r="O136" s="5"/>
      <c r="P136" s="5">
        <f t="shared" si="31"/>
        <v>1</v>
      </c>
      <c r="Q136" s="7">
        <f t="shared" si="32"/>
        <v>187</v>
      </c>
    </row>
    <row r="137" spans="1:21">
      <c r="A137" s="23" t="s">
        <v>158</v>
      </c>
      <c r="B137" s="35" t="s">
        <v>155</v>
      </c>
      <c r="C137" s="125">
        <v>554</v>
      </c>
      <c r="D137" s="147" t="s">
        <v>564</v>
      </c>
      <c r="E137" s="116"/>
      <c r="F137" s="134"/>
      <c r="G137" s="117"/>
      <c r="H137" s="98" t="s">
        <v>588</v>
      </c>
      <c r="I137" s="136"/>
      <c r="J137" s="134"/>
      <c r="K137" s="120"/>
      <c r="L137" s="122">
        <f t="shared" si="28"/>
        <v>0</v>
      </c>
      <c r="M137" s="116">
        <f t="shared" si="29"/>
        <v>0</v>
      </c>
      <c r="N137" s="123">
        <f t="shared" si="30"/>
        <v>0</v>
      </c>
      <c r="O137" s="5"/>
      <c r="P137" s="5">
        <f t="shared" si="31"/>
        <v>0</v>
      </c>
      <c r="Q137" s="7">
        <f t="shared" si="32"/>
        <v>0</v>
      </c>
    </row>
    <row r="138" spans="1:21">
      <c r="A138" s="23" t="s">
        <v>159</v>
      </c>
      <c r="B138" s="35" t="s">
        <v>155</v>
      </c>
      <c r="C138" s="125">
        <v>286</v>
      </c>
      <c r="D138" s="147" t="s">
        <v>564</v>
      </c>
      <c r="E138" s="116"/>
      <c r="F138" s="134"/>
      <c r="G138" s="117"/>
      <c r="H138" s="98" t="s">
        <v>588</v>
      </c>
      <c r="I138" s="136"/>
      <c r="J138" s="134"/>
      <c r="K138" s="120"/>
      <c r="L138" s="122">
        <f t="shared" si="28"/>
        <v>0</v>
      </c>
      <c r="M138" s="116">
        <f t="shared" si="29"/>
        <v>0</v>
      </c>
      <c r="N138" s="123">
        <f t="shared" si="30"/>
        <v>0</v>
      </c>
      <c r="O138" s="5"/>
      <c r="P138" s="5">
        <f t="shared" si="31"/>
        <v>0</v>
      </c>
      <c r="Q138" s="7">
        <f t="shared" si="32"/>
        <v>0</v>
      </c>
      <c r="S138" s="124">
        <f>SUM(D134:D138)</f>
        <v>15850009</v>
      </c>
      <c r="T138" s="124">
        <f>SUM(F134:F138)</f>
        <v>7663292</v>
      </c>
      <c r="U138" s="124">
        <f>SUM(J134:J138)</f>
        <v>12239.630729</v>
      </c>
    </row>
    <row r="139" spans="1:21">
      <c r="A139" s="23" t="s">
        <v>160</v>
      </c>
      <c r="B139" s="35" t="s">
        <v>161</v>
      </c>
      <c r="C139" s="125">
        <v>5571</v>
      </c>
      <c r="D139" s="132">
        <v>405280391</v>
      </c>
      <c r="E139" s="116">
        <f t="shared" ref="E139:E144" si="33">(D139/C139)</f>
        <v>72748.230299766656</v>
      </c>
      <c r="F139" s="134">
        <v>106026053</v>
      </c>
      <c r="G139" s="117">
        <f t="shared" ref="G139:G144" si="34">(F139/C139)</f>
        <v>19031.781188296536</v>
      </c>
      <c r="H139" s="7"/>
      <c r="I139" s="150">
        <v>5.3662000000000001</v>
      </c>
      <c r="J139" s="134">
        <v>568957.00560859998</v>
      </c>
      <c r="K139" s="120">
        <f t="shared" ref="K139:K144" si="35">(J139/C139)</f>
        <v>102.12834421263686</v>
      </c>
      <c r="L139" s="122">
        <f t="shared" si="28"/>
        <v>1060260.53</v>
      </c>
      <c r="M139" s="116">
        <f t="shared" si="29"/>
        <v>491303.52439140005</v>
      </c>
      <c r="N139" s="123">
        <f t="shared" si="30"/>
        <v>88.189467670328497</v>
      </c>
      <c r="O139" s="5"/>
      <c r="P139" s="5">
        <f t="shared" si="31"/>
        <v>1</v>
      </c>
      <c r="Q139" s="7">
        <f t="shared" si="32"/>
        <v>5571</v>
      </c>
    </row>
    <row r="140" spans="1:21">
      <c r="A140" s="23" t="s">
        <v>162</v>
      </c>
      <c r="B140" s="35" t="s">
        <v>161</v>
      </c>
      <c r="C140" s="125">
        <v>4208</v>
      </c>
      <c r="D140" s="132">
        <v>3972297077</v>
      </c>
      <c r="E140" s="116">
        <f t="shared" si="33"/>
        <v>943986.9479562738</v>
      </c>
      <c r="F140" s="134">
        <v>3151986943</v>
      </c>
      <c r="G140" s="117">
        <f t="shared" si="34"/>
        <v>749046.32675855514</v>
      </c>
      <c r="H140" s="7"/>
      <c r="I140" s="136">
        <v>1.2889999999999999</v>
      </c>
      <c r="J140" s="134">
        <v>4062911.1695269998</v>
      </c>
      <c r="K140" s="120">
        <f t="shared" si="35"/>
        <v>965.52071519177753</v>
      </c>
      <c r="L140" s="122">
        <f t="shared" si="28"/>
        <v>31519869.43</v>
      </c>
      <c r="M140" s="116">
        <f t="shared" si="29"/>
        <v>27456958.260472998</v>
      </c>
      <c r="N140" s="123">
        <f t="shared" si="30"/>
        <v>6524.9425523937734</v>
      </c>
      <c r="O140" s="5"/>
      <c r="P140" s="5">
        <f t="shared" si="31"/>
        <v>1</v>
      </c>
      <c r="Q140" s="7">
        <f t="shared" si="32"/>
        <v>4208</v>
      </c>
    </row>
    <row r="141" spans="1:21">
      <c r="A141" s="23" t="s">
        <v>163</v>
      </c>
      <c r="B141" s="35" t="s">
        <v>161</v>
      </c>
      <c r="C141" s="125">
        <v>423</v>
      </c>
      <c r="D141" s="132">
        <v>500726389</v>
      </c>
      <c r="E141" s="116">
        <f t="shared" si="33"/>
        <v>1183750.3286052009</v>
      </c>
      <c r="F141" s="134">
        <v>430650023</v>
      </c>
      <c r="G141" s="117">
        <f t="shared" si="34"/>
        <v>1018085.1607565011</v>
      </c>
      <c r="H141" s="7"/>
      <c r="I141" s="136">
        <v>1.4</v>
      </c>
      <c r="J141" s="134">
        <v>602910.0321999999</v>
      </c>
      <c r="K141" s="120">
        <f t="shared" si="35"/>
        <v>1425.3192250591014</v>
      </c>
      <c r="L141" s="122">
        <f t="shared" si="28"/>
        <v>4306500.2300000004</v>
      </c>
      <c r="M141" s="116">
        <f t="shared" si="29"/>
        <v>3703590.1978000007</v>
      </c>
      <c r="N141" s="123">
        <f t="shared" si="30"/>
        <v>8755.5323825059113</v>
      </c>
      <c r="O141" s="5"/>
      <c r="P141" s="5">
        <f t="shared" si="31"/>
        <v>1</v>
      </c>
      <c r="Q141" s="7">
        <f t="shared" si="32"/>
        <v>423</v>
      </c>
    </row>
    <row r="142" spans="1:21">
      <c r="A142" s="23" t="s">
        <v>164</v>
      </c>
      <c r="B142" s="35" t="s">
        <v>161</v>
      </c>
      <c r="C142" s="125">
        <v>24630</v>
      </c>
      <c r="D142" s="132">
        <v>2294505008</v>
      </c>
      <c r="E142" s="116">
        <f t="shared" si="33"/>
        <v>93158.952821762083</v>
      </c>
      <c r="F142" s="134">
        <v>1261297645</v>
      </c>
      <c r="G142" s="117">
        <f t="shared" si="34"/>
        <v>51209.811002842063</v>
      </c>
      <c r="H142" s="7"/>
      <c r="I142" s="136">
        <v>3.1514000000000002</v>
      </c>
      <c r="J142" s="134">
        <v>3974853.398453</v>
      </c>
      <c r="K142" s="120">
        <f t="shared" si="35"/>
        <v>161.38259839435648</v>
      </c>
      <c r="L142" s="122">
        <f t="shared" si="28"/>
        <v>12612976.450000001</v>
      </c>
      <c r="M142" s="116">
        <f t="shared" si="29"/>
        <v>8638123.051547002</v>
      </c>
      <c r="N142" s="123">
        <f t="shared" si="30"/>
        <v>350.71551163406423</v>
      </c>
      <c r="O142" s="5"/>
      <c r="P142" s="5">
        <f t="shared" si="31"/>
        <v>1</v>
      </c>
      <c r="Q142" s="7">
        <f t="shared" si="32"/>
        <v>24630</v>
      </c>
    </row>
    <row r="143" spans="1:21">
      <c r="A143" s="23" t="s">
        <v>165</v>
      </c>
      <c r="B143" s="35" t="s">
        <v>161</v>
      </c>
      <c r="C143" s="125">
        <v>16274</v>
      </c>
      <c r="D143" s="132">
        <v>4013893630</v>
      </c>
      <c r="E143" s="116">
        <f t="shared" si="33"/>
        <v>246644.56372127321</v>
      </c>
      <c r="F143" s="134">
        <v>2846175214</v>
      </c>
      <c r="G143" s="117">
        <f t="shared" si="34"/>
        <v>174890.94346810863</v>
      </c>
      <c r="H143" s="7"/>
      <c r="I143" s="136">
        <v>2.5194000000000001</v>
      </c>
      <c r="J143" s="134">
        <v>7170653.8341515996</v>
      </c>
      <c r="K143" s="120">
        <f t="shared" si="35"/>
        <v>440.62024297355288</v>
      </c>
      <c r="L143" s="122">
        <f t="shared" si="28"/>
        <v>28461752.140000001</v>
      </c>
      <c r="M143" s="116">
        <f t="shared" si="29"/>
        <v>21291098.305848401</v>
      </c>
      <c r="N143" s="123">
        <f t="shared" si="30"/>
        <v>1308.2891917075335</v>
      </c>
      <c r="O143" s="5"/>
      <c r="P143" s="5">
        <f t="shared" si="31"/>
        <v>1</v>
      </c>
      <c r="Q143" s="7">
        <f t="shared" si="32"/>
        <v>16274</v>
      </c>
      <c r="S143" s="124">
        <f>SUM(D139:D143)</f>
        <v>11186702495</v>
      </c>
      <c r="T143" s="124">
        <f>SUM(F139:F143)</f>
        <v>7796135878</v>
      </c>
      <c r="U143" s="124">
        <f>SUM(J139:J143)</f>
        <v>16380285.439940199</v>
      </c>
    </row>
    <row r="144" spans="1:21">
      <c r="A144" s="23" t="s">
        <v>166</v>
      </c>
      <c r="B144" s="35" t="s">
        <v>167</v>
      </c>
      <c r="C144" s="125">
        <v>495</v>
      </c>
      <c r="D144" s="132">
        <v>15328996</v>
      </c>
      <c r="E144" s="116">
        <f t="shared" si="33"/>
        <v>30967.668686868688</v>
      </c>
      <c r="F144" s="134">
        <v>8925083</v>
      </c>
      <c r="G144" s="117">
        <f t="shared" si="34"/>
        <v>18030.470707070708</v>
      </c>
      <c r="H144" s="9"/>
      <c r="I144" s="136">
        <v>1.4308000000000001</v>
      </c>
      <c r="J144" s="134">
        <v>12770.0087564</v>
      </c>
      <c r="K144" s="120">
        <f t="shared" si="35"/>
        <v>25.797997487676767</v>
      </c>
      <c r="L144" s="122">
        <f t="shared" si="28"/>
        <v>89250.83</v>
      </c>
      <c r="M144" s="116">
        <f t="shared" si="29"/>
        <v>76480.821243600003</v>
      </c>
      <c r="N144" s="123">
        <f t="shared" si="30"/>
        <v>154.5067095830303</v>
      </c>
      <c r="O144" s="5"/>
      <c r="P144" s="5">
        <f t="shared" si="31"/>
        <v>1</v>
      </c>
      <c r="Q144" s="7">
        <f t="shared" si="32"/>
        <v>495</v>
      </c>
    </row>
    <row r="145" spans="1:21">
      <c r="A145" s="23" t="s">
        <v>168</v>
      </c>
      <c r="B145" s="35" t="s">
        <v>167</v>
      </c>
      <c r="C145" s="125">
        <v>125</v>
      </c>
      <c r="D145" s="147" t="s">
        <v>564</v>
      </c>
      <c r="E145" s="116"/>
      <c r="F145" s="134"/>
      <c r="G145" s="117"/>
      <c r="H145" s="98" t="s">
        <v>588</v>
      </c>
      <c r="I145" s="136"/>
      <c r="J145" s="134"/>
      <c r="K145" s="120"/>
      <c r="L145" s="122">
        <f t="shared" si="28"/>
        <v>0</v>
      </c>
      <c r="M145" s="116">
        <f t="shared" si="29"/>
        <v>0</v>
      </c>
      <c r="N145" s="123">
        <f t="shared" si="30"/>
        <v>0</v>
      </c>
      <c r="O145" s="5"/>
      <c r="P145" s="5">
        <f t="shared" si="31"/>
        <v>0</v>
      </c>
      <c r="Q145" s="7">
        <f t="shared" si="32"/>
        <v>0</v>
      </c>
    </row>
    <row r="146" spans="1:21">
      <c r="A146" s="23" t="s">
        <v>169</v>
      </c>
      <c r="B146" s="35" t="s">
        <v>167</v>
      </c>
      <c r="C146" s="125">
        <v>215</v>
      </c>
      <c r="D146" s="132">
        <v>15122448</v>
      </c>
      <c r="E146" s="116">
        <f>(D146/C146)</f>
        <v>70336.96744186047</v>
      </c>
      <c r="F146" s="134">
        <v>9743588</v>
      </c>
      <c r="G146" s="117">
        <f>(F146/C146)</f>
        <v>45319.013953488371</v>
      </c>
      <c r="H146" s="7"/>
      <c r="I146" s="151">
        <v>2.9399000000000002</v>
      </c>
      <c r="J146" s="134">
        <v>28645.174361200003</v>
      </c>
      <c r="K146" s="120">
        <f>(J146/C146)</f>
        <v>133.23336912186048</v>
      </c>
      <c r="L146" s="122">
        <f t="shared" si="28"/>
        <v>97435.88</v>
      </c>
      <c r="M146" s="116">
        <f t="shared" si="29"/>
        <v>68790.705638800006</v>
      </c>
      <c r="N146" s="123">
        <f t="shared" si="30"/>
        <v>319.95677041302326</v>
      </c>
      <c r="O146" s="5"/>
      <c r="P146" s="5">
        <f t="shared" si="31"/>
        <v>1</v>
      </c>
      <c r="Q146" s="7">
        <f t="shared" si="32"/>
        <v>215</v>
      </c>
    </row>
    <row r="147" spans="1:21">
      <c r="A147" s="23" t="s">
        <v>170</v>
      </c>
      <c r="B147" s="35" t="s">
        <v>167</v>
      </c>
      <c r="C147" s="125">
        <v>889</v>
      </c>
      <c r="D147" s="132">
        <v>31678299</v>
      </c>
      <c r="E147" s="116">
        <f>(D147/C147)</f>
        <v>35633.632170978628</v>
      </c>
      <c r="F147" s="134">
        <v>16638349</v>
      </c>
      <c r="G147" s="117">
        <f>(F147/C147)</f>
        <v>18715.803149606298</v>
      </c>
      <c r="H147" s="7"/>
      <c r="I147" s="136">
        <v>3.8542000000000001</v>
      </c>
      <c r="J147" s="134">
        <v>64127.524715800006</v>
      </c>
      <c r="K147" s="120">
        <f>(J147/C147)</f>
        <v>72.13444849921261</v>
      </c>
      <c r="L147" s="122">
        <f t="shared" si="28"/>
        <v>166383.49</v>
      </c>
      <c r="M147" s="116">
        <f t="shared" si="29"/>
        <v>102255.96528419998</v>
      </c>
      <c r="N147" s="123">
        <f t="shared" si="30"/>
        <v>115.02358299685037</v>
      </c>
      <c r="O147" s="5"/>
      <c r="P147" s="5">
        <f t="shared" si="31"/>
        <v>1</v>
      </c>
      <c r="Q147" s="7">
        <f t="shared" si="32"/>
        <v>889</v>
      </c>
    </row>
    <row r="148" spans="1:21">
      <c r="A148" s="23" t="s">
        <v>171</v>
      </c>
      <c r="B148" s="35" t="s">
        <v>167</v>
      </c>
      <c r="C148" s="125">
        <v>2182</v>
      </c>
      <c r="D148" s="132">
        <v>122508803</v>
      </c>
      <c r="E148" s="116">
        <f>(D148/C148)</f>
        <v>56145.189275893674</v>
      </c>
      <c r="F148" s="134">
        <v>79623389</v>
      </c>
      <c r="G148" s="117">
        <f>(F148/C148)</f>
        <v>36491.012373968835</v>
      </c>
      <c r="H148" s="9"/>
      <c r="I148" s="136">
        <v>4</v>
      </c>
      <c r="J148" s="134">
        <v>318493.55599999998</v>
      </c>
      <c r="K148" s="120">
        <f>(J148/C148)</f>
        <v>145.96404949587534</v>
      </c>
      <c r="L148" s="122">
        <f t="shared" si="28"/>
        <v>796233.89</v>
      </c>
      <c r="M148" s="116">
        <f t="shared" si="29"/>
        <v>477740.33400000003</v>
      </c>
      <c r="N148" s="123">
        <f t="shared" si="30"/>
        <v>218.94607424381303</v>
      </c>
      <c r="O148" s="5"/>
      <c r="P148" s="5">
        <f t="shared" si="31"/>
        <v>1</v>
      </c>
      <c r="Q148" s="7">
        <f t="shared" si="32"/>
        <v>2182</v>
      </c>
    </row>
    <row r="149" spans="1:21">
      <c r="A149" s="23" t="s">
        <v>172</v>
      </c>
      <c r="B149" s="35" t="s">
        <v>167</v>
      </c>
      <c r="C149" s="125">
        <v>981</v>
      </c>
      <c r="D149" s="147" t="s">
        <v>564</v>
      </c>
      <c r="E149" s="116"/>
      <c r="F149" s="134"/>
      <c r="G149" s="117"/>
      <c r="H149" s="98" t="s">
        <v>588</v>
      </c>
      <c r="I149" s="136"/>
      <c r="J149" s="134"/>
      <c r="K149" s="120"/>
      <c r="L149" s="122">
        <f t="shared" si="28"/>
        <v>0</v>
      </c>
      <c r="M149" s="116">
        <f t="shared" si="29"/>
        <v>0</v>
      </c>
      <c r="N149" s="123">
        <f t="shared" si="30"/>
        <v>0</v>
      </c>
      <c r="O149" s="5"/>
      <c r="P149" s="5">
        <f t="shared" si="31"/>
        <v>0</v>
      </c>
      <c r="Q149" s="7">
        <f t="shared" si="32"/>
        <v>0</v>
      </c>
    </row>
    <row r="150" spans="1:21">
      <c r="A150" s="23" t="s">
        <v>173</v>
      </c>
      <c r="B150" s="35" t="s">
        <v>167</v>
      </c>
      <c r="C150" s="125">
        <v>696</v>
      </c>
      <c r="D150" s="132">
        <v>25352625</v>
      </c>
      <c r="E150" s="116">
        <f t="shared" ref="E150:E198" si="36">(D150/C150)</f>
        <v>36426.185344827587</v>
      </c>
      <c r="F150" s="134">
        <v>13416930</v>
      </c>
      <c r="G150" s="117">
        <f t="shared" ref="G150:G198" si="37">(F150/C150)</f>
        <v>19277.198275862069</v>
      </c>
      <c r="H150" s="7"/>
      <c r="I150" s="150">
        <v>1</v>
      </c>
      <c r="J150" s="134">
        <v>13416.93</v>
      </c>
      <c r="K150" s="120">
        <f t="shared" ref="K150:K198" si="38">(J150/C150)</f>
        <v>19.277198275862069</v>
      </c>
      <c r="L150" s="122">
        <f t="shared" si="28"/>
        <v>134169.29999999999</v>
      </c>
      <c r="M150" s="116">
        <f t="shared" si="29"/>
        <v>120752.37</v>
      </c>
      <c r="N150" s="123">
        <f t="shared" si="30"/>
        <v>173.4947844827586</v>
      </c>
      <c r="O150" s="5"/>
      <c r="P150" s="5">
        <f t="shared" si="31"/>
        <v>1</v>
      </c>
      <c r="Q150" s="7">
        <f t="shared" si="32"/>
        <v>696</v>
      </c>
    </row>
    <row r="151" spans="1:21">
      <c r="A151" s="23" t="s">
        <v>508</v>
      </c>
      <c r="B151" s="35" t="s">
        <v>167</v>
      </c>
      <c r="C151" s="125">
        <v>242</v>
      </c>
      <c r="D151" s="132">
        <v>7838949</v>
      </c>
      <c r="E151" s="116">
        <f t="shared" si="36"/>
        <v>32392.35123966942</v>
      </c>
      <c r="F151" s="134">
        <v>4049262</v>
      </c>
      <c r="G151" s="117">
        <f t="shared" si="37"/>
        <v>16732.487603305784</v>
      </c>
      <c r="H151" s="9"/>
      <c r="I151" s="136">
        <v>3</v>
      </c>
      <c r="J151" s="134">
        <v>12147.786</v>
      </c>
      <c r="K151" s="120">
        <f t="shared" si="38"/>
        <v>50.197462809917354</v>
      </c>
      <c r="L151" s="122">
        <f t="shared" si="28"/>
        <v>40492.620000000003</v>
      </c>
      <c r="M151" s="116">
        <f t="shared" si="29"/>
        <v>28344.834000000003</v>
      </c>
      <c r="N151" s="123">
        <f t="shared" si="30"/>
        <v>117.12741322314051</v>
      </c>
      <c r="O151" s="5"/>
      <c r="P151" s="5">
        <f t="shared" si="31"/>
        <v>1</v>
      </c>
      <c r="Q151" s="7">
        <f t="shared" si="32"/>
        <v>242</v>
      </c>
    </row>
    <row r="152" spans="1:21">
      <c r="A152" s="23" t="s">
        <v>175</v>
      </c>
      <c r="B152" s="35" t="s">
        <v>167</v>
      </c>
      <c r="C152" s="125">
        <v>2193</v>
      </c>
      <c r="D152" s="147">
        <v>46766326</v>
      </c>
      <c r="E152" s="116">
        <f t="shared" si="36"/>
        <v>21325.27405380757</v>
      </c>
      <c r="F152" s="134">
        <v>14875165</v>
      </c>
      <c r="G152" s="117">
        <f t="shared" si="37"/>
        <v>6783.0209758321935</v>
      </c>
      <c r="H152" s="98"/>
      <c r="I152" s="136">
        <v>1</v>
      </c>
      <c r="J152" s="134">
        <v>14875.165000000001</v>
      </c>
      <c r="K152" s="120">
        <f t="shared" si="38"/>
        <v>6.7830209758321933</v>
      </c>
      <c r="L152" s="122">
        <f t="shared" si="28"/>
        <v>148751.65</v>
      </c>
      <c r="M152" s="116">
        <f t="shared" si="29"/>
        <v>133876.48499999999</v>
      </c>
      <c r="N152" s="123">
        <f t="shared" si="30"/>
        <v>61.047188782489734</v>
      </c>
      <c r="O152" s="5"/>
      <c r="P152" s="5">
        <f t="shared" si="31"/>
        <v>1</v>
      </c>
      <c r="Q152" s="7">
        <f t="shared" si="32"/>
        <v>2193</v>
      </c>
    </row>
    <row r="153" spans="1:21">
      <c r="A153" s="23" t="s">
        <v>176</v>
      </c>
      <c r="B153" s="35" t="s">
        <v>167</v>
      </c>
      <c r="C153" s="125">
        <v>7621</v>
      </c>
      <c r="D153" s="132">
        <v>475348620</v>
      </c>
      <c r="E153" s="116">
        <f t="shared" si="36"/>
        <v>62373.523159690332</v>
      </c>
      <c r="F153" s="134">
        <v>248584820</v>
      </c>
      <c r="G153" s="117">
        <f t="shared" si="37"/>
        <v>32618.399160215195</v>
      </c>
      <c r="H153" s="7"/>
      <c r="I153" s="150">
        <v>2.8340999999999998</v>
      </c>
      <c r="J153" s="134">
        <v>704514.23836199997</v>
      </c>
      <c r="K153" s="120">
        <f t="shared" si="38"/>
        <v>92.443805059965882</v>
      </c>
      <c r="L153" s="122">
        <f t="shared" si="28"/>
        <v>2485848.2000000002</v>
      </c>
      <c r="M153" s="116">
        <f t="shared" si="29"/>
        <v>1781333.9616380003</v>
      </c>
      <c r="N153" s="123">
        <f t="shared" si="30"/>
        <v>233.74018654218611</v>
      </c>
      <c r="O153" s="5"/>
      <c r="P153" s="5">
        <f t="shared" si="31"/>
        <v>1</v>
      </c>
      <c r="Q153" s="7">
        <f t="shared" si="32"/>
        <v>7621</v>
      </c>
    </row>
    <row r="154" spans="1:21">
      <c r="A154" s="23" t="s">
        <v>177</v>
      </c>
      <c r="B154" s="35" t="s">
        <v>167</v>
      </c>
      <c r="C154" s="125">
        <v>1893</v>
      </c>
      <c r="D154" s="132">
        <v>62889827</v>
      </c>
      <c r="E154" s="116">
        <f t="shared" si="36"/>
        <v>33222.306920232433</v>
      </c>
      <c r="F154" s="134">
        <v>35713693</v>
      </c>
      <c r="G154" s="117">
        <f t="shared" si="37"/>
        <v>18866.187533016375</v>
      </c>
      <c r="H154" s="7"/>
      <c r="I154" s="136">
        <v>0.60640000000000005</v>
      </c>
      <c r="J154" s="134">
        <v>21656.783435200003</v>
      </c>
      <c r="K154" s="120">
        <f t="shared" si="38"/>
        <v>11.440456120021132</v>
      </c>
      <c r="L154" s="122">
        <f t="shared" si="28"/>
        <v>357136.93</v>
      </c>
      <c r="M154" s="116">
        <f t="shared" si="29"/>
        <v>335480.1465648</v>
      </c>
      <c r="N154" s="123">
        <f t="shared" si="30"/>
        <v>177.22141921014264</v>
      </c>
      <c r="O154" s="5"/>
      <c r="P154" s="5">
        <f t="shared" si="31"/>
        <v>1</v>
      </c>
      <c r="Q154" s="7">
        <f t="shared" si="32"/>
        <v>1893</v>
      </c>
      <c r="S154" s="124">
        <f>SUM(D144:D154)</f>
        <v>802834893</v>
      </c>
      <c r="T154" s="124">
        <f>SUM(F144:F154)</f>
        <v>431570279</v>
      </c>
      <c r="U154" s="124">
        <f>SUM(J144:J154)</f>
        <v>1190647.1666306001</v>
      </c>
    </row>
    <row r="155" spans="1:21">
      <c r="A155" s="23" t="s">
        <v>178</v>
      </c>
      <c r="B155" s="35" t="s">
        <v>179</v>
      </c>
      <c r="C155" s="125">
        <v>2412</v>
      </c>
      <c r="D155" s="132">
        <v>155299835</v>
      </c>
      <c r="E155" s="116">
        <f t="shared" si="36"/>
        <v>64386.332918739638</v>
      </c>
      <c r="F155" s="134">
        <v>90450903</v>
      </c>
      <c r="G155" s="117">
        <f t="shared" si="37"/>
        <v>37500.374378109453</v>
      </c>
      <c r="H155" s="7"/>
      <c r="I155" s="136">
        <v>7.2</v>
      </c>
      <c r="J155" s="134">
        <v>651246.50160000008</v>
      </c>
      <c r="K155" s="120">
        <f t="shared" si="38"/>
        <v>270.00269552238808</v>
      </c>
      <c r="L155" s="122">
        <f t="shared" si="28"/>
        <v>904509.03</v>
      </c>
      <c r="M155" s="116">
        <f t="shared" si="29"/>
        <v>253262.52839999995</v>
      </c>
      <c r="N155" s="123">
        <f t="shared" si="30"/>
        <v>105.00104825870645</v>
      </c>
      <c r="O155" s="5"/>
      <c r="P155" s="5">
        <f t="shared" si="31"/>
        <v>1</v>
      </c>
      <c r="Q155" s="7">
        <f t="shared" si="32"/>
        <v>2412</v>
      </c>
      <c r="S155" s="124">
        <f>SUM(D155)</f>
        <v>155299835</v>
      </c>
      <c r="T155" s="124">
        <f>SUM(F155)</f>
        <v>90450903</v>
      </c>
      <c r="U155" s="124">
        <f>SUM(J155)</f>
        <v>651246.50160000008</v>
      </c>
    </row>
    <row r="156" spans="1:21">
      <c r="A156" s="23" t="s">
        <v>180</v>
      </c>
      <c r="B156" s="35" t="s">
        <v>181</v>
      </c>
      <c r="C156" s="125">
        <v>1208</v>
      </c>
      <c r="D156" s="132">
        <v>44025662</v>
      </c>
      <c r="E156" s="116">
        <f t="shared" si="36"/>
        <v>36445.084437086094</v>
      </c>
      <c r="F156" s="134">
        <v>22969701</v>
      </c>
      <c r="G156" s="117">
        <f t="shared" si="37"/>
        <v>19014.653145695363</v>
      </c>
      <c r="H156" s="7"/>
      <c r="I156" s="136">
        <v>6</v>
      </c>
      <c r="J156" s="134">
        <v>137818.20600000001</v>
      </c>
      <c r="K156" s="120">
        <f t="shared" si="38"/>
        <v>114.08791887417219</v>
      </c>
      <c r="L156" s="122">
        <f t="shared" si="28"/>
        <v>229697.01</v>
      </c>
      <c r="M156" s="116">
        <f t="shared" si="29"/>
        <v>91878.804000000004</v>
      </c>
      <c r="N156" s="123">
        <f t="shared" si="30"/>
        <v>76.058612582781464</v>
      </c>
      <c r="O156" s="5"/>
      <c r="P156" s="5">
        <f t="shared" si="31"/>
        <v>1</v>
      </c>
      <c r="Q156" s="7">
        <f t="shared" si="32"/>
        <v>1208</v>
      </c>
      <c r="S156" s="124">
        <f>SUM(D156)</f>
        <v>44025662</v>
      </c>
      <c r="T156" s="124">
        <f>SUM(F156)</f>
        <v>22969701</v>
      </c>
      <c r="U156" s="124">
        <f>SUM(J156)</f>
        <v>137818.20600000001</v>
      </c>
    </row>
    <row r="157" spans="1:21">
      <c r="A157" s="23" t="s">
        <v>182</v>
      </c>
      <c r="B157" s="35" t="s">
        <v>183</v>
      </c>
      <c r="C157" s="125">
        <v>1908</v>
      </c>
      <c r="D157" s="147">
        <v>91380430</v>
      </c>
      <c r="E157" s="116">
        <f t="shared" si="36"/>
        <v>47893.307127882603</v>
      </c>
      <c r="F157" s="134">
        <v>54408037</v>
      </c>
      <c r="G157" s="117">
        <f t="shared" si="37"/>
        <v>28515.742662473793</v>
      </c>
      <c r="H157" s="9"/>
      <c r="I157" s="136">
        <v>7.5</v>
      </c>
      <c r="J157" s="134">
        <v>408060.27750000003</v>
      </c>
      <c r="K157" s="120">
        <f t="shared" si="38"/>
        <v>213.86806996855347</v>
      </c>
      <c r="L157" s="122">
        <f t="shared" si="28"/>
        <v>544080.37</v>
      </c>
      <c r="M157" s="116">
        <f t="shared" si="29"/>
        <v>136020.09249999997</v>
      </c>
      <c r="N157" s="123">
        <f t="shared" si="30"/>
        <v>71.289356656184466</v>
      </c>
      <c r="O157" s="5"/>
      <c r="P157" s="5">
        <f t="shared" si="31"/>
        <v>1</v>
      </c>
      <c r="Q157" s="7">
        <f t="shared" si="32"/>
        <v>1908</v>
      </c>
    </row>
    <row r="158" spans="1:21">
      <c r="A158" s="23" t="s">
        <v>184</v>
      </c>
      <c r="B158" s="35" t="s">
        <v>183</v>
      </c>
      <c r="C158" s="125">
        <v>38906</v>
      </c>
      <c r="D158" s="147">
        <v>4038912436</v>
      </c>
      <c r="E158" s="116">
        <f t="shared" si="36"/>
        <v>103812.07104302678</v>
      </c>
      <c r="F158" s="134">
        <v>2854963187</v>
      </c>
      <c r="G158" s="117">
        <f t="shared" si="37"/>
        <v>73381.051431655782</v>
      </c>
      <c r="H158" s="9"/>
      <c r="I158" s="136">
        <v>4.2061000000000002</v>
      </c>
      <c r="J158" s="134">
        <v>12008260.660840699</v>
      </c>
      <c r="K158" s="120">
        <f t="shared" si="38"/>
        <v>308.64804042668737</v>
      </c>
      <c r="L158" s="122">
        <f t="shared" si="28"/>
        <v>28549631.870000001</v>
      </c>
      <c r="M158" s="116">
        <f t="shared" si="29"/>
        <v>16541371.209159302</v>
      </c>
      <c r="N158" s="123">
        <f t="shared" si="30"/>
        <v>425.16247388987051</v>
      </c>
      <c r="O158" s="5"/>
      <c r="P158" s="5">
        <f t="shared" si="31"/>
        <v>1</v>
      </c>
      <c r="Q158" s="7">
        <f t="shared" si="32"/>
        <v>38906</v>
      </c>
    </row>
    <row r="159" spans="1:21">
      <c r="A159" s="23" t="s">
        <v>185</v>
      </c>
      <c r="B159" s="35" t="s">
        <v>183</v>
      </c>
      <c r="C159" s="125">
        <v>21039</v>
      </c>
      <c r="D159" s="132">
        <v>1487881352</v>
      </c>
      <c r="E159" s="116">
        <f t="shared" si="36"/>
        <v>70720.155520699656</v>
      </c>
      <c r="F159" s="134">
        <v>991061091</v>
      </c>
      <c r="G159" s="117">
        <f t="shared" si="37"/>
        <v>47105.902894624269</v>
      </c>
      <c r="H159" s="7"/>
      <c r="I159" s="136">
        <v>7.5810000000000004</v>
      </c>
      <c r="J159" s="134">
        <v>7513234.1308710007</v>
      </c>
      <c r="K159" s="120">
        <f t="shared" si="38"/>
        <v>357.10984984414659</v>
      </c>
      <c r="L159" s="122">
        <f t="shared" si="28"/>
        <v>9910610.9100000001</v>
      </c>
      <c r="M159" s="116">
        <f t="shared" si="29"/>
        <v>2397376.7791289994</v>
      </c>
      <c r="N159" s="123">
        <f t="shared" si="30"/>
        <v>113.94917910209608</v>
      </c>
      <c r="O159" s="5"/>
      <c r="P159" s="5">
        <f t="shared" si="31"/>
        <v>1</v>
      </c>
      <c r="Q159" s="7">
        <f t="shared" si="32"/>
        <v>21039</v>
      </c>
    </row>
    <row r="160" spans="1:21">
      <c r="A160" s="23" t="s">
        <v>186</v>
      </c>
      <c r="B160" s="35" t="s">
        <v>183</v>
      </c>
      <c r="C160" s="125">
        <v>8963</v>
      </c>
      <c r="D160" s="132">
        <v>881808922</v>
      </c>
      <c r="E160" s="116">
        <f t="shared" si="36"/>
        <v>98383.233515563988</v>
      </c>
      <c r="F160" s="134">
        <v>680084533</v>
      </c>
      <c r="G160" s="117">
        <f t="shared" si="37"/>
        <v>75876.886421956937</v>
      </c>
      <c r="H160" s="7"/>
      <c r="I160" s="136">
        <v>3.9134000000000002</v>
      </c>
      <c r="J160" s="134">
        <v>2661442.8114422001</v>
      </c>
      <c r="K160" s="120">
        <f t="shared" si="38"/>
        <v>296.9366073236863</v>
      </c>
      <c r="L160" s="122">
        <f t="shared" si="28"/>
        <v>6800845.3300000001</v>
      </c>
      <c r="M160" s="116">
        <f t="shared" si="29"/>
        <v>4139402.5185578</v>
      </c>
      <c r="N160" s="123">
        <f t="shared" si="30"/>
        <v>461.83225689588306</v>
      </c>
      <c r="O160" s="5"/>
      <c r="P160" s="5">
        <f t="shared" si="31"/>
        <v>1</v>
      </c>
      <c r="Q160" s="7">
        <f t="shared" si="32"/>
        <v>8963</v>
      </c>
    </row>
    <row r="161" spans="1:21">
      <c r="A161" s="23" t="s">
        <v>187</v>
      </c>
      <c r="B161" s="35" t="s">
        <v>183</v>
      </c>
      <c r="C161" s="125">
        <v>16407</v>
      </c>
      <c r="D161" s="132">
        <v>1243357109</v>
      </c>
      <c r="E161" s="116">
        <f t="shared" si="36"/>
        <v>75782.111842506245</v>
      </c>
      <c r="F161" s="134">
        <v>821144915</v>
      </c>
      <c r="G161" s="117">
        <f t="shared" si="37"/>
        <v>50048.449747059181</v>
      </c>
      <c r="H161" s="7"/>
      <c r="I161" s="136">
        <v>5.2</v>
      </c>
      <c r="J161" s="134">
        <v>4269953.5580000002</v>
      </c>
      <c r="K161" s="120">
        <f t="shared" si="38"/>
        <v>260.25193868470774</v>
      </c>
      <c r="L161" s="122">
        <f t="shared" si="28"/>
        <v>8211449.1500000004</v>
      </c>
      <c r="M161" s="116">
        <f t="shared" si="29"/>
        <v>3941495.5920000002</v>
      </c>
      <c r="N161" s="123">
        <f t="shared" si="30"/>
        <v>240.23255878588409</v>
      </c>
      <c r="O161" s="5"/>
      <c r="P161" s="5">
        <f t="shared" si="31"/>
        <v>1</v>
      </c>
      <c r="Q161" s="7">
        <f t="shared" si="32"/>
        <v>16407</v>
      </c>
    </row>
    <row r="162" spans="1:21">
      <c r="A162" s="23" t="s">
        <v>188</v>
      </c>
      <c r="B162" s="35" t="s">
        <v>183</v>
      </c>
      <c r="C162" s="125">
        <v>1499</v>
      </c>
      <c r="D162" s="132">
        <v>144453832</v>
      </c>
      <c r="E162" s="116">
        <f t="shared" si="36"/>
        <v>96366.799199466317</v>
      </c>
      <c r="F162" s="134">
        <v>91807875</v>
      </c>
      <c r="G162" s="117">
        <f t="shared" si="37"/>
        <v>61246.08072048032</v>
      </c>
      <c r="H162" s="7"/>
      <c r="I162" s="136">
        <v>9.2750000000000004</v>
      </c>
      <c r="J162" s="134">
        <v>851518.04062500002</v>
      </c>
      <c r="K162" s="120">
        <f t="shared" si="38"/>
        <v>568.05739868245496</v>
      </c>
      <c r="L162" s="122">
        <f t="shared" si="28"/>
        <v>918078.75</v>
      </c>
      <c r="M162" s="116">
        <f t="shared" si="29"/>
        <v>66560.709374999977</v>
      </c>
      <c r="N162" s="123">
        <f t="shared" si="30"/>
        <v>44.403408522348215</v>
      </c>
      <c r="O162" s="5"/>
      <c r="P162" s="5">
        <f t="shared" si="31"/>
        <v>1</v>
      </c>
      <c r="Q162" s="7">
        <f t="shared" si="32"/>
        <v>1499</v>
      </c>
    </row>
    <row r="163" spans="1:21">
      <c r="A163" s="23" t="s">
        <v>189</v>
      </c>
      <c r="B163" s="35" t="s">
        <v>183</v>
      </c>
      <c r="C163" s="125">
        <v>14960</v>
      </c>
      <c r="D163" s="132">
        <v>1577291361</v>
      </c>
      <c r="E163" s="116">
        <f t="shared" si="36"/>
        <v>105433.91450534759</v>
      </c>
      <c r="F163" s="134">
        <v>1106804676</v>
      </c>
      <c r="G163" s="117">
        <f t="shared" si="37"/>
        <v>73984.269786096251</v>
      </c>
      <c r="H163" s="7"/>
      <c r="I163" s="136">
        <v>3.3961999999999999</v>
      </c>
      <c r="J163" s="134">
        <v>3758930.0406311997</v>
      </c>
      <c r="K163" s="120">
        <f t="shared" si="38"/>
        <v>251.26537704754008</v>
      </c>
      <c r="L163" s="122">
        <f t="shared" si="28"/>
        <v>11068046.76</v>
      </c>
      <c r="M163" s="116">
        <f t="shared" si="29"/>
        <v>7309116.7193688005</v>
      </c>
      <c r="N163" s="123">
        <f t="shared" si="30"/>
        <v>488.57732081342249</v>
      </c>
      <c r="O163" s="5"/>
      <c r="P163" s="5">
        <f t="shared" si="31"/>
        <v>1</v>
      </c>
      <c r="Q163" s="7">
        <f t="shared" si="32"/>
        <v>14960</v>
      </c>
    </row>
    <row r="164" spans="1:21">
      <c r="A164" s="23" t="s">
        <v>190</v>
      </c>
      <c r="B164" s="35" t="s">
        <v>183</v>
      </c>
      <c r="C164" s="125">
        <v>23297</v>
      </c>
      <c r="D164" s="132">
        <v>2040845729</v>
      </c>
      <c r="E164" s="116">
        <f t="shared" si="36"/>
        <v>87601.224578271882</v>
      </c>
      <c r="F164" s="134">
        <v>1328749139</v>
      </c>
      <c r="G164" s="117">
        <f t="shared" si="37"/>
        <v>57035.203631368844</v>
      </c>
      <c r="H164" s="7"/>
      <c r="I164" s="136">
        <v>4.2678000000000003</v>
      </c>
      <c r="J164" s="134">
        <v>5670835.5754241999</v>
      </c>
      <c r="K164" s="120">
        <f t="shared" si="38"/>
        <v>243.41484205795595</v>
      </c>
      <c r="L164" s="122">
        <f t="shared" si="28"/>
        <v>13287491.390000001</v>
      </c>
      <c r="M164" s="116">
        <f t="shared" si="29"/>
        <v>7616655.8145758007</v>
      </c>
      <c r="N164" s="123">
        <f t="shared" si="30"/>
        <v>326.93719425573255</v>
      </c>
      <c r="O164" s="5"/>
      <c r="P164" s="5">
        <f t="shared" si="31"/>
        <v>1</v>
      </c>
      <c r="Q164" s="7">
        <f t="shared" si="32"/>
        <v>23297</v>
      </c>
    </row>
    <row r="165" spans="1:21">
      <c r="A165" s="23" t="s">
        <v>191</v>
      </c>
      <c r="B165" s="35" t="s">
        <v>183</v>
      </c>
      <c r="C165" s="125">
        <v>5829</v>
      </c>
      <c r="D165" s="132">
        <v>297036116</v>
      </c>
      <c r="E165" s="116">
        <f t="shared" si="36"/>
        <v>50958.331789329219</v>
      </c>
      <c r="F165" s="134">
        <v>140286371</v>
      </c>
      <c r="G165" s="117">
        <f t="shared" si="37"/>
        <v>24066.970492365759</v>
      </c>
      <c r="H165" s="7"/>
      <c r="I165" s="136">
        <v>7.6291000000000002</v>
      </c>
      <c r="J165" s="134">
        <v>1070258.7529961001</v>
      </c>
      <c r="K165" s="120">
        <f t="shared" si="38"/>
        <v>183.60932458330763</v>
      </c>
      <c r="L165" s="122">
        <f t="shared" si="28"/>
        <v>1402863.71</v>
      </c>
      <c r="M165" s="116">
        <f t="shared" si="29"/>
        <v>332604.95700389985</v>
      </c>
      <c r="N165" s="123">
        <f t="shared" si="30"/>
        <v>57.060380340349951</v>
      </c>
      <c r="O165" s="5"/>
      <c r="P165" s="5">
        <f t="shared" si="31"/>
        <v>1</v>
      </c>
      <c r="Q165" s="7">
        <f t="shared" si="32"/>
        <v>5829</v>
      </c>
    </row>
    <row r="166" spans="1:21">
      <c r="A166" s="23" t="s">
        <v>192</v>
      </c>
      <c r="B166" s="35" t="s">
        <v>183</v>
      </c>
      <c r="C166" s="125">
        <v>12348</v>
      </c>
      <c r="D166" s="147">
        <v>963558514</v>
      </c>
      <c r="E166" s="116">
        <f t="shared" si="36"/>
        <v>78033.569322967276</v>
      </c>
      <c r="F166" s="134">
        <v>581719783</v>
      </c>
      <c r="G166" s="117">
        <f t="shared" si="37"/>
        <v>47110.445659216064</v>
      </c>
      <c r="H166" s="7"/>
      <c r="I166" s="136">
        <v>6.19</v>
      </c>
      <c r="J166" s="134">
        <v>3600845.4567700005</v>
      </c>
      <c r="K166" s="120">
        <f t="shared" si="38"/>
        <v>291.61365863054749</v>
      </c>
      <c r="L166" s="122">
        <f t="shared" si="28"/>
        <v>5817197.8300000001</v>
      </c>
      <c r="M166" s="116">
        <f t="shared" si="29"/>
        <v>2216352.3732299996</v>
      </c>
      <c r="N166" s="123">
        <f t="shared" si="30"/>
        <v>179.49079796161317</v>
      </c>
      <c r="O166" s="5"/>
      <c r="P166" s="5">
        <f t="shared" si="31"/>
        <v>1</v>
      </c>
      <c r="Q166" s="7">
        <f t="shared" si="32"/>
        <v>12348</v>
      </c>
    </row>
    <row r="167" spans="1:21">
      <c r="A167" s="23" t="s">
        <v>193</v>
      </c>
      <c r="B167" s="35" t="s">
        <v>183</v>
      </c>
      <c r="C167" s="125">
        <v>1846</v>
      </c>
      <c r="D167" s="132">
        <v>180239984</v>
      </c>
      <c r="E167" s="116">
        <f t="shared" si="36"/>
        <v>97638.127843986993</v>
      </c>
      <c r="F167" s="134">
        <v>98310314</v>
      </c>
      <c r="G167" s="117">
        <f t="shared" si="37"/>
        <v>53255.858071505958</v>
      </c>
      <c r="H167" s="7"/>
      <c r="I167" s="136">
        <v>2.83</v>
      </c>
      <c r="J167" s="134">
        <v>278218.18862000003</v>
      </c>
      <c r="K167" s="120">
        <f t="shared" si="38"/>
        <v>150.71407834236189</v>
      </c>
      <c r="L167" s="122">
        <f t="shared" si="28"/>
        <v>983103.14</v>
      </c>
      <c r="M167" s="116">
        <f t="shared" si="29"/>
        <v>704884.95137999998</v>
      </c>
      <c r="N167" s="123">
        <f t="shared" si="30"/>
        <v>381.84450237269772</v>
      </c>
      <c r="O167" s="5"/>
      <c r="P167" s="5">
        <f t="shared" si="31"/>
        <v>1</v>
      </c>
      <c r="Q167" s="7">
        <f t="shared" si="32"/>
        <v>1846</v>
      </c>
    </row>
    <row r="168" spans="1:21">
      <c r="A168" s="23" t="s">
        <v>194</v>
      </c>
      <c r="B168" s="35" t="s">
        <v>183</v>
      </c>
      <c r="C168" s="125">
        <v>14536</v>
      </c>
      <c r="D168" s="132">
        <v>1535542737</v>
      </c>
      <c r="E168" s="116">
        <f t="shared" si="36"/>
        <v>105637.22736653825</v>
      </c>
      <c r="F168" s="134">
        <v>1087000621</v>
      </c>
      <c r="G168" s="117">
        <f t="shared" si="37"/>
        <v>74779.89962850853</v>
      </c>
      <c r="H168" s="7"/>
      <c r="I168" s="136">
        <v>6.3</v>
      </c>
      <c r="J168" s="134">
        <v>6848103.9123</v>
      </c>
      <c r="K168" s="120">
        <f t="shared" si="38"/>
        <v>471.11336765960374</v>
      </c>
      <c r="L168" s="122">
        <f t="shared" si="28"/>
        <v>10870006.210000001</v>
      </c>
      <c r="M168" s="116">
        <f t="shared" si="29"/>
        <v>4021902.2977000009</v>
      </c>
      <c r="N168" s="123">
        <f t="shared" si="30"/>
        <v>276.68562862548163</v>
      </c>
      <c r="O168" s="5"/>
      <c r="P168" s="5">
        <f t="shared" si="31"/>
        <v>1</v>
      </c>
      <c r="Q168" s="7">
        <f t="shared" si="32"/>
        <v>14536</v>
      </c>
    </row>
    <row r="169" spans="1:21">
      <c r="A169" s="23" t="s">
        <v>195</v>
      </c>
      <c r="B169" s="35" t="s">
        <v>183</v>
      </c>
      <c r="C169" s="125">
        <v>17353</v>
      </c>
      <c r="D169" s="132">
        <v>1587974088</v>
      </c>
      <c r="E169" s="116">
        <f t="shared" si="36"/>
        <v>91510.060969284852</v>
      </c>
      <c r="F169" s="134">
        <v>888064348</v>
      </c>
      <c r="G169" s="117">
        <f t="shared" si="37"/>
        <v>51176.416066386213</v>
      </c>
      <c r="H169" s="7"/>
      <c r="I169" s="136">
        <v>7.1119000000000003</v>
      </c>
      <c r="J169" s="134">
        <v>6315824.836541201</v>
      </c>
      <c r="K169" s="120">
        <f t="shared" si="38"/>
        <v>363.96155342253218</v>
      </c>
      <c r="L169" s="122">
        <f t="shared" si="28"/>
        <v>8880643.4800000004</v>
      </c>
      <c r="M169" s="116">
        <f t="shared" si="29"/>
        <v>2564818.6434587995</v>
      </c>
      <c r="N169" s="123">
        <f t="shared" si="30"/>
        <v>147.80260724133001</v>
      </c>
      <c r="O169" s="5"/>
      <c r="P169" s="5">
        <f t="shared" si="31"/>
        <v>1</v>
      </c>
      <c r="Q169" s="7">
        <f t="shared" si="32"/>
        <v>17353</v>
      </c>
    </row>
    <row r="170" spans="1:21">
      <c r="A170" s="23" t="s">
        <v>196</v>
      </c>
      <c r="B170" s="35" t="s">
        <v>183</v>
      </c>
      <c r="C170" s="125">
        <v>4081</v>
      </c>
      <c r="D170" s="132">
        <v>227534409</v>
      </c>
      <c r="E170" s="116">
        <f t="shared" si="36"/>
        <v>55754.57216368537</v>
      </c>
      <c r="F170" s="134">
        <v>138688375</v>
      </c>
      <c r="G170" s="117">
        <f t="shared" si="37"/>
        <v>33983.919382504289</v>
      </c>
      <c r="H170" s="7"/>
      <c r="I170" s="136">
        <v>7.1089000000000002</v>
      </c>
      <c r="J170" s="134">
        <v>985921.78903750004</v>
      </c>
      <c r="K170" s="120">
        <f t="shared" si="38"/>
        <v>241.58828449828474</v>
      </c>
      <c r="L170" s="122">
        <f t="shared" si="28"/>
        <v>1386883.75</v>
      </c>
      <c r="M170" s="116">
        <f t="shared" si="29"/>
        <v>400961.96096249996</v>
      </c>
      <c r="N170" s="123">
        <f t="shared" si="30"/>
        <v>98.250909326758133</v>
      </c>
      <c r="O170" s="5"/>
      <c r="P170" s="5">
        <f t="shared" si="31"/>
        <v>1</v>
      </c>
      <c r="Q170" s="7">
        <f t="shared" si="32"/>
        <v>4081</v>
      </c>
      <c r="S170" s="124">
        <f>SUM(D157:D170)</f>
        <v>16297817019</v>
      </c>
      <c r="T170" s="124">
        <f>SUM(F157:F170)</f>
        <v>10863093265</v>
      </c>
      <c r="U170" s="124">
        <f>SUM(J157:J170)</f>
        <v>56241408.031599104</v>
      </c>
    </row>
    <row r="171" spans="1:21">
      <c r="A171" s="23" t="s">
        <v>448</v>
      </c>
      <c r="B171" s="35" t="s">
        <v>198</v>
      </c>
      <c r="C171" s="125">
        <v>51181</v>
      </c>
      <c r="D171" s="132">
        <v>12872069667</v>
      </c>
      <c r="E171" s="116">
        <f t="shared" si="36"/>
        <v>251500.94111095913</v>
      </c>
      <c r="F171" s="134">
        <v>10519635010</v>
      </c>
      <c r="G171" s="117">
        <f t="shared" si="37"/>
        <v>205537.89511732871</v>
      </c>
      <c r="H171" s="7"/>
      <c r="I171" s="136">
        <v>0.81730000000000003</v>
      </c>
      <c r="J171" s="134">
        <v>8597697.6936729997</v>
      </c>
      <c r="K171" s="120">
        <f t="shared" si="38"/>
        <v>167.98612167939274</v>
      </c>
      <c r="L171" s="122">
        <f t="shared" si="28"/>
        <v>105196350.10000001</v>
      </c>
      <c r="M171" s="116">
        <f t="shared" si="29"/>
        <v>96598652.406327009</v>
      </c>
      <c r="N171" s="123">
        <f t="shared" si="30"/>
        <v>1887.3928294938944</v>
      </c>
      <c r="O171" s="5"/>
      <c r="P171" s="5">
        <f t="shared" si="31"/>
        <v>1</v>
      </c>
      <c r="Q171" s="7">
        <f t="shared" si="32"/>
        <v>51181</v>
      </c>
    </row>
    <row r="172" spans="1:21">
      <c r="A172" s="23" t="s">
        <v>197</v>
      </c>
      <c r="B172" s="35" t="s">
        <v>198</v>
      </c>
      <c r="C172" s="125">
        <v>180204</v>
      </c>
      <c r="D172" s="132">
        <v>21403613373</v>
      </c>
      <c r="E172" s="116">
        <f t="shared" si="36"/>
        <v>118774.35225078245</v>
      </c>
      <c r="F172" s="134">
        <v>14300234077</v>
      </c>
      <c r="G172" s="117">
        <f t="shared" si="37"/>
        <v>79355.808289494133</v>
      </c>
      <c r="H172" s="7"/>
      <c r="I172" s="136">
        <v>6.75</v>
      </c>
      <c r="J172" s="134">
        <v>96526580.019749999</v>
      </c>
      <c r="K172" s="120">
        <f t="shared" si="38"/>
        <v>535.6517059540854</v>
      </c>
      <c r="L172" s="122">
        <f t="shared" si="28"/>
        <v>143002340.77000001</v>
      </c>
      <c r="M172" s="116">
        <f t="shared" si="29"/>
        <v>46475760.750250012</v>
      </c>
      <c r="N172" s="123">
        <f t="shared" si="30"/>
        <v>257.90637694085598</v>
      </c>
      <c r="O172" s="5"/>
      <c r="P172" s="5">
        <f t="shared" si="31"/>
        <v>1</v>
      </c>
      <c r="Q172" s="7">
        <f t="shared" si="32"/>
        <v>180204</v>
      </c>
    </row>
    <row r="173" spans="1:21">
      <c r="A173" s="24" t="s">
        <v>598</v>
      </c>
      <c r="B173" s="37" t="s">
        <v>198</v>
      </c>
      <c r="C173" s="125">
        <v>31806</v>
      </c>
      <c r="D173" s="147">
        <v>8035620944</v>
      </c>
      <c r="E173" s="116">
        <f t="shared" si="36"/>
        <v>252644.8136829529</v>
      </c>
      <c r="F173" s="134">
        <v>6649259073</v>
      </c>
      <c r="G173" s="117">
        <f t="shared" si="37"/>
        <v>209056.75259385022</v>
      </c>
      <c r="H173" s="98"/>
      <c r="I173" s="136">
        <v>0.77500000000000002</v>
      </c>
      <c r="J173" s="134">
        <v>5153175.7815749999</v>
      </c>
      <c r="K173" s="120">
        <f t="shared" si="38"/>
        <v>162.01898326023391</v>
      </c>
      <c r="L173" s="122">
        <f t="shared" si="28"/>
        <v>66492590.730000004</v>
      </c>
      <c r="M173" s="116">
        <f t="shared" si="29"/>
        <v>61339414.948425002</v>
      </c>
      <c r="N173" s="123">
        <f t="shared" si="30"/>
        <v>1928.5485426782684</v>
      </c>
      <c r="O173" s="5"/>
      <c r="P173" s="5">
        <f>IF(I173&gt;0,1,0)</f>
        <v>1</v>
      </c>
      <c r="Q173" s="7">
        <f>IF(I173&gt;0,C173,0)</f>
        <v>31806</v>
      </c>
    </row>
    <row r="174" spans="1:21">
      <c r="A174" s="23" t="s">
        <v>199</v>
      </c>
      <c r="B174" s="35" t="s">
        <v>198</v>
      </c>
      <c r="C174" s="125">
        <v>81868</v>
      </c>
      <c r="D174" s="132">
        <v>9601817736</v>
      </c>
      <c r="E174" s="116">
        <f t="shared" si="36"/>
        <v>117284.13709874432</v>
      </c>
      <c r="F174" s="134">
        <v>6637122012</v>
      </c>
      <c r="G174" s="117">
        <f t="shared" si="37"/>
        <v>81071.016905262135</v>
      </c>
      <c r="H174" s="7"/>
      <c r="I174" s="136">
        <v>8.4499999999999993</v>
      </c>
      <c r="J174" s="134">
        <v>56083681.001399994</v>
      </c>
      <c r="K174" s="120">
        <f t="shared" si="38"/>
        <v>685.05009284946493</v>
      </c>
      <c r="L174" s="122">
        <f t="shared" si="28"/>
        <v>66371220.120000005</v>
      </c>
      <c r="M174" s="116">
        <f t="shared" si="29"/>
        <v>10287539.118600011</v>
      </c>
      <c r="N174" s="123">
        <f t="shared" si="30"/>
        <v>125.66007620315644</v>
      </c>
      <c r="O174" s="5"/>
      <c r="P174" s="5">
        <f t="shared" si="31"/>
        <v>1</v>
      </c>
      <c r="Q174" s="7">
        <f t="shared" si="32"/>
        <v>81868</v>
      </c>
    </row>
    <row r="175" spans="1:21">
      <c r="A175" s="23" t="s">
        <v>200</v>
      </c>
      <c r="B175" s="35" t="s">
        <v>198</v>
      </c>
      <c r="C175" s="125">
        <v>6406</v>
      </c>
      <c r="D175" s="132">
        <v>4047184688</v>
      </c>
      <c r="E175" s="116">
        <f t="shared" si="36"/>
        <v>631780.31345613487</v>
      </c>
      <c r="F175" s="134">
        <v>3434036838</v>
      </c>
      <c r="G175" s="117">
        <f t="shared" si="37"/>
        <v>536065.69434904773</v>
      </c>
      <c r="H175" s="7"/>
      <c r="I175" s="136">
        <v>0.87</v>
      </c>
      <c r="J175" s="134">
        <v>2987612.0490600001</v>
      </c>
      <c r="K175" s="120">
        <f t="shared" si="38"/>
        <v>466.3771540836716</v>
      </c>
      <c r="L175" s="122">
        <f t="shared" si="28"/>
        <v>34340368.380000003</v>
      </c>
      <c r="M175" s="116">
        <f t="shared" si="29"/>
        <v>31352756.330940001</v>
      </c>
      <c r="N175" s="123">
        <f t="shared" si="30"/>
        <v>4894.2797894068062</v>
      </c>
      <c r="O175" s="5"/>
      <c r="P175" s="5">
        <f t="shared" si="31"/>
        <v>1</v>
      </c>
      <c r="Q175" s="7">
        <f t="shared" si="32"/>
        <v>6406</v>
      </c>
    </row>
    <row r="176" spans="1:21">
      <c r="A176" s="23" t="s">
        <v>201</v>
      </c>
      <c r="B176" s="35" t="s">
        <v>198</v>
      </c>
      <c r="C176" s="125">
        <v>6701</v>
      </c>
      <c r="D176" s="132">
        <v>6085767188</v>
      </c>
      <c r="E176" s="116">
        <f t="shared" si="36"/>
        <v>908187.9104611252</v>
      </c>
      <c r="F176" s="134">
        <v>5196520865</v>
      </c>
      <c r="G176" s="117">
        <f t="shared" si="37"/>
        <v>775484.38516639313</v>
      </c>
      <c r="H176" s="7"/>
      <c r="I176" s="136">
        <v>1.9138999999999999</v>
      </c>
      <c r="J176" s="134">
        <v>9945621.2835235</v>
      </c>
      <c r="K176" s="120">
        <f t="shared" si="38"/>
        <v>1484.1995647699598</v>
      </c>
      <c r="L176" s="122">
        <f t="shared" si="28"/>
        <v>51965208.649999999</v>
      </c>
      <c r="M176" s="116">
        <f t="shared" si="29"/>
        <v>42019587.366476499</v>
      </c>
      <c r="N176" s="123">
        <f t="shared" si="30"/>
        <v>6270.6442868939712</v>
      </c>
      <c r="O176" s="5"/>
      <c r="P176" s="5">
        <f t="shared" si="31"/>
        <v>1</v>
      </c>
      <c r="Q176" s="7">
        <f t="shared" si="32"/>
        <v>6701</v>
      </c>
      <c r="S176" s="124">
        <f>SUM(D171:D176)</f>
        <v>62046073596</v>
      </c>
      <c r="T176" s="124">
        <f>SUM(F171:F176)</f>
        <v>46736807875</v>
      </c>
      <c r="U176" s="124">
        <f>SUM(J171:J176)</f>
        <v>179294367.82898146</v>
      </c>
    </row>
    <row r="177" spans="1:21">
      <c r="A177" s="23" t="s">
        <v>202</v>
      </c>
      <c r="B177" s="35" t="s">
        <v>203</v>
      </c>
      <c r="C177" s="125">
        <v>192381</v>
      </c>
      <c r="D177" s="132">
        <v>19628201989</v>
      </c>
      <c r="E177" s="116">
        <f t="shared" si="36"/>
        <v>102027.75736169372</v>
      </c>
      <c r="F177" s="134">
        <v>11144100857</v>
      </c>
      <c r="G177" s="117">
        <f t="shared" si="37"/>
        <v>57927.242591524111</v>
      </c>
      <c r="H177" s="7"/>
      <c r="I177" s="136">
        <v>4.0999999999999996</v>
      </c>
      <c r="J177" s="134">
        <v>45690813.513699993</v>
      </c>
      <c r="K177" s="120">
        <f t="shared" si="38"/>
        <v>237.50169462524883</v>
      </c>
      <c r="L177" s="122">
        <f t="shared" si="28"/>
        <v>111441008.57000001</v>
      </c>
      <c r="M177" s="116">
        <f t="shared" si="29"/>
        <v>65750195.056300014</v>
      </c>
      <c r="N177" s="123">
        <f t="shared" si="30"/>
        <v>341.77073128999234</v>
      </c>
      <c r="O177" s="5"/>
      <c r="P177" s="5">
        <f t="shared" si="31"/>
        <v>1</v>
      </c>
      <c r="Q177" s="7">
        <f t="shared" si="32"/>
        <v>192381</v>
      </c>
      <c r="S177" s="124">
        <f>SUM(D177)</f>
        <v>19628201989</v>
      </c>
      <c r="T177" s="124">
        <f>SUM(F177)</f>
        <v>11144100857</v>
      </c>
      <c r="U177" s="124">
        <f>SUM(J177)</f>
        <v>45690813.513699993</v>
      </c>
    </row>
    <row r="178" spans="1:21">
      <c r="A178" s="23" t="s">
        <v>204</v>
      </c>
      <c r="B178" s="35" t="s">
        <v>205</v>
      </c>
      <c r="C178" s="125">
        <v>1133</v>
      </c>
      <c r="D178" s="132">
        <v>81864641</v>
      </c>
      <c r="E178" s="116">
        <f t="shared" si="36"/>
        <v>72254.758164165934</v>
      </c>
      <c r="F178" s="134">
        <v>43133227</v>
      </c>
      <c r="G178" s="117">
        <f t="shared" si="37"/>
        <v>38069.926743159755</v>
      </c>
      <c r="H178" s="7"/>
      <c r="I178" s="136">
        <v>4.8106999999999998</v>
      </c>
      <c r="J178" s="134">
        <v>207501.01512890001</v>
      </c>
      <c r="K178" s="120">
        <f t="shared" si="38"/>
        <v>183.14299658331862</v>
      </c>
      <c r="L178" s="122">
        <f t="shared" si="28"/>
        <v>431332.27</v>
      </c>
      <c r="M178" s="116">
        <f t="shared" si="29"/>
        <v>223831.25487110001</v>
      </c>
      <c r="N178" s="123">
        <f t="shared" si="30"/>
        <v>197.55627084827893</v>
      </c>
      <c r="O178" s="5"/>
      <c r="P178" s="5">
        <f t="shared" si="31"/>
        <v>1</v>
      </c>
      <c r="Q178" s="7">
        <f t="shared" si="32"/>
        <v>1133</v>
      </c>
    </row>
    <row r="179" spans="1:21">
      <c r="A179" s="23" t="s">
        <v>206</v>
      </c>
      <c r="B179" s="35" t="s">
        <v>205</v>
      </c>
      <c r="C179" s="125">
        <v>714</v>
      </c>
      <c r="D179" s="132">
        <v>188841583</v>
      </c>
      <c r="E179" s="116">
        <f t="shared" si="36"/>
        <v>264484.00980392157</v>
      </c>
      <c r="F179" s="134">
        <v>142804721</v>
      </c>
      <c r="G179" s="117">
        <f t="shared" si="37"/>
        <v>200006.61204481791</v>
      </c>
      <c r="H179" s="7"/>
      <c r="I179" s="136">
        <v>5.3559999999999999</v>
      </c>
      <c r="J179" s="134">
        <v>764862.08567599999</v>
      </c>
      <c r="K179" s="120">
        <f t="shared" si="38"/>
        <v>1071.2354141120447</v>
      </c>
      <c r="L179" s="122">
        <f t="shared" si="28"/>
        <v>1428047.21</v>
      </c>
      <c r="M179" s="116">
        <f t="shared" si="29"/>
        <v>663185.12432399997</v>
      </c>
      <c r="N179" s="123">
        <f t="shared" si="30"/>
        <v>928.83070633613443</v>
      </c>
      <c r="O179" s="5"/>
      <c r="P179" s="5">
        <f t="shared" si="31"/>
        <v>1</v>
      </c>
      <c r="Q179" s="7">
        <f t="shared" si="32"/>
        <v>714</v>
      </c>
    </row>
    <row r="180" spans="1:21">
      <c r="A180" s="23" t="s">
        <v>207</v>
      </c>
      <c r="B180" s="35" t="s">
        <v>205</v>
      </c>
      <c r="C180" s="125">
        <v>2224</v>
      </c>
      <c r="D180" s="132">
        <v>176875123</v>
      </c>
      <c r="E180" s="116">
        <f t="shared" si="36"/>
        <v>79530.181205035973</v>
      </c>
      <c r="F180" s="134">
        <v>128049226</v>
      </c>
      <c r="G180" s="117">
        <f t="shared" si="37"/>
        <v>57576.090827338128</v>
      </c>
      <c r="H180" s="7"/>
      <c r="I180" s="136">
        <v>7.9074999999999998</v>
      </c>
      <c r="J180" s="134">
        <v>1012549.2545949999</v>
      </c>
      <c r="K180" s="120">
        <f t="shared" si="38"/>
        <v>455.28293821717625</v>
      </c>
      <c r="L180" s="122">
        <f t="shared" si="28"/>
        <v>1280492.26</v>
      </c>
      <c r="M180" s="116">
        <f t="shared" si="29"/>
        <v>267943.00540500006</v>
      </c>
      <c r="N180" s="123">
        <f t="shared" si="30"/>
        <v>120.47797005620507</v>
      </c>
      <c r="O180" s="5"/>
      <c r="P180" s="5">
        <f t="shared" si="31"/>
        <v>1</v>
      </c>
      <c r="Q180" s="7">
        <f t="shared" si="32"/>
        <v>2224</v>
      </c>
    </row>
    <row r="181" spans="1:21">
      <c r="A181" s="23" t="s">
        <v>208</v>
      </c>
      <c r="B181" s="35" t="s">
        <v>205</v>
      </c>
      <c r="C181" s="125">
        <v>1292</v>
      </c>
      <c r="D181" s="132">
        <v>91494165</v>
      </c>
      <c r="E181" s="116">
        <f t="shared" si="36"/>
        <v>70815.917182662539</v>
      </c>
      <c r="F181" s="134">
        <v>65576540</v>
      </c>
      <c r="G181" s="117">
        <f t="shared" si="37"/>
        <v>50755.835913312694</v>
      </c>
      <c r="H181" s="7"/>
      <c r="I181" s="136">
        <v>5</v>
      </c>
      <c r="J181" s="134">
        <v>327882.7</v>
      </c>
      <c r="K181" s="120">
        <f t="shared" si="38"/>
        <v>253.77917956656347</v>
      </c>
      <c r="L181" s="122">
        <f t="shared" si="28"/>
        <v>655765.4</v>
      </c>
      <c r="M181" s="116">
        <f t="shared" si="29"/>
        <v>327882.7</v>
      </c>
      <c r="N181" s="123">
        <f t="shared" si="30"/>
        <v>253.77917956656347</v>
      </c>
      <c r="O181" s="5"/>
      <c r="P181" s="5">
        <f t="shared" si="31"/>
        <v>1</v>
      </c>
      <c r="Q181" s="7">
        <f t="shared" si="32"/>
        <v>1292</v>
      </c>
    </row>
    <row r="182" spans="1:21">
      <c r="A182" s="23" t="s">
        <v>209</v>
      </c>
      <c r="B182" s="35" t="s">
        <v>205</v>
      </c>
      <c r="C182" s="125">
        <v>122</v>
      </c>
      <c r="D182" s="132">
        <v>10678369</v>
      </c>
      <c r="E182" s="116">
        <f t="shared" si="36"/>
        <v>87527.614754098366</v>
      </c>
      <c r="F182" s="134">
        <v>7503215</v>
      </c>
      <c r="G182" s="117">
        <f t="shared" si="37"/>
        <v>61501.762295081964</v>
      </c>
      <c r="H182" s="7"/>
      <c r="I182" s="136">
        <v>7.3647</v>
      </c>
      <c r="J182" s="134">
        <v>55258.927510499998</v>
      </c>
      <c r="K182" s="120">
        <f t="shared" si="38"/>
        <v>452.94202877459014</v>
      </c>
      <c r="L182" s="122">
        <f t="shared" si="28"/>
        <v>75032.150000000009</v>
      </c>
      <c r="M182" s="116">
        <f t="shared" si="29"/>
        <v>19773.222489500011</v>
      </c>
      <c r="N182" s="123">
        <f t="shared" si="30"/>
        <v>162.0755941762296</v>
      </c>
      <c r="O182" s="5"/>
      <c r="P182" s="5">
        <f t="shared" si="31"/>
        <v>1</v>
      </c>
      <c r="Q182" s="7">
        <f t="shared" si="32"/>
        <v>122</v>
      </c>
    </row>
    <row r="183" spans="1:21">
      <c r="A183" s="23" t="s">
        <v>210</v>
      </c>
      <c r="B183" s="35" t="s">
        <v>205</v>
      </c>
      <c r="C183" s="125">
        <v>2943</v>
      </c>
      <c r="D183" s="132">
        <v>175426326</v>
      </c>
      <c r="E183" s="116">
        <f t="shared" si="36"/>
        <v>59607.993883792049</v>
      </c>
      <c r="F183" s="134">
        <v>101511962</v>
      </c>
      <c r="G183" s="117">
        <f t="shared" si="37"/>
        <v>34492.681617397211</v>
      </c>
      <c r="H183" s="7"/>
      <c r="I183" s="136">
        <v>6.25</v>
      </c>
      <c r="J183" s="134">
        <v>634449.76249999995</v>
      </c>
      <c r="K183" s="120">
        <f t="shared" si="38"/>
        <v>215.57926010873257</v>
      </c>
      <c r="L183" s="122">
        <f t="shared" si="28"/>
        <v>1015119.62</v>
      </c>
      <c r="M183" s="116">
        <f t="shared" si="29"/>
        <v>380669.85750000004</v>
      </c>
      <c r="N183" s="123">
        <f t="shared" si="30"/>
        <v>129.34755606523956</v>
      </c>
      <c r="O183" s="5"/>
      <c r="P183" s="5">
        <f t="shared" si="31"/>
        <v>1</v>
      </c>
      <c r="Q183" s="7">
        <f t="shared" si="32"/>
        <v>2943</v>
      </c>
    </row>
    <row r="184" spans="1:21">
      <c r="A184" s="23" t="s">
        <v>211</v>
      </c>
      <c r="B184" s="35" t="s">
        <v>205</v>
      </c>
      <c r="C184" s="125">
        <v>504</v>
      </c>
      <c r="D184" s="132">
        <v>79201606</v>
      </c>
      <c r="E184" s="116">
        <f t="shared" si="36"/>
        <v>157146.04365079364</v>
      </c>
      <c r="F184" s="134">
        <v>56803383</v>
      </c>
      <c r="G184" s="117">
        <f t="shared" si="37"/>
        <v>112705.125</v>
      </c>
      <c r="H184" s="7"/>
      <c r="I184" s="136">
        <v>2.5209999999999999</v>
      </c>
      <c r="J184" s="134">
        <v>143201.32854299998</v>
      </c>
      <c r="K184" s="120">
        <f t="shared" si="38"/>
        <v>284.12962012499997</v>
      </c>
      <c r="L184" s="122">
        <f t="shared" si="28"/>
        <v>568033.82999999996</v>
      </c>
      <c r="M184" s="116">
        <f t="shared" si="29"/>
        <v>424832.50145699998</v>
      </c>
      <c r="N184" s="123">
        <f t="shared" si="30"/>
        <v>842.92162987500001</v>
      </c>
      <c r="O184" s="5"/>
      <c r="P184" s="5">
        <f t="shared" si="31"/>
        <v>1</v>
      </c>
      <c r="Q184" s="7">
        <f t="shared" si="32"/>
        <v>504</v>
      </c>
      <c r="S184" s="124">
        <f>SUM(D178:D184)</f>
        <v>804381813</v>
      </c>
      <c r="T184" s="124">
        <f>SUM(F178:F184)</f>
        <v>545382274</v>
      </c>
      <c r="U184" s="124">
        <f>SUM(J178:J184)</f>
        <v>3145705.0739534004</v>
      </c>
    </row>
    <row r="185" spans="1:21">
      <c r="A185" s="23" t="s">
        <v>212</v>
      </c>
      <c r="B185" s="35" t="s">
        <v>213</v>
      </c>
      <c r="C185" s="125">
        <v>950</v>
      </c>
      <c r="D185" s="132">
        <v>72312771</v>
      </c>
      <c r="E185" s="116">
        <f t="shared" si="36"/>
        <v>76118.706315789474</v>
      </c>
      <c r="F185" s="134">
        <v>22916465</v>
      </c>
      <c r="G185" s="117">
        <f t="shared" si="37"/>
        <v>24122.594736842104</v>
      </c>
      <c r="H185" s="7"/>
      <c r="I185" s="136">
        <v>5.9158999999999997</v>
      </c>
      <c r="J185" s="134">
        <v>135571.51529350001</v>
      </c>
      <c r="K185" s="120">
        <f t="shared" si="38"/>
        <v>142.70685820368422</v>
      </c>
      <c r="L185" s="122">
        <f t="shared" si="28"/>
        <v>229164.65</v>
      </c>
      <c r="M185" s="116">
        <f t="shared" si="29"/>
        <v>93593.134706499986</v>
      </c>
      <c r="N185" s="123">
        <f t="shared" si="30"/>
        <v>98.519089164736826</v>
      </c>
      <c r="O185" s="5"/>
      <c r="P185" s="5">
        <f t="shared" si="31"/>
        <v>1</v>
      </c>
      <c r="Q185" s="7">
        <f t="shared" si="32"/>
        <v>950</v>
      </c>
      <c r="S185" s="124">
        <f>SUM(D185)</f>
        <v>72312771</v>
      </c>
      <c r="T185" s="124">
        <f>SUM(F185)</f>
        <v>22916465</v>
      </c>
      <c r="U185" s="124">
        <f>SUM(J185)</f>
        <v>135571.51529350001</v>
      </c>
    </row>
    <row r="186" spans="1:21">
      <c r="A186" s="23" t="s">
        <v>214</v>
      </c>
      <c r="B186" s="35" t="s">
        <v>215</v>
      </c>
      <c r="C186" s="125">
        <v>797</v>
      </c>
      <c r="D186" s="132">
        <v>19357735</v>
      </c>
      <c r="E186" s="116">
        <f t="shared" si="36"/>
        <v>24288.249686323714</v>
      </c>
      <c r="F186" s="134">
        <v>11229182</v>
      </c>
      <c r="G186" s="117">
        <f t="shared" si="37"/>
        <v>14089.312421580929</v>
      </c>
      <c r="H186" s="7"/>
      <c r="I186" s="136">
        <v>10</v>
      </c>
      <c r="J186" s="134">
        <v>112291.82</v>
      </c>
      <c r="K186" s="120">
        <f t="shared" si="38"/>
        <v>140.89312421580928</v>
      </c>
      <c r="L186" s="122">
        <f t="shared" si="28"/>
        <v>112291.82</v>
      </c>
      <c r="M186" s="116">
        <f t="shared" si="29"/>
        <v>0</v>
      </c>
      <c r="N186" s="123">
        <f t="shared" si="30"/>
        <v>0</v>
      </c>
      <c r="O186" s="5"/>
      <c r="P186" s="5">
        <f t="shared" si="31"/>
        <v>1</v>
      </c>
      <c r="Q186" s="7">
        <f t="shared" si="32"/>
        <v>797</v>
      </c>
    </row>
    <row r="187" spans="1:21">
      <c r="A187" s="23" t="s">
        <v>198</v>
      </c>
      <c r="B187" s="35" t="s">
        <v>215</v>
      </c>
      <c r="C187" s="125">
        <v>338</v>
      </c>
      <c r="D187" s="132">
        <v>18098677</v>
      </c>
      <c r="E187" s="116">
        <f t="shared" si="36"/>
        <v>53546.381656804733</v>
      </c>
      <c r="F187" s="134">
        <v>7750836</v>
      </c>
      <c r="G187" s="117">
        <f t="shared" si="37"/>
        <v>22931.467455621303</v>
      </c>
      <c r="H187" s="7"/>
      <c r="I187" s="136">
        <v>7</v>
      </c>
      <c r="J187" s="134">
        <v>54255.851999999999</v>
      </c>
      <c r="K187" s="120">
        <f t="shared" si="38"/>
        <v>160.5202721893491</v>
      </c>
      <c r="L187" s="122">
        <f t="shared" si="28"/>
        <v>77508.36</v>
      </c>
      <c r="M187" s="116">
        <f t="shared" si="29"/>
        <v>23252.508000000002</v>
      </c>
      <c r="N187" s="123">
        <f t="shared" si="30"/>
        <v>68.794402366863906</v>
      </c>
      <c r="O187" s="5"/>
      <c r="P187" s="5">
        <f t="shared" si="31"/>
        <v>1</v>
      </c>
      <c r="Q187" s="7">
        <f t="shared" si="32"/>
        <v>338</v>
      </c>
    </row>
    <row r="188" spans="1:21">
      <c r="A188" s="23" t="s">
        <v>215</v>
      </c>
      <c r="B188" s="35" t="s">
        <v>215</v>
      </c>
      <c r="C188" s="125">
        <v>3081</v>
      </c>
      <c r="D188" s="132">
        <v>146595036</v>
      </c>
      <c r="E188" s="116">
        <f t="shared" si="36"/>
        <v>47580.34274586173</v>
      </c>
      <c r="F188" s="134">
        <v>87358994</v>
      </c>
      <c r="G188" s="117">
        <f t="shared" si="37"/>
        <v>28354.103862382344</v>
      </c>
      <c r="H188" s="7"/>
      <c r="I188" s="136">
        <v>7</v>
      </c>
      <c r="J188" s="134">
        <v>611512.95799999998</v>
      </c>
      <c r="K188" s="120">
        <f t="shared" si="38"/>
        <v>198.47872703667639</v>
      </c>
      <c r="L188" s="122">
        <f t="shared" si="28"/>
        <v>873589.94000000006</v>
      </c>
      <c r="M188" s="116">
        <f t="shared" si="29"/>
        <v>262076.98200000008</v>
      </c>
      <c r="N188" s="123">
        <f t="shared" si="30"/>
        <v>85.06231158714705</v>
      </c>
      <c r="O188" s="5"/>
      <c r="P188" s="5">
        <f t="shared" si="31"/>
        <v>1</v>
      </c>
      <c r="Q188" s="7">
        <f t="shared" si="32"/>
        <v>3081</v>
      </c>
      <c r="S188" s="124">
        <f>SUM(D186:D188)</f>
        <v>184051448</v>
      </c>
      <c r="T188" s="124">
        <f>SUM(F186:F188)</f>
        <v>106339012</v>
      </c>
      <c r="U188" s="124">
        <f>SUM(J186:J188)</f>
        <v>778060.63</v>
      </c>
    </row>
    <row r="189" spans="1:21">
      <c r="A189" s="23" t="s">
        <v>216</v>
      </c>
      <c r="B189" s="35" t="s">
        <v>217</v>
      </c>
      <c r="C189" s="125">
        <v>1599</v>
      </c>
      <c r="D189" s="132">
        <v>1348132324</v>
      </c>
      <c r="E189" s="116">
        <f t="shared" si="36"/>
        <v>843109.64602876792</v>
      </c>
      <c r="F189" s="134">
        <v>1094519801</v>
      </c>
      <c r="G189" s="117">
        <f t="shared" si="37"/>
        <v>684502.68980612885</v>
      </c>
      <c r="H189" s="7"/>
      <c r="I189" s="136">
        <v>2.0499999999999998</v>
      </c>
      <c r="J189" s="134">
        <v>2243765.5920499996</v>
      </c>
      <c r="K189" s="120">
        <f t="shared" si="38"/>
        <v>1403.2305141025638</v>
      </c>
      <c r="L189" s="122">
        <f t="shared" si="28"/>
        <v>10945198.01</v>
      </c>
      <c r="M189" s="116">
        <f t="shared" si="29"/>
        <v>8701432.4179500006</v>
      </c>
      <c r="N189" s="123">
        <f t="shared" si="30"/>
        <v>5441.7963839587246</v>
      </c>
      <c r="O189" s="5"/>
      <c r="P189" s="5">
        <f t="shared" si="31"/>
        <v>1</v>
      </c>
      <c r="Q189" s="7">
        <f t="shared" si="32"/>
        <v>1599</v>
      </c>
    </row>
    <row r="190" spans="1:21">
      <c r="A190" s="23" t="s">
        <v>218</v>
      </c>
      <c r="B190" s="35" t="s">
        <v>217</v>
      </c>
      <c r="C190" s="125">
        <v>56157</v>
      </c>
      <c r="D190" s="132">
        <v>5123628839</v>
      </c>
      <c r="E190" s="116">
        <f t="shared" si="36"/>
        <v>91237.581049557484</v>
      </c>
      <c r="F190" s="134">
        <v>3620933598</v>
      </c>
      <c r="G190" s="117">
        <f t="shared" si="37"/>
        <v>64478.75773278487</v>
      </c>
      <c r="H190" s="7"/>
      <c r="I190" s="136">
        <v>5.8975999999999997</v>
      </c>
      <c r="J190" s="134">
        <v>21354817.987564798</v>
      </c>
      <c r="K190" s="120">
        <f t="shared" si="38"/>
        <v>380.26992160487202</v>
      </c>
      <c r="L190" s="122">
        <f t="shared" si="28"/>
        <v>36209335.980000004</v>
      </c>
      <c r="M190" s="116">
        <f t="shared" si="29"/>
        <v>14854517.992435206</v>
      </c>
      <c r="N190" s="123">
        <f t="shared" si="30"/>
        <v>264.51765572297677</v>
      </c>
      <c r="O190" s="5"/>
      <c r="P190" s="5">
        <f t="shared" si="31"/>
        <v>1</v>
      </c>
      <c r="Q190" s="7">
        <f t="shared" si="32"/>
        <v>56157</v>
      </c>
    </row>
    <row r="191" spans="1:21">
      <c r="A191" s="23" t="s">
        <v>219</v>
      </c>
      <c r="B191" s="35" t="s">
        <v>217</v>
      </c>
      <c r="C191" s="125">
        <v>1194</v>
      </c>
      <c r="D191" s="132">
        <v>798192025</v>
      </c>
      <c r="E191" s="116">
        <f t="shared" si="36"/>
        <v>668502.53350083751</v>
      </c>
      <c r="F191" s="134">
        <v>618638836</v>
      </c>
      <c r="G191" s="117">
        <f t="shared" si="37"/>
        <v>518122.97822445561</v>
      </c>
      <c r="H191" s="7"/>
      <c r="I191" s="136">
        <v>2.3329</v>
      </c>
      <c r="J191" s="134">
        <v>1443222.5405043999</v>
      </c>
      <c r="K191" s="120">
        <f t="shared" si="38"/>
        <v>1208.7290958998324</v>
      </c>
      <c r="L191" s="122">
        <f t="shared" si="28"/>
        <v>6186388.3600000003</v>
      </c>
      <c r="M191" s="116">
        <f t="shared" si="29"/>
        <v>4743165.8194956006</v>
      </c>
      <c r="N191" s="123">
        <f t="shared" si="30"/>
        <v>3972.5006863447243</v>
      </c>
      <c r="O191" s="5"/>
      <c r="P191" s="5">
        <f t="shared" si="31"/>
        <v>1</v>
      </c>
      <c r="Q191" s="7">
        <f t="shared" si="32"/>
        <v>1194</v>
      </c>
    </row>
    <row r="192" spans="1:21">
      <c r="A192" s="23" t="s">
        <v>220</v>
      </c>
      <c r="B192" s="35" t="s">
        <v>217</v>
      </c>
      <c r="C192" s="125">
        <v>3934</v>
      </c>
      <c r="D192" s="132">
        <v>2383087965</v>
      </c>
      <c r="E192" s="116">
        <f t="shared" si="36"/>
        <v>605767.14921199798</v>
      </c>
      <c r="F192" s="134">
        <v>1970872802</v>
      </c>
      <c r="G192" s="117">
        <f t="shared" si="37"/>
        <v>500984.44382308086</v>
      </c>
      <c r="H192" s="7"/>
      <c r="I192" s="136">
        <v>2.25</v>
      </c>
      <c r="J192" s="134">
        <v>4434463.8044999996</v>
      </c>
      <c r="K192" s="120">
        <f t="shared" si="38"/>
        <v>1127.2149986019317</v>
      </c>
      <c r="L192" s="122">
        <f t="shared" si="28"/>
        <v>19708728.02</v>
      </c>
      <c r="M192" s="116">
        <f t="shared" si="29"/>
        <v>15274264.215500001</v>
      </c>
      <c r="N192" s="123">
        <f t="shared" si="30"/>
        <v>3882.6294396288768</v>
      </c>
      <c r="O192" s="5"/>
      <c r="P192" s="5">
        <f t="shared" si="31"/>
        <v>1</v>
      </c>
      <c r="Q192" s="7">
        <f t="shared" si="32"/>
        <v>3934</v>
      </c>
    </row>
    <row r="193" spans="1:21">
      <c r="A193" s="23" t="s">
        <v>221</v>
      </c>
      <c r="B193" s="35" t="s">
        <v>217</v>
      </c>
      <c r="C193" s="125">
        <v>13307</v>
      </c>
      <c r="D193" s="132">
        <v>1272446160</v>
      </c>
      <c r="E193" s="116">
        <f t="shared" si="36"/>
        <v>95622.316074246643</v>
      </c>
      <c r="F193" s="134">
        <v>848960572</v>
      </c>
      <c r="G193" s="117">
        <f t="shared" si="37"/>
        <v>63798.04403697302</v>
      </c>
      <c r="H193" s="7"/>
      <c r="I193" s="136">
        <v>5.9671000000000003</v>
      </c>
      <c r="J193" s="134">
        <v>5065832.6291811997</v>
      </c>
      <c r="K193" s="120">
        <f t="shared" si="38"/>
        <v>380.68930857302172</v>
      </c>
      <c r="L193" s="122">
        <f t="shared" si="28"/>
        <v>8489605.7200000007</v>
      </c>
      <c r="M193" s="116">
        <f t="shared" si="29"/>
        <v>3423773.090818801</v>
      </c>
      <c r="N193" s="123">
        <f t="shared" si="30"/>
        <v>257.29113179670856</v>
      </c>
      <c r="O193" s="5"/>
      <c r="P193" s="5">
        <f t="shared" si="31"/>
        <v>1</v>
      </c>
      <c r="Q193" s="7">
        <f t="shared" si="32"/>
        <v>13307</v>
      </c>
    </row>
    <row r="194" spans="1:21">
      <c r="A194" s="23" t="s">
        <v>478</v>
      </c>
      <c r="B194" s="35" t="s">
        <v>222</v>
      </c>
      <c r="C194" s="125">
        <v>6990</v>
      </c>
      <c r="D194" s="132">
        <f>(2058705573+4686965083)</f>
        <v>6745670656</v>
      </c>
      <c r="E194" s="116">
        <f t="shared" si="36"/>
        <v>965045.87353361945</v>
      </c>
      <c r="F194" s="134">
        <f>(1782763409+4181674911)</f>
        <v>5964438320</v>
      </c>
      <c r="G194" s="117">
        <f t="shared" si="37"/>
        <v>853281.59084406297</v>
      </c>
      <c r="H194" s="7"/>
      <c r="I194" s="136">
        <v>2.1143999999999998</v>
      </c>
      <c r="J194" s="134">
        <f>(3769474.9519896+8841733)</f>
        <v>12611207.9519896</v>
      </c>
      <c r="K194" s="120">
        <f t="shared" si="38"/>
        <v>1804.1785339040916</v>
      </c>
      <c r="L194" s="122">
        <f t="shared" si="28"/>
        <v>59644383.200000003</v>
      </c>
      <c r="M194" s="116">
        <f t="shared" si="29"/>
        <v>47033175.248010404</v>
      </c>
      <c r="N194" s="123">
        <f t="shared" si="30"/>
        <v>6728.6373745365381</v>
      </c>
      <c r="O194" s="5"/>
      <c r="P194" s="5">
        <f t="shared" si="31"/>
        <v>1</v>
      </c>
      <c r="Q194" s="7">
        <f t="shared" si="32"/>
        <v>6990</v>
      </c>
      <c r="S194" s="124">
        <f>SUM(D189:D194)</f>
        <v>17671157969</v>
      </c>
      <c r="T194" s="124">
        <f>SUM(F189:F194)</f>
        <v>14118363929</v>
      </c>
      <c r="U194" s="124">
        <f>SUM(J189:J194)</f>
        <v>47153310.505789995</v>
      </c>
    </row>
    <row r="195" spans="1:21">
      <c r="A195" s="23" t="s">
        <v>223</v>
      </c>
      <c r="B195" s="35" t="s">
        <v>224</v>
      </c>
      <c r="C195" s="125">
        <v>5152</v>
      </c>
      <c r="D195" s="132">
        <v>321054163</v>
      </c>
      <c r="E195" s="116">
        <f t="shared" si="36"/>
        <v>62316.413625776397</v>
      </c>
      <c r="F195" s="134">
        <v>223603489</v>
      </c>
      <c r="G195" s="117">
        <f t="shared" si="37"/>
        <v>43401.29833074534</v>
      </c>
      <c r="H195" s="7"/>
      <c r="I195" s="136">
        <v>5</v>
      </c>
      <c r="J195" s="134">
        <v>1118017.4450000001</v>
      </c>
      <c r="K195" s="120">
        <f t="shared" si="38"/>
        <v>217.00649165372673</v>
      </c>
      <c r="L195" s="122">
        <f t="shared" si="28"/>
        <v>2236034.89</v>
      </c>
      <c r="M195" s="116">
        <f t="shared" si="29"/>
        <v>1118017.4450000001</v>
      </c>
      <c r="N195" s="123">
        <f t="shared" si="30"/>
        <v>217.00649165372673</v>
      </c>
      <c r="O195" s="5"/>
      <c r="P195" s="5">
        <f t="shared" si="31"/>
        <v>1</v>
      </c>
      <c r="Q195" s="7">
        <f t="shared" si="32"/>
        <v>5152</v>
      </c>
    </row>
    <row r="196" spans="1:21">
      <c r="A196" s="23" t="s">
        <v>225</v>
      </c>
      <c r="B196" s="35" t="s">
        <v>224</v>
      </c>
      <c r="C196" s="125">
        <v>1805</v>
      </c>
      <c r="D196" s="132">
        <v>238224223</v>
      </c>
      <c r="E196" s="116">
        <f t="shared" si="36"/>
        <v>131980.17894736843</v>
      </c>
      <c r="F196" s="134">
        <v>157323169</v>
      </c>
      <c r="G196" s="117">
        <f t="shared" si="37"/>
        <v>87159.650415512471</v>
      </c>
      <c r="H196" s="7"/>
      <c r="I196" s="136">
        <v>6.5</v>
      </c>
      <c r="J196" s="134">
        <v>1022600.5985</v>
      </c>
      <c r="K196" s="120">
        <f t="shared" si="38"/>
        <v>566.53772770083106</v>
      </c>
      <c r="L196" s="122">
        <f t="shared" si="28"/>
        <v>1573231.69</v>
      </c>
      <c r="M196" s="116">
        <f t="shared" si="29"/>
        <v>550631.09149999998</v>
      </c>
      <c r="N196" s="123">
        <f t="shared" si="30"/>
        <v>305.05877645429359</v>
      </c>
      <c r="O196" s="5"/>
      <c r="P196" s="5">
        <f t="shared" si="31"/>
        <v>1</v>
      </c>
      <c r="Q196" s="7">
        <f t="shared" si="32"/>
        <v>1805</v>
      </c>
    </row>
    <row r="197" spans="1:21">
      <c r="A197" s="23" t="s">
        <v>226</v>
      </c>
      <c r="B197" s="35" t="s">
        <v>224</v>
      </c>
      <c r="C197" s="125">
        <v>453</v>
      </c>
      <c r="D197" s="132">
        <v>33946747</v>
      </c>
      <c r="E197" s="116">
        <f t="shared" si="36"/>
        <v>74937.631346578361</v>
      </c>
      <c r="F197" s="134">
        <v>19343013</v>
      </c>
      <c r="G197" s="117">
        <f t="shared" si="37"/>
        <v>42699.807947019865</v>
      </c>
      <c r="H197" s="7"/>
      <c r="I197" s="136">
        <v>2.2078000000000002</v>
      </c>
      <c r="J197" s="134">
        <v>42705.504101400002</v>
      </c>
      <c r="K197" s="120">
        <f t="shared" si="38"/>
        <v>94.272635985430469</v>
      </c>
      <c r="L197" s="122">
        <f t="shared" si="28"/>
        <v>193430.13</v>
      </c>
      <c r="M197" s="116">
        <f t="shared" si="29"/>
        <v>150724.6258986</v>
      </c>
      <c r="N197" s="123">
        <f t="shared" si="30"/>
        <v>332.72544348476822</v>
      </c>
      <c r="O197" s="5"/>
      <c r="P197" s="5">
        <f t="shared" si="31"/>
        <v>1</v>
      </c>
      <c r="Q197" s="7">
        <f t="shared" si="32"/>
        <v>453</v>
      </c>
    </row>
    <row r="198" spans="1:21">
      <c r="A198" s="23" t="s">
        <v>227</v>
      </c>
      <c r="B198" s="35" t="s">
        <v>224</v>
      </c>
      <c r="C198" s="125">
        <v>60042</v>
      </c>
      <c r="D198" s="132">
        <v>6223613571</v>
      </c>
      <c r="E198" s="116">
        <f t="shared" si="36"/>
        <v>103654.33481562906</v>
      </c>
      <c r="F198" s="134">
        <v>4594667453</v>
      </c>
      <c r="G198" s="117">
        <f t="shared" si="37"/>
        <v>76524.223926584731</v>
      </c>
      <c r="H198" s="9"/>
      <c r="I198" s="136">
        <v>6.6177000000000001</v>
      </c>
      <c r="J198" s="134">
        <v>30406130.803718101</v>
      </c>
      <c r="K198" s="120">
        <f t="shared" si="38"/>
        <v>506.41435667895973</v>
      </c>
      <c r="L198" s="122">
        <f t="shared" ref="L198:L261" si="39">(F198*0.01)</f>
        <v>45946674.530000001</v>
      </c>
      <c r="M198" s="116">
        <f t="shared" ref="M198:M261" si="40">(L198-J198)</f>
        <v>15540543.7262819</v>
      </c>
      <c r="N198" s="123">
        <f t="shared" ref="N198:N261" si="41">(M198/C198)</f>
        <v>258.82788258688748</v>
      </c>
      <c r="O198" s="5"/>
      <c r="P198" s="5">
        <f t="shared" si="31"/>
        <v>1</v>
      </c>
      <c r="Q198" s="7">
        <f t="shared" si="32"/>
        <v>60042</v>
      </c>
    </row>
    <row r="199" spans="1:21">
      <c r="A199" s="23" t="s">
        <v>228</v>
      </c>
      <c r="B199" s="35" t="s">
        <v>224</v>
      </c>
      <c r="C199" s="125">
        <v>547</v>
      </c>
      <c r="D199" s="147" t="s">
        <v>564</v>
      </c>
      <c r="E199" s="116"/>
      <c r="F199" s="134"/>
      <c r="G199" s="117"/>
      <c r="H199" s="98" t="s">
        <v>588</v>
      </c>
      <c r="I199" s="136"/>
      <c r="J199" s="134"/>
      <c r="K199" s="120"/>
      <c r="L199" s="122">
        <f t="shared" si="39"/>
        <v>0</v>
      </c>
      <c r="M199" s="116">
        <f t="shared" si="40"/>
        <v>0</v>
      </c>
      <c r="N199" s="123">
        <f t="shared" si="41"/>
        <v>0</v>
      </c>
      <c r="O199" s="5"/>
      <c r="P199" s="5">
        <f t="shared" ref="P199:P262" si="42">IF(I199&gt;0,1,0)</f>
        <v>0</v>
      </c>
      <c r="Q199" s="7">
        <f t="shared" ref="Q199:Q262" si="43">IF(I199&gt;0,C199,0)</f>
        <v>0</v>
      </c>
      <c r="S199" s="124">
        <f>SUM(D195:D199)</f>
        <v>6816838704</v>
      </c>
      <c r="T199" s="124">
        <f>SUM(F195:F199)</f>
        <v>4994937124</v>
      </c>
      <c r="U199" s="124">
        <f>SUM(J195:J199)</f>
        <v>32589454.351319499</v>
      </c>
    </row>
    <row r="200" spans="1:21">
      <c r="A200" s="23" t="s">
        <v>616</v>
      </c>
      <c r="B200" s="35" t="s">
        <v>230</v>
      </c>
      <c r="C200" s="125">
        <v>6707</v>
      </c>
      <c r="D200" s="132">
        <v>2693518288</v>
      </c>
      <c r="E200" s="116">
        <f t="shared" ref="E200:E263" si="44">(D200/C200)</f>
        <v>401598.07484717458</v>
      </c>
      <c r="F200" s="134">
        <v>2371157111</v>
      </c>
      <c r="G200" s="117">
        <f t="shared" ref="G200:G263" si="45">(F200/C200)</f>
        <v>353534.681824959</v>
      </c>
      <c r="H200" s="9"/>
      <c r="I200" s="136">
        <v>4.2622999999999998</v>
      </c>
      <c r="J200" s="134">
        <v>10106582.954215299</v>
      </c>
      <c r="K200" s="120">
        <f t="shared" ref="K200:K263" si="46">(J200/C200)</f>
        <v>1506.8708743425227</v>
      </c>
      <c r="L200" s="122">
        <f t="shared" si="39"/>
        <v>23711571.109999999</v>
      </c>
      <c r="M200" s="116">
        <f t="shared" si="40"/>
        <v>13604988.1557847</v>
      </c>
      <c r="N200" s="123">
        <f t="shared" si="41"/>
        <v>2028.4759439070672</v>
      </c>
      <c r="O200" s="5"/>
      <c r="P200" s="5">
        <f t="shared" si="42"/>
        <v>1</v>
      </c>
      <c r="Q200" s="7">
        <f t="shared" si="43"/>
        <v>6707</v>
      </c>
    </row>
    <row r="201" spans="1:21">
      <c r="A201" s="24" t="s">
        <v>229</v>
      </c>
      <c r="B201" s="35" t="s">
        <v>230</v>
      </c>
      <c r="C201" s="125">
        <v>826</v>
      </c>
      <c r="D201" s="132">
        <v>2879972278</v>
      </c>
      <c r="E201" s="116">
        <f t="shared" si="44"/>
        <v>3486649.2469733655</v>
      </c>
      <c r="F201" s="134">
        <v>2444326975</v>
      </c>
      <c r="G201" s="117">
        <f t="shared" si="45"/>
        <v>2959233.6259079902</v>
      </c>
      <c r="H201" s="9"/>
      <c r="I201" s="150">
        <v>2.5590999999999999</v>
      </c>
      <c r="J201" s="134">
        <v>6255277.1617224999</v>
      </c>
      <c r="K201" s="120">
        <f t="shared" si="46"/>
        <v>7572.9747720611376</v>
      </c>
      <c r="L201" s="122">
        <f t="shared" si="39"/>
        <v>24443269.75</v>
      </c>
      <c r="M201" s="116">
        <f t="shared" si="40"/>
        <v>18187992.5882775</v>
      </c>
      <c r="N201" s="123">
        <f t="shared" si="41"/>
        <v>22019.361487018767</v>
      </c>
      <c r="O201" s="5"/>
      <c r="P201" s="5">
        <f t="shared" si="42"/>
        <v>1</v>
      </c>
      <c r="Q201" s="7">
        <f t="shared" si="43"/>
        <v>826</v>
      </c>
    </row>
    <row r="202" spans="1:21">
      <c r="A202" s="23" t="s">
        <v>582</v>
      </c>
      <c r="B202" s="35" t="s">
        <v>230</v>
      </c>
      <c r="C202" s="125">
        <v>163</v>
      </c>
      <c r="D202" s="132">
        <v>30380592</v>
      </c>
      <c r="E202" s="116">
        <f t="shared" si="44"/>
        <v>186384</v>
      </c>
      <c r="F202" s="134">
        <v>30024441</v>
      </c>
      <c r="G202" s="117">
        <f t="shared" si="45"/>
        <v>184199.02453987731</v>
      </c>
      <c r="H202" s="9"/>
      <c r="I202" s="136">
        <v>6.3826000000000001</v>
      </c>
      <c r="J202" s="134">
        <v>191633.99712660001</v>
      </c>
      <c r="K202" s="120">
        <f t="shared" si="46"/>
        <v>1175.6686940282209</v>
      </c>
      <c r="L202" s="122">
        <f t="shared" si="39"/>
        <v>300244.41000000003</v>
      </c>
      <c r="M202" s="116">
        <f t="shared" si="40"/>
        <v>108610.41287340003</v>
      </c>
      <c r="N202" s="123">
        <f t="shared" si="41"/>
        <v>666.32155137055236</v>
      </c>
      <c r="O202" s="5"/>
      <c r="P202" s="5">
        <f t="shared" si="42"/>
        <v>1</v>
      </c>
      <c r="Q202" s="7">
        <f t="shared" si="43"/>
        <v>163</v>
      </c>
    </row>
    <row r="203" spans="1:21">
      <c r="A203" s="24" t="s">
        <v>446</v>
      </c>
      <c r="B203" s="37" t="s">
        <v>230</v>
      </c>
      <c r="C203" s="125">
        <v>2078</v>
      </c>
      <c r="D203" s="132">
        <v>816944811</v>
      </c>
      <c r="E203" s="116">
        <f t="shared" si="44"/>
        <v>393139.94754571706</v>
      </c>
      <c r="F203" s="134">
        <v>651127558</v>
      </c>
      <c r="G203" s="117">
        <f t="shared" si="45"/>
        <v>313343.38691049087</v>
      </c>
      <c r="H203" s="9"/>
      <c r="I203" s="136">
        <v>2.87</v>
      </c>
      <c r="J203" s="134">
        <v>1868736.09146</v>
      </c>
      <c r="K203" s="120">
        <f t="shared" si="46"/>
        <v>899.29552043310878</v>
      </c>
      <c r="L203" s="122">
        <f t="shared" si="39"/>
        <v>6511275.5800000001</v>
      </c>
      <c r="M203" s="116">
        <f t="shared" si="40"/>
        <v>4642539.4885400003</v>
      </c>
      <c r="N203" s="123">
        <f t="shared" si="41"/>
        <v>2234.1383486718</v>
      </c>
      <c r="O203" s="5"/>
      <c r="P203" s="5">
        <f t="shared" si="42"/>
        <v>1</v>
      </c>
      <c r="Q203" s="7">
        <f t="shared" si="43"/>
        <v>2078</v>
      </c>
      <c r="S203" s="124"/>
      <c r="T203" s="124"/>
      <c r="U203" s="124"/>
    </row>
    <row r="204" spans="1:21">
      <c r="A204" s="23" t="s">
        <v>231</v>
      </c>
      <c r="B204" s="37" t="s">
        <v>230</v>
      </c>
      <c r="C204" s="125">
        <v>16425</v>
      </c>
      <c r="D204" s="132">
        <v>2729542066</v>
      </c>
      <c r="E204" s="116">
        <f t="shared" si="44"/>
        <v>166182.16535768646</v>
      </c>
      <c r="F204" s="134">
        <v>1833448766</v>
      </c>
      <c r="G204" s="117">
        <f t="shared" si="45"/>
        <v>111625.49564687976</v>
      </c>
      <c r="H204" s="9"/>
      <c r="I204" s="150">
        <v>4.5</v>
      </c>
      <c r="J204" s="134">
        <v>8250519.4469999997</v>
      </c>
      <c r="K204" s="120">
        <f t="shared" si="46"/>
        <v>502.31473041095887</v>
      </c>
      <c r="L204" s="122">
        <f t="shared" si="39"/>
        <v>18334487.66</v>
      </c>
      <c r="M204" s="116">
        <f t="shared" si="40"/>
        <v>10083968.213</v>
      </c>
      <c r="N204" s="123">
        <f t="shared" si="41"/>
        <v>613.94022605783869</v>
      </c>
      <c r="O204" s="5"/>
      <c r="P204" s="5">
        <f t="shared" si="42"/>
        <v>1</v>
      </c>
      <c r="Q204" s="7">
        <f t="shared" si="43"/>
        <v>16425</v>
      </c>
      <c r="S204" s="124">
        <f>SUM(D200:D204)</f>
        <v>9150358035</v>
      </c>
      <c r="T204" s="124">
        <f>SUM(F200:F204)</f>
        <v>7330084851</v>
      </c>
      <c r="U204" s="124">
        <f>SUM(J200:J204)</f>
        <v>26672749.651524398</v>
      </c>
    </row>
    <row r="205" spans="1:21">
      <c r="A205" s="23" t="s">
        <v>232</v>
      </c>
      <c r="B205" s="37" t="s">
        <v>233</v>
      </c>
      <c r="C205" s="125">
        <v>37790</v>
      </c>
      <c r="D205" s="132">
        <v>11685652340</v>
      </c>
      <c r="E205" s="116">
        <f t="shared" si="44"/>
        <v>309226.0476316486</v>
      </c>
      <c r="F205" s="134">
        <v>10146659484</v>
      </c>
      <c r="G205" s="117">
        <f t="shared" si="45"/>
        <v>268501.17713680869</v>
      </c>
      <c r="H205" s="9"/>
      <c r="I205" s="136">
        <v>1.7261</v>
      </c>
      <c r="J205" s="134">
        <v>17514148.935332403</v>
      </c>
      <c r="K205" s="120">
        <f t="shared" si="46"/>
        <v>463.45988185584554</v>
      </c>
      <c r="L205" s="122">
        <f t="shared" si="39"/>
        <v>101466594.84</v>
      </c>
      <c r="M205" s="116">
        <f t="shared" si="40"/>
        <v>83952445.904667601</v>
      </c>
      <c r="N205" s="123">
        <f t="shared" si="41"/>
        <v>2221.5518895122414</v>
      </c>
      <c r="O205" s="5"/>
      <c r="P205" s="5">
        <f t="shared" si="42"/>
        <v>1</v>
      </c>
      <c r="Q205" s="7">
        <f t="shared" si="43"/>
        <v>37790</v>
      </c>
    </row>
    <row r="206" spans="1:21">
      <c r="A206" s="23" t="s">
        <v>234</v>
      </c>
      <c r="B206" s="37" t="s">
        <v>233</v>
      </c>
      <c r="C206" s="125">
        <v>2920</v>
      </c>
      <c r="D206" s="132">
        <v>5902516648</v>
      </c>
      <c r="E206" s="116">
        <f t="shared" si="44"/>
        <v>2021409.8109589042</v>
      </c>
      <c r="F206" s="134">
        <v>5283447196</v>
      </c>
      <c r="G206" s="117">
        <f t="shared" si="45"/>
        <v>1809399.7246575342</v>
      </c>
      <c r="H206" s="9"/>
      <c r="I206" s="136">
        <v>1.9654</v>
      </c>
      <c r="J206" s="134">
        <v>10384087.1190184</v>
      </c>
      <c r="K206" s="120">
        <f t="shared" si="46"/>
        <v>3556.194218841918</v>
      </c>
      <c r="L206" s="122">
        <f t="shared" si="39"/>
        <v>52834471.960000001</v>
      </c>
      <c r="M206" s="116">
        <f t="shared" si="40"/>
        <v>42450384.840981603</v>
      </c>
      <c r="N206" s="123">
        <f t="shared" si="41"/>
        <v>14537.803027733426</v>
      </c>
      <c r="O206" s="5"/>
      <c r="P206" s="5">
        <f t="shared" si="42"/>
        <v>1</v>
      </c>
      <c r="Q206" s="7">
        <f t="shared" si="43"/>
        <v>2920</v>
      </c>
    </row>
    <row r="207" spans="1:21">
      <c r="A207" s="23" t="s">
        <v>235</v>
      </c>
      <c r="B207" s="37" t="s">
        <v>233</v>
      </c>
      <c r="C207" s="125">
        <v>5908</v>
      </c>
      <c r="D207" s="132">
        <v>1850349287</v>
      </c>
      <c r="E207" s="116">
        <f t="shared" si="44"/>
        <v>313193.85358835477</v>
      </c>
      <c r="F207" s="134">
        <v>1206762768</v>
      </c>
      <c r="G207" s="117">
        <f t="shared" si="45"/>
        <v>204259.1008801625</v>
      </c>
      <c r="H207" s="9"/>
      <c r="I207" s="136">
        <v>3.7199</v>
      </c>
      <c r="J207" s="134">
        <v>4489036.8206831999</v>
      </c>
      <c r="K207" s="120">
        <f t="shared" si="46"/>
        <v>759.82342936411646</v>
      </c>
      <c r="L207" s="122">
        <f t="shared" si="39"/>
        <v>12067627.68</v>
      </c>
      <c r="M207" s="116">
        <f t="shared" si="40"/>
        <v>7578590.8593167998</v>
      </c>
      <c r="N207" s="123">
        <f t="shared" si="41"/>
        <v>1282.7675794375084</v>
      </c>
      <c r="O207" s="5"/>
      <c r="P207" s="5">
        <f t="shared" si="42"/>
        <v>1</v>
      </c>
      <c r="Q207" s="7">
        <f t="shared" si="43"/>
        <v>5908</v>
      </c>
    </row>
    <row r="208" spans="1:21">
      <c r="A208" s="23" t="s">
        <v>236</v>
      </c>
      <c r="B208" s="37" t="s">
        <v>233</v>
      </c>
      <c r="C208" s="125">
        <v>3218</v>
      </c>
      <c r="D208" s="132">
        <v>408718252</v>
      </c>
      <c r="E208" s="116">
        <f t="shared" si="44"/>
        <v>127010.02237414542</v>
      </c>
      <c r="F208" s="134">
        <v>215875720</v>
      </c>
      <c r="G208" s="117">
        <f t="shared" si="45"/>
        <v>67083.816034804229</v>
      </c>
      <c r="H208" s="9"/>
      <c r="I208" s="136">
        <v>9.6999999999999993</v>
      </c>
      <c r="J208" s="134">
        <v>2093994.4839999997</v>
      </c>
      <c r="K208" s="120">
        <f t="shared" si="46"/>
        <v>650.71301553760088</v>
      </c>
      <c r="L208" s="122">
        <f t="shared" si="39"/>
        <v>2158757.2000000002</v>
      </c>
      <c r="M208" s="116">
        <f t="shared" si="40"/>
        <v>64762.716000000481</v>
      </c>
      <c r="N208" s="123">
        <f t="shared" si="41"/>
        <v>20.125144810441416</v>
      </c>
      <c r="O208" s="5"/>
      <c r="P208" s="5">
        <f t="shared" si="42"/>
        <v>1</v>
      </c>
      <c r="Q208" s="7">
        <f t="shared" si="43"/>
        <v>3218</v>
      </c>
    </row>
    <row r="209" spans="1:17">
      <c r="A209" s="23" t="s">
        <v>237</v>
      </c>
      <c r="B209" s="37" t="s">
        <v>233</v>
      </c>
      <c r="C209" s="125">
        <v>50631</v>
      </c>
      <c r="D209" s="132">
        <v>22114173435</v>
      </c>
      <c r="E209" s="116">
        <f t="shared" si="44"/>
        <v>436771.41346210818</v>
      </c>
      <c r="F209" s="134">
        <v>15845261075</v>
      </c>
      <c r="G209" s="117">
        <f t="shared" si="45"/>
        <v>312955.72030969168</v>
      </c>
      <c r="H209" s="9"/>
      <c r="I209" s="136">
        <v>5.5590000000000002</v>
      </c>
      <c r="J209" s="134">
        <v>88083806.315925002</v>
      </c>
      <c r="K209" s="120">
        <f t="shared" si="46"/>
        <v>1739.7208492015761</v>
      </c>
      <c r="L209" s="122">
        <f t="shared" si="39"/>
        <v>158452610.75</v>
      </c>
      <c r="M209" s="116">
        <f t="shared" si="40"/>
        <v>70368804.434074998</v>
      </c>
      <c r="N209" s="123">
        <f t="shared" si="41"/>
        <v>1389.8363538953408</v>
      </c>
      <c r="O209" s="5"/>
      <c r="P209" s="5">
        <f t="shared" si="42"/>
        <v>1</v>
      </c>
      <c r="Q209" s="7">
        <f t="shared" si="43"/>
        <v>50631</v>
      </c>
    </row>
    <row r="210" spans="1:17">
      <c r="A210" s="23" t="s">
        <v>524</v>
      </c>
      <c r="B210" s="37" t="s">
        <v>233</v>
      </c>
      <c r="C210" s="125">
        <v>45373</v>
      </c>
      <c r="D210" s="132">
        <v>4061828102</v>
      </c>
      <c r="E210" s="116">
        <f t="shared" si="44"/>
        <v>89520.81859255505</v>
      </c>
      <c r="F210" s="134">
        <v>2485393180</v>
      </c>
      <c r="G210" s="117">
        <f t="shared" si="45"/>
        <v>54776.919754038747</v>
      </c>
      <c r="H210" s="9"/>
      <c r="I210" s="136">
        <v>2.4323000000000001</v>
      </c>
      <c r="J210" s="134">
        <v>6045221.8317140006</v>
      </c>
      <c r="K210" s="120">
        <f t="shared" si="46"/>
        <v>133.23390191774845</v>
      </c>
      <c r="L210" s="122">
        <f t="shared" si="39"/>
        <v>24853931.800000001</v>
      </c>
      <c r="M210" s="116">
        <f t="shared" si="40"/>
        <v>18808709.968286</v>
      </c>
      <c r="N210" s="123">
        <f t="shared" si="41"/>
        <v>414.53529562263901</v>
      </c>
      <c r="O210" s="5"/>
      <c r="P210" s="5">
        <f t="shared" si="42"/>
        <v>1</v>
      </c>
      <c r="Q210" s="7">
        <f t="shared" si="43"/>
        <v>45373</v>
      </c>
    </row>
    <row r="211" spans="1:17">
      <c r="A211" s="23" t="s">
        <v>501</v>
      </c>
      <c r="B211" s="37" t="s">
        <v>233</v>
      </c>
      <c r="C211" s="125">
        <v>68244</v>
      </c>
      <c r="D211" s="132">
        <v>15261046547</v>
      </c>
      <c r="E211" s="116">
        <f t="shared" si="44"/>
        <v>223624.73692925385</v>
      </c>
      <c r="F211" s="134">
        <v>12934140292</v>
      </c>
      <c r="G211" s="117">
        <f t="shared" si="45"/>
        <v>189527.87486079361</v>
      </c>
      <c r="H211" s="9"/>
      <c r="I211" s="136">
        <v>1.9</v>
      </c>
      <c r="J211" s="134">
        <v>24574866.5548</v>
      </c>
      <c r="K211" s="120">
        <f t="shared" si="46"/>
        <v>360.1029622355079</v>
      </c>
      <c r="L211" s="122">
        <f t="shared" si="39"/>
        <v>129341402.92</v>
      </c>
      <c r="M211" s="116">
        <f t="shared" si="40"/>
        <v>104766536.3652</v>
      </c>
      <c r="N211" s="123">
        <f t="shared" si="41"/>
        <v>1535.1757863724283</v>
      </c>
      <c r="O211" s="5"/>
      <c r="P211" s="5">
        <f t="shared" si="42"/>
        <v>1</v>
      </c>
      <c r="Q211" s="7">
        <f t="shared" si="43"/>
        <v>68244</v>
      </c>
    </row>
    <row r="212" spans="1:17">
      <c r="A212" s="23" t="s">
        <v>238</v>
      </c>
      <c r="B212" s="37" t="s">
        <v>233</v>
      </c>
      <c r="C212" s="125">
        <v>2140</v>
      </c>
      <c r="D212" s="132">
        <v>293003390</v>
      </c>
      <c r="E212" s="116">
        <f t="shared" si="44"/>
        <v>136917.47196261681</v>
      </c>
      <c r="F212" s="134">
        <v>157024805</v>
      </c>
      <c r="G212" s="117">
        <f t="shared" si="45"/>
        <v>73376.077102803742</v>
      </c>
      <c r="H212" s="9"/>
      <c r="I212" s="136">
        <v>8.3000000000000007</v>
      </c>
      <c r="J212" s="134">
        <v>1303305.8814999999</v>
      </c>
      <c r="K212" s="120">
        <f t="shared" si="46"/>
        <v>609.02143995327094</v>
      </c>
      <c r="L212" s="122">
        <f t="shared" si="39"/>
        <v>1570248.05</v>
      </c>
      <c r="M212" s="116">
        <f t="shared" si="40"/>
        <v>266942.16850000015</v>
      </c>
      <c r="N212" s="123">
        <f t="shared" si="41"/>
        <v>124.73933107476643</v>
      </c>
      <c r="O212" s="5"/>
      <c r="P212" s="5">
        <f t="shared" si="42"/>
        <v>1</v>
      </c>
      <c r="Q212" s="7">
        <f t="shared" si="43"/>
        <v>2140</v>
      </c>
    </row>
    <row r="213" spans="1:17">
      <c r="A213" s="23" t="s">
        <v>239</v>
      </c>
      <c r="B213" s="37" t="s">
        <v>233</v>
      </c>
      <c r="C213" s="125">
        <v>13076</v>
      </c>
      <c r="D213" s="132">
        <v>808813100</v>
      </c>
      <c r="E213" s="116">
        <f t="shared" si="44"/>
        <v>61854.779749158763</v>
      </c>
      <c r="F213" s="134">
        <v>513752602</v>
      </c>
      <c r="G213" s="117">
        <f t="shared" si="45"/>
        <v>39289.737075558274</v>
      </c>
      <c r="H213" s="9"/>
      <c r="I213" s="136">
        <v>7.1858000000000004</v>
      </c>
      <c r="J213" s="134">
        <v>3691723.4474515999</v>
      </c>
      <c r="K213" s="120">
        <f t="shared" si="46"/>
        <v>282.32819267754667</v>
      </c>
      <c r="L213" s="122">
        <f t="shared" si="39"/>
        <v>5137526.0200000005</v>
      </c>
      <c r="M213" s="116">
        <f t="shared" si="40"/>
        <v>1445802.5725484006</v>
      </c>
      <c r="N213" s="123">
        <f t="shared" si="41"/>
        <v>110.56917807803615</v>
      </c>
      <c r="O213" s="5"/>
      <c r="P213" s="5">
        <f t="shared" si="42"/>
        <v>1</v>
      </c>
      <c r="Q213" s="7">
        <f t="shared" si="43"/>
        <v>13076</v>
      </c>
    </row>
    <row r="214" spans="1:17">
      <c r="A214" s="23" t="s">
        <v>240</v>
      </c>
      <c r="B214" s="37" t="s">
        <v>233</v>
      </c>
      <c r="C214" s="125">
        <v>935</v>
      </c>
      <c r="D214" s="132">
        <v>1568533498</v>
      </c>
      <c r="E214" s="116">
        <f t="shared" si="44"/>
        <v>1677575.9336898397</v>
      </c>
      <c r="F214" s="134">
        <v>1089266273</v>
      </c>
      <c r="G214" s="117">
        <f t="shared" si="45"/>
        <v>1164990.6663101604</v>
      </c>
      <c r="H214" s="9"/>
      <c r="I214" s="136">
        <v>7.48</v>
      </c>
      <c r="J214" s="134">
        <v>8147711.7220400013</v>
      </c>
      <c r="K214" s="120">
        <f t="shared" si="46"/>
        <v>8714.1301840000015</v>
      </c>
      <c r="L214" s="122">
        <f t="shared" si="39"/>
        <v>10892662.73</v>
      </c>
      <c r="M214" s="116">
        <f t="shared" si="40"/>
        <v>2744951.0079599991</v>
      </c>
      <c r="N214" s="123">
        <f t="shared" si="41"/>
        <v>2935.7764791016034</v>
      </c>
      <c r="O214" s="5"/>
      <c r="P214" s="5">
        <f t="shared" si="42"/>
        <v>1</v>
      </c>
      <c r="Q214" s="7">
        <f t="shared" si="43"/>
        <v>935</v>
      </c>
    </row>
    <row r="215" spans="1:17">
      <c r="A215" s="23" t="s">
        <v>241</v>
      </c>
      <c r="B215" s="37" t="s">
        <v>233</v>
      </c>
      <c r="C215" s="125">
        <v>238906</v>
      </c>
      <c r="D215" s="132">
        <v>16859311771</v>
      </c>
      <c r="E215" s="116">
        <f t="shared" si="44"/>
        <v>70568.808531388917</v>
      </c>
      <c r="F215" s="134">
        <v>10222231607</v>
      </c>
      <c r="G215" s="117">
        <f t="shared" si="45"/>
        <v>42787.672168133075</v>
      </c>
      <c r="H215" s="9"/>
      <c r="I215" s="136">
        <v>6.3018000000000001</v>
      </c>
      <c r="J215" s="134">
        <v>64418459.140992597</v>
      </c>
      <c r="K215" s="120">
        <f t="shared" si="46"/>
        <v>269.63935246914099</v>
      </c>
      <c r="L215" s="122">
        <f t="shared" si="39"/>
        <v>102222316.07000001</v>
      </c>
      <c r="M215" s="116">
        <f t="shared" si="40"/>
        <v>37803856.929007411</v>
      </c>
      <c r="N215" s="123">
        <f t="shared" si="41"/>
        <v>158.23736921218978</v>
      </c>
      <c r="O215" s="5"/>
      <c r="P215" s="5">
        <f t="shared" si="42"/>
        <v>1</v>
      </c>
      <c r="Q215" s="7">
        <f t="shared" si="43"/>
        <v>238906</v>
      </c>
    </row>
    <row r="216" spans="1:17">
      <c r="A216" s="23" t="s">
        <v>242</v>
      </c>
      <c r="B216" s="37" t="s">
        <v>233</v>
      </c>
      <c r="C216" s="125">
        <v>23614</v>
      </c>
      <c r="D216" s="132">
        <v>2179847370</v>
      </c>
      <c r="E216" s="116">
        <f t="shared" si="44"/>
        <v>92311.652833065134</v>
      </c>
      <c r="F216" s="134">
        <v>1269322331</v>
      </c>
      <c r="G216" s="117">
        <f t="shared" si="45"/>
        <v>53752.957186414838</v>
      </c>
      <c r="H216" s="9"/>
      <c r="I216" s="136">
        <v>5.1612999999999998</v>
      </c>
      <c r="J216" s="134">
        <v>6551353.3469903003</v>
      </c>
      <c r="K216" s="120">
        <f t="shared" si="46"/>
        <v>277.43513792624293</v>
      </c>
      <c r="L216" s="122">
        <f t="shared" si="39"/>
        <v>12693223.310000001</v>
      </c>
      <c r="M216" s="116">
        <f t="shared" si="40"/>
        <v>6141869.9630097002</v>
      </c>
      <c r="N216" s="123">
        <f t="shared" si="41"/>
        <v>260.09443393790548</v>
      </c>
      <c r="O216" s="5"/>
      <c r="P216" s="5">
        <f t="shared" si="42"/>
        <v>1</v>
      </c>
      <c r="Q216" s="7">
        <f t="shared" si="43"/>
        <v>23614</v>
      </c>
    </row>
    <row r="217" spans="1:17">
      <c r="A217" s="23" t="s">
        <v>243</v>
      </c>
      <c r="B217" s="37" t="s">
        <v>233</v>
      </c>
      <c r="C217" s="125">
        <v>73863</v>
      </c>
      <c r="D217" s="132">
        <v>4520761368</v>
      </c>
      <c r="E217" s="116">
        <f t="shared" si="44"/>
        <v>61204.681207099631</v>
      </c>
      <c r="F217" s="134">
        <v>2818847364</v>
      </c>
      <c r="G217" s="117">
        <f t="shared" si="45"/>
        <v>38163.185410828155</v>
      </c>
      <c r="H217" s="9"/>
      <c r="I217" s="136">
        <v>5.9215</v>
      </c>
      <c r="J217" s="134">
        <v>16691804.665926</v>
      </c>
      <c r="K217" s="120">
        <f t="shared" si="46"/>
        <v>225.98330241021893</v>
      </c>
      <c r="L217" s="122">
        <f t="shared" si="39"/>
        <v>28188473.640000001</v>
      </c>
      <c r="M217" s="116">
        <f t="shared" si="40"/>
        <v>11496668.974074</v>
      </c>
      <c r="N217" s="123">
        <f t="shared" si="41"/>
        <v>155.64855169806265</v>
      </c>
      <c r="O217" s="5"/>
      <c r="P217" s="5">
        <f t="shared" si="42"/>
        <v>1</v>
      </c>
      <c r="Q217" s="7">
        <f t="shared" si="43"/>
        <v>73863</v>
      </c>
    </row>
    <row r="218" spans="1:17">
      <c r="A218" s="23" t="s">
        <v>244</v>
      </c>
      <c r="B218" s="37" t="s">
        <v>233</v>
      </c>
      <c r="C218" s="125">
        <v>84</v>
      </c>
      <c r="D218" s="132">
        <v>916766369</v>
      </c>
      <c r="E218" s="116">
        <f t="shared" si="44"/>
        <v>10913885.345238095</v>
      </c>
      <c r="F218" s="134">
        <v>607718392</v>
      </c>
      <c r="G218" s="117">
        <f t="shared" si="45"/>
        <v>7234742.7619047621</v>
      </c>
      <c r="H218" s="9"/>
      <c r="I218" s="136">
        <v>6.4</v>
      </c>
      <c r="J218" s="134">
        <v>3889397.7088000001</v>
      </c>
      <c r="K218" s="120">
        <f t="shared" si="46"/>
        <v>46302.353676190476</v>
      </c>
      <c r="L218" s="122">
        <f t="shared" si="39"/>
        <v>6077183.9199999999</v>
      </c>
      <c r="M218" s="116">
        <f t="shared" si="40"/>
        <v>2187786.2111999998</v>
      </c>
      <c r="N218" s="123">
        <f t="shared" si="41"/>
        <v>26045.07394285714</v>
      </c>
      <c r="O218" s="5"/>
      <c r="P218" s="5">
        <f t="shared" si="42"/>
        <v>1</v>
      </c>
      <c r="Q218" s="7">
        <f t="shared" si="43"/>
        <v>84</v>
      </c>
    </row>
    <row r="219" spans="1:17">
      <c r="A219" s="23" t="s">
        <v>246</v>
      </c>
      <c r="B219" s="37" t="s">
        <v>233</v>
      </c>
      <c r="C219" s="125">
        <v>12887</v>
      </c>
      <c r="D219" s="132">
        <v>10059824728</v>
      </c>
      <c r="E219" s="116">
        <f t="shared" si="44"/>
        <v>780618.0436098394</v>
      </c>
      <c r="F219" s="134">
        <v>8442327600</v>
      </c>
      <c r="G219" s="117">
        <f t="shared" si="45"/>
        <v>655104.18250950566</v>
      </c>
      <c r="H219" s="9"/>
      <c r="I219" s="136">
        <v>3.1</v>
      </c>
      <c r="J219" s="134">
        <v>26171215.559999999</v>
      </c>
      <c r="K219" s="120">
        <f t="shared" si="46"/>
        <v>2030.8229657794675</v>
      </c>
      <c r="L219" s="122">
        <f t="shared" si="39"/>
        <v>84423276</v>
      </c>
      <c r="M219" s="116">
        <f t="shared" si="40"/>
        <v>58252060.439999998</v>
      </c>
      <c r="N219" s="123">
        <f t="shared" si="41"/>
        <v>4520.2188593155888</v>
      </c>
      <c r="O219" s="5"/>
      <c r="P219" s="5">
        <f t="shared" si="42"/>
        <v>1</v>
      </c>
      <c r="Q219" s="7">
        <f t="shared" si="43"/>
        <v>12887</v>
      </c>
    </row>
    <row r="220" spans="1:17">
      <c r="A220" s="23" t="s">
        <v>247</v>
      </c>
      <c r="B220" s="37" t="s">
        <v>233</v>
      </c>
      <c r="C220" s="125">
        <v>842</v>
      </c>
      <c r="D220" s="132">
        <v>2389305393</v>
      </c>
      <c r="E220" s="116">
        <f t="shared" si="44"/>
        <v>2837654.8610451305</v>
      </c>
      <c r="F220" s="134">
        <v>2229833474</v>
      </c>
      <c r="G220" s="117">
        <f t="shared" si="45"/>
        <v>2648258.2826603325</v>
      </c>
      <c r="H220" s="9"/>
      <c r="I220" s="136">
        <v>6.3</v>
      </c>
      <c r="J220" s="134">
        <v>14047950.8862</v>
      </c>
      <c r="K220" s="120">
        <f t="shared" si="46"/>
        <v>16684.027180760095</v>
      </c>
      <c r="L220" s="122">
        <f t="shared" si="39"/>
        <v>22298334.740000002</v>
      </c>
      <c r="M220" s="116">
        <f t="shared" si="40"/>
        <v>8250383.8538000025</v>
      </c>
      <c r="N220" s="123">
        <f t="shared" si="41"/>
        <v>9798.5556458432329</v>
      </c>
      <c r="O220" s="5"/>
      <c r="P220" s="5">
        <f t="shared" si="42"/>
        <v>1</v>
      </c>
      <c r="Q220" s="7">
        <f t="shared" si="43"/>
        <v>842</v>
      </c>
    </row>
    <row r="221" spans="1:17">
      <c r="A221" s="23" t="s">
        <v>248</v>
      </c>
      <c r="B221" s="37" t="s">
        <v>233</v>
      </c>
      <c r="C221" s="125">
        <v>481333</v>
      </c>
      <c r="D221" s="132">
        <v>78114572410</v>
      </c>
      <c r="E221" s="116">
        <f t="shared" si="44"/>
        <v>162288.0052063748</v>
      </c>
      <c r="F221" s="134">
        <v>52356469849</v>
      </c>
      <c r="G221" s="117">
        <f t="shared" si="45"/>
        <v>108773.90465436611</v>
      </c>
      <c r="H221" s="9"/>
      <c r="I221" s="136">
        <v>7.5865</v>
      </c>
      <c r="J221" s="134">
        <v>397202358.50943846</v>
      </c>
      <c r="K221" s="120">
        <f t="shared" si="46"/>
        <v>825.21322766034837</v>
      </c>
      <c r="L221" s="122">
        <f t="shared" si="39"/>
        <v>523564698.49000001</v>
      </c>
      <c r="M221" s="116">
        <f t="shared" si="40"/>
        <v>126362339.98056155</v>
      </c>
      <c r="N221" s="123">
        <f t="shared" si="41"/>
        <v>262.5258188833127</v>
      </c>
      <c r="O221" s="5"/>
      <c r="P221" s="5">
        <f t="shared" si="42"/>
        <v>1</v>
      </c>
      <c r="Q221" s="7">
        <f t="shared" si="43"/>
        <v>481333</v>
      </c>
    </row>
    <row r="222" spans="1:17">
      <c r="A222" s="23" t="s">
        <v>249</v>
      </c>
      <c r="B222" s="37" t="s">
        <v>233</v>
      </c>
      <c r="C222" s="125">
        <v>92502</v>
      </c>
      <c r="D222" s="132">
        <v>49490227742</v>
      </c>
      <c r="E222" s="116">
        <f t="shared" si="44"/>
        <v>535017.92114765081</v>
      </c>
      <c r="F222" s="134">
        <v>38191219621</v>
      </c>
      <c r="G222" s="117">
        <f t="shared" si="45"/>
        <v>412869.12305679877</v>
      </c>
      <c r="H222" s="9"/>
      <c r="I222" s="136">
        <v>5.7287999999999997</v>
      </c>
      <c r="J222" s="134">
        <v>218789858.9647848</v>
      </c>
      <c r="K222" s="120">
        <f t="shared" si="46"/>
        <v>2365.244632167789</v>
      </c>
      <c r="L222" s="122">
        <f t="shared" si="39"/>
        <v>381912196.20999998</v>
      </c>
      <c r="M222" s="116">
        <f t="shared" si="40"/>
        <v>163122337.24521518</v>
      </c>
      <c r="N222" s="123">
        <f t="shared" si="41"/>
        <v>1763.4465984001986</v>
      </c>
      <c r="O222" s="5"/>
      <c r="P222" s="5">
        <f t="shared" si="42"/>
        <v>1</v>
      </c>
      <c r="Q222" s="7">
        <f t="shared" si="43"/>
        <v>92502</v>
      </c>
    </row>
    <row r="223" spans="1:17">
      <c r="A223" s="23" t="s">
        <v>500</v>
      </c>
      <c r="B223" s="37" t="s">
        <v>233</v>
      </c>
      <c r="C223" s="125">
        <v>113628</v>
      </c>
      <c r="D223" s="132">
        <v>8041677532</v>
      </c>
      <c r="E223" s="116">
        <f t="shared" si="44"/>
        <v>70771.971098672861</v>
      </c>
      <c r="F223" s="134">
        <v>4513565589</v>
      </c>
      <c r="G223" s="117">
        <f t="shared" si="45"/>
        <v>39722.300744534798</v>
      </c>
      <c r="H223" s="9"/>
      <c r="I223" s="136">
        <v>6.9363000000000001</v>
      </c>
      <c r="J223" s="134">
        <v>31307444.9949807</v>
      </c>
      <c r="K223" s="120">
        <f t="shared" si="46"/>
        <v>275.52579465431671</v>
      </c>
      <c r="L223" s="122">
        <f t="shared" si="39"/>
        <v>45135655.890000001</v>
      </c>
      <c r="M223" s="116">
        <f t="shared" si="40"/>
        <v>13828210.8950193</v>
      </c>
      <c r="N223" s="123">
        <f t="shared" si="41"/>
        <v>121.69721279103126</v>
      </c>
      <c r="O223" s="5"/>
      <c r="P223" s="5">
        <f t="shared" si="42"/>
        <v>1</v>
      </c>
      <c r="Q223" s="7">
        <f t="shared" si="43"/>
        <v>113628</v>
      </c>
    </row>
    <row r="224" spans="1:17">
      <c r="A224" s="23" t="s">
        <v>459</v>
      </c>
      <c r="B224" s="37" t="s">
        <v>233</v>
      </c>
      <c r="C224" s="125">
        <v>31118</v>
      </c>
      <c r="D224" s="132">
        <v>4693936305</v>
      </c>
      <c r="E224" s="116">
        <f t="shared" si="44"/>
        <v>150843.12311202521</v>
      </c>
      <c r="F224" s="134">
        <v>3185477666</v>
      </c>
      <c r="G224" s="117">
        <f t="shared" si="45"/>
        <v>102367.68641943569</v>
      </c>
      <c r="H224" s="9"/>
      <c r="I224" s="136">
        <v>2.3127</v>
      </c>
      <c r="J224" s="134">
        <v>7367054.1981581999</v>
      </c>
      <c r="K224" s="120">
        <f t="shared" si="46"/>
        <v>236.74574838222892</v>
      </c>
      <c r="L224" s="122">
        <f t="shared" si="39"/>
        <v>31854776.66</v>
      </c>
      <c r="M224" s="116">
        <f t="shared" si="40"/>
        <v>24487722.461841799</v>
      </c>
      <c r="N224" s="123">
        <f t="shared" si="41"/>
        <v>786.93111581212804</v>
      </c>
      <c r="O224" s="5"/>
      <c r="P224" s="5">
        <f t="shared" si="42"/>
        <v>1</v>
      </c>
      <c r="Q224" s="7">
        <f t="shared" si="43"/>
        <v>31118</v>
      </c>
    </row>
    <row r="225" spans="1:21">
      <c r="A225" s="23" t="s">
        <v>250</v>
      </c>
      <c r="B225" s="37" t="s">
        <v>233</v>
      </c>
      <c r="C225" s="125">
        <v>10784</v>
      </c>
      <c r="D225" s="132">
        <v>2010026019</v>
      </c>
      <c r="E225" s="116">
        <f t="shared" si="44"/>
        <v>186389.653097181</v>
      </c>
      <c r="F225" s="134">
        <v>1114830616</v>
      </c>
      <c r="G225" s="117">
        <f t="shared" si="45"/>
        <v>103378.20994065281</v>
      </c>
      <c r="H225" s="9"/>
      <c r="I225" s="136">
        <v>7.9</v>
      </c>
      <c r="J225" s="134">
        <v>8807161.8663999997</v>
      </c>
      <c r="K225" s="120">
        <f t="shared" si="46"/>
        <v>816.68785853115719</v>
      </c>
      <c r="L225" s="122">
        <f t="shared" si="39"/>
        <v>11148306.16</v>
      </c>
      <c r="M225" s="116">
        <f t="shared" si="40"/>
        <v>2341144.2936000004</v>
      </c>
      <c r="N225" s="123">
        <f t="shared" si="41"/>
        <v>217.09424087537096</v>
      </c>
      <c r="O225" s="5"/>
      <c r="P225" s="5">
        <f t="shared" si="42"/>
        <v>1</v>
      </c>
      <c r="Q225" s="7">
        <f t="shared" si="43"/>
        <v>10784</v>
      </c>
    </row>
    <row r="226" spans="1:21">
      <c r="A226" s="24" t="s">
        <v>251</v>
      </c>
      <c r="B226" s="37" t="s">
        <v>233</v>
      </c>
      <c r="C226" s="125">
        <v>14192</v>
      </c>
      <c r="D226" s="132">
        <v>1861613451</v>
      </c>
      <c r="E226" s="116">
        <f t="shared" si="44"/>
        <v>131173.43933201802</v>
      </c>
      <c r="F226" s="134">
        <v>1182545653</v>
      </c>
      <c r="G226" s="117">
        <f t="shared" si="45"/>
        <v>83324.806440248023</v>
      </c>
      <c r="H226" s="9"/>
      <c r="I226" s="136">
        <v>7.35</v>
      </c>
      <c r="J226" s="134">
        <v>8691710.5495499987</v>
      </c>
      <c r="K226" s="120">
        <f t="shared" si="46"/>
        <v>612.43732733582294</v>
      </c>
      <c r="L226" s="122">
        <f t="shared" si="39"/>
        <v>11825456.529999999</v>
      </c>
      <c r="M226" s="116">
        <f t="shared" si="40"/>
        <v>3133745.9804500006</v>
      </c>
      <c r="N226" s="123">
        <f t="shared" si="41"/>
        <v>220.81073706665731</v>
      </c>
      <c r="O226" s="5"/>
      <c r="P226" s="5">
        <f t="shared" si="42"/>
        <v>1</v>
      </c>
      <c r="Q226" s="7">
        <f t="shared" si="43"/>
        <v>14192</v>
      </c>
    </row>
    <row r="227" spans="1:21">
      <c r="A227" s="23" t="s">
        <v>599</v>
      </c>
      <c r="B227" s="37" t="s">
        <v>233</v>
      </c>
      <c r="C227" s="125">
        <v>8981</v>
      </c>
      <c r="D227" s="132">
        <v>1303738707</v>
      </c>
      <c r="E227" s="116">
        <f t="shared" si="44"/>
        <v>145166.31856140742</v>
      </c>
      <c r="F227" s="134">
        <v>1058666713</v>
      </c>
      <c r="G227" s="117">
        <f t="shared" si="45"/>
        <v>117878.48936644026</v>
      </c>
      <c r="H227" s="9"/>
      <c r="I227" s="136">
        <v>5.52</v>
      </c>
      <c r="J227" s="134">
        <v>5843840.2557599992</v>
      </c>
      <c r="K227" s="120">
        <f t="shared" si="46"/>
        <v>650.6892613027502</v>
      </c>
      <c r="L227" s="122">
        <f t="shared" si="39"/>
        <v>10586667.130000001</v>
      </c>
      <c r="M227" s="116">
        <f t="shared" si="40"/>
        <v>4742826.8742400017</v>
      </c>
      <c r="N227" s="123">
        <f t="shared" si="41"/>
        <v>528.09563236165252</v>
      </c>
      <c r="O227" s="5"/>
      <c r="P227" s="5">
        <f t="shared" si="42"/>
        <v>1</v>
      </c>
      <c r="Q227" s="7">
        <f t="shared" si="43"/>
        <v>8981</v>
      </c>
    </row>
    <row r="228" spans="1:21">
      <c r="A228" s="23" t="s">
        <v>253</v>
      </c>
      <c r="B228" s="37" t="s">
        <v>233</v>
      </c>
      <c r="C228" s="125">
        <v>63517</v>
      </c>
      <c r="D228" s="132">
        <v>5175862737</v>
      </c>
      <c r="E228" s="116">
        <f t="shared" si="44"/>
        <v>81487.833761040354</v>
      </c>
      <c r="F228" s="134">
        <v>3051694309</v>
      </c>
      <c r="G228" s="117">
        <f t="shared" si="45"/>
        <v>48045.315569060251</v>
      </c>
      <c r="H228" s="9"/>
      <c r="I228" s="136">
        <v>7.5</v>
      </c>
      <c r="J228" s="134">
        <v>22887707.317499999</v>
      </c>
      <c r="K228" s="120">
        <f t="shared" si="46"/>
        <v>360.33986676795189</v>
      </c>
      <c r="L228" s="122">
        <f t="shared" si="39"/>
        <v>30516943.09</v>
      </c>
      <c r="M228" s="116">
        <f t="shared" si="40"/>
        <v>7629235.7725000009</v>
      </c>
      <c r="N228" s="123">
        <f t="shared" si="41"/>
        <v>120.11328892265064</v>
      </c>
      <c r="O228" s="5"/>
      <c r="P228" s="5">
        <f t="shared" si="42"/>
        <v>1</v>
      </c>
      <c r="Q228" s="7">
        <f t="shared" si="43"/>
        <v>63517</v>
      </c>
    </row>
    <row r="229" spans="1:21">
      <c r="A229" s="23" t="s">
        <v>254</v>
      </c>
      <c r="B229" s="37" t="s">
        <v>233</v>
      </c>
      <c r="C229" s="125">
        <v>45612</v>
      </c>
      <c r="D229" s="132">
        <v>4312741499</v>
      </c>
      <c r="E229" s="116">
        <f t="shared" si="44"/>
        <v>94552.782140664742</v>
      </c>
      <c r="F229" s="134">
        <v>2876175899</v>
      </c>
      <c r="G229" s="117">
        <f t="shared" si="45"/>
        <v>63057.438809962288</v>
      </c>
      <c r="H229" s="9"/>
      <c r="I229" s="136">
        <v>6.3</v>
      </c>
      <c r="J229" s="134">
        <v>18119908.163699999</v>
      </c>
      <c r="K229" s="120">
        <f t="shared" si="46"/>
        <v>397.26186450276242</v>
      </c>
      <c r="L229" s="122">
        <f t="shared" si="39"/>
        <v>28761758.990000002</v>
      </c>
      <c r="M229" s="116">
        <f t="shared" si="40"/>
        <v>10641850.826300003</v>
      </c>
      <c r="N229" s="123">
        <f t="shared" si="41"/>
        <v>233.31252359686053</v>
      </c>
      <c r="O229" s="5"/>
      <c r="P229" s="5">
        <f t="shared" si="42"/>
        <v>1</v>
      </c>
      <c r="Q229" s="7">
        <f t="shared" si="43"/>
        <v>45612</v>
      </c>
    </row>
    <row r="230" spans="1:21">
      <c r="A230" s="23" t="s">
        <v>255</v>
      </c>
      <c r="B230" s="37" t="s">
        <v>233</v>
      </c>
      <c r="C230" s="125">
        <v>18017</v>
      </c>
      <c r="D230" s="132">
        <v>1438964655</v>
      </c>
      <c r="E230" s="116">
        <f t="shared" si="44"/>
        <v>79867.050840872515</v>
      </c>
      <c r="F230" s="134">
        <v>879489789</v>
      </c>
      <c r="G230" s="117">
        <f t="shared" si="45"/>
        <v>48814.441305433756</v>
      </c>
      <c r="H230" s="9"/>
      <c r="I230" s="136">
        <v>9.8000000000000007</v>
      </c>
      <c r="J230" s="134">
        <v>8618999.9322000016</v>
      </c>
      <c r="K230" s="120">
        <f t="shared" si="46"/>
        <v>478.38152479325089</v>
      </c>
      <c r="L230" s="122">
        <f t="shared" si="39"/>
        <v>8794897.8900000006</v>
      </c>
      <c r="M230" s="116">
        <f t="shared" si="40"/>
        <v>175897.95779999904</v>
      </c>
      <c r="N230" s="123">
        <f t="shared" si="41"/>
        <v>9.7628882610866992</v>
      </c>
      <c r="O230" s="5"/>
      <c r="P230" s="5">
        <f t="shared" si="42"/>
        <v>1</v>
      </c>
      <c r="Q230" s="7">
        <f t="shared" si="43"/>
        <v>18017</v>
      </c>
    </row>
    <row r="231" spans="1:21">
      <c r="A231" s="23" t="s">
        <v>493</v>
      </c>
      <c r="B231" s="37" t="s">
        <v>233</v>
      </c>
      <c r="C231" s="125">
        <v>24144</v>
      </c>
      <c r="D231" s="132">
        <v>4443604769</v>
      </c>
      <c r="E231" s="116">
        <f t="shared" si="44"/>
        <v>184045.92316931742</v>
      </c>
      <c r="F231" s="134">
        <v>2909162114</v>
      </c>
      <c r="G231" s="117">
        <f t="shared" si="45"/>
        <v>120492.13527170311</v>
      </c>
      <c r="H231" s="9"/>
      <c r="I231" s="136">
        <v>2.2387000000000001</v>
      </c>
      <c r="J231" s="134">
        <v>6512741.2246118002</v>
      </c>
      <c r="K231" s="120">
        <f t="shared" si="46"/>
        <v>269.74574323276175</v>
      </c>
      <c r="L231" s="122">
        <f t="shared" si="39"/>
        <v>29091621.140000001</v>
      </c>
      <c r="M231" s="116">
        <f t="shared" si="40"/>
        <v>22578879.9153882</v>
      </c>
      <c r="N231" s="123">
        <f t="shared" si="41"/>
        <v>935.17560948426944</v>
      </c>
      <c r="O231" s="5"/>
      <c r="P231" s="5">
        <f t="shared" si="42"/>
        <v>1</v>
      </c>
      <c r="Q231" s="7">
        <f t="shared" si="43"/>
        <v>24144</v>
      </c>
    </row>
    <row r="232" spans="1:21">
      <c r="A232" s="23" t="s">
        <v>256</v>
      </c>
      <c r="B232" s="37" t="s">
        <v>233</v>
      </c>
      <c r="C232" s="125">
        <v>18490</v>
      </c>
      <c r="D232" s="132">
        <v>6532061752</v>
      </c>
      <c r="E232" s="116">
        <f t="shared" si="44"/>
        <v>353275.37869118445</v>
      </c>
      <c r="F232" s="134">
        <v>4777746515</v>
      </c>
      <c r="G232" s="117">
        <f t="shared" si="45"/>
        <v>258396.24202271499</v>
      </c>
      <c r="H232" s="9"/>
      <c r="I232" s="150">
        <v>2.399</v>
      </c>
      <c r="J232" s="134">
        <v>11461813.889485</v>
      </c>
      <c r="K232" s="120">
        <f t="shared" si="46"/>
        <v>619.89258461249324</v>
      </c>
      <c r="L232" s="122">
        <f t="shared" si="39"/>
        <v>47777465.149999999</v>
      </c>
      <c r="M232" s="116">
        <f t="shared" si="40"/>
        <v>36315651.260514997</v>
      </c>
      <c r="N232" s="123">
        <f t="shared" si="41"/>
        <v>1964.0698356146563</v>
      </c>
      <c r="O232" s="5"/>
      <c r="P232" s="5">
        <f t="shared" si="42"/>
        <v>1</v>
      </c>
      <c r="Q232" s="7">
        <f t="shared" si="43"/>
        <v>18490</v>
      </c>
    </row>
    <row r="233" spans="1:21">
      <c r="A233" s="23" t="s">
        <v>257</v>
      </c>
      <c r="B233" s="37" t="s">
        <v>233</v>
      </c>
      <c r="C233" s="125">
        <v>12664</v>
      </c>
      <c r="D233" s="132">
        <v>2827091824</v>
      </c>
      <c r="E233" s="116">
        <f t="shared" si="44"/>
        <v>223238.45735944409</v>
      </c>
      <c r="F233" s="134">
        <v>1884820243</v>
      </c>
      <c r="G233" s="117">
        <f t="shared" si="45"/>
        <v>148832.9313802906</v>
      </c>
      <c r="H233" s="9"/>
      <c r="I233" s="136">
        <v>4.3</v>
      </c>
      <c r="J233" s="134">
        <v>8104727.0448999992</v>
      </c>
      <c r="K233" s="120">
        <f t="shared" si="46"/>
        <v>639.98160493524949</v>
      </c>
      <c r="L233" s="122">
        <f t="shared" si="39"/>
        <v>18848202.43</v>
      </c>
      <c r="M233" s="116">
        <f t="shared" si="40"/>
        <v>10743475.3851</v>
      </c>
      <c r="N233" s="123">
        <f t="shared" si="41"/>
        <v>848.34770886765637</v>
      </c>
      <c r="O233" s="5"/>
      <c r="P233" s="5">
        <f t="shared" si="42"/>
        <v>1</v>
      </c>
      <c r="Q233" s="7">
        <f t="shared" si="43"/>
        <v>12664</v>
      </c>
    </row>
    <row r="234" spans="1:21">
      <c r="A234" s="23" t="s">
        <v>258</v>
      </c>
      <c r="B234" s="37" t="s">
        <v>233</v>
      </c>
      <c r="C234" s="125">
        <v>22505</v>
      </c>
      <c r="D234" s="132">
        <v>12226750642</v>
      </c>
      <c r="E234" s="116">
        <f t="shared" si="44"/>
        <v>543290.40844256827</v>
      </c>
      <c r="F234" s="134">
        <v>10888799800</v>
      </c>
      <c r="G234" s="117">
        <f t="shared" si="45"/>
        <v>483839.13796934014</v>
      </c>
      <c r="H234" s="9"/>
      <c r="I234" s="136">
        <v>2.2000000000000002</v>
      </c>
      <c r="J234" s="134">
        <v>23955359.560000002</v>
      </c>
      <c r="K234" s="120">
        <f t="shared" si="46"/>
        <v>1064.4461035325485</v>
      </c>
      <c r="L234" s="122">
        <f t="shared" si="39"/>
        <v>108887998</v>
      </c>
      <c r="M234" s="116">
        <f t="shared" si="40"/>
        <v>84932638.439999998</v>
      </c>
      <c r="N234" s="123">
        <f t="shared" si="41"/>
        <v>3773.9452761608532</v>
      </c>
      <c r="O234" s="5"/>
      <c r="P234" s="5">
        <f t="shared" si="42"/>
        <v>1</v>
      </c>
      <c r="Q234" s="7">
        <f t="shared" si="43"/>
        <v>22505</v>
      </c>
    </row>
    <row r="235" spans="1:21">
      <c r="A235" s="23" t="s">
        <v>259</v>
      </c>
      <c r="B235" s="37" t="s">
        <v>233</v>
      </c>
      <c r="C235" s="125">
        <v>5934</v>
      </c>
      <c r="D235" s="132">
        <v>3551128620</v>
      </c>
      <c r="E235" s="116">
        <f t="shared" si="44"/>
        <v>598437.5834175935</v>
      </c>
      <c r="F235" s="134">
        <v>2920300803</v>
      </c>
      <c r="G235" s="117">
        <f t="shared" si="45"/>
        <v>492130.23306370073</v>
      </c>
      <c r="H235" s="9"/>
      <c r="I235" s="136">
        <v>4.5</v>
      </c>
      <c r="J235" s="134">
        <v>13141353.613500001</v>
      </c>
      <c r="K235" s="120">
        <f t="shared" si="46"/>
        <v>2214.5860487866535</v>
      </c>
      <c r="L235" s="122">
        <f t="shared" si="39"/>
        <v>29203008.030000001</v>
      </c>
      <c r="M235" s="116">
        <f t="shared" si="40"/>
        <v>16061654.4165</v>
      </c>
      <c r="N235" s="123">
        <f t="shared" si="41"/>
        <v>2706.7162818503539</v>
      </c>
      <c r="O235" s="5"/>
      <c r="P235" s="5">
        <f t="shared" si="42"/>
        <v>1</v>
      </c>
      <c r="Q235" s="7">
        <f t="shared" si="43"/>
        <v>5934</v>
      </c>
    </row>
    <row r="236" spans="1:21">
      <c r="A236" s="23" t="s">
        <v>260</v>
      </c>
      <c r="B236" s="35" t="s">
        <v>233</v>
      </c>
      <c r="C236" s="125">
        <v>21499</v>
      </c>
      <c r="D236" s="132">
        <v>2167806323</v>
      </c>
      <c r="E236" s="116">
        <f t="shared" si="44"/>
        <v>100832.8909716731</v>
      </c>
      <c r="F236" s="134">
        <v>1720936634</v>
      </c>
      <c r="G236" s="117">
        <f t="shared" si="45"/>
        <v>80047.287501744271</v>
      </c>
      <c r="H236" s="9"/>
      <c r="I236" s="150">
        <v>3.9948000000000001</v>
      </c>
      <c r="J236" s="134">
        <v>6874797.6655032001</v>
      </c>
      <c r="K236" s="120">
        <f t="shared" si="46"/>
        <v>319.77290411196799</v>
      </c>
      <c r="L236" s="122">
        <f t="shared" si="39"/>
        <v>17209366.34</v>
      </c>
      <c r="M236" s="116">
        <f t="shared" si="40"/>
        <v>10334568.6744968</v>
      </c>
      <c r="N236" s="123">
        <f t="shared" si="41"/>
        <v>480.69997090547469</v>
      </c>
      <c r="O236" s="5"/>
      <c r="P236" s="5">
        <f t="shared" si="42"/>
        <v>1</v>
      </c>
      <c r="Q236" s="7">
        <f t="shared" si="43"/>
        <v>21499</v>
      </c>
    </row>
    <row r="237" spans="1:21">
      <c r="A237" s="23" t="s">
        <v>261</v>
      </c>
      <c r="B237" s="35" t="s">
        <v>233</v>
      </c>
      <c r="C237" s="125">
        <v>2433</v>
      </c>
      <c r="D237" s="132">
        <v>352083123</v>
      </c>
      <c r="E237" s="116">
        <f t="shared" si="44"/>
        <v>144711.51787916152</v>
      </c>
      <c r="F237" s="134">
        <v>263226548</v>
      </c>
      <c r="G237" s="117">
        <f t="shared" si="45"/>
        <v>108190.1142622277</v>
      </c>
      <c r="H237" s="9"/>
      <c r="I237" s="136">
        <v>5.0999999999999996</v>
      </c>
      <c r="J237" s="134">
        <v>1342455.3947999999</v>
      </c>
      <c r="K237" s="120">
        <f t="shared" si="46"/>
        <v>551.76958273736125</v>
      </c>
      <c r="L237" s="122">
        <f t="shared" si="39"/>
        <v>2632265.48</v>
      </c>
      <c r="M237" s="116">
        <f t="shared" si="40"/>
        <v>1289810.0852000001</v>
      </c>
      <c r="N237" s="123">
        <f t="shared" si="41"/>
        <v>530.13155988491576</v>
      </c>
      <c r="O237" s="5"/>
      <c r="P237" s="5">
        <f t="shared" si="42"/>
        <v>1</v>
      </c>
      <c r="Q237" s="7">
        <f t="shared" si="43"/>
        <v>2433</v>
      </c>
      <c r="S237" s="124"/>
      <c r="T237" s="124"/>
      <c r="U237" s="124"/>
    </row>
    <row r="238" spans="1:21">
      <c r="A238" s="23" t="s">
        <v>262</v>
      </c>
      <c r="B238" s="35" t="s">
        <v>233</v>
      </c>
      <c r="C238" s="125">
        <v>7806</v>
      </c>
      <c r="D238" s="132">
        <v>783146064</v>
      </c>
      <c r="E238" s="116">
        <f t="shared" si="44"/>
        <v>100326.16756341276</v>
      </c>
      <c r="F238" s="134">
        <v>545393146</v>
      </c>
      <c r="G238" s="117">
        <f t="shared" si="45"/>
        <v>69868.453241096591</v>
      </c>
      <c r="H238" s="7"/>
      <c r="I238" s="136">
        <v>6.8857999999999997</v>
      </c>
      <c r="J238" s="134">
        <v>3755468.1247267998</v>
      </c>
      <c r="K238" s="120">
        <f t="shared" si="46"/>
        <v>481.10019532754291</v>
      </c>
      <c r="L238" s="122">
        <f t="shared" si="39"/>
        <v>5453931.46</v>
      </c>
      <c r="M238" s="116">
        <f t="shared" si="40"/>
        <v>1698463.3352732002</v>
      </c>
      <c r="N238" s="123">
        <f t="shared" si="41"/>
        <v>217.58433708342304</v>
      </c>
      <c r="O238" s="5"/>
      <c r="P238" s="5">
        <f t="shared" si="42"/>
        <v>1</v>
      </c>
      <c r="Q238" s="7">
        <f t="shared" si="43"/>
        <v>7806</v>
      </c>
      <c r="S238" s="124">
        <f>SUM(D205:D238)</f>
        <v>290207485772</v>
      </c>
      <c r="T238" s="124">
        <f>SUM(F205:F238)</f>
        <v>209788385670</v>
      </c>
      <c r="U238" s="124">
        <f>SUM(J205:J238)</f>
        <v>1100882845.6913724</v>
      </c>
    </row>
    <row r="239" spans="1:21">
      <c r="A239" s="23" t="s">
        <v>263</v>
      </c>
      <c r="B239" s="35" t="s">
        <v>264</v>
      </c>
      <c r="C239" s="125">
        <v>5990</v>
      </c>
      <c r="D239" s="132">
        <v>4379181823</v>
      </c>
      <c r="E239" s="116">
        <f t="shared" si="44"/>
        <v>731082.10734557593</v>
      </c>
      <c r="F239" s="134">
        <v>3455009822</v>
      </c>
      <c r="G239" s="117">
        <f t="shared" si="45"/>
        <v>576796.29749582638</v>
      </c>
      <c r="H239" s="7"/>
      <c r="I239" s="136">
        <v>3.0247000000000002</v>
      </c>
      <c r="J239" s="134">
        <v>10450368.208603401</v>
      </c>
      <c r="K239" s="120">
        <f t="shared" si="46"/>
        <v>1744.6357610356263</v>
      </c>
      <c r="L239" s="122">
        <f t="shared" si="39"/>
        <v>34550098.219999999</v>
      </c>
      <c r="M239" s="116">
        <f t="shared" si="40"/>
        <v>24099730.011396598</v>
      </c>
      <c r="N239" s="123">
        <f t="shared" si="41"/>
        <v>4023.3272139226374</v>
      </c>
      <c r="O239" s="5"/>
      <c r="P239" s="5">
        <f t="shared" si="42"/>
        <v>1</v>
      </c>
      <c r="Q239" s="7">
        <f t="shared" si="43"/>
        <v>5990</v>
      </c>
    </row>
    <row r="240" spans="1:21">
      <c r="A240" s="23" t="s">
        <v>265</v>
      </c>
      <c r="B240" s="35" t="s">
        <v>264</v>
      </c>
      <c r="C240" s="125">
        <v>758</v>
      </c>
      <c r="D240" s="132">
        <v>826701104</v>
      </c>
      <c r="E240" s="116">
        <f t="shared" si="44"/>
        <v>1090634.7018469656</v>
      </c>
      <c r="F240" s="134">
        <v>713216950</v>
      </c>
      <c r="G240" s="117">
        <f t="shared" si="45"/>
        <v>940919.45910290233</v>
      </c>
      <c r="H240" s="7"/>
      <c r="I240" s="136">
        <v>2.4790000000000001</v>
      </c>
      <c r="J240" s="134">
        <v>1768064.81905</v>
      </c>
      <c r="K240" s="120">
        <f t="shared" si="46"/>
        <v>2332.5393391160951</v>
      </c>
      <c r="L240" s="122">
        <f t="shared" si="39"/>
        <v>7132169.5</v>
      </c>
      <c r="M240" s="116">
        <f t="shared" si="40"/>
        <v>5364104.68095</v>
      </c>
      <c r="N240" s="123">
        <f t="shared" si="41"/>
        <v>7076.6552519129291</v>
      </c>
      <c r="O240" s="5"/>
      <c r="P240" s="5">
        <f t="shared" si="42"/>
        <v>1</v>
      </c>
      <c r="Q240" s="7">
        <f t="shared" si="43"/>
        <v>758</v>
      </c>
    </row>
    <row r="241" spans="1:21">
      <c r="A241" s="23" t="s">
        <v>266</v>
      </c>
      <c r="B241" s="35" t="s">
        <v>264</v>
      </c>
      <c r="C241" s="125">
        <v>24509</v>
      </c>
      <c r="D241" s="132">
        <v>12267611835</v>
      </c>
      <c r="E241" s="116">
        <f t="shared" si="44"/>
        <v>500534.98041535763</v>
      </c>
      <c r="F241" s="134">
        <v>7326198485</v>
      </c>
      <c r="G241" s="117">
        <f t="shared" si="45"/>
        <v>298918.70272144926</v>
      </c>
      <c r="H241" s="7"/>
      <c r="I241" s="136">
        <v>2.2073999999999998</v>
      </c>
      <c r="J241" s="134">
        <v>16171850.535788998</v>
      </c>
      <c r="K241" s="120">
        <f t="shared" si="46"/>
        <v>659.83314438732702</v>
      </c>
      <c r="L241" s="122">
        <f t="shared" si="39"/>
        <v>73261984.850000009</v>
      </c>
      <c r="M241" s="116">
        <f t="shared" si="40"/>
        <v>57090134.314211011</v>
      </c>
      <c r="N241" s="123">
        <f t="shared" si="41"/>
        <v>2329.3538828271658</v>
      </c>
      <c r="O241" s="5"/>
      <c r="P241" s="5">
        <f t="shared" si="42"/>
        <v>1</v>
      </c>
      <c r="Q241" s="7">
        <f t="shared" si="43"/>
        <v>24509</v>
      </c>
    </row>
    <row r="242" spans="1:21">
      <c r="A242" s="23" t="s">
        <v>267</v>
      </c>
      <c r="B242" s="35" t="s">
        <v>264</v>
      </c>
      <c r="C242" s="125">
        <v>182</v>
      </c>
      <c r="D242" s="132">
        <v>81850024</v>
      </c>
      <c r="E242" s="116">
        <f t="shared" si="44"/>
        <v>449725.40659340657</v>
      </c>
      <c r="F242" s="134">
        <v>62251754</v>
      </c>
      <c r="G242" s="117">
        <f t="shared" si="45"/>
        <v>342042.6043956044</v>
      </c>
      <c r="H242" s="7"/>
      <c r="I242" s="136">
        <v>2.6328999999999998</v>
      </c>
      <c r="J242" s="134">
        <v>163902.64310659998</v>
      </c>
      <c r="K242" s="120">
        <f t="shared" si="46"/>
        <v>900.56397311318665</v>
      </c>
      <c r="L242" s="122">
        <f t="shared" si="39"/>
        <v>622517.54</v>
      </c>
      <c r="M242" s="116">
        <f t="shared" si="40"/>
        <v>458614.89689340006</v>
      </c>
      <c r="N242" s="123">
        <f t="shared" si="41"/>
        <v>2519.8620708428575</v>
      </c>
      <c r="O242" s="5"/>
      <c r="P242" s="5">
        <f t="shared" si="42"/>
        <v>1</v>
      </c>
      <c r="Q242" s="7">
        <f t="shared" si="43"/>
        <v>182</v>
      </c>
    </row>
    <row r="243" spans="1:21">
      <c r="A243" s="23" t="s">
        <v>449</v>
      </c>
      <c r="B243" s="35" t="s">
        <v>264</v>
      </c>
      <c r="C243" s="125">
        <v>8235</v>
      </c>
      <c r="D243" s="132">
        <v>3323147741</v>
      </c>
      <c r="E243" s="116">
        <f t="shared" si="44"/>
        <v>403539.49496053433</v>
      </c>
      <c r="F243" s="134">
        <v>2524707187</v>
      </c>
      <c r="G243" s="117">
        <f t="shared" si="45"/>
        <v>306582.53636915603</v>
      </c>
      <c r="H243" s="7"/>
      <c r="I243" s="136">
        <v>2.59</v>
      </c>
      <c r="J243" s="134">
        <v>6538991.6143300002</v>
      </c>
      <c r="K243" s="120">
        <f t="shared" si="46"/>
        <v>794.04876919611422</v>
      </c>
      <c r="L243" s="122">
        <f t="shared" si="39"/>
        <v>25247071.870000001</v>
      </c>
      <c r="M243" s="116">
        <f t="shared" si="40"/>
        <v>18708080.25567</v>
      </c>
      <c r="N243" s="123">
        <f t="shared" si="41"/>
        <v>2271.7765944954463</v>
      </c>
      <c r="O243" s="5"/>
      <c r="P243" s="5">
        <f t="shared" si="42"/>
        <v>1</v>
      </c>
      <c r="Q243" s="7">
        <f t="shared" si="43"/>
        <v>8235</v>
      </c>
      <c r="S243" s="124">
        <f>SUM(D239:D243)</f>
        <v>20878492527</v>
      </c>
      <c r="T243" s="124">
        <f>SUM(F239:F243)</f>
        <v>14081384198</v>
      </c>
      <c r="U243" s="124">
        <f>SUM(J239:J243)</f>
        <v>35093177.820878997</v>
      </c>
    </row>
    <row r="244" spans="1:21">
      <c r="A244" s="23" t="s">
        <v>268</v>
      </c>
      <c r="B244" s="35" t="s">
        <v>269</v>
      </c>
      <c r="C244" s="125">
        <v>1305</v>
      </c>
      <c r="D244" s="132">
        <v>183800658</v>
      </c>
      <c r="E244" s="116">
        <f t="shared" si="44"/>
        <v>140843.41609195402</v>
      </c>
      <c r="F244" s="134">
        <v>95373292</v>
      </c>
      <c r="G244" s="117">
        <f t="shared" si="45"/>
        <v>73082.982375478925</v>
      </c>
      <c r="H244" s="7"/>
      <c r="I244" s="136">
        <v>2.6684999999999999</v>
      </c>
      <c r="J244" s="134">
        <v>254503.62970200001</v>
      </c>
      <c r="K244" s="120">
        <f t="shared" si="46"/>
        <v>195.02193846896552</v>
      </c>
      <c r="L244" s="122">
        <f t="shared" si="39"/>
        <v>953732.92</v>
      </c>
      <c r="M244" s="116">
        <f t="shared" si="40"/>
        <v>699229.29029799998</v>
      </c>
      <c r="N244" s="123">
        <f t="shared" si="41"/>
        <v>535.80788528582377</v>
      </c>
      <c r="O244" s="5"/>
      <c r="P244" s="5">
        <f t="shared" si="42"/>
        <v>1</v>
      </c>
      <c r="Q244" s="7">
        <f t="shared" si="43"/>
        <v>1305</v>
      </c>
    </row>
    <row r="245" spans="1:21">
      <c r="A245" s="23" t="s">
        <v>270</v>
      </c>
      <c r="B245" s="35" t="s">
        <v>269</v>
      </c>
      <c r="C245" s="125">
        <v>12761</v>
      </c>
      <c r="D245" s="132">
        <v>3298236990</v>
      </c>
      <c r="E245" s="116">
        <f t="shared" si="44"/>
        <v>258462.26706370973</v>
      </c>
      <c r="F245" s="134">
        <v>2197805300</v>
      </c>
      <c r="G245" s="117">
        <f t="shared" si="45"/>
        <v>172228.29715539535</v>
      </c>
      <c r="H245" s="7"/>
      <c r="I245" s="136">
        <v>5.8552999999999997</v>
      </c>
      <c r="J245" s="134">
        <v>12868809.373090001</v>
      </c>
      <c r="K245" s="120">
        <f t="shared" si="46"/>
        <v>1008.4483483339865</v>
      </c>
      <c r="L245" s="122">
        <f t="shared" si="39"/>
        <v>21978053</v>
      </c>
      <c r="M245" s="116">
        <f t="shared" si="40"/>
        <v>9109243.6269099992</v>
      </c>
      <c r="N245" s="123">
        <f t="shared" si="41"/>
        <v>713.83462321996706</v>
      </c>
      <c r="O245" s="5"/>
      <c r="P245" s="5">
        <f t="shared" si="42"/>
        <v>1</v>
      </c>
      <c r="Q245" s="7">
        <f t="shared" si="43"/>
        <v>12761</v>
      </c>
      <c r="S245" s="124"/>
      <c r="T245" s="124"/>
      <c r="U245" s="124"/>
    </row>
    <row r="246" spans="1:21">
      <c r="A246" s="23" t="s">
        <v>271</v>
      </c>
      <c r="B246" s="35" t="s">
        <v>269</v>
      </c>
      <c r="C246" s="125">
        <v>2990</v>
      </c>
      <c r="D246" s="132">
        <v>289071559</v>
      </c>
      <c r="E246" s="116">
        <f t="shared" si="44"/>
        <v>96679.451170568558</v>
      </c>
      <c r="F246" s="156">
        <v>93049503</v>
      </c>
      <c r="G246" s="117">
        <f t="shared" si="45"/>
        <v>31120.235117056855</v>
      </c>
      <c r="H246" s="7"/>
      <c r="I246" s="136">
        <v>2</v>
      </c>
      <c r="J246" s="134">
        <v>186099.00599999999</v>
      </c>
      <c r="K246" s="120">
        <f t="shared" si="46"/>
        <v>62.240470234113708</v>
      </c>
      <c r="L246" s="122">
        <f t="shared" si="39"/>
        <v>930495.03</v>
      </c>
      <c r="M246" s="116">
        <f t="shared" si="40"/>
        <v>744396.02399999998</v>
      </c>
      <c r="N246" s="123">
        <f t="shared" si="41"/>
        <v>248.96188093645483</v>
      </c>
      <c r="O246" s="5"/>
      <c r="P246" s="5">
        <f t="shared" si="42"/>
        <v>1</v>
      </c>
      <c r="Q246" s="7">
        <f t="shared" si="43"/>
        <v>2990</v>
      </c>
      <c r="S246" s="124">
        <f>SUM(D244:D246)</f>
        <v>3771109207</v>
      </c>
      <c r="T246" s="124">
        <f>SUM(F244:F246)</f>
        <v>2386228095</v>
      </c>
      <c r="U246" s="124">
        <f>SUM(J244:J246)</f>
        <v>13309412.008792</v>
      </c>
    </row>
    <row r="247" spans="1:21">
      <c r="A247" s="23" t="s">
        <v>272</v>
      </c>
      <c r="B247" s="35" t="s">
        <v>273</v>
      </c>
      <c r="C247" s="125">
        <v>404</v>
      </c>
      <c r="D247" s="132">
        <v>64857863</v>
      </c>
      <c r="E247" s="116">
        <f t="shared" si="44"/>
        <v>160539.26485148515</v>
      </c>
      <c r="F247" s="134">
        <v>52661767</v>
      </c>
      <c r="G247" s="117">
        <f t="shared" si="45"/>
        <v>130350.90841584158</v>
      </c>
      <c r="H247" s="7"/>
      <c r="I247" s="136">
        <v>3</v>
      </c>
      <c r="J247" s="134">
        <v>157985.30100000001</v>
      </c>
      <c r="K247" s="120">
        <f t="shared" si="46"/>
        <v>391.05272524752479</v>
      </c>
      <c r="L247" s="122">
        <f t="shared" si="39"/>
        <v>526617.67000000004</v>
      </c>
      <c r="M247" s="116">
        <f t="shared" si="40"/>
        <v>368632.36900000006</v>
      </c>
      <c r="N247" s="123">
        <f t="shared" si="41"/>
        <v>912.45635891089125</v>
      </c>
      <c r="O247" s="5"/>
      <c r="P247" s="5">
        <f t="shared" si="42"/>
        <v>1</v>
      </c>
      <c r="Q247" s="7">
        <f t="shared" si="43"/>
        <v>404</v>
      </c>
    </row>
    <row r="248" spans="1:21">
      <c r="A248" s="23" t="s">
        <v>274</v>
      </c>
      <c r="B248" s="35" t="s">
        <v>273</v>
      </c>
      <c r="C248" s="125">
        <v>25001</v>
      </c>
      <c r="D248" s="132">
        <v>1581706949</v>
      </c>
      <c r="E248" s="116">
        <f t="shared" si="44"/>
        <v>63265.747330106795</v>
      </c>
      <c r="F248" s="134">
        <v>1110039853</v>
      </c>
      <c r="G248" s="117">
        <f t="shared" si="45"/>
        <v>44399.818127274906</v>
      </c>
      <c r="H248" s="9"/>
      <c r="I248" s="136">
        <v>6.9466000000000001</v>
      </c>
      <c r="J248" s="134">
        <v>7711002.8428498004</v>
      </c>
      <c r="K248" s="120">
        <f t="shared" si="46"/>
        <v>308.42777660292791</v>
      </c>
      <c r="L248" s="122">
        <f t="shared" si="39"/>
        <v>11100398.529999999</v>
      </c>
      <c r="M248" s="116">
        <f t="shared" si="40"/>
        <v>3389395.687150199</v>
      </c>
      <c r="N248" s="123">
        <f t="shared" si="41"/>
        <v>135.57040466982116</v>
      </c>
      <c r="O248" s="5"/>
      <c r="P248" s="5">
        <f t="shared" si="42"/>
        <v>1</v>
      </c>
      <c r="Q248" s="7">
        <f t="shared" si="43"/>
        <v>25001</v>
      </c>
    </row>
    <row r="249" spans="1:21">
      <c r="A249" s="23" t="s">
        <v>275</v>
      </c>
      <c r="B249" s="35" t="s">
        <v>273</v>
      </c>
      <c r="C249" s="125">
        <v>13289</v>
      </c>
      <c r="D249" s="132">
        <v>5796042006</v>
      </c>
      <c r="E249" s="116">
        <f t="shared" si="44"/>
        <v>436153.36037324101</v>
      </c>
      <c r="F249" s="134">
        <v>5036292458</v>
      </c>
      <c r="G249" s="117">
        <f t="shared" si="45"/>
        <v>378982.04966513655</v>
      </c>
      <c r="H249" s="9"/>
      <c r="I249" s="136">
        <v>1.615</v>
      </c>
      <c r="J249" s="134">
        <v>8133612.3196700001</v>
      </c>
      <c r="K249" s="120">
        <f t="shared" si="46"/>
        <v>612.05601020919562</v>
      </c>
      <c r="L249" s="122">
        <f t="shared" si="39"/>
        <v>50362924.579999998</v>
      </c>
      <c r="M249" s="116">
        <f t="shared" si="40"/>
        <v>42229312.260329999</v>
      </c>
      <c r="N249" s="123">
        <f t="shared" si="41"/>
        <v>3177.76448644217</v>
      </c>
      <c r="O249" s="5"/>
      <c r="P249" s="5">
        <f t="shared" si="42"/>
        <v>1</v>
      </c>
      <c r="Q249" s="7">
        <f t="shared" si="43"/>
        <v>13289</v>
      </c>
    </row>
    <row r="250" spans="1:21">
      <c r="A250" s="23" t="s">
        <v>276</v>
      </c>
      <c r="B250" s="35" t="s">
        <v>273</v>
      </c>
      <c r="C250" s="125">
        <v>20830</v>
      </c>
      <c r="D250" s="132">
        <v>2001159621</v>
      </c>
      <c r="E250" s="116">
        <f t="shared" si="44"/>
        <v>96071.033173307733</v>
      </c>
      <c r="F250" s="134">
        <v>1353415515</v>
      </c>
      <c r="G250" s="117">
        <f t="shared" si="45"/>
        <v>64974.340614498316</v>
      </c>
      <c r="H250" s="7"/>
      <c r="I250" s="150">
        <v>5.7697000000000003</v>
      </c>
      <c r="J250" s="134">
        <v>7808801.4968955005</v>
      </c>
      <c r="K250" s="120">
        <f t="shared" si="46"/>
        <v>374.882453043471</v>
      </c>
      <c r="L250" s="122">
        <f t="shared" si="39"/>
        <v>13534155.15</v>
      </c>
      <c r="M250" s="116">
        <f t="shared" si="40"/>
        <v>5725353.6531044999</v>
      </c>
      <c r="N250" s="123">
        <f t="shared" si="41"/>
        <v>274.86095310151222</v>
      </c>
      <c r="O250" s="5"/>
      <c r="P250" s="5">
        <f t="shared" si="42"/>
        <v>1</v>
      </c>
      <c r="Q250" s="7">
        <f t="shared" si="43"/>
        <v>20830</v>
      </c>
    </row>
    <row r="251" spans="1:21">
      <c r="A251" s="23" t="s">
        <v>277</v>
      </c>
      <c r="B251" s="35" t="s">
        <v>273</v>
      </c>
      <c r="C251" s="125">
        <v>551</v>
      </c>
      <c r="D251" s="132">
        <v>32621493</v>
      </c>
      <c r="E251" s="116">
        <f t="shared" si="44"/>
        <v>59204.161524500909</v>
      </c>
      <c r="F251" s="134">
        <v>17390439</v>
      </c>
      <c r="G251" s="117">
        <f t="shared" si="45"/>
        <v>31561.595281306716</v>
      </c>
      <c r="H251" s="7"/>
      <c r="I251" s="136">
        <v>3.5</v>
      </c>
      <c r="J251" s="134">
        <v>60866.536500000002</v>
      </c>
      <c r="K251" s="120">
        <f t="shared" si="46"/>
        <v>110.4655834845735</v>
      </c>
      <c r="L251" s="122">
        <f t="shared" si="39"/>
        <v>173904.39</v>
      </c>
      <c r="M251" s="116">
        <f t="shared" si="40"/>
        <v>113037.85350000001</v>
      </c>
      <c r="N251" s="123">
        <f t="shared" si="41"/>
        <v>205.15036932849367</v>
      </c>
      <c r="O251" s="5"/>
      <c r="P251" s="5">
        <f t="shared" si="42"/>
        <v>1</v>
      </c>
      <c r="Q251" s="7">
        <f t="shared" si="43"/>
        <v>551</v>
      </c>
    </row>
    <row r="252" spans="1:21">
      <c r="A252" s="23" t="s">
        <v>278</v>
      </c>
      <c r="B252" s="35" t="s">
        <v>273</v>
      </c>
      <c r="C252" s="125">
        <v>3971</v>
      </c>
      <c r="D252" s="132">
        <v>409151147</v>
      </c>
      <c r="E252" s="116">
        <f t="shared" si="44"/>
        <v>103034.78897003274</v>
      </c>
      <c r="F252" s="134">
        <v>286636004</v>
      </c>
      <c r="G252" s="117">
        <f t="shared" si="45"/>
        <v>72182.322840594308</v>
      </c>
      <c r="H252" s="7"/>
      <c r="I252" s="136">
        <v>4.2347000000000001</v>
      </c>
      <c r="J252" s="134">
        <v>1213817.4861388002</v>
      </c>
      <c r="K252" s="120">
        <f t="shared" si="46"/>
        <v>305.67048253306479</v>
      </c>
      <c r="L252" s="122">
        <f t="shared" si="39"/>
        <v>2866360.04</v>
      </c>
      <c r="M252" s="116">
        <f t="shared" si="40"/>
        <v>1652542.5538611999</v>
      </c>
      <c r="N252" s="123">
        <f t="shared" si="41"/>
        <v>416.15274587287831</v>
      </c>
      <c r="O252" s="5"/>
      <c r="P252" s="5">
        <f t="shared" si="42"/>
        <v>1</v>
      </c>
      <c r="Q252" s="7">
        <f t="shared" si="43"/>
        <v>3971</v>
      </c>
    </row>
    <row r="253" spans="1:21">
      <c r="A253" s="23" t="s">
        <v>279</v>
      </c>
      <c r="B253" s="35" t="s">
        <v>273</v>
      </c>
      <c r="C253" s="125">
        <v>14508</v>
      </c>
      <c r="D253" s="132">
        <v>1655717917</v>
      </c>
      <c r="E253" s="116">
        <f t="shared" si="44"/>
        <v>114124.47732285636</v>
      </c>
      <c r="F253" s="134">
        <v>1105637560</v>
      </c>
      <c r="G253" s="117">
        <f t="shared" si="45"/>
        <v>76208.819961400601</v>
      </c>
      <c r="H253" s="7"/>
      <c r="I253" s="136">
        <v>3.7</v>
      </c>
      <c r="J253" s="134">
        <v>4090858.9720000001</v>
      </c>
      <c r="K253" s="120">
        <f t="shared" si="46"/>
        <v>281.97263385718225</v>
      </c>
      <c r="L253" s="122">
        <f t="shared" si="39"/>
        <v>11056375.6</v>
      </c>
      <c r="M253" s="116">
        <f t="shared" si="40"/>
        <v>6965516.6279999996</v>
      </c>
      <c r="N253" s="123">
        <f t="shared" si="41"/>
        <v>480.1155657568238</v>
      </c>
      <c r="O253" s="5"/>
      <c r="P253" s="5">
        <f t="shared" si="42"/>
        <v>1</v>
      </c>
      <c r="Q253" s="7">
        <f t="shared" si="43"/>
        <v>14508</v>
      </c>
    </row>
    <row r="254" spans="1:21">
      <c r="A254" s="23" t="s">
        <v>280</v>
      </c>
      <c r="B254" s="35" t="s">
        <v>273</v>
      </c>
      <c r="C254" s="125">
        <v>817</v>
      </c>
      <c r="D254" s="132">
        <v>136756009</v>
      </c>
      <c r="E254" s="116">
        <f t="shared" si="44"/>
        <v>167388.0159118727</v>
      </c>
      <c r="F254" s="134">
        <v>99089374</v>
      </c>
      <c r="G254" s="117">
        <f t="shared" si="45"/>
        <v>121284.423500612</v>
      </c>
      <c r="H254" s="7"/>
      <c r="I254" s="136">
        <v>2</v>
      </c>
      <c r="J254" s="134">
        <v>198178.74799999999</v>
      </c>
      <c r="K254" s="120">
        <f t="shared" si="46"/>
        <v>242.56884700122399</v>
      </c>
      <c r="L254" s="122">
        <f t="shared" si="39"/>
        <v>990893.74</v>
      </c>
      <c r="M254" s="116">
        <f t="shared" si="40"/>
        <v>792714.99199999997</v>
      </c>
      <c r="N254" s="123">
        <f t="shared" si="41"/>
        <v>970.27538800489594</v>
      </c>
      <c r="O254" s="5"/>
      <c r="P254" s="5">
        <f t="shared" si="42"/>
        <v>1</v>
      </c>
      <c r="Q254" s="7">
        <f t="shared" si="43"/>
        <v>817</v>
      </c>
      <c r="S254" s="124"/>
      <c r="T254" s="124"/>
      <c r="U254" s="124"/>
    </row>
    <row r="255" spans="1:21">
      <c r="A255" s="23" t="s">
        <v>281</v>
      </c>
      <c r="B255" s="35" t="s">
        <v>273</v>
      </c>
      <c r="C255" s="125">
        <v>5284</v>
      </c>
      <c r="D255" s="132">
        <v>397229632</v>
      </c>
      <c r="E255" s="116">
        <f t="shared" si="44"/>
        <v>75175.933383800148</v>
      </c>
      <c r="F255" s="134">
        <v>234165093</v>
      </c>
      <c r="G255" s="117">
        <f t="shared" si="45"/>
        <v>44315.876797880395</v>
      </c>
      <c r="H255" s="7"/>
      <c r="I255" s="136">
        <v>5.024</v>
      </c>
      <c r="J255" s="134">
        <v>1176445.427232</v>
      </c>
      <c r="K255" s="120">
        <f t="shared" si="46"/>
        <v>222.6429650325511</v>
      </c>
      <c r="L255" s="122">
        <f t="shared" si="39"/>
        <v>2341650.9300000002</v>
      </c>
      <c r="M255" s="116">
        <f t="shared" si="40"/>
        <v>1165205.5027680001</v>
      </c>
      <c r="N255" s="123">
        <f t="shared" si="41"/>
        <v>220.51580294625288</v>
      </c>
      <c r="O255" s="5"/>
      <c r="P255" s="5">
        <f t="shared" si="42"/>
        <v>1</v>
      </c>
      <c r="Q255" s="7">
        <f t="shared" si="43"/>
        <v>5284</v>
      </c>
      <c r="S255" s="124">
        <f>SUM(D247:D255)</f>
        <v>12075242637</v>
      </c>
      <c r="T255" s="124">
        <f>SUM(F247:F255)</f>
        <v>9295328063</v>
      </c>
      <c r="U255" s="124">
        <f>SUM(J247:J255)</f>
        <v>30551569.130286101</v>
      </c>
    </row>
    <row r="256" spans="1:21">
      <c r="A256" s="23" t="s">
        <v>282</v>
      </c>
      <c r="B256" s="35" t="s">
        <v>282</v>
      </c>
      <c r="C256" s="125">
        <v>5561</v>
      </c>
      <c r="D256" s="132">
        <v>435254777</v>
      </c>
      <c r="E256" s="116">
        <f t="shared" si="44"/>
        <v>78269.156087034702</v>
      </c>
      <c r="F256" s="134">
        <v>287364545</v>
      </c>
      <c r="G256" s="117">
        <f t="shared" si="45"/>
        <v>51674.976622909548</v>
      </c>
      <c r="H256" s="7"/>
      <c r="I256" s="136">
        <v>7.9931999999999999</v>
      </c>
      <c r="J256" s="134">
        <v>2296962.2810939997</v>
      </c>
      <c r="K256" s="120">
        <f t="shared" si="46"/>
        <v>413.04842314224055</v>
      </c>
      <c r="L256" s="122">
        <f t="shared" si="39"/>
        <v>2873645.45</v>
      </c>
      <c r="M256" s="116">
        <f t="shared" si="40"/>
        <v>576683.16890600044</v>
      </c>
      <c r="N256" s="123">
        <f t="shared" si="41"/>
        <v>103.70134308685496</v>
      </c>
      <c r="O256" s="5"/>
      <c r="P256" s="5">
        <f t="shared" si="42"/>
        <v>1</v>
      </c>
      <c r="Q256" s="7">
        <f t="shared" si="43"/>
        <v>5561</v>
      </c>
      <c r="S256" s="124">
        <f>SUM(D256)</f>
        <v>435254777</v>
      </c>
      <c r="T256" s="124">
        <f>SUM(F256)</f>
        <v>287364545</v>
      </c>
      <c r="U256" s="124">
        <f>SUM(J256)</f>
        <v>2296962.2810939997</v>
      </c>
    </row>
    <row r="257" spans="1:21">
      <c r="A257" s="23" t="s">
        <v>283</v>
      </c>
      <c r="B257" s="35" t="s">
        <v>284</v>
      </c>
      <c r="C257" s="125">
        <v>51676</v>
      </c>
      <c r="D257" s="132">
        <v>4942729284</v>
      </c>
      <c r="E257" s="116">
        <f t="shared" si="44"/>
        <v>95648.449647805552</v>
      </c>
      <c r="F257" s="134">
        <v>3252697979</v>
      </c>
      <c r="G257" s="117">
        <f t="shared" si="45"/>
        <v>62944.074212400337</v>
      </c>
      <c r="H257" s="7"/>
      <c r="I257" s="136">
        <v>4.0376000000000003</v>
      </c>
      <c r="J257" s="134">
        <v>13133093.3600104</v>
      </c>
      <c r="K257" s="120">
        <f t="shared" si="46"/>
        <v>254.14299403998763</v>
      </c>
      <c r="L257" s="122">
        <f t="shared" si="39"/>
        <v>32526979.789999999</v>
      </c>
      <c r="M257" s="116">
        <f t="shared" si="40"/>
        <v>19393886.429989599</v>
      </c>
      <c r="N257" s="123">
        <f t="shared" si="41"/>
        <v>375.29774808401578</v>
      </c>
      <c r="O257" s="5"/>
      <c r="P257" s="5">
        <f t="shared" si="42"/>
        <v>1</v>
      </c>
      <c r="Q257" s="7">
        <f t="shared" si="43"/>
        <v>51676</v>
      </c>
    </row>
    <row r="258" spans="1:21">
      <c r="A258" s="23" t="s">
        <v>285</v>
      </c>
      <c r="B258" s="35" t="s">
        <v>284</v>
      </c>
      <c r="C258" s="125">
        <v>22</v>
      </c>
      <c r="D258" s="132">
        <v>9796709364</v>
      </c>
      <c r="E258" s="116">
        <f t="shared" si="44"/>
        <v>445304971.09090906</v>
      </c>
      <c r="F258" s="134">
        <v>8397510815</v>
      </c>
      <c r="G258" s="117">
        <f t="shared" si="45"/>
        <v>381705037.04545456</v>
      </c>
      <c r="H258" s="7"/>
      <c r="I258" s="136">
        <v>1.8384</v>
      </c>
      <c r="J258" s="134">
        <v>15437983.882296</v>
      </c>
      <c r="K258" s="120">
        <f t="shared" si="46"/>
        <v>701726.54010436358</v>
      </c>
      <c r="L258" s="122">
        <f t="shared" si="39"/>
        <v>83975108.150000006</v>
      </c>
      <c r="M258" s="116">
        <f t="shared" si="40"/>
        <v>68537124.26770401</v>
      </c>
      <c r="N258" s="123">
        <f t="shared" si="41"/>
        <v>3115323.8303501825</v>
      </c>
      <c r="O258" s="5"/>
      <c r="P258" s="5">
        <f t="shared" si="42"/>
        <v>1</v>
      </c>
      <c r="Q258" s="7">
        <f t="shared" si="43"/>
        <v>22</v>
      </c>
    </row>
    <row r="259" spans="1:21">
      <c r="A259" s="23" t="s">
        <v>286</v>
      </c>
      <c r="B259" s="35" t="s">
        <v>284</v>
      </c>
      <c r="C259" s="125">
        <v>6944</v>
      </c>
      <c r="D259" s="132">
        <v>1023797631</v>
      </c>
      <c r="E259" s="116">
        <f t="shared" si="44"/>
        <v>147436.29478686635</v>
      </c>
      <c r="F259" s="134">
        <v>730004392</v>
      </c>
      <c r="G259" s="117">
        <f t="shared" si="45"/>
        <v>105127.36059907834</v>
      </c>
      <c r="H259" s="7"/>
      <c r="I259" s="136">
        <v>4.4017999999999997</v>
      </c>
      <c r="J259" s="134">
        <v>3213333.3327055997</v>
      </c>
      <c r="K259" s="120">
        <f t="shared" si="46"/>
        <v>462.74961588502299</v>
      </c>
      <c r="L259" s="122">
        <f t="shared" si="39"/>
        <v>7300043.9199999999</v>
      </c>
      <c r="M259" s="116">
        <f t="shared" si="40"/>
        <v>4086710.5872944002</v>
      </c>
      <c r="N259" s="123">
        <f t="shared" si="41"/>
        <v>588.52399010576039</v>
      </c>
      <c r="O259" s="5"/>
      <c r="P259" s="5">
        <f t="shared" si="42"/>
        <v>1</v>
      </c>
      <c r="Q259" s="7">
        <f t="shared" si="43"/>
        <v>6944</v>
      </c>
    </row>
    <row r="260" spans="1:21">
      <c r="A260" s="23" t="s">
        <v>287</v>
      </c>
      <c r="B260" s="35" t="s">
        <v>284</v>
      </c>
      <c r="C260" s="125">
        <v>2323</v>
      </c>
      <c r="D260" s="132">
        <v>301315400</v>
      </c>
      <c r="E260" s="116">
        <f t="shared" si="44"/>
        <v>129709.59965561774</v>
      </c>
      <c r="F260" s="134">
        <v>220858299</v>
      </c>
      <c r="G260" s="117">
        <f t="shared" si="45"/>
        <v>95074.601377529063</v>
      </c>
      <c r="H260" s="7"/>
      <c r="I260" s="136">
        <v>7.2938000000000001</v>
      </c>
      <c r="J260" s="134">
        <v>1610896.2612462002</v>
      </c>
      <c r="K260" s="120">
        <f t="shared" si="46"/>
        <v>693.4551275274215</v>
      </c>
      <c r="L260" s="122">
        <f t="shared" si="39"/>
        <v>2208582.9900000002</v>
      </c>
      <c r="M260" s="116">
        <f t="shared" si="40"/>
        <v>597686.72875380004</v>
      </c>
      <c r="N260" s="123">
        <f t="shared" si="41"/>
        <v>257.29088624786914</v>
      </c>
      <c r="O260" s="5"/>
      <c r="P260" s="5">
        <f t="shared" si="42"/>
        <v>1</v>
      </c>
      <c r="Q260" s="7">
        <f t="shared" si="43"/>
        <v>2323</v>
      </c>
    </row>
    <row r="261" spans="1:21">
      <c r="A261" s="23" t="s">
        <v>288</v>
      </c>
      <c r="B261" s="35" t="s">
        <v>284</v>
      </c>
      <c r="C261" s="125">
        <v>2712</v>
      </c>
      <c r="D261" s="132">
        <v>462298043</v>
      </c>
      <c r="E261" s="116">
        <f t="shared" si="44"/>
        <v>170463.8801622419</v>
      </c>
      <c r="F261" s="134">
        <v>345027028</v>
      </c>
      <c r="G261" s="117">
        <f t="shared" si="45"/>
        <v>127222.35545722714</v>
      </c>
      <c r="H261" s="7"/>
      <c r="I261" s="136">
        <v>4.95</v>
      </c>
      <c r="J261" s="134">
        <v>1707883.7886000001</v>
      </c>
      <c r="K261" s="120">
        <f t="shared" si="46"/>
        <v>629.7506595132744</v>
      </c>
      <c r="L261" s="122">
        <f t="shared" si="39"/>
        <v>3450270.2800000003</v>
      </c>
      <c r="M261" s="116">
        <f t="shared" si="40"/>
        <v>1742386.4914000002</v>
      </c>
      <c r="N261" s="123">
        <f t="shared" si="41"/>
        <v>642.4728950589971</v>
      </c>
      <c r="O261" s="5"/>
      <c r="P261" s="5">
        <f t="shared" si="42"/>
        <v>1</v>
      </c>
      <c r="Q261" s="7">
        <f t="shared" si="43"/>
        <v>2712</v>
      </c>
    </row>
    <row r="262" spans="1:21">
      <c r="A262" s="23" t="s">
        <v>289</v>
      </c>
      <c r="B262" s="35" t="s">
        <v>284</v>
      </c>
      <c r="C262" s="125">
        <v>24</v>
      </c>
      <c r="D262" s="132">
        <v>3020128684</v>
      </c>
      <c r="E262" s="116">
        <f t="shared" si="44"/>
        <v>125838695.16666667</v>
      </c>
      <c r="F262" s="134">
        <v>2572714173</v>
      </c>
      <c r="G262" s="117">
        <f t="shared" si="45"/>
        <v>107196423.875</v>
      </c>
      <c r="H262" s="7"/>
      <c r="I262" s="136">
        <v>1.7018</v>
      </c>
      <c r="J262" s="134">
        <v>4378244.9796113996</v>
      </c>
      <c r="K262" s="120">
        <f t="shared" si="46"/>
        <v>182426.87415047499</v>
      </c>
      <c r="L262" s="122">
        <f t="shared" ref="L262:L326" si="47">(F262*0.01)</f>
        <v>25727141.73</v>
      </c>
      <c r="M262" s="116">
        <f t="shared" ref="M262:M326" si="48">(L262-J262)</f>
        <v>21348896.7503886</v>
      </c>
      <c r="N262" s="123">
        <f t="shared" ref="N262:N326" si="49">(M262/C262)</f>
        <v>889537.364599525</v>
      </c>
      <c r="O262" s="5"/>
      <c r="P262" s="5">
        <f t="shared" si="42"/>
        <v>1</v>
      </c>
      <c r="Q262" s="7">
        <f t="shared" si="43"/>
        <v>24</v>
      </c>
    </row>
    <row r="263" spans="1:21">
      <c r="A263" s="23" t="s">
        <v>290</v>
      </c>
      <c r="B263" s="35" t="s">
        <v>284</v>
      </c>
      <c r="C263" s="125">
        <v>18612</v>
      </c>
      <c r="D263" s="132">
        <v>3540473019</v>
      </c>
      <c r="E263" s="116">
        <f t="shared" si="44"/>
        <v>190225.28578336557</v>
      </c>
      <c r="F263" s="134">
        <v>2696394018</v>
      </c>
      <c r="G263" s="117">
        <f t="shared" si="45"/>
        <v>144873.95325596389</v>
      </c>
      <c r="H263" s="7"/>
      <c r="I263" s="136">
        <v>4.3452999999999999</v>
      </c>
      <c r="J263" s="134">
        <v>11716640.926415399</v>
      </c>
      <c r="K263" s="120">
        <f t="shared" si="46"/>
        <v>629.52078908313979</v>
      </c>
      <c r="L263" s="122">
        <f t="shared" si="47"/>
        <v>26963940.18</v>
      </c>
      <c r="M263" s="116">
        <f t="shared" si="48"/>
        <v>15247299.253584601</v>
      </c>
      <c r="N263" s="123">
        <f t="shared" si="49"/>
        <v>819.21874347649907</v>
      </c>
      <c r="O263" s="5"/>
      <c r="P263" s="5">
        <f t="shared" ref="P263:P327" si="50">IF(I263&gt;0,1,0)</f>
        <v>1</v>
      </c>
      <c r="Q263" s="7">
        <f t="shared" ref="Q263:Q327" si="51">IF(I263&gt;0,C263,0)</f>
        <v>18612</v>
      </c>
    </row>
    <row r="264" spans="1:21">
      <c r="A264" s="23" t="s">
        <v>291</v>
      </c>
      <c r="B264" s="35" t="s">
        <v>284</v>
      </c>
      <c r="C264" s="125">
        <v>3119</v>
      </c>
      <c r="D264" s="132">
        <v>374900536</v>
      </c>
      <c r="E264" s="116">
        <f t="shared" ref="E264:E280" si="52">(D264/C264)</f>
        <v>120198.95351074063</v>
      </c>
      <c r="F264" s="134">
        <v>265858839</v>
      </c>
      <c r="G264" s="117">
        <f t="shared" ref="G264:G280" si="53">(F264/C264)</f>
        <v>85238.486373837775</v>
      </c>
      <c r="H264" s="7"/>
      <c r="I264" s="136">
        <v>6.65</v>
      </c>
      <c r="J264" s="134">
        <v>1767961.2793500002</v>
      </c>
      <c r="K264" s="120">
        <f t="shared" ref="K264:K278" si="54">(J264/C264)</f>
        <v>566.83593438602122</v>
      </c>
      <c r="L264" s="122">
        <f t="shared" si="47"/>
        <v>2658588.39</v>
      </c>
      <c r="M264" s="116">
        <f t="shared" si="48"/>
        <v>890627.11064999993</v>
      </c>
      <c r="N264" s="123">
        <f t="shared" si="49"/>
        <v>285.54892935235648</v>
      </c>
      <c r="O264" s="5"/>
      <c r="P264" s="5">
        <f t="shared" si="50"/>
        <v>1</v>
      </c>
      <c r="Q264" s="7">
        <f t="shared" si="51"/>
        <v>3119</v>
      </c>
    </row>
    <row r="265" spans="1:21">
      <c r="A265" s="23" t="s">
        <v>292</v>
      </c>
      <c r="B265" s="35" t="s">
        <v>284</v>
      </c>
      <c r="C265" s="125">
        <v>45694</v>
      </c>
      <c r="D265" s="132">
        <v>4029487590</v>
      </c>
      <c r="E265" s="116">
        <f t="shared" si="52"/>
        <v>88184.172757911321</v>
      </c>
      <c r="F265" s="134">
        <v>2624489384</v>
      </c>
      <c r="G265" s="117">
        <f t="shared" si="53"/>
        <v>57436.192585459801</v>
      </c>
      <c r="H265" s="7"/>
      <c r="I265" s="136">
        <v>5.5</v>
      </c>
      <c r="J265" s="134">
        <v>14434691.612</v>
      </c>
      <c r="K265" s="120">
        <f t="shared" si="54"/>
        <v>315.8990592200289</v>
      </c>
      <c r="L265" s="122">
        <f t="shared" si="47"/>
        <v>26244893.84</v>
      </c>
      <c r="M265" s="116">
        <f t="shared" si="48"/>
        <v>11810202.228</v>
      </c>
      <c r="N265" s="123">
        <f t="shared" si="49"/>
        <v>258.46286663456908</v>
      </c>
      <c r="O265" s="5"/>
      <c r="P265" s="5">
        <f t="shared" si="50"/>
        <v>1</v>
      </c>
      <c r="Q265" s="7">
        <f t="shared" si="51"/>
        <v>45694</v>
      </c>
    </row>
    <row r="266" spans="1:21">
      <c r="A266" s="23" t="s">
        <v>293</v>
      </c>
      <c r="B266" s="35" t="s">
        <v>284</v>
      </c>
      <c r="C266" s="125">
        <v>285099</v>
      </c>
      <c r="D266" s="132">
        <v>50930142915</v>
      </c>
      <c r="E266" s="116">
        <f t="shared" si="52"/>
        <v>178640.20187724265</v>
      </c>
      <c r="F266" s="134">
        <v>30695313446</v>
      </c>
      <c r="G266" s="117">
        <f t="shared" si="53"/>
        <v>107665.45461751883</v>
      </c>
      <c r="H266" s="7"/>
      <c r="I266" s="136">
        <v>6.65</v>
      </c>
      <c r="J266" s="134">
        <v>204123834.41590002</v>
      </c>
      <c r="K266" s="120">
        <f t="shared" si="54"/>
        <v>715.97527320650022</v>
      </c>
      <c r="L266" s="122">
        <f t="shared" si="47"/>
        <v>306953134.45999998</v>
      </c>
      <c r="M266" s="116">
        <f t="shared" si="48"/>
        <v>102829300.04409996</v>
      </c>
      <c r="N266" s="123">
        <f t="shared" si="49"/>
        <v>360.67927296868794</v>
      </c>
      <c r="O266" s="5"/>
      <c r="P266" s="5">
        <f t="shared" si="50"/>
        <v>1</v>
      </c>
      <c r="Q266" s="7">
        <f t="shared" si="51"/>
        <v>285099</v>
      </c>
    </row>
    <row r="267" spans="1:21">
      <c r="A267" s="23" t="s">
        <v>294</v>
      </c>
      <c r="B267" s="35" t="s">
        <v>284</v>
      </c>
      <c r="C267" s="125">
        <v>2918</v>
      </c>
      <c r="D267" s="132">
        <v>887960512</v>
      </c>
      <c r="E267" s="116">
        <f t="shared" si="52"/>
        <v>304304.49348869087</v>
      </c>
      <c r="F267" s="134">
        <v>682059951</v>
      </c>
      <c r="G267" s="117">
        <f t="shared" si="53"/>
        <v>233742.27244688143</v>
      </c>
      <c r="H267" s="7"/>
      <c r="I267" s="136">
        <v>3.7425000000000002</v>
      </c>
      <c r="J267" s="134">
        <v>2552609.3666175003</v>
      </c>
      <c r="K267" s="120">
        <f t="shared" si="54"/>
        <v>874.78045463245383</v>
      </c>
      <c r="L267" s="122">
        <f t="shared" si="47"/>
        <v>6820599.5099999998</v>
      </c>
      <c r="M267" s="116">
        <f t="shared" si="48"/>
        <v>4267990.143382499</v>
      </c>
      <c r="N267" s="123">
        <f t="shared" si="49"/>
        <v>1462.6422698363601</v>
      </c>
      <c r="O267" s="5"/>
      <c r="P267" s="5">
        <f t="shared" si="50"/>
        <v>1</v>
      </c>
      <c r="Q267" s="7">
        <f t="shared" si="51"/>
        <v>2918</v>
      </c>
    </row>
    <row r="268" spans="1:21">
      <c r="A268" s="23" t="s">
        <v>295</v>
      </c>
      <c r="B268" s="35" t="s">
        <v>284</v>
      </c>
      <c r="C268" s="125">
        <v>44935</v>
      </c>
      <c r="D268" s="132">
        <v>4716144641</v>
      </c>
      <c r="E268" s="116">
        <f t="shared" si="52"/>
        <v>104954.81564482029</v>
      </c>
      <c r="F268" s="134">
        <v>3345814314</v>
      </c>
      <c r="G268" s="117">
        <f t="shared" si="53"/>
        <v>74458.981061533326</v>
      </c>
      <c r="H268" s="7"/>
      <c r="I268" s="136">
        <v>4.5</v>
      </c>
      <c r="J268" s="134">
        <v>15056164.413000001</v>
      </c>
      <c r="K268" s="120">
        <f t="shared" si="54"/>
        <v>335.06541477689996</v>
      </c>
      <c r="L268" s="122">
        <f t="shared" si="47"/>
        <v>33458143.140000001</v>
      </c>
      <c r="M268" s="116">
        <f t="shared" si="48"/>
        <v>18401978.726999998</v>
      </c>
      <c r="N268" s="123">
        <f t="shared" si="49"/>
        <v>409.52439583843324</v>
      </c>
      <c r="O268" s="5"/>
      <c r="P268" s="5">
        <f t="shared" si="50"/>
        <v>1</v>
      </c>
      <c r="Q268" s="7">
        <f t="shared" si="51"/>
        <v>44935</v>
      </c>
      <c r="S268" s="124"/>
      <c r="T268" s="124"/>
      <c r="U268" s="124"/>
    </row>
    <row r="269" spans="1:21">
      <c r="A269" s="23" t="s">
        <v>296</v>
      </c>
      <c r="B269" s="35" t="s">
        <v>284</v>
      </c>
      <c r="C269" s="125">
        <v>30212</v>
      </c>
      <c r="D269" s="132">
        <v>8154718970</v>
      </c>
      <c r="E269" s="116">
        <f t="shared" si="52"/>
        <v>269916.55534224812</v>
      </c>
      <c r="F269" s="134">
        <v>5676650662</v>
      </c>
      <c r="G269" s="117">
        <f t="shared" si="53"/>
        <v>187893.90513703163</v>
      </c>
      <c r="H269" s="7"/>
      <c r="I269" s="136">
        <v>4.0922999999999998</v>
      </c>
      <c r="J269" s="134">
        <v>23230557.504102599</v>
      </c>
      <c r="K269" s="120">
        <f t="shared" si="54"/>
        <v>768.91822799227452</v>
      </c>
      <c r="L269" s="122">
        <f t="shared" si="47"/>
        <v>56766506.620000005</v>
      </c>
      <c r="M269" s="116">
        <f t="shared" si="48"/>
        <v>33535949.115897406</v>
      </c>
      <c r="N269" s="123">
        <f t="shared" si="49"/>
        <v>1110.020823378042</v>
      </c>
      <c r="O269" s="5"/>
      <c r="P269" s="5">
        <f t="shared" si="50"/>
        <v>1</v>
      </c>
      <c r="Q269" s="7">
        <f t="shared" si="51"/>
        <v>30212</v>
      </c>
      <c r="S269" s="124">
        <f>SUM(D257:D269)</f>
        <v>92180806589</v>
      </c>
      <c r="T269" s="124">
        <f>SUM(F257:F269)</f>
        <v>61505393300</v>
      </c>
      <c r="U269" s="124">
        <f>SUM(J257:J269)</f>
        <v>312363895.12185508</v>
      </c>
    </row>
    <row r="270" spans="1:21">
      <c r="A270" s="24" t="s">
        <v>297</v>
      </c>
      <c r="B270" s="35" t="s">
        <v>298</v>
      </c>
      <c r="C270" s="125">
        <v>72369</v>
      </c>
      <c r="D270" s="132">
        <v>5203449395</v>
      </c>
      <c r="E270" s="116">
        <f t="shared" si="52"/>
        <v>71901.634608741311</v>
      </c>
      <c r="F270" s="134">
        <v>3274042918</v>
      </c>
      <c r="G270" s="117">
        <f t="shared" si="53"/>
        <v>45240.958393787398</v>
      </c>
      <c r="H270" s="7"/>
      <c r="I270" s="136">
        <v>4.6253000000000002</v>
      </c>
      <c r="J270" s="134">
        <v>15143430.7086254</v>
      </c>
      <c r="K270" s="120">
        <f t="shared" si="54"/>
        <v>209.25300485878483</v>
      </c>
      <c r="L270" s="122">
        <f t="shared" si="47"/>
        <v>32740429.18</v>
      </c>
      <c r="M270" s="116">
        <f t="shared" si="48"/>
        <v>17596998.471374601</v>
      </c>
      <c r="N270" s="123">
        <f t="shared" si="49"/>
        <v>243.15657907908914</v>
      </c>
      <c r="O270" s="5"/>
      <c r="P270" s="5">
        <f t="shared" si="50"/>
        <v>1</v>
      </c>
      <c r="Q270" s="7">
        <f t="shared" si="51"/>
        <v>72369</v>
      </c>
      <c r="S270" s="124"/>
      <c r="T270" s="124"/>
      <c r="U270" s="124"/>
    </row>
    <row r="271" spans="1:21">
      <c r="A271" s="23" t="s">
        <v>546</v>
      </c>
      <c r="B271" s="35" t="s">
        <v>298</v>
      </c>
      <c r="C271" s="125">
        <v>46519</v>
      </c>
      <c r="D271" s="132">
        <v>3710431258</v>
      </c>
      <c r="E271" s="116">
        <f t="shared" si="52"/>
        <v>79761.629828672158</v>
      </c>
      <c r="F271" s="134">
        <v>2045904259</v>
      </c>
      <c r="G271" s="117">
        <f t="shared" si="53"/>
        <v>43979.970743137215</v>
      </c>
      <c r="H271" s="7"/>
      <c r="I271" s="136">
        <v>5.1128</v>
      </c>
      <c r="J271" s="134">
        <v>10460299.295415198</v>
      </c>
      <c r="K271" s="120">
        <f t="shared" si="54"/>
        <v>224.86079441551192</v>
      </c>
      <c r="L271" s="122">
        <f t="shared" si="47"/>
        <v>20459042.59</v>
      </c>
      <c r="M271" s="116">
        <f t="shared" si="48"/>
        <v>9998743.2945848014</v>
      </c>
      <c r="N271" s="123">
        <f t="shared" si="49"/>
        <v>214.93891301586021</v>
      </c>
      <c r="O271" s="5"/>
      <c r="P271" s="5">
        <f t="shared" si="50"/>
        <v>1</v>
      </c>
      <c r="Q271" s="7">
        <f t="shared" si="51"/>
        <v>46519</v>
      </c>
      <c r="S271" s="124">
        <f>SUM(D270:D271)</f>
        <v>8913880653</v>
      </c>
      <c r="T271" s="124">
        <f>SUM(F270:F271)</f>
        <v>5319947177</v>
      </c>
      <c r="U271" s="124">
        <f>SUM(J270:J271)</f>
        <v>25603730.004040599</v>
      </c>
    </row>
    <row r="272" spans="1:21">
      <c r="A272" s="23" t="s">
        <v>299</v>
      </c>
      <c r="B272" s="35" t="s">
        <v>300</v>
      </c>
      <c r="C272" s="125">
        <v>2021</v>
      </c>
      <c r="D272" s="132">
        <v>610234614</v>
      </c>
      <c r="E272" s="116">
        <f t="shared" si="52"/>
        <v>301946.86491835723</v>
      </c>
      <c r="F272" s="134">
        <v>509208495</v>
      </c>
      <c r="G272" s="117">
        <f t="shared" si="53"/>
        <v>251958.68134586839</v>
      </c>
      <c r="H272" s="7"/>
      <c r="I272" s="136">
        <v>7.7180999999999997</v>
      </c>
      <c r="J272" s="134">
        <v>3930122.0852595</v>
      </c>
      <c r="K272" s="120">
        <f t="shared" si="54"/>
        <v>1944.6422984955468</v>
      </c>
      <c r="L272" s="122">
        <f t="shared" si="47"/>
        <v>5092084.95</v>
      </c>
      <c r="M272" s="116">
        <f t="shared" si="48"/>
        <v>1161962.8647405002</v>
      </c>
      <c r="N272" s="123">
        <f t="shared" si="49"/>
        <v>574.94451496313718</v>
      </c>
      <c r="O272" s="5"/>
      <c r="P272" s="5">
        <f t="shared" si="50"/>
        <v>1</v>
      </c>
      <c r="Q272" s="7">
        <f t="shared" si="51"/>
        <v>2021</v>
      </c>
    </row>
    <row r="273" spans="1:17">
      <c r="A273" s="23" t="s">
        <v>301</v>
      </c>
      <c r="B273" s="35" t="s">
        <v>300</v>
      </c>
      <c r="C273" s="125">
        <v>17589</v>
      </c>
      <c r="D273" s="132">
        <v>662164178</v>
      </c>
      <c r="E273" s="116">
        <f t="shared" si="52"/>
        <v>37646.493717664453</v>
      </c>
      <c r="F273" s="134">
        <v>336660884</v>
      </c>
      <c r="G273" s="117">
        <f t="shared" si="53"/>
        <v>19140.422081983059</v>
      </c>
      <c r="H273" s="9"/>
      <c r="I273" s="136">
        <v>6.5419</v>
      </c>
      <c r="J273" s="134">
        <v>2202401.8370396001</v>
      </c>
      <c r="K273" s="120">
        <f t="shared" si="54"/>
        <v>125.21472721812498</v>
      </c>
      <c r="L273" s="122">
        <f t="shared" si="47"/>
        <v>3366608.84</v>
      </c>
      <c r="M273" s="116">
        <f t="shared" si="48"/>
        <v>1164207.0029603997</v>
      </c>
      <c r="N273" s="123">
        <f t="shared" si="49"/>
        <v>66.189493601705593</v>
      </c>
      <c r="O273" s="5"/>
      <c r="P273" s="5">
        <f t="shared" si="50"/>
        <v>1</v>
      </c>
      <c r="Q273" s="7">
        <f t="shared" si="51"/>
        <v>17589</v>
      </c>
    </row>
    <row r="274" spans="1:17">
      <c r="A274" s="23" t="s">
        <v>302</v>
      </c>
      <c r="B274" s="35" t="s">
        <v>300</v>
      </c>
      <c r="C274" s="125">
        <v>93417</v>
      </c>
      <c r="D274" s="132">
        <v>31083177273</v>
      </c>
      <c r="E274" s="116">
        <f t="shared" si="52"/>
        <v>332735.76836121903</v>
      </c>
      <c r="F274" s="134">
        <v>23842292323</v>
      </c>
      <c r="G274" s="117">
        <f t="shared" si="53"/>
        <v>255224.34164017256</v>
      </c>
      <c r="H274" s="9"/>
      <c r="I274" s="136">
        <v>3.4689999999999999</v>
      </c>
      <c r="J274" s="134">
        <v>82708912.068487003</v>
      </c>
      <c r="K274" s="120">
        <f t="shared" si="54"/>
        <v>885.37324114975866</v>
      </c>
      <c r="L274" s="122">
        <f t="shared" si="47"/>
        <v>238422923.23000002</v>
      </c>
      <c r="M274" s="116">
        <f t="shared" si="48"/>
        <v>155714011.16151303</v>
      </c>
      <c r="N274" s="123">
        <f t="shared" si="49"/>
        <v>1666.8701752519673</v>
      </c>
      <c r="O274" s="5"/>
      <c r="P274" s="5">
        <f t="shared" si="50"/>
        <v>1</v>
      </c>
      <c r="Q274" s="7">
        <f t="shared" si="51"/>
        <v>93417</v>
      </c>
    </row>
    <row r="275" spans="1:17">
      <c r="A275" s="23" t="s">
        <v>303</v>
      </c>
      <c r="B275" s="35" t="s">
        <v>300</v>
      </c>
      <c r="C275" s="125">
        <v>76756</v>
      </c>
      <c r="D275" s="132">
        <v>8403469542</v>
      </c>
      <c r="E275" s="116">
        <f t="shared" si="52"/>
        <v>109482.9009067695</v>
      </c>
      <c r="F275" s="134">
        <v>5784638102</v>
      </c>
      <c r="G275" s="117">
        <f t="shared" si="53"/>
        <v>75363.985903382141</v>
      </c>
      <c r="H275" s="9"/>
      <c r="I275" s="136">
        <v>7.9</v>
      </c>
      <c r="J275" s="134">
        <v>45698641.005800001</v>
      </c>
      <c r="K275" s="120">
        <f t="shared" si="54"/>
        <v>595.37548863671896</v>
      </c>
      <c r="L275" s="122">
        <f t="shared" si="47"/>
        <v>57846381.020000003</v>
      </c>
      <c r="M275" s="116">
        <f t="shared" si="48"/>
        <v>12147740.014200002</v>
      </c>
      <c r="N275" s="123">
        <f t="shared" si="49"/>
        <v>158.26437039710254</v>
      </c>
      <c r="O275" s="5"/>
      <c r="P275" s="5">
        <f t="shared" si="50"/>
        <v>1</v>
      </c>
      <c r="Q275" s="7">
        <f t="shared" si="51"/>
        <v>76756</v>
      </c>
    </row>
    <row r="276" spans="1:17">
      <c r="A276" s="23" t="s">
        <v>304</v>
      </c>
      <c r="B276" s="35" t="s">
        <v>300</v>
      </c>
      <c r="C276" s="125">
        <v>610</v>
      </c>
      <c r="D276" s="147">
        <v>69585064</v>
      </c>
      <c r="E276" s="116">
        <f t="shared" si="52"/>
        <v>114073.87540983607</v>
      </c>
      <c r="F276" s="134">
        <v>49458817</v>
      </c>
      <c r="G276" s="117">
        <f t="shared" si="53"/>
        <v>81080.027868852456</v>
      </c>
      <c r="H276" s="98"/>
      <c r="I276" s="150">
        <v>10</v>
      </c>
      <c r="J276" s="134">
        <v>494588.17</v>
      </c>
      <c r="K276" s="120">
        <f t="shared" si="54"/>
        <v>810.8002786885246</v>
      </c>
      <c r="L276" s="122">
        <f t="shared" si="47"/>
        <v>494588.17</v>
      </c>
      <c r="M276" s="116">
        <f t="shared" si="48"/>
        <v>0</v>
      </c>
      <c r="N276" s="123">
        <f t="shared" si="49"/>
        <v>0</v>
      </c>
      <c r="O276" s="5"/>
      <c r="P276" s="5">
        <f t="shared" si="50"/>
        <v>1</v>
      </c>
      <c r="Q276" s="7">
        <f t="shared" si="51"/>
        <v>610</v>
      </c>
    </row>
    <row r="277" spans="1:17">
      <c r="A277" s="23" t="s">
        <v>305</v>
      </c>
      <c r="B277" s="35" t="s">
        <v>300</v>
      </c>
      <c r="C277" s="125">
        <v>137</v>
      </c>
      <c r="D277" s="132" t="s">
        <v>564</v>
      </c>
      <c r="E277" s="116"/>
      <c r="F277" s="134"/>
      <c r="G277" s="117"/>
      <c r="H277" s="9" t="s">
        <v>588</v>
      </c>
      <c r="I277" s="136"/>
      <c r="J277" s="134"/>
      <c r="K277" s="120"/>
      <c r="L277" s="122">
        <f t="shared" si="47"/>
        <v>0</v>
      </c>
      <c r="M277" s="116">
        <f t="shared" si="48"/>
        <v>0</v>
      </c>
      <c r="N277" s="123">
        <f t="shared" si="49"/>
        <v>0</v>
      </c>
      <c r="O277" s="5"/>
      <c r="P277" s="5">
        <f t="shared" si="50"/>
        <v>0</v>
      </c>
      <c r="Q277" s="7">
        <f t="shared" si="51"/>
        <v>0</v>
      </c>
    </row>
    <row r="278" spans="1:17">
      <c r="A278" s="23" t="s">
        <v>306</v>
      </c>
      <c r="B278" s="35" t="s">
        <v>300</v>
      </c>
      <c r="C278" s="125">
        <v>66580</v>
      </c>
      <c r="D278" s="147">
        <v>14077363797</v>
      </c>
      <c r="E278" s="116">
        <f t="shared" si="52"/>
        <v>211435.32287473715</v>
      </c>
      <c r="F278" s="134">
        <v>10415841153</v>
      </c>
      <c r="G278" s="117">
        <f t="shared" si="53"/>
        <v>156440.99058275757</v>
      </c>
      <c r="H278" s="98"/>
      <c r="I278" s="151">
        <v>6.7610999999999999</v>
      </c>
      <c r="J278" s="134">
        <v>70422543.619548291</v>
      </c>
      <c r="K278" s="120">
        <f t="shared" si="54"/>
        <v>1057.7131814290822</v>
      </c>
      <c r="L278" s="122">
        <f t="shared" si="47"/>
        <v>104158411.53</v>
      </c>
      <c r="M278" s="116">
        <f t="shared" si="48"/>
        <v>33735867.91045171</v>
      </c>
      <c r="N278" s="123">
        <f t="shared" si="49"/>
        <v>506.6967243984937</v>
      </c>
      <c r="O278" s="5"/>
      <c r="P278" s="5">
        <f t="shared" si="50"/>
        <v>1</v>
      </c>
      <c r="Q278" s="7">
        <f t="shared" si="51"/>
        <v>66580</v>
      </c>
    </row>
    <row r="279" spans="1:17">
      <c r="A279" s="23" t="s">
        <v>307</v>
      </c>
      <c r="B279" s="35" t="s">
        <v>300</v>
      </c>
      <c r="C279" s="125">
        <v>223</v>
      </c>
      <c r="D279" s="132" t="s">
        <v>564</v>
      </c>
      <c r="E279" s="116"/>
      <c r="F279" s="134"/>
      <c r="G279" s="117"/>
      <c r="H279" s="9" t="s">
        <v>588</v>
      </c>
      <c r="I279" s="136"/>
      <c r="J279" s="134"/>
      <c r="K279" s="120"/>
      <c r="L279" s="122">
        <f t="shared" si="47"/>
        <v>0</v>
      </c>
      <c r="M279" s="116">
        <f t="shared" si="48"/>
        <v>0</v>
      </c>
      <c r="N279" s="123">
        <f t="shared" si="49"/>
        <v>0</v>
      </c>
      <c r="O279" s="5"/>
      <c r="P279" s="5">
        <f t="shared" si="50"/>
        <v>0</v>
      </c>
      <c r="Q279" s="7">
        <f t="shared" si="51"/>
        <v>0</v>
      </c>
    </row>
    <row r="280" spans="1:17">
      <c r="A280" s="23" t="s">
        <v>308</v>
      </c>
      <c r="B280" s="35" t="s">
        <v>300</v>
      </c>
      <c r="C280" s="125">
        <v>257</v>
      </c>
      <c r="D280" s="132">
        <v>200681550</v>
      </c>
      <c r="E280" s="116">
        <f t="shared" si="52"/>
        <v>780862.06225680932</v>
      </c>
      <c r="F280" s="134">
        <v>164707698</v>
      </c>
      <c r="G280" s="117">
        <f t="shared" si="53"/>
        <v>640885.98443579767</v>
      </c>
      <c r="H280" s="7"/>
      <c r="I280" s="136">
        <v>6.3849</v>
      </c>
      <c r="J280" s="134">
        <v>1051642.1809602</v>
      </c>
      <c r="K280" s="120">
        <f t="shared" ref="K280:K343" si="55">(J280/C280)</f>
        <v>4091.9929220241247</v>
      </c>
      <c r="L280" s="122">
        <f t="shared" si="47"/>
        <v>1647076.98</v>
      </c>
      <c r="M280" s="116">
        <f t="shared" si="48"/>
        <v>595434.79903979995</v>
      </c>
      <c r="N280" s="123">
        <f t="shared" si="49"/>
        <v>2316.866922333852</v>
      </c>
      <c r="O280" s="5"/>
      <c r="P280" s="5">
        <f t="shared" si="50"/>
        <v>1</v>
      </c>
      <c r="Q280" s="7">
        <f t="shared" si="51"/>
        <v>257</v>
      </c>
    </row>
    <row r="281" spans="1:17">
      <c r="A281" s="23" t="s">
        <v>309</v>
      </c>
      <c r="B281" s="35" t="s">
        <v>300</v>
      </c>
      <c r="C281" s="125">
        <v>39568</v>
      </c>
      <c r="D281" s="132">
        <v>2995015246</v>
      </c>
      <c r="E281" s="116">
        <f t="shared" ref="E281:E343" si="56">(D281/C281)</f>
        <v>75692.86408208654</v>
      </c>
      <c r="F281" s="134">
        <v>1830329622</v>
      </c>
      <c r="G281" s="117">
        <f t="shared" ref="G281:G343" si="57">(F281/C281)</f>
        <v>46257.825060655072</v>
      </c>
      <c r="H281" s="7"/>
      <c r="I281" s="136">
        <v>6.4</v>
      </c>
      <c r="J281" s="134">
        <v>11714109.580800001</v>
      </c>
      <c r="K281" s="120">
        <f t="shared" si="55"/>
        <v>296.0500803881925</v>
      </c>
      <c r="L281" s="122">
        <f t="shared" si="47"/>
        <v>18303296.219999999</v>
      </c>
      <c r="M281" s="116">
        <f t="shared" si="48"/>
        <v>6589186.6391999982</v>
      </c>
      <c r="N281" s="123">
        <f t="shared" si="49"/>
        <v>166.52817021835821</v>
      </c>
      <c r="O281" s="5"/>
      <c r="P281" s="5">
        <f t="shared" si="50"/>
        <v>1</v>
      </c>
      <c r="Q281" s="7">
        <f t="shared" si="51"/>
        <v>39568</v>
      </c>
    </row>
    <row r="282" spans="1:17">
      <c r="A282" s="23" t="s">
        <v>310</v>
      </c>
      <c r="B282" s="35" t="s">
        <v>300</v>
      </c>
      <c r="C282" s="125">
        <v>1005</v>
      </c>
      <c r="D282" s="132">
        <v>1483564834</v>
      </c>
      <c r="E282" s="116">
        <f t="shared" si="56"/>
        <v>1476183.9144278606</v>
      </c>
      <c r="F282" s="134">
        <v>1134606911</v>
      </c>
      <c r="G282" s="117">
        <f t="shared" si="57"/>
        <v>1128962.1004975124</v>
      </c>
      <c r="H282" s="7"/>
      <c r="I282" s="136">
        <v>4.05</v>
      </c>
      <c r="J282" s="134">
        <v>4595157.9895500001</v>
      </c>
      <c r="K282" s="120">
        <f t="shared" si="55"/>
        <v>4572.2965070149257</v>
      </c>
      <c r="L282" s="122">
        <f t="shared" si="47"/>
        <v>11346069.109999999</v>
      </c>
      <c r="M282" s="116">
        <f t="shared" si="48"/>
        <v>6750911.1204499993</v>
      </c>
      <c r="N282" s="123">
        <f t="shared" si="49"/>
        <v>6717.3244979601986</v>
      </c>
      <c r="O282" s="5"/>
      <c r="P282" s="5">
        <f t="shared" si="50"/>
        <v>1</v>
      </c>
      <c r="Q282" s="7">
        <f t="shared" si="51"/>
        <v>1005</v>
      </c>
    </row>
    <row r="283" spans="1:17">
      <c r="A283" s="23" t="s">
        <v>311</v>
      </c>
      <c r="B283" s="35" t="s">
        <v>300</v>
      </c>
      <c r="C283" s="125">
        <v>2096</v>
      </c>
      <c r="D283" s="132">
        <v>160202564</v>
      </c>
      <c r="E283" s="116">
        <f t="shared" si="56"/>
        <v>76432.520992366408</v>
      </c>
      <c r="F283" s="134">
        <v>96965556</v>
      </c>
      <c r="G283" s="117">
        <f t="shared" si="57"/>
        <v>46262.192748091606</v>
      </c>
      <c r="H283" s="7"/>
      <c r="I283" s="136">
        <v>4.5</v>
      </c>
      <c r="J283" s="134">
        <v>436345.00199999998</v>
      </c>
      <c r="K283" s="120">
        <f t="shared" si="55"/>
        <v>208.1798673664122</v>
      </c>
      <c r="L283" s="122">
        <f t="shared" si="47"/>
        <v>969655.56</v>
      </c>
      <c r="M283" s="116">
        <f t="shared" si="48"/>
        <v>533310.55800000008</v>
      </c>
      <c r="N283" s="123">
        <f t="shared" si="49"/>
        <v>254.44206011450385</v>
      </c>
      <c r="O283" s="5"/>
      <c r="P283" s="5">
        <f t="shared" si="50"/>
        <v>1</v>
      </c>
      <c r="Q283" s="7">
        <f t="shared" si="51"/>
        <v>2096</v>
      </c>
    </row>
    <row r="284" spans="1:17">
      <c r="A284" s="23" t="s">
        <v>312</v>
      </c>
      <c r="B284" s="35" t="s">
        <v>300</v>
      </c>
      <c r="C284" s="125">
        <v>3654</v>
      </c>
      <c r="D284" s="132">
        <v>2952233584</v>
      </c>
      <c r="E284" s="116">
        <f t="shared" si="56"/>
        <v>807945.69896004384</v>
      </c>
      <c r="F284" s="134">
        <v>2483303248</v>
      </c>
      <c r="G284" s="117">
        <f t="shared" si="57"/>
        <v>679612.27367268747</v>
      </c>
      <c r="H284" s="7"/>
      <c r="I284" s="136">
        <v>3.1204000000000001</v>
      </c>
      <c r="J284" s="134">
        <v>7748899.4550592005</v>
      </c>
      <c r="K284" s="120">
        <f t="shared" si="55"/>
        <v>2120.662138768254</v>
      </c>
      <c r="L284" s="122">
        <f t="shared" si="47"/>
        <v>24833032.48</v>
      </c>
      <c r="M284" s="116">
        <f t="shared" si="48"/>
        <v>17084133.0249408</v>
      </c>
      <c r="N284" s="123">
        <f t="shared" si="49"/>
        <v>4675.4605979586204</v>
      </c>
      <c r="O284" s="5"/>
      <c r="P284" s="5">
        <f t="shared" si="50"/>
        <v>1</v>
      </c>
      <c r="Q284" s="7">
        <f t="shared" si="51"/>
        <v>3654</v>
      </c>
    </row>
    <row r="285" spans="1:17">
      <c r="A285" s="23" t="s">
        <v>313</v>
      </c>
      <c r="B285" s="35" t="s">
        <v>300</v>
      </c>
      <c r="C285" s="125">
        <v>2741</v>
      </c>
      <c r="D285" s="132">
        <v>467162791</v>
      </c>
      <c r="E285" s="116">
        <f t="shared" si="56"/>
        <v>170435.16636264138</v>
      </c>
      <c r="F285" s="134">
        <v>346358598</v>
      </c>
      <c r="G285" s="117">
        <f t="shared" si="57"/>
        <v>126362.12987960599</v>
      </c>
      <c r="H285" s="7"/>
      <c r="I285" s="136">
        <v>3.25</v>
      </c>
      <c r="J285" s="134">
        <v>1125665.4435000001</v>
      </c>
      <c r="K285" s="120">
        <f t="shared" si="55"/>
        <v>410.67692210871945</v>
      </c>
      <c r="L285" s="122">
        <f t="shared" si="47"/>
        <v>3463585.98</v>
      </c>
      <c r="M285" s="116">
        <f t="shared" si="48"/>
        <v>2337920.5364999999</v>
      </c>
      <c r="N285" s="123">
        <f t="shared" si="49"/>
        <v>852.94437668734031</v>
      </c>
      <c r="O285" s="5"/>
      <c r="P285" s="5">
        <f t="shared" si="50"/>
        <v>1</v>
      </c>
      <c r="Q285" s="7">
        <f t="shared" si="51"/>
        <v>2741</v>
      </c>
    </row>
    <row r="286" spans="1:17">
      <c r="A286" s="23" t="s">
        <v>314</v>
      </c>
      <c r="B286" s="35" t="s">
        <v>300</v>
      </c>
      <c r="C286" s="125">
        <v>3427</v>
      </c>
      <c r="D286" s="132">
        <v>1766874348</v>
      </c>
      <c r="E286" s="116">
        <f t="shared" si="56"/>
        <v>515574.65655091917</v>
      </c>
      <c r="F286" s="134">
        <v>1435328754</v>
      </c>
      <c r="G286" s="117">
        <f t="shared" si="57"/>
        <v>418829.51677852351</v>
      </c>
      <c r="H286" s="7"/>
      <c r="I286" s="136">
        <v>2.1</v>
      </c>
      <c r="J286" s="134">
        <v>3014190.3834000002</v>
      </c>
      <c r="K286" s="120">
        <f t="shared" si="55"/>
        <v>879.54198523489936</v>
      </c>
      <c r="L286" s="122">
        <f t="shared" si="47"/>
        <v>14353287.540000001</v>
      </c>
      <c r="M286" s="116">
        <f t="shared" si="48"/>
        <v>11339097.1566</v>
      </c>
      <c r="N286" s="123">
        <f t="shared" si="49"/>
        <v>3308.7531825503356</v>
      </c>
      <c r="O286" s="5"/>
      <c r="P286" s="5">
        <f t="shared" si="50"/>
        <v>1</v>
      </c>
      <c r="Q286" s="7">
        <f t="shared" si="51"/>
        <v>3427</v>
      </c>
    </row>
    <row r="287" spans="1:17">
      <c r="A287" s="23" t="s">
        <v>315</v>
      </c>
      <c r="B287" s="35" t="s">
        <v>300</v>
      </c>
      <c r="C287" s="125">
        <v>62100</v>
      </c>
      <c r="D287" s="132">
        <v>14328985208</v>
      </c>
      <c r="E287" s="116">
        <f t="shared" si="56"/>
        <v>230740.5025442834</v>
      </c>
      <c r="F287" s="134">
        <v>10847103239</v>
      </c>
      <c r="G287" s="117">
        <f t="shared" si="57"/>
        <v>174671.54974235105</v>
      </c>
      <c r="H287" s="7"/>
      <c r="I287" s="136">
        <v>2.4632999999999998</v>
      </c>
      <c r="J287" s="134">
        <v>26719669.408628695</v>
      </c>
      <c r="K287" s="120">
        <f t="shared" si="55"/>
        <v>430.26842848033323</v>
      </c>
      <c r="L287" s="122">
        <f t="shared" si="47"/>
        <v>108471032.39</v>
      </c>
      <c r="M287" s="116">
        <f t="shared" si="48"/>
        <v>81751362.981371313</v>
      </c>
      <c r="N287" s="123">
        <f t="shared" si="49"/>
        <v>1316.4470689431773</v>
      </c>
      <c r="O287" s="5"/>
      <c r="P287" s="5">
        <f t="shared" si="50"/>
        <v>1</v>
      </c>
      <c r="Q287" s="7">
        <f t="shared" si="51"/>
        <v>62100</v>
      </c>
    </row>
    <row r="288" spans="1:17">
      <c r="A288" s="23" t="s">
        <v>316</v>
      </c>
      <c r="B288" s="35" t="s">
        <v>300</v>
      </c>
      <c r="C288" s="125">
        <v>409</v>
      </c>
      <c r="D288" s="132">
        <v>472830736</v>
      </c>
      <c r="E288" s="116">
        <f t="shared" si="56"/>
        <v>1156065.3691931539</v>
      </c>
      <c r="F288" s="134">
        <v>343417378</v>
      </c>
      <c r="G288" s="117">
        <f t="shared" si="57"/>
        <v>839651.29095354525</v>
      </c>
      <c r="H288" s="7"/>
      <c r="I288" s="136">
        <v>4.9000000000000004</v>
      </c>
      <c r="J288" s="134">
        <v>1682745.1522000001</v>
      </c>
      <c r="K288" s="120">
        <f t="shared" si="55"/>
        <v>4114.2913256723723</v>
      </c>
      <c r="L288" s="122">
        <f t="shared" si="47"/>
        <v>3434173.7800000003</v>
      </c>
      <c r="M288" s="116">
        <f t="shared" si="48"/>
        <v>1751428.6278000001</v>
      </c>
      <c r="N288" s="123">
        <f t="shared" si="49"/>
        <v>4282.2215838630809</v>
      </c>
      <c r="O288" s="5"/>
      <c r="P288" s="5">
        <f t="shared" si="50"/>
        <v>1</v>
      </c>
      <c r="Q288" s="7">
        <f t="shared" si="51"/>
        <v>409</v>
      </c>
    </row>
    <row r="289" spans="1:17">
      <c r="A289" s="23" t="s">
        <v>317</v>
      </c>
      <c r="B289" s="35" t="s">
        <v>300</v>
      </c>
      <c r="C289" s="125">
        <v>3422</v>
      </c>
      <c r="D289" s="132">
        <v>434306397</v>
      </c>
      <c r="E289" s="116">
        <f t="shared" si="56"/>
        <v>126915.95470485097</v>
      </c>
      <c r="F289" s="134">
        <v>257269252</v>
      </c>
      <c r="G289" s="117">
        <f t="shared" si="57"/>
        <v>75180.962010520161</v>
      </c>
      <c r="H289" s="7"/>
      <c r="I289" s="136">
        <v>6.2797999999999998</v>
      </c>
      <c r="J289" s="134">
        <v>1615599.4487095999</v>
      </c>
      <c r="K289" s="120">
        <f t="shared" si="55"/>
        <v>472.12140523366452</v>
      </c>
      <c r="L289" s="122">
        <f t="shared" si="47"/>
        <v>2572692.52</v>
      </c>
      <c r="M289" s="116">
        <f t="shared" si="48"/>
        <v>957093.07129040011</v>
      </c>
      <c r="N289" s="123">
        <f t="shared" si="49"/>
        <v>279.68821487153713</v>
      </c>
      <c r="O289" s="5"/>
      <c r="P289" s="5">
        <f t="shared" si="50"/>
        <v>1</v>
      </c>
      <c r="Q289" s="7">
        <f t="shared" si="51"/>
        <v>3422</v>
      </c>
    </row>
    <row r="290" spans="1:17">
      <c r="A290" s="23" t="s">
        <v>318</v>
      </c>
      <c r="B290" s="35" t="s">
        <v>300</v>
      </c>
      <c r="C290" s="125">
        <v>8829</v>
      </c>
      <c r="D290" s="132">
        <v>906499052</v>
      </c>
      <c r="E290" s="116">
        <f t="shared" si="56"/>
        <v>102672.90202740967</v>
      </c>
      <c r="F290" s="134">
        <v>665642357</v>
      </c>
      <c r="G290" s="117">
        <f t="shared" si="57"/>
        <v>75392.723638011099</v>
      </c>
      <c r="H290" s="7"/>
      <c r="I290" s="136">
        <v>5.3474000000000004</v>
      </c>
      <c r="J290" s="134">
        <v>3559455.9398218002</v>
      </c>
      <c r="K290" s="120">
        <f t="shared" si="55"/>
        <v>403.15505038190059</v>
      </c>
      <c r="L290" s="122">
        <f t="shared" si="47"/>
        <v>6656423.5700000003</v>
      </c>
      <c r="M290" s="116">
        <f t="shared" si="48"/>
        <v>3096967.6301782001</v>
      </c>
      <c r="N290" s="123">
        <f t="shared" si="49"/>
        <v>350.77218599821043</v>
      </c>
      <c r="O290" s="5"/>
      <c r="P290" s="5">
        <f t="shared" si="50"/>
        <v>1</v>
      </c>
      <c r="Q290" s="7">
        <f t="shared" si="51"/>
        <v>8829</v>
      </c>
    </row>
    <row r="291" spans="1:17">
      <c r="A291" s="24" t="s">
        <v>628</v>
      </c>
      <c r="B291" s="35" t="s">
        <v>300</v>
      </c>
      <c r="C291" s="125">
        <v>38257</v>
      </c>
      <c r="D291" s="132">
        <v>2900668745</v>
      </c>
      <c r="E291" s="116">
        <f t="shared" si="56"/>
        <v>75820.601327861572</v>
      </c>
      <c r="F291" s="134">
        <v>1811282872</v>
      </c>
      <c r="G291" s="117">
        <f t="shared" si="57"/>
        <v>47345.1361058107</v>
      </c>
      <c r="H291" s="7"/>
      <c r="I291" s="136">
        <v>5.4945000000000004</v>
      </c>
      <c r="J291" s="134">
        <v>9952093.7402040008</v>
      </c>
      <c r="K291" s="120">
        <f t="shared" si="55"/>
        <v>260.13785033337695</v>
      </c>
      <c r="L291" s="122">
        <f t="shared" si="47"/>
        <v>18112828.719999999</v>
      </c>
      <c r="M291" s="116">
        <f t="shared" si="48"/>
        <v>8160734.979795998</v>
      </c>
      <c r="N291" s="123">
        <f t="shared" si="49"/>
        <v>213.31351072473007</v>
      </c>
      <c r="O291" s="5"/>
      <c r="P291" s="5">
        <f t="shared" si="50"/>
        <v>1</v>
      </c>
      <c r="Q291" s="7">
        <f t="shared" si="51"/>
        <v>38257</v>
      </c>
    </row>
    <row r="292" spans="1:17">
      <c r="A292" s="23" t="s">
        <v>319</v>
      </c>
      <c r="B292" s="35" t="s">
        <v>300</v>
      </c>
      <c r="C292" s="125">
        <v>11397</v>
      </c>
      <c r="D292" s="132">
        <v>1507263756</v>
      </c>
      <c r="E292" s="116">
        <f t="shared" si="56"/>
        <v>132250.92182153199</v>
      </c>
      <c r="F292" s="134">
        <v>1036465711</v>
      </c>
      <c r="G292" s="117">
        <f t="shared" si="57"/>
        <v>90941.976923751863</v>
      </c>
      <c r="H292" s="9"/>
      <c r="I292" s="136">
        <v>3.5</v>
      </c>
      <c r="J292" s="134">
        <v>3627629.9885</v>
      </c>
      <c r="K292" s="120">
        <f t="shared" si="55"/>
        <v>318.29691923313152</v>
      </c>
      <c r="L292" s="122">
        <f t="shared" si="47"/>
        <v>10364657.109999999</v>
      </c>
      <c r="M292" s="116">
        <f t="shared" si="48"/>
        <v>6737027.1214999994</v>
      </c>
      <c r="N292" s="123">
        <f t="shared" si="49"/>
        <v>591.12285000438703</v>
      </c>
      <c r="O292" s="5"/>
      <c r="P292" s="5">
        <f t="shared" si="50"/>
        <v>1</v>
      </c>
      <c r="Q292" s="7">
        <f t="shared" si="51"/>
        <v>11397</v>
      </c>
    </row>
    <row r="293" spans="1:17">
      <c r="A293" s="23" t="s">
        <v>531</v>
      </c>
      <c r="B293" s="35" t="s">
        <v>300</v>
      </c>
      <c r="C293" s="125">
        <v>3384</v>
      </c>
      <c r="D293" s="132">
        <v>650708552</v>
      </c>
      <c r="E293" s="116">
        <f t="shared" si="56"/>
        <v>192289.76122931443</v>
      </c>
      <c r="F293" s="134">
        <v>313290118</v>
      </c>
      <c r="G293" s="117">
        <f t="shared" si="57"/>
        <v>92579.822104018909</v>
      </c>
      <c r="H293" s="7"/>
      <c r="I293" s="136">
        <v>3</v>
      </c>
      <c r="J293" s="134">
        <v>939870.35400000005</v>
      </c>
      <c r="K293" s="120">
        <f t="shared" si="55"/>
        <v>277.73946631205678</v>
      </c>
      <c r="L293" s="122">
        <f t="shared" si="47"/>
        <v>3132901.18</v>
      </c>
      <c r="M293" s="116">
        <f t="shared" si="48"/>
        <v>2193030.8260000004</v>
      </c>
      <c r="N293" s="123">
        <f t="shared" si="49"/>
        <v>648.0587547281325</v>
      </c>
      <c r="O293" s="5"/>
      <c r="P293" s="5">
        <f t="shared" si="50"/>
        <v>1</v>
      </c>
      <c r="Q293" s="7">
        <f t="shared" si="51"/>
        <v>3384</v>
      </c>
    </row>
    <row r="294" spans="1:17">
      <c r="A294" s="23" t="s">
        <v>320</v>
      </c>
      <c r="B294" s="35" t="s">
        <v>300</v>
      </c>
      <c r="C294" s="125">
        <v>425</v>
      </c>
      <c r="D294" s="132">
        <v>1625161123</v>
      </c>
      <c r="E294" s="116">
        <f t="shared" si="56"/>
        <v>3823908.5247058822</v>
      </c>
      <c r="F294" s="134">
        <v>1353365767</v>
      </c>
      <c r="G294" s="117">
        <f t="shared" si="57"/>
        <v>3184390.04</v>
      </c>
      <c r="H294" s="7"/>
      <c r="I294" s="157">
        <v>3.028</v>
      </c>
      <c r="J294" s="134">
        <v>4097991.5424759998</v>
      </c>
      <c r="K294" s="120">
        <f t="shared" si="55"/>
        <v>9642.3330411200004</v>
      </c>
      <c r="L294" s="122">
        <f t="shared" si="47"/>
        <v>13533657.67</v>
      </c>
      <c r="M294" s="116">
        <f t="shared" si="48"/>
        <v>9435666.1275239997</v>
      </c>
      <c r="N294" s="123">
        <f t="shared" si="49"/>
        <v>22201.567358879998</v>
      </c>
      <c r="O294" s="5"/>
      <c r="P294" s="5">
        <f t="shared" si="50"/>
        <v>1</v>
      </c>
      <c r="Q294" s="7">
        <f t="shared" si="51"/>
        <v>425</v>
      </c>
    </row>
    <row r="295" spans="1:17">
      <c r="A295" s="23" t="s">
        <v>321</v>
      </c>
      <c r="B295" s="35" t="s">
        <v>300</v>
      </c>
      <c r="C295" s="125">
        <v>2045</v>
      </c>
      <c r="D295" s="132">
        <v>244937599</v>
      </c>
      <c r="E295" s="116">
        <f t="shared" si="56"/>
        <v>119773.8870415648</v>
      </c>
      <c r="F295" s="134">
        <v>196047614</v>
      </c>
      <c r="G295" s="117">
        <f t="shared" si="57"/>
        <v>95866.803911980445</v>
      </c>
      <c r="H295" s="7"/>
      <c r="I295" s="136">
        <v>9.8000000000000007</v>
      </c>
      <c r="J295" s="134">
        <v>1921266.6172</v>
      </c>
      <c r="K295" s="120">
        <f t="shared" si="55"/>
        <v>939.49467833740835</v>
      </c>
      <c r="L295" s="122">
        <f t="shared" si="47"/>
        <v>1960476.1400000001</v>
      </c>
      <c r="M295" s="116">
        <f t="shared" si="48"/>
        <v>39209.522800000152</v>
      </c>
      <c r="N295" s="123">
        <f t="shared" si="49"/>
        <v>19.173360782396163</v>
      </c>
      <c r="O295" s="5"/>
      <c r="P295" s="5">
        <f t="shared" si="50"/>
        <v>1</v>
      </c>
      <c r="Q295" s="7">
        <f t="shared" si="51"/>
        <v>2045</v>
      </c>
    </row>
    <row r="296" spans="1:17">
      <c r="A296" s="23" t="s">
        <v>322</v>
      </c>
      <c r="B296" s="35" t="s">
        <v>300</v>
      </c>
      <c r="C296" s="125">
        <v>12596</v>
      </c>
      <c r="D296" s="132">
        <v>3141877306</v>
      </c>
      <c r="E296" s="116">
        <f t="shared" si="56"/>
        <v>249434.52731025722</v>
      </c>
      <c r="F296" s="134">
        <v>2233205100</v>
      </c>
      <c r="G296" s="117">
        <f t="shared" si="57"/>
        <v>177294.78405843125</v>
      </c>
      <c r="H296" s="7"/>
      <c r="I296" s="136">
        <v>7.5</v>
      </c>
      <c r="J296" s="134">
        <v>16749038.25</v>
      </c>
      <c r="K296" s="120">
        <f t="shared" si="55"/>
        <v>1329.7108804382344</v>
      </c>
      <c r="L296" s="122">
        <f t="shared" si="47"/>
        <v>22332051</v>
      </c>
      <c r="M296" s="116">
        <f t="shared" si="48"/>
        <v>5583012.75</v>
      </c>
      <c r="N296" s="123">
        <f t="shared" si="49"/>
        <v>443.2369601460781</v>
      </c>
      <c r="O296" s="5"/>
      <c r="P296" s="5">
        <f t="shared" si="50"/>
        <v>1</v>
      </c>
      <c r="Q296" s="7">
        <f t="shared" si="51"/>
        <v>12596</v>
      </c>
    </row>
    <row r="297" spans="1:17">
      <c r="A297" s="23" t="s">
        <v>323</v>
      </c>
      <c r="B297" s="35" t="s">
        <v>300</v>
      </c>
      <c r="C297" s="125">
        <v>1827</v>
      </c>
      <c r="D297" s="132">
        <v>1294595283</v>
      </c>
      <c r="E297" s="116">
        <f t="shared" si="56"/>
        <v>708590.74055829225</v>
      </c>
      <c r="F297" s="134">
        <v>995897302</v>
      </c>
      <c r="G297" s="117">
        <f t="shared" si="57"/>
        <v>545099.78215654078</v>
      </c>
      <c r="H297" s="9"/>
      <c r="I297" s="136">
        <v>5.35</v>
      </c>
      <c r="J297" s="134">
        <v>5328050.5657000002</v>
      </c>
      <c r="K297" s="120">
        <f t="shared" si="55"/>
        <v>2916.283834537493</v>
      </c>
      <c r="L297" s="122">
        <f t="shared" si="47"/>
        <v>9958973.0199999996</v>
      </c>
      <c r="M297" s="116">
        <f t="shared" si="48"/>
        <v>4630922.4542999994</v>
      </c>
      <c r="N297" s="123">
        <f t="shared" si="49"/>
        <v>2534.7139870279143</v>
      </c>
      <c r="O297" s="5"/>
      <c r="P297" s="5">
        <f t="shared" si="50"/>
        <v>1</v>
      </c>
      <c r="Q297" s="7">
        <f t="shared" si="51"/>
        <v>1827</v>
      </c>
    </row>
    <row r="298" spans="1:17">
      <c r="A298" s="23" t="s">
        <v>324</v>
      </c>
      <c r="B298" s="35" t="s">
        <v>300</v>
      </c>
      <c r="C298" s="125">
        <v>5909</v>
      </c>
      <c r="D298" s="132">
        <v>229890798</v>
      </c>
      <c r="E298" s="116">
        <f t="shared" si="56"/>
        <v>38905.195126078863</v>
      </c>
      <c r="F298" s="134">
        <v>85556063</v>
      </c>
      <c r="G298" s="117">
        <f t="shared" si="57"/>
        <v>14478.941106786258</v>
      </c>
      <c r="H298" s="7"/>
      <c r="I298" s="136">
        <v>6.5419</v>
      </c>
      <c r="J298" s="134">
        <v>559699.20853970002</v>
      </c>
      <c r="K298" s="120">
        <f t="shared" si="55"/>
        <v>94.719784826485025</v>
      </c>
      <c r="L298" s="122">
        <f t="shared" si="47"/>
        <v>855560.63</v>
      </c>
      <c r="M298" s="116">
        <f t="shared" si="48"/>
        <v>295861.42146029999</v>
      </c>
      <c r="N298" s="123">
        <f t="shared" si="49"/>
        <v>50.069626241377556</v>
      </c>
      <c r="O298" s="5"/>
      <c r="P298" s="5">
        <f t="shared" si="50"/>
        <v>1</v>
      </c>
      <c r="Q298" s="7">
        <f t="shared" si="51"/>
        <v>5909</v>
      </c>
    </row>
    <row r="299" spans="1:17">
      <c r="A299" s="23" t="s">
        <v>300</v>
      </c>
      <c r="B299" s="35" t="s">
        <v>300</v>
      </c>
      <c r="C299" s="125">
        <v>8295</v>
      </c>
      <c r="D299" s="132">
        <v>23575994017</v>
      </c>
      <c r="E299" s="116">
        <f t="shared" si="56"/>
        <v>2842193.3715491258</v>
      </c>
      <c r="F299" s="134">
        <v>18150321468</v>
      </c>
      <c r="G299" s="117">
        <f t="shared" si="57"/>
        <v>2188103.8538878844</v>
      </c>
      <c r="H299" s="7"/>
      <c r="I299" s="136">
        <v>3.1349999999999998</v>
      </c>
      <c r="J299" s="134">
        <v>56901257.802179992</v>
      </c>
      <c r="K299" s="120">
        <f t="shared" si="55"/>
        <v>6859.7055819385159</v>
      </c>
      <c r="L299" s="122">
        <f t="shared" si="47"/>
        <v>181503214.68000001</v>
      </c>
      <c r="M299" s="116">
        <f t="shared" si="48"/>
        <v>124601956.87782001</v>
      </c>
      <c r="N299" s="123">
        <f t="shared" si="49"/>
        <v>15021.332956940327</v>
      </c>
      <c r="O299" s="5"/>
      <c r="P299" s="5">
        <f t="shared" si="50"/>
        <v>1</v>
      </c>
      <c r="Q299" s="7">
        <f t="shared" si="51"/>
        <v>8295</v>
      </c>
    </row>
    <row r="300" spans="1:17">
      <c r="A300" s="23" t="s">
        <v>325</v>
      </c>
      <c r="B300" s="35" t="s">
        <v>300</v>
      </c>
      <c r="C300" s="125">
        <v>53800</v>
      </c>
      <c r="D300" s="132">
        <v>14779198726</v>
      </c>
      <c r="E300" s="116">
        <f t="shared" si="56"/>
        <v>274706.29602230486</v>
      </c>
      <c r="F300" s="134">
        <v>11510691019</v>
      </c>
      <c r="G300" s="117">
        <f t="shared" si="57"/>
        <v>213953.36466542751</v>
      </c>
      <c r="H300" s="7"/>
      <c r="I300" s="136">
        <v>5.55</v>
      </c>
      <c r="J300" s="134">
        <v>63884335.155449994</v>
      </c>
      <c r="K300" s="120">
        <f t="shared" si="55"/>
        <v>1187.4411738931226</v>
      </c>
      <c r="L300" s="122">
        <f t="shared" si="47"/>
        <v>115106910.19</v>
      </c>
      <c r="M300" s="116">
        <f t="shared" si="48"/>
        <v>51222575.034550004</v>
      </c>
      <c r="N300" s="123">
        <f t="shared" si="49"/>
        <v>952.09247276115252</v>
      </c>
      <c r="O300" s="5"/>
      <c r="P300" s="5">
        <f t="shared" si="50"/>
        <v>1</v>
      </c>
      <c r="Q300" s="7">
        <f t="shared" si="51"/>
        <v>53800</v>
      </c>
    </row>
    <row r="301" spans="1:17">
      <c r="A301" s="23" t="s">
        <v>326</v>
      </c>
      <c r="B301" s="35" t="s">
        <v>300</v>
      </c>
      <c r="C301" s="125">
        <v>1217</v>
      </c>
      <c r="D301" s="132">
        <v>700790827</v>
      </c>
      <c r="E301" s="116">
        <f t="shared" si="56"/>
        <v>575834.69761709124</v>
      </c>
      <c r="F301" s="134">
        <v>608837634</v>
      </c>
      <c r="G301" s="117">
        <f t="shared" si="57"/>
        <v>500277.43138866063</v>
      </c>
      <c r="H301" s="9"/>
      <c r="I301" s="136">
        <v>6.35</v>
      </c>
      <c r="J301" s="134">
        <v>3866118.9758999995</v>
      </c>
      <c r="K301" s="120">
        <f t="shared" si="55"/>
        <v>3176.7616893179948</v>
      </c>
      <c r="L301" s="122">
        <f t="shared" si="47"/>
        <v>6088376.3399999999</v>
      </c>
      <c r="M301" s="116">
        <f t="shared" si="48"/>
        <v>2222257.3641000004</v>
      </c>
      <c r="N301" s="123">
        <f t="shared" si="49"/>
        <v>1826.0126245686117</v>
      </c>
      <c r="O301" s="5"/>
      <c r="P301" s="5">
        <f t="shared" si="50"/>
        <v>1</v>
      </c>
      <c r="Q301" s="7">
        <f t="shared" si="51"/>
        <v>1217</v>
      </c>
    </row>
    <row r="302" spans="1:17">
      <c r="A302" s="23" t="s">
        <v>327</v>
      </c>
      <c r="B302" s="35" t="s">
        <v>300</v>
      </c>
      <c r="C302" s="125">
        <v>23448</v>
      </c>
      <c r="D302" s="132">
        <v>1877857346</v>
      </c>
      <c r="E302" s="116">
        <f t="shared" si="56"/>
        <v>80086.034885704532</v>
      </c>
      <c r="F302" s="134">
        <v>1222701106</v>
      </c>
      <c r="G302" s="117">
        <f t="shared" si="57"/>
        <v>52145.219464346643</v>
      </c>
      <c r="H302" s="7"/>
      <c r="I302" s="136">
        <v>3.5</v>
      </c>
      <c r="J302" s="134">
        <v>4279453.8710000003</v>
      </c>
      <c r="K302" s="120">
        <f t="shared" si="55"/>
        <v>182.50826812521325</v>
      </c>
      <c r="L302" s="122">
        <f t="shared" si="47"/>
        <v>12227011.060000001</v>
      </c>
      <c r="M302" s="116">
        <f t="shared" si="48"/>
        <v>7947557.1890000002</v>
      </c>
      <c r="N302" s="123">
        <f t="shared" si="49"/>
        <v>338.94392651825319</v>
      </c>
      <c r="O302" s="5"/>
      <c r="P302" s="5">
        <f t="shared" si="50"/>
        <v>1</v>
      </c>
      <c r="Q302" s="7">
        <f t="shared" si="51"/>
        <v>23448</v>
      </c>
    </row>
    <row r="303" spans="1:17">
      <c r="A303" s="23" t="s">
        <v>328</v>
      </c>
      <c r="B303" s="35" t="s">
        <v>300</v>
      </c>
      <c r="C303" s="125">
        <v>35431</v>
      </c>
      <c r="D303" s="132">
        <v>6941817671</v>
      </c>
      <c r="E303" s="116">
        <f t="shared" si="56"/>
        <v>195924.97166323278</v>
      </c>
      <c r="F303" s="134">
        <v>5266001048</v>
      </c>
      <c r="G303" s="117">
        <f t="shared" si="57"/>
        <v>148626.93821794473</v>
      </c>
      <c r="H303" s="7"/>
      <c r="I303" s="136">
        <v>8.452</v>
      </c>
      <c r="J303" s="134">
        <v>44508240.857695997</v>
      </c>
      <c r="K303" s="120">
        <f t="shared" si="55"/>
        <v>1256.1948818180688</v>
      </c>
      <c r="L303" s="122">
        <f t="shared" si="47"/>
        <v>52660010.480000004</v>
      </c>
      <c r="M303" s="116">
        <f t="shared" si="48"/>
        <v>8151769.6223040074</v>
      </c>
      <c r="N303" s="123">
        <f t="shared" si="49"/>
        <v>230.07450036137865</v>
      </c>
      <c r="O303" s="5"/>
      <c r="P303" s="5">
        <f t="shared" si="50"/>
        <v>1</v>
      </c>
      <c r="Q303" s="7">
        <f t="shared" si="51"/>
        <v>35431</v>
      </c>
    </row>
    <row r="304" spans="1:17">
      <c r="A304" s="23" t="s">
        <v>329</v>
      </c>
      <c r="B304" s="35" t="s">
        <v>300</v>
      </c>
      <c r="C304" s="125">
        <v>37934</v>
      </c>
      <c r="D304" s="132">
        <v>4283660317</v>
      </c>
      <c r="E304" s="116">
        <f t="shared" si="56"/>
        <v>112924.03429640955</v>
      </c>
      <c r="F304" s="134">
        <v>2850239327</v>
      </c>
      <c r="G304" s="117">
        <f t="shared" si="57"/>
        <v>75136.798834818372</v>
      </c>
      <c r="H304" s="7"/>
      <c r="I304" s="136">
        <v>1.92</v>
      </c>
      <c r="J304" s="134">
        <v>5472459.5078400001</v>
      </c>
      <c r="K304" s="120">
        <f t="shared" si="55"/>
        <v>144.26265376285127</v>
      </c>
      <c r="L304" s="122">
        <f t="shared" si="47"/>
        <v>28502393.27</v>
      </c>
      <c r="M304" s="116">
        <f t="shared" si="48"/>
        <v>23029933.762159999</v>
      </c>
      <c r="N304" s="123">
        <f t="shared" si="49"/>
        <v>607.10533458533246</v>
      </c>
      <c r="O304" s="5"/>
      <c r="P304" s="5">
        <f t="shared" si="50"/>
        <v>1</v>
      </c>
      <c r="Q304" s="7">
        <f t="shared" si="51"/>
        <v>37934</v>
      </c>
    </row>
    <row r="305" spans="1:21">
      <c r="A305" s="23" t="s">
        <v>330</v>
      </c>
      <c r="B305" s="35" t="s">
        <v>300</v>
      </c>
      <c r="C305" s="125">
        <v>5174</v>
      </c>
      <c r="D305" s="132">
        <v>164519873</v>
      </c>
      <c r="E305" s="116">
        <f t="shared" si="56"/>
        <v>31797.424236567451</v>
      </c>
      <c r="F305" s="134">
        <v>67933359</v>
      </c>
      <c r="G305" s="117">
        <f t="shared" si="57"/>
        <v>13129.756281407035</v>
      </c>
      <c r="H305" s="7"/>
      <c r="I305" s="136">
        <v>6.3089000000000004</v>
      </c>
      <c r="J305" s="134">
        <v>428584.76859510003</v>
      </c>
      <c r="K305" s="120">
        <f t="shared" si="55"/>
        <v>82.834319403768845</v>
      </c>
      <c r="L305" s="122">
        <f t="shared" si="47"/>
        <v>679333.59</v>
      </c>
      <c r="M305" s="116">
        <f t="shared" si="48"/>
        <v>250748.82140489994</v>
      </c>
      <c r="N305" s="123">
        <f t="shared" si="49"/>
        <v>48.463243410301494</v>
      </c>
      <c r="O305" s="5"/>
      <c r="P305" s="5">
        <f t="shared" si="50"/>
        <v>1</v>
      </c>
      <c r="Q305" s="7">
        <f t="shared" si="51"/>
        <v>5174</v>
      </c>
    </row>
    <row r="306" spans="1:21">
      <c r="A306" s="23" t="s">
        <v>331</v>
      </c>
      <c r="B306" s="35" t="s">
        <v>300</v>
      </c>
      <c r="C306" s="125">
        <v>1400</v>
      </c>
      <c r="D306" s="132">
        <v>412378500</v>
      </c>
      <c r="E306" s="116">
        <f t="shared" si="56"/>
        <v>294556.07142857142</v>
      </c>
      <c r="F306" s="134">
        <v>342481167</v>
      </c>
      <c r="G306" s="117">
        <f t="shared" si="57"/>
        <v>244629.405</v>
      </c>
      <c r="H306" s="7"/>
      <c r="I306" s="136">
        <v>3.7938000000000001</v>
      </c>
      <c r="J306" s="134">
        <v>1299305.0513646</v>
      </c>
      <c r="K306" s="120">
        <f t="shared" si="55"/>
        <v>928.07503668899994</v>
      </c>
      <c r="L306" s="122">
        <f t="shared" si="47"/>
        <v>3424811.67</v>
      </c>
      <c r="M306" s="116">
        <f t="shared" si="48"/>
        <v>2125506.6186354002</v>
      </c>
      <c r="N306" s="123">
        <f t="shared" si="49"/>
        <v>1518.2190133110003</v>
      </c>
      <c r="O306" s="5"/>
      <c r="P306" s="5">
        <f t="shared" si="50"/>
        <v>1</v>
      </c>
      <c r="Q306" s="7">
        <f t="shared" si="51"/>
        <v>1400</v>
      </c>
    </row>
    <row r="307" spans="1:21">
      <c r="A307" s="23" t="s">
        <v>332</v>
      </c>
      <c r="B307" s="35" t="s">
        <v>300</v>
      </c>
      <c r="C307" s="125">
        <v>5857</v>
      </c>
      <c r="D307" s="132">
        <v>1577328309</v>
      </c>
      <c r="E307" s="116">
        <f t="shared" si="56"/>
        <v>269306.52364691824</v>
      </c>
      <c r="F307" s="134">
        <v>1120423399</v>
      </c>
      <c r="G307" s="117">
        <f t="shared" si="57"/>
        <v>191296.46559672186</v>
      </c>
      <c r="H307" s="7"/>
      <c r="I307" s="136">
        <v>6.2919999999999998</v>
      </c>
      <c r="J307" s="134">
        <v>7049704.0265079997</v>
      </c>
      <c r="K307" s="120">
        <f t="shared" si="55"/>
        <v>1203.637361534574</v>
      </c>
      <c r="L307" s="122">
        <f t="shared" si="47"/>
        <v>11204233.99</v>
      </c>
      <c r="M307" s="116">
        <f t="shared" si="48"/>
        <v>4154529.9634920005</v>
      </c>
      <c r="N307" s="123">
        <f t="shared" si="49"/>
        <v>709.32729443264475</v>
      </c>
      <c r="O307" s="5"/>
      <c r="P307" s="5">
        <f t="shared" si="50"/>
        <v>1</v>
      </c>
      <c r="Q307" s="7">
        <f t="shared" si="51"/>
        <v>5857</v>
      </c>
    </row>
    <row r="308" spans="1:21">
      <c r="A308" s="23" t="s">
        <v>333</v>
      </c>
      <c r="B308" s="35" t="s">
        <v>300</v>
      </c>
      <c r="C308" s="125">
        <v>62304</v>
      </c>
      <c r="D308" s="132">
        <v>12191040414</v>
      </c>
      <c r="E308" s="116">
        <f t="shared" si="56"/>
        <v>195670.26858628661</v>
      </c>
      <c r="F308" s="134">
        <v>8323416698</v>
      </c>
      <c r="G308" s="117">
        <f t="shared" si="57"/>
        <v>133593.61675012839</v>
      </c>
      <c r="H308" s="7"/>
      <c r="I308" s="136">
        <v>2.48</v>
      </c>
      <c r="J308" s="134">
        <v>20642073.411040001</v>
      </c>
      <c r="K308" s="120">
        <f t="shared" si="55"/>
        <v>331.31216954031845</v>
      </c>
      <c r="L308" s="122">
        <f t="shared" si="47"/>
        <v>83234166.980000004</v>
      </c>
      <c r="M308" s="116">
        <f t="shared" si="48"/>
        <v>62592093.568960004</v>
      </c>
      <c r="N308" s="123">
        <f t="shared" si="49"/>
        <v>1004.6239979609657</v>
      </c>
      <c r="O308" s="5"/>
      <c r="P308" s="5">
        <f t="shared" si="50"/>
        <v>1</v>
      </c>
      <c r="Q308" s="7">
        <f t="shared" si="51"/>
        <v>62304</v>
      </c>
    </row>
    <row r="309" spans="1:21">
      <c r="A309" s="24" t="s">
        <v>334</v>
      </c>
      <c r="B309" s="35" t="s">
        <v>300</v>
      </c>
      <c r="C309" s="125">
        <v>112906</v>
      </c>
      <c r="D309" s="132">
        <v>18419603363</v>
      </c>
      <c r="E309" s="116">
        <f t="shared" si="56"/>
        <v>163141.04974934901</v>
      </c>
      <c r="F309" s="134">
        <v>12645976008</v>
      </c>
      <c r="G309" s="117">
        <f t="shared" si="57"/>
        <v>112004.46396117123</v>
      </c>
      <c r="H309" s="7"/>
      <c r="I309" s="136">
        <v>8.3465000000000007</v>
      </c>
      <c r="J309" s="134">
        <v>105549638.750772</v>
      </c>
      <c r="K309" s="120">
        <f t="shared" si="55"/>
        <v>934.8452584519157</v>
      </c>
      <c r="L309" s="122">
        <f>(F309*0.01)</f>
        <v>126459760.08</v>
      </c>
      <c r="M309" s="116">
        <f>(L309-J309)</f>
        <v>20910121.329227999</v>
      </c>
      <c r="N309" s="123">
        <f>(M309/C309)</f>
        <v>185.19938115979664</v>
      </c>
      <c r="O309" s="5"/>
      <c r="P309" s="5">
        <f>IF(I309&gt;0,1,0)</f>
        <v>1</v>
      </c>
      <c r="Q309" s="7">
        <f>IF(I309&gt;0,C309,0)</f>
        <v>112906</v>
      </c>
      <c r="S309" s="124"/>
      <c r="T309" s="124"/>
      <c r="U309" s="124"/>
    </row>
    <row r="310" spans="1:21">
      <c r="A310" s="23" t="s">
        <v>614</v>
      </c>
      <c r="B310" s="35" t="s">
        <v>300</v>
      </c>
      <c r="C310" s="125">
        <v>29</v>
      </c>
      <c r="D310" s="132">
        <v>169604716</v>
      </c>
      <c r="E310" s="116">
        <f t="shared" si="56"/>
        <v>5848438.4827586208</v>
      </c>
      <c r="F310" s="134">
        <v>45341742</v>
      </c>
      <c r="G310" s="117">
        <f t="shared" si="57"/>
        <v>1563508.3448275863</v>
      </c>
      <c r="H310" s="7"/>
      <c r="I310" s="136">
        <v>5.125</v>
      </c>
      <c r="J310" s="134">
        <v>232376.42775</v>
      </c>
      <c r="K310" s="120">
        <f t="shared" si="55"/>
        <v>8012.9802672413798</v>
      </c>
      <c r="L310" s="122">
        <f t="shared" si="47"/>
        <v>453417.42</v>
      </c>
      <c r="M310" s="116">
        <f t="shared" si="48"/>
        <v>221040.99224999998</v>
      </c>
      <c r="N310" s="123">
        <f t="shared" si="49"/>
        <v>7622.1031810344821</v>
      </c>
      <c r="O310" s="5"/>
      <c r="P310" s="5">
        <f t="shared" si="50"/>
        <v>1</v>
      </c>
      <c r="Q310" s="7">
        <f t="shared" si="51"/>
        <v>29</v>
      </c>
      <c r="S310" s="124">
        <f>SUM(D272:D310)</f>
        <v>177763248019</v>
      </c>
      <c r="T310" s="124">
        <f>SUM(F272:F310)</f>
        <v>130722606909</v>
      </c>
      <c r="U310" s="124">
        <f>SUM(J272:J310)</f>
        <v>626009877.64347923</v>
      </c>
    </row>
    <row r="311" spans="1:21">
      <c r="A311" s="23" t="s">
        <v>335</v>
      </c>
      <c r="B311" s="35" t="s">
        <v>336</v>
      </c>
      <c r="C311" s="125">
        <v>7162</v>
      </c>
      <c r="D311" s="132">
        <v>638116608</v>
      </c>
      <c r="E311" s="116">
        <f t="shared" si="56"/>
        <v>89097.543702876297</v>
      </c>
      <c r="F311" s="134">
        <v>292899412</v>
      </c>
      <c r="G311" s="117">
        <f t="shared" si="57"/>
        <v>40896.315554314438</v>
      </c>
      <c r="H311" s="7"/>
      <c r="I311" s="136">
        <v>7.14</v>
      </c>
      <c r="J311" s="134">
        <v>2091301.8016799998</v>
      </c>
      <c r="K311" s="120">
        <f t="shared" si="55"/>
        <v>291.99969305780508</v>
      </c>
      <c r="L311" s="122">
        <f t="shared" si="47"/>
        <v>2928994.12</v>
      </c>
      <c r="M311" s="116">
        <f t="shared" si="48"/>
        <v>837692.31832000031</v>
      </c>
      <c r="N311" s="123">
        <f t="shared" si="49"/>
        <v>116.96346248533933</v>
      </c>
      <c r="O311" s="5"/>
      <c r="P311" s="5">
        <f t="shared" si="50"/>
        <v>1</v>
      </c>
      <c r="Q311" s="7">
        <f t="shared" si="51"/>
        <v>7162</v>
      </c>
    </row>
    <row r="312" spans="1:21">
      <c r="A312" s="23" t="s">
        <v>337</v>
      </c>
      <c r="B312" s="35" t="s">
        <v>336</v>
      </c>
      <c r="C312" s="125">
        <v>15863</v>
      </c>
      <c r="D312" s="132">
        <v>1006934350</v>
      </c>
      <c r="E312" s="116">
        <f t="shared" si="56"/>
        <v>63476.917985248692</v>
      </c>
      <c r="F312" s="134">
        <v>573527665</v>
      </c>
      <c r="G312" s="117">
        <f t="shared" si="57"/>
        <v>36155.056735800288</v>
      </c>
      <c r="H312" s="7"/>
      <c r="I312" s="136">
        <v>8.9</v>
      </c>
      <c r="J312" s="134">
        <v>5104396.2185000004</v>
      </c>
      <c r="K312" s="120">
        <f t="shared" si="55"/>
        <v>321.7800049486226</v>
      </c>
      <c r="L312" s="122">
        <f t="shared" si="47"/>
        <v>5735276.6500000004</v>
      </c>
      <c r="M312" s="116">
        <f t="shared" si="48"/>
        <v>630880.43149999995</v>
      </c>
      <c r="N312" s="123">
        <f t="shared" si="49"/>
        <v>39.770562409380318</v>
      </c>
      <c r="O312" s="5"/>
      <c r="P312" s="5">
        <f t="shared" si="50"/>
        <v>1</v>
      </c>
      <c r="Q312" s="7">
        <f t="shared" si="51"/>
        <v>15863</v>
      </c>
    </row>
    <row r="313" spans="1:21">
      <c r="A313" s="23" t="s">
        <v>338</v>
      </c>
      <c r="B313" s="35" t="s">
        <v>336</v>
      </c>
      <c r="C313" s="125">
        <v>2879</v>
      </c>
      <c r="D313" s="132">
        <v>362692939</v>
      </c>
      <c r="E313" s="116">
        <f t="shared" si="56"/>
        <v>125978.79089961792</v>
      </c>
      <c r="F313" s="134">
        <v>281462182</v>
      </c>
      <c r="G313" s="117">
        <f t="shared" si="57"/>
        <v>97763.870093782563</v>
      </c>
      <c r="H313" s="7"/>
      <c r="I313" s="136">
        <v>5.8292999999999999</v>
      </c>
      <c r="J313" s="134">
        <v>1640727.4975325998</v>
      </c>
      <c r="K313" s="120">
        <f t="shared" si="55"/>
        <v>569.89492793768659</v>
      </c>
      <c r="L313" s="122">
        <f t="shared" si="47"/>
        <v>2814621.82</v>
      </c>
      <c r="M313" s="116">
        <f t="shared" si="48"/>
        <v>1173894.3224674</v>
      </c>
      <c r="N313" s="123">
        <f t="shared" si="49"/>
        <v>407.74377300013896</v>
      </c>
      <c r="O313" s="5"/>
      <c r="P313" s="5">
        <f t="shared" si="50"/>
        <v>1</v>
      </c>
      <c r="Q313" s="7">
        <f t="shared" si="51"/>
        <v>2879</v>
      </c>
    </row>
    <row r="314" spans="1:21">
      <c r="A314" s="24" t="s">
        <v>339</v>
      </c>
      <c r="B314" s="35" t="s">
        <v>336</v>
      </c>
      <c r="C314" s="125">
        <v>1294</v>
      </c>
      <c r="D314" s="132">
        <v>119275795</v>
      </c>
      <c r="E314" s="116">
        <f t="shared" si="56"/>
        <v>92176.039412673883</v>
      </c>
      <c r="F314" s="134">
        <v>64596684</v>
      </c>
      <c r="G314" s="117">
        <f t="shared" si="57"/>
        <v>49920.157650695517</v>
      </c>
      <c r="H314" s="7"/>
      <c r="I314" s="136">
        <v>4.1500000000000004</v>
      </c>
      <c r="J314" s="134">
        <v>268076.23860000004</v>
      </c>
      <c r="K314" s="120">
        <f t="shared" si="55"/>
        <v>207.16865425038642</v>
      </c>
      <c r="L314" s="122">
        <f t="shared" si="47"/>
        <v>645966.84</v>
      </c>
      <c r="M314" s="116">
        <f t="shared" si="48"/>
        <v>377890.60139999993</v>
      </c>
      <c r="N314" s="123">
        <f t="shared" si="49"/>
        <v>292.03292225656872</v>
      </c>
      <c r="O314" s="5"/>
      <c r="P314" s="5">
        <f t="shared" si="50"/>
        <v>1</v>
      </c>
      <c r="Q314" s="7">
        <f t="shared" si="51"/>
        <v>1294</v>
      </c>
    </row>
    <row r="315" spans="1:21">
      <c r="A315" s="23" t="s">
        <v>547</v>
      </c>
      <c r="B315" s="35" t="s">
        <v>336</v>
      </c>
      <c r="C315" s="125">
        <v>1319</v>
      </c>
      <c r="D315" s="132">
        <v>243337259</v>
      </c>
      <c r="E315" s="116">
        <f t="shared" si="56"/>
        <v>184486.17058377559</v>
      </c>
      <c r="F315" s="134">
        <v>42079324</v>
      </c>
      <c r="G315" s="117">
        <f t="shared" si="57"/>
        <v>31902.444275966642</v>
      </c>
      <c r="H315" s="7"/>
      <c r="I315" s="136">
        <v>0.7</v>
      </c>
      <c r="J315" s="134">
        <v>29455.526799999996</v>
      </c>
      <c r="K315" s="120">
        <f t="shared" si="55"/>
        <v>22.331710993176646</v>
      </c>
      <c r="L315" s="122">
        <f t="shared" si="47"/>
        <v>420793.24</v>
      </c>
      <c r="M315" s="116">
        <f t="shared" si="48"/>
        <v>391337.7132</v>
      </c>
      <c r="N315" s="123">
        <f t="shared" si="49"/>
        <v>296.69273176648977</v>
      </c>
      <c r="O315" s="5"/>
      <c r="P315" s="5">
        <f t="shared" si="50"/>
        <v>1</v>
      </c>
      <c r="Q315" s="7">
        <f t="shared" si="51"/>
        <v>1319</v>
      </c>
      <c r="S315" s="124"/>
      <c r="T315" s="124"/>
      <c r="U315" s="124"/>
    </row>
    <row r="316" spans="1:21">
      <c r="A316" s="23" t="s">
        <v>340</v>
      </c>
      <c r="B316" s="35" t="s">
        <v>336</v>
      </c>
      <c r="C316" s="125">
        <v>15839</v>
      </c>
      <c r="D316" s="132">
        <v>1144141961</v>
      </c>
      <c r="E316" s="116">
        <f t="shared" si="56"/>
        <v>72235.744743986361</v>
      </c>
      <c r="F316" s="134">
        <v>705749648</v>
      </c>
      <c r="G316" s="117">
        <f t="shared" si="57"/>
        <v>44557.715007260558</v>
      </c>
      <c r="H316" s="7"/>
      <c r="I316" s="136">
        <v>6.35</v>
      </c>
      <c r="J316" s="134">
        <v>4481510.2648</v>
      </c>
      <c r="K316" s="120">
        <f t="shared" si="55"/>
        <v>282.94149029610458</v>
      </c>
      <c r="L316" s="122">
        <f t="shared" si="47"/>
        <v>7057496.4800000004</v>
      </c>
      <c r="M316" s="116">
        <f t="shared" si="48"/>
        <v>2575986.2152000004</v>
      </c>
      <c r="N316" s="123">
        <f t="shared" si="49"/>
        <v>162.63565977650106</v>
      </c>
      <c r="O316" s="5"/>
      <c r="P316" s="5">
        <f t="shared" si="50"/>
        <v>1</v>
      </c>
      <c r="Q316" s="7">
        <f t="shared" si="51"/>
        <v>15839</v>
      </c>
      <c r="S316" s="124">
        <f>SUM(D311:D316)</f>
        <v>3514498912</v>
      </c>
      <c r="T316" s="124">
        <f>SUM(F311:F316)</f>
        <v>1960314915</v>
      </c>
      <c r="U316" s="124">
        <f>SUM(J311:J316)</f>
        <v>13615467.547912601</v>
      </c>
    </row>
    <row r="317" spans="1:21">
      <c r="A317" s="23" t="s">
        <v>341</v>
      </c>
      <c r="B317" s="35" t="s">
        <v>342</v>
      </c>
      <c r="C317" s="125">
        <v>3977</v>
      </c>
      <c r="D317" s="132">
        <v>1084872596</v>
      </c>
      <c r="E317" s="116">
        <f t="shared" si="56"/>
        <v>272786.67236610508</v>
      </c>
      <c r="F317" s="134">
        <v>748038654</v>
      </c>
      <c r="G317" s="117">
        <f t="shared" si="57"/>
        <v>188091.18783002262</v>
      </c>
      <c r="H317" s="7"/>
      <c r="I317" s="136">
        <v>6.5</v>
      </c>
      <c r="J317" s="134">
        <v>4862251.2510000002</v>
      </c>
      <c r="K317" s="120">
        <f t="shared" si="55"/>
        <v>1222.5927208951471</v>
      </c>
      <c r="L317" s="122">
        <f t="shared" si="47"/>
        <v>7480386.54</v>
      </c>
      <c r="M317" s="116">
        <f t="shared" si="48"/>
        <v>2618135.2889999999</v>
      </c>
      <c r="N317" s="123">
        <f t="shared" si="49"/>
        <v>658.31915740507918</v>
      </c>
      <c r="O317" s="5"/>
      <c r="P317" s="5">
        <f t="shared" si="50"/>
        <v>1</v>
      </c>
      <c r="Q317" s="7">
        <f t="shared" si="51"/>
        <v>3977</v>
      </c>
    </row>
    <row r="318" spans="1:21">
      <c r="A318" s="23" t="s">
        <v>343</v>
      </c>
      <c r="B318" s="35" t="s">
        <v>342</v>
      </c>
      <c r="C318" s="125">
        <v>1588</v>
      </c>
      <c r="D318" s="132">
        <v>724955116</v>
      </c>
      <c r="E318" s="116">
        <f t="shared" si="56"/>
        <v>456520.85390428209</v>
      </c>
      <c r="F318" s="134">
        <v>541773238</v>
      </c>
      <c r="G318" s="117">
        <f t="shared" si="57"/>
        <v>341167.02644836274</v>
      </c>
      <c r="H318" s="7"/>
      <c r="I318" s="136">
        <v>2.0394000000000001</v>
      </c>
      <c r="J318" s="134">
        <v>1104892.3415772</v>
      </c>
      <c r="K318" s="120">
        <f t="shared" si="55"/>
        <v>695.77603373879094</v>
      </c>
      <c r="L318" s="122">
        <f t="shared" si="47"/>
        <v>5417732.3799999999</v>
      </c>
      <c r="M318" s="116">
        <f t="shared" si="48"/>
        <v>4312840.0384227997</v>
      </c>
      <c r="N318" s="123">
        <f t="shared" si="49"/>
        <v>2715.894230744836</v>
      </c>
      <c r="O318" s="5"/>
      <c r="P318" s="5">
        <f t="shared" si="50"/>
        <v>1</v>
      </c>
      <c r="Q318" s="7">
        <f t="shared" si="51"/>
        <v>1588</v>
      </c>
    </row>
    <row r="319" spans="1:21">
      <c r="A319" s="23" t="s">
        <v>344</v>
      </c>
      <c r="B319" s="35" t="s">
        <v>342</v>
      </c>
      <c r="C319" s="125">
        <v>2095</v>
      </c>
      <c r="D319" s="132">
        <v>336037233</v>
      </c>
      <c r="E319" s="116">
        <f t="shared" si="56"/>
        <v>160399.63389021478</v>
      </c>
      <c r="F319" s="134">
        <v>226574908</v>
      </c>
      <c r="G319" s="117">
        <f t="shared" si="57"/>
        <v>108150.31408114558</v>
      </c>
      <c r="H319" s="7"/>
      <c r="I319" s="136">
        <v>5.35</v>
      </c>
      <c r="J319" s="134">
        <v>1212175.7578</v>
      </c>
      <c r="K319" s="120">
        <f t="shared" si="55"/>
        <v>578.60418033412884</v>
      </c>
      <c r="L319" s="122">
        <f t="shared" si="47"/>
        <v>2265749.08</v>
      </c>
      <c r="M319" s="116">
        <f t="shared" si="48"/>
        <v>1053573.3222000001</v>
      </c>
      <c r="N319" s="123">
        <f t="shared" si="49"/>
        <v>502.89896047732697</v>
      </c>
      <c r="O319" s="5"/>
      <c r="P319" s="5">
        <f t="shared" si="50"/>
        <v>1</v>
      </c>
      <c r="Q319" s="7">
        <f t="shared" si="51"/>
        <v>2095</v>
      </c>
    </row>
    <row r="320" spans="1:21">
      <c r="A320" s="23" t="s">
        <v>345</v>
      </c>
      <c r="B320" s="35" t="s">
        <v>342</v>
      </c>
      <c r="C320" s="125">
        <v>118</v>
      </c>
      <c r="D320" s="132">
        <v>237213508</v>
      </c>
      <c r="E320" s="116">
        <f t="shared" si="56"/>
        <v>2010283.9661016949</v>
      </c>
      <c r="F320" s="134">
        <v>155389461</v>
      </c>
      <c r="G320" s="117">
        <f t="shared" si="57"/>
        <v>1316859.8389830508</v>
      </c>
      <c r="H320" s="7"/>
      <c r="I320" s="136">
        <v>0.67369999999999997</v>
      </c>
      <c r="J320" s="134">
        <v>104685.8798757</v>
      </c>
      <c r="K320" s="120">
        <f t="shared" si="55"/>
        <v>887.16847352288141</v>
      </c>
      <c r="L320" s="122">
        <f t="shared" si="47"/>
        <v>1553894.61</v>
      </c>
      <c r="M320" s="116">
        <f t="shared" si="48"/>
        <v>1449208.7301243001</v>
      </c>
      <c r="N320" s="123">
        <f t="shared" si="49"/>
        <v>12281.429916307628</v>
      </c>
      <c r="O320" s="5"/>
      <c r="P320" s="5">
        <f t="shared" si="50"/>
        <v>1</v>
      </c>
      <c r="Q320" s="7">
        <f t="shared" si="51"/>
        <v>118</v>
      </c>
    </row>
    <row r="321" spans="1:17">
      <c r="A321" s="129" t="s">
        <v>346</v>
      </c>
      <c r="B321" s="130" t="s">
        <v>342</v>
      </c>
      <c r="C321" s="131">
        <v>115589</v>
      </c>
      <c r="D321" s="132">
        <v>16504194209</v>
      </c>
      <c r="E321" s="133">
        <f t="shared" si="56"/>
        <v>142783.43275744232</v>
      </c>
      <c r="F321" s="134">
        <v>11159925447</v>
      </c>
      <c r="G321" s="134">
        <f t="shared" si="57"/>
        <v>96548.334590661747</v>
      </c>
      <c r="H321" s="135"/>
      <c r="I321" s="136">
        <v>5.9550000000000001</v>
      </c>
      <c r="J321" s="134">
        <v>66457356.036885001</v>
      </c>
      <c r="K321" s="137">
        <f t="shared" si="55"/>
        <v>574.94533248739071</v>
      </c>
      <c r="L321" s="138">
        <f t="shared" si="47"/>
        <v>111599254.47</v>
      </c>
      <c r="M321" s="133">
        <f t="shared" si="48"/>
        <v>45141898.433114998</v>
      </c>
      <c r="N321" s="139">
        <f t="shared" si="49"/>
        <v>390.53801341922673</v>
      </c>
      <c r="O321" s="5"/>
      <c r="P321" s="5">
        <f t="shared" si="50"/>
        <v>1</v>
      </c>
      <c r="Q321" s="7">
        <f t="shared" si="51"/>
        <v>115589</v>
      </c>
    </row>
    <row r="322" spans="1:17">
      <c r="A322" s="23" t="s">
        <v>347</v>
      </c>
      <c r="B322" s="35" t="s">
        <v>342</v>
      </c>
      <c r="C322" s="125">
        <v>37054</v>
      </c>
      <c r="D322" s="132">
        <v>4365257429</v>
      </c>
      <c r="E322" s="116">
        <f t="shared" si="56"/>
        <v>117807.99452150914</v>
      </c>
      <c r="F322" s="134">
        <v>2551388421</v>
      </c>
      <c r="G322" s="117">
        <f t="shared" si="57"/>
        <v>68855.95134128569</v>
      </c>
      <c r="H322" s="7"/>
      <c r="I322" s="136">
        <v>4.1345000000000001</v>
      </c>
      <c r="J322" s="134">
        <v>10548715.426624501</v>
      </c>
      <c r="K322" s="120">
        <f t="shared" si="55"/>
        <v>284.68493082054573</v>
      </c>
      <c r="L322" s="122">
        <f t="shared" si="47"/>
        <v>25513884.210000001</v>
      </c>
      <c r="M322" s="116">
        <f t="shared" si="48"/>
        <v>14965168.7833755</v>
      </c>
      <c r="N322" s="123">
        <f t="shared" si="49"/>
        <v>403.87458259231124</v>
      </c>
      <c r="O322" s="5"/>
      <c r="P322" s="5">
        <f t="shared" si="50"/>
        <v>1</v>
      </c>
      <c r="Q322" s="7">
        <f t="shared" si="51"/>
        <v>37054</v>
      </c>
    </row>
    <row r="323" spans="1:17">
      <c r="A323" s="23" t="s">
        <v>348</v>
      </c>
      <c r="B323" s="35" t="s">
        <v>342</v>
      </c>
      <c r="C323" s="125">
        <v>12544</v>
      </c>
      <c r="D323" s="132">
        <v>1523233243</v>
      </c>
      <c r="E323" s="116">
        <f t="shared" si="56"/>
        <v>121431.22154017857</v>
      </c>
      <c r="F323" s="134">
        <v>937535904</v>
      </c>
      <c r="G323" s="117">
        <f t="shared" si="57"/>
        <v>74739.788265306124</v>
      </c>
      <c r="H323" s="7"/>
      <c r="I323" s="136">
        <v>4.0389999999999997</v>
      </c>
      <c r="J323" s="134">
        <v>3786707.5162559994</v>
      </c>
      <c r="K323" s="120">
        <f t="shared" si="55"/>
        <v>301.87400480357138</v>
      </c>
      <c r="L323" s="122">
        <f t="shared" si="47"/>
        <v>9375359.040000001</v>
      </c>
      <c r="M323" s="116">
        <f t="shared" si="48"/>
        <v>5588651.523744002</v>
      </c>
      <c r="N323" s="123">
        <f t="shared" si="49"/>
        <v>445.52387784948996</v>
      </c>
      <c r="O323" s="5"/>
      <c r="P323" s="5">
        <f t="shared" si="50"/>
        <v>1</v>
      </c>
      <c r="Q323" s="7">
        <f t="shared" si="51"/>
        <v>12544</v>
      </c>
    </row>
    <row r="324" spans="1:17">
      <c r="A324" s="23" t="s">
        <v>349</v>
      </c>
      <c r="B324" s="35" t="s">
        <v>342</v>
      </c>
      <c r="C324" s="125">
        <v>4430</v>
      </c>
      <c r="D324" s="132">
        <v>1508504928</v>
      </c>
      <c r="E324" s="116">
        <f t="shared" si="56"/>
        <v>340520.29977426637</v>
      </c>
      <c r="F324" s="134">
        <v>1175532077</v>
      </c>
      <c r="G324" s="117">
        <f t="shared" si="57"/>
        <v>265357.12799097068</v>
      </c>
      <c r="H324" s="98"/>
      <c r="I324" s="136">
        <v>1.8326</v>
      </c>
      <c r="J324" s="134">
        <v>2154280.0843102001</v>
      </c>
      <c r="K324" s="120">
        <f t="shared" si="55"/>
        <v>486.29347275625281</v>
      </c>
      <c r="L324" s="122">
        <f t="shared" si="47"/>
        <v>11755320.77</v>
      </c>
      <c r="M324" s="116">
        <f t="shared" si="48"/>
        <v>9601040.6856897995</v>
      </c>
      <c r="N324" s="123">
        <f t="shared" si="49"/>
        <v>2167.2778071534535</v>
      </c>
      <c r="O324" s="5"/>
      <c r="P324" s="5">
        <f t="shared" si="50"/>
        <v>1</v>
      </c>
      <c r="Q324" s="7">
        <f t="shared" si="51"/>
        <v>4430</v>
      </c>
    </row>
    <row r="325" spans="1:17">
      <c r="A325" s="23" t="s">
        <v>350</v>
      </c>
      <c r="B325" s="35" t="s">
        <v>342</v>
      </c>
      <c r="C325" s="125">
        <v>1470</v>
      </c>
      <c r="D325" s="132">
        <v>1115265405</v>
      </c>
      <c r="E325" s="116">
        <f t="shared" si="56"/>
        <v>758683.94897959183</v>
      </c>
      <c r="F325" s="134">
        <v>955742080</v>
      </c>
      <c r="G325" s="117">
        <f t="shared" si="57"/>
        <v>650164.68027210888</v>
      </c>
      <c r="H325" s="7"/>
      <c r="I325" s="136">
        <v>1.87</v>
      </c>
      <c r="J325" s="134">
        <v>1787237.6896000002</v>
      </c>
      <c r="K325" s="120">
        <f t="shared" si="55"/>
        <v>1215.8079521088437</v>
      </c>
      <c r="L325" s="122">
        <f t="shared" si="47"/>
        <v>9557420.8000000007</v>
      </c>
      <c r="M325" s="116">
        <f t="shared" si="48"/>
        <v>7770183.1104000006</v>
      </c>
      <c r="N325" s="123">
        <f t="shared" si="49"/>
        <v>5285.8388506122456</v>
      </c>
      <c r="O325" s="5"/>
      <c r="P325" s="5">
        <f t="shared" si="50"/>
        <v>1</v>
      </c>
      <c r="Q325" s="7">
        <f t="shared" si="51"/>
        <v>1470</v>
      </c>
    </row>
    <row r="326" spans="1:17">
      <c r="A326" s="23" t="s">
        <v>351</v>
      </c>
      <c r="B326" s="35" t="s">
        <v>342</v>
      </c>
      <c r="C326" s="125">
        <v>5103</v>
      </c>
      <c r="D326" s="132">
        <v>288185777</v>
      </c>
      <c r="E326" s="116">
        <f t="shared" si="56"/>
        <v>56473.795218498919</v>
      </c>
      <c r="F326" s="134">
        <v>165912256</v>
      </c>
      <c r="G326" s="117">
        <f t="shared" si="57"/>
        <v>32512.689790319419</v>
      </c>
      <c r="H326" s="7"/>
      <c r="I326" s="136">
        <v>5.75</v>
      </c>
      <c r="J326" s="134">
        <v>953995.47199999995</v>
      </c>
      <c r="K326" s="120">
        <f t="shared" si="55"/>
        <v>186.94796629433665</v>
      </c>
      <c r="L326" s="122">
        <f t="shared" si="47"/>
        <v>1659122.56</v>
      </c>
      <c r="M326" s="116">
        <f t="shared" si="48"/>
        <v>705127.08800000011</v>
      </c>
      <c r="N326" s="123">
        <f t="shared" si="49"/>
        <v>138.17893160885757</v>
      </c>
      <c r="O326" s="5"/>
      <c r="P326" s="5">
        <f t="shared" si="50"/>
        <v>1</v>
      </c>
      <c r="Q326" s="7">
        <f t="shared" si="51"/>
        <v>5103</v>
      </c>
    </row>
    <row r="327" spans="1:17">
      <c r="A327" s="23" t="s">
        <v>352</v>
      </c>
      <c r="B327" s="35" t="s">
        <v>342</v>
      </c>
      <c r="C327" s="125">
        <v>83526</v>
      </c>
      <c r="D327" s="132">
        <v>6901115158</v>
      </c>
      <c r="E327" s="116">
        <f t="shared" si="56"/>
        <v>82622.35900198741</v>
      </c>
      <c r="F327" s="134">
        <v>4698575506</v>
      </c>
      <c r="G327" s="117">
        <f t="shared" si="57"/>
        <v>56252.849483993006</v>
      </c>
      <c r="H327" s="7"/>
      <c r="I327" s="136">
        <v>5.7412999999999998</v>
      </c>
      <c r="J327" s="134">
        <v>26975931.552597798</v>
      </c>
      <c r="K327" s="120">
        <f t="shared" si="55"/>
        <v>322.96448474244903</v>
      </c>
      <c r="L327" s="122">
        <f t="shared" ref="L327:L390" si="58">(F327*0.01)</f>
        <v>46985755.060000002</v>
      </c>
      <c r="M327" s="116">
        <f t="shared" ref="M327:M390" si="59">(L327-J327)</f>
        <v>20009823.507402204</v>
      </c>
      <c r="N327" s="123">
        <f t="shared" ref="N327:N390" si="60">(M327/C327)</f>
        <v>239.56401009748106</v>
      </c>
      <c r="O327" s="5"/>
      <c r="P327" s="5">
        <f t="shared" si="50"/>
        <v>1</v>
      </c>
      <c r="Q327" s="7">
        <f t="shared" si="51"/>
        <v>83526</v>
      </c>
    </row>
    <row r="328" spans="1:17">
      <c r="A328" s="23" t="s">
        <v>353</v>
      </c>
      <c r="B328" s="35" t="s">
        <v>342</v>
      </c>
      <c r="C328" s="125">
        <v>4421</v>
      </c>
      <c r="D328" s="132">
        <v>1639842417</v>
      </c>
      <c r="E328" s="116">
        <f t="shared" si="56"/>
        <v>370921.15290658223</v>
      </c>
      <c r="F328" s="134">
        <v>1259074523</v>
      </c>
      <c r="G328" s="117">
        <f t="shared" si="57"/>
        <v>284794.05632209906</v>
      </c>
      <c r="H328" s="7"/>
      <c r="I328" s="136">
        <v>2.2000000000000002</v>
      </c>
      <c r="J328" s="134">
        <v>2769963.9506000006</v>
      </c>
      <c r="K328" s="120">
        <f t="shared" si="55"/>
        <v>626.54692390861806</v>
      </c>
      <c r="L328" s="122">
        <f t="shared" si="58"/>
        <v>12590745.23</v>
      </c>
      <c r="M328" s="116">
        <f t="shared" si="59"/>
        <v>9820781.2794000003</v>
      </c>
      <c r="N328" s="123">
        <f t="shared" si="60"/>
        <v>2221.3936393123727</v>
      </c>
      <c r="O328" s="5"/>
      <c r="P328" s="5">
        <f t="shared" ref="P328:P391" si="61">IF(I328&gt;0,1,0)</f>
        <v>1</v>
      </c>
      <c r="Q328" s="7">
        <f t="shared" ref="Q328:Q391" si="62">IF(I328&gt;0,C328,0)</f>
        <v>4421</v>
      </c>
    </row>
    <row r="329" spans="1:17">
      <c r="A329" s="23" t="s">
        <v>354</v>
      </c>
      <c r="B329" s="35" t="s">
        <v>342</v>
      </c>
      <c r="C329" s="125">
        <v>1499</v>
      </c>
      <c r="D329" s="132">
        <v>620170267</v>
      </c>
      <c r="E329" s="116">
        <f t="shared" si="56"/>
        <v>413722.65977318212</v>
      </c>
      <c r="F329" s="134">
        <v>511968189</v>
      </c>
      <c r="G329" s="117">
        <f t="shared" si="57"/>
        <v>341539.81921280856</v>
      </c>
      <c r="H329" s="7"/>
      <c r="I329" s="136">
        <v>1</v>
      </c>
      <c r="J329" s="134">
        <v>511968.18900000001</v>
      </c>
      <c r="K329" s="120">
        <f t="shared" si="55"/>
        <v>341.53981921280854</v>
      </c>
      <c r="L329" s="122">
        <f t="shared" si="58"/>
        <v>5119681.8899999997</v>
      </c>
      <c r="M329" s="116">
        <f t="shared" si="59"/>
        <v>4607713.7009999994</v>
      </c>
      <c r="N329" s="123">
        <f t="shared" si="60"/>
        <v>3073.8583729152765</v>
      </c>
      <c r="O329" s="5"/>
      <c r="P329" s="5">
        <f t="shared" si="61"/>
        <v>1</v>
      </c>
      <c r="Q329" s="7">
        <f t="shared" si="62"/>
        <v>1499</v>
      </c>
    </row>
    <row r="330" spans="1:17">
      <c r="A330" s="23" t="s">
        <v>355</v>
      </c>
      <c r="B330" s="35" t="s">
        <v>342</v>
      </c>
      <c r="C330" s="125">
        <v>14489</v>
      </c>
      <c r="D330" s="132">
        <v>1921403876</v>
      </c>
      <c r="E330" s="116">
        <f t="shared" si="56"/>
        <v>132611.21374836084</v>
      </c>
      <c r="F330" s="134">
        <v>1362139473</v>
      </c>
      <c r="G330" s="117">
        <f t="shared" si="57"/>
        <v>94011.972737939126</v>
      </c>
      <c r="H330" s="7"/>
      <c r="I330" s="136">
        <v>4.05</v>
      </c>
      <c r="J330" s="134">
        <v>5516664.8656500001</v>
      </c>
      <c r="K330" s="120">
        <f t="shared" si="55"/>
        <v>380.74848958865346</v>
      </c>
      <c r="L330" s="122">
        <f t="shared" si="58"/>
        <v>13621394.73</v>
      </c>
      <c r="M330" s="116">
        <f t="shared" si="59"/>
        <v>8104729.8643500004</v>
      </c>
      <c r="N330" s="123">
        <f t="shared" si="60"/>
        <v>559.37123779073784</v>
      </c>
      <c r="O330" s="5"/>
      <c r="P330" s="5">
        <f t="shared" si="61"/>
        <v>1</v>
      </c>
      <c r="Q330" s="7">
        <f t="shared" si="62"/>
        <v>14489</v>
      </c>
    </row>
    <row r="331" spans="1:17">
      <c r="A331" s="23" t="s">
        <v>356</v>
      </c>
      <c r="B331" s="35" t="s">
        <v>342</v>
      </c>
      <c r="C331" s="125">
        <v>53144</v>
      </c>
      <c r="D331" s="132">
        <v>5123908800</v>
      </c>
      <c r="E331" s="116">
        <f t="shared" si="56"/>
        <v>96415.565256661153</v>
      </c>
      <c r="F331" s="134">
        <v>3528664899</v>
      </c>
      <c r="G331" s="117">
        <f t="shared" si="57"/>
        <v>66398.180396658136</v>
      </c>
      <c r="H331" s="7"/>
      <c r="I331" s="136">
        <v>5.49</v>
      </c>
      <c r="J331" s="134">
        <v>19372370.295510001</v>
      </c>
      <c r="K331" s="120">
        <f t="shared" si="55"/>
        <v>364.52601037765322</v>
      </c>
      <c r="L331" s="122">
        <f t="shared" si="58"/>
        <v>35286648.990000002</v>
      </c>
      <c r="M331" s="116">
        <f t="shared" si="59"/>
        <v>15914278.694490001</v>
      </c>
      <c r="N331" s="123">
        <f t="shared" si="60"/>
        <v>299.4557935889282</v>
      </c>
      <c r="O331" s="5"/>
      <c r="P331" s="5">
        <f t="shared" si="61"/>
        <v>1</v>
      </c>
      <c r="Q331" s="7">
        <f t="shared" si="62"/>
        <v>53144</v>
      </c>
    </row>
    <row r="332" spans="1:17">
      <c r="A332" s="23" t="s">
        <v>357</v>
      </c>
      <c r="B332" s="35" t="s">
        <v>342</v>
      </c>
      <c r="C332" s="125">
        <v>1475</v>
      </c>
      <c r="D332" s="132">
        <v>620106778</v>
      </c>
      <c r="E332" s="116">
        <f t="shared" si="56"/>
        <v>420411.37491525424</v>
      </c>
      <c r="F332" s="134">
        <v>484315648</v>
      </c>
      <c r="G332" s="117">
        <f t="shared" si="57"/>
        <v>328349.59186440677</v>
      </c>
      <c r="H332" s="7"/>
      <c r="I332" s="136">
        <v>1.8149</v>
      </c>
      <c r="J332" s="134">
        <v>878984.46955519996</v>
      </c>
      <c r="K332" s="120">
        <f t="shared" si="55"/>
        <v>595.92167427471179</v>
      </c>
      <c r="L332" s="122">
        <f t="shared" si="58"/>
        <v>4843156.4800000004</v>
      </c>
      <c r="M332" s="116">
        <f t="shared" si="59"/>
        <v>3964172.0104448004</v>
      </c>
      <c r="N332" s="123">
        <f t="shared" si="60"/>
        <v>2687.5742443693562</v>
      </c>
      <c r="O332" s="5"/>
      <c r="P332" s="5">
        <f t="shared" si="61"/>
        <v>1</v>
      </c>
      <c r="Q332" s="7">
        <f t="shared" si="62"/>
        <v>1475</v>
      </c>
    </row>
    <row r="333" spans="1:17">
      <c r="A333" s="23" t="s">
        <v>358</v>
      </c>
      <c r="B333" s="35" t="s">
        <v>342</v>
      </c>
      <c r="C333" s="125">
        <v>2212</v>
      </c>
      <c r="D333" s="132">
        <v>889229917</v>
      </c>
      <c r="E333" s="116">
        <f t="shared" si="56"/>
        <v>402002.67495479202</v>
      </c>
      <c r="F333" s="134">
        <v>710389915</v>
      </c>
      <c r="G333" s="117">
        <f t="shared" si="57"/>
        <v>321152.76446654613</v>
      </c>
      <c r="H333" s="7"/>
      <c r="I333" s="136">
        <v>1.8</v>
      </c>
      <c r="J333" s="134">
        <v>1278701.8470000001</v>
      </c>
      <c r="K333" s="120">
        <f t="shared" si="55"/>
        <v>578.074976039783</v>
      </c>
      <c r="L333" s="122">
        <f t="shared" si="58"/>
        <v>7103899.1500000004</v>
      </c>
      <c r="M333" s="116">
        <f t="shared" si="59"/>
        <v>5825197.3030000003</v>
      </c>
      <c r="N333" s="123">
        <f t="shared" si="60"/>
        <v>2633.4526686256781</v>
      </c>
      <c r="O333" s="5"/>
      <c r="P333" s="5">
        <f t="shared" si="61"/>
        <v>1</v>
      </c>
      <c r="Q333" s="7">
        <f t="shared" si="62"/>
        <v>2212</v>
      </c>
    </row>
    <row r="334" spans="1:17">
      <c r="A334" s="23" t="s">
        <v>359</v>
      </c>
      <c r="B334" s="35" t="s">
        <v>342</v>
      </c>
      <c r="C334" s="125">
        <v>17470</v>
      </c>
      <c r="D334" s="132">
        <v>2218888292</v>
      </c>
      <c r="E334" s="116">
        <f t="shared" si="56"/>
        <v>127011.35042930738</v>
      </c>
      <c r="F334" s="134">
        <v>1296325600</v>
      </c>
      <c r="G334" s="117">
        <f t="shared" si="57"/>
        <v>74202.953634802514</v>
      </c>
      <c r="H334" s="7"/>
      <c r="I334" s="136">
        <v>3.95</v>
      </c>
      <c r="J334" s="134">
        <v>5120486.12</v>
      </c>
      <c r="K334" s="120">
        <f t="shared" si="55"/>
        <v>293.10166685746998</v>
      </c>
      <c r="L334" s="122">
        <f t="shared" si="58"/>
        <v>12963256</v>
      </c>
      <c r="M334" s="116">
        <f t="shared" si="59"/>
        <v>7842769.8799999999</v>
      </c>
      <c r="N334" s="123">
        <f t="shared" si="60"/>
        <v>448.92786949055522</v>
      </c>
      <c r="O334" s="5"/>
      <c r="P334" s="5">
        <f t="shared" si="61"/>
        <v>1</v>
      </c>
      <c r="Q334" s="7">
        <f t="shared" si="62"/>
        <v>17470</v>
      </c>
    </row>
    <row r="335" spans="1:17">
      <c r="A335" s="23" t="s">
        <v>360</v>
      </c>
      <c r="B335" s="35" t="s">
        <v>342</v>
      </c>
      <c r="C335" s="125">
        <v>18865</v>
      </c>
      <c r="D335" s="132">
        <v>2245954790</v>
      </c>
      <c r="E335" s="116">
        <f t="shared" si="56"/>
        <v>119054.05724887358</v>
      </c>
      <c r="F335" s="134">
        <v>1460041305</v>
      </c>
      <c r="G335" s="117">
        <f t="shared" si="57"/>
        <v>77394.185263715874</v>
      </c>
      <c r="H335" s="7"/>
      <c r="I335" s="136">
        <v>2.4792999999999998</v>
      </c>
      <c r="J335" s="134">
        <v>3619880.4074864998</v>
      </c>
      <c r="K335" s="120">
        <f t="shared" si="55"/>
        <v>191.88340352433076</v>
      </c>
      <c r="L335" s="122">
        <f t="shared" si="58"/>
        <v>14600413.050000001</v>
      </c>
      <c r="M335" s="116">
        <f t="shared" si="59"/>
        <v>10980532.642513501</v>
      </c>
      <c r="N335" s="123">
        <f t="shared" si="60"/>
        <v>582.05844911282804</v>
      </c>
      <c r="O335" s="5"/>
      <c r="P335" s="5">
        <f t="shared" si="61"/>
        <v>1</v>
      </c>
      <c r="Q335" s="7">
        <f t="shared" si="62"/>
        <v>18865</v>
      </c>
    </row>
    <row r="336" spans="1:17">
      <c r="A336" s="24" t="s">
        <v>361</v>
      </c>
      <c r="B336" s="35" t="s">
        <v>342</v>
      </c>
      <c r="C336" s="125">
        <v>5074</v>
      </c>
      <c r="D336" s="132">
        <v>840167405</v>
      </c>
      <c r="E336" s="116">
        <f t="shared" si="56"/>
        <v>165582.85474970436</v>
      </c>
      <c r="F336" s="134">
        <v>623579737</v>
      </c>
      <c r="G336" s="117">
        <f t="shared" si="57"/>
        <v>122897.0707528577</v>
      </c>
      <c r="H336" s="7"/>
      <c r="I336" s="136">
        <v>3.5</v>
      </c>
      <c r="J336" s="134">
        <v>2182529.0795</v>
      </c>
      <c r="K336" s="120">
        <f t="shared" si="55"/>
        <v>430.13974763500198</v>
      </c>
      <c r="L336" s="122">
        <f t="shared" si="58"/>
        <v>6235797.3700000001</v>
      </c>
      <c r="M336" s="116">
        <f t="shared" si="59"/>
        <v>4053268.2905000001</v>
      </c>
      <c r="N336" s="123">
        <f t="shared" si="60"/>
        <v>798.83095989357514</v>
      </c>
      <c r="O336" s="5"/>
      <c r="P336" s="5">
        <f t="shared" si="61"/>
        <v>1</v>
      </c>
      <c r="Q336" s="7">
        <f t="shared" si="62"/>
        <v>5074</v>
      </c>
    </row>
    <row r="337" spans="1:21">
      <c r="A337" s="24" t="s">
        <v>561</v>
      </c>
      <c r="B337" s="35" t="s">
        <v>342</v>
      </c>
      <c r="C337" s="125">
        <v>9510</v>
      </c>
      <c r="D337" s="132">
        <v>3928113413</v>
      </c>
      <c r="E337" s="116">
        <f t="shared" si="56"/>
        <v>413050.83207150368</v>
      </c>
      <c r="F337" s="134">
        <v>3057752286</v>
      </c>
      <c r="G337" s="117">
        <f t="shared" si="57"/>
        <v>321530.20883280755</v>
      </c>
      <c r="H337" s="7"/>
      <c r="I337" s="136">
        <v>3.15</v>
      </c>
      <c r="J337" s="134">
        <v>9631919.7008999996</v>
      </c>
      <c r="K337" s="120">
        <f t="shared" si="55"/>
        <v>1012.8201578233438</v>
      </c>
      <c r="L337" s="122">
        <f t="shared" si="58"/>
        <v>30577522.859999999</v>
      </c>
      <c r="M337" s="116">
        <f t="shared" si="59"/>
        <v>20945603.1591</v>
      </c>
      <c r="N337" s="123">
        <f t="shared" si="60"/>
        <v>2202.4819305047317</v>
      </c>
      <c r="O337" s="5"/>
      <c r="P337" s="5">
        <f t="shared" si="61"/>
        <v>1</v>
      </c>
      <c r="Q337" s="7">
        <f t="shared" si="62"/>
        <v>9510</v>
      </c>
    </row>
    <row r="338" spans="1:21">
      <c r="A338" s="23" t="s">
        <v>548</v>
      </c>
      <c r="B338" s="35" t="s">
        <v>342</v>
      </c>
      <c r="C338" s="125">
        <v>266076</v>
      </c>
      <c r="D338" s="132">
        <v>30878428926</v>
      </c>
      <c r="E338" s="116">
        <f t="shared" si="56"/>
        <v>116051.16179587787</v>
      </c>
      <c r="F338" s="134">
        <v>19009226076</v>
      </c>
      <c r="G338" s="117">
        <f t="shared" si="57"/>
        <v>71442.843683759522</v>
      </c>
      <c r="H338" s="7"/>
      <c r="I338" s="136">
        <v>6.7549999999999999</v>
      </c>
      <c r="J338" s="134">
        <v>128407322.14338</v>
      </c>
      <c r="K338" s="120">
        <f t="shared" si="55"/>
        <v>482.59640908379561</v>
      </c>
      <c r="L338" s="122">
        <f t="shared" si="58"/>
        <v>190092260.75999999</v>
      </c>
      <c r="M338" s="116">
        <f t="shared" si="59"/>
        <v>61684938.616619989</v>
      </c>
      <c r="N338" s="123">
        <f t="shared" si="60"/>
        <v>231.83202775379962</v>
      </c>
      <c r="O338" s="5"/>
      <c r="P338" s="5">
        <f t="shared" si="61"/>
        <v>1</v>
      </c>
      <c r="Q338" s="7">
        <f t="shared" si="62"/>
        <v>266076</v>
      </c>
    </row>
    <row r="339" spans="1:21">
      <c r="A339" s="23" t="s">
        <v>362</v>
      </c>
      <c r="B339" s="35" t="s">
        <v>342</v>
      </c>
      <c r="C339" s="125">
        <v>25455</v>
      </c>
      <c r="D339" s="132">
        <v>2873453632</v>
      </c>
      <c r="E339" s="116">
        <f t="shared" si="56"/>
        <v>112883.66262031035</v>
      </c>
      <c r="F339" s="134">
        <v>1803147510</v>
      </c>
      <c r="G339" s="117">
        <f t="shared" si="57"/>
        <v>70836.672952268709</v>
      </c>
      <c r="H339" s="7"/>
      <c r="I339" s="136">
        <v>5.42</v>
      </c>
      <c r="J339" s="134">
        <v>9773059.5042000003</v>
      </c>
      <c r="K339" s="120">
        <f t="shared" si="55"/>
        <v>383.93476740129643</v>
      </c>
      <c r="L339" s="122">
        <f t="shared" si="58"/>
        <v>18031475.100000001</v>
      </c>
      <c r="M339" s="116">
        <f t="shared" si="59"/>
        <v>8258415.5958000012</v>
      </c>
      <c r="N339" s="123">
        <f t="shared" si="60"/>
        <v>324.43196212139071</v>
      </c>
      <c r="O339" s="5"/>
      <c r="P339" s="5">
        <f t="shared" si="61"/>
        <v>1</v>
      </c>
      <c r="Q339" s="7">
        <f t="shared" si="62"/>
        <v>25455</v>
      </c>
      <c r="S339" s="124"/>
      <c r="T339" s="124"/>
      <c r="U339" s="124"/>
    </row>
    <row r="340" spans="1:21">
      <c r="A340" s="23" t="s">
        <v>363</v>
      </c>
      <c r="B340" s="35" t="s">
        <v>342</v>
      </c>
      <c r="C340" s="125">
        <v>6858</v>
      </c>
      <c r="D340" s="132">
        <v>2406370532</v>
      </c>
      <c r="E340" s="116">
        <f t="shared" si="56"/>
        <v>350885.17526975792</v>
      </c>
      <c r="F340" s="134">
        <v>1851913681</v>
      </c>
      <c r="G340" s="117">
        <f t="shared" si="57"/>
        <v>270036.99052201811</v>
      </c>
      <c r="H340" s="7"/>
      <c r="I340" s="136">
        <v>3.4367999999999999</v>
      </c>
      <c r="J340" s="134">
        <v>6364656.9388608001</v>
      </c>
      <c r="K340" s="120">
        <f t="shared" si="55"/>
        <v>928.06312902607181</v>
      </c>
      <c r="L340" s="122">
        <f t="shared" si="58"/>
        <v>18519136.809999999</v>
      </c>
      <c r="M340" s="116">
        <f t="shared" si="59"/>
        <v>12154479.871139199</v>
      </c>
      <c r="N340" s="123">
        <f t="shared" si="60"/>
        <v>1772.3067761941088</v>
      </c>
      <c r="O340" s="5"/>
      <c r="P340" s="5">
        <f t="shared" si="61"/>
        <v>1</v>
      </c>
      <c r="Q340" s="7">
        <f t="shared" si="62"/>
        <v>6858</v>
      </c>
      <c r="S340" s="124">
        <f>SUM(D317:D340)</f>
        <v>90794873647</v>
      </c>
      <c r="T340" s="124">
        <f>SUM(F317:F340)</f>
        <v>60274926794</v>
      </c>
      <c r="U340" s="124">
        <f>SUM(J317:J340)</f>
        <v>315376736.52016884</v>
      </c>
    </row>
    <row r="341" spans="1:21">
      <c r="A341" s="23" t="s">
        <v>364</v>
      </c>
      <c r="B341" s="35" t="s">
        <v>365</v>
      </c>
      <c r="C341" s="125">
        <v>16246</v>
      </c>
      <c r="D341" s="132">
        <v>1664488635</v>
      </c>
      <c r="E341" s="116">
        <f t="shared" si="56"/>
        <v>102455.28960975009</v>
      </c>
      <c r="F341" s="134">
        <v>1196867052</v>
      </c>
      <c r="G341" s="117">
        <f t="shared" si="57"/>
        <v>73671.491567154997</v>
      </c>
      <c r="H341" s="7"/>
      <c r="I341" s="136">
        <v>4.2515000000000001</v>
      </c>
      <c r="J341" s="134">
        <v>5088480.2715779999</v>
      </c>
      <c r="K341" s="120">
        <f t="shared" si="55"/>
        <v>313.21434639775947</v>
      </c>
      <c r="L341" s="122">
        <f t="shared" si="58"/>
        <v>11968670.52</v>
      </c>
      <c r="M341" s="116">
        <f t="shared" si="59"/>
        <v>6880190.2484219996</v>
      </c>
      <c r="N341" s="123">
        <f t="shared" si="60"/>
        <v>423.50056927379046</v>
      </c>
      <c r="O341" s="5"/>
      <c r="P341" s="5">
        <f t="shared" si="61"/>
        <v>1</v>
      </c>
      <c r="Q341" s="7">
        <f t="shared" si="62"/>
        <v>16246</v>
      </c>
    </row>
    <row r="342" spans="1:21">
      <c r="A342" s="23" t="s">
        <v>366</v>
      </c>
      <c r="B342" s="35" t="s">
        <v>365</v>
      </c>
      <c r="C342" s="125">
        <v>19342</v>
      </c>
      <c r="D342" s="132">
        <v>1303673469</v>
      </c>
      <c r="E342" s="116">
        <f t="shared" si="56"/>
        <v>67401.172009099362</v>
      </c>
      <c r="F342" s="134">
        <v>669319775</v>
      </c>
      <c r="G342" s="117">
        <f t="shared" si="57"/>
        <v>34604.476010753802</v>
      </c>
      <c r="H342" s="7"/>
      <c r="I342" s="136">
        <v>3.5377999999999998</v>
      </c>
      <c r="J342" s="134">
        <v>2367919.4999949997</v>
      </c>
      <c r="K342" s="120">
        <f t="shared" si="55"/>
        <v>122.42371523084478</v>
      </c>
      <c r="L342" s="122">
        <f t="shared" si="58"/>
        <v>6693197.75</v>
      </c>
      <c r="M342" s="116">
        <f t="shared" si="59"/>
        <v>4325278.2500050003</v>
      </c>
      <c r="N342" s="123">
        <f t="shared" si="60"/>
        <v>223.62104487669322</v>
      </c>
      <c r="O342" s="5"/>
      <c r="P342" s="5">
        <f t="shared" si="61"/>
        <v>1</v>
      </c>
      <c r="Q342" s="7">
        <f t="shared" si="62"/>
        <v>19342</v>
      </c>
    </row>
    <row r="343" spans="1:21">
      <c r="A343" s="23" t="s">
        <v>367</v>
      </c>
      <c r="B343" s="35" t="s">
        <v>365</v>
      </c>
      <c r="C343" s="125">
        <v>5602</v>
      </c>
      <c r="D343" s="132">
        <v>408664512</v>
      </c>
      <c r="E343" s="116">
        <f t="shared" si="56"/>
        <v>72949.752231345949</v>
      </c>
      <c r="F343" s="134">
        <v>266506940</v>
      </c>
      <c r="G343" s="117">
        <f t="shared" si="57"/>
        <v>47573.534451981432</v>
      </c>
      <c r="H343" s="9"/>
      <c r="I343" s="136">
        <v>7.5</v>
      </c>
      <c r="J343" s="134">
        <v>1998802.05</v>
      </c>
      <c r="K343" s="120">
        <f t="shared" si="55"/>
        <v>356.80150838986077</v>
      </c>
      <c r="L343" s="122">
        <f t="shared" si="58"/>
        <v>2665069.4</v>
      </c>
      <c r="M343" s="116">
        <f t="shared" si="59"/>
        <v>666267.34999999986</v>
      </c>
      <c r="N343" s="123">
        <f t="shared" si="60"/>
        <v>118.93383612995356</v>
      </c>
      <c r="O343" s="5"/>
      <c r="P343" s="5">
        <f t="shared" si="61"/>
        <v>1</v>
      </c>
      <c r="Q343" s="7">
        <f t="shared" si="62"/>
        <v>5602</v>
      </c>
    </row>
    <row r="344" spans="1:21">
      <c r="A344" s="23" t="s">
        <v>368</v>
      </c>
      <c r="B344" s="35" t="s">
        <v>365</v>
      </c>
      <c r="C344" s="125">
        <v>4662</v>
      </c>
      <c r="D344" s="132">
        <v>327446661</v>
      </c>
      <c r="E344" s="116">
        <f t="shared" ref="E344:E389" si="63">(D344/C344)</f>
        <v>70237.379021879024</v>
      </c>
      <c r="F344" s="134">
        <v>186595235</v>
      </c>
      <c r="G344" s="117">
        <f t="shared" ref="G344:G389" si="64">(F344/C344)</f>
        <v>40024.717932217929</v>
      </c>
      <c r="H344" s="7"/>
      <c r="I344" s="136">
        <v>7.9</v>
      </c>
      <c r="J344" s="134">
        <v>1474102.3565</v>
      </c>
      <c r="K344" s="120">
        <f t="shared" ref="K344:K389" si="65">(J344/C344)</f>
        <v>316.19527166452167</v>
      </c>
      <c r="L344" s="122">
        <f t="shared" si="58"/>
        <v>1865952.35</v>
      </c>
      <c r="M344" s="116">
        <f t="shared" si="59"/>
        <v>391849.9935000001</v>
      </c>
      <c r="N344" s="123">
        <f t="shared" si="60"/>
        <v>84.051907657657679</v>
      </c>
      <c r="O344" s="5"/>
      <c r="P344" s="5">
        <f t="shared" si="61"/>
        <v>1</v>
      </c>
      <c r="Q344" s="7">
        <f t="shared" si="62"/>
        <v>4662</v>
      </c>
    </row>
    <row r="345" spans="1:21">
      <c r="A345" s="23" t="s">
        <v>369</v>
      </c>
      <c r="B345" s="35" t="s">
        <v>365</v>
      </c>
      <c r="C345" s="125">
        <v>2574</v>
      </c>
      <c r="D345" s="132">
        <v>157523246</v>
      </c>
      <c r="E345" s="116">
        <f t="shared" si="63"/>
        <v>61197.842268842272</v>
      </c>
      <c r="F345" s="134">
        <v>79571009</v>
      </c>
      <c r="G345" s="117">
        <f t="shared" si="64"/>
        <v>30913.367909867909</v>
      </c>
      <c r="H345" s="7"/>
      <c r="I345" s="136">
        <v>7.6516000000000002</v>
      </c>
      <c r="J345" s="134">
        <v>608845.53246440005</v>
      </c>
      <c r="K345" s="120">
        <f t="shared" si="65"/>
        <v>236.53672589914532</v>
      </c>
      <c r="L345" s="122">
        <f t="shared" si="58"/>
        <v>795710.09</v>
      </c>
      <c r="M345" s="116">
        <f t="shared" si="59"/>
        <v>186864.55753559992</v>
      </c>
      <c r="N345" s="123">
        <f t="shared" si="60"/>
        <v>72.596953199533772</v>
      </c>
      <c r="O345" s="5"/>
      <c r="P345" s="5">
        <f t="shared" si="61"/>
        <v>1</v>
      </c>
      <c r="Q345" s="7">
        <f t="shared" si="62"/>
        <v>2574</v>
      </c>
    </row>
    <row r="346" spans="1:21">
      <c r="A346" s="23" t="s">
        <v>370</v>
      </c>
      <c r="B346" s="35" t="s">
        <v>365</v>
      </c>
      <c r="C346" s="125">
        <v>5993</v>
      </c>
      <c r="D346" s="132">
        <v>216588396</v>
      </c>
      <c r="E346" s="116">
        <f t="shared" si="63"/>
        <v>36140.229601201405</v>
      </c>
      <c r="F346" s="134">
        <v>110635136</v>
      </c>
      <c r="G346" s="117">
        <f t="shared" si="64"/>
        <v>18460.726847989321</v>
      </c>
      <c r="H346" s="7"/>
      <c r="I346" s="150">
        <v>6.8704000000000001</v>
      </c>
      <c r="J346" s="134">
        <v>760107.63837439998</v>
      </c>
      <c r="K346" s="120">
        <f t="shared" si="65"/>
        <v>126.83257773642583</v>
      </c>
      <c r="L346" s="122">
        <f t="shared" si="58"/>
        <v>1106351.3600000001</v>
      </c>
      <c r="M346" s="116">
        <f t="shared" si="59"/>
        <v>346243.72162560013</v>
      </c>
      <c r="N346" s="123">
        <f t="shared" si="60"/>
        <v>57.774690743467403</v>
      </c>
      <c r="O346" s="5"/>
      <c r="P346" s="5">
        <f t="shared" si="61"/>
        <v>1</v>
      </c>
      <c r="Q346" s="7">
        <f t="shared" si="62"/>
        <v>5993</v>
      </c>
    </row>
    <row r="347" spans="1:21">
      <c r="A347" s="23" t="s">
        <v>371</v>
      </c>
      <c r="B347" s="35" t="s">
        <v>365</v>
      </c>
      <c r="C347" s="125">
        <v>3130</v>
      </c>
      <c r="D347" s="132">
        <v>242123195</v>
      </c>
      <c r="E347" s="116">
        <f t="shared" si="63"/>
        <v>77355.653354632581</v>
      </c>
      <c r="F347" s="134">
        <v>128483796</v>
      </c>
      <c r="G347" s="117">
        <f t="shared" si="64"/>
        <v>41049.136102236422</v>
      </c>
      <c r="H347" s="7"/>
      <c r="I347" s="136">
        <v>7.3045</v>
      </c>
      <c r="J347" s="134">
        <v>938509.88788199995</v>
      </c>
      <c r="K347" s="120">
        <f t="shared" si="65"/>
        <v>299.84341465878595</v>
      </c>
      <c r="L347" s="122">
        <f t="shared" si="58"/>
        <v>1284837.96</v>
      </c>
      <c r="M347" s="116">
        <f t="shared" si="59"/>
        <v>346328.07211800001</v>
      </c>
      <c r="N347" s="123">
        <f t="shared" si="60"/>
        <v>110.64794636357828</v>
      </c>
      <c r="O347" s="5"/>
      <c r="P347" s="5">
        <f t="shared" si="61"/>
        <v>1</v>
      </c>
      <c r="Q347" s="7">
        <f t="shared" si="62"/>
        <v>3130</v>
      </c>
    </row>
    <row r="348" spans="1:21">
      <c r="A348" s="23" t="s">
        <v>372</v>
      </c>
      <c r="B348" s="35" t="s">
        <v>365</v>
      </c>
      <c r="C348" s="125">
        <v>24298</v>
      </c>
      <c r="D348" s="132">
        <v>1706029413</v>
      </c>
      <c r="E348" s="116">
        <f t="shared" si="63"/>
        <v>70212.750555601291</v>
      </c>
      <c r="F348" s="134">
        <v>1161739536</v>
      </c>
      <c r="G348" s="117">
        <f t="shared" si="64"/>
        <v>47812.146514116386</v>
      </c>
      <c r="H348" s="7"/>
      <c r="I348" s="136">
        <v>7.5895000000000001</v>
      </c>
      <c r="J348" s="134">
        <v>8817022.2084720004</v>
      </c>
      <c r="K348" s="120">
        <f t="shared" si="65"/>
        <v>362.87028596888632</v>
      </c>
      <c r="L348" s="122">
        <f t="shared" si="58"/>
        <v>11617395.359999999</v>
      </c>
      <c r="M348" s="116">
        <f t="shared" si="59"/>
        <v>2800373.151527999</v>
      </c>
      <c r="N348" s="123">
        <f t="shared" si="60"/>
        <v>115.25117917227752</v>
      </c>
      <c r="O348" s="5"/>
      <c r="P348" s="5">
        <f t="shared" si="61"/>
        <v>1</v>
      </c>
      <c r="Q348" s="7">
        <f t="shared" si="62"/>
        <v>24298</v>
      </c>
    </row>
    <row r="349" spans="1:21">
      <c r="A349" s="23" t="s">
        <v>373</v>
      </c>
      <c r="B349" s="35" t="s">
        <v>365</v>
      </c>
      <c r="C349" s="125">
        <v>258</v>
      </c>
      <c r="D349" s="132">
        <v>18217021</v>
      </c>
      <c r="E349" s="116">
        <f t="shared" si="63"/>
        <v>70608.608527131786</v>
      </c>
      <c r="F349" s="134">
        <v>12554909</v>
      </c>
      <c r="G349" s="117">
        <f t="shared" si="64"/>
        <v>48662.437984496122</v>
      </c>
      <c r="H349" s="7"/>
      <c r="I349" s="136">
        <v>9.9758999999999993</v>
      </c>
      <c r="J349" s="134">
        <v>125246.51669309998</v>
      </c>
      <c r="K349" s="120">
        <f t="shared" si="65"/>
        <v>485.45161508953481</v>
      </c>
      <c r="L349" s="122">
        <f t="shared" si="58"/>
        <v>125549.09</v>
      </c>
      <c r="M349" s="116">
        <f t="shared" si="59"/>
        <v>302.57330690001254</v>
      </c>
      <c r="N349" s="123">
        <f t="shared" si="60"/>
        <v>1.1727647554264051</v>
      </c>
      <c r="O349" s="5"/>
      <c r="P349" s="5">
        <f t="shared" si="61"/>
        <v>1</v>
      </c>
      <c r="Q349" s="7">
        <f t="shared" si="62"/>
        <v>258</v>
      </c>
    </row>
    <row r="350" spans="1:21">
      <c r="A350" s="23" t="s">
        <v>374</v>
      </c>
      <c r="B350" s="35" t="s">
        <v>365</v>
      </c>
      <c r="C350" s="125">
        <v>253</v>
      </c>
      <c r="D350" s="132">
        <v>20551308</v>
      </c>
      <c r="E350" s="116">
        <f t="shared" si="63"/>
        <v>81230.466403162049</v>
      </c>
      <c r="F350" s="134">
        <v>12320459</v>
      </c>
      <c r="G350" s="117">
        <f t="shared" si="64"/>
        <v>48697.466403162056</v>
      </c>
      <c r="H350" s="7"/>
      <c r="I350" s="136">
        <v>1.105</v>
      </c>
      <c r="J350" s="134">
        <v>13614.107195000001</v>
      </c>
      <c r="K350" s="120">
        <f t="shared" si="65"/>
        <v>53.810700375494072</v>
      </c>
      <c r="L350" s="122">
        <f t="shared" si="58"/>
        <v>123204.59</v>
      </c>
      <c r="M350" s="116">
        <f t="shared" si="59"/>
        <v>109590.48280499999</v>
      </c>
      <c r="N350" s="123">
        <f t="shared" si="60"/>
        <v>433.16396365612644</v>
      </c>
      <c r="O350" s="5"/>
      <c r="P350" s="5">
        <f t="shared" si="61"/>
        <v>1</v>
      </c>
      <c r="Q350" s="7">
        <f t="shared" si="62"/>
        <v>253</v>
      </c>
    </row>
    <row r="351" spans="1:21">
      <c r="A351" s="23" t="s">
        <v>375</v>
      </c>
      <c r="B351" s="35" t="s">
        <v>365</v>
      </c>
      <c r="C351" s="125">
        <v>5950</v>
      </c>
      <c r="D351" s="132">
        <v>351510239</v>
      </c>
      <c r="E351" s="116">
        <f t="shared" si="63"/>
        <v>59077.351092436977</v>
      </c>
      <c r="F351" s="134">
        <v>189609246</v>
      </c>
      <c r="G351" s="117">
        <f t="shared" si="64"/>
        <v>31867.100168067227</v>
      </c>
      <c r="H351" s="7"/>
      <c r="I351" s="136">
        <v>7.2389999999999999</v>
      </c>
      <c r="J351" s="134">
        <v>1372581.331794</v>
      </c>
      <c r="K351" s="120">
        <f t="shared" si="65"/>
        <v>230.68593811663865</v>
      </c>
      <c r="L351" s="122">
        <f t="shared" si="58"/>
        <v>1896092.46</v>
      </c>
      <c r="M351" s="116">
        <f t="shared" si="59"/>
        <v>523511.12820599996</v>
      </c>
      <c r="N351" s="123">
        <f t="shared" si="60"/>
        <v>87.985063564033609</v>
      </c>
      <c r="O351" s="5"/>
      <c r="P351" s="5">
        <f t="shared" si="61"/>
        <v>1</v>
      </c>
      <c r="Q351" s="7">
        <f t="shared" si="62"/>
        <v>5950</v>
      </c>
    </row>
    <row r="352" spans="1:21">
      <c r="A352" s="23" t="s">
        <v>376</v>
      </c>
      <c r="B352" s="35" t="s">
        <v>365</v>
      </c>
      <c r="C352" s="125">
        <v>1380</v>
      </c>
      <c r="D352" s="132">
        <v>124474084</v>
      </c>
      <c r="E352" s="116">
        <f t="shared" si="63"/>
        <v>90198.611594202899</v>
      </c>
      <c r="F352" s="134">
        <v>80692799</v>
      </c>
      <c r="G352" s="117">
        <f t="shared" si="64"/>
        <v>58473.042753623187</v>
      </c>
      <c r="H352" s="9"/>
      <c r="I352" s="136">
        <v>8.4276</v>
      </c>
      <c r="J352" s="134">
        <v>680046.63285239995</v>
      </c>
      <c r="K352" s="120">
        <f t="shared" si="65"/>
        <v>492.78741511043472</v>
      </c>
      <c r="L352" s="122">
        <f t="shared" si="58"/>
        <v>806927.99</v>
      </c>
      <c r="M352" s="116">
        <f t="shared" si="59"/>
        <v>126881.35714760004</v>
      </c>
      <c r="N352" s="123">
        <f t="shared" si="60"/>
        <v>91.943012425797122</v>
      </c>
      <c r="O352" s="5"/>
      <c r="P352" s="5">
        <f t="shared" si="61"/>
        <v>1</v>
      </c>
      <c r="Q352" s="7">
        <f t="shared" si="62"/>
        <v>1380</v>
      </c>
    </row>
    <row r="353" spans="1:21">
      <c r="A353" s="23" t="s">
        <v>377</v>
      </c>
      <c r="B353" s="35" t="s">
        <v>365</v>
      </c>
      <c r="C353" s="125">
        <v>15791</v>
      </c>
      <c r="D353" s="132">
        <v>1133816501</v>
      </c>
      <c r="E353" s="116">
        <f t="shared" si="63"/>
        <v>71801.437591032867</v>
      </c>
      <c r="F353" s="134">
        <v>730155782</v>
      </c>
      <c r="G353" s="117">
        <f t="shared" si="64"/>
        <v>46238.729782787661</v>
      </c>
      <c r="H353" s="9"/>
      <c r="I353" s="136">
        <v>7.0438000000000001</v>
      </c>
      <c r="J353" s="134">
        <v>5143071.2972515998</v>
      </c>
      <c r="K353" s="120">
        <f t="shared" si="65"/>
        <v>325.69636484399973</v>
      </c>
      <c r="L353" s="122">
        <f t="shared" si="58"/>
        <v>7301557.8200000003</v>
      </c>
      <c r="M353" s="116">
        <f t="shared" si="59"/>
        <v>2158486.5227484005</v>
      </c>
      <c r="N353" s="123">
        <f t="shared" si="60"/>
        <v>136.69093298387693</v>
      </c>
      <c r="O353" s="5"/>
      <c r="P353" s="5">
        <f t="shared" si="61"/>
        <v>1</v>
      </c>
      <c r="Q353" s="7">
        <f t="shared" si="62"/>
        <v>15791</v>
      </c>
    </row>
    <row r="354" spans="1:21">
      <c r="A354" s="23" t="s">
        <v>378</v>
      </c>
      <c r="B354" s="35" t="s">
        <v>365</v>
      </c>
      <c r="C354" s="125">
        <v>105586</v>
      </c>
      <c r="D354" s="132">
        <v>9982809327</v>
      </c>
      <c r="E354" s="116">
        <f t="shared" si="63"/>
        <v>94546.713835167538</v>
      </c>
      <c r="F354" s="134">
        <v>6471486620</v>
      </c>
      <c r="G354" s="117">
        <f t="shared" si="64"/>
        <v>61291.142954558367</v>
      </c>
      <c r="H354" s="9"/>
      <c r="I354" s="136">
        <v>5.4644000000000004</v>
      </c>
      <c r="J354" s="134">
        <v>35362791.486328006</v>
      </c>
      <c r="K354" s="120">
        <f t="shared" si="65"/>
        <v>334.91932156088882</v>
      </c>
      <c r="L354" s="122">
        <f t="shared" si="58"/>
        <v>64714866.200000003</v>
      </c>
      <c r="M354" s="116">
        <f t="shared" si="59"/>
        <v>29352074.713671997</v>
      </c>
      <c r="N354" s="123">
        <f t="shared" si="60"/>
        <v>277.99210798469494</v>
      </c>
      <c r="O354" s="5"/>
      <c r="P354" s="5">
        <f t="shared" si="61"/>
        <v>1</v>
      </c>
      <c r="Q354" s="7">
        <f t="shared" si="62"/>
        <v>105586</v>
      </c>
    </row>
    <row r="355" spans="1:21">
      <c r="A355" s="23" t="s">
        <v>379</v>
      </c>
      <c r="B355" s="35" t="s">
        <v>365</v>
      </c>
      <c r="C355" s="125">
        <v>3865</v>
      </c>
      <c r="D355" s="132">
        <v>299352332</v>
      </c>
      <c r="E355" s="116">
        <f t="shared" si="63"/>
        <v>77452.091073738688</v>
      </c>
      <c r="F355" s="134">
        <v>202536969</v>
      </c>
      <c r="G355" s="117">
        <f t="shared" si="64"/>
        <v>52402.838033635191</v>
      </c>
      <c r="H355" s="7"/>
      <c r="I355" s="136">
        <v>6.44</v>
      </c>
      <c r="J355" s="134">
        <v>1304338.08036</v>
      </c>
      <c r="K355" s="120">
        <f t="shared" si="65"/>
        <v>337.47427693661064</v>
      </c>
      <c r="L355" s="122">
        <f t="shared" si="58"/>
        <v>2025369.69</v>
      </c>
      <c r="M355" s="116">
        <f t="shared" si="59"/>
        <v>721031.60963999992</v>
      </c>
      <c r="N355" s="123">
        <f t="shared" si="60"/>
        <v>186.55410339974125</v>
      </c>
      <c r="O355" s="5"/>
      <c r="P355" s="5">
        <f t="shared" si="61"/>
        <v>1</v>
      </c>
      <c r="Q355" s="7">
        <f t="shared" si="62"/>
        <v>3865</v>
      </c>
    </row>
    <row r="356" spans="1:21">
      <c r="A356" s="23" t="s">
        <v>380</v>
      </c>
      <c r="B356" s="35" t="s">
        <v>365</v>
      </c>
      <c r="C356" s="125">
        <v>2088</v>
      </c>
      <c r="D356" s="132">
        <v>170925175</v>
      </c>
      <c r="E356" s="116">
        <f t="shared" si="63"/>
        <v>81860.715996168583</v>
      </c>
      <c r="F356" s="134">
        <v>110539284</v>
      </c>
      <c r="G356" s="117">
        <f t="shared" si="64"/>
        <v>52940.270114942527</v>
      </c>
      <c r="H356" s="7"/>
      <c r="I356" s="136">
        <v>7.25</v>
      </c>
      <c r="J356" s="134">
        <v>801409.80900000001</v>
      </c>
      <c r="K356" s="120">
        <f t="shared" si="65"/>
        <v>383.81695833333333</v>
      </c>
      <c r="L356" s="122">
        <f t="shared" si="58"/>
        <v>1105392.8400000001</v>
      </c>
      <c r="M356" s="116">
        <f t="shared" si="59"/>
        <v>303983.03100000008</v>
      </c>
      <c r="N356" s="123">
        <f t="shared" si="60"/>
        <v>145.58574281609199</v>
      </c>
      <c r="O356" s="5"/>
      <c r="P356" s="5">
        <f t="shared" si="61"/>
        <v>1</v>
      </c>
      <c r="Q356" s="7">
        <f t="shared" si="62"/>
        <v>2088</v>
      </c>
      <c r="S356" s="124"/>
      <c r="T356" s="124"/>
      <c r="U356" s="124"/>
    </row>
    <row r="357" spans="1:21">
      <c r="A357" s="23" t="s">
        <v>381</v>
      </c>
      <c r="B357" s="35" t="s">
        <v>365</v>
      </c>
      <c r="C357" s="125">
        <v>42828</v>
      </c>
      <c r="D357" s="132">
        <v>3635905452</v>
      </c>
      <c r="E357" s="116">
        <f t="shared" si="63"/>
        <v>84895.522835528158</v>
      </c>
      <c r="F357" s="134">
        <v>2377181737</v>
      </c>
      <c r="G357" s="117">
        <f t="shared" si="64"/>
        <v>55505.3174792192</v>
      </c>
      <c r="H357" s="7"/>
      <c r="I357" s="136">
        <v>6.79</v>
      </c>
      <c r="J357" s="134">
        <v>16141063.99423</v>
      </c>
      <c r="K357" s="120">
        <f t="shared" si="65"/>
        <v>376.8811056838984</v>
      </c>
      <c r="L357" s="122">
        <f t="shared" si="58"/>
        <v>23771817.370000001</v>
      </c>
      <c r="M357" s="116">
        <f t="shared" si="59"/>
        <v>7630753.3757700007</v>
      </c>
      <c r="N357" s="123">
        <f t="shared" si="60"/>
        <v>178.17206910829367</v>
      </c>
      <c r="O357" s="5"/>
      <c r="P357" s="5">
        <f t="shared" si="61"/>
        <v>1</v>
      </c>
      <c r="Q357" s="7">
        <f t="shared" si="62"/>
        <v>42828</v>
      </c>
      <c r="S357" s="124">
        <f>SUM(D341:D357)</f>
        <v>21764098966</v>
      </c>
      <c r="T357" s="124">
        <f>SUM(F341:F357)</f>
        <v>13986796284</v>
      </c>
      <c r="U357" s="124">
        <f>SUM(J341:J357)</f>
        <v>82997952.700969905</v>
      </c>
    </row>
    <row r="358" spans="1:21">
      <c r="A358" s="23" t="s">
        <v>382</v>
      </c>
      <c r="B358" s="35" t="s">
        <v>383</v>
      </c>
      <c r="C358" s="125">
        <v>1553</v>
      </c>
      <c r="D358" s="132">
        <v>116372803</v>
      </c>
      <c r="E358" s="116">
        <f t="shared" si="63"/>
        <v>74934.193818415966</v>
      </c>
      <c r="F358" s="134">
        <v>64323985</v>
      </c>
      <c r="G358" s="117">
        <f t="shared" si="64"/>
        <v>41419.179008370898</v>
      </c>
      <c r="H358" s="7"/>
      <c r="I358" s="136">
        <v>8.5914000000000001</v>
      </c>
      <c r="J358" s="134">
        <v>552633.08472899999</v>
      </c>
      <c r="K358" s="120">
        <f t="shared" si="65"/>
        <v>355.84873453251771</v>
      </c>
      <c r="L358" s="122">
        <f t="shared" si="58"/>
        <v>643239.85</v>
      </c>
      <c r="M358" s="116">
        <f t="shared" si="59"/>
        <v>90606.765270999982</v>
      </c>
      <c r="N358" s="123">
        <f t="shared" si="60"/>
        <v>58.343055551191235</v>
      </c>
      <c r="O358" s="5"/>
      <c r="P358" s="5">
        <f t="shared" si="61"/>
        <v>1</v>
      </c>
      <c r="Q358" s="7">
        <f t="shared" si="62"/>
        <v>1553</v>
      </c>
    </row>
    <row r="359" spans="1:21">
      <c r="A359" s="23" t="s">
        <v>384</v>
      </c>
      <c r="B359" s="35" t="s">
        <v>383</v>
      </c>
      <c r="C359" s="125">
        <v>1339</v>
      </c>
      <c r="D359" s="132">
        <v>112821165</v>
      </c>
      <c r="E359" s="116">
        <f t="shared" si="63"/>
        <v>84257.7781926811</v>
      </c>
      <c r="F359" s="134">
        <v>53928016</v>
      </c>
      <c r="G359" s="117">
        <f t="shared" si="64"/>
        <v>40274.843913368182</v>
      </c>
      <c r="H359" s="7"/>
      <c r="I359" s="136">
        <v>8.6830999999999996</v>
      </c>
      <c r="J359" s="134">
        <v>468262.35572959995</v>
      </c>
      <c r="K359" s="120">
        <f t="shared" si="65"/>
        <v>349.71049718416725</v>
      </c>
      <c r="L359" s="122">
        <f t="shared" si="58"/>
        <v>539280.16</v>
      </c>
      <c r="M359" s="116">
        <f t="shared" si="59"/>
        <v>71017.804270400084</v>
      </c>
      <c r="N359" s="123">
        <f t="shared" si="60"/>
        <v>53.037941949514625</v>
      </c>
      <c r="O359" s="5"/>
      <c r="P359" s="5">
        <f t="shared" si="61"/>
        <v>1</v>
      </c>
      <c r="Q359" s="7">
        <f t="shared" si="62"/>
        <v>1339</v>
      </c>
    </row>
    <row r="360" spans="1:21">
      <c r="A360" s="23" t="s">
        <v>385</v>
      </c>
      <c r="B360" s="35" t="s">
        <v>383</v>
      </c>
      <c r="C360" s="125">
        <v>10649</v>
      </c>
      <c r="D360" s="132">
        <v>830343618</v>
      </c>
      <c r="E360" s="116">
        <f t="shared" si="63"/>
        <v>77973.858390459194</v>
      </c>
      <c r="F360" s="134">
        <v>437702577</v>
      </c>
      <c r="G360" s="117">
        <f t="shared" si="64"/>
        <v>41102.692928913515</v>
      </c>
      <c r="H360" s="7"/>
      <c r="I360" s="136">
        <v>6.4</v>
      </c>
      <c r="J360" s="134">
        <v>2801296.4928000001</v>
      </c>
      <c r="K360" s="120">
        <f t="shared" si="65"/>
        <v>263.05723474504651</v>
      </c>
      <c r="L360" s="122">
        <f t="shared" si="58"/>
        <v>4377025.7700000005</v>
      </c>
      <c r="M360" s="116">
        <f t="shared" si="59"/>
        <v>1575729.2772000004</v>
      </c>
      <c r="N360" s="123">
        <f t="shared" si="60"/>
        <v>147.96969454408867</v>
      </c>
      <c r="O360" s="5"/>
      <c r="P360" s="5">
        <f t="shared" si="61"/>
        <v>1</v>
      </c>
      <c r="Q360" s="7">
        <f t="shared" si="62"/>
        <v>10649</v>
      </c>
    </row>
    <row r="361" spans="1:21">
      <c r="A361" s="23" t="s">
        <v>386</v>
      </c>
      <c r="B361" s="35" t="s">
        <v>383</v>
      </c>
      <c r="C361" s="125">
        <v>871</v>
      </c>
      <c r="D361" s="132">
        <v>46838026</v>
      </c>
      <c r="E361" s="116">
        <f t="shared" si="63"/>
        <v>53775.001148105628</v>
      </c>
      <c r="F361" s="134">
        <v>29721219</v>
      </c>
      <c r="G361" s="117">
        <f t="shared" si="64"/>
        <v>34123.098737083812</v>
      </c>
      <c r="H361" s="7"/>
      <c r="I361" s="136">
        <v>5.7873999999999999</v>
      </c>
      <c r="J361" s="134">
        <v>172008.58284059999</v>
      </c>
      <c r="K361" s="120">
        <f t="shared" si="65"/>
        <v>197.48402163099885</v>
      </c>
      <c r="L361" s="122">
        <f t="shared" si="58"/>
        <v>297212.19</v>
      </c>
      <c r="M361" s="116">
        <f t="shared" si="59"/>
        <v>125203.60715940001</v>
      </c>
      <c r="N361" s="123">
        <f t="shared" si="60"/>
        <v>143.74696573983928</v>
      </c>
      <c r="O361" s="5"/>
      <c r="P361" s="5">
        <f t="shared" si="61"/>
        <v>1</v>
      </c>
      <c r="Q361" s="7">
        <f t="shared" si="62"/>
        <v>871</v>
      </c>
      <c r="S361" s="124"/>
      <c r="T361" s="124"/>
      <c r="U361" s="124"/>
    </row>
    <row r="362" spans="1:21">
      <c r="A362" s="23" t="s">
        <v>387</v>
      </c>
      <c r="B362" s="35" t="s">
        <v>383</v>
      </c>
      <c r="C362" s="125">
        <v>712</v>
      </c>
      <c r="D362" s="132">
        <v>74943539</v>
      </c>
      <c r="E362" s="116">
        <f t="shared" si="63"/>
        <v>105257.77949438202</v>
      </c>
      <c r="F362" s="134">
        <v>55216331</v>
      </c>
      <c r="G362" s="117">
        <f t="shared" si="64"/>
        <v>77551.026685393255</v>
      </c>
      <c r="H362" s="9"/>
      <c r="I362" s="136">
        <v>5.5049999999999999</v>
      </c>
      <c r="J362" s="134">
        <v>303965.90215499996</v>
      </c>
      <c r="K362" s="120">
        <f t="shared" si="65"/>
        <v>426.91840190308983</v>
      </c>
      <c r="L362" s="122">
        <f t="shared" si="58"/>
        <v>552163.31000000006</v>
      </c>
      <c r="M362" s="116">
        <f t="shared" si="59"/>
        <v>248197.4078450001</v>
      </c>
      <c r="N362" s="123">
        <f t="shared" si="60"/>
        <v>348.59186495084282</v>
      </c>
      <c r="O362" s="5"/>
      <c r="P362" s="5">
        <f t="shared" si="61"/>
        <v>1</v>
      </c>
      <c r="Q362" s="7">
        <f t="shared" si="62"/>
        <v>712</v>
      </c>
      <c r="S362" s="124">
        <f>SUM(D358:D362)</f>
        <v>1181319151</v>
      </c>
      <c r="T362" s="124">
        <f>SUM(F358:F362)</f>
        <v>640892128</v>
      </c>
      <c r="U362" s="124">
        <f>SUM(J358:J362)</f>
        <v>4298166.4182542004</v>
      </c>
    </row>
    <row r="363" spans="1:21">
      <c r="A363" s="23" t="s">
        <v>390</v>
      </c>
      <c r="B363" s="35" t="s">
        <v>391</v>
      </c>
      <c r="C363" s="125">
        <v>5849</v>
      </c>
      <c r="D363" s="132">
        <v>1112552121</v>
      </c>
      <c r="E363" s="116">
        <f t="shared" si="63"/>
        <v>190212.36467772268</v>
      </c>
      <c r="F363" s="134">
        <v>768601504</v>
      </c>
      <c r="G363" s="117">
        <f t="shared" si="64"/>
        <v>131407.33527098648</v>
      </c>
      <c r="H363" s="9"/>
      <c r="I363" s="136">
        <v>1.9722999999999999</v>
      </c>
      <c r="J363" s="134">
        <v>1515912.7463392001</v>
      </c>
      <c r="K363" s="120">
        <f t="shared" si="65"/>
        <v>259.17468735496669</v>
      </c>
      <c r="L363" s="122">
        <f t="shared" si="58"/>
        <v>7686015.04</v>
      </c>
      <c r="M363" s="116">
        <f t="shared" si="59"/>
        <v>6170102.2936608</v>
      </c>
      <c r="N363" s="123">
        <f t="shared" si="60"/>
        <v>1054.8986653548982</v>
      </c>
      <c r="O363" s="5"/>
      <c r="P363" s="5">
        <f t="shared" si="61"/>
        <v>1</v>
      </c>
      <c r="Q363" s="7">
        <f t="shared" si="62"/>
        <v>5849</v>
      </c>
    </row>
    <row r="364" spans="1:21">
      <c r="A364" s="23" t="s">
        <v>392</v>
      </c>
      <c r="B364" s="35" t="s">
        <v>391</v>
      </c>
      <c r="C364" s="125">
        <v>521</v>
      </c>
      <c r="D364" s="132">
        <v>76551089</v>
      </c>
      <c r="E364" s="116">
        <f t="shared" si="63"/>
        <v>146931.07293666026</v>
      </c>
      <c r="F364" s="134">
        <v>53225605</v>
      </c>
      <c r="G364" s="117">
        <f t="shared" si="64"/>
        <v>102160.47024952015</v>
      </c>
      <c r="H364" s="9"/>
      <c r="I364" s="136">
        <v>2.5</v>
      </c>
      <c r="J364" s="134">
        <v>133064.01250000001</v>
      </c>
      <c r="K364" s="120">
        <f t="shared" si="65"/>
        <v>255.40117562380041</v>
      </c>
      <c r="L364" s="122">
        <f t="shared" si="58"/>
        <v>532256.05000000005</v>
      </c>
      <c r="M364" s="116">
        <f t="shared" si="59"/>
        <v>399192.03750000003</v>
      </c>
      <c r="N364" s="123">
        <f t="shared" si="60"/>
        <v>766.20352687140121</v>
      </c>
      <c r="O364" s="5"/>
      <c r="P364" s="5">
        <f t="shared" si="61"/>
        <v>1</v>
      </c>
      <c r="Q364" s="7">
        <f t="shared" si="62"/>
        <v>521</v>
      </c>
      <c r="S364" s="124"/>
      <c r="T364" s="124"/>
      <c r="U364" s="124"/>
    </row>
    <row r="365" spans="1:21">
      <c r="A365" s="23" t="s">
        <v>393</v>
      </c>
      <c r="B365" s="35" t="s">
        <v>391</v>
      </c>
      <c r="C365" s="125">
        <v>10186</v>
      </c>
      <c r="D365" s="132">
        <v>602755865</v>
      </c>
      <c r="E365" s="116">
        <f t="shared" si="63"/>
        <v>59174.93275083448</v>
      </c>
      <c r="F365" s="134">
        <v>344375431</v>
      </c>
      <c r="G365" s="117">
        <f t="shared" si="64"/>
        <v>33808.701256626744</v>
      </c>
      <c r="H365" s="7"/>
      <c r="I365" s="136">
        <v>3.2372999999999998</v>
      </c>
      <c r="J365" s="134">
        <v>1114846.5827762999</v>
      </c>
      <c r="K365" s="120">
        <f t="shared" si="65"/>
        <v>109.44890857807775</v>
      </c>
      <c r="L365" s="122">
        <f t="shared" si="58"/>
        <v>3443754.31</v>
      </c>
      <c r="M365" s="116">
        <f t="shared" si="59"/>
        <v>2328907.7272236999</v>
      </c>
      <c r="N365" s="123">
        <f t="shared" si="60"/>
        <v>228.63810398818967</v>
      </c>
      <c r="O365" s="5"/>
      <c r="P365" s="5">
        <f t="shared" si="61"/>
        <v>1</v>
      </c>
      <c r="Q365" s="7">
        <f t="shared" si="62"/>
        <v>10186</v>
      </c>
      <c r="S365" s="124">
        <f>SUM(D363:D365)</f>
        <v>1791859075</v>
      </c>
      <c r="T365" s="124">
        <f>SUM(F363:F365)</f>
        <v>1166202540</v>
      </c>
      <c r="U365" s="124">
        <f>SUM(J363:J365)</f>
        <v>2763823.3416154999</v>
      </c>
    </row>
    <row r="366" spans="1:21">
      <c r="A366" s="23" t="s">
        <v>394</v>
      </c>
      <c r="B366" s="35" t="s">
        <v>395</v>
      </c>
      <c r="C366" s="125">
        <v>70631</v>
      </c>
      <c r="D366" s="132">
        <v>6725539974</v>
      </c>
      <c r="E366" s="116">
        <f t="shared" si="63"/>
        <v>95220.795033342307</v>
      </c>
      <c r="F366" s="134">
        <v>4120260362</v>
      </c>
      <c r="G366" s="117">
        <f t="shared" si="64"/>
        <v>58335.013832453173</v>
      </c>
      <c r="H366" s="7"/>
      <c r="I366" s="136">
        <v>3.407</v>
      </c>
      <c r="J366" s="134">
        <v>14037727.053334</v>
      </c>
      <c r="K366" s="120">
        <f t="shared" si="65"/>
        <v>198.74739212716796</v>
      </c>
      <c r="L366" s="122">
        <f t="shared" si="58"/>
        <v>41202603.619999997</v>
      </c>
      <c r="M366" s="116">
        <f t="shared" si="59"/>
        <v>27164876.566666</v>
      </c>
      <c r="N366" s="123">
        <f t="shared" si="60"/>
        <v>384.60274619736379</v>
      </c>
      <c r="O366" s="5"/>
      <c r="P366" s="5">
        <f t="shared" si="61"/>
        <v>1</v>
      </c>
      <c r="Q366" s="7">
        <f t="shared" si="62"/>
        <v>70631</v>
      </c>
    </row>
    <row r="367" spans="1:21">
      <c r="A367" s="23" t="s">
        <v>395</v>
      </c>
      <c r="B367" s="35" t="s">
        <v>395</v>
      </c>
      <c r="C367" s="125">
        <v>55832</v>
      </c>
      <c r="D367" s="132">
        <v>15756969640</v>
      </c>
      <c r="E367" s="116">
        <f t="shared" si="63"/>
        <v>282221.12122080527</v>
      </c>
      <c r="F367" s="134">
        <v>10472413663</v>
      </c>
      <c r="G367" s="117">
        <f t="shared" si="64"/>
        <v>187570.09713067775</v>
      </c>
      <c r="H367" s="7"/>
      <c r="I367" s="136">
        <v>3.2631999999999999</v>
      </c>
      <c r="J367" s="134">
        <v>34173580.265101597</v>
      </c>
      <c r="K367" s="120">
        <f t="shared" si="65"/>
        <v>612.07874095682757</v>
      </c>
      <c r="L367" s="122">
        <f t="shared" si="58"/>
        <v>104724136.63</v>
      </c>
      <c r="M367" s="116">
        <f t="shared" si="59"/>
        <v>70550556.364898399</v>
      </c>
      <c r="N367" s="123">
        <f t="shared" si="60"/>
        <v>1263.6222303499499</v>
      </c>
      <c r="O367" s="5"/>
      <c r="P367" s="5">
        <f t="shared" si="61"/>
        <v>1</v>
      </c>
      <c r="Q367" s="7">
        <f t="shared" si="62"/>
        <v>55832</v>
      </c>
      <c r="S367" s="124"/>
      <c r="T367" s="124"/>
      <c r="U367" s="124"/>
    </row>
    <row r="368" spans="1:21">
      <c r="A368" s="23" t="s">
        <v>396</v>
      </c>
      <c r="B368" s="35" t="s">
        <v>395</v>
      </c>
      <c r="C368" s="125">
        <v>22781</v>
      </c>
      <c r="D368" s="132">
        <v>5369810123</v>
      </c>
      <c r="E368" s="116">
        <f t="shared" si="63"/>
        <v>235714.41653131996</v>
      </c>
      <c r="F368" s="134">
        <v>4053167594</v>
      </c>
      <c r="G368" s="117">
        <f t="shared" si="64"/>
        <v>177918.77415390019</v>
      </c>
      <c r="H368" s="7"/>
      <c r="I368" s="136">
        <v>3.7</v>
      </c>
      <c r="J368" s="134">
        <v>14996720.097800002</v>
      </c>
      <c r="K368" s="120">
        <f t="shared" si="65"/>
        <v>658.29946436943078</v>
      </c>
      <c r="L368" s="122">
        <f t="shared" si="58"/>
        <v>40531675.939999998</v>
      </c>
      <c r="M368" s="116">
        <f t="shared" si="59"/>
        <v>25534955.842199996</v>
      </c>
      <c r="N368" s="123">
        <f t="shared" si="60"/>
        <v>1120.888277169571</v>
      </c>
      <c r="O368" s="5"/>
      <c r="P368" s="5">
        <f t="shared" si="61"/>
        <v>1</v>
      </c>
      <c r="Q368" s="7">
        <f t="shared" si="62"/>
        <v>22781</v>
      </c>
      <c r="S368" s="124">
        <f>SUM(D366:D368)</f>
        <v>27852319737</v>
      </c>
      <c r="T368" s="124">
        <f>SUM(F366:F368)</f>
        <v>18645841619</v>
      </c>
      <c r="U368" s="124">
        <f>SUM(J366:J368)</f>
        <v>63208027.416235596</v>
      </c>
    </row>
    <row r="369" spans="1:21">
      <c r="A369" s="23" t="s">
        <v>397</v>
      </c>
      <c r="B369" s="35" t="s">
        <v>360</v>
      </c>
      <c r="C369" s="125">
        <v>44947</v>
      </c>
      <c r="D369" s="132">
        <v>4451958670</v>
      </c>
      <c r="E369" s="116">
        <f t="shared" si="63"/>
        <v>99049.072685607491</v>
      </c>
      <c r="F369" s="134">
        <v>3245780103</v>
      </c>
      <c r="G369" s="117">
        <f t="shared" si="64"/>
        <v>72213.498186753292</v>
      </c>
      <c r="H369" s="7"/>
      <c r="I369" s="136">
        <v>3.1</v>
      </c>
      <c r="J369" s="134">
        <v>10061918.319300001</v>
      </c>
      <c r="K369" s="120">
        <f t="shared" si="65"/>
        <v>223.86184437893522</v>
      </c>
      <c r="L369" s="122">
        <f t="shared" si="58"/>
        <v>32457801.030000001</v>
      </c>
      <c r="M369" s="116">
        <f t="shared" si="59"/>
        <v>22395882.710699998</v>
      </c>
      <c r="N369" s="123">
        <f t="shared" si="60"/>
        <v>498.27313748859763</v>
      </c>
      <c r="O369" s="5"/>
      <c r="P369" s="5">
        <f t="shared" si="61"/>
        <v>1</v>
      </c>
      <c r="Q369" s="7">
        <f t="shared" si="62"/>
        <v>44947</v>
      </c>
    </row>
    <row r="370" spans="1:21">
      <c r="A370" s="23" t="s">
        <v>398</v>
      </c>
      <c r="B370" s="35" t="s">
        <v>360</v>
      </c>
      <c r="C370" s="125">
        <v>29778</v>
      </c>
      <c r="D370" s="132">
        <v>2142293209</v>
      </c>
      <c r="E370" s="116">
        <f t="shared" si="63"/>
        <v>71942.145510108137</v>
      </c>
      <c r="F370" s="134">
        <v>1532416672</v>
      </c>
      <c r="G370" s="117">
        <f t="shared" si="64"/>
        <v>51461.369870374103</v>
      </c>
      <c r="H370" s="7"/>
      <c r="I370" s="136">
        <v>3.0518999999999998</v>
      </c>
      <c r="J370" s="134">
        <v>4676782.4412767999</v>
      </c>
      <c r="K370" s="120">
        <f t="shared" si="65"/>
        <v>157.05495470739473</v>
      </c>
      <c r="L370" s="122">
        <f t="shared" si="58"/>
        <v>15324166.720000001</v>
      </c>
      <c r="M370" s="116">
        <f t="shared" si="59"/>
        <v>10647384.278723201</v>
      </c>
      <c r="N370" s="123">
        <f t="shared" si="60"/>
        <v>357.55874399634632</v>
      </c>
      <c r="O370" s="5"/>
      <c r="P370" s="5">
        <f t="shared" si="61"/>
        <v>1</v>
      </c>
      <c r="Q370" s="7">
        <f t="shared" si="62"/>
        <v>29778</v>
      </c>
    </row>
    <row r="371" spans="1:21">
      <c r="A371" s="23" t="s">
        <v>399</v>
      </c>
      <c r="B371" s="35" t="s">
        <v>360</v>
      </c>
      <c r="C371" s="125">
        <v>16746</v>
      </c>
      <c r="D371" s="132">
        <v>3015481892</v>
      </c>
      <c r="E371" s="116">
        <f t="shared" si="63"/>
        <v>180071.77188582349</v>
      </c>
      <c r="F371" s="134">
        <v>2418182385</v>
      </c>
      <c r="G371" s="117">
        <f t="shared" si="64"/>
        <v>144403.58204944464</v>
      </c>
      <c r="H371" s="7"/>
      <c r="I371" s="136">
        <v>3.5895000000000001</v>
      </c>
      <c r="J371" s="134">
        <v>8680065.6709575001</v>
      </c>
      <c r="K371" s="120">
        <f t="shared" si="65"/>
        <v>518.33665776648161</v>
      </c>
      <c r="L371" s="122">
        <f t="shared" si="58"/>
        <v>24181823.850000001</v>
      </c>
      <c r="M371" s="116">
        <f t="shared" si="59"/>
        <v>15501758.179042501</v>
      </c>
      <c r="N371" s="123">
        <f t="shared" si="60"/>
        <v>925.69916272796502</v>
      </c>
      <c r="O371" s="5"/>
      <c r="P371" s="5">
        <f t="shared" si="61"/>
        <v>1</v>
      </c>
      <c r="Q371" s="7">
        <f t="shared" si="62"/>
        <v>16746</v>
      </c>
    </row>
    <row r="372" spans="1:21">
      <c r="A372" s="23" t="s">
        <v>400</v>
      </c>
      <c r="B372" s="35" t="s">
        <v>360</v>
      </c>
      <c r="C372" s="125">
        <v>15279</v>
      </c>
      <c r="D372" s="147">
        <v>1578918526</v>
      </c>
      <c r="E372" s="116">
        <f t="shared" si="63"/>
        <v>103339.127298907</v>
      </c>
      <c r="F372" s="134">
        <v>1111095538</v>
      </c>
      <c r="G372" s="117">
        <f t="shared" si="64"/>
        <v>72720.435761502711</v>
      </c>
      <c r="H372" s="7"/>
      <c r="I372" s="136">
        <v>5.5</v>
      </c>
      <c r="J372" s="134">
        <v>6111025.4589999998</v>
      </c>
      <c r="K372" s="120">
        <f t="shared" si="65"/>
        <v>399.9623966882649</v>
      </c>
      <c r="L372" s="122">
        <f t="shared" si="58"/>
        <v>11110955.380000001</v>
      </c>
      <c r="M372" s="116">
        <f t="shared" si="59"/>
        <v>4999929.921000001</v>
      </c>
      <c r="N372" s="123">
        <f t="shared" si="60"/>
        <v>327.24196092676232</v>
      </c>
      <c r="O372" s="5"/>
      <c r="P372" s="5">
        <f t="shared" si="61"/>
        <v>1</v>
      </c>
      <c r="Q372" s="7">
        <f t="shared" si="62"/>
        <v>15279</v>
      </c>
    </row>
    <row r="373" spans="1:21">
      <c r="A373" s="23" t="s">
        <v>401</v>
      </c>
      <c r="B373" s="35" t="s">
        <v>360</v>
      </c>
      <c r="C373" s="125">
        <v>39739</v>
      </c>
      <c r="D373" s="132">
        <v>4050256328</v>
      </c>
      <c r="E373" s="116">
        <f t="shared" si="63"/>
        <v>101921.44563275372</v>
      </c>
      <c r="F373" s="134">
        <v>2782508002</v>
      </c>
      <c r="G373" s="117">
        <f t="shared" si="64"/>
        <v>70019.577795113117</v>
      </c>
      <c r="H373" s="7"/>
      <c r="I373" s="136">
        <v>5.0970000000000004</v>
      </c>
      <c r="J373" s="134">
        <v>14182443.286194</v>
      </c>
      <c r="K373" s="120">
        <f t="shared" si="65"/>
        <v>356.88978802169157</v>
      </c>
      <c r="L373" s="122">
        <f t="shared" si="58"/>
        <v>27825080.02</v>
      </c>
      <c r="M373" s="116">
        <f t="shared" si="59"/>
        <v>13642636.733805999</v>
      </c>
      <c r="N373" s="123">
        <f t="shared" si="60"/>
        <v>343.30598992943959</v>
      </c>
      <c r="O373" s="5"/>
      <c r="P373" s="5">
        <f t="shared" si="61"/>
        <v>1</v>
      </c>
      <c r="Q373" s="7">
        <f t="shared" si="62"/>
        <v>39739</v>
      </c>
    </row>
    <row r="374" spans="1:21">
      <c r="A374" s="23" t="s">
        <v>402</v>
      </c>
      <c r="B374" s="35" t="s">
        <v>360</v>
      </c>
      <c r="C374" s="125">
        <v>59033</v>
      </c>
      <c r="D374" s="132">
        <v>4672340542</v>
      </c>
      <c r="E374" s="116">
        <f t="shared" si="63"/>
        <v>79147.943387596766</v>
      </c>
      <c r="F374" s="134">
        <v>3149864961</v>
      </c>
      <c r="G374" s="117">
        <f t="shared" si="64"/>
        <v>53357.697575932107</v>
      </c>
      <c r="H374" s="7"/>
      <c r="I374" s="136">
        <v>7.3250000000000002</v>
      </c>
      <c r="J374" s="134">
        <v>23072760.839325</v>
      </c>
      <c r="K374" s="120">
        <f t="shared" si="65"/>
        <v>390.84513474370266</v>
      </c>
      <c r="L374" s="122">
        <f t="shared" si="58"/>
        <v>31498649.609999999</v>
      </c>
      <c r="M374" s="116">
        <f t="shared" si="59"/>
        <v>8425888.7706749998</v>
      </c>
      <c r="N374" s="123">
        <f t="shared" si="60"/>
        <v>142.73184101561839</v>
      </c>
      <c r="O374" s="5"/>
      <c r="P374" s="5">
        <f t="shared" si="61"/>
        <v>1</v>
      </c>
      <c r="Q374" s="7">
        <f t="shared" si="62"/>
        <v>59033</v>
      </c>
      <c r="S374" s="124"/>
      <c r="T374" s="124"/>
      <c r="U374" s="124"/>
    </row>
    <row r="375" spans="1:21">
      <c r="A375" s="23" t="s">
        <v>403</v>
      </c>
      <c r="B375" s="37" t="s">
        <v>360</v>
      </c>
      <c r="C375" s="125">
        <v>37639</v>
      </c>
      <c r="D375" s="132">
        <v>3453428668</v>
      </c>
      <c r="E375" s="116">
        <f t="shared" si="63"/>
        <v>91751.3395148649</v>
      </c>
      <c r="F375" s="134">
        <v>2293968241</v>
      </c>
      <c r="G375" s="117">
        <f t="shared" si="64"/>
        <v>60946.577778368184</v>
      </c>
      <c r="H375" s="7"/>
      <c r="I375" s="136">
        <v>2.4300000000000002</v>
      </c>
      <c r="J375" s="134">
        <v>5574342.8256299999</v>
      </c>
      <c r="K375" s="120">
        <f t="shared" si="65"/>
        <v>148.10018400143468</v>
      </c>
      <c r="L375" s="122">
        <f t="shared" si="58"/>
        <v>22939682.41</v>
      </c>
      <c r="M375" s="116">
        <f t="shared" si="59"/>
        <v>17365339.584370002</v>
      </c>
      <c r="N375" s="123">
        <f t="shared" si="60"/>
        <v>461.36559378224717</v>
      </c>
      <c r="O375" s="5"/>
      <c r="P375" s="5">
        <f t="shared" si="61"/>
        <v>1</v>
      </c>
      <c r="Q375" s="7">
        <f t="shared" si="62"/>
        <v>37639</v>
      </c>
      <c r="S375" s="124">
        <f>SUM(D369:D375)</f>
        <v>23364677835</v>
      </c>
      <c r="T375" s="124">
        <f>SUM(F369:F375)</f>
        <v>16533815902</v>
      </c>
      <c r="U375" s="124">
        <f>SUM(J369:J375)</f>
        <v>72359338.841683298</v>
      </c>
    </row>
    <row r="376" spans="1:21">
      <c r="A376" s="24" t="s">
        <v>549</v>
      </c>
      <c r="B376" s="37" t="s">
        <v>551</v>
      </c>
      <c r="C376" s="125">
        <v>14021</v>
      </c>
      <c r="D376" s="132">
        <v>2604513755</v>
      </c>
      <c r="E376" s="116">
        <f t="shared" si="63"/>
        <v>185758.05969617004</v>
      </c>
      <c r="F376" s="134">
        <v>1603984650</v>
      </c>
      <c r="G376" s="117">
        <f t="shared" si="64"/>
        <v>114398.73404179445</v>
      </c>
      <c r="H376" s="7"/>
      <c r="I376" s="136">
        <v>7.5</v>
      </c>
      <c r="J376" s="134">
        <v>12029884.875</v>
      </c>
      <c r="K376" s="120">
        <f t="shared" si="65"/>
        <v>857.99050531345836</v>
      </c>
      <c r="L376" s="122">
        <f t="shared" si="58"/>
        <v>16039846.5</v>
      </c>
      <c r="M376" s="116">
        <f t="shared" si="59"/>
        <v>4009961.625</v>
      </c>
      <c r="N376" s="123">
        <f t="shared" si="60"/>
        <v>285.99683510448614</v>
      </c>
      <c r="O376" s="5"/>
      <c r="P376" s="5">
        <f t="shared" si="61"/>
        <v>1</v>
      </c>
      <c r="Q376" s="7">
        <f t="shared" si="62"/>
        <v>14021</v>
      </c>
    </row>
    <row r="377" spans="1:21">
      <c r="A377" s="24" t="s">
        <v>550</v>
      </c>
      <c r="B377" s="37" t="s">
        <v>551</v>
      </c>
      <c r="C377" s="125">
        <v>6713</v>
      </c>
      <c r="D377" s="132">
        <v>1622713973</v>
      </c>
      <c r="E377" s="116">
        <f t="shared" si="63"/>
        <v>241727.09265604051</v>
      </c>
      <c r="F377" s="134">
        <v>1262109888</v>
      </c>
      <c r="G377" s="117">
        <f t="shared" si="64"/>
        <v>188009.81498584835</v>
      </c>
      <c r="H377" s="7"/>
      <c r="I377" s="136">
        <v>2.3992</v>
      </c>
      <c r="J377" s="134">
        <v>3028054.0432895999</v>
      </c>
      <c r="K377" s="120">
        <f t="shared" si="65"/>
        <v>451.07314811404734</v>
      </c>
      <c r="L377" s="122">
        <f t="shared" si="58"/>
        <v>12621098.880000001</v>
      </c>
      <c r="M377" s="116">
        <f t="shared" si="59"/>
        <v>9593044.8367104009</v>
      </c>
      <c r="N377" s="123">
        <f t="shared" si="60"/>
        <v>1429.0250017444364</v>
      </c>
      <c r="O377" s="5"/>
      <c r="P377" s="5">
        <f t="shared" si="61"/>
        <v>1</v>
      </c>
      <c r="Q377" s="7">
        <f t="shared" si="62"/>
        <v>6713</v>
      </c>
      <c r="S377" s="124">
        <f>SUM(D376:D377)</f>
        <v>4227227728</v>
      </c>
      <c r="T377" s="124">
        <f>SUM(F376:F377)</f>
        <v>2866094538</v>
      </c>
      <c r="U377" s="124">
        <f>SUM(J376:J377)</f>
        <v>15057938.9182896</v>
      </c>
    </row>
    <row r="378" spans="1:21">
      <c r="A378" s="23" t="s">
        <v>389</v>
      </c>
      <c r="B378" s="37" t="s">
        <v>552</v>
      </c>
      <c r="C378" s="125">
        <v>43326</v>
      </c>
      <c r="D378" s="132">
        <v>4047495518</v>
      </c>
      <c r="E378" s="116">
        <f t="shared" si="63"/>
        <v>93419.55218575451</v>
      </c>
      <c r="F378" s="134">
        <v>2386742675</v>
      </c>
      <c r="G378" s="117">
        <f t="shared" si="64"/>
        <v>55087.999699949221</v>
      </c>
      <c r="H378" s="7"/>
      <c r="I378" s="136">
        <v>6.9</v>
      </c>
      <c r="J378" s="134">
        <v>16468524.4575</v>
      </c>
      <c r="K378" s="120">
        <f t="shared" si="65"/>
        <v>380.1071979296496</v>
      </c>
      <c r="L378" s="122">
        <f t="shared" si="58"/>
        <v>23867426.75</v>
      </c>
      <c r="M378" s="116">
        <f t="shared" si="59"/>
        <v>7398902.2925000004</v>
      </c>
      <c r="N378" s="123">
        <f t="shared" si="60"/>
        <v>170.77279906984259</v>
      </c>
      <c r="O378" s="5"/>
      <c r="P378" s="5">
        <f t="shared" si="61"/>
        <v>1</v>
      </c>
      <c r="Q378" s="7">
        <f t="shared" si="62"/>
        <v>43326</v>
      </c>
    </row>
    <row r="379" spans="1:21">
      <c r="A379" s="24" t="s">
        <v>553</v>
      </c>
      <c r="B379" s="37" t="s">
        <v>552</v>
      </c>
      <c r="C379" s="125">
        <v>185843</v>
      </c>
      <c r="D379" s="132">
        <v>17262039546</v>
      </c>
      <c r="E379" s="116">
        <f t="shared" si="63"/>
        <v>92885.067212647235</v>
      </c>
      <c r="F379" s="134">
        <v>9662867928</v>
      </c>
      <c r="G379" s="117">
        <f t="shared" si="64"/>
        <v>51994.790914912046</v>
      </c>
      <c r="H379" s="7"/>
      <c r="I379" s="136">
        <v>5.0807000000000002</v>
      </c>
      <c r="J379" s="134">
        <v>49094133.081789605</v>
      </c>
      <c r="K379" s="120">
        <f t="shared" si="65"/>
        <v>264.16993420139369</v>
      </c>
      <c r="L379" s="122">
        <f t="shared" si="58"/>
        <v>96628679.280000001</v>
      </c>
      <c r="M379" s="116">
        <f t="shared" si="59"/>
        <v>47534546.198210396</v>
      </c>
      <c r="N379" s="123">
        <f t="shared" si="60"/>
        <v>255.77797494772682</v>
      </c>
      <c r="O379" s="5"/>
      <c r="P379" s="5">
        <f t="shared" si="61"/>
        <v>1</v>
      </c>
      <c r="Q379" s="7">
        <f t="shared" si="62"/>
        <v>185843</v>
      </c>
    </row>
    <row r="380" spans="1:21">
      <c r="A380" s="24" t="s">
        <v>554</v>
      </c>
      <c r="B380" s="37" t="s">
        <v>552</v>
      </c>
      <c r="C380" s="125">
        <v>634</v>
      </c>
      <c r="D380" s="132">
        <v>93267836</v>
      </c>
      <c r="E380" s="116">
        <f t="shared" si="63"/>
        <v>147110.15141955836</v>
      </c>
      <c r="F380" s="134">
        <v>63332383</v>
      </c>
      <c r="G380" s="117">
        <f t="shared" si="64"/>
        <v>99893.348580441641</v>
      </c>
      <c r="H380" s="7"/>
      <c r="I380" s="136">
        <v>1.85</v>
      </c>
      <c r="J380" s="134">
        <v>117164.90855000001</v>
      </c>
      <c r="K380" s="120">
        <f t="shared" si="65"/>
        <v>184.80269487381705</v>
      </c>
      <c r="L380" s="122">
        <f t="shared" si="58"/>
        <v>633323.82999999996</v>
      </c>
      <c r="M380" s="116">
        <f t="shared" si="59"/>
        <v>516158.92144999997</v>
      </c>
      <c r="N380" s="123">
        <f t="shared" si="60"/>
        <v>814.13079093059935</v>
      </c>
      <c r="O380" s="5"/>
      <c r="P380" s="5">
        <f t="shared" si="61"/>
        <v>1</v>
      </c>
      <c r="Q380" s="7">
        <f t="shared" si="62"/>
        <v>634</v>
      </c>
      <c r="S380" s="124">
        <f>SUM(D378:D380)</f>
        <v>21402802900</v>
      </c>
      <c r="T380" s="124">
        <f>SUM(F378:F380)</f>
        <v>12112942986</v>
      </c>
      <c r="U380" s="124">
        <f>SUM(J378:J380)</f>
        <v>65679822.44783961</v>
      </c>
    </row>
    <row r="381" spans="1:21">
      <c r="A381" s="23" t="s">
        <v>404</v>
      </c>
      <c r="B381" s="35" t="s">
        <v>405</v>
      </c>
      <c r="C381" s="125">
        <v>2499</v>
      </c>
      <c r="D381" s="132">
        <v>227108274</v>
      </c>
      <c r="E381" s="116">
        <f t="shared" si="63"/>
        <v>90879.661464585835</v>
      </c>
      <c r="F381" s="134">
        <v>145060283</v>
      </c>
      <c r="G381" s="117">
        <f t="shared" si="64"/>
        <v>58047.332132853138</v>
      </c>
      <c r="H381" s="9"/>
      <c r="I381" s="136">
        <v>4.2298999999999998</v>
      </c>
      <c r="J381" s="134">
        <v>613590.49106170004</v>
      </c>
      <c r="K381" s="120">
        <f t="shared" si="65"/>
        <v>245.53441018875552</v>
      </c>
      <c r="L381" s="122">
        <f t="shared" si="58"/>
        <v>1450602.83</v>
      </c>
      <c r="M381" s="116">
        <f t="shared" si="59"/>
        <v>837012.33893830003</v>
      </c>
      <c r="N381" s="123">
        <f t="shared" si="60"/>
        <v>334.93891113977594</v>
      </c>
      <c r="O381" s="5"/>
      <c r="P381" s="5">
        <f t="shared" si="61"/>
        <v>1</v>
      </c>
      <c r="Q381" s="7">
        <f t="shared" si="62"/>
        <v>2499</v>
      </c>
    </row>
    <row r="382" spans="1:21">
      <c r="A382" s="23" t="s">
        <v>406</v>
      </c>
      <c r="B382" s="35" t="s">
        <v>405</v>
      </c>
      <c r="C382" s="125">
        <v>1101</v>
      </c>
      <c r="D382" s="132">
        <v>50191724</v>
      </c>
      <c r="E382" s="116">
        <f t="shared" si="63"/>
        <v>45587.396911898271</v>
      </c>
      <c r="F382" s="134">
        <v>27235251</v>
      </c>
      <c r="G382" s="117">
        <f t="shared" si="64"/>
        <v>24736.831062670299</v>
      </c>
      <c r="H382" s="9"/>
      <c r="I382" s="136">
        <v>4.3853999999999997</v>
      </c>
      <c r="J382" s="134">
        <v>119437.46973539999</v>
      </c>
      <c r="K382" s="120">
        <f t="shared" si="65"/>
        <v>108.48089894223433</v>
      </c>
      <c r="L382" s="122">
        <f t="shared" si="58"/>
        <v>272352.51</v>
      </c>
      <c r="M382" s="116">
        <f t="shared" si="59"/>
        <v>152915.04026460001</v>
      </c>
      <c r="N382" s="123">
        <f t="shared" si="60"/>
        <v>138.88741168446867</v>
      </c>
      <c r="O382" s="5"/>
      <c r="P382" s="5">
        <f t="shared" si="61"/>
        <v>1</v>
      </c>
      <c r="Q382" s="7">
        <f t="shared" si="62"/>
        <v>1101</v>
      </c>
    </row>
    <row r="383" spans="1:21">
      <c r="A383" s="23" t="s">
        <v>407</v>
      </c>
      <c r="B383" s="35" t="s">
        <v>405</v>
      </c>
      <c r="C383" s="125">
        <v>721</v>
      </c>
      <c r="D383" s="147">
        <v>29581972</v>
      </c>
      <c r="E383" s="116">
        <f t="shared" si="63"/>
        <v>41029.087378640776</v>
      </c>
      <c r="F383" s="134">
        <v>14815214</v>
      </c>
      <c r="G383" s="117">
        <f t="shared" si="64"/>
        <v>20548.147018030511</v>
      </c>
      <c r="H383" s="98"/>
      <c r="I383" s="136">
        <v>4.7</v>
      </c>
      <c r="J383" s="134">
        <v>69631.505799999999</v>
      </c>
      <c r="K383" s="120">
        <f t="shared" si="65"/>
        <v>96.576290984743409</v>
      </c>
      <c r="L383" s="122">
        <f t="shared" si="58"/>
        <v>148152.14000000001</v>
      </c>
      <c r="M383" s="116">
        <f t="shared" si="59"/>
        <v>78520.634200000015</v>
      </c>
      <c r="N383" s="123">
        <f t="shared" si="60"/>
        <v>108.90517919556174</v>
      </c>
      <c r="O383" s="5"/>
      <c r="P383" s="5">
        <f t="shared" si="61"/>
        <v>1</v>
      </c>
      <c r="Q383" s="7">
        <f t="shared" si="62"/>
        <v>721</v>
      </c>
    </row>
    <row r="384" spans="1:21">
      <c r="A384" s="23" t="s">
        <v>408</v>
      </c>
      <c r="B384" s="35" t="s">
        <v>405</v>
      </c>
      <c r="C384" s="125">
        <v>818</v>
      </c>
      <c r="D384" s="132">
        <v>31462490</v>
      </c>
      <c r="E384" s="116">
        <f t="shared" si="63"/>
        <v>38462.701711491442</v>
      </c>
      <c r="F384" s="134">
        <v>19679009</v>
      </c>
      <c r="G384" s="117">
        <f t="shared" si="64"/>
        <v>24057.468215158926</v>
      </c>
      <c r="H384" s="7"/>
      <c r="I384" s="150">
        <v>7</v>
      </c>
      <c r="J384" s="134">
        <v>137753.06299999999</v>
      </c>
      <c r="K384" s="120">
        <f t="shared" si="65"/>
        <v>168.40227750611245</v>
      </c>
      <c r="L384" s="122">
        <f t="shared" si="58"/>
        <v>196790.09</v>
      </c>
      <c r="M384" s="116">
        <f t="shared" si="59"/>
        <v>59037.027000000002</v>
      </c>
      <c r="N384" s="123">
        <f t="shared" si="60"/>
        <v>72.172404645476774</v>
      </c>
      <c r="O384" s="5"/>
      <c r="P384" s="5">
        <f t="shared" si="61"/>
        <v>1</v>
      </c>
      <c r="Q384" s="7">
        <f t="shared" si="62"/>
        <v>818</v>
      </c>
    </row>
    <row r="385" spans="1:21">
      <c r="A385" s="23" t="s">
        <v>409</v>
      </c>
      <c r="B385" s="35" t="s">
        <v>405</v>
      </c>
      <c r="C385" s="125">
        <v>9511</v>
      </c>
      <c r="D385" s="132">
        <v>1286788558</v>
      </c>
      <c r="E385" s="116">
        <f t="shared" si="63"/>
        <v>135294.77005572495</v>
      </c>
      <c r="F385" s="134">
        <v>1082001724</v>
      </c>
      <c r="G385" s="117">
        <f t="shared" si="64"/>
        <v>113763.19251393124</v>
      </c>
      <c r="H385" s="7"/>
      <c r="I385" s="136">
        <v>3.6579999999999999</v>
      </c>
      <c r="J385" s="154">
        <v>3957962.3063919996</v>
      </c>
      <c r="K385" s="120">
        <f t="shared" si="65"/>
        <v>416.14575821596043</v>
      </c>
      <c r="L385" s="122">
        <f t="shared" si="58"/>
        <v>10820017.24</v>
      </c>
      <c r="M385" s="116">
        <f t="shared" si="59"/>
        <v>6862054.9336080011</v>
      </c>
      <c r="N385" s="123">
        <f t="shared" si="60"/>
        <v>721.48616692335202</v>
      </c>
      <c r="O385" s="5"/>
      <c r="P385" s="5">
        <f t="shared" si="61"/>
        <v>1</v>
      </c>
      <c r="Q385" s="7">
        <f t="shared" si="62"/>
        <v>9511</v>
      </c>
      <c r="S385" s="124">
        <f>SUM(D381:D385)</f>
        <v>1625133018</v>
      </c>
      <c r="T385" s="124">
        <f>SUM(F381:F385)</f>
        <v>1288791481</v>
      </c>
      <c r="U385" s="124">
        <f>SUM(J381:J385)</f>
        <v>4898374.8359890999</v>
      </c>
    </row>
    <row r="386" spans="1:21">
      <c r="A386" s="23" t="s">
        <v>410</v>
      </c>
      <c r="B386" s="35" t="s">
        <v>411</v>
      </c>
      <c r="C386" s="125">
        <v>689</v>
      </c>
      <c r="D386" s="132">
        <v>39173822</v>
      </c>
      <c r="E386" s="116">
        <f t="shared" si="63"/>
        <v>56856.055152394772</v>
      </c>
      <c r="F386" s="134">
        <v>23021252</v>
      </c>
      <c r="G386" s="117">
        <f t="shared" si="64"/>
        <v>33412.557329462987</v>
      </c>
      <c r="H386" s="7"/>
      <c r="I386" s="136">
        <v>6</v>
      </c>
      <c r="J386" s="134">
        <v>138127.51199999999</v>
      </c>
      <c r="K386" s="120">
        <f t="shared" si="65"/>
        <v>200.47534397677794</v>
      </c>
      <c r="L386" s="122">
        <f t="shared" si="58"/>
        <v>230212.52000000002</v>
      </c>
      <c r="M386" s="116">
        <f t="shared" si="59"/>
        <v>92085.008000000031</v>
      </c>
      <c r="N386" s="123">
        <f t="shared" si="60"/>
        <v>133.65022931785199</v>
      </c>
      <c r="O386" s="5"/>
      <c r="P386" s="5">
        <f t="shared" si="61"/>
        <v>1</v>
      </c>
      <c r="Q386" s="7">
        <f t="shared" si="62"/>
        <v>689</v>
      </c>
    </row>
    <row r="387" spans="1:21">
      <c r="A387" s="23" t="s">
        <v>412</v>
      </c>
      <c r="B387" s="35" t="s">
        <v>411</v>
      </c>
      <c r="C387" s="125">
        <v>6837</v>
      </c>
      <c r="D387" s="132">
        <v>329412983</v>
      </c>
      <c r="E387" s="116">
        <f t="shared" si="63"/>
        <v>48180.924820827851</v>
      </c>
      <c r="F387" s="134">
        <v>210887427</v>
      </c>
      <c r="G387" s="117">
        <f t="shared" si="64"/>
        <v>30845.023694602896</v>
      </c>
      <c r="H387" s="7"/>
      <c r="I387" s="136">
        <v>9.1770999999999994</v>
      </c>
      <c r="J387" s="134">
        <v>1935335.0063216998</v>
      </c>
      <c r="K387" s="120">
        <f t="shared" si="65"/>
        <v>283.06786694774019</v>
      </c>
      <c r="L387" s="122">
        <f t="shared" si="58"/>
        <v>2108874.27</v>
      </c>
      <c r="M387" s="116">
        <f t="shared" si="59"/>
        <v>173539.26367830019</v>
      </c>
      <c r="N387" s="123">
        <f t="shared" si="60"/>
        <v>25.382369998288752</v>
      </c>
      <c r="O387" s="5"/>
      <c r="P387" s="5">
        <f t="shared" si="61"/>
        <v>1</v>
      </c>
      <c r="Q387" s="7">
        <f t="shared" si="62"/>
        <v>6837</v>
      </c>
      <c r="S387" s="124">
        <f>SUM(D386:D387)</f>
        <v>368586805</v>
      </c>
      <c r="T387" s="124">
        <f>SUM(F386:F387)</f>
        <v>233908679</v>
      </c>
      <c r="U387" s="124">
        <f>SUM(J386:J387)</f>
        <v>2073462.5183216999</v>
      </c>
    </row>
    <row r="388" spans="1:21">
      <c r="A388" s="23" t="s">
        <v>413</v>
      </c>
      <c r="B388" s="35" t="s">
        <v>414</v>
      </c>
      <c r="C388" s="125">
        <v>7025</v>
      </c>
      <c r="D388" s="132">
        <v>396432031</v>
      </c>
      <c r="E388" s="116">
        <f t="shared" si="63"/>
        <v>56431.605836298935</v>
      </c>
      <c r="F388" s="134">
        <v>229045708</v>
      </c>
      <c r="G388" s="117">
        <f t="shared" si="64"/>
        <v>32604.3712455516</v>
      </c>
      <c r="H388" s="9"/>
      <c r="I388" s="136">
        <v>6.0716000000000001</v>
      </c>
      <c r="J388" s="134">
        <v>1390673.9206928001</v>
      </c>
      <c r="K388" s="120">
        <f t="shared" si="65"/>
        <v>197.9607004544911</v>
      </c>
      <c r="L388" s="122">
        <f t="shared" si="58"/>
        <v>2290457.08</v>
      </c>
      <c r="M388" s="116">
        <f t="shared" si="59"/>
        <v>899783.1593072</v>
      </c>
      <c r="N388" s="123">
        <f t="shared" si="60"/>
        <v>128.08301200102491</v>
      </c>
      <c r="O388" s="5"/>
      <c r="P388" s="5">
        <f t="shared" si="61"/>
        <v>1</v>
      </c>
      <c r="Q388" s="7">
        <f t="shared" si="62"/>
        <v>7025</v>
      </c>
      <c r="S388" s="124">
        <f>SUM(D388)</f>
        <v>396432031</v>
      </c>
      <c r="T388" s="124">
        <f>SUM(F388)</f>
        <v>229045708</v>
      </c>
      <c r="U388" s="124">
        <f>SUM(J388)</f>
        <v>1390673.9206928001</v>
      </c>
    </row>
    <row r="389" spans="1:21">
      <c r="A389" s="23" t="s">
        <v>415</v>
      </c>
      <c r="B389" s="35" t="s">
        <v>416</v>
      </c>
      <c r="C389" s="125">
        <v>1813</v>
      </c>
      <c r="D389" s="132">
        <v>69007342</v>
      </c>
      <c r="E389" s="116">
        <f t="shared" si="63"/>
        <v>38062.516271373417</v>
      </c>
      <c r="F389" s="134">
        <v>33649609</v>
      </c>
      <c r="G389" s="117">
        <f t="shared" si="64"/>
        <v>18560.181467181468</v>
      </c>
      <c r="H389" s="9"/>
      <c r="I389" s="136">
        <v>2.75</v>
      </c>
      <c r="J389" s="134">
        <v>92536.424750000006</v>
      </c>
      <c r="K389" s="120">
        <f t="shared" si="65"/>
        <v>51.04049903474904</v>
      </c>
      <c r="L389" s="122">
        <f t="shared" si="58"/>
        <v>336496.09</v>
      </c>
      <c r="M389" s="116">
        <f t="shared" si="59"/>
        <v>243959.66525000002</v>
      </c>
      <c r="N389" s="123">
        <f t="shared" si="60"/>
        <v>134.56131563706566</v>
      </c>
      <c r="O389" s="5"/>
      <c r="P389" s="5">
        <f t="shared" si="61"/>
        <v>1</v>
      </c>
      <c r="Q389" s="7">
        <f t="shared" si="62"/>
        <v>1813</v>
      </c>
    </row>
    <row r="390" spans="1:21">
      <c r="A390" s="23" t="s">
        <v>417</v>
      </c>
      <c r="B390" s="35" t="s">
        <v>416</v>
      </c>
      <c r="C390" s="125">
        <v>243</v>
      </c>
      <c r="D390" s="147" t="s">
        <v>564</v>
      </c>
      <c r="E390" s="116"/>
      <c r="F390" s="134"/>
      <c r="G390" s="117"/>
      <c r="H390" s="98" t="s">
        <v>588</v>
      </c>
      <c r="I390" s="136"/>
      <c r="J390" s="134"/>
      <c r="K390" s="120"/>
      <c r="L390" s="122">
        <f t="shared" si="58"/>
        <v>0</v>
      </c>
      <c r="M390" s="116">
        <f t="shared" si="59"/>
        <v>0</v>
      </c>
      <c r="N390" s="123">
        <f t="shared" si="60"/>
        <v>0</v>
      </c>
      <c r="O390" s="5"/>
      <c r="P390" s="5">
        <f t="shared" si="61"/>
        <v>0</v>
      </c>
      <c r="Q390" s="7">
        <f t="shared" si="62"/>
        <v>0</v>
      </c>
    </row>
    <row r="391" spans="1:21">
      <c r="A391" s="23" t="s">
        <v>418</v>
      </c>
      <c r="B391" s="35" t="s">
        <v>416</v>
      </c>
      <c r="C391" s="125">
        <v>350</v>
      </c>
      <c r="D391" s="132">
        <v>13363038</v>
      </c>
      <c r="E391" s="116">
        <f t="shared" ref="E391:E407" si="66">(D391/C391)</f>
        <v>38180.108571428573</v>
      </c>
      <c r="F391" s="134">
        <v>6872336</v>
      </c>
      <c r="G391" s="117">
        <f t="shared" ref="G391:G407" si="67">(F391/C391)</f>
        <v>19635.245714285713</v>
      </c>
      <c r="H391" s="7"/>
      <c r="I391" s="150">
        <v>1.4839</v>
      </c>
      <c r="J391" s="134">
        <v>10197.859390399999</v>
      </c>
      <c r="K391" s="120">
        <f t="shared" ref="K391:K407" si="68">(J391/C391)</f>
        <v>29.136741115428567</v>
      </c>
      <c r="L391" s="122">
        <f t="shared" ref="L391:L417" si="69">(F391*0.01)</f>
        <v>68723.360000000001</v>
      </c>
      <c r="M391" s="116">
        <f t="shared" ref="M391:M417" si="70">(L391-J391)</f>
        <v>58525.5006096</v>
      </c>
      <c r="N391" s="123">
        <f t="shared" ref="N391:N417" si="71">(M391/C391)</f>
        <v>167.21571602742858</v>
      </c>
      <c r="O391" s="5"/>
      <c r="P391" s="5">
        <f t="shared" si="61"/>
        <v>1</v>
      </c>
      <c r="Q391" s="7">
        <f t="shared" si="62"/>
        <v>350</v>
      </c>
      <c r="S391" s="124">
        <f>SUM(D389:D391)</f>
        <v>82370380</v>
      </c>
      <c r="T391" s="124">
        <f>SUM(F389:F391)</f>
        <v>40521945</v>
      </c>
      <c r="U391" s="124">
        <f>SUM(J389:J391)</f>
        <v>102734.28414040001</v>
      </c>
    </row>
    <row r="392" spans="1:21">
      <c r="A392" s="23" t="s">
        <v>419</v>
      </c>
      <c r="B392" s="35" t="s">
        <v>420</v>
      </c>
      <c r="C392" s="125">
        <v>66267</v>
      </c>
      <c r="D392" s="132">
        <v>7938844475</v>
      </c>
      <c r="E392" s="116">
        <f t="shared" si="66"/>
        <v>119800.87336079798</v>
      </c>
      <c r="F392" s="134">
        <v>4767465419</v>
      </c>
      <c r="G392" s="117">
        <f t="shared" si="67"/>
        <v>71943.281256130504</v>
      </c>
      <c r="H392" s="7"/>
      <c r="I392" s="136">
        <v>6.2</v>
      </c>
      <c r="J392" s="134">
        <v>29558285.597799998</v>
      </c>
      <c r="K392" s="120">
        <f t="shared" si="68"/>
        <v>446.04834378800911</v>
      </c>
      <c r="L392" s="122">
        <f t="shared" si="69"/>
        <v>47674654.189999998</v>
      </c>
      <c r="M392" s="116">
        <f t="shared" si="70"/>
        <v>18116368.5922</v>
      </c>
      <c r="N392" s="123">
        <f t="shared" si="71"/>
        <v>273.38446877329591</v>
      </c>
      <c r="O392" s="5"/>
      <c r="P392" s="5">
        <f t="shared" ref="P392:P417" si="72">IF(I392&gt;0,1,0)</f>
        <v>1</v>
      </c>
      <c r="Q392" s="7">
        <f t="shared" ref="Q392:Q417" si="73">IF(I392&gt;0,C392,0)</f>
        <v>66267</v>
      </c>
    </row>
    <row r="393" spans="1:21">
      <c r="A393" s="23" t="s">
        <v>421</v>
      </c>
      <c r="B393" s="35" t="s">
        <v>420</v>
      </c>
      <c r="C393" s="125">
        <v>4294</v>
      </c>
      <c r="D393" s="132">
        <v>1848378955</v>
      </c>
      <c r="E393" s="116">
        <f t="shared" si="66"/>
        <v>430456.20749883557</v>
      </c>
      <c r="F393" s="134">
        <v>1587245144</v>
      </c>
      <c r="G393" s="117">
        <f t="shared" si="67"/>
        <v>369642.55798789009</v>
      </c>
      <c r="H393" s="7"/>
      <c r="I393" s="136">
        <v>5.23</v>
      </c>
      <c r="J393" s="134">
        <v>8301292.103120001</v>
      </c>
      <c r="K393" s="120">
        <f t="shared" si="68"/>
        <v>1933.2305782766653</v>
      </c>
      <c r="L393" s="122">
        <f t="shared" si="69"/>
        <v>15872451.439999999</v>
      </c>
      <c r="M393" s="116">
        <f t="shared" si="70"/>
        <v>7571159.3368799984</v>
      </c>
      <c r="N393" s="123">
        <f t="shared" si="71"/>
        <v>1763.1950016022354</v>
      </c>
      <c r="O393" s="5"/>
      <c r="P393" s="5">
        <f t="shared" si="72"/>
        <v>1</v>
      </c>
      <c r="Q393" s="7">
        <f t="shared" si="73"/>
        <v>4294</v>
      </c>
    </row>
    <row r="394" spans="1:21">
      <c r="A394" s="23" t="s">
        <v>462</v>
      </c>
      <c r="B394" s="35" t="s">
        <v>420</v>
      </c>
      <c r="C394" s="125">
        <v>20774</v>
      </c>
      <c r="D394" s="132">
        <v>2596234813</v>
      </c>
      <c r="E394" s="116">
        <f t="shared" si="66"/>
        <v>124975.20039472418</v>
      </c>
      <c r="F394" s="134">
        <v>1859582600</v>
      </c>
      <c r="G394" s="117">
        <f t="shared" si="67"/>
        <v>89514.903244440167</v>
      </c>
      <c r="H394" s="7"/>
      <c r="I394" s="136">
        <v>2.6322999999999999</v>
      </c>
      <c r="J394" s="134">
        <v>4894979.2779799998</v>
      </c>
      <c r="K394" s="120">
        <f t="shared" si="68"/>
        <v>235.63007981033985</v>
      </c>
      <c r="L394" s="122">
        <f t="shared" si="69"/>
        <v>18595826</v>
      </c>
      <c r="M394" s="116">
        <f t="shared" si="70"/>
        <v>13700846.72202</v>
      </c>
      <c r="N394" s="123">
        <f t="shared" si="71"/>
        <v>659.51895263406186</v>
      </c>
      <c r="O394" s="5"/>
      <c r="P394" s="5">
        <f t="shared" si="72"/>
        <v>1</v>
      </c>
      <c r="Q394" s="7">
        <f t="shared" si="73"/>
        <v>20774</v>
      </c>
    </row>
    <row r="395" spans="1:21">
      <c r="A395" s="23" t="s">
        <v>463</v>
      </c>
      <c r="B395" s="35" t="s">
        <v>420</v>
      </c>
      <c r="C395" s="125">
        <v>34106</v>
      </c>
      <c r="D395" s="132">
        <v>2964390035</v>
      </c>
      <c r="E395" s="116">
        <f t="shared" si="66"/>
        <v>86916.965783146661</v>
      </c>
      <c r="F395" s="134">
        <v>1729864715</v>
      </c>
      <c r="G395" s="117">
        <f t="shared" si="67"/>
        <v>50720.246144373421</v>
      </c>
      <c r="H395" s="7"/>
      <c r="I395" s="136">
        <v>6.8841000000000001</v>
      </c>
      <c r="J395" s="134">
        <v>11908561.684531501</v>
      </c>
      <c r="K395" s="120">
        <f t="shared" si="68"/>
        <v>349.1632464824811</v>
      </c>
      <c r="L395" s="122">
        <f t="shared" si="69"/>
        <v>17298647.149999999</v>
      </c>
      <c r="M395" s="116">
        <f t="shared" si="70"/>
        <v>5390085.4654684979</v>
      </c>
      <c r="N395" s="123">
        <f t="shared" si="71"/>
        <v>158.03921496125309</v>
      </c>
      <c r="O395" s="5"/>
      <c r="P395" s="5">
        <f t="shared" si="72"/>
        <v>1</v>
      </c>
      <c r="Q395" s="7">
        <f t="shared" si="73"/>
        <v>34106</v>
      </c>
    </row>
    <row r="396" spans="1:21">
      <c r="A396" s="23" t="s">
        <v>422</v>
      </c>
      <c r="B396" s="35" t="s">
        <v>420</v>
      </c>
      <c r="C396" s="125">
        <v>91007</v>
      </c>
      <c r="D396" s="132">
        <v>5201004409</v>
      </c>
      <c r="E396" s="116">
        <f t="shared" si="66"/>
        <v>57149.498489127211</v>
      </c>
      <c r="F396" s="134">
        <v>2353408270</v>
      </c>
      <c r="G396" s="117">
        <f t="shared" si="67"/>
        <v>25859.640137571834</v>
      </c>
      <c r="H396" s="7"/>
      <c r="I396" s="136">
        <v>7.85</v>
      </c>
      <c r="J396" s="134">
        <v>18474254.919500001</v>
      </c>
      <c r="K396" s="120">
        <f t="shared" si="68"/>
        <v>202.9981750799389</v>
      </c>
      <c r="L396" s="122">
        <f t="shared" si="69"/>
        <v>23534082.699999999</v>
      </c>
      <c r="M396" s="116">
        <f t="shared" si="70"/>
        <v>5059827.7804999985</v>
      </c>
      <c r="N396" s="123">
        <f t="shared" si="71"/>
        <v>55.598226295779426</v>
      </c>
      <c r="O396" s="5"/>
      <c r="P396" s="5">
        <f t="shared" si="72"/>
        <v>1</v>
      </c>
      <c r="Q396" s="7">
        <f t="shared" si="73"/>
        <v>91007</v>
      </c>
    </row>
    <row r="397" spans="1:21">
      <c r="A397" s="23" t="s">
        <v>423</v>
      </c>
      <c r="B397" s="35" t="s">
        <v>420</v>
      </c>
      <c r="C397" s="125">
        <v>23319</v>
      </c>
      <c r="D397" s="132">
        <v>1724978590</v>
      </c>
      <c r="E397" s="116">
        <f t="shared" si="66"/>
        <v>73973.094472318713</v>
      </c>
      <c r="F397" s="134">
        <v>948878475</v>
      </c>
      <c r="G397" s="117">
        <f t="shared" si="67"/>
        <v>40691.216390068184</v>
      </c>
      <c r="H397" s="7"/>
      <c r="I397" s="136">
        <v>6.7</v>
      </c>
      <c r="J397" s="134">
        <v>6357485.7824999997</v>
      </c>
      <c r="K397" s="120">
        <f t="shared" si="68"/>
        <v>272.63114981345683</v>
      </c>
      <c r="L397" s="122">
        <f t="shared" si="69"/>
        <v>9488784.75</v>
      </c>
      <c r="M397" s="116">
        <f t="shared" si="70"/>
        <v>3131298.9675000003</v>
      </c>
      <c r="N397" s="123">
        <f t="shared" si="71"/>
        <v>134.28101408722503</v>
      </c>
      <c r="O397" s="5"/>
      <c r="P397" s="5">
        <f t="shared" si="72"/>
        <v>1</v>
      </c>
      <c r="Q397" s="7">
        <f t="shared" si="73"/>
        <v>23319</v>
      </c>
    </row>
    <row r="398" spans="1:21">
      <c r="A398" s="23" t="s">
        <v>424</v>
      </c>
      <c r="B398" s="35" t="s">
        <v>420</v>
      </c>
      <c r="C398" s="125">
        <v>11958</v>
      </c>
      <c r="D398" s="132">
        <v>911571300</v>
      </c>
      <c r="E398" s="116">
        <f t="shared" si="66"/>
        <v>76231.08379327647</v>
      </c>
      <c r="F398" s="134">
        <v>625015551</v>
      </c>
      <c r="G398" s="117">
        <f t="shared" si="67"/>
        <v>52267.56573005519</v>
      </c>
      <c r="H398" s="7"/>
      <c r="I398" s="136">
        <v>6.5</v>
      </c>
      <c r="J398" s="134">
        <v>4062601.0814999999</v>
      </c>
      <c r="K398" s="120">
        <f t="shared" si="68"/>
        <v>339.73917724535875</v>
      </c>
      <c r="L398" s="122">
        <f t="shared" si="69"/>
        <v>6250155.5099999998</v>
      </c>
      <c r="M398" s="116">
        <f t="shared" si="70"/>
        <v>2187554.4284999999</v>
      </c>
      <c r="N398" s="123">
        <f t="shared" si="71"/>
        <v>182.93648005519316</v>
      </c>
      <c r="O398" s="5"/>
      <c r="P398" s="5">
        <f t="shared" si="72"/>
        <v>1</v>
      </c>
      <c r="Q398" s="7">
        <f t="shared" si="73"/>
        <v>11958</v>
      </c>
    </row>
    <row r="399" spans="1:21">
      <c r="A399" s="23" t="s">
        <v>425</v>
      </c>
      <c r="B399" s="35" t="s">
        <v>420</v>
      </c>
      <c r="C399" s="125">
        <v>2752</v>
      </c>
      <c r="D399" s="132">
        <v>183840753</v>
      </c>
      <c r="E399" s="116">
        <f t="shared" si="66"/>
        <v>66802.59920058139</v>
      </c>
      <c r="F399" s="134">
        <v>93027881</v>
      </c>
      <c r="G399" s="117">
        <f t="shared" si="67"/>
        <v>33803.735828488374</v>
      </c>
      <c r="H399" s="7"/>
      <c r="I399" s="136">
        <v>7.3</v>
      </c>
      <c r="J399" s="134">
        <v>679103.53129999992</v>
      </c>
      <c r="K399" s="120">
        <f t="shared" si="68"/>
        <v>246.76727154796509</v>
      </c>
      <c r="L399" s="122">
        <f t="shared" si="69"/>
        <v>930278.81</v>
      </c>
      <c r="M399" s="116">
        <f t="shared" si="70"/>
        <v>251175.27870000014</v>
      </c>
      <c r="N399" s="123">
        <f t="shared" si="71"/>
        <v>91.270086736918657</v>
      </c>
      <c r="O399" s="5"/>
      <c r="P399" s="5">
        <f t="shared" si="72"/>
        <v>1</v>
      </c>
      <c r="Q399" s="7">
        <f t="shared" si="73"/>
        <v>2752</v>
      </c>
    </row>
    <row r="400" spans="1:21">
      <c r="A400" s="23" t="s">
        <v>426</v>
      </c>
      <c r="B400" s="35" t="s">
        <v>420</v>
      </c>
      <c r="C400" s="125">
        <v>26407</v>
      </c>
      <c r="D400" s="132">
        <v>5494488951</v>
      </c>
      <c r="E400" s="116">
        <f t="shared" si="66"/>
        <v>208069.41155754155</v>
      </c>
      <c r="F400" s="134">
        <v>3779893182</v>
      </c>
      <c r="G400" s="117">
        <f t="shared" si="67"/>
        <v>143139.81830575227</v>
      </c>
      <c r="H400" s="7"/>
      <c r="I400" s="136">
        <v>3.8416000000000001</v>
      </c>
      <c r="J400" s="134">
        <v>14520837.647971202</v>
      </c>
      <c r="K400" s="120">
        <f t="shared" si="68"/>
        <v>549.8859260033779</v>
      </c>
      <c r="L400" s="122">
        <f t="shared" si="69"/>
        <v>37798931.82</v>
      </c>
      <c r="M400" s="116">
        <f t="shared" si="70"/>
        <v>23278094.172028799</v>
      </c>
      <c r="N400" s="123">
        <f t="shared" si="71"/>
        <v>881.5122570541447</v>
      </c>
      <c r="O400" s="5"/>
      <c r="P400" s="5">
        <f t="shared" si="72"/>
        <v>1</v>
      </c>
      <c r="Q400" s="7">
        <f t="shared" si="73"/>
        <v>26407</v>
      </c>
    </row>
    <row r="401" spans="1:21">
      <c r="A401" s="23" t="s">
        <v>427</v>
      </c>
      <c r="B401" s="35" t="s">
        <v>420</v>
      </c>
      <c r="C401" s="125">
        <v>1997</v>
      </c>
      <c r="D401" s="132">
        <v>207746749</v>
      </c>
      <c r="E401" s="116">
        <f t="shared" si="66"/>
        <v>104029.41862794191</v>
      </c>
      <c r="F401" s="134">
        <v>110409585</v>
      </c>
      <c r="G401" s="117">
        <f t="shared" si="67"/>
        <v>55287.724086129194</v>
      </c>
      <c r="H401" s="7"/>
      <c r="I401" s="136">
        <v>5.6820000000000004</v>
      </c>
      <c r="J401" s="134">
        <v>627347.26196999999</v>
      </c>
      <c r="K401" s="120">
        <f t="shared" si="68"/>
        <v>314.14484825738606</v>
      </c>
      <c r="L401" s="122">
        <f t="shared" si="69"/>
        <v>1104095.8500000001</v>
      </c>
      <c r="M401" s="116">
        <f t="shared" si="70"/>
        <v>476748.5880300001</v>
      </c>
      <c r="N401" s="123">
        <f t="shared" si="71"/>
        <v>238.73239260390591</v>
      </c>
      <c r="O401" s="5"/>
      <c r="P401" s="5">
        <f t="shared" si="72"/>
        <v>1</v>
      </c>
      <c r="Q401" s="7">
        <f t="shared" si="73"/>
        <v>1997</v>
      </c>
    </row>
    <row r="402" spans="1:21">
      <c r="A402" s="23" t="s">
        <v>428</v>
      </c>
      <c r="B402" s="35" t="s">
        <v>420</v>
      </c>
      <c r="C402" s="125">
        <v>11720</v>
      </c>
      <c r="D402" s="132">
        <v>1047488630</v>
      </c>
      <c r="E402" s="116">
        <f t="shared" si="66"/>
        <v>89376.162969283279</v>
      </c>
      <c r="F402" s="134">
        <v>681005695</v>
      </c>
      <c r="G402" s="117">
        <f t="shared" si="67"/>
        <v>58106.287969283279</v>
      </c>
      <c r="H402" s="7"/>
      <c r="I402" s="136">
        <v>8.0340000000000007</v>
      </c>
      <c r="J402" s="134">
        <v>5471199.7536300002</v>
      </c>
      <c r="K402" s="120">
        <f t="shared" si="68"/>
        <v>466.82591754522184</v>
      </c>
      <c r="L402" s="122">
        <f t="shared" si="69"/>
        <v>6810056.9500000002</v>
      </c>
      <c r="M402" s="116">
        <f t="shared" si="70"/>
        <v>1338857.19637</v>
      </c>
      <c r="N402" s="123">
        <f t="shared" si="71"/>
        <v>114.23696214761092</v>
      </c>
      <c r="O402" s="5"/>
      <c r="P402" s="5">
        <f t="shared" si="72"/>
        <v>1</v>
      </c>
      <c r="Q402" s="7">
        <f t="shared" si="73"/>
        <v>11720</v>
      </c>
    </row>
    <row r="403" spans="1:21">
      <c r="A403" s="23" t="s">
        <v>429</v>
      </c>
      <c r="B403" s="35" t="s">
        <v>420</v>
      </c>
      <c r="C403" s="125">
        <v>41140</v>
      </c>
      <c r="D403" s="132">
        <v>5107699354</v>
      </c>
      <c r="E403" s="116">
        <f t="shared" si="66"/>
        <v>124154.09222168206</v>
      </c>
      <c r="F403" s="134">
        <v>3456325881</v>
      </c>
      <c r="G403" s="117">
        <f t="shared" si="67"/>
        <v>84013.755007292173</v>
      </c>
      <c r="H403" s="7"/>
      <c r="I403" s="136">
        <v>4.1654999999999998</v>
      </c>
      <c r="J403" s="134">
        <v>14397325.4573055</v>
      </c>
      <c r="K403" s="120">
        <f t="shared" si="68"/>
        <v>349.95929648287557</v>
      </c>
      <c r="L403" s="122">
        <f t="shared" si="69"/>
        <v>34563258.810000002</v>
      </c>
      <c r="M403" s="116">
        <f t="shared" si="70"/>
        <v>20165933.352694504</v>
      </c>
      <c r="N403" s="123">
        <f t="shared" si="71"/>
        <v>490.17825359004627</v>
      </c>
      <c r="O403" s="5"/>
      <c r="P403" s="5">
        <f t="shared" si="72"/>
        <v>1</v>
      </c>
      <c r="Q403" s="7">
        <f t="shared" si="73"/>
        <v>41140</v>
      </c>
    </row>
    <row r="404" spans="1:21">
      <c r="A404" s="23" t="s">
        <v>430</v>
      </c>
      <c r="B404" s="35" t="s">
        <v>420</v>
      </c>
      <c r="C404" s="125">
        <v>1760</v>
      </c>
      <c r="D404" s="132">
        <v>116568588</v>
      </c>
      <c r="E404" s="116">
        <f t="shared" si="66"/>
        <v>66232.152272727268</v>
      </c>
      <c r="F404" s="134">
        <v>49671504</v>
      </c>
      <c r="G404" s="117">
        <f t="shared" si="67"/>
        <v>28222.445454545454</v>
      </c>
      <c r="H404" s="7"/>
      <c r="I404" s="136">
        <v>5.8357999999999999</v>
      </c>
      <c r="J404" s="134">
        <v>289872.96304320003</v>
      </c>
      <c r="K404" s="120">
        <f t="shared" si="68"/>
        <v>164.70054718363639</v>
      </c>
      <c r="L404" s="122">
        <f t="shared" si="69"/>
        <v>496715.04000000004</v>
      </c>
      <c r="M404" s="116">
        <f t="shared" si="70"/>
        <v>206842.07695680001</v>
      </c>
      <c r="N404" s="123">
        <f t="shared" si="71"/>
        <v>117.52390736181819</v>
      </c>
      <c r="O404" s="5"/>
      <c r="P404" s="5">
        <f t="shared" si="72"/>
        <v>1</v>
      </c>
      <c r="Q404" s="7">
        <f t="shared" si="73"/>
        <v>1760</v>
      </c>
    </row>
    <row r="405" spans="1:21">
      <c r="A405" s="23" t="s">
        <v>431</v>
      </c>
      <c r="B405" s="35" t="s">
        <v>420</v>
      </c>
      <c r="C405" s="125">
        <v>3111</v>
      </c>
      <c r="D405" s="132">
        <v>1131344378</v>
      </c>
      <c r="E405" s="116">
        <f t="shared" si="66"/>
        <v>363659.39504982322</v>
      </c>
      <c r="F405" s="134">
        <v>859460169</v>
      </c>
      <c r="G405" s="117">
        <f t="shared" si="67"/>
        <v>276264.92092574737</v>
      </c>
      <c r="H405" s="7"/>
      <c r="I405" s="136">
        <v>5.9</v>
      </c>
      <c r="J405" s="134">
        <v>5070814.9971000003</v>
      </c>
      <c r="K405" s="120">
        <f t="shared" si="68"/>
        <v>1629.9630334619094</v>
      </c>
      <c r="L405" s="122">
        <f t="shared" si="69"/>
        <v>8594601.6899999995</v>
      </c>
      <c r="M405" s="116">
        <f t="shared" si="70"/>
        <v>3523786.6928999992</v>
      </c>
      <c r="N405" s="123">
        <f t="shared" si="71"/>
        <v>1132.6861757955639</v>
      </c>
      <c r="O405" s="5"/>
      <c r="P405" s="5">
        <f t="shared" si="72"/>
        <v>1</v>
      </c>
      <c r="Q405" s="7">
        <f t="shared" si="73"/>
        <v>3111</v>
      </c>
    </row>
    <row r="406" spans="1:21">
      <c r="A406" s="23" t="s">
        <v>432</v>
      </c>
      <c r="B406" s="35" t="s">
        <v>420</v>
      </c>
      <c r="C406" s="125">
        <v>61009</v>
      </c>
      <c r="D406" s="132">
        <v>5127678259</v>
      </c>
      <c r="E406" s="116">
        <f t="shared" si="66"/>
        <v>84047.898818207148</v>
      </c>
      <c r="F406" s="134">
        <v>3235428328</v>
      </c>
      <c r="G406" s="117">
        <f t="shared" si="67"/>
        <v>53031.984264616694</v>
      </c>
      <c r="H406" s="7"/>
      <c r="I406" s="136">
        <v>4.6288</v>
      </c>
      <c r="J406" s="134">
        <v>14976150.644646401</v>
      </c>
      <c r="K406" s="120">
        <f t="shared" si="68"/>
        <v>245.47444876405777</v>
      </c>
      <c r="L406" s="122">
        <f t="shared" si="69"/>
        <v>32354283.280000001</v>
      </c>
      <c r="M406" s="116">
        <f t="shared" si="70"/>
        <v>17378132.635353602</v>
      </c>
      <c r="N406" s="123">
        <f t="shared" si="71"/>
        <v>284.84539388210925</v>
      </c>
      <c r="O406" s="5"/>
      <c r="P406" s="5">
        <f t="shared" si="72"/>
        <v>1</v>
      </c>
      <c r="Q406" s="7">
        <f t="shared" si="73"/>
        <v>61009</v>
      </c>
    </row>
    <row r="407" spans="1:21">
      <c r="A407" s="23" t="s">
        <v>433</v>
      </c>
      <c r="B407" s="35" t="s">
        <v>420</v>
      </c>
      <c r="C407" s="125">
        <v>12703</v>
      </c>
      <c r="D407" s="132">
        <v>934048597</v>
      </c>
      <c r="E407" s="116">
        <f t="shared" si="66"/>
        <v>73529.764386365423</v>
      </c>
      <c r="F407" s="134">
        <v>575458984</v>
      </c>
      <c r="G407" s="117">
        <f t="shared" si="67"/>
        <v>45301.029992915057</v>
      </c>
      <c r="H407" s="9"/>
      <c r="I407" s="136">
        <v>7.75</v>
      </c>
      <c r="J407" s="134">
        <v>4459807.1260000002</v>
      </c>
      <c r="K407" s="120">
        <f t="shared" si="68"/>
        <v>351.08298244509172</v>
      </c>
      <c r="L407" s="122">
        <f t="shared" si="69"/>
        <v>5754589.8399999999</v>
      </c>
      <c r="M407" s="116">
        <f t="shared" si="70"/>
        <v>1294782.7139999997</v>
      </c>
      <c r="N407" s="123">
        <f t="shared" si="71"/>
        <v>101.92731748405886</v>
      </c>
      <c r="O407" s="5"/>
      <c r="P407" s="5">
        <f t="shared" si="72"/>
        <v>1</v>
      </c>
      <c r="Q407" s="7">
        <f t="shared" si="73"/>
        <v>12703</v>
      </c>
      <c r="S407" s="124">
        <f>SUM(D392:D407)</f>
        <v>42536306836</v>
      </c>
      <c r="T407" s="124">
        <f>SUM(F392:F407)</f>
        <v>26712141383</v>
      </c>
      <c r="U407" s="124">
        <f>SUM(J392:J407)</f>
        <v>144049919.82989776</v>
      </c>
    </row>
    <row r="408" spans="1:21">
      <c r="A408" s="23" t="s">
        <v>435</v>
      </c>
      <c r="B408" s="35" t="s">
        <v>434</v>
      </c>
      <c r="C408" s="125">
        <v>473</v>
      </c>
      <c r="D408" s="147" t="s">
        <v>564</v>
      </c>
      <c r="E408" s="116"/>
      <c r="F408" s="134"/>
      <c r="G408" s="117"/>
      <c r="H408" s="98" t="s">
        <v>588</v>
      </c>
      <c r="I408" s="136"/>
      <c r="J408" s="134"/>
      <c r="K408" s="120"/>
      <c r="L408" s="122">
        <f t="shared" si="69"/>
        <v>0</v>
      </c>
      <c r="M408" s="116">
        <f t="shared" si="70"/>
        <v>0</v>
      </c>
      <c r="N408" s="123">
        <f t="shared" si="71"/>
        <v>0</v>
      </c>
      <c r="O408" s="5"/>
      <c r="P408" s="5">
        <f t="shared" si="72"/>
        <v>0</v>
      </c>
      <c r="Q408" s="7">
        <f t="shared" si="73"/>
        <v>0</v>
      </c>
    </row>
    <row r="409" spans="1:21">
      <c r="A409" s="24" t="s">
        <v>555</v>
      </c>
      <c r="B409" s="35" t="s">
        <v>434</v>
      </c>
      <c r="C409" s="125">
        <v>277</v>
      </c>
      <c r="D409" s="132">
        <v>45655299</v>
      </c>
      <c r="E409" s="116">
        <f>(D409/C409)</f>
        <v>164820.57400722022</v>
      </c>
      <c r="F409" s="134">
        <v>30467861</v>
      </c>
      <c r="G409" s="117">
        <f>(F409/C409)</f>
        <v>109992.27797833935</v>
      </c>
      <c r="H409" s="9"/>
      <c r="I409" s="136">
        <v>4.7657999999999996</v>
      </c>
      <c r="J409" s="134">
        <v>145203.73195379999</v>
      </c>
      <c r="K409" s="120">
        <f>(J409/C409)</f>
        <v>524.20119838916958</v>
      </c>
      <c r="L409" s="122">
        <f t="shared" si="69"/>
        <v>304678.61</v>
      </c>
      <c r="M409" s="116">
        <f t="shared" si="70"/>
        <v>159474.8780462</v>
      </c>
      <c r="N409" s="123">
        <f t="shared" si="71"/>
        <v>575.72158139422379</v>
      </c>
      <c r="O409" s="5"/>
      <c r="P409" s="5">
        <f t="shared" si="72"/>
        <v>1</v>
      </c>
      <c r="Q409" s="7">
        <f t="shared" si="73"/>
        <v>277</v>
      </c>
      <c r="S409" s="124">
        <f>SUM(D408:D409)</f>
        <v>45655299</v>
      </c>
      <c r="T409" s="124">
        <f>SUM(F408:F409)</f>
        <v>30467861</v>
      </c>
      <c r="U409" s="124">
        <f>SUM(J408:J409)</f>
        <v>145203.73195379999</v>
      </c>
    </row>
    <row r="410" spans="1:21">
      <c r="A410" s="23" t="s">
        <v>436</v>
      </c>
      <c r="B410" s="35" t="s">
        <v>437</v>
      </c>
      <c r="C410" s="125">
        <v>5481</v>
      </c>
      <c r="D410" s="132">
        <v>343866695</v>
      </c>
      <c r="E410" s="116">
        <f>(D410/C410)</f>
        <v>62737.948367086297</v>
      </c>
      <c r="F410" s="134">
        <v>229179559</v>
      </c>
      <c r="G410" s="117">
        <f>(F410/C410)</f>
        <v>41813.457215836526</v>
      </c>
      <c r="H410" s="9"/>
      <c r="I410" s="150">
        <v>4.5</v>
      </c>
      <c r="J410" s="134">
        <v>1031308.0155</v>
      </c>
      <c r="K410" s="120">
        <f>(J410/C410)</f>
        <v>188.16055747126435</v>
      </c>
      <c r="L410" s="122">
        <f t="shared" si="69"/>
        <v>2291795.59</v>
      </c>
      <c r="M410" s="116">
        <f t="shared" si="70"/>
        <v>1260487.5744999999</v>
      </c>
      <c r="N410" s="123">
        <f t="shared" si="71"/>
        <v>229.97401468710086</v>
      </c>
      <c r="O410" s="5"/>
      <c r="P410" s="5">
        <f t="shared" si="72"/>
        <v>1</v>
      </c>
      <c r="Q410" s="7">
        <f t="shared" si="73"/>
        <v>5481</v>
      </c>
    </row>
    <row r="411" spans="1:21">
      <c r="A411" s="23" t="s">
        <v>438</v>
      </c>
      <c r="B411" s="35" t="s">
        <v>437</v>
      </c>
      <c r="C411" s="125">
        <v>3845</v>
      </c>
      <c r="D411" s="132">
        <v>407638578</v>
      </c>
      <c r="E411" s="116">
        <f>(D411/C411)</f>
        <v>106017.83563068921</v>
      </c>
      <c r="F411" s="134">
        <v>307909619</v>
      </c>
      <c r="G411" s="117">
        <f>(F411/C411)</f>
        <v>80080.525097529258</v>
      </c>
      <c r="H411" s="9"/>
      <c r="I411" s="150">
        <v>4.7302</v>
      </c>
      <c r="J411" s="134">
        <v>1456474.0797937999</v>
      </c>
      <c r="K411" s="120">
        <f>(J411/C411)</f>
        <v>378.79689981633288</v>
      </c>
      <c r="L411" s="122">
        <f t="shared" si="69"/>
        <v>3079096.19</v>
      </c>
      <c r="M411" s="116">
        <f t="shared" si="70"/>
        <v>1622622.1102062</v>
      </c>
      <c r="N411" s="123">
        <f t="shared" si="71"/>
        <v>422.00835115895973</v>
      </c>
      <c r="O411" s="5"/>
      <c r="P411" s="5">
        <f t="shared" si="72"/>
        <v>1</v>
      </c>
      <c r="Q411" s="7">
        <f t="shared" si="73"/>
        <v>3845</v>
      </c>
    </row>
    <row r="412" spans="1:21">
      <c r="A412" s="23" t="s">
        <v>439</v>
      </c>
      <c r="B412" s="35" t="s">
        <v>437</v>
      </c>
      <c r="C412" s="125">
        <v>610</v>
      </c>
      <c r="D412" s="147" t="s">
        <v>564</v>
      </c>
      <c r="E412" s="116"/>
      <c r="F412" s="134"/>
      <c r="G412" s="117"/>
      <c r="H412" s="98" t="s">
        <v>588</v>
      </c>
      <c r="I412" s="136"/>
      <c r="J412" s="134"/>
      <c r="K412" s="120"/>
      <c r="L412" s="122">
        <f t="shared" si="69"/>
        <v>0</v>
      </c>
      <c r="M412" s="116">
        <f t="shared" si="70"/>
        <v>0</v>
      </c>
      <c r="N412" s="123">
        <f t="shared" si="71"/>
        <v>0</v>
      </c>
      <c r="O412" s="5"/>
      <c r="P412" s="5">
        <f t="shared" si="72"/>
        <v>0</v>
      </c>
      <c r="Q412" s="7">
        <f t="shared" si="73"/>
        <v>0</v>
      </c>
      <c r="S412" s="124">
        <f>SUM(D410:D412)</f>
        <v>751505273</v>
      </c>
      <c r="T412" s="124">
        <f>SUM(F410:F412)</f>
        <v>537089178</v>
      </c>
      <c r="U412" s="124">
        <f>SUM(J410:J412)</f>
        <v>2487782.0952937999</v>
      </c>
    </row>
    <row r="413" spans="1:21">
      <c r="A413" s="23" t="s">
        <v>440</v>
      </c>
      <c r="B413" s="35" t="s">
        <v>441</v>
      </c>
      <c r="C413" s="125">
        <v>293</v>
      </c>
      <c r="D413" s="147" t="s">
        <v>564</v>
      </c>
      <c r="E413" s="116"/>
      <c r="F413" s="134"/>
      <c r="G413" s="117"/>
      <c r="H413" s="98" t="s">
        <v>588</v>
      </c>
      <c r="I413" s="136"/>
      <c r="J413" s="134"/>
      <c r="K413" s="120"/>
      <c r="L413" s="122">
        <f t="shared" si="69"/>
        <v>0</v>
      </c>
      <c r="M413" s="116">
        <f t="shared" si="70"/>
        <v>0</v>
      </c>
      <c r="N413" s="123">
        <f t="shared" si="71"/>
        <v>0</v>
      </c>
      <c r="O413" s="5"/>
      <c r="P413" s="5">
        <f t="shared" si="72"/>
        <v>0</v>
      </c>
      <c r="Q413" s="7">
        <f t="shared" si="73"/>
        <v>0</v>
      </c>
    </row>
    <row r="414" spans="1:21">
      <c r="A414" s="23" t="s">
        <v>442</v>
      </c>
      <c r="B414" s="35" t="s">
        <v>441</v>
      </c>
      <c r="C414" s="125">
        <v>3506</v>
      </c>
      <c r="D414" s="132">
        <v>210036704</v>
      </c>
      <c r="E414" s="116">
        <f>(D414/C414)</f>
        <v>59907.787792355964</v>
      </c>
      <c r="F414" s="134">
        <v>140794197</v>
      </c>
      <c r="G414" s="117">
        <f>(F414/C414)</f>
        <v>40158.071021106676</v>
      </c>
      <c r="H414" s="9"/>
      <c r="I414" s="150">
        <v>7</v>
      </c>
      <c r="J414" s="134">
        <v>985559.37899999996</v>
      </c>
      <c r="K414" s="120">
        <f>(J414/C414)</f>
        <v>281.10649714774672</v>
      </c>
      <c r="L414" s="122">
        <f t="shared" si="69"/>
        <v>1407941.97</v>
      </c>
      <c r="M414" s="116">
        <f t="shared" si="70"/>
        <v>422382.59100000001</v>
      </c>
      <c r="N414" s="123">
        <f t="shared" si="71"/>
        <v>120.47421306332002</v>
      </c>
      <c r="O414" s="5"/>
      <c r="P414" s="5">
        <f t="shared" si="72"/>
        <v>1</v>
      </c>
      <c r="Q414" s="7">
        <f t="shared" si="73"/>
        <v>3506</v>
      </c>
    </row>
    <row r="415" spans="1:21">
      <c r="A415" s="23" t="s">
        <v>443</v>
      </c>
      <c r="B415" s="35" t="s">
        <v>441</v>
      </c>
      <c r="C415" s="125">
        <v>238</v>
      </c>
      <c r="D415" s="147" t="s">
        <v>564</v>
      </c>
      <c r="E415" s="116"/>
      <c r="F415" s="134"/>
      <c r="G415" s="117"/>
      <c r="H415" s="98" t="s">
        <v>588</v>
      </c>
      <c r="I415" s="136"/>
      <c r="J415" s="134"/>
      <c r="K415" s="120"/>
      <c r="L415" s="122">
        <f t="shared" si="69"/>
        <v>0</v>
      </c>
      <c r="M415" s="116">
        <f t="shared" si="70"/>
        <v>0</v>
      </c>
      <c r="N415" s="123">
        <f t="shared" si="71"/>
        <v>0</v>
      </c>
      <c r="O415" s="5"/>
      <c r="P415" s="5">
        <f t="shared" si="72"/>
        <v>0</v>
      </c>
      <c r="Q415" s="7">
        <f t="shared" si="73"/>
        <v>0</v>
      </c>
    </row>
    <row r="416" spans="1:21">
      <c r="A416" s="23" t="s">
        <v>444</v>
      </c>
      <c r="B416" s="35" t="s">
        <v>441</v>
      </c>
      <c r="C416" s="125">
        <v>751</v>
      </c>
      <c r="D416" s="132">
        <v>32005382</v>
      </c>
      <c r="E416" s="116">
        <f>(D416/C416)</f>
        <v>42617.019973368842</v>
      </c>
      <c r="F416" s="134">
        <v>16988290</v>
      </c>
      <c r="G416" s="117">
        <f>(F416/C416)</f>
        <v>22620.892143808254</v>
      </c>
      <c r="H416" s="9"/>
      <c r="I416" s="150">
        <v>4.8281999999999998</v>
      </c>
      <c r="J416" s="134">
        <v>82022.861777999991</v>
      </c>
      <c r="K416" s="120">
        <f>(J416/C416)</f>
        <v>109.21819144873501</v>
      </c>
      <c r="L416" s="122">
        <f t="shared" si="69"/>
        <v>169882.9</v>
      </c>
      <c r="M416" s="116">
        <f t="shared" si="70"/>
        <v>87860.038222000003</v>
      </c>
      <c r="N416" s="123">
        <f t="shared" si="71"/>
        <v>116.99072998934754</v>
      </c>
      <c r="O416" s="5"/>
      <c r="P416" s="5">
        <f t="shared" si="72"/>
        <v>1</v>
      </c>
      <c r="Q416" s="7">
        <f t="shared" si="73"/>
        <v>751</v>
      </c>
    </row>
    <row r="417" spans="1:21">
      <c r="A417" s="23" t="s">
        <v>445</v>
      </c>
      <c r="B417" s="35" t="s">
        <v>441</v>
      </c>
      <c r="C417" s="125">
        <v>375</v>
      </c>
      <c r="D417" s="147" t="s">
        <v>564</v>
      </c>
      <c r="E417" s="116"/>
      <c r="F417" s="134"/>
      <c r="G417" s="117"/>
      <c r="H417" s="98" t="s">
        <v>588</v>
      </c>
      <c r="I417" s="136"/>
      <c r="J417" s="134"/>
      <c r="K417" s="120"/>
      <c r="L417" s="122">
        <f t="shared" si="69"/>
        <v>0</v>
      </c>
      <c r="M417" s="116">
        <f t="shared" si="70"/>
        <v>0</v>
      </c>
      <c r="N417" s="123">
        <f t="shared" si="71"/>
        <v>0</v>
      </c>
      <c r="O417" s="5"/>
      <c r="P417" s="5">
        <f t="shared" si="72"/>
        <v>0</v>
      </c>
      <c r="Q417" s="7">
        <f t="shared" si="73"/>
        <v>0</v>
      </c>
      <c r="S417" s="124">
        <f>SUM(D413:D417)</f>
        <v>242042086</v>
      </c>
      <c r="T417" s="124">
        <f>SUM(F413:F417)</f>
        <v>157782487</v>
      </c>
      <c r="U417" s="124">
        <f>SUM(J413:J417)</f>
        <v>1067582.2407779999</v>
      </c>
    </row>
    <row r="418" spans="1:21">
      <c r="A418" s="70" t="s">
        <v>583</v>
      </c>
      <c r="B418" s="71"/>
      <c r="C418" s="72">
        <f>SUM(C6:C417)</f>
        <v>10556970</v>
      </c>
      <c r="D418" s="158">
        <f>SUM(D6:D417)</f>
        <v>1467988035522</v>
      </c>
      <c r="E418" s="74">
        <f>(D418/Q418)</f>
        <v>152579.87179881078</v>
      </c>
      <c r="F418" s="167">
        <f>SUM(F6:F417)</f>
        <v>1013900597837</v>
      </c>
      <c r="G418" s="76">
        <f>(F418/Q418)</f>
        <v>105382.89106674987</v>
      </c>
      <c r="H418" s="71"/>
      <c r="I418" s="168"/>
      <c r="J418" s="169">
        <f>SUM(J6:J417)</f>
        <v>4988653290.6631737</v>
      </c>
      <c r="K418" s="79">
        <f>(J418/Q418)</f>
        <v>518.51109213396262</v>
      </c>
      <c r="L418" s="79">
        <f>SUM(L6:L417)</f>
        <v>10139005978.370007</v>
      </c>
      <c r="M418" s="78">
        <f>SUM(M6:M417)</f>
        <v>5150352687.7068291</v>
      </c>
      <c r="N418" s="80">
        <f>(M418/Q418)</f>
        <v>535.31781853353641</v>
      </c>
      <c r="O418" s="20"/>
      <c r="P418" s="20">
        <f>SUM(P6:P417)</f>
        <v>390</v>
      </c>
      <c r="Q418" s="21">
        <f>SUM(Q6:Q417)</f>
        <v>9621112</v>
      </c>
      <c r="S418" s="124"/>
      <c r="T418" s="124"/>
      <c r="U418" s="124"/>
    </row>
    <row r="419" spans="1:21">
      <c r="A419" s="27" t="s">
        <v>453</v>
      </c>
      <c r="B419" s="13"/>
      <c r="C419" s="60">
        <f>(P418)</f>
        <v>390</v>
      </c>
      <c r="D419" s="159"/>
      <c r="E419" s="16"/>
      <c r="F419" s="141"/>
      <c r="G419" s="16"/>
      <c r="H419" s="16"/>
      <c r="I419" s="170"/>
      <c r="J419" s="159"/>
      <c r="K419" s="17"/>
      <c r="L419" s="2"/>
      <c r="M419" s="2"/>
      <c r="N419" s="63"/>
      <c r="O419" s="2"/>
      <c r="P419" s="2"/>
      <c r="Q419" s="2"/>
      <c r="S419" s="124"/>
      <c r="T419" s="124"/>
      <c r="U419" s="124"/>
    </row>
    <row r="420" spans="1:21">
      <c r="A420" s="22"/>
      <c r="B420" s="16"/>
      <c r="C420" s="16"/>
      <c r="D420" s="160"/>
      <c r="E420" s="16"/>
      <c r="F420" s="160"/>
      <c r="G420" s="16"/>
      <c r="H420" s="107"/>
      <c r="I420" s="171"/>
      <c r="J420" s="160"/>
      <c r="K420" s="17"/>
      <c r="L420" s="2"/>
      <c r="M420" s="2"/>
      <c r="N420" s="63"/>
      <c r="O420" s="2"/>
      <c r="P420" s="2"/>
      <c r="Q420" s="2"/>
      <c r="S420" s="124"/>
      <c r="T420" s="124"/>
      <c r="U420" s="124"/>
    </row>
    <row r="421" spans="1:21">
      <c r="A421" s="204" t="s">
        <v>498</v>
      </c>
      <c r="B421" s="192"/>
      <c r="C421" s="192"/>
      <c r="D421" s="192"/>
      <c r="E421" s="192"/>
      <c r="F421" s="192"/>
      <c r="G421" s="192"/>
      <c r="H421" s="192"/>
      <c r="I421" s="192"/>
      <c r="J421" s="192"/>
      <c r="K421" s="192"/>
      <c r="L421" s="192"/>
      <c r="M421" s="192"/>
      <c r="N421" s="193"/>
      <c r="O421" s="1"/>
      <c r="P421" s="1"/>
      <c r="Q421" s="1"/>
    </row>
    <row r="422" spans="1:21">
      <c r="A422" s="191" t="s">
        <v>565</v>
      </c>
      <c r="B422" s="192"/>
      <c r="C422" s="192"/>
      <c r="D422" s="192"/>
      <c r="E422" s="192"/>
      <c r="F422" s="192"/>
      <c r="G422" s="192"/>
      <c r="H422" s="192"/>
      <c r="I422" s="192"/>
      <c r="J422" s="192"/>
      <c r="K422" s="192"/>
      <c r="L422" s="192"/>
      <c r="M422" s="192"/>
      <c r="N422" s="193"/>
      <c r="O422" s="1"/>
      <c r="P422" s="1"/>
      <c r="Q422" s="1"/>
    </row>
    <row r="423" spans="1:21" ht="25.5" customHeight="1">
      <c r="A423" s="191" t="s">
        <v>577</v>
      </c>
      <c r="B423" s="192"/>
      <c r="C423" s="192"/>
      <c r="D423" s="192"/>
      <c r="E423" s="192"/>
      <c r="F423" s="192"/>
      <c r="G423" s="192"/>
      <c r="H423" s="192"/>
      <c r="I423" s="192"/>
      <c r="J423" s="192"/>
      <c r="K423" s="192"/>
      <c r="L423" s="192"/>
      <c r="M423" s="192"/>
      <c r="N423" s="193"/>
      <c r="O423" s="1"/>
      <c r="P423" s="1"/>
      <c r="Q423" s="1"/>
    </row>
    <row r="424" spans="1:21" ht="25.5" customHeight="1">
      <c r="A424" s="191" t="s">
        <v>578</v>
      </c>
      <c r="B424" s="192"/>
      <c r="C424" s="192"/>
      <c r="D424" s="192"/>
      <c r="E424" s="192"/>
      <c r="F424" s="192"/>
      <c r="G424" s="192"/>
      <c r="H424" s="192"/>
      <c r="I424" s="192"/>
      <c r="J424" s="192"/>
      <c r="K424" s="192"/>
      <c r="L424" s="192"/>
      <c r="M424" s="192"/>
      <c r="N424" s="193"/>
      <c r="O424" s="1"/>
      <c r="P424" s="1"/>
      <c r="Q424" s="1"/>
    </row>
    <row r="425" spans="1:21">
      <c r="A425" s="194"/>
      <c r="B425" s="192"/>
      <c r="C425" s="192"/>
      <c r="D425" s="192"/>
      <c r="E425" s="192"/>
      <c r="F425" s="192"/>
      <c r="G425" s="192"/>
      <c r="H425" s="192"/>
      <c r="I425" s="192"/>
      <c r="J425" s="192"/>
      <c r="K425" s="192"/>
      <c r="L425" s="192"/>
      <c r="M425" s="192"/>
      <c r="N425" s="193"/>
      <c r="O425" s="1"/>
      <c r="P425" s="1"/>
      <c r="Q425" s="1"/>
    </row>
    <row r="426" spans="1:21">
      <c r="A426" s="191" t="s">
        <v>579</v>
      </c>
      <c r="B426" s="192"/>
      <c r="C426" s="192"/>
      <c r="D426" s="192"/>
      <c r="E426" s="192"/>
      <c r="F426" s="192"/>
      <c r="G426" s="192"/>
      <c r="H426" s="192"/>
      <c r="I426" s="192"/>
      <c r="J426" s="192"/>
      <c r="K426" s="192"/>
      <c r="L426" s="192"/>
      <c r="M426" s="192"/>
      <c r="N426" s="193"/>
      <c r="O426" s="1"/>
      <c r="P426" s="1"/>
      <c r="Q426" s="1"/>
    </row>
    <row r="427" spans="1:21">
      <c r="A427" s="191" t="s">
        <v>621</v>
      </c>
      <c r="B427" s="192"/>
      <c r="C427" s="192"/>
      <c r="D427" s="192"/>
      <c r="E427" s="192"/>
      <c r="F427" s="192"/>
      <c r="G427" s="192"/>
      <c r="H427" s="192"/>
      <c r="I427" s="192"/>
      <c r="J427" s="192"/>
      <c r="K427" s="192"/>
      <c r="L427" s="192"/>
      <c r="M427" s="192"/>
      <c r="N427" s="193"/>
      <c r="O427" s="1"/>
      <c r="P427" s="1"/>
      <c r="Q427" s="1"/>
    </row>
    <row r="428" spans="1:21" ht="15" customHeight="1" thickBot="1">
      <c r="A428" s="188" t="s">
        <v>617</v>
      </c>
      <c r="B428" s="189"/>
      <c r="C428" s="189"/>
      <c r="D428" s="189"/>
      <c r="E428" s="189"/>
      <c r="F428" s="189"/>
      <c r="G428" s="189"/>
      <c r="H428" s="189"/>
      <c r="I428" s="189"/>
      <c r="J428" s="189"/>
      <c r="K428" s="189"/>
      <c r="L428" s="189"/>
      <c r="M428" s="189"/>
      <c r="N428" s="190"/>
      <c r="O428" s="1"/>
      <c r="P428" s="1"/>
      <c r="Q428" s="1"/>
    </row>
    <row r="429" spans="1:21">
      <c r="A429" s="4"/>
      <c r="B429" s="1"/>
      <c r="C429" s="1"/>
      <c r="D429" s="161"/>
      <c r="E429" s="1"/>
      <c r="F429" s="161"/>
      <c r="G429" s="1"/>
      <c r="H429" s="1"/>
      <c r="I429" s="172"/>
      <c r="J429" s="172"/>
      <c r="K429" s="3"/>
      <c r="L429" s="1"/>
      <c r="M429" s="1"/>
      <c r="N429" s="1"/>
      <c r="O429" s="1"/>
      <c r="P429" s="1"/>
      <c r="Q429" s="1"/>
    </row>
    <row r="430" spans="1:21">
      <c r="A430" s="4"/>
      <c r="B430" s="1"/>
      <c r="C430" s="1"/>
      <c r="D430" s="161"/>
      <c r="E430" s="1"/>
      <c r="F430" s="161"/>
      <c r="G430" s="1"/>
      <c r="H430" s="1"/>
      <c r="I430" s="172"/>
      <c r="J430" s="172"/>
      <c r="K430" s="3"/>
      <c r="L430" s="1"/>
      <c r="M430" s="1"/>
      <c r="N430" s="1"/>
      <c r="O430" s="1"/>
      <c r="P430" s="1"/>
      <c r="Q430" s="1"/>
    </row>
    <row r="431" spans="1:21">
      <c r="A431" s="2"/>
      <c r="B431" s="2"/>
      <c r="C431" s="2"/>
      <c r="D431" s="162"/>
      <c r="E431" s="2"/>
      <c r="F431" s="162"/>
      <c r="G431" s="2"/>
      <c r="H431" s="2"/>
      <c r="I431" s="162"/>
      <c r="J431" s="162"/>
      <c r="K431" s="2"/>
      <c r="L431" s="2"/>
      <c r="M431" s="2"/>
      <c r="N431" s="2"/>
      <c r="O431" s="2"/>
      <c r="P431" s="2"/>
      <c r="Q431" s="2"/>
    </row>
  </sheetData>
  <mergeCells count="12">
    <mergeCell ref="A428:N428"/>
    <mergeCell ref="A1:N1"/>
    <mergeCell ref="D2:G2"/>
    <mergeCell ref="L2:N2"/>
    <mergeCell ref="S2:U2"/>
    <mergeCell ref="A421:N421"/>
    <mergeCell ref="A422:N422"/>
    <mergeCell ref="A423:N423"/>
    <mergeCell ref="A424:N424"/>
    <mergeCell ref="A425:N425"/>
    <mergeCell ref="A426:N426"/>
    <mergeCell ref="A427:N427"/>
  </mergeCells>
  <printOptions horizontalCentered="1"/>
  <pageMargins left="0.5" right="0.5" top="0.5" bottom="0.5" header="0.3" footer="0.3"/>
  <pageSetup paperSize="5" scale="80" fitToHeight="0" orientation="landscape" r:id="rId1"/>
  <headerFooter>
    <oddFooter>&amp;LOffice of Economic and Demographic Research&amp;CPage &amp;P of &amp;N&amp;RJanuary 13, 2020</oddFooter>
  </headerFooter>
  <ignoredErrors>
    <ignoredError sqref="E418"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U431"/>
  <sheetViews>
    <sheetView workbookViewId="0">
      <selection sqref="A1:N1"/>
    </sheetView>
  </sheetViews>
  <sheetFormatPr defaultRowHeight="12.75"/>
  <cols>
    <col min="1" max="1" width="25.7109375" customWidth="1"/>
    <col min="2" max="2" width="16.7109375" customWidth="1"/>
    <col min="3" max="3" width="11.7109375" customWidth="1"/>
    <col min="4" max="4" width="18.7109375" style="163" customWidth="1"/>
    <col min="5" max="5" width="13.7109375" customWidth="1"/>
    <col min="6" max="6" width="18.7109375" style="163" customWidth="1"/>
    <col min="7" max="7" width="13.7109375" customWidth="1"/>
    <col min="8" max="8" width="1.7109375" customWidth="1"/>
    <col min="9" max="9" width="10.7109375" style="163" customWidth="1"/>
    <col min="10" max="10" width="15.7109375" style="163" customWidth="1"/>
    <col min="11" max="11" width="13.7109375" customWidth="1"/>
    <col min="12" max="13" width="15.7109375" customWidth="1"/>
    <col min="14" max="14" width="14.7109375" customWidth="1"/>
    <col min="15" max="15" width="2.7109375" customWidth="1"/>
    <col min="16" max="16" width="4.5703125" customWidth="1"/>
    <col min="17" max="17" width="10.7109375" customWidth="1"/>
    <col min="18" max="18" width="5.7109375" customWidth="1"/>
    <col min="19" max="20" width="17.7109375" customWidth="1"/>
    <col min="21" max="21" width="16.7109375" customWidth="1"/>
  </cols>
  <sheetData>
    <row r="1" spans="1:21" ht="26.25">
      <c r="A1" s="197" t="s">
        <v>610</v>
      </c>
      <c r="B1" s="198"/>
      <c r="C1" s="198"/>
      <c r="D1" s="198"/>
      <c r="E1" s="198"/>
      <c r="F1" s="198"/>
      <c r="G1" s="198"/>
      <c r="H1" s="198"/>
      <c r="I1" s="198"/>
      <c r="J1" s="198"/>
      <c r="K1" s="198"/>
      <c r="L1" s="198"/>
      <c r="M1" s="198"/>
      <c r="N1" s="199"/>
    </row>
    <row r="2" spans="1:21" ht="18">
      <c r="A2" s="41"/>
      <c r="B2" s="42"/>
      <c r="C2" s="164"/>
      <c r="D2" s="200" t="s">
        <v>562</v>
      </c>
      <c r="E2" s="201"/>
      <c r="F2" s="201"/>
      <c r="G2" s="202"/>
      <c r="H2" s="44"/>
      <c r="I2" s="176" t="s">
        <v>456</v>
      </c>
      <c r="J2" s="177"/>
      <c r="K2" s="68"/>
      <c r="L2" s="201" t="s">
        <v>503</v>
      </c>
      <c r="M2" s="201"/>
      <c r="N2" s="203"/>
      <c r="S2" s="200" t="s">
        <v>591</v>
      </c>
      <c r="T2" s="201"/>
      <c r="U2" s="202"/>
    </row>
    <row r="3" spans="1:21" ht="12.75" customHeight="1">
      <c r="A3" s="46"/>
      <c r="B3" s="47"/>
      <c r="C3" s="48">
        <v>2017</v>
      </c>
      <c r="D3" s="165"/>
      <c r="E3" s="50" t="s">
        <v>1</v>
      </c>
      <c r="F3" s="173"/>
      <c r="G3" s="50" t="s">
        <v>1</v>
      </c>
      <c r="H3" s="52"/>
      <c r="I3" s="178"/>
      <c r="J3" s="179"/>
      <c r="K3" s="67" t="s">
        <v>1</v>
      </c>
      <c r="L3" s="66" t="s">
        <v>455</v>
      </c>
      <c r="M3" s="50" t="s">
        <v>455</v>
      </c>
      <c r="N3" s="59" t="s">
        <v>1</v>
      </c>
      <c r="S3" s="51"/>
      <c r="T3" s="51"/>
      <c r="U3" s="54"/>
    </row>
    <row r="4" spans="1:21">
      <c r="A4" s="46"/>
      <c r="B4" s="47"/>
      <c r="C4" s="48" t="s">
        <v>3</v>
      </c>
      <c r="D4" s="165" t="s">
        <v>563</v>
      </c>
      <c r="E4" s="56" t="s">
        <v>563</v>
      </c>
      <c r="F4" s="174" t="s">
        <v>2</v>
      </c>
      <c r="G4" s="56" t="s">
        <v>2</v>
      </c>
      <c r="H4" s="52"/>
      <c r="I4" s="180" t="s">
        <v>4</v>
      </c>
      <c r="J4" s="181" t="s">
        <v>455</v>
      </c>
      <c r="K4" s="69" t="s">
        <v>455</v>
      </c>
      <c r="L4" s="67" t="s">
        <v>454</v>
      </c>
      <c r="M4" s="82" t="s">
        <v>495</v>
      </c>
      <c r="N4" s="55" t="s">
        <v>495</v>
      </c>
      <c r="S4" s="48" t="s">
        <v>563</v>
      </c>
      <c r="T4" s="56" t="s">
        <v>2</v>
      </c>
      <c r="U4" s="58" t="s">
        <v>455</v>
      </c>
    </row>
    <row r="5" spans="1:21">
      <c r="A5" s="85" t="s">
        <v>5</v>
      </c>
      <c r="B5" s="86" t="s">
        <v>6</v>
      </c>
      <c r="C5" s="48" t="s">
        <v>458</v>
      </c>
      <c r="D5" s="166" t="s">
        <v>7</v>
      </c>
      <c r="E5" s="89" t="s">
        <v>7</v>
      </c>
      <c r="F5" s="175" t="s">
        <v>7</v>
      </c>
      <c r="G5" s="89" t="s">
        <v>7</v>
      </c>
      <c r="H5" s="91"/>
      <c r="I5" s="182" t="s">
        <v>587</v>
      </c>
      <c r="J5" s="175" t="s">
        <v>454</v>
      </c>
      <c r="K5" s="90" t="s">
        <v>454</v>
      </c>
      <c r="L5" s="93" t="s">
        <v>502</v>
      </c>
      <c r="M5" s="94" t="s">
        <v>496</v>
      </c>
      <c r="N5" s="95" t="s">
        <v>496</v>
      </c>
      <c r="O5" s="19"/>
      <c r="P5" s="19"/>
      <c r="Q5" s="19"/>
      <c r="S5" s="87" t="s">
        <v>7</v>
      </c>
      <c r="T5" s="90" t="s">
        <v>7</v>
      </c>
      <c r="U5" s="90" t="s">
        <v>454</v>
      </c>
    </row>
    <row r="6" spans="1:21">
      <c r="A6" s="22" t="s">
        <v>8</v>
      </c>
      <c r="B6" s="33" t="s">
        <v>8</v>
      </c>
      <c r="C6" s="97">
        <v>9936</v>
      </c>
      <c r="D6" s="141">
        <v>1289978915</v>
      </c>
      <c r="E6" s="38">
        <f t="shared" ref="E6:E14" si="0">(D6/C6)</f>
        <v>129828.79579307568</v>
      </c>
      <c r="F6" s="141">
        <v>782611283</v>
      </c>
      <c r="G6" s="39">
        <f t="shared" ref="G6:G14" si="1">(F6/C6)</f>
        <v>78765.225744766503</v>
      </c>
      <c r="H6" s="15"/>
      <c r="I6" s="145">
        <v>5.39</v>
      </c>
      <c r="J6" s="146">
        <v>4218274.82</v>
      </c>
      <c r="K6" s="84">
        <f t="shared" ref="K6:K14" si="2">(J6/C6)</f>
        <v>424.5445672302738</v>
      </c>
      <c r="L6" s="65">
        <f t="shared" ref="L6:L69" si="3">(F6*0.01)</f>
        <v>7826112.8300000001</v>
      </c>
      <c r="M6" s="83">
        <f t="shared" ref="M6:M69" si="4">(L6-J6)</f>
        <v>3607838.01</v>
      </c>
      <c r="N6" s="62">
        <f t="shared" ref="N6:N69" si="5">(M6/C6)</f>
        <v>363.10769021739128</v>
      </c>
      <c r="O6" s="5"/>
      <c r="P6" s="5">
        <f t="shared" ref="P6:P69" si="6">IF(I6&gt;0,1,0)</f>
        <v>1</v>
      </c>
      <c r="Q6" s="7">
        <f t="shared" ref="Q6:Q69" si="7">IF(I6&gt;0,C6,0)</f>
        <v>9936</v>
      </c>
    </row>
    <row r="7" spans="1:21">
      <c r="A7" s="23" t="s">
        <v>9</v>
      </c>
      <c r="B7" s="35" t="s">
        <v>8</v>
      </c>
      <c r="C7" s="97">
        <v>1165</v>
      </c>
      <c r="D7" s="132">
        <v>71322547</v>
      </c>
      <c r="E7" s="116">
        <f t="shared" si="0"/>
        <v>61221.070386266096</v>
      </c>
      <c r="F7" s="132">
        <v>38549255</v>
      </c>
      <c r="G7" s="117">
        <f t="shared" si="1"/>
        <v>33089.489270386264</v>
      </c>
      <c r="H7" s="7"/>
      <c r="I7" s="136">
        <v>5.2549000000000001</v>
      </c>
      <c r="J7" s="134">
        <v>202572.48</v>
      </c>
      <c r="K7" s="120">
        <f t="shared" si="2"/>
        <v>173.88195708154507</v>
      </c>
      <c r="L7" s="122">
        <f t="shared" si="3"/>
        <v>385492.55</v>
      </c>
      <c r="M7" s="116">
        <f t="shared" si="4"/>
        <v>182920.06999999998</v>
      </c>
      <c r="N7" s="123">
        <f t="shared" si="5"/>
        <v>157.01293562231757</v>
      </c>
      <c r="O7" s="5"/>
      <c r="P7" s="5">
        <f t="shared" si="6"/>
        <v>1</v>
      </c>
      <c r="Q7" s="7">
        <f t="shared" si="7"/>
        <v>1165</v>
      </c>
    </row>
    <row r="8" spans="1:21">
      <c r="A8" s="23" t="s">
        <v>10</v>
      </c>
      <c r="B8" s="35" t="s">
        <v>8</v>
      </c>
      <c r="C8" s="97">
        <v>129816</v>
      </c>
      <c r="D8" s="132">
        <v>15250789259</v>
      </c>
      <c r="E8" s="116">
        <f t="shared" si="0"/>
        <v>117480.04297621248</v>
      </c>
      <c r="F8" s="132">
        <v>6502749325</v>
      </c>
      <c r="G8" s="117">
        <f t="shared" si="1"/>
        <v>50092.048168176494</v>
      </c>
      <c r="H8" s="7"/>
      <c r="I8" s="136">
        <v>4.7473999999999998</v>
      </c>
      <c r="J8" s="134">
        <v>30871152.149999999</v>
      </c>
      <c r="K8" s="120">
        <f t="shared" si="2"/>
        <v>237.80698950822702</v>
      </c>
      <c r="L8" s="122">
        <f t="shared" si="3"/>
        <v>65027493.25</v>
      </c>
      <c r="M8" s="116">
        <f t="shared" si="4"/>
        <v>34156341.100000001</v>
      </c>
      <c r="N8" s="123">
        <f t="shared" si="5"/>
        <v>263.11349217353796</v>
      </c>
      <c r="O8" s="5"/>
      <c r="P8" s="5">
        <f t="shared" si="6"/>
        <v>1</v>
      </c>
      <c r="Q8" s="7">
        <f t="shared" si="7"/>
        <v>129816</v>
      </c>
    </row>
    <row r="9" spans="1:21">
      <c r="A9" s="23" t="s">
        <v>11</v>
      </c>
      <c r="B9" s="35" t="s">
        <v>8</v>
      </c>
      <c r="C9" s="97">
        <v>1412</v>
      </c>
      <c r="D9" s="132">
        <v>111559193</v>
      </c>
      <c r="E9" s="116">
        <f t="shared" si="0"/>
        <v>79007.927053824358</v>
      </c>
      <c r="F9" s="134">
        <v>47361911</v>
      </c>
      <c r="G9" s="117">
        <f t="shared" si="1"/>
        <v>33542.429886685553</v>
      </c>
      <c r="H9" s="7"/>
      <c r="I9" s="136">
        <v>5.3193999999999999</v>
      </c>
      <c r="J9" s="134">
        <v>251936.95</v>
      </c>
      <c r="K9" s="120">
        <f t="shared" si="2"/>
        <v>178.42560198300285</v>
      </c>
      <c r="L9" s="122">
        <f t="shared" si="3"/>
        <v>473619.11</v>
      </c>
      <c r="M9" s="116">
        <f t="shared" si="4"/>
        <v>221682.15999999997</v>
      </c>
      <c r="N9" s="123">
        <f t="shared" si="5"/>
        <v>156.99869688385266</v>
      </c>
      <c r="O9" s="5"/>
      <c r="P9" s="5">
        <f t="shared" si="6"/>
        <v>1</v>
      </c>
      <c r="Q9" s="7">
        <f t="shared" si="7"/>
        <v>1412</v>
      </c>
    </row>
    <row r="10" spans="1:21">
      <c r="A10" s="23" t="s">
        <v>12</v>
      </c>
      <c r="B10" s="35" t="s">
        <v>8</v>
      </c>
      <c r="C10" s="97">
        <v>6023</v>
      </c>
      <c r="D10" s="132">
        <v>455365124</v>
      </c>
      <c r="E10" s="116">
        <f t="shared" si="0"/>
        <v>75604.370579445458</v>
      </c>
      <c r="F10" s="134">
        <v>255633333</v>
      </c>
      <c r="G10" s="117">
        <f t="shared" si="1"/>
        <v>42442.857878133822</v>
      </c>
      <c r="H10" s="7"/>
      <c r="I10" s="136">
        <v>5.9972000000000003</v>
      </c>
      <c r="J10" s="134">
        <v>1533084.22</v>
      </c>
      <c r="K10" s="120">
        <f t="shared" si="2"/>
        <v>254.5383064917815</v>
      </c>
      <c r="L10" s="122">
        <f t="shared" si="3"/>
        <v>2556333.33</v>
      </c>
      <c r="M10" s="116">
        <f t="shared" si="4"/>
        <v>1023249.1100000001</v>
      </c>
      <c r="N10" s="123">
        <f t="shared" si="5"/>
        <v>169.89027228955672</v>
      </c>
      <c r="O10" s="5"/>
      <c r="P10" s="5">
        <f t="shared" si="6"/>
        <v>1</v>
      </c>
      <c r="Q10" s="7">
        <f t="shared" si="7"/>
        <v>6023</v>
      </c>
    </row>
    <row r="11" spans="1:21">
      <c r="A11" s="23" t="s">
        <v>559</v>
      </c>
      <c r="B11" s="35" t="s">
        <v>8</v>
      </c>
      <c r="C11" s="97">
        <v>374</v>
      </c>
      <c r="D11" s="132">
        <v>21417930</v>
      </c>
      <c r="E11" s="116">
        <f t="shared" si="0"/>
        <v>57267.192513368987</v>
      </c>
      <c r="F11" s="134">
        <v>10449979</v>
      </c>
      <c r="G11" s="117">
        <f t="shared" si="1"/>
        <v>27941.120320855614</v>
      </c>
      <c r="H11" s="7"/>
      <c r="I11" s="136">
        <v>6.3533999999999997</v>
      </c>
      <c r="J11" s="134">
        <v>66392.899999999994</v>
      </c>
      <c r="K11" s="120">
        <f t="shared" si="2"/>
        <v>177.52112299465239</v>
      </c>
      <c r="L11" s="122">
        <f t="shared" si="3"/>
        <v>104499.79000000001</v>
      </c>
      <c r="M11" s="116">
        <f t="shared" si="4"/>
        <v>38106.890000000014</v>
      </c>
      <c r="N11" s="123">
        <f t="shared" si="5"/>
        <v>101.89008021390379</v>
      </c>
      <c r="O11" s="5"/>
      <c r="P11" s="5">
        <f t="shared" si="6"/>
        <v>1</v>
      </c>
      <c r="Q11" s="7">
        <f t="shared" si="7"/>
        <v>374</v>
      </c>
    </row>
    <row r="12" spans="1:21">
      <c r="A12" s="23" t="s">
        <v>13</v>
      </c>
      <c r="B12" s="35" t="s">
        <v>8</v>
      </c>
      <c r="C12" s="97">
        <v>605</v>
      </c>
      <c r="D12" s="132">
        <v>48174992</v>
      </c>
      <c r="E12" s="116">
        <f t="shared" si="0"/>
        <v>79628.085950413224</v>
      </c>
      <c r="F12" s="134">
        <v>28621877</v>
      </c>
      <c r="G12" s="117">
        <f t="shared" si="1"/>
        <v>47308.887603305782</v>
      </c>
      <c r="H12" s="7"/>
      <c r="I12" s="136">
        <v>5.8113999999999999</v>
      </c>
      <c r="J12" s="134">
        <v>166333.18</v>
      </c>
      <c r="K12" s="120">
        <f t="shared" si="2"/>
        <v>274.93087603305781</v>
      </c>
      <c r="L12" s="122">
        <f t="shared" si="3"/>
        <v>286218.77</v>
      </c>
      <c r="M12" s="116">
        <f t="shared" si="4"/>
        <v>119885.59000000003</v>
      </c>
      <c r="N12" s="123">
        <f t="shared" si="5"/>
        <v>198.15800000000004</v>
      </c>
      <c r="O12" s="5"/>
      <c r="P12" s="5">
        <f t="shared" si="6"/>
        <v>1</v>
      </c>
      <c r="Q12" s="7">
        <f t="shared" si="7"/>
        <v>605</v>
      </c>
    </row>
    <row r="13" spans="1:21">
      <c r="A13" s="23" t="s">
        <v>14</v>
      </c>
      <c r="B13" s="35" t="s">
        <v>8</v>
      </c>
      <c r="C13" s="97">
        <v>5907</v>
      </c>
      <c r="D13" s="132">
        <v>693122650</v>
      </c>
      <c r="E13" s="116">
        <f t="shared" si="0"/>
        <v>117339.19925512104</v>
      </c>
      <c r="F13" s="134">
        <v>392797278</v>
      </c>
      <c r="G13" s="117">
        <f t="shared" si="1"/>
        <v>66496.915185373291</v>
      </c>
      <c r="H13" s="7"/>
      <c r="I13" s="136">
        <v>5.9999000000000002</v>
      </c>
      <c r="J13" s="134">
        <v>2356744.39</v>
      </c>
      <c r="K13" s="120">
        <f t="shared" si="2"/>
        <v>398.97484171322162</v>
      </c>
      <c r="L13" s="122">
        <f t="shared" si="3"/>
        <v>3927972.7800000003</v>
      </c>
      <c r="M13" s="116">
        <f t="shared" si="4"/>
        <v>1571228.3900000001</v>
      </c>
      <c r="N13" s="123">
        <f t="shared" si="5"/>
        <v>265.99431014051129</v>
      </c>
      <c r="O13" s="5"/>
      <c r="P13" s="5">
        <f t="shared" si="6"/>
        <v>1</v>
      </c>
      <c r="Q13" s="7">
        <f t="shared" si="7"/>
        <v>5907</v>
      </c>
    </row>
    <row r="14" spans="1:21">
      <c r="A14" s="23" t="s">
        <v>15</v>
      </c>
      <c r="B14" s="35" t="s">
        <v>8</v>
      </c>
      <c r="C14" s="97">
        <v>955</v>
      </c>
      <c r="D14" s="132">
        <v>49303257</v>
      </c>
      <c r="E14" s="116">
        <f t="shared" si="0"/>
        <v>51626.447120418845</v>
      </c>
      <c r="F14" s="134">
        <v>25893189</v>
      </c>
      <c r="G14" s="117">
        <f t="shared" si="1"/>
        <v>27113.286910994764</v>
      </c>
      <c r="H14" s="7"/>
      <c r="I14" s="136">
        <v>7.5179999999999998</v>
      </c>
      <c r="J14" s="134">
        <v>194664.99</v>
      </c>
      <c r="K14" s="120">
        <f t="shared" si="2"/>
        <v>203.83768586387433</v>
      </c>
      <c r="L14" s="122">
        <f t="shared" si="3"/>
        <v>258931.89</v>
      </c>
      <c r="M14" s="116">
        <f t="shared" si="4"/>
        <v>64266.900000000023</v>
      </c>
      <c r="N14" s="123">
        <f t="shared" si="5"/>
        <v>67.295183246073321</v>
      </c>
      <c r="O14" s="5"/>
      <c r="P14" s="5">
        <f t="shared" si="6"/>
        <v>1</v>
      </c>
      <c r="Q14" s="7">
        <f t="shared" si="7"/>
        <v>955</v>
      </c>
      <c r="S14" s="124">
        <f>SUM(D6:D14)</f>
        <v>17991033867</v>
      </c>
      <c r="T14" s="124">
        <f>SUM(F6:F14)</f>
        <v>8084667430</v>
      </c>
      <c r="U14" s="124">
        <f>SUM(J6:J14)</f>
        <v>39861156.080000006</v>
      </c>
    </row>
    <row r="15" spans="1:21">
      <c r="A15" s="24" t="s">
        <v>544</v>
      </c>
      <c r="B15" s="35" t="s">
        <v>16</v>
      </c>
      <c r="C15" s="125">
        <v>461</v>
      </c>
      <c r="D15" s="147" t="s">
        <v>564</v>
      </c>
      <c r="E15" s="116"/>
      <c r="F15" s="134"/>
      <c r="G15" s="117"/>
      <c r="H15" s="98" t="s">
        <v>588</v>
      </c>
      <c r="I15" s="136"/>
      <c r="J15" s="134"/>
      <c r="K15" s="120"/>
      <c r="L15" s="122">
        <f t="shared" si="3"/>
        <v>0</v>
      </c>
      <c r="M15" s="116">
        <f t="shared" si="4"/>
        <v>0</v>
      </c>
      <c r="N15" s="123">
        <f t="shared" si="5"/>
        <v>0</v>
      </c>
      <c r="O15" s="5"/>
      <c r="P15" s="5">
        <f t="shared" si="6"/>
        <v>0</v>
      </c>
      <c r="Q15" s="7">
        <f t="shared" si="7"/>
        <v>0</v>
      </c>
    </row>
    <row r="16" spans="1:21">
      <c r="A16" s="23" t="s">
        <v>17</v>
      </c>
      <c r="B16" s="35" t="s">
        <v>16</v>
      </c>
      <c r="C16" s="125">
        <v>6519</v>
      </c>
      <c r="D16" s="132">
        <v>401552574</v>
      </c>
      <c r="E16" s="116">
        <f>(D16/C16)</f>
        <v>61597.26553152324</v>
      </c>
      <c r="F16" s="134">
        <v>234843062</v>
      </c>
      <c r="G16" s="117">
        <f>(F16/C16)</f>
        <v>36024.399754563587</v>
      </c>
      <c r="H16" s="7"/>
      <c r="I16" s="136">
        <v>3.6</v>
      </c>
      <c r="J16" s="134">
        <v>845435.02</v>
      </c>
      <c r="K16" s="120">
        <f>(J16/C16)</f>
        <v>129.68783862555608</v>
      </c>
      <c r="L16" s="122">
        <f t="shared" si="3"/>
        <v>2348430.62</v>
      </c>
      <c r="M16" s="116">
        <f t="shared" si="4"/>
        <v>1502995.6</v>
      </c>
      <c r="N16" s="123">
        <f t="shared" si="5"/>
        <v>230.55615892007978</v>
      </c>
      <c r="O16" s="5"/>
      <c r="P16" s="5">
        <f t="shared" si="6"/>
        <v>1</v>
      </c>
      <c r="Q16" s="7">
        <f t="shared" si="7"/>
        <v>6519</v>
      </c>
      <c r="S16" s="124">
        <f>SUM(D15:D16)</f>
        <v>401552574</v>
      </c>
      <c r="T16" s="124">
        <f>SUM(F15:F16)</f>
        <v>234843062</v>
      </c>
      <c r="U16" s="124">
        <f>SUM(J15:J16)</f>
        <v>845435.02</v>
      </c>
    </row>
    <row r="17" spans="1:21">
      <c r="A17" s="23" t="s">
        <v>18</v>
      </c>
      <c r="B17" s="35" t="s">
        <v>19</v>
      </c>
      <c r="C17" s="125">
        <v>15737</v>
      </c>
      <c r="D17" s="132">
        <v>704008324</v>
      </c>
      <c r="E17" s="116">
        <f>(D17/C17)</f>
        <v>44735.866048166739</v>
      </c>
      <c r="F17" s="134">
        <v>479937409</v>
      </c>
      <c r="G17" s="117">
        <f>(F17/C17)</f>
        <v>30497.388892419138</v>
      </c>
      <c r="H17" s="8"/>
      <c r="I17" s="136">
        <v>2.25</v>
      </c>
      <c r="J17" s="134">
        <v>1079859.17</v>
      </c>
      <c r="K17" s="120">
        <f>(J17/C17)</f>
        <v>68.619124992056925</v>
      </c>
      <c r="L17" s="122">
        <f t="shared" si="3"/>
        <v>4799374.09</v>
      </c>
      <c r="M17" s="116">
        <f t="shared" si="4"/>
        <v>3719514.92</v>
      </c>
      <c r="N17" s="123">
        <f t="shared" si="5"/>
        <v>236.35476393213446</v>
      </c>
      <c r="O17" s="5"/>
      <c r="P17" s="5">
        <f t="shared" si="6"/>
        <v>1</v>
      </c>
      <c r="Q17" s="7">
        <f t="shared" si="7"/>
        <v>15737</v>
      </c>
    </row>
    <row r="18" spans="1:21">
      <c r="A18" s="23" t="s">
        <v>21</v>
      </c>
      <c r="B18" s="35" t="s">
        <v>19</v>
      </c>
      <c r="C18" s="125">
        <v>20886</v>
      </c>
      <c r="D18" s="132">
        <v>1521470648</v>
      </c>
      <c r="E18" s="116">
        <f>(D18/C18)</f>
        <v>72846.435315522365</v>
      </c>
      <c r="F18" s="134">
        <v>1078566068</v>
      </c>
      <c r="G18" s="117">
        <f>(F18/C18)</f>
        <v>51640.623767116726</v>
      </c>
      <c r="H18" s="7"/>
      <c r="I18" s="136">
        <v>3.9</v>
      </c>
      <c r="J18" s="134">
        <v>4206407.67</v>
      </c>
      <c r="K18" s="120">
        <f>(J18/C18)</f>
        <v>201.39843292157425</v>
      </c>
      <c r="L18" s="122">
        <f t="shared" si="3"/>
        <v>10785660.68</v>
      </c>
      <c r="M18" s="116">
        <f t="shared" si="4"/>
        <v>6579253.0099999998</v>
      </c>
      <c r="N18" s="123">
        <f t="shared" si="5"/>
        <v>315.00780474959299</v>
      </c>
      <c r="O18" s="5"/>
      <c r="P18" s="5">
        <f t="shared" si="6"/>
        <v>1</v>
      </c>
      <c r="Q18" s="7">
        <f t="shared" si="7"/>
        <v>20886</v>
      </c>
    </row>
    <row r="19" spans="1:21">
      <c r="A19" s="23" t="s">
        <v>22</v>
      </c>
      <c r="B19" s="35" t="s">
        <v>19</v>
      </c>
      <c r="C19" s="125">
        <v>1202</v>
      </c>
      <c r="D19" s="132">
        <v>466732014</v>
      </c>
      <c r="E19" s="116">
        <f>(D19/C19)</f>
        <v>388296.18469217973</v>
      </c>
      <c r="F19" s="134">
        <v>390958917</v>
      </c>
      <c r="G19" s="117">
        <f>(F19/C19)</f>
        <v>325257.00249584025</v>
      </c>
      <c r="H19" s="7"/>
      <c r="I19" s="150">
        <v>5.351</v>
      </c>
      <c r="J19" s="134">
        <v>2092021.16</v>
      </c>
      <c r="K19" s="120">
        <f>(J19/C19)</f>
        <v>1740.4502163061563</v>
      </c>
      <c r="L19" s="122">
        <f t="shared" si="3"/>
        <v>3909589.17</v>
      </c>
      <c r="M19" s="116">
        <f t="shared" si="4"/>
        <v>1817568.01</v>
      </c>
      <c r="N19" s="123">
        <f t="shared" si="5"/>
        <v>1512.1198086522463</v>
      </c>
      <c r="O19" s="5"/>
      <c r="P19" s="5">
        <f t="shared" si="6"/>
        <v>1</v>
      </c>
      <c r="Q19" s="7">
        <f t="shared" si="7"/>
        <v>1202</v>
      </c>
    </row>
    <row r="20" spans="1:21">
      <c r="A20" s="23" t="s">
        <v>23</v>
      </c>
      <c r="B20" s="35" t="s">
        <v>19</v>
      </c>
      <c r="C20" s="125">
        <v>36988</v>
      </c>
      <c r="D20" s="132">
        <v>3335520805</v>
      </c>
      <c r="E20" s="116">
        <f>(D20/C20)</f>
        <v>90178.458013409749</v>
      </c>
      <c r="F20" s="134">
        <v>2321551040</v>
      </c>
      <c r="G20" s="117">
        <f>(F20/C20)</f>
        <v>62764.97891207959</v>
      </c>
      <c r="H20" s="7"/>
      <c r="I20" s="136">
        <v>3.9740000000000002</v>
      </c>
      <c r="J20" s="134">
        <v>9225843.8300000001</v>
      </c>
      <c r="K20" s="120">
        <f>(J20/C20)</f>
        <v>249.42802611657837</v>
      </c>
      <c r="L20" s="122">
        <f t="shared" si="3"/>
        <v>23215510.400000002</v>
      </c>
      <c r="M20" s="116">
        <f t="shared" si="4"/>
        <v>13989666.570000002</v>
      </c>
      <c r="N20" s="123">
        <f t="shared" si="5"/>
        <v>378.22176300421762</v>
      </c>
      <c r="O20" s="5"/>
      <c r="P20" s="5">
        <f t="shared" si="6"/>
        <v>1</v>
      </c>
      <c r="Q20" s="7">
        <f t="shared" si="7"/>
        <v>36988</v>
      </c>
    </row>
    <row r="21" spans="1:21">
      <c r="A21" s="23" t="s">
        <v>24</v>
      </c>
      <c r="B21" s="35" t="s">
        <v>19</v>
      </c>
      <c r="C21" s="125">
        <v>12741</v>
      </c>
      <c r="D21" s="147" t="s">
        <v>564</v>
      </c>
      <c r="E21" s="116"/>
      <c r="F21" s="134"/>
      <c r="G21" s="117"/>
      <c r="H21" s="98" t="s">
        <v>588</v>
      </c>
      <c r="I21" s="151"/>
      <c r="J21" s="134"/>
      <c r="K21" s="120"/>
      <c r="L21" s="122">
        <f t="shared" si="3"/>
        <v>0</v>
      </c>
      <c r="M21" s="116">
        <f t="shared" si="4"/>
        <v>0</v>
      </c>
      <c r="N21" s="123">
        <f t="shared" si="5"/>
        <v>0</v>
      </c>
      <c r="O21" s="5"/>
      <c r="P21" s="5">
        <f t="shared" si="6"/>
        <v>0</v>
      </c>
      <c r="Q21" s="7">
        <f t="shared" si="7"/>
        <v>0</v>
      </c>
    </row>
    <row r="22" spans="1:21">
      <c r="A22" s="23" t="s">
        <v>25</v>
      </c>
      <c r="B22" s="35" t="s">
        <v>19</v>
      </c>
      <c r="C22" s="125">
        <v>4419</v>
      </c>
      <c r="D22" s="147" t="s">
        <v>564</v>
      </c>
      <c r="E22" s="116"/>
      <c r="F22" s="134"/>
      <c r="G22" s="117"/>
      <c r="H22" s="98" t="s">
        <v>588</v>
      </c>
      <c r="I22" s="151"/>
      <c r="J22" s="134"/>
      <c r="K22" s="120"/>
      <c r="L22" s="122">
        <f t="shared" si="3"/>
        <v>0</v>
      </c>
      <c r="M22" s="116">
        <f t="shared" si="4"/>
        <v>0</v>
      </c>
      <c r="N22" s="123">
        <f t="shared" si="5"/>
        <v>0</v>
      </c>
      <c r="O22" s="5"/>
      <c r="P22" s="5">
        <f t="shared" si="6"/>
        <v>0</v>
      </c>
      <c r="Q22" s="7">
        <f t="shared" si="7"/>
        <v>0</v>
      </c>
    </row>
    <row r="23" spans="1:21">
      <c r="A23" s="23" t="s">
        <v>26</v>
      </c>
      <c r="B23" s="35" t="s">
        <v>19</v>
      </c>
      <c r="C23" s="125">
        <v>9568</v>
      </c>
      <c r="D23" s="147">
        <v>361010907</v>
      </c>
      <c r="E23" s="116">
        <f t="shared" ref="E23:E38" si="8">(D23/C23)</f>
        <v>37731.073056020068</v>
      </c>
      <c r="F23" s="134">
        <v>200611331</v>
      </c>
      <c r="G23" s="117">
        <f t="shared" ref="G23:G38" si="9">(F23/C23)</f>
        <v>20966.903323578594</v>
      </c>
      <c r="H23" s="98"/>
      <c r="I23" s="136">
        <v>3.4649999999999999</v>
      </c>
      <c r="J23" s="134">
        <v>695118.26</v>
      </c>
      <c r="K23" s="120">
        <f>(J23/C23)</f>
        <v>72.650319816053511</v>
      </c>
      <c r="L23" s="122">
        <f t="shared" si="3"/>
        <v>2006113.31</v>
      </c>
      <c r="M23" s="116">
        <f t="shared" si="4"/>
        <v>1310995.05</v>
      </c>
      <c r="N23" s="123">
        <f t="shared" si="5"/>
        <v>137.01871341973245</v>
      </c>
      <c r="O23" s="5"/>
      <c r="P23" s="5">
        <f t="shared" si="6"/>
        <v>1</v>
      </c>
      <c r="Q23" s="7">
        <f t="shared" si="7"/>
        <v>9568</v>
      </c>
      <c r="S23" s="124">
        <f>SUM(D17:D23)</f>
        <v>6388742698</v>
      </c>
      <c r="T23" s="124">
        <f>SUM(F17:F23)</f>
        <v>4471624765</v>
      </c>
      <c r="U23" s="124">
        <f>SUM(J17:J23)</f>
        <v>17299250.09</v>
      </c>
    </row>
    <row r="24" spans="1:21">
      <c r="A24" s="23" t="s">
        <v>27</v>
      </c>
      <c r="B24" s="35" t="s">
        <v>28</v>
      </c>
      <c r="C24" s="125">
        <v>324</v>
      </c>
      <c r="D24" s="132">
        <v>15061981</v>
      </c>
      <c r="E24" s="116">
        <f t="shared" si="8"/>
        <v>46487.595679012345</v>
      </c>
      <c r="F24" s="134">
        <v>8506383</v>
      </c>
      <c r="G24" s="117">
        <f t="shared" si="9"/>
        <v>26254.268518518518</v>
      </c>
      <c r="H24" s="7"/>
      <c r="I24" s="136">
        <v>0.30730000000000002</v>
      </c>
      <c r="J24" s="134">
        <v>2614.0100000000002</v>
      </c>
      <c r="K24" s="120">
        <f t="shared" ref="K24:K38" si="10">(J24/C24)</f>
        <v>8.0679320987654322</v>
      </c>
      <c r="L24" s="122">
        <f t="shared" si="3"/>
        <v>85063.83</v>
      </c>
      <c r="M24" s="116">
        <f t="shared" si="4"/>
        <v>82449.820000000007</v>
      </c>
      <c r="N24" s="123">
        <f t="shared" si="5"/>
        <v>254.47475308641978</v>
      </c>
      <c r="O24" s="5"/>
      <c r="P24" s="5">
        <f t="shared" si="6"/>
        <v>1</v>
      </c>
      <c r="Q24" s="7">
        <f t="shared" si="7"/>
        <v>324</v>
      </c>
    </row>
    <row r="25" spans="1:21">
      <c r="A25" s="23" t="s">
        <v>29</v>
      </c>
      <c r="B25" s="35" t="s">
        <v>28</v>
      </c>
      <c r="C25" s="125">
        <v>477</v>
      </c>
      <c r="D25" s="132">
        <v>12963301</v>
      </c>
      <c r="E25" s="116">
        <f t="shared" si="8"/>
        <v>27176.731656184485</v>
      </c>
      <c r="F25" s="134">
        <v>7807892</v>
      </c>
      <c r="G25" s="117">
        <f t="shared" si="9"/>
        <v>16368.746331236896</v>
      </c>
      <c r="H25" s="7"/>
      <c r="I25" s="136">
        <v>0.31919999999999998</v>
      </c>
      <c r="J25" s="134">
        <v>2492.2800000000002</v>
      </c>
      <c r="K25" s="120">
        <f t="shared" si="10"/>
        <v>5.2249056603773587</v>
      </c>
      <c r="L25" s="122">
        <f t="shared" si="3"/>
        <v>78078.92</v>
      </c>
      <c r="M25" s="116">
        <f t="shared" si="4"/>
        <v>75586.64</v>
      </c>
      <c r="N25" s="123">
        <f t="shared" si="5"/>
        <v>158.4625576519916</v>
      </c>
      <c r="O25" s="5"/>
      <c r="P25" s="5">
        <f t="shared" si="6"/>
        <v>1</v>
      </c>
      <c r="Q25" s="7">
        <f t="shared" si="7"/>
        <v>477</v>
      </c>
    </row>
    <row r="26" spans="1:21">
      <c r="A26" s="23" t="s">
        <v>30</v>
      </c>
      <c r="B26" s="35" t="s">
        <v>28</v>
      </c>
      <c r="C26" s="125">
        <v>723</v>
      </c>
      <c r="D26" s="132">
        <v>26614266</v>
      </c>
      <c r="E26" s="116">
        <f t="shared" si="8"/>
        <v>36810.879668049791</v>
      </c>
      <c r="F26" s="134">
        <v>15980011</v>
      </c>
      <c r="G26" s="117">
        <f t="shared" si="9"/>
        <v>22102.366528354079</v>
      </c>
      <c r="H26" s="7"/>
      <c r="I26" s="150">
        <v>1.6405000000000001</v>
      </c>
      <c r="J26" s="134">
        <v>26215.21</v>
      </c>
      <c r="K26" s="120">
        <f t="shared" si="10"/>
        <v>36.258934993084367</v>
      </c>
      <c r="L26" s="122">
        <f t="shared" si="3"/>
        <v>159800.11000000002</v>
      </c>
      <c r="M26" s="116">
        <f t="shared" si="4"/>
        <v>133584.90000000002</v>
      </c>
      <c r="N26" s="123">
        <f t="shared" si="5"/>
        <v>184.76473029045647</v>
      </c>
      <c r="O26" s="5"/>
      <c r="P26" s="5">
        <f t="shared" si="6"/>
        <v>1</v>
      </c>
      <c r="Q26" s="7">
        <f t="shared" si="7"/>
        <v>723</v>
      </c>
    </row>
    <row r="27" spans="1:21">
      <c r="A27" s="23" t="s">
        <v>31</v>
      </c>
      <c r="B27" s="35" t="s">
        <v>28</v>
      </c>
      <c r="C27" s="125">
        <v>5520</v>
      </c>
      <c r="D27" s="132">
        <v>295802466</v>
      </c>
      <c r="E27" s="116">
        <f t="shared" si="8"/>
        <v>53587.403260869563</v>
      </c>
      <c r="F27" s="134">
        <v>201260326</v>
      </c>
      <c r="G27" s="117">
        <f t="shared" si="9"/>
        <v>36460.203985507243</v>
      </c>
      <c r="H27" s="7"/>
      <c r="I27" s="150">
        <v>4.1124999999999998</v>
      </c>
      <c r="J27" s="134">
        <v>827683.09</v>
      </c>
      <c r="K27" s="120">
        <f t="shared" si="10"/>
        <v>149.94258876811594</v>
      </c>
      <c r="L27" s="122">
        <f t="shared" si="3"/>
        <v>2012603.26</v>
      </c>
      <c r="M27" s="116">
        <f t="shared" si="4"/>
        <v>1184920.17</v>
      </c>
      <c r="N27" s="123">
        <f t="shared" si="5"/>
        <v>214.65945108695649</v>
      </c>
      <c r="O27" s="5"/>
      <c r="P27" s="5">
        <f t="shared" si="6"/>
        <v>1</v>
      </c>
      <c r="Q27" s="7">
        <f t="shared" si="7"/>
        <v>5520</v>
      </c>
      <c r="S27" s="124">
        <f>SUM(D24:D27)</f>
        <v>350442014</v>
      </c>
      <c r="T27" s="124">
        <f>SUM(F24:F27)</f>
        <v>233554612</v>
      </c>
      <c r="U27" s="124">
        <f>SUM(J24:J27)</f>
        <v>859004.59</v>
      </c>
    </row>
    <row r="28" spans="1:21">
      <c r="A28" s="23" t="s">
        <v>32</v>
      </c>
      <c r="B28" s="35" t="s">
        <v>33</v>
      </c>
      <c r="C28" s="125">
        <v>10213</v>
      </c>
      <c r="D28" s="132">
        <v>1517250399</v>
      </c>
      <c r="E28" s="116">
        <f t="shared" si="8"/>
        <v>148560.69705277588</v>
      </c>
      <c r="F28" s="134">
        <v>1138556594</v>
      </c>
      <c r="G28" s="117">
        <f t="shared" si="9"/>
        <v>111481.11172035641</v>
      </c>
      <c r="H28" s="7"/>
      <c r="I28" s="150">
        <v>3.9554999999999998</v>
      </c>
      <c r="J28" s="134">
        <v>4503560.6100000003</v>
      </c>
      <c r="K28" s="120">
        <f t="shared" si="10"/>
        <v>440.96353764809561</v>
      </c>
      <c r="L28" s="122">
        <f t="shared" si="3"/>
        <v>11385565.939999999</v>
      </c>
      <c r="M28" s="116">
        <f t="shared" si="4"/>
        <v>6882005.3299999991</v>
      </c>
      <c r="N28" s="123">
        <f t="shared" si="5"/>
        <v>673.84757955546843</v>
      </c>
      <c r="O28" s="5"/>
      <c r="P28" s="5">
        <f t="shared" si="6"/>
        <v>1</v>
      </c>
      <c r="Q28" s="7">
        <f t="shared" si="7"/>
        <v>10213</v>
      </c>
    </row>
    <row r="29" spans="1:21">
      <c r="A29" s="23" t="s">
        <v>34</v>
      </c>
      <c r="B29" s="35" t="s">
        <v>33</v>
      </c>
      <c r="C29" s="125">
        <v>18982</v>
      </c>
      <c r="D29" s="132">
        <v>1422461110</v>
      </c>
      <c r="E29" s="116">
        <f t="shared" si="8"/>
        <v>74937.367506058377</v>
      </c>
      <c r="F29" s="134">
        <v>890566389</v>
      </c>
      <c r="G29" s="117">
        <f t="shared" si="9"/>
        <v>46916.362290591089</v>
      </c>
      <c r="H29" s="7"/>
      <c r="I29" s="136">
        <v>5.9790000000000001</v>
      </c>
      <c r="J29" s="134">
        <v>5324696.4400000004</v>
      </c>
      <c r="K29" s="120">
        <f t="shared" si="10"/>
        <v>280.51293014434731</v>
      </c>
      <c r="L29" s="122">
        <f t="shared" si="3"/>
        <v>8905663.8900000006</v>
      </c>
      <c r="M29" s="116">
        <f t="shared" si="4"/>
        <v>3580967.45</v>
      </c>
      <c r="N29" s="123">
        <f t="shared" si="5"/>
        <v>188.65069276156359</v>
      </c>
      <c r="O29" s="5"/>
      <c r="P29" s="5">
        <f t="shared" si="6"/>
        <v>1</v>
      </c>
      <c r="Q29" s="7">
        <f t="shared" si="7"/>
        <v>18982</v>
      </c>
    </row>
    <row r="30" spans="1:21">
      <c r="A30" s="23" t="s">
        <v>35</v>
      </c>
      <c r="B30" s="35" t="s">
        <v>33</v>
      </c>
      <c r="C30" s="125">
        <v>11292</v>
      </c>
      <c r="D30" s="132">
        <v>2691884163</v>
      </c>
      <c r="E30" s="116">
        <f t="shared" si="8"/>
        <v>238388.60812964931</v>
      </c>
      <c r="F30" s="134">
        <v>1834321456</v>
      </c>
      <c r="G30" s="117">
        <f t="shared" si="9"/>
        <v>162444.33722989727</v>
      </c>
      <c r="H30" s="7"/>
      <c r="I30" s="136">
        <v>5.7298</v>
      </c>
      <c r="J30" s="134">
        <v>10510295.08</v>
      </c>
      <c r="K30" s="120">
        <f t="shared" si="10"/>
        <v>930.77356358483883</v>
      </c>
      <c r="L30" s="122">
        <f t="shared" si="3"/>
        <v>18343214.559999999</v>
      </c>
      <c r="M30" s="116">
        <f t="shared" si="4"/>
        <v>7832919.4799999986</v>
      </c>
      <c r="N30" s="123">
        <f t="shared" si="5"/>
        <v>693.66980871413375</v>
      </c>
      <c r="O30" s="5"/>
      <c r="P30" s="5">
        <f t="shared" si="6"/>
        <v>1</v>
      </c>
      <c r="Q30" s="7">
        <f t="shared" si="7"/>
        <v>11292</v>
      </c>
    </row>
    <row r="31" spans="1:21">
      <c r="A31" s="23" t="s">
        <v>530</v>
      </c>
      <c r="B31" s="35" t="s">
        <v>33</v>
      </c>
      <c r="C31" s="125">
        <v>4142</v>
      </c>
      <c r="D31" s="132">
        <v>596021874</v>
      </c>
      <c r="E31" s="116">
        <f t="shared" si="8"/>
        <v>143897.12071463061</v>
      </c>
      <c r="F31" s="134">
        <v>364264249</v>
      </c>
      <c r="G31" s="117">
        <f t="shared" si="9"/>
        <v>87944.048527281513</v>
      </c>
      <c r="H31" s="9"/>
      <c r="I31" s="136">
        <v>1.149</v>
      </c>
      <c r="J31" s="134">
        <v>418539.62</v>
      </c>
      <c r="K31" s="120">
        <f t="shared" si="10"/>
        <v>101.04771125060357</v>
      </c>
      <c r="L31" s="122">
        <f t="shared" si="3"/>
        <v>3642642.49</v>
      </c>
      <c r="M31" s="116">
        <f t="shared" si="4"/>
        <v>3224102.87</v>
      </c>
      <c r="N31" s="123">
        <f t="shared" si="5"/>
        <v>778.39277402221148</v>
      </c>
      <c r="O31" s="5"/>
      <c r="P31" s="5">
        <f t="shared" si="6"/>
        <v>1</v>
      </c>
      <c r="Q31" s="7">
        <f t="shared" si="7"/>
        <v>4142</v>
      </c>
    </row>
    <row r="32" spans="1:21">
      <c r="A32" s="23" t="s">
        <v>36</v>
      </c>
      <c r="B32" s="35" t="s">
        <v>33</v>
      </c>
      <c r="C32" s="125">
        <v>2820</v>
      </c>
      <c r="D32" s="132">
        <v>594475335</v>
      </c>
      <c r="E32" s="116">
        <f t="shared" si="8"/>
        <v>210806.85638297873</v>
      </c>
      <c r="F32" s="134">
        <v>381659377</v>
      </c>
      <c r="G32" s="117">
        <f t="shared" si="9"/>
        <v>135340.20460992909</v>
      </c>
      <c r="H32" s="7"/>
      <c r="I32" s="136">
        <v>6.2652999999999999</v>
      </c>
      <c r="J32" s="134">
        <v>2391210.4900000002</v>
      </c>
      <c r="K32" s="120">
        <f t="shared" si="10"/>
        <v>847.94698226950368</v>
      </c>
      <c r="L32" s="122">
        <f t="shared" si="3"/>
        <v>3816593.77</v>
      </c>
      <c r="M32" s="116">
        <f t="shared" si="4"/>
        <v>1425383.2799999998</v>
      </c>
      <c r="N32" s="123">
        <f t="shared" si="5"/>
        <v>505.45506382978715</v>
      </c>
      <c r="O32" s="5"/>
      <c r="P32" s="5">
        <f t="shared" si="6"/>
        <v>1</v>
      </c>
      <c r="Q32" s="7">
        <f t="shared" si="7"/>
        <v>2820</v>
      </c>
    </row>
    <row r="33" spans="1:21">
      <c r="A33" s="23" t="s">
        <v>37</v>
      </c>
      <c r="B33" s="35" t="s">
        <v>33</v>
      </c>
      <c r="C33" s="125">
        <v>8468</v>
      </c>
      <c r="D33" s="132">
        <v>1251816050</v>
      </c>
      <c r="E33" s="116">
        <f t="shared" si="8"/>
        <v>147829.00921114784</v>
      </c>
      <c r="F33" s="134">
        <v>842829367</v>
      </c>
      <c r="G33" s="117">
        <f t="shared" si="9"/>
        <v>99531.10144071799</v>
      </c>
      <c r="H33" s="7"/>
      <c r="I33" s="136">
        <v>5.6401000000000003</v>
      </c>
      <c r="J33" s="134">
        <v>4753641.91</v>
      </c>
      <c r="K33" s="120">
        <f t="shared" si="10"/>
        <v>561.36536490316485</v>
      </c>
      <c r="L33" s="122">
        <f t="shared" si="3"/>
        <v>8428293.6699999999</v>
      </c>
      <c r="M33" s="116">
        <f t="shared" si="4"/>
        <v>3674651.76</v>
      </c>
      <c r="N33" s="123">
        <f t="shared" si="5"/>
        <v>433.94564950401508</v>
      </c>
      <c r="O33" s="5"/>
      <c r="P33" s="5">
        <f t="shared" si="6"/>
        <v>1</v>
      </c>
      <c r="Q33" s="7">
        <f t="shared" si="7"/>
        <v>8468</v>
      </c>
    </row>
    <row r="34" spans="1:21">
      <c r="A34" s="23" t="s">
        <v>38</v>
      </c>
      <c r="B34" s="35" t="s">
        <v>33</v>
      </c>
      <c r="C34" s="125">
        <v>2866</v>
      </c>
      <c r="D34" s="132">
        <v>367420572</v>
      </c>
      <c r="E34" s="116">
        <f t="shared" si="8"/>
        <v>128199.78087927424</v>
      </c>
      <c r="F34" s="134">
        <v>225672763</v>
      </c>
      <c r="G34" s="117">
        <f t="shared" si="9"/>
        <v>78741.368806699233</v>
      </c>
      <c r="H34" s="7"/>
      <c r="I34" s="136">
        <v>2.0905999999999998</v>
      </c>
      <c r="J34" s="134">
        <v>471791.48</v>
      </c>
      <c r="K34" s="120">
        <f t="shared" si="10"/>
        <v>164.61670621074668</v>
      </c>
      <c r="L34" s="122">
        <f t="shared" si="3"/>
        <v>2256727.63</v>
      </c>
      <c r="M34" s="116">
        <f t="shared" si="4"/>
        <v>1784936.15</v>
      </c>
      <c r="N34" s="123">
        <f t="shared" si="5"/>
        <v>622.79698185624557</v>
      </c>
      <c r="O34" s="5"/>
      <c r="P34" s="5">
        <f t="shared" si="6"/>
        <v>1</v>
      </c>
      <c r="Q34" s="7">
        <f t="shared" si="7"/>
        <v>2866</v>
      </c>
    </row>
    <row r="35" spans="1:21">
      <c r="A35" s="23" t="s">
        <v>39</v>
      </c>
      <c r="B35" s="35" t="s">
        <v>33</v>
      </c>
      <c r="C35" s="125">
        <v>80982</v>
      </c>
      <c r="D35" s="132">
        <v>7686785638</v>
      </c>
      <c r="E35" s="116">
        <f t="shared" si="8"/>
        <v>94919.681385987016</v>
      </c>
      <c r="F35" s="134">
        <v>4558171027</v>
      </c>
      <c r="G35" s="117">
        <f t="shared" si="9"/>
        <v>56286.224432589959</v>
      </c>
      <c r="H35" s="7"/>
      <c r="I35" s="136">
        <v>7.1878000000000002</v>
      </c>
      <c r="J35" s="134">
        <v>32763221.710000001</v>
      </c>
      <c r="K35" s="120">
        <f t="shared" si="10"/>
        <v>404.57412400286483</v>
      </c>
      <c r="L35" s="122">
        <f t="shared" si="3"/>
        <v>45581710.270000003</v>
      </c>
      <c r="M35" s="116">
        <f t="shared" si="4"/>
        <v>12818488.560000002</v>
      </c>
      <c r="N35" s="123">
        <f t="shared" si="5"/>
        <v>158.28812032303478</v>
      </c>
      <c r="O35" s="5"/>
      <c r="P35" s="5">
        <f t="shared" si="6"/>
        <v>1</v>
      </c>
      <c r="Q35" s="7">
        <f t="shared" si="7"/>
        <v>80982</v>
      </c>
    </row>
    <row r="36" spans="1:21">
      <c r="A36" s="23" t="s">
        <v>40</v>
      </c>
      <c r="B36" s="35" t="s">
        <v>33</v>
      </c>
      <c r="C36" s="125">
        <v>3087</v>
      </c>
      <c r="D36" s="132">
        <v>610603622</v>
      </c>
      <c r="E36" s="116">
        <f t="shared" si="8"/>
        <v>197798.38743116293</v>
      </c>
      <c r="F36" s="134">
        <v>377552711</v>
      </c>
      <c r="G36" s="117">
        <f t="shared" si="9"/>
        <v>122304.08519598315</v>
      </c>
      <c r="H36" s="7"/>
      <c r="I36" s="136">
        <v>4.2766000000000002</v>
      </c>
      <c r="J36" s="134">
        <v>1614641.92</v>
      </c>
      <c r="K36" s="120">
        <f t="shared" si="10"/>
        <v>523.04564949789437</v>
      </c>
      <c r="L36" s="122">
        <f t="shared" si="3"/>
        <v>3775527.11</v>
      </c>
      <c r="M36" s="116">
        <f t="shared" si="4"/>
        <v>2160885.19</v>
      </c>
      <c r="N36" s="123">
        <f t="shared" si="5"/>
        <v>699.99520246193708</v>
      </c>
      <c r="O36" s="5"/>
      <c r="P36" s="5">
        <f t="shared" si="6"/>
        <v>1</v>
      </c>
      <c r="Q36" s="7">
        <f t="shared" si="7"/>
        <v>3087</v>
      </c>
    </row>
    <row r="37" spans="1:21">
      <c r="A37" s="23" t="s">
        <v>41</v>
      </c>
      <c r="B37" s="35" t="s">
        <v>33</v>
      </c>
      <c r="C37" s="125">
        <v>668</v>
      </c>
      <c r="D37" s="132">
        <v>66753487</v>
      </c>
      <c r="E37" s="116">
        <f t="shared" si="8"/>
        <v>99930.369760479036</v>
      </c>
      <c r="F37" s="134">
        <v>41841094</v>
      </c>
      <c r="G37" s="117">
        <f t="shared" si="9"/>
        <v>62636.36826347305</v>
      </c>
      <c r="H37" s="7"/>
      <c r="I37" s="136">
        <v>9.7332000000000001</v>
      </c>
      <c r="J37" s="134">
        <v>407247.74</v>
      </c>
      <c r="K37" s="120">
        <f t="shared" si="10"/>
        <v>609.65230538922151</v>
      </c>
      <c r="L37" s="122">
        <f t="shared" si="3"/>
        <v>418410.94</v>
      </c>
      <c r="M37" s="116">
        <f t="shared" si="4"/>
        <v>11163.200000000012</v>
      </c>
      <c r="N37" s="123">
        <f t="shared" si="5"/>
        <v>16.711377245508999</v>
      </c>
      <c r="O37" s="5"/>
      <c r="P37" s="5">
        <f t="shared" si="6"/>
        <v>1</v>
      </c>
      <c r="Q37" s="7">
        <f t="shared" si="7"/>
        <v>668</v>
      </c>
    </row>
    <row r="38" spans="1:21">
      <c r="A38" s="23" t="s">
        <v>42</v>
      </c>
      <c r="B38" s="35" t="s">
        <v>33</v>
      </c>
      <c r="C38" s="125">
        <v>110623</v>
      </c>
      <c r="D38" s="132">
        <v>6851079748</v>
      </c>
      <c r="E38" s="116">
        <f t="shared" si="8"/>
        <v>61931.784059372825</v>
      </c>
      <c r="F38" s="134">
        <v>3592625601</v>
      </c>
      <c r="G38" s="117">
        <f t="shared" si="9"/>
        <v>32476.298789582637</v>
      </c>
      <c r="H38" s="7"/>
      <c r="I38" s="136">
        <v>8.4499999999999993</v>
      </c>
      <c r="J38" s="134">
        <v>30357686.329999998</v>
      </c>
      <c r="K38" s="120">
        <f t="shared" si="10"/>
        <v>274.42472478598484</v>
      </c>
      <c r="L38" s="122">
        <f t="shared" si="3"/>
        <v>35926256.009999998</v>
      </c>
      <c r="M38" s="116">
        <f t="shared" si="4"/>
        <v>5568569.6799999997</v>
      </c>
      <c r="N38" s="123">
        <f t="shared" si="5"/>
        <v>50.338263109841535</v>
      </c>
      <c r="O38" s="5"/>
      <c r="P38" s="5">
        <f t="shared" si="6"/>
        <v>1</v>
      </c>
      <c r="Q38" s="7">
        <f t="shared" si="7"/>
        <v>110623</v>
      </c>
    </row>
    <row r="39" spans="1:21">
      <c r="A39" s="23" t="s">
        <v>43</v>
      </c>
      <c r="B39" s="35" t="s">
        <v>33</v>
      </c>
      <c r="C39" s="125">
        <v>1114</v>
      </c>
      <c r="D39" s="147" t="s">
        <v>564</v>
      </c>
      <c r="E39" s="116"/>
      <c r="F39" s="134"/>
      <c r="G39" s="117"/>
      <c r="H39" s="98" t="s">
        <v>588</v>
      </c>
      <c r="I39" s="136"/>
      <c r="J39" s="134"/>
      <c r="K39" s="120"/>
      <c r="L39" s="122">
        <f t="shared" si="3"/>
        <v>0</v>
      </c>
      <c r="M39" s="116">
        <f t="shared" si="4"/>
        <v>0</v>
      </c>
      <c r="N39" s="123">
        <f t="shared" si="5"/>
        <v>0</v>
      </c>
      <c r="O39" s="5"/>
      <c r="P39" s="5">
        <f t="shared" si="6"/>
        <v>0</v>
      </c>
      <c r="Q39" s="7">
        <f t="shared" si="7"/>
        <v>0</v>
      </c>
    </row>
    <row r="40" spans="1:21">
      <c r="A40" s="23" t="s">
        <v>44</v>
      </c>
      <c r="B40" s="35" t="s">
        <v>33</v>
      </c>
      <c r="C40" s="125">
        <v>26535</v>
      </c>
      <c r="D40" s="132">
        <v>2390176008</v>
      </c>
      <c r="E40" s="116">
        <f t="shared" ref="E40:E74" si="11">(D40/C40)</f>
        <v>90076.352289429051</v>
      </c>
      <c r="F40" s="134">
        <v>1357786274</v>
      </c>
      <c r="G40" s="117">
        <f t="shared" ref="G40:G74" si="12">(F40/C40)</f>
        <v>51169.635349538345</v>
      </c>
      <c r="H40" s="7"/>
      <c r="I40" s="136">
        <v>6.2</v>
      </c>
      <c r="J40" s="134">
        <v>8418274.9000000004</v>
      </c>
      <c r="K40" s="120">
        <f t="shared" ref="K40:K74" si="13">(J40/C40)</f>
        <v>317.25173921236103</v>
      </c>
      <c r="L40" s="122">
        <f t="shared" si="3"/>
        <v>13577862.74</v>
      </c>
      <c r="M40" s="116">
        <f t="shared" si="4"/>
        <v>5159587.8399999999</v>
      </c>
      <c r="N40" s="123">
        <f t="shared" si="5"/>
        <v>194.44461428302242</v>
      </c>
      <c r="O40" s="5"/>
      <c r="P40" s="5">
        <f t="shared" si="6"/>
        <v>1</v>
      </c>
      <c r="Q40" s="7">
        <f t="shared" si="7"/>
        <v>26535</v>
      </c>
    </row>
    <row r="41" spans="1:21">
      <c r="A41" s="23" t="s">
        <v>45</v>
      </c>
      <c r="B41" s="35" t="s">
        <v>33</v>
      </c>
      <c r="C41" s="125">
        <v>10504</v>
      </c>
      <c r="D41" s="132">
        <v>1458038157</v>
      </c>
      <c r="E41" s="116">
        <f t="shared" si="11"/>
        <v>138807.89765803504</v>
      </c>
      <c r="F41" s="134">
        <v>846112825</v>
      </c>
      <c r="G41" s="117">
        <f t="shared" si="12"/>
        <v>80551.487528560552</v>
      </c>
      <c r="H41" s="7"/>
      <c r="I41" s="136">
        <v>8.1517999999999997</v>
      </c>
      <c r="J41" s="153">
        <v>6897342.5300000003</v>
      </c>
      <c r="K41" s="120">
        <f t="shared" si="13"/>
        <v>656.63961633663371</v>
      </c>
      <c r="L41" s="122">
        <f t="shared" si="3"/>
        <v>8461128.25</v>
      </c>
      <c r="M41" s="116">
        <f t="shared" si="4"/>
        <v>1563785.7199999997</v>
      </c>
      <c r="N41" s="123">
        <f t="shared" si="5"/>
        <v>148.8752589489718</v>
      </c>
      <c r="O41" s="5"/>
      <c r="P41" s="5">
        <f t="shared" si="6"/>
        <v>1</v>
      </c>
      <c r="Q41" s="7">
        <f t="shared" si="7"/>
        <v>10504</v>
      </c>
    </row>
    <row r="42" spans="1:21">
      <c r="A42" s="23" t="s">
        <v>46</v>
      </c>
      <c r="B42" s="35" t="s">
        <v>33</v>
      </c>
      <c r="C42" s="125">
        <v>46413</v>
      </c>
      <c r="D42" s="132">
        <v>3037309365</v>
      </c>
      <c r="E42" s="116">
        <f t="shared" si="11"/>
        <v>65440.918815849007</v>
      </c>
      <c r="F42" s="134">
        <v>1683468940</v>
      </c>
      <c r="G42" s="117">
        <f t="shared" si="12"/>
        <v>36271.495917092194</v>
      </c>
      <c r="H42" s="7"/>
      <c r="I42" s="136">
        <v>7.79</v>
      </c>
      <c r="J42" s="134">
        <v>13114223.039999999</v>
      </c>
      <c r="K42" s="120">
        <f t="shared" si="13"/>
        <v>282.55495313812941</v>
      </c>
      <c r="L42" s="122">
        <f t="shared" si="3"/>
        <v>16834689.399999999</v>
      </c>
      <c r="M42" s="116">
        <f t="shared" si="4"/>
        <v>3720466.3599999994</v>
      </c>
      <c r="N42" s="123">
        <f t="shared" si="5"/>
        <v>80.160006032792523</v>
      </c>
      <c r="O42" s="5"/>
      <c r="P42" s="5">
        <f t="shared" si="6"/>
        <v>1</v>
      </c>
      <c r="Q42" s="7">
        <f t="shared" si="7"/>
        <v>46413</v>
      </c>
    </row>
    <row r="43" spans="1:21">
      <c r="A43" s="23" t="s">
        <v>47</v>
      </c>
      <c r="B43" s="35" t="s">
        <v>33</v>
      </c>
      <c r="C43" s="125">
        <v>21360</v>
      </c>
      <c r="D43" s="132">
        <v>2094609391</v>
      </c>
      <c r="E43" s="116">
        <f t="shared" si="11"/>
        <v>98062.237406367043</v>
      </c>
      <c r="F43" s="134">
        <v>1392485023</v>
      </c>
      <c r="G43" s="117">
        <f t="shared" si="12"/>
        <v>65191.246395131086</v>
      </c>
      <c r="H43" s="98"/>
      <c r="I43" s="136">
        <v>2.4632999999999998</v>
      </c>
      <c r="J43" s="134">
        <v>3430108.36</v>
      </c>
      <c r="K43" s="120">
        <f t="shared" si="13"/>
        <v>160.58559737827716</v>
      </c>
      <c r="L43" s="122">
        <f t="shared" si="3"/>
        <v>13924850.23</v>
      </c>
      <c r="M43" s="116">
        <f t="shared" si="4"/>
        <v>10494741.870000001</v>
      </c>
      <c r="N43" s="123">
        <f t="shared" si="5"/>
        <v>491.32686657303378</v>
      </c>
      <c r="O43" s="5"/>
      <c r="P43" s="5">
        <f t="shared" si="6"/>
        <v>1</v>
      </c>
      <c r="Q43" s="7">
        <f t="shared" si="7"/>
        <v>21360</v>
      </c>
      <c r="S43" s="124">
        <f>SUM(D28:D43)</f>
        <v>32636684919</v>
      </c>
      <c r="T43" s="124">
        <f>SUM(F28:F43)</f>
        <v>19527913690</v>
      </c>
      <c r="U43" s="124">
        <f>SUM(J28:J43)</f>
        <v>125376482.16000001</v>
      </c>
    </row>
    <row r="44" spans="1:21">
      <c r="A44" s="23" t="s">
        <v>48</v>
      </c>
      <c r="B44" s="35" t="s">
        <v>49</v>
      </c>
      <c r="C44" s="125">
        <v>57395</v>
      </c>
      <c r="D44" s="132">
        <v>6134899274</v>
      </c>
      <c r="E44" s="116">
        <f t="shared" si="11"/>
        <v>106889.08918895375</v>
      </c>
      <c r="F44" s="134">
        <v>3941373945</v>
      </c>
      <c r="G44" s="117">
        <f t="shared" si="12"/>
        <v>68671.033103928916</v>
      </c>
      <c r="H44" s="98"/>
      <c r="I44" s="150">
        <v>6.5377999999999998</v>
      </c>
      <c r="J44" s="134">
        <v>25767914.579999998</v>
      </c>
      <c r="K44" s="120">
        <f t="shared" si="13"/>
        <v>448.95748026831603</v>
      </c>
      <c r="L44" s="122">
        <f t="shared" si="3"/>
        <v>39413739.450000003</v>
      </c>
      <c r="M44" s="116">
        <f t="shared" si="4"/>
        <v>13645824.870000005</v>
      </c>
      <c r="N44" s="123">
        <f t="shared" si="5"/>
        <v>237.75285077097317</v>
      </c>
      <c r="O44" s="5"/>
      <c r="P44" s="5">
        <f t="shared" si="6"/>
        <v>1</v>
      </c>
      <c r="Q44" s="7">
        <f t="shared" si="7"/>
        <v>57395</v>
      </c>
    </row>
    <row r="45" spans="1:21">
      <c r="A45" s="23" t="s">
        <v>50</v>
      </c>
      <c r="B45" s="35" t="s">
        <v>49</v>
      </c>
      <c r="C45" s="125">
        <v>33758</v>
      </c>
      <c r="D45" s="132">
        <v>4572754541</v>
      </c>
      <c r="E45" s="116">
        <f t="shared" si="11"/>
        <v>135456.91513122816</v>
      </c>
      <c r="F45" s="134">
        <v>2806324442</v>
      </c>
      <c r="G45" s="117">
        <f t="shared" si="12"/>
        <v>83130.648794359862</v>
      </c>
      <c r="H45" s="98"/>
      <c r="I45" s="136">
        <v>7.1346999999999996</v>
      </c>
      <c r="J45" s="134">
        <v>20022283</v>
      </c>
      <c r="K45" s="120">
        <f t="shared" si="13"/>
        <v>593.11224006161501</v>
      </c>
      <c r="L45" s="122">
        <f t="shared" si="3"/>
        <v>28063244.420000002</v>
      </c>
      <c r="M45" s="116">
        <f t="shared" si="4"/>
        <v>8040961.4200000018</v>
      </c>
      <c r="N45" s="123">
        <f t="shared" si="5"/>
        <v>238.19424788198359</v>
      </c>
      <c r="O45" s="5"/>
      <c r="P45" s="5">
        <f t="shared" si="6"/>
        <v>1</v>
      </c>
      <c r="Q45" s="7">
        <f t="shared" si="7"/>
        <v>33758</v>
      </c>
    </row>
    <row r="46" spans="1:21">
      <c r="A46" s="23" t="s">
        <v>51</v>
      </c>
      <c r="B46" s="35" t="s">
        <v>49</v>
      </c>
      <c r="C46" s="125">
        <v>127381</v>
      </c>
      <c r="D46" s="132">
        <v>14167249359</v>
      </c>
      <c r="E46" s="116">
        <f t="shared" si="11"/>
        <v>111219.48610075285</v>
      </c>
      <c r="F46" s="134">
        <v>9609851118</v>
      </c>
      <c r="G46" s="117">
        <f t="shared" si="12"/>
        <v>75441.79365839489</v>
      </c>
      <c r="H46" s="98"/>
      <c r="I46" s="136">
        <v>5.8731999999999998</v>
      </c>
      <c r="J46" s="134">
        <v>56440577.590000004</v>
      </c>
      <c r="K46" s="120">
        <f t="shared" si="13"/>
        <v>443.08474254402148</v>
      </c>
      <c r="L46" s="122">
        <f t="shared" si="3"/>
        <v>96098511.180000007</v>
      </c>
      <c r="M46" s="116">
        <f t="shared" si="4"/>
        <v>39657933.590000004</v>
      </c>
      <c r="N46" s="123">
        <f t="shared" si="5"/>
        <v>311.33319403992749</v>
      </c>
      <c r="O46" s="5"/>
      <c r="P46" s="5">
        <f t="shared" si="6"/>
        <v>1</v>
      </c>
      <c r="Q46" s="7">
        <f t="shared" si="7"/>
        <v>127381</v>
      </c>
    </row>
    <row r="47" spans="1:21">
      <c r="A47" s="23" t="s">
        <v>464</v>
      </c>
      <c r="B47" s="35" t="s">
        <v>49</v>
      </c>
      <c r="C47" s="125">
        <v>31473</v>
      </c>
      <c r="D47" s="132">
        <v>5048831886</v>
      </c>
      <c r="E47" s="116">
        <f t="shared" si="11"/>
        <v>160417.87837193784</v>
      </c>
      <c r="F47" s="134">
        <v>3851792288</v>
      </c>
      <c r="G47" s="117">
        <f t="shared" si="12"/>
        <v>122384.02084326248</v>
      </c>
      <c r="H47" s="98"/>
      <c r="I47" s="136">
        <v>5.9997999999999996</v>
      </c>
      <c r="J47" s="134">
        <v>23109983.370000001</v>
      </c>
      <c r="K47" s="120">
        <f t="shared" si="13"/>
        <v>734.27964826994571</v>
      </c>
      <c r="L47" s="122">
        <f t="shared" si="3"/>
        <v>38517922.880000003</v>
      </c>
      <c r="M47" s="116">
        <f t="shared" si="4"/>
        <v>15407939.510000002</v>
      </c>
      <c r="N47" s="123">
        <f t="shared" si="5"/>
        <v>489.56056016267917</v>
      </c>
      <c r="O47" s="5"/>
      <c r="P47" s="5">
        <f t="shared" si="6"/>
        <v>1</v>
      </c>
      <c r="Q47" s="7">
        <f t="shared" si="7"/>
        <v>31473</v>
      </c>
    </row>
    <row r="48" spans="1:21">
      <c r="A48" s="23" t="s">
        <v>52</v>
      </c>
      <c r="B48" s="35" t="s">
        <v>49</v>
      </c>
      <c r="C48" s="125">
        <v>100689</v>
      </c>
      <c r="D48" s="132">
        <v>13954046976</v>
      </c>
      <c r="E48" s="116">
        <f t="shared" si="11"/>
        <v>138585.61487352144</v>
      </c>
      <c r="F48" s="134">
        <v>9014096778</v>
      </c>
      <c r="G48" s="117">
        <f t="shared" si="12"/>
        <v>89524.146411226655</v>
      </c>
      <c r="H48" s="98"/>
      <c r="I48" s="150">
        <v>5.3220000000000001</v>
      </c>
      <c r="J48" s="134">
        <v>47973023.049999997</v>
      </c>
      <c r="K48" s="120">
        <f t="shared" si="13"/>
        <v>476.44750717556036</v>
      </c>
      <c r="L48" s="122">
        <f t="shared" si="3"/>
        <v>90140967.780000001</v>
      </c>
      <c r="M48" s="116">
        <f t="shared" si="4"/>
        <v>42167944.730000004</v>
      </c>
      <c r="N48" s="123">
        <f t="shared" si="5"/>
        <v>418.79395693670614</v>
      </c>
      <c r="O48" s="5"/>
      <c r="P48" s="5">
        <f t="shared" si="6"/>
        <v>1</v>
      </c>
      <c r="Q48" s="7">
        <f t="shared" si="7"/>
        <v>100689</v>
      </c>
    </row>
    <row r="49" spans="1:17">
      <c r="A49" s="23" t="s">
        <v>53</v>
      </c>
      <c r="B49" s="35" t="s">
        <v>49</v>
      </c>
      <c r="C49" s="125">
        <v>78042</v>
      </c>
      <c r="D49" s="132">
        <v>9299949967</v>
      </c>
      <c r="E49" s="116">
        <f t="shared" si="11"/>
        <v>119165.96149509239</v>
      </c>
      <c r="F49" s="134">
        <v>6526089942</v>
      </c>
      <c r="G49" s="117">
        <f t="shared" si="12"/>
        <v>83622.792111939722</v>
      </c>
      <c r="H49" s="98"/>
      <c r="I49" s="136">
        <v>6.0980999999999996</v>
      </c>
      <c r="J49" s="134">
        <v>39796749.075310193</v>
      </c>
      <c r="K49" s="120">
        <f t="shared" si="13"/>
        <v>509.94014857781957</v>
      </c>
      <c r="L49" s="122">
        <f t="shared" si="3"/>
        <v>65260899.420000002</v>
      </c>
      <c r="M49" s="116">
        <f t="shared" si="4"/>
        <v>25464150.344689809</v>
      </c>
      <c r="N49" s="123">
        <f t="shared" si="5"/>
        <v>326.28777254157774</v>
      </c>
      <c r="O49" s="5"/>
      <c r="P49" s="5">
        <f t="shared" si="6"/>
        <v>1</v>
      </c>
      <c r="Q49" s="7">
        <f t="shared" si="7"/>
        <v>78042</v>
      </c>
    </row>
    <row r="50" spans="1:17">
      <c r="A50" s="23" t="s">
        <v>54</v>
      </c>
      <c r="B50" s="35" t="s">
        <v>49</v>
      </c>
      <c r="C50" s="125">
        <v>179063</v>
      </c>
      <c r="D50" s="132">
        <v>47135614847</v>
      </c>
      <c r="E50" s="116">
        <f t="shared" si="11"/>
        <v>263234.81035724859</v>
      </c>
      <c r="F50" s="134">
        <v>33526624604</v>
      </c>
      <c r="G50" s="117">
        <f t="shared" si="12"/>
        <v>187233.68090560305</v>
      </c>
      <c r="H50" s="98"/>
      <c r="I50" s="136">
        <v>4.1193</v>
      </c>
      <c r="J50" s="134">
        <v>138106224.72999999</v>
      </c>
      <c r="K50" s="120">
        <f t="shared" si="13"/>
        <v>771.27170174742957</v>
      </c>
      <c r="L50" s="122">
        <f t="shared" si="3"/>
        <v>335266246.04000002</v>
      </c>
      <c r="M50" s="116">
        <f t="shared" si="4"/>
        <v>197160021.31000003</v>
      </c>
      <c r="N50" s="123">
        <f t="shared" si="5"/>
        <v>1101.065107308601</v>
      </c>
      <c r="O50" s="5"/>
      <c r="P50" s="5">
        <f t="shared" si="6"/>
        <v>1</v>
      </c>
      <c r="Q50" s="7">
        <f t="shared" si="7"/>
        <v>179063</v>
      </c>
    </row>
    <row r="51" spans="1:17">
      <c r="A51" s="23" t="s">
        <v>465</v>
      </c>
      <c r="B51" s="35" t="s">
        <v>49</v>
      </c>
      <c r="C51" s="125">
        <v>38746</v>
      </c>
      <c r="D51" s="132">
        <v>6891543931</v>
      </c>
      <c r="E51" s="116">
        <f t="shared" si="11"/>
        <v>177864.65521602231</v>
      </c>
      <c r="F51" s="134">
        <v>5372158120</v>
      </c>
      <c r="G51" s="117">
        <f t="shared" si="12"/>
        <v>138650.65090589997</v>
      </c>
      <c r="H51" s="98"/>
      <c r="I51" s="136">
        <v>5.3093000000000004</v>
      </c>
      <c r="J51" s="134">
        <v>28522399.109999999</v>
      </c>
      <c r="K51" s="120">
        <f t="shared" si="13"/>
        <v>736.13790094461365</v>
      </c>
      <c r="L51" s="122">
        <f t="shared" si="3"/>
        <v>53721581.200000003</v>
      </c>
      <c r="M51" s="116">
        <f t="shared" si="4"/>
        <v>25199182.090000004</v>
      </c>
      <c r="N51" s="123">
        <f t="shared" si="5"/>
        <v>650.36860811438612</v>
      </c>
      <c r="O51" s="5"/>
      <c r="P51" s="5">
        <f t="shared" si="6"/>
        <v>1</v>
      </c>
      <c r="Q51" s="7">
        <f t="shared" si="7"/>
        <v>38746</v>
      </c>
    </row>
    <row r="52" spans="1:17">
      <c r="A52" s="23" t="s">
        <v>55</v>
      </c>
      <c r="B52" s="35" t="s">
        <v>49</v>
      </c>
      <c r="C52" s="125">
        <v>1911</v>
      </c>
      <c r="D52" s="132">
        <v>1555644912</v>
      </c>
      <c r="E52" s="116">
        <f t="shared" si="11"/>
        <v>814047.57299843011</v>
      </c>
      <c r="F52" s="134">
        <v>1253846999</v>
      </c>
      <c r="G52" s="117">
        <f t="shared" si="12"/>
        <v>656120.87859759293</v>
      </c>
      <c r="H52" s="98"/>
      <c r="I52" s="136">
        <v>3.5</v>
      </c>
      <c r="J52" s="134">
        <v>4388464.5</v>
      </c>
      <c r="K52" s="120">
        <f t="shared" si="13"/>
        <v>2296.4230769230771</v>
      </c>
      <c r="L52" s="122">
        <f t="shared" si="3"/>
        <v>12538469.99</v>
      </c>
      <c r="M52" s="116">
        <f t="shared" si="4"/>
        <v>8150005.4900000002</v>
      </c>
      <c r="N52" s="123">
        <f t="shared" si="5"/>
        <v>4264.7857090528523</v>
      </c>
      <c r="O52" s="5"/>
      <c r="P52" s="5">
        <f t="shared" si="6"/>
        <v>1</v>
      </c>
      <c r="Q52" s="7">
        <f t="shared" si="7"/>
        <v>1911</v>
      </c>
    </row>
    <row r="53" spans="1:17">
      <c r="A53" s="23" t="s">
        <v>56</v>
      </c>
      <c r="B53" s="35" t="s">
        <v>49</v>
      </c>
      <c r="C53" s="125">
        <v>147212</v>
      </c>
      <c r="D53" s="132">
        <v>22554612989</v>
      </c>
      <c r="E53" s="116">
        <f t="shared" si="11"/>
        <v>153211.78293209794</v>
      </c>
      <c r="F53" s="134">
        <v>15128858620</v>
      </c>
      <c r="G53" s="117">
        <f t="shared" si="12"/>
        <v>102769.19422329702</v>
      </c>
      <c r="H53" s="98"/>
      <c r="I53" s="136">
        <v>7.4478999999999997</v>
      </c>
      <c r="J53" s="134">
        <v>112678226.12</v>
      </c>
      <c r="K53" s="120">
        <f t="shared" si="13"/>
        <v>765.41468168355846</v>
      </c>
      <c r="L53" s="122">
        <f t="shared" si="3"/>
        <v>151288586.20000002</v>
      </c>
      <c r="M53" s="116">
        <f t="shared" si="4"/>
        <v>38610360.080000013</v>
      </c>
      <c r="N53" s="123">
        <f t="shared" si="5"/>
        <v>262.27726054941184</v>
      </c>
      <c r="O53" s="5"/>
      <c r="P53" s="5">
        <f t="shared" si="6"/>
        <v>1</v>
      </c>
      <c r="Q53" s="7">
        <f t="shared" si="7"/>
        <v>147212</v>
      </c>
    </row>
    <row r="54" spans="1:17">
      <c r="A54" s="23" t="s">
        <v>57</v>
      </c>
      <c r="B54" s="35" t="s">
        <v>49</v>
      </c>
      <c r="C54" s="125">
        <v>35094</v>
      </c>
      <c r="D54" s="132">
        <v>1779307454</v>
      </c>
      <c r="E54" s="116">
        <f t="shared" si="11"/>
        <v>50701.186926540147</v>
      </c>
      <c r="F54" s="134">
        <v>1035600917</v>
      </c>
      <c r="G54" s="117">
        <f t="shared" si="12"/>
        <v>29509.343961930816</v>
      </c>
      <c r="H54" s="98"/>
      <c r="I54" s="136">
        <v>8.5</v>
      </c>
      <c r="J54" s="134">
        <v>8802607.7899999991</v>
      </c>
      <c r="K54" s="120">
        <f t="shared" si="13"/>
        <v>250.82942354818485</v>
      </c>
      <c r="L54" s="122">
        <f t="shared" si="3"/>
        <v>10356009.17</v>
      </c>
      <c r="M54" s="116">
        <f t="shared" si="4"/>
        <v>1553401.3800000008</v>
      </c>
      <c r="N54" s="123">
        <f t="shared" si="5"/>
        <v>44.264016071123294</v>
      </c>
      <c r="O54" s="5"/>
      <c r="P54" s="5">
        <f t="shared" si="6"/>
        <v>1</v>
      </c>
      <c r="Q54" s="7">
        <f t="shared" si="7"/>
        <v>35094</v>
      </c>
    </row>
    <row r="55" spans="1:17">
      <c r="A55" s="23" t="s">
        <v>560</v>
      </c>
      <c r="B55" s="35" t="s">
        <v>49</v>
      </c>
      <c r="C55" s="125">
        <v>6175</v>
      </c>
      <c r="D55" s="132">
        <v>2937762647</v>
      </c>
      <c r="E55" s="116">
        <f t="shared" si="11"/>
        <v>475751.035951417</v>
      </c>
      <c r="F55" s="134">
        <v>2376152413</v>
      </c>
      <c r="G55" s="117">
        <f t="shared" si="12"/>
        <v>384802.01020242914</v>
      </c>
      <c r="H55" s="98"/>
      <c r="I55" s="136">
        <v>3.5989</v>
      </c>
      <c r="J55" s="134">
        <v>8551534.9199999999</v>
      </c>
      <c r="K55" s="120">
        <f t="shared" si="13"/>
        <v>1384.8639546558704</v>
      </c>
      <c r="L55" s="122">
        <f t="shared" si="3"/>
        <v>23761524.129999999</v>
      </c>
      <c r="M55" s="116">
        <f t="shared" si="4"/>
        <v>15209989.209999999</v>
      </c>
      <c r="N55" s="123">
        <f t="shared" si="5"/>
        <v>2463.156147368421</v>
      </c>
      <c r="O55" s="5"/>
      <c r="P55" s="5">
        <f t="shared" si="6"/>
        <v>1</v>
      </c>
      <c r="Q55" s="7">
        <f t="shared" si="7"/>
        <v>6175</v>
      </c>
    </row>
    <row r="56" spans="1:17">
      <c r="A56" s="23" t="s">
        <v>58</v>
      </c>
      <c r="B56" s="35" t="s">
        <v>49</v>
      </c>
      <c r="C56" s="125">
        <v>71178</v>
      </c>
      <c r="D56" s="132">
        <v>4084927890</v>
      </c>
      <c r="E56" s="116">
        <f t="shared" si="11"/>
        <v>57390.31568743151</v>
      </c>
      <c r="F56" s="134">
        <v>2442725944</v>
      </c>
      <c r="G56" s="117">
        <f t="shared" si="12"/>
        <v>34318.552698867628</v>
      </c>
      <c r="H56" s="98"/>
      <c r="I56" s="136">
        <v>7.5898000000000003</v>
      </c>
      <c r="J56" s="134">
        <v>18539801.370000001</v>
      </c>
      <c r="K56" s="120">
        <f t="shared" si="13"/>
        <v>260.47095127708002</v>
      </c>
      <c r="L56" s="122">
        <f t="shared" si="3"/>
        <v>24427259.440000001</v>
      </c>
      <c r="M56" s="116">
        <f t="shared" si="4"/>
        <v>5887458.0700000003</v>
      </c>
      <c r="N56" s="123">
        <f t="shared" si="5"/>
        <v>82.714575711596282</v>
      </c>
      <c r="O56" s="5"/>
      <c r="P56" s="5">
        <f t="shared" si="6"/>
        <v>1</v>
      </c>
      <c r="Q56" s="7">
        <f t="shared" si="7"/>
        <v>71178</v>
      </c>
    </row>
    <row r="57" spans="1:17">
      <c r="A57" s="23" t="s">
        <v>59</v>
      </c>
      <c r="B57" s="35" t="s">
        <v>49</v>
      </c>
      <c r="C57" s="125">
        <v>26</v>
      </c>
      <c r="D57" s="147">
        <v>9120220</v>
      </c>
      <c r="E57" s="116">
        <f t="shared" si="11"/>
        <v>350777.69230769231</v>
      </c>
      <c r="F57" s="134">
        <v>6839078</v>
      </c>
      <c r="G57" s="117">
        <f t="shared" si="12"/>
        <v>263041.46153846156</v>
      </c>
      <c r="H57" s="98"/>
      <c r="I57" s="136">
        <v>4.7930999999999999</v>
      </c>
      <c r="J57" s="134">
        <v>32780.379999999997</v>
      </c>
      <c r="K57" s="120">
        <f t="shared" si="13"/>
        <v>1260.7838461538461</v>
      </c>
      <c r="L57" s="122">
        <f t="shared" si="3"/>
        <v>68390.78</v>
      </c>
      <c r="M57" s="116">
        <f t="shared" si="4"/>
        <v>35610.400000000001</v>
      </c>
      <c r="N57" s="123">
        <f t="shared" si="5"/>
        <v>1369.6307692307694</v>
      </c>
      <c r="O57" s="5"/>
      <c r="P57" s="5">
        <f t="shared" si="6"/>
        <v>1</v>
      </c>
      <c r="Q57" s="7">
        <f t="shared" si="7"/>
        <v>26</v>
      </c>
    </row>
    <row r="58" spans="1:17">
      <c r="A58" s="23" t="s">
        <v>60</v>
      </c>
      <c r="B58" s="35" t="s">
        <v>49</v>
      </c>
      <c r="C58" s="125">
        <v>10526</v>
      </c>
      <c r="D58" s="132">
        <v>3189806224</v>
      </c>
      <c r="E58" s="116">
        <f t="shared" si="11"/>
        <v>303040.68250047503</v>
      </c>
      <c r="F58" s="134">
        <v>2237402005</v>
      </c>
      <c r="G58" s="117">
        <f t="shared" si="12"/>
        <v>212559.56726201787</v>
      </c>
      <c r="H58" s="98"/>
      <c r="I58" s="136">
        <v>3.5893000000000002</v>
      </c>
      <c r="J58" s="134">
        <v>8030707.0199999996</v>
      </c>
      <c r="K58" s="120">
        <f t="shared" si="13"/>
        <v>762.940055101653</v>
      </c>
      <c r="L58" s="122">
        <f t="shared" si="3"/>
        <v>22374020.050000001</v>
      </c>
      <c r="M58" s="116">
        <f t="shared" si="4"/>
        <v>14343313.030000001</v>
      </c>
      <c r="N58" s="123">
        <f t="shared" si="5"/>
        <v>1362.6556175185256</v>
      </c>
      <c r="O58" s="5"/>
      <c r="P58" s="5">
        <f t="shared" si="6"/>
        <v>1</v>
      </c>
      <c r="Q58" s="7">
        <f t="shared" si="7"/>
        <v>10526</v>
      </c>
    </row>
    <row r="59" spans="1:17">
      <c r="A59" s="23" t="s">
        <v>61</v>
      </c>
      <c r="B59" s="35" t="s">
        <v>49</v>
      </c>
      <c r="C59" s="125">
        <v>57961</v>
      </c>
      <c r="D59" s="132">
        <v>4626572732</v>
      </c>
      <c r="E59" s="116">
        <f t="shared" si="11"/>
        <v>79822.168906678635</v>
      </c>
      <c r="F59" s="134">
        <v>2850313339</v>
      </c>
      <c r="G59" s="117">
        <f t="shared" si="12"/>
        <v>49176.400320905435</v>
      </c>
      <c r="H59" s="98"/>
      <c r="I59" s="136">
        <v>6.5183</v>
      </c>
      <c r="J59" s="134">
        <v>18579197.440000001</v>
      </c>
      <c r="K59" s="120">
        <f t="shared" si="13"/>
        <v>320.54653025310125</v>
      </c>
      <c r="L59" s="122">
        <f t="shared" si="3"/>
        <v>28503133.390000001</v>
      </c>
      <c r="M59" s="116">
        <f t="shared" si="4"/>
        <v>9923935.9499999993</v>
      </c>
      <c r="N59" s="123">
        <f t="shared" si="5"/>
        <v>171.21747295595313</v>
      </c>
      <c r="O59" s="5"/>
      <c r="P59" s="5">
        <f t="shared" si="6"/>
        <v>1</v>
      </c>
      <c r="Q59" s="7">
        <f t="shared" si="7"/>
        <v>57961</v>
      </c>
    </row>
    <row r="60" spans="1:17">
      <c r="A60" s="23" t="s">
        <v>62</v>
      </c>
      <c r="B60" s="35" t="s">
        <v>49</v>
      </c>
      <c r="C60" s="125">
        <v>136246</v>
      </c>
      <c r="D60" s="132">
        <v>13907986392</v>
      </c>
      <c r="E60" s="116">
        <f t="shared" si="11"/>
        <v>102079.96118785138</v>
      </c>
      <c r="F60" s="134">
        <v>9192339382</v>
      </c>
      <c r="G60" s="117">
        <f t="shared" si="12"/>
        <v>67468.691792786572</v>
      </c>
      <c r="H60" s="98"/>
      <c r="I60" s="136">
        <v>6.7653999999999996</v>
      </c>
      <c r="J60" s="134">
        <v>62189852.850000001</v>
      </c>
      <c r="K60" s="120">
        <f t="shared" si="13"/>
        <v>456.45268741834622</v>
      </c>
      <c r="L60" s="122">
        <f t="shared" si="3"/>
        <v>91923393.820000008</v>
      </c>
      <c r="M60" s="116">
        <f t="shared" si="4"/>
        <v>29733540.970000006</v>
      </c>
      <c r="N60" s="123">
        <f t="shared" si="5"/>
        <v>218.23423050951959</v>
      </c>
      <c r="O60" s="5"/>
      <c r="P60" s="5">
        <f t="shared" si="6"/>
        <v>1</v>
      </c>
      <c r="Q60" s="7">
        <f t="shared" si="7"/>
        <v>136246</v>
      </c>
    </row>
    <row r="61" spans="1:17">
      <c r="A61" s="23" t="s">
        <v>63</v>
      </c>
      <c r="B61" s="35" t="s">
        <v>49</v>
      </c>
      <c r="C61" s="125">
        <v>44408</v>
      </c>
      <c r="D61" s="132">
        <v>2253740720</v>
      </c>
      <c r="E61" s="116">
        <f t="shared" si="11"/>
        <v>50750.781841109711</v>
      </c>
      <c r="F61" s="134">
        <v>1346743957</v>
      </c>
      <c r="G61" s="117">
        <f t="shared" si="12"/>
        <v>30326.606850117096</v>
      </c>
      <c r="H61" s="98"/>
      <c r="I61" s="136">
        <v>7.4</v>
      </c>
      <c r="J61" s="134">
        <v>9965905.2799999993</v>
      </c>
      <c r="K61" s="120">
        <f t="shared" si="13"/>
        <v>224.41689065033327</v>
      </c>
      <c r="L61" s="122">
        <f t="shared" si="3"/>
        <v>13467439.57</v>
      </c>
      <c r="M61" s="116">
        <f t="shared" si="4"/>
        <v>3501534.290000001</v>
      </c>
      <c r="N61" s="123">
        <f t="shared" si="5"/>
        <v>78.849177850837705</v>
      </c>
      <c r="O61" s="5"/>
      <c r="P61" s="5">
        <f t="shared" si="6"/>
        <v>1</v>
      </c>
      <c r="Q61" s="7">
        <f t="shared" si="7"/>
        <v>44408</v>
      </c>
    </row>
    <row r="62" spans="1:17">
      <c r="A62" s="23" t="s">
        <v>64</v>
      </c>
      <c r="B62" s="35" t="s">
        <v>49</v>
      </c>
      <c r="C62" s="125">
        <v>44409</v>
      </c>
      <c r="D62" s="132">
        <v>4686733592</v>
      </c>
      <c r="E62" s="116">
        <f t="shared" si="11"/>
        <v>105535.67051723749</v>
      </c>
      <c r="F62" s="134">
        <v>2970495442</v>
      </c>
      <c r="G62" s="117">
        <f t="shared" si="12"/>
        <v>66889.491814722234</v>
      </c>
      <c r="H62" s="98"/>
      <c r="I62" s="136">
        <v>6.0984999999999996</v>
      </c>
      <c r="J62" s="134">
        <v>18115566.449999999</v>
      </c>
      <c r="K62" s="120">
        <f t="shared" si="13"/>
        <v>407.92556576369651</v>
      </c>
      <c r="L62" s="122">
        <f t="shared" si="3"/>
        <v>29704954.420000002</v>
      </c>
      <c r="M62" s="116">
        <f t="shared" si="4"/>
        <v>11589387.970000003</v>
      </c>
      <c r="N62" s="123">
        <f t="shared" si="5"/>
        <v>260.96935238352592</v>
      </c>
      <c r="O62" s="5"/>
      <c r="P62" s="5">
        <f t="shared" si="6"/>
        <v>1</v>
      </c>
      <c r="Q62" s="7">
        <f t="shared" si="7"/>
        <v>44409</v>
      </c>
    </row>
    <row r="63" spans="1:17">
      <c r="A63" s="23" t="s">
        <v>65</v>
      </c>
      <c r="B63" s="35" t="s">
        <v>49</v>
      </c>
      <c r="C63" s="125">
        <v>31476</v>
      </c>
      <c r="D63" s="132">
        <v>6033218047</v>
      </c>
      <c r="E63" s="116">
        <f t="shared" si="11"/>
        <v>191676.77109543778</v>
      </c>
      <c r="F63" s="134">
        <v>4613333759</v>
      </c>
      <c r="G63" s="117">
        <f t="shared" si="12"/>
        <v>146566.70984241963</v>
      </c>
      <c r="H63" s="98"/>
      <c r="I63" s="136">
        <v>3.9780000000000002</v>
      </c>
      <c r="J63" s="134">
        <v>18351841.690000001</v>
      </c>
      <c r="K63" s="120">
        <f t="shared" si="13"/>
        <v>583.04237164823996</v>
      </c>
      <c r="L63" s="122">
        <f t="shared" si="3"/>
        <v>46133337.590000004</v>
      </c>
      <c r="M63" s="116">
        <f t="shared" si="4"/>
        <v>27781495.900000002</v>
      </c>
      <c r="N63" s="123">
        <f t="shared" si="5"/>
        <v>882.62472677595633</v>
      </c>
      <c r="O63" s="5"/>
      <c r="P63" s="5">
        <f t="shared" si="6"/>
        <v>1</v>
      </c>
      <c r="Q63" s="7">
        <f t="shared" si="7"/>
        <v>31476</v>
      </c>
    </row>
    <row r="64" spans="1:17">
      <c r="A64" s="23" t="s">
        <v>66</v>
      </c>
      <c r="B64" s="35" t="s">
        <v>49</v>
      </c>
      <c r="C64" s="125">
        <v>6368</v>
      </c>
      <c r="D64" s="132">
        <v>789355650</v>
      </c>
      <c r="E64" s="116">
        <f t="shared" si="11"/>
        <v>123956.60332914573</v>
      </c>
      <c r="F64" s="134">
        <v>675867079</v>
      </c>
      <c r="G64" s="117">
        <f t="shared" si="12"/>
        <v>106134.9056218593</v>
      </c>
      <c r="H64" s="98"/>
      <c r="I64" s="136">
        <v>8.5</v>
      </c>
      <c r="J64" s="134">
        <v>5744870.1699999999</v>
      </c>
      <c r="K64" s="120">
        <f t="shared" si="13"/>
        <v>902.14669755025125</v>
      </c>
      <c r="L64" s="122">
        <f t="shared" si="3"/>
        <v>6758670.79</v>
      </c>
      <c r="M64" s="116">
        <f t="shared" si="4"/>
        <v>1013800.6200000001</v>
      </c>
      <c r="N64" s="123">
        <f t="shared" si="5"/>
        <v>159.20235866834173</v>
      </c>
      <c r="O64" s="5"/>
      <c r="P64" s="5">
        <f t="shared" si="6"/>
        <v>1</v>
      </c>
      <c r="Q64" s="7">
        <f t="shared" si="7"/>
        <v>6368</v>
      </c>
    </row>
    <row r="65" spans="1:21">
      <c r="A65" s="23" t="s">
        <v>67</v>
      </c>
      <c r="B65" s="35" t="s">
        <v>49</v>
      </c>
      <c r="C65" s="125">
        <v>163103</v>
      </c>
      <c r="D65" s="132">
        <v>18694198584</v>
      </c>
      <c r="E65" s="116">
        <f t="shared" si="11"/>
        <v>114615.9088674028</v>
      </c>
      <c r="F65" s="134">
        <v>11781863734</v>
      </c>
      <c r="G65" s="117">
        <f t="shared" si="12"/>
        <v>72235.726712568125</v>
      </c>
      <c r="H65" s="98"/>
      <c r="I65" s="136">
        <v>5.6736000000000004</v>
      </c>
      <c r="J65" s="134">
        <v>66845582.079999998</v>
      </c>
      <c r="K65" s="120">
        <f t="shared" si="13"/>
        <v>409.8366190689319</v>
      </c>
      <c r="L65" s="122">
        <f t="shared" si="3"/>
        <v>117818637.34</v>
      </c>
      <c r="M65" s="116">
        <f t="shared" si="4"/>
        <v>50973055.260000005</v>
      </c>
      <c r="N65" s="123">
        <f t="shared" si="5"/>
        <v>312.52064805674945</v>
      </c>
      <c r="O65" s="5"/>
      <c r="P65" s="5">
        <f t="shared" si="6"/>
        <v>1</v>
      </c>
      <c r="Q65" s="7">
        <f t="shared" si="7"/>
        <v>163103</v>
      </c>
    </row>
    <row r="66" spans="1:21">
      <c r="A66" s="23" t="s">
        <v>68</v>
      </c>
      <c r="B66" s="35" t="s">
        <v>49</v>
      </c>
      <c r="C66" s="125">
        <v>88619</v>
      </c>
      <c r="D66" s="132">
        <v>12787773248</v>
      </c>
      <c r="E66" s="116">
        <f t="shared" si="11"/>
        <v>144300.58168112932</v>
      </c>
      <c r="F66" s="134">
        <v>8738755413</v>
      </c>
      <c r="G66" s="117">
        <f t="shared" si="12"/>
        <v>98610.404236111892</v>
      </c>
      <c r="H66" s="98"/>
      <c r="I66" s="136">
        <v>5.75</v>
      </c>
      <c r="J66" s="134">
        <v>50247843.619999997</v>
      </c>
      <c r="K66" s="120">
        <f t="shared" si="13"/>
        <v>567.00982430404315</v>
      </c>
      <c r="L66" s="122">
        <f t="shared" si="3"/>
        <v>87387554.129999995</v>
      </c>
      <c r="M66" s="116">
        <f t="shared" si="4"/>
        <v>37139710.509999998</v>
      </c>
      <c r="N66" s="123">
        <f t="shared" si="5"/>
        <v>419.09421805707575</v>
      </c>
      <c r="O66" s="5"/>
      <c r="P66" s="5">
        <f t="shared" si="6"/>
        <v>1</v>
      </c>
      <c r="Q66" s="7">
        <f t="shared" si="7"/>
        <v>88619</v>
      </c>
    </row>
    <row r="67" spans="1:21">
      <c r="A67" s="23" t="s">
        <v>69</v>
      </c>
      <c r="B67" s="35" t="s">
        <v>49</v>
      </c>
      <c r="C67" s="125">
        <v>109441</v>
      </c>
      <c r="D67" s="132">
        <v>16529112461</v>
      </c>
      <c r="E67" s="116">
        <f t="shared" si="11"/>
        <v>151032.17679845763</v>
      </c>
      <c r="F67" s="134">
        <v>11986601095</v>
      </c>
      <c r="G67" s="117">
        <f t="shared" si="12"/>
        <v>109525.69050904141</v>
      </c>
      <c r="H67" s="98"/>
      <c r="I67" s="136">
        <v>4.9865000000000004</v>
      </c>
      <c r="J67" s="134">
        <v>59771186.359999999</v>
      </c>
      <c r="K67" s="120">
        <f t="shared" si="13"/>
        <v>546.14985572134754</v>
      </c>
      <c r="L67" s="122">
        <f t="shared" si="3"/>
        <v>119866010.95</v>
      </c>
      <c r="M67" s="116">
        <f t="shared" si="4"/>
        <v>60094824.590000004</v>
      </c>
      <c r="N67" s="123">
        <f t="shared" si="5"/>
        <v>549.10704936906643</v>
      </c>
      <c r="O67" s="5"/>
      <c r="P67" s="5">
        <f t="shared" si="6"/>
        <v>1</v>
      </c>
      <c r="Q67" s="7">
        <f t="shared" si="7"/>
        <v>109441</v>
      </c>
    </row>
    <row r="68" spans="1:21">
      <c r="A68" s="23" t="s">
        <v>70</v>
      </c>
      <c r="B68" s="35" t="s">
        <v>49</v>
      </c>
      <c r="C68" s="125">
        <v>692</v>
      </c>
      <c r="D68" s="132">
        <v>287571469</v>
      </c>
      <c r="E68" s="116">
        <f t="shared" si="11"/>
        <v>415565.70664739882</v>
      </c>
      <c r="F68" s="134">
        <v>207830498</v>
      </c>
      <c r="G68" s="117">
        <f t="shared" si="12"/>
        <v>300333.0895953757</v>
      </c>
      <c r="H68" s="98"/>
      <c r="I68" s="136">
        <v>7.5</v>
      </c>
      <c r="J68" s="134">
        <v>1558728.74</v>
      </c>
      <c r="K68" s="120">
        <f t="shared" si="13"/>
        <v>2252.4981791907512</v>
      </c>
      <c r="L68" s="122">
        <f t="shared" si="3"/>
        <v>2078304.98</v>
      </c>
      <c r="M68" s="116">
        <f t="shared" si="4"/>
        <v>519576.24</v>
      </c>
      <c r="N68" s="123">
        <f t="shared" si="5"/>
        <v>750.83271676300581</v>
      </c>
      <c r="O68" s="5"/>
      <c r="P68" s="5">
        <f t="shared" si="6"/>
        <v>1</v>
      </c>
      <c r="Q68" s="7">
        <f t="shared" si="7"/>
        <v>692</v>
      </c>
    </row>
    <row r="69" spans="1:21">
      <c r="A69" s="23" t="s">
        <v>450</v>
      </c>
      <c r="B69" s="35" t="s">
        <v>49</v>
      </c>
      <c r="C69" s="125">
        <v>7614</v>
      </c>
      <c r="D69" s="132">
        <v>2254195216</v>
      </c>
      <c r="E69" s="116">
        <f t="shared" si="11"/>
        <v>296059.26136065141</v>
      </c>
      <c r="F69" s="134">
        <v>1352066077</v>
      </c>
      <c r="G69" s="117">
        <f t="shared" si="12"/>
        <v>177576.316916207</v>
      </c>
      <c r="H69" s="98"/>
      <c r="I69" s="136">
        <v>4.4629000000000003</v>
      </c>
      <c r="J69" s="134">
        <v>6034135.7000000002</v>
      </c>
      <c r="K69" s="120">
        <f t="shared" si="13"/>
        <v>792.5053454163384</v>
      </c>
      <c r="L69" s="122">
        <f t="shared" si="3"/>
        <v>13520660.77</v>
      </c>
      <c r="M69" s="116">
        <f t="shared" si="4"/>
        <v>7486525.0699999994</v>
      </c>
      <c r="N69" s="123">
        <f t="shared" si="5"/>
        <v>983.25782374573146</v>
      </c>
      <c r="O69" s="5"/>
      <c r="P69" s="5">
        <f t="shared" si="6"/>
        <v>1</v>
      </c>
      <c r="Q69" s="7">
        <f t="shared" si="7"/>
        <v>7614</v>
      </c>
    </row>
    <row r="70" spans="1:21">
      <c r="A70" s="23" t="s">
        <v>71</v>
      </c>
      <c r="B70" s="35" t="s">
        <v>49</v>
      </c>
      <c r="C70" s="125">
        <v>91865</v>
      </c>
      <c r="D70" s="132">
        <v>10362037900</v>
      </c>
      <c r="E70" s="116">
        <f t="shared" si="11"/>
        <v>112796.36314156643</v>
      </c>
      <c r="F70" s="134">
        <v>6795952724</v>
      </c>
      <c r="G70" s="117">
        <f t="shared" si="12"/>
        <v>73977.605442769287</v>
      </c>
      <c r="H70" s="98"/>
      <c r="I70" s="136">
        <v>6.0542999999999996</v>
      </c>
      <c r="J70" s="134">
        <v>41144736.579999998</v>
      </c>
      <c r="K70" s="120">
        <f t="shared" si="13"/>
        <v>447.88261666575954</v>
      </c>
      <c r="L70" s="122">
        <f t="shared" ref="L70:L133" si="14">(F70*0.01)</f>
        <v>67959527.239999995</v>
      </c>
      <c r="M70" s="116">
        <f t="shared" ref="M70:M133" si="15">(L70-J70)</f>
        <v>26814790.659999996</v>
      </c>
      <c r="N70" s="123">
        <f t="shared" ref="N70:N133" si="16">(M70/C70)</f>
        <v>291.89343776193323</v>
      </c>
      <c r="O70" s="5"/>
      <c r="P70" s="5">
        <f t="shared" ref="P70:P133" si="17">IF(I70&gt;0,1,0)</f>
        <v>1</v>
      </c>
      <c r="Q70" s="7">
        <f t="shared" ref="Q70:Q133" si="18">IF(I70&gt;0,C70,0)</f>
        <v>91865</v>
      </c>
    </row>
    <row r="71" spans="1:21">
      <c r="A71" s="23" t="s">
        <v>72</v>
      </c>
      <c r="B71" s="35" t="s">
        <v>49</v>
      </c>
      <c r="C71" s="125">
        <v>63910</v>
      </c>
      <c r="D71" s="132">
        <v>5798292067</v>
      </c>
      <c r="E71" s="116">
        <f t="shared" si="11"/>
        <v>90725.896839305278</v>
      </c>
      <c r="F71" s="154">
        <v>3465217102</v>
      </c>
      <c r="G71" s="117">
        <f t="shared" si="12"/>
        <v>54220.264465654829</v>
      </c>
      <c r="H71" s="98"/>
      <c r="I71" s="136">
        <v>7.2899000000000003</v>
      </c>
      <c r="J71" s="134">
        <v>25261086.149999999</v>
      </c>
      <c r="K71" s="120">
        <f t="shared" si="13"/>
        <v>395.26030589892031</v>
      </c>
      <c r="L71" s="122">
        <f t="shared" si="14"/>
        <v>34652171.020000003</v>
      </c>
      <c r="M71" s="116">
        <f t="shared" si="15"/>
        <v>9391084.8700000048</v>
      </c>
      <c r="N71" s="123">
        <f t="shared" si="16"/>
        <v>146.94233875762799</v>
      </c>
      <c r="O71" s="5"/>
      <c r="P71" s="5">
        <f t="shared" si="17"/>
        <v>1</v>
      </c>
      <c r="Q71" s="7">
        <f t="shared" si="18"/>
        <v>63910</v>
      </c>
    </row>
    <row r="72" spans="1:21">
      <c r="A72" s="23" t="s">
        <v>507</v>
      </c>
      <c r="B72" s="35" t="s">
        <v>49</v>
      </c>
      <c r="C72" s="125">
        <v>14912</v>
      </c>
      <c r="D72" s="132">
        <v>858337116</v>
      </c>
      <c r="E72" s="116">
        <f t="shared" si="11"/>
        <v>57560.160675965664</v>
      </c>
      <c r="F72" s="134">
        <v>484861451</v>
      </c>
      <c r="G72" s="117">
        <f t="shared" si="12"/>
        <v>32514.850523068668</v>
      </c>
      <c r="H72" s="98"/>
      <c r="I72" s="136">
        <v>8.65</v>
      </c>
      <c r="J72" s="134">
        <v>4194051.55</v>
      </c>
      <c r="K72" s="120">
        <f t="shared" si="13"/>
        <v>281.25345694742487</v>
      </c>
      <c r="L72" s="122">
        <f t="shared" si="14"/>
        <v>4848614.51</v>
      </c>
      <c r="M72" s="116">
        <f t="shared" si="15"/>
        <v>654562.96</v>
      </c>
      <c r="N72" s="123">
        <f t="shared" si="16"/>
        <v>43.895048283261801</v>
      </c>
      <c r="O72" s="5"/>
      <c r="P72" s="5">
        <f t="shared" si="17"/>
        <v>1</v>
      </c>
      <c r="Q72" s="7">
        <f t="shared" si="18"/>
        <v>14912</v>
      </c>
    </row>
    <row r="73" spans="1:21">
      <c r="A73" s="23" t="s">
        <v>73</v>
      </c>
      <c r="B73" s="35" t="s">
        <v>49</v>
      </c>
      <c r="C73" s="125">
        <v>66609</v>
      </c>
      <c r="D73" s="132">
        <v>11758096936</v>
      </c>
      <c r="E73" s="116">
        <f t="shared" si="11"/>
        <v>176524.14742752482</v>
      </c>
      <c r="F73" s="134">
        <v>8309228070</v>
      </c>
      <c r="G73" s="117">
        <f t="shared" si="12"/>
        <v>124746.32662252849</v>
      </c>
      <c r="H73" s="98"/>
      <c r="I73" s="136">
        <v>2.39</v>
      </c>
      <c r="J73" s="134">
        <v>19859055.09</v>
      </c>
      <c r="K73" s="120">
        <f t="shared" si="13"/>
        <v>298.14372066837814</v>
      </c>
      <c r="L73" s="122">
        <f t="shared" si="14"/>
        <v>83092280.700000003</v>
      </c>
      <c r="M73" s="116">
        <f t="shared" si="15"/>
        <v>63233225.609999999</v>
      </c>
      <c r="N73" s="123">
        <f t="shared" si="16"/>
        <v>949.31954555690675</v>
      </c>
      <c r="O73" s="5"/>
      <c r="P73" s="5">
        <f t="shared" si="17"/>
        <v>1</v>
      </c>
      <c r="Q73" s="7">
        <f t="shared" si="18"/>
        <v>66609</v>
      </c>
    </row>
    <row r="74" spans="1:21">
      <c r="A74" s="23" t="s">
        <v>74</v>
      </c>
      <c r="B74" s="35" t="s">
        <v>49</v>
      </c>
      <c r="C74" s="125">
        <v>12662</v>
      </c>
      <c r="D74" s="132">
        <v>2012898609</v>
      </c>
      <c r="E74" s="116">
        <f t="shared" si="11"/>
        <v>158971.61656926235</v>
      </c>
      <c r="F74" s="134">
        <v>1318634401</v>
      </c>
      <c r="G74" s="117">
        <f t="shared" si="12"/>
        <v>104141.08363607645</v>
      </c>
      <c r="H74" s="98"/>
      <c r="I74" s="136">
        <v>5.9836999999999998</v>
      </c>
      <c r="J74" s="134">
        <v>7890312.6699999999</v>
      </c>
      <c r="K74" s="120">
        <f t="shared" si="13"/>
        <v>623.14900252724692</v>
      </c>
      <c r="L74" s="122">
        <f t="shared" si="14"/>
        <v>13186344.01</v>
      </c>
      <c r="M74" s="116">
        <f t="shared" si="15"/>
        <v>5296031.34</v>
      </c>
      <c r="N74" s="123">
        <f t="shared" si="16"/>
        <v>418.26183383351758</v>
      </c>
      <c r="O74" s="5"/>
      <c r="P74" s="5">
        <f t="shared" si="17"/>
        <v>1</v>
      </c>
      <c r="Q74" s="7">
        <f t="shared" si="18"/>
        <v>12662</v>
      </c>
      <c r="S74" s="124">
        <f>SUM(D44:D74)</f>
        <v>256956193856</v>
      </c>
      <c r="T74" s="124">
        <f>SUM(F44:F74)</f>
        <v>175219840736</v>
      </c>
      <c r="U74" s="124">
        <f>SUM(J44:J74)</f>
        <v>956517229.0253104</v>
      </c>
    </row>
    <row r="75" spans="1:21">
      <c r="A75" s="23" t="s">
        <v>75</v>
      </c>
      <c r="B75" s="35" t="s">
        <v>76</v>
      </c>
      <c r="C75" s="125">
        <v>570</v>
      </c>
      <c r="D75" s="147" t="s">
        <v>564</v>
      </c>
      <c r="E75" s="116"/>
      <c r="F75" s="134"/>
      <c r="G75" s="117"/>
      <c r="H75" s="98" t="s">
        <v>588</v>
      </c>
      <c r="I75" s="136"/>
      <c r="J75" s="134"/>
      <c r="K75" s="120"/>
      <c r="L75" s="122">
        <f t="shared" si="14"/>
        <v>0</v>
      </c>
      <c r="M75" s="116">
        <f t="shared" si="15"/>
        <v>0</v>
      </c>
      <c r="N75" s="123">
        <f t="shared" si="16"/>
        <v>0</v>
      </c>
      <c r="O75" s="5"/>
      <c r="P75" s="5">
        <f t="shared" si="17"/>
        <v>0</v>
      </c>
      <c r="Q75" s="7">
        <f t="shared" si="18"/>
        <v>0</v>
      </c>
    </row>
    <row r="76" spans="1:21">
      <c r="A76" s="23" t="s">
        <v>77</v>
      </c>
      <c r="B76" s="35" t="s">
        <v>76</v>
      </c>
      <c r="C76" s="125">
        <v>2488</v>
      </c>
      <c r="D76" s="132">
        <v>110378654</v>
      </c>
      <c r="E76" s="116">
        <f t="shared" ref="E76:E82" si="19">(D76/C76)</f>
        <v>44364.410771704177</v>
      </c>
      <c r="F76" s="134">
        <v>64634564</v>
      </c>
      <c r="G76" s="117">
        <f t="shared" ref="G76:G82" si="20">(F76/C76)</f>
        <v>25978.522508038586</v>
      </c>
      <c r="H76" s="7"/>
      <c r="I76" s="136">
        <v>1.5</v>
      </c>
      <c r="J76" s="134">
        <v>96951.85</v>
      </c>
      <c r="K76" s="120">
        <f t="shared" ref="K76:K82" si="21">(J76/C76)</f>
        <v>38.967785369774923</v>
      </c>
      <c r="L76" s="122">
        <f t="shared" si="14"/>
        <v>646345.64</v>
      </c>
      <c r="M76" s="116">
        <f t="shared" si="15"/>
        <v>549393.79</v>
      </c>
      <c r="N76" s="123">
        <f t="shared" si="16"/>
        <v>220.81743971061096</v>
      </c>
      <c r="O76" s="5"/>
      <c r="P76" s="5">
        <f t="shared" si="17"/>
        <v>1</v>
      </c>
      <c r="Q76" s="7">
        <f t="shared" si="18"/>
        <v>2488</v>
      </c>
      <c r="S76" s="124">
        <f>SUM(D75:D76)</f>
        <v>110378654</v>
      </c>
      <c r="T76" s="124">
        <f>SUM(F75:F76)</f>
        <v>64634564</v>
      </c>
      <c r="U76" s="124">
        <f>SUM(J75:J76)</f>
        <v>96951.85</v>
      </c>
    </row>
    <row r="77" spans="1:21">
      <c r="A77" s="23" t="s">
        <v>78</v>
      </c>
      <c r="B77" s="35" t="s">
        <v>79</v>
      </c>
      <c r="C77" s="125">
        <v>18838</v>
      </c>
      <c r="D77" s="132">
        <v>4022210173</v>
      </c>
      <c r="E77" s="116">
        <f t="shared" si="19"/>
        <v>213515.77518844887</v>
      </c>
      <c r="F77" s="134">
        <v>2887855644</v>
      </c>
      <c r="G77" s="117">
        <f t="shared" si="20"/>
        <v>153299.48211062746</v>
      </c>
      <c r="H77" s="7"/>
      <c r="I77" s="136">
        <v>3.1968999999999999</v>
      </c>
      <c r="J77" s="134">
        <v>9232185.7100000009</v>
      </c>
      <c r="K77" s="120">
        <f t="shared" si="21"/>
        <v>490.08311444951698</v>
      </c>
      <c r="L77" s="122">
        <f t="shared" si="14"/>
        <v>28878556.440000001</v>
      </c>
      <c r="M77" s="116">
        <f t="shared" si="15"/>
        <v>19646370.73</v>
      </c>
      <c r="N77" s="123">
        <f t="shared" si="16"/>
        <v>1042.9117066567576</v>
      </c>
      <c r="O77" s="5"/>
      <c r="P77" s="5">
        <f t="shared" si="17"/>
        <v>1</v>
      </c>
      <c r="Q77" s="7">
        <f t="shared" si="18"/>
        <v>18838</v>
      </c>
      <c r="S77" s="124">
        <f>SUM(D77)</f>
        <v>4022210173</v>
      </c>
      <c r="T77" s="124">
        <f>SUM(F77)</f>
        <v>2887855644</v>
      </c>
      <c r="U77" s="124">
        <f>SUM(J77)</f>
        <v>9232185.7100000009</v>
      </c>
    </row>
    <row r="78" spans="1:21">
      <c r="A78" s="23" t="s">
        <v>80</v>
      </c>
      <c r="B78" s="35" t="s">
        <v>81</v>
      </c>
      <c r="C78" s="125">
        <v>3134</v>
      </c>
      <c r="D78" s="132">
        <v>583435717</v>
      </c>
      <c r="E78" s="116">
        <f t="shared" si="19"/>
        <v>186163.27919591576</v>
      </c>
      <c r="F78" s="134">
        <v>443282217</v>
      </c>
      <c r="G78" s="117">
        <f t="shared" si="20"/>
        <v>141442.95373324826</v>
      </c>
      <c r="H78" s="7"/>
      <c r="I78" s="150">
        <v>4.5</v>
      </c>
      <c r="J78" s="134">
        <v>1994769.98</v>
      </c>
      <c r="K78" s="120">
        <f t="shared" si="21"/>
        <v>636.49329291640072</v>
      </c>
      <c r="L78" s="122">
        <f t="shared" si="14"/>
        <v>4432822.17</v>
      </c>
      <c r="M78" s="116">
        <f t="shared" si="15"/>
        <v>2438052.19</v>
      </c>
      <c r="N78" s="123">
        <f t="shared" si="16"/>
        <v>777.93624441608165</v>
      </c>
      <c r="O78" s="5"/>
      <c r="P78" s="5">
        <f t="shared" si="17"/>
        <v>1</v>
      </c>
      <c r="Q78" s="7">
        <f t="shared" si="18"/>
        <v>3134</v>
      </c>
    </row>
    <row r="79" spans="1:21">
      <c r="A79" s="23" t="s">
        <v>82</v>
      </c>
      <c r="B79" s="35" t="s">
        <v>81</v>
      </c>
      <c r="C79" s="125">
        <v>7272</v>
      </c>
      <c r="D79" s="132">
        <v>695658412</v>
      </c>
      <c r="E79" s="116">
        <f t="shared" si="19"/>
        <v>95662.597909790973</v>
      </c>
      <c r="F79" s="134">
        <v>447919893</v>
      </c>
      <c r="G79" s="117">
        <f t="shared" si="20"/>
        <v>61595.144801980197</v>
      </c>
      <c r="H79" s="7"/>
      <c r="I79" s="136">
        <v>8.0729000000000006</v>
      </c>
      <c r="J79" s="134">
        <v>3616012.5</v>
      </c>
      <c r="K79" s="120">
        <f t="shared" si="21"/>
        <v>497.25144389438941</v>
      </c>
      <c r="L79" s="122">
        <f t="shared" si="14"/>
        <v>4479198.93</v>
      </c>
      <c r="M79" s="116">
        <f t="shared" si="15"/>
        <v>863186.4299999997</v>
      </c>
      <c r="N79" s="123">
        <f t="shared" si="16"/>
        <v>118.70000412541251</v>
      </c>
      <c r="O79" s="5"/>
      <c r="P79" s="5">
        <f t="shared" si="17"/>
        <v>1</v>
      </c>
      <c r="Q79" s="7">
        <f t="shared" si="18"/>
        <v>7272</v>
      </c>
      <c r="S79" s="124">
        <f>SUM(D78:D79)</f>
        <v>1279094129</v>
      </c>
      <c r="T79" s="124">
        <f>SUM(F78:F79)</f>
        <v>891202110</v>
      </c>
      <c r="U79" s="124">
        <f>SUM(J78:J79)</f>
        <v>5610782.4800000004</v>
      </c>
    </row>
    <row r="80" spans="1:21">
      <c r="A80" s="23" t="s">
        <v>83</v>
      </c>
      <c r="B80" s="35" t="s">
        <v>84</v>
      </c>
      <c r="C80" s="125">
        <v>7615</v>
      </c>
      <c r="D80" s="132">
        <v>618179621</v>
      </c>
      <c r="E80" s="116">
        <f t="shared" si="19"/>
        <v>81179.201707156928</v>
      </c>
      <c r="F80" s="134">
        <v>398452633</v>
      </c>
      <c r="G80" s="117">
        <f t="shared" si="20"/>
        <v>52324.705581089955</v>
      </c>
      <c r="H80" s="7"/>
      <c r="I80" s="136">
        <v>3.6</v>
      </c>
      <c r="J80" s="134">
        <v>1434429.48</v>
      </c>
      <c r="K80" s="120">
        <f t="shared" si="21"/>
        <v>188.36894024950755</v>
      </c>
      <c r="L80" s="122">
        <f t="shared" si="14"/>
        <v>3984526.33</v>
      </c>
      <c r="M80" s="116">
        <f t="shared" si="15"/>
        <v>2550096.85</v>
      </c>
      <c r="N80" s="123">
        <f t="shared" si="16"/>
        <v>334.87811556139201</v>
      </c>
      <c r="O80" s="5"/>
      <c r="P80" s="5">
        <f t="shared" si="17"/>
        <v>1</v>
      </c>
      <c r="Q80" s="7">
        <f t="shared" si="18"/>
        <v>7615</v>
      </c>
    </row>
    <row r="81" spans="1:21">
      <c r="A81" s="23" t="s">
        <v>85</v>
      </c>
      <c r="B81" s="35" t="s">
        <v>84</v>
      </c>
      <c r="C81" s="125">
        <v>1364</v>
      </c>
      <c r="D81" s="132">
        <v>102164325</v>
      </c>
      <c r="E81" s="116">
        <f t="shared" si="19"/>
        <v>74900.531524926686</v>
      </c>
      <c r="F81" s="134">
        <v>59555298</v>
      </c>
      <c r="G81" s="117">
        <f t="shared" si="20"/>
        <v>43662.241935483871</v>
      </c>
      <c r="H81" s="7"/>
      <c r="I81" s="136">
        <v>4.0575000000000001</v>
      </c>
      <c r="J81" s="134">
        <v>241645.62</v>
      </c>
      <c r="K81" s="120">
        <f t="shared" si="21"/>
        <v>177.15954545454545</v>
      </c>
      <c r="L81" s="122">
        <f t="shared" si="14"/>
        <v>595552.98</v>
      </c>
      <c r="M81" s="116">
        <f t="shared" si="15"/>
        <v>353907.36</v>
      </c>
      <c r="N81" s="123">
        <f t="shared" si="16"/>
        <v>259.46287390029323</v>
      </c>
      <c r="O81" s="5"/>
      <c r="P81" s="5">
        <f t="shared" si="17"/>
        <v>1</v>
      </c>
      <c r="Q81" s="7">
        <f t="shared" si="18"/>
        <v>1364</v>
      </c>
    </row>
    <row r="82" spans="1:21">
      <c r="A82" s="23" t="s">
        <v>86</v>
      </c>
      <c r="B82" s="35" t="s">
        <v>84</v>
      </c>
      <c r="C82" s="125">
        <v>8622</v>
      </c>
      <c r="D82" s="132">
        <v>827710293</v>
      </c>
      <c r="E82" s="116">
        <f t="shared" si="19"/>
        <v>95999.802018093251</v>
      </c>
      <c r="F82" s="134">
        <v>530479247</v>
      </c>
      <c r="G82" s="117">
        <f t="shared" si="20"/>
        <v>61526.240663419157</v>
      </c>
      <c r="H82" s="9"/>
      <c r="I82" s="136">
        <v>6.1818</v>
      </c>
      <c r="J82" s="134">
        <v>3279316.61</v>
      </c>
      <c r="K82" s="120">
        <f t="shared" si="21"/>
        <v>380.34291463697514</v>
      </c>
      <c r="L82" s="122">
        <f t="shared" si="14"/>
        <v>5304792.47</v>
      </c>
      <c r="M82" s="116">
        <f t="shared" si="15"/>
        <v>2025475.8599999999</v>
      </c>
      <c r="N82" s="123">
        <f t="shared" si="16"/>
        <v>234.9194919972164</v>
      </c>
      <c r="O82" s="5"/>
      <c r="P82" s="5">
        <f t="shared" si="17"/>
        <v>1</v>
      </c>
      <c r="Q82" s="7">
        <f t="shared" si="18"/>
        <v>8622</v>
      </c>
    </row>
    <row r="83" spans="1:21">
      <c r="A83" s="23" t="s">
        <v>87</v>
      </c>
      <c r="B83" s="35" t="s">
        <v>84</v>
      </c>
      <c r="C83" s="125">
        <v>738</v>
      </c>
      <c r="D83" s="147" t="s">
        <v>564</v>
      </c>
      <c r="E83" s="116"/>
      <c r="F83" s="134"/>
      <c r="G83" s="117"/>
      <c r="H83" s="98" t="s">
        <v>588</v>
      </c>
      <c r="I83" s="136"/>
      <c r="J83" s="134"/>
      <c r="K83" s="120"/>
      <c r="L83" s="122">
        <f t="shared" si="14"/>
        <v>0</v>
      </c>
      <c r="M83" s="116">
        <f t="shared" si="15"/>
        <v>0</v>
      </c>
      <c r="N83" s="123">
        <f t="shared" si="16"/>
        <v>0</v>
      </c>
      <c r="O83" s="5"/>
      <c r="P83" s="5">
        <f t="shared" si="17"/>
        <v>0</v>
      </c>
      <c r="Q83" s="7">
        <f t="shared" si="18"/>
        <v>0</v>
      </c>
      <c r="S83" s="124">
        <f>SUM(D80:D83)</f>
        <v>1548054239</v>
      </c>
      <c r="T83" s="124">
        <f>SUM(F80:F83)</f>
        <v>988487178</v>
      </c>
      <c r="U83" s="124">
        <f>SUM(J80:J83)</f>
        <v>4955391.71</v>
      </c>
    </row>
    <row r="84" spans="1:21">
      <c r="A84" s="23" t="s">
        <v>88</v>
      </c>
      <c r="B84" s="35" t="s">
        <v>89</v>
      </c>
      <c r="C84" s="125">
        <v>443</v>
      </c>
      <c r="D84" s="132">
        <v>134915163</v>
      </c>
      <c r="E84" s="116">
        <f>(D84/C84)</f>
        <v>304548.90067720093</v>
      </c>
      <c r="F84" s="134">
        <v>94687228</v>
      </c>
      <c r="G84" s="117">
        <f>(F84/C84)</f>
        <v>213740.92099322798</v>
      </c>
      <c r="H84" s="7"/>
      <c r="I84" s="136">
        <v>3.9462000000000002</v>
      </c>
      <c r="J84" s="134">
        <v>373654.74</v>
      </c>
      <c r="K84" s="120">
        <f>(J84/C84)</f>
        <v>843.46442437923247</v>
      </c>
      <c r="L84" s="122">
        <f t="shared" si="14"/>
        <v>946872.28</v>
      </c>
      <c r="M84" s="116">
        <f t="shared" si="15"/>
        <v>573217.54</v>
      </c>
      <c r="N84" s="123">
        <f t="shared" si="16"/>
        <v>1293.9447855530475</v>
      </c>
      <c r="O84" s="5"/>
      <c r="P84" s="5">
        <f t="shared" si="17"/>
        <v>1</v>
      </c>
      <c r="Q84" s="7">
        <f t="shared" si="18"/>
        <v>443</v>
      </c>
    </row>
    <row r="85" spans="1:21">
      <c r="A85" s="23" t="s">
        <v>90</v>
      </c>
      <c r="B85" s="35" t="s">
        <v>89</v>
      </c>
      <c r="C85" s="125">
        <v>17036</v>
      </c>
      <c r="D85" s="132">
        <v>11847893023</v>
      </c>
      <c r="E85" s="116">
        <f>(D85/C85)</f>
        <v>695462.14034984738</v>
      </c>
      <c r="F85" s="134">
        <v>10013279585</v>
      </c>
      <c r="G85" s="117">
        <f>(F85/C85)</f>
        <v>587771.75305235968</v>
      </c>
      <c r="H85" s="7"/>
      <c r="I85" s="136">
        <v>1.8976</v>
      </c>
      <c r="J85" s="134">
        <v>19001199.34</v>
      </c>
      <c r="K85" s="120">
        <f>(J85/C85)</f>
        <v>1115.3556785630431</v>
      </c>
      <c r="L85" s="122">
        <f t="shared" si="14"/>
        <v>100132795.85000001</v>
      </c>
      <c r="M85" s="116">
        <f t="shared" si="15"/>
        <v>81131596.510000005</v>
      </c>
      <c r="N85" s="123">
        <f t="shared" si="16"/>
        <v>4762.3618519605543</v>
      </c>
      <c r="O85" s="5"/>
      <c r="P85" s="5">
        <f t="shared" si="17"/>
        <v>1</v>
      </c>
      <c r="Q85" s="7">
        <f t="shared" si="18"/>
        <v>17036</v>
      </c>
    </row>
    <row r="86" spans="1:21">
      <c r="A86" s="23" t="s">
        <v>91</v>
      </c>
      <c r="B86" s="35" t="s">
        <v>89</v>
      </c>
      <c r="C86" s="125">
        <v>20195</v>
      </c>
      <c r="D86" s="132">
        <v>27467060345</v>
      </c>
      <c r="E86" s="116">
        <f>(D86/C86)</f>
        <v>1360092.1190888833</v>
      </c>
      <c r="F86" s="134">
        <v>21741351747</v>
      </c>
      <c r="G86" s="117">
        <f>(F86/C86)</f>
        <v>1076571.0199059173</v>
      </c>
      <c r="H86" s="9"/>
      <c r="I86" s="150">
        <v>1.1499999999999999</v>
      </c>
      <c r="J86" s="134">
        <v>25002554.510000002</v>
      </c>
      <c r="K86" s="120">
        <f>(J86/C86)</f>
        <v>1238.0566729388463</v>
      </c>
      <c r="L86" s="122">
        <f t="shared" si="14"/>
        <v>217413517.47</v>
      </c>
      <c r="M86" s="116">
        <f t="shared" si="15"/>
        <v>192410962.96000001</v>
      </c>
      <c r="N86" s="123">
        <f t="shared" si="16"/>
        <v>9527.653526120328</v>
      </c>
      <c r="O86" s="5"/>
      <c r="P86" s="5">
        <f t="shared" si="17"/>
        <v>1</v>
      </c>
      <c r="Q86" s="7">
        <f t="shared" si="18"/>
        <v>20195</v>
      </c>
      <c r="S86" s="124">
        <f>SUM(D84:D86)</f>
        <v>39449868531</v>
      </c>
      <c r="T86" s="124">
        <f>SUM(F84:F86)</f>
        <v>31849318560</v>
      </c>
      <c r="U86" s="124">
        <f>SUM(J84:J86)</f>
        <v>44377408.590000004</v>
      </c>
    </row>
    <row r="87" spans="1:21">
      <c r="A87" s="23" t="s">
        <v>92</v>
      </c>
      <c r="B87" s="35" t="s">
        <v>93</v>
      </c>
      <c r="C87" s="125">
        <v>556</v>
      </c>
      <c r="D87" s="147" t="s">
        <v>564</v>
      </c>
      <c r="E87" s="116"/>
      <c r="F87" s="134"/>
      <c r="G87" s="117"/>
      <c r="H87" s="98" t="s">
        <v>588</v>
      </c>
      <c r="I87" s="136"/>
      <c r="J87" s="134"/>
      <c r="K87" s="120"/>
      <c r="L87" s="122">
        <f t="shared" si="14"/>
        <v>0</v>
      </c>
      <c r="M87" s="116">
        <f t="shared" si="15"/>
        <v>0</v>
      </c>
      <c r="N87" s="123">
        <f t="shared" si="16"/>
        <v>0</v>
      </c>
      <c r="O87" s="5"/>
      <c r="P87" s="5">
        <f t="shared" si="17"/>
        <v>0</v>
      </c>
      <c r="Q87" s="7">
        <f t="shared" si="18"/>
        <v>0</v>
      </c>
    </row>
    <row r="88" spans="1:21">
      <c r="A88" s="23" t="s">
        <v>94</v>
      </c>
      <c r="B88" s="35" t="s">
        <v>93</v>
      </c>
      <c r="C88" s="125">
        <v>12266</v>
      </c>
      <c r="D88" s="132">
        <v>1087945485</v>
      </c>
      <c r="E88" s="116">
        <f t="shared" ref="E88:E93" si="22">(D88/C88)</f>
        <v>88696.028452633298</v>
      </c>
      <c r="F88" s="134">
        <v>766914370</v>
      </c>
      <c r="G88" s="117">
        <f t="shared" ref="G88:G93" si="23">(F88/C88)</f>
        <v>62523.59122778412</v>
      </c>
      <c r="H88" s="7"/>
      <c r="I88" s="136">
        <v>4.9000000000000004</v>
      </c>
      <c r="J88" s="134">
        <v>3757880.41</v>
      </c>
      <c r="K88" s="120">
        <f t="shared" ref="K88:K93" si="24">(J88/C88)</f>
        <v>306.36559677156367</v>
      </c>
      <c r="L88" s="122">
        <f t="shared" si="14"/>
        <v>7669143.7000000002</v>
      </c>
      <c r="M88" s="116">
        <f t="shared" si="15"/>
        <v>3911263.29</v>
      </c>
      <c r="N88" s="123">
        <f t="shared" si="16"/>
        <v>318.87031550627751</v>
      </c>
      <c r="O88" s="5"/>
      <c r="P88" s="5">
        <f t="shared" si="17"/>
        <v>1</v>
      </c>
      <c r="Q88" s="7">
        <f t="shared" si="18"/>
        <v>12266</v>
      </c>
      <c r="S88" s="124">
        <f>SUM(D87:D88)</f>
        <v>1087945485</v>
      </c>
      <c r="T88" s="124">
        <f>SUM(F87:F88)</f>
        <v>766914370</v>
      </c>
      <c r="U88" s="124">
        <f>SUM(J87:J88)</f>
        <v>3757880.41</v>
      </c>
    </row>
    <row r="89" spans="1:21">
      <c r="A89" s="23" t="s">
        <v>95</v>
      </c>
      <c r="B89" s="37" t="s">
        <v>575</v>
      </c>
      <c r="C89" s="125">
        <v>7677</v>
      </c>
      <c r="D89" s="132">
        <v>347529839</v>
      </c>
      <c r="E89" s="116">
        <f t="shared" si="22"/>
        <v>45268.964308974857</v>
      </c>
      <c r="F89" s="134">
        <v>187694135</v>
      </c>
      <c r="G89" s="117">
        <f t="shared" si="23"/>
        <v>24448.890842777128</v>
      </c>
      <c r="H89" s="8"/>
      <c r="I89" s="136">
        <v>8.8194999999999997</v>
      </c>
      <c r="J89" s="134">
        <v>1655368.42</v>
      </c>
      <c r="K89" s="120">
        <f t="shared" si="24"/>
        <v>215.62699231470626</v>
      </c>
      <c r="L89" s="122">
        <f t="shared" si="14"/>
        <v>1876941.35</v>
      </c>
      <c r="M89" s="116">
        <f t="shared" si="15"/>
        <v>221572.93000000017</v>
      </c>
      <c r="N89" s="123">
        <f t="shared" si="16"/>
        <v>28.861916113065021</v>
      </c>
      <c r="O89" s="5"/>
      <c r="P89" s="5">
        <f t="shared" si="17"/>
        <v>1</v>
      </c>
      <c r="Q89" s="7">
        <f t="shared" si="18"/>
        <v>7677</v>
      </c>
      <c r="S89" s="124">
        <f>SUM(D89)</f>
        <v>347529839</v>
      </c>
      <c r="T89" s="124">
        <f>SUM(F89)</f>
        <v>187694135</v>
      </c>
      <c r="U89" s="124">
        <f>SUM(J89)</f>
        <v>1655368.42</v>
      </c>
    </row>
    <row r="90" spans="1:21">
      <c r="A90" s="23" t="s">
        <v>96</v>
      </c>
      <c r="B90" s="35" t="s">
        <v>97</v>
      </c>
      <c r="C90" s="125">
        <v>1702</v>
      </c>
      <c r="D90" s="132">
        <v>71654240</v>
      </c>
      <c r="E90" s="116">
        <f t="shared" si="22"/>
        <v>42100.023501762633</v>
      </c>
      <c r="F90" s="134">
        <v>29903197</v>
      </c>
      <c r="G90" s="117">
        <f t="shared" si="23"/>
        <v>17569.445945945947</v>
      </c>
      <c r="H90" s="8"/>
      <c r="I90" s="136">
        <v>6.7422000000000004</v>
      </c>
      <c r="J90" s="134">
        <v>201613.3348134</v>
      </c>
      <c r="K90" s="120">
        <f t="shared" si="24"/>
        <v>118.45671845675676</v>
      </c>
      <c r="L90" s="122">
        <f t="shared" si="14"/>
        <v>299031.97000000003</v>
      </c>
      <c r="M90" s="116">
        <f t="shared" si="15"/>
        <v>97418.635186600033</v>
      </c>
      <c r="N90" s="123">
        <f t="shared" si="16"/>
        <v>57.23774100270272</v>
      </c>
      <c r="O90" s="5"/>
      <c r="P90" s="5">
        <f t="shared" si="17"/>
        <v>1</v>
      </c>
      <c r="Q90" s="7">
        <f t="shared" si="18"/>
        <v>1702</v>
      </c>
    </row>
    <row r="91" spans="1:21">
      <c r="A91" s="23" t="s">
        <v>98</v>
      </c>
      <c r="B91" s="35" t="s">
        <v>97</v>
      </c>
      <c r="C91" s="125">
        <v>173</v>
      </c>
      <c r="D91" s="132">
        <v>49396838</v>
      </c>
      <c r="E91" s="116">
        <f t="shared" si="22"/>
        <v>285530.85549132951</v>
      </c>
      <c r="F91" s="134">
        <v>42497179</v>
      </c>
      <c r="G91" s="117">
        <f t="shared" si="23"/>
        <v>245648.43352601156</v>
      </c>
      <c r="H91" s="9"/>
      <c r="I91" s="150">
        <v>2.5</v>
      </c>
      <c r="J91" s="134">
        <v>106242.94749999999</v>
      </c>
      <c r="K91" s="120">
        <f t="shared" si="24"/>
        <v>614.1210838150289</v>
      </c>
      <c r="L91" s="122">
        <f t="shared" si="14"/>
        <v>424971.79000000004</v>
      </c>
      <c r="M91" s="116">
        <f t="shared" si="15"/>
        <v>318728.84250000003</v>
      </c>
      <c r="N91" s="123">
        <f t="shared" si="16"/>
        <v>1842.3632514450869</v>
      </c>
      <c r="O91" s="5"/>
      <c r="P91" s="5">
        <f t="shared" si="17"/>
        <v>1</v>
      </c>
      <c r="Q91" s="7">
        <f t="shared" si="18"/>
        <v>173</v>
      </c>
      <c r="S91" s="124">
        <f>SUM(D90:D91)</f>
        <v>121051078</v>
      </c>
      <c r="T91" s="124">
        <f>SUM(F90:F91)</f>
        <v>72400376</v>
      </c>
      <c r="U91" s="124">
        <f>SUM(J90:J91)</f>
        <v>307856.28231340001</v>
      </c>
    </row>
    <row r="92" spans="1:21">
      <c r="A92" s="23" t="s">
        <v>99</v>
      </c>
      <c r="B92" s="35" t="s">
        <v>100</v>
      </c>
      <c r="C92" s="125">
        <v>13415</v>
      </c>
      <c r="D92" s="132">
        <v>2407643399</v>
      </c>
      <c r="E92" s="116">
        <f t="shared" si="22"/>
        <v>179473.97681699591</v>
      </c>
      <c r="F92" s="134">
        <v>1616646826</v>
      </c>
      <c r="G92" s="117">
        <f t="shared" si="23"/>
        <v>120510.38583674991</v>
      </c>
      <c r="H92" s="9"/>
      <c r="I92" s="136">
        <v>3.2284999999999999</v>
      </c>
      <c r="J92" s="134">
        <v>5219344.2777410001</v>
      </c>
      <c r="K92" s="120">
        <f t="shared" si="24"/>
        <v>389.06778067394708</v>
      </c>
      <c r="L92" s="122">
        <f t="shared" si="14"/>
        <v>16166468.26</v>
      </c>
      <c r="M92" s="116">
        <f t="shared" si="15"/>
        <v>10947123.982259</v>
      </c>
      <c r="N92" s="123">
        <f t="shared" si="16"/>
        <v>816.03607769355199</v>
      </c>
      <c r="O92" s="5"/>
      <c r="P92" s="5">
        <f t="shared" si="17"/>
        <v>1</v>
      </c>
      <c r="Q92" s="7">
        <f t="shared" si="18"/>
        <v>13415</v>
      </c>
    </row>
    <row r="93" spans="1:21">
      <c r="A93" s="23" t="s">
        <v>101</v>
      </c>
      <c r="B93" s="35" t="s">
        <v>100</v>
      </c>
      <c r="C93" s="125">
        <v>1407</v>
      </c>
      <c r="D93" s="132">
        <v>82206501</v>
      </c>
      <c r="E93" s="116">
        <f t="shared" si="22"/>
        <v>58426.795309168447</v>
      </c>
      <c r="F93" s="134">
        <v>45145183</v>
      </c>
      <c r="G93" s="117">
        <f t="shared" si="23"/>
        <v>32086.128642501775</v>
      </c>
      <c r="H93" s="9"/>
      <c r="I93" s="136">
        <v>2.9339</v>
      </c>
      <c r="J93" s="134">
        <v>132451.45240370001</v>
      </c>
      <c r="K93" s="120">
        <f t="shared" si="24"/>
        <v>94.137492824235963</v>
      </c>
      <c r="L93" s="122">
        <f t="shared" si="14"/>
        <v>451451.83</v>
      </c>
      <c r="M93" s="116">
        <f t="shared" si="15"/>
        <v>319000.37759629998</v>
      </c>
      <c r="N93" s="123">
        <f t="shared" si="16"/>
        <v>226.72379360078179</v>
      </c>
      <c r="O93" s="5"/>
      <c r="P93" s="5">
        <f t="shared" si="17"/>
        <v>1</v>
      </c>
      <c r="Q93" s="7">
        <f t="shared" si="18"/>
        <v>1407</v>
      </c>
    </row>
    <row r="94" spans="1:21">
      <c r="A94" s="23" t="s">
        <v>102</v>
      </c>
      <c r="B94" s="35" t="s">
        <v>100</v>
      </c>
      <c r="C94" s="125">
        <v>891207</v>
      </c>
      <c r="D94" s="155" t="s">
        <v>613</v>
      </c>
      <c r="E94" s="116"/>
      <c r="F94" s="134"/>
      <c r="G94" s="117"/>
      <c r="H94" s="9"/>
      <c r="I94" s="136"/>
      <c r="J94" s="134"/>
      <c r="K94" s="120"/>
      <c r="L94" s="122">
        <f t="shared" si="14"/>
        <v>0</v>
      </c>
      <c r="M94" s="116">
        <f t="shared" si="15"/>
        <v>0</v>
      </c>
      <c r="N94" s="123">
        <f t="shared" si="16"/>
        <v>0</v>
      </c>
      <c r="O94" s="5"/>
      <c r="P94" s="5">
        <f t="shared" si="17"/>
        <v>0</v>
      </c>
      <c r="Q94" s="7">
        <f t="shared" si="18"/>
        <v>0</v>
      </c>
    </row>
    <row r="95" spans="1:21">
      <c r="A95" s="23" t="s">
        <v>103</v>
      </c>
      <c r="B95" s="35" t="s">
        <v>100</v>
      </c>
      <c r="C95" s="125">
        <v>23503</v>
      </c>
      <c r="D95" s="132">
        <v>4768289489</v>
      </c>
      <c r="E95" s="116">
        <f t="shared" ref="E95:E133" si="25">(D95/C95)</f>
        <v>202880.03612304814</v>
      </c>
      <c r="F95" s="134">
        <v>3348977527</v>
      </c>
      <c r="G95" s="117">
        <f t="shared" ref="G95:G133" si="26">(F95/C95)</f>
        <v>142491.49159681742</v>
      </c>
      <c r="H95" s="9"/>
      <c r="I95" s="136">
        <v>3.9946999999999999</v>
      </c>
      <c r="J95" s="134">
        <v>13378160.5271069</v>
      </c>
      <c r="K95" s="120">
        <f t="shared" ref="K95:K133" si="27">(J95/C95)</f>
        <v>569.21076148180657</v>
      </c>
      <c r="L95" s="122">
        <f t="shared" si="14"/>
        <v>33489775.27</v>
      </c>
      <c r="M95" s="116">
        <f t="shared" si="15"/>
        <v>20111614.7428931</v>
      </c>
      <c r="N95" s="123">
        <f t="shared" si="16"/>
        <v>855.70415448636766</v>
      </c>
      <c r="O95" s="5"/>
      <c r="P95" s="5">
        <f t="shared" si="17"/>
        <v>1</v>
      </c>
      <c r="Q95" s="7">
        <f t="shared" si="18"/>
        <v>23503</v>
      </c>
    </row>
    <row r="96" spans="1:21">
      <c r="A96" s="23" t="s">
        <v>104</v>
      </c>
      <c r="B96" s="35" t="s">
        <v>100</v>
      </c>
      <c r="C96" s="125">
        <v>7279</v>
      </c>
      <c r="D96" s="132">
        <v>1228448833</v>
      </c>
      <c r="E96" s="116">
        <f t="shared" si="25"/>
        <v>168766.15372990796</v>
      </c>
      <c r="F96" s="134">
        <v>806983970</v>
      </c>
      <c r="G96" s="117">
        <f t="shared" si="26"/>
        <v>110864.67509273252</v>
      </c>
      <c r="H96" s="7"/>
      <c r="I96" s="136">
        <v>3.3656000000000001</v>
      </c>
      <c r="J96" s="134">
        <v>2715985.2494320003</v>
      </c>
      <c r="K96" s="120">
        <f t="shared" si="27"/>
        <v>373.12615049210063</v>
      </c>
      <c r="L96" s="122">
        <f t="shared" si="14"/>
        <v>8069839.7000000002</v>
      </c>
      <c r="M96" s="116">
        <f t="shared" si="15"/>
        <v>5353854.4505679999</v>
      </c>
      <c r="N96" s="123">
        <f t="shared" si="16"/>
        <v>735.52060043522465</v>
      </c>
      <c r="O96" s="5"/>
      <c r="P96" s="5">
        <f t="shared" si="17"/>
        <v>1</v>
      </c>
      <c r="Q96" s="7">
        <f t="shared" si="18"/>
        <v>7279</v>
      </c>
      <c r="S96" s="124">
        <f>SUM(D92:D96)</f>
        <v>8486588222</v>
      </c>
      <c r="T96" s="124">
        <f>SUM(F92:F96)</f>
        <v>5817753506</v>
      </c>
      <c r="U96" s="124">
        <f>SUM(J92:J96)</f>
        <v>21445941.506683599</v>
      </c>
    </row>
    <row r="97" spans="1:21">
      <c r="A97" s="23" t="s">
        <v>105</v>
      </c>
      <c r="B97" s="35" t="s">
        <v>106</v>
      </c>
      <c r="C97" s="125">
        <v>1536</v>
      </c>
      <c r="D97" s="132">
        <v>56668888</v>
      </c>
      <c r="E97" s="116">
        <f t="shared" si="25"/>
        <v>36893.807291666664</v>
      </c>
      <c r="F97" s="134">
        <v>35385174</v>
      </c>
      <c r="G97" s="117">
        <f t="shared" si="26"/>
        <v>23037.22265625</v>
      </c>
      <c r="H97" s="7"/>
      <c r="I97" s="136">
        <v>0.9204</v>
      </c>
      <c r="J97" s="134">
        <v>32568.5141496</v>
      </c>
      <c r="K97" s="120">
        <f t="shared" si="27"/>
        <v>21.203459732812501</v>
      </c>
      <c r="L97" s="122">
        <f t="shared" si="14"/>
        <v>353851.74</v>
      </c>
      <c r="M97" s="116">
        <f t="shared" si="15"/>
        <v>321283.22585039999</v>
      </c>
      <c r="N97" s="123">
        <f t="shared" si="16"/>
        <v>209.16876682968748</v>
      </c>
      <c r="O97" s="5"/>
      <c r="P97" s="5">
        <f t="shared" si="17"/>
        <v>1</v>
      </c>
      <c r="Q97" s="7">
        <f t="shared" si="18"/>
        <v>1536</v>
      </c>
    </row>
    <row r="98" spans="1:21">
      <c r="A98" s="23" t="s">
        <v>107</v>
      </c>
      <c r="B98" s="35" t="s">
        <v>106</v>
      </c>
      <c r="C98" s="125">
        <v>54071</v>
      </c>
      <c r="D98" s="132">
        <v>5832695098</v>
      </c>
      <c r="E98" s="116">
        <f t="shared" si="25"/>
        <v>107871.04174141407</v>
      </c>
      <c r="F98" s="134">
        <v>3525540966</v>
      </c>
      <c r="G98" s="117">
        <f t="shared" si="26"/>
        <v>65202.067022988296</v>
      </c>
      <c r="H98" s="7"/>
      <c r="I98" s="136">
        <v>4.2895000000000003</v>
      </c>
      <c r="J98" s="134">
        <v>15122807.973657001</v>
      </c>
      <c r="K98" s="120">
        <f t="shared" si="27"/>
        <v>279.68426649510832</v>
      </c>
      <c r="L98" s="122">
        <f t="shared" si="14"/>
        <v>35255409.660000004</v>
      </c>
      <c r="M98" s="116">
        <f t="shared" si="15"/>
        <v>20132601.686343003</v>
      </c>
      <c r="N98" s="123">
        <f t="shared" si="16"/>
        <v>372.33640373477471</v>
      </c>
      <c r="O98" s="5"/>
      <c r="P98" s="5">
        <f t="shared" si="17"/>
        <v>1</v>
      </c>
      <c r="Q98" s="7">
        <f t="shared" si="18"/>
        <v>54071</v>
      </c>
      <c r="S98" s="124">
        <f>SUM(D97:D98)</f>
        <v>5889363986</v>
      </c>
      <c r="T98" s="124">
        <f>SUM(F97:F98)</f>
        <v>3560926140</v>
      </c>
      <c r="U98" s="124">
        <f>SUM(J97:J98)</f>
        <v>15155376.487806601</v>
      </c>
    </row>
    <row r="99" spans="1:21">
      <c r="A99" s="23" t="s">
        <v>108</v>
      </c>
      <c r="B99" s="35" t="s">
        <v>109</v>
      </c>
      <c r="C99" s="125">
        <v>376</v>
      </c>
      <c r="D99" s="132">
        <v>85213225</v>
      </c>
      <c r="E99" s="116">
        <f t="shared" si="25"/>
        <v>226630.91755319148</v>
      </c>
      <c r="F99" s="134">
        <v>67006064</v>
      </c>
      <c r="G99" s="117">
        <f t="shared" si="26"/>
        <v>178207.61702127659</v>
      </c>
      <c r="H99" s="7"/>
      <c r="I99" s="136">
        <v>2.2999999999999998</v>
      </c>
      <c r="J99" s="134">
        <v>154113.9472</v>
      </c>
      <c r="K99" s="120">
        <f t="shared" si="27"/>
        <v>409.87751914893613</v>
      </c>
      <c r="L99" s="122">
        <f t="shared" si="14"/>
        <v>670060.64</v>
      </c>
      <c r="M99" s="116">
        <f t="shared" si="15"/>
        <v>515946.69280000002</v>
      </c>
      <c r="N99" s="123">
        <f t="shared" si="16"/>
        <v>1372.1986510638299</v>
      </c>
      <c r="O99" s="5"/>
      <c r="P99" s="5">
        <f t="shared" si="17"/>
        <v>1</v>
      </c>
      <c r="Q99" s="7">
        <f t="shared" si="18"/>
        <v>376</v>
      </c>
    </row>
    <row r="100" spans="1:21">
      <c r="A100" s="23" t="s">
        <v>110</v>
      </c>
      <c r="B100" s="35" t="s">
        <v>109</v>
      </c>
      <c r="C100" s="125">
        <v>2927</v>
      </c>
      <c r="D100" s="132">
        <v>483012616</v>
      </c>
      <c r="E100" s="116">
        <f t="shared" si="25"/>
        <v>165019.68431841477</v>
      </c>
      <c r="F100" s="134">
        <v>161279955</v>
      </c>
      <c r="G100" s="117">
        <f t="shared" si="26"/>
        <v>55100.770413392551</v>
      </c>
      <c r="H100" s="7"/>
      <c r="I100" s="136">
        <v>7.399</v>
      </c>
      <c r="J100" s="134">
        <v>1193310.387045</v>
      </c>
      <c r="K100" s="120">
        <f t="shared" si="27"/>
        <v>407.69060028869148</v>
      </c>
      <c r="L100" s="122">
        <f t="shared" si="14"/>
        <v>1612799.55</v>
      </c>
      <c r="M100" s="116">
        <f t="shared" si="15"/>
        <v>419489.16295500007</v>
      </c>
      <c r="N100" s="123">
        <f t="shared" si="16"/>
        <v>143.31710384523404</v>
      </c>
      <c r="O100" s="5"/>
      <c r="P100" s="5">
        <f t="shared" si="17"/>
        <v>1</v>
      </c>
      <c r="Q100" s="7">
        <f t="shared" si="18"/>
        <v>2927</v>
      </c>
    </row>
    <row r="101" spans="1:21">
      <c r="A101" s="23" t="s">
        <v>447</v>
      </c>
      <c r="B101" s="35" t="s">
        <v>109</v>
      </c>
      <c r="C101" s="125">
        <v>82760</v>
      </c>
      <c r="D101" s="132">
        <v>7297663634</v>
      </c>
      <c r="E101" s="116">
        <f t="shared" si="25"/>
        <v>88178.632600290002</v>
      </c>
      <c r="F101" s="134">
        <v>4612577686</v>
      </c>
      <c r="G101" s="117">
        <f t="shared" si="26"/>
        <v>55734.384799420011</v>
      </c>
      <c r="H101" s="9"/>
      <c r="I101" s="136">
        <v>4.5937000000000001</v>
      </c>
      <c r="J101" s="134">
        <v>21188798.1161782</v>
      </c>
      <c r="K101" s="120">
        <f t="shared" si="27"/>
        <v>256.0270434530957</v>
      </c>
      <c r="L101" s="122">
        <f t="shared" si="14"/>
        <v>46125776.859999999</v>
      </c>
      <c r="M101" s="116">
        <f t="shared" si="15"/>
        <v>24936978.7438218</v>
      </c>
      <c r="N101" s="123">
        <f t="shared" si="16"/>
        <v>301.31680454110437</v>
      </c>
      <c r="O101" s="5"/>
      <c r="P101" s="5">
        <f t="shared" si="17"/>
        <v>1</v>
      </c>
      <c r="Q101" s="7">
        <f t="shared" si="18"/>
        <v>82760</v>
      </c>
    </row>
    <row r="102" spans="1:21">
      <c r="A102" s="23" t="s">
        <v>111</v>
      </c>
      <c r="B102" s="35" t="s">
        <v>557</v>
      </c>
      <c r="C102" s="125">
        <v>8</v>
      </c>
      <c r="D102" s="132">
        <v>16438893</v>
      </c>
      <c r="E102" s="116">
        <f t="shared" si="25"/>
        <v>2054861.625</v>
      </c>
      <c r="F102" s="134">
        <v>4990635</v>
      </c>
      <c r="G102" s="117">
        <f t="shared" si="26"/>
        <v>623829.375</v>
      </c>
      <c r="H102" s="7"/>
      <c r="I102" s="136">
        <v>10</v>
      </c>
      <c r="J102" s="134">
        <v>49906.35</v>
      </c>
      <c r="K102" s="120">
        <f t="shared" si="27"/>
        <v>6238.2937499999998</v>
      </c>
      <c r="L102" s="122">
        <f t="shared" si="14"/>
        <v>49906.35</v>
      </c>
      <c r="M102" s="116">
        <f t="shared" si="15"/>
        <v>0</v>
      </c>
      <c r="N102" s="123">
        <f t="shared" si="16"/>
        <v>0</v>
      </c>
      <c r="O102" s="5"/>
      <c r="P102" s="5">
        <f t="shared" si="17"/>
        <v>1</v>
      </c>
      <c r="Q102" s="7">
        <f t="shared" si="18"/>
        <v>8</v>
      </c>
    </row>
    <row r="103" spans="1:21">
      <c r="A103" s="23" t="s">
        <v>112</v>
      </c>
      <c r="B103" s="35" t="s">
        <v>113</v>
      </c>
      <c r="C103" s="125">
        <v>4685</v>
      </c>
      <c r="D103" s="132">
        <v>884973809</v>
      </c>
      <c r="E103" s="116">
        <f t="shared" si="25"/>
        <v>188895.15667022413</v>
      </c>
      <c r="F103" s="134">
        <v>627497523</v>
      </c>
      <c r="G103" s="117">
        <f t="shared" si="26"/>
        <v>133937.57161152616</v>
      </c>
      <c r="H103" s="7"/>
      <c r="I103" s="136">
        <v>5.36</v>
      </c>
      <c r="J103" s="134">
        <v>3363387</v>
      </c>
      <c r="K103" s="120">
        <f t="shared" si="27"/>
        <v>717.90544290288153</v>
      </c>
      <c r="L103" s="122">
        <f t="shared" si="14"/>
        <v>6274975.2300000004</v>
      </c>
      <c r="M103" s="116">
        <f t="shared" si="15"/>
        <v>2911588.2300000004</v>
      </c>
      <c r="N103" s="123">
        <f t="shared" si="16"/>
        <v>621.47027321237999</v>
      </c>
      <c r="O103" s="5"/>
      <c r="P103" s="5">
        <f t="shared" si="17"/>
        <v>1</v>
      </c>
      <c r="Q103" s="7">
        <f t="shared" si="18"/>
        <v>4685</v>
      </c>
      <c r="S103" s="124">
        <f>SUM(D99:D103)</f>
        <v>8767302177</v>
      </c>
      <c r="T103" s="124">
        <f>SUM(F99:F103)</f>
        <v>5473351863</v>
      </c>
      <c r="U103" s="124">
        <f>SUM(J99:J103)</f>
        <v>25949515.800423201</v>
      </c>
    </row>
    <row r="104" spans="1:21">
      <c r="A104" s="23" t="s">
        <v>114</v>
      </c>
      <c r="B104" s="35" t="s">
        <v>115</v>
      </c>
      <c r="C104" s="125">
        <v>2333</v>
      </c>
      <c r="D104" s="132">
        <v>241829983</v>
      </c>
      <c r="E104" s="116">
        <f t="shared" si="25"/>
        <v>103656.22931847407</v>
      </c>
      <c r="F104" s="134">
        <v>142922426</v>
      </c>
      <c r="G104" s="117">
        <f t="shared" si="26"/>
        <v>61261.219888555504</v>
      </c>
      <c r="H104" s="9"/>
      <c r="I104" s="150">
        <v>9.6043000000000003</v>
      </c>
      <c r="J104" s="134">
        <v>1372669.8560317999</v>
      </c>
      <c r="K104" s="120">
        <f t="shared" si="27"/>
        <v>588.37113417565365</v>
      </c>
      <c r="L104" s="122">
        <f t="shared" si="14"/>
        <v>1429224.26</v>
      </c>
      <c r="M104" s="116">
        <f t="shared" si="15"/>
        <v>56554.403968200088</v>
      </c>
      <c r="N104" s="123">
        <f t="shared" si="16"/>
        <v>24.241064709901451</v>
      </c>
      <c r="O104" s="5"/>
      <c r="P104" s="5">
        <f t="shared" si="17"/>
        <v>1</v>
      </c>
      <c r="Q104" s="7">
        <f t="shared" si="18"/>
        <v>2333</v>
      </c>
    </row>
    <row r="105" spans="1:21">
      <c r="A105" s="23" t="s">
        <v>116</v>
      </c>
      <c r="B105" s="35" t="s">
        <v>115</v>
      </c>
      <c r="C105" s="125">
        <v>2829</v>
      </c>
      <c r="D105" s="132">
        <v>146590294</v>
      </c>
      <c r="E105" s="116">
        <f t="shared" si="25"/>
        <v>51817.000353481795</v>
      </c>
      <c r="F105" s="134">
        <v>104308323</v>
      </c>
      <c r="G105" s="117">
        <f t="shared" si="26"/>
        <v>36871.093319194064</v>
      </c>
      <c r="H105" s="9"/>
      <c r="I105" s="136">
        <v>9</v>
      </c>
      <c r="J105" s="134">
        <v>938774.90700000001</v>
      </c>
      <c r="K105" s="120">
        <f t="shared" si="27"/>
        <v>331.83983987274655</v>
      </c>
      <c r="L105" s="122">
        <f t="shared" si="14"/>
        <v>1043083.23</v>
      </c>
      <c r="M105" s="116">
        <f t="shared" si="15"/>
        <v>104308.32299999997</v>
      </c>
      <c r="N105" s="123">
        <f t="shared" si="16"/>
        <v>36.871093319194053</v>
      </c>
      <c r="O105" s="5"/>
      <c r="P105" s="5">
        <f t="shared" si="17"/>
        <v>1</v>
      </c>
      <c r="Q105" s="7">
        <f t="shared" si="18"/>
        <v>2829</v>
      </c>
      <c r="S105" s="124">
        <f>SUM(D104:D105)</f>
        <v>388420277</v>
      </c>
      <c r="T105" s="124">
        <f>SUM(F104:F105)</f>
        <v>247230749</v>
      </c>
      <c r="U105" s="124">
        <f>SUM(J104:J105)</f>
        <v>2311444.7630317998</v>
      </c>
    </row>
    <row r="106" spans="1:21">
      <c r="A106" s="23" t="s">
        <v>117</v>
      </c>
      <c r="B106" s="35" t="s">
        <v>118</v>
      </c>
      <c r="C106" s="125">
        <v>3209</v>
      </c>
      <c r="D106" s="132">
        <v>221297833</v>
      </c>
      <c r="E106" s="116">
        <f t="shared" si="25"/>
        <v>68961.618261140538</v>
      </c>
      <c r="F106" s="134">
        <v>30861559</v>
      </c>
      <c r="G106" s="117">
        <f t="shared" si="26"/>
        <v>9617.1888438765964</v>
      </c>
      <c r="H106" s="7"/>
      <c r="I106" s="136">
        <v>0.9637</v>
      </c>
      <c r="J106" s="134">
        <v>29741.284408300002</v>
      </c>
      <c r="K106" s="120">
        <f t="shared" si="27"/>
        <v>9.2680848888438767</v>
      </c>
      <c r="L106" s="122">
        <f t="shared" si="14"/>
        <v>308615.59000000003</v>
      </c>
      <c r="M106" s="116">
        <f t="shared" si="15"/>
        <v>278874.30559170002</v>
      </c>
      <c r="N106" s="123">
        <f t="shared" si="16"/>
        <v>86.903803549922102</v>
      </c>
      <c r="O106" s="5"/>
      <c r="P106" s="5">
        <f t="shared" si="17"/>
        <v>1</v>
      </c>
      <c r="Q106" s="7">
        <f t="shared" si="18"/>
        <v>3209</v>
      </c>
    </row>
    <row r="107" spans="1:21">
      <c r="A107" s="23" t="s">
        <v>119</v>
      </c>
      <c r="B107" s="35" t="s">
        <v>118</v>
      </c>
      <c r="C107" s="125">
        <v>613</v>
      </c>
      <c r="D107" s="132">
        <v>21896293</v>
      </c>
      <c r="E107" s="116">
        <f t="shared" si="25"/>
        <v>35719.89070146819</v>
      </c>
      <c r="F107" s="134">
        <v>8357837</v>
      </c>
      <c r="G107" s="117">
        <f t="shared" si="26"/>
        <v>13634.31810766721</v>
      </c>
      <c r="H107" s="7"/>
      <c r="I107" s="136">
        <v>5</v>
      </c>
      <c r="J107" s="134">
        <v>41789.184999999998</v>
      </c>
      <c r="K107" s="120">
        <f t="shared" si="27"/>
        <v>68.171590538336048</v>
      </c>
      <c r="L107" s="122">
        <f t="shared" si="14"/>
        <v>83578.37</v>
      </c>
      <c r="M107" s="116">
        <f t="shared" si="15"/>
        <v>41789.184999999998</v>
      </c>
      <c r="N107" s="123">
        <f t="shared" si="16"/>
        <v>68.171590538336048</v>
      </c>
      <c r="O107" s="5"/>
      <c r="P107" s="5">
        <f t="shared" si="17"/>
        <v>1</v>
      </c>
      <c r="Q107" s="7">
        <f t="shared" si="18"/>
        <v>613</v>
      </c>
    </row>
    <row r="108" spans="1:21">
      <c r="A108" s="23" t="s">
        <v>120</v>
      </c>
      <c r="B108" s="35" t="s">
        <v>118</v>
      </c>
      <c r="C108" s="125">
        <v>1699</v>
      </c>
      <c r="D108" s="132">
        <v>45910510</v>
      </c>
      <c r="E108" s="116">
        <f t="shared" si="25"/>
        <v>27022.077692760446</v>
      </c>
      <c r="F108" s="134">
        <v>23382886</v>
      </c>
      <c r="G108" s="117">
        <f t="shared" si="26"/>
        <v>13762.734549735138</v>
      </c>
      <c r="H108" s="7"/>
      <c r="I108" s="136">
        <v>4.8198999999999996</v>
      </c>
      <c r="J108" s="134">
        <v>112703.17223139999</v>
      </c>
      <c r="K108" s="120">
        <f t="shared" si="27"/>
        <v>66.335004256268391</v>
      </c>
      <c r="L108" s="122">
        <f t="shared" si="14"/>
        <v>233828.86000000002</v>
      </c>
      <c r="M108" s="116">
        <f t="shared" si="15"/>
        <v>121125.68776860002</v>
      </c>
      <c r="N108" s="123">
        <f t="shared" si="16"/>
        <v>71.292341241083008</v>
      </c>
      <c r="O108" s="5"/>
      <c r="P108" s="5">
        <f t="shared" si="17"/>
        <v>1</v>
      </c>
      <c r="Q108" s="7">
        <f t="shared" si="18"/>
        <v>1699</v>
      </c>
    </row>
    <row r="109" spans="1:21">
      <c r="A109" s="23" t="s">
        <v>121</v>
      </c>
      <c r="B109" s="35" t="s">
        <v>118</v>
      </c>
      <c r="C109" s="125">
        <v>1831</v>
      </c>
      <c r="D109" s="132">
        <v>93393088</v>
      </c>
      <c r="E109" s="116">
        <f t="shared" si="25"/>
        <v>51006.60185690879</v>
      </c>
      <c r="F109" s="134">
        <v>62018064</v>
      </c>
      <c r="G109" s="117">
        <f t="shared" si="26"/>
        <v>33871.143637356632</v>
      </c>
      <c r="H109" s="7"/>
      <c r="I109" s="136">
        <v>1.8776999999999999</v>
      </c>
      <c r="J109" s="134">
        <v>116451.3187728</v>
      </c>
      <c r="K109" s="120">
        <f t="shared" si="27"/>
        <v>63.599846407864554</v>
      </c>
      <c r="L109" s="122">
        <f t="shared" si="14"/>
        <v>620180.64</v>
      </c>
      <c r="M109" s="116">
        <f t="shared" si="15"/>
        <v>503729.32122719998</v>
      </c>
      <c r="N109" s="123">
        <f t="shared" si="16"/>
        <v>275.1115899657018</v>
      </c>
      <c r="O109" s="5"/>
      <c r="P109" s="5">
        <f t="shared" si="17"/>
        <v>1</v>
      </c>
      <c r="Q109" s="7">
        <f t="shared" si="18"/>
        <v>1831</v>
      </c>
    </row>
    <row r="110" spans="1:21">
      <c r="A110" s="23" t="s">
        <v>122</v>
      </c>
      <c r="B110" s="35" t="s">
        <v>118</v>
      </c>
      <c r="C110" s="125">
        <v>3442</v>
      </c>
      <c r="D110" s="132">
        <v>191678407</v>
      </c>
      <c r="E110" s="116">
        <f t="shared" si="25"/>
        <v>55688.090354445092</v>
      </c>
      <c r="F110" s="134">
        <v>134216338</v>
      </c>
      <c r="G110" s="117">
        <f t="shared" si="26"/>
        <v>38993.706565950029</v>
      </c>
      <c r="H110" s="7"/>
      <c r="I110" s="136">
        <v>5</v>
      </c>
      <c r="J110" s="134">
        <v>671081.68999999994</v>
      </c>
      <c r="K110" s="120">
        <f t="shared" si="27"/>
        <v>194.96853282975013</v>
      </c>
      <c r="L110" s="122">
        <f t="shared" si="14"/>
        <v>1342163.3800000001</v>
      </c>
      <c r="M110" s="116">
        <f t="shared" si="15"/>
        <v>671081.69000000018</v>
      </c>
      <c r="N110" s="123">
        <f t="shared" si="16"/>
        <v>194.96853282975019</v>
      </c>
      <c r="O110" s="5"/>
      <c r="P110" s="5">
        <f t="shared" si="17"/>
        <v>1</v>
      </c>
      <c r="Q110" s="7">
        <f t="shared" si="18"/>
        <v>3442</v>
      </c>
    </row>
    <row r="111" spans="1:21">
      <c r="A111" s="23" t="s">
        <v>123</v>
      </c>
      <c r="B111" s="35" t="s">
        <v>118</v>
      </c>
      <c r="C111" s="125">
        <v>7917</v>
      </c>
      <c r="D111" s="132">
        <v>491783971</v>
      </c>
      <c r="E111" s="116">
        <f t="shared" si="25"/>
        <v>62117.465075154731</v>
      </c>
      <c r="F111" s="134">
        <v>213896078</v>
      </c>
      <c r="G111" s="117">
        <f t="shared" si="26"/>
        <v>27017.314386762664</v>
      </c>
      <c r="H111" s="9"/>
      <c r="I111" s="136">
        <v>4.5419999999999998</v>
      </c>
      <c r="J111" s="134">
        <v>971515.98627599992</v>
      </c>
      <c r="K111" s="120">
        <f t="shared" si="27"/>
        <v>122.71264194467601</v>
      </c>
      <c r="L111" s="122">
        <f t="shared" si="14"/>
        <v>2138960.7800000003</v>
      </c>
      <c r="M111" s="116">
        <f t="shared" si="15"/>
        <v>1167444.7937240005</v>
      </c>
      <c r="N111" s="123">
        <f t="shared" si="16"/>
        <v>147.46050192295067</v>
      </c>
      <c r="O111" s="5"/>
      <c r="P111" s="5">
        <f t="shared" si="17"/>
        <v>1</v>
      </c>
      <c r="Q111" s="7">
        <f t="shared" si="18"/>
        <v>7917</v>
      </c>
      <c r="S111" s="124">
        <f>SUM(D106:D111)</f>
        <v>1065960102</v>
      </c>
      <c r="T111" s="124">
        <f>SUM(F106:F111)</f>
        <v>472732762</v>
      </c>
      <c r="U111" s="124">
        <f>SUM(J106:J111)</f>
        <v>1943282.6366884997</v>
      </c>
    </row>
    <row r="112" spans="1:21">
      <c r="A112" s="23" t="s">
        <v>124</v>
      </c>
      <c r="B112" s="35" t="s">
        <v>125</v>
      </c>
      <c r="C112" s="125">
        <v>498</v>
      </c>
      <c r="D112" s="132">
        <v>39269024</v>
      </c>
      <c r="E112" s="116">
        <f t="shared" si="25"/>
        <v>78853.461847389553</v>
      </c>
      <c r="F112" s="134">
        <v>16992987</v>
      </c>
      <c r="G112" s="117">
        <f t="shared" si="26"/>
        <v>34122.463855421687</v>
      </c>
      <c r="H112" s="9"/>
      <c r="I112" s="136">
        <v>3</v>
      </c>
      <c r="J112" s="134">
        <v>50978.961000000003</v>
      </c>
      <c r="K112" s="120">
        <f t="shared" si="27"/>
        <v>102.36739156626507</v>
      </c>
      <c r="L112" s="122">
        <f t="shared" si="14"/>
        <v>169929.87</v>
      </c>
      <c r="M112" s="116">
        <f t="shared" si="15"/>
        <v>118950.90899999999</v>
      </c>
      <c r="N112" s="123">
        <f t="shared" si="16"/>
        <v>238.85724698795178</v>
      </c>
      <c r="O112" s="5"/>
      <c r="P112" s="5">
        <f t="shared" si="17"/>
        <v>1</v>
      </c>
      <c r="Q112" s="7">
        <f t="shared" si="18"/>
        <v>498</v>
      </c>
    </row>
    <row r="113" spans="1:21">
      <c r="A113" s="23" t="s">
        <v>126</v>
      </c>
      <c r="B113" s="35" t="s">
        <v>125</v>
      </c>
      <c r="C113" s="125">
        <v>1969</v>
      </c>
      <c r="D113" s="132">
        <v>109080772</v>
      </c>
      <c r="E113" s="116">
        <f t="shared" si="25"/>
        <v>55399.071609954291</v>
      </c>
      <c r="F113" s="134">
        <v>58004982</v>
      </c>
      <c r="G113" s="117">
        <f t="shared" si="26"/>
        <v>29459.107160995431</v>
      </c>
      <c r="H113" s="9"/>
      <c r="I113" s="150">
        <v>2</v>
      </c>
      <c r="J113" s="134">
        <v>116009.96400000001</v>
      </c>
      <c r="K113" s="120">
        <f t="shared" si="27"/>
        <v>58.91821432199086</v>
      </c>
      <c r="L113" s="122">
        <f t="shared" si="14"/>
        <v>580049.82000000007</v>
      </c>
      <c r="M113" s="116">
        <f t="shared" si="15"/>
        <v>464039.85600000003</v>
      </c>
      <c r="N113" s="123">
        <f t="shared" si="16"/>
        <v>235.67285728796344</v>
      </c>
      <c r="O113" s="5"/>
      <c r="P113" s="5">
        <f t="shared" si="17"/>
        <v>1</v>
      </c>
      <c r="Q113" s="7">
        <f t="shared" si="18"/>
        <v>1969</v>
      </c>
    </row>
    <row r="114" spans="1:21">
      <c r="A114" s="23" t="s">
        <v>127</v>
      </c>
      <c r="B114" s="35" t="s">
        <v>128</v>
      </c>
      <c r="C114" s="125">
        <v>863</v>
      </c>
      <c r="D114" s="132">
        <v>67485865</v>
      </c>
      <c r="E114" s="116">
        <f t="shared" si="25"/>
        <v>78199.148319814602</v>
      </c>
      <c r="F114" s="134">
        <v>39157012</v>
      </c>
      <c r="G114" s="117">
        <f t="shared" si="26"/>
        <v>45373.130938586328</v>
      </c>
      <c r="H114" s="7"/>
      <c r="I114" s="150">
        <v>3</v>
      </c>
      <c r="J114" s="134">
        <v>117471</v>
      </c>
      <c r="K114" s="120">
        <f t="shared" si="27"/>
        <v>136.11935110081112</v>
      </c>
      <c r="L114" s="122">
        <f t="shared" si="14"/>
        <v>391570.12</v>
      </c>
      <c r="M114" s="116">
        <f t="shared" si="15"/>
        <v>274099.12</v>
      </c>
      <c r="N114" s="123">
        <f t="shared" si="16"/>
        <v>317.61195828505214</v>
      </c>
      <c r="O114" s="5"/>
      <c r="P114" s="5">
        <f t="shared" si="17"/>
        <v>1</v>
      </c>
      <c r="Q114" s="7">
        <f t="shared" si="18"/>
        <v>863</v>
      </c>
      <c r="S114" s="124">
        <f>SUM(D112:D114)</f>
        <v>215835661</v>
      </c>
      <c r="T114" s="124">
        <f>SUM(F112:F114)</f>
        <v>114154981</v>
      </c>
      <c r="U114" s="124">
        <f>SUM(J112:J114)</f>
        <v>284459.92500000005</v>
      </c>
    </row>
    <row r="115" spans="1:21">
      <c r="A115" s="23" t="s">
        <v>129</v>
      </c>
      <c r="B115" s="35" t="s">
        <v>130</v>
      </c>
      <c r="C115" s="125">
        <v>1747</v>
      </c>
      <c r="D115" s="132">
        <v>106819276</v>
      </c>
      <c r="E115" s="116">
        <f t="shared" si="25"/>
        <v>61144.405266170579</v>
      </c>
      <c r="F115" s="134">
        <v>39618281</v>
      </c>
      <c r="G115" s="117">
        <f t="shared" si="26"/>
        <v>22677.894104178591</v>
      </c>
      <c r="H115" s="9"/>
      <c r="I115" s="136">
        <v>4.8639999999999999</v>
      </c>
      <c r="J115" s="134">
        <v>192703.318784</v>
      </c>
      <c r="K115" s="120">
        <f t="shared" si="27"/>
        <v>110.30527692272467</v>
      </c>
      <c r="L115" s="122">
        <f t="shared" si="14"/>
        <v>396182.81</v>
      </c>
      <c r="M115" s="116">
        <f t="shared" si="15"/>
        <v>203479.49121599999</v>
      </c>
      <c r="N115" s="123">
        <f t="shared" si="16"/>
        <v>116.47366411906124</v>
      </c>
      <c r="O115" s="5"/>
      <c r="P115" s="5">
        <f t="shared" si="17"/>
        <v>1</v>
      </c>
      <c r="Q115" s="7">
        <f t="shared" si="18"/>
        <v>1747</v>
      </c>
      <c r="S115" s="124">
        <f>SUM(D115)</f>
        <v>106819276</v>
      </c>
      <c r="T115" s="124">
        <f>SUM(F115)</f>
        <v>39618281</v>
      </c>
      <c r="U115" s="124">
        <f>SUM(J115)</f>
        <v>192703.318784</v>
      </c>
    </row>
    <row r="116" spans="1:21">
      <c r="A116" s="24" t="s">
        <v>545</v>
      </c>
      <c r="B116" s="35" t="s">
        <v>131</v>
      </c>
      <c r="C116" s="125">
        <v>3571</v>
      </c>
      <c r="D116" s="132">
        <v>458449995</v>
      </c>
      <c r="E116" s="116">
        <f t="shared" si="25"/>
        <v>128381.40436852422</v>
      </c>
      <c r="F116" s="134">
        <v>284431826</v>
      </c>
      <c r="G116" s="117">
        <f t="shared" si="26"/>
        <v>79650.469336320355</v>
      </c>
      <c r="H116" s="9"/>
      <c r="I116" s="136">
        <v>3.5914000000000001</v>
      </c>
      <c r="J116" s="134">
        <v>1021508.4598964001</v>
      </c>
      <c r="K116" s="120">
        <f t="shared" si="27"/>
        <v>286.05669557446095</v>
      </c>
      <c r="L116" s="122">
        <f t="shared" si="14"/>
        <v>2844318.2600000002</v>
      </c>
      <c r="M116" s="116">
        <f t="shared" si="15"/>
        <v>1822809.8001036001</v>
      </c>
      <c r="N116" s="123">
        <f t="shared" si="16"/>
        <v>510.44799778874267</v>
      </c>
      <c r="O116" s="5"/>
      <c r="P116" s="5">
        <f t="shared" si="17"/>
        <v>1</v>
      </c>
      <c r="Q116" s="7">
        <f t="shared" si="18"/>
        <v>3571</v>
      </c>
    </row>
    <row r="117" spans="1:21">
      <c r="A117" s="23" t="s">
        <v>132</v>
      </c>
      <c r="B117" s="35" t="s">
        <v>131</v>
      </c>
      <c r="C117" s="125">
        <v>2036</v>
      </c>
      <c r="D117" s="132">
        <v>101311257</v>
      </c>
      <c r="E117" s="116">
        <f t="shared" si="25"/>
        <v>49759.949410609035</v>
      </c>
      <c r="F117" s="134">
        <v>57402128</v>
      </c>
      <c r="G117" s="117">
        <f t="shared" si="26"/>
        <v>28193.579567779962</v>
      </c>
      <c r="H117" s="9"/>
      <c r="I117" s="136">
        <v>5.9714</v>
      </c>
      <c r="J117" s="134">
        <v>342771.06713920005</v>
      </c>
      <c r="K117" s="120">
        <f t="shared" si="27"/>
        <v>168.35514103104128</v>
      </c>
      <c r="L117" s="122">
        <f t="shared" si="14"/>
        <v>574021.28</v>
      </c>
      <c r="M117" s="116">
        <f t="shared" si="15"/>
        <v>231250.21286079998</v>
      </c>
      <c r="N117" s="123">
        <f t="shared" si="16"/>
        <v>113.58065464675833</v>
      </c>
      <c r="O117" s="5"/>
      <c r="P117" s="5">
        <f t="shared" si="17"/>
        <v>1</v>
      </c>
      <c r="Q117" s="7">
        <f t="shared" si="18"/>
        <v>2036</v>
      </c>
      <c r="S117" s="124">
        <f>SUM(D116:D117)</f>
        <v>559761252</v>
      </c>
      <c r="T117" s="124">
        <f>SUM(F116:F117)</f>
        <v>341833954</v>
      </c>
      <c r="U117" s="124">
        <f>SUM(J116:J117)</f>
        <v>1364279.5270356</v>
      </c>
    </row>
    <row r="118" spans="1:21">
      <c r="A118" s="23" t="s">
        <v>133</v>
      </c>
      <c r="B118" s="35" t="s">
        <v>134</v>
      </c>
      <c r="C118" s="125">
        <v>3051</v>
      </c>
      <c r="D118" s="132">
        <v>92927562</v>
      </c>
      <c r="E118" s="116">
        <f t="shared" si="25"/>
        <v>30458.0668633235</v>
      </c>
      <c r="F118" s="134">
        <v>43704322</v>
      </c>
      <c r="G118" s="117">
        <f t="shared" si="26"/>
        <v>14324.589314978695</v>
      </c>
      <c r="H118" s="7"/>
      <c r="I118" s="136">
        <v>7.9489999999999998</v>
      </c>
      <c r="J118" s="134">
        <v>347405.65557800001</v>
      </c>
      <c r="K118" s="120">
        <f t="shared" si="27"/>
        <v>113.86616046476566</v>
      </c>
      <c r="L118" s="122">
        <f t="shared" si="14"/>
        <v>437043.22000000003</v>
      </c>
      <c r="M118" s="116">
        <f t="shared" si="15"/>
        <v>89637.564422000025</v>
      </c>
      <c r="N118" s="123">
        <f t="shared" si="16"/>
        <v>29.379732685021313</v>
      </c>
      <c r="O118" s="5"/>
      <c r="P118" s="5">
        <f t="shared" si="17"/>
        <v>1</v>
      </c>
      <c r="Q118" s="7">
        <f t="shared" si="18"/>
        <v>3051</v>
      </c>
    </row>
    <row r="119" spans="1:21">
      <c r="A119" s="23" t="s">
        <v>135</v>
      </c>
      <c r="B119" s="35" t="s">
        <v>134</v>
      </c>
      <c r="C119" s="125">
        <v>864</v>
      </c>
      <c r="D119" s="132">
        <v>19217082</v>
      </c>
      <c r="E119" s="116">
        <f t="shared" si="25"/>
        <v>22241.993055555555</v>
      </c>
      <c r="F119" s="134">
        <v>11817756</v>
      </c>
      <c r="G119" s="117">
        <f t="shared" si="26"/>
        <v>13677.958333333334</v>
      </c>
      <c r="H119" s="7"/>
      <c r="I119" s="136">
        <v>4.8499999999999996</v>
      </c>
      <c r="J119" s="134">
        <v>57316.116599999994</v>
      </c>
      <c r="K119" s="120">
        <f t="shared" si="27"/>
        <v>66.338097916666655</v>
      </c>
      <c r="L119" s="122">
        <f t="shared" si="14"/>
        <v>118177.56</v>
      </c>
      <c r="M119" s="116">
        <f t="shared" si="15"/>
        <v>60861.443400000004</v>
      </c>
      <c r="N119" s="123">
        <f t="shared" si="16"/>
        <v>70.441485416666666</v>
      </c>
      <c r="O119" s="5"/>
      <c r="P119" s="5">
        <f t="shared" si="17"/>
        <v>1</v>
      </c>
      <c r="Q119" s="7">
        <f t="shared" si="18"/>
        <v>864</v>
      </c>
    </row>
    <row r="120" spans="1:21">
      <c r="A120" s="23" t="s">
        <v>136</v>
      </c>
      <c r="B120" s="35" t="s">
        <v>134</v>
      </c>
      <c r="C120" s="125">
        <v>765</v>
      </c>
      <c r="D120" s="132">
        <v>33739760</v>
      </c>
      <c r="E120" s="116">
        <f t="shared" si="25"/>
        <v>44104.261437908499</v>
      </c>
      <c r="F120" s="134">
        <v>16587297</v>
      </c>
      <c r="G120" s="117">
        <f t="shared" si="26"/>
        <v>21682.741176470587</v>
      </c>
      <c r="H120" s="7"/>
      <c r="I120" s="136">
        <v>4.5208000000000004</v>
      </c>
      <c r="J120" s="134">
        <v>74987.852277600003</v>
      </c>
      <c r="K120" s="120">
        <f t="shared" si="27"/>
        <v>98.023336310588235</v>
      </c>
      <c r="L120" s="122">
        <f t="shared" si="14"/>
        <v>165872.97</v>
      </c>
      <c r="M120" s="116">
        <f t="shared" si="15"/>
        <v>90885.117722399998</v>
      </c>
      <c r="N120" s="123">
        <f t="shared" si="16"/>
        <v>118.80407545411765</v>
      </c>
      <c r="O120" s="5"/>
      <c r="P120" s="5">
        <f t="shared" si="17"/>
        <v>1</v>
      </c>
      <c r="Q120" s="7">
        <f t="shared" si="18"/>
        <v>765</v>
      </c>
      <c r="S120" s="124">
        <f>SUM(D118:D120)</f>
        <v>145884404</v>
      </c>
      <c r="T120" s="124">
        <f>SUM(F118:F120)</f>
        <v>72109375</v>
      </c>
      <c r="U120" s="124">
        <f>SUM(J118:J120)</f>
        <v>479709.62445560005</v>
      </c>
    </row>
    <row r="121" spans="1:21">
      <c r="A121" s="23" t="s">
        <v>137</v>
      </c>
      <c r="B121" s="35" t="s">
        <v>138</v>
      </c>
      <c r="C121" s="125">
        <v>2871</v>
      </c>
      <c r="D121" s="132">
        <v>68094767</v>
      </c>
      <c r="E121" s="116">
        <f t="shared" si="25"/>
        <v>23718.13549285963</v>
      </c>
      <c r="F121" s="134">
        <v>33851019</v>
      </c>
      <c r="G121" s="117">
        <f t="shared" si="26"/>
        <v>11790.671891327063</v>
      </c>
      <c r="H121" s="7"/>
      <c r="I121" s="136">
        <v>7.25</v>
      </c>
      <c r="J121" s="134">
        <v>245419.88774999999</v>
      </c>
      <c r="K121" s="120">
        <f t="shared" si="27"/>
        <v>85.482371212121208</v>
      </c>
      <c r="L121" s="122">
        <f t="shared" si="14"/>
        <v>338510.19</v>
      </c>
      <c r="M121" s="116">
        <f t="shared" si="15"/>
        <v>93090.302250000008</v>
      </c>
      <c r="N121" s="123">
        <f t="shared" si="16"/>
        <v>32.424347701149429</v>
      </c>
      <c r="O121" s="5"/>
      <c r="P121" s="5">
        <f t="shared" si="17"/>
        <v>1</v>
      </c>
      <c r="Q121" s="7">
        <f t="shared" si="18"/>
        <v>2871</v>
      </c>
    </row>
    <row r="122" spans="1:21">
      <c r="A122" s="23" t="s">
        <v>139</v>
      </c>
      <c r="B122" s="35" t="s">
        <v>138</v>
      </c>
      <c r="C122" s="125">
        <v>5172</v>
      </c>
      <c r="D122" s="132">
        <v>226420912</v>
      </c>
      <c r="E122" s="116">
        <f t="shared" si="25"/>
        <v>43778.211910286154</v>
      </c>
      <c r="F122" s="134">
        <v>115289833</v>
      </c>
      <c r="G122" s="117">
        <f t="shared" si="26"/>
        <v>22291.151005413765</v>
      </c>
      <c r="H122" s="7"/>
      <c r="I122" s="136">
        <v>5.6485000000000003</v>
      </c>
      <c r="J122" s="134">
        <v>651214.62170050002</v>
      </c>
      <c r="K122" s="120">
        <f t="shared" si="27"/>
        <v>125.91156645407966</v>
      </c>
      <c r="L122" s="122">
        <f t="shared" si="14"/>
        <v>1152898.33</v>
      </c>
      <c r="M122" s="116">
        <f t="shared" si="15"/>
        <v>501683.70829950005</v>
      </c>
      <c r="N122" s="123">
        <f t="shared" si="16"/>
        <v>96.999943600058018</v>
      </c>
      <c r="O122" s="5"/>
      <c r="P122" s="5">
        <f t="shared" si="17"/>
        <v>1</v>
      </c>
      <c r="Q122" s="7">
        <f t="shared" si="18"/>
        <v>5172</v>
      </c>
    </row>
    <row r="123" spans="1:21">
      <c r="A123" s="23" t="s">
        <v>140</v>
      </c>
      <c r="B123" s="35" t="s">
        <v>138</v>
      </c>
      <c r="C123" s="125">
        <v>1817</v>
      </c>
      <c r="D123" s="132">
        <v>53073463</v>
      </c>
      <c r="E123" s="116">
        <f t="shared" si="25"/>
        <v>29209.390753990094</v>
      </c>
      <c r="F123" s="134">
        <v>24728540</v>
      </c>
      <c r="G123" s="117">
        <f t="shared" si="26"/>
        <v>13609.543203082003</v>
      </c>
      <c r="H123" s="7"/>
      <c r="I123" s="136">
        <v>8.5540000000000003</v>
      </c>
      <c r="J123" s="134">
        <v>211527.93116000001</v>
      </c>
      <c r="K123" s="120">
        <f t="shared" si="27"/>
        <v>116.41603255916345</v>
      </c>
      <c r="L123" s="122">
        <f t="shared" si="14"/>
        <v>247285.4</v>
      </c>
      <c r="M123" s="116">
        <f t="shared" si="15"/>
        <v>35757.468839999987</v>
      </c>
      <c r="N123" s="123">
        <f t="shared" si="16"/>
        <v>19.67939947165657</v>
      </c>
      <c r="O123" s="5"/>
      <c r="P123" s="5">
        <f t="shared" si="17"/>
        <v>1</v>
      </c>
      <c r="Q123" s="7">
        <f t="shared" si="18"/>
        <v>1817</v>
      </c>
      <c r="S123" s="124">
        <f>SUM(D121:D123)</f>
        <v>347589142</v>
      </c>
      <c r="T123" s="124">
        <f>SUM(F121:F123)</f>
        <v>173869392</v>
      </c>
      <c r="U123" s="124">
        <f>SUM(J121:J123)</f>
        <v>1108162.4406105001</v>
      </c>
    </row>
    <row r="124" spans="1:21">
      <c r="A124" s="23" t="s">
        <v>141</v>
      </c>
      <c r="B124" s="35" t="s">
        <v>142</v>
      </c>
      <c r="C124" s="125">
        <v>7659</v>
      </c>
      <c r="D124" s="132">
        <v>479674570</v>
      </c>
      <c r="E124" s="116">
        <f t="shared" si="25"/>
        <v>62628.87713800757</v>
      </c>
      <c r="F124" s="134">
        <v>218867069</v>
      </c>
      <c r="G124" s="117">
        <f t="shared" si="26"/>
        <v>28576.45502023763</v>
      </c>
      <c r="H124" s="7"/>
      <c r="I124" s="136">
        <v>6.5313999999999997</v>
      </c>
      <c r="J124" s="134">
        <v>1429508.3744665999</v>
      </c>
      <c r="K124" s="120">
        <f t="shared" si="27"/>
        <v>186.64425831918004</v>
      </c>
      <c r="L124" s="122">
        <f t="shared" si="14"/>
        <v>2188670.69</v>
      </c>
      <c r="M124" s="116">
        <f t="shared" si="15"/>
        <v>759162.31553340005</v>
      </c>
      <c r="N124" s="123">
        <f t="shared" si="16"/>
        <v>99.120291883196245</v>
      </c>
      <c r="O124" s="5"/>
      <c r="P124" s="5">
        <f t="shared" si="17"/>
        <v>1</v>
      </c>
      <c r="Q124" s="7">
        <f t="shared" si="18"/>
        <v>7659</v>
      </c>
    </row>
    <row r="125" spans="1:21">
      <c r="A125" s="23" t="s">
        <v>558</v>
      </c>
      <c r="B125" s="35" t="s">
        <v>142</v>
      </c>
      <c r="C125" s="125">
        <v>4951</v>
      </c>
      <c r="D125" s="132">
        <v>402134051</v>
      </c>
      <c r="E125" s="116">
        <f t="shared" si="25"/>
        <v>81222.793577055141</v>
      </c>
      <c r="F125" s="134">
        <v>198922846</v>
      </c>
      <c r="G125" s="117">
        <f t="shared" si="26"/>
        <v>40178.316703696226</v>
      </c>
      <c r="H125" s="7"/>
      <c r="I125" s="136">
        <v>3.6046</v>
      </c>
      <c r="J125" s="134">
        <v>717037.29069159995</v>
      </c>
      <c r="K125" s="120">
        <f t="shared" si="27"/>
        <v>144.82676039014339</v>
      </c>
      <c r="L125" s="122">
        <f t="shared" si="14"/>
        <v>1989228.46</v>
      </c>
      <c r="M125" s="116">
        <f t="shared" si="15"/>
        <v>1272191.1693084</v>
      </c>
      <c r="N125" s="123">
        <f t="shared" si="16"/>
        <v>256.95640664681883</v>
      </c>
      <c r="O125" s="5"/>
      <c r="P125" s="5">
        <f t="shared" si="17"/>
        <v>1</v>
      </c>
      <c r="Q125" s="7">
        <f t="shared" si="18"/>
        <v>4951</v>
      </c>
      <c r="S125" s="124">
        <f>SUM(D124:D125)</f>
        <v>881808621</v>
      </c>
      <c r="T125" s="124">
        <f>SUM(F124:F125)</f>
        <v>417789915</v>
      </c>
      <c r="U125" s="124">
        <f>SUM(J124:J125)</f>
        <v>2146545.6651582001</v>
      </c>
    </row>
    <row r="126" spans="1:21">
      <c r="A126" s="23" t="s">
        <v>143</v>
      </c>
      <c r="B126" s="35" t="s">
        <v>144</v>
      </c>
      <c r="C126" s="125">
        <v>8074</v>
      </c>
      <c r="D126" s="132">
        <v>983517219</v>
      </c>
      <c r="E126" s="116">
        <f t="shared" si="25"/>
        <v>121812.8832053505</v>
      </c>
      <c r="F126" s="134">
        <v>410456930</v>
      </c>
      <c r="G126" s="117">
        <f t="shared" si="26"/>
        <v>50836.875154817935</v>
      </c>
      <c r="H126" s="7"/>
      <c r="I126" s="136">
        <v>6.9763000000000002</v>
      </c>
      <c r="J126" s="134">
        <v>2863470.6807590001</v>
      </c>
      <c r="K126" s="120">
        <f t="shared" si="27"/>
        <v>354.65329214255638</v>
      </c>
      <c r="L126" s="122">
        <f t="shared" si="14"/>
        <v>4104569.3000000003</v>
      </c>
      <c r="M126" s="116">
        <f t="shared" si="15"/>
        <v>1241098.6192410002</v>
      </c>
      <c r="N126" s="123">
        <f t="shared" si="16"/>
        <v>153.71545940562299</v>
      </c>
      <c r="O126" s="5"/>
      <c r="P126" s="5">
        <f t="shared" si="17"/>
        <v>1</v>
      </c>
      <c r="Q126" s="7">
        <f t="shared" si="18"/>
        <v>8074</v>
      </c>
    </row>
    <row r="127" spans="1:21">
      <c r="A127" s="23" t="s">
        <v>145</v>
      </c>
      <c r="B127" s="35" t="s">
        <v>144</v>
      </c>
      <c r="C127" s="125">
        <v>9</v>
      </c>
      <c r="D127" s="132">
        <v>47342353</v>
      </c>
      <c r="E127" s="116">
        <f t="shared" si="25"/>
        <v>5260261.444444444</v>
      </c>
      <c r="F127" s="134">
        <v>16494957</v>
      </c>
      <c r="G127" s="117">
        <f t="shared" si="26"/>
        <v>1832773</v>
      </c>
      <c r="H127" s="7"/>
      <c r="I127" s="136">
        <v>2.847</v>
      </c>
      <c r="J127" s="134">
        <v>46961.142578999999</v>
      </c>
      <c r="K127" s="120">
        <f t="shared" si="27"/>
        <v>5217.9047309999996</v>
      </c>
      <c r="L127" s="122">
        <f t="shared" si="14"/>
        <v>164949.57</v>
      </c>
      <c r="M127" s="116">
        <f t="shared" si="15"/>
        <v>117988.427421</v>
      </c>
      <c r="N127" s="123">
        <f t="shared" si="16"/>
        <v>13109.825269000001</v>
      </c>
      <c r="O127" s="5"/>
      <c r="P127" s="5">
        <f t="shared" si="17"/>
        <v>1</v>
      </c>
      <c r="Q127" s="7">
        <f t="shared" si="18"/>
        <v>9</v>
      </c>
      <c r="S127" s="124">
        <f>SUM(D126:D127)</f>
        <v>1030859572</v>
      </c>
      <c r="T127" s="124">
        <f>SUM(F126:F127)</f>
        <v>426951887</v>
      </c>
      <c r="U127" s="124">
        <f>SUM(J126:J127)</f>
        <v>2910431.8233380001</v>
      </c>
    </row>
    <row r="128" spans="1:21">
      <c r="A128" s="23" t="s">
        <v>146</v>
      </c>
      <c r="B128" s="35" t="s">
        <v>147</v>
      </c>
      <c r="C128" s="125">
        <v>11018</v>
      </c>
      <c r="D128" s="132">
        <v>567340914</v>
      </c>
      <c r="E128" s="116">
        <f t="shared" si="25"/>
        <v>51492.186785260485</v>
      </c>
      <c r="F128" s="134">
        <v>288298004</v>
      </c>
      <c r="G128" s="117">
        <f t="shared" si="26"/>
        <v>26166.092212742784</v>
      </c>
      <c r="H128" s="7"/>
      <c r="I128" s="136">
        <v>0.3</v>
      </c>
      <c r="J128" s="134">
        <v>86489.401200000008</v>
      </c>
      <c r="K128" s="120">
        <f t="shared" si="27"/>
        <v>7.8498276638228361</v>
      </c>
      <c r="L128" s="122">
        <f t="shared" si="14"/>
        <v>2882980.04</v>
      </c>
      <c r="M128" s="116">
        <f t="shared" si="15"/>
        <v>2796490.6387999998</v>
      </c>
      <c r="N128" s="123">
        <f t="shared" si="16"/>
        <v>253.811094463605</v>
      </c>
      <c r="O128" s="5"/>
      <c r="P128" s="5">
        <f t="shared" si="17"/>
        <v>1</v>
      </c>
      <c r="Q128" s="7">
        <f t="shared" si="18"/>
        <v>11018</v>
      </c>
    </row>
    <row r="129" spans="1:21">
      <c r="A129" s="23" t="s">
        <v>148</v>
      </c>
      <c r="B129" s="35" t="s">
        <v>147</v>
      </c>
      <c r="C129" s="125">
        <v>2579</v>
      </c>
      <c r="D129" s="132">
        <v>266813082</v>
      </c>
      <c r="E129" s="116">
        <f t="shared" si="25"/>
        <v>103456.02248933696</v>
      </c>
      <c r="F129" s="134">
        <v>177250377</v>
      </c>
      <c r="G129" s="117">
        <f t="shared" si="26"/>
        <v>68728.335401318342</v>
      </c>
      <c r="H129" s="7"/>
      <c r="I129" s="136">
        <v>3.65</v>
      </c>
      <c r="J129" s="134">
        <v>646963.87604999996</v>
      </c>
      <c r="K129" s="120">
        <f t="shared" si="27"/>
        <v>250.85842421481192</v>
      </c>
      <c r="L129" s="122">
        <f t="shared" si="14"/>
        <v>1772503.77</v>
      </c>
      <c r="M129" s="116">
        <f t="shared" si="15"/>
        <v>1125539.8939499999</v>
      </c>
      <c r="N129" s="123">
        <f t="shared" si="16"/>
        <v>436.42492979837147</v>
      </c>
      <c r="O129" s="5"/>
      <c r="P129" s="5">
        <f t="shared" si="17"/>
        <v>1</v>
      </c>
      <c r="Q129" s="7">
        <f t="shared" si="18"/>
        <v>2579</v>
      </c>
    </row>
    <row r="130" spans="1:21">
      <c r="A130" s="23" t="s">
        <v>149</v>
      </c>
      <c r="B130" s="35" t="s">
        <v>147</v>
      </c>
      <c r="C130" s="125">
        <v>10993</v>
      </c>
      <c r="D130" s="132">
        <v>847939124</v>
      </c>
      <c r="E130" s="116">
        <f t="shared" si="25"/>
        <v>77134.460474847627</v>
      </c>
      <c r="F130" s="134">
        <v>576424611</v>
      </c>
      <c r="G130" s="117">
        <f t="shared" si="26"/>
        <v>52435.605476212135</v>
      </c>
      <c r="H130" s="7"/>
      <c r="I130" s="136">
        <v>5.3183999999999996</v>
      </c>
      <c r="J130" s="134">
        <v>3065656.6511423998</v>
      </c>
      <c r="K130" s="120">
        <f t="shared" si="27"/>
        <v>278.87352416468661</v>
      </c>
      <c r="L130" s="122">
        <f t="shared" si="14"/>
        <v>5764246.1100000003</v>
      </c>
      <c r="M130" s="116">
        <f t="shared" si="15"/>
        <v>2698589.4588576006</v>
      </c>
      <c r="N130" s="123">
        <f t="shared" si="16"/>
        <v>245.48253059743479</v>
      </c>
      <c r="O130" s="5"/>
      <c r="P130" s="5">
        <f t="shared" si="17"/>
        <v>1</v>
      </c>
      <c r="Q130" s="7">
        <f t="shared" si="18"/>
        <v>10993</v>
      </c>
      <c r="S130" s="124">
        <f>SUM(D128:D130)</f>
        <v>1682093120</v>
      </c>
      <c r="T130" s="124">
        <f>SUM(F128:F130)</f>
        <v>1041972992</v>
      </c>
      <c r="U130" s="124">
        <f>SUM(J128:J130)</f>
        <v>3799109.9283923996</v>
      </c>
    </row>
    <row r="131" spans="1:21">
      <c r="A131" s="23" t="s">
        <v>150</v>
      </c>
      <c r="B131" s="35" t="s">
        <v>151</v>
      </c>
      <c r="C131" s="125">
        <v>38297</v>
      </c>
      <c r="D131" s="132">
        <v>2953197054</v>
      </c>
      <c r="E131" s="116">
        <f t="shared" si="25"/>
        <v>77113.012873070998</v>
      </c>
      <c r="F131" s="134">
        <v>1999313149</v>
      </c>
      <c r="G131" s="117">
        <f t="shared" si="26"/>
        <v>52205.476904196148</v>
      </c>
      <c r="H131" s="7"/>
      <c r="I131" s="136">
        <v>5.7157</v>
      </c>
      <c r="J131" s="134">
        <v>11427474.1657393</v>
      </c>
      <c r="K131" s="120">
        <f t="shared" si="27"/>
        <v>298.39084434131394</v>
      </c>
      <c r="L131" s="122">
        <f t="shared" si="14"/>
        <v>19993131.490000002</v>
      </c>
      <c r="M131" s="116">
        <f t="shared" si="15"/>
        <v>8565657.3242607024</v>
      </c>
      <c r="N131" s="123">
        <f t="shared" si="16"/>
        <v>223.66392470064764</v>
      </c>
      <c r="O131" s="5"/>
      <c r="P131" s="5">
        <f t="shared" si="17"/>
        <v>1</v>
      </c>
      <c r="Q131" s="7">
        <f t="shared" si="18"/>
        <v>38297</v>
      </c>
    </row>
    <row r="132" spans="1:21">
      <c r="A132" s="23" t="s">
        <v>152</v>
      </c>
      <c r="B132" s="35" t="s">
        <v>151</v>
      </c>
      <c r="C132" s="125">
        <v>373058</v>
      </c>
      <c r="D132" s="132">
        <v>47780872323</v>
      </c>
      <c r="E132" s="116">
        <f t="shared" si="25"/>
        <v>128078.93765312633</v>
      </c>
      <c r="F132" s="134">
        <v>30666094184</v>
      </c>
      <c r="G132" s="117">
        <f t="shared" si="26"/>
        <v>82201.947643529958</v>
      </c>
      <c r="H132" s="7"/>
      <c r="I132" s="136">
        <v>6.2076000000000002</v>
      </c>
      <c r="J132" s="134">
        <v>190362846.25659841</v>
      </c>
      <c r="K132" s="120">
        <f t="shared" si="27"/>
        <v>510.27681019197661</v>
      </c>
      <c r="L132" s="122">
        <f t="shared" si="14"/>
        <v>306660941.84000003</v>
      </c>
      <c r="M132" s="116">
        <f t="shared" si="15"/>
        <v>116298095.58340162</v>
      </c>
      <c r="N132" s="123">
        <f t="shared" si="16"/>
        <v>311.74266624332307</v>
      </c>
      <c r="O132" s="5"/>
      <c r="P132" s="5">
        <f t="shared" si="17"/>
        <v>1</v>
      </c>
      <c r="Q132" s="7">
        <f t="shared" si="18"/>
        <v>373058</v>
      </c>
    </row>
    <row r="133" spans="1:21">
      <c r="A133" s="23" t="s">
        <v>153</v>
      </c>
      <c r="B133" s="35" t="s">
        <v>151</v>
      </c>
      <c r="C133" s="125">
        <v>26411</v>
      </c>
      <c r="D133" s="132">
        <v>2121763301</v>
      </c>
      <c r="E133" s="116">
        <f t="shared" si="25"/>
        <v>80336.348529021998</v>
      </c>
      <c r="F133" s="134">
        <v>1528636641</v>
      </c>
      <c r="G133" s="117">
        <f t="shared" si="26"/>
        <v>57878.786906970578</v>
      </c>
      <c r="H133" s="9"/>
      <c r="I133" s="136">
        <v>6.9550000000000001</v>
      </c>
      <c r="J133" s="134">
        <v>10631667.838155001</v>
      </c>
      <c r="K133" s="120">
        <f t="shared" si="27"/>
        <v>402.54696293798042</v>
      </c>
      <c r="L133" s="122">
        <f t="shared" si="14"/>
        <v>15286366.41</v>
      </c>
      <c r="M133" s="116">
        <f t="shared" si="15"/>
        <v>4654698.5718449987</v>
      </c>
      <c r="N133" s="123">
        <f t="shared" si="16"/>
        <v>176.24090613172538</v>
      </c>
      <c r="O133" s="5"/>
      <c r="P133" s="5">
        <f t="shared" si="17"/>
        <v>1</v>
      </c>
      <c r="Q133" s="7">
        <f t="shared" si="18"/>
        <v>26411</v>
      </c>
      <c r="S133" s="124">
        <f>SUM(D131:D133)</f>
        <v>52855832678</v>
      </c>
      <c r="T133" s="124">
        <f>SUM(F131:F133)</f>
        <v>34194043974</v>
      </c>
      <c r="U133" s="124">
        <f>SUM(J131:J133)</f>
        <v>212421988.26049271</v>
      </c>
    </row>
    <row r="134" spans="1:21">
      <c r="A134" s="23" t="s">
        <v>154</v>
      </c>
      <c r="B134" s="35" t="s">
        <v>155</v>
      </c>
      <c r="C134" s="125">
        <v>2679</v>
      </c>
      <c r="D134" s="147" t="s">
        <v>564</v>
      </c>
      <c r="E134" s="116"/>
      <c r="F134" s="134"/>
      <c r="G134" s="117"/>
      <c r="H134" s="98" t="s">
        <v>588</v>
      </c>
      <c r="I134" s="136"/>
      <c r="J134" s="134"/>
      <c r="K134" s="120"/>
      <c r="L134" s="122">
        <f t="shared" ref="L134:L197" si="28">(F134*0.01)</f>
        <v>0</v>
      </c>
      <c r="M134" s="116">
        <f t="shared" ref="M134:M197" si="29">(L134-J134)</f>
        <v>0</v>
      </c>
      <c r="N134" s="123">
        <f t="shared" ref="N134:N197" si="30">(M134/C134)</f>
        <v>0</v>
      </c>
      <c r="O134" s="5"/>
      <c r="P134" s="5">
        <f t="shared" ref="P134:P198" si="31">IF(I134&gt;0,1,0)</f>
        <v>0</v>
      </c>
      <c r="Q134" s="7">
        <f t="shared" ref="Q134:Q198" si="32">IF(I134&gt;0,C134,0)</f>
        <v>0</v>
      </c>
    </row>
    <row r="135" spans="1:21">
      <c r="A135" s="23" t="s">
        <v>156</v>
      </c>
      <c r="B135" s="35" t="s">
        <v>155</v>
      </c>
      <c r="C135" s="125">
        <v>384</v>
      </c>
      <c r="D135" s="132">
        <v>11262879</v>
      </c>
      <c r="E135" s="116">
        <f>(D135/C135)</f>
        <v>29330.4140625</v>
      </c>
      <c r="F135" s="134">
        <v>5617260</v>
      </c>
      <c r="G135" s="117">
        <f>(F135/C135)</f>
        <v>14628.28125</v>
      </c>
      <c r="H135" s="7"/>
      <c r="I135" s="151">
        <v>1.6227</v>
      </c>
      <c r="J135" s="134">
        <v>9115.1278020000009</v>
      </c>
      <c r="K135" s="120">
        <f>(J135/C135)</f>
        <v>23.737311984375001</v>
      </c>
      <c r="L135" s="122">
        <f t="shared" si="28"/>
        <v>56172.6</v>
      </c>
      <c r="M135" s="116">
        <f t="shared" si="29"/>
        <v>47057.472197999996</v>
      </c>
      <c r="N135" s="123">
        <f t="shared" si="30"/>
        <v>122.54550051562499</v>
      </c>
      <c r="O135" s="5"/>
      <c r="P135" s="5">
        <f t="shared" si="31"/>
        <v>1</v>
      </c>
      <c r="Q135" s="7">
        <f t="shared" si="32"/>
        <v>384</v>
      </c>
    </row>
    <row r="136" spans="1:21">
      <c r="A136" s="23" t="s">
        <v>157</v>
      </c>
      <c r="B136" s="35" t="s">
        <v>155</v>
      </c>
      <c r="C136" s="125">
        <v>186</v>
      </c>
      <c r="D136" s="132">
        <v>4582697</v>
      </c>
      <c r="E136" s="116">
        <f>(D136/C136)</f>
        <v>24638.155913978495</v>
      </c>
      <c r="F136" s="134">
        <v>2063881</v>
      </c>
      <c r="G136" s="117">
        <f>(F136/C136)</f>
        <v>11096.134408602151</v>
      </c>
      <c r="H136" s="9"/>
      <c r="I136" s="136">
        <v>1</v>
      </c>
      <c r="J136" s="134">
        <v>2063.8809999999999</v>
      </c>
      <c r="K136" s="120">
        <f>(J136/C136)</f>
        <v>11.096134408602151</v>
      </c>
      <c r="L136" s="122">
        <f t="shared" si="28"/>
        <v>20638.810000000001</v>
      </c>
      <c r="M136" s="116">
        <f t="shared" si="29"/>
        <v>18574.929</v>
      </c>
      <c r="N136" s="123">
        <f t="shared" si="30"/>
        <v>99.865209677419358</v>
      </c>
      <c r="O136" s="5"/>
      <c r="P136" s="5">
        <f t="shared" si="31"/>
        <v>1</v>
      </c>
      <c r="Q136" s="7">
        <f t="shared" si="32"/>
        <v>186</v>
      </c>
    </row>
    <row r="137" spans="1:21">
      <c r="A137" s="23" t="s">
        <v>158</v>
      </c>
      <c r="B137" s="35" t="s">
        <v>155</v>
      </c>
      <c r="C137" s="125">
        <v>560</v>
      </c>
      <c r="D137" s="147" t="s">
        <v>564</v>
      </c>
      <c r="E137" s="116"/>
      <c r="F137" s="134"/>
      <c r="G137" s="117"/>
      <c r="H137" s="98" t="s">
        <v>588</v>
      </c>
      <c r="I137" s="136"/>
      <c r="J137" s="134"/>
      <c r="K137" s="120"/>
      <c r="L137" s="122">
        <f t="shared" si="28"/>
        <v>0</v>
      </c>
      <c r="M137" s="116">
        <f t="shared" si="29"/>
        <v>0</v>
      </c>
      <c r="N137" s="123">
        <f t="shared" si="30"/>
        <v>0</v>
      </c>
      <c r="O137" s="5"/>
      <c r="P137" s="5">
        <f t="shared" si="31"/>
        <v>0</v>
      </c>
      <c r="Q137" s="7">
        <f t="shared" si="32"/>
        <v>0</v>
      </c>
    </row>
    <row r="138" spans="1:21">
      <c r="A138" s="23" t="s">
        <v>159</v>
      </c>
      <c r="B138" s="35" t="s">
        <v>155</v>
      </c>
      <c r="C138" s="125">
        <v>291</v>
      </c>
      <c r="D138" s="147" t="s">
        <v>564</v>
      </c>
      <c r="E138" s="116"/>
      <c r="F138" s="134"/>
      <c r="G138" s="117"/>
      <c r="H138" s="98" t="s">
        <v>588</v>
      </c>
      <c r="I138" s="136"/>
      <c r="J138" s="134"/>
      <c r="K138" s="120"/>
      <c r="L138" s="122">
        <f t="shared" si="28"/>
        <v>0</v>
      </c>
      <c r="M138" s="116">
        <f t="shared" si="29"/>
        <v>0</v>
      </c>
      <c r="N138" s="123">
        <f t="shared" si="30"/>
        <v>0</v>
      </c>
      <c r="O138" s="5"/>
      <c r="P138" s="5">
        <f t="shared" si="31"/>
        <v>0</v>
      </c>
      <c r="Q138" s="7">
        <f t="shared" si="32"/>
        <v>0</v>
      </c>
      <c r="S138" s="124">
        <f>SUM(D134:D138)</f>
        <v>15845576</v>
      </c>
      <c r="T138" s="124">
        <f>SUM(F134:F138)</f>
        <v>7681141</v>
      </c>
      <c r="U138" s="124">
        <f>SUM(J134:J138)</f>
        <v>11179.008802</v>
      </c>
    </row>
    <row r="139" spans="1:21">
      <c r="A139" s="23" t="s">
        <v>160</v>
      </c>
      <c r="B139" s="35" t="s">
        <v>161</v>
      </c>
      <c r="C139" s="125">
        <v>5483</v>
      </c>
      <c r="D139" s="132">
        <v>385415706</v>
      </c>
      <c r="E139" s="116">
        <f t="shared" ref="E139:E144" si="33">(D139/C139)</f>
        <v>70292.851723509026</v>
      </c>
      <c r="F139" s="134">
        <v>105732298</v>
      </c>
      <c r="G139" s="117">
        <f t="shared" ref="G139:G144" si="34">(F139/C139)</f>
        <v>19283.658216304942</v>
      </c>
      <c r="H139" s="7"/>
      <c r="I139" s="150">
        <v>4.9599000000000002</v>
      </c>
      <c r="J139" s="134">
        <v>524421.62485020002</v>
      </c>
      <c r="K139" s="120">
        <f t="shared" ref="K139:K144" si="35">(J139/C139)</f>
        <v>95.645016387050887</v>
      </c>
      <c r="L139" s="122">
        <f t="shared" si="28"/>
        <v>1057322.98</v>
      </c>
      <c r="M139" s="116">
        <f t="shared" si="29"/>
        <v>532901.35514979996</v>
      </c>
      <c r="N139" s="123">
        <f t="shared" si="30"/>
        <v>97.191565775998527</v>
      </c>
      <c r="O139" s="5"/>
      <c r="P139" s="5">
        <f t="shared" si="31"/>
        <v>1</v>
      </c>
      <c r="Q139" s="7">
        <f t="shared" si="32"/>
        <v>5483</v>
      </c>
    </row>
    <row r="140" spans="1:21">
      <c r="A140" s="23" t="s">
        <v>162</v>
      </c>
      <c r="B140" s="35" t="s">
        <v>161</v>
      </c>
      <c r="C140" s="125">
        <v>4138</v>
      </c>
      <c r="D140" s="132">
        <v>3679217724</v>
      </c>
      <c r="E140" s="116">
        <f t="shared" si="33"/>
        <v>889129.46447559202</v>
      </c>
      <c r="F140" s="134">
        <v>2936506599</v>
      </c>
      <c r="G140" s="117">
        <f t="shared" si="34"/>
        <v>709643.93402609951</v>
      </c>
      <c r="H140" s="7"/>
      <c r="I140" s="136">
        <v>1.3774</v>
      </c>
      <c r="J140" s="134">
        <v>4044744.1894625998</v>
      </c>
      <c r="K140" s="120">
        <f t="shared" si="35"/>
        <v>977.46355472754954</v>
      </c>
      <c r="L140" s="122">
        <f t="shared" si="28"/>
        <v>29365065.990000002</v>
      </c>
      <c r="M140" s="116">
        <f t="shared" si="29"/>
        <v>25320321.800537404</v>
      </c>
      <c r="N140" s="123">
        <f t="shared" si="30"/>
        <v>6118.9757855334474</v>
      </c>
      <c r="O140" s="5"/>
      <c r="P140" s="5">
        <f t="shared" si="31"/>
        <v>1</v>
      </c>
      <c r="Q140" s="7">
        <f t="shared" si="32"/>
        <v>4138</v>
      </c>
    </row>
    <row r="141" spans="1:21">
      <c r="A141" s="23" t="s">
        <v>163</v>
      </c>
      <c r="B141" s="35" t="s">
        <v>161</v>
      </c>
      <c r="C141" s="125">
        <v>419</v>
      </c>
      <c r="D141" s="132">
        <v>483359373</v>
      </c>
      <c r="E141" s="116">
        <f t="shared" si="33"/>
        <v>1153602.3221957041</v>
      </c>
      <c r="F141" s="134">
        <v>414098516</v>
      </c>
      <c r="G141" s="117">
        <f t="shared" si="34"/>
        <v>988301.94749403337</v>
      </c>
      <c r="H141" s="7"/>
      <c r="I141" s="136">
        <v>2.2999999999999998</v>
      </c>
      <c r="J141" s="134">
        <v>952426.58679999993</v>
      </c>
      <c r="K141" s="120">
        <f t="shared" si="35"/>
        <v>2273.0944792362766</v>
      </c>
      <c r="L141" s="122">
        <f t="shared" si="28"/>
        <v>4140985.16</v>
      </c>
      <c r="M141" s="116">
        <f t="shared" si="29"/>
        <v>3188558.5732000005</v>
      </c>
      <c r="N141" s="123">
        <f t="shared" si="30"/>
        <v>7609.9249957040583</v>
      </c>
      <c r="O141" s="5"/>
      <c r="P141" s="5">
        <f t="shared" si="31"/>
        <v>1</v>
      </c>
      <c r="Q141" s="7">
        <f t="shared" si="32"/>
        <v>419</v>
      </c>
    </row>
    <row r="142" spans="1:21">
      <c r="A142" s="23" t="s">
        <v>164</v>
      </c>
      <c r="B142" s="35" t="s">
        <v>161</v>
      </c>
      <c r="C142" s="125">
        <v>24192</v>
      </c>
      <c r="D142" s="132">
        <v>2067411241</v>
      </c>
      <c r="E142" s="116">
        <f t="shared" si="33"/>
        <v>85458.467303240745</v>
      </c>
      <c r="F142" s="134">
        <v>1153129498</v>
      </c>
      <c r="G142" s="117">
        <f t="shared" si="34"/>
        <v>47665.7365244709</v>
      </c>
      <c r="H142" s="7"/>
      <c r="I142" s="136">
        <v>3.4</v>
      </c>
      <c r="J142" s="134">
        <v>3920640.2931999997</v>
      </c>
      <c r="K142" s="120">
        <f t="shared" si="35"/>
        <v>162.06350418320105</v>
      </c>
      <c r="L142" s="122">
        <f t="shared" si="28"/>
        <v>11531294.98</v>
      </c>
      <c r="M142" s="116">
        <f t="shared" si="29"/>
        <v>7610654.6868000012</v>
      </c>
      <c r="N142" s="123">
        <f t="shared" si="30"/>
        <v>314.59386106150799</v>
      </c>
      <c r="O142" s="5"/>
      <c r="P142" s="5">
        <f t="shared" si="31"/>
        <v>1</v>
      </c>
      <c r="Q142" s="7">
        <f t="shared" si="32"/>
        <v>24192</v>
      </c>
    </row>
    <row r="143" spans="1:21">
      <c r="A143" s="23" t="s">
        <v>165</v>
      </c>
      <c r="B143" s="35" t="s">
        <v>161</v>
      </c>
      <c r="C143" s="125">
        <v>16086</v>
      </c>
      <c r="D143" s="132">
        <v>3817007896</v>
      </c>
      <c r="E143" s="116">
        <f t="shared" si="33"/>
        <v>237287.57279622031</v>
      </c>
      <c r="F143" s="134">
        <v>2668855000</v>
      </c>
      <c r="G143" s="117">
        <f t="shared" si="34"/>
        <v>165911.66231505657</v>
      </c>
      <c r="H143" s="7"/>
      <c r="I143" s="136">
        <v>2.5194000000000001</v>
      </c>
      <c r="J143" s="134">
        <v>6723913.2869999995</v>
      </c>
      <c r="K143" s="120">
        <f t="shared" si="35"/>
        <v>417.99784203655349</v>
      </c>
      <c r="L143" s="122">
        <f t="shared" si="28"/>
        <v>26688550</v>
      </c>
      <c r="M143" s="116">
        <f t="shared" si="29"/>
        <v>19964636.713</v>
      </c>
      <c r="N143" s="123">
        <f t="shared" si="30"/>
        <v>1241.1187811140121</v>
      </c>
      <c r="O143" s="5"/>
      <c r="P143" s="5">
        <f t="shared" si="31"/>
        <v>1</v>
      </c>
      <c r="Q143" s="7">
        <f t="shared" si="32"/>
        <v>16086</v>
      </c>
      <c r="S143" s="124">
        <f>SUM(D139:D143)</f>
        <v>10432411940</v>
      </c>
      <c r="T143" s="124">
        <f>SUM(F139:F143)</f>
        <v>7278321911</v>
      </c>
      <c r="U143" s="124">
        <f>SUM(J139:J143)</f>
        <v>16166145.9813128</v>
      </c>
    </row>
    <row r="144" spans="1:21">
      <c r="A144" s="23" t="s">
        <v>166</v>
      </c>
      <c r="B144" s="35" t="s">
        <v>167</v>
      </c>
      <c r="C144" s="125">
        <v>497</v>
      </c>
      <c r="D144" s="132">
        <v>15488267</v>
      </c>
      <c r="E144" s="116">
        <f t="shared" si="33"/>
        <v>31163.51509054326</v>
      </c>
      <c r="F144" s="134">
        <v>9494763</v>
      </c>
      <c r="G144" s="117">
        <f t="shared" si="34"/>
        <v>19104.150905432594</v>
      </c>
      <c r="H144" s="9"/>
      <c r="I144" s="136">
        <v>1.3358000000000001</v>
      </c>
      <c r="J144" s="134">
        <v>12683.104415400001</v>
      </c>
      <c r="K144" s="120">
        <f t="shared" si="35"/>
        <v>25.519324779476865</v>
      </c>
      <c r="L144" s="122">
        <f t="shared" si="28"/>
        <v>94947.63</v>
      </c>
      <c r="M144" s="116">
        <f t="shared" si="29"/>
        <v>82264.525584600007</v>
      </c>
      <c r="N144" s="123">
        <f t="shared" si="30"/>
        <v>165.52218427484911</v>
      </c>
      <c r="O144" s="5"/>
      <c r="P144" s="5">
        <f t="shared" si="31"/>
        <v>1</v>
      </c>
      <c r="Q144" s="7">
        <f t="shared" si="32"/>
        <v>497</v>
      </c>
    </row>
    <row r="145" spans="1:21">
      <c r="A145" s="23" t="s">
        <v>168</v>
      </c>
      <c r="B145" s="35" t="s">
        <v>167</v>
      </c>
      <c r="C145" s="125">
        <v>121</v>
      </c>
      <c r="D145" s="147" t="s">
        <v>564</v>
      </c>
      <c r="E145" s="116"/>
      <c r="F145" s="134"/>
      <c r="G145" s="117"/>
      <c r="H145" s="98" t="s">
        <v>588</v>
      </c>
      <c r="I145" s="136"/>
      <c r="J145" s="134"/>
      <c r="K145" s="120"/>
      <c r="L145" s="122">
        <f t="shared" si="28"/>
        <v>0</v>
      </c>
      <c r="M145" s="116">
        <f t="shared" si="29"/>
        <v>0</v>
      </c>
      <c r="N145" s="123">
        <f t="shared" si="30"/>
        <v>0</v>
      </c>
      <c r="O145" s="5"/>
      <c r="P145" s="5">
        <f t="shared" si="31"/>
        <v>0</v>
      </c>
      <c r="Q145" s="7">
        <f t="shared" si="32"/>
        <v>0</v>
      </c>
    </row>
    <row r="146" spans="1:21">
      <c r="A146" s="23" t="s">
        <v>169</v>
      </c>
      <c r="B146" s="35" t="s">
        <v>167</v>
      </c>
      <c r="C146" s="125">
        <v>218</v>
      </c>
      <c r="D146" s="132">
        <v>15272161</v>
      </c>
      <c r="E146" s="116">
        <f>(D146/C146)</f>
        <v>70055.784403669721</v>
      </c>
      <c r="F146" s="134">
        <v>9775164</v>
      </c>
      <c r="G146" s="117">
        <f>(F146/C146)</f>
        <v>44840.201834862382</v>
      </c>
      <c r="H146" s="7"/>
      <c r="I146" s="151">
        <v>2.9399000000000002</v>
      </c>
      <c r="J146" s="134">
        <v>28738.004643600001</v>
      </c>
      <c r="K146" s="120">
        <f>(J146/C146)</f>
        <v>131.82570937431194</v>
      </c>
      <c r="L146" s="122">
        <f t="shared" si="28"/>
        <v>97751.64</v>
      </c>
      <c r="M146" s="116">
        <f t="shared" si="29"/>
        <v>69013.635356400002</v>
      </c>
      <c r="N146" s="123">
        <f t="shared" si="30"/>
        <v>316.57630897431193</v>
      </c>
      <c r="O146" s="5"/>
      <c r="P146" s="5">
        <f t="shared" si="31"/>
        <v>1</v>
      </c>
      <c r="Q146" s="7">
        <f t="shared" si="32"/>
        <v>218</v>
      </c>
    </row>
    <row r="147" spans="1:21">
      <c r="A147" s="23" t="s">
        <v>170</v>
      </c>
      <c r="B147" s="35" t="s">
        <v>167</v>
      </c>
      <c r="C147" s="125">
        <v>900</v>
      </c>
      <c r="D147" s="132">
        <v>32243898</v>
      </c>
      <c r="E147" s="116">
        <f>(D147/C147)</f>
        <v>35826.553333333337</v>
      </c>
      <c r="F147" s="134">
        <v>17425995</v>
      </c>
      <c r="G147" s="117">
        <f>(F147/C147)</f>
        <v>19362.216666666667</v>
      </c>
      <c r="H147" s="7"/>
      <c r="I147" s="136">
        <v>3.8542000000000001</v>
      </c>
      <c r="J147" s="134">
        <v>67163.269929000002</v>
      </c>
      <c r="K147" s="120">
        <f>(J147/C147)</f>
        <v>74.625855476666672</v>
      </c>
      <c r="L147" s="122">
        <f t="shared" si="28"/>
        <v>174259.95</v>
      </c>
      <c r="M147" s="116">
        <f t="shared" si="29"/>
        <v>107096.68007100001</v>
      </c>
      <c r="N147" s="123">
        <f t="shared" si="30"/>
        <v>118.99631119000001</v>
      </c>
      <c r="O147" s="5"/>
      <c r="P147" s="5">
        <f t="shared" si="31"/>
        <v>1</v>
      </c>
      <c r="Q147" s="7">
        <f t="shared" si="32"/>
        <v>900</v>
      </c>
    </row>
    <row r="148" spans="1:21">
      <c r="A148" s="23" t="s">
        <v>171</v>
      </c>
      <c r="B148" s="35" t="s">
        <v>167</v>
      </c>
      <c r="C148" s="125">
        <v>2196</v>
      </c>
      <c r="D148" s="132">
        <v>122186457</v>
      </c>
      <c r="E148" s="116">
        <f>(D148/C148)</f>
        <v>55640.4631147541</v>
      </c>
      <c r="F148" s="134">
        <v>79236451</v>
      </c>
      <c r="G148" s="117">
        <f>(F148/C148)</f>
        <v>36082.172586520945</v>
      </c>
      <c r="H148" s="9"/>
      <c r="I148" s="136">
        <v>4</v>
      </c>
      <c r="J148" s="134">
        <v>316945.804</v>
      </c>
      <c r="K148" s="120">
        <f>(J148/C148)</f>
        <v>144.32869034608379</v>
      </c>
      <c r="L148" s="122">
        <f t="shared" si="28"/>
        <v>792364.51</v>
      </c>
      <c r="M148" s="116">
        <f t="shared" si="29"/>
        <v>475418.70600000001</v>
      </c>
      <c r="N148" s="123">
        <f t="shared" si="30"/>
        <v>216.4930355191257</v>
      </c>
      <c r="O148" s="5"/>
      <c r="P148" s="5">
        <f t="shared" si="31"/>
        <v>1</v>
      </c>
      <c r="Q148" s="7">
        <f t="shared" si="32"/>
        <v>2196</v>
      </c>
    </row>
    <row r="149" spans="1:21">
      <c r="A149" s="23" t="s">
        <v>172</v>
      </c>
      <c r="B149" s="35" t="s">
        <v>167</v>
      </c>
      <c r="C149" s="125">
        <v>955</v>
      </c>
      <c r="D149" s="147" t="s">
        <v>564</v>
      </c>
      <c r="E149" s="116"/>
      <c r="F149" s="134"/>
      <c r="G149" s="117"/>
      <c r="H149" s="98" t="s">
        <v>588</v>
      </c>
      <c r="I149" s="136"/>
      <c r="J149" s="134"/>
      <c r="K149" s="120"/>
      <c r="L149" s="122">
        <f t="shared" si="28"/>
        <v>0</v>
      </c>
      <c r="M149" s="116">
        <f t="shared" si="29"/>
        <v>0</v>
      </c>
      <c r="N149" s="123">
        <f t="shared" si="30"/>
        <v>0</v>
      </c>
      <c r="O149" s="5"/>
      <c r="P149" s="5">
        <f t="shared" si="31"/>
        <v>0</v>
      </c>
      <c r="Q149" s="7">
        <f t="shared" si="32"/>
        <v>0</v>
      </c>
    </row>
    <row r="150" spans="1:21">
      <c r="A150" s="23" t="s">
        <v>173</v>
      </c>
      <c r="B150" s="35" t="s">
        <v>167</v>
      </c>
      <c r="C150" s="125">
        <v>703</v>
      </c>
      <c r="D150" s="132">
        <v>23593265</v>
      </c>
      <c r="E150" s="116">
        <f t="shared" ref="E150:E198" si="36">(D150/C150)</f>
        <v>33560.832147937414</v>
      </c>
      <c r="F150" s="134">
        <v>13482771</v>
      </c>
      <c r="G150" s="117">
        <f t="shared" ref="G150:G198" si="37">(F150/C150)</f>
        <v>19178.90611664296</v>
      </c>
      <c r="H150" s="7"/>
      <c r="I150" s="150">
        <v>1</v>
      </c>
      <c r="J150" s="134">
        <v>13482.771000000001</v>
      </c>
      <c r="K150" s="120">
        <f t="shared" ref="K150:K198" si="38">(J150/C150)</f>
        <v>19.17890611664296</v>
      </c>
      <c r="L150" s="122">
        <f t="shared" si="28"/>
        <v>134827.71</v>
      </c>
      <c r="M150" s="116">
        <f t="shared" si="29"/>
        <v>121344.93899999998</v>
      </c>
      <c r="N150" s="123">
        <f t="shared" si="30"/>
        <v>172.61015504978661</v>
      </c>
      <c r="O150" s="5"/>
      <c r="P150" s="5">
        <f t="shared" si="31"/>
        <v>1</v>
      </c>
      <c r="Q150" s="7">
        <f t="shared" si="32"/>
        <v>703</v>
      </c>
    </row>
    <row r="151" spans="1:21">
      <c r="A151" s="23" t="s">
        <v>508</v>
      </c>
      <c r="B151" s="35" t="s">
        <v>167</v>
      </c>
      <c r="C151" s="125">
        <v>240</v>
      </c>
      <c r="D151" s="132">
        <v>7963677</v>
      </c>
      <c r="E151" s="116">
        <f t="shared" si="36"/>
        <v>33181.987500000003</v>
      </c>
      <c r="F151" s="134">
        <v>4126578</v>
      </c>
      <c r="G151" s="117">
        <f t="shared" si="37"/>
        <v>17194.075000000001</v>
      </c>
      <c r="H151" s="9"/>
      <c r="I151" s="136">
        <v>3</v>
      </c>
      <c r="J151" s="134">
        <v>12379.734</v>
      </c>
      <c r="K151" s="120">
        <f t="shared" si="38"/>
        <v>51.582225000000001</v>
      </c>
      <c r="L151" s="122">
        <f t="shared" si="28"/>
        <v>41265.78</v>
      </c>
      <c r="M151" s="116">
        <f t="shared" si="29"/>
        <v>28886.045999999998</v>
      </c>
      <c r="N151" s="123">
        <f t="shared" si="30"/>
        <v>120.358525</v>
      </c>
      <c r="O151" s="5"/>
      <c r="P151" s="5">
        <f t="shared" si="31"/>
        <v>1</v>
      </c>
      <c r="Q151" s="7">
        <f t="shared" si="32"/>
        <v>240</v>
      </c>
    </row>
    <row r="152" spans="1:21">
      <c r="A152" s="23" t="s">
        <v>175</v>
      </c>
      <c r="B152" s="35" t="s">
        <v>167</v>
      </c>
      <c r="C152" s="125">
        <v>2182</v>
      </c>
      <c r="D152" s="147">
        <v>46897187</v>
      </c>
      <c r="E152" s="116">
        <f t="shared" si="36"/>
        <v>21492.752978918423</v>
      </c>
      <c r="F152" s="134">
        <v>14959585</v>
      </c>
      <c r="G152" s="117">
        <f t="shared" si="37"/>
        <v>6855.905132905591</v>
      </c>
      <c r="H152" s="98"/>
      <c r="I152" s="136">
        <v>1</v>
      </c>
      <c r="J152" s="134">
        <v>14959.584999999999</v>
      </c>
      <c r="K152" s="120">
        <f t="shared" si="38"/>
        <v>6.8559051329055904</v>
      </c>
      <c r="L152" s="122">
        <f t="shared" si="28"/>
        <v>149595.85</v>
      </c>
      <c r="M152" s="116">
        <f t="shared" si="29"/>
        <v>134636.26500000001</v>
      </c>
      <c r="N152" s="123">
        <f t="shared" si="30"/>
        <v>61.703146196150328</v>
      </c>
      <c r="O152" s="5"/>
      <c r="P152" s="5">
        <f t="shared" si="31"/>
        <v>1</v>
      </c>
      <c r="Q152" s="7">
        <f t="shared" si="32"/>
        <v>2182</v>
      </c>
    </row>
    <row r="153" spans="1:21">
      <c r="A153" s="23" t="s">
        <v>176</v>
      </c>
      <c r="B153" s="35" t="s">
        <v>167</v>
      </c>
      <c r="C153" s="125">
        <v>7721</v>
      </c>
      <c r="D153" s="132">
        <v>474320696</v>
      </c>
      <c r="E153" s="116">
        <f t="shared" si="36"/>
        <v>61432.547079393858</v>
      </c>
      <c r="F153" s="134">
        <v>247442320</v>
      </c>
      <c r="G153" s="117">
        <f t="shared" si="37"/>
        <v>32047.962699132237</v>
      </c>
      <c r="H153" s="7"/>
      <c r="I153" s="150">
        <v>2.8340999999999998</v>
      </c>
      <c r="J153" s="134">
        <v>701276.27911200002</v>
      </c>
      <c r="K153" s="120">
        <f t="shared" si="38"/>
        <v>90.827131085610674</v>
      </c>
      <c r="L153" s="122">
        <f t="shared" si="28"/>
        <v>2474423.2000000002</v>
      </c>
      <c r="M153" s="116">
        <f t="shared" si="29"/>
        <v>1773146.9208880002</v>
      </c>
      <c r="N153" s="123">
        <f t="shared" si="30"/>
        <v>229.6524959057117</v>
      </c>
      <c r="O153" s="5"/>
      <c r="P153" s="5">
        <f t="shared" si="31"/>
        <v>1</v>
      </c>
      <c r="Q153" s="7">
        <f t="shared" si="32"/>
        <v>7721</v>
      </c>
    </row>
    <row r="154" spans="1:21">
      <c r="A154" s="23" t="s">
        <v>177</v>
      </c>
      <c r="B154" s="35" t="s">
        <v>167</v>
      </c>
      <c r="C154" s="125">
        <v>1921</v>
      </c>
      <c r="D154" s="132">
        <v>62907946</v>
      </c>
      <c r="E154" s="116">
        <f t="shared" si="36"/>
        <v>32747.499219156689</v>
      </c>
      <c r="F154" s="134">
        <v>35070782</v>
      </c>
      <c r="G154" s="117">
        <f t="shared" si="37"/>
        <v>18256.523685580425</v>
      </c>
      <c r="H154" s="7"/>
      <c r="I154" s="136">
        <v>0.60709999999999997</v>
      </c>
      <c r="J154" s="134">
        <v>21291.471752199999</v>
      </c>
      <c r="K154" s="120">
        <f t="shared" si="38"/>
        <v>11.083535529515876</v>
      </c>
      <c r="L154" s="122">
        <f t="shared" si="28"/>
        <v>350707.82</v>
      </c>
      <c r="M154" s="116">
        <f t="shared" si="29"/>
        <v>329416.34824780002</v>
      </c>
      <c r="N154" s="123">
        <f t="shared" si="30"/>
        <v>171.4817013262884</v>
      </c>
      <c r="O154" s="5"/>
      <c r="P154" s="5">
        <f t="shared" si="31"/>
        <v>1</v>
      </c>
      <c r="Q154" s="7">
        <f t="shared" si="32"/>
        <v>1921</v>
      </c>
      <c r="S154" s="124">
        <f>SUM(D144:D154)</f>
        <v>800873554</v>
      </c>
      <c r="T154" s="124">
        <f>SUM(F144:F154)</f>
        <v>431014409</v>
      </c>
      <c r="U154" s="124">
        <f>SUM(J144:J154)</f>
        <v>1188920.0238522</v>
      </c>
    </row>
    <row r="155" spans="1:21">
      <c r="A155" s="23" t="s">
        <v>178</v>
      </c>
      <c r="B155" s="35" t="s">
        <v>179</v>
      </c>
      <c r="C155" s="125">
        <v>2425</v>
      </c>
      <c r="D155" s="132">
        <v>148082344</v>
      </c>
      <c r="E155" s="116">
        <f t="shared" si="36"/>
        <v>61064.884123711337</v>
      </c>
      <c r="F155" s="134">
        <v>88546451</v>
      </c>
      <c r="G155" s="117">
        <f t="shared" si="37"/>
        <v>36514.000412371133</v>
      </c>
      <c r="H155" s="7"/>
      <c r="I155" s="136">
        <v>7.2</v>
      </c>
      <c r="J155" s="134">
        <v>637534.44720000005</v>
      </c>
      <c r="K155" s="120">
        <f t="shared" si="38"/>
        <v>262.90080296907217</v>
      </c>
      <c r="L155" s="122">
        <f t="shared" si="28"/>
        <v>885464.51</v>
      </c>
      <c r="M155" s="116">
        <f t="shared" si="29"/>
        <v>247930.06279999996</v>
      </c>
      <c r="N155" s="123">
        <f t="shared" si="30"/>
        <v>102.23920115463916</v>
      </c>
      <c r="O155" s="5"/>
      <c r="P155" s="5">
        <f t="shared" si="31"/>
        <v>1</v>
      </c>
      <c r="Q155" s="7">
        <f t="shared" si="32"/>
        <v>2425</v>
      </c>
      <c r="S155" s="124">
        <f>SUM(D155)</f>
        <v>148082344</v>
      </c>
      <c r="T155" s="124">
        <f>SUM(F155)</f>
        <v>88546451</v>
      </c>
      <c r="U155" s="124">
        <f>SUM(J155)</f>
        <v>637534.44720000005</v>
      </c>
    </row>
    <row r="156" spans="1:21">
      <c r="A156" s="23" t="s">
        <v>180</v>
      </c>
      <c r="B156" s="35" t="s">
        <v>181</v>
      </c>
      <c r="C156" s="125">
        <v>1226</v>
      </c>
      <c r="D156" s="132">
        <v>43157869</v>
      </c>
      <c r="E156" s="116">
        <f t="shared" si="36"/>
        <v>35202.176998368675</v>
      </c>
      <c r="F156" s="134">
        <v>23458648</v>
      </c>
      <c r="G156" s="117">
        <f t="shared" si="37"/>
        <v>19134.296900489397</v>
      </c>
      <c r="H156" s="7"/>
      <c r="I156" s="136">
        <v>6</v>
      </c>
      <c r="J156" s="134">
        <v>140751.88800000001</v>
      </c>
      <c r="K156" s="120">
        <f t="shared" si="38"/>
        <v>114.80578140293639</v>
      </c>
      <c r="L156" s="122">
        <f t="shared" si="28"/>
        <v>234586.48</v>
      </c>
      <c r="M156" s="116">
        <f t="shared" si="29"/>
        <v>93834.592000000004</v>
      </c>
      <c r="N156" s="123">
        <f t="shared" si="30"/>
        <v>76.537187601957584</v>
      </c>
      <c r="O156" s="5"/>
      <c r="P156" s="5">
        <f t="shared" si="31"/>
        <v>1</v>
      </c>
      <c r="Q156" s="7">
        <f t="shared" si="32"/>
        <v>1226</v>
      </c>
      <c r="S156" s="124">
        <f>SUM(D156)</f>
        <v>43157869</v>
      </c>
      <c r="T156" s="124">
        <f>SUM(F156)</f>
        <v>23458648</v>
      </c>
      <c r="U156" s="124">
        <f>SUM(J156)</f>
        <v>140751.88800000001</v>
      </c>
    </row>
    <row r="157" spans="1:21">
      <c r="A157" s="23" t="s">
        <v>182</v>
      </c>
      <c r="B157" s="35" t="s">
        <v>183</v>
      </c>
      <c r="C157" s="125">
        <v>1881</v>
      </c>
      <c r="D157" s="147">
        <v>77094441</v>
      </c>
      <c r="E157" s="116">
        <f t="shared" si="36"/>
        <v>40985.880382775118</v>
      </c>
      <c r="F157" s="134">
        <v>51449449</v>
      </c>
      <c r="G157" s="117">
        <f t="shared" si="37"/>
        <v>27352.179160021264</v>
      </c>
      <c r="H157" s="9"/>
      <c r="I157" s="136">
        <v>7.5</v>
      </c>
      <c r="J157" s="134">
        <v>385870.86749999999</v>
      </c>
      <c r="K157" s="120">
        <f t="shared" si="38"/>
        <v>205.1413437001595</v>
      </c>
      <c r="L157" s="122">
        <f t="shared" si="28"/>
        <v>514494.49</v>
      </c>
      <c r="M157" s="116">
        <f t="shared" si="29"/>
        <v>128623.6225</v>
      </c>
      <c r="N157" s="123">
        <f t="shared" si="30"/>
        <v>68.380447900053156</v>
      </c>
      <c r="O157" s="5"/>
      <c r="P157" s="5">
        <f t="shared" si="31"/>
        <v>1</v>
      </c>
      <c r="Q157" s="7">
        <f t="shared" si="32"/>
        <v>1881</v>
      </c>
    </row>
    <row r="158" spans="1:21">
      <c r="A158" s="23" t="s">
        <v>184</v>
      </c>
      <c r="B158" s="35" t="s">
        <v>183</v>
      </c>
      <c r="C158" s="125">
        <v>35807</v>
      </c>
      <c r="D158" s="147">
        <v>3598567662</v>
      </c>
      <c r="E158" s="116">
        <f t="shared" si="36"/>
        <v>100498.9991342475</v>
      </c>
      <c r="F158" s="134">
        <v>2563645431</v>
      </c>
      <c r="G158" s="117">
        <f t="shared" si="37"/>
        <v>71596.208311224065</v>
      </c>
      <c r="H158" s="9"/>
      <c r="I158" s="136">
        <v>4.2061000000000002</v>
      </c>
      <c r="J158" s="134">
        <v>10782949.0473291</v>
      </c>
      <c r="K158" s="120">
        <f t="shared" si="38"/>
        <v>301.14081177783953</v>
      </c>
      <c r="L158" s="122">
        <f t="shared" si="28"/>
        <v>25636454.310000002</v>
      </c>
      <c r="M158" s="116">
        <f t="shared" si="29"/>
        <v>14853505.262670903</v>
      </c>
      <c r="N158" s="123">
        <f t="shared" si="30"/>
        <v>414.82127133440116</v>
      </c>
      <c r="O158" s="5"/>
      <c r="P158" s="5">
        <f t="shared" si="31"/>
        <v>1</v>
      </c>
      <c r="Q158" s="7">
        <f t="shared" si="32"/>
        <v>35807</v>
      </c>
    </row>
    <row r="159" spans="1:21">
      <c r="A159" s="23" t="s">
        <v>185</v>
      </c>
      <c r="B159" s="35" t="s">
        <v>183</v>
      </c>
      <c r="C159" s="125">
        <v>20880</v>
      </c>
      <c r="D159" s="132">
        <v>1328950242</v>
      </c>
      <c r="E159" s="116">
        <f t="shared" si="36"/>
        <v>63647.042241379313</v>
      </c>
      <c r="F159" s="134">
        <v>897789000</v>
      </c>
      <c r="G159" s="117">
        <f t="shared" si="37"/>
        <v>42997.557471264365</v>
      </c>
      <c r="H159" s="7"/>
      <c r="I159" s="136">
        <v>7.5810000000000004</v>
      </c>
      <c r="J159" s="134">
        <v>6806138.409</v>
      </c>
      <c r="K159" s="120">
        <f t="shared" si="38"/>
        <v>325.9644831896552</v>
      </c>
      <c r="L159" s="122">
        <f t="shared" si="28"/>
        <v>8977890</v>
      </c>
      <c r="M159" s="116">
        <f t="shared" si="29"/>
        <v>2171751.591</v>
      </c>
      <c r="N159" s="123">
        <f t="shared" si="30"/>
        <v>104.01109152298851</v>
      </c>
      <c r="O159" s="5"/>
      <c r="P159" s="5">
        <f t="shared" si="31"/>
        <v>1</v>
      </c>
      <c r="Q159" s="7">
        <f t="shared" si="32"/>
        <v>20880</v>
      </c>
    </row>
    <row r="160" spans="1:21">
      <c r="A160" s="23" t="s">
        <v>186</v>
      </c>
      <c r="B160" s="35" t="s">
        <v>183</v>
      </c>
      <c r="C160" s="125">
        <v>7291</v>
      </c>
      <c r="D160" s="132">
        <v>631425715</v>
      </c>
      <c r="E160" s="116">
        <f t="shared" si="36"/>
        <v>86603.444657797285</v>
      </c>
      <c r="F160" s="134">
        <v>490328910</v>
      </c>
      <c r="G160" s="117">
        <f t="shared" si="37"/>
        <v>67251.256343437111</v>
      </c>
      <c r="H160" s="7"/>
      <c r="I160" s="136">
        <v>3.9863</v>
      </c>
      <c r="J160" s="134">
        <v>1954598.133933</v>
      </c>
      <c r="K160" s="120">
        <f t="shared" si="38"/>
        <v>268.0836831618434</v>
      </c>
      <c r="L160" s="122">
        <f t="shared" si="28"/>
        <v>4903289.1000000006</v>
      </c>
      <c r="M160" s="116">
        <f t="shared" si="29"/>
        <v>2948690.9660670003</v>
      </c>
      <c r="N160" s="123">
        <f t="shared" si="30"/>
        <v>404.42888027252781</v>
      </c>
      <c r="O160" s="5"/>
      <c r="P160" s="5">
        <f t="shared" si="31"/>
        <v>1</v>
      </c>
      <c r="Q160" s="7">
        <f t="shared" si="32"/>
        <v>7291</v>
      </c>
    </row>
    <row r="161" spans="1:21">
      <c r="A161" s="23" t="s">
        <v>187</v>
      </c>
      <c r="B161" s="35" t="s">
        <v>183</v>
      </c>
      <c r="C161" s="125">
        <v>15205</v>
      </c>
      <c r="D161" s="132">
        <v>992136838</v>
      </c>
      <c r="E161" s="116">
        <f t="shared" si="36"/>
        <v>65250.696349884907</v>
      </c>
      <c r="F161" s="134">
        <v>703684928</v>
      </c>
      <c r="G161" s="117">
        <f t="shared" si="37"/>
        <v>46279.837421900687</v>
      </c>
      <c r="H161" s="7"/>
      <c r="I161" s="136">
        <v>5.2</v>
      </c>
      <c r="J161" s="134">
        <v>3659161.6255999999</v>
      </c>
      <c r="K161" s="120">
        <f t="shared" si="38"/>
        <v>240.65515459388359</v>
      </c>
      <c r="L161" s="122">
        <f t="shared" si="28"/>
        <v>7036849.2800000003</v>
      </c>
      <c r="M161" s="116">
        <f t="shared" si="29"/>
        <v>3377687.6544000003</v>
      </c>
      <c r="N161" s="123">
        <f t="shared" si="30"/>
        <v>222.14321962512335</v>
      </c>
      <c r="O161" s="5"/>
      <c r="P161" s="5">
        <f t="shared" si="31"/>
        <v>1</v>
      </c>
      <c r="Q161" s="7">
        <f t="shared" si="32"/>
        <v>15205</v>
      </c>
    </row>
    <row r="162" spans="1:21">
      <c r="A162" s="23" t="s">
        <v>188</v>
      </c>
      <c r="B162" s="35" t="s">
        <v>183</v>
      </c>
      <c r="C162" s="125">
        <v>1355</v>
      </c>
      <c r="D162" s="132">
        <v>113097384</v>
      </c>
      <c r="E162" s="116">
        <f t="shared" si="36"/>
        <v>83466.704059040596</v>
      </c>
      <c r="F162" s="134">
        <v>79101964</v>
      </c>
      <c r="G162" s="117">
        <f t="shared" si="37"/>
        <v>58377.833210332101</v>
      </c>
      <c r="H162" s="7"/>
      <c r="I162" s="136">
        <v>9.2750000000000004</v>
      </c>
      <c r="J162" s="134">
        <v>733670.71610000008</v>
      </c>
      <c r="K162" s="120">
        <f t="shared" si="38"/>
        <v>541.45440302583029</v>
      </c>
      <c r="L162" s="122">
        <f t="shared" si="28"/>
        <v>791019.64</v>
      </c>
      <c r="M162" s="116">
        <f t="shared" si="29"/>
        <v>57348.923899999936</v>
      </c>
      <c r="N162" s="123">
        <f t="shared" si="30"/>
        <v>42.323929077490725</v>
      </c>
      <c r="O162" s="5"/>
      <c r="P162" s="5">
        <f t="shared" si="31"/>
        <v>1</v>
      </c>
      <c r="Q162" s="7">
        <f t="shared" si="32"/>
        <v>1355</v>
      </c>
    </row>
    <row r="163" spans="1:21">
      <c r="A163" s="23" t="s">
        <v>189</v>
      </c>
      <c r="B163" s="35" t="s">
        <v>183</v>
      </c>
      <c r="C163" s="125">
        <v>14821</v>
      </c>
      <c r="D163" s="132">
        <v>1494905452</v>
      </c>
      <c r="E163" s="116">
        <f t="shared" si="36"/>
        <v>100864.0072869577</v>
      </c>
      <c r="F163" s="134">
        <v>1036462798</v>
      </c>
      <c r="G163" s="117">
        <f t="shared" si="37"/>
        <v>69932.042237365895</v>
      </c>
      <c r="H163" s="7"/>
      <c r="I163" s="136">
        <v>3.3961999999999999</v>
      </c>
      <c r="J163" s="134">
        <v>3520034.9545675996</v>
      </c>
      <c r="K163" s="120">
        <f t="shared" si="38"/>
        <v>237.50320184654203</v>
      </c>
      <c r="L163" s="122">
        <f t="shared" si="28"/>
        <v>10364627.98</v>
      </c>
      <c r="M163" s="116">
        <f t="shared" si="29"/>
        <v>6844593.0254324004</v>
      </c>
      <c r="N163" s="123">
        <f t="shared" si="30"/>
        <v>461.81722052711694</v>
      </c>
      <c r="O163" s="5"/>
      <c r="P163" s="5">
        <f t="shared" si="31"/>
        <v>1</v>
      </c>
      <c r="Q163" s="7">
        <f t="shared" si="32"/>
        <v>14821</v>
      </c>
    </row>
    <row r="164" spans="1:21">
      <c r="A164" s="23" t="s">
        <v>190</v>
      </c>
      <c r="B164" s="35" t="s">
        <v>183</v>
      </c>
      <c r="C164" s="125">
        <v>21913</v>
      </c>
      <c r="D164" s="132">
        <v>1805662939</v>
      </c>
      <c r="E164" s="116">
        <f t="shared" si="36"/>
        <v>82401.448409619858</v>
      </c>
      <c r="F164" s="134">
        <v>1245584237</v>
      </c>
      <c r="G164" s="117">
        <f t="shared" si="37"/>
        <v>56842.250581846391</v>
      </c>
      <c r="H164" s="7"/>
      <c r="I164" s="136">
        <v>4.2678000000000003</v>
      </c>
      <c r="J164" s="134">
        <v>5315904.4066685997</v>
      </c>
      <c r="K164" s="120">
        <f t="shared" si="38"/>
        <v>242.59135703320402</v>
      </c>
      <c r="L164" s="122">
        <f t="shared" si="28"/>
        <v>12455842.370000001</v>
      </c>
      <c r="M164" s="116">
        <f t="shared" si="29"/>
        <v>7139937.9633314013</v>
      </c>
      <c r="N164" s="123">
        <f t="shared" si="30"/>
        <v>325.83114878525993</v>
      </c>
      <c r="O164" s="5"/>
      <c r="P164" s="5">
        <f t="shared" si="31"/>
        <v>1</v>
      </c>
      <c r="Q164" s="7">
        <f t="shared" si="32"/>
        <v>21913</v>
      </c>
    </row>
    <row r="165" spans="1:21">
      <c r="A165" s="23" t="s">
        <v>191</v>
      </c>
      <c r="B165" s="35" t="s">
        <v>183</v>
      </c>
      <c r="C165" s="125">
        <v>5623</v>
      </c>
      <c r="D165" s="132">
        <v>219648005</v>
      </c>
      <c r="E165" s="116">
        <f t="shared" si="36"/>
        <v>39062.423083763118</v>
      </c>
      <c r="F165" s="134">
        <v>122337596</v>
      </c>
      <c r="G165" s="117">
        <f t="shared" si="37"/>
        <v>21756.641650364574</v>
      </c>
      <c r="H165" s="7"/>
      <c r="I165" s="136">
        <v>7.9316000000000004</v>
      </c>
      <c r="J165" s="134">
        <v>970332.87643360009</v>
      </c>
      <c r="K165" s="120">
        <f t="shared" si="38"/>
        <v>172.56497891403168</v>
      </c>
      <c r="L165" s="122">
        <f t="shared" si="28"/>
        <v>1223375.96</v>
      </c>
      <c r="M165" s="116">
        <f t="shared" si="29"/>
        <v>253043.08356639987</v>
      </c>
      <c r="N165" s="123">
        <f t="shared" si="30"/>
        <v>45.001437589614063</v>
      </c>
      <c r="O165" s="5"/>
      <c r="P165" s="5">
        <f t="shared" si="31"/>
        <v>1</v>
      </c>
      <c r="Q165" s="7">
        <f t="shared" si="32"/>
        <v>5623</v>
      </c>
    </row>
    <row r="166" spans="1:21">
      <c r="A166" s="23" t="s">
        <v>192</v>
      </c>
      <c r="B166" s="35" t="s">
        <v>183</v>
      </c>
      <c r="C166" s="125">
        <v>11675</v>
      </c>
      <c r="D166" s="147">
        <v>763628311</v>
      </c>
      <c r="E166" s="116">
        <f t="shared" si="36"/>
        <v>65407.135845824414</v>
      </c>
      <c r="F166" s="134">
        <v>485363314</v>
      </c>
      <c r="G166" s="117">
        <f t="shared" si="37"/>
        <v>41572.874860813703</v>
      </c>
      <c r="H166" s="7"/>
      <c r="I166" s="136">
        <v>6.2794999999999996</v>
      </c>
      <c r="J166" s="134">
        <v>3047838.9302630001</v>
      </c>
      <c r="K166" s="120">
        <f t="shared" si="38"/>
        <v>261.05686768847966</v>
      </c>
      <c r="L166" s="122">
        <f t="shared" si="28"/>
        <v>4853633.1399999997</v>
      </c>
      <c r="M166" s="116">
        <f t="shared" si="29"/>
        <v>1805794.2097369996</v>
      </c>
      <c r="N166" s="123">
        <f t="shared" si="30"/>
        <v>154.67188091965735</v>
      </c>
      <c r="O166" s="5"/>
      <c r="P166" s="5">
        <f t="shared" si="31"/>
        <v>1</v>
      </c>
      <c r="Q166" s="7">
        <f t="shared" si="32"/>
        <v>11675</v>
      </c>
    </row>
    <row r="167" spans="1:21">
      <c r="A167" s="23" t="s">
        <v>193</v>
      </c>
      <c r="B167" s="35" t="s">
        <v>183</v>
      </c>
      <c r="C167" s="125">
        <v>1775</v>
      </c>
      <c r="D167" s="132">
        <v>154925905</v>
      </c>
      <c r="E167" s="116">
        <f t="shared" si="36"/>
        <v>87282.2</v>
      </c>
      <c r="F167" s="134">
        <v>90333971</v>
      </c>
      <c r="G167" s="117">
        <f t="shared" si="37"/>
        <v>50892.378028169012</v>
      </c>
      <c r="H167" s="7"/>
      <c r="I167" s="136">
        <v>2.83</v>
      </c>
      <c r="J167" s="134">
        <v>255645.13793</v>
      </c>
      <c r="K167" s="120">
        <f t="shared" si="38"/>
        <v>144.02542981971831</v>
      </c>
      <c r="L167" s="122">
        <f t="shared" si="28"/>
        <v>903339.71</v>
      </c>
      <c r="M167" s="116">
        <f t="shared" si="29"/>
        <v>647694.57206999999</v>
      </c>
      <c r="N167" s="123">
        <f t="shared" si="30"/>
        <v>364.8983504619718</v>
      </c>
      <c r="O167" s="5"/>
      <c r="P167" s="5">
        <f t="shared" si="31"/>
        <v>1</v>
      </c>
      <c r="Q167" s="7">
        <f t="shared" si="32"/>
        <v>1775</v>
      </c>
    </row>
    <row r="168" spans="1:21">
      <c r="A168" s="23" t="s">
        <v>194</v>
      </c>
      <c r="B168" s="35" t="s">
        <v>183</v>
      </c>
      <c r="C168" s="125">
        <v>14283</v>
      </c>
      <c r="D168" s="132">
        <v>1378324567</v>
      </c>
      <c r="E168" s="116">
        <f t="shared" si="36"/>
        <v>96501.054890429179</v>
      </c>
      <c r="F168" s="134">
        <v>1006271334</v>
      </c>
      <c r="G168" s="117">
        <f t="shared" si="37"/>
        <v>70452.379332073091</v>
      </c>
      <c r="H168" s="7"/>
      <c r="I168" s="136">
        <v>6.3</v>
      </c>
      <c r="J168" s="134">
        <v>6339509.4041999998</v>
      </c>
      <c r="K168" s="120">
        <f t="shared" si="38"/>
        <v>443.84998979206046</v>
      </c>
      <c r="L168" s="122">
        <f t="shared" si="28"/>
        <v>10062713.34</v>
      </c>
      <c r="M168" s="116">
        <f t="shared" si="29"/>
        <v>3723203.9358000001</v>
      </c>
      <c r="N168" s="123">
        <f t="shared" si="30"/>
        <v>260.67380352867048</v>
      </c>
      <c r="O168" s="5"/>
      <c r="P168" s="5">
        <f t="shared" si="31"/>
        <v>1</v>
      </c>
      <c r="Q168" s="7">
        <f t="shared" si="32"/>
        <v>14283</v>
      </c>
    </row>
    <row r="169" spans="1:21">
      <c r="A169" s="23" t="s">
        <v>195</v>
      </c>
      <c r="B169" s="35" t="s">
        <v>183</v>
      </c>
      <c r="C169" s="125">
        <v>16317</v>
      </c>
      <c r="D169" s="132">
        <v>1427490659</v>
      </c>
      <c r="E169" s="116">
        <f t="shared" si="36"/>
        <v>87484.87215787216</v>
      </c>
      <c r="F169" s="134">
        <v>805507589</v>
      </c>
      <c r="G169" s="117">
        <f t="shared" si="37"/>
        <v>49366.157320585895</v>
      </c>
      <c r="H169" s="7"/>
      <c r="I169" s="136">
        <v>7</v>
      </c>
      <c r="J169" s="134">
        <v>5638553.1229999997</v>
      </c>
      <c r="K169" s="120">
        <f t="shared" si="38"/>
        <v>345.56310124410123</v>
      </c>
      <c r="L169" s="122">
        <f t="shared" si="28"/>
        <v>8055075.8900000006</v>
      </c>
      <c r="M169" s="116">
        <f t="shared" si="29"/>
        <v>2416522.7670000009</v>
      </c>
      <c r="N169" s="123">
        <f t="shared" si="30"/>
        <v>148.09847196175772</v>
      </c>
      <c r="O169" s="5"/>
      <c r="P169" s="5">
        <f t="shared" si="31"/>
        <v>1</v>
      </c>
      <c r="Q169" s="7">
        <f t="shared" si="32"/>
        <v>16317</v>
      </c>
    </row>
    <row r="170" spans="1:21">
      <c r="A170" s="23" t="s">
        <v>196</v>
      </c>
      <c r="B170" s="35" t="s">
        <v>183</v>
      </c>
      <c r="C170" s="125">
        <v>4021</v>
      </c>
      <c r="D170" s="132">
        <v>203425755</v>
      </c>
      <c r="E170" s="116">
        <f t="shared" si="36"/>
        <v>50590.83685650336</v>
      </c>
      <c r="F170" s="134">
        <v>128459307</v>
      </c>
      <c r="G170" s="117">
        <f t="shared" si="37"/>
        <v>31947.104451628948</v>
      </c>
      <c r="H170" s="7"/>
      <c r="I170" s="136">
        <v>7.1089000000000002</v>
      </c>
      <c r="J170" s="134">
        <v>913204.36753229995</v>
      </c>
      <c r="K170" s="120">
        <f t="shared" si="38"/>
        <v>227.10877083618502</v>
      </c>
      <c r="L170" s="122">
        <f t="shared" si="28"/>
        <v>1284593.07</v>
      </c>
      <c r="M170" s="116">
        <f t="shared" si="29"/>
        <v>371388.70246770012</v>
      </c>
      <c r="N170" s="123">
        <f t="shared" si="30"/>
        <v>92.362273680104479</v>
      </c>
      <c r="O170" s="5"/>
      <c r="P170" s="5">
        <f t="shared" si="31"/>
        <v>1</v>
      </c>
      <c r="Q170" s="7">
        <f t="shared" si="32"/>
        <v>4021</v>
      </c>
      <c r="S170" s="124">
        <f>SUM(D157:D170)</f>
        <v>14189283875</v>
      </c>
      <c r="T170" s="124">
        <f>SUM(F157:F170)</f>
        <v>9706319828</v>
      </c>
      <c r="U170" s="124">
        <f>SUM(J157:J170)</f>
        <v>50323412.000057191</v>
      </c>
    </row>
    <row r="171" spans="1:21">
      <c r="A171" s="23" t="s">
        <v>448</v>
      </c>
      <c r="B171" s="35" t="s">
        <v>198</v>
      </c>
      <c r="C171" s="125">
        <v>50137</v>
      </c>
      <c r="D171" s="132">
        <v>12574232346</v>
      </c>
      <c r="E171" s="116">
        <f t="shared" si="36"/>
        <v>250797.46187446397</v>
      </c>
      <c r="F171" s="134">
        <v>9984887639</v>
      </c>
      <c r="G171" s="117">
        <f t="shared" si="37"/>
        <v>199152.07609150925</v>
      </c>
      <c r="H171" s="7"/>
      <c r="I171" s="136">
        <v>0.81730000000000003</v>
      </c>
      <c r="J171" s="134">
        <v>8160648.6673547002</v>
      </c>
      <c r="K171" s="120">
        <f t="shared" si="38"/>
        <v>162.76699178959052</v>
      </c>
      <c r="L171" s="122">
        <f t="shared" si="28"/>
        <v>99848876.390000001</v>
      </c>
      <c r="M171" s="116">
        <f t="shared" si="29"/>
        <v>91688227.722645298</v>
      </c>
      <c r="N171" s="123">
        <f t="shared" si="30"/>
        <v>1828.753769125502</v>
      </c>
      <c r="O171" s="5"/>
      <c r="P171" s="5">
        <f t="shared" si="31"/>
        <v>1</v>
      </c>
      <c r="Q171" s="7">
        <f t="shared" si="32"/>
        <v>50137</v>
      </c>
    </row>
    <row r="172" spans="1:21">
      <c r="A172" s="23" t="s">
        <v>197</v>
      </c>
      <c r="B172" s="35" t="s">
        <v>198</v>
      </c>
      <c r="C172" s="125">
        <v>175063</v>
      </c>
      <c r="D172" s="132">
        <v>20357809405</v>
      </c>
      <c r="E172" s="116">
        <f t="shared" si="36"/>
        <v>116288.47560592473</v>
      </c>
      <c r="F172" s="134">
        <v>13194308828</v>
      </c>
      <c r="G172" s="117">
        <f t="shared" si="37"/>
        <v>75368.917635365549</v>
      </c>
      <c r="H172" s="7"/>
      <c r="I172" s="136">
        <v>6.75</v>
      </c>
      <c r="J172" s="134">
        <v>89061584.589000002</v>
      </c>
      <c r="K172" s="120">
        <f t="shared" si="38"/>
        <v>508.7401940387175</v>
      </c>
      <c r="L172" s="122">
        <f t="shared" si="28"/>
        <v>131943088.28</v>
      </c>
      <c r="M172" s="116">
        <f t="shared" si="29"/>
        <v>42881503.691</v>
      </c>
      <c r="N172" s="123">
        <f t="shared" si="30"/>
        <v>244.94898231493804</v>
      </c>
      <c r="O172" s="5"/>
      <c r="P172" s="5">
        <f t="shared" si="31"/>
        <v>1</v>
      </c>
      <c r="Q172" s="7">
        <f t="shared" si="32"/>
        <v>175063</v>
      </c>
    </row>
    <row r="173" spans="1:21">
      <c r="A173" s="24" t="s">
        <v>598</v>
      </c>
      <c r="B173" s="37" t="s">
        <v>198</v>
      </c>
      <c r="C173" s="125">
        <v>30945</v>
      </c>
      <c r="D173" s="147">
        <v>8023726022</v>
      </c>
      <c r="E173" s="116">
        <f t="shared" si="36"/>
        <v>259289.90214897398</v>
      </c>
      <c r="F173" s="134">
        <v>6484202557</v>
      </c>
      <c r="G173" s="117">
        <f t="shared" si="37"/>
        <v>209539.58820487963</v>
      </c>
      <c r="H173" s="98"/>
      <c r="I173" s="136">
        <v>0.77980000000000005</v>
      </c>
      <c r="J173" s="134">
        <v>5056381.1539486004</v>
      </c>
      <c r="K173" s="120">
        <f t="shared" si="38"/>
        <v>163.39897088216514</v>
      </c>
      <c r="L173" s="122">
        <f t="shared" si="28"/>
        <v>64842025.57</v>
      </c>
      <c r="M173" s="116">
        <f t="shared" si="29"/>
        <v>59785644.416051403</v>
      </c>
      <c r="N173" s="123">
        <f t="shared" si="30"/>
        <v>1931.9969111666312</v>
      </c>
      <c r="O173" s="5"/>
      <c r="P173" s="5">
        <f>IF(I173&gt;0,1,0)</f>
        <v>1</v>
      </c>
      <c r="Q173" s="7">
        <f>IF(I173&gt;0,C173,0)</f>
        <v>30945</v>
      </c>
    </row>
    <row r="174" spans="1:21">
      <c r="A174" s="23" t="s">
        <v>199</v>
      </c>
      <c r="B174" s="35" t="s">
        <v>198</v>
      </c>
      <c r="C174" s="125">
        <v>79106</v>
      </c>
      <c r="D174" s="132">
        <v>9032683219</v>
      </c>
      <c r="E174" s="116">
        <f t="shared" si="36"/>
        <v>114184.55261294972</v>
      </c>
      <c r="F174" s="134">
        <v>6122141153</v>
      </c>
      <c r="G174" s="117">
        <f t="shared" si="37"/>
        <v>77391.615718150337</v>
      </c>
      <c r="H174" s="7"/>
      <c r="I174" s="136">
        <v>8.65</v>
      </c>
      <c r="J174" s="134">
        <v>52956520.973450005</v>
      </c>
      <c r="K174" s="120">
        <f t="shared" si="38"/>
        <v>669.43747596200046</v>
      </c>
      <c r="L174" s="122">
        <f t="shared" si="28"/>
        <v>61221411.530000001</v>
      </c>
      <c r="M174" s="116">
        <f t="shared" si="29"/>
        <v>8264890.5565499961</v>
      </c>
      <c r="N174" s="123">
        <f t="shared" si="30"/>
        <v>104.4786812195029</v>
      </c>
      <c r="O174" s="5"/>
      <c r="P174" s="5">
        <f t="shared" si="31"/>
        <v>1</v>
      </c>
      <c r="Q174" s="7">
        <f t="shared" si="32"/>
        <v>79106</v>
      </c>
    </row>
    <row r="175" spans="1:21">
      <c r="A175" s="23" t="s">
        <v>200</v>
      </c>
      <c r="B175" s="35" t="s">
        <v>198</v>
      </c>
      <c r="C175" s="125">
        <v>6328</v>
      </c>
      <c r="D175" s="132">
        <v>3969843614</v>
      </c>
      <c r="E175" s="116">
        <f t="shared" si="36"/>
        <v>627345.70385587867</v>
      </c>
      <c r="F175" s="134">
        <v>3316851517</v>
      </c>
      <c r="G175" s="117">
        <f t="shared" si="37"/>
        <v>524154.79092920356</v>
      </c>
      <c r="H175" s="7"/>
      <c r="I175" s="136">
        <v>0.87</v>
      </c>
      <c r="J175" s="134">
        <v>2885660.8197900001</v>
      </c>
      <c r="K175" s="120">
        <f t="shared" si="38"/>
        <v>456.01466810840708</v>
      </c>
      <c r="L175" s="122">
        <f t="shared" si="28"/>
        <v>33168515.170000002</v>
      </c>
      <c r="M175" s="116">
        <f t="shared" si="29"/>
        <v>30282854.350210004</v>
      </c>
      <c r="N175" s="123">
        <f t="shared" si="30"/>
        <v>4785.5332411836289</v>
      </c>
      <c r="O175" s="5"/>
      <c r="P175" s="5">
        <f t="shared" si="31"/>
        <v>1</v>
      </c>
      <c r="Q175" s="7">
        <f t="shared" si="32"/>
        <v>6328</v>
      </c>
    </row>
    <row r="176" spans="1:21">
      <c r="A176" s="23" t="s">
        <v>201</v>
      </c>
      <c r="B176" s="35" t="s">
        <v>198</v>
      </c>
      <c r="C176" s="125">
        <v>6659</v>
      </c>
      <c r="D176" s="132">
        <v>6076136603</v>
      </c>
      <c r="E176" s="116">
        <f t="shared" si="36"/>
        <v>912469.83075536869</v>
      </c>
      <c r="F176" s="134">
        <v>5050576425</v>
      </c>
      <c r="G176" s="117">
        <f t="shared" si="37"/>
        <v>758458.69124493166</v>
      </c>
      <c r="H176" s="7"/>
      <c r="I176" s="136">
        <v>1.9138999999999999</v>
      </c>
      <c r="J176" s="134">
        <v>9666298.2198074982</v>
      </c>
      <c r="K176" s="120">
        <f t="shared" si="38"/>
        <v>1451.6140891736745</v>
      </c>
      <c r="L176" s="122">
        <f t="shared" si="28"/>
        <v>50505764.25</v>
      </c>
      <c r="M176" s="116">
        <f t="shared" si="29"/>
        <v>40839466.030192502</v>
      </c>
      <c r="N176" s="123">
        <f t="shared" si="30"/>
        <v>6132.9728232756424</v>
      </c>
      <c r="O176" s="5"/>
      <c r="P176" s="5">
        <f t="shared" si="31"/>
        <v>1</v>
      </c>
      <c r="Q176" s="7">
        <f t="shared" si="32"/>
        <v>6659</v>
      </c>
      <c r="S176" s="124">
        <f>SUM(D171:D176)</f>
        <v>60034431209</v>
      </c>
      <c r="T176" s="124">
        <f>SUM(F171:F176)</f>
        <v>44152968119</v>
      </c>
      <c r="U176" s="124">
        <f>SUM(J171:J176)</f>
        <v>167787094.42335081</v>
      </c>
    </row>
    <row r="177" spans="1:21">
      <c r="A177" s="23" t="s">
        <v>202</v>
      </c>
      <c r="B177" s="35" t="s">
        <v>203</v>
      </c>
      <c r="C177" s="125">
        <v>189625</v>
      </c>
      <c r="D177" s="132">
        <v>18540283306</v>
      </c>
      <c r="E177" s="116">
        <f t="shared" si="36"/>
        <v>97773.41229268293</v>
      </c>
      <c r="F177" s="134">
        <v>10466855386</v>
      </c>
      <c r="G177" s="117">
        <f t="shared" si="37"/>
        <v>55197.655298615689</v>
      </c>
      <c r="H177" s="7"/>
      <c r="I177" s="136">
        <v>4.0999999999999996</v>
      </c>
      <c r="J177" s="134">
        <v>42914107.082599998</v>
      </c>
      <c r="K177" s="120">
        <f t="shared" si="38"/>
        <v>226.3103867243243</v>
      </c>
      <c r="L177" s="122">
        <f t="shared" si="28"/>
        <v>104668553.86</v>
      </c>
      <c r="M177" s="116">
        <f t="shared" si="29"/>
        <v>61754446.777400002</v>
      </c>
      <c r="N177" s="123">
        <f t="shared" si="30"/>
        <v>325.66616626183259</v>
      </c>
      <c r="O177" s="5"/>
      <c r="P177" s="5">
        <f t="shared" si="31"/>
        <v>1</v>
      </c>
      <c r="Q177" s="7">
        <f t="shared" si="32"/>
        <v>189625</v>
      </c>
      <c r="S177" s="124">
        <f>SUM(D177)</f>
        <v>18540283306</v>
      </c>
      <c r="T177" s="124">
        <f>SUM(F177)</f>
        <v>10466855386</v>
      </c>
      <c r="U177" s="124">
        <f>SUM(J177)</f>
        <v>42914107.082599998</v>
      </c>
    </row>
    <row r="178" spans="1:21">
      <c r="A178" s="23" t="s">
        <v>204</v>
      </c>
      <c r="B178" s="35" t="s">
        <v>205</v>
      </c>
      <c r="C178" s="125">
        <v>1142</v>
      </c>
      <c r="D178" s="132">
        <v>70434747</v>
      </c>
      <c r="E178" s="116">
        <f t="shared" si="36"/>
        <v>61676.661120840632</v>
      </c>
      <c r="F178" s="134">
        <v>35119486</v>
      </c>
      <c r="G178" s="117">
        <f t="shared" si="37"/>
        <v>30752.614711033275</v>
      </c>
      <c r="H178" s="7"/>
      <c r="I178" s="136">
        <v>4.9035000000000002</v>
      </c>
      <c r="J178" s="134">
        <v>172208.39960100001</v>
      </c>
      <c r="K178" s="120">
        <f t="shared" si="38"/>
        <v>150.79544623555168</v>
      </c>
      <c r="L178" s="122">
        <f t="shared" si="28"/>
        <v>351194.86</v>
      </c>
      <c r="M178" s="116">
        <f t="shared" si="29"/>
        <v>178986.46039899997</v>
      </c>
      <c r="N178" s="123">
        <f t="shared" si="30"/>
        <v>156.73070087478106</v>
      </c>
      <c r="O178" s="5"/>
      <c r="P178" s="5">
        <f t="shared" si="31"/>
        <v>1</v>
      </c>
      <c r="Q178" s="7">
        <f t="shared" si="32"/>
        <v>1142</v>
      </c>
    </row>
    <row r="179" spans="1:21">
      <c r="A179" s="23" t="s">
        <v>206</v>
      </c>
      <c r="B179" s="35" t="s">
        <v>205</v>
      </c>
      <c r="C179" s="125">
        <v>713</v>
      </c>
      <c r="D179" s="132">
        <v>178025756</v>
      </c>
      <c r="E179" s="116">
        <f t="shared" si="36"/>
        <v>249685.49228611501</v>
      </c>
      <c r="F179" s="134">
        <v>136191860</v>
      </c>
      <c r="G179" s="117">
        <f t="shared" si="37"/>
        <v>191012.42636746142</v>
      </c>
      <c r="H179" s="7"/>
      <c r="I179" s="136">
        <v>5.319</v>
      </c>
      <c r="J179" s="134">
        <v>724404.50334000005</v>
      </c>
      <c r="K179" s="120">
        <f t="shared" si="38"/>
        <v>1015.9950958485274</v>
      </c>
      <c r="L179" s="122">
        <f t="shared" si="28"/>
        <v>1361918.6</v>
      </c>
      <c r="M179" s="116">
        <f t="shared" si="29"/>
        <v>637514.09666000004</v>
      </c>
      <c r="N179" s="123">
        <f t="shared" si="30"/>
        <v>894.12916782608704</v>
      </c>
      <c r="O179" s="5"/>
      <c r="P179" s="5">
        <f t="shared" si="31"/>
        <v>1</v>
      </c>
      <c r="Q179" s="7">
        <f t="shared" si="32"/>
        <v>713</v>
      </c>
    </row>
    <row r="180" spans="1:21">
      <c r="A180" s="23" t="s">
        <v>207</v>
      </c>
      <c r="B180" s="35" t="s">
        <v>205</v>
      </c>
      <c r="C180" s="125">
        <v>2270</v>
      </c>
      <c r="D180" s="132">
        <v>171198118</v>
      </c>
      <c r="E180" s="116">
        <f t="shared" si="36"/>
        <v>75417.673127753311</v>
      </c>
      <c r="F180" s="134">
        <v>126062923</v>
      </c>
      <c r="G180" s="117">
        <f t="shared" si="37"/>
        <v>55534.327312775327</v>
      </c>
      <c r="H180" s="7"/>
      <c r="I180" s="136">
        <v>6.9850000000000003</v>
      </c>
      <c r="J180" s="134">
        <v>880549.51715500013</v>
      </c>
      <c r="K180" s="120">
        <f t="shared" si="38"/>
        <v>387.90727627973575</v>
      </c>
      <c r="L180" s="122">
        <f t="shared" si="28"/>
        <v>1260629.23</v>
      </c>
      <c r="M180" s="116">
        <f t="shared" si="29"/>
        <v>380079.71284499986</v>
      </c>
      <c r="N180" s="123">
        <f t="shared" si="30"/>
        <v>167.43599684801757</v>
      </c>
      <c r="O180" s="5"/>
      <c r="P180" s="5">
        <f t="shared" si="31"/>
        <v>1</v>
      </c>
      <c r="Q180" s="7">
        <f t="shared" si="32"/>
        <v>2270</v>
      </c>
    </row>
    <row r="181" spans="1:21">
      <c r="A181" s="23" t="s">
        <v>208</v>
      </c>
      <c r="B181" s="35" t="s">
        <v>205</v>
      </c>
      <c r="C181" s="125">
        <v>1305</v>
      </c>
      <c r="D181" s="132">
        <v>88649712</v>
      </c>
      <c r="E181" s="116">
        <f t="shared" si="36"/>
        <v>67930.813793103443</v>
      </c>
      <c r="F181" s="134">
        <v>64927257</v>
      </c>
      <c r="G181" s="117">
        <f t="shared" si="37"/>
        <v>49752.68735632184</v>
      </c>
      <c r="H181" s="7"/>
      <c r="I181" s="136">
        <v>5</v>
      </c>
      <c r="J181" s="134">
        <v>324636.28499999997</v>
      </c>
      <c r="K181" s="120">
        <f t="shared" si="38"/>
        <v>248.76343678160919</v>
      </c>
      <c r="L181" s="122">
        <f t="shared" si="28"/>
        <v>649272.57000000007</v>
      </c>
      <c r="M181" s="116">
        <f t="shared" si="29"/>
        <v>324636.28500000009</v>
      </c>
      <c r="N181" s="123">
        <f t="shared" si="30"/>
        <v>248.76343678160927</v>
      </c>
      <c r="O181" s="5"/>
      <c r="P181" s="5">
        <f t="shared" si="31"/>
        <v>1</v>
      </c>
      <c r="Q181" s="7">
        <f t="shared" si="32"/>
        <v>1305</v>
      </c>
    </row>
    <row r="182" spans="1:21">
      <c r="A182" s="23" t="s">
        <v>209</v>
      </c>
      <c r="B182" s="35" t="s">
        <v>205</v>
      </c>
      <c r="C182" s="125">
        <v>118</v>
      </c>
      <c r="D182" s="132">
        <v>10499585</v>
      </c>
      <c r="E182" s="116">
        <f t="shared" si="36"/>
        <v>88979.53389830509</v>
      </c>
      <c r="F182" s="134">
        <v>7320151</v>
      </c>
      <c r="G182" s="117">
        <f t="shared" si="37"/>
        <v>62035.177966101692</v>
      </c>
      <c r="H182" s="7"/>
      <c r="I182" s="136">
        <v>7.3731</v>
      </c>
      <c r="J182" s="134">
        <v>53972.205338100001</v>
      </c>
      <c r="K182" s="120">
        <f t="shared" si="38"/>
        <v>457.39157066186442</v>
      </c>
      <c r="L182" s="122">
        <f t="shared" si="28"/>
        <v>73201.509999999995</v>
      </c>
      <c r="M182" s="116">
        <f t="shared" si="29"/>
        <v>19229.304661899994</v>
      </c>
      <c r="N182" s="123">
        <f t="shared" si="30"/>
        <v>162.96020899915248</v>
      </c>
      <c r="O182" s="5"/>
      <c r="P182" s="5">
        <f t="shared" si="31"/>
        <v>1</v>
      </c>
      <c r="Q182" s="7">
        <f t="shared" si="32"/>
        <v>118</v>
      </c>
    </row>
    <row r="183" spans="1:21">
      <c r="A183" s="23" t="s">
        <v>210</v>
      </c>
      <c r="B183" s="35" t="s">
        <v>205</v>
      </c>
      <c r="C183" s="125">
        <v>2898</v>
      </c>
      <c r="D183" s="132">
        <v>163695640</v>
      </c>
      <c r="E183" s="116">
        <f t="shared" si="36"/>
        <v>56485.728088336786</v>
      </c>
      <c r="F183" s="134">
        <v>95947250</v>
      </c>
      <c r="G183" s="117">
        <f t="shared" si="37"/>
        <v>33108.091787439611</v>
      </c>
      <c r="H183" s="7"/>
      <c r="I183" s="136">
        <v>5.8627000000000002</v>
      </c>
      <c r="J183" s="134">
        <v>562509.94257499999</v>
      </c>
      <c r="K183" s="120">
        <f t="shared" si="38"/>
        <v>194.10280972222222</v>
      </c>
      <c r="L183" s="122">
        <f t="shared" si="28"/>
        <v>959472.5</v>
      </c>
      <c r="M183" s="116">
        <f t="shared" si="29"/>
        <v>396962.55742500001</v>
      </c>
      <c r="N183" s="123">
        <f t="shared" si="30"/>
        <v>136.97810815217392</v>
      </c>
      <c r="O183" s="5"/>
      <c r="P183" s="5">
        <f t="shared" si="31"/>
        <v>1</v>
      </c>
      <c r="Q183" s="7">
        <f t="shared" si="32"/>
        <v>2898</v>
      </c>
    </row>
    <row r="184" spans="1:21">
      <c r="A184" s="23" t="s">
        <v>211</v>
      </c>
      <c r="B184" s="35" t="s">
        <v>205</v>
      </c>
      <c r="C184" s="125">
        <v>502</v>
      </c>
      <c r="D184" s="132">
        <v>74650540</v>
      </c>
      <c r="E184" s="116">
        <f t="shared" si="36"/>
        <v>148706.25498007968</v>
      </c>
      <c r="F184" s="134">
        <v>54033659</v>
      </c>
      <c r="G184" s="117">
        <f t="shared" si="37"/>
        <v>107636.77091633466</v>
      </c>
      <c r="H184" s="7"/>
      <c r="I184" s="136">
        <v>2.6238000000000001</v>
      </c>
      <c r="J184" s="134">
        <v>141773.51448419999</v>
      </c>
      <c r="K184" s="120">
        <f t="shared" si="38"/>
        <v>282.41735953027887</v>
      </c>
      <c r="L184" s="122">
        <f t="shared" si="28"/>
        <v>540336.59</v>
      </c>
      <c r="M184" s="116">
        <f t="shared" si="29"/>
        <v>398563.07551579998</v>
      </c>
      <c r="N184" s="123">
        <f t="shared" si="30"/>
        <v>793.95034963306773</v>
      </c>
      <c r="O184" s="5"/>
      <c r="P184" s="5">
        <f t="shared" si="31"/>
        <v>1</v>
      </c>
      <c r="Q184" s="7">
        <f t="shared" si="32"/>
        <v>502</v>
      </c>
      <c r="S184" s="124">
        <f>SUM(D178:D184)</f>
        <v>757154098</v>
      </c>
      <c r="T184" s="124">
        <f>SUM(F178:F184)</f>
        <v>519602586</v>
      </c>
      <c r="U184" s="124">
        <f>SUM(J178:J184)</f>
        <v>2860054.3674933002</v>
      </c>
    </row>
    <row r="185" spans="1:21">
      <c r="A185" s="23" t="s">
        <v>212</v>
      </c>
      <c r="B185" s="35" t="s">
        <v>213</v>
      </c>
      <c r="C185" s="125">
        <v>954</v>
      </c>
      <c r="D185" s="132">
        <v>72423775</v>
      </c>
      <c r="E185" s="116">
        <f t="shared" si="36"/>
        <v>75915.906708595387</v>
      </c>
      <c r="F185" s="134">
        <v>21697401</v>
      </c>
      <c r="G185" s="117">
        <f t="shared" si="37"/>
        <v>22743.606918238995</v>
      </c>
      <c r="H185" s="7"/>
      <c r="I185" s="136">
        <v>6.44</v>
      </c>
      <c r="J185" s="134">
        <v>139731.26243999999</v>
      </c>
      <c r="K185" s="120">
        <f t="shared" si="38"/>
        <v>146.4688285534591</v>
      </c>
      <c r="L185" s="122">
        <f t="shared" si="28"/>
        <v>216974.01</v>
      </c>
      <c r="M185" s="116">
        <f t="shared" si="29"/>
        <v>77242.747560000018</v>
      </c>
      <c r="N185" s="123">
        <f t="shared" si="30"/>
        <v>80.967240628930838</v>
      </c>
      <c r="O185" s="5"/>
      <c r="P185" s="5">
        <f t="shared" si="31"/>
        <v>1</v>
      </c>
      <c r="Q185" s="7">
        <f t="shared" si="32"/>
        <v>954</v>
      </c>
      <c r="S185" s="124">
        <f>SUM(D185)</f>
        <v>72423775</v>
      </c>
      <c r="T185" s="124">
        <f>SUM(F185)</f>
        <v>21697401</v>
      </c>
      <c r="U185" s="124">
        <f>SUM(J185)</f>
        <v>139731.26243999999</v>
      </c>
    </row>
    <row r="186" spans="1:21">
      <c r="A186" s="23" t="s">
        <v>214</v>
      </c>
      <c r="B186" s="35" t="s">
        <v>215</v>
      </c>
      <c r="C186" s="125">
        <v>782</v>
      </c>
      <c r="D186" s="132">
        <v>20313513</v>
      </c>
      <c r="E186" s="116">
        <f t="shared" si="36"/>
        <v>25976.359335038363</v>
      </c>
      <c r="F186" s="134">
        <v>11686572</v>
      </c>
      <c r="G186" s="117">
        <f t="shared" si="37"/>
        <v>14944.465473145779</v>
      </c>
      <c r="H186" s="7"/>
      <c r="I186" s="136">
        <v>10</v>
      </c>
      <c r="J186" s="134">
        <v>116865.72</v>
      </c>
      <c r="K186" s="120">
        <f t="shared" si="38"/>
        <v>149.4446547314578</v>
      </c>
      <c r="L186" s="122">
        <f t="shared" si="28"/>
        <v>116865.72</v>
      </c>
      <c r="M186" s="116">
        <f t="shared" si="29"/>
        <v>0</v>
      </c>
      <c r="N186" s="123">
        <f t="shared" si="30"/>
        <v>0</v>
      </c>
      <c r="O186" s="5"/>
      <c r="P186" s="5">
        <f t="shared" si="31"/>
        <v>1</v>
      </c>
      <c r="Q186" s="7">
        <f t="shared" si="32"/>
        <v>782</v>
      </c>
    </row>
    <row r="187" spans="1:21">
      <c r="A187" s="23" t="s">
        <v>198</v>
      </c>
      <c r="B187" s="35" t="s">
        <v>215</v>
      </c>
      <c r="C187" s="125">
        <v>325</v>
      </c>
      <c r="D187" s="132">
        <v>17761369</v>
      </c>
      <c r="E187" s="116">
        <f t="shared" si="36"/>
        <v>54650.366153846153</v>
      </c>
      <c r="F187" s="134">
        <v>7366572</v>
      </c>
      <c r="G187" s="117">
        <f t="shared" si="37"/>
        <v>22666.375384615385</v>
      </c>
      <c r="H187" s="7"/>
      <c r="I187" s="136">
        <v>7</v>
      </c>
      <c r="J187" s="134">
        <v>51566.004000000001</v>
      </c>
      <c r="K187" s="120">
        <f t="shared" si="38"/>
        <v>158.6646276923077</v>
      </c>
      <c r="L187" s="122">
        <f t="shared" si="28"/>
        <v>73665.72</v>
      </c>
      <c r="M187" s="116">
        <f t="shared" si="29"/>
        <v>22099.716</v>
      </c>
      <c r="N187" s="123">
        <f t="shared" si="30"/>
        <v>67.999126153846149</v>
      </c>
      <c r="O187" s="5"/>
      <c r="P187" s="5">
        <f t="shared" si="31"/>
        <v>1</v>
      </c>
      <c r="Q187" s="7">
        <f t="shared" si="32"/>
        <v>325</v>
      </c>
    </row>
    <row r="188" spans="1:21">
      <c r="A188" s="23" t="s">
        <v>215</v>
      </c>
      <c r="B188" s="35" t="s">
        <v>215</v>
      </c>
      <c r="C188" s="125">
        <v>3021</v>
      </c>
      <c r="D188" s="132">
        <v>146514227</v>
      </c>
      <c r="E188" s="116">
        <f t="shared" si="36"/>
        <v>48498.585567692819</v>
      </c>
      <c r="F188" s="134">
        <v>87213581</v>
      </c>
      <c r="G188" s="117">
        <f t="shared" si="37"/>
        <v>28869.109897384973</v>
      </c>
      <c r="H188" s="7"/>
      <c r="I188" s="136">
        <v>7</v>
      </c>
      <c r="J188" s="134">
        <v>610495.06700000004</v>
      </c>
      <c r="K188" s="120">
        <f t="shared" si="38"/>
        <v>202.08376928169483</v>
      </c>
      <c r="L188" s="122">
        <f t="shared" si="28"/>
        <v>872135.81</v>
      </c>
      <c r="M188" s="116">
        <f t="shared" si="29"/>
        <v>261640.74300000002</v>
      </c>
      <c r="N188" s="123">
        <f t="shared" si="30"/>
        <v>86.60732969215492</v>
      </c>
      <c r="O188" s="5"/>
      <c r="P188" s="5">
        <f t="shared" si="31"/>
        <v>1</v>
      </c>
      <c r="Q188" s="7">
        <f t="shared" si="32"/>
        <v>3021</v>
      </c>
      <c r="S188" s="124">
        <f>SUM(D186:D188)</f>
        <v>184589109</v>
      </c>
      <c r="T188" s="124">
        <f>SUM(F186:F188)</f>
        <v>106266725</v>
      </c>
      <c r="U188" s="124">
        <f>SUM(J186:J188)</f>
        <v>778926.79099999997</v>
      </c>
    </row>
    <row r="189" spans="1:21">
      <c r="A189" s="23" t="s">
        <v>216</v>
      </c>
      <c r="B189" s="35" t="s">
        <v>217</v>
      </c>
      <c r="C189" s="125">
        <v>1579</v>
      </c>
      <c r="D189" s="132">
        <v>1263488263</v>
      </c>
      <c r="E189" s="116">
        <f t="shared" si="36"/>
        <v>800182.56048131734</v>
      </c>
      <c r="F189" s="134">
        <v>992876338</v>
      </c>
      <c r="G189" s="117">
        <f t="shared" si="37"/>
        <v>628800.72070930968</v>
      </c>
      <c r="H189" s="7"/>
      <c r="I189" s="136">
        <v>2.0499999999999998</v>
      </c>
      <c r="J189" s="134">
        <v>2035396.4929</v>
      </c>
      <c r="K189" s="120">
        <f t="shared" si="38"/>
        <v>1289.0414774540848</v>
      </c>
      <c r="L189" s="122">
        <f t="shared" si="28"/>
        <v>9928763.3800000008</v>
      </c>
      <c r="M189" s="116">
        <f t="shared" si="29"/>
        <v>7893366.8871000009</v>
      </c>
      <c r="N189" s="123">
        <f t="shared" si="30"/>
        <v>4998.9657296390124</v>
      </c>
      <c r="O189" s="5"/>
      <c r="P189" s="5">
        <f t="shared" si="31"/>
        <v>1</v>
      </c>
      <c r="Q189" s="7">
        <f t="shared" si="32"/>
        <v>1579</v>
      </c>
    </row>
    <row r="190" spans="1:21">
      <c r="A190" s="23" t="s">
        <v>218</v>
      </c>
      <c r="B190" s="35" t="s">
        <v>217</v>
      </c>
      <c r="C190" s="125">
        <v>54652</v>
      </c>
      <c r="D190" s="132">
        <v>4736931503</v>
      </c>
      <c r="E190" s="116">
        <f t="shared" si="36"/>
        <v>86674.440148576454</v>
      </c>
      <c r="F190" s="134">
        <v>3366031739</v>
      </c>
      <c r="G190" s="117">
        <f t="shared" si="37"/>
        <v>61590.275543438482</v>
      </c>
      <c r="H190" s="7"/>
      <c r="I190" s="136">
        <v>5.8975999999999997</v>
      </c>
      <c r="J190" s="134">
        <v>19851508.783926398</v>
      </c>
      <c r="K190" s="120">
        <f t="shared" si="38"/>
        <v>363.23480904498274</v>
      </c>
      <c r="L190" s="122">
        <f t="shared" si="28"/>
        <v>33660317.390000001</v>
      </c>
      <c r="M190" s="116">
        <f t="shared" si="29"/>
        <v>13808808.606073603</v>
      </c>
      <c r="N190" s="123">
        <f t="shared" si="30"/>
        <v>252.66794638940209</v>
      </c>
      <c r="O190" s="5"/>
      <c r="P190" s="5">
        <f t="shared" si="31"/>
        <v>1</v>
      </c>
      <c r="Q190" s="7">
        <f t="shared" si="32"/>
        <v>54652</v>
      </c>
    </row>
    <row r="191" spans="1:21">
      <c r="A191" s="23" t="s">
        <v>219</v>
      </c>
      <c r="B191" s="35" t="s">
        <v>217</v>
      </c>
      <c r="C191" s="125">
        <v>1184</v>
      </c>
      <c r="D191" s="132">
        <v>752758981</v>
      </c>
      <c r="E191" s="116">
        <f t="shared" si="36"/>
        <v>635776.16638513515</v>
      </c>
      <c r="F191" s="134">
        <v>565916402</v>
      </c>
      <c r="G191" s="117">
        <f t="shared" si="37"/>
        <v>477969.9341216216</v>
      </c>
      <c r="H191" s="7"/>
      <c r="I191" s="136">
        <v>2.3329</v>
      </c>
      <c r="J191" s="134">
        <v>1320226.3742257999</v>
      </c>
      <c r="K191" s="120">
        <f t="shared" si="38"/>
        <v>1115.0560593123309</v>
      </c>
      <c r="L191" s="122">
        <f t="shared" si="28"/>
        <v>5659164.0200000005</v>
      </c>
      <c r="M191" s="116">
        <f t="shared" si="29"/>
        <v>4338937.6457742006</v>
      </c>
      <c r="N191" s="123">
        <f t="shared" si="30"/>
        <v>3664.6432819038855</v>
      </c>
      <c r="O191" s="5"/>
      <c r="P191" s="5">
        <f t="shared" si="31"/>
        <v>1</v>
      </c>
      <c r="Q191" s="7">
        <f t="shared" si="32"/>
        <v>1184</v>
      </c>
    </row>
    <row r="192" spans="1:21">
      <c r="A192" s="23" t="s">
        <v>220</v>
      </c>
      <c r="B192" s="35" t="s">
        <v>217</v>
      </c>
      <c r="C192" s="125">
        <v>3888</v>
      </c>
      <c r="D192" s="132">
        <v>2253645983</v>
      </c>
      <c r="E192" s="116">
        <f t="shared" si="36"/>
        <v>579641.45653292176</v>
      </c>
      <c r="F192" s="134">
        <v>1826165695</v>
      </c>
      <c r="G192" s="117">
        <f t="shared" si="37"/>
        <v>469692.82278806582</v>
      </c>
      <c r="H192" s="7"/>
      <c r="I192" s="136">
        <v>2.25</v>
      </c>
      <c r="J192" s="134">
        <v>4108872.8137500002</v>
      </c>
      <c r="K192" s="120">
        <f t="shared" si="38"/>
        <v>1056.8088512731481</v>
      </c>
      <c r="L192" s="122">
        <f t="shared" si="28"/>
        <v>18261656.949999999</v>
      </c>
      <c r="M192" s="116">
        <f t="shared" si="29"/>
        <v>14152784.136249999</v>
      </c>
      <c r="N192" s="123">
        <f t="shared" si="30"/>
        <v>3640.1193766075098</v>
      </c>
      <c r="O192" s="5"/>
      <c r="P192" s="5">
        <f t="shared" si="31"/>
        <v>1</v>
      </c>
      <c r="Q192" s="7">
        <f t="shared" si="32"/>
        <v>3888</v>
      </c>
    </row>
    <row r="193" spans="1:21">
      <c r="A193" s="23" t="s">
        <v>221</v>
      </c>
      <c r="B193" s="35" t="s">
        <v>217</v>
      </c>
      <c r="C193" s="125">
        <v>13204</v>
      </c>
      <c r="D193" s="132">
        <v>1204206122</v>
      </c>
      <c r="E193" s="116">
        <f t="shared" si="36"/>
        <v>91200.100121175405</v>
      </c>
      <c r="F193" s="134">
        <v>809371021</v>
      </c>
      <c r="G193" s="117">
        <f t="shared" si="37"/>
        <v>61297.411466222358</v>
      </c>
      <c r="H193" s="7"/>
      <c r="I193" s="136">
        <v>5.9671000000000003</v>
      </c>
      <c r="J193" s="134">
        <v>4829597.8194091003</v>
      </c>
      <c r="K193" s="120">
        <f t="shared" si="38"/>
        <v>365.76778396009547</v>
      </c>
      <c r="L193" s="122">
        <f t="shared" si="28"/>
        <v>8093710.21</v>
      </c>
      <c r="M193" s="116">
        <f t="shared" si="29"/>
        <v>3264112.3905908996</v>
      </c>
      <c r="N193" s="123">
        <f t="shared" si="30"/>
        <v>247.20633070212813</v>
      </c>
      <c r="O193" s="5"/>
      <c r="P193" s="5">
        <f t="shared" si="31"/>
        <v>1</v>
      </c>
      <c r="Q193" s="7">
        <f t="shared" si="32"/>
        <v>13204</v>
      </c>
    </row>
    <row r="194" spans="1:21">
      <c r="A194" s="23" t="s">
        <v>478</v>
      </c>
      <c r="B194" s="35" t="s">
        <v>222</v>
      </c>
      <c r="C194" s="125">
        <v>6934</v>
      </c>
      <c r="D194" s="132">
        <v>6550877700</v>
      </c>
      <c r="E194" s="116">
        <f t="shared" si="36"/>
        <v>944747.28872223827</v>
      </c>
      <c r="F194" s="134">
        <v>5744918967</v>
      </c>
      <c r="G194" s="117">
        <f t="shared" si="37"/>
        <v>828514.41693106433</v>
      </c>
      <c r="H194" s="7"/>
      <c r="I194" s="136">
        <v>2.1143999999999998</v>
      </c>
      <c r="J194" s="134">
        <v>12147056</v>
      </c>
      <c r="K194" s="120">
        <f t="shared" si="38"/>
        <v>1751.8107874242862</v>
      </c>
      <c r="L194" s="122">
        <f t="shared" si="28"/>
        <v>57449189.670000002</v>
      </c>
      <c r="M194" s="116">
        <f t="shared" si="29"/>
        <v>45302133.670000002</v>
      </c>
      <c r="N194" s="123">
        <f t="shared" si="30"/>
        <v>6533.3333818863575</v>
      </c>
      <c r="O194" s="5"/>
      <c r="P194" s="5">
        <f t="shared" si="31"/>
        <v>1</v>
      </c>
      <c r="Q194" s="7">
        <f t="shared" si="32"/>
        <v>6934</v>
      </c>
      <c r="S194" s="124">
        <f>SUM(D189:D194)</f>
        <v>16761908552</v>
      </c>
      <c r="T194" s="124">
        <f>SUM(F189:F194)</f>
        <v>13305280162</v>
      </c>
      <c r="U194" s="124">
        <f>SUM(J189:J194)</f>
        <v>44292658.284211293</v>
      </c>
    </row>
    <row r="195" spans="1:21">
      <c r="A195" s="23" t="s">
        <v>223</v>
      </c>
      <c r="B195" s="35" t="s">
        <v>224</v>
      </c>
      <c r="C195" s="125">
        <v>4979</v>
      </c>
      <c r="D195" s="132">
        <v>298978124</v>
      </c>
      <c r="E195" s="116">
        <f t="shared" si="36"/>
        <v>60047.825667804776</v>
      </c>
      <c r="F195" s="134">
        <v>211273913</v>
      </c>
      <c r="G195" s="117">
        <f t="shared" si="37"/>
        <v>42433.001205061257</v>
      </c>
      <c r="H195" s="7"/>
      <c r="I195" s="136">
        <v>5</v>
      </c>
      <c r="J195" s="134">
        <v>1056369.5649999999</v>
      </c>
      <c r="K195" s="120">
        <f t="shared" si="38"/>
        <v>212.16500602530627</v>
      </c>
      <c r="L195" s="122">
        <f t="shared" si="28"/>
        <v>2112739.13</v>
      </c>
      <c r="M195" s="116">
        <f t="shared" si="29"/>
        <v>1056369.5649999999</v>
      </c>
      <c r="N195" s="123">
        <f t="shared" si="30"/>
        <v>212.16500602530627</v>
      </c>
      <c r="O195" s="5"/>
      <c r="P195" s="5">
        <f t="shared" si="31"/>
        <v>1</v>
      </c>
      <c r="Q195" s="7">
        <f t="shared" si="32"/>
        <v>4979</v>
      </c>
    </row>
    <row r="196" spans="1:21">
      <c r="A196" s="23" t="s">
        <v>225</v>
      </c>
      <c r="B196" s="35" t="s">
        <v>224</v>
      </c>
      <c r="C196" s="125">
        <v>1805</v>
      </c>
      <c r="D196" s="132">
        <v>231282296</v>
      </c>
      <c r="E196" s="116">
        <f t="shared" si="36"/>
        <v>128134.23601108033</v>
      </c>
      <c r="F196" s="134">
        <v>150131086</v>
      </c>
      <c r="G196" s="117">
        <f t="shared" si="37"/>
        <v>83175.11689750693</v>
      </c>
      <c r="H196" s="7"/>
      <c r="I196" s="136">
        <v>6.5</v>
      </c>
      <c r="J196" s="134">
        <v>975852.05900000001</v>
      </c>
      <c r="K196" s="120">
        <f t="shared" si="38"/>
        <v>540.63825983379502</v>
      </c>
      <c r="L196" s="122">
        <f t="shared" si="28"/>
        <v>1501310.86</v>
      </c>
      <c r="M196" s="116">
        <f t="shared" si="29"/>
        <v>525458.80100000009</v>
      </c>
      <c r="N196" s="123">
        <f t="shared" si="30"/>
        <v>291.11290914127432</v>
      </c>
      <c r="O196" s="5"/>
      <c r="P196" s="5">
        <f t="shared" si="31"/>
        <v>1</v>
      </c>
      <c r="Q196" s="7">
        <f t="shared" si="32"/>
        <v>1805</v>
      </c>
    </row>
    <row r="197" spans="1:21">
      <c r="A197" s="23" t="s">
        <v>226</v>
      </c>
      <c r="B197" s="35" t="s">
        <v>224</v>
      </c>
      <c r="C197" s="125">
        <v>457</v>
      </c>
      <c r="D197" s="132">
        <v>34575379</v>
      </c>
      <c r="E197" s="116">
        <f t="shared" si="36"/>
        <v>75657.284463894961</v>
      </c>
      <c r="F197" s="134">
        <v>18958222</v>
      </c>
      <c r="G197" s="117">
        <f t="shared" si="37"/>
        <v>41484.074398249453</v>
      </c>
      <c r="H197" s="7"/>
      <c r="I197" s="136">
        <v>2.2078000000000002</v>
      </c>
      <c r="J197" s="134">
        <v>41855.962531600009</v>
      </c>
      <c r="K197" s="120">
        <f t="shared" si="38"/>
        <v>91.588539456455166</v>
      </c>
      <c r="L197" s="122">
        <f t="shared" si="28"/>
        <v>189582.22</v>
      </c>
      <c r="M197" s="116">
        <f t="shared" si="29"/>
        <v>147726.2574684</v>
      </c>
      <c r="N197" s="123">
        <f t="shared" si="30"/>
        <v>323.25220452603941</v>
      </c>
      <c r="O197" s="5"/>
      <c r="P197" s="5">
        <f t="shared" si="31"/>
        <v>1</v>
      </c>
      <c r="Q197" s="7">
        <f t="shared" si="32"/>
        <v>457</v>
      </c>
    </row>
    <row r="198" spans="1:21">
      <c r="A198" s="23" t="s">
        <v>227</v>
      </c>
      <c r="B198" s="35" t="s">
        <v>224</v>
      </c>
      <c r="C198" s="125">
        <v>59668</v>
      </c>
      <c r="D198" s="132">
        <v>5868734920</v>
      </c>
      <c r="E198" s="116">
        <f t="shared" si="36"/>
        <v>98356.487899711734</v>
      </c>
      <c r="F198" s="134">
        <v>4351271437</v>
      </c>
      <c r="G198" s="117">
        <f t="shared" si="37"/>
        <v>72924.707330562451</v>
      </c>
      <c r="H198" s="9"/>
      <c r="I198" s="136">
        <v>6.6177000000000001</v>
      </c>
      <c r="J198" s="134">
        <v>28795408.988634899</v>
      </c>
      <c r="K198" s="120">
        <f t="shared" si="38"/>
        <v>482.59383570146309</v>
      </c>
      <c r="L198" s="122">
        <f t="shared" ref="L198:L261" si="39">(F198*0.01)</f>
        <v>43512714.369999997</v>
      </c>
      <c r="M198" s="116">
        <f t="shared" ref="M198:M261" si="40">(L198-J198)</f>
        <v>14717305.381365098</v>
      </c>
      <c r="N198" s="123">
        <f t="shared" ref="N198:N261" si="41">(M198/C198)</f>
        <v>246.65323760416132</v>
      </c>
      <c r="O198" s="5"/>
      <c r="P198" s="5">
        <f t="shared" si="31"/>
        <v>1</v>
      </c>
      <c r="Q198" s="7">
        <f t="shared" si="32"/>
        <v>59668</v>
      </c>
    </row>
    <row r="199" spans="1:21">
      <c r="A199" s="23" t="s">
        <v>228</v>
      </c>
      <c r="B199" s="35" t="s">
        <v>224</v>
      </c>
      <c r="C199" s="125">
        <v>546</v>
      </c>
      <c r="D199" s="147" t="s">
        <v>564</v>
      </c>
      <c r="E199" s="116"/>
      <c r="F199" s="134"/>
      <c r="G199" s="117"/>
      <c r="H199" s="98" t="s">
        <v>588</v>
      </c>
      <c r="I199" s="136"/>
      <c r="J199" s="134"/>
      <c r="K199" s="120"/>
      <c r="L199" s="122">
        <f t="shared" si="39"/>
        <v>0</v>
      </c>
      <c r="M199" s="116">
        <f t="shared" si="40"/>
        <v>0</v>
      </c>
      <c r="N199" s="123">
        <f t="shared" si="41"/>
        <v>0</v>
      </c>
      <c r="O199" s="5"/>
      <c r="P199" s="5">
        <f t="shared" ref="P199:P262" si="42">IF(I199&gt;0,1,0)</f>
        <v>0</v>
      </c>
      <c r="Q199" s="7">
        <f t="shared" ref="Q199:Q262" si="43">IF(I199&gt;0,C199,0)</f>
        <v>0</v>
      </c>
      <c r="S199" s="124">
        <f>SUM(D195:D199)</f>
        <v>6433570719</v>
      </c>
      <c r="T199" s="124">
        <f>SUM(F195:F199)</f>
        <v>4731634658</v>
      </c>
      <c r="U199" s="124">
        <f>SUM(J195:J199)</f>
        <v>30869486.575166497</v>
      </c>
    </row>
    <row r="200" spans="1:21">
      <c r="A200" s="23" t="s">
        <v>229</v>
      </c>
      <c r="B200" s="35" t="s">
        <v>230</v>
      </c>
      <c r="C200" s="125">
        <v>809</v>
      </c>
      <c r="D200" s="132">
        <v>2755775714</v>
      </c>
      <c r="E200" s="116">
        <f t="shared" ref="E200:E263" si="44">(D200/C200)</f>
        <v>3406397.6687268233</v>
      </c>
      <c r="F200" s="134">
        <v>2331679122</v>
      </c>
      <c r="G200" s="117">
        <f t="shared" ref="G200:G263" si="45">(F200/C200)</f>
        <v>2882174.4400494439</v>
      </c>
      <c r="H200" s="9"/>
      <c r="I200" s="136">
        <v>2.5590999999999999</v>
      </c>
      <c r="J200" s="134">
        <v>5967000.0411101999</v>
      </c>
      <c r="K200" s="120">
        <f t="shared" ref="K200:K263" si="46">(J200/C200)</f>
        <v>7375.7726095305316</v>
      </c>
      <c r="L200" s="122">
        <f t="shared" si="39"/>
        <v>23316791.219999999</v>
      </c>
      <c r="M200" s="116">
        <f t="shared" si="40"/>
        <v>17349791.1788898</v>
      </c>
      <c r="N200" s="123">
        <f t="shared" si="41"/>
        <v>21445.971790963908</v>
      </c>
      <c r="O200" s="5"/>
      <c r="P200" s="5">
        <f t="shared" si="42"/>
        <v>1</v>
      </c>
      <c r="Q200" s="7">
        <f t="shared" si="43"/>
        <v>809</v>
      </c>
    </row>
    <row r="201" spans="1:21">
      <c r="A201" s="24" t="s">
        <v>582</v>
      </c>
      <c r="B201" s="35" t="s">
        <v>230</v>
      </c>
      <c r="C201" s="125">
        <v>134</v>
      </c>
      <c r="D201" s="132">
        <v>27419107</v>
      </c>
      <c r="E201" s="116">
        <f t="shared" si="44"/>
        <v>204620.20149253731</v>
      </c>
      <c r="F201" s="134">
        <v>27177478</v>
      </c>
      <c r="G201" s="117">
        <f t="shared" si="45"/>
        <v>202817</v>
      </c>
      <c r="H201" s="9"/>
      <c r="I201" s="150">
        <v>5.4749999999999996</v>
      </c>
      <c r="J201" s="134">
        <v>148796.69204999998</v>
      </c>
      <c r="K201" s="120">
        <f t="shared" si="46"/>
        <v>1110.4230749999999</v>
      </c>
      <c r="L201" s="122">
        <f t="shared" si="39"/>
        <v>271774.78000000003</v>
      </c>
      <c r="M201" s="116">
        <f t="shared" si="40"/>
        <v>122978.08795000004</v>
      </c>
      <c r="N201" s="123">
        <f t="shared" si="41"/>
        <v>917.74692500000037</v>
      </c>
      <c r="O201" s="5"/>
      <c r="P201" s="5">
        <f t="shared" si="42"/>
        <v>1</v>
      </c>
      <c r="Q201" s="7">
        <f t="shared" si="43"/>
        <v>134</v>
      </c>
    </row>
    <row r="202" spans="1:21">
      <c r="A202" s="23" t="s">
        <v>446</v>
      </c>
      <c r="B202" s="35" t="s">
        <v>230</v>
      </c>
      <c r="C202" s="125">
        <v>2044</v>
      </c>
      <c r="D202" s="132">
        <v>816944811</v>
      </c>
      <c r="E202" s="116">
        <f t="shared" si="44"/>
        <v>399679.45743639924</v>
      </c>
      <c r="F202" s="134">
        <v>651127558</v>
      </c>
      <c r="G202" s="117">
        <f t="shared" si="45"/>
        <v>318555.55675146769</v>
      </c>
      <c r="H202" s="9"/>
      <c r="I202" s="136">
        <v>2.87</v>
      </c>
      <c r="J202" s="134">
        <v>1868736.09146</v>
      </c>
      <c r="K202" s="120">
        <f t="shared" si="46"/>
        <v>914.25444787671233</v>
      </c>
      <c r="L202" s="122">
        <f t="shared" si="39"/>
        <v>6511275.5800000001</v>
      </c>
      <c r="M202" s="116">
        <f t="shared" si="40"/>
        <v>4642539.4885400003</v>
      </c>
      <c r="N202" s="123">
        <f t="shared" si="41"/>
        <v>2271.3011196379648</v>
      </c>
      <c r="O202" s="5"/>
      <c r="P202" s="5">
        <f t="shared" si="42"/>
        <v>1</v>
      </c>
      <c r="Q202" s="7">
        <f t="shared" si="43"/>
        <v>2044</v>
      </c>
    </row>
    <row r="203" spans="1:21">
      <c r="A203" s="24" t="s">
        <v>231</v>
      </c>
      <c r="B203" s="37" t="s">
        <v>230</v>
      </c>
      <c r="C203" s="125">
        <v>16183</v>
      </c>
      <c r="D203" s="132">
        <v>2729542066</v>
      </c>
      <c r="E203" s="116">
        <f t="shared" si="44"/>
        <v>168667.24748192547</v>
      </c>
      <c r="F203" s="134">
        <v>1833448766</v>
      </c>
      <c r="G203" s="117">
        <f t="shared" si="45"/>
        <v>113294.7392943212</v>
      </c>
      <c r="H203" s="9"/>
      <c r="I203" s="136">
        <v>4.5</v>
      </c>
      <c r="J203" s="134">
        <v>8250519.4469999997</v>
      </c>
      <c r="K203" s="120">
        <f t="shared" si="46"/>
        <v>509.8263268244454</v>
      </c>
      <c r="L203" s="122">
        <f t="shared" si="39"/>
        <v>18334487.66</v>
      </c>
      <c r="M203" s="116">
        <f t="shared" si="40"/>
        <v>10083968.213</v>
      </c>
      <c r="N203" s="123">
        <f t="shared" si="41"/>
        <v>623.12106611876652</v>
      </c>
      <c r="O203" s="5"/>
      <c r="P203" s="5">
        <f t="shared" si="42"/>
        <v>1</v>
      </c>
      <c r="Q203" s="7">
        <f t="shared" si="43"/>
        <v>16183</v>
      </c>
      <c r="S203" s="124">
        <f>SUM(D200:D203)</f>
        <v>6329681698</v>
      </c>
      <c r="T203" s="124">
        <f>SUM(F200:F203)</f>
        <v>4843432924</v>
      </c>
      <c r="U203" s="124">
        <f>SUM(J200:J203)</f>
        <v>16235052.271620199</v>
      </c>
    </row>
    <row r="204" spans="1:21">
      <c r="A204" s="23" t="s">
        <v>232</v>
      </c>
      <c r="B204" s="37" t="s">
        <v>233</v>
      </c>
      <c r="C204" s="125">
        <v>37694</v>
      </c>
      <c r="D204" s="132">
        <v>11725192271</v>
      </c>
      <c r="E204" s="116">
        <f t="shared" si="44"/>
        <v>311062.56356449303</v>
      </c>
      <c r="F204" s="134">
        <v>9998395038</v>
      </c>
      <c r="G204" s="117">
        <f t="shared" si="45"/>
        <v>265251.6325675174</v>
      </c>
      <c r="H204" s="9"/>
      <c r="I204" s="150">
        <v>1.7261</v>
      </c>
      <c r="J204" s="134">
        <v>17258229.68</v>
      </c>
      <c r="K204" s="120">
        <f t="shared" si="46"/>
        <v>457.85084310500343</v>
      </c>
      <c r="L204" s="122">
        <f t="shared" si="39"/>
        <v>99983950.379999995</v>
      </c>
      <c r="M204" s="116">
        <f t="shared" si="40"/>
        <v>82725720.699999988</v>
      </c>
      <c r="N204" s="123">
        <f t="shared" si="41"/>
        <v>2194.6654825701698</v>
      </c>
      <c r="O204" s="5"/>
      <c r="P204" s="5">
        <f t="shared" si="42"/>
        <v>1</v>
      </c>
      <c r="Q204" s="7">
        <f t="shared" si="43"/>
        <v>37694</v>
      </c>
    </row>
    <row r="205" spans="1:21">
      <c r="A205" s="23" t="s">
        <v>234</v>
      </c>
      <c r="B205" s="37" t="s">
        <v>233</v>
      </c>
      <c r="C205" s="125">
        <v>2924</v>
      </c>
      <c r="D205" s="132">
        <v>6034466877</v>
      </c>
      <c r="E205" s="116">
        <f t="shared" si="44"/>
        <v>2063771.1617647058</v>
      </c>
      <c r="F205" s="134">
        <v>5211039394</v>
      </c>
      <c r="G205" s="117">
        <f t="shared" si="45"/>
        <v>1782161.2154582764</v>
      </c>
      <c r="H205" s="9"/>
      <c r="I205" s="136">
        <v>1.9654</v>
      </c>
      <c r="J205" s="134">
        <v>10241776.82</v>
      </c>
      <c r="K205" s="120">
        <f t="shared" si="46"/>
        <v>3502.6596511627909</v>
      </c>
      <c r="L205" s="122">
        <f t="shared" si="39"/>
        <v>52110393.939999998</v>
      </c>
      <c r="M205" s="116">
        <f t="shared" si="40"/>
        <v>41868617.119999997</v>
      </c>
      <c r="N205" s="123">
        <f t="shared" si="41"/>
        <v>14318.952503419972</v>
      </c>
      <c r="O205" s="5"/>
      <c r="P205" s="5">
        <f t="shared" si="42"/>
        <v>1</v>
      </c>
      <c r="Q205" s="7">
        <f t="shared" si="43"/>
        <v>2924</v>
      </c>
    </row>
    <row r="206" spans="1:21">
      <c r="A206" s="23" t="s">
        <v>235</v>
      </c>
      <c r="B206" s="37" t="s">
        <v>233</v>
      </c>
      <c r="C206" s="125">
        <v>5826</v>
      </c>
      <c r="D206" s="132">
        <v>1694810981</v>
      </c>
      <c r="E206" s="116">
        <f t="shared" si="44"/>
        <v>290904.73412289738</v>
      </c>
      <c r="F206" s="134">
        <v>1011971361</v>
      </c>
      <c r="G206" s="117">
        <f t="shared" si="45"/>
        <v>173699.16941297631</v>
      </c>
      <c r="H206" s="9"/>
      <c r="I206" s="136">
        <v>3.9994999999999998</v>
      </c>
      <c r="J206" s="134">
        <v>4047379.46</v>
      </c>
      <c r="K206" s="120">
        <f t="shared" si="46"/>
        <v>694.70982835564712</v>
      </c>
      <c r="L206" s="122">
        <f t="shared" si="39"/>
        <v>10119713.609999999</v>
      </c>
      <c r="M206" s="116">
        <f t="shared" si="40"/>
        <v>6072334.1499999994</v>
      </c>
      <c r="N206" s="123">
        <f t="shared" si="41"/>
        <v>1042.2818657741159</v>
      </c>
      <c r="O206" s="5"/>
      <c r="P206" s="5">
        <f t="shared" si="42"/>
        <v>1</v>
      </c>
      <c r="Q206" s="7">
        <f t="shared" si="43"/>
        <v>5826</v>
      </c>
    </row>
    <row r="207" spans="1:21">
      <c r="A207" s="23" t="s">
        <v>236</v>
      </c>
      <c r="B207" s="37" t="s">
        <v>233</v>
      </c>
      <c r="C207" s="125">
        <v>3176</v>
      </c>
      <c r="D207" s="132">
        <v>367359044</v>
      </c>
      <c r="E207" s="116">
        <f t="shared" si="44"/>
        <v>115667.20528967255</v>
      </c>
      <c r="F207" s="134">
        <v>193574539</v>
      </c>
      <c r="G207" s="117">
        <f t="shared" si="45"/>
        <v>60949.162153652396</v>
      </c>
      <c r="H207" s="9"/>
      <c r="I207" s="136">
        <v>9.6999999999999993</v>
      </c>
      <c r="J207" s="134">
        <v>1877673.03</v>
      </c>
      <c r="K207" s="120">
        <f t="shared" si="46"/>
        <v>591.20687342569272</v>
      </c>
      <c r="L207" s="122">
        <f t="shared" si="39"/>
        <v>1935745.3900000001</v>
      </c>
      <c r="M207" s="116">
        <f t="shared" si="40"/>
        <v>58072.360000000102</v>
      </c>
      <c r="N207" s="123">
        <f t="shared" si="41"/>
        <v>18.284748110831266</v>
      </c>
      <c r="O207" s="5"/>
      <c r="P207" s="5">
        <f t="shared" si="42"/>
        <v>1</v>
      </c>
      <c r="Q207" s="7">
        <f t="shared" si="43"/>
        <v>3176</v>
      </c>
    </row>
    <row r="208" spans="1:21">
      <c r="A208" s="23" t="s">
        <v>237</v>
      </c>
      <c r="B208" s="37" t="s">
        <v>233</v>
      </c>
      <c r="C208" s="125">
        <v>49808</v>
      </c>
      <c r="D208" s="132">
        <v>21262320916</v>
      </c>
      <c r="E208" s="116">
        <f t="shared" si="44"/>
        <v>426885.65925152588</v>
      </c>
      <c r="F208" s="134">
        <v>15006665576</v>
      </c>
      <c r="G208" s="117">
        <f t="shared" si="45"/>
        <v>301290.26614198525</v>
      </c>
      <c r="H208" s="9"/>
      <c r="I208" s="136">
        <v>5.5590000000000002</v>
      </c>
      <c r="J208" s="134">
        <v>83422053.939999998</v>
      </c>
      <c r="K208" s="120">
        <f t="shared" si="46"/>
        <v>1674.8725895438483</v>
      </c>
      <c r="L208" s="122">
        <f t="shared" si="39"/>
        <v>150066655.75999999</v>
      </c>
      <c r="M208" s="116">
        <f t="shared" si="40"/>
        <v>66644601.819999993</v>
      </c>
      <c r="N208" s="123">
        <f t="shared" si="41"/>
        <v>1338.0300718760036</v>
      </c>
      <c r="O208" s="5"/>
      <c r="P208" s="5">
        <f t="shared" si="42"/>
        <v>1</v>
      </c>
      <c r="Q208" s="7">
        <f t="shared" si="43"/>
        <v>49808</v>
      </c>
    </row>
    <row r="209" spans="1:17">
      <c r="A209" s="23" t="s">
        <v>524</v>
      </c>
      <c r="B209" s="37" t="s">
        <v>233</v>
      </c>
      <c r="C209" s="125">
        <v>45222</v>
      </c>
      <c r="D209" s="132">
        <v>3835145627</v>
      </c>
      <c r="E209" s="116">
        <f t="shared" si="44"/>
        <v>84807.076798903188</v>
      </c>
      <c r="F209" s="134">
        <v>2329100206</v>
      </c>
      <c r="G209" s="117">
        <f t="shared" si="45"/>
        <v>51503.697448144711</v>
      </c>
      <c r="H209" s="9"/>
      <c r="I209" s="136">
        <v>2.3906999999999998</v>
      </c>
      <c r="J209" s="134">
        <v>5568179.8600000003</v>
      </c>
      <c r="K209" s="120">
        <f t="shared" si="46"/>
        <v>123.12988943434613</v>
      </c>
      <c r="L209" s="122">
        <f t="shared" si="39"/>
        <v>23291002.059999999</v>
      </c>
      <c r="M209" s="116">
        <f t="shared" si="40"/>
        <v>17722822.199999999</v>
      </c>
      <c r="N209" s="123">
        <f t="shared" si="41"/>
        <v>391.90708504710096</v>
      </c>
      <c r="O209" s="5"/>
      <c r="P209" s="5">
        <f t="shared" si="42"/>
        <v>1</v>
      </c>
      <c r="Q209" s="7">
        <f t="shared" si="43"/>
        <v>45222</v>
      </c>
    </row>
    <row r="210" spans="1:17">
      <c r="A210" s="23" t="s">
        <v>501</v>
      </c>
      <c r="B210" s="37" t="s">
        <v>233</v>
      </c>
      <c r="C210" s="125">
        <v>64167</v>
      </c>
      <c r="D210" s="132">
        <v>14361566614</v>
      </c>
      <c r="E210" s="116">
        <f t="shared" si="44"/>
        <v>223815.4598781305</v>
      </c>
      <c r="F210" s="134">
        <v>11945487698</v>
      </c>
      <c r="G210" s="117">
        <f t="shared" si="45"/>
        <v>186162.47756635031</v>
      </c>
      <c r="H210" s="9"/>
      <c r="I210" s="136">
        <v>1.9</v>
      </c>
      <c r="J210" s="134">
        <v>22696426.629999999</v>
      </c>
      <c r="K210" s="120">
        <f t="shared" si="46"/>
        <v>353.70870743528604</v>
      </c>
      <c r="L210" s="122">
        <f t="shared" si="39"/>
        <v>119454876.98</v>
      </c>
      <c r="M210" s="116">
        <f t="shared" si="40"/>
        <v>96758450.350000009</v>
      </c>
      <c r="N210" s="123">
        <f t="shared" si="41"/>
        <v>1507.9160682282172</v>
      </c>
      <c r="O210" s="5"/>
      <c r="P210" s="5">
        <f t="shared" si="42"/>
        <v>1</v>
      </c>
      <c r="Q210" s="7">
        <f t="shared" si="43"/>
        <v>64167</v>
      </c>
    </row>
    <row r="211" spans="1:17">
      <c r="A211" s="23" t="s">
        <v>238</v>
      </c>
      <c r="B211" s="37" t="s">
        <v>233</v>
      </c>
      <c r="C211" s="125">
        <v>2153</v>
      </c>
      <c r="D211" s="132">
        <v>285697378</v>
      </c>
      <c r="E211" s="116">
        <f t="shared" si="44"/>
        <v>132697.34231305154</v>
      </c>
      <c r="F211" s="134">
        <v>144483281</v>
      </c>
      <c r="G211" s="117">
        <f t="shared" si="45"/>
        <v>67107.887134231307</v>
      </c>
      <c r="H211" s="9"/>
      <c r="I211" s="136">
        <v>8.3000000000000007</v>
      </c>
      <c r="J211" s="134">
        <v>1199211.23</v>
      </c>
      <c r="K211" s="120">
        <f t="shared" si="46"/>
        <v>556.99546214584302</v>
      </c>
      <c r="L211" s="122">
        <f t="shared" si="39"/>
        <v>1444832.81</v>
      </c>
      <c r="M211" s="116">
        <f t="shared" si="40"/>
        <v>245621.58000000007</v>
      </c>
      <c r="N211" s="123">
        <f t="shared" si="41"/>
        <v>114.08340919647007</v>
      </c>
      <c r="O211" s="5"/>
      <c r="P211" s="5">
        <f t="shared" si="42"/>
        <v>1</v>
      </c>
      <c r="Q211" s="7">
        <f t="shared" si="43"/>
        <v>2153</v>
      </c>
    </row>
    <row r="212" spans="1:17">
      <c r="A212" s="23" t="s">
        <v>239</v>
      </c>
      <c r="B212" s="37" t="s">
        <v>233</v>
      </c>
      <c r="C212" s="125">
        <v>13017</v>
      </c>
      <c r="D212" s="132">
        <v>731440316</v>
      </c>
      <c r="E212" s="116">
        <f t="shared" si="44"/>
        <v>56191.158945993702</v>
      </c>
      <c r="F212" s="134">
        <v>466011784</v>
      </c>
      <c r="G212" s="117">
        <f t="shared" si="45"/>
        <v>35800.244603211184</v>
      </c>
      <c r="H212" s="9"/>
      <c r="I212" s="136">
        <v>7.1858000000000004</v>
      </c>
      <c r="J212" s="134">
        <v>3348667.48</v>
      </c>
      <c r="K212" s="120">
        <f t="shared" si="46"/>
        <v>257.25339786433125</v>
      </c>
      <c r="L212" s="122">
        <f t="shared" si="39"/>
        <v>4660117.84</v>
      </c>
      <c r="M212" s="116">
        <f t="shared" si="40"/>
        <v>1311450.3599999999</v>
      </c>
      <c r="N212" s="123">
        <f t="shared" si="41"/>
        <v>100.74904816778059</v>
      </c>
      <c r="O212" s="5"/>
      <c r="P212" s="5">
        <f t="shared" si="42"/>
        <v>1</v>
      </c>
      <c r="Q212" s="7">
        <f t="shared" si="43"/>
        <v>13017</v>
      </c>
    </row>
    <row r="213" spans="1:17">
      <c r="A213" s="23" t="s">
        <v>240</v>
      </c>
      <c r="B213" s="37" t="s">
        <v>233</v>
      </c>
      <c r="C213" s="125">
        <v>920</v>
      </c>
      <c r="D213" s="132">
        <v>1548179977</v>
      </c>
      <c r="E213" s="116">
        <f t="shared" si="44"/>
        <v>1682804.322826087</v>
      </c>
      <c r="F213" s="134">
        <v>1020315304</v>
      </c>
      <c r="G213" s="117">
        <f t="shared" si="45"/>
        <v>1109038.3739130434</v>
      </c>
      <c r="H213" s="9"/>
      <c r="I213" s="136">
        <v>7.48</v>
      </c>
      <c r="J213" s="134">
        <v>7631958.4699999997</v>
      </c>
      <c r="K213" s="120">
        <f t="shared" si="46"/>
        <v>8295.6070326086956</v>
      </c>
      <c r="L213" s="122">
        <f t="shared" si="39"/>
        <v>10203153.040000001</v>
      </c>
      <c r="M213" s="116">
        <f t="shared" si="40"/>
        <v>2571194.5700000012</v>
      </c>
      <c r="N213" s="123">
        <f t="shared" si="41"/>
        <v>2794.7767065217404</v>
      </c>
      <c r="O213" s="5"/>
      <c r="P213" s="5">
        <f t="shared" si="42"/>
        <v>1</v>
      </c>
      <c r="Q213" s="7">
        <f t="shared" si="43"/>
        <v>920</v>
      </c>
    </row>
    <row r="214" spans="1:17">
      <c r="A214" s="23" t="s">
        <v>241</v>
      </c>
      <c r="B214" s="37" t="s">
        <v>233</v>
      </c>
      <c r="C214" s="125">
        <v>236114</v>
      </c>
      <c r="D214" s="132">
        <v>15611669123</v>
      </c>
      <c r="E214" s="116">
        <f t="shared" si="44"/>
        <v>66119.201415417978</v>
      </c>
      <c r="F214" s="134">
        <v>9408383467</v>
      </c>
      <c r="G214" s="117">
        <f t="shared" si="45"/>
        <v>39846.783617235742</v>
      </c>
      <c r="H214" s="9"/>
      <c r="I214" s="136">
        <v>6.3018000000000001</v>
      </c>
      <c r="J214" s="134">
        <v>59289750.93</v>
      </c>
      <c r="K214" s="120">
        <f t="shared" si="46"/>
        <v>251.10646098918318</v>
      </c>
      <c r="L214" s="122">
        <f t="shared" si="39"/>
        <v>94083834.670000002</v>
      </c>
      <c r="M214" s="116">
        <f t="shared" si="40"/>
        <v>34794083.740000002</v>
      </c>
      <c r="N214" s="123">
        <f t="shared" si="41"/>
        <v>147.36137518317423</v>
      </c>
      <c r="O214" s="5"/>
      <c r="P214" s="5">
        <f t="shared" si="42"/>
        <v>1</v>
      </c>
      <c r="Q214" s="7">
        <f t="shared" si="43"/>
        <v>236114</v>
      </c>
    </row>
    <row r="215" spans="1:17">
      <c r="A215" s="23" t="s">
        <v>242</v>
      </c>
      <c r="B215" s="37" t="s">
        <v>233</v>
      </c>
      <c r="C215" s="125">
        <v>23532</v>
      </c>
      <c r="D215" s="132">
        <v>2000509524</v>
      </c>
      <c r="E215" s="116">
        <f t="shared" si="44"/>
        <v>85012.30341662417</v>
      </c>
      <c r="F215" s="134">
        <v>1152258155</v>
      </c>
      <c r="G215" s="117">
        <f t="shared" si="45"/>
        <v>48965.585373108959</v>
      </c>
      <c r="H215" s="9"/>
      <c r="I215" s="136">
        <v>5.1612999999999998</v>
      </c>
      <c r="J215" s="134">
        <v>5947150.0199999996</v>
      </c>
      <c r="K215" s="120">
        <f t="shared" si="46"/>
        <v>252.726075981642</v>
      </c>
      <c r="L215" s="122">
        <f t="shared" si="39"/>
        <v>11522581.550000001</v>
      </c>
      <c r="M215" s="116">
        <f t="shared" si="40"/>
        <v>5575431.5300000012</v>
      </c>
      <c r="N215" s="123">
        <f t="shared" si="41"/>
        <v>236.92977774944762</v>
      </c>
      <c r="O215" s="5"/>
      <c r="P215" s="5">
        <f t="shared" si="42"/>
        <v>1</v>
      </c>
      <c r="Q215" s="7">
        <f t="shared" si="43"/>
        <v>23532</v>
      </c>
    </row>
    <row r="216" spans="1:17">
      <c r="A216" s="23" t="s">
        <v>243</v>
      </c>
      <c r="B216" s="37" t="s">
        <v>233</v>
      </c>
      <c r="C216" s="125">
        <v>73627</v>
      </c>
      <c r="D216" s="132">
        <v>4172406902</v>
      </c>
      <c r="E216" s="116">
        <f t="shared" si="44"/>
        <v>56669.522077498747</v>
      </c>
      <c r="F216" s="134">
        <v>2589170512</v>
      </c>
      <c r="G216" s="117">
        <f t="shared" si="45"/>
        <v>35166.046586170836</v>
      </c>
      <c r="H216" s="9"/>
      <c r="I216" s="136">
        <v>5.9215</v>
      </c>
      <c r="J216" s="134">
        <v>15331773.189999999</v>
      </c>
      <c r="K216" s="120">
        <f t="shared" si="46"/>
        <v>208.23574490336424</v>
      </c>
      <c r="L216" s="122">
        <f t="shared" si="39"/>
        <v>25891705.120000001</v>
      </c>
      <c r="M216" s="116">
        <f t="shared" si="40"/>
        <v>10559931.930000002</v>
      </c>
      <c r="N216" s="123">
        <f t="shared" si="41"/>
        <v>143.4247209583441</v>
      </c>
      <c r="O216" s="5"/>
      <c r="P216" s="5">
        <f t="shared" si="42"/>
        <v>1</v>
      </c>
      <c r="Q216" s="7">
        <f t="shared" si="43"/>
        <v>73627</v>
      </c>
    </row>
    <row r="217" spans="1:17">
      <c r="A217" s="23" t="s">
        <v>244</v>
      </c>
      <c r="B217" s="37" t="s">
        <v>233</v>
      </c>
      <c r="C217" s="125">
        <v>84</v>
      </c>
      <c r="D217" s="132">
        <v>828234872</v>
      </c>
      <c r="E217" s="116">
        <f t="shared" si="44"/>
        <v>9859938.9523809515</v>
      </c>
      <c r="F217" s="134">
        <v>566626234</v>
      </c>
      <c r="G217" s="117">
        <f t="shared" si="45"/>
        <v>6745550.4047619049</v>
      </c>
      <c r="H217" s="9"/>
      <c r="I217" s="136">
        <v>6.6092000000000004</v>
      </c>
      <c r="J217" s="134">
        <v>3744946.11</v>
      </c>
      <c r="K217" s="120">
        <f t="shared" si="46"/>
        <v>44582.691785714283</v>
      </c>
      <c r="L217" s="122">
        <f t="shared" si="39"/>
        <v>5666262.3399999999</v>
      </c>
      <c r="M217" s="116">
        <f t="shared" si="40"/>
        <v>1921316.23</v>
      </c>
      <c r="N217" s="123">
        <f t="shared" si="41"/>
        <v>22872.812261904761</v>
      </c>
      <c r="O217" s="5"/>
      <c r="P217" s="5">
        <f t="shared" si="42"/>
        <v>1</v>
      </c>
      <c r="Q217" s="7">
        <f t="shared" si="43"/>
        <v>84</v>
      </c>
    </row>
    <row r="218" spans="1:17">
      <c r="A218" s="23" t="s">
        <v>246</v>
      </c>
      <c r="B218" s="37" t="s">
        <v>233</v>
      </c>
      <c r="C218" s="125">
        <v>12854</v>
      </c>
      <c r="D218" s="132">
        <v>10711561879</v>
      </c>
      <c r="E218" s="116">
        <f t="shared" si="44"/>
        <v>833325.18118873506</v>
      </c>
      <c r="F218" s="134">
        <v>8555403455</v>
      </c>
      <c r="G218" s="117">
        <f t="shared" si="45"/>
        <v>665582.96678076859</v>
      </c>
      <c r="H218" s="9"/>
      <c r="I218" s="136">
        <v>3</v>
      </c>
      <c r="J218" s="134">
        <v>25666210.370000001</v>
      </c>
      <c r="K218" s="120">
        <f t="shared" si="46"/>
        <v>1996.74890073129</v>
      </c>
      <c r="L218" s="122">
        <f t="shared" si="39"/>
        <v>85554034.549999997</v>
      </c>
      <c r="M218" s="116">
        <f t="shared" si="40"/>
        <v>59887824.179999992</v>
      </c>
      <c r="N218" s="123">
        <f t="shared" si="41"/>
        <v>4659.0807670763961</v>
      </c>
      <c r="O218" s="5"/>
      <c r="P218" s="5">
        <f t="shared" si="42"/>
        <v>1</v>
      </c>
      <c r="Q218" s="7">
        <f t="shared" si="43"/>
        <v>12854</v>
      </c>
    </row>
    <row r="219" spans="1:17">
      <c r="A219" s="23" t="s">
        <v>247</v>
      </c>
      <c r="B219" s="37" t="s">
        <v>233</v>
      </c>
      <c r="C219" s="125">
        <v>832</v>
      </c>
      <c r="D219" s="132">
        <v>2265447758</v>
      </c>
      <c r="E219" s="116">
        <f t="shared" si="44"/>
        <v>2722893.939903846</v>
      </c>
      <c r="F219" s="134">
        <v>2072398518</v>
      </c>
      <c r="G219" s="117">
        <f t="shared" si="45"/>
        <v>2490863.6033653845</v>
      </c>
      <c r="H219" s="9"/>
      <c r="I219" s="136">
        <v>5.4</v>
      </c>
      <c r="J219" s="134">
        <v>11190952</v>
      </c>
      <c r="K219" s="120">
        <f t="shared" si="46"/>
        <v>13450.663461538461</v>
      </c>
      <c r="L219" s="122">
        <f t="shared" si="39"/>
        <v>20723985.18</v>
      </c>
      <c r="M219" s="116">
        <f t="shared" si="40"/>
        <v>9533033.1799999997</v>
      </c>
      <c r="N219" s="123">
        <f t="shared" si="41"/>
        <v>11457.972572115385</v>
      </c>
      <c r="O219" s="5"/>
      <c r="P219" s="5">
        <f t="shared" si="42"/>
        <v>1</v>
      </c>
      <c r="Q219" s="7">
        <f t="shared" si="43"/>
        <v>832</v>
      </c>
    </row>
    <row r="220" spans="1:17">
      <c r="A220" s="23" t="s">
        <v>248</v>
      </c>
      <c r="B220" s="37" t="s">
        <v>233</v>
      </c>
      <c r="C220" s="125">
        <v>467872</v>
      </c>
      <c r="D220" s="132">
        <v>73071015133</v>
      </c>
      <c r="E220" s="116">
        <f t="shared" si="44"/>
        <v>156177.36289626223</v>
      </c>
      <c r="F220" s="134">
        <v>48603052314</v>
      </c>
      <c r="G220" s="117">
        <f t="shared" si="45"/>
        <v>103881.08780606661</v>
      </c>
      <c r="H220" s="9"/>
      <c r="I220" s="136">
        <v>7.4364999999999997</v>
      </c>
      <c r="J220" s="134">
        <v>361436598.52999997</v>
      </c>
      <c r="K220" s="120">
        <f t="shared" si="46"/>
        <v>772.51170946327193</v>
      </c>
      <c r="L220" s="122">
        <f t="shared" si="39"/>
        <v>486030523.13999999</v>
      </c>
      <c r="M220" s="116">
        <f t="shared" si="40"/>
        <v>124593924.61000001</v>
      </c>
      <c r="N220" s="123">
        <f t="shared" si="41"/>
        <v>266.29916859739421</v>
      </c>
      <c r="O220" s="5"/>
      <c r="P220" s="5">
        <f t="shared" si="42"/>
        <v>1</v>
      </c>
      <c r="Q220" s="7">
        <f t="shared" si="43"/>
        <v>467872</v>
      </c>
    </row>
    <row r="221" spans="1:17">
      <c r="A221" s="23" t="s">
        <v>249</v>
      </c>
      <c r="B221" s="37" t="s">
        <v>233</v>
      </c>
      <c r="C221" s="125">
        <v>92588</v>
      </c>
      <c r="D221" s="132">
        <v>49698633403</v>
      </c>
      <c r="E221" s="116">
        <f t="shared" si="44"/>
        <v>536771.86463688593</v>
      </c>
      <c r="F221" s="134">
        <v>36638980081</v>
      </c>
      <c r="G221" s="117">
        <f t="shared" si="45"/>
        <v>395720.6126171858</v>
      </c>
      <c r="H221" s="9"/>
      <c r="I221" s="136">
        <v>5.7224000000000004</v>
      </c>
      <c r="J221" s="134">
        <v>209662899.62</v>
      </c>
      <c r="K221" s="120">
        <f t="shared" si="46"/>
        <v>2264.471633689031</v>
      </c>
      <c r="L221" s="122">
        <f t="shared" si="39"/>
        <v>366389800.81</v>
      </c>
      <c r="M221" s="116">
        <f t="shared" si="40"/>
        <v>156726901.19</v>
      </c>
      <c r="N221" s="123">
        <f t="shared" si="41"/>
        <v>1692.7344924828271</v>
      </c>
      <c r="O221" s="5"/>
      <c r="P221" s="5">
        <f t="shared" si="42"/>
        <v>1</v>
      </c>
      <c r="Q221" s="7">
        <f t="shared" si="43"/>
        <v>92588</v>
      </c>
    </row>
    <row r="222" spans="1:17">
      <c r="A222" s="23" t="s">
        <v>500</v>
      </c>
      <c r="B222" s="37" t="s">
        <v>233</v>
      </c>
      <c r="C222" s="125">
        <v>113201</v>
      </c>
      <c r="D222" s="132">
        <v>7306741838</v>
      </c>
      <c r="E222" s="116">
        <f t="shared" si="44"/>
        <v>64546.61918180935</v>
      </c>
      <c r="F222" s="134">
        <v>4187822717</v>
      </c>
      <c r="G222" s="117">
        <f t="shared" si="45"/>
        <v>36994.573519668556</v>
      </c>
      <c r="H222" s="9"/>
      <c r="I222" s="136">
        <v>6.9363000000000001</v>
      </c>
      <c r="J222" s="134">
        <v>29047994.710000001</v>
      </c>
      <c r="K222" s="120">
        <f t="shared" si="46"/>
        <v>256.6054602874533</v>
      </c>
      <c r="L222" s="122">
        <f t="shared" si="39"/>
        <v>41878227.170000002</v>
      </c>
      <c r="M222" s="116">
        <f t="shared" si="40"/>
        <v>12830232.460000001</v>
      </c>
      <c r="N222" s="123">
        <f t="shared" si="41"/>
        <v>113.34027490923226</v>
      </c>
      <c r="O222" s="5"/>
      <c r="P222" s="5">
        <f t="shared" si="42"/>
        <v>1</v>
      </c>
      <c r="Q222" s="7">
        <f t="shared" si="43"/>
        <v>113201</v>
      </c>
    </row>
    <row r="223" spans="1:17">
      <c r="A223" s="23" t="s">
        <v>459</v>
      </c>
      <c r="B223" s="37" t="s">
        <v>233</v>
      </c>
      <c r="C223" s="125">
        <v>30586</v>
      </c>
      <c r="D223" s="132">
        <v>4412187233</v>
      </c>
      <c r="E223" s="116">
        <f t="shared" si="44"/>
        <v>144255.12433793239</v>
      </c>
      <c r="F223" s="134">
        <v>2990214426</v>
      </c>
      <c r="G223" s="117">
        <f t="shared" si="45"/>
        <v>97764.154384358859</v>
      </c>
      <c r="H223" s="9"/>
      <c r="I223" s="136">
        <v>2.3353000000000002</v>
      </c>
      <c r="J223" s="134">
        <v>6983047.75</v>
      </c>
      <c r="K223" s="120">
        <f t="shared" si="46"/>
        <v>228.30862976525208</v>
      </c>
      <c r="L223" s="122">
        <f t="shared" si="39"/>
        <v>29902144.260000002</v>
      </c>
      <c r="M223" s="116">
        <f t="shared" si="40"/>
        <v>22919096.510000002</v>
      </c>
      <c r="N223" s="123">
        <f t="shared" si="41"/>
        <v>749.33291407833656</v>
      </c>
      <c r="O223" s="5"/>
      <c r="P223" s="5">
        <f t="shared" si="42"/>
        <v>1</v>
      </c>
      <c r="Q223" s="7">
        <f t="shared" si="43"/>
        <v>30586</v>
      </c>
    </row>
    <row r="224" spans="1:17">
      <c r="A224" s="23" t="s">
        <v>250</v>
      </c>
      <c r="B224" s="37" t="s">
        <v>233</v>
      </c>
      <c r="C224" s="125">
        <v>10761</v>
      </c>
      <c r="D224" s="132">
        <v>2003078556</v>
      </c>
      <c r="E224" s="116">
        <f t="shared" si="44"/>
        <v>186142.41761918037</v>
      </c>
      <c r="F224" s="134">
        <v>1046097907</v>
      </c>
      <c r="G224" s="117">
        <f t="shared" si="45"/>
        <v>97211.96050552922</v>
      </c>
      <c r="H224" s="9"/>
      <c r="I224" s="136">
        <v>7.9</v>
      </c>
      <c r="J224" s="134">
        <v>8264173.4699999997</v>
      </c>
      <c r="K224" s="120">
        <f t="shared" si="46"/>
        <v>767.97448843044322</v>
      </c>
      <c r="L224" s="122">
        <f t="shared" si="39"/>
        <v>10460979.07</v>
      </c>
      <c r="M224" s="116">
        <f t="shared" si="40"/>
        <v>2196805.6000000006</v>
      </c>
      <c r="N224" s="123">
        <f t="shared" si="41"/>
        <v>204.14511662484904</v>
      </c>
      <c r="O224" s="5"/>
      <c r="P224" s="5">
        <f t="shared" si="42"/>
        <v>1</v>
      </c>
      <c r="Q224" s="7">
        <f t="shared" si="43"/>
        <v>10761</v>
      </c>
    </row>
    <row r="225" spans="1:21">
      <c r="A225" s="23" t="s">
        <v>251</v>
      </c>
      <c r="B225" s="37" t="s">
        <v>233</v>
      </c>
      <c r="C225" s="125">
        <v>14217</v>
      </c>
      <c r="D225" s="132">
        <v>1777508645</v>
      </c>
      <c r="E225" s="116">
        <f t="shared" si="44"/>
        <v>125026.98494759794</v>
      </c>
      <c r="F225" s="134">
        <v>1115307126</v>
      </c>
      <c r="G225" s="117">
        <f t="shared" si="45"/>
        <v>78448.837729478793</v>
      </c>
      <c r="H225" s="9"/>
      <c r="I225" s="136">
        <v>7.3574999999999999</v>
      </c>
      <c r="J225" s="134">
        <v>8205872.1799999997</v>
      </c>
      <c r="K225" s="120">
        <f t="shared" si="46"/>
        <v>577.18732362664412</v>
      </c>
      <c r="L225" s="122">
        <f t="shared" si="39"/>
        <v>11153071.26</v>
      </c>
      <c r="M225" s="116">
        <f t="shared" si="40"/>
        <v>2947199.08</v>
      </c>
      <c r="N225" s="123">
        <f t="shared" si="41"/>
        <v>207.30105366814377</v>
      </c>
      <c r="O225" s="5"/>
      <c r="P225" s="5">
        <f t="shared" si="42"/>
        <v>1</v>
      </c>
      <c r="Q225" s="7">
        <f t="shared" si="43"/>
        <v>14217</v>
      </c>
    </row>
    <row r="226" spans="1:21">
      <c r="A226" s="24" t="s">
        <v>599</v>
      </c>
      <c r="B226" s="37" t="s">
        <v>233</v>
      </c>
      <c r="C226" s="125">
        <v>8973</v>
      </c>
      <c r="D226" s="132">
        <v>1304235244</v>
      </c>
      <c r="E226" s="116">
        <f t="shared" si="44"/>
        <v>145351.08035216763</v>
      </c>
      <c r="F226" s="134">
        <v>1033018017</v>
      </c>
      <c r="G226" s="117">
        <f t="shared" si="45"/>
        <v>115125.15513206285</v>
      </c>
      <c r="H226" s="9"/>
      <c r="I226" s="136">
        <v>5.65</v>
      </c>
      <c r="J226" s="134">
        <v>5836551.7999999998</v>
      </c>
      <c r="K226" s="120">
        <f t="shared" si="46"/>
        <v>650.4571269363646</v>
      </c>
      <c r="L226" s="122">
        <f t="shared" si="39"/>
        <v>10330180.17</v>
      </c>
      <c r="M226" s="116">
        <f t="shared" si="40"/>
        <v>4493628.37</v>
      </c>
      <c r="N226" s="123">
        <f t="shared" si="41"/>
        <v>500.79442438426389</v>
      </c>
      <c r="O226" s="5"/>
      <c r="P226" s="5">
        <f t="shared" si="42"/>
        <v>1</v>
      </c>
      <c r="Q226" s="7">
        <f t="shared" si="43"/>
        <v>8973</v>
      </c>
    </row>
    <row r="227" spans="1:21">
      <c r="A227" s="23" t="s">
        <v>253</v>
      </c>
      <c r="B227" s="37" t="s">
        <v>233</v>
      </c>
      <c r="C227" s="125">
        <v>63780</v>
      </c>
      <c r="D227" s="132">
        <v>4721121772</v>
      </c>
      <c r="E227" s="116">
        <f t="shared" si="44"/>
        <v>74021.978237692063</v>
      </c>
      <c r="F227" s="134">
        <v>2799220560</v>
      </c>
      <c r="G227" s="117">
        <f t="shared" si="45"/>
        <v>43888.688617121355</v>
      </c>
      <c r="H227" s="9"/>
      <c r="I227" s="136">
        <v>7.5</v>
      </c>
      <c r="J227" s="134">
        <v>20994154.199999999</v>
      </c>
      <c r="K227" s="120">
        <f t="shared" si="46"/>
        <v>329.16516462841014</v>
      </c>
      <c r="L227" s="122">
        <f t="shared" si="39"/>
        <v>27992205.600000001</v>
      </c>
      <c r="M227" s="116">
        <f t="shared" si="40"/>
        <v>6998051.4000000022</v>
      </c>
      <c r="N227" s="123">
        <f t="shared" si="41"/>
        <v>109.72172154280342</v>
      </c>
      <c r="O227" s="5"/>
      <c r="P227" s="5">
        <f t="shared" si="42"/>
        <v>1</v>
      </c>
      <c r="Q227" s="7">
        <f t="shared" si="43"/>
        <v>63780</v>
      </c>
    </row>
    <row r="228" spans="1:21">
      <c r="A228" s="23" t="s">
        <v>254</v>
      </c>
      <c r="B228" s="37" t="s">
        <v>233</v>
      </c>
      <c r="C228" s="125">
        <v>45437</v>
      </c>
      <c r="D228" s="132">
        <v>3784575041</v>
      </c>
      <c r="E228" s="116">
        <f t="shared" si="44"/>
        <v>83292.801923542487</v>
      </c>
      <c r="F228" s="134">
        <v>2491821342</v>
      </c>
      <c r="G228" s="117">
        <f t="shared" si="45"/>
        <v>54841.2382419614</v>
      </c>
      <c r="H228" s="9"/>
      <c r="I228" s="136">
        <v>6.4</v>
      </c>
      <c r="J228" s="134">
        <v>15947656.59</v>
      </c>
      <c r="K228" s="120">
        <f t="shared" si="46"/>
        <v>350.98392477496316</v>
      </c>
      <c r="L228" s="122">
        <f t="shared" si="39"/>
        <v>24918213.420000002</v>
      </c>
      <c r="M228" s="116">
        <f t="shared" si="40"/>
        <v>8970556.8300000019</v>
      </c>
      <c r="N228" s="123">
        <f t="shared" si="41"/>
        <v>197.42845764465088</v>
      </c>
      <c r="O228" s="5"/>
      <c r="P228" s="5">
        <f t="shared" si="42"/>
        <v>1</v>
      </c>
      <c r="Q228" s="7">
        <f t="shared" si="43"/>
        <v>45437</v>
      </c>
    </row>
    <row r="229" spans="1:21">
      <c r="A229" s="23" t="s">
        <v>255</v>
      </c>
      <c r="B229" s="37" t="s">
        <v>233</v>
      </c>
      <c r="C229" s="125">
        <v>17745</v>
      </c>
      <c r="D229" s="132">
        <v>1290596138</v>
      </c>
      <c r="E229" s="116">
        <f t="shared" si="44"/>
        <v>72730.128937728936</v>
      </c>
      <c r="F229" s="134">
        <v>802504458</v>
      </c>
      <c r="G229" s="117">
        <f t="shared" si="45"/>
        <v>45224.257988165678</v>
      </c>
      <c r="H229" s="9"/>
      <c r="I229" s="136">
        <v>8.9999000000000002</v>
      </c>
      <c r="J229" s="134">
        <v>7222459.8700000001</v>
      </c>
      <c r="K229" s="120">
        <f t="shared" si="46"/>
        <v>407.01379938010706</v>
      </c>
      <c r="L229" s="122">
        <f t="shared" si="39"/>
        <v>8025044.5800000001</v>
      </c>
      <c r="M229" s="116">
        <f t="shared" si="40"/>
        <v>802584.71</v>
      </c>
      <c r="N229" s="123">
        <f t="shared" si="41"/>
        <v>45.228780501549728</v>
      </c>
      <c r="O229" s="5"/>
      <c r="P229" s="5">
        <f t="shared" si="42"/>
        <v>1</v>
      </c>
      <c r="Q229" s="7">
        <f t="shared" si="43"/>
        <v>17745</v>
      </c>
    </row>
    <row r="230" spans="1:21">
      <c r="A230" s="23" t="s">
        <v>493</v>
      </c>
      <c r="B230" s="37" t="s">
        <v>233</v>
      </c>
      <c r="C230" s="125">
        <v>24138</v>
      </c>
      <c r="D230" s="132">
        <v>4328634685</v>
      </c>
      <c r="E230" s="116">
        <f t="shared" si="44"/>
        <v>179328.63886817466</v>
      </c>
      <c r="F230" s="134">
        <v>2783195138</v>
      </c>
      <c r="G230" s="117">
        <f t="shared" si="45"/>
        <v>115303.46913580247</v>
      </c>
      <c r="H230" s="9"/>
      <c r="I230" s="136">
        <v>2.3292000000000002</v>
      </c>
      <c r="J230" s="134">
        <v>6482618.1200000001</v>
      </c>
      <c r="K230" s="120">
        <f t="shared" si="46"/>
        <v>268.56484050045572</v>
      </c>
      <c r="L230" s="122">
        <f t="shared" si="39"/>
        <v>27831951.379999999</v>
      </c>
      <c r="M230" s="116">
        <f t="shared" si="40"/>
        <v>21349333.259999998</v>
      </c>
      <c r="N230" s="123">
        <f t="shared" si="41"/>
        <v>884.46985085756887</v>
      </c>
      <c r="O230" s="5"/>
      <c r="P230" s="5">
        <f t="shared" si="42"/>
        <v>1</v>
      </c>
      <c r="Q230" s="7">
        <f t="shared" si="43"/>
        <v>24138</v>
      </c>
    </row>
    <row r="231" spans="1:21">
      <c r="A231" s="23" t="s">
        <v>256</v>
      </c>
      <c r="B231" s="37" t="s">
        <v>233</v>
      </c>
      <c r="C231" s="125">
        <v>18467</v>
      </c>
      <c r="D231" s="132">
        <v>6403872483</v>
      </c>
      <c r="E231" s="116">
        <f t="shared" si="44"/>
        <v>346773.8389018249</v>
      </c>
      <c r="F231" s="134">
        <v>4563837712</v>
      </c>
      <c r="G231" s="117">
        <f t="shared" si="45"/>
        <v>247134.7653652461</v>
      </c>
      <c r="H231" s="9"/>
      <c r="I231" s="136">
        <v>2.2999999999999998</v>
      </c>
      <c r="J231" s="134">
        <v>10496826.74</v>
      </c>
      <c r="K231" s="120">
        <f t="shared" si="46"/>
        <v>568.40996047002761</v>
      </c>
      <c r="L231" s="122">
        <f t="shared" si="39"/>
        <v>45638377.119999997</v>
      </c>
      <c r="M231" s="116">
        <f t="shared" si="40"/>
        <v>35141550.379999995</v>
      </c>
      <c r="N231" s="123">
        <f t="shared" si="41"/>
        <v>1902.9376931824333</v>
      </c>
      <c r="O231" s="5"/>
      <c r="P231" s="5">
        <f t="shared" si="42"/>
        <v>1</v>
      </c>
      <c r="Q231" s="7">
        <f t="shared" si="43"/>
        <v>18467</v>
      </c>
    </row>
    <row r="232" spans="1:21">
      <c r="A232" s="23" t="s">
        <v>257</v>
      </c>
      <c r="B232" s="37" t="s">
        <v>233</v>
      </c>
      <c r="C232" s="125">
        <v>12645</v>
      </c>
      <c r="D232" s="132">
        <v>2732013172</v>
      </c>
      <c r="E232" s="116">
        <f t="shared" si="44"/>
        <v>216054.81787267694</v>
      </c>
      <c r="F232" s="134">
        <v>1771578277</v>
      </c>
      <c r="G232" s="117">
        <f t="shared" si="45"/>
        <v>140101.08952155002</v>
      </c>
      <c r="H232" s="9"/>
      <c r="I232" s="150">
        <v>4.3</v>
      </c>
      <c r="J232" s="134">
        <v>7617786.5899999999</v>
      </c>
      <c r="K232" s="120">
        <f t="shared" si="46"/>
        <v>602.43468485567416</v>
      </c>
      <c r="L232" s="122">
        <f t="shared" si="39"/>
        <v>17715782.77</v>
      </c>
      <c r="M232" s="116">
        <f t="shared" si="40"/>
        <v>10097996.18</v>
      </c>
      <c r="N232" s="123">
        <f t="shared" si="41"/>
        <v>798.57621035982595</v>
      </c>
      <c r="O232" s="5"/>
      <c r="P232" s="5">
        <f t="shared" si="42"/>
        <v>1</v>
      </c>
      <c r="Q232" s="7">
        <f t="shared" si="43"/>
        <v>12645</v>
      </c>
    </row>
    <row r="233" spans="1:21">
      <c r="A233" s="23" t="s">
        <v>258</v>
      </c>
      <c r="B233" s="37" t="s">
        <v>233</v>
      </c>
      <c r="C233" s="125">
        <v>22233</v>
      </c>
      <c r="D233" s="132">
        <v>12565601550</v>
      </c>
      <c r="E233" s="116">
        <f t="shared" si="44"/>
        <v>565177.95844015654</v>
      </c>
      <c r="F233" s="134">
        <v>10920215178</v>
      </c>
      <c r="G233" s="117">
        <f t="shared" si="45"/>
        <v>491171.46484954795</v>
      </c>
      <c r="H233" s="9"/>
      <c r="I233" s="136">
        <v>2.2999999999999998</v>
      </c>
      <c r="J233" s="134">
        <v>25116494.91</v>
      </c>
      <c r="K233" s="120">
        <f t="shared" si="46"/>
        <v>1129.6943691809472</v>
      </c>
      <c r="L233" s="122">
        <f t="shared" si="39"/>
        <v>109202151.78</v>
      </c>
      <c r="M233" s="116">
        <f t="shared" si="40"/>
        <v>84085656.870000005</v>
      </c>
      <c r="N233" s="123">
        <f t="shared" si="41"/>
        <v>3782.0202793145327</v>
      </c>
      <c r="O233" s="5"/>
      <c r="P233" s="5">
        <f t="shared" si="42"/>
        <v>1</v>
      </c>
      <c r="Q233" s="7">
        <f t="shared" si="43"/>
        <v>22233</v>
      </c>
    </row>
    <row r="234" spans="1:21">
      <c r="A234" s="23" t="s">
        <v>259</v>
      </c>
      <c r="B234" s="37" t="s">
        <v>233</v>
      </c>
      <c r="C234" s="125">
        <v>5814</v>
      </c>
      <c r="D234" s="132">
        <v>2757712350</v>
      </c>
      <c r="E234" s="116">
        <f t="shared" si="44"/>
        <v>474322.72961816308</v>
      </c>
      <c r="F234" s="134">
        <v>2078458460</v>
      </c>
      <c r="G234" s="117">
        <f t="shared" si="45"/>
        <v>357491.99518403853</v>
      </c>
      <c r="H234" s="9"/>
      <c r="I234" s="136">
        <v>4.8</v>
      </c>
      <c r="J234" s="134">
        <v>9976600.6099999994</v>
      </c>
      <c r="K234" s="120">
        <f t="shared" si="46"/>
        <v>1715.9615772273821</v>
      </c>
      <c r="L234" s="122">
        <f t="shared" si="39"/>
        <v>20784584.600000001</v>
      </c>
      <c r="M234" s="116">
        <f t="shared" si="40"/>
        <v>10807983.990000002</v>
      </c>
      <c r="N234" s="123">
        <f t="shared" si="41"/>
        <v>1858.9583746130033</v>
      </c>
      <c r="O234" s="5"/>
      <c r="P234" s="5">
        <f t="shared" si="42"/>
        <v>1</v>
      </c>
      <c r="Q234" s="7">
        <f t="shared" si="43"/>
        <v>5814</v>
      </c>
    </row>
    <row r="235" spans="1:21">
      <c r="A235" s="23" t="s">
        <v>260</v>
      </c>
      <c r="B235" s="37" t="s">
        <v>233</v>
      </c>
      <c r="C235" s="125">
        <v>21508</v>
      </c>
      <c r="D235" s="132">
        <v>2064961431</v>
      </c>
      <c r="E235" s="116">
        <f t="shared" si="44"/>
        <v>96008.993444299791</v>
      </c>
      <c r="F235" s="134">
        <v>1650053942</v>
      </c>
      <c r="G235" s="117">
        <f t="shared" si="45"/>
        <v>76718.148688859961</v>
      </c>
      <c r="H235" s="9"/>
      <c r="I235" s="136">
        <v>4.2150999999999996</v>
      </c>
      <c r="J235" s="134">
        <v>6955142.3700000001</v>
      </c>
      <c r="K235" s="120">
        <f t="shared" si="46"/>
        <v>323.37466849544359</v>
      </c>
      <c r="L235" s="122">
        <f t="shared" si="39"/>
        <v>16500539.42</v>
      </c>
      <c r="M235" s="116">
        <f t="shared" si="40"/>
        <v>9545397.0500000007</v>
      </c>
      <c r="N235" s="123">
        <f t="shared" si="41"/>
        <v>443.80681839315605</v>
      </c>
      <c r="O235" s="5"/>
      <c r="P235" s="5">
        <f t="shared" si="42"/>
        <v>1</v>
      </c>
      <c r="Q235" s="7">
        <f t="shared" si="43"/>
        <v>21508</v>
      </c>
    </row>
    <row r="236" spans="1:21">
      <c r="A236" s="23" t="s">
        <v>261</v>
      </c>
      <c r="B236" s="35" t="s">
        <v>233</v>
      </c>
      <c r="C236" s="125">
        <v>2409</v>
      </c>
      <c r="D236" s="132">
        <v>343827145</v>
      </c>
      <c r="E236" s="116">
        <f t="shared" si="44"/>
        <v>142726.08758821088</v>
      </c>
      <c r="F236" s="134">
        <v>259369912</v>
      </c>
      <c r="G236" s="117">
        <f t="shared" si="45"/>
        <v>107667.04524699046</v>
      </c>
      <c r="H236" s="9"/>
      <c r="I236" s="150">
        <v>5.15</v>
      </c>
      <c r="J236" s="134">
        <v>1335755.05</v>
      </c>
      <c r="K236" s="120">
        <f t="shared" si="46"/>
        <v>554.48528435035291</v>
      </c>
      <c r="L236" s="122">
        <f t="shared" si="39"/>
        <v>2593699.12</v>
      </c>
      <c r="M236" s="116">
        <f t="shared" si="40"/>
        <v>1257944.07</v>
      </c>
      <c r="N236" s="123">
        <f t="shared" si="41"/>
        <v>522.18516811955169</v>
      </c>
      <c r="O236" s="5"/>
      <c r="P236" s="5">
        <f t="shared" si="42"/>
        <v>1</v>
      </c>
      <c r="Q236" s="7">
        <f t="shared" si="43"/>
        <v>2409</v>
      </c>
    </row>
    <row r="237" spans="1:21">
      <c r="A237" s="23" t="s">
        <v>262</v>
      </c>
      <c r="B237" s="35" t="s">
        <v>233</v>
      </c>
      <c r="C237" s="125">
        <v>7182</v>
      </c>
      <c r="D237" s="132">
        <v>727149190</v>
      </c>
      <c r="E237" s="116">
        <f t="shared" si="44"/>
        <v>101246.0582010582</v>
      </c>
      <c r="F237" s="134">
        <v>471295645</v>
      </c>
      <c r="G237" s="117">
        <f t="shared" si="45"/>
        <v>65621.782929546083</v>
      </c>
      <c r="H237" s="9"/>
      <c r="I237" s="136">
        <v>6.8857999999999997</v>
      </c>
      <c r="J237" s="134">
        <v>3245247.55</v>
      </c>
      <c r="K237" s="120">
        <f t="shared" si="46"/>
        <v>451.85847257031463</v>
      </c>
      <c r="L237" s="122">
        <f t="shared" si="39"/>
        <v>4712956.45</v>
      </c>
      <c r="M237" s="116">
        <f t="shared" si="40"/>
        <v>1467708.9000000004</v>
      </c>
      <c r="N237" s="123">
        <f t="shared" si="41"/>
        <v>204.35935672514626</v>
      </c>
      <c r="O237" s="5"/>
      <c r="P237" s="5">
        <f t="shared" si="42"/>
        <v>1</v>
      </c>
      <c r="Q237" s="7">
        <f t="shared" si="43"/>
        <v>7182</v>
      </c>
      <c r="S237" s="124">
        <f>SUM(D204:D237)</f>
        <v>278729475068</v>
      </c>
      <c r="T237" s="124">
        <f>SUM(F204:F237)</f>
        <v>197877327734</v>
      </c>
      <c r="U237" s="124">
        <f>SUM(J204:J237)</f>
        <v>1023290219.88</v>
      </c>
    </row>
    <row r="238" spans="1:21">
      <c r="A238" s="23" t="s">
        <v>263</v>
      </c>
      <c r="B238" s="35" t="s">
        <v>264</v>
      </c>
      <c r="C238" s="125">
        <v>6326</v>
      </c>
      <c r="D238" s="132">
        <v>4211020351</v>
      </c>
      <c r="E238" s="116">
        <f t="shared" si="44"/>
        <v>665668.72447043948</v>
      </c>
      <c r="F238" s="134">
        <v>3279308946</v>
      </c>
      <c r="G238" s="117">
        <f t="shared" si="45"/>
        <v>518385.85931078088</v>
      </c>
      <c r="H238" s="7"/>
      <c r="I238" s="136">
        <v>2.8</v>
      </c>
      <c r="J238" s="134">
        <v>9182065.0487999991</v>
      </c>
      <c r="K238" s="120">
        <f t="shared" si="46"/>
        <v>1451.4804060701863</v>
      </c>
      <c r="L238" s="122">
        <f t="shared" si="39"/>
        <v>32793089.460000001</v>
      </c>
      <c r="M238" s="116">
        <f t="shared" si="40"/>
        <v>23611024.411200002</v>
      </c>
      <c r="N238" s="123">
        <f t="shared" si="41"/>
        <v>3732.3781870376229</v>
      </c>
      <c r="O238" s="5"/>
      <c r="P238" s="5">
        <f t="shared" si="42"/>
        <v>1</v>
      </c>
      <c r="Q238" s="7">
        <f t="shared" si="43"/>
        <v>6326</v>
      </c>
    </row>
    <row r="239" spans="1:21">
      <c r="A239" s="23" t="s">
        <v>265</v>
      </c>
      <c r="B239" s="35" t="s">
        <v>264</v>
      </c>
      <c r="C239" s="125">
        <v>803</v>
      </c>
      <c r="D239" s="132">
        <v>812264801</v>
      </c>
      <c r="E239" s="116">
        <f t="shared" si="44"/>
        <v>1011537.7347447074</v>
      </c>
      <c r="F239" s="134">
        <v>695794157</v>
      </c>
      <c r="G239" s="117">
        <f t="shared" si="45"/>
        <v>866493.34620174346</v>
      </c>
      <c r="H239" s="7"/>
      <c r="I239" s="136">
        <v>2.23</v>
      </c>
      <c r="J239" s="134">
        <v>1551620.9701099999</v>
      </c>
      <c r="K239" s="120">
        <f t="shared" si="46"/>
        <v>1932.2801620298878</v>
      </c>
      <c r="L239" s="122">
        <f t="shared" si="39"/>
        <v>6957941.5700000003</v>
      </c>
      <c r="M239" s="116">
        <f t="shared" si="40"/>
        <v>5406320.5998900002</v>
      </c>
      <c r="N239" s="123">
        <f t="shared" si="41"/>
        <v>6732.6532999875471</v>
      </c>
      <c r="O239" s="5"/>
      <c r="P239" s="5">
        <f t="shared" si="42"/>
        <v>1</v>
      </c>
      <c r="Q239" s="7">
        <f t="shared" si="43"/>
        <v>803</v>
      </c>
    </row>
    <row r="240" spans="1:21">
      <c r="A240" s="23" t="s">
        <v>266</v>
      </c>
      <c r="B240" s="35" t="s">
        <v>264</v>
      </c>
      <c r="C240" s="125">
        <v>24597</v>
      </c>
      <c r="D240" s="132">
        <v>11875355746</v>
      </c>
      <c r="E240" s="116">
        <f t="shared" si="44"/>
        <v>482796.91612798307</v>
      </c>
      <c r="F240" s="134">
        <v>6841829997</v>
      </c>
      <c r="G240" s="117">
        <f t="shared" si="45"/>
        <v>278157.09220636665</v>
      </c>
      <c r="H240" s="7"/>
      <c r="I240" s="136">
        <v>2.3466</v>
      </c>
      <c r="J240" s="134">
        <v>16055038.270960199</v>
      </c>
      <c r="K240" s="120">
        <f t="shared" si="46"/>
        <v>652.72343257145985</v>
      </c>
      <c r="L240" s="122">
        <f t="shared" si="39"/>
        <v>68418299.969999999</v>
      </c>
      <c r="M240" s="116">
        <f t="shared" si="40"/>
        <v>52363261.699039802</v>
      </c>
      <c r="N240" s="123">
        <f t="shared" si="41"/>
        <v>2128.8474894922065</v>
      </c>
      <c r="O240" s="5"/>
      <c r="P240" s="5">
        <f t="shared" si="42"/>
        <v>1</v>
      </c>
      <c r="Q240" s="7">
        <f t="shared" si="43"/>
        <v>24597</v>
      </c>
    </row>
    <row r="241" spans="1:21">
      <c r="A241" s="23" t="s">
        <v>267</v>
      </c>
      <c r="B241" s="35" t="s">
        <v>264</v>
      </c>
      <c r="C241" s="125">
        <v>186</v>
      </c>
      <c r="D241" s="132">
        <v>86858695</v>
      </c>
      <c r="E241" s="116">
        <f t="shared" si="44"/>
        <v>466982.23118279572</v>
      </c>
      <c r="F241" s="134">
        <v>61705164</v>
      </c>
      <c r="G241" s="117">
        <f t="shared" si="45"/>
        <v>331748.19354838709</v>
      </c>
      <c r="H241" s="7"/>
      <c r="I241" s="136">
        <v>2.4906000000000001</v>
      </c>
      <c r="J241" s="134">
        <v>153682.88145840002</v>
      </c>
      <c r="K241" s="120">
        <f t="shared" si="46"/>
        <v>826.25205085161303</v>
      </c>
      <c r="L241" s="122">
        <f t="shared" si="39"/>
        <v>617051.64</v>
      </c>
      <c r="M241" s="116">
        <f t="shared" si="40"/>
        <v>463368.75854159996</v>
      </c>
      <c r="N241" s="123">
        <f t="shared" si="41"/>
        <v>2491.2298846322578</v>
      </c>
      <c r="O241" s="5"/>
      <c r="P241" s="5">
        <f t="shared" si="42"/>
        <v>1</v>
      </c>
      <c r="Q241" s="7">
        <f t="shared" si="43"/>
        <v>186</v>
      </c>
    </row>
    <row r="242" spans="1:21">
      <c r="A242" s="23" t="s">
        <v>449</v>
      </c>
      <c r="B242" s="35" t="s">
        <v>264</v>
      </c>
      <c r="C242" s="125">
        <v>8775</v>
      </c>
      <c r="D242" s="132">
        <v>3182246099</v>
      </c>
      <c r="E242" s="116">
        <f t="shared" si="44"/>
        <v>362649.12809116807</v>
      </c>
      <c r="F242" s="134">
        <v>2378768078</v>
      </c>
      <c r="G242" s="117">
        <f t="shared" si="45"/>
        <v>271084.68125356123</v>
      </c>
      <c r="H242" s="7"/>
      <c r="I242" s="136">
        <v>2.59</v>
      </c>
      <c r="J242" s="134">
        <v>6161009.3220199998</v>
      </c>
      <c r="K242" s="120">
        <f t="shared" si="46"/>
        <v>702.10932444672358</v>
      </c>
      <c r="L242" s="122">
        <f t="shared" si="39"/>
        <v>23787680.780000001</v>
      </c>
      <c r="M242" s="116">
        <f t="shared" si="40"/>
        <v>17626671.457979999</v>
      </c>
      <c r="N242" s="123">
        <f t="shared" si="41"/>
        <v>2008.7374880888888</v>
      </c>
      <c r="O242" s="5"/>
      <c r="P242" s="5">
        <f t="shared" si="42"/>
        <v>1</v>
      </c>
      <c r="Q242" s="7">
        <f t="shared" si="43"/>
        <v>8775</v>
      </c>
      <c r="S242" s="124">
        <f>SUM(D238:D242)</f>
        <v>20167745692</v>
      </c>
      <c r="T242" s="124">
        <f>SUM(F238:F242)</f>
        <v>13257406342</v>
      </c>
      <c r="U242" s="124">
        <f>SUM(J238:J242)</f>
        <v>33103416.493348598</v>
      </c>
    </row>
    <row r="243" spans="1:21">
      <c r="A243" s="23" t="s">
        <v>268</v>
      </c>
      <c r="B243" s="35" t="s">
        <v>269</v>
      </c>
      <c r="C243" s="125">
        <v>1292</v>
      </c>
      <c r="D243" s="132">
        <v>135329029</v>
      </c>
      <c r="E243" s="116">
        <f t="shared" si="44"/>
        <v>104743.83049535604</v>
      </c>
      <c r="F243" s="134">
        <v>84121835</v>
      </c>
      <c r="G243" s="117">
        <f t="shared" si="45"/>
        <v>65109.779411764706</v>
      </c>
      <c r="H243" s="7"/>
      <c r="I243" s="136">
        <v>3.0337999999999998</v>
      </c>
      <c r="J243" s="134">
        <v>255208.82302299998</v>
      </c>
      <c r="K243" s="120">
        <f t="shared" si="46"/>
        <v>197.53004877941174</v>
      </c>
      <c r="L243" s="122">
        <f t="shared" si="39"/>
        <v>841218.35</v>
      </c>
      <c r="M243" s="116">
        <f t="shared" si="40"/>
        <v>586009.52697700006</v>
      </c>
      <c r="N243" s="123">
        <f t="shared" si="41"/>
        <v>453.56774533823534</v>
      </c>
      <c r="O243" s="5"/>
      <c r="P243" s="5">
        <f t="shared" si="42"/>
        <v>1</v>
      </c>
      <c r="Q243" s="7">
        <f t="shared" si="43"/>
        <v>1292</v>
      </c>
    </row>
    <row r="244" spans="1:21">
      <c r="A244" s="23" t="s">
        <v>270</v>
      </c>
      <c r="B244" s="35" t="s">
        <v>269</v>
      </c>
      <c r="C244" s="125">
        <v>12550</v>
      </c>
      <c r="D244" s="132">
        <v>2973148473</v>
      </c>
      <c r="E244" s="116">
        <f t="shared" si="44"/>
        <v>236904.26079681274</v>
      </c>
      <c r="F244" s="134">
        <v>2018957084</v>
      </c>
      <c r="G244" s="117">
        <f t="shared" si="45"/>
        <v>160873.07442231075</v>
      </c>
      <c r="H244" s="7"/>
      <c r="I244" s="136">
        <v>6</v>
      </c>
      <c r="J244" s="134">
        <v>12113742.504000001</v>
      </c>
      <c r="K244" s="120">
        <f t="shared" si="46"/>
        <v>965.23844653386459</v>
      </c>
      <c r="L244" s="122">
        <f t="shared" si="39"/>
        <v>20189570.84</v>
      </c>
      <c r="M244" s="116">
        <f t="shared" si="40"/>
        <v>8075828.3359999992</v>
      </c>
      <c r="N244" s="123">
        <f t="shared" si="41"/>
        <v>643.49229768924295</v>
      </c>
      <c r="O244" s="5"/>
      <c r="P244" s="5">
        <f t="shared" si="42"/>
        <v>1</v>
      </c>
      <c r="Q244" s="7">
        <f t="shared" si="43"/>
        <v>12550</v>
      </c>
    </row>
    <row r="245" spans="1:21">
      <c r="A245" s="23" t="s">
        <v>271</v>
      </c>
      <c r="B245" s="35" t="s">
        <v>269</v>
      </c>
      <c r="C245" s="125">
        <v>2953</v>
      </c>
      <c r="D245" s="132">
        <v>275125026</v>
      </c>
      <c r="E245" s="116">
        <f t="shared" si="44"/>
        <v>93167.973586183536</v>
      </c>
      <c r="F245" s="134">
        <v>86218505</v>
      </c>
      <c r="G245" s="117">
        <f t="shared" si="45"/>
        <v>29196.920081273282</v>
      </c>
      <c r="H245" s="7"/>
      <c r="I245" s="136">
        <v>0.496</v>
      </c>
      <c r="J245" s="134">
        <v>42764.378479999999</v>
      </c>
      <c r="K245" s="120">
        <f t="shared" si="46"/>
        <v>14.481672360311547</v>
      </c>
      <c r="L245" s="122">
        <f t="shared" si="39"/>
        <v>862185.05</v>
      </c>
      <c r="M245" s="116">
        <f t="shared" si="40"/>
        <v>819420.67152000009</v>
      </c>
      <c r="N245" s="123">
        <f t="shared" si="41"/>
        <v>277.48752845242132</v>
      </c>
      <c r="O245" s="5"/>
      <c r="P245" s="5">
        <f t="shared" si="42"/>
        <v>1</v>
      </c>
      <c r="Q245" s="7">
        <f t="shared" si="43"/>
        <v>2953</v>
      </c>
      <c r="S245" s="124">
        <f>SUM(D243:D245)</f>
        <v>3383602528</v>
      </c>
      <c r="T245" s="124">
        <f>SUM(F243:F245)</f>
        <v>2189297424</v>
      </c>
      <c r="U245" s="124">
        <f>SUM(J243:J245)</f>
        <v>12411715.705503002</v>
      </c>
    </row>
    <row r="246" spans="1:21">
      <c r="A246" s="23" t="s">
        <v>272</v>
      </c>
      <c r="B246" s="35" t="s">
        <v>273</v>
      </c>
      <c r="C246" s="125">
        <v>405</v>
      </c>
      <c r="D246" s="132">
        <v>62850079</v>
      </c>
      <c r="E246" s="116">
        <f t="shared" si="44"/>
        <v>155185.38024691358</v>
      </c>
      <c r="F246" s="156">
        <v>51862303</v>
      </c>
      <c r="G246" s="117">
        <f t="shared" si="45"/>
        <v>128055.06913580246</v>
      </c>
      <c r="H246" s="7"/>
      <c r="I246" s="136">
        <v>3</v>
      </c>
      <c r="J246" s="134">
        <v>155586.90900000001</v>
      </c>
      <c r="K246" s="120">
        <f t="shared" si="46"/>
        <v>384.16520740740742</v>
      </c>
      <c r="L246" s="122">
        <f t="shared" si="39"/>
        <v>518623.03</v>
      </c>
      <c r="M246" s="116">
        <f t="shared" si="40"/>
        <v>363036.12100000004</v>
      </c>
      <c r="N246" s="123">
        <f t="shared" si="41"/>
        <v>896.38548395061741</v>
      </c>
      <c r="O246" s="5"/>
      <c r="P246" s="5">
        <f t="shared" si="42"/>
        <v>1</v>
      </c>
      <c r="Q246" s="7">
        <f t="shared" si="43"/>
        <v>405</v>
      </c>
    </row>
    <row r="247" spans="1:21">
      <c r="A247" s="23" t="s">
        <v>274</v>
      </c>
      <c r="B247" s="35" t="s">
        <v>273</v>
      </c>
      <c r="C247" s="125">
        <v>24561</v>
      </c>
      <c r="D247" s="132">
        <v>1443758611</v>
      </c>
      <c r="E247" s="116">
        <f t="shared" si="44"/>
        <v>58782.566304303567</v>
      </c>
      <c r="F247" s="134">
        <v>1023338558</v>
      </c>
      <c r="G247" s="117">
        <f t="shared" si="45"/>
        <v>41665.182932291027</v>
      </c>
      <c r="H247" s="7"/>
      <c r="I247" s="136">
        <v>6.9466000000000001</v>
      </c>
      <c r="J247" s="134">
        <v>7108723.6270027999</v>
      </c>
      <c r="K247" s="120">
        <f t="shared" si="46"/>
        <v>289.43135975745287</v>
      </c>
      <c r="L247" s="122">
        <f t="shared" si="39"/>
        <v>10233385.58</v>
      </c>
      <c r="M247" s="116">
        <f t="shared" si="40"/>
        <v>3124661.9529972002</v>
      </c>
      <c r="N247" s="123">
        <f t="shared" si="41"/>
        <v>127.22046956545744</v>
      </c>
      <c r="O247" s="5"/>
      <c r="P247" s="5">
        <f t="shared" si="42"/>
        <v>1</v>
      </c>
      <c r="Q247" s="7">
        <f t="shared" si="43"/>
        <v>24561</v>
      </c>
    </row>
    <row r="248" spans="1:21">
      <c r="A248" s="23" t="s">
        <v>275</v>
      </c>
      <c r="B248" s="35" t="s">
        <v>273</v>
      </c>
      <c r="C248" s="125">
        <v>13116</v>
      </c>
      <c r="D248" s="132">
        <v>5391773524</v>
      </c>
      <c r="E248" s="116">
        <f t="shared" si="44"/>
        <v>411083.6782555657</v>
      </c>
      <c r="F248" s="134">
        <v>4731978391</v>
      </c>
      <c r="G248" s="117">
        <f t="shared" si="45"/>
        <v>360779.07830131135</v>
      </c>
      <c r="H248" s="9"/>
      <c r="I248" s="136">
        <v>1.615</v>
      </c>
      <c r="J248" s="134">
        <v>7642145.1014649998</v>
      </c>
      <c r="K248" s="120">
        <f t="shared" si="46"/>
        <v>582.65821145661789</v>
      </c>
      <c r="L248" s="122">
        <f t="shared" si="39"/>
        <v>47319783.910000004</v>
      </c>
      <c r="M248" s="116">
        <f t="shared" si="40"/>
        <v>39677638.808535002</v>
      </c>
      <c r="N248" s="123">
        <f t="shared" si="41"/>
        <v>3025.1325715564963</v>
      </c>
      <c r="O248" s="5"/>
      <c r="P248" s="5">
        <f t="shared" si="42"/>
        <v>1</v>
      </c>
      <c r="Q248" s="7">
        <f t="shared" si="43"/>
        <v>13116</v>
      </c>
    </row>
    <row r="249" spans="1:21">
      <c r="A249" s="23" t="s">
        <v>276</v>
      </c>
      <c r="B249" s="35" t="s">
        <v>273</v>
      </c>
      <c r="C249" s="125">
        <v>20886</v>
      </c>
      <c r="D249" s="132">
        <v>1885491558</v>
      </c>
      <c r="E249" s="116">
        <f t="shared" si="44"/>
        <v>90275.378626831371</v>
      </c>
      <c r="F249" s="134">
        <v>1277761761</v>
      </c>
      <c r="G249" s="117">
        <f t="shared" si="45"/>
        <v>61177.906779661018</v>
      </c>
      <c r="H249" s="9"/>
      <c r="I249" s="136">
        <v>5.7697000000000003</v>
      </c>
      <c r="J249" s="134">
        <v>7372302.0324416999</v>
      </c>
      <c r="K249" s="120">
        <f t="shared" si="46"/>
        <v>352.97816874661015</v>
      </c>
      <c r="L249" s="122">
        <f t="shared" si="39"/>
        <v>12777617.609999999</v>
      </c>
      <c r="M249" s="116">
        <f t="shared" si="40"/>
        <v>5405315.5775582995</v>
      </c>
      <c r="N249" s="123">
        <f t="shared" si="41"/>
        <v>258.80089905</v>
      </c>
      <c r="O249" s="5"/>
      <c r="P249" s="5">
        <f t="shared" si="42"/>
        <v>1</v>
      </c>
      <c r="Q249" s="7">
        <f t="shared" si="43"/>
        <v>20886</v>
      </c>
    </row>
    <row r="250" spans="1:21">
      <c r="A250" s="23" t="s">
        <v>277</v>
      </c>
      <c r="B250" s="35" t="s">
        <v>273</v>
      </c>
      <c r="C250" s="125">
        <v>551</v>
      </c>
      <c r="D250" s="132">
        <v>30745087</v>
      </c>
      <c r="E250" s="116">
        <f t="shared" si="44"/>
        <v>55798.705989110706</v>
      </c>
      <c r="F250" s="134">
        <v>16516476</v>
      </c>
      <c r="G250" s="117">
        <f t="shared" si="45"/>
        <v>29975.4555353902</v>
      </c>
      <c r="H250" s="7"/>
      <c r="I250" s="150">
        <v>3.5</v>
      </c>
      <c r="J250" s="134">
        <v>57807.665999999997</v>
      </c>
      <c r="K250" s="120">
        <f t="shared" si="46"/>
        <v>104.91409437386569</v>
      </c>
      <c r="L250" s="122">
        <f t="shared" si="39"/>
        <v>165164.76</v>
      </c>
      <c r="M250" s="116">
        <f t="shared" si="40"/>
        <v>107357.09400000001</v>
      </c>
      <c r="N250" s="123">
        <f t="shared" si="41"/>
        <v>194.84046098003631</v>
      </c>
      <c r="O250" s="5"/>
      <c r="P250" s="5">
        <f t="shared" si="42"/>
        <v>1</v>
      </c>
      <c r="Q250" s="7">
        <f t="shared" si="43"/>
        <v>551</v>
      </c>
    </row>
    <row r="251" spans="1:21">
      <c r="A251" s="23" t="s">
        <v>278</v>
      </c>
      <c r="B251" s="35" t="s">
        <v>273</v>
      </c>
      <c r="C251" s="125">
        <v>3973</v>
      </c>
      <c r="D251" s="132">
        <v>397915261</v>
      </c>
      <c r="E251" s="116">
        <f t="shared" si="44"/>
        <v>100154.8605587717</v>
      </c>
      <c r="F251" s="134">
        <v>279226117</v>
      </c>
      <c r="G251" s="117">
        <f t="shared" si="45"/>
        <v>70280.925497105462</v>
      </c>
      <c r="H251" s="7"/>
      <c r="I251" s="136">
        <v>4.2347000000000001</v>
      </c>
      <c r="J251" s="134">
        <v>1182438.8376598998</v>
      </c>
      <c r="K251" s="120">
        <f t="shared" si="46"/>
        <v>297.61863520259249</v>
      </c>
      <c r="L251" s="122">
        <f t="shared" si="39"/>
        <v>2792261.17</v>
      </c>
      <c r="M251" s="116">
        <f t="shared" si="40"/>
        <v>1609822.3323401001</v>
      </c>
      <c r="N251" s="123">
        <f t="shared" si="41"/>
        <v>405.19061976846211</v>
      </c>
      <c r="O251" s="5"/>
      <c r="P251" s="5">
        <f t="shared" si="42"/>
        <v>1</v>
      </c>
      <c r="Q251" s="7">
        <f t="shared" si="43"/>
        <v>3973</v>
      </c>
    </row>
    <row r="252" spans="1:21">
      <c r="A252" s="23" t="s">
        <v>279</v>
      </c>
      <c r="B252" s="35" t="s">
        <v>273</v>
      </c>
      <c r="C252" s="125">
        <v>14442</v>
      </c>
      <c r="D252" s="132">
        <v>1539263962</v>
      </c>
      <c r="E252" s="116">
        <f t="shared" si="44"/>
        <v>106582.46517102895</v>
      </c>
      <c r="F252" s="134">
        <v>1037441114</v>
      </c>
      <c r="G252" s="117">
        <f t="shared" si="45"/>
        <v>71835.00304666943</v>
      </c>
      <c r="H252" s="7"/>
      <c r="I252" s="136">
        <v>3.7</v>
      </c>
      <c r="J252" s="134">
        <v>3838532.1218000003</v>
      </c>
      <c r="K252" s="120">
        <f t="shared" si="46"/>
        <v>265.78951127267692</v>
      </c>
      <c r="L252" s="122">
        <f t="shared" si="39"/>
        <v>10374411.140000001</v>
      </c>
      <c r="M252" s="116">
        <f t="shared" si="40"/>
        <v>6535879.0182000007</v>
      </c>
      <c r="N252" s="123">
        <f t="shared" si="41"/>
        <v>452.5605191940175</v>
      </c>
      <c r="O252" s="5"/>
      <c r="P252" s="5">
        <f t="shared" si="42"/>
        <v>1</v>
      </c>
      <c r="Q252" s="7">
        <f t="shared" si="43"/>
        <v>14442</v>
      </c>
    </row>
    <row r="253" spans="1:21">
      <c r="A253" s="23" t="s">
        <v>280</v>
      </c>
      <c r="B253" s="35" t="s">
        <v>273</v>
      </c>
      <c r="C253" s="125">
        <v>813</v>
      </c>
      <c r="D253" s="132">
        <v>132726030</v>
      </c>
      <c r="E253" s="116">
        <f t="shared" si="44"/>
        <v>163254.64944649447</v>
      </c>
      <c r="F253" s="134">
        <v>95922949</v>
      </c>
      <c r="G253" s="117">
        <f t="shared" si="45"/>
        <v>117986.40713407134</v>
      </c>
      <c r="H253" s="7"/>
      <c r="I253" s="136">
        <v>2</v>
      </c>
      <c r="J253" s="134">
        <v>191845.89799999999</v>
      </c>
      <c r="K253" s="120">
        <f t="shared" si="46"/>
        <v>235.97281426814266</v>
      </c>
      <c r="L253" s="122">
        <f t="shared" si="39"/>
        <v>959229.49</v>
      </c>
      <c r="M253" s="116">
        <f t="shared" si="40"/>
        <v>767383.59199999995</v>
      </c>
      <c r="N253" s="123">
        <f t="shared" si="41"/>
        <v>943.89125707257062</v>
      </c>
      <c r="O253" s="5"/>
      <c r="P253" s="5">
        <f t="shared" si="42"/>
        <v>1</v>
      </c>
      <c r="Q253" s="7">
        <f t="shared" si="43"/>
        <v>813</v>
      </c>
    </row>
    <row r="254" spans="1:21">
      <c r="A254" s="23" t="s">
        <v>281</v>
      </c>
      <c r="B254" s="35" t="s">
        <v>273</v>
      </c>
      <c r="C254" s="125">
        <v>5246</v>
      </c>
      <c r="D254" s="132">
        <v>368531467</v>
      </c>
      <c r="E254" s="116">
        <f t="shared" si="44"/>
        <v>70249.993709492948</v>
      </c>
      <c r="F254" s="134">
        <v>217495825</v>
      </c>
      <c r="G254" s="117">
        <f t="shared" si="45"/>
        <v>41459.364277544795</v>
      </c>
      <c r="H254" s="7"/>
      <c r="I254" s="136">
        <v>5.024</v>
      </c>
      <c r="J254" s="134">
        <v>1092699.0248</v>
      </c>
      <c r="K254" s="120">
        <f t="shared" si="46"/>
        <v>208.29184613038507</v>
      </c>
      <c r="L254" s="122">
        <f t="shared" si="39"/>
        <v>2174958.25</v>
      </c>
      <c r="M254" s="116">
        <f t="shared" si="40"/>
        <v>1082259.2252</v>
      </c>
      <c r="N254" s="123">
        <f t="shared" si="41"/>
        <v>206.30179664506289</v>
      </c>
      <c r="O254" s="5"/>
      <c r="P254" s="5">
        <f t="shared" si="42"/>
        <v>1</v>
      </c>
      <c r="Q254" s="7">
        <f t="shared" si="43"/>
        <v>5246</v>
      </c>
      <c r="S254" s="124">
        <f>SUM(D246:D254)</f>
        <v>11253055579</v>
      </c>
      <c r="T254" s="124">
        <f>SUM(F246:F254)</f>
        <v>8731543494</v>
      </c>
      <c r="U254" s="124">
        <f>SUM(J246:J254)</f>
        <v>28642081.218169399</v>
      </c>
    </row>
    <row r="255" spans="1:21">
      <c r="A255" s="23" t="s">
        <v>282</v>
      </c>
      <c r="B255" s="35" t="s">
        <v>282</v>
      </c>
      <c r="C255" s="125">
        <v>5566</v>
      </c>
      <c r="D255" s="132">
        <v>395438414</v>
      </c>
      <c r="E255" s="116">
        <f t="shared" si="44"/>
        <v>71045.349263384836</v>
      </c>
      <c r="F255" s="134">
        <v>269867930</v>
      </c>
      <c r="G255" s="117">
        <f t="shared" si="45"/>
        <v>48485.075458138701</v>
      </c>
      <c r="H255" s="7"/>
      <c r="I255" s="136">
        <v>7.9931999999999999</v>
      </c>
      <c r="J255" s="134">
        <v>2157108.3380759996</v>
      </c>
      <c r="K255" s="120">
        <f t="shared" si="46"/>
        <v>387.55090515199419</v>
      </c>
      <c r="L255" s="122">
        <f t="shared" si="39"/>
        <v>2698679.3000000003</v>
      </c>
      <c r="M255" s="116">
        <f t="shared" si="40"/>
        <v>541570.96192400064</v>
      </c>
      <c r="N255" s="123">
        <f t="shared" si="41"/>
        <v>97.29984942939285</v>
      </c>
      <c r="O255" s="5"/>
      <c r="P255" s="5">
        <f t="shared" si="42"/>
        <v>1</v>
      </c>
      <c r="Q255" s="7">
        <f t="shared" si="43"/>
        <v>5566</v>
      </c>
      <c r="S255" s="124">
        <f>SUM(D255)</f>
        <v>395438414</v>
      </c>
      <c r="T255" s="124">
        <f>SUM(F255)</f>
        <v>269867930</v>
      </c>
      <c r="U255" s="124">
        <f>SUM(J255)</f>
        <v>2157108.3380759996</v>
      </c>
    </row>
    <row r="256" spans="1:21">
      <c r="A256" s="23" t="s">
        <v>283</v>
      </c>
      <c r="B256" s="35" t="s">
        <v>284</v>
      </c>
      <c r="C256" s="125">
        <v>49750</v>
      </c>
      <c r="D256" s="132">
        <v>4404938966</v>
      </c>
      <c r="E256" s="116">
        <f t="shared" si="44"/>
        <v>88541.486753768841</v>
      </c>
      <c r="F256" s="134">
        <v>2953480364</v>
      </c>
      <c r="G256" s="117">
        <f t="shared" si="45"/>
        <v>59366.439477386935</v>
      </c>
      <c r="H256" s="7"/>
      <c r="I256" s="136">
        <v>3.7875999999999999</v>
      </c>
      <c r="J256" s="134">
        <v>11186602.226686399</v>
      </c>
      <c r="K256" s="120">
        <f t="shared" si="46"/>
        <v>224.85632616455075</v>
      </c>
      <c r="L256" s="122">
        <f t="shared" si="39"/>
        <v>29534803.640000001</v>
      </c>
      <c r="M256" s="116">
        <f t="shared" si="40"/>
        <v>18348201.413313601</v>
      </c>
      <c r="N256" s="123">
        <f t="shared" si="41"/>
        <v>368.80806860931864</v>
      </c>
      <c r="O256" s="5"/>
      <c r="P256" s="5">
        <f t="shared" si="42"/>
        <v>1</v>
      </c>
      <c r="Q256" s="7">
        <f t="shared" si="43"/>
        <v>49750</v>
      </c>
    </row>
    <row r="257" spans="1:21">
      <c r="A257" s="23" t="s">
        <v>285</v>
      </c>
      <c r="B257" s="35" t="s">
        <v>284</v>
      </c>
      <c r="C257" s="125">
        <v>23</v>
      </c>
      <c r="D257" s="132">
        <v>9284758620</v>
      </c>
      <c r="E257" s="116">
        <f t="shared" si="44"/>
        <v>403685157.39130437</v>
      </c>
      <c r="F257" s="134">
        <v>7665724196</v>
      </c>
      <c r="G257" s="117">
        <f t="shared" si="45"/>
        <v>333292356.34782606</v>
      </c>
      <c r="H257" s="7"/>
      <c r="I257" s="136">
        <v>1.9469000000000001</v>
      </c>
      <c r="J257" s="134">
        <v>14924398.437192399</v>
      </c>
      <c r="K257" s="120">
        <f t="shared" si="46"/>
        <v>648886.88857358252</v>
      </c>
      <c r="L257" s="122">
        <f t="shared" si="39"/>
        <v>76657241.960000008</v>
      </c>
      <c r="M257" s="116">
        <f t="shared" si="40"/>
        <v>61732843.522807613</v>
      </c>
      <c r="N257" s="123">
        <f t="shared" si="41"/>
        <v>2684036.6749046789</v>
      </c>
      <c r="O257" s="5"/>
      <c r="P257" s="5">
        <f t="shared" si="42"/>
        <v>1</v>
      </c>
      <c r="Q257" s="7">
        <f t="shared" si="43"/>
        <v>23</v>
      </c>
    </row>
    <row r="258" spans="1:21">
      <c r="A258" s="23" t="s">
        <v>286</v>
      </c>
      <c r="B258" s="35" t="s">
        <v>284</v>
      </c>
      <c r="C258" s="125">
        <v>6701</v>
      </c>
      <c r="D258" s="132">
        <v>966868495</v>
      </c>
      <c r="E258" s="116">
        <f t="shared" si="44"/>
        <v>144287.19519474707</v>
      </c>
      <c r="F258" s="134">
        <v>684269165</v>
      </c>
      <c r="G258" s="117">
        <f t="shared" si="45"/>
        <v>102114.48515146993</v>
      </c>
      <c r="H258" s="7"/>
      <c r="I258" s="136">
        <v>4.4017999999999997</v>
      </c>
      <c r="J258" s="134">
        <v>3012016.0104969996</v>
      </c>
      <c r="K258" s="120">
        <f t="shared" si="46"/>
        <v>449.48754073974027</v>
      </c>
      <c r="L258" s="122">
        <f t="shared" si="39"/>
        <v>6842691.6500000004</v>
      </c>
      <c r="M258" s="116">
        <f t="shared" si="40"/>
        <v>3830675.6395030008</v>
      </c>
      <c r="N258" s="123">
        <f t="shared" si="41"/>
        <v>571.65731077495911</v>
      </c>
      <c r="O258" s="5"/>
      <c r="P258" s="5">
        <f t="shared" si="42"/>
        <v>1</v>
      </c>
      <c r="Q258" s="7">
        <f t="shared" si="43"/>
        <v>6701</v>
      </c>
    </row>
    <row r="259" spans="1:21">
      <c r="A259" s="23" t="s">
        <v>287</v>
      </c>
      <c r="B259" s="35" t="s">
        <v>284</v>
      </c>
      <c r="C259" s="125">
        <v>2305</v>
      </c>
      <c r="D259" s="132">
        <v>277422654</v>
      </c>
      <c r="E259" s="116">
        <f t="shared" si="44"/>
        <v>120356.89978308025</v>
      </c>
      <c r="F259" s="134">
        <v>216210762</v>
      </c>
      <c r="G259" s="117">
        <f t="shared" si="45"/>
        <v>93800.764425162692</v>
      </c>
      <c r="H259" s="7"/>
      <c r="I259" s="136">
        <v>7.2938000000000001</v>
      </c>
      <c r="J259" s="134">
        <v>1576998.0558756001</v>
      </c>
      <c r="K259" s="120">
        <f t="shared" si="46"/>
        <v>684.16401556425171</v>
      </c>
      <c r="L259" s="122">
        <f t="shared" si="39"/>
        <v>2162107.62</v>
      </c>
      <c r="M259" s="116">
        <f t="shared" si="40"/>
        <v>585109.56412440003</v>
      </c>
      <c r="N259" s="123">
        <f t="shared" si="41"/>
        <v>253.84362868737529</v>
      </c>
      <c r="O259" s="5"/>
      <c r="P259" s="5">
        <f t="shared" si="42"/>
        <v>1</v>
      </c>
      <c r="Q259" s="7">
        <f t="shared" si="43"/>
        <v>2305</v>
      </c>
    </row>
    <row r="260" spans="1:21">
      <c r="A260" s="23" t="s">
        <v>288</v>
      </c>
      <c r="B260" s="35" t="s">
        <v>284</v>
      </c>
      <c r="C260" s="125">
        <v>2643</v>
      </c>
      <c r="D260" s="132">
        <v>432867300</v>
      </c>
      <c r="E260" s="116">
        <f t="shared" si="44"/>
        <v>163778.77412031783</v>
      </c>
      <c r="F260" s="134">
        <v>322496504</v>
      </c>
      <c r="G260" s="117">
        <f t="shared" si="45"/>
        <v>122019.10858872494</v>
      </c>
      <c r="H260" s="7"/>
      <c r="I260" s="136">
        <v>4.95</v>
      </c>
      <c r="J260" s="134">
        <v>1596357.6947999999</v>
      </c>
      <c r="K260" s="120">
        <f t="shared" si="46"/>
        <v>603.99458751418842</v>
      </c>
      <c r="L260" s="122">
        <f t="shared" si="39"/>
        <v>3224965.04</v>
      </c>
      <c r="M260" s="116">
        <f t="shared" si="40"/>
        <v>1628607.3452000001</v>
      </c>
      <c r="N260" s="123">
        <f t="shared" si="41"/>
        <v>616.19649837306099</v>
      </c>
      <c r="O260" s="5"/>
      <c r="P260" s="5">
        <f t="shared" si="42"/>
        <v>1</v>
      </c>
      <c r="Q260" s="7">
        <f t="shared" si="43"/>
        <v>2643</v>
      </c>
    </row>
    <row r="261" spans="1:21">
      <c r="A261" s="23" t="s">
        <v>289</v>
      </c>
      <c r="B261" s="35" t="s">
        <v>284</v>
      </c>
      <c r="C261" s="125">
        <v>22</v>
      </c>
      <c r="D261" s="132">
        <v>2800048863</v>
      </c>
      <c r="E261" s="116">
        <f t="shared" si="44"/>
        <v>127274948.31818181</v>
      </c>
      <c r="F261" s="134">
        <v>2414283001</v>
      </c>
      <c r="G261" s="117">
        <f t="shared" si="45"/>
        <v>109740136.40909091</v>
      </c>
      <c r="H261" s="7"/>
      <c r="I261" s="136">
        <v>1.7558</v>
      </c>
      <c r="J261" s="134">
        <v>4238998.0931557994</v>
      </c>
      <c r="K261" s="120">
        <f t="shared" si="46"/>
        <v>192681.7315070818</v>
      </c>
      <c r="L261" s="122">
        <f t="shared" si="39"/>
        <v>24142830.010000002</v>
      </c>
      <c r="M261" s="116">
        <f t="shared" si="40"/>
        <v>19903831.916844204</v>
      </c>
      <c r="N261" s="123">
        <f t="shared" si="41"/>
        <v>904719.63258382748</v>
      </c>
      <c r="O261" s="5"/>
      <c r="P261" s="5">
        <f t="shared" si="42"/>
        <v>1</v>
      </c>
      <c r="Q261" s="7">
        <f t="shared" si="43"/>
        <v>22</v>
      </c>
    </row>
    <row r="262" spans="1:21">
      <c r="A262" s="23" t="s">
        <v>290</v>
      </c>
      <c r="B262" s="35" t="s">
        <v>284</v>
      </c>
      <c r="C262" s="125">
        <v>17401</v>
      </c>
      <c r="D262" s="132">
        <v>3285427524</v>
      </c>
      <c r="E262" s="116">
        <f t="shared" si="44"/>
        <v>188806.82282627435</v>
      </c>
      <c r="F262" s="134">
        <v>2474826960</v>
      </c>
      <c r="G262" s="117">
        <f t="shared" si="45"/>
        <v>142223.26073214182</v>
      </c>
      <c r="H262" s="7"/>
      <c r="I262" s="136">
        <v>4.3452999999999999</v>
      </c>
      <c r="J262" s="134">
        <v>10753865.589288</v>
      </c>
      <c r="K262" s="120">
        <f t="shared" si="46"/>
        <v>618.00273485937589</v>
      </c>
      <c r="L262" s="122">
        <f t="shared" ref="L262:L326" si="47">(F262*0.01)</f>
        <v>24748269.600000001</v>
      </c>
      <c r="M262" s="116">
        <f t="shared" ref="M262:M326" si="48">(L262-J262)</f>
        <v>13994404.010712001</v>
      </c>
      <c r="N262" s="123">
        <f t="shared" ref="N262:N326" si="49">(M262/C262)</f>
        <v>804.22987246204252</v>
      </c>
      <c r="O262" s="5"/>
      <c r="P262" s="5">
        <f t="shared" si="42"/>
        <v>1</v>
      </c>
      <c r="Q262" s="7">
        <f t="shared" si="43"/>
        <v>17401</v>
      </c>
    </row>
    <row r="263" spans="1:21">
      <c r="A263" s="23" t="s">
        <v>291</v>
      </c>
      <c r="B263" s="35" t="s">
        <v>284</v>
      </c>
      <c r="C263" s="125">
        <v>2658</v>
      </c>
      <c r="D263" s="132">
        <v>342859941</v>
      </c>
      <c r="E263" s="116">
        <f t="shared" si="44"/>
        <v>128991.70090293454</v>
      </c>
      <c r="F263" s="134">
        <v>238802627</v>
      </c>
      <c r="G263" s="117">
        <f t="shared" si="45"/>
        <v>89842.974793077505</v>
      </c>
      <c r="H263" s="7"/>
      <c r="I263" s="136">
        <v>6.75</v>
      </c>
      <c r="J263" s="134">
        <v>1611917.7322499999</v>
      </c>
      <c r="K263" s="120">
        <f t="shared" si="46"/>
        <v>606.44007985327312</v>
      </c>
      <c r="L263" s="122">
        <f t="shared" si="47"/>
        <v>2388026.27</v>
      </c>
      <c r="M263" s="116">
        <f t="shared" si="48"/>
        <v>776108.53775000013</v>
      </c>
      <c r="N263" s="123">
        <f t="shared" si="49"/>
        <v>291.9896680775019</v>
      </c>
      <c r="O263" s="5"/>
      <c r="P263" s="5">
        <f t="shared" ref="P263:P327" si="50">IF(I263&gt;0,1,0)</f>
        <v>1</v>
      </c>
      <c r="Q263" s="7">
        <f t="shared" ref="Q263:Q327" si="51">IF(I263&gt;0,C263,0)</f>
        <v>2658</v>
      </c>
    </row>
    <row r="264" spans="1:21">
      <c r="A264" s="23" t="s">
        <v>292</v>
      </c>
      <c r="B264" s="35" t="s">
        <v>284</v>
      </c>
      <c r="C264" s="125">
        <v>43072</v>
      </c>
      <c r="D264" s="132">
        <v>3549272106</v>
      </c>
      <c r="E264" s="116">
        <f t="shared" ref="E264:E275" si="52">(D264/C264)</f>
        <v>82403.234258915298</v>
      </c>
      <c r="F264" s="134">
        <v>2309439826</v>
      </c>
      <c r="G264" s="117">
        <f t="shared" ref="G264:G275" si="53">(F264/C264)</f>
        <v>53618.123746285288</v>
      </c>
      <c r="H264" s="7"/>
      <c r="I264" s="136">
        <v>5.6546000000000003</v>
      </c>
      <c r="J264" s="134">
        <v>13058958.440099601</v>
      </c>
      <c r="K264" s="120">
        <f t="shared" ref="K264:K275" si="54">(J264/C264)</f>
        <v>303.18904253574482</v>
      </c>
      <c r="L264" s="122">
        <f t="shared" si="47"/>
        <v>23094398.260000002</v>
      </c>
      <c r="M264" s="116">
        <f t="shared" si="48"/>
        <v>10035439.819900401</v>
      </c>
      <c r="N264" s="123">
        <f t="shared" si="49"/>
        <v>232.99219492710813</v>
      </c>
      <c r="O264" s="5"/>
      <c r="P264" s="5">
        <f t="shared" si="50"/>
        <v>1</v>
      </c>
      <c r="Q264" s="7">
        <f t="shared" si="51"/>
        <v>43072</v>
      </c>
    </row>
    <row r="265" spans="1:21">
      <c r="A265" s="23" t="s">
        <v>293</v>
      </c>
      <c r="B265" s="35" t="s">
        <v>284</v>
      </c>
      <c r="C265" s="125">
        <v>279789</v>
      </c>
      <c r="D265" s="132">
        <v>45722031068</v>
      </c>
      <c r="E265" s="116">
        <f t="shared" si="52"/>
        <v>163416.11381433866</v>
      </c>
      <c r="F265" s="134">
        <v>27892333205</v>
      </c>
      <c r="G265" s="117">
        <f t="shared" si="53"/>
        <v>99690.599719788836</v>
      </c>
      <c r="H265" s="7"/>
      <c r="I265" s="136">
        <v>6.65</v>
      </c>
      <c r="J265" s="134">
        <v>185484015.81325001</v>
      </c>
      <c r="K265" s="120">
        <f t="shared" si="54"/>
        <v>662.94248813659578</v>
      </c>
      <c r="L265" s="122">
        <f t="shared" si="47"/>
        <v>278923332.05000001</v>
      </c>
      <c r="M265" s="116">
        <f t="shared" si="48"/>
        <v>93439316.236750007</v>
      </c>
      <c r="N265" s="123">
        <f t="shared" si="49"/>
        <v>333.96350906129265</v>
      </c>
      <c r="O265" s="5"/>
      <c r="P265" s="5">
        <f t="shared" si="50"/>
        <v>1</v>
      </c>
      <c r="Q265" s="7">
        <f t="shared" si="51"/>
        <v>279789</v>
      </c>
    </row>
    <row r="266" spans="1:21">
      <c r="A266" s="23" t="s">
        <v>294</v>
      </c>
      <c r="B266" s="35" t="s">
        <v>284</v>
      </c>
      <c r="C266" s="125">
        <v>2887</v>
      </c>
      <c r="D266" s="132">
        <v>843840986</v>
      </c>
      <c r="E266" s="116">
        <f t="shared" si="52"/>
        <v>292289.91548320057</v>
      </c>
      <c r="F266" s="134">
        <v>644518132</v>
      </c>
      <c r="G266" s="117">
        <f t="shared" si="53"/>
        <v>223248.40041565639</v>
      </c>
      <c r="H266" s="7"/>
      <c r="I266" s="136">
        <v>3.25</v>
      </c>
      <c r="J266" s="134">
        <v>2094683.929</v>
      </c>
      <c r="K266" s="120">
        <f t="shared" si="54"/>
        <v>725.55730135088322</v>
      </c>
      <c r="L266" s="122">
        <f t="shared" si="47"/>
        <v>6445181.3200000003</v>
      </c>
      <c r="M266" s="116">
        <f t="shared" si="48"/>
        <v>4350497.3910000008</v>
      </c>
      <c r="N266" s="123">
        <f t="shared" si="49"/>
        <v>1506.9267028056809</v>
      </c>
      <c r="O266" s="5"/>
      <c r="P266" s="5">
        <f t="shared" si="50"/>
        <v>1</v>
      </c>
      <c r="Q266" s="7">
        <f t="shared" si="51"/>
        <v>2887</v>
      </c>
    </row>
    <row r="267" spans="1:21">
      <c r="A267" s="23" t="s">
        <v>295</v>
      </c>
      <c r="B267" s="35" t="s">
        <v>284</v>
      </c>
      <c r="C267" s="125">
        <v>42959</v>
      </c>
      <c r="D267" s="132">
        <v>4248051595</v>
      </c>
      <c r="E267" s="116">
        <f t="shared" si="52"/>
        <v>98886.184385111381</v>
      </c>
      <c r="F267" s="134">
        <v>3032114375</v>
      </c>
      <c r="G267" s="117">
        <f t="shared" si="53"/>
        <v>70581.586512721435</v>
      </c>
      <c r="H267" s="7"/>
      <c r="I267" s="136">
        <v>4.25</v>
      </c>
      <c r="J267" s="134">
        <v>12886486.09375</v>
      </c>
      <c r="K267" s="120">
        <f t="shared" si="54"/>
        <v>299.9717426790661</v>
      </c>
      <c r="L267" s="122">
        <f t="shared" si="47"/>
        <v>30321143.75</v>
      </c>
      <c r="M267" s="116">
        <f t="shared" si="48"/>
        <v>17434657.65625</v>
      </c>
      <c r="N267" s="123">
        <f t="shared" si="49"/>
        <v>405.84412244814825</v>
      </c>
      <c r="O267" s="5"/>
      <c r="P267" s="5">
        <f t="shared" si="50"/>
        <v>1</v>
      </c>
      <c r="Q267" s="7">
        <f t="shared" si="51"/>
        <v>42959</v>
      </c>
    </row>
    <row r="268" spans="1:21">
      <c r="A268" s="23" t="s">
        <v>296</v>
      </c>
      <c r="B268" s="35" t="s">
        <v>284</v>
      </c>
      <c r="C268" s="125">
        <v>29317</v>
      </c>
      <c r="D268" s="132">
        <v>7663204663</v>
      </c>
      <c r="E268" s="116">
        <f t="shared" si="52"/>
        <v>261391.16086229833</v>
      </c>
      <c r="F268" s="134">
        <v>5258803610</v>
      </c>
      <c r="G268" s="117">
        <f t="shared" si="53"/>
        <v>179377.27632431695</v>
      </c>
      <c r="H268" s="7"/>
      <c r="I268" s="136">
        <v>4.0922999999999998</v>
      </c>
      <c r="J268" s="134">
        <v>21520602.013202999</v>
      </c>
      <c r="K268" s="120">
        <f t="shared" si="54"/>
        <v>734.06562790200223</v>
      </c>
      <c r="L268" s="122">
        <f t="shared" si="47"/>
        <v>52588036.100000001</v>
      </c>
      <c r="M268" s="116">
        <f t="shared" si="48"/>
        <v>31067434.086797003</v>
      </c>
      <c r="N268" s="123">
        <f t="shared" si="49"/>
        <v>1059.7071353411673</v>
      </c>
      <c r="O268" s="5"/>
      <c r="P268" s="5">
        <f t="shared" si="50"/>
        <v>1</v>
      </c>
      <c r="Q268" s="7">
        <f t="shared" si="51"/>
        <v>29317</v>
      </c>
      <c r="S268" s="124">
        <f>SUM(D256:D268)</f>
        <v>83821592781</v>
      </c>
      <c r="T268" s="124">
        <f>SUM(F256:F268)</f>
        <v>56107302727</v>
      </c>
      <c r="U268" s="124">
        <f>SUM(J256:J268)</f>
        <v>283945900.12904781</v>
      </c>
    </row>
    <row r="269" spans="1:21">
      <c r="A269" s="23" t="s">
        <v>297</v>
      </c>
      <c r="B269" s="35" t="s">
        <v>298</v>
      </c>
      <c r="C269" s="125">
        <v>69962</v>
      </c>
      <c r="D269" s="132">
        <v>4659259309</v>
      </c>
      <c r="E269" s="116">
        <f t="shared" si="52"/>
        <v>66596.999928532634</v>
      </c>
      <c r="F269" s="134">
        <v>2966364039</v>
      </c>
      <c r="G269" s="117">
        <f t="shared" si="53"/>
        <v>42399.64607930019</v>
      </c>
      <c r="H269" s="7"/>
      <c r="I269" s="136">
        <v>4.6253000000000002</v>
      </c>
      <c r="J269" s="134">
        <v>13720323.589586701</v>
      </c>
      <c r="K269" s="120">
        <f t="shared" si="54"/>
        <v>196.11108301058718</v>
      </c>
      <c r="L269" s="122">
        <f t="shared" si="47"/>
        <v>29663640.390000001</v>
      </c>
      <c r="M269" s="116">
        <f t="shared" si="48"/>
        <v>15943316.800413299</v>
      </c>
      <c r="N269" s="123">
        <f t="shared" si="49"/>
        <v>227.88537778241474</v>
      </c>
      <c r="O269" s="5"/>
      <c r="P269" s="5">
        <f t="shared" si="50"/>
        <v>1</v>
      </c>
      <c r="Q269" s="7">
        <f t="shared" si="51"/>
        <v>69962</v>
      </c>
    </row>
    <row r="270" spans="1:21">
      <c r="A270" s="24" t="s">
        <v>546</v>
      </c>
      <c r="B270" s="35" t="s">
        <v>298</v>
      </c>
      <c r="C270" s="125">
        <v>45094</v>
      </c>
      <c r="D270" s="132">
        <v>3268176878</v>
      </c>
      <c r="E270" s="116">
        <f t="shared" si="52"/>
        <v>72474.761121213465</v>
      </c>
      <c r="F270" s="134">
        <v>1797057568</v>
      </c>
      <c r="G270" s="117">
        <f t="shared" si="53"/>
        <v>39851.367543353881</v>
      </c>
      <c r="H270" s="7"/>
      <c r="I270" s="136">
        <v>5.1128</v>
      </c>
      <c r="J270" s="134">
        <v>9187995.9336703997</v>
      </c>
      <c r="K270" s="120">
        <f t="shared" si="54"/>
        <v>203.75207197565973</v>
      </c>
      <c r="L270" s="122">
        <f t="shared" si="47"/>
        <v>17970575.68</v>
      </c>
      <c r="M270" s="116">
        <f t="shared" si="48"/>
        <v>8782579.7463296</v>
      </c>
      <c r="N270" s="123">
        <f t="shared" si="49"/>
        <v>194.76160345787909</v>
      </c>
      <c r="O270" s="5"/>
      <c r="P270" s="5">
        <f t="shared" si="50"/>
        <v>1</v>
      </c>
      <c r="Q270" s="7">
        <f t="shared" si="51"/>
        <v>45094</v>
      </c>
      <c r="S270" s="124">
        <f>SUM(D269:D270)</f>
        <v>7927436187</v>
      </c>
      <c r="T270" s="124">
        <f>SUM(F269:F270)</f>
        <v>4763421607</v>
      </c>
      <c r="U270" s="124">
        <f>SUM(J269:J270)</f>
        <v>22908319.523257099</v>
      </c>
    </row>
    <row r="271" spans="1:21">
      <c r="A271" s="23" t="s">
        <v>299</v>
      </c>
      <c r="B271" s="35" t="s">
        <v>300</v>
      </c>
      <c r="C271" s="125">
        <v>2024</v>
      </c>
      <c r="D271" s="132">
        <v>584756502</v>
      </c>
      <c r="E271" s="116">
        <f t="shared" si="52"/>
        <v>288911.3152173913</v>
      </c>
      <c r="F271" s="134">
        <v>491778407</v>
      </c>
      <c r="G271" s="117">
        <f t="shared" si="53"/>
        <v>242973.5212450593</v>
      </c>
      <c r="H271" s="7"/>
      <c r="I271" s="136">
        <v>7.7180999999999997</v>
      </c>
      <c r="J271" s="134">
        <v>3795594.9230666999</v>
      </c>
      <c r="K271" s="120">
        <f t="shared" si="54"/>
        <v>1875.2939343214921</v>
      </c>
      <c r="L271" s="122">
        <f t="shared" si="47"/>
        <v>4917784.07</v>
      </c>
      <c r="M271" s="116">
        <f t="shared" si="48"/>
        <v>1122189.1469333004</v>
      </c>
      <c r="N271" s="123">
        <f t="shared" si="49"/>
        <v>554.44127812910097</v>
      </c>
      <c r="O271" s="5"/>
      <c r="P271" s="5">
        <f t="shared" si="50"/>
        <v>1</v>
      </c>
      <c r="Q271" s="7">
        <f t="shared" si="51"/>
        <v>2024</v>
      </c>
    </row>
    <row r="272" spans="1:21">
      <c r="A272" s="23" t="s">
        <v>301</v>
      </c>
      <c r="B272" s="35" t="s">
        <v>300</v>
      </c>
      <c r="C272" s="125">
        <v>17290</v>
      </c>
      <c r="D272" s="132">
        <v>628520908</v>
      </c>
      <c r="E272" s="116">
        <f t="shared" si="52"/>
        <v>36351.700867553496</v>
      </c>
      <c r="F272" s="134">
        <v>323751562</v>
      </c>
      <c r="G272" s="117">
        <f t="shared" si="53"/>
        <v>18724.786697513013</v>
      </c>
      <c r="H272" s="7"/>
      <c r="I272" s="136">
        <v>6.5419</v>
      </c>
      <c r="J272" s="134">
        <v>2117950.3434477998</v>
      </c>
      <c r="K272" s="120">
        <f t="shared" si="54"/>
        <v>122.49568209646037</v>
      </c>
      <c r="L272" s="122">
        <f t="shared" si="47"/>
        <v>3237515.62</v>
      </c>
      <c r="M272" s="116">
        <f t="shared" si="48"/>
        <v>1119565.2765522003</v>
      </c>
      <c r="N272" s="123">
        <f t="shared" si="49"/>
        <v>64.752184878669766</v>
      </c>
      <c r="O272" s="5"/>
      <c r="P272" s="5">
        <f t="shared" si="50"/>
        <v>1</v>
      </c>
      <c r="Q272" s="7">
        <f t="shared" si="51"/>
        <v>17290</v>
      </c>
    </row>
    <row r="273" spans="1:17">
      <c r="A273" s="23" t="s">
        <v>302</v>
      </c>
      <c r="B273" s="35" t="s">
        <v>300</v>
      </c>
      <c r="C273" s="125">
        <v>91797</v>
      </c>
      <c r="D273" s="132">
        <v>29665809077</v>
      </c>
      <c r="E273" s="116">
        <f t="shared" si="52"/>
        <v>323167.52265324577</v>
      </c>
      <c r="F273" s="134">
        <v>22469190817</v>
      </c>
      <c r="G273" s="117">
        <f t="shared" si="53"/>
        <v>244770.4262339728</v>
      </c>
      <c r="H273" s="9"/>
      <c r="I273" s="136">
        <v>3.4542999999999999</v>
      </c>
      <c r="J273" s="134">
        <v>77615325.839163095</v>
      </c>
      <c r="K273" s="120">
        <f t="shared" si="54"/>
        <v>845.51048334001212</v>
      </c>
      <c r="L273" s="122">
        <f t="shared" si="47"/>
        <v>224691908.17000002</v>
      </c>
      <c r="M273" s="116">
        <f t="shared" si="48"/>
        <v>147076582.33083692</v>
      </c>
      <c r="N273" s="123">
        <f t="shared" si="49"/>
        <v>1602.193778999716</v>
      </c>
      <c r="O273" s="5"/>
      <c r="P273" s="5">
        <f t="shared" si="50"/>
        <v>1</v>
      </c>
      <c r="Q273" s="7">
        <f t="shared" si="51"/>
        <v>91797</v>
      </c>
    </row>
    <row r="274" spans="1:17">
      <c r="A274" s="23" t="s">
        <v>303</v>
      </c>
      <c r="B274" s="35" t="s">
        <v>300</v>
      </c>
      <c r="C274" s="125">
        <v>73992</v>
      </c>
      <c r="D274" s="132">
        <v>7941868761</v>
      </c>
      <c r="E274" s="116">
        <f t="shared" si="52"/>
        <v>107334.15451670451</v>
      </c>
      <c r="F274" s="134">
        <v>5403945138</v>
      </c>
      <c r="G274" s="117">
        <f t="shared" si="53"/>
        <v>73034.181235809272</v>
      </c>
      <c r="H274" s="9"/>
      <c r="I274" s="136">
        <v>7.9</v>
      </c>
      <c r="J274" s="134">
        <v>42691166.590200007</v>
      </c>
      <c r="K274" s="120">
        <f t="shared" si="54"/>
        <v>576.97003176289343</v>
      </c>
      <c r="L274" s="122">
        <f t="shared" si="47"/>
        <v>54039451.380000003</v>
      </c>
      <c r="M274" s="116">
        <f t="shared" si="48"/>
        <v>11348284.789799996</v>
      </c>
      <c r="N274" s="123">
        <f t="shared" si="49"/>
        <v>153.37178059519943</v>
      </c>
      <c r="O274" s="5"/>
      <c r="P274" s="5">
        <f t="shared" si="50"/>
        <v>1</v>
      </c>
      <c r="Q274" s="7">
        <f t="shared" si="51"/>
        <v>73992</v>
      </c>
    </row>
    <row r="275" spans="1:17">
      <c r="A275" s="23" t="s">
        <v>304</v>
      </c>
      <c r="B275" s="35" t="s">
        <v>300</v>
      </c>
      <c r="C275" s="125">
        <v>422</v>
      </c>
      <c r="D275" s="132">
        <v>60462848</v>
      </c>
      <c r="E275" s="116">
        <f t="shared" si="52"/>
        <v>143276.89099526068</v>
      </c>
      <c r="F275" s="134">
        <v>44890135</v>
      </c>
      <c r="G275" s="117">
        <f t="shared" si="53"/>
        <v>106374.72748815166</v>
      </c>
      <c r="H275" s="9"/>
      <c r="I275" s="136">
        <v>10</v>
      </c>
      <c r="J275" s="134">
        <v>448901.35</v>
      </c>
      <c r="K275" s="120">
        <f t="shared" si="54"/>
        <v>1063.7472748815164</v>
      </c>
      <c r="L275" s="122">
        <f t="shared" si="47"/>
        <v>448901.35000000003</v>
      </c>
      <c r="M275" s="116">
        <f t="shared" si="48"/>
        <v>5.8207660913467407E-11</v>
      </c>
      <c r="N275" s="123">
        <f t="shared" si="49"/>
        <v>1.3793284576651045E-13</v>
      </c>
      <c r="O275" s="5"/>
      <c r="P275" s="5">
        <f t="shared" si="50"/>
        <v>1</v>
      </c>
      <c r="Q275" s="7">
        <f t="shared" si="51"/>
        <v>422</v>
      </c>
    </row>
    <row r="276" spans="1:17">
      <c r="A276" s="23" t="s">
        <v>305</v>
      </c>
      <c r="B276" s="35" t="s">
        <v>300</v>
      </c>
      <c r="C276" s="125">
        <v>139</v>
      </c>
      <c r="D276" s="147" t="s">
        <v>564</v>
      </c>
      <c r="E276" s="116"/>
      <c r="F276" s="134"/>
      <c r="G276" s="117"/>
      <c r="H276" s="98" t="s">
        <v>588</v>
      </c>
      <c r="I276" s="150"/>
      <c r="J276" s="134"/>
      <c r="K276" s="120"/>
      <c r="L276" s="122">
        <f t="shared" si="47"/>
        <v>0</v>
      </c>
      <c r="M276" s="116">
        <f t="shared" si="48"/>
        <v>0</v>
      </c>
      <c r="N276" s="123">
        <f t="shared" si="49"/>
        <v>0</v>
      </c>
      <c r="O276" s="5"/>
      <c r="P276" s="5">
        <f t="shared" si="50"/>
        <v>0</v>
      </c>
      <c r="Q276" s="7">
        <f t="shared" si="51"/>
        <v>0</v>
      </c>
    </row>
    <row r="277" spans="1:17">
      <c r="A277" s="23" t="s">
        <v>306</v>
      </c>
      <c r="B277" s="35" t="s">
        <v>300</v>
      </c>
      <c r="C277" s="125">
        <v>65804</v>
      </c>
      <c r="D277" s="132">
        <v>13345610976</v>
      </c>
      <c r="E277" s="116">
        <f>(D277/C277)</f>
        <v>202808.50671691689</v>
      </c>
      <c r="F277" s="134">
        <v>9610320394</v>
      </c>
      <c r="G277" s="117">
        <f>(F277/C277)</f>
        <v>146044.62333596742</v>
      </c>
      <c r="H277" s="9"/>
      <c r="I277" s="136">
        <v>6.8611000000000004</v>
      </c>
      <c r="J277" s="134">
        <v>65937369.255273409</v>
      </c>
      <c r="K277" s="120">
        <f>(J277/C277)</f>
        <v>1002.0267651704062</v>
      </c>
      <c r="L277" s="122">
        <f t="shared" si="47"/>
        <v>96103203.939999998</v>
      </c>
      <c r="M277" s="116">
        <f t="shared" si="48"/>
        <v>30165834.684726588</v>
      </c>
      <c r="N277" s="123">
        <f t="shared" si="49"/>
        <v>458.41946818926795</v>
      </c>
      <c r="O277" s="5"/>
      <c r="P277" s="5">
        <f t="shared" si="50"/>
        <v>1</v>
      </c>
      <c r="Q277" s="7">
        <f t="shared" si="51"/>
        <v>65804</v>
      </c>
    </row>
    <row r="278" spans="1:17">
      <c r="A278" s="23" t="s">
        <v>307</v>
      </c>
      <c r="B278" s="35" t="s">
        <v>300</v>
      </c>
      <c r="C278" s="125">
        <v>227</v>
      </c>
      <c r="D278" s="147" t="s">
        <v>564</v>
      </c>
      <c r="E278" s="116"/>
      <c r="F278" s="134"/>
      <c r="G278" s="117"/>
      <c r="H278" s="98" t="s">
        <v>588</v>
      </c>
      <c r="I278" s="151"/>
      <c r="J278" s="134"/>
      <c r="K278" s="120"/>
      <c r="L278" s="122">
        <f t="shared" si="47"/>
        <v>0</v>
      </c>
      <c r="M278" s="116">
        <f t="shared" si="48"/>
        <v>0</v>
      </c>
      <c r="N278" s="123">
        <f t="shared" si="49"/>
        <v>0</v>
      </c>
      <c r="O278" s="5"/>
      <c r="P278" s="5">
        <f t="shared" si="50"/>
        <v>0</v>
      </c>
      <c r="Q278" s="7">
        <f t="shared" si="51"/>
        <v>0</v>
      </c>
    </row>
    <row r="279" spans="1:17">
      <c r="A279" s="23" t="s">
        <v>308</v>
      </c>
      <c r="B279" s="35" t="s">
        <v>300</v>
      </c>
      <c r="C279" s="125">
        <v>258</v>
      </c>
      <c r="D279" s="132">
        <v>204140991</v>
      </c>
      <c r="E279" s="116">
        <f t="shared" ref="E279:E343" si="55">(D279/C279)</f>
        <v>791244.15116279072</v>
      </c>
      <c r="F279" s="134">
        <v>160963661</v>
      </c>
      <c r="G279" s="117">
        <f t="shared" ref="G279:G343" si="56">(F279/C279)</f>
        <v>623890.15891472867</v>
      </c>
      <c r="H279" s="9"/>
      <c r="I279" s="136">
        <v>6.3849</v>
      </c>
      <c r="J279" s="134">
        <v>1027736.8791189</v>
      </c>
      <c r="K279" s="120">
        <f t="shared" ref="K279:K343" si="57">(J279/C279)</f>
        <v>3983.4762756546515</v>
      </c>
      <c r="L279" s="122">
        <f t="shared" si="47"/>
        <v>1609636.61</v>
      </c>
      <c r="M279" s="116">
        <f t="shared" si="48"/>
        <v>581899.73088110005</v>
      </c>
      <c r="N279" s="123">
        <f t="shared" si="49"/>
        <v>2255.4253134926357</v>
      </c>
      <c r="O279" s="5"/>
      <c r="P279" s="5">
        <f t="shared" si="50"/>
        <v>1</v>
      </c>
      <c r="Q279" s="7">
        <f t="shared" si="51"/>
        <v>258</v>
      </c>
    </row>
    <row r="280" spans="1:17">
      <c r="A280" s="23" t="s">
        <v>309</v>
      </c>
      <c r="B280" s="35" t="s">
        <v>300</v>
      </c>
      <c r="C280" s="125">
        <v>39770</v>
      </c>
      <c r="D280" s="132">
        <v>2770652835</v>
      </c>
      <c r="E280" s="116">
        <f t="shared" si="55"/>
        <v>69666.905582097053</v>
      </c>
      <c r="F280" s="134">
        <v>1680577032</v>
      </c>
      <c r="G280" s="117">
        <f t="shared" si="56"/>
        <v>42257.405883832034</v>
      </c>
      <c r="H280" s="7"/>
      <c r="I280" s="136">
        <v>6.0853999999999999</v>
      </c>
      <c r="J280" s="134">
        <v>10226983.470532801</v>
      </c>
      <c r="K280" s="120">
        <f t="shared" si="57"/>
        <v>257.15321776547148</v>
      </c>
      <c r="L280" s="122">
        <f t="shared" si="47"/>
        <v>16805770.32</v>
      </c>
      <c r="M280" s="116">
        <f t="shared" si="48"/>
        <v>6578786.8494671993</v>
      </c>
      <c r="N280" s="123">
        <f t="shared" si="49"/>
        <v>165.42084107284887</v>
      </c>
      <c r="O280" s="5"/>
      <c r="P280" s="5">
        <f t="shared" si="50"/>
        <v>1</v>
      </c>
      <c r="Q280" s="7">
        <f t="shared" si="51"/>
        <v>39770</v>
      </c>
    </row>
    <row r="281" spans="1:17">
      <c r="A281" s="23" t="s">
        <v>310</v>
      </c>
      <c r="B281" s="35" t="s">
        <v>300</v>
      </c>
      <c r="C281" s="125">
        <v>1001</v>
      </c>
      <c r="D281" s="132">
        <v>1410952587</v>
      </c>
      <c r="E281" s="116">
        <f t="shared" si="55"/>
        <v>1409543.0439560439</v>
      </c>
      <c r="F281" s="134">
        <v>1055648517</v>
      </c>
      <c r="G281" s="117">
        <f t="shared" si="56"/>
        <v>1054593.923076923</v>
      </c>
      <c r="H281" s="7"/>
      <c r="I281" s="136">
        <v>4.3600000000000003</v>
      </c>
      <c r="J281" s="134">
        <v>4602627.53412</v>
      </c>
      <c r="K281" s="120">
        <f t="shared" si="57"/>
        <v>4598.0295046153842</v>
      </c>
      <c r="L281" s="122">
        <f t="shared" si="47"/>
        <v>10556485.17</v>
      </c>
      <c r="M281" s="116">
        <f t="shared" si="48"/>
        <v>5953857.63588</v>
      </c>
      <c r="N281" s="123">
        <f t="shared" si="49"/>
        <v>5947.9097261538463</v>
      </c>
      <c r="O281" s="5"/>
      <c r="P281" s="5">
        <f t="shared" si="50"/>
        <v>1</v>
      </c>
      <c r="Q281" s="7">
        <f t="shared" si="51"/>
        <v>1001</v>
      </c>
    </row>
    <row r="282" spans="1:17">
      <c r="A282" s="23" t="s">
        <v>311</v>
      </c>
      <c r="B282" s="35" t="s">
        <v>300</v>
      </c>
      <c r="C282" s="125">
        <v>2063</v>
      </c>
      <c r="D282" s="132">
        <v>146851004</v>
      </c>
      <c r="E282" s="116">
        <f t="shared" si="55"/>
        <v>71183.230247212792</v>
      </c>
      <c r="F282" s="134">
        <v>86337573</v>
      </c>
      <c r="G282" s="117">
        <f t="shared" si="56"/>
        <v>41850.495879786715</v>
      </c>
      <c r="H282" s="7"/>
      <c r="I282" s="136">
        <v>4.5</v>
      </c>
      <c r="J282" s="134">
        <v>388519.0785</v>
      </c>
      <c r="K282" s="120">
        <f t="shared" si="57"/>
        <v>188.32723145904023</v>
      </c>
      <c r="L282" s="122">
        <f t="shared" si="47"/>
        <v>863375.73</v>
      </c>
      <c r="M282" s="116">
        <f t="shared" si="48"/>
        <v>474856.65149999998</v>
      </c>
      <c r="N282" s="123">
        <f t="shared" si="49"/>
        <v>230.17772733882694</v>
      </c>
      <c r="O282" s="5"/>
      <c r="P282" s="5">
        <f t="shared" si="50"/>
        <v>1</v>
      </c>
      <c r="Q282" s="7">
        <f t="shared" si="51"/>
        <v>2063</v>
      </c>
    </row>
    <row r="283" spans="1:17">
      <c r="A283" s="23" t="s">
        <v>312</v>
      </c>
      <c r="B283" s="35" t="s">
        <v>300</v>
      </c>
      <c r="C283" s="125">
        <v>3609</v>
      </c>
      <c r="D283" s="132">
        <v>2915050463</v>
      </c>
      <c r="E283" s="116">
        <f t="shared" si="55"/>
        <v>807716.94735383766</v>
      </c>
      <c r="F283" s="134">
        <v>2400571081</v>
      </c>
      <c r="G283" s="117">
        <f t="shared" si="56"/>
        <v>665162.39429204771</v>
      </c>
      <c r="H283" s="7"/>
      <c r="I283" s="136">
        <v>3.0762</v>
      </c>
      <c r="J283" s="134">
        <v>7384636.7593721999</v>
      </c>
      <c r="K283" s="120">
        <f t="shared" si="57"/>
        <v>2046.172557321197</v>
      </c>
      <c r="L283" s="122">
        <f t="shared" si="47"/>
        <v>24005710.809999999</v>
      </c>
      <c r="M283" s="116">
        <f t="shared" si="48"/>
        <v>16621074.050627798</v>
      </c>
      <c r="N283" s="123">
        <f t="shared" si="49"/>
        <v>4605.4513855992791</v>
      </c>
      <c r="O283" s="5"/>
      <c r="P283" s="5">
        <f t="shared" si="50"/>
        <v>1</v>
      </c>
      <c r="Q283" s="7">
        <f t="shared" si="51"/>
        <v>3609</v>
      </c>
    </row>
    <row r="284" spans="1:17">
      <c r="A284" s="23" t="s">
        <v>313</v>
      </c>
      <c r="B284" s="35" t="s">
        <v>300</v>
      </c>
      <c r="C284" s="125">
        <v>2725</v>
      </c>
      <c r="D284" s="132">
        <v>460807971</v>
      </c>
      <c r="E284" s="116">
        <f t="shared" si="55"/>
        <v>169103.84256880733</v>
      </c>
      <c r="F284" s="134">
        <v>329955023</v>
      </c>
      <c r="G284" s="117">
        <f t="shared" si="56"/>
        <v>121084.41211009174</v>
      </c>
      <c r="H284" s="7"/>
      <c r="I284" s="136">
        <v>3.3170000000000002</v>
      </c>
      <c r="J284" s="134">
        <v>1094460.8112910001</v>
      </c>
      <c r="K284" s="120">
        <f t="shared" si="57"/>
        <v>401.63699496917434</v>
      </c>
      <c r="L284" s="122">
        <f t="shared" si="47"/>
        <v>3299550.23</v>
      </c>
      <c r="M284" s="116">
        <f t="shared" si="48"/>
        <v>2205089.4187089996</v>
      </c>
      <c r="N284" s="123">
        <f t="shared" si="49"/>
        <v>809.20712613174294</v>
      </c>
      <c r="O284" s="5"/>
      <c r="P284" s="5">
        <f t="shared" si="50"/>
        <v>1</v>
      </c>
      <c r="Q284" s="7">
        <f t="shared" si="51"/>
        <v>2725</v>
      </c>
    </row>
    <row r="285" spans="1:17">
      <c r="A285" s="23" t="s">
        <v>314</v>
      </c>
      <c r="B285" s="35" t="s">
        <v>300</v>
      </c>
      <c r="C285" s="125">
        <v>3400</v>
      </c>
      <c r="D285" s="132">
        <v>1725511958</v>
      </c>
      <c r="E285" s="116">
        <f t="shared" si="55"/>
        <v>507503.51705882355</v>
      </c>
      <c r="F285" s="134">
        <v>1368671674</v>
      </c>
      <c r="G285" s="117">
        <f t="shared" si="56"/>
        <v>402550.49235294119</v>
      </c>
      <c r="H285" s="7"/>
      <c r="I285" s="136">
        <v>2.1337000000000002</v>
      </c>
      <c r="J285" s="134">
        <v>2920334.7508138004</v>
      </c>
      <c r="K285" s="120">
        <f t="shared" si="57"/>
        <v>858.92198553347066</v>
      </c>
      <c r="L285" s="122">
        <f t="shared" si="47"/>
        <v>13686716.74</v>
      </c>
      <c r="M285" s="116">
        <f t="shared" si="48"/>
        <v>10766381.989186199</v>
      </c>
      <c r="N285" s="123">
        <f t="shared" si="49"/>
        <v>3166.5829379959409</v>
      </c>
      <c r="O285" s="5"/>
      <c r="P285" s="5">
        <f t="shared" si="50"/>
        <v>1</v>
      </c>
      <c r="Q285" s="7">
        <f t="shared" si="51"/>
        <v>3400</v>
      </c>
    </row>
    <row r="286" spans="1:17">
      <c r="A286" s="23" t="s">
        <v>315</v>
      </c>
      <c r="B286" s="35" t="s">
        <v>300</v>
      </c>
      <c r="C286" s="125">
        <v>61388</v>
      </c>
      <c r="D286" s="132">
        <v>13845587862</v>
      </c>
      <c r="E286" s="116">
        <f t="shared" si="55"/>
        <v>225542.25356747248</v>
      </c>
      <c r="F286" s="134">
        <v>10317291791</v>
      </c>
      <c r="G286" s="117">
        <f t="shared" si="56"/>
        <v>168066.91521144198</v>
      </c>
      <c r="H286" s="7"/>
      <c r="I286" s="136">
        <v>2.4632999999999998</v>
      </c>
      <c r="J286" s="134">
        <v>25414584.868770298</v>
      </c>
      <c r="K286" s="120">
        <f t="shared" si="57"/>
        <v>413.99923224034495</v>
      </c>
      <c r="L286" s="122">
        <f t="shared" si="47"/>
        <v>103172917.91</v>
      </c>
      <c r="M286" s="116">
        <f t="shared" si="48"/>
        <v>77758333.041229695</v>
      </c>
      <c r="N286" s="123">
        <f t="shared" si="49"/>
        <v>1266.6699198740746</v>
      </c>
      <c r="O286" s="5"/>
      <c r="P286" s="5">
        <f t="shared" si="50"/>
        <v>1</v>
      </c>
      <c r="Q286" s="7">
        <f t="shared" si="51"/>
        <v>61388</v>
      </c>
    </row>
    <row r="287" spans="1:17">
      <c r="A287" s="23" t="s">
        <v>316</v>
      </c>
      <c r="B287" s="35" t="s">
        <v>300</v>
      </c>
      <c r="C287" s="125">
        <v>407</v>
      </c>
      <c r="D287" s="132">
        <v>423426672</v>
      </c>
      <c r="E287" s="116">
        <f t="shared" si="55"/>
        <v>1040360.3734643735</v>
      </c>
      <c r="F287" s="134">
        <v>319211195</v>
      </c>
      <c r="G287" s="117">
        <f t="shared" si="56"/>
        <v>784302.69041769044</v>
      </c>
      <c r="H287" s="7"/>
      <c r="I287" s="136">
        <v>5</v>
      </c>
      <c r="J287" s="134">
        <v>1596055.9750000001</v>
      </c>
      <c r="K287" s="120">
        <f t="shared" si="57"/>
        <v>3921.5134520884521</v>
      </c>
      <c r="L287" s="122">
        <f t="shared" si="47"/>
        <v>3192111.95</v>
      </c>
      <c r="M287" s="116">
        <f t="shared" si="48"/>
        <v>1596055.9750000001</v>
      </c>
      <c r="N287" s="123">
        <f t="shared" si="49"/>
        <v>3921.5134520884521</v>
      </c>
      <c r="O287" s="5"/>
      <c r="P287" s="5">
        <f t="shared" si="50"/>
        <v>1</v>
      </c>
      <c r="Q287" s="7">
        <f t="shared" si="51"/>
        <v>407</v>
      </c>
    </row>
    <row r="288" spans="1:17">
      <c r="A288" s="23" t="s">
        <v>317</v>
      </c>
      <c r="B288" s="35" t="s">
        <v>300</v>
      </c>
      <c r="C288" s="125">
        <v>3409</v>
      </c>
      <c r="D288" s="132">
        <v>403903433</v>
      </c>
      <c r="E288" s="116">
        <f t="shared" si="55"/>
        <v>118481.49985332943</v>
      </c>
      <c r="F288" s="134">
        <v>241768134</v>
      </c>
      <c r="G288" s="117">
        <f t="shared" si="56"/>
        <v>70920.543854502786</v>
      </c>
      <c r="H288" s="7"/>
      <c r="I288" s="136">
        <v>6.2797999999999998</v>
      </c>
      <c r="J288" s="134">
        <v>1518255.5278931998</v>
      </c>
      <c r="K288" s="120">
        <f t="shared" si="57"/>
        <v>445.36683129750656</v>
      </c>
      <c r="L288" s="122">
        <f t="shared" si="47"/>
        <v>2417681.34</v>
      </c>
      <c r="M288" s="116">
        <f t="shared" si="48"/>
        <v>899425.81210680003</v>
      </c>
      <c r="N288" s="123">
        <f t="shared" si="49"/>
        <v>263.83860724752128</v>
      </c>
      <c r="O288" s="5"/>
      <c r="P288" s="5">
        <f t="shared" si="50"/>
        <v>1</v>
      </c>
      <c r="Q288" s="7">
        <f t="shared" si="51"/>
        <v>3409</v>
      </c>
    </row>
    <row r="289" spans="1:17">
      <c r="A289" s="23" t="s">
        <v>318</v>
      </c>
      <c r="B289" s="35" t="s">
        <v>300</v>
      </c>
      <c r="C289" s="125">
        <v>8784</v>
      </c>
      <c r="D289" s="132">
        <v>858419781</v>
      </c>
      <c r="E289" s="116">
        <f t="shared" si="55"/>
        <v>97725.384904371589</v>
      </c>
      <c r="F289" s="134">
        <v>626038321</v>
      </c>
      <c r="G289" s="117">
        <f t="shared" si="56"/>
        <v>71270.300660291439</v>
      </c>
      <c r="H289" s="7"/>
      <c r="I289" s="136">
        <v>5.3474000000000004</v>
      </c>
      <c r="J289" s="134">
        <v>3347677.3177154004</v>
      </c>
      <c r="K289" s="120">
        <f t="shared" si="57"/>
        <v>381.11080575084247</v>
      </c>
      <c r="L289" s="122">
        <f t="shared" si="47"/>
        <v>6260383.21</v>
      </c>
      <c r="M289" s="116">
        <f t="shared" si="48"/>
        <v>2912705.8922845996</v>
      </c>
      <c r="N289" s="123">
        <f t="shared" si="49"/>
        <v>331.59220085207193</v>
      </c>
      <c r="O289" s="5"/>
      <c r="P289" s="5">
        <f t="shared" si="50"/>
        <v>1</v>
      </c>
      <c r="Q289" s="7">
        <f t="shared" si="51"/>
        <v>8784</v>
      </c>
    </row>
    <row r="290" spans="1:17">
      <c r="A290" s="24" t="s">
        <v>628</v>
      </c>
      <c r="B290" s="35" t="s">
        <v>300</v>
      </c>
      <c r="C290" s="125">
        <v>37946</v>
      </c>
      <c r="D290" s="132">
        <v>2629732782</v>
      </c>
      <c r="E290" s="116">
        <f t="shared" si="55"/>
        <v>69301.976018552683</v>
      </c>
      <c r="F290" s="134">
        <v>1632588089</v>
      </c>
      <c r="G290" s="117">
        <f t="shared" si="56"/>
        <v>43023.983792758132</v>
      </c>
      <c r="H290" s="7"/>
      <c r="I290" s="136">
        <v>5.4945000000000004</v>
      </c>
      <c r="J290" s="134">
        <v>8970255.2550105006</v>
      </c>
      <c r="K290" s="120">
        <f t="shared" si="57"/>
        <v>236.39527894930956</v>
      </c>
      <c r="L290" s="122">
        <f t="shared" si="47"/>
        <v>16325880.890000001</v>
      </c>
      <c r="M290" s="116">
        <f t="shared" si="48"/>
        <v>7355625.6349895</v>
      </c>
      <c r="N290" s="123">
        <f t="shared" si="49"/>
        <v>193.84455897827175</v>
      </c>
      <c r="O290" s="5"/>
      <c r="P290" s="5">
        <f t="shared" si="50"/>
        <v>1</v>
      </c>
      <c r="Q290" s="7">
        <f t="shared" si="51"/>
        <v>37946</v>
      </c>
    </row>
    <row r="291" spans="1:17">
      <c r="A291" s="23" t="s">
        <v>319</v>
      </c>
      <c r="B291" s="35" t="s">
        <v>300</v>
      </c>
      <c r="C291" s="125">
        <v>10797</v>
      </c>
      <c r="D291" s="132">
        <v>1414546989</v>
      </c>
      <c r="E291" s="116">
        <f t="shared" si="55"/>
        <v>131012.96554598499</v>
      </c>
      <c r="F291" s="134">
        <v>951370301</v>
      </c>
      <c r="G291" s="117">
        <f t="shared" si="56"/>
        <v>88114.318884875422</v>
      </c>
      <c r="H291" s="7"/>
      <c r="I291" s="136">
        <v>3.5</v>
      </c>
      <c r="J291" s="134">
        <v>3329796.0534999999</v>
      </c>
      <c r="K291" s="120">
        <f t="shared" si="57"/>
        <v>308.40011609706397</v>
      </c>
      <c r="L291" s="122">
        <f t="shared" si="47"/>
        <v>9513703.0099999998</v>
      </c>
      <c r="M291" s="116">
        <f t="shared" si="48"/>
        <v>6183906.9564999994</v>
      </c>
      <c r="N291" s="123">
        <f t="shared" si="49"/>
        <v>572.74307275169019</v>
      </c>
      <c r="O291" s="5"/>
      <c r="P291" s="5">
        <f t="shared" si="50"/>
        <v>1</v>
      </c>
      <c r="Q291" s="7">
        <f t="shared" si="51"/>
        <v>10797</v>
      </c>
    </row>
    <row r="292" spans="1:17">
      <c r="A292" s="23" t="s">
        <v>531</v>
      </c>
      <c r="B292" s="35" t="s">
        <v>300</v>
      </c>
      <c r="C292" s="125">
        <v>3321</v>
      </c>
      <c r="D292" s="132">
        <v>606348004</v>
      </c>
      <c r="E292" s="116">
        <f t="shared" si="55"/>
        <v>182579.94700391448</v>
      </c>
      <c r="F292" s="134">
        <v>291834929</v>
      </c>
      <c r="G292" s="117">
        <f t="shared" si="56"/>
        <v>87875.618488407112</v>
      </c>
      <c r="H292" s="9"/>
      <c r="I292" s="136">
        <v>2.15</v>
      </c>
      <c r="J292" s="134">
        <v>627445.09735000005</v>
      </c>
      <c r="K292" s="120">
        <f t="shared" si="57"/>
        <v>188.93257975007529</v>
      </c>
      <c r="L292" s="122">
        <f t="shared" si="47"/>
        <v>2918349.29</v>
      </c>
      <c r="M292" s="116">
        <f t="shared" si="48"/>
        <v>2290904.1926500001</v>
      </c>
      <c r="N292" s="123">
        <f t="shared" si="49"/>
        <v>689.82360513399578</v>
      </c>
      <c r="O292" s="5"/>
      <c r="P292" s="5">
        <f t="shared" si="50"/>
        <v>1</v>
      </c>
      <c r="Q292" s="7">
        <f t="shared" si="51"/>
        <v>3321</v>
      </c>
    </row>
    <row r="293" spans="1:17">
      <c r="A293" s="23" t="s">
        <v>320</v>
      </c>
      <c r="B293" s="35" t="s">
        <v>300</v>
      </c>
      <c r="C293" s="125">
        <v>421</v>
      </c>
      <c r="D293" s="132">
        <v>1501687614</v>
      </c>
      <c r="E293" s="116">
        <f t="shared" si="55"/>
        <v>3566953.9524940616</v>
      </c>
      <c r="F293" s="134">
        <v>1233555095</v>
      </c>
      <c r="G293" s="117">
        <f t="shared" si="56"/>
        <v>2930059.6080760094</v>
      </c>
      <c r="H293" s="7"/>
      <c r="I293" s="136">
        <v>2.7949999999999999</v>
      </c>
      <c r="J293" s="134">
        <v>3447786.4905250003</v>
      </c>
      <c r="K293" s="120">
        <f t="shared" si="57"/>
        <v>8189.5166045724472</v>
      </c>
      <c r="L293" s="122">
        <f t="shared" si="47"/>
        <v>12335550.950000001</v>
      </c>
      <c r="M293" s="116">
        <f t="shared" si="48"/>
        <v>8887764.4594750013</v>
      </c>
      <c r="N293" s="123">
        <f t="shared" si="49"/>
        <v>21111.079476187653</v>
      </c>
      <c r="O293" s="5"/>
      <c r="P293" s="5">
        <f t="shared" si="50"/>
        <v>1</v>
      </c>
      <c r="Q293" s="7">
        <f t="shared" si="51"/>
        <v>421</v>
      </c>
    </row>
    <row r="294" spans="1:17">
      <c r="A294" s="23" t="s">
        <v>321</v>
      </c>
      <c r="B294" s="35" t="s">
        <v>300</v>
      </c>
      <c r="C294" s="125">
        <v>2033</v>
      </c>
      <c r="D294" s="132">
        <v>218661763</v>
      </c>
      <c r="E294" s="116">
        <f t="shared" si="55"/>
        <v>107556.2041318249</v>
      </c>
      <c r="F294" s="134">
        <v>177685189</v>
      </c>
      <c r="G294" s="117">
        <f t="shared" si="56"/>
        <v>87400.48647319233</v>
      </c>
      <c r="H294" s="7"/>
      <c r="I294" s="157">
        <v>9.8000000000000007</v>
      </c>
      <c r="J294" s="134">
        <v>1741314.8522000001</v>
      </c>
      <c r="K294" s="120">
        <f t="shared" si="57"/>
        <v>856.52476743728482</v>
      </c>
      <c r="L294" s="122">
        <f t="shared" si="47"/>
        <v>1776851.8900000001</v>
      </c>
      <c r="M294" s="116">
        <f t="shared" si="48"/>
        <v>35537.037800000049</v>
      </c>
      <c r="N294" s="123">
        <f t="shared" si="49"/>
        <v>17.48009729463849</v>
      </c>
      <c r="O294" s="5"/>
      <c r="P294" s="5">
        <f t="shared" si="50"/>
        <v>1</v>
      </c>
      <c r="Q294" s="7">
        <f t="shared" si="51"/>
        <v>2033</v>
      </c>
    </row>
    <row r="295" spans="1:17">
      <c r="A295" s="23" t="s">
        <v>322</v>
      </c>
      <c r="B295" s="35" t="s">
        <v>300</v>
      </c>
      <c r="C295" s="125">
        <v>12574</v>
      </c>
      <c r="D295" s="132">
        <v>3032164702</v>
      </c>
      <c r="E295" s="116">
        <f t="shared" si="55"/>
        <v>241145.59424208684</v>
      </c>
      <c r="F295" s="134">
        <v>2119683064</v>
      </c>
      <c r="G295" s="117">
        <f t="shared" si="56"/>
        <v>168576.67122634006</v>
      </c>
      <c r="H295" s="7"/>
      <c r="I295" s="136">
        <v>7.33</v>
      </c>
      <c r="J295" s="134">
        <v>15537276.85912</v>
      </c>
      <c r="K295" s="120">
        <f t="shared" si="57"/>
        <v>1235.6670000890726</v>
      </c>
      <c r="L295" s="122">
        <f t="shared" si="47"/>
        <v>21196830.640000001</v>
      </c>
      <c r="M295" s="116">
        <f t="shared" si="48"/>
        <v>5659553.7808800004</v>
      </c>
      <c r="N295" s="123">
        <f t="shared" si="49"/>
        <v>450.09971217432803</v>
      </c>
      <c r="O295" s="5"/>
      <c r="P295" s="5">
        <f t="shared" si="50"/>
        <v>1</v>
      </c>
      <c r="Q295" s="7">
        <f t="shared" si="51"/>
        <v>12574</v>
      </c>
    </row>
    <row r="296" spans="1:17">
      <c r="A296" s="23" t="s">
        <v>323</v>
      </c>
      <c r="B296" s="35" t="s">
        <v>300</v>
      </c>
      <c r="C296" s="125">
        <v>1812</v>
      </c>
      <c r="D296" s="132">
        <v>1242600951</v>
      </c>
      <c r="E296" s="116">
        <f t="shared" si="55"/>
        <v>685762.11423841061</v>
      </c>
      <c r="F296" s="134">
        <v>939518777</v>
      </c>
      <c r="G296" s="117">
        <f t="shared" si="56"/>
        <v>518498.22130242828</v>
      </c>
      <c r="H296" s="7"/>
      <c r="I296" s="136">
        <v>5.25</v>
      </c>
      <c r="J296" s="134">
        <v>4932473.5792500004</v>
      </c>
      <c r="K296" s="120">
        <f t="shared" si="57"/>
        <v>2722.1156618377486</v>
      </c>
      <c r="L296" s="122">
        <f t="shared" si="47"/>
        <v>9395187.7699999996</v>
      </c>
      <c r="M296" s="116">
        <f t="shared" si="48"/>
        <v>4462714.1907499991</v>
      </c>
      <c r="N296" s="123">
        <f t="shared" si="49"/>
        <v>2462.8665511865338</v>
      </c>
      <c r="O296" s="5"/>
      <c r="P296" s="5">
        <f t="shared" si="50"/>
        <v>1</v>
      </c>
      <c r="Q296" s="7">
        <f t="shared" si="51"/>
        <v>1812</v>
      </c>
    </row>
    <row r="297" spans="1:17">
      <c r="A297" s="23" t="s">
        <v>324</v>
      </c>
      <c r="B297" s="35" t="s">
        <v>300</v>
      </c>
      <c r="C297" s="125">
        <v>5889</v>
      </c>
      <c r="D297" s="132">
        <v>214104757</v>
      </c>
      <c r="E297" s="116">
        <f t="shared" si="55"/>
        <v>36356.725590083202</v>
      </c>
      <c r="F297" s="134">
        <v>81547539</v>
      </c>
      <c r="G297" s="117">
        <f t="shared" si="56"/>
        <v>13847.434029546612</v>
      </c>
      <c r="H297" s="9"/>
      <c r="I297" s="136">
        <v>6.5419</v>
      </c>
      <c r="J297" s="134">
        <v>533475.84538409999</v>
      </c>
      <c r="K297" s="120">
        <f t="shared" si="57"/>
        <v>90.588528677890977</v>
      </c>
      <c r="L297" s="122">
        <f t="shared" si="47"/>
        <v>815475.39</v>
      </c>
      <c r="M297" s="116">
        <f t="shared" si="48"/>
        <v>281999.54461590003</v>
      </c>
      <c r="N297" s="123">
        <f t="shared" si="49"/>
        <v>47.885811617575143</v>
      </c>
      <c r="O297" s="5"/>
      <c r="P297" s="5">
        <f t="shared" si="50"/>
        <v>1</v>
      </c>
      <c r="Q297" s="7">
        <f t="shared" si="51"/>
        <v>5889</v>
      </c>
    </row>
    <row r="298" spans="1:17">
      <c r="A298" s="23" t="s">
        <v>300</v>
      </c>
      <c r="B298" s="35" t="s">
        <v>300</v>
      </c>
      <c r="C298" s="125">
        <v>8291</v>
      </c>
      <c r="D298" s="132">
        <v>21951800624</v>
      </c>
      <c r="E298" s="116">
        <f t="shared" si="55"/>
        <v>2647666.2192739113</v>
      </c>
      <c r="F298" s="134">
        <v>16892928014</v>
      </c>
      <c r="G298" s="117">
        <f t="shared" si="56"/>
        <v>2037501.8711856229</v>
      </c>
      <c r="H298" s="7"/>
      <c r="I298" s="136">
        <v>3.2037</v>
      </c>
      <c r="J298" s="134">
        <v>54119873.478451796</v>
      </c>
      <c r="K298" s="120">
        <f t="shared" si="57"/>
        <v>6527.5447447173801</v>
      </c>
      <c r="L298" s="122">
        <f t="shared" si="47"/>
        <v>168929280.14000002</v>
      </c>
      <c r="M298" s="116">
        <f t="shared" si="48"/>
        <v>114809406.66154823</v>
      </c>
      <c r="N298" s="123">
        <f t="shared" si="49"/>
        <v>13847.473967138852</v>
      </c>
      <c r="O298" s="5"/>
      <c r="P298" s="5">
        <f t="shared" si="50"/>
        <v>1</v>
      </c>
      <c r="Q298" s="7">
        <f t="shared" si="51"/>
        <v>8291</v>
      </c>
    </row>
    <row r="299" spans="1:17">
      <c r="A299" s="23" t="s">
        <v>325</v>
      </c>
      <c r="B299" s="35" t="s">
        <v>300</v>
      </c>
      <c r="C299" s="125">
        <v>52591</v>
      </c>
      <c r="D299" s="132">
        <v>14150783918</v>
      </c>
      <c r="E299" s="116">
        <f t="shared" si="55"/>
        <v>269072.34922325111</v>
      </c>
      <c r="F299" s="134">
        <v>10874570628</v>
      </c>
      <c r="G299" s="117">
        <f t="shared" si="56"/>
        <v>206776.26643342015</v>
      </c>
      <c r="H299" s="7"/>
      <c r="I299" s="136">
        <v>5.55</v>
      </c>
      <c r="J299" s="134">
        <v>60353866.985399999</v>
      </c>
      <c r="K299" s="120">
        <f t="shared" si="57"/>
        <v>1147.608278705482</v>
      </c>
      <c r="L299" s="122">
        <f t="shared" si="47"/>
        <v>108745706.28</v>
      </c>
      <c r="M299" s="116">
        <f t="shared" si="48"/>
        <v>48391839.294600002</v>
      </c>
      <c r="N299" s="123">
        <f t="shared" si="49"/>
        <v>920.15438562871975</v>
      </c>
      <c r="O299" s="5"/>
      <c r="P299" s="5">
        <f t="shared" si="50"/>
        <v>1</v>
      </c>
      <c r="Q299" s="7">
        <f t="shared" si="51"/>
        <v>52591</v>
      </c>
    </row>
    <row r="300" spans="1:17">
      <c r="A300" s="23" t="s">
        <v>326</v>
      </c>
      <c r="B300" s="35" t="s">
        <v>300</v>
      </c>
      <c r="C300" s="125">
        <v>1200</v>
      </c>
      <c r="D300" s="132">
        <v>669809450</v>
      </c>
      <c r="E300" s="116">
        <f t="shared" si="55"/>
        <v>558174.54166666663</v>
      </c>
      <c r="F300" s="134">
        <v>574622296</v>
      </c>
      <c r="G300" s="117">
        <f t="shared" si="56"/>
        <v>478851.91333333333</v>
      </c>
      <c r="H300" s="7"/>
      <c r="I300" s="136">
        <v>6.35</v>
      </c>
      <c r="J300" s="134">
        <v>3648851.5795999998</v>
      </c>
      <c r="K300" s="120">
        <f t="shared" si="57"/>
        <v>3040.7096496666663</v>
      </c>
      <c r="L300" s="122">
        <f t="shared" si="47"/>
        <v>5746222.96</v>
      </c>
      <c r="M300" s="116">
        <f t="shared" si="48"/>
        <v>2097371.3804000001</v>
      </c>
      <c r="N300" s="123">
        <f t="shared" si="49"/>
        <v>1747.8094836666669</v>
      </c>
      <c r="O300" s="5"/>
      <c r="P300" s="5">
        <f t="shared" si="50"/>
        <v>1</v>
      </c>
      <c r="Q300" s="7">
        <f t="shared" si="51"/>
        <v>1200</v>
      </c>
    </row>
    <row r="301" spans="1:17">
      <c r="A301" s="23" t="s">
        <v>327</v>
      </c>
      <c r="B301" s="35" t="s">
        <v>300</v>
      </c>
      <c r="C301" s="125">
        <v>23250</v>
      </c>
      <c r="D301" s="132">
        <v>1721707423</v>
      </c>
      <c r="E301" s="116">
        <f t="shared" si="55"/>
        <v>74051.932172043016</v>
      </c>
      <c r="F301" s="134">
        <v>1105001834</v>
      </c>
      <c r="G301" s="117">
        <f t="shared" si="56"/>
        <v>47526.960602150539</v>
      </c>
      <c r="H301" s="9"/>
      <c r="I301" s="136">
        <v>3.65</v>
      </c>
      <c r="J301" s="134">
        <v>4033256.6941</v>
      </c>
      <c r="K301" s="120">
        <f t="shared" si="57"/>
        <v>173.47340619784947</v>
      </c>
      <c r="L301" s="122">
        <f t="shared" si="47"/>
        <v>11050018.34</v>
      </c>
      <c r="M301" s="116">
        <f t="shared" si="48"/>
        <v>7016761.6458999999</v>
      </c>
      <c r="N301" s="123">
        <f t="shared" si="49"/>
        <v>301.79619982365591</v>
      </c>
      <c r="O301" s="5"/>
      <c r="P301" s="5">
        <f t="shared" si="50"/>
        <v>1</v>
      </c>
      <c r="Q301" s="7">
        <f t="shared" si="51"/>
        <v>23250</v>
      </c>
    </row>
    <row r="302" spans="1:17">
      <c r="A302" s="23" t="s">
        <v>328</v>
      </c>
      <c r="B302" s="35" t="s">
        <v>300</v>
      </c>
      <c r="C302" s="125">
        <v>35057</v>
      </c>
      <c r="D302" s="132">
        <v>6777650356</v>
      </c>
      <c r="E302" s="116">
        <f t="shared" si="55"/>
        <v>193332.29757252475</v>
      </c>
      <c r="F302" s="134">
        <v>5092242159</v>
      </c>
      <c r="G302" s="117">
        <f t="shared" si="56"/>
        <v>145256.07322360727</v>
      </c>
      <c r="H302" s="7"/>
      <c r="I302" s="136">
        <v>8.452</v>
      </c>
      <c r="J302" s="134">
        <v>43039630.727867998</v>
      </c>
      <c r="K302" s="120">
        <f t="shared" si="57"/>
        <v>1227.7043308859286</v>
      </c>
      <c r="L302" s="122">
        <f t="shared" si="47"/>
        <v>50922421.590000004</v>
      </c>
      <c r="M302" s="116">
        <f t="shared" si="48"/>
        <v>7882790.8621320054</v>
      </c>
      <c r="N302" s="123">
        <f t="shared" si="49"/>
        <v>224.85640135014421</v>
      </c>
      <c r="O302" s="5"/>
      <c r="P302" s="5">
        <f t="shared" si="50"/>
        <v>1</v>
      </c>
      <c r="Q302" s="7">
        <f t="shared" si="51"/>
        <v>35057</v>
      </c>
    </row>
    <row r="303" spans="1:17">
      <c r="A303" s="23" t="s">
        <v>329</v>
      </c>
      <c r="B303" s="35" t="s">
        <v>300</v>
      </c>
      <c r="C303" s="125">
        <v>37485</v>
      </c>
      <c r="D303" s="132">
        <v>4045765134</v>
      </c>
      <c r="E303" s="116">
        <f t="shared" si="55"/>
        <v>107930.24233693477</v>
      </c>
      <c r="F303" s="134">
        <v>2693221566</v>
      </c>
      <c r="G303" s="117">
        <f t="shared" si="56"/>
        <v>71847.980952380953</v>
      </c>
      <c r="H303" s="7"/>
      <c r="I303" s="136">
        <v>1.92</v>
      </c>
      <c r="J303" s="134">
        <v>5170985.4067200003</v>
      </c>
      <c r="K303" s="120">
        <f t="shared" si="57"/>
        <v>137.94812342857145</v>
      </c>
      <c r="L303" s="122">
        <f t="shared" si="47"/>
        <v>26932215.66</v>
      </c>
      <c r="M303" s="116">
        <f t="shared" si="48"/>
        <v>21761230.253279999</v>
      </c>
      <c r="N303" s="123">
        <f t="shared" si="49"/>
        <v>580.53168609523811</v>
      </c>
      <c r="O303" s="5"/>
      <c r="P303" s="5">
        <f t="shared" si="50"/>
        <v>1</v>
      </c>
      <c r="Q303" s="7">
        <f t="shared" si="51"/>
        <v>37485</v>
      </c>
    </row>
    <row r="304" spans="1:17">
      <c r="A304" s="23" t="s">
        <v>330</v>
      </c>
      <c r="B304" s="35" t="s">
        <v>300</v>
      </c>
      <c r="C304" s="125">
        <v>5215</v>
      </c>
      <c r="D304" s="132">
        <v>158270419</v>
      </c>
      <c r="E304" s="116">
        <f t="shared" si="55"/>
        <v>30349.073633748802</v>
      </c>
      <c r="F304" s="134">
        <v>64018550</v>
      </c>
      <c r="G304" s="117">
        <f t="shared" si="56"/>
        <v>12275.848513902205</v>
      </c>
      <c r="H304" s="7"/>
      <c r="I304" s="136">
        <v>6.3089000000000004</v>
      </c>
      <c r="J304" s="134">
        <v>403886.63009500003</v>
      </c>
      <c r="K304" s="120">
        <f t="shared" si="57"/>
        <v>77.447100689357626</v>
      </c>
      <c r="L304" s="122">
        <f t="shared" si="47"/>
        <v>640185.5</v>
      </c>
      <c r="M304" s="116">
        <f t="shared" si="48"/>
        <v>236298.86990499997</v>
      </c>
      <c r="N304" s="123">
        <f t="shared" si="49"/>
        <v>45.311384449664423</v>
      </c>
      <c r="O304" s="5"/>
      <c r="P304" s="5">
        <f t="shared" si="50"/>
        <v>1</v>
      </c>
      <c r="Q304" s="7">
        <f t="shared" si="51"/>
        <v>5215</v>
      </c>
    </row>
    <row r="305" spans="1:21">
      <c r="A305" s="23" t="s">
        <v>331</v>
      </c>
      <c r="B305" s="35" t="s">
        <v>300</v>
      </c>
      <c r="C305" s="125">
        <v>1400</v>
      </c>
      <c r="D305" s="132">
        <v>399985287</v>
      </c>
      <c r="E305" s="116">
        <f t="shared" si="55"/>
        <v>285703.77642857144</v>
      </c>
      <c r="F305" s="134">
        <v>325642864</v>
      </c>
      <c r="G305" s="117">
        <f t="shared" si="56"/>
        <v>232602.04571428572</v>
      </c>
      <c r="H305" s="7"/>
      <c r="I305" s="136">
        <v>3.9965000000000002</v>
      </c>
      <c r="J305" s="134">
        <v>1301431.7059760001</v>
      </c>
      <c r="K305" s="120">
        <f t="shared" si="57"/>
        <v>929.5940756971429</v>
      </c>
      <c r="L305" s="122">
        <f t="shared" si="47"/>
        <v>3256428.64</v>
      </c>
      <c r="M305" s="116">
        <f t="shared" si="48"/>
        <v>1954996.9340240001</v>
      </c>
      <c r="N305" s="123">
        <f t="shared" si="49"/>
        <v>1396.4263814457142</v>
      </c>
      <c r="O305" s="5"/>
      <c r="P305" s="5">
        <f t="shared" si="50"/>
        <v>1</v>
      </c>
      <c r="Q305" s="7">
        <f t="shared" si="51"/>
        <v>1400</v>
      </c>
    </row>
    <row r="306" spans="1:21">
      <c r="A306" s="23" t="s">
        <v>332</v>
      </c>
      <c r="B306" s="35" t="s">
        <v>300</v>
      </c>
      <c r="C306" s="125">
        <v>5731</v>
      </c>
      <c r="D306" s="132">
        <v>1493305052</v>
      </c>
      <c r="E306" s="116">
        <f t="shared" si="55"/>
        <v>260566.22788344094</v>
      </c>
      <c r="F306" s="134">
        <v>1057958594</v>
      </c>
      <c r="G306" s="117">
        <f t="shared" si="56"/>
        <v>184602.79078694817</v>
      </c>
      <c r="H306" s="7"/>
      <c r="I306" s="136">
        <v>9.2919999999999998</v>
      </c>
      <c r="J306" s="134">
        <v>9830551.2554480005</v>
      </c>
      <c r="K306" s="120">
        <f t="shared" si="57"/>
        <v>1715.3291319923226</v>
      </c>
      <c r="L306" s="122">
        <f t="shared" si="47"/>
        <v>10579585.939999999</v>
      </c>
      <c r="M306" s="116">
        <f t="shared" si="48"/>
        <v>749034.68455199897</v>
      </c>
      <c r="N306" s="123">
        <f t="shared" si="49"/>
        <v>130.69877587715914</v>
      </c>
      <c r="O306" s="5"/>
      <c r="P306" s="5">
        <f t="shared" si="50"/>
        <v>1</v>
      </c>
      <c r="Q306" s="7">
        <f t="shared" si="51"/>
        <v>5731</v>
      </c>
    </row>
    <row r="307" spans="1:21">
      <c r="A307" s="23" t="s">
        <v>333</v>
      </c>
      <c r="B307" s="35" t="s">
        <v>300</v>
      </c>
      <c r="C307" s="125">
        <v>61775</v>
      </c>
      <c r="D307" s="132">
        <v>11774881241</v>
      </c>
      <c r="E307" s="116">
        <f t="shared" si="55"/>
        <v>190609.16618373129</v>
      </c>
      <c r="F307" s="134">
        <v>7923821791</v>
      </c>
      <c r="G307" s="117">
        <f t="shared" si="56"/>
        <v>128269.06986645082</v>
      </c>
      <c r="H307" s="7"/>
      <c r="I307" s="136">
        <v>2.4300000000000002</v>
      </c>
      <c r="J307" s="134">
        <v>19254886.952130001</v>
      </c>
      <c r="K307" s="120">
        <f t="shared" si="57"/>
        <v>311.69383977547551</v>
      </c>
      <c r="L307" s="122">
        <f t="shared" si="47"/>
        <v>79238217.909999996</v>
      </c>
      <c r="M307" s="116">
        <f t="shared" si="48"/>
        <v>59983330.957869992</v>
      </c>
      <c r="N307" s="123">
        <f t="shared" si="49"/>
        <v>970.99685888903264</v>
      </c>
      <c r="O307" s="5"/>
      <c r="P307" s="5">
        <f t="shared" si="50"/>
        <v>1</v>
      </c>
      <c r="Q307" s="7">
        <f t="shared" si="51"/>
        <v>61775</v>
      </c>
    </row>
    <row r="308" spans="1:21">
      <c r="A308" s="23" t="s">
        <v>334</v>
      </c>
      <c r="B308" s="35" t="s">
        <v>300</v>
      </c>
      <c r="C308" s="125">
        <v>110396</v>
      </c>
      <c r="D308" s="132">
        <v>17424303548</v>
      </c>
      <c r="E308" s="116">
        <f t="shared" si="55"/>
        <v>157834.55512880901</v>
      </c>
      <c r="F308" s="134">
        <v>11833683709</v>
      </c>
      <c r="G308" s="117">
        <f t="shared" si="56"/>
        <v>107193.04783687815</v>
      </c>
      <c r="H308" s="7"/>
      <c r="I308" s="136">
        <v>8.3465000000000007</v>
      </c>
      <c r="J308" s="134">
        <v>98769841.077168509</v>
      </c>
      <c r="K308" s="120">
        <f t="shared" si="57"/>
        <v>894.68677377050358</v>
      </c>
      <c r="L308" s="122">
        <f t="shared" si="47"/>
        <v>118336837.09</v>
      </c>
      <c r="M308" s="116">
        <f t="shared" si="48"/>
        <v>19566996.012831494</v>
      </c>
      <c r="N308" s="123">
        <f t="shared" si="49"/>
        <v>177.24370459827796</v>
      </c>
      <c r="O308" s="5"/>
      <c r="P308" s="5">
        <f t="shared" si="50"/>
        <v>1</v>
      </c>
      <c r="Q308" s="7">
        <f t="shared" si="51"/>
        <v>110396</v>
      </c>
    </row>
    <row r="309" spans="1:21">
      <c r="A309" s="24" t="s">
        <v>614</v>
      </c>
      <c r="B309" s="35" t="s">
        <v>300</v>
      </c>
      <c r="C309" s="125">
        <v>5</v>
      </c>
      <c r="D309" s="132">
        <v>147872491</v>
      </c>
      <c r="E309" s="116">
        <f t="shared" si="55"/>
        <v>29574498.199999999</v>
      </c>
      <c r="F309" s="134">
        <v>24613164</v>
      </c>
      <c r="G309" s="117">
        <f t="shared" si="56"/>
        <v>4922632.8</v>
      </c>
      <c r="H309" s="7"/>
      <c r="I309" s="136">
        <v>5.125</v>
      </c>
      <c r="J309" s="134">
        <v>126142.46550000001</v>
      </c>
      <c r="K309" s="120">
        <f t="shared" si="57"/>
        <v>25228.4931</v>
      </c>
      <c r="L309" s="122">
        <f>(F309*0.01)</f>
        <v>246131.64</v>
      </c>
      <c r="M309" s="116">
        <f>(L309-J309)</f>
        <v>119989.17450000001</v>
      </c>
      <c r="N309" s="123">
        <f>(M309/C309)</f>
        <v>23997.834900000002</v>
      </c>
      <c r="O309" s="5"/>
      <c r="P309" s="5">
        <f>IF(I309&gt;0,1,0)</f>
        <v>1</v>
      </c>
      <c r="Q309" s="7">
        <f>IF(I309&gt;0,C309,0)</f>
        <v>5</v>
      </c>
      <c r="S309" s="124">
        <f>SUM(D271:D309)</f>
        <v>168968317134</v>
      </c>
      <c r="T309" s="124">
        <f>SUM(F271:F309)</f>
        <v>122821018607</v>
      </c>
      <c r="U309" s="124">
        <f>SUM(J271:J309)</f>
        <v>591301210.26507556</v>
      </c>
    </row>
    <row r="310" spans="1:21">
      <c r="A310" s="23" t="s">
        <v>335</v>
      </c>
      <c r="B310" s="35" t="s">
        <v>336</v>
      </c>
      <c r="C310" s="125">
        <v>7233</v>
      </c>
      <c r="D310" s="132">
        <v>617547263</v>
      </c>
      <c r="E310" s="116">
        <f t="shared" si="55"/>
        <v>85379.132171989491</v>
      </c>
      <c r="F310" s="134">
        <v>280148083</v>
      </c>
      <c r="G310" s="117">
        <f t="shared" si="56"/>
        <v>38731.934605281349</v>
      </c>
      <c r="H310" s="7"/>
      <c r="I310" s="136">
        <v>7.14</v>
      </c>
      <c r="J310" s="134">
        <v>2000257.31262</v>
      </c>
      <c r="K310" s="120">
        <f t="shared" si="57"/>
        <v>276.54601308170885</v>
      </c>
      <c r="L310" s="122">
        <f t="shared" si="47"/>
        <v>2801480.83</v>
      </c>
      <c r="M310" s="116">
        <f t="shared" si="48"/>
        <v>801223.51738000009</v>
      </c>
      <c r="N310" s="123">
        <f t="shared" si="49"/>
        <v>110.77333297110467</v>
      </c>
      <c r="O310" s="5"/>
      <c r="P310" s="5">
        <f t="shared" si="50"/>
        <v>1</v>
      </c>
      <c r="Q310" s="7">
        <f t="shared" si="51"/>
        <v>7233</v>
      </c>
    </row>
    <row r="311" spans="1:21">
      <c r="A311" s="23" t="s">
        <v>337</v>
      </c>
      <c r="B311" s="35" t="s">
        <v>336</v>
      </c>
      <c r="C311" s="125">
        <v>15764</v>
      </c>
      <c r="D311" s="132">
        <v>891931396</v>
      </c>
      <c r="E311" s="116">
        <f t="shared" si="55"/>
        <v>56580.271250951533</v>
      </c>
      <c r="F311" s="134">
        <v>537254239</v>
      </c>
      <c r="G311" s="117">
        <f t="shared" si="56"/>
        <v>34081.085955341281</v>
      </c>
      <c r="H311" s="7"/>
      <c r="I311" s="136">
        <v>8.9949999999999992</v>
      </c>
      <c r="J311" s="134">
        <v>4832601.8798049996</v>
      </c>
      <c r="K311" s="120">
        <f t="shared" si="57"/>
        <v>306.55936816829484</v>
      </c>
      <c r="L311" s="122">
        <f t="shared" si="47"/>
        <v>5372542.3899999997</v>
      </c>
      <c r="M311" s="116">
        <f t="shared" si="48"/>
        <v>539940.5101950001</v>
      </c>
      <c r="N311" s="123">
        <f t="shared" si="49"/>
        <v>34.251491385117994</v>
      </c>
      <c r="O311" s="5"/>
      <c r="P311" s="5">
        <f t="shared" si="50"/>
        <v>1</v>
      </c>
      <c r="Q311" s="7">
        <f t="shared" si="51"/>
        <v>15764</v>
      </c>
    </row>
    <row r="312" spans="1:21">
      <c r="A312" s="23" t="s">
        <v>338</v>
      </c>
      <c r="B312" s="35" t="s">
        <v>336</v>
      </c>
      <c r="C312" s="125">
        <v>2699</v>
      </c>
      <c r="D312" s="132">
        <v>336298592</v>
      </c>
      <c r="E312" s="116">
        <f t="shared" si="55"/>
        <v>124601.18266024454</v>
      </c>
      <c r="F312" s="134">
        <v>265065991</v>
      </c>
      <c r="G312" s="117">
        <f t="shared" si="56"/>
        <v>98208.962949240464</v>
      </c>
      <c r="H312" s="7"/>
      <c r="I312" s="136">
        <v>5.7518000000000002</v>
      </c>
      <c r="J312" s="134">
        <v>1524606.5670338001</v>
      </c>
      <c r="K312" s="120">
        <f t="shared" si="57"/>
        <v>564.87831309144133</v>
      </c>
      <c r="L312" s="122">
        <f t="shared" si="47"/>
        <v>2650659.91</v>
      </c>
      <c r="M312" s="116">
        <f t="shared" si="48"/>
        <v>1126053.3429662001</v>
      </c>
      <c r="N312" s="123">
        <f t="shared" si="49"/>
        <v>417.21131640096337</v>
      </c>
      <c r="O312" s="5"/>
      <c r="P312" s="5">
        <f t="shared" si="50"/>
        <v>1</v>
      </c>
      <c r="Q312" s="7">
        <f t="shared" si="51"/>
        <v>2699</v>
      </c>
    </row>
    <row r="313" spans="1:21">
      <c r="A313" s="23" t="s">
        <v>339</v>
      </c>
      <c r="B313" s="35" t="s">
        <v>336</v>
      </c>
      <c r="C313" s="125">
        <v>1273</v>
      </c>
      <c r="D313" s="132">
        <v>107453027</v>
      </c>
      <c r="E313" s="116">
        <f t="shared" si="55"/>
        <v>84409.290652003139</v>
      </c>
      <c r="F313" s="134">
        <v>59995684</v>
      </c>
      <c r="G313" s="117">
        <f t="shared" si="56"/>
        <v>47129.366849960723</v>
      </c>
      <c r="H313" s="7"/>
      <c r="I313" s="136">
        <v>3.85</v>
      </c>
      <c r="J313" s="134">
        <v>230983.38339999999</v>
      </c>
      <c r="K313" s="120">
        <f t="shared" si="57"/>
        <v>181.44806237234877</v>
      </c>
      <c r="L313" s="122">
        <f t="shared" si="47"/>
        <v>599956.84</v>
      </c>
      <c r="M313" s="116">
        <f t="shared" si="48"/>
        <v>368973.45659999998</v>
      </c>
      <c r="N313" s="123">
        <f t="shared" si="49"/>
        <v>289.84560612725841</v>
      </c>
      <c r="O313" s="5"/>
      <c r="P313" s="5">
        <f t="shared" si="50"/>
        <v>1</v>
      </c>
      <c r="Q313" s="7">
        <f t="shared" si="51"/>
        <v>1273</v>
      </c>
    </row>
    <row r="314" spans="1:21">
      <c r="A314" s="24" t="s">
        <v>547</v>
      </c>
      <c r="B314" s="35" t="s">
        <v>336</v>
      </c>
      <c r="C314" s="125">
        <v>1442</v>
      </c>
      <c r="D314" s="132">
        <v>78398295</v>
      </c>
      <c r="E314" s="116">
        <f t="shared" si="55"/>
        <v>54367.749653259365</v>
      </c>
      <c r="F314" s="134">
        <v>9880308</v>
      </c>
      <c r="G314" s="117">
        <f t="shared" si="56"/>
        <v>6851.8085991678226</v>
      </c>
      <c r="H314" s="7"/>
      <c r="I314" s="136">
        <v>0.7</v>
      </c>
      <c r="J314" s="134">
        <v>6916.2155999999995</v>
      </c>
      <c r="K314" s="120">
        <f t="shared" si="57"/>
        <v>4.7962660194174758</v>
      </c>
      <c r="L314" s="122">
        <f t="shared" si="47"/>
        <v>98803.08</v>
      </c>
      <c r="M314" s="116">
        <f t="shared" si="48"/>
        <v>91886.864400000006</v>
      </c>
      <c r="N314" s="123">
        <f t="shared" si="49"/>
        <v>63.721819972260754</v>
      </c>
      <c r="O314" s="5"/>
      <c r="P314" s="5">
        <f t="shared" si="50"/>
        <v>1</v>
      </c>
      <c r="Q314" s="7">
        <f t="shared" si="51"/>
        <v>1442</v>
      </c>
    </row>
    <row r="315" spans="1:21">
      <c r="A315" s="23" t="s">
        <v>340</v>
      </c>
      <c r="B315" s="35" t="s">
        <v>336</v>
      </c>
      <c r="C315" s="125">
        <v>15571</v>
      </c>
      <c r="D315" s="132">
        <v>1036984847</v>
      </c>
      <c r="E315" s="116">
        <f t="shared" si="55"/>
        <v>66597.190096975144</v>
      </c>
      <c r="F315" s="134">
        <v>648757170</v>
      </c>
      <c r="G315" s="117">
        <f t="shared" si="56"/>
        <v>41664.451223428165</v>
      </c>
      <c r="H315" s="7"/>
      <c r="I315" s="136">
        <v>6.35</v>
      </c>
      <c r="J315" s="134">
        <v>4119608.0295000002</v>
      </c>
      <c r="K315" s="120">
        <f t="shared" si="57"/>
        <v>264.5692652687689</v>
      </c>
      <c r="L315" s="122">
        <f t="shared" si="47"/>
        <v>6487571.7000000002</v>
      </c>
      <c r="M315" s="116">
        <f t="shared" si="48"/>
        <v>2367963.6705</v>
      </c>
      <c r="N315" s="123">
        <f t="shared" si="49"/>
        <v>152.0752469655128</v>
      </c>
      <c r="O315" s="5"/>
      <c r="P315" s="5">
        <f t="shared" si="50"/>
        <v>1</v>
      </c>
      <c r="Q315" s="7">
        <f t="shared" si="51"/>
        <v>15571</v>
      </c>
      <c r="S315" s="124">
        <f>SUM(D310:D315)</f>
        <v>3068613420</v>
      </c>
      <c r="T315" s="124">
        <f>SUM(F310:F315)</f>
        <v>1801101475</v>
      </c>
      <c r="U315" s="124">
        <f>SUM(J310:J315)</f>
        <v>12714973.3879588</v>
      </c>
    </row>
    <row r="316" spans="1:21">
      <c r="A316" s="23" t="s">
        <v>341</v>
      </c>
      <c r="B316" s="35" t="s">
        <v>342</v>
      </c>
      <c r="C316" s="125">
        <v>3924</v>
      </c>
      <c r="D316" s="132">
        <v>1049653182</v>
      </c>
      <c r="E316" s="116">
        <f t="shared" si="55"/>
        <v>267495.71406727831</v>
      </c>
      <c r="F316" s="134">
        <v>712561991</v>
      </c>
      <c r="G316" s="117">
        <f t="shared" si="56"/>
        <v>181590.72145769623</v>
      </c>
      <c r="H316" s="7"/>
      <c r="I316" s="136">
        <v>5.9257</v>
      </c>
      <c r="J316" s="134">
        <v>4222428.5900686998</v>
      </c>
      <c r="K316" s="120">
        <f t="shared" si="57"/>
        <v>1076.0521381418705</v>
      </c>
      <c r="L316" s="122">
        <f t="shared" si="47"/>
        <v>7125619.9100000001</v>
      </c>
      <c r="M316" s="116">
        <f t="shared" si="48"/>
        <v>2903191.3199313004</v>
      </c>
      <c r="N316" s="123">
        <f t="shared" si="49"/>
        <v>739.85507643509186</v>
      </c>
      <c r="O316" s="5"/>
      <c r="P316" s="5">
        <f t="shared" si="50"/>
        <v>1</v>
      </c>
      <c r="Q316" s="7">
        <f t="shared" si="51"/>
        <v>3924</v>
      </c>
    </row>
    <row r="317" spans="1:21">
      <c r="A317" s="23" t="s">
        <v>343</v>
      </c>
      <c r="B317" s="35" t="s">
        <v>342</v>
      </c>
      <c r="C317" s="125">
        <v>1559</v>
      </c>
      <c r="D317" s="132">
        <v>682476825</v>
      </c>
      <c r="E317" s="116">
        <f t="shared" si="55"/>
        <v>437765.76330981398</v>
      </c>
      <c r="F317" s="134">
        <v>512736385</v>
      </c>
      <c r="G317" s="117">
        <f t="shared" si="56"/>
        <v>328887.9955099423</v>
      </c>
      <c r="H317" s="7"/>
      <c r="I317" s="136">
        <v>2.0394000000000001</v>
      </c>
      <c r="J317" s="134">
        <v>1045674.583569</v>
      </c>
      <c r="K317" s="120">
        <f t="shared" si="57"/>
        <v>670.73417804297628</v>
      </c>
      <c r="L317" s="122">
        <f t="shared" si="47"/>
        <v>5127363.8500000006</v>
      </c>
      <c r="M317" s="116">
        <f t="shared" si="48"/>
        <v>4081689.2664310005</v>
      </c>
      <c r="N317" s="123">
        <f t="shared" si="49"/>
        <v>2618.1457770564466</v>
      </c>
      <c r="O317" s="5"/>
      <c r="P317" s="5">
        <f t="shared" si="50"/>
        <v>1</v>
      </c>
      <c r="Q317" s="7">
        <f t="shared" si="51"/>
        <v>1559</v>
      </c>
    </row>
    <row r="318" spans="1:21">
      <c r="A318" s="23" t="s">
        <v>344</v>
      </c>
      <c r="B318" s="35" t="s">
        <v>342</v>
      </c>
      <c r="C318" s="125">
        <v>2071</v>
      </c>
      <c r="D318" s="132">
        <v>303485864</v>
      </c>
      <c r="E318" s="116">
        <f t="shared" si="55"/>
        <v>146540.73587638821</v>
      </c>
      <c r="F318" s="134">
        <v>210582572</v>
      </c>
      <c r="G318" s="117">
        <f t="shared" si="56"/>
        <v>101681.58957025592</v>
      </c>
      <c r="H318" s="7"/>
      <c r="I318" s="136">
        <v>5.35</v>
      </c>
      <c r="J318" s="134">
        <v>1126616.7601999999</v>
      </c>
      <c r="K318" s="120">
        <f t="shared" si="57"/>
        <v>543.99650420086914</v>
      </c>
      <c r="L318" s="122">
        <f t="shared" si="47"/>
        <v>2105825.7200000002</v>
      </c>
      <c r="M318" s="116">
        <f t="shared" si="48"/>
        <v>979208.9598000003</v>
      </c>
      <c r="N318" s="123">
        <f t="shared" si="49"/>
        <v>472.81939150169018</v>
      </c>
      <c r="O318" s="5"/>
      <c r="P318" s="5">
        <f t="shared" si="50"/>
        <v>1</v>
      </c>
      <c r="Q318" s="7">
        <f t="shared" si="51"/>
        <v>2071</v>
      </c>
    </row>
    <row r="319" spans="1:21">
      <c r="A319" s="23" t="s">
        <v>345</v>
      </c>
      <c r="B319" s="35" t="s">
        <v>342</v>
      </c>
      <c r="C319" s="125">
        <v>117</v>
      </c>
      <c r="D319" s="132">
        <v>179802495</v>
      </c>
      <c r="E319" s="116">
        <f t="shared" si="55"/>
        <v>1536773.4615384615</v>
      </c>
      <c r="F319" s="134">
        <v>142581575</v>
      </c>
      <c r="G319" s="117">
        <f t="shared" si="56"/>
        <v>1218645.9401709402</v>
      </c>
      <c r="H319" s="7"/>
      <c r="I319" s="136">
        <v>0.65939999999999999</v>
      </c>
      <c r="J319" s="134">
        <v>94018.290554999985</v>
      </c>
      <c r="K319" s="120">
        <f t="shared" si="57"/>
        <v>803.57513294871785</v>
      </c>
      <c r="L319" s="122">
        <f t="shared" si="47"/>
        <v>1425815.75</v>
      </c>
      <c r="M319" s="116">
        <f t="shared" si="48"/>
        <v>1331797.4594449999</v>
      </c>
      <c r="N319" s="123">
        <f t="shared" si="49"/>
        <v>11382.884268760683</v>
      </c>
      <c r="O319" s="5"/>
      <c r="P319" s="5">
        <f t="shared" si="50"/>
        <v>1</v>
      </c>
      <c r="Q319" s="7">
        <f t="shared" si="51"/>
        <v>117</v>
      </c>
    </row>
    <row r="320" spans="1:21">
      <c r="A320" s="23" t="s">
        <v>346</v>
      </c>
      <c r="B320" s="35" t="s">
        <v>342</v>
      </c>
      <c r="C320" s="125">
        <v>113723</v>
      </c>
      <c r="D320" s="132">
        <v>14920312685</v>
      </c>
      <c r="E320" s="116">
        <f t="shared" si="55"/>
        <v>131198.72571951145</v>
      </c>
      <c r="F320" s="134">
        <v>10180930923</v>
      </c>
      <c r="G320" s="117">
        <f t="shared" si="56"/>
        <v>89523.939071252084</v>
      </c>
      <c r="H320" s="7"/>
      <c r="I320" s="136">
        <v>5.1550000000000002</v>
      </c>
      <c r="J320" s="134">
        <v>52482698.908065006</v>
      </c>
      <c r="K320" s="120">
        <f t="shared" si="57"/>
        <v>461.49590591230452</v>
      </c>
      <c r="L320" s="122">
        <f t="shared" si="47"/>
        <v>101809309.23</v>
      </c>
      <c r="M320" s="116">
        <f t="shared" si="48"/>
        <v>49326610.321934998</v>
      </c>
      <c r="N320" s="123">
        <f t="shared" si="49"/>
        <v>433.74348480021632</v>
      </c>
      <c r="O320" s="5"/>
      <c r="P320" s="5">
        <f t="shared" si="50"/>
        <v>1</v>
      </c>
      <c r="Q320" s="7">
        <f t="shared" si="51"/>
        <v>113723</v>
      </c>
    </row>
    <row r="321" spans="1:17">
      <c r="A321" s="129" t="s">
        <v>347</v>
      </c>
      <c r="B321" s="130" t="s">
        <v>342</v>
      </c>
      <c r="C321" s="131">
        <v>36265</v>
      </c>
      <c r="D321" s="132">
        <v>3936702579</v>
      </c>
      <c r="E321" s="133">
        <f t="shared" si="55"/>
        <v>108553.77303184889</v>
      </c>
      <c r="F321" s="134">
        <v>2344822531</v>
      </c>
      <c r="G321" s="134">
        <f t="shared" si="56"/>
        <v>64658.004439542259</v>
      </c>
      <c r="H321" s="135"/>
      <c r="I321" s="136">
        <v>4.1345000000000001</v>
      </c>
      <c r="J321" s="134">
        <v>9694668.7544195</v>
      </c>
      <c r="K321" s="137">
        <f t="shared" si="57"/>
        <v>267.32851935528748</v>
      </c>
      <c r="L321" s="138">
        <f t="shared" si="47"/>
        <v>23448225.309999999</v>
      </c>
      <c r="M321" s="133">
        <f t="shared" si="48"/>
        <v>13753556.555580499</v>
      </c>
      <c r="N321" s="139">
        <f t="shared" si="49"/>
        <v>379.25152504013511</v>
      </c>
      <c r="O321" s="5"/>
      <c r="P321" s="5">
        <f t="shared" si="50"/>
        <v>1</v>
      </c>
      <c r="Q321" s="7">
        <f t="shared" si="51"/>
        <v>36265</v>
      </c>
    </row>
    <row r="322" spans="1:17">
      <c r="A322" s="23" t="s">
        <v>348</v>
      </c>
      <c r="B322" s="35" t="s">
        <v>342</v>
      </c>
      <c r="C322" s="125">
        <v>12400</v>
      </c>
      <c r="D322" s="132">
        <v>1401558851</v>
      </c>
      <c r="E322" s="116">
        <f t="shared" si="55"/>
        <v>113028.93959677419</v>
      </c>
      <c r="F322" s="134">
        <v>866601094</v>
      </c>
      <c r="G322" s="117">
        <f t="shared" si="56"/>
        <v>69887.184999999998</v>
      </c>
      <c r="H322" s="7"/>
      <c r="I322" s="136">
        <v>4.0389999999999997</v>
      </c>
      <c r="J322" s="134">
        <v>3500201.8186659999</v>
      </c>
      <c r="K322" s="120">
        <f t="shared" si="57"/>
        <v>282.274340215</v>
      </c>
      <c r="L322" s="122">
        <f t="shared" si="47"/>
        <v>8666010.9399999995</v>
      </c>
      <c r="M322" s="116">
        <f t="shared" si="48"/>
        <v>5165809.1213339996</v>
      </c>
      <c r="N322" s="123">
        <f t="shared" si="49"/>
        <v>416.59750978499994</v>
      </c>
      <c r="O322" s="5"/>
      <c r="P322" s="5">
        <f t="shared" si="50"/>
        <v>1</v>
      </c>
      <c r="Q322" s="7">
        <f t="shared" si="51"/>
        <v>12400</v>
      </c>
    </row>
    <row r="323" spans="1:17">
      <c r="A323" s="23" t="s">
        <v>349</v>
      </c>
      <c r="B323" s="35" t="s">
        <v>342</v>
      </c>
      <c r="C323" s="125">
        <v>4380</v>
      </c>
      <c r="D323" s="132">
        <v>1424314887</v>
      </c>
      <c r="E323" s="116">
        <f t="shared" si="55"/>
        <v>325186.04726027395</v>
      </c>
      <c r="F323" s="134">
        <v>1090595995</v>
      </c>
      <c r="G323" s="117">
        <f t="shared" si="56"/>
        <v>248994.5194063927</v>
      </c>
      <c r="H323" s="7"/>
      <c r="I323" s="136">
        <v>1.93</v>
      </c>
      <c r="J323" s="134">
        <v>2104850.2703499999</v>
      </c>
      <c r="K323" s="120">
        <f t="shared" si="57"/>
        <v>480.55942245433789</v>
      </c>
      <c r="L323" s="122">
        <f t="shared" si="47"/>
        <v>10905959.950000001</v>
      </c>
      <c r="M323" s="116">
        <f t="shared" si="48"/>
        <v>8801109.6796500012</v>
      </c>
      <c r="N323" s="123">
        <f t="shared" si="49"/>
        <v>2009.3857716095893</v>
      </c>
      <c r="O323" s="5"/>
      <c r="P323" s="5">
        <f t="shared" si="50"/>
        <v>1</v>
      </c>
      <c r="Q323" s="7">
        <f t="shared" si="51"/>
        <v>4380</v>
      </c>
    </row>
    <row r="324" spans="1:17">
      <c r="A324" s="23" t="s">
        <v>350</v>
      </c>
      <c r="B324" s="35" t="s">
        <v>342</v>
      </c>
      <c r="C324" s="125">
        <v>1452</v>
      </c>
      <c r="D324" s="132">
        <v>1022506231</v>
      </c>
      <c r="E324" s="116">
        <f t="shared" si="55"/>
        <v>704205.39325068868</v>
      </c>
      <c r="F324" s="134">
        <v>875512435</v>
      </c>
      <c r="G324" s="117">
        <f t="shared" si="56"/>
        <v>602969.99655647378</v>
      </c>
      <c r="H324" s="98"/>
      <c r="I324" s="136">
        <v>1.87</v>
      </c>
      <c r="J324" s="134">
        <v>1637208.25345</v>
      </c>
      <c r="K324" s="120">
        <f t="shared" si="57"/>
        <v>1127.553893560606</v>
      </c>
      <c r="L324" s="122">
        <f t="shared" si="47"/>
        <v>8755124.3499999996</v>
      </c>
      <c r="M324" s="116">
        <f t="shared" si="48"/>
        <v>7117916.0965499999</v>
      </c>
      <c r="N324" s="123">
        <f t="shared" si="49"/>
        <v>4902.1460720041323</v>
      </c>
      <c r="O324" s="5"/>
      <c r="P324" s="5">
        <f t="shared" si="50"/>
        <v>1</v>
      </c>
      <c r="Q324" s="7">
        <f t="shared" si="51"/>
        <v>1452</v>
      </c>
    </row>
    <row r="325" spans="1:17">
      <c r="A325" s="23" t="s">
        <v>351</v>
      </c>
      <c r="B325" s="35" t="s">
        <v>342</v>
      </c>
      <c r="C325" s="125">
        <v>5082</v>
      </c>
      <c r="D325" s="132">
        <v>267074052</v>
      </c>
      <c r="E325" s="116">
        <f t="shared" si="55"/>
        <v>52552.942148760332</v>
      </c>
      <c r="F325" s="134">
        <v>151521641</v>
      </c>
      <c r="G325" s="117">
        <f t="shared" si="56"/>
        <v>29815.356355765445</v>
      </c>
      <c r="H325" s="7"/>
      <c r="I325" s="136">
        <v>4.7591999999999999</v>
      </c>
      <c r="J325" s="134">
        <v>721121.7938472</v>
      </c>
      <c r="K325" s="120">
        <f t="shared" si="57"/>
        <v>141.89724396835891</v>
      </c>
      <c r="L325" s="122">
        <f t="shared" si="47"/>
        <v>1515216.41</v>
      </c>
      <c r="M325" s="116">
        <f t="shared" si="48"/>
        <v>794094.61615279992</v>
      </c>
      <c r="N325" s="123">
        <f t="shared" si="49"/>
        <v>156.25631958929554</v>
      </c>
      <c r="O325" s="5"/>
      <c r="P325" s="5">
        <f t="shared" si="50"/>
        <v>1</v>
      </c>
      <c r="Q325" s="7">
        <f t="shared" si="51"/>
        <v>5082</v>
      </c>
    </row>
    <row r="326" spans="1:17">
      <c r="A326" s="23" t="s">
        <v>352</v>
      </c>
      <c r="B326" s="35" t="s">
        <v>342</v>
      </c>
      <c r="C326" s="125">
        <v>81966</v>
      </c>
      <c r="D326" s="132">
        <v>6378435869</v>
      </c>
      <c r="E326" s="116">
        <f t="shared" si="55"/>
        <v>77818.069309225772</v>
      </c>
      <c r="F326" s="134">
        <v>4363566969</v>
      </c>
      <c r="G326" s="117">
        <f t="shared" si="56"/>
        <v>53236.304919112801</v>
      </c>
      <c r="H326" s="7"/>
      <c r="I326" s="136">
        <v>5.7412999999999998</v>
      </c>
      <c r="J326" s="134">
        <v>25052547.039119698</v>
      </c>
      <c r="K326" s="120">
        <f t="shared" si="57"/>
        <v>305.64559743210231</v>
      </c>
      <c r="L326" s="122">
        <f t="shared" si="47"/>
        <v>43635669.689999998</v>
      </c>
      <c r="M326" s="116">
        <f t="shared" si="48"/>
        <v>18583122.6508803</v>
      </c>
      <c r="N326" s="123">
        <f t="shared" si="49"/>
        <v>226.71745175902569</v>
      </c>
      <c r="O326" s="5"/>
      <c r="P326" s="5">
        <f t="shared" si="50"/>
        <v>1</v>
      </c>
      <c r="Q326" s="7">
        <f t="shared" si="51"/>
        <v>81966</v>
      </c>
    </row>
    <row r="327" spans="1:17">
      <c r="A327" s="23" t="s">
        <v>353</v>
      </c>
      <c r="B327" s="35" t="s">
        <v>342</v>
      </c>
      <c r="C327" s="125">
        <v>4368</v>
      </c>
      <c r="D327" s="132">
        <v>1514499193</v>
      </c>
      <c r="E327" s="116">
        <f t="shared" si="55"/>
        <v>346726.00572344323</v>
      </c>
      <c r="F327" s="134">
        <v>1168535705</v>
      </c>
      <c r="G327" s="117">
        <f t="shared" si="56"/>
        <v>267521.91048534797</v>
      </c>
      <c r="H327" s="7"/>
      <c r="I327" s="136">
        <v>2.2000000000000002</v>
      </c>
      <c r="J327" s="134">
        <v>2570778.551</v>
      </c>
      <c r="K327" s="120">
        <f t="shared" si="57"/>
        <v>588.5482030677656</v>
      </c>
      <c r="L327" s="122">
        <f t="shared" ref="L327:L390" si="58">(F327*0.01)</f>
        <v>11685357.050000001</v>
      </c>
      <c r="M327" s="116">
        <f t="shared" ref="M327:M390" si="59">(L327-J327)</f>
        <v>9114578.4990000017</v>
      </c>
      <c r="N327" s="123">
        <f t="shared" ref="N327:N390" si="60">(M327/C327)</f>
        <v>2086.6709017857147</v>
      </c>
      <c r="O327" s="5"/>
      <c r="P327" s="5">
        <f t="shared" si="50"/>
        <v>1</v>
      </c>
      <c r="Q327" s="7">
        <f t="shared" si="51"/>
        <v>4368</v>
      </c>
    </row>
    <row r="328" spans="1:17">
      <c r="A328" s="23" t="s">
        <v>354</v>
      </c>
      <c r="B328" s="35" t="s">
        <v>342</v>
      </c>
      <c r="C328" s="125">
        <v>1452</v>
      </c>
      <c r="D328" s="132">
        <v>569391498</v>
      </c>
      <c r="E328" s="116">
        <f t="shared" si="55"/>
        <v>392142.90495867771</v>
      </c>
      <c r="F328" s="134">
        <v>481316607</v>
      </c>
      <c r="G328" s="117">
        <f t="shared" si="56"/>
        <v>331485.26652892563</v>
      </c>
      <c r="H328" s="7"/>
      <c r="I328" s="136">
        <v>1</v>
      </c>
      <c r="J328" s="134">
        <v>481316.60700000002</v>
      </c>
      <c r="K328" s="120">
        <f t="shared" si="57"/>
        <v>331.48526652892565</v>
      </c>
      <c r="L328" s="122">
        <f t="shared" si="58"/>
        <v>4813166.07</v>
      </c>
      <c r="M328" s="116">
        <f t="shared" si="59"/>
        <v>4331849.4630000005</v>
      </c>
      <c r="N328" s="123">
        <f t="shared" si="60"/>
        <v>2983.3673987603311</v>
      </c>
      <c r="O328" s="5"/>
      <c r="P328" s="5">
        <f t="shared" ref="P328:P391" si="61">IF(I328&gt;0,1,0)</f>
        <v>1</v>
      </c>
      <c r="Q328" s="7">
        <f t="shared" ref="Q328:Q391" si="62">IF(I328&gt;0,C328,0)</f>
        <v>1452</v>
      </c>
    </row>
    <row r="329" spans="1:17">
      <c r="A329" s="23" t="s">
        <v>355</v>
      </c>
      <c r="B329" s="35" t="s">
        <v>342</v>
      </c>
      <c r="C329" s="125">
        <v>14321</v>
      </c>
      <c r="D329" s="132">
        <v>1775162887</v>
      </c>
      <c r="E329" s="116">
        <f t="shared" si="55"/>
        <v>123955.23266531667</v>
      </c>
      <c r="F329" s="134">
        <v>1285518908</v>
      </c>
      <c r="G329" s="117">
        <f t="shared" si="56"/>
        <v>89764.604985685364</v>
      </c>
      <c r="H329" s="7"/>
      <c r="I329" s="136">
        <v>4.05</v>
      </c>
      <c r="J329" s="134">
        <v>5206351.5773999998</v>
      </c>
      <c r="K329" s="120">
        <f t="shared" si="57"/>
        <v>363.54665019202571</v>
      </c>
      <c r="L329" s="122">
        <f t="shared" si="58"/>
        <v>12855189.08</v>
      </c>
      <c r="M329" s="116">
        <f t="shared" si="59"/>
        <v>7648837.5026000002</v>
      </c>
      <c r="N329" s="123">
        <f t="shared" si="60"/>
        <v>534.09939966482784</v>
      </c>
      <c r="O329" s="5"/>
      <c r="P329" s="5">
        <f t="shared" si="61"/>
        <v>1</v>
      </c>
      <c r="Q329" s="7">
        <f t="shared" si="62"/>
        <v>14321</v>
      </c>
    </row>
    <row r="330" spans="1:17">
      <c r="A330" s="23" t="s">
        <v>356</v>
      </c>
      <c r="B330" s="35" t="s">
        <v>342</v>
      </c>
      <c r="C330" s="125">
        <v>52713</v>
      </c>
      <c r="D330" s="132">
        <v>4789859999</v>
      </c>
      <c r="E330" s="116">
        <f t="shared" si="55"/>
        <v>90866.769089218971</v>
      </c>
      <c r="F330" s="134">
        <v>3301451729</v>
      </c>
      <c r="G330" s="117">
        <f t="shared" si="56"/>
        <v>62630.693168668069</v>
      </c>
      <c r="H330" s="7"/>
      <c r="I330" s="136">
        <v>5.49</v>
      </c>
      <c r="J330" s="134">
        <v>18124969.992210001</v>
      </c>
      <c r="K330" s="120">
        <f t="shared" si="57"/>
        <v>343.84250549598772</v>
      </c>
      <c r="L330" s="122">
        <f t="shared" si="58"/>
        <v>33014517.289999999</v>
      </c>
      <c r="M330" s="116">
        <f t="shared" si="59"/>
        <v>14889547.297789998</v>
      </c>
      <c r="N330" s="123">
        <f t="shared" si="60"/>
        <v>282.46442619069296</v>
      </c>
      <c r="O330" s="5"/>
      <c r="P330" s="5">
        <f t="shared" si="61"/>
        <v>1</v>
      </c>
      <c r="Q330" s="7">
        <f t="shared" si="62"/>
        <v>52713</v>
      </c>
    </row>
    <row r="331" spans="1:17">
      <c r="A331" s="23" t="s">
        <v>357</v>
      </c>
      <c r="B331" s="35" t="s">
        <v>342</v>
      </c>
      <c r="C331" s="125">
        <v>1463</v>
      </c>
      <c r="D331" s="132">
        <v>566895091</v>
      </c>
      <c r="E331" s="116">
        <f t="shared" si="55"/>
        <v>387488.10047846893</v>
      </c>
      <c r="F331" s="134">
        <v>452407145</v>
      </c>
      <c r="G331" s="117">
        <f t="shared" si="56"/>
        <v>309232.49829118251</v>
      </c>
      <c r="H331" s="7"/>
      <c r="I331" s="136">
        <v>1.8149</v>
      </c>
      <c r="J331" s="134">
        <v>821073.72746049997</v>
      </c>
      <c r="K331" s="120">
        <f t="shared" si="57"/>
        <v>561.2260611486671</v>
      </c>
      <c r="L331" s="122">
        <f t="shared" si="58"/>
        <v>4524071.45</v>
      </c>
      <c r="M331" s="116">
        <f t="shared" si="59"/>
        <v>3702997.7225395003</v>
      </c>
      <c r="N331" s="123">
        <f t="shared" si="60"/>
        <v>2531.0989217631582</v>
      </c>
      <c r="O331" s="5"/>
      <c r="P331" s="5">
        <f t="shared" si="61"/>
        <v>1</v>
      </c>
      <c r="Q331" s="7">
        <f t="shared" si="62"/>
        <v>1463</v>
      </c>
    </row>
    <row r="332" spans="1:17">
      <c r="A332" s="23" t="s">
        <v>358</v>
      </c>
      <c r="B332" s="35" t="s">
        <v>342</v>
      </c>
      <c r="C332" s="125">
        <v>2201</v>
      </c>
      <c r="D332" s="132">
        <v>858289548</v>
      </c>
      <c r="E332" s="116">
        <f t="shared" si="55"/>
        <v>389954.36074511585</v>
      </c>
      <c r="F332" s="134">
        <v>674884337</v>
      </c>
      <c r="G332" s="117">
        <f t="shared" si="56"/>
        <v>306626.23216719675</v>
      </c>
      <c r="H332" s="7"/>
      <c r="I332" s="136">
        <v>1.8</v>
      </c>
      <c r="J332" s="134">
        <v>1214791.8066000002</v>
      </c>
      <c r="K332" s="120">
        <f t="shared" si="57"/>
        <v>551.92721790095425</v>
      </c>
      <c r="L332" s="122">
        <f t="shared" si="58"/>
        <v>6748843.3700000001</v>
      </c>
      <c r="M332" s="116">
        <f t="shared" si="59"/>
        <v>5534051.5634000003</v>
      </c>
      <c r="N332" s="123">
        <f t="shared" si="60"/>
        <v>2514.3351037710131</v>
      </c>
      <c r="O332" s="5"/>
      <c r="P332" s="5">
        <f t="shared" si="61"/>
        <v>1</v>
      </c>
      <c r="Q332" s="7">
        <f t="shared" si="62"/>
        <v>2201</v>
      </c>
    </row>
    <row r="333" spans="1:17">
      <c r="A333" s="23" t="s">
        <v>359</v>
      </c>
      <c r="B333" s="35" t="s">
        <v>342</v>
      </c>
      <c r="C333" s="125">
        <v>17343</v>
      </c>
      <c r="D333" s="132">
        <v>2045272444</v>
      </c>
      <c r="E333" s="116">
        <f t="shared" si="55"/>
        <v>117930.71809952141</v>
      </c>
      <c r="F333" s="134">
        <v>1209169288</v>
      </c>
      <c r="G333" s="117">
        <f t="shared" si="56"/>
        <v>69720.883814795598</v>
      </c>
      <c r="H333" s="7"/>
      <c r="I333" s="136">
        <v>3.95</v>
      </c>
      <c r="J333" s="134">
        <v>4776218.6876000008</v>
      </c>
      <c r="K333" s="120">
        <f t="shared" si="57"/>
        <v>275.39749106844266</v>
      </c>
      <c r="L333" s="122">
        <f t="shared" si="58"/>
        <v>12091692.880000001</v>
      </c>
      <c r="M333" s="116">
        <f t="shared" si="59"/>
        <v>7315474.1924000001</v>
      </c>
      <c r="N333" s="123">
        <f t="shared" si="60"/>
        <v>421.81134707951333</v>
      </c>
      <c r="O333" s="5"/>
      <c r="P333" s="5">
        <f t="shared" si="61"/>
        <v>1</v>
      </c>
      <c r="Q333" s="7">
        <f t="shared" si="62"/>
        <v>17343</v>
      </c>
    </row>
    <row r="334" spans="1:17">
      <c r="A334" s="23" t="s">
        <v>360</v>
      </c>
      <c r="B334" s="35" t="s">
        <v>342</v>
      </c>
      <c r="C334" s="125">
        <v>18450</v>
      </c>
      <c r="D334" s="132">
        <v>2036859769</v>
      </c>
      <c r="E334" s="116">
        <f t="shared" si="55"/>
        <v>110398.90346883469</v>
      </c>
      <c r="F334" s="134">
        <v>1318156104</v>
      </c>
      <c r="G334" s="117">
        <f t="shared" si="56"/>
        <v>71444.775284552845</v>
      </c>
      <c r="H334" s="7"/>
      <c r="I334" s="136">
        <v>2.4792999999999998</v>
      </c>
      <c r="J334" s="134">
        <v>3268104.4286471996</v>
      </c>
      <c r="K334" s="120">
        <f t="shared" si="57"/>
        <v>177.13303136299186</v>
      </c>
      <c r="L334" s="122">
        <f t="shared" si="58"/>
        <v>13181561.040000001</v>
      </c>
      <c r="M334" s="116">
        <f t="shared" si="59"/>
        <v>9913456.6113528013</v>
      </c>
      <c r="N334" s="123">
        <f t="shared" si="60"/>
        <v>537.3147214825367</v>
      </c>
      <c r="O334" s="5"/>
      <c r="P334" s="5">
        <f t="shared" si="61"/>
        <v>1</v>
      </c>
      <c r="Q334" s="7">
        <f t="shared" si="62"/>
        <v>18450</v>
      </c>
    </row>
    <row r="335" spans="1:17">
      <c r="A335" s="23" t="s">
        <v>361</v>
      </c>
      <c r="B335" s="35" t="s">
        <v>342</v>
      </c>
      <c r="C335" s="125">
        <v>5074</v>
      </c>
      <c r="D335" s="132">
        <v>783333633</v>
      </c>
      <c r="E335" s="116">
        <f t="shared" si="55"/>
        <v>154381.87485218761</v>
      </c>
      <c r="F335" s="134">
        <v>580794192</v>
      </c>
      <c r="G335" s="117">
        <f t="shared" si="56"/>
        <v>114464.75995270004</v>
      </c>
      <c r="H335" s="7"/>
      <c r="I335" s="136">
        <v>3.25</v>
      </c>
      <c r="J335" s="134">
        <v>1887581.1240000001</v>
      </c>
      <c r="K335" s="120">
        <f t="shared" si="57"/>
        <v>372.01046984627516</v>
      </c>
      <c r="L335" s="122">
        <f t="shared" si="58"/>
        <v>5807941.9199999999</v>
      </c>
      <c r="M335" s="116">
        <f t="shared" si="59"/>
        <v>3920360.7960000001</v>
      </c>
      <c r="N335" s="123">
        <f t="shared" si="60"/>
        <v>772.63712968072525</v>
      </c>
      <c r="O335" s="5"/>
      <c r="P335" s="5">
        <f t="shared" si="61"/>
        <v>1</v>
      </c>
      <c r="Q335" s="7">
        <f t="shared" si="62"/>
        <v>5074</v>
      </c>
    </row>
    <row r="336" spans="1:17">
      <c r="A336" s="24" t="s">
        <v>561</v>
      </c>
      <c r="B336" s="35" t="s">
        <v>342</v>
      </c>
      <c r="C336" s="125">
        <v>9488</v>
      </c>
      <c r="D336" s="132">
        <v>3628185639</v>
      </c>
      <c r="E336" s="116">
        <f t="shared" si="55"/>
        <v>382397.30596543005</v>
      </c>
      <c r="F336" s="134">
        <v>2735559410</v>
      </c>
      <c r="G336" s="117">
        <f t="shared" si="56"/>
        <v>288317.81302698143</v>
      </c>
      <c r="H336" s="7"/>
      <c r="I336" s="136">
        <v>3.15</v>
      </c>
      <c r="J336" s="134">
        <v>8617012.1414999999</v>
      </c>
      <c r="K336" s="120">
        <f t="shared" si="57"/>
        <v>908.20111103499153</v>
      </c>
      <c r="L336" s="122">
        <f t="shared" si="58"/>
        <v>27355594.100000001</v>
      </c>
      <c r="M336" s="116">
        <f t="shared" si="59"/>
        <v>18738581.958500002</v>
      </c>
      <c r="N336" s="123">
        <f t="shared" si="60"/>
        <v>1974.977019234823</v>
      </c>
      <c r="O336" s="5"/>
      <c r="P336" s="5">
        <f t="shared" si="61"/>
        <v>1</v>
      </c>
      <c r="Q336" s="7">
        <f t="shared" si="62"/>
        <v>9488</v>
      </c>
    </row>
    <row r="337" spans="1:21">
      <c r="A337" s="24" t="s">
        <v>548</v>
      </c>
      <c r="B337" s="35" t="s">
        <v>342</v>
      </c>
      <c r="C337" s="125">
        <v>263768</v>
      </c>
      <c r="D337" s="132">
        <v>28119066736</v>
      </c>
      <c r="E337" s="116">
        <f t="shared" si="55"/>
        <v>106605.29986958236</v>
      </c>
      <c r="F337" s="134">
        <v>17370831405</v>
      </c>
      <c r="G337" s="117">
        <f t="shared" si="56"/>
        <v>65856.477681144039</v>
      </c>
      <c r="H337" s="7"/>
      <c r="I337" s="136">
        <v>6.7549999999999999</v>
      </c>
      <c r="J337" s="134">
        <v>117339966.140775</v>
      </c>
      <c r="K337" s="120">
        <f t="shared" si="57"/>
        <v>444.86050673612795</v>
      </c>
      <c r="L337" s="122">
        <f t="shared" si="58"/>
        <v>173708314.05000001</v>
      </c>
      <c r="M337" s="116">
        <f t="shared" si="59"/>
        <v>56368347.909225017</v>
      </c>
      <c r="N337" s="123">
        <f t="shared" si="60"/>
        <v>213.70427007531245</v>
      </c>
      <c r="O337" s="5"/>
      <c r="P337" s="5">
        <f t="shared" si="61"/>
        <v>1</v>
      </c>
      <c r="Q337" s="7">
        <f t="shared" si="62"/>
        <v>263768</v>
      </c>
    </row>
    <row r="338" spans="1:21">
      <c r="A338" s="23" t="s">
        <v>362</v>
      </c>
      <c r="B338" s="35" t="s">
        <v>342</v>
      </c>
      <c r="C338" s="125">
        <v>25093</v>
      </c>
      <c r="D338" s="132">
        <v>2662292849</v>
      </c>
      <c r="E338" s="116">
        <f t="shared" si="55"/>
        <v>106097.03299725022</v>
      </c>
      <c r="F338" s="134">
        <v>1698217099</v>
      </c>
      <c r="G338" s="117">
        <f t="shared" si="56"/>
        <v>67676.925796038733</v>
      </c>
      <c r="H338" s="7"/>
      <c r="I338" s="136">
        <v>5.42</v>
      </c>
      <c r="J338" s="134">
        <v>9204336.6765800007</v>
      </c>
      <c r="K338" s="120">
        <f t="shared" si="57"/>
        <v>366.80893781453</v>
      </c>
      <c r="L338" s="122">
        <f t="shared" si="58"/>
        <v>16982170.990000002</v>
      </c>
      <c r="M338" s="116">
        <f t="shared" si="59"/>
        <v>7777834.3134200014</v>
      </c>
      <c r="N338" s="123">
        <f t="shared" si="60"/>
        <v>309.96032014585745</v>
      </c>
      <c r="O338" s="5"/>
      <c r="P338" s="5">
        <f t="shared" si="61"/>
        <v>1</v>
      </c>
      <c r="Q338" s="7">
        <f t="shared" si="62"/>
        <v>25093</v>
      </c>
    </row>
    <row r="339" spans="1:21">
      <c r="A339" s="23" t="s">
        <v>363</v>
      </c>
      <c r="B339" s="35" t="s">
        <v>342</v>
      </c>
      <c r="C339" s="125">
        <v>6819</v>
      </c>
      <c r="D339" s="132">
        <v>2275204880</v>
      </c>
      <c r="E339" s="116">
        <f t="shared" si="55"/>
        <v>333656.67693210149</v>
      </c>
      <c r="F339" s="134">
        <v>1733489438</v>
      </c>
      <c r="G339" s="117">
        <f t="shared" si="56"/>
        <v>254214.61181991495</v>
      </c>
      <c r="H339" s="7"/>
      <c r="I339" s="136">
        <v>3.3368000000000002</v>
      </c>
      <c r="J339" s="134">
        <v>5784307.5567183997</v>
      </c>
      <c r="K339" s="120">
        <f t="shared" si="57"/>
        <v>848.26331672069216</v>
      </c>
      <c r="L339" s="122">
        <f t="shared" si="58"/>
        <v>17334894.379999999</v>
      </c>
      <c r="M339" s="116">
        <f t="shared" si="59"/>
        <v>11550586.823281599</v>
      </c>
      <c r="N339" s="123">
        <f t="shared" si="60"/>
        <v>1693.8828014784572</v>
      </c>
      <c r="O339" s="5"/>
      <c r="P339" s="5">
        <f t="shared" si="61"/>
        <v>1</v>
      </c>
      <c r="Q339" s="7">
        <f t="shared" si="62"/>
        <v>6819</v>
      </c>
      <c r="S339" s="124">
        <f>SUM(D316:D339)</f>
        <v>83190637686</v>
      </c>
      <c r="T339" s="124">
        <f>SUM(F316:F339)</f>
        <v>55462345478</v>
      </c>
      <c r="U339" s="124">
        <f>SUM(J316:J339)</f>
        <v>280978844.0798012</v>
      </c>
    </row>
    <row r="340" spans="1:21">
      <c r="A340" s="23" t="s">
        <v>364</v>
      </c>
      <c r="B340" s="35" t="s">
        <v>365</v>
      </c>
      <c r="C340" s="125">
        <v>15999</v>
      </c>
      <c r="D340" s="132">
        <v>1490500454</v>
      </c>
      <c r="E340" s="116">
        <f t="shared" si="55"/>
        <v>93162.101006312892</v>
      </c>
      <c r="F340" s="134">
        <v>1039061342</v>
      </c>
      <c r="G340" s="117">
        <f t="shared" si="56"/>
        <v>64945.392962060127</v>
      </c>
      <c r="H340" s="7"/>
      <c r="I340" s="136">
        <v>4.2656999999999998</v>
      </c>
      <c r="J340" s="134">
        <v>4432323.9665693995</v>
      </c>
      <c r="K340" s="120">
        <f t="shared" si="57"/>
        <v>277.03756275825987</v>
      </c>
      <c r="L340" s="122">
        <f t="shared" si="58"/>
        <v>10390613.42</v>
      </c>
      <c r="M340" s="116">
        <f t="shared" si="59"/>
        <v>5958289.4534306005</v>
      </c>
      <c r="N340" s="123">
        <f t="shared" si="60"/>
        <v>372.41636686234142</v>
      </c>
      <c r="O340" s="5"/>
      <c r="P340" s="5">
        <f t="shared" si="61"/>
        <v>1</v>
      </c>
      <c r="Q340" s="7">
        <f t="shared" si="62"/>
        <v>15999</v>
      </c>
    </row>
    <row r="341" spans="1:21">
      <c r="A341" s="23" t="s">
        <v>366</v>
      </c>
      <c r="B341" s="35" t="s">
        <v>365</v>
      </c>
      <c r="C341" s="125">
        <v>19088</v>
      </c>
      <c r="D341" s="132">
        <v>1252772110</v>
      </c>
      <c r="E341" s="116">
        <f t="shared" si="55"/>
        <v>65631.397212908632</v>
      </c>
      <c r="F341" s="134">
        <v>631593485</v>
      </c>
      <c r="G341" s="117">
        <f t="shared" si="56"/>
        <v>33088.510320620284</v>
      </c>
      <c r="H341" s="7"/>
      <c r="I341" s="136">
        <v>3.6541000000000001</v>
      </c>
      <c r="J341" s="134">
        <v>2307905.7535385005</v>
      </c>
      <c r="K341" s="120">
        <f t="shared" si="57"/>
        <v>120.90872556257861</v>
      </c>
      <c r="L341" s="122">
        <f t="shared" si="58"/>
        <v>6315934.8500000006</v>
      </c>
      <c r="M341" s="116">
        <f t="shared" si="59"/>
        <v>4008029.0964615</v>
      </c>
      <c r="N341" s="123">
        <f t="shared" si="60"/>
        <v>209.97637764362426</v>
      </c>
      <c r="O341" s="5"/>
      <c r="P341" s="5">
        <f t="shared" si="61"/>
        <v>1</v>
      </c>
      <c r="Q341" s="7">
        <f t="shared" si="62"/>
        <v>19088</v>
      </c>
    </row>
    <row r="342" spans="1:21">
      <c r="A342" s="23" t="s">
        <v>367</v>
      </c>
      <c r="B342" s="35" t="s">
        <v>365</v>
      </c>
      <c r="C342" s="125">
        <v>4946</v>
      </c>
      <c r="D342" s="132">
        <v>336990398</v>
      </c>
      <c r="E342" s="116">
        <f t="shared" si="55"/>
        <v>68133.926000808729</v>
      </c>
      <c r="F342" s="134">
        <v>220198058</v>
      </c>
      <c r="G342" s="117">
        <f t="shared" si="56"/>
        <v>44520.432268499797</v>
      </c>
      <c r="H342" s="7"/>
      <c r="I342" s="136">
        <v>7.5</v>
      </c>
      <c r="J342" s="134">
        <v>1651485.4350000001</v>
      </c>
      <c r="K342" s="120">
        <f t="shared" si="57"/>
        <v>333.90324201374847</v>
      </c>
      <c r="L342" s="122">
        <f t="shared" si="58"/>
        <v>2201980.58</v>
      </c>
      <c r="M342" s="116">
        <f t="shared" si="59"/>
        <v>550495.14500000002</v>
      </c>
      <c r="N342" s="123">
        <f t="shared" si="60"/>
        <v>111.30108067124949</v>
      </c>
      <c r="O342" s="5"/>
      <c r="P342" s="5">
        <f t="shared" si="61"/>
        <v>1</v>
      </c>
      <c r="Q342" s="7">
        <f t="shared" si="62"/>
        <v>4946</v>
      </c>
    </row>
    <row r="343" spans="1:21">
      <c r="A343" s="23" t="s">
        <v>368</v>
      </c>
      <c r="B343" s="35" t="s">
        <v>365</v>
      </c>
      <c r="C343" s="125">
        <v>4368</v>
      </c>
      <c r="D343" s="132">
        <v>275035025</v>
      </c>
      <c r="E343" s="116">
        <f t="shared" si="55"/>
        <v>62965.894001831504</v>
      </c>
      <c r="F343" s="134">
        <v>154267010</v>
      </c>
      <c r="G343" s="117">
        <f t="shared" si="56"/>
        <v>35317.538919413921</v>
      </c>
      <c r="H343" s="9"/>
      <c r="I343" s="136">
        <v>7.9</v>
      </c>
      <c r="J343" s="134">
        <v>1218709.379</v>
      </c>
      <c r="K343" s="120">
        <f t="shared" si="57"/>
        <v>279.00855746336993</v>
      </c>
      <c r="L343" s="122">
        <f t="shared" si="58"/>
        <v>1542670.1</v>
      </c>
      <c r="M343" s="116">
        <f t="shared" si="59"/>
        <v>323960.72100000014</v>
      </c>
      <c r="N343" s="123">
        <f t="shared" si="60"/>
        <v>74.16683173076926</v>
      </c>
      <c r="O343" s="5"/>
      <c r="P343" s="5">
        <f t="shared" si="61"/>
        <v>1</v>
      </c>
      <c r="Q343" s="7">
        <f t="shared" si="62"/>
        <v>4368</v>
      </c>
    </row>
    <row r="344" spans="1:21">
      <c r="A344" s="23" t="s">
        <v>369</v>
      </c>
      <c r="B344" s="35" t="s">
        <v>365</v>
      </c>
      <c r="C344" s="125">
        <v>2525</v>
      </c>
      <c r="D344" s="132">
        <v>144504452</v>
      </c>
      <c r="E344" s="116">
        <f t="shared" ref="E344:E389" si="63">(D344/C344)</f>
        <v>57229.485940594059</v>
      </c>
      <c r="F344" s="134">
        <v>73828818</v>
      </c>
      <c r="G344" s="117">
        <f t="shared" ref="G344:G389" si="64">(F344/C344)</f>
        <v>29239.135841584157</v>
      </c>
      <c r="H344" s="7"/>
      <c r="I344" s="136">
        <v>7.6516000000000002</v>
      </c>
      <c r="J344" s="134">
        <v>564908.58380879997</v>
      </c>
      <c r="K344" s="120">
        <f t="shared" ref="K344:K389" si="65">(J344/C344)</f>
        <v>223.72617180546533</v>
      </c>
      <c r="L344" s="122">
        <f t="shared" si="58"/>
        <v>738288.18</v>
      </c>
      <c r="M344" s="116">
        <f t="shared" si="59"/>
        <v>173379.59619120008</v>
      </c>
      <c r="N344" s="123">
        <f t="shared" si="60"/>
        <v>68.665186610376267</v>
      </c>
      <c r="O344" s="5"/>
      <c r="P344" s="5">
        <f t="shared" si="61"/>
        <v>1</v>
      </c>
      <c r="Q344" s="7">
        <f t="shared" si="62"/>
        <v>2525</v>
      </c>
    </row>
    <row r="345" spans="1:21">
      <c r="A345" s="23" t="s">
        <v>370</v>
      </c>
      <c r="B345" s="35" t="s">
        <v>365</v>
      </c>
      <c r="C345" s="125">
        <v>5736</v>
      </c>
      <c r="D345" s="132">
        <v>205747469</v>
      </c>
      <c r="E345" s="116">
        <f t="shared" si="63"/>
        <v>35869.502963737796</v>
      </c>
      <c r="F345" s="134">
        <v>101618196</v>
      </c>
      <c r="G345" s="117">
        <f t="shared" si="64"/>
        <v>17715.864016736403</v>
      </c>
      <c r="H345" s="7"/>
      <c r="I345" s="136">
        <v>6.8704000000000001</v>
      </c>
      <c r="J345" s="134">
        <v>698157.65379840008</v>
      </c>
      <c r="K345" s="120">
        <f t="shared" si="65"/>
        <v>121.71507214058579</v>
      </c>
      <c r="L345" s="122">
        <f t="shared" si="58"/>
        <v>1016181.9600000001</v>
      </c>
      <c r="M345" s="116">
        <f t="shared" si="59"/>
        <v>318024.3062016</v>
      </c>
      <c r="N345" s="123">
        <f t="shared" si="60"/>
        <v>55.443568026778244</v>
      </c>
      <c r="O345" s="5"/>
      <c r="P345" s="5">
        <f t="shared" si="61"/>
        <v>1</v>
      </c>
      <c r="Q345" s="7">
        <f t="shared" si="62"/>
        <v>5736</v>
      </c>
    </row>
    <row r="346" spans="1:21">
      <c r="A346" s="23" t="s">
        <v>371</v>
      </c>
      <c r="B346" s="35" t="s">
        <v>365</v>
      </c>
      <c r="C346" s="125">
        <v>3116</v>
      </c>
      <c r="D346" s="132">
        <v>222574595</v>
      </c>
      <c r="E346" s="116">
        <f t="shared" si="63"/>
        <v>71429.587612323492</v>
      </c>
      <c r="F346" s="134">
        <v>124366949</v>
      </c>
      <c r="G346" s="117">
        <f t="shared" si="64"/>
        <v>39912.371309370988</v>
      </c>
      <c r="H346" s="7"/>
      <c r="I346" s="150">
        <v>7.4977999999999998</v>
      </c>
      <c r="J346" s="134">
        <v>932478.51021219988</v>
      </c>
      <c r="K346" s="120">
        <f t="shared" si="65"/>
        <v>299.25497760340176</v>
      </c>
      <c r="L346" s="122">
        <f t="shared" si="58"/>
        <v>1243669.49</v>
      </c>
      <c r="M346" s="116">
        <f t="shared" si="59"/>
        <v>311190.97978780011</v>
      </c>
      <c r="N346" s="123">
        <f t="shared" si="60"/>
        <v>99.868735490308126</v>
      </c>
      <c r="O346" s="5"/>
      <c r="P346" s="5">
        <f t="shared" si="61"/>
        <v>1</v>
      </c>
      <c r="Q346" s="7">
        <f t="shared" si="62"/>
        <v>3116</v>
      </c>
    </row>
    <row r="347" spans="1:21">
      <c r="A347" s="23" t="s">
        <v>372</v>
      </c>
      <c r="B347" s="35" t="s">
        <v>365</v>
      </c>
      <c r="C347" s="125">
        <v>23847</v>
      </c>
      <c r="D347" s="132">
        <v>1540102987</v>
      </c>
      <c r="E347" s="116">
        <f t="shared" si="63"/>
        <v>64582.67232775611</v>
      </c>
      <c r="F347" s="134">
        <v>1039374194</v>
      </c>
      <c r="G347" s="117">
        <f t="shared" si="64"/>
        <v>43585.11317985491</v>
      </c>
      <c r="H347" s="7"/>
      <c r="I347" s="136">
        <v>7.5895000000000001</v>
      </c>
      <c r="J347" s="134">
        <v>7888330.445363</v>
      </c>
      <c r="K347" s="120">
        <f t="shared" si="65"/>
        <v>330.78921647850882</v>
      </c>
      <c r="L347" s="122">
        <f t="shared" si="58"/>
        <v>10393741.939999999</v>
      </c>
      <c r="M347" s="116">
        <f t="shared" si="59"/>
        <v>2505411.4946369994</v>
      </c>
      <c r="N347" s="123">
        <f t="shared" si="60"/>
        <v>105.06191532004023</v>
      </c>
      <c r="O347" s="5"/>
      <c r="P347" s="5">
        <f t="shared" si="61"/>
        <v>1</v>
      </c>
      <c r="Q347" s="7">
        <f t="shared" si="62"/>
        <v>23847</v>
      </c>
    </row>
    <row r="348" spans="1:21">
      <c r="A348" s="23" t="s">
        <v>373</v>
      </c>
      <c r="B348" s="35" t="s">
        <v>365</v>
      </c>
      <c r="C348" s="125">
        <v>237</v>
      </c>
      <c r="D348" s="132">
        <v>18227014</v>
      </c>
      <c r="E348" s="116">
        <f t="shared" si="63"/>
        <v>76907.232067510544</v>
      </c>
      <c r="F348" s="134">
        <v>12215554</v>
      </c>
      <c r="G348" s="117">
        <f t="shared" si="64"/>
        <v>51542.421940928267</v>
      </c>
      <c r="H348" s="7"/>
      <c r="I348" s="136">
        <v>9.9758999999999993</v>
      </c>
      <c r="J348" s="134">
        <v>121861.1451486</v>
      </c>
      <c r="K348" s="120">
        <f t="shared" si="65"/>
        <v>514.18204704050629</v>
      </c>
      <c r="L348" s="122">
        <f t="shared" si="58"/>
        <v>122155.54000000001</v>
      </c>
      <c r="M348" s="116">
        <f t="shared" si="59"/>
        <v>294.39485140000761</v>
      </c>
      <c r="N348" s="123">
        <f t="shared" si="60"/>
        <v>1.2421723687764035</v>
      </c>
      <c r="O348" s="5"/>
      <c r="P348" s="5">
        <f t="shared" si="61"/>
        <v>1</v>
      </c>
      <c r="Q348" s="7">
        <f t="shared" si="62"/>
        <v>237</v>
      </c>
    </row>
    <row r="349" spans="1:21">
      <c r="A349" s="23" t="s">
        <v>374</v>
      </c>
      <c r="B349" s="35" t="s">
        <v>365</v>
      </c>
      <c r="C349" s="125">
        <v>255</v>
      </c>
      <c r="D349" s="132">
        <v>19434865</v>
      </c>
      <c r="E349" s="116">
        <f t="shared" si="63"/>
        <v>76215.156862745105</v>
      </c>
      <c r="F349" s="134">
        <v>11498380</v>
      </c>
      <c r="G349" s="117">
        <f t="shared" si="64"/>
        <v>45091.686274509804</v>
      </c>
      <c r="H349" s="7"/>
      <c r="I349" s="136">
        <v>1.1932</v>
      </c>
      <c r="J349" s="134">
        <v>13719.867016</v>
      </c>
      <c r="K349" s="120">
        <f t="shared" si="65"/>
        <v>53.803400062745098</v>
      </c>
      <c r="L349" s="122">
        <f t="shared" si="58"/>
        <v>114983.8</v>
      </c>
      <c r="M349" s="116">
        <f t="shared" si="59"/>
        <v>101263.932984</v>
      </c>
      <c r="N349" s="123">
        <f t="shared" si="60"/>
        <v>397.11346268235292</v>
      </c>
      <c r="O349" s="5"/>
      <c r="P349" s="5">
        <f t="shared" si="61"/>
        <v>1</v>
      </c>
      <c r="Q349" s="7">
        <f t="shared" si="62"/>
        <v>255</v>
      </c>
    </row>
    <row r="350" spans="1:21">
      <c r="A350" s="23" t="s">
        <v>375</v>
      </c>
      <c r="B350" s="35" t="s">
        <v>365</v>
      </c>
      <c r="C350" s="125">
        <v>5903</v>
      </c>
      <c r="D350" s="132">
        <v>314597587</v>
      </c>
      <c r="E350" s="116">
        <f t="shared" si="63"/>
        <v>53294.526003726918</v>
      </c>
      <c r="F350" s="134">
        <v>174608054</v>
      </c>
      <c r="G350" s="117">
        <f t="shared" si="64"/>
        <v>29579.544977130274</v>
      </c>
      <c r="H350" s="7"/>
      <c r="I350" s="136">
        <v>7.2389999999999999</v>
      </c>
      <c r="J350" s="134">
        <v>1263987.702906</v>
      </c>
      <c r="K350" s="120">
        <f t="shared" si="65"/>
        <v>214.12632608944602</v>
      </c>
      <c r="L350" s="122">
        <f t="shared" si="58"/>
        <v>1746080.54</v>
      </c>
      <c r="M350" s="116">
        <f t="shared" si="59"/>
        <v>482092.83709400008</v>
      </c>
      <c r="N350" s="123">
        <f t="shared" si="60"/>
        <v>81.669123681856689</v>
      </c>
      <c r="O350" s="5"/>
      <c r="P350" s="5">
        <f t="shared" si="61"/>
        <v>1</v>
      </c>
      <c r="Q350" s="7">
        <f t="shared" si="62"/>
        <v>5903</v>
      </c>
    </row>
    <row r="351" spans="1:21">
      <c r="A351" s="23" t="s">
        <v>376</v>
      </c>
      <c r="B351" s="35" t="s">
        <v>365</v>
      </c>
      <c r="C351" s="125">
        <v>1334</v>
      </c>
      <c r="D351" s="132">
        <v>110666675</v>
      </c>
      <c r="E351" s="116">
        <f t="shared" si="63"/>
        <v>82958.526986506753</v>
      </c>
      <c r="F351" s="134">
        <v>74010417</v>
      </c>
      <c r="G351" s="117">
        <f t="shared" si="64"/>
        <v>55480.072713643181</v>
      </c>
      <c r="H351" s="7"/>
      <c r="I351" s="136">
        <v>8.4276</v>
      </c>
      <c r="J351" s="134">
        <v>623730.19030920009</v>
      </c>
      <c r="K351" s="120">
        <f t="shared" si="65"/>
        <v>467.56386080149929</v>
      </c>
      <c r="L351" s="122">
        <f t="shared" si="58"/>
        <v>740104.17</v>
      </c>
      <c r="M351" s="116">
        <f t="shared" si="59"/>
        <v>116373.97969079996</v>
      </c>
      <c r="N351" s="123">
        <f t="shared" si="60"/>
        <v>87.2368663349325</v>
      </c>
      <c r="O351" s="5"/>
      <c r="P351" s="5">
        <f t="shared" si="61"/>
        <v>1</v>
      </c>
      <c r="Q351" s="7">
        <f t="shared" si="62"/>
        <v>1334</v>
      </c>
    </row>
    <row r="352" spans="1:21">
      <c r="A352" s="23" t="s">
        <v>377</v>
      </c>
      <c r="B352" s="35" t="s">
        <v>365</v>
      </c>
      <c r="C352" s="125">
        <v>15365</v>
      </c>
      <c r="D352" s="132">
        <v>1078164917</v>
      </c>
      <c r="E352" s="116">
        <f t="shared" si="63"/>
        <v>70170.186592905957</v>
      </c>
      <c r="F352" s="134">
        <v>691060881</v>
      </c>
      <c r="G352" s="117">
        <f t="shared" si="64"/>
        <v>44976.302050113896</v>
      </c>
      <c r="H352" s="9"/>
      <c r="I352" s="136">
        <v>7.0438000000000001</v>
      </c>
      <c r="J352" s="134">
        <v>4867694.6335878</v>
      </c>
      <c r="K352" s="120">
        <f t="shared" si="65"/>
        <v>316.80407638059228</v>
      </c>
      <c r="L352" s="122">
        <f t="shared" si="58"/>
        <v>6910608.8100000005</v>
      </c>
      <c r="M352" s="116">
        <f t="shared" si="59"/>
        <v>2042914.1764122006</v>
      </c>
      <c r="N352" s="123">
        <f t="shared" si="60"/>
        <v>132.95894412054673</v>
      </c>
      <c r="O352" s="5"/>
      <c r="P352" s="5">
        <f t="shared" si="61"/>
        <v>1</v>
      </c>
      <c r="Q352" s="7">
        <f t="shared" si="62"/>
        <v>15365</v>
      </c>
    </row>
    <row r="353" spans="1:21">
      <c r="A353" s="23" t="s">
        <v>378</v>
      </c>
      <c r="B353" s="35" t="s">
        <v>365</v>
      </c>
      <c r="C353" s="125">
        <v>104185</v>
      </c>
      <c r="D353" s="132">
        <v>9119920370</v>
      </c>
      <c r="E353" s="116">
        <f t="shared" si="63"/>
        <v>87535.829246052701</v>
      </c>
      <c r="F353" s="134">
        <v>5960662665</v>
      </c>
      <c r="G353" s="117">
        <f t="shared" si="64"/>
        <v>57212.292220569179</v>
      </c>
      <c r="H353" s="9"/>
      <c r="I353" s="136">
        <v>5.5644</v>
      </c>
      <c r="J353" s="134">
        <v>33167511.333126001</v>
      </c>
      <c r="K353" s="120">
        <f t="shared" si="65"/>
        <v>318.35207883213513</v>
      </c>
      <c r="L353" s="122">
        <f t="shared" si="58"/>
        <v>59606626.649999999</v>
      </c>
      <c r="M353" s="116">
        <f t="shared" si="59"/>
        <v>26439115.316873997</v>
      </c>
      <c r="N353" s="123">
        <f t="shared" si="60"/>
        <v>253.77084337355663</v>
      </c>
      <c r="O353" s="5"/>
      <c r="P353" s="5">
        <f t="shared" si="61"/>
        <v>1</v>
      </c>
      <c r="Q353" s="7">
        <f t="shared" si="62"/>
        <v>104185</v>
      </c>
    </row>
    <row r="354" spans="1:21">
      <c r="A354" s="23" t="s">
        <v>379</v>
      </c>
      <c r="B354" s="35" t="s">
        <v>365</v>
      </c>
      <c r="C354" s="125">
        <v>3851</v>
      </c>
      <c r="D354" s="132">
        <v>277471072</v>
      </c>
      <c r="E354" s="116">
        <f t="shared" si="63"/>
        <v>72051.693586081543</v>
      </c>
      <c r="F354" s="134">
        <v>195090738</v>
      </c>
      <c r="G354" s="117">
        <f t="shared" si="64"/>
        <v>50659.760581667098</v>
      </c>
      <c r="H354" s="9"/>
      <c r="I354" s="136">
        <v>6.59</v>
      </c>
      <c r="J354" s="134">
        <v>1285647.9634200002</v>
      </c>
      <c r="K354" s="120">
        <f t="shared" si="65"/>
        <v>333.84782223318621</v>
      </c>
      <c r="L354" s="122">
        <f t="shared" si="58"/>
        <v>1950907.3800000001</v>
      </c>
      <c r="M354" s="116">
        <f t="shared" si="59"/>
        <v>665259.41657999996</v>
      </c>
      <c r="N354" s="123">
        <f t="shared" si="60"/>
        <v>172.7497835834848</v>
      </c>
      <c r="O354" s="5"/>
      <c r="P354" s="5">
        <f t="shared" si="61"/>
        <v>1</v>
      </c>
      <c r="Q354" s="7">
        <f t="shared" si="62"/>
        <v>3851</v>
      </c>
    </row>
    <row r="355" spans="1:21">
      <c r="A355" s="23" t="s">
        <v>380</v>
      </c>
      <c r="B355" s="35" t="s">
        <v>365</v>
      </c>
      <c r="C355" s="125">
        <v>1793</v>
      </c>
      <c r="D355" s="132">
        <v>133994024</v>
      </c>
      <c r="E355" s="116">
        <f t="shared" si="63"/>
        <v>74731.747908533187</v>
      </c>
      <c r="F355" s="134">
        <v>82593369</v>
      </c>
      <c r="G355" s="117">
        <f t="shared" si="64"/>
        <v>46064.344116006694</v>
      </c>
      <c r="H355" s="7"/>
      <c r="I355" s="136">
        <v>7.4877000000000002</v>
      </c>
      <c r="J355" s="134">
        <v>618434.36906130007</v>
      </c>
      <c r="K355" s="120">
        <f t="shared" si="65"/>
        <v>344.91598943742338</v>
      </c>
      <c r="L355" s="122">
        <f t="shared" si="58"/>
        <v>825933.69000000006</v>
      </c>
      <c r="M355" s="116">
        <f t="shared" si="59"/>
        <v>207499.3209387</v>
      </c>
      <c r="N355" s="123">
        <f t="shared" si="60"/>
        <v>115.72745172264361</v>
      </c>
      <c r="O355" s="5"/>
      <c r="P355" s="5">
        <f t="shared" si="61"/>
        <v>1</v>
      </c>
      <c r="Q355" s="7">
        <f t="shared" si="62"/>
        <v>1793</v>
      </c>
    </row>
    <row r="356" spans="1:21">
      <c r="A356" s="23" t="s">
        <v>381</v>
      </c>
      <c r="B356" s="35" t="s">
        <v>365</v>
      </c>
      <c r="C356" s="125">
        <v>41134</v>
      </c>
      <c r="D356" s="132">
        <v>3276178495</v>
      </c>
      <c r="E356" s="116">
        <f t="shared" si="63"/>
        <v>79646.484538338118</v>
      </c>
      <c r="F356" s="134">
        <v>2109953271</v>
      </c>
      <c r="G356" s="117">
        <f t="shared" si="64"/>
        <v>51294.62904166869</v>
      </c>
      <c r="H356" s="7"/>
      <c r="I356" s="136">
        <v>5.79</v>
      </c>
      <c r="J356" s="134">
        <v>12216629.43909</v>
      </c>
      <c r="K356" s="120">
        <f t="shared" si="65"/>
        <v>296.99590215126176</v>
      </c>
      <c r="L356" s="122">
        <f t="shared" si="58"/>
        <v>21099532.710000001</v>
      </c>
      <c r="M356" s="116">
        <f t="shared" si="59"/>
        <v>8882903.2709100004</v>
      </c>
      <c r="N356" s="123">
        <f t="shared" si="60"/>
        <v>215.9503882654252</v>
      </c>
      <c r="O356" s="5"/>
      <c r="P356" s="5">
        <f t="shared" si="61"/>
        <v>1</v>
      </c>
      <c r="Q356" s="7">
        <f t="shared" si="62"/>
        <v>41134</v>
      </c>
      <c r="S356" s="124">
        <f>SUM(D340:D356)</f>
        <v>19816882509</v>
      </c>
      <c r="T356" s="124">
        <f>SUM(F340:F356)</f>
        <v>12696001381</v>
      </c>
      <c r="U356" s="124">
        <f>SUM(J340:J356)</f>
        <v>73873516.370955214</v>
      </c>
    </row>
    <row r="357" spans="1:21">
      <c r="A357" s="23" t="s">
        <v>382</v>
      </c>
      <c r="B357" s="35" t="s">
        <v>383</v>
      </c>
      <c r="C357" s="125">
        <v>1555</v>
      </c>
      <c r="D357" s="132">
        <v>110849893</v>
      </c>
      <c r="E357" s="116">
        <f t="shared" si="63"/>
        <v>71286.104823151123</v>
      </c>
      <c r="F357" s="134">
        <v>61650587</v>
      </c>
      <c r="G357" s="117">
        <f t="shared" si="64"/>
        <v>39646.679742765271</v>
      </c>
      <c r="H357" s="7"/>
      <c r="I357" s="136">
        <v>8.5914000000000001</v>
      </c>
      <c r="J357" s="134">
        <v>529664.85315179999</v>
      </c>
      <c r="K357" s="120">
        <f t="shared" si="65"/>
        <v>340.62048434199357</v>
      </c>
      <c r="L357" s="122">
        <f t="shared" si="58"/>
        <v>616505.87</v>
      </c>
      <c r="M357" s="116">
        <f t="shared" si="59"/>
        <v>86841.016848200001</v>
      </c>
      <c r="N357" s="123">
        <f t="shared" si="60"/>
        <v>55.846313085659162</v>
      </c>
      <c r="O357" s="5"/>
      <c r="P357" s="5">
        <f t="shared" si="61"/>
        <v>1</v>
      </c>
      <c r="Q357" s="7">
        <f t="shared" si="62"/>
        <v>1555</v>
      </c>
    </row>
    <row r="358" spans="1:21">
      <c r="A358" s="23" t="s">
        <v>384</v>
      </c>
      <c r="B358" s="35" t="s">
        <v>383</v>
      </c>
      <c r="C358" s="125">
        <v>1344</v>
      </c>
      <c r="D358" s="132">
        <v>108764019</v>
      </c>
      <c r="E358" s="116">
        <f t="shared" si="63"/>
        <v>80925.609375</v>
      </c>
      <c r="F358" s="134">
        <v>52147388</v>
      </c>
      <c r="G358" s="117">
        <f t="shared" si="64"/>
        <v>38800.139880952382</v>
      </c>
      <c r="H358" s="7"/>
      <c r="I358" s="136">
        <v>8.8353999999999999</v>
      </c>
      <c r="J358" s="134">
        <v>460743.03193519998</v>
      </c>
      <c r="K358" s="120">
        <f t="shared" si="65"/>
        <v>342.81475590416665</v>
      </c>
      <c r="L358" s="122">
        <f t="shared" si="58"/>
        <v>521473.88</v>
      </c>
      <c r="M358" s="116">
        <f t="shared" si="59"/>
        <v>60730.848064800026</v>
      </c>
      <c r="N358" s="123">
        <f t="shared" si="60"/>
        <v>45.186642905357161</v>
      </c>
      <c r="O358" s="5"/>
      <c r="P358" s="5">
        <f t="shared" si="61"/>
        <v>1</v>
      </c>
      <c r="Q358" s="7">
        <f t="shared" si="62"/>
        <v>1344</v>
      </c>
    </row>
    <row r="359" spans="1:21">
      <c r="A359" s="23" t="s">
        <v>385</v>
      </c>
      <c r="B359" s="35" t="s">
        <v>383</v>
      </c>
      <c r="C359" s="125">
        <v>10662</v>
      </c>
      <c r="D359" s="132">
        <v>789951592</v>
      </c>
      <c r="E359" s="116">
        <f t="shared" si="63"/>
        <v>74090.376289626714</v>
      </c>
      <c r="F359" s="134">
        <v>410230082</v>
      </c>
      <c r="G359" s="117">
        <f t="shared" si="64"/>
        <v>38475.903395235415</v>
      </c>
      <c r="H359" s="7"/>
      <c r="I359" s="136">
        <v>6.4</v>
      </c>
      <c r="J359" s="134">
        <v>2625472.5248000002</v>
      </c>
      <c r="K359" s="120">
        <f t="shared" si="65"/>
        <v>246.24578172950669</v>
      </c>
      <c r="L359" s="122">
        <f t="shared" si="58"/>
        <v>4102300.8200000003</v>
      </c>
      <c r="M359" s="116">
        <f t="shared" si="59"/>
        <v>1476828.2952000001</v>
      </c>
      <c r="N359" s="123">
        <f t="shared" si="60"/>
        <v>138.51325222284751</v>
      </c>
      <c r="O359" s="5"/>
      <c r="P359" s="5">
        <f t="shared" si="61"/>
        <v>1</v>
      </c>
      <c r="Q359" s="7">
        <f t="shared" si="62"/>
        <v>10662</v>
      </c>
    </row>
    <row r="360" spans="1:21">
      <c r="A360" s="23" t="s">
        <v>386</v>
      </c>
      <c r="B360" s="35" t="s">
        <v>383</v>
      </c>
      <c r="C360" s="125">
        <v>873</v>
      </c>
      <c r="D360" s="132">
        <v>44568646</v>
      </c>
      <c r="E360" s="116">
        <f t="shared" si="63"/>
        <v>51052.286368843073</v>
      </c>
      <c r="F360" s="134">
        <v>28816273</v>
      </c>
      <c r="G360" s="117">
        <f t="shared" si="64"/>
        <v>33008.33104238259</v>
      </c>
      <c r="H360" s="7"/>
      <c r="I360" s="136">
        <v>5.7873999999999999</v>
      </c>
      <c r="J360" s="134">
        <v>166771.29836019999</v>
      </c>
      <c r="K360" s="120">
        <f t="shared" si="65"/>
        <v>191.03241507468499</v>
      </c>
      <c r="L360" s="122">
        <f t="shared" si="58"/>
        <v>288162.73</v>
      </c>
      <c r="M360" s="116">
        <f t="shared" si="59"/>
        <v>121391.43163979999</v>
      </c>
      <c r="N360" s="123">
        <f t="shared" si="60"/>
        <v>139.05089534914089</v>
      </c>
      <c r="O360" s="5"/>
      <c r="P360" s="5">
        <f t="shared" si="61"/>
        <v>1</v>
      </c>
      <c r="Q360" s="7">
        <f t="shared" si="62"/>
        <v>873</v>
      </c>
    </row>
    <row r="361" spans="1:21">
      <c r="A361" s="23" t="s">
        <v>387</v>
      </c>
      <c r="B361" s="35" t="s">
        <v>383</v>
      </c>
      <c r="C361" s="125">
        <v>717</v>
      </c>
      <c r="D361" s="132">
        <v>70791986</v>
      </c>
      <c r="E361" s="116">
        <f t="shared" si="63"/>
        <v>98733.592747559276</v>
      </c>
      <c r="F361" s="134">
        <v>53179918</v>
      </c>
      <c r="G361" s="117">
        <f t="shared" si="64"/>
        <v>74170.039051603904</v>
      </c>
      <c r="H361" s="7"/>
      <c r="I361" s="136">
        <v>5.5049999999999999</v>
      </c>
      <c r="J361" s="134">
        <v>292755.44858999999</v>
      </c>
      <c r="K361" s="120">
        <f t="shared" si="65"/>
        <v>408.30606497907945</v>
      </c>
      <c r="L361" s="122">
        <f t="shared" si="58"/>
        <v>531799.18000000005</v>
      </c>
      <c r="M361" s="116">
        <f t="shared" si="59"/>
        <v>239043.73141000007</v>
      </c>
      <c r="N361" s="123">
        <f t="shared" si="60"/>
        <v>333.39432553695963</v>
      </c>
      <c r="O361" s="5"/>
      <c r="P361" s="5">
        <f t="shared" si="61"/>
        <v>1</v>
      </c>
      <c r="Q361" s="7">
        <f t="shared" si="62"/>
        <v>717</v>
      </c>
      <c r="S361" s="124">
        <f>SUM(D357:D361)</f>
        <v>1124926136</v>
      </c>
      <c r="T361" s="124">
        <f>SUM(F357:F361)</f>
        <v>606024248</v>
      </c>
      <c r="U361" s="124">
        <f>SUM(J357:J361)</f>
        <v>4075407.1568372003</v>
      </c>
    </row>
    <row r="362" spans="1:21">
      <c r="A362" s="23" t="s">
        <v>390</v>
      </c>
      <c r="B362" s="35" t="s">
        <v>391</v>
      </c>
      <c r="C362" s="125">
        <v>5838</v>
      </c>
      <c r="D362" s="132">
        <v>1178299584</v>
      </c>
      <c r="E362" s="116">
        <f t="shared" si="63"/>
        <v>201832.74820143884</v>
      </c>
      <c r="F362" s="134">
        <v>768601504</v>
      </c>
      <c r="G362" s="117">
        <f t="shared" si="64"/>
        <v>131654.93388146625</v>
      </c>
      <c r="H362" s="9"/>
      <c r="I362" s="136">
        <v>1.9722999999999999</v>
      </c>
      <c r="J362" s="134">
        <v>1515912.7463392001</v>
      </c>
      <c r="K362" s="120">
        <f t="shared" si="65"/>
        <v>259.6630260944159</v>
      </c>
      <c r="L362" s="122">
        <f t="shared" si="58"/>
        <v>7686015.04</v>
      </c>
      <c r="M362" s="116">
        <f t="shared" si="59"/>
        <v>6170102.2936608</v>
      </c>
      <c r="N362" s="123">
        <f t="shared" si="60"/>
        <v>1056.8863127202467</v>
      </c>
      <c r="O362" s="5"/>
      <c r="P362" s="5">
        <f t="shared" si="61"/>
        <v>1</v>
      </c>
      <c r="Q362" s="7">
        <f t="shared" si="62"/>
        <v>5838</v>
      </c>
    </row>
    <row r="363" spans="1:21">
      <c r="A363" s="23" t="s">
        <v>392</v>
      </c>
      <c r="B363" s="35" t="s">
        <v>391</v>
      </c>
      <c r="C363" s="125">
        <v>533</v>
      </c>
      <c r="D363" s="132">
        <v>60251095</v>
      </c>
      <c r="E363" s="116">
        <f t="shared" si="63"/>
        <v>113041.45403377111</v>
      </c>
      <c r="F363" s="134">
        <v>41219934</v>
      </c>
      <c r="G363" s="117">
        <f t="shared" si="64"/>
        <v>77335.711069418379</v>
      </c>
      <c r="H363" s="9"/>
      <c r="I363" s="136">
        <v>2</v>
      </c>
      <c r="J363" s="134">
        <v>82439.868000000002</v>
      </c>
      <c r="K363" s="120">
        <f t="shared" si="65"/>
        <v>154.67142213883679</v>
      </c>
      <c r="L363" s="122">
        <f t="shared" si="58"/>
        <v>412199.34</v>
      </c>
      <c r="M363" s="116">
        <f t="shared" si="59"/>
        <v>329759.47200000001</v>
      </c>
      <c r="N363" s="123">
        <f t="shared" si="60"/>
        <v>618.68568855534716</v>
      </c>
      <c r="O363" s="5"/>
      <c r="P363" s="5">
        <f t="shared" si="61"/>
        <v>1</v>
      </c>
      <c r="Q363" s="7">
        <f t="shared" si="62"/>
        <v>533</v>
      </c>
    </row>
    <row r="364" spans="1:21">
      <c r="A364" s="23" t="s">
        <v>393</v>
      </c>
      <c r="B364" s="35" t="s">
        <v>391</v>
      </c>
      <c r="C364" s="125">
        <v>10130</v>
      </c>
      <c r="D364" s="132">
        <v>577957346</v>
      </c>
      <c r="E364" s="116">
        <f t="shared" si="63"/>
        <v>57054.0321816387</v>
      </c>
      <c r="F364" s="134">
        <v>327038734</v>
      </c>
      <c r="G364" s="117">
        <f t="shared" si="64"/>
        <v>32284.17907206318</v>
      </c>
      <c r="H364" s="9"/>
      <c r="I364" s="136">
        <v>3.2372999999999998</v>
      </c>
      <c r="J364" s="134">
        <v>1058722.4935782</v>
      </c>
      <c r="K364" s="120">
        <f t="shared" si="65"/>
        <v>104.51357290999013</v>
      </c>
      <c r="L364" s="122">
        <f t="shared" si="58"/>
        <v>3270387.34</v>
      </c>
      <c r="M364" s="116">
        <f t="shared" si="59"/>
        <v>2211664.8464217996</v>
      </c>
      <c r="N364" s="123">
        <f t="shared" si="60"/>
        <v>218.32821781064163</v>
      </c>
      <c r="O364" s="5"/>
      <c r="P364" s="5">
        <f t="shared" si="61"/>
        <v>1</v>
      </c>
      <c r="Q364" s="7">
        <f t="shared" si="62"/>
        <v>10130</v>
      </c>
      <c r="S364" s="124">
        <f>SUM(D362:D364)</f>
        <v>1816508025</v>
      </c>
      <c r="T364" s="124">
        <f>SUM(F362:F364)</f>
        <v>1136860172</v>
      </c>
      <c r="U364" s="124">
        <f>SUM(J362:J364)</f>
        <v>2657075.1079174001</v>
      </c>
    </row>
    <row r="365" spans="1:21">
      <c r="A365" s="23" t="s">
        <v>394</v>
      </c>
      <c r="B365" s="35" t="s">
        <v>395</v>
      </c>
      <c r="C365" s="125">
        <v>67196</v>
      </c>
      <c r="D365" s="132">
        <v>5975933111</v>
      </c>
      <c r="E365" s="116">
        <f t="shared" si="63"/>
        <v>88932.869679742842</v>
      </c>
      <c r="F365" s="134">
        <v>3665491838</v>
      </c>
      <c r="G365" s="117">
        <f t="shared" si="64"/>
        <v>54549.25647359962</v>
      </c>
      <c r="H365" s="7"/>
      <c r="I365" s="136">
        <v>3.407</v>
      </c>
      <c r="J365" s="134">
        <v>12488330.692066001</v>
      </c>
      <c r="K365" s="120">
        <f t="shared" si="65"/>
        <v>185.84931680555391</v>
      </c>
      <c r="L365" s="122">
        <f t="shared" si="58"/>
        <v>36654918.380000003</v>
      </c>
      <c r="M365" s="116">
        <f t="shared" si="59"/>
        <v>24166587.687934004</v>
      </c>
      <c r="N365" s="123">
        <f t="shared" si="60"/>
        <v>359.64324793044233</v>
      </c>
      <c r="O365" s="5"/>
      <c r="P365" s="5">
        <f t="shared" si="61"/>
        <v>1</v>
      </c>
      <c r="Q365" s="7">
        <f t="shared" si="62"/>
        <v>67196</v>
      </c>
    </row>
    <row r="366" spans="1:21">
      <c r="A366" s="23" t="s">
        <v>395</v>
      </c>
      <c r="B366" s="35" t="s">
        <v>395</v>
      </c>
      <c r="C366" s="125">
        <v>54641</v>
      </c>
      <c r="D366" s="132">
        <v>14779354015</v>
      </c>
      <c r="E366" s="116">
        <f t="shared" si="63"/>
        <v>270481.03100236086</v>
      </c>
      <c r="F366" s="134">
        <v>9659228252</v>
      </c>
      <c r="G366" s="117">
        <f t="shared" si="64"/>
        <v>176776.19831262238</v>
      </c>
      <c r="H366" s="7"/>
      <c r="I366" s="136">
        <v>3.1728000000000001</v>
      </c>
      <c r="J366" s="134">
        <v>30646799.397945601</v>
      </c>
      <c r="K366" s="120">
        <f t="shared" si="65"/>
        <v>560.87552200628829</v>
      </c>
      <c r="L366" s="122">
        <f t="shared" si="58"/>
        <v>96592282.519999996</v>
      </c>
      <c r="M366" s="116">
        <f t="shared" si="59"/>
        <v>65945483.122054398</v>
      </c>
      <c r="N366" s="123">
        <f t="shared" si="60"/>
        <v>1206.8864611199356</v>
      </c>
      <c r="O366" s="5"/>
      <c r="P366" s="5">
        <f t="shared" si="61"/>
        <v>1</v>
      </c>
      <c r="Q366" s="7">
        <f t="shared" si="62"/>
        <v>54641</v>
      </c>
    </row>
    <row r="367" spans="1:21">
      <c r="A367" s="23" t="s">
        <v>396</v>
      </c>
      <c r="B367" s="35" t="s">
        <v>395</v>
      </c>
      <c r="C367" s="125">
        <v>22306</v>
      </c>
      <c r="D367" s="132">
        <v>5152297467</v>
      </c>
      <c r="E367" s="116">
        <f t="shared" si="63"/>
        <v>230982.58168205863</v>
      </c>
      <c r="F367" s="134">
        <v>3809592597</v>
      </c>
      <c r="G367" s="117">
        <f t="shared" si="64"/>
        <v>170787.79687079709</v>
      </c>
      <c r="H367" s="7"/>
      <c r="I367" s="136">
        <v>3.6</v>
      </c>
      <c r="J367" s="134">
        <v>13714533.349200001</v>
      </c>
      <c r="K367" s="120">
        <f t="shared" si="65"/>
        <v>614.83606873486963</v>
      </c>
      <c r="L367" s="122">
        <f t="shared" si="58"/>
        <v>38095925.969999999</v>
      </c>
      <c r="M367" s="116">
        <f t="shared" si="59"/>
        <v>24381392.620799996</v>
      </c>
      <c r="N367" s="123">
        <f t="shared" si="60"/>
        <v>1093.0418999731012</v>
      </c>
      <c r="O367" s="5"/>
      <c r="P367" s="5">
        <f t="shared" si="61"/>
        <v>1</v>
      </c>
      <c r="Q367" s="7">
        <f t="shared" si="62"/>
        <v>22306</v>
      </c>
      <c r="S367" s="124">
        <f>SUM(D365:D367)</f>
        <v>25907584593</v>
      </c>
      <c r="T367" s="124">
        <f>SUM(F365:F367)</f>
        <v>17134312687</v>
      </c>
      <c r="U367" s="124">
        <f>SUM(J365:J367)</f>
        <v>56849663.439211607</v>
      </c>
    </row>
    <row r="368" spans="1:21">
      <c r="A368" s="23" t="s">
        <v>397</v>
      </c>
      <c r="B368" s="35" t="s">
        <v>360</v>
      </c>
      <c r="C368" s="125">
        <v>44482</v>
      </c>
      <c r="D368" s="132">
        <v>4079820292</v>
      </c>
      <c r="E368" s="116">
        <f t="shared" si="63"/>
        <v>91718.45447596781</v>
      </c>
      <c r="F368" s="134">
        <v>2999331823</v>
      </c>
      <c r="G368" s="117">
        <f t="shared" si="64"/>
        <v>67427.989366485315</v>
      </c>
      <c r="H368" s="7"/>
      <c r="I368" s="136">
        <v>3.1</v>
      </c>
      <c r="J368" s="134">
        <v>9297928.6513000019</v>
      </c>
      <c r="K368" s="120">
        <f t="shared" si="65"/>
        <v>209.02676703610453</v>
      </c>
      <c r="L368" s="122">
        <f t="shared" si="58"/>
        <v>29993318.23</v>
      </c>
      <c r="M368" s="116">
        <f t="shared" si="59"/>
        <v>20695389.578699999</v>
      </c>
      <c r="N368" s="123">
        <f t="shared" si="60"/>
        <v>465.2531266287487</v>
      </c>
      <c r="O368" s="5"/>
      <c r="P368" s="5">
        <f t="shared" si="61"/>
        <v>1</v>
      </c>
      <c r="Q368" s="7">
        <f t="shared" si="62"/>
        <v>44482</v>
      </c>
    </row>
    <row r="369" spans="1:21">
      <c r="A369" s="23" t="s">
        <v>398</v>
      </c>
      <c r="B369" s="35" t="s">
        <v>360</v>
      </c>
      <c r="C369" s="125">
        <v>28548</v>
      </c>
      <c r="D369" s="132">
        <v>1820960174</v>
      </c>
      <c r="E369" s="116">
        <f t="shared" si="63"/>
        <v>63785.910536640047</v>
      </c>
      <c r="F369" s="134">
        <v>1283824413</v>
      </c>
      <c r="G369" s="117">
        <f t="shared" si="64"/>
        <v>44970.730453972261</v>
      </c>
      <c r="H369" s="7"/>
      <c r="I369" s="136">
        <v>3.1200999999999999</v>
      </c>
      <c r="J369" s="134">
        <v>4005660.5510012996</v>
      </c>
      <c r="K369" s="120">
        <f t="shared" si="65"/>
        <v>140.31317608943883</v>
      </c>
      <c r="L369" s="122">
        <f t="shared" si="58"/>
        <v>12838244.130000001</v>
      </c>
      <c r="M369" s="116">
        <f t="shared" si="59"/>
        <v>8832583.5789987016</v>
      </c>
      <c r="N369" s="123">
        <f t="shared" si="60"/>
        <v>309.3941284502838</v>
      </c>
      <c r="O369" s="5"/>
      <c r="P369" s="5">
        <f t="shared" si="61"/>
        <v>1</v>
      </c>
      <c r="Q369" s="7">
        <f t="shared" si="62"/>
        <v>28548</v>
      </c>
    </row>
    <row r="370" spans="1:21">
      <c r="A370" s="23" t="s">
        <v>399</v>
      </c>
      <c r="B370" s="35" t="s">
        <v>360</v>
      </c>
      <c r="C370" s="125">
        <v>16538</v>
      </c>
      <c r="D370" s="132">
        <v>2800133384</v>
      </c>
      <c r="E370" s="116">
        <f t="shared" si="63"/>
        <v>169315.11573346233</v>
      </c>
      <c r="F370" s="134">
        <v>2244780890</v>
      </c>
      <c r="G370" s="117">
        <f t="shared" si="64"/>
        <v>135734.72548071109</v>
      </c>
      <c r="H370" s="7"/>
      <c r="I370" s="136">
        <v>3.5895000000000001</v>
      </c>
      <c r="J370" s="134">
        <v>8057641.0046550008</v>
      </c>
      <c r="K370" s="120">
        <f t="shared" si="65"/>
        <v>487.21979711301248</v>
      </c>
      <c r="L370" s="122">
        <f t="shared" si="58"/>
        <v>22447808.900000002</v>
      </c>
      <c r="M370" s="116">
        <f t="shared" si="59"/>
        <v>14390167.895345002</v>
      </c>
      <c r="N370" s="123">
        <f t="shared" si="60"/>
        <v>870.12745769409855</v>
      </c>
      <c r="O370" s="5"/>
      <c r="P370" s="5">
        <f t="shared" si="61"/>
        <v>1</v>
      </c>
      <c r="Q370" s="7">
        <f t="shared" si="62"/>
        <v>16538</v>
      </c>
    </row>
    <row r="371" spans="1:21">
      <c r="A371" s="23" t="s">
        <v>400</v>
      </c>
      <c r="B371" s="35" t="s">
        <v>360</v>
      </c>
      <c r="C371" s="125">
        <v>15156</v>
      </c>
      <c r="D371" s="132">
        <v>1435577000</v>
      </c>
      <c r="E371" s="116">
        <f t="shared" si="63"/>
        <v>94720.044866719458</v>
      </c>
      <c r="F371" s="134">
        <v>1015331493</v>
      </c>
      <c r="G371" s="117">
        <f t="shared" si="64"/>
        <v>66992.048891528102</v>
      </c>
      <c r="H371" s="7"/>
      <c r="I371" s="136">
        <v>5.5</v>
      </c>
      <c r="J371" s="134">
        <v>5584323.2115000002</v>
      </c>
      <c r="K371" s="120">
        <f t="shared" si="65"/>
        <v>368.45626890340463</v>
      </c>
      <c r="L371" s="122">
        <f t="shared" si="58"/>
        <v>10153314.93</v>
      </c>
      <c r="M371" s="116">
        <f t="shared" si="59"/>
        <v>4568991.7184999995</v>
      </c>
      <c r="N371" s="123">
        <f t="shared" si="60"/>
        <v>301.46422001187648</v>
      </c>
      <c r="O371" s="5"/>
      <c r="P371" s="5">
        <f t="shared" si="61"/>
        <v>1</v>
      </c>
      <c r="Q371" s="7">
        <f t="shared" si="62"/>
        <v>15156</v>
      </c>
    </row>
    <row r="372" spans="1:21">
      <c r="A372" s="23" t="s">
        <v>401</v>
      </c>
      <c r="B372" s="35" t="s">
        <v>360</v>
      </c>
      <c r="C372" s="125">
        <v>37701</v>
      </c>
      <c r="D372" s="147">
        <v>3728741648</v>
      </c>
      <c r="E372" s="116">
        <f t="shared" si="63"/>
        <v>98902.990583804145</v>
      </c>
      <c r="F372" s="134">
        <v>2518645379</v>
      </c>
      <c r="G372" s="117">
        <f t="shared" si="64"/>
        <v>66805.797697673799</v>
      </c>
      <c r="H372" s="7"/>
      <c r="I372" s="136">
        <v>5.077</v>
      </c>
      <c r="J372" s="134">
        <v>12787162.589183001</v>
      </c>
      <c r="K372" s="120">
        <f t="shared" si="65"/>
        <v>339.17303491108993</v>
      </c>
      <c r="L372" s="122">
        <f t="shared" si="58"/>
        <v>25186453.789999999</v>
      </c>
      <c r="M372" s="116">
        <f t="shared" si="59"/>
        <v>12399291.200816998</v>
      </c>
      <c r="N372" s="123">
        <f t="shared" si="60"/>
        <v>328.88494206564809</v>
      </c>
      <c r="O372" s="5"/>
      <c r="P372" s="5">
        <f t="shared" si="61"/>
        <v>1</v>
      </c>
      <c r="Q372" s="7">
        <f t="shared" si="62"/>
        <v>37701</v>
      </c>
    </row>
    <row r="373" spans="1:21">
      <c r="A373" s="23" t="s">
        <v>402</v>
      </c>
      <c r="B373" s="35" t="s">
        <v>360</v>
      </c>
      <c r="C373" s="125">
        <v>57839</v>
      </c>
      <c r="D373" s="132">
        <v>4235713089</v>
      </c>
      <c r="E373" s="116">
        <f t="shared" si="63"/>
        <v>73232.820225107629</v>
      </c>
      <c r="F373" s="134">
        <v>2896239375</v>
      </c>
      <c r="G373" s="117">
        <f t="shared" si="64"/>
        <v>50074.160600978576</v>
      </c>
      <c r="H373" s="7"/>
      <c r="I373" s="136">
        <v>7.3250000000000002</v>
      </c>
      <c r="J373" s="134">
        <v>21214953.421875</v>
      </c>
      <c r="K373" s="120">
        <f t="shared" si="65"/>
        <v>366.7932264021681</v>
      </c>
      <c r="L373" s="122">
        <f t="shared" si="58"/>
        <v>28962393.75</v>
      </c>
      <c r="M373" s="116">
        <f t="shared" si="59"/>
        <v>7747440.328125</v>
      </c>
      <c r="N373" s="123">
        <f t="shared" si="60"/>
        <v>133.94837960761771</v>
      </c>
      <c r="O373" s="5"/>
      <c r="P373" s="5">
        <f t="shared" si="61"/>
        <v>1</v>
      </c>
      <c r="Q373" s="7">
        <f t="shared" si="62"/>
        <v>57839</v>
      </c>
    </row>
    <row r="374" spans="1:21">
      <c r="A374" s="23" t="s">
        <v>403</v>
      </c>
      <c r="B374" s="35" t="s">
        <v>360</v>
      </c>
      <c r="C374" s="125">
        <v>36654</v>
      </c>
      <c r="D374" s="132">
        <v>3206846597</v>
      </c>
      <c r="E374" s="116">
        <f t="shared" si="63"/>
        <v>87489.676351830625</v>
      </c>
      <c r="F374" s="134">
        <v>2147274968</v>
      </c>
      <c r="G374" s="117">
        <f t="shared" si="64"/>
        <v>58582.282097451847</v>
      </c>
      <c r="H374" s="7"/>
      <c r="I374" s="136">
        <v>2.4300000000000002</v>
      </c>
      <c r="J374" s="134">
        <v>5217878.1722400011</v>
      </c>
      <c r="K374" s="120">
        <f t="shared" si="65"/>
        <v>142.35494549680803</v>
      </c>
      <c r="L374" s="122">
        <f t="shared" si="58"/>
        <v>21472749.68</v>
      </c>
      <c r="M374" s="116">
        <f t="shared" si="59"/>
        <v>16254871.507759999</v>
      </c>
      <c r="N374" s="123">
        <f t="shared" si="60"/>
        <v>443.46787547771049</v>
      </c>
      <c r="O374" s="5"/>
      <c r="P374" s="5">
        <f t="shared" si="61"/>
        <v>1</v>
      </c>
      <c r="Q374" s="7">
        <f t="shared" si="62"/>
        <v>36654</v>
      </c>
      <c r="S374" s="124">
        <f>SUM(D368:D374)</f>
        <v>21307792184</v>
      </c>
      <c r="T374" s="124">
        <f>SUM(F368:F374)</f>
        <v>15105428341</v>
      </c>
      <c r="U374" s="124">
        <f>SUM(J368:J374)</f>
        <v>66165547.601754308</v>
      </c>
    </row>
    <row r="375" spans="1:21">
      <c r="A375" s="23" t="s">
        <v>388</v>
      </c>
      <c r="B375" s="37" t="s">
        <v>551</v>
      </c>
      <c r="C375" s="125">
        <v>642</v>
      </c>
      <c r="D375" s="132">
        <v>41074967</v>
      </c>
      <c r="E375" s="116">
        <f t="shared" si="63"/>
        <v>63979.699376947043</v>
      </c>
      <c r="F375" s="134">
        <v>26714994</v>
      </c>
      <c r="G375" s="117">
        <f t="shared" si="64"/>
        <v>41612.140186915887</v>
      </c>
      <c r="H375" s="7"/>
      <c r="I375" s="136">
        <v>7.9922000000000004</v>
      </c>
      <c r="J375" s="134">
        <v>213511.57504680002</v>
      </c>
      <c r="K375" s="120">
        <f t="shared" si="65"/>
        <v>332.57254680186918</v>
      </c>
      <c r="L375" s="122">
        <f t="shared" si="58"/>
        <v>267149.94</v>
      </c>
      <c r="M375" s="116">
        <f t="shared" si="59"/>
        <v>53638.364953199984</v>
      </c>
      <c r="N375" s="123">
        <f t="shared" si="60"/>
        <v>83.548855067289693</v>
      </c>
      <c r="O375" s="5"/>
      <c r="P375" s="5">
        <f t="shared" si="61"/>
        <v>1</v>
      </c>
      <c r="Q375" s="7">
        <f t="shared" si="62"/>
        <v>642</v>
      </c>
    </row>
    <row r="376" spans="1:21">
      <c r="A376" s="24" t="s">
        <v>549</v>
      </c>
      <c r="B376" s="37" t="s">
        <v>551</v>
      </c>
      <c r="C376" s="125">
        <v>13862</v>
      </c>
      <c r="D376" s="132">
        <v>2361494385</v>
      </c>
      <c r="E376" s="116">
        <f t="shared" si="63"/>
        <v>170357.40766123214</v>
      </c>
      <c r="F376" s="134">
        <v>1465979685</v>
      </c>
      <c r="G376" s="117">
        <f t="shared" si="64"/>
        <v>105755.27954119175</v>
      </c>
      <c r="H376" s="7"/>
      <c r="I376" s="136">
        <v>7.5</v>
      </c>
      <c r="J376" s="134">
        <v>10994847.637499999</v>
      </c>
      <c r="K376" s="120">
        <f t="shared" si="65"/>
        <v>793.164596558938</v>
      </c>
      <c r="L376" s="122">
        <f t="shared" si="58"/>
        <v>14659796.85</v>
      </c>
      <c r="M376" s="116">
        <f t="shared" si="59"/>
        <v>3664949.2125000004</v>
      </c>
      <c r="N376" s="123">
        <f t="shared" si="60"/>
        <v>264.38819885297937</v>
      </c>
      <c r="O376" s="5"/>
      <c r="P376" s="5">
        <f t="shared" si="61"/>
        <v>1</v>
      </c>
      <c r="Q376" s="7">
        <f t="shared" si="62"/>
        <v>13862</v>
      </c>
    </row>
    <row r="377" spans="1:21">
      <c r="A377" s="24" t="s">
        <v>550</v>
      </c>
      <c r="B377" s="37" t="s">
        <v>551</v>
      </c>
      <c r="C377" s="125">
        <v>6633</v>
      </c>
      <c r="D377" s="132">
        <v>1536411763</v>
      </c>
      <c r="E377" s="116">
        <f t="shared" si="63"/>
        <v>231631.50354289162</v>
      </c>
      <c r="F377" s="134">
        <v>1174023730</v>
      </c>
      <c r="G377" s="117">
        <f t="shared" si="64"/>
        <v>176997.39635157544</v>
      </c>
      <c r="H377" s="7"/>
      <c r="I377" s="136">
        <v>2.3992</v>
      </c>
      <c r="J377" s="134">
        <v>2816717.7330159997</v>
      </c>
      <c r="K377" s="120">
        <f t="shared" si="65"/>
        <v>424.65215332669976</v>
      </c>
      <c r="L377" s="122">
        <f t="shared" si="58"/>
        <v>11740237.300000001</v>
      </c>
      <c r="M377" s="116">
        <f t="shared" si="59"/>
        <v>8923519.5669840015</v>
      </c>
      <c r="N377" s="123">
        <f t="shared" si="60"/>
        <v>1345.321810189055</v>
      </c>
      <c r="O377" s="5"/>
      <c r="P377" s="5">
        <f t="shared" si="61"/>
        <v>1</v>
      </c>
      <c r="Q377" s="7">
        <f t="shared" si="62"/>
        <v>6633</v>
      </c>
      <c r="S377" s="124">
        <f>SUM(D375:D377)</f>
        <v>3938981115</v>
      </c>
      <c r="T377" s="124">
        <f>SUM(F375:F377)</f>
        <v>2666718409</v>
      </c>
      <c r="U377" s="124">
        <f>SUM(J375:J377)</f>
        <v>14025076.945562799</v>
      </c>
    </row>
    <row r="378" spans="1:21">
      <c r="A378" s="23" t="s">
        <v>389</v>
      </c>
      <c r="B378" s="37" t="s">
        <v>552</v>
      </c>
      <c r="C378" s="125">
        <v>43409</v>
      </c>
      <c r="D378" s="132">
        <v>3843423344</v>
      </c>
      <c r="E378" s="116">
        <f t="shared" si="63"/>
        <v>88539.780782786984</v>
      </c>
      <c r="F378" s="134">
        <v>2243182629</v>
      </c>
      <c r="G378" s="117">
        <f t="shared" si="64"/>
        <v>51675.519569674492</v>
      </c>
      <c r="H378" s="7"/>
      <c r="I378" s="136">
        <v>6.9</v>
      </c>
      <c r="J378" s="134">
        <v>15477960.1401</v>
      </c>
      <c r="K378" s="120">
        <f t="shared" si="65"/>
        <v>356.56108503075399</v>
      </c>
      <c r="L378" s="122">
        <f t="shared" si="58"/>
        <v>22431826.289999999</v>
      </c>
      <c r="M378" s="116">
        <f t="shared" si="59"/>
        <v>6953866.1498999987</v>
      </c>
      <c r="N378" s="123">
        <f t="shared" si="60"/>
        <v>160.19411066599091</v>
      </c>
      <c r="O378" s="5"/>
      <c r="P378" s="5">
        <f t="shared" si="61"/>
        <v>1</v>
      </c>
      <c r="Q378" s="7">
        <f t="shared" si="62"/>
        <v>43409</v>
      </c>
    </row>
    <row r="379" spans="1:21">
      <c r="A379" s="24" t="s">
        <v>553</v>
      </c>
      <c r="B379" s="37" t="s">
        <v>552</v>
      </c>
      <c r="C379" s="125">
        <v>181284</v>
      </c>
      <c r="D379" s="132">
        <v>15469806701</v>
      </c>
      <c r="E379" s="116">
        <f t="shared" si="63"/>
        <v>85334.650057368548</v>
      </c>
      <c r="F379" s="134">
        <v>8763141051</v>
      </c>
      <c r="G379" s="117">
        <f t="shared" si="64"/>
        <v>48339.296634010723</v>
      </c>
      <c r="H379" s="7"/>
      <c r="I379" s="136">
        <v>5.1806999999999999</v>
      </c>
      <c r="J379" s="134">
        <v>45399204.842915699</v>
      </c>
      <c r="K379" s="120">
        <f t="shared" si="65"/>
        <v>250.43139407181934</v>
      </c>
      <c r="L379" s="122">
        <f t="shared" si="58"/>
        <v>87631410.510000005</v>
      </c>
      <c r="M379" s="116">
        <f t="shared" si="59"/>
        <v>42232205.667084306</v>
      </c>
      <c r="N379" s="123">
        <f t="shared" si="60"/>
        <v>232.96157226828791</v>
      </c>
      <c r="O379" s="5"/>
      <c r="P379" s="5">
        <f t="shared" si="61"/>
        <v>1</v>
      </c>
      <c r="Q379" s="7">
        <f t="shared" si="62"/>
        <v>181284</v>
      </c>
    </row>
    <row r="380" spans="1:21">
      <c r="A380" s="24" t="s">
        <v>554</v>
      </c>
      <c r="B380" s="37" t="s">
        <v>552</v>
      </c>
      <c r="C380" s="125">
        <v>643</v>
      </c>
      <c r="D380" s="132">
        <v>86261081</v>
      </c>
      <c r="E380" s="116">
        <f t="shared" si="63"/>
        <v>134154.09175738724</v>
      </c>
      <c r="F380" s="134">
        <v>61007193</v>
      </c>
      <c r="G380" s="117">
        <f t="shared" si="64"/>
        <v>94878.993779160184</v>
      </c>
      <c r="H380" s="7"/>
      <c r="I380" s="136">
        <v>1.85</v>
      </c>
      <c r="J380" s="134">
        <v>112863.30705000002</v>
      </c>
      <c r="K380" s="120">
        <f t="shared" si="65"/>
        <v>175.52613849144637</v>
      </c>
      <c r="L380" s="122">
        <f t="shared" si="58"/>
        <v>610071.93000000005</v>
      </c>
      <c r="M380" s="116">
        <f t="shared" si="59"/>
        <v>497208.62295000005</v>
      </c>
      <c r="N380" s="123">
        <f t="shared" si="60"/>
        <v>773.2637993001556</v>
      </c>
      <c r="O380" s="5"/>
      <c r="P380" s="5">
        <f t="shared" si="61"/>
        <v>1</v>
      </c>
      <c r="Q380" s="7">
        <f t="shared" si="62"/>
        <v>643</v>
      </c>
      <c r="S380" s="124">
        <f>SUM(D378:D380)</f>
        <v>19399491126</v>
      </c>
      <c r="T380" s="124">
        <f>SUM(F378:F380)</f>
        <v>11067330873</v>
      </c>
      <c r="U380" s="124">
        <f>SUM(J378:J380)</f>
        <v>60990028.290065698</v>
      </c>
    </row>
    <row r="381" spans="1:21">
      <c r="A381" s="23" t="s">
        <v>404</v>
      </c>
      <c r="B381" s="35" t="s">
        <v>405</v>
      </c>
      <c r="C381" s="125">
        <v>2492</v>
      </c>
      <c r="D381" s="132">
        <v>205343372</v>
      </c>
      <c r="E381" s="116">
        <f t="shared" si="63"/>
        <v>82401.032102728728</v>
      </c>
      <c r="F381" s="134">
        <v>131714955</v>
      </c>
      <c r="G381" s="117">
        <f t="shared" si="64"/>
        <v>52855.1183788122</v>
      </c>
      <c r="H381" s="9"/>
      <c r="I381" s="136">
        <v>4.5110000000000001</v>
      </c>
      <c r="J381" s="134">
        <v>594166.16200500005</v>
      </c>
      <c r="K381" s="120">
        <f t="shared" si="65"/>
        <v>238.42943900682184</v>
      </c>
      <c r="L381" s="122">
        <f t="shared" si="58"/>
        <v>1317149.55</v>
      </c>
      <c r="M381" s="116">
        <f t="shared" si="59"/>
        <v>722983.387995</v>
      </c>
      <c r="N381" s="123">
        <f t="shared" si="60"/>
        <v>290.12174478130015</v>
      </c>
      <c r="O381" s="5"/>
      <c r="P381" s="5">
        <f t="shared" si="61"/>
        <v>1</v>
      </c>
      <c r="Q381" s="7">
        <f t="shared" si="62"/>
        <v>2492</v>
      </c>
    </row>
    <row r="382" spans="1:21">
      <c r="A382" s="23" t="s">
        <v>406</v>
      </c>
      <c r="B382" s="35" t="s">
        <v>405</v>
      </c>
      <c r="C382" s="125">
        <v>1072</v>
      </c>
      <c r="D382" s="132">
        <v>42669694</v>
      </c>
      <c r="E382" s="116">
        <f t="shared" si="63"/>
        <v>39803.819029850747</v>
      </c>
      <c r="F382" s="134">
        <v>24977751</v>
      </c>
      <c r="G382" s="117">
        <f t="shared" si="64"/>
        <v>23300.140858208953</v>
      </c>
      <c r="H382" s="9"/>
      <c r="I382" s="136">
        <v>4.2968000000000002</v>
      </c>
      <c r="J382" s="134">
        <v>107324.40049680001</v>
      </c>
      <c r="K382" s="120">
        <f t="shared" si="65"/>
        <v>100.11604523955225</v>
      </c>
      <c r="L382" s="122">
        <f t="shared" si="58"/>
        <v>249777.51</v>
      </c>
      <c r="M382" s="116">
        <f t="shared" si="59"/>
        <v>142453.10950319999</v>
      </c>
      <c r="N382" s="123">
        <f t="shared" si="60"/>
        <v>132.88536334253729</v>
      </c>
      <c r="O382" s="5"/>
      <c r="P382" s="5">
        <f t="shared" si="61"/>
        <v>1</v>
      </c>
      <c r="Q382" s="7">
        <f t="shared" si="62"/>
        <v>1072</v>
      </c>
    </row>
    <row r="383" spans="1:21">
      <c r="A383" s="23" t="s">
        <v>407</v>
      </c>
      <c r="B383" s="35" t="s">
        <v>405</v>
      </c>
      <c r="C383" s="125">
        <v>719</v>
      </c>
      <c r="D383" s="147">
        <v>25884541</v>
      </c>
      <c r="E383" s="116">
        <f t="shared" si="63"/>
        <v>36000.752433936024</v>
      </c>
      <c r="F383" s="134">
        <v>13567065</v>
      </c>
      <c r="G383" s="117">
        <f t="shared" si="64"/>
        <v>18869.353268428371</v>
      </c>
      <c r="H383" s="98"/>
      <c r="I383" s="136">
        <v>4.7538</v>
      </c>
      <c r="J383" s="134">
        <v>64495.113597000003</v>
      </c>
      <c r="K383" s="120">
        <f t="shared" si="65"/>
        <v>89.701131567454809</v>
      </c>
      <c r="L383" s="122">
        <f t="shared" si="58"/>
        <v>135670.65</v>
      </c>
      <c r="M383" s="116">
        <f t="shared" si="59"/>
        <v>71175.536402999991</v>
      </c>
      <c r="N383" s="123">
        <f t="shared" si="60"/>
        <v>98.992401116828916</v>
      </c>
      <c r="O383" s="5"/>
      <c r="P383" s="5">
        <f t="shared" si="61"/>
        <v>1</v>
      </c>
      <c r="Q383" s="7">
        <f t="shared" si="62"/>
        <v>719</v>
      </c>
    </row>
    <row r="384" spans="1:21">
      <c r="A384" s="23" t="s">
        <v>408</v>
      </c>
      <c r="B384" s="35" t="s">
        <v>405</v>
      </c>
      <c r="C384" s="125">
        <v>805</v>
      </c>
      <c r="D384" s="132">
        <v>27365393</v>
      </c>
      <c r="E384" s="116">
        <f t="shared" si="63"/>
        <v>33994.27701863354</v>
      </c>
      <c r="F384" s="134">
        <v>17511167</v>
      </c>
      <c r="G384" s="117">
        <f t="shared" si="64"/>
        <v>21753.00248447205</v>
      </c>
      <c r="H384" s="7"/>
      <c r="I384" s="150">
        <v>7</v>
      </c>
      <c r="J384" s="134">
        <v>122578.16899999999</v>
      </c>
      <c r="K384" s="120">
        <f t="shared" si="65"/>
        <v>152.27101739130435</v>
      </c>
      <c r="L384" s="122">
        <f t="shared" si="58"/>
        <v>175111.67</v>
      </c>
      <c r="M384" s="116">
        <f t="shared" si="59"/>
        <v>52533.501000000018</v>
      </c>
      <c r="N384" s="123">
        <f t="shared" si="60"/>
        <v>65.259007453416174</v>
      </c>
      <c r="O384" s="5"/>
      <c r="P384" s="5">
        <f t="shared" si="61"/>
        <v>1</v>
      </c>
      <c r="Q384" s="7">
        <f t="shared" si="62"/>
        <v>805</v>
      </c>
    </row>
    <row r="385" spans="1:21">
      <c r="A385" s="23" t="s">
        <v>409</v>
      </c>
      <c r="B385" s="35" t="s">
        <v>405</v>
      </c>
      <c r="C385" s="125">
        <v>8454</v>
      </c>
      <c r="D385" s="132">
        <v>963549198</v>
      </c>
      <c r="E385" s="116">
        <f t="shared" si="63"/>
        <v>113975.53797019162</v>
      </c>
      <c r="F385" s="134">
        <v>792423645</v>
      </c>
      <c r="G385" s="117">
        <f t="shared" si="64"/>
        <v>93733.575230660048</v>
      </c>
      <c r="H385" s="7"/>
      <c r="I385" s="136">
        <v>4.0183999999999997</v>
      </c>
      <c r="J385" s="154">
        <v>3184275.1750679999</v>
      </c>
      <c r="K385" s="120">
        <f t="shared" si="65"/>
        <v>376.65899870688429</v>
      </c>
      <c r="L385" s="122">
        <f t="shared" si="58"/>
        <v>7924236.4500000002</v>
      </c>
      <c r="M385" s="116">
        <f t="shared" si="59"/>
        <v>4739961.2749320008</v>
      </c>
      <c r="N385" s="123">
        <f t="shared" si="60"/>
        <v>560.67675359971622</v>
      </c>
      <c r="O385" s="5"/>
      <c r="P385" s="5">
        <f t="shared" si="61"/>
        <v>1</v>
      </c>
      <c r="Q385" s="7">
        <f t="shared" si="62"/>
        <v>8454</v>
      </c>
      <c r="S385" s="124">
        <f>SUM(D381:D385)</f>
        <v>1264812198</v>
      </c>
      <c r="T385" s="124">
        <f>SUM(F381:F385)</f>
        <v>980194583</v>
      </c>
      <c r="U385" s="124">
        <f>SUM(J381:J385)</f>
        <v>4072839.0201667999</v>
      </c>
    </row>
    <row r="386" spans="1:21">
      <c r="A386" s="23" t="s">
        <v>410</v>
      </c>
      <c r="B386" s="35" t="s">
        <v>411</v>
      </c>
      <c r="C386" s="125">
        <v>691</v>
      </c>
      <c r="D386" s="132">
        <v>39097436</v>
      </c>
      <c r="E386" s="116">
        <f t="shared" si="63"/>
        <v>56580.9493487699</v>
      </c>
      <c r="F386" s="134">
        <v>23290754</v>
      </c>
      <c r="G386" s="117">
        <f t="shared" si="64"/>
        <v>33705.866859623733</v>
      </c>
      <c r="H386" s="7"/>
      <c r="I386" s="136">
        <v>6</v>
      </c>
      <c r="J386" s="134">
        <v>139744.524</v>
      </c>
      <c r="K386" s="120">
        <f t="shared" si="65"/>
        <v>202.23520115774241</v>
      </c>
      <c r="L386" s="122">
        <f t="shared" si="58"/>
        <v>232907.54</v>
      </c>
      <c r="M386" s="116">
        <f t="shared" si="59"/>
        <v>93163.016000000003</v>
      </c>
      <c r="N386" s="123">
        <f t="shared" si="60"/>
        <v>134.82346743849493</v>
      </c>
      <c r="O386" s="5"/>
      <c r="P386" s="5">
        <f t="shared" si="61"/>
        <v>1</v>
      </c>
      <c r="Q386" s="7">
        <f t="shared" si="62"/>
        <v>691</v>
      </c>
    </row>
    <row r="387" spans="1:21">
      <c r="A387" s="23" t="s">
        <v>412</v>
      </c>
      <c r="B387" s="35" t="s">
        <v>411</v>
      </c>
      <c r="C387" s="125">
        <v>6860</v>
      </c>
      <c r="D387" s="132">
        <v>328857174</v>
      </c>
      <c r="E387" s="116">
        <f t="shared" si="63"/>
        <v>47938.363556851313</v>
      </c>
      <c r="F387" s="134">
        <v>211985440</v>
      </c>
      <c r="G387" s="117">
        <f t="shared" si="64"/>
        <v>30901.667638483967</v>
      </c>
      <c r="H387" s="7"/>
      <c r="I387" s="136">
        <v>8.9131999999999998</v>
      </c>
      <c r="J387" s="134">
        <v>1889468.6238079998</v>
      </c>
      <c r="K387" s="120">
        <f t="shared" si="65"/>
        <v>275.43274399533522</v>
      </c>
      <c r="L387" s="122">
        <f t="shared" si="58"/>
        <v>2119854.4</v>
      </c>
      <c r="M387" s="116">
        <f t="shared" si="59"/>
        <v>230385.77619200014</v>
      </c>
      <c r="N387" s="123">
        <f t="shared" si="60"/>
        <v>33.58393238950439</v>
      </c>
      <c r="O387" s="5"/>
      <c r="P387" s="5">
        <f t="shared" si="61"/>
        <v>1</v>
      </c>
      <c r="Q387" s="7">
        <f t="shared" si="62"/>
        <v>6860</v>
      </c>
      <c r="S387" s="124">
        <f>SUM(D386:D387)</f>
        <v>367954610</v>
      </c>
      <c r="T387" s="124">
        <f>SUM(F386:F387)</f>
        <v>235276194</v>
      </c>
      <c r="U387" s="124">
        <f>SUM(J386:J387)</f>
        <v>2029213.1478079997</v>
      </c>
    </row>
    <row r="388" spans="1:21">
      <c r="A388" s="23" t="s">
        <v>413</v>
      </c>
      <c r="B388" s="35" t="s">
        <v>414</v>
      </c>
      <c r="C388" s="125">
        <v>6954</v>
      </c>
      <c r="D388" s="132">
        <v>396425197</v>
      </c>
      <c r="E388" s="116">
        <f t="shared" si="63"/>
        <v>57006.787029048028</v>
      </c>
      <c r="F388" s="134">
        <v>227479623</v>
      </c>
      <c r="G388" s="117">
        <f t="shared" si="64"/>
        <v>32712.053925798104</v>
      </c>
      <c r="H388" s="9"/>
      <c r="I388" s="136">
        <v>6.12</v>
      </c>
      <c r="J388" s="134">
        <v>1392175.2927600001</v>
      </c>
      <c r="K388" s="120">
        <f t="shared" si="65"/>
        <v>200.19777002588441</v>
      </c>
      <c r="L388" s="122">
        <f t="shared" si="58"/>
        <v>2274796.23</v>
      </c>
      <c r="M388" s="116">
        <f t="shared" si="59"/>
        <v>882620.93723999988</v>
      </c>
      <c r="N388" s="123">
        <f t="shared" si="60"/>
        <v>126.92276923209661</v>
      </c>
      <c r="O388" s="5"/>
      <c r="P388" s="5">
        <f t="shared" si="61"/>
        <v>1</v>
      </c>
      <c r="Q388" s="7">
        <f t="shared" si="62"/>
        <v>6954</v>
      </c>
      <c r="S388" s="124">
        <f>SUM(D388)</f>
        <v>396425197</v>
      </c>
      <c r="T388" s="124">
        <f>SUM(F388)</f>
        <v>227479623</v>
      </c>
      <c r="U388" s="124">
        <f>SUM(J388)</f>
        <v>1392175.2927600001</v>
      </c>
    </row>
    <row r="389" spans="1:21">
      <c r="A389" s="23" t="s">
        <v>415</v>
      </c>
      <c r="B389" s="35" t="s">
        <v>416</v>
      </c>
      <c r="C389" s="125">
        <v>1818</v>
      </c>
      <c r="D389" s="132">
        <v>69025565</v>
      </c>
      <c r="E389" s="116">
        <f t="shared" si="63"/>
        <v>37967.857535753574</v>
      </c>
      <c r="F389" s="134">
        <v>33320351</v>
      </c>
      <c r="G389" s="117">
        <f t="shared" si="64"/>
        <v>18328.025852585259</v>
      </c>
      <c r="H389" s="9"/>
      <c r="I389" s="136">
        <v>2.75</v>
      </c>
      <c r="J389" s="134">
        <v>91630.965249999994</v>
      </c>
      <c r="K389" s="120">
        <f t="shared" si="65"/>
        <v>50.402071094609461</v>
      </c>
      <c r="L389" s="122">
        <f t="shared" si="58"/>
        <v>333203.51</v>
      </c>
      <c r="M389" s="116">
        <f t="shared" si="59"/>
        <v>241572.54475</v>
      </c>
      <c r="N389" s="123">
        <f t="shared" si="60"/>
        <v>132.87818743124313</v>
      </c>
      <c r="O389" s="5"/>
      <c r="P389" s="5">
        <f t="shared" si="61"/>
        <v>1</v>
      </c>
      <c r="Q389" s="7">
        <f t="shared" si="62"/>
        <v>1818</v>
      </c>
    </row>
    <row r="390" spans="1:21">
      <c r="A390" s="23" t="s">
        <v>417</v>
      </c>
      <c r="B390" s="35" t="s">
        <v>416</v>
      </c>
      <c r="C390" s="125">
        <v>258</v>
      </c>
      <c r="D390" s="147" t="s">
        <v>564</v>
      </c>
      <c r="E390" s="116"/>
      <c r="F390" s="134"/>
      <c r="G390" s="117"/>
      <c r="H390" s="98" t="s">
        <v>588</v>
      </c>
      <c r="I390" s="136"/>
      <c r="J390" s="134"/>
      <c r="K390" s="120"/>
      <c r="L390" s="122">
        <f t="shared" si="58"/>
        <v>0</v>
      </c>
      <c r="M390" s="116">
        <f t="shared" si="59"/>
        <v>0</v>
      </c>
      <c r="N390" s="123">
        <f t="shared" si="60"/>
        <v>0</v>
      </c>
      <c r="O390" s="5"/>
      <c r="P390" s="5">
        <f t="shared" si="61"/>
        <v>0</v>
      </c>
      <c r="Q390" s="7">
        <f t="shared" si="62"/>
        <v>0</v>
      </c>
    </row>
    <row r="391" spans="1:21">
      <c r="A391" s="23" t="s">
        <v>418</v>
      </c>
      <c r="B391" s="35" t="s">
        <v>416</v>
      </c>
      <c r="C391" s="125">
        <v>322</v>
      </c>
      <c r="D391" s="132">
        <v>13277133</v>
      </c>
      <c r="E391" s="116">
        <f t="shared" ref="E391:E407" si="66">(D391/C391)</f>
        <v>41233.332298136644</v>
      </c>
      <c r="F391" s="134">
        <v>6669051</v>
      </c>
      <c r="G391" s="117">
        <f t="shared" ref="G391:G407" si="67">(F391/C391)</f>
        <v>20711.338509316771</v>
      </c>
      <c r="H391" s="7"/>
      <c r="I391" s="150">
        <v>1.4924999999999999</v>
      </c>
      <c r="J391" s="134">
        <v>9953.5586174999989</v>
      </c>
      <c r="K391" s="120">
        <f t="shared" ref="K391:K407" si="68">(J391/C391)</f>
        <v>30.911672725155277</v>
      </c>
      <c r="L391" s="122">
        <f t="shared" ref="L391:L417" si="69">(F391*0.01)</f>
        <v>66690.509999999995</v>
      </c>
      <c r="M391" s="116">
        <f t="shared" ref="M391:M417" si="70">(L391-J391)</f>
        <v>56736.951382499996</v>
      </c>
      <c r="N391" s="123">
        <f t="shared" ref="N391:N417" si="71">(M391/C391)</f>
        <v>176.20171236801241</v>
      </c>
      <c r="O391" s="5"/>
      <c r="P391" s="5">
        <f t="shared" si="61"/>
        <v>1</v>
      </c>
      <c r="Q391" s="7">
        <f t="shared" si="62"/>
        <v>322</v>
      </c>
      <c r="S391" s="124">
        <f>SUM(D389:D391)</f>
        <v>82302698</v>
      </c>
      <c r="T391" s="124">
        <f>SUM(F389:F391)</f>
        <v>39989402</v>
      </c>
      <c r="U391" s="124">
        <f>SUM(J389:J391)</f>
        <v>101584.52386749999</v>
      </c>
    </row>
    <row r="392" spans="1:21">
      <c r="A392" s="23" t="s">
        <v>419</v>
      </c>
      <c r="B392" s="35" t="s">
        <v>420</v>
      </c>
      <c r="C392" s="125">
        <v>65569</v>
      </c>
      <c r="D392" s="132">
        <v>7324112216</v>
      </c>
      <c r="E392" s="116">
        <f t="shared" si="66"/>
        <v>111700.8375299303</v>
      </c>
      <c r="F392" s="134">
        <v>4332352736</v>
      </c>
      <c r="G392" s="117">
        <f t="shared" si="67"/>
        <v>66073.186048285017</v>
      </c>
      <c r="H392" s="7"/>
      <c r="I392" s="136">
        <v>6.3333000000000004</v>
      </c>
      <c r="J392" s="134">
        <v>27438089.582908802</v>
      </c>
      <c r="K392" s="120">
        <f t="shared" si="68"/>
        <v>418.46130919960348</v>
      </c>
      <c r="L392" s="122">
        <f t="shared" si="69"/>
        <v>43323527.359999999</v>
      </c>
      <c r="M392" s="116">
        <f t="shared" si="70"/>
        <v>15885437.777091198</v>
      </c>
      <c r="N392" s="123">
        <f t="shared" si="71"/>
        <v>242.27055128324662</v>
      </c>
      <c r="O392" s="5"/>
      <c r="P392" s="5">
        <f t="shared" ref="P392:P417" si="72">IF(I392&gt;0,1,0)</f>
        <v>1</v>
      </c>
      <c r="Q392" s="7">
        <f t="shared" ref="Q392:Q417" si="73">IF(I392&gt;0,C392,0)</f>
        <v>65569</v>
      </c>
    </row>
    <row r="393" spans="1:21">
      <c r="A393" s="23" t="s">
        <v>421</v>
      </c>
      <c r="B393" s="35" t="s">
        <v>420</v>
      </c>
      <c r="C393" s="125">
        <v>4288</v>
      </c>
      <c r="D393" s="132">
        <v>1796600807</v>
      </c>
      <c r="E393" s="116">
        <f t="shared" si="66"/>
        <v>418983.39715485077</v>
      </c>
      <c r="F393" s="134">
        <v>1528146719</v>
      </c>
      <c r="G393" s="117">
        <f t="shared" si="67"/>
        <v>356377.49976679106</v>
      </c>
      <c r="H393" s="7"/>
      <c r="I393" s="136">
        <v>5.23</v>
      </c>
      <c r="J393" s="134">
        <v>7992207.3403700013</v>
      </c>
      <c r="K393" s="120">
        <f t="shared" si="68"/>
        <v>1863.8543237803174</v>
      </c>
      <c r="L393" s="122">
        <f t="shared" si="69"/>
        <v>15281467.189999999</v>
      </c>
      <c r="M393" s="116">
        <f t="shared" si="70"/>
        <v>7289259.8496299982</v>
      </c>
      <c r="N393" s="123">
        <f t="shared" si="71"/>
        <v>1699.9206738875928</v>
      </c>
      <c r="O393" s="5"/>
      <c r="P393" s="5">
        <f t="shared" si="72"/>
        <v>1</v>
      </c>
      <c r="Q393" s="7">
        <f t="shared" si="73"/>
        <v>4288</v>
      </c>
    </row>
    <row r="394" spans="1:21">
      <c r="A394" s="23" t="s">
        <v>462</v>
      </c>
      <c r="B394" s="35" t="s">
        <v>420</v>
      </c>
      <c r="C394" s="125">
        <v>20434</v>
      </c>
      <c r="D394" s="132">
        <v>2311263535</v>
      </c>
      <c r="E394" s="116">
        <f t="shared" si="66"/>
        <v>113108.71757854556</v>
      </c>
      <c r="F394" s="134">
        <v>1655094092</v>
      </c>
      <c r="G394" s="117">
        <f t="shared" si="67"/>
        <v>80997.068219633948</v>
      </c>
      <c r="H394" s="7"/>
      <c r="I394" s="136">
        <v>2.9247000000000001</v>
      </c>
      <c r="J394" s="134">
        <v>4840653.6908724001</v>
      </c>
      <c r="K394" s="120">
        <f t="shared" si="68"/>
        <v>236.89212542196339</v>
      </c>
      <c r="L394" s="122">
        <f t="shared" si="69"/>
        <v>16550940.92</v>
      </c>
      <c r="M394" s="116">
        <f t="shared" si="70"/>
        <v>11710287.229127601</v>
      </c>
      <c r="N394" s="123">
        <f t="shared" si="71"/>
        <v>573.07855677437612</v>
      </c>
      <c r="O394" s="5"/>
      <c r="P394" s="5">
        <f t="shared" si="72"/>
        <v>1</v>
      </c>
      <c r="Q394" s="7">
        <f t="shared" si="73"/>
        <v>20434</v>
      </c>
    </row>
    <row r="395" spans="1:21">
      <c r="A395" s="23" t="s">
        <v>463</v>
      </c>
      <c r="B395" s="35" t="s">
        <v>420</v>
      </c>
      <c r="C395" s="125">
        <v>32775</v>
      </c>
      <c r="D395" s="132">
        <v>2674183001</v>
      </c>
      <c r="E395" s="116">
        <f t="shared" si="66"/>
        <v>81592.158688024414</v>
      </c>
      <c r="F395" s="134">
        <v>1597759053</v>
      </c>
      <c r="G395" s="117">
        <f t="shared" si="67"/>
        <v>48749.322745995421</v>
      </c>
      <c r="H395" s="7"/>
      <c r="I395" s="136">
        <v>6.8231000000000002</v>
      </c>
      <c r="J395" s="134">
        <v>10901669.794524299</v>
      </c>
      <c r="K395" s="120">
        <f t="shared" si="68"/>
        <v>332.62150402820134</v>
      </c>
      <c r="L395" s="122">
        <f t="shared" si="69"/>
        <v>15977590.530000001</v>
      </c>
      <c r="M395" s="116">
        <f t="shared" si="70"/>
        <v>5075920.7354757022</v>
      </c>
      <c r="N395" s="123">
        <f t="shared" si="71"/>
        <v>154.87172343175294</v>
      </c>
      <c r="O395" s="5"/>
      <c r="P395" s="5">
        <f t="shared" si="72"/>
        <v>1</v>
      </c>
      <c r="Q395" s="7">
        <f t="shared" si="73"/>
        <v>32775</v>
      </c>
    </row>
    <row r="396" spans="1:21">
      <c r="A396" s="23" t="s">
        <v>422</v>
      </c>
      <c r="B396" s="35" t="s">
        <v>420</v>
      </c>
      <c r="C396" s="125">
        <v>89984</v>
      </c>
      <c r="D396" s="132">
        <v>4449555450</v>
      </c>
      <c r="E396" s="116">
        <f t="shared" si="66"/>
        <v>49448.295808143666</v>
      </c>
      <c r="F396" s="134">
        <v>2107581498</v>
      </c>
      <c r="G396" s="117">
        <f t="shared" si="67"/>
        <v>23421.73606418919</v>
      </c>
      <c r="H396" s="7"/>
      <c r="I396" s="136">
        <v>7.85</v>
      </c>
      <c r="J396" s="134">
        <v>16544514.759299999</v>
      </c>
      <c r="K396" s="120">
        <f t="shared" si="68"/>
        <v>183.86062810388512</v>
      </c>
      <c r="L396" s="122">
        <f t="shared" si="69"/>
        <v>21075814.98</v>
      </c>
      <c r="M396" s="116">
        <f t="shared" si="70"/>
        <v>4531300.2207000013</v>
      </c>
      <c r="N396" s="123">
        <f t="shared" si="71"/>
        <v>50.356732538006774</v>
      </c>
      <c r="O396" s="5"/>
      <c r="P396" s="5">
        <f t="shared" si="72"/>
        <v>1</v>
      </c>
      <c r="Q396" s="7">
        <f t="shared" si="73"/>
        <v>89984</v>
      </c>
    </row>
    <row r="397" spans="1:21">
      <c r="A397" s="23" t="s">
        <v>423</v>
      </c>
      <c r="B397" s="35" t="s">
        <v>420</v>
      </c>
      <c r="C397" s="125">
        <v>21509</v>
      </c>
      <c r="D397" s="132">
        <v>1565388333</v>
      </c>
      <c r="E397" s="116">
        <f t="shared" si="66"/>
        <v>72778.294341903384</v>
      </c>
      <c r="F397" s="134">
        <v>864379434</v>
      </c>
      <c r="G397" s="117">
        <f t="shared" si="67"/>
        <v>40186.872193035473</v>
      </c>
      <c r="H397" s="7"/>
      <c r="I397" s="136">
        <v>6.7</v>
      </c>
      <c r="J397" s="134">
        <v>5791342.2078</v>
      </c>
      <c r="K397" s="120">
        <f t="shared" si="68"/>
        <v>269.25204369333767</v>
      </c>
      <c r="L397" s="122">
        <f t="shared" si="69"/>
        <v>8643794.3399999999</v>
      </c>
      <c r="M397" s="116">
        <f t="shared" si="70"/>
        <v>2852452.1321999999</v>
      </c>
      <c r="N397" s="123">
        <f t="shared" si="71"/>
        <v>132.61667823701706</v>
      </c>
      <c r="O397" s="5"/>
      <c r="P397" s="5">
        <f t="shared" si="72"/>
        <v>1</v>
      </c>
      <c r="Q397" s="7">
        <f t="shared" si="73"/>
        <v>21509</v>
      </c>
    </row>
    <row r="398" spans="1:21">
      <c r="A398" s="23" t="s">
        <v>424</v>
      </c>
      <c r="B398" s="35" t="s">
        <v>420</v>
      </c>
      <c r="C398" s="125">
        <v>11890</v>
      </c>
      <c r="D398" s="132">
        <v>811581388</v>
      </c>
      <c r="E398" s="116">
        <f t="shared" si="66"/>
        <v>68257.475862068968</v>
      </c>
      <c r="F398" s="134">
        <v>574410698</v>
      </c>
      <c r="G398" s="117">
        <f t="shared" si="67"/>
        <v>48310.403532380151</v>
      </c>
      <c r="H398" s="7"/>
      <c r="I398" s="136">
        <v>6.8948999999999998</v>
      </c>
      <c r="J398" s="134">
        <v>3960504.3216401995</v>
      </c>
      <c r="K398" s="120">
        <f t="shared" si="68"/>
        <v>333.09540131540786</v>
      </c>
      <c r="L398" s="122">
        <f t="shared" si="69"/>
        <v>5744106.9800000004</v>
      </c>
      <c r="M398" s="116">
        <f t="shared" si="70"/>
        <v>1783602.6583598009</v>
      </c>
      <c r="N398" s="123">
        <f t="shared" si="71"/>
        <v>150.0086340083937</v>
      </c>
      <c r="O398" s="5"/>
      <c r="P398" s="5">
        <f t="shared" si="72"/>
        <v>1</v>
      </c>
      <c r="Q398" s="7">
        <f t="shared" si="73"/>
        <v>11890</v>
      </c>
    </row>
    <row r="399" spans="1:21">
      <c r="A399" s="23" t="s">
        <v>425</v>
      </c>
      <c r="B399" s="35" t="s">
        <v>420</v>
      </c>
      <c r="C399" s="125">
        <v>2691</v>
      </c>
      <c r="D399" s="132">
        <v>167392833</v>
      </c>
      <c r="E399" s="116">
        <f t="shared" si="66"/>
        <v>62204.69453734671</v>
      </c>
      <c r="F399" s="134">
        <v>86298469</v>
      </c>
      <c r="G399" s="117">
        <f t="shared" si="67"/>
        <v>32069.293571163136</v>
      </c>
      <c r="H399" s="7"/>
      <c r="I399" s="136">
        <v>7.8</v>
      </c>
      <c r="J399" s="134">
        <v>673128.05819999997</v>
      </c>
      <c r="K399" s="120">
        <f t="shared" si="68"/>
        <v>250.14048985507245</v>
      </c>
      <c r="L399" s="122">
        <f t="shared" si="69"/>
        <v>862984.69000000006</v>
      </c>
      <c r="M399" s="116">
        <f t="shared" si="70"/>
        <v>189856.63180000009</v>
      </c>
      <c r="N399" s="123">
        <f t="shared" si="71"/>
        <v>70.552445856558933</v>
      </c>
      <c r="O399" s="5"/>
      <c r="P399" s="5">
        <f t="shared" si="72"/>
        <v>1</v>
      </c>
      <c r="Q399" s="7">
        <f t="shared" si="73"/>
        <v>2691</v>
      </c>
    </row>
    <row r="400" spans="1:21">
      <c r="A400" s="23" t="s">
        <v>426</v>
      </c>
      <c r="B400" s="35" t="s">
        <v>420</v>
      </c>
      <c r="C400" s="125">
        <v>25803</v>
      </c>
      <c r="D400" s="132">
        <v>5035140011</v>
      </c>
      <c r="E400" s="116">
        <f t="shared" si="66"/>
        <v>195137.77510367011</v>
      </c>
      <c r="F400" s="134">
        <v>3430482282</v>
      </c>
      <c r="G400" s="117">
        <f t="shared" si="67"/>
        <v>132948.97035228461</v>
      </c>
      <c r="H400" s="7"/>
      <c r="I400" s="136">
        <v>3.6810999999999998</v>
      </c>
      <c r="J400" s="134">
        <v>12627948.328270199</v>
      </c>
      <c r="K400" s="120">
        <f t="shared" si="68"/>
        <v>489.39845476379486</v>
      </c>
      <c r="L400" s="122">
        <f t="shared" si="69"/>
        <v>34304822.82</v>
      </c>
      <c r="M400" s="116">
        <f t="shared" si="70"/>
        <v>21676874.491729803</v>
      </c>
      <c r="N400" s="123">
        <f t="shared" si="71"/>
        <v>840.09124875905138</v>
      </c>
      <c r="O400" s="5"/>
      <c r="P400" s="5">
        <f t="shared" si="72"/>
        <v>1</v>
      </c>
      <c r="Q400" s="7">
        <f t="shared" si="73"/>
        <v>25803</v>
      </c>
    </row>
    <row r="401" spans="1:21">
      <c r="A401" s="23" t="s">
        <v>427</v>
      </c>
      <c r="B401" s="35" t="s">
        <v>420</v>
      </c>
      <c r="C401" s="125">
        <v>1994</v>
      </c>
      <c r="D401" s="132">
        <v>190602037</v>
      </c>
      <c r="E401" s="116">
        <f t="shared" si="66"/>
        <v>95587.781845536607</v>
      </c>
      <c r="F401" s="134">
        <v>102332783</v>
      </c>
      <c r="G401" s="117">
        <f t="shared" si="67"/>
        <v>51320.352557673017</v>
      </c>
      <c r="H401" s="7"/>
      <c r="I401" s="136">
        <v>5.6820000000000004</v>
      </c>
      <c r="J401" s="134">
        <v>581454.87300600007</v>
      </c>
      <c r="K401" s="120">
        <f t="shared" si="68"/>
        <v>291.60224323269813</v>
      </c>
      <c r="L401" s="122">
        <f t="shared" si="69"/>
        <v>1023327.8300000001</v>
      </c>
      <c r="M401" s="116">
        <f t="shared" si="70"/>
        <v>441872.95699400001</v>
      </c>
      <c r="N401" s="123">
        <f t="shared" si="71"/>
        <v>221.60128234403209</v>
      </c>
      <c r="O401" s="5"/>
      <c r="P401" s="5">
        <f t="shared" si="72"/>
        <v>1</v>
      </c>
      <c r="Q401" s="7">
        <f t="shared" si="73"/>
        <v>1994</v>
      </c>
    </row>
    <row r="402" spans="1:21">
      <c r="A402" s="23" t="s">
        <v>428</v>
      </c>
      <c r="B402" s="35" t="s">
        <v>420</v>
      </c>
      <c r="C402" s="125">
        <v>11850</v>
      </c>
      <c r="D402" s="132">
        <v>940577438</v>
      </c>
      <c r="E402" s="116">
        <f t="shared" si="66"/>
        <v>79373.623459915616</v>
      </c>
      <c r="F402" s="134">
        <v>631810347</v>
      </c>
      <c r="G402" s="117">
        <f t="shared" si="67"/>
        <v>53317.328860759495</v>
      </c>
      <c r="H402" s="7"/>
      <c r="I402" s="136">
        <v>8.0649999999999995</v>
      </c>
      <c r="J402" s="134">
        <v>5095550.4485549992</v>
      </c>
      <c r="K402" s="120">
        <f t="shared" si="68"/>
        <v>430.00425726202525</v>
      </c>
      <c r="L402" s="122">
        <f t="shared" si="69"/>
        <v>6318103.4699999997</v>
      </c>
      <c r="M402" s="116">
        <f t="shared" si="70"/>
        <v>1222553.0214450005</v>
      </c>
      <c r="N402" s="123">
        <f t="shared" si="71"/>
        <v>103.16903134556966</v>
      </c>
      <c r="O402" s="5"/>
      <c r="P402" s="5">
        <f t="shared" si="72"/>
        <v>1</v>
      </c>
      <c r="Q402" s="7">
        <f t="shared" si="73"/>
        <v>11850</v>
      </c>
    </row>
    <row r="403" spans="1:21">
      <c r="A403" s="23" t="s">
        <v>429</v>
      </c>
      <c r="B403" s="35" t="s">
        <v>420</v>
      </c>
      <c r="C403" s="125">
        <v>40722</v>
      </c>
      <c r="D403" s="132">
        <v>4754115453</v>
      </c>
      <c r="E403" s="116">
        <f t="shared" si="66"/>
        <v>116745.62774421688</v>
      </c>
      <c r="F403" s="134">
        <v>3241257203</v>
      </c>
      <c r="G403" s="117">
        <f t="shared" si="67"/>
        <v>79594.744929030989</v>
      </c>
      <c r="H403" s="7"/>
      <c r="I403" s="136">
        <v>4.2843</v>
      </c>
      <c r="J403" s="134">
        <v>13886518.2348129</v>
      </c>
      <c r="K403" s="120">
        <f t="shared" si="68"/>
        <v>341.00776569944748</v>
      </c>
      <c r="L403" s="122">
        <f t="shared" si="69"/>
        <v>32412572.030000001</v>
      </c>
      <c r="M403" s="116">
        <f t="shared" si="70"/>
        <v>18526053.795187101</v>
      </c>
      <c r="N403" s="123">
        <f t="shared" si="71"/>
        <v>454.93968359086244</v>
      </c>
      <c r="O403" s="5"/>
      <c r="P403" s="5">
        <f t="shared" si="72"/>
        <v>1</v>
      </c>
      <c r="Q403" s="7">
        <f t="shared" si="73"/>
        <v>40722</v>
      </c>
    </row>
    <row r="404" spans="1:21">
      <c r="A404" s="23" t="s">
        <v>430</v>
      </c>
      <c r="B404" s="35" t="s">
        <v>420</v>
      </c>
      <c r="C404" s="125">
        <v>1745</v>
      </c>
      <c r="D404" s="132">
        <v>113004215</v>
      </c>
      <c r="E404" s="116">
        <f t="shared" si="66"/>
        <v>64758.862464183381</v>
      </c>
      <c r="F404" s="134">
        <v>48395534</v>
      </c>
      <c r="G404" s="117">
        <f t="shared" si="67"/>
        <v>27733.830372492837</v>
      </c>
      <c r="H404" s="7"/>
      <c r="I404" s="136">
        <v>5.8357999999999999</v>
      </c>
      <c r="J404" s="134">
        <v>282426.65731719998</v>
      </c>
      <c r="K404" s="120">
        <f t="shared" si="68"/>
        <v>161.84908728779368</v>
      </c>
      <c r="L404" s="122">
        <f t="shared" si="69"/>
        <v>483955.34</v>
      </c>
      <c r="M404" s="116">
        <f t="shared" si="70"/>
        <v>201528.68268280005</v>
      </c>
      <c r="N404" s="123">
        <f t="shared" si="71"/>
        <v>115.4892164371347</v>
      </c>
      <c r="O404" s="5"/>
      <c r="P404" s="5">
        <f t="shared" si="72"/>
        <v>1</v>
      </c>
      <c r="Q404" s="7">
        <f t="shared" si="73"/>
        <v>1745</v>
      </c>
    </row>
    <row r="405" spans="1:21">
      <c r="A405" s="23" t="s">
        <v>431</v>
      </c>
      <c r="B405" s="35" t="s">
        <v>420</v>
      </c>
      <c r="C405" s="125">
        <v>3084</v>
      </c>
      <c r="D405" s="132">
        <v>1083733564</v>
      </c>
      <c r="E405" s="116">
        <f t="shared" si="66"/>
        <v>351405.17639429314</v>
      </c>
      <c r="F405" s="134">
        <v>818547231</v>
      </c>
      <c r="G405" s="117">
        <f t="shared" si="67"/>
        <v>265417.39007782104</v>
      </c>
      <c r="H405" s="7"/>
      <c r="I405" s="136">
        <v>5.65</v>
      </c>
      <c r="J405" s="134">
        <v>4624791.8551500002</v>
      </c>
      <c r="K405" s="120">
        <f t="shared" si="68"/>
        <v>1499.6082539396887</v>
      </c>
      <c r="L405" s="122">
        <f t="shared" si="69"/>
        <v>8185472.3100000005</v>
      </c>
      <c r="M405" s="116">
        <f t="shared" si="70"/>
        <v>3560680.4548500003</v>
      </c>
      <c r="N405" s="123">
        <f t="shared" si="71"/>
        <v>1154.5656468385216</v>
      </c>
      <c r="O405" s="5"/>
      <c r="P405" s="5">
        <f t="shared" si="72"/>
        <v>1</v>
      </c>
      <c r="Q405" s="7">
        <f t="shared" si="73"/>
        <v>3084</v>
      </c>
    </row>
    <row r="406" spans="1:21">
      <c r="A406" s="23" t="s">
        <v>432</v>
      </c>
      <c r="B406" s="35" t="s">
        <v>420</v>
      </c>
      <c r="C406" s="125">
        <v>59625</v>
      </c>
      <c r="D406" s="132">
        <v>4740502540</v>
      </c>
      <c r="E406" s="116">
        <f t="shared" si="66"/>
        <v>79505.283689727468</v>
      </c>
      <c r="F406" s="134">
        <v>2988336202</v>
      </c>
      <c r="G406" s="117">
        <f t="shared" si="67"/>
        <v>50118.846155136271</v>
      </c>
      <c r="H406" s="7"/>
      <c r="I406" s="136">
        <v>4.4881000000000002</v>
      </c>
      <c r="J406" s="134">
        <v>13411951.7081962</v>
      </c>
      <c r="K406" s="120">
        <f t="shared" si="68"/>
        <v>224.9383934288671</v>
      </c>
      <c r="L406" s="122">
        <f t="shared" si="69"/>
        <v>29883362.02</v>
      </c>
      <c r="M406" s="116">
        <f t="shared" si="70"/>
        <v>16471410.311803799</v>
      </c>
      <c r="N406" s="123">
        <f t="shared" si="71"/>
        <v>276.25006812249558</v>
      </c>
      <c r="O406" s="5"/>
      <c r="P406" s="5">
        <f t="shared" si="72"/>
        <v>1</v>
      </c>
      <c r="Q406" s="7">
        <f t="shared" si="73"/>
        <v>59625</v>
      </c>
    </row>
    <row r="407" spans="1:21">
      <c r="A407" s="23" t="s">
        <v>433</v>
      </c>
      <c r="B407" s="35" t="s">
        <v>420</v>
      </c>
      <c r="C407" s="125">
        <v>12677</v>
      </c>
      <c r="D407" s="132">
        <v>847489043</v>
      </c>
      <c r="E407" s="116">
        <f t="shared" si="66"/>
        <v>66852.492151139857</v>
      </c>
      <c r="F407" s="134">
        <v>535122852</v>
      </c>
      <c r="G407" s="117">
        <f t="shared" si="67"/>
        <v>42212.104756645895</v>
      </c>
      <c r="H407" s="9"/>
      <c r="I407" s="136">
        <v>7.8</v>
      </c>
      <c r="J407" s="134">
        <v>4173958.2456</v>
      </c>
      <c r="K407" s="120">
        <f t="shared" si="68"/>
        <v>329.25441710183799</v>
      </c>
      <c r="L407" s="122">
        <f t="shared" si="69"/>
        <v>5351228.5200000005</v>
      </c>
      <c r="M407" s="116">
        <f t="shared" si="70"/>
        <v>1177270.2744000005</v>
      </c>
      <c r="N407" s="123">
        <f t="shared" si="71"/>
        <v>92.866630464620997</v>
      </c>
      <c r="O407" s="5"/>
      <c r="P407" s="5">
        <f t="shared" si="72"/>
        <v>1</v>
      </c>
      <c r="Q407" s="7">
        <f t="shared" si="73"/>
        <v>12677</v>
      </c>
      <c r="S407" s="124">
        <f>SUM(D392:D407)</f>
        <v>38805241864</v>
      </c>
      <c r="T407" s="124">
        <f>SUM(F392:F407)</f>
        <v>24542307133</v>
      </c>
      <c r="U407" s="124">
        <f>SUM(J392:J407)</f>
        <v>132826710.1065232</v>
      </c>
    </row>
    <row r="408" spans="1:21">
      <c r="A408" s="23" t="s">
        <v>435</v>
      </c>
      <c r="B408" s="35" t="s">
        <v>434</v>
      </c>
      <c r="C408" s="125">
        <v>469</v>
      </c>
      <c r="D408" s="147" t="s">
        <v>564</v>
      </c>
      <c r="E408" s="116"/>
      <c r="F408" s="134"/>
      <c r="G408" s="117"/>
      <c r="H408" s="98" t="s">
        <v>588</v>
      </c>
      <c r="I408" s="136"/>
      <c r="J408" s="134"/>
      <c r="K408" s="120"/>
      <c r="L408" s="122">
        <f t="shared" si="69"/>
        <v>0</v>
      </c>
      <c r="M408" s="116">
        <f t="shared" si="70"/>
        <v>0</v>
      </c>
      <c r="N408" s="123">
        <f t="shared" si="71"/>
        <v>0</v>
      </c>
      <c r="O408" s="5"/>
      <c r="P408" s="5">
        <f t="shared" si="72"/>
        <v>0</v>
      </c>
      <c r="Q408" s="7">
        <f t="shared" si="73"/>
        <v>0</v>
      </c>
    </row>
    <row r="409" spans="1:21">
      <c r="A409" s="24" t="s">
        <v>555</v>
      </c>
      <c r="B409" s="35" t="s">
        <v>434</v>
      </c>
      <c r="C409" s="125">
        <v>275</v>
      </c>
      <c r="D409" s="132">
        <v>45103211</v>
      </c>
      <c r="E409" s="116">
        <f>(D409/C409)</f>
        <v>164011.67636363636</v>
      </c>
      <c r="F409" s="134">
        <v>30028326</v>
      </c>
      <c r="G409" s="117">
        <f>(F409/C409)</f>
        <v>109193.91272727272</v>
      </c>
      <c r="H409" s="9"/>
      <c r="I409" s="136">
        <v>4.8421000000000003</v>
      </c>
      <c r="J409" s="134">
        <v>145400.1573246</v>
      </c>
      <c r="K409" s="120">
        <f>(J409/C409)</f>
        <v>528.72784481672727</v>
      </c>
      <c r="L409" s="122">
        <f t="shared" si="69"/>
        <v>300283.26</v>
      </c>
      <c r="M409" s="116">
        <f t="shared" si="70"/>
        <v>154883.1026754</v>
      </c>
      <c r="N409" s="123">
        <f t="shared" si="71"/>
        <v>563.21128245600005</v>
      </c>
      <c r="O409" s="5"/>
      <c r="P409" s="5">
        <f t="shared" si="72"/>
        <v>1</v>
      </c>
      <c r="Q409" s="7">
        <f t="shared" si="73"/>
        <v>275</v>
      </c>
      <c r="S409" s="124">
        <f>SUM(D408:D409)</f>
        <v>45103211</v>
      </c>
      <c r="T409" s="124">
        <f>SUM(F408:F409)</f>
        <v>30028326</v>
      </c>
      <c r="U409" s="124">
        <f>SUM(J408:J409)</f>
        <v>145400.1573246</v>
      </c>
    </row>
    <row r="410" spans="1:21">
      <c r="A410" s="23" t="s">
        <v>436</v>
      </c>
      <c r="B410" s="35" t="s">
        <v>437</v>
      </c>
      <c r="C410" s="125">
        <v>5471</v>
      </c>
      <c r="D410" s="132">
        <v>328373384</v>
      </c>
      <c r="E410" s="116">
        <f>(D410/C410)</f>
        <v>60020.724547614693</v>
      </c>
      <c r="F410" s="134">
        <v>222742656</v>
      </c>
      <c r="G410" s="117">
        <f>(F410/C410)</f>
        <v>40713.335039298116</v>
      </c>
      <c r="H410" s="9"/>
      <c r="I410" s="150">
        <v>4.5</v>
      </c>
      <c r="J410" s="134">
        <v>1002341.952</v>
      </c>
      <c r="K410" s="120">
        <f>(J410/C410)</f>
        <v>183.21000767684154</v>
      </c>
      <c r="L410" s="122">
        <f t="shared" si="69"/>
        <v>2227426.56</v>
      </c>
      <c r="M410" s="116">
        <f t="shared" si="70"/>
        <v>1225084.608</v>
      </c>
      <c r="N410" s="123">
        <f t="shared" si="71"/>
        <v>223.92334271613964</v>
      </c>
      <c r="O410" s="5"/>
      <c r="P410" s="5">
        <f t="shared" si="72"/>
        <v>1</v>
      </c>
      <c r="Q410" s="7">
        <f t="shared" si="73"/>
        <v>5471</v>
      </c>
    </row>
    <row r="411" spans="1:21">
      <c r="A411" s="23" t="s">
        <v>438</v>
      </c>
      <c r="B411" s="35" t="s">
        <v>437</v>
      </c>
      <c r="C411" s="125">
        <v>3240</v>
      </c>
      <c r="D411" s="132">
        <v>339775097</v>
      </c>
      <c r="E411" s="116">
        <f>(D411/C411)</f>
        <v>104868.85709876544</v>
      </c>
      <c r="F411" s="134">
        <v>257349340</v>
      </c>
      <c r="G411" s="117">
        <f>(F411/C411)</f>
        <v>79428.808641975309</v>
      </c>
      <c r="H411" s="9"/>
      <c r="I411" s="150">
        <v>4.7302</v>
      </c>
      <c r="J411" s="134">
        <v>1217313.8480680001</v>
      </c>
      <c r="K411" s="120">
        <f>(J411/C411)</f>
        <v>375.71415063827163</v>
      </c>
      <c r="L411" s="122">
        <f t="shared" si="69"/>
        <v>2573493.4</v>
      </c>
      <c r="M411" s="116">
        <f t="shared" si="70"/>
        <v>1356179.5519319999</v>
      </c>
      <c r="N411" s="123">
        <f t="shared" si="71"/>
        <v>418.57393578148145</v>
      </c>
      <c r="O411" s="5"/>
      <c r="P411" s="5">
        <f t="shared" si="72"/>
        <v>1</v>
      </c>
      <c r="Q411" s="7">
        <f t="shared" si="73"/>
        <v>3240</v>
      </c>
    </row>
    <row r="412" spans="1:21">
      <c r="A412" s="23" t="s">
        <v>439</v>
      </c>
      <c r="B412" s="35" t="s">
        <v>437</v>
      </c>
      <c r="C412" s="125">
        <v>601</v>
      </c>
      <c r="D412" s="147" t="s">
        <v>564</v>
      </c>
      <c r="E412" s="116"/>
      <c r="F412" s="134"/>
      <c r="G412" s="117"/>
      <c r="H412" s="98" t="s">
        <v>588</v>
      </c>
      <c r="I412" s="136"/>
      <c r="J412" s="134"/>
      <c r="K412" s="120"/>
      <c r="L412" s="122">
        <f t="shared" si="69"/>
        <v>0</v>
      </c>
      <c r="M412" s="116">
        <f t="shared" si="70"/>
        <v>0</v>
      </c>
      <c r="N412" s="123">
        <f t="shared" si="71"/>
        <v>0</v>
      </c>
      <c r="O412" s="5"/>
      <c r="P412" s="5">
        <f t="shared" si="72"/>
        <v>0</v>
      </c>
      <c r="Q412" s="7">
        <f t="shared" si="73"/>
        <v>0</v>
      </c>
      <c r="S412" s="124">
        <f>SUM(D410:D412)</f>
        <v>668148481</v>
      </c>
      <c r="T412" s="124">
        <f>SUM(F410:F412)</f>
        <v>480091996</v>
      </c>
      <c r="U412" s="124">
        <f>SUM(J410:J412)</f>
        <v>2219655.8000680003</v>
      </c>
    </row>
    <row r="413" spans="1:21">
      <c r="A413" s="23" t="s">
        <v>440</v>
      </c>
      <c r="B413" s="35" t="s">
        <v>441</v>
      </c>
      <c r="C413" s="125">
        <v>293</v>
      </c>
      <c r="D413" s="147" t="s">
        <v>564</v>
      </c>
      <c r="E413" s="116"/>
      <c r="F413" s="134"/>
      <c r="G413" s="117"/>
      <c r="H413" s="98" t="s">
        <v>588</v>
      </c>
      <c r="I413" s="136"/>
      <c r="J413" s="134"/>
      <c r="K413" s="120"/>
      <c r="L413" s="122">
        <f t="shared" si="69"/>
        <v>0</v>
      </c>
      <c r="M413" s="116">
        <f t="shared" si="70"/>
        <v>0</v>
      </c>
      <c r="N413" s="123">
        <f t="shared" si="71"/>
        <v>0</v>
      </c>
      <c r="O413" s="5"/>
      <c r="P413" s="5">
        <f t="shared" si="72"/>
        <v>0</v>
      </c>
      <c r="Q413" s="7">
        <f t="shared" si="73"/>
        <v>0</v>
      </c>
    </row>
    <row r="414" spans="1:21">
      <c r="A414" s="23" t="s">
        <v>442</v>
      </c>
      <c r="B414" s="35" t="s">
        <v>441</v>
      </c>
      <c r="C414" s="125">
        <v>3466</v>
      </c>
      <c r="D414" s="132">
        <v>206042146</v>
      </c>
      <c r="E414" s="116">
        <f>(D414/C414)</f>
        <v>59446.666474321988</v>
      </c>
      <c r="F414" s="134">
        <v>139667394</v>
      </c>
      <c r="G414" s="117">
        <f>(F414/C414)</f>
        <v>40296.42065781881</v>
      </c>
      <c r="H414" s="9"/>
      <c r="I414" s="150">
        <v>7</v>
      </c>
      <c r="J414" s="134">
        <v>977671.75800000003</v>
      </c>
      <c r="K414" s="120">
        <f>(J414/C414)</f>
        <v>282.07494460473168</v>
      </c>
      <c r="L414" s="122">
        <f t="shared" si="69"/>
        <v>1396673.94</v>
      </c>
      <c r="M414" s="116">
        <f t="shared" si="70"/>
        <v>419002.18199999991</v>
      </c>
      <c r="N414" s="123">
        <f t="shared" si="71"/>
        <v>120.88926197345641</v>
      </c>
      <c r="O414" s="5"/>
      <c r="P414" s="5">
        <f t="shared" si="72"/>
        <v>1</v>
      </c>
      <c r="Q414" s="7">
        <f t="shared" si="73"/>
        <v>3466</v>
      </c>
    </row>
    <row r="415" spans="1:21">
      <c r="A415" s="23" t="s">
        <v>443</v>
      </c>
      <c r="B415" s="35" t="s">
        <v>441</v>
      </c>
      <c r="C415" s="125">
        <v>233</v>
      </c>
      <c r="D415" s="147" t="s">
        <v>564</v>
      </c>
      <c r="E415" s="116"/>
      <c r="F415" s="134"/>
      <c r="G415" s="117"/>
      <c r="H415" s="98" t="s">
        <v>588</v>
      </c>
      <c r="I415" s="136"/>
      <c r="J415" s="134"/>
      <c r="K415" s="120"/>
      <c r="L415" s="122">
        <f t="shared" si="69"/>
        <v>0</v>
      </c>
      <c r="M415" s="116">
        <f t="shared" si="70"/>
        <v>0</v>
      </c>
      <c r="N415" s="123">
        <f t="shared" si="71"/>
        <v>0</v>
      </c>
      <c r="O415" s="5"/>
      <c r="P415" s="5">
        <f t="shared" si="72"/>
        <v>0</v>
      </c>
      <c r="Q415" s="7">
        <f t="shared" si="73"/>
        <v>0</v>
      </c>
    </row>
    <row r="416" spans="1:21">
      <c r="A416" s="23" t="s">
        <v>444</v>
      </c>
      <c r="B416" s="35" t="s">
        <v>441</v>
      </c>
      <c r="C416" s="125">
        <v>744</v>
      </c>
      <c r="D416" s="132">
        <v>31431397</v>
      </c>
      <c r="E416" s="116">
        <f>(D416/C416)</f>
        <v>42246.50134408602</v>
      </c>
      <c r="F416" s="134">
        <v>16458464</v>
      </c>
      <c r="G416" s="117">
        <f>(F416/C416)</f>
        <v>22121.591397849461</v>
      </c>
      <c r="H416" s="9"/>
      <c r="I416" s="150">
        <v>4.8281999999999998</v>
      </c>
      <c r="J416" s="134">
        <v>79464.755884800004</v>
      </c>
      <c r="K416" s="120">
        <f>(J416/C416)</f>
        <v>106.80746758709678</v>
      </c>
      <c r="L416" s="122">
        <f t="shared" si="69"/>
        <v>164584.64000000001</v>
      </c>
      <c r="M416" s="116">
        <f t="shared" si="70"/>
        <v>85119.88411520001</v>
      </c>
      <c r="N416" s="123">
        <f t="shared" si="71"/>
        <v>114.40844639139786</v>
      </c>
      <c r="O416" s="5"/>
      <c r="P416" s="5">
        <f t="shared" si="72"/>
        <v>1</v>
      </c>
      <c r="Q416" s="7">
        <f t="shared" si="73"/>
        <v>744</v>
      </c>
    </row>
    <row r="417" spans="1:21">
      <c r="A417" s="23" t="s">
        <v>445</v>
      </c>
      <c r="B417" s="35" t="s">
        <v>441</v>
      </c>
      <c r="C417" s="125">
        <v>380</v>
      </c>
      <c r="D417" s="147" t="s">
        <v>564</v>
      </c>
      <c r="E417" s="116"/>
      <c r="F417" s="134"/>
      <c r="G417" s="117"/>
      <c r="H417" s="98" t="s">
        <v>588</v>
      </c>
      <c r="I417" s="136"/>
      <c r="J417" s="134"/>
      <c r="K417" s="120"/>
      <c r="L417" s="122">
        <f t="shared" si="69"/>
        <v>0</v>
      </c>
      <c r="M417" s="116">
        <f t="shared" si="70"/>
        <v>0</v>
      </c>
      <c r="N417" s="123">
        <f t="shared" si="71"/>
        <v>0</v>
      </c>
      <c r="O417" s="5"/>
      <c r="P417" s="5">
        <f t="shared" si="72"/>
        <v>0</v>
      </c>
      <c r="Q417" s="7">
        <f t="shared" si="73"/>
        <v>0</v>
      </c>
      <c r="S417" s="124">
        <f>SUM(D413:D417)</f>
        <v>237473543</v>
      </c>
      <c r="T417" s="124">
        <f>SUM(F413:F417)</f>
        <v>156125858</v>
      </c>
      <c r="U417" s="124">
        <f>SUM(J413:J417)</f>
        <v>1057136.5138848</v>
      </c>
    </row>
    <row r="418" spans="1:21">
      <c r="A418" s="70" t="s">
        <v>583</v>
      </c>
      <c r="B418" s="71"/>
      <c r="C418" s="72">
        <f>SUM(C6:C417)</f>
        <v>10368756</v>
      </c>
      <c r="D418" s="158">
        <f>SUM(D6:D417)</f>
        <v>1375944140149</v>
      </c>
      <c r="E418" s="74">
        <f>(D418/Q418)</f>
        <v>145614.91251945402</v>
      </c>
      <c r="F418" s="167">
        <f>SUM(F6:F417)</f>
        <v>943943173396</v>
      </c>
      <c r="G418" s="76">
        <f>(F418/Q418)</f>
        <v>99896.644497871675</v>
      </c>
      <c r="H418" s="71"/>
      <c r="I418" s="168"/>
      <c r="J418" s="169">
        <f>SUM(J6:J417)</f>
        <v>4590545207.0275745</v>
      </c>
      <c r="K418" s="79">
        <f>(J418/Q418)</f>
        <v>485.81320944143351</v>
      </c>
      <c r="L418" s="79">
        <f>SUM(L6:L417)</f>
        <v>9439431733.9600086</v>
      </c>
      <c r="M418" s="78">
        <f>SUM(M6:M417)</f>
        <v>4848886526.9324284</v>
      </c>
      <c r="N418" s="80">
        <f>(M418/Q418)</f>
        <v>513.15323553728354</v>
      </c>
      <c r="O418" s="20"/>
      <c r="P418" s="20">
        <f>SUM(P6:P417)</f>
        <v>390</v>
      </c>
      <c r="Q418" s="21">
        <f>SUM(Q6:Q417)</f>
        <v>9449198</v>
      </c>
      <c r="S418" s="124"/>
      <c r="T418" s="124"/>
      <c r="U418" s="124"/>
    </row>
    <row r="419" spans="1:21">
      <c r="A419" s="27" t="s">
        <v>453</v>
      </c>
      <c r="B419" s="13"/>
      <c r="C419" s="60">
        <f>(P418)</f>
        <v>390</v>
      </c>
      <c r="D419" s="159"/>
      <c r="E419" s="16"/>
      <c r="F419" s="141"/>
      <c r="G419" s="16"/>
      <c r="H419" s="16"/>
      <c r="I419" s="170"/>
      <c r="J419" s="159"/>
      <c r="K419" s="17"/>
      <c r="L419" s="2"/>
      <c r="M419" s="2"/>
      <c r="N419" s="63"/>
      <c r="O419" s="2"/>
      <c r="P419" s="2"/>
      <c r="Q419" s="2"/>
      <c r="S419" s="124"/>
      <c r="T419" s="124"/>
      <c r="U419" s="124"/>
    </row>
    <row r="420" spans="1:21">
      <c r="A420" s="22"/>
      <c r="B420" s="16"/>
      <c r="C420" s="16"/>
      <c r="D420" s="160"/>
      <c r="E420" s="16"/>
      <c r="F420" s="141"/>
      <c r="G420" s="16"/>
      <c r="H420" s="107"/>
      <c r="I420" s="171"/>
      <c r="J420" s="159"/>
      <c r="K420" s="17"/>
      <c r="L420" s="2"/>
      <c r="M420" s="2"/>
      <c r="N420" s="63"/>
      <c r="O420" s="2"/>
      <c r="P420" s="2"/>
      <c r="Q420" s="2"/>
      <c r="S420" s="124"/>
      <c r="T420" s="124"/>
      <c r="U420" s="124"/>
    </row>
    <row r="421" spans="1:21">
      <c r="A421" s="204" t="s">
        <v>498</v>
      </c>
      <c r="B421" s="192"/>
      <c r="C421" s="192"/>
      <c r="D421" s="192"/>
      <c r="E421" s="192"/>
      <c r="F421" s="192"/>
      <c r="G421" s="192"/>
      <c r="H421" s="192"/>
      <c r="I421" s="192"/>
      <c r="J421" s="192"/>
      <c r="K421" s="192"/>
      <c r="L421" s="192"/>
      <c r="M421" s="192"/>
      <c r="N421" s="193"/>
      <c r="O421" s="1"/>
      <c r="P421" s="1"/>
      <c r="Q421" s="1"/>
    </row>
    <row r="422" spans="1:21">
      <c r="A422" s="191" t="s">
        <v>565</v>
      </c>
      <c r="B422" s="192"/>
      <c r="C422" s="192"/>
      <c r="D422" s="192"/>
      <c r="E422" s="192"/>
      <c r="F422" s="192"/>
      <c r="G422" s="192"/>
      <c r="H422" s="192"/>
      <c r="I422" s="192"/>
      <c r="J422" s="192"/>
      <c r="K422" s="192"/>
      <c r="L422" s="192"/>
      <c r="M422" s="192"/>
      <c r="N422" s="193"/>
      <c r="O422" s="1"/>
      <c r="P422" s="1"/>
      <c r="Q422" s="1"/>
    </row>
    <row r="423" spans="1:21" ht="25.5" customHeight="1">
      <c r="A423" s="191" t="s">
        <v>577</v>
      </c>
      <c r="B423" s="192"/>
      <c r="C423" s="192"/>
      <c r="D423" s="192"/>
      <c r="E423" s="192"/>
      <c r="F423" s="192"/>
      <c r="G423" s="192"/>
      <c r="H423" s="192"/>
      <c r="I423" s="192"/>
      <c r="J423" s="192"/>
      <c r="K423" s="192"/>
      <c r="L423" s="192"/>
      <c r="M423" s="192"/>
      <c r="N423" s="193"/>
      <c r="O423" s="1"/>
      <c r="P423" s="1"/>
      <c r="Q423" s="1"/>
    </row>
    <row r="424" spans="1:21" ht="25.5" customHeight="1">
      <c r="A424" s="191" t="s">
        <v>578</v>
      </c>
      <c r="B424" s="192"/>
      <c r="C424" s="192"/>
      <c r="D424" s="192"/>
      <c r="E424" s="192"/>
      <c r="F424" s="192"/>
      <c r="G424" s="192"/>
      <c r="H424" s="192"/>
      <c r="I424" s="192"/>
      <c r="J424" s="192"/>
      <c r="K424" s="192"/>
      <c r="L424" s="192"/>
      <c r="M424" s="192"/>
      <c r="N424" s="193"/>
      <c r="O424" s="1"/>
      <c r="P424" s="1"/>
      <c r="Q424" s="1"/>
    </row>
    <row r="425" spans="1:21">
      <c r="A425" s="194"/>
      <c r="B425" s="192"/>
      <c r="C425" s="192"/>
      <c r="D425" s="192"/>
      <c r="E425" s="192"/>
      <c r="F425" s="192"/>
      <c r="G425" s="192"/>
      <c r="H425" s="192"/>
      <c r="I425" s="192"/>
      <c r="J425" s="192"/>
      <c r="K425" s="192"/>
      <c r="L425" s="192"/>
      <c r="M425" s="192"/>
      <c r="N425" s="193"/>
      <c r="O425" s="1"/>
      <c r="P425" s="1"/>
      <c r="Q425" s="1"/>
    </row>
    <row r="426" spans="1:21">
      <c r="A426" s="191" t="s">
        <v>579</v>
      </c>
      <c r="B426" s="192"/>
      <c r="C426" s="192"/>
      <c r="D426" s="192"/>
      <c r="E426" s="192"/>
      <c r="F426" s="192"/>
      <c r="G426" s="192"/>
      <c r="H426" s="192"/>
      <c r="I426" s="192"/>
      <c r="J426" s="192"/>
      <c r="K426" s="192"/>
      <c r="L426" s="192"/>
      <c r="M426" s="192"/>
      <c r="N426" s="193"/>
      <c r="O426" s="1"/>
      <c r="P426" s="1"/>
      <c r="Q426" s="1"/>
    </row>
    <row r="427" spans="1:21" ht="12.75" customHeight="1">
      <c r="A427" s="191" t="s">
        <v>619</v>
      </c>
      <c r="B427" s="192"/>
      <c r="C427" s="192"/>
      <c r="D427" s="192"/>
      <c r="E427" s="192"/>
      <c r="F427" s="192"/>
      <c r="G427" s="192"/>
      <c r="H427" s="192"/>
      <c r="I427" s="192"/>
      <c r="J427" s="192"/>
      <c r="K427" s="192"/>
      <c r="L427" s="192"/>
      <c r="M427" s="192"/>
      <c r="N427" s="193"/>
      <c r="O427" s="1"/>
      <c r="P427" s="1"/>
      <c r="Q427" s="1"/>
    </row>
    <row r="428" spans="1:21" ht="15" customHeight="1" thickBot="1">
      <c r="A428" s="188" t="s">
        <v>612</v>
      </c>
      <c r="B428" s="189"/>
      <c r="C428" s="189"/>
      <c r="D428" s="189"/>
      <c r="E428" s="189"/>
      <c r="F428" s="189"/>
      <c r="G428" s="189"/>
      <c r="H428" s="189"/>
      <c r="I428" s="189"/>
      <c r="J428" s="189"/>
      <c r="K428" s="189"/>
      <c r="L428" s="189"/>
      <c r="M428" s="189"/>
      <c r="N428" s="190"/>
      <c r="O428" s="1"/>
      <c r="P428" s="1"/>
      <c r="Q428" s="1"/>
    </row>
    <row r="429" spans="1:21">
      <c r="A429" s="4"/>
      <c r="B429" s="1"/>
      <c r="C429" s="1"/>
      <c r="D429" s="161"/>
      <c r="E429" s="1"/>
      <c r="F429" s="161"/>
      <c r="G429" s="1"/>
      <c r="H429" s="1"/>
      <c r="I429" s="172"/>
      <c r="J429" s="172"/>
      <c r="K429" s="3"/>
      <c r="L429" s="1"/>
      <c r="M429" s="1"/>
      <c r="N429" s="1"/>
      <c r="O429" s="1"/>
      <c r="P429" s="1"/>
      <c r="Q429" s="1"/>
    </row>
    <row r="430" spans="1:21">
      <c r="A430" s="4"/>
      <c r="B430" s="1"/>
      <c r="C430" s="1"/>
      <c r="D430" s="161"/>
      <c r="E430" s="1"/>
      <c r="F430" s="161"/>
      <c r="G430" s="1"/>
      <c r="H430" s="1"/>
      <c r="I430" s="172"/>
      <c r="J430" s="172"/>
      <c r="K430" s="3"/>
      <c r="L430" s="1"/>
      <c r="M430" s="1"/>
      <c r="N430" s="1"/>
      <c r="O430" s="1"/>
      <c r="P430" s="1"/>
      <c r="Q430" s="1"/>
    </row>
    <row r="431" spans="1:21">
      <c r="A431" s="2"/>
      <c r="B431" s="2"/>
      <c r="C431" s="2"/>
      <c r="D431" s="162"/>
      <c r="E431" s="2"/>
      <c r="F431" s="162"/>
      <c r="G431" s="2"/>
      <c r="H431" s="2"/>
      <c r="I431" s="162"/>
      <c r="J431" s="162"/>
      <c r="K431" s="2"/>
      <c r="L431" s="2"/>
      <c r="M431" s="2"/>
      <c r="N431" s="2"/>
      <c r="O431" s="2"/>
      <c r="P431" s="2"/>
      <c r="Q431" s="2"/>
    </row>
  </sheetData>
  <mergeCells count="12">
    <mergeCell ref="A1:N1"/>
    <mergeCell ref="D2:G2"/>
    <mergeCell ref="L2:N2"/>
    <mergeCell ref="S2:U2"/>
    <mergeCell ref="A421:N421"/>
    <mergeCell ref="A427:N427"/>
    <mergeCell ref="A428:N428"/>
    <mergeCell ref="A422:N422"/>
    <mergeCell ref="A423:N423"/>
    <mergeCell ref="A424:N424"/>
    <mergeCell ref="A425:N425"/>
    <mergeCell ref="A426:N426"/>
  </mergeCells>
  <printOptions horizontalCentered="1"/>
  <pageMargins left="0.5" right="0.5" top="0.5" bottom="0.5" header="0.3" footer="0.3"/>
  <pageSetup paperSize="5" scale="81" fitToHeight="0" orientation="landscape" r:id="rId1"/>
  <headerFooter>
    <oddFooter>&amp;L&amp;11Office of Economic and Demographic Research&amp;C&amp;11Page &amp;P of &amp;N&amp;R&amp;11April 15, 2019</oddFooter>
  </headerFooter>
  <rowBreaks count="1" manualBreakCount="1">
    <brk id="419" max="13" man="1"/>
  </rowBreaks>
  <ignoredErrors>
    <ignoredError sqref="E418 K418" formula="1"/>
    <ignoredError sqref="T16:U16 T23:U23 S27:U27 T43:U43 S74:U74 T76:U76 S79:U79 T83:U83 T88:U88 S91:U91 T96:U96 S98:U98 S103:U103 S105:U105 S111:U111 S114:U114 S117:U117 S120:U120 S123:U123 S125:U125 S127:U127 S130:U130 S133:U133 T138:U138 T154:U154 S170:U170 S176:U176 S184:U184 S188:U188 S194:U194 T199:U199 S237:U237 S203 S242:U242 S245:U245 S254:U254 S268:U268 S270:U270 T309:U309 S315:U315 T339:U339 S356:U356 S361:U361 S364:U364 S367:U367 S374:U374 S377:U377 S380:U380 S385:U385 S387:U388 T391:U391 S407:U407 T409:U409 T412:U412"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U430"/>
  <sheetViews>
    <sheetView workbookViewId="0">
      <selection sqref="A1:N1"/>
    </sheetView>
  </sheetViews>
  <sheetFormatPr defaultRowHeight="12.75"/>
  <cols>
    <col min="1" max="1" width="25.7109375" customWidth="1"/>
    <col min="2" max="2" width="16.7109375" customWidth="1"/>
    <col min="3" max="3" width="11.7109375" customWidth="1"/>
    <col min="4" max="4" width="18.7109375" customWidth="1"/>
    <col min="5" max="5" width="13.7109375" customWidth="1"/>
    <col min="6" max="6" width="17.7109375" customWidth="1"/>
    <col min="7" max="7" width="13.7109375" customWidth="1"/>
    <col min="8" max="8" width="1.7109375" customWidth="1"/>
    <col min="9" max="9" width="10.7109375" customWidth="1"/>
    <col min="10" max="10" width="15.7109375" customWidth="1"/>
    <col min="11" max="11" width="13.7109375" customWidth="1"/>
    <col min="12" max="13" width="15.7109375" customWidth="1"/>
    <col min="14" max="14" width="14.7109375" customWidth="1"/>
    <col min="15" max="15" width="2.7109375" customWidth="1"/>
    <col min="16" max="16" width="4.5703125" customWidth="1"/>
    <col min="17" max="17" width="10.7109375" customWidth="1"/>
    <col min="19" max="20" width="17.7109375" customWidth="1"/>
    <col min="21" max="21" width="16.7109375" customWidth="1"/>
  </cols>
  <sheetData>
    <row r="1" spans="1:21" ht="26.25">
      <c r="A1" s="197" t="s">
        <v>606</v>
      </c>
      <c r="B1" s="198"/>
      <c r="C1" s="198"/>
      <c r="D1" s="198"/>
      <c r="E1" s="198"/>
      <c r="F1" s="198"/>
      <c r="G1" s="198"/>
      <c r="H1" s="198"/>
      <c r="I1" s="198"/>
      <c r="J1" s="198"/>
      <c r="K1" s="198"/>
      <c r="L1" s="198"/>
      <c r="M1" s="198"/>
      <c r="N1" s="199"/>
    </row>
    <row r="2" spans="1:21" ht="18">
      <c r="A2" s="41"/>
      <c r="B2" s="42"/>
      <c r="C2" s="43"/>
      <c r="D2" s="200" t="s">
        <v>562</v>
      </c>
      <c r="E2" s="201"/>
      <c r="F2" s="201"/>
      <c r="G2" s="202"/>
      <c r="H2" s="44"/>
      <c r="I2" s="61" t="s">
        <v>456</v>
      </c>
      <c r="J2" s="45"/>
      <c r="K2" s="68"/>
      <c r="L2" s="201" t="s">
        <v>503</v>
      </c>
      <c r="M2" s="201"/>
      <c r="N2" s="203"/>
      <c r="S2" s="200" t="s">
        <v>591</v>
      </c>
      <c r="T2" s="201"/>
      <c r="U2" s="202"/>
    </row>
    <row r="3" spans="1:21" ht="12.75" customHeight="1">
      <c r="A3" s="46"/>
      <c r="B3" s="47"/>
      <c r="C3" s="48">
        <v>2016</v>
      </c>
      <c r="D3" s="49"/>
      <c r="E3" s="50" t="s">
        <v>1</v>
      </c>
      <c r="F3" s="51"/>
      <c r="G3" s="50" t="s">
        <v>1</v>
      </c>
      <c r="H3" s="52"/>
      <c r="I3" s="53"/>
      <c r="J3" s="54"/>
      <c r="K3" s="67" t="s">
        <v>1</v>
      </c>
      <c r="L3" s="66" t="s">
        <v>455</v>
      </c>
      <c r="M3" s="50" t="s">
        <v>455</v>
      </c>
      <c r="N3" s="59" t="s">
        <v>1</v>
      </c>
      <c r="S3" s="51"/>
      <c r="T3" s="51"/>
      <c r="U3" s="54"/>
    </row>
    <row r="4" spans="1:21">
      <c r="A4" s="46"/>
      <c r="B4" s="47"/>
      <c r="C4" s="48" t="s">
        <v>3</v>
      </c>
      <c r="D4" s="49" t="s">
        <v>563</v>
      </c>
      <c r="E4" s="56" t="s">
        <v>563</v>
      </c>
      <c r="F4" s="56" t="s">
        <v>2</v>
      </c>
      <c r="G4" s="56" t="s">
        <v>2</v>
      </c>
      <c r="H4" s="52"/>
      <c r="I4" s="57" t="s">
        <v>4</v>
      </c>
      <c r="J4" s="58" t="s">
        <v>455</v>
      </c>
      <c r="K4" s="69" t="s">
        <v>455</v>
      </c>
      <c r="L4" s="67" t="s">
        <v>454</v>
      </c>
      <c r="M4" s="82" t="s">
        <v>495</v>
      </c>
      <c r="N4" s="55" t="s">
        <v>495</v>
      </c>
      <c r="S4" s="48" t="s">
        <v>563</v>
      </c>
      <c r="T4" s="56" t="s">
        <v>2</v>
      </c>
      <c r="U4" s="58" t="s">
        <v>455</v>
      </c>
    </row>
    <row r="5" spans="1:21">
      <c r="A5" s="85" t="s">
        <v>5</v>
      </c>
      <c r="B5" s="86" t="s">
        <v>6</v>
      </c>
      <c r="C5" s="48" t="s">
        <v>458</v>
      </c>
      <c r="D5" s="88" t="s">
        <v>7</v>
      </c>
      <c r="E5" s="89" t="s">
        <v>7</v>
      </c>
      <c r="F5" s="90" t="s">
        <v>7</v>
      </c>
      <c r="G5" s="89" t="s">
        <v>7</v>
      </c>
      <c r="H5" s="91"/>
      <c r="I5" s="92" t="s">
        <v>587</v>
      </c>
      <c r="J5" s="90" t="s">
        <v>454</v>
      </c>
      <c r="K5" s="90" t="s">
        <v>454</v>
      </c>
      <c r="L5" s="93" t="s">
        <v>502</v>
      </c>
      <c r="M5" s="94" t="s">
        <v>496</v>
      </c>
      <c r="N5" s="95" t="s">
        <v>496</v>
      </c>
      <c r="O5" s="19"/>
      <c r="P5" s="19"/>
      <c r="Q5" s="19"/>
      <c r="S5" s="87" t="s">
        <v>7</v>
      </c>
      <c r="T5" s="90" t="s">
        <v>7</v>
      </c>
      <c r="U5" s="90" t="s">
        <v>454</v>
      </c>
    </row>
    <row r="6" spans="1:21">
      <c r="A6" s="22" t="s">
        <v>8</v>
      </c>
      <c r="B6" s="33" t="s">
        <v>8</v>
      </c>
      <c r="C6" s="97">
        <v>9892</v>
      </c>
      <c r="D6" s="18">
        <v>1142905325</v>
      </c>
      <c r="E6" s="38">
        <f t="shared" ref="E6:E14" si="0">(D6/C6)</f>
        <v>115538.34664375252</v>
      </c>
      <c r="F6" s="18">
        <v>706054384</v>
      </c>
      <c r="G6" s="39">
        <f t="shared" ref="G6:G14" si="1">(F6/C6)</f>
        <v>71376.30246663971</v>
      </c>
      <c r="H6" s="15"/>
      <c r="I6" s="108">
        <v>5.99</v>
      </c>
      <c r="J6" s="40">
        <v>4229265.7601600001</v>
      </c>
      <c r="K6" s="84">
        <f t="shared" ref="K6:K14" si="2">(J6/C6)</f>
        <v>427.54405177517185</v>
      </c>
      <c r="L6" s="65">
        <f t="shared" ref="L6:L69" si="3">(F6*0.01)</f>
        <v>7060543.8399999999</v>
      </c>
      <c r="M6" s="83">
        <f t="shared" ref="M6:M69" si="4">(L6-J6)</f>
        <v>2831278.0798399998</v>
      </c>
      <c r="N6" s="62">
        <f t="shared" ref="N6:N69" si="5">(M6/C6)</f>
        <v>286.21897289122523</v>
      </c>
      <c r="O6" s="5"/>
      <c r="P6" s="5">
        <f t="shared" ref="P6:P69" si="6">IF(I6&gt;0,1,0)</f>
        <v>1</v>
      </c>
      <c r="Q6" s="7">
        <f t="shared" ref="Q6:Q69" si="7">IF(I6&gt;0,C6,0)</f>
        <v>9892</v>
      </c>
    </row>
    <row r="7" spans="1:21">
      <c r="A7" s="23" t="s">
        <v>9</v>
      </c>
      <c r="B7" s="35" t="s">
        <v>8</v>
      </c>
      <c r="C7" s="97">
        <v>1158</v>
      </c>
      <c r="D7" s="113">
        <v>67060274</v>
      </c>
      <c r="E7" s="116">
        <f t="shared" si="0"/>
        <v>57910.426597582038</v>
      </c>
      <c r="F7" s="113">
        <v>35980737</v>
      </c>
      <c r="G7" s="117">
        <f t="shared" si="1"/>
        <v>31071.448186528498</v>
      </c>
      <c r="H7" s="7"/>
      <c r="I7" s="109">
        <v>5.2549000000000001</v>
      </c>
      <c r="J7" s="117">
        <v>189075.17486129998</v>
      </c>
      <c r="K7" s="120">
        <f t="shared" si="2"/>
        <v>163.27735307538859</v>
      </c>
      <c r="L7" s="122">
        <f t="shared" si="3"/>
        <v>359807.37</v>
      </c>
      <c r="M7" s="116">
        <f t="shared" si="4"/>
        <v>170732.19513870002</v>
      </c>
      <c r="N7" s="123">
        <f t="shared" si="5"/>
        <v>147.43712878989638</v>
      </c>
      <c r="O7" s="5"/>
      <c r="P7" s="5">
        <f t="shared" si="6"/>
        <v>1</v>
      </c>
      <c r="Q7" s="7">
        <f t="shared" si="7"/>
        <v>1158</v>
      </c>
    </row>
    <row r="8" spans="1:21">
      <c r="A8" s="23" t="s">
        <v>10</v>
      </c>
      <c r="B8" s="35" t="s">
        <v>8</v>
      </c>
      <c r="C8" s="97">
        <v>128612</v>
      </c>
      <c r="D8" s="113">
        <v>14348149088</v>
      </c>
      <c r="E8" s="116">
        <f t="shared" si="0"/>
        <v>111561.51127422013</v>
      </c>
      <c r="F8" s="113">
        <v>6018635380</v>
      </c>
      <c r="G8" s="117">
        <f t="shared" si="1"/>
        <v>46796.841507790872</v>
      </c>
      <c r="H8" s="7"/>
      <c r="I8" s="109">
        <v>4.5079000000000002</v>
      </c>
      <c r="J8" s="117">
        <v>27131406.429502003</v>
      </c>
      <c r="K8" s="120">
        <f t="shared" si="2"/>
        <v>210.95548183297052</v>
      </c>
      <c r="L8" s="122">
        <f t="shared" si="3"/>
        <v>60186353.800000004</v>
      </c>
      <c r="M8" s="116">
        <f t="shared" si="4"/>
        <v>33054947.370498002</v>
      </c>
      <c r="N8" s="123">
        <f t="shared" si="5"/>
        <v>257.01293324493827</v>
      </c>
      <c r="O8" s="5"/>
      <c r="P8" s="5">
        <f t="shared" si="6"/>
        <v>1</v>
      </c>
      <c r="Q8" s="7">
        <f t="shared" si="7"/>
        <v>128612</v>
      </c>
    </row>
    <row r="9" spans="1:21">
      <c r="A9" s="23" t="s">
        <v>11</v>
      </c>
      <c r="B9" s="35" t="s">
        <v>8</v>
      </c>
      <c r="C9" s="97">
        <v>1425</v>
      </c>
      <c r="D9" s="113">
        <v>98296433</v>
      </c>
      <c r="E9" s="116">
        <f t="shared" si="0"/>
        <v>68979.952982456147</v>
      </c>
      <c r="F9" s="117">
        <v>42667913</v>
      </c>
      <c r="G9" s="117">
        <f t="shared" si="1"/>
        <v>29942.395087719298</v>
      </c>
      <c r="H9" s="7"/>
      <c r="I9" s="109">
        <v>5.3193999999999999</v>
      </c>
      <c r="J9" s="117">
        <v>226967.69641219999</v>
      </c>
      <c r="K9" s="120">
        <f t="shared" si="2"/>
        <v>159.27557642961403</v>
      </c>
      <c r="L9" s="122">
        <f t="shared" si="3"/>
        <v>426679.13</v>
      </c>
      <c r="M9" s="116">
        <f t="shared" si="4"/>
        <v>199711.43358780001</v>
      </c>
      <c r="N9" s="123">
        <f t="shared" si="5"/>
        <v>140.14837444757896</v>
      </c>
      <c r="O9" s="5"/>
      <c r="P9" s="5">
        <f t="shared" si="6"/>
        <v>1</v>
      </c>
      <c r="Q9" s="7">
        <f t="shared" si="7"/>
        <v>1425</v>
      </c>
    </row>
    <row r="10" spans="1:21">
      <c r="A10" s="23" t="s">
        <v>12</v>
      </c>
      <c r="B10" s="35" t="s">
        <v>8</v>
      </c>
      <c r="C10" s="97">
        <v>5813</v>
      </c>
      <c r="D10" s="113">
        <v>411883731</v>
      </c>
      <c r="E10" s="116">
        <f t="shared" si="0"/>
        <v>70855.622054016858</v>
      </c>
      <c r="F10" s="117">
        <v>240987134</v>
      </c>
      <c r="G10" s="117">
        <f t="shared" si="1"/>
        <v>41456.585928092209</v>
      </c>
      <c r="H10" s="7"/>
      <c r="I10" s="109">
        <v>6.1326000000000001</v>
      </c>
      <c r="J10" s="117">
        <v>1477877.6979684001</v>
      </c>
      <c r="K10" s="120">
        <f t="shared" si="2"/>
        <v>254.23665886261827</v>
      </c>
      <c r="L10" s="122">
        <f t="shared" si="3"/>
        <v>2409871.34</v>
      </c>
      <c r="M10" s="116">
        <f t="shared" si="4"/>
        <v>931993.64203159977</v>
      </c>
      <c r="N10" s="123">
        <f t="shared" si="5"/>
        <v>160.32920041830377</v>
      </c>
      <c r="O10" s="5"/>
      <c r="P10" s="5">
        <f t="shared" si="6"/>
        <v>1</v>
      </c>
      <c r="Q10" s="7">
        <f t="shared" si="7"/>
        <v>5813</v>
      </c>
    </row>
    <row r="11" spans="1:21">
      <c r="A11" s="23" t="s">
        <v>559</v>
      </c>
      <c r="B11" s="35" t="s">
        <v>8</v>
      </c>
      <c r="C11" s="97">
        <v>379</v>
      </c>
      <c r="D11" s="113">
        <v>20713136</v>
      </c>
      <c r="E11" s="116">
        <f t="shared" si="0"/>
        <v>54652.073878627969</v>
      </c>
      <c r="F11" s="117">
        <v>9921469</v>
      </c>
      <c r="G11" s="117">
        <f t="shared" si="1"/>
        <v>26178.018469656992</v>
      </c>
      <c r="H11" s="7"/>
      <c r="I11" s="109">
        <v>6.6246</v>
      </c>
      <c r="J11" s="117">
        <v>65725.763537399995</v>
      </c>
      <c r="K11" s="120">
        <f t="shared" si="2"/>
        <v>173.4189011540897</v>
      </c>
      <c r="L11" s="122">
        <f t="shared" si="3"/>
        <v>99214.69</v>
      </c>
      <c r="M11" s="116">
        <f t="shared" si="4"/>
        <v>33488.926462600008</v>
      </c>
      <c r="N11" s="123">
        <f t="shared" si="5"/>
        <v>88.361283542480237</v>
      </c>
      <c r="O11" s="5"/>
      <c r="P11" s="5">
        <f t="shared" si="6"/>
        <v>1</v>
      </c>
      <c r="Q11" s="7">
        <f t="shared" si="7"/>
        <v>379</v>
      </c>
    </row>
    <row r="12" spans="1:21">
      <c r="A12" s="23" t="s">
        <v>13</v>
      </c>
      <c r="B12" s="35" t="s">
        <v>8</v>
      </c>
      <c r="C12" s="97">
        <v>600</v>
      </c>
      <c r="D12" s="113">
        <v>46518940</v>
      </c>
      <c r="E12" s="116">
        <f t="shared" si="0"/>
        <v>77531.566666666666</v>
      </c>
      <c r="F12" s="117">
        <v>28053637</v>
      </c>
      <c r="G12" s="117">
        <f t="shared" si="1"/>
        <v>46756.061666666668</v>
      </c>
      <c r="H12" s="7"/>
      <c r="I12" s="109">
        <v>5.9462999999999999</v>
      </c>
      <c r="J12" s="117">
        <v>166815.3416931</v>
      </c>
      <c r="K12" s="120">
        <f t="shared" si="2"/>
        <v>278.02556948849997</v>
      </c>
      <c r="L12" s="122">
        <f t="shared" si="3"/>
        <v>280536.37</v>
      </c>
      <c r="M12" s="116">
        <f t="shared" si="4"/>
        <v>113721.0283069</v>
      </c>
      <c r="N12" s="123">
        <f t="shared" si="5"/>
        <v>189.53504717816668</v>
      </c>
      <c r="O12" s="5"/>
      <c r="P12" s="5">
        <f t="shared" si="6"/>
        <v>1</v>
      </c>
      <c r="Q12" s="7">
        <f t="shared" si="7"/>
        <v>600</v>
      </c>
    </row>
    <row r="13" spans="1:21">
      <c r="A13" s="23" t="s">
        <v>14</v>
      </c>
      <c r="B13" s="35" t="s">
        <v>8</v>
      </c>
      <c r="C13" s="97">
        <v>5946</v>
      </c>
      <c r="D13" s="113">
        <v>635517904</v>
      </c>
      <c r="E13" s="116">
        <f t="shared" si="0"/>
        <v>106881.58493104608</v>
      </c>
      <c r="F13" s="117">
        <v>373402916</v>
      </c>
      <c r="G13" s="117">
        <f t="shared" si="1"/>
        <v>62799.010427177935</v>
      </c>
      <c r="H13" s="7"/>
      <c r="I13" s="109">
        <v>5.9089</v>
      </c>
      <c r="J13" s="117">
        <v>2206400.4903523996</v>
      </c>
      <c r="K13" s="120">
        <f t="shared" si="2"/>
        <v>371.07307271315165</v>
      </c>
      <c r="L13" s="122">
        <f t="shared" si="3"/>
        <v>3734029.16</v>
      </c>
      <c r="M13" s="116">
        <f t="shared" si="4"/>
        <v>1527628.6696476005</v>
      </c>
      <c r="N13" s="123">
        <f t="shared" si="5"/>
        <v>256.91703155862774</v>
      </c>
      <c r="O13" s="5"/>
      <c r="P13" s="5">
        <f t="shared" si="6"/>
        <v>1</v>
      </c>
      <c r="Q13" s="7">
        <f t="shared" si="7"/>
        <v>5946</v>
      </c>
    </row>
    <row r="14" spans="1:21">
      <c r="A14" s="23" t="s">
        <v>15</v>
      </c>
      <c r="B14" s="35" t="s">
        <v>8</v>
      </c>
      <c r="C14" s="97">
        <v>939</v>
      </c>
      <c r="D14" s="113">
        <v>46500051</v>
      </c>
      <c r="E14" s="116">
        <f t="shared" si="0"/>
        <v>49520.821086261982</v>
      </c>
      <c r="F14" s="117">
        <v>25610565</v>
      </c>
      <c r="G14" s="117">
        <f t="shared" si="1"/>
        <v>27274.297124600638</v>
      </c>
      <c r="H14" s="7"/>
      <c r="I14" s="109">
        <v>7.5179999999999998</v>
      </c>
      <c r="J14" s="117">
        <v>192540.22766999999</v>
      </c>
      <c r="K14" s="120">
        <f t="shared" si="2"/>
        <v>205.04816578274759</v>
      </c>
      <c r="L14" s="122">
        <f t="shared" si="3"/>
        <v>256105.65</v>
      </c>
      <c r="M14" s="116">
        <f t="shared" si="4"/>
        <v>63565.422330000001</v>
      </c>
      <c r="N14" s="123">
        <f t="shared" si="5"/>
        <v>67.694805463258788</v>
      </c>
      <c r="O14" s="5"/>
      <c r="P14" s="5">
        <f t="shared" si="6"/>
        <v>1</v>
      </c>
      <c r="Q14" s="7">
        <f t="shared" si="7"/>
        <v>939</v>
      </c>
      <c r="S14" s="124">
        <f>SUM(D6:D14)</f>
        <v>16817544882</v>
      </c>
      <c r="T14" s="124">
        <f>SUM(F6:F14)</f>
        <v>7481314135</v>
      </c>
      <c r="U14" s="124">
        <f>SUM(J6:J14)</f>
        <v>35886074.5821568</v>
      </c>
    </row>
    <row r="15" spans="1:21">
      <c r="A15" s="24" t="s">
        <v>544</v>
      </c>
      <c r="B15" s="35" t="s">
        <v>16</v>
      </c>
      <c r="C15" s="125">
        <v>444</v>
      </c>
      <c r="D15" s="114" t="s">
        <v>564</v>
      </c>
      <c r="E15" s="116"/>
      <c r="F15" s="117"/>
      <c r="G15" s="117"/>
      <c r="H15" s="98" t="s">
        <v>588</v>
      </c>
      <c r="I15" s="109"/>
      <c r="J15" s="117"/>
      <c r="K15" s="120"/>
      <c r="L15" s="122">
        <f t="shared" si="3"/>
        <v>0</v>
      </c>
      <c r="M15" s="116">
        <f t="shared" si="4"/>
        <v>0</v>
      </c>
      <c r="N15" s="123">
        <f t="shared" si="5"/>
        <v>0</v>
      </c>
      <c r="O15" s="5"/>
      <c r="P15" s="5">
        <f t="shared" si="6"/>
        <v>0</v>
      </c>
      <c r="Q15" s="7">
        <f t="shared" si="7"/>
        <v>0</v>
      </c>
    </row>
    <row r="16" spans="1:21">
      <c r="A16" s="23" t="s">
        <v>17</v>
      </c>
      <c r="B16" s="35" t="s">
        <v>16</v>
      </c>
      <c r="C16" s="125">
        <v>6450</v>
      </c>
      <c r="D16" s="113">
        <v>392049267</v>
      </c>
      <c r="E16" s="116">
        <f>(D16/C16)</f>
        <v>60782.832093023258</v>
      </c>
      <c r="F16" s="117">
        <v>229153626</v>
      </c>
      <c r="G16" s="117">
        <f>(F16/C16)</f>
        <v>35527.693953488371</v>
      </c>
      <c r="H16" s="7"/>
      <c r="I16" s="109">
        <v>3.6</v>
      </c>
      <c r="J16" s="117">
        <v>824953.05359999998</v>
      </c>
      <c r="K16" s="120">
        <f>(J16/C16)</f>
        <v>127.89969823255814</v>
      </c>
      <c r="L16" s="122">
        <f t="shared" si="3"/>
        <v>2291536.2600000002</v>
      </c>
      <c r="M16" s="116">
        <f t="shared" si="4"/>
        <v>1466583.2064000003</v>
      </c>
      <c r="N16" s="123">
        <f t="shared" si="5"/>
        <v>227.37724130232561</v>
      </c>
      <c r="O16" s="5"/>
      <c r="P16" s="5">
        <f t="shared" si="6"/>
        <v>1</v>
      </c>
      <c r="Q16" s="7">
        <f t="shared" si="7"/>
        <v>6450</v>
      </c>
      <c r="S16" s="124">
        <f>SUM(D15:D16)</f>
        <v>392049267</v>
      </c>
      <c r="T16" s="124">
        <f>SUM(F15:F16)</f>
        <v>229153626</v>
      </c>
      <c r="U16" s="124">
        <f>SUM(J15:J16)</f>
        <v>824953.05359999998</v>
      </c>
    </row>
    <row r="17" spans="1:21">
      <c r="A17" s="23" t="s">
        <v>18</v>
      </c>
      <c r="B17" s="35" t="s">
        <v>19</v>
      </c>
      <c r="C17" s="125">
        <v>15625</v>
      </c>
      <c r="D17" s="113">
        <v>705309849</v>
      </c>
      <c r="E17" s="116">
        <f>(D17/C17)</f>
        <v>45139.830335999999</v>
      </c>
      <c r="F17" s="117">
        <v>477222002</v>
      </c>
      <c r="G17" s="117">
        <f>(F17/C17)</f>
        <v>30542.208127999998</v>
      </c>
      <c r="H17" s="8"/>
      <c r="I17" s="109">
        <v>2.25</v>
      </c>
      <c r="J17" s="117">
        <v>1073749.5045</v>
      </c>
      <c r="K17" s="120">
        <f>(J17/C17)</f>
        <v>68.719968288000004</v>
      </c>
      <c r="L17" s="122">
        <f t="shared" si="3"/>
        <v>4772220.0200000005</v>
      </c>
      <c r="M17" s="116">
        <f t="shared" si="4"/>
        <v>3698470.5155000007</v>
      </c>
      <c r="N17" s="123">
        <f t="shared" si="5"/>
        <v>236.70211299200005</v>
      </c>
      <c r="O17" s="5"/>
      <c r="P17" s="5">
        <f t="shared" si="6"/>
        <v>1</v>
      </c>
      <c r="Q17" s="7">
        <f t="shared" si="7"/>
        <v>15625</v>
      </c>
    </row>
    <row r="18" spans="1:21">
      <c r="A18" s="23" t="s">
        <v>21</v>
      </c>
      <c r="B18" s="35" t="s">
        <v>19</v>
      </c>
      <c r="C18" s="125">
        <v>20004</v>
      </c>
      <c r="D18" s="113">
        <v>1480038706</v>
      </c>
      <c r="E18" s="116">
        <f>(D18/C18)</f>
        <v>73987.137872425519</v>
      </c>
      <c r="F18" s="117">
        <v>1037397338</v>
      </c>
      <c r="G18" s="117">
        <f>(F18/C18)</f>
        <v>51859.495000999799</v>
      </c>
      <c r="H18" s="7"/>
      <c r="I18" s="109">
        <v>3.9</v>
      </c>
      <c r="J18" s="117">
        <v>4045849.6181999999</v>
      </c>
      <c r="K18" s="120">
        <f>(J18/C18)</f>
        <v>202.25203050389922</v>
      </c>
      <c r="L18" s="122">
        <f t="shared" si="3"/>
        <v>10373973.380000001</v>
      </c>
      <c r="M18" s="116">
        <f t="shared" si="4"/>
        <v>6328123.7618000004</v>
      </c>
      <c r="N18" s="123">
        <f t="shared" si="5"/>
        <v>316.34291950609878</v>
      </c>
      <c r="O18" s="5"/>
      <c r="P18" s="5">
        <f t="shared" si="6"/>
        <v>1</v>
      </c>
      <c r="Q18" s="7">
        <f t="shared" si="7"/>
        <v>20004</v>
      </c>
    </row>
    <row r="19" spans="1:21">
      <c r="A19" s="23" t="s">
        <v>22</v>
      </c>
      <c r="B19" s="35" t="s">
        <v>19</v>
      </c>
      <c r="C19" s="125">
        <v>1196</v>
      </c>
      <c r="D19" s="113">
        <v>428330607</v>
      </c>
      <c r="E19" s="116">
        <f>(D19/C19)</f>
        <v>358135.95903010032</v>
      </c>
      <c r="F19" s="117">
        <v>362526296</v>
      </c>
      <c r="G19" s="117">
        <f>(F19/C19)</f>
        <v>303115.63210702338</v>
      </c>
      <c r="H19" s="7"/>
      <c r="I19" s="110">
        <v>5.1840000000000002</v>
      </c>
      <c r="J19" s="117">
        <v>1879336.318464</v>
      </c>
      <c r="K19" s="120">
        <f>(J19/C19)</f>
        <v>1571.3514368428093</v>
      </c>
      <c r="L19" s="122">
        <f t="shared" si="3"/>
        <v>3625262.96</v>
      </c>
      <c r="M19" s="116">
        <f t="shared" si="4"/>
        <v>1745926.641536</v>
      </c>
      <c r="N19" s="123">
        <f t="shared" si="5"/>
        <v>1459.8048842274247</v>
      </c>
      <c r="O19" s="5"/>
      <c r="P19" s="5">
        <f t="shared" si="6"/>
        <v>1</v>
      </c>
      <c r="Q19" s="7">
        <f t="shared" si="7"/>
        <v>1196</v>
      </c>
    </row>
    <row r="20" spans="1:21">
      <c r="A20" s="23" t="s">
        <v>23</v>
      </c>
      <c r="B20" s="35" t="s">
        <v>19</v>
      </c>
      <c r="C20" s="125">
        <v>36909</v>
      </c>
      <c r="D20" s="113">
        <v>3296471650</v>
      </c>
      <c r="E20" s="116">
        <f>(D20/C20)</f>
        <v>89313.491289387413</v>
      </c>
      <c r="F20" s="117">
        <v>2292667265</v>
      </c>
      <c r="G20" s="117">
        <f>(F20/C20)</f>
        <v>62116.753772792545</v>
      </c>
      <c r="H20" s="7"/>
      <c r="I20" s="109">
        <v>3.9740000000000002</v>
      </c>
      <c r="J20" s="117">
        <v>9111059.7111100014</v>
      </c>
      <c r="K20" s="120">
        <f>(J20/C20)</f>
        <v>246.85197949307761</v>
      </c>
      <c r="L20" s="122">
        <f t="shared" si="3"/>
        <v>22926672.650000002</v>
      </c>
      <c r="M20" s="116">
        <f t="shared" si="4"/>
        <v>13815612.938890001</v>
      </c>
      <c r="N20" s="123">
        <f t="shared" si="5"/>
        <v>374.31555823484791</v>
      </c>
      <c r="O20" s="5"/>
      <c r="P20" s="5">
        <f t="shared" si="6"/>
        <v>1</v>
      </c>
      <c r="Q20" s="7">
        <f t="shared" si="7"/>
        <v>36909</v>
      </c>
    </row>
    <row r="21" spans="1:21">
      <c r="A21" s="23" t="s">
        <v>24</v>
      </c>
      <c r="B21" s="35" t="s">
        <v>19</v>
      </c>
      <c r="C21" s="125">
        <v>12545</v>
      </c>
      <c r="D21" s="114" t="s">
        <v>564</v>
      </c>
      <c r="E21" s="116"/>
      <c r="F21" s="117"/>
      <c r="G21" s="117"/>
      <c r="H21" s="98" t="s">
        <v>588</v>
      </c>
      <c r="I21" s="111"/>
      <c r="J21" s="117"/>
      <c r="K21" s="120"/>
      <c r="L21" s="122">
        <f t="shared" si="3"/>
        <v>0</v>
      </c>
      <c r="M21" s="116">
        <f t="shared" si="4"/>
        <v>0</v>
      </c>
      <c r="N21" s="123">
        <f t="shared" si="5"/>
        <v>0</v>
      </c>
      <c r="O21" s="5"/>
      <c r="P21" s="5">
        <f t="shared" si="6"/>
        <v>0</v>
      </c>
      <c r="Q21" s="7">
        <f t="shared" si="7"/>
        <v>0</v>
      </c>
    </row>
    <row r="22" spans="1:21">
      <c r="A22" s="23" t="s">
        <v>25</v>
      </c>
      <c r="B22" s="35" t="s">
        <v>19</v>
      </c>
      <c r="C22" s="125">
        <v>4441</v>
      </c>
      <c r="D22" s="114" t="s">
        <v>564</v>
      </c>
      <c r="E22" s="116"/>
      <c r="F22" s="117"/>
      <c r="G22" s="117"/>
      <c r="H22" s="98" t="s">
        <v>588</v>
      </c>
      <c r="I22" s="111"/>
      <c r="J22" s="117"/>
      <c r="K22" s="120"/>
      <c r="L22" s="122">
        <f t="shared" si="3"/>
        <v>0</v>
      </c>
      <c r="M22" s="116">
        <f t="shared" si="4"/>
        <v>0</v>
      </c>
      <c r="N22" s="123">
        <f t="shared" si="5"/>
        <v>0</v>
      </c>
      <c r="O22" s="5"/>
      <c r="P22" s="5">
        <f t="shared" si="6"/>
        <v>0</v>
      </c>
      <c r="Q22" s="7">
        <f t="shared" si="7"/>
        <v>0</v>
      </c>
    </row>
    <row r="23" spans="1:21">
      <c r="A23" s="23" t="s">
        <v>26</v>
      </c>
      <c r="B23" s="35" t="s">
        <v>19</v>
      </c>
      <c r="C23" s="125">
        <v>9490</v>
      </c>
      <c r="D23" s="114">
        <v>361982436</v>
      </c>
      <c r="E23" s="116">
        <f t="shared" ref="E23:E38" si="8">(D23/C23)</f>
        <v>38143.565437302423</v>
      </c>
      <c r="F23" s="117">
        <v>200286911</v>
      </c>
      <c r="G23" s="117">
        <f t="shared" ref="G23:G38" si="9">(F23/C23)</f>
        <v>21105.048577449947</v>
      </c>
      <c r="H23" s="98"/>
      <c r="I23" s="109">
        <v>3.4649999999999999</v>
      </c>
      <c r="J23" s="117">
        <v>693994.14661499998</v>
      </c>
      <c r="K23" s="120">
        <f>(J23/C23)</f>
        <v>73.128993320864069</v>
      </c>
      <c r="L23" s="122">
        <f t="shared" si="3"/>
        <v>2002869.11</v>
      </c>
      <c r="M23" s="116">
        <f t="shared" si="4"/>
        <v>1308874.9633850001</v>
      </c>
      <c r="N23" s="123">
        <f t="shared" si="5"/>
        <v>137.92149245363541</v>
      </c>
      <c r="O23" s="5"/>
      <c r="P23" s="5">
        <f t="shared" si="6"/>
        <v>1</v>
      </c>
      <c r="Q23" s="7">
        <f t="shared" si="7"/>
        <v>9490</v>
      </c>
      <c r="S23" s="124">
        <f>SUM(D17:D23)</f>
        <v>6272133248</v>
      </c>
      <c r="T23" s="124">
        <f>SUM(F17:F23)</f>
        <v>4370099812</v>
      </c>
      <c r="U23" s="124">
        <f>SUM(J17:J23)</f>
        <v>16803989.298889</v>
      </c>
    </row>
    <row r="24" spans="1:21">
      <c r="A24" s="23" t="s">
        <v>27</v>
      </c>
      <c r="B24" s="35" t="s">
        <v>28</v>
      </c>
      <c r="C24" s="125">
        <v>324</v>
      </c>
      <c r="D24" s="113">
        <v>14902158</v>
      </c>
      <c r="E24" s="116">
        <f t="shared" si="8"/>
        <v>45994.314814814818</v>
      </c>
      <c r="F24" s="117">
        <v>8322902</v>
      </c>
      <c r="G24" s="117">
        <f t="shared" si="9"/>
        <v>25687.969135802468</v>
      </c>
      <c r="H24" s="7"/>
      <c r="I24" s="109">
        <v>0.32050000000000001</v>
      </c>
      <c r="J24" s="117">
        <v>2667.4900910000001</v>
      </c>
      <c r="K24" s="120">
        <f t="shared" ref="K24:K38" si="10">(J24/C24)</f>
        <v>8.2329941080246911</v>
      </c>
      <c r="L24" s="122">
        <f t="shared" si="3"/>
        <v>83229.02</v>
      </c>
      <c r="M24" s="116">
        <f t="shared" si="4"/>
        <v>80561.529909000004</v>
      </c>
      <c r="N24" s="123">
        <f t="shared" si="5"/>
        <v>248.64669725000002</v>
      </c>
      <c r="O24" s="5"/>
      <c r="P24" s="5">
        <f t="shared" si="6"/>
        <v>1</v>
      </c>
      <c r="Q24" s="7">
        <f t="shared" si="7"/>
        <v>324</v>
      </c>
    </row>
    <row r="25" spans="1:21">
      <c r="A25" s="23" t="s">
        <v>29</v>
      </c>
      <c r="B25" s="35" t="s">
        <v>28</v>
      </c>
      <c r="C25" s="125">
        <v>485</v>
      </c>
      <c r="D25" s="113">
        <v>12715689</v>
      </c>
      <c r="E25" s="116">
        <f t="shared" si="8"/>
        <v>26217.915463917525</v>
      </c>
      <c r="F25" s="117">
        <v>7629305</v>
      </c>
      <c r="G25" s="117">
        <f t="shared" si="9"/>
        <v>15730.525773195875</v>
      </c>
      <c r="H25" s="7"/>
      <c r="I25" s="109">
        <v>0.32540000000000002</v>
      </c>
      <c r="J25" s="117">
        <v>2482.5758470000001</v>
      </c>
      <c r="K25" s="120">
        <f t="shared" si="10"/>
        <v>5.1187130865979382</v>
      </c>
      <c r="L25" s="122">
        <f t="shared" si="3"/>
        <v>76293.05</v>
      </c>
      <c r="M25" s="116">
        <f t="shared" si="4"/>
        <v>73810.474153000003</v>
      </c>
      <c r="N25" s="123">
        <f t="shared" si="5"/>
        <v>152.18654464536084</v>
      </c>
      <c r="O25" s="5"/>
      <c r="P25" s="5">
        <f t="shared" si="6"/>
        <v>1</v>
      </c>
      <c r="Q25" s="7">
        <f t="shared" si="7"/>
        <v>485</v>
      </c>
    </row>
    <row r="26" spans="1:21">
      <c r="A26" s="23" t="s">
        <v>30</v>
      </c>
      <c r="B26" s="35" t="s">
        <v>28</v>
      </c>
      <c r="C26" s="125">
        <v>718</v>
      </c>
      <c r="D26" s="113">
        <v>26118275</v>
      </c>
      <c r="E26" s="116">
        <f t="shared" si="8"/>
        <v>36376.427576601673</v>
      </c>
      <c r="F26" s="117">
        <v>15362960</v>
      </c>
      <c r="G26" s="117">
        <f t="shared" si="9"/>
        <v>21396.880222841224</v>
      </c>
      <c r="H26" s="7"/>
      <c r="I26" s="110">
        <v>1.6405000000000001</v>
      </c>
      <c r="J26" s="117">
        <v>25202.935880000001</v>
      </c>
      <c r="K26" s="120">
        <f t="shared" si="10"/>
        <v>35.101582005571032</v>
      </c>
      <c r="L26" s="122">
        <f t="shared" si="3"/>
        <v>153629.6</v>
      </c>
      <c r="M26" s="116">
        <f t="shared" si="4"/>
        <v>128426.66412</v>
      </c>
      <c r="N26" s="123">
        <f t="shared" si="5"/>
        <v>178.86722022284124</v>
      </c>
      <c r="O26" s="5"/>
      <c r="P26" s="5">
        <f t="shared" si="6"/>
        <v>1</v>
      </c>
      <c r="Q26" s="7">
        <f t="shared" si="7"/>
        <v>718</v>
      </c>
    </row>
    <row r="27" spans="1:21">
      <c r="A27" s="23" t="s">
        <v>31</v>
      </c>
      <c r="B27" s="35" t="s">
        <v>28</v>
      </c>
      <c r="C27" s="125">
        <v>5515</v>
      </c>
      <c r="D27" s="113">
        <v>290940377</v>
      </c>
      <c r="E27" s="116">
        <f t="shared" si="8"/>
        <v>52754.374796010881</v>
      </c>
      <c r="F27" s="117">
        <v>197927082</v>
      </c>
      <c r="G27" s="117">
        <f t="shared" si="9"/>
        <v>35888.863463281959</v>
      </c>
      <c r="H27" s="7"/>
      <c r="I27" s="110">
        <v>4.1124999999999998</v>
      </c>
      <c r="J27" s="117">
        <v>813975.124725</v>
      </c>
      <c r="K27" s="120">
        <f t="shared" si="10"/>
        <v>147.59295099274706</v>
      </c>
      <c r="L27" s="122">
        <f t="shared" si="3"/>
        <v>1979270.82</v>
      </c>
      <c r="M27" s="116">
        <f t="shared" si="4"/>
        <v>1165295.6952750001</v>
      </c>
      <c r="N27" s="123">
        <f t="shared" si="5"/>
        <v>211.29568364007255</v>
      </c>
      <c r="O27" s="5"/>
      <c r="P27" s="5">
        <f t="shared" si="6"/>
        <v>1</v>
      </c>
      <c r="Q27" s="7">
        <f t="shared" si="7"/>
        <v>5515</v>
      </c>
      <c r="S27" s="124">
        <f>SUM(D24:D27)</f>
        <v>344676499</v>
      </c>
      <c r="T27" s="124">
        <f>SUM(F24:F27)</f>
        <v>229242249</v>
      </c>
      <c r="U27" s="124">
        <f>SUM(J24:J27)</f>
        <v>844328.12654299999</v>
      </c>
    </row>
    <row r="28" spans="1:21">
      <c r="A28" s="23" t="s">
        <v>32</v>
      </c>
      <c r="B28" s="35" t="s">
        <v>33</v>
      </c>
      <c r="C28" s="125">
        <v>10171</v>
      </c>
      <c r="D28" s="113">
        <v>1363076942</v>
      </c>
      <c r="E28" s="116">
        <f t="shared" si="8"/>
        <v>134016.02025366237</v>
      </c>
      <c r="F28" s="117">
        <v>1039685602</v>
      </c>
      <c r="G28" s="117">
        <f t="shared" si="9"/>
        <v>102220.58814275882</v>
      </c>
      <c r="H28" s="7"/>
      <c r="I28" s="110">
        <v>3.46</v>
      </c>
      <c r="J28" s="117">
        <v>3597312.1829200001</v>
      </c>
      <c r="K28" s="120">
        <f t="shared" si="10"/>
        <v>353.68323497394556</v>
      </c>
      <c r="L28" s="122">
        <f t="shared" si="3"/>
        <v>10396856.02</v>
      </c>
      <c r="M28" s="116">
        <f t="shared" si="4"/>
        <v>6799543.83708</v>
      </c>
      <c r="N28" s="123">
        <f t="shared" si="5"/>
        <v>668.52264645364266</v>
      </c>
      <c r="O28" s="5"/>
      <c r="P28" s="5">
        <f t="shared" si="6"/>
        <v>1</v>
      </c>
      <c r="Q28" s="7">
        <f t="shared" si="7"/>
        <v>10171</v>
      </c>
    </row>
    <row r="29" spans="1:21">
      <c r="A29" s="23" t="s">
        <v>34</v>
      </c>
      <c r="B29" s="35" t="s">
        <v>33</v>
      </c>
      <c r="C29" s="125">
        <v>18833</v>
      </c>
      <c r="D29" s="113">
        <v>1312505583</v>
      </c>
      <c r="E29" s="116">
        <f t="shared" si="8"/>
        <v>69691.795412308187</v>
      </c>
      <c r="F29" s="117">
        <v>858558414</v>
      </c>
      <c r="G29" s="117">
        <f t="shared" si="9"/>
        <v>45587.979291668882</v>
      </c>
      <c r="H29" s="7"/>
      <c r="I29" s="109">
        <v>5.9790000000000001</v>
      </c>
      <c r="J29" s="117">
        <v>5133320.7573060002</v>
      </c>
      <c r="K29" s="120">
        <f t="shared" si="10"/>
        <v>272.57052818488825</v>
      </c>
      <c r="L29" s="122">
        <f t="shared" si="3"/>
        <v>8585584.1400000006</v>
      </c>
      <c r="M29" s="116">
        <f t="shared" si="4"/>
        <v>3452263.3826940004</v>
      </c>
      <c r="N29" s="123">
        <f t="shared" si="5"/>
        <v>183.3092647318006</v>
      </c>
      <c r="O29" s="5"/>
      <c r="P29" s="5">
        <f t="shared" si="6"/>
        <v>1</v>
      </c>
      <c r="Q29" s="7">
        <f t="shared" si="7"/>
        <v>18833</v>
      </c>
    </row>
    <row r="30" spans="1:21">
      <c r="A30" s="23" t="s">
        <v>35</v>
      </c>
      <c r="B30" s="35" t="s">
        <v>33</v>
      </c>
      <c r="C30" s="125">
        <v>11276</v>
      </c>
      <c r="D30" s="113">
        <v>2472839201</v>
      </c>
      <c r="E30" s="116">
        <f t="shared" si="8"/>
        <v>219301.09976942179</v>
      </c>
      <c r="F30" s="117">
        <v>1689173910</v>
      </c>
      <c r="G30" s="117">
        <f t="shared" si="9"/>
        <v>149802.58158921605</v>
      </c>
      <c r="H30" s="7"/>
      <c r="I30" s="109">
        <v>5.4798</v>
      </c>
      <c r="J30" s="117">
        <v>9256335.1920180004</v>
      </c>
      <c r="K30" s="120">
        <f t="shared" si="10"/>
        <v>820.88818659258607</v>
      </c>
      <c r="L30" s="122">
        <f t="shared" si="3"/>
        <v>16891739.100000001</v>
      </c>
      <c r="M30" s="116">
        <f t="shared" si="4"/>
        <v>7635403.9079820011</v>
      </c>
      <c r="N30" s="123">
        <f t="shared" si="5"/>
        <v>677.13762929957443</v>
      </c>
      <c r="O30" s="5"/>
      <c r="P30" s="5">
        <f t="shared" si="6"/>
        <v>1</v>
      </c>
      <c r="Q30" s="7">
        <f t="shared" si="7"/>
        <v>11276</v>
      </c>
    </row>
    <row r="31" spans="1:21">
      <c r="A31" s="23" t="s">
        <v>530</v>
      </c>
      <c r="B31" s="35" t="s">
        <v>33</v>
      </c>
      <c r="C31" s="125">
        <v>4073</v>
      </c>
      <c r="D31" s="113">
        <v>519680568</v>
      </c>
      <c r="E31" s="116">
        <f t="shared" si="8"/>
        <v>127591.59538423766</v>
      </c>
      <c r="F31" s="117">
        <v>338010068</v>
      </c>
      <c r="G31" s="117">
        <f t="shared" si="9"/>
        <v>82987.986250920701</v>
      </c>
      <c r="H31" s="9"/>
      <c r="I31" s="109">
        <v>1.1201000000000001</v>
      </c>
      <c r="J31" s="117">
        <v>378605.07716680004</v>
      </c>
      <c r="K31" s="120">
        <f t="shared" si="10"/>
        <v>92.954843399656284</v>
      </c>
      <c r="L31" s="122">
        <f t="shared" si="3"/>
        <v>3380100.68</v>
      </c>
      <c r="M31" s="116">
        <f t="shared" si="4"/>
        <v>3001495.6028332002</v>
      </c>
      <c r="N31" s="123">
        <f t="shared" si="5"/>
        <v>736.9250191095507</v>
      </c>
      <c r="O31" s="5"/>
      <c r="P31" s="5">
        <f t="shared" si="6"/>
        <v>1</v>
      </c>
      <c r="Q31" s="7">
        <f t="shared" si="7"/>
        <v>4073</v>
      </c>
    </row>
    <row r="32" spans="1:21">
      <c r="A32" s="23" t="s">
        <v>36</v>
      </c>
      <c r="B32" s="35" t="s">
        <v>33</v>
      </c>
      <c r="C32" s="125">
        <v>2811</v>
      </c>
      <c r="D32" s="113">
        <v>535258540</v>
      </c>
      <c r="E32" s="116">
        <f t="shared" si="8"/>
        <v>190415.70259694059</v>
      </c>
      <c r="F32" s="117">
        <v>351090897</v>
      </c>
      <c r="G32" s="117">
        <f t="shared" si="9"/>
        <v>124898.93169690501</v>
      </c>
      <c r="H32" s="7"/>
      <c r="I32" s="109">
        <v>6.2652999999999999</v>
      </c>
      <c r="J32" s="117">
        <v>2199689.7969741002</v>
      </c>
      <c r="K32" s="120">
        <f t="shared" si="10"/>
        <v>782.52927676061904</v>
      </c>
      <c r="L32" s="122">
        <f t="shared" si="3"/>
        <v>3510908.97</v>
      </c>
      <c r="M32" s="116">
        <f t="shared" si="4"/>
        <v>1311219.1730259</v>
      </c>
      <c r="N32" s="123">
        <f t="shared" si="5"/>
        <v>466.46004020843117</v>
      </c>
      <c r="O32" s="5"/>
      <c r="P32" s="5">
        <f t="shared" si="6"/>
        <v>1</v>
      </c>
      <c r="Q32" s="7">
        <f t="shared" si="7"/>
        <v>2811</v>
      </c>
    </row>
    <row r="33" spans="1:21">
      <c r="A33" s="23" t="s">
        <v>37</v>
      </c>
      <c r="B33" s="35" t="s">
        <v>33</v>
      </c>
      <c r="C33" s="125">
        <v>8446</v>
      </c>
      <c r="D33" s="113">
        <v>1134424725</v>
      </c>
      <c r="E33" s="116">
        <f t="shared" si="8"/>
        <v>134315.02782382193</v>
      </c>
      <c r="F33" s="117">
        <v>788287562</v>
      </c>
      <c r="G33" s="117">
        <f t="shared" si="9"/>
        <v>93332.650011839927</v>
      </c>
      <c r="H33" s="7"/>
      <c r="I33" s="109">
        <v>5.4802</v>
      </c>
      <c r="J33" s="117">
        <v>4319973.4972724002</v>
      </c>
      <c r="K33" s="120">
        <f t="shared" si="10"/>
        <v>511.48158859488518</v>
      </c>
      <c r="L33" s="122">
        <f t="shared" si="3"/>
        <v>7882875.6200000001</v>
      </c>
      <c r="M33" s="116">
        <f t="shared" si="4"/>
        <v>3562902.1227275999</v>
      </c>
      <c r="N33" s="123">
        <f t="shared" si="5"/>
        <v>421.8449115235141</v>
      </c>
      <c r="O33" s="5"/>
      <c r="P33" s="5">
        <f t="shared" si="6"/>
        <v>1</v>
      </c>
      <c r="Q33" s="7">
        <f t="shared" si="7"/>
        <v>8446</v>
      </c>
    </row>
    <row r="34" spans="1:21">
      <c r="A34" s="23" t="s">
        <v>38</v>
      </c>
      <c r="B34" s="35" t="s">
        <v>33</v>
      </c>
      <c r="C34" s="125">
        <v>2817</v>
      </c>
      <c r="D34" s="113">
        <v>318593896</v>
      </c>
      <c r="E34" s="116">
        <f t="shared" si="8"/>
        <v>113096.87468938588</v>
      </c>
      <c r="F34" s="117">
        <v>210625030</v>
      </c>
      <c r="G34" s="117">
        <f t="shared" si="9"/>
        <v>74769.268725594608</v>
      </c>
      <c r="H34" s="7"/>
      <c r="I34" s="109">
        <v>2.0259999999999998</v>
      </c>
      <c r="J34" s="117">
        <v>426726.31078</v>
      </c>
      <c r="K34" s="120">
        <f t="shared" si="10"/>
        <v>151.48253843805466</v>
      </c>
      <c r="L34" s="122">
        <f t="shared" si="3"/>
        <v>2106250.2999999998</v>
      </c>
      <c r="M34" s="116">
        <f t="shared" si="4"/>
        <v>1679523.9892199999</v>
      </c>
      <c r="N34" s="123">
        <f t="shared" si="5"/>
        <v>596.21014881789131</v>
      </c>
      <c r="O34" s="5"/>
      <c r="P34" s="5">
        <f t="shared" si="6"/>
        <v>1</v>
      </c>
      <c r="Q34" s="7">
        <f t="shared" si="7"/>
        <v>2817</v>
      </c>
    </row>
    <row r="35" spans="1:21">
      <c r="A35" s="23" t="s">
        <v>39</v>
      </c>
      <c r="B35" s="35" t="s">
        <v>33</v>
      </c>
      <c r="C35" s="125">
        <v>80419</v>
      </c>
      <c r="D35" s="113">
        <v>6739938391</v>
      </c>
      <c r="E35" s="116">
        <f t="shared" si="8"/>
        <v>83810.273579626708</v>
      </c>
      <c r="F35" s="117">
        <v>4169604180</v>
      </c>
      <c r="G35" s="117">
        <f t="shared" si="9"/>
        <v>51848.495753491094</v>
      </c>
      <c r="H35" s="7"/>
      <c r="I35" s="109">
        <v>7.6886000000000001</v>
      </c>
      <c r="J35" s="117">
        <v>32058418.698348001</v>
      </c>
      <c r="K35" s="120">
        <f t="shared" si="10"/>
        <v>398.6423444502916</v>
      </c>
      <c r="L35" s="122">
        <f t="shared" si="3"/>
        <v>41696041.800000004</v>
      </c>
      <c r="M35" s="116">
        <f t="shared" si="4"/>
        <v>9637623.1016520038</v>
      </c>
      <c r="N35" s="123">
        <f t="shared" si="5"/>
        <v>119.84261308461936</v>
      </c>
      <c r="O35" s="5"/>
      <c r="P35" s="5">
        <f t="shared" si="6"/>
        <v>1</v>
      </c>
      <c r="Q35" s="7">
        <f t="shared" si="7"/>
        <v>80419</v>
      </c>
    </row>
    <row r="36" spans="1:21">
      <c r="A36" s="23" t="s">
        <v>40</v>
      </c>
      <c r="B36" s="35" t="s">
        <v>33</v>
      </c>
      <c r="C36" s="125">
        <v>3076</v>
      </c>
      <c r="D36" s="113">
        <v>557902736</v>
      </c>
      <c r="E36" s="116">
        <f t="shared" si="8"/>
        <v>181372.8010403121</v>
      </c>
      <c r="F36" s="117">
        <v>353408299</v>
      </c>
      <c r="G36" s="117">
        <f t="shared" si="9"/>
        <v>114892.16482444733</v>
      </c>
      <c r="H36" s="7"/>
      <c r="I36" s="109">
        <v>4.2750000000000004</v>
      </c>
      <c r="J36" s="117">
        <v>1510820.4782250002</v>
      </c>
      <c r="K36" s="120">
        <f t="shared" si="10"/>
        <v>491.16400462451242</v>
      </c>
      <c r="L36" s="122">
        <f t="shared" si="3"/>
        <v>3534082.99</v>
      </c>
      <c r="M36" s="116">
        <f t="shared" si="4"/>
        <v>2023262.511775</v>
      </c>
      <c r="N36" s="123">
        <f t="shared" si="5"/>
        <v>657.75764361996096</v>
      </c>
      <c r="O36" s="5"/>
      <c r="P36" s="5">
        <f t="shared" si="6"/>
        <v>1</v>
      </c>
      <c r="Q36" s="7">
        <f t="shared" si="7"/>
        <v>3076</v>
      </c>
    </row>
    <row r="37" spans="1:21">
      <c r="A37" s="23" t="s">
        <v>41</v>
      </c>
      <c r="B37" s="35" t="s">
        <v>33</v>
      </c>
      <c r="C37" s="125">
        <v>666</v>
      </c>
      <c r="D37" s="113">
        <v>64149932</v>
      </c>
      <c r="E37" s="116">
        <f t="shared" si="8"/>
        <v>96321.219219219216</v>
      </c>
      <c r="F37" s="117">
        <v>39587887</v>
      </c>
      <c r="G37" s="117">
        <f t="shared" si="9"/>
        <v>59441.271771771775</v>
      </c>
      <c r="H37" s="7"/>
      <c r="I37" s="109">
        <v>9.7335999999999991</v>
      </c>
      <c r="J37" s="117">
        <v>385332.65690319997</v>
      </c>
      <c r="K37" s="120">
        <f t="shared" si="10"/>
        <v>578.57756291771761</v>
      </c>
      <c r="L37" s="122">
        <f t="shared" si="3"/>
        <v>395878.87</v>
      </c>
      <c r="M37" s="116">
        <f t="shared" si="4"/>
        <v>10546.213096800027</v>
      </c>
      <c r="N37" s="123">
        <f t="shared" si="5"/>
        <v>15.835154800000041</v>
      </c>
      <c r="O37" s="5"/>
      <c r="P37" s="5">
        <f t="shared" si="6"/>
        <v>1</v>
      </c>
      <c r="Q37" s="7">
        <f t="shared" si="7"/>
        <v>666</v>
      </c>
    </row>
    <row r="38" spans="1:21">
      <c r="A38" s="23" t="s">
        <v>42</v>
      </c>
      <c r="B38" s="35" t="s">
        <v>33</v>
      </c>
      <c r="C38" s="125">
        <v>109162</v>
      </c>
      <c r="D38" s="113">
        <v>6130183864</v>
      </c>
      <c r="E38" s="116">
        <f t="shared" si="8"/>
        <v>56156.756600282148</v>
      </c>
      <c r="F38" s="117">
        <v>3264440330</v>
      </c>
      <c r="G38" s="117">
        <f t="shared" si="9"/>
        <v>29904.54856085451</v>
      </c>
      <c r="H38" s="7"/>
      <c r="I38" s="109">
        <v>8.4499999999999993</v>
      </c>
      <c r="J38" s="117">
        <v>27584520.788499996</v>
      </c>
      <c r="K38" s="120">
        <f t="shared" si="10"/>
        <v>252.69343533922057</v>
      </c>
      <c r="L38" s="122">
        <f t="shared" si="3"/>
        <v>32644403.300000001</v>
      </c>
      <c r="M38" s="116">
        <f t="shared" si="4"/>
        <v>5059882.5115000047</v>
      </c>
      <c r="N38" s="123">
        <f t="shared" si="5"/>
        <v>46.352050269324536</v>
      </c>
      <c r="O38" s="5"/>
      <c r="P38" s="5">
        <f t="shared" si="6"/>
        <v>1</v>
      </c>
      <c r="Q38" s="7">
        <f t="shared" si="7"/>
        <v>109162</v>
      </c>
    </row>
    <row r="39" spans="1:21">
      <c r="A39" s="23" t="s">
        <v>43</v>
      </c>
      <c r="B39" s="35" t="s">
        <v>33</v>
      </c>
      <c r="C39" s="125">
        <v>979</v>
      </c>
      <c r="D39" s="114" t="s">
        <v>564</v>
      </c>
      <c r="E39" s="116"/>
      <c r="F39" s="117"/>
      <c r="G39" s="117"/>
      <c r="H39" s="98" t="s">
        <v>588</v>
      </c>
      <c r="I39" s="109"/>
      <c r="J39" s="117"/>
      <c r="K39" s="120"/>
      <c r="L39" s="122">
        <f t="shared" si="3"/>
        <v>0</v>
      </c>
      <c r="M39" s="116">
        <f t="shared" si="4"/>
        <v>0</v>
      </c>
      <c r="N39" s="123">
        <f t="shared" si="5"/>
        <v>0</v>
      </c>
      <c r="O39" s="5"/>
      <c r="P39" s="5">
        <f t="shared" si="6"/>
        <v>0</v>
      </c>
      <c r="Q39" s="7">
        <f t="shared" si="7"/>
        <v>0</v>
      </c>
    </row>
    <row r="40" spans="1:21">
      <c r="A40" s="23" t="s">
        <v>44</v>
      </c>
      <c r="B40" s="35" t="s">
        <v>33</v>
      </c>
      <c r="C40" s="125">
        <v>26303</v>
      </c>
      <c r="D40" s="113">
        <v>2158709351</v>
      </c>
      <c r="E40" s="116">
        <f t="shared" ref="E40:E74" si="11">(D40/C40)</f>
        <v>82070.841767098813</v>
      </c>
      <c r="F40" s="117">
        <v>1262671589</v>
      </c>
      <c r="G40" s="117">
        <f t="shared" ref="G40:G74" si="12">(F40/C40)</f>
        <v>48004.850739459376</v>
      </c>
      <c r="H40" s="7"/>
      <c r="I40" s="109">
        <v>6.25</v>
      </c>
      <c r="J40" s="117">
        <v>7891697.4312500004</v>
      </c>
      <c r="K40" s="120">
        <f t="shared" ref="K40:K74" si="13">(J40/C40)</f>
        <v>300.03031712162112</v>
      </c>
      <c r="L40" s="122">
        <f t="shared" si="3"/>
        <v>12626715.890000001</v>
      </c>
      <c r="M40" s="116">
        <f t="shared" si="4"/>
        <v>4735018.4587500002</v>
      </c>
      <c r="N40" s="123">
        <f t="shared" si="5"/>
        <v>180.01819027297267</v>
      </c>
      <c r="O40" s="5"/>
      <c r="P40" s="5">
        <f t="shared" si="6"/>
        <v>1</v>
      </c>
      <c r="Q40" s="7">
        <f t="shared" si="7"/>
        <v>26303</v>
      </c>
    </row>
    <row r="41" spans="1:21">
      <c r="A41" s="23" t="s">
        <v>45</v>
      </c>
      <c r="B41" s="35" t="s">
        <v>33</v>
      </c>
      <c r="C41" s="125">
        <v>10485</v>
      </c>
      <c r="D41" s="113">
        <v>1300212077</v>
      </c>
      <c r="E41" s="116">
        <f t="shared" si="11"/>
        <v>124006.87429661422</v>
      </c>
      <c r="F41" s="117">
        <v>783329385</v>
      </c>
      <c r="G41" s="117">
        <f t="shared" si="12"/>
        <v>74709.526466380543</v>
      </c>
      <c r="H41" s="7"/>
      <c r="I41" s="109">
        <v>8.1517999999999997</v>
      </c>
      <c r="J41" s="121">
        <v>6385544.4806429995</v>
      </c>
      <c r="K41" s="120">
        <f t="shared" si="13"/>
        <v>609.01711784864085</v>
      </c>
      <c r="L41" s="122">
        <f t="shared" si="3"/>
        <v>7833293.8500000006</v>
      </c>
      <c r="M41" s="116">
        <f t="shared" si="4"/>
        <v>1447749.369357001</v>
      </c>
      <c r="N41" s="123">
        <f t="shared" si="5"/>
        <v>138.07814681516462</v>
      </c>
      <c r="O41" s="5"/>
      <c r="P41" s="5">
        <f t="shared" si="6"/>
        <v>1</v>
      </c>
      <c r="Q41" s="7">
        <f t="shared" si="7"/>
        <v>10485</v>
      </c>
    </row>
    <row r="42" spans="1:21">
      <c r="A42" s="23" t="s">
        <v>46</v>
      </c>
      <c r="B42" s="35" t="s">
        <v>33</v>
      </c>
      <c r="C42" s="125">
        <v>46022</v>
      </c>
      <c r="D42" s="113">
        <v>2739682634</v>
      </c>
      <c r="E42" s="116">
        <f t="shared" si="11"/>
        <v>59529.847333883794</v>
      </c>
      <c r="F42" s="117">
        <v>1546019642</v>
      </c>
      <c r="G42" s="117">
        <f t="shared" si="12"/>
        <v>33593.056407804965</v>
      </c>
      <c r="H42" s="7"/>
      <c r="I42" s="109">
        <v>7.6574999999999998</v>
      </c>
      <c r="J42" s="117">
        <v>11838645.408615001</v>
      </c>
      <c r="K42" s="120">
        <f t="shared" si="13"/>
        <v>257.23882944276653</v>
      </c>
      <c r="L42" s="122">
        <f t="shared" si="3"/>
        <v>15460196.42</v>
      </c>
      <c r="M42" s="116">
        <f t="shared" si="4"/>
        <v>3621551.0113849994</v>
      </c>
      <c r="N42" s="123">
        <f t="shared" si="5"/>
        <v>78.691734635283112</v>
      </c>
      <c r="O42" s="5"/>
      <c r="P42" s="5">
        <f t="shared" si="6"/>
        <v>1</v>
      </c>
      <c r="Q42" s="7">
        <f t="shared" si="7"/>
        <v>46022</v>
      </c>
    </row>
    <row r="43" spans="1:21">
      <c r="A43" s="23" t="s">
        <v>47</v>
      </c>
      <c r="B43" s="35" t="s">
        <v>33</v>
      </c>
      <c r="C43" s="125">
        <v>20640</v>
      </c>
      <c r="D43" s="113">
        <v>1860057862</v>
      </c>
      <c r="E43" s="116">
        <f t="shared" si="11"/>
        <v>90119.082461240308</v>
      </c>
      <c r="F43" s="117">
        <v>1259068682</v>
      </c>
      <c r="G43" s="117">
        <f t="shared" si="12"/>
        <v>61001.389631782942</v>
      </c>
      <c r="H43" s="98"/>
      <c r="I43" s="109">
        <v>2.4632999999999998</v>
      </c>
      <c r="J43" s="117">
        <v>3101463.8843705999</v>
      </c>
      <c r="K43" s="120">
        <f t="shared" si="13"/>
        <v>150.26472307997093</v>
      </c>
      <c r="L43" s="122">
        <f t="shared" si="3"/>
        <v>12590686.82</v>
      </c>
      <c r="M43" s="116">
        <f t="shared" si="4"/>
        <v>9489222.9356294014</v>
      </c>
      <c r="N43" s="123">
        <f t="shared" si="5"/>
        <v>459.7491732378586</v>
      </c>
      <c r="O43" s="5"/>
      <c r="P43" s="5">
        <f t="shared" si="6"/>
        <v>1</v>
      </c>
      <c r="Q43" s="7">
        <f t="shared" si="7"/>
        <v>20640</v>
      </c>
      <c r="S43" s="124">
        <f>SUM(D28:D43)</f>
        <v>29207216302</v>
      </c>
      <c r="T43" s="124">
        <f>SUM(F28:F43)</f>
        <v>17953561477</v>
      </c>
      <c r="U43" s="124">
        <f>SUM(J28:J43)</f>
        <v>116068406.6412921</v>
      </c>
    </row>
    <row r="44" spans="1:21">
      <c r="A44" s="23" t="s">
        <v>48</v>
      </c>
      <c r="B44" s="35" t="s">
        <v>49</v>
      </c>
      <c r="C44" s="125">
        <v>57116</v>
      </c>
      <c r="D44" s="113">
        <v>6244910835</v>
      </c>
      <c r="E44" s="116">
        <f t="shared" si="11"/>
        <v>109337.32815673367</v>
      </c>
      <c r="F44" s="117">
        <v>4022925681</v>
      </c>
      <c r="G44" s="117">
        <f t="shared" si="12"/>
        <v>70434.303540163877</v>
      </c>
      <c r="H44" s="98"/>
      <c r="I44" s="110">
        <v>6.1369999999999996</v>
      </c>
      <c r="J44" s="117">
        <v>24688694.904296998</v>
      </c>
      <c r="K44" s="120">
        <f t="shared" si="13"/>
        <v>432.25532082598568</v>
      </c>
      <c r="L44" s="122">
        <f t="shared" si="3"/>
        <v>40229256.810000002</v>
      </c>
      <c r="M44" s="116">
        <f t="shared" si="4"/>
        <v>15540561.905703004</v>
      </c>
      <c r="N44" s="123">
        <f t="shared" si="5"/>
        <v>272.08771457565314</v>
      </c>
      <c r="O44" s="5"/>
      <c r="P44" s="5">
        <f t="shared" si="6"/>
        <v>1</v>
      </c>
      <c r="Q44" s="7">
        <f t="shared" si="7"/>
        <v>57116</v>
      </c>
    </row>
    <row r="45" spans="1:21">
      <c r="A45" s="23" t="s">
        <v>50</v>
      </c>
      <c r="B45" s="35" t="s">
        <v>49</v>
      </c>
      <c r="C45" s="125">
        <v>33671</v>
      </c>
      <c r="D45" s="113">
        <v>4335615153</v>
      </c>
      <c r="E45" s="116">
        <f t="shared" si="11"/>
        <v>128764.07451516141</v>
      </c>
      <c r="F45" s="117">
        <v>2649947345</v>
      </c>
      <c r="G45" s="117">
        <f t="shared" si="12"/>
        <v>78701.177422707973</v>
      </c>
      <c r="H45" s="98"/>
      <c r="I45" s="109">
        <v>6.3846999999999996</v>
      </c>
      <c r="J45" s="117">
        <v>16919118.813621499</v>
      </c>
      <c r="K45" s="120">
        <f t="shared" si="13"/>
        <v>502.48340749076351</v>
      </c>
      <c r="L45" s="122">
        <f t="shared" si="3"/>
        <v>26499473.449999999</v>
      </c>
      <c r="M45" s="116">
        <f t="shared" si="4"/>
        <v>9580354.6363785006</v>
      </c>
      <c r="N45" s="123">
        <f t="shared" si="5"/>
        <v>284.52836673631612</v>
      </c>
      <c r="O45" s="5"/>
      <c r="P45" s="5">
        <f t="shared" si="6"/>
        <v>1</v>
      </c>
      <c r="Q45" s="7">
        <f t="shared" si="7"/>
        <v>33671</v>
      </c>
    </row>
    <row r="46" spans="1:21">
      <c r="A46" s="23" t="s">
        <v>51</v>
      </c>
      <c r="B46" s="35" t="s">
        <v>49</v>
      </c>
      <c r="C46" s="125">
        <v>126264</v>
      </c>
      <c r="D46" s="113">
        <v>13426711125</v>
      </c>
      <c r="E46" s="116">
        <f t="shared" si="11"/>
        <v>106338.39514826078</v>
      </c>
      <c r="F46" s="117">
        <v>9025213273</v>
      </c>
      <c r="G46" s="117">
        <f t="shared" si="12"/>
        <v>71478.911431603628</v>
      </c>
      <c r="H46" s="98"/>
      <c r="I46" s="109">
        <v>4.7981999999999996</v>
      </c>
      <c r="J46" s="117">
        <v>43304778.326508597</v>
      </c>
      <c r="K46" s="120">
        <f t="shared" si="13"/>
        <v>342.9701128311205</v>
      </c>
      <c r="L46" s="122">
        <f t="shared" si="3"/>
        <v>90252132.730000004</v>
      </c>
      <c r="M46" s="116">
        <f t="shared" si="4"/>
        <v>46947354.403491408</v>
      </c>
      <c r="N46" s="123">
        <f t="shared" si="5"/>
        <v>371.81900148491582</v>
      </c>
      <c r="O46" s="5"/>
      <c r="P46" s="5">
        <f t="shared" si="6"/>
        <v>1</v>
      </c>
      <c r="Q46" s="7">
        <f t="shared" si="7"/>
        <v>126264</v>
      </c>
    </row>
    <row r="47" spans="1:21">
      <c r="A47" s="23" t="s">
        <v>464</v>
      </c>
      <c r="B47" s="35" t="s">
        <v>49</v>
      </c>
      <c r="C47" s="125">
        <v>31093</v>
      </c>
      <c r="D47" s="113">
        <v>4351908759</v>
      </c>
      <c r="E47" s="116">
        <f t="shared" si="11"/>
        <v>139964.26073392725</v>
      </c>
      <c r="F47" s="117">
        <v>3210252632</v>
      </c>
      <c r="G47" s="117">
        <f t="shared" si="12"/>
        <v>103246.79612774579</v>
      </c>
      <c r="H47" s="98"/>
      <c r="I47" s="109">
        <v>5.9997999999999996</v>
      </c>
      <c r="J47" s="117">
        <v>19260873.7414736</v>
      </c>
      <c r="K47" s="120">
        <f t="shared" si="13"/>
        <v>619.46012740724927</v>
      </c>
      <c r="L47" s="122">
        <f t="shared" si="3"/>
        <v>32102526.32</v>
      </c>
      <c r="M47" s="116">
        <f t="shared" si="4"/>
        <v>12841652.5785264</v>
      </c>
      <c r="N47" s="123">
        <f t="shared" si="5"/>
        <v>413.00783387020874</v>
      </c>
      <c r="O47" s="5"/>
      <c r="P47" s="5">
        <f t="shared" si="6"/>
        <v>1</v>
      </c>
      <c r="Q47" s="7">
        <f t="shared" si="7"/>
        <v>31093</v>
      </c>
    </row>
    <row r="48" spans="1:21">
      <c r="A48" s="23" t="s">
        <v>52</v>
      </c>
      <c r="B48" s="35" t="s">
        <v>49</v>
      </c>
      <c r="C48" s="125">
        <v>99446</v>
      </c>
      <c r="D48" s="113">
        <v>13003634973</v>
      </c>
      <c r="E48" s="116">
        <f t="shared" si="11"/>
        <v>130760.76436457977</v>
      </c>
      <c r="F48" s="117">
        <v>8332913159</v>
      </c>
      <c r="G48" s="117">
        <f t="shared" si="12"/>
        <v>83793.346730889127</v>
      </c>
      <c r="H48" s="98"/>
      <c r="I48" s="110">
        <v>5.0799000000000003</v>
      </c>
      <c r="J48" s="117">
        <v>42330365.556404106</v>
      </c>
      <c r="K48" s="120">
        <f t="shared" si="13"/>
        <v>425.66182205824373</v>
      </c>
      <c r="L48" s="122">
        <f t="shared" si="3"/>
        <v>83329131.590000004</v>
      </c>
      <c r="M48" s="116">
        <f t="shared" si="4"/>
        <v>40998766.033595897</v>
      </c>
      <c r="N48" s="123">
        <f t="shared" si="5"/>
        <v>412.27164525064757</v>
      </c>
      <c r="O48" s="5"/>
      <c r="P48" s="5">
        <f t="shared" si="6"/>
        <v>1</v>
      </c>
      <c r="Q48" s="7">
        <f t="shared" si="7"/>
        <v>99446</v>
      </c>
    </row>
    <row r="49" spans="1:17">
      <c r="A49" s="23" t="s">
        <v>53</v>
      </c>
      <c r="B49" s="35" t="s">
        <v>49</v>
      </c>
      <c r="C49" s="125">
        <v>77659</v>
      </c>
      <c r="D49" s="113">
        <v>8692250843</v>
      </c>
      <c r="E49" s="116">
        <f t="shared" si="11"/>
        <v>111928.44155860879</v>
      </c>
      <c r="F49" s="117">
        <v>6053188768</v>
      </c>
      <c r="G49" s="117">
        <f t="shared" si="12"/>
        <v>77945.74702223824</v>
      </c>
      <c r="H49" s="98"/>
      <c r="I49" s="109">
        <v>6.0492999999999997</v>
      </c>
      <c r="J49" s="117">
        <v>36617554.814262398</v>
      </c>
      <c r="K49" s="120">
        <f t="shared" si="13"/>
        <v>471.51720746162579</v>
      </c>
      <c r="L49" s="122">
        <f t="shared" si="3"/>
        <v>60531887.68</v>
      </c>
      <c r="M49" s="116">
        <f t="shared" si="4"/>
        <v>23914332.865737602</v>
      </c>
      <c r="N49" s="123">
        <f t="shared" si="5"/>
        <v>307.9402627607567</v>
      </c>
      <c r="O49" s="5"/>
      <c r="P49" s="5">
        <f t="shared" si="6"/>
        <v>1</v>
      </c>
      <c r="Q49" s="7">
        <f t="shared" si="7"/>
        <v>77659</v>
      </c>
    </row>
    <row r="50" spans="1:17">
      <c r="A50" s="23" t="s">
        <v>54</v>
      </c>
      <c r="B50" s="35" t="s">
        <v>49</v>
      </c>
      <c r="C50" s="125">
        <v>176747</v>
      </c>
      <c r="D50" s="113">
        <v>44043813323</v>
      </c>
      <c r="E50" s="116">
        <f t="shared" si="11"/>
        <v>249191.29220297941</v>
      </c>
      <c r="F50" s="117">
        <v>30964922409</v>
      </c>
      <c r="G50" s="117">
        <f t="shared" si="12"/>
        <v>175193.48225995348</v>
      </c>
      <c r="H50" s="98"/>
      <c r="I50" s="109">
        <v>4.1193</v>
      </c>
      <c r="J50" s="117">
        <v>127553804.8793937</v>
      </c>
      <c r="K50" s="120">
        <f t="shared" si="13"/>
        <v>721.67451147342638</v>
      </c>
      <c r="L50" s="122">
        <f t="shared" si="3"/>
        <v>309649224.09000003</v>
      </c>
      <c r="M50" s="116">
        <f t="shared" si="4"/>
        <v>182095419.21060634</v>
      </c>
      <c r="N50" s="123">
        <f t="shared" si="5"/>
        <v>1030.2603111261087</v>
      </c>
      <c r="O50" s="5"/>
      <c r="P50" s="5">
        <f t="shared" si="6"/>
        <v>1</v>
      </c>
      <c r="Q50" s="7">
        <f t="shared" si="7"/>
        <v>176747</v>
      </c>
    </row>
    <row r="51" spans="1:17">
      <c r="A51" s="23" t="s">
        <v>465</v>
      </c>
      <c r="B51" s="35" t="s">
        <v>49</v>
      </c>
      <c r="C51" s="125">
        <v>38621</v>
      </c>
      <c r="D51" s="113">
        <v>6656141990</v>
      </c>
      <c r="E51" s="116">
        <f t="shared" si="11"/>
        <v>172345.14875326894</v>
      </c>
      <c r="F51" s="117">
        <v>5099899400</v>
      </c>
      <c r="G51" s="117">
        <f t="shared" si="12"/>
        <v>132049.90549183087</v>
      </c>
      <c r="H51" s="98"/>
      <c r="I51" s="109">
        <v>5.1917999999999997</v>
      </c>
      <c r="J51" s="117">
        <v>26477657.704919998</v>
      </c>
      <c r="K51" s="120">
        <f t="shared" si="13"/>
        <v>685.57669933248746</v>
      </c>
      <c r="L51" s="122">
        <f t="shared" si="3"/>
        <v>50998994</v>
      </c>
      <c r="M51" s="116">
        <f t="shared" si="4"/>
        <v>24521336.295080002</v>
      </c>
      <c r="N51" s="123">
        <f t="shared" si="5"/>
        <v>634.92235558582126</v>
      </c>
      <c r="O51" s="5"/>
      <c r="P51" s="5">
        <f t="shared" si="6"/>
        <v>1</v>
      </c>
      <c r="Q51" s="7">
        <f t="shared" si="7"/>
        <v>38621</v>
      </c>
    </row>
    <row r="52" spans="1:17">
      <c r="A52" s="23" t="s">
        <v>55</v>
      </c>
      <c r="B52" s="35" t="s">
        <v>49</v>
      </c>
      <c r="C52" s="125">
        <v>1914</v>
      </c>
      <c r="D52" s="113">
        <v>1470869862</v>
      </c>
      <c r="E52" s="116">
        <f t="shared" si="11"/>
        <v>768479.55172413797</v>
      </c>
      <c r="F52" s="117">
        <v>1173202835</v>
      </c>
      <c r="G52" s="117">
        <f t="shared" si="12"/>
        <v>612958.63897596661</v>
      </c>
      <c r="H52" s="98"/>
      <c r="I52" s="109">
        <v>3.5</v>
      </c>
      <c r="J52" s="117">
        <v>4106209.9224999999</v>
      </c>
      <c r="K52" s="120">
        <f t="shared" si="13"/>
        <v>2145.3552364158827</v>
      </c>
      <c r="L52" s="122">
        <f t="shared" si="3"/>
        <v>11732028.35</v>
      </c>
      <c r="M52" s="116">
        <f t="shared" si="4"/>
        <v>7625818.4275000002</v>
      </c>
      <c r="N52" s="123">
        <f t="shared" si="5"/>
        <v>3984.2311533437828</v>
      </c>
      <c r="O52" s="5"/>
      <c r="P52" s="5">
        <f t="shared" si="6"/>
        <v>1</v>
      </c>
      <c r="Q52" s="7">
        <f t="shared" si="7"/>
        <v>1914</v>
      </c>
    </row>
    <row r="53" spans="1:17">
      <c r="A53" s="23" t="s">
        <v>56</v>
      </c>
      <c r="B53" s="35" t="s">
        <v>49</v>
      </c>
      <c r="C53" s="125">
        <v>146155</v>
      </c>
      <c r="D53" s="113">
        <v>20259651227</v>
      </c>
      <c r="E53" s="116">
        <f t="shared" si="11"/>
        <v>138617.57194074785</v>
      </c>
      <c r="F53" s="117">
        <v>13184380307</v>
      </c>
      <c r="G53" s="117">
        <f t="shared" si="12"/>
        <v>90208.205719954844</v>
      </c>
      <c r="H53" s="98"/>
      <c r="I53" s="109">
        <v>7.4478999999999997</v>
      </c>
      <c r="J53" s="117">
        <v>98195946.088505298</v>
      </c>
      <c r="K53" s="120">
        <f t="shared" si="13"/>
        <v>671.86169538165166</v>
      </c>
      <c r="L53" s="122">
        <f t="shared" si="3"/>
        <v>131843803.07000001</v>
      </c>
      <c r="M53" s="116">
        <f t="shared" si="4"/>
        <v>33647856.98149471</v>
      </c>
      <c r="N53" s="123">
        <f t="shared" si="5"/>
        <v>230.22036181789682</v>
      </c>
      <c r="O53" s="5"/>
      <c r="P53" s="5">
        <f t="shared" si="6"/>
        <v>1</v>
      </c>
      <c r="Q53" s="7">
        <f t="shared" si="7"/>
        <v>146155</v>
      </c>
    </row>
    <row r="54" spans="1:17">
      <c r="A54" s="23" t="s">
        <v>57</v>
      </c>
      <c r="B54" s="35" t="s">
        <v>49</v>
      </c>
      <c r="C54" s="125">
        <v>34830</v>
      </c>
      <c r="D54" s="113">
        <v>1673234206</v>
      </c>
      <c r="E54" s="116">
        <f t="shared" si="11"/>
        <v>48040.028883146711</v>
      </c>
      <c r="F54" s="117">
        <v>960231586</v>
      </c>
      <c r="G54" s="117">
        <f t="shared" si="12"/>
        <v>27569.095205282803</v>
      </c>
      <c r="H54" s="98"/>
      <c r="I54" s="109">
        <v>8.5</v>
      </c>
      <c r="J54" s="117">
        <v>8161968.4809999997</v>
      </c>
      <c r="K54" s="120">
        <f t="shared" si="13"/>
        <v>234.33730924490382</v>
      </c>
      <c r="L54" s="122">
        <f t="shared" si="3"/>
        <v>9602315.8599999994</v>
      </c>
      <c r="M54" s="116">
        <f t="shared" si="4"/>
        <v>1440347.3789999997</v>
      </c>
      <c r="N54" s="123">
        <f t="shared" si="5"/>
        <v>41.353642807924196</v>
      </c>
      <c r="O54" s="5"/>
      <c r="P54" s="5">
        <f t="shared" si="6"/>
        <v>1</v>
      </c>
      <c r="Q54" s="7">
        <f t="shared" si="7"/>
        <v>34830</v>
      </c>
    </row>
    <row r="55" spans="1:17">
      <c r="A55" s="23" t="s">
        <v>560</v>
      </c>
      <c r="B55" s="35" t="s">
        <v>49</v>
      </c>
      <c r="C55" s="125">
        <v>6138</v>
      </c>
      <c r="D55" s="113">
        <v>2756684049</v>
      </c>
      <c r="E55" s="116">
        <f t="shared" si="11"/>
        <v>449117.6358748778</v>
      </c>
      <c r="F55" s="117">
        <v>2219580161</v>
      </c>
      <c r="G55" s="117">
        <f t="shared" si="12"/>
        <v>361612.92945584882</v>
      </c>
      <c r="H55" s="98"/>
      <c r="I55" s="109">
        <v>3.6873</v>
      </c>
      <c r="J55" s="117">
        <v>8184257.9276553001</v>
      </c>
      <c r="K55" s="120">
        <f t="shared" si="13"/>
        <v>1333.3753547825513</v>
      </c>
      <c r="L55" s="122">
        <f t="shared" si="3"/>
        <v>22195801.609999999</v>
      </c>
      <c r="M55" s="116">
        <f t="shared" si="4"/>
        <v>14011543.682344699</v>
      </c>
      <c r="N55" s="123">
        <f t="shared" si="5"/>
        <v>2282.7539397759365</v>
      </c>
      <c r="O55" s="5"/>
      <c r="P55" s="5">
        <f t="shared" si="6"/>
        <v>1</v>
      </c>
      <c r="Q55" s="7">
        <f t="shared" si="7"/>
        <v>6138</v>
      </c>
    </row>
    <row r="56" spans="1:17">
      <c r="A56" s="23" t="s">
        <v>58</v>
      </c>
      <c r="B56" s="35" t="s">
        <v>49</v>
      </c>
      <c r="C56" s="125">
        <v>70677</v>
      </c>
      <c r="D56" s="113">
        <v>3725585572</v>
      </c>
      <c r="E56" s="116">
        <f t="shared" si="11"/>
        <v>52712.84253717617</v>
      </c>
      <c r="F56" s="117">
        <v>2254885205</v>
      </c>
      <c r="G56" s="117">
        <f t="shared" si="12"/>
        <v>31904.087680575009</v>
      </c>
      <c r="H56" s="98"/>
      <c r="I56" s="109">
        <v>7.5898000000000003</v>
      </c>
      <c r="J56" s="117">
        <v>17114127.728909001</v>
      </c>
      <c r="K56" s="120">
        <f t="shared" si="13"/>
        <v>242.14564467802822</v>
      </c>
      <c r="L56" s="122">
        <f t="shared" si="3"/>
        <v>22548852.050000001</v>
      </c>
      <c r="M56" s="116">
        <f t="shared" si="4"/>
        <v>5434724.321091</v>
      </c>
      <c r="N56" s="123">
        <f t="shared" si="5"/>
        <v>76.895232127721883</v>
      </c>
      <c r="O56" s="5"/>
      <c r="P56" s="5">
        <f t="shared" si="6"/>
        <v>1</v>
      </c>
      <c r="Q56" s="7">
        <f t="shared" si="7"/>
        <v>70677</v>
      </c>
    </row>
    <row r="57" spans="1:17">
      <c r="A57" s="23" t="s">
        <v>59</v>
      </c>
      <c r="B57" s="35" t="s">
        <v>49</v>
      </c>
      <c r="C57" s="125">
        <v>24</v>
      </c>
      <c r="D57" s="114">
        <v>8560997</v>
      </c>
      <c r="E57" s="116">
        <f t="shared" si="11"/>
        <v>356708.20833333331</v>
      </c>
      <c r="F57" s="117">
        <v>6438605</v>
      </c>
      <c r="G57" s="117">
        <f t="shared" si="12"/>
        <v>268275.20833333331</v>
      </c>
      <c r="H57" s="98"/>
      <c r="I57" s="109">
        <v>4.7930999999999999</v>
      </c>
      <c r="J57" s="117">
        <v>30860.877625500001</v>
      </c>
      <c r="K57" s="120">
        <f t="shared" si="13"/>
        <v>1285.8699010625</v>
      </c>
      <c r="L57" s="122">
        <f t="shared" si="3"/>
        <v>64386.05</v>
      </c>
      <c r="M57" s="116">
        <f t="shared" si="4"/>
        <v>33525.172374500005</v>
      </c>
      <c r="N57" s="123">
        <f t="shared" si="5"/>
        <v>1396.8821822708335</v>
      </c>
      <c r="O57" s="5"/>
      <c r="P57" s="5">
        <f t="shared" si="6"/>
        <v>1</v>
      </c>
      <c r="Q57" s="7">
        <f t="shared" si="7"/>
        <v>24</v>
      </c>
    </row>
    <row r="58" spans="1:17">
      <c r="A58" s="23" t="s">
        <v>60</v>
      </c>
      <c r="B58" s="35" t="s">
        <v>49</v>
      </c>
      <c r="C58" s="125">
        <v>10506</v>
      </c>
      <c r="D58" s="113">
        <v>2988601516</v>
      </c>
      <c r="E58" s="116">
        <f t="shared" si="11"/>
        <v>284466.16371597181</v>
      </c>
      <c r="F58" s="117">
        <v>2088080955</v>
      </c>
      <c r="G58" s="117">
        <f t="shared" si="12"/>
        <v>198751.28069674471</v>
      </c>
      <c r="H58" s="98"/>
      <c r="I58" s="109">
        <v>3.5893000000000002</v>
      </c>
      <c r="J58" s="117">
        <v>7494748.9717814997</v>
      </c>
      <c r="K58" s="120">
        <f t="shared" si="13"/>
        <v>713.37797180482573</v>
      </c>
      <c r="L58" s="122">
        <f t="shared" si="3"/>
        <v>20880809.550000001</v>
      </c>
      <c r="M58" s="116">
        <f t="shared" si="4"/>
        <v>13386060.578218501</v>
      </c>
      <c r="N58" s="123">
        <f t="shared" si="5"/>
        <v>1274.1348351626214</v>
      </c>
      <c r="O58" s="5"/>
      <c r="P58" s="5">
        <f t="shared" si="6"/>
        <v>1</v>
      </c>
      <c r="Q58" s="7">
        <f t="shared" si="7"/>
        <v>10506</v>
      </c>
    </row>
    <row r="59" spans="1:17">
      <c r="A59" s="23" t="s">
        <v>61</v>
      </c>
      <c r="B59" s="35" t="s">
        <v>49</v>
      </c>
      <c r="C59" s="125">
        <v>57226</v>
      </c>
      <c r="D59" s="113">
        <v>4208901119</v>
      </c>
      <c r="E59" s="116">
        <f t="shared" si="11"/>
        <v>73548.756142312937</v>
      </c>
      <c r="F59" s="117">
        <v>2575085687</v>
      </c>
      <c r="G59" s="117">
        <f t="shared" si="12"/>
        <v>44998.526666200676</v>
      </c>
      <c r="H59" s="98"/>
      <c r="I59" s="109">
        <v>6.4554</v>
      </c>
      <c r="J59" s="117">
        <v>16623208.1438598</v>
      </c>
      <c r="K59" s="120">
        <f t="shared" si="13"/>
        <v>290.48348904099186</v>
      </c>
      <c r="L59" s="122">
        <f t="shared" si="3"/>
        <v>25750856.870000001</v>
      </c>
      <c r="M59" s="116">
        <f t="shared" si="4"/>
        <v>9127648.7261402011</v>
      </c>
      <c r="N59" s="123">
        <f t="shared" si="5"/>
        <v>159.50177762101495</v>
      </c>
      <c r="O59" s="5"/>
      <c r="P59" s="5">
        <f t="shared" si="6"/>
        <v>1</v>
      </c>
      <c r="Q59" s="7">
        <f t="shared" si="7"/>
        <v>57226</v>
      </c>
    </row>
    <row r="60" spans="1:17">
      <c r="A60" s="23" t="s">
        <v>62</v>
      </c>
      <c r="B60" s="35" t="s">
        <v>49</v>
      </c>
      <c r="C60" s="125">
        <v>134037</v>
      </c>
      <c r="D60" s="113">
        <v>13020727517</v>
      </c>
      <c r="E60" s="116">
        <f t="shared" si="11"/>
        <v>97142.785327931837</v>
      </c>
      <c r="F60" s="117">
        <v>8609027574</v>
      </c>
      <c r="G60" s="117">
        <f t="shared" si="12"/>
        <v>64228.739631594261</v>
      </c>
      <c r="H60" s="98"/>
      <c r="I60" s="109">
        <v>6.7653999999999996</v>
      </c>
      <c r="J60" s="117">
        <v>58243515.149139598</v>
      </c>
      <c r="K60" s="120">
        <f t="shared" si="13"/>
        <v>434.53311510358782</v>
      </c>
      <c r="L60" s="122">
        <f t="shared" si="3"/>
        <v>86090275.739999995</v>
      </c>
      <c r="M60" s="116">
        <f t="shared" si="4"/>
        <v>27846760.590860397</v>
      </c>
      <c r="N60" s="123">
        <f t="shared" si="5"/>
        <v>207.75428121235478</v>
      </c>
      <c r="O60" s="5"/>
      <c r="P60" s="5">
        <f t="shared" si="6"/>
        <v>1</v>
      </c>
      <c r="Q60" s="7">
        <f t="shared" si="7"/>
        <v>134037</v>
      </c>
    </row>
    <row r="61" spans="1:17">
      <c r="A61" s="23" t="s">
        <v>63</v>
      </c>
      <c r="B61" s="35" t="s">
        <v>49</v>
      </c>
      <c r="C61" s="125">
        <v>44064</v>
      </c>
      <c r="D61" s="113">
        <v>2071942978</v>
      </c>
      <c r="E61" s="116">
        <f t="shared" si="11"/>
        <v>47021.218636528683</v>
      </c>
      <c r="F61" s="117">
        <v>1234704194</v>
      </c>
      <c r="G61" s="117">
        <f t="shared" si="12"/>
        <v>28020.70157044299</v>
      </c>
      <c r="H61" s="98"/>
      <c r="I61" s="109">
        <v>7.5</v>
      </c>
      <c r="J61" s="117">
        <v>9260281.4550000001</v>
      </c>
      <c r="K61" s="120">
        <f t="shared" si="13"/>
        <v>210.15526177832245</v>
      </c>
      <c r="L61" s="122">
        <f t="shared" si="3"/>
        <v>12347041.939999999</v>
      </c>
      <c r="M61" s="116">
        <f t="shared" si="4"/>
        <v>3086760.4849999994</v>
      </c>
      <c r="N61" s="123">
        <f t="shared" si="5"/>
        <v>70.051753926107466</v>
      </c>
      <c r="O61" s="5"/>
      <c r="P61" s="5">
        <f t="shared" si="6"/>
        <v>1</v>
      </c>
      <c r="Q61" s="7">
        <f t="shared" si="7"/>
        <v>44064</v>
      </c>
    </row>
    <row r="62" spans="1:17">
      <c r="A62" s="23" t="s">
        <v>64</v>
      </c>
      <c r="B62" s="35" t="s">
        <v>49</v>
      </c>
      <c r="C62" s="125">
        <v>44098</v>
      </c>
      <c r="D62" s="113">
        <v>4222634326</v>
      </c>
      <c r="E62" s="116">
        <f t="shared" si="11"/>
        <v>95755.687922354758</v>
      </c>
      <c r="F62" s="117">
        <v>2713828403</v>
      </c>
      <c r="G62" s="117">
        <f t="shared" si="12"/>
        <v>61540.849993196971</v>
      </c>
      <c r="H62" s="98"/>
      <c r="I62" s="109">
        <v>6.1555</v>
      </c>
      <c r="J62" s="117">
        <v>16704970.7346665</v>
      </c>
      <c r="K62" s="120">
        <f t="shared" si="13"/>
        <v>378.81470213312394</v>
      </c>
      <c r="L62" s="122">
        <f t="shared" si="3"/>
        <v>27138284.030000001</v>
      </c>
      <c r="M62" s="116">
        <f t="shared" si="4"/>
        <v>10433313.295333501</v>
      </c>
      <c r="N62" s="123">
        <f t="shared" si="5"/>
        <v>236.59379779884577</v>
      </c>
      <c r="O62" s="5"/>
      <c r="P62" s="5">
        <f t="shared" si="6"/>
        <v>1</v>
      </c>
      <c r="Q62" s="7">
        <f t="shared" si="7"/>
        <v>44098</v>
      </c>
    </row>
    <row r="63" spans="1:17">
      <c r="A63" s="23" t="s">
        <v>65</v>
      </c>
      <c r="B63" s="35" t="s">
        <v>49</v>
      </c>
      <c r="C63" s="125">
        <v>29586</v>
      </c>
      <c r="D63" s="113">
        <v>5637397391</v>
      </c>
      <c r="E63" s="116">
        <f t="shared" si="11"/>
        <v>190542.73612519435</v>
      </c>
      <c r="F63" s="117">
        <v>4229511952</v>
      </c>
      <c r="G63" s="117">
        <f t="shared" si="12"/>
        <v>142956.53187318327</v>
      </c>
      <c r="H63" s="98"/>
      <c r="I63" s="109">
        <v>3.98</v>
      </c>
      <c r="J63" s="117">
        <v>16833457.56896</v>
      </c>
      <c r="K63" s="120">
        <f t="shared" si="13"/>
        <v>568.96699685526937</v>
      </c>
      <c r="L63" s="122">
        <f t="shared" si="3"/>
        <v>42295119.520000003</v>
      </c>
      <c r="M63" s="116">
        <f t="shared" si="4"/>
        <v>25461661.951040003</v>
      </c>
      <c r="N63" s="123">
        <f t="shared" si="5"/>
        <v>860.59832187656332</v>
      </c>
      <c r="O63" s="5"/>
      <c r="P63" s="5">
        <f t="shared" si="6"/>
        <v>1</v>
      </c>
      <c r="Q63" s="7">
        <f t="shared" si="7"/>
        <v>29586</v>
      </c>
    </row>
    <row r="64" spans="1:17">
      <c r="A64" s="23" t="s">
        <v>66</v>
      </c>
      <c r="B64" s="35" t="s">
        <v>49</v>
      </c>
      <c r="C64" s="125">
        <v>6318</v>
      </c>
      <c r="D64" s="113">
        <v>750284399</v>
      </c>
      <c r="E64" s="116">
        <f t="shared" si="11"/>
        <v>118753.46612852169</v>
      </c>
      <c r="F64" s="117">
        <v>645436737</v>
      </c>
      <c r="G64" s="117">
        <f t="shared" si="12"/>
        <v>102158.39458689459</v>
      </c>
      <c r="H64" s="98"/>
      <c r="I64" s="109">
        <v>8.5</v>
      </c>
      <c r="J64" s="117">
        <v>5486212.2644999996</v>
      </c>
      <c r="K64" s="120">
        <f t="shared" si="13"/>
        <v>868.34635398860394</v>
      </c>
      <c r="L64" s="122">
        <f t="shared" si="3"/>
        <v>6454367.3700000001</v>
      </c>
      <c r="M64" s="116">
        <f t="shared" si="4"/>
        <v>968155.10550000053</v>
      </c>
      <c r="N64" s="123">
        <f t="shared" si="5"/>
        <v>153.23759188034197</v>
      </c>
      <c r="O64" s="5"/>
      <c r="P64" s="5">
        <f t="shared" si="6"/>
        <v>1</v>
      </c>
      <c r="Q64" s="7">
        <f t="shared" si="7"/>
        <v>6318</v>
      </c>
    </row>
    <row r="65" spans="1:21">
      <c r="A65" s="23" t="s">
        <v>67</v>
      </c>
      <c r="B65" s="35" t="s">
        <v>49</v>
      </c>
      <c r="C65" s="125">
        <v>161799</v>
      </c>
      <c r="D65" s="113">
        <v>17502115156</v>
      </c>
      <c r="E65" s="116">
        <f t="shared" si="11"/>
        <v>108171.96123585437</v>
      </c>
      <c r="F65" s="117">
        <v>10928241430</v>
      </c>
      <c r="G65" s="117">
        <f t="shared" si="12"/>
        <v>67542.082645751827</v>
      </c>
      <c r="H65" s="98"/>
      <c r="I65" s="109">
        <v>5.6736000000000004</v>
      </c>
      <c r="J65" s="117">
        <v>62002470.577248</v>
      </c>
      <c r="K65" s="120">
        <f t="shared" si="13"/>
        <v>383.20676009893759</v>
      </c>
      <c r="L65" s="122">
        <f t="shared" si="3"/>
        <v>109282414.3</v>
      </c>
      <c r="M65" s="116">
        <f t="shared" si="4"/>
        <v>47279943.722751997</v>
      </c>
      <c r="N65" s="123">
        <f t="shared" si="5"/>
        <v>292.21406635858068</v>
      </c>
      <c r="O65" s="5"/>
      <c r="P65" s="5">
        <f t="shared" si="6"/>
        <v>1</v>
      </c>
      <c r="Q65" s="7">
        <f t="shared" si="7"/>
        <v>161799</v>
      </c>
    </row>
    <row r="66" spans="1:21">
      <c r="A66" s="23" t="s">
        <v>68</v>
      </c>
      <c r="B66" s="35" t="s">
        <v>49</v>
      </c>
      <c r="C66" s="125">
        <v>88328</v>
      </c>
      <c r="D66" s="113">
        <v>12006277696</v>
      </c>
      <c r="E66" s="116">
        <f t="shared" si="11"/>
        <v>135928.33185399874</v>
      </c>
      <c r="F66" s="117">
        <v>8209290777</v>
      </c>
      <c r="G66" s="117">
        <f t="shared" si="12"/>
        <v>92940.978817588984</v>
      </c>
      <c r="H66" s="98"/>
      <c r="I66" s="109">
        <v>5.9</v>
      </c>
      <c r="J66" s="117">
        <v>48434815.584300004</v>
      </c>
      <c r="K66" s="120">
        <f t="shared" si="13"/>
        <v>548.35177502377508</v>
      </c>
      <c r="L66" s="122">
        <f t="shared" si="3"/>
        <v>82092907.769999996</v>
      </c>
      <c r="M66" s="116">
        <f t="shared" si="4"/>
        <v>33658092.185699992</v>
      </c>
      <c r="N66" s="123">
        <f t="shared" si="5"/>
        <v>381.05801315211477</v>
      </c>
      <c r="O66" s="5"/>
      <c r="P66" s="5">
        <f t="shared" si="6"/>
        <v>1</v>
      </c>
      <c r="Q66" s="7">
        <f t="shared" si="7"/>
        <v>88328</v>
      </c>
    </row>
    <row r="67" spans="1:21">
      <c r="A67" s="23" t="s">
        <v>69</v>
      </c>
      <c r="B67" s="35" t="s">
        <v>49</v>
      </c>
      <c r="C67" s="125">
        <v>107425</v>
      </c>
      <c r="D67" s="113">
        <v>15481409730</v>
      </c>
      <c r="E67" s="116">
        <f t="shared" si="11"/>
        <v>144113.65818012567</v>
      </c>
      <c r="F67" s="117">
        <v>11067674412</v>
      </c>
      <c r="G67" s="117">
        <f t="shared" si="12"/>
        <v>103026.99010472423</v>
      </c>
      <c r="H67" s="98"/>
      <c r="I67" s="109">
        <v>4.8251999999999997</v>
      </c>
      <c r="J67" s="117">
        <v>53403742.572782397</v>
      </c>
      <c r="K67" s="120">
        <f t="shared" si="13"/>
        <v>497.12583265331529</v>
      </c>
      <c r="L67" s="122">
        <f t="shared" si="3"/>
        <v>110676744.12</v>
      </c>
      <c r="M67" s="116">
        <f t="shared" si="4"/>
        <v>57273001.547217607</v>
      </c>
      <c r="N67" s="123">
        <f t="shared" si="5"/>
        <v>533.144068393927</v>
      </c>
      <c r="O67" s="5"/>
      <c r="P67" s="5">
        <f t="shared" si="6"/>
        <v>1</v>
      </c>
      <c r="Q67" s="7">
        <f t="shared" si="7"/>
        <v>107425</v>
      </c>
    </row>
    <row r="68" spans="1:21">
      <c r="A68" s="23" t="s">
        <v>70</v>
      </c>
      <c r="B68" s="35" t="s">
        <v>49</v>
      </c>
      <c r="C68" s="125">
        <v>677</v>
      </c>
      <c r="D68" s="113">
        <v>274467135</v>
      </c>
      <c r="E68" s="116">
        <f t="shared" si="11"/>
        <v>405416.74298375187</v>
      </c>
      <c r="F68" s="117">
        <v>193169819</v>
      </c>
      <c r="G68" s="117">
        <f t="shared" si="12"/>
        <v>285332.08124076808</v>
      </c>
      <c r="H68" s="98"/>
      <c r="I68" s="109">
        <v>7.5</v>
      </c>
      <c r="J68" s="117">
        <v>1448773.6425000001</v>
      </c>
      <c r="K68" s="120">
        <f t="shared" si="13"/>
        <v>2139.9906093057607</v>
      </c>
      <c r="L68" s="122">
        <f t="shared" si="3"/>
        <v>1931698.19</v>
      </c>
      <c r="M68" s="116">
        <f t="shared" si="4"/>
        <v>482924.54749999987</v>
      </c>
      <c r="N68" s="123">
        <f t="shared" si="5"/>
        <v>713.33020310192001</v>
      </c>
      <c r="O68" s="5"/>
      <c r="P68" s="5">
        <f t="shared" si="6"/>
        <v>1</v>
      </c>
      <c r="Q68" s="7">
        <f t="shared" si="7"/>
        <v>677</v>
      </c>
    </row>
    <row r="69" spans="1:21">
      <c r="A69" s="23" t="s">
        <v>450</v>
      </c>
      <c r="B69" s="35" t="s">
        <v>49</v>
      </c>
      <c r="C69" s="125">
        <v>7572</v>
      </c>
      <c r="D69" s="113">
        <v>2094785285</v>
      </c>
      <c r="E69" s="116">
        <f t="shared" si="11"/>
        <v>276648.87546222925</v>
      </c>
      <c r="F69" s="117">
        <v>1272338797</v>
      </c>
      <c r="G69" s="117">
        <f t="shared" si="12"/>
        <v>168032.06510829373</v>
      </c>
      <c r="H69" s="98"/>
      <c r="I69" s="109">
        <v>4.4629000000000003</v>
      </c>
      <c r="J69" s="117">
        <v>5678320.8171312995</v>
      </c>
      <c r="K69" s="120">
        <f t="shared" si="13"/>
        <v>749.91030337180393</v>
      </c>
      <c r="L69" s="122">
        <f t="shared" si="3"/>
        <v>12723387.970000001</v>
      </c>
      <c r="M69" s="116">
        <f t="shared" si="4"/>
        <v>7045067.1528687011</v>
      </c>
      <c r="N69" s="123">
        <f t="shared" si="5"/>
        <v>930.41034771113323</v>
      </c>
      <c r="O69" s="5"/>
      <c r="P69" s="5">
        <f t="shared" si="6"/>
        <v>1</v>
      </c>
      <c r="Q69" s="7">
        <f t="shared" si="7"/>
        <v>7572</v>
      </c>
    </row>
    <row r="70" spans="1:21">
      <c r="A70" s="23" t="s">
        <v>71</v>
      </c>
      <c r="B70" s="35" t="s">
        <v>49</v>
      </c>
      <c r="C70" s="125">
        <v>90714</v>
      </c>
      <c r="D70" s="113">
        <v>9531497054</v>
      </c>
      <c r="E70" s="116">
        <f t="shared" si="11"/>
        <v>105071.95200299844</v>
      </c>
      <c r="F70" s="117">
        <v>6195176831</v>
      </c>
      <c r="G70" s="117">
        <f t="shared" si="12"/>
        <v>68293.502998434647</v>
      </c>
      <c r="H70" s="98"/>
      <c r="I70" s="109">
        <v>6.0542999999999996</v>
      </c>
      <c r="J70" s="117">
        <v>37507459.087923296</v>
      </c>
      <c r="K70" s="120">
        <f t="shared" si="13"/>
        <v>413.46935520342282</v>
      </c>
      <c r="L70" s="122">
        <f t="shared" ref="L70:L133" si="14">(F70*0.01)</f>
        <v>61951768.310000002</v>
      </c>
      <c r="M70" s="116">
        <f t="shared" ref="M70:M133" si="15">(L70-J70)</f>
        <v>24444309.222076707</v>
      </c>
      <c r="N70" s="123">
        <f t="shared" ref="N70:N133" si="16">(M70/C70)</f>
        <v>269.46567478092362</v>
      </c>
      <c r="O70" s="5"/>
      <c r="P70" s="5">
        <f t="shared" ref="P70:P133" si="17">IF(I70&gt;0,1,0)</f>
        <v>1</v>
      </c>
      <c r="Q70" s="7">
        <f t="shared" ref="Q70:Q133" si="18">IF(I70&gt;0,C70,0)</f>
        <v>90714</v>
      </c>
    </row>
    <row r="71" spans="1:21">
      <c r="A71" s="23" t="s">
        <v>72</v>
      </c>
      <c r="B71" s="35" t="s">
        <v>49</v>
      </c>
      <c r="C71" s="125">
        <v>63309</v>
      </c>
      <c r="D71" s="113">
        <v>5285600483</v>
      </c>
      <c r="E71" s="116">
        <f t="shared" si="11"/>
        <v>83488.927056184752</v>
      </c>
      <c r="F71" s="118">
        <v>3157947491</v>
      </c>
      <c r="G71" s="117">
        <f t="shared" si="12"/>
        <v>49881.493800249569</v>
      </c>
      <c r="H71" s="98"/>
      <c r="I71" s="109">
        <v>7.2899000000000003</v>
      </c>
      <c r="J71" s="117">
        <v>23021121.4146409</v>
      </c>
      <c r="K71" s="120">
        <f t="shared" si="13"/>
        <v>363.63110165443931</v>
      </c>
      <c r="L71" s="122">
        <f t="shared" si="14"/>
        <v>31579474.91</v>
      </c>
      <c r="M71" s="116">
        <f t="shared" si="15"/>
        <v>8558353.4953591004</v>
      </c>
      <c r="N71" s="123">
        <f t="shared" si="16"/>
        <v>135.18383634805636</v>
      </c>
      <c r="O71" s="5"/>
      <c r="P71" s="5">
        <f t="shared" si="17"/>
        <v>1</v>
      </c>
      <c r="Q71" s="7">
        <f t="shared" si="18"/>
        <v>63309</v>
      </c>
    </row>
    <row r="72" spans="1:21">
      <c r="A72" s="23" t="s">
        <v>507</v>
      </c>
      <c r="B72" s="35" t="s">
        <v>49</v>
      </c>
      <c r="C72" s="125">
        <v>14768</v>
      </c>
      <c r="D72" s="113">
        <v>731485465</v>
      </c>
      <c r="E72" s="116">
        <f t="shared" si="11"/>
        <v>49531.789341820149</v>
      </c>
      <c r="F72" s="117">
        <v>437217207</v>
      </c>
      <c r="G72" s="117">
        <f t="shared" si="12"/>
        <v>29605.715533586132</v>
      </c>
      <c r="H72" s="98"/>
      <c r="I72" s="109">
        <v>8.65</v>
      </c>
      <c r="J72" s="117">
        <v>3781928.8405500003</v>
      </c>
      <c r="K72" s="120">
        <f t="shared" si="13"/>
        <v>256.08943936552009</v>
      </c>
      <c r="L72" s="122">
        <f t="shared" si="14"/>
        <v>4372172.07</v>
      </c>
      <c r="M72" s="116">
        <f t="shared" si="15"/>
        <v>590243.22944999998</v>
      </c>
      <c r="N72" s="123">
        <f t="shared" si="16"/>
        <v>39.967715970341274</v>
      </c>
      <c r="O72" s="5"/>
      <c r="P72" s="5">
        <f t="shared" si="17"/>
        <v>1</v>
      </c>
      <c r="Q72" s="7">
        <f t="shared" si="18"/>
        <v>14768</v>
      </c>
    </row>
    <row r="73" spans="1:21">
      <c r="A73" s="23" t="s">
        <v>73</v>
      </c>
      <c r="B73" s="35" t="s">
        <v>49</v>
      </c>
      <c r="C73" s="125">
        <v>66526</v>
      </c>
      <c r="D73" s="113">
        <v>11251598951</v>
      </c>
      <c r="E73" s="116">
        <f t="shared" si="11"/>
        <v>169130.85035925804</v>
      </c>
      <c r="F73" s="117">
        <v>7860167040</v>
      </c>
      <c r="G73" s="117">
        <f t="shared" si="12"/>
        <v>118151.8059104711</v>
      </c>
      <c r="H73" s="98"/>
      <c r="I73" s="109">
        <v>2.39</v>
      </c>
      <c r="J73" s="117">
        <v>18785799.2256</v>
      </c>
      <c r="K73" s="120">
        <f t="shared" si="13"/>
        <v>282.38281612602594</v>
      </c>
      <c r="L73" s="122">
        <f t="shared" si="14"/>
        <v>78601670.400000006</v>
      </c>
      <c r="M73" s="116">
        <f t="shared" si="15"/>
        <v>59815871.174400002</v>
      </c>
      <c r="N73" s="123">
        <f t="shared" si="16"/>
        <v>899.13524297868503</v>
      </c>
      <c r="O73" s="5"/>
      <c r="P73" s="5">
        <f t="shared" si="17"/>
        <v>1</v>
      </c>
      <c r="Q73" s="7">
        <f t="shared" si="18"/>
        <v>66526</v>
      </c>
    </row>
    <row r="74" spans="1:21">
      <c r="A74" s="23" t="s">
        <v>74</v>
      </c>
      <c r="B74" s="35" t="s">
        <v>49</v>
      </c>
      <c r="C74" s="125">
        <v>12446</v>
      </c>
      <c r="D74" s="113">
        <v>1823339180</v>
      </c>
      <c r="E74" s="116">
        <f t="shared" si="11"/>
        <v>146500.01446247791</v>
      </c>
      <c r="F74" s="117">
        <v>1184034874</v>
      </c>
      <c r="G74" s="117">
        <f t="shared" si="12"/>
        <v>95133.76779688253</v>
      </c>
      <c r="H74" s="98"/>
      <c r="I74" s="109">
        <v>5.99</v>
      </c>
      <c r="J74" s="117">
        <v>7092368.8952600006</v>
      </c>
      <c r="K74" s="120">
        <f t="shared" si="13"/>
        <v>569.85126910332644</v>
      </c>
      <c r="L74" s="122">
        <f t="shared" si="14"/>
        <v>11840348.74</v>
      </c>
      <c r="M74" s="116">
        <f t="shared" si="15"/>
        <v>4747979.8447399996</v>
      </c>
      <c r="N74" s="123">
        <f t="shared" si="16"/>
        <v>381.4864088654989</v>
      </c>
      <c r="O74" s="5"/>
      <c r="P74" s="5">
        <f t="shared" si="17"/>
        <v>1</v>
      </c>
      <c r="Q74" s="7">
        <f t="shared" si="18"/>
        <v>12446</v>
      </c>
      <c r="S74" s="124">
        <f>SUM(D44:D74)</f>
        <v>239532638295</v>
      </c>
      <c r="T74" s="124">
        <f>SUM(F44:F74)</f>
        <v>161758915546</v>
      </c>
      <c r="U74" s="124">
        <f>SUM(J44:J74)</f>
        <v>864749414.71291935</v>
      </c>
    </row>
    <row r="75" spans="1:21">
      <c r="A75" s="23" t="s">
        <v>75</v>
      </c>
      <c r="B75" s="35" t="s">
        <v>76</v>
      </c>
      <c r="C75" s="125">
        <v>555</v>
      </c>
      <c r="D75" s="114" t="s">
        <v>564</v>
      </c>
      <c r="E75" s="116"/>
      <c r="F75" s="117"/>
      <c r="G75" s="117"/>
      <c r="H75" s="98" t="s">
        <v>588</v>
      </c>
      <c r="I75" s="109"/>
      <c r="J75" s="117"/>
      <c r="K75" s="120"/>
      <c r="L75" s="122">
        <f t="shared" si="14"/>
        <v>0</v>
      </c>
      <c r="M75" s="116">
        <f t="shared" si="15"/>
        <v>0</v>
      </c>
      <c r="N75" s="123">
        <f t="shared" si="16"/>
        <v>0</v>
      </c>
      <c r="O75" s="5"/>
      <c r="P75" s="5">
        <f t="shared" si="17"/>
        <v>0</v>
      </c>
      <c r="Q75" s="7">
        <f t="shared" si="18"/>
        <v>0</v>
      </c>
    </row>
    <row r="76" spans="1:21">
      <c r="A76" s="23" t="s">
        <v>77</v>
      </c>
      <c r="B76" s="35" t="s">
        <v>76</v>
      </c>
      <c r="C76" s="125">
        <v>2472</v>
      </c>
      <c r="D76" s="113">
        <v>108739103</v>
      </c>
      <c r="E76" s="116">
        <f t="shared" ref="E76:E82" si="19">(D76/C76)</f>
        <v>43988.310275080905</v>
      </c>
      <c r="F76" s="117">
        <v>62867613</v>
      </c>
      <c r="G76" s="117">
        <f t="shared" ref="G76:G82" si="20">(F76/C76)</f>
        <v>25431.882281553397</v>
      </c>
      <c r="H76" s="7"/>
      <c r="I76" s="109">
        <v>1.5</v>
      </c>
      <c r="J76" s="117">
        <v>94301.419500000004</v>
      </c>
      <c r="K76" s="120">
        <f t="shared" ref="K76:K82" si="21">(J76/C76)</f>
        <v>38.147823422330099</v>
      </c>
      <c r="L76" s="122">
        <f t="shared" si="14"/>
        <v>628676.13</v>
      </c>
      <c r="M76" s="116">
        <f t="shared" si="15"/>
        <v>534374.71050000004</v>
      </c>
      <c r="N76" s="123">
        <f t="shared" si="16"/>
        <v>216.17099939320391</v>
      </c>
      <c r="O76" s="5"/>
      <c r="P76" s="5">
        <f t="shared" si="17"/>
        <v>1</v>
      </c>
      <c r="Q76" s="7">
        <f t="shared" si="18"/>
        <v>2472</v>
      </c>
      <c r="S76" s="124">
        <f>SUM(D75:D76)</f>
        <v>108739103</v>
      </c>
      <c r="T76" s="124">
        <f>SUM(F75:F76)</f>
        <v>62867613</v>
      </c>
      <c r="U76" s="124">
        <f>SUM(J75:J76)</f>
        <v>94301.419500000004</v>
      </c>
    </row>
    <row r="77" spans="1:21">
      <c r="A77" s="23" t="s">
        <v>78</v>
      </c>
      <c r="B77" s="35" t="s">
        <v>79</v>
      </c>
      <c r="C77" s="125">
        <v>18368</v>
      </c>
      <c r="D77" s="113">
        <v>3781076592</v>
      </c>
      <c r="E77" s="116">
        <f t="shared" si="19"/>
        <v>205851.29529616726</v>
      </c>
      <c r="F77" s="117">
        <v>2685303159</v>
      </c>
      <c r="G77" s="117">
        <f t="shared" si="20"/>
        <v>146194.640625</v>
      </c>
      <c r="H77" s="7"/>
      <c r="I77" s="109">
        <v>3.1968999999999999</v>
      </c>
      <c r="J77" s="117">
        <v>8584645.6690070983</v>
      </c>
      <c r="K77" s="120">
        <f t="shared" si="21"/>
        <v>467.36964661406239</v>
      </c>
      <c r="L77" s="122">
        <f t="shared" si="14"/>
        <v>26853031.59</v>
      </c>
      <c r="M77" s="116">
        <f t="shared" si="15"/>
        <v>18268385.920992903</v>
      </c>
      <c r="N77" s="123">
        <f t="shared" si="16"/>
        <v>994.57675963593772</v>
      </c>
      <c r="O77" s="5"/>
      <c r="P77" s="5">
        <f t="shared" si="17"/>
        <v>1</v>
      </c>
      <c r="Q77" s="7">
        <f t="shared" si="18"/>
        <v>18368</v>
      </c>
      <c r="S77" s="124">
        <f>SUM(D77)</f>
        <v>3781076592</v>
      </c>
      <c r="T77" s="124">
        <f>SUM(F77)</f>
        <v>2685303159</v>
      </c>
      <c r="U77" s="124">
        <f>SUM(J77)</f>
        <v>8584645.6690070983</v>
      </c>
    </row>
    <row r="78" spans="1:21">
      <c r="A78" s="23" t="s">
        <v>80</v>
      </c>
      <c r="B78" s="35" t="s">
        <v>81</v>
      </c>
      <c r="C78" s="125">
        <v>3143</v>
      </c>
      <c r="D78" s="113">
        <v>596976211</v>
      </c>
      <c r="E78" s="116">
        <f t="shared" si="19"/>
        <v>189938.34266624245</v>
      </c>
      <c r="F78" s="117">
        <v>430716449</v>
      </c>
      <c r="G78" s="117">
        <f t="shared" si="20"/>
        <v>137039.91377664651</v>
      </c>
      <c r="H78" s="7"/>
      <c r="I78" s="110">
        <v>4.2</v>
      </c>
      <c r="J78" s="117">
        <v>1809009.0858000002</v>
      </c>
      <c r="K78" s="120">
        <f t="shared" si="21"/>
        <v>575.56763786191539</v>
      </c>
      <c r="L78" s="122">
        <f t="shared" si="14"/>
        <v>4307164.49</v>
      </c>
      <c r="M78" s="116">
        <f t="shared" si="15"/>
        <v>2498155.4041999998</v>
      </c>
      <c r="N78" s="123">
        <f t="shared" si="16"/>
        <v>794.83149990454967</v>
      </c>
      <c r="O78" s="5"/>
      <c r="P78" s="5">
        <f t="shared" si="17"/>
        <v>1</v>
      </c>
      <c r="Q78" s="7">
        <f t="shared" si="18"/>
        <v>3143</v>
      </c>
    </row>
    <row r="79" spans="1:21">
      <c r="A79" s="23" t="s">
        <v>82</v>
      </c>
      <c r="B79" s="35" t="s">
        <v>81</v>
      </c>
      <c r="C79" s="125">
        <v>7251</v>
      </c>
      <c r="D79" s="113">
        <v>681481378</v>
      </c>
      <c r="E79" s="116">
        <f t="shared" si="19"/>
        <v>93984.468073369193</v>
      </c>
      <c r="F79" s="117">
        <v>439472066</v>
      </c>
      <c r="G79" s="117">
        <f t="shared" si="20"/>
        <v>60608.476899737965</v>
      </c>
      <c r="H79" s="7"/>
      <c r="I79" s="109">
        <v>7.5728999999999997</v>
      </c>
      <c r="J79" s="117">
        <v>3328078.0086113997</v>
      </c>
      <c r="K79" s="120">
        <f t="shared" si="21"/>
        <v>458.98193471402561</v>
      </c>
      <c r="L79" s="122">
        <f t="shared" si="14"/>
        <v>4394720.66</v>
      </c>
      <c r="M79" s="116">
        <f t="shared" si="15"/>
        <v>1066642.6513886005</v>
      </c>
      <c r="N79" s="123">
        <f t="shared" si="16"/>
        <v>147.1028342833541</v>
      </c>
      <c r="O79" s="5"/>
      <c r="P79" s="5">
        <f t="shared" si="17"/>
        <v>1</v>
      </c>
      <c r="Q79" s="7">
        <f t="shared" si="18"/>
        <v>7251</v>
      </c>
      <c r="S79" s="124">
        <f>SUM(D78:D79)</f>
        <v>1278457589</v>
      </c>
      <c r="T79" s="124">
        <f>SUM(F78:F79)</f>
        <v>870188515</v>
      </c>
      <c r="U79" s="124">
        <f>SUM(J78:J79)</f>
        <v>5137087.0944114001</v>
      </c>
    </row>
    <row r="80" spans="1:21">
      <c r="A80" s="23" t="s">
        <v>83</v>
      </c>
      <c r="B80" s="35" t="s">
        <v>84</v>
      </c>
      <c r="C80" s="125">
        <v>7469</v>
      </c>
      <c r="D80" s="113">
        <v>560527889</v>
      </c>
      <c r="E80" s="116">
        <f t="shared" si="19"/>
        <v>75047.247154906945</v>
      </c>
      <c r="F80" s="117">
        <v>368955712</v>
      </c>
      <c r="G80" s="117">
        <f t="shared" si="20"/>
        <v>49398.274467800242</v>
      </c>
      <c r="H80" s="7"/>
      <c r="I80" s="109">
        <v>3.6</v>
      </c>
      <c r="J80" s="117">
        <v>1328240.5632</v>
      </c>
      <c r="K80" s="120">
        <f t="shared" si="21"/>
        <v>177.83378808408085</v>
      </c>
      <c r="L80" s="122">
        <f t="shared" si="14"/>
        <v>3689557.12</v>
      </c>
      <c r="M80" s="116">
        <f t="shared" si="15"/>
        <v>2361316.5568000004</v>
      </c>
      <c r="N80" s="123">
        <f t="shared" si="16"/>
        <v>316.14895659392158</v>
      </c>
      <c r="O80" s="5"/>
      <c r="P80" s="5">
        <f t="shared" si="17"/>
        <v>1</v>
      </c>
      <c r="Q80" s="7">
        <f t="shared" si="18"/>
        <v>7469</v>
      </c>
    </row>
    <row r="81" spans="1:21">
      <c r="A81" s="23" t="s">
        <v>85</v>
      </c>
      <c r="B81" s="35" t="s">
        <v>84</v>
      </c>
      <c r="C81" s="125">
        <v>1364</v>
      </c>
      <c r="D81" s="113">
        <v>97064440</v>
      </c>
      <c r="E81" s="116">
        <f t="shared" si="19"/>
        <v>71161.612903225803</v>
      </c>
      <c r="F81" s="117">
        <v>56841532</v>
      </c>
      <c r="G81" s="117">
        <f t="shared" si="20"/>
        <v>41672.677419354841</v>
      </c>
      <c r="H81" s="7"/>
      <c r="I81" s="109">
        <v>3.7</v>
      </c>
      <c r="J81" s="117">
        <v>210313.6684</v>
      </c>
      <c r="K81" s="120">
        <f t="shared" si="21"/>
        <v>154.18890645161289</v>
      </c>
      <c r="L81" s="122">
        <f t="shared" si="14"/>
        <v>568415.32000000007</v>
      </c>
      <c r="M81" s="116">
        <f t="shared" si="15"/>
        <v>358101.6516000001</v>
      </c>
      <c r="N81" s="123">
        <f t="shared" si="16"/>
        <v>262.53786774193554</v>
      </c>
      <c r="O81" s="5"/>
      <c r="P81" s="5">
        <f t="shared" si="17"/>
        <v>1</v>
      </c>
      <c r="Q81" s="7">
        <f t="shared" si="18"/>
        <v>1364</v>
      </c>
    </row>
    <row r="82" spans="1:21">
      <c r="A82" s="23" t="s">
        <v>86</v>
      </c>
      <c r="B82" s="35" t="s">
        <v>84</v>
      </c>
      <c r="C82" s="125">
        <v>8606</v>
      </c>
      <c r="D82" s="113">
        <v>790449164</v>
      </c>
      <c r="E82" s="116">
        <f t="shared" si="19"/>
        <v>91848.613060655363</v>
      </c>
      <c r="F82" s="117">
        <v>506819314</v>
      </c>
      <c r="G82" s="117">
        <f t="shared" si="20"/>
        <v>58891.391354868698</v>
      </c>
      <c r="H82" s="9"/>
      <c r="I82" s="109">
        <v>6.1818</v>
      </c>
      <c r="J82" s="117">
        <v>3133055.6352852001</v>
      </c>
      <c r="K82" s="120">
        <f t="shared" si="21"/>
        <v>364.05480307752731</v>
      </c>
      <c r="L82" s="122">
        <f t="shared" si="14"/>
        <v>5068193.1399999997</v>
      </c>
      <c r="M82" s="116">
        <f t="shared" si="15"/>
        <v>1935137.5047147996</v>
      </c>
      <c r="N82" s="123">
        <f t="shared" si="16"/>
        <v>224.8591104711596</v>
      </c>
      <c r="O82" s="5"/>
      <c r="P82" s="5">
        <f t="shared" si="17"/>
        <v>1</v>
      </c>
      <c r="Q82" s="7">
        <f t="shared" si="18"/>
        <v>8606</v>
      </c>
    </row>
    <row r="83" spans="1:21">
      <c r="A83" s="23" t="s">
        <v>87</v>
      </c>
      <c r="B83" s="35" t="s">
        <v>84</v>
      </c>
      <c r="C83" s="125">
        <v>740</v>
      </c>
      <c r="D83" s="114" t="s">
        <v>564</v>
      </c>
      <c r="E83" s="116"/>
      <c r="F83" s="117"/>
      <c r="G83" s="117"/>
      <c r="H83" s="98" t="s">
        <v>588</v>
      </c>
      <c r="I83" s="109"/>
      <c r="J83" s="117"/>
      <c r="K83" s="120"/>
      <c r="L83" s="122">
        <f t="shared" si="14"/>
        <v>0</v>
      </c>
      <c r="M83" s="116">
        <f t="shared" si="15"/>
        <v>0</v>
      </c>
      <c r="N83" s="123">
        <f t="shared" si="16"/>
        <v>0</v>
      </c>
      <c r="O83" s="5"/>
      <c r="P83" s="5">
        <f t="shared" si="17"/>
        <v>0</v>
      </c>
      <c r="Q83" s="7">
        <f t="shared" si="18"/>
        <v>0</v>
      </c>
      <c r="S83" s="124">
        <f>SUM(D80:D83)</f>
        <v>1448041493</v>
      </c>
      <c r="T83" s="124">
        <f>SUM(F80:F83)</f>
        <v>932616558</v>
      </c>
      <c r="U83" s="124">
        <f>SUM(J80:J83)</f>
        <v>4671609.8668852001</v>
      </c>
    </row>
    <row r="84" spans="1:21">
      <c r="A84" s="23" t="s">
        <v>88</v>
      </c>
      <c r="B84" s="35" t="s">
        <v>89</v>
      </c>
      <c r="C84" s="125">
        <v>432</v>
      </c>
      <c r="D84" s="113">
        <v>132577540</v>
      </c>
      <c r="E84" s="116">
        <f>(D84/C84)</f>
        <v>306892.45370370371</v>
      </c>
      <c r="F84" s="117">
        <v>91608341</v>
      </c>
      <c r="G84" s="117">
        <f>(F84/C84)</f>
        <v>212056.34490740742</v>
      </c>
      <c r="H84" s="7"/>
      <c r="I84" s="109">
        <v>3.9485999999999999</v>
      </c>
      <c r="J84" s="117">
        <v>361724.69527259999</v>
      </c>
      <c r="K84" s="120">
        <f>(J84/C84)</f>
        <v>837.32568350138888</v>
      </c>
      <c r="L84" s="122">
        <f t="shared" si="14"/>
        <v>916083.41</v>
      </c>
      <c r="M84" s="116">
        <f t="shared" si="15"/>
        <v>554358.7147274001</v>
      </c>
      <c r="N84" s="123">
        <f t="shared" si="16"/>
        <v>1283.2377655726855</v>
      </c>
      <c r="O84" s="5"/>
      <c r="P84" s="5">
        <f t="shared" si="17"/>
        <v>1</v>
      </c>
      <c r="Q84" s="7">
        <f t="shared" si="18"/>
        <v>432</v>
      </c>
    </row>
    <row r="85" spans="1:21">
      <c r="A85" s="23" t="s">
        <v>90</v>
      </c>
      <c r="B85" s="35" t="s">
        <v>89</v>
      </c>
      <c r="C85" s="125">
        <v>16930</v>
      </c>
      <c r="D85" s="113">
        <v>11398569867</v>
      </c>
      <c r="E85" s="116">
        <f>(D85/C85)</f>
        <v>673276.42451269936</v>
      </c>
      <c r="F85" s="117">
        <v>9362885325</v>
      </c>
      <c r="G85" s="117">
        <f>(F85/C85)</f>
        <v>553035.16391021851</v>
      </c>
      <c r="H85" s="7"/>
      <c r="I85" s="109">
        <v>1.9965999999999999</v>
      </c>
      <c r="J85" s="117">
        <v>18693936.839894999</v>
      </c>
      <c r="K85" s="120">
        <f>(J85/C85)</f>
        <v>1104.1900082631423</v>
      </c>
      <c r="L85" s="122">
        <f t="shared" si="14"/>
        <v>93628853.25</v>
      </c>
      <c r="M85" s="116">
        <f t="shared" si="15"/>
        <v>74934916.410105005</v>
      </c>
      <c r="N85" s="123">
        <f t="shared" si="16"/>
        <v>4426.161630839043</v>
      </c>
      <c r="O85" s="5"/>
      <c r="P85" s="5">
        <f t="shared" si="17"/>
        <v>1</v>
      </c>
      <c r="Q85" s="7">
        <f t="shared" si="18"/>
        <v>16930</v>
      </c>
    </row>
    <row r="86" spans="1:21">
      <c r="A86" s="23" t="s">
        <v>91</v>
      </c>
      <c r="B86" s="35" t="s">
        <v>89</v>
      </c>
      <c r="C86" s="125">
        <v>19736</v>
      </c>
      <c r="D86" s="113">
        <v>25880561401</v>
      </c>
      <c r="E86" s="116">
        <f>(D86/C86)</f>
        <v>1311337.7280603973</v>
      </c>
      <c r="F86" s="117">
        <v>20211418549</v>
      </c>
      <c r="G86" s="117">
        <f>(F86/C86)</f>
        <v>1024088.9009424403</v>
      </c>
      <c r="H86" s="9"/>
      <c r="I86" s="110">
        <v>1.1499999999999999</v>
      </c>
      <c r="J86" s="117">
        <v>23243131.331349999</v>
      </c>
      <c r="K86" s="120">
        <f>(J86/C86)</f>
        <v>1177.7022360838062</v>
      </c>
      <c r="L86" s="122">
        <f t="shared" si="14"/>
        <v>202114185.49000001</v>
      </c>
      <c r="M86" s="116">
        <f t="shared" si="15"/>
        <v>178871054.15865001</v>
      </c>
      <c r="N86" s="123">
        <f t="shared" si="16"/>
        <v>9063.1867733405961</v>
      </c>
      <c r="O86" s="5"/>
      <c r="P86" s="5">
        <f t="shared" si="17"/>
        <v>1</v>
      </c>
      <c r="Q86" s="7">
        <f t="shared" si="18"/>
        <v>19736</v>
      </c>
      <c r="S86" s="124">
        <f>SUM(D84:D86)</f>
        <v>37411708808</v>
      </c>
      <c r="T86" s="124">
        <f>SUM(F84:F86)</f>
        <v>29665912215</v>
      </c>
      <c r="U86" s="124">
        <f>SUM(J84:J86)</f>
        <v>42298792.866517596</v>
      </c>
    </row>
    <row r="87" spans="1:21">
      <c r="A87" s="23" t="s">
        <v>92</v>
      </c>
      <c r="B87" s="35" t="s">
        <v>93</v>
      </c>
      <c r="C87" s="125">
        <v>554</v>
      </c>
      <c r="D87" s="114" t="s">
        <v>564</v>
      </c>
      <c r="E87" s="116"/>
      <c r="F87" s="117"/>
      <c r="G87" s="117"/>
      <c r="H87" s="98" t="s">
        <v>588</v>
      </c>
      <c r="I87" s="109"/>
      <c r="J87" s="117"/>
      <c r="K87" s="120"/>
      <c r="L87" s="122">
        <f t="shared" si="14"/>
        <v>0</v>
      </c>
      <c r="M87" s="116">
        <f t="shared" si="15"/>
        <v>0</v>
      </c>
      <c r="N87" s="123">
        <f t="shared" si="16"/>
        <v>0</v>
      </c>
      <c r="O87" s="5"/>
      <c r="P87" s="5">
        <f t="shared" si="17"/>
        <v>0</v>
      </c>
      <c r="Q87" s="7">
        <f t="shared" si="18"/>
        <v>0</v>
      </c>
    </row>
    <row r="88" spans="1:21">
      <c r="A88" s="23" t="s">
        <v>94</v>
      </c>
      <c r="B88" s="35" t="s">
        <v>93</v>
      </c>
      <c r="C88" s="125">
        <v>12121</v>
      </c>
      <c r="D88" s="113">
        <v>1039318534</v>
      </c>
      <c r="E88" s="116">
        <f t="shared" ref="E88:E93" si="22">(D88/C88)</f>
        <v>85745.279597392961</v>
      </c>
      <c r="F88" s="117">
        <v>723297073</v>
      </c>
      <c r="G88" s="117">
        <f t="shared" ref="G88:G93" si="23">(F88/C88)</f>
        <v>59673.052800924015</v>
      </c>
      <c r="H88" s="7"/>
      <c r="I88" s="109">
        <v>4.9000000000000004</v>
      </c>
      <c r="J88" s="117">
        <v>3544155.6577000003</v>
      </c>
      <c r="K88" s="120">
        <f t="shared" ref="K88:K93" si="24">(J88/C88)</f>
        <v>292.39795872452771</v>
      </c>
      <c r="L88" s="122">
        <f t="shared" si="14"/>
        <v>7232970.7300000004</v>
      </c>
      <c r="M88" s="116">
        <f t="shared" si="15"/>
        <v>3688815.0723000001</v>
      </c>
      <c r="N88" s="123">
        <f t="shared" si="16"/>
        <v>304.33256928471252</v>
      </c>
      <c r="O88" s="5"/>
      <c r="P88" s="5">
        <f t="shared" si="17"/>
        <v>1</v>
      </c>
      <c r="Q88" s="7">
        <f t="shared" si="18"/>
        <v>12121</v>
      </c>
      <c r="S88" s="124">
        <f>SUM(D87:D88)</f>
        <v>1039318534</v>
      </c>
      <c r="T88" s="124">
        <f>SUM(F87:F88)</f>
        <v>723297073</v>
      </c>
      <c r="U88" s="124">
        <f>SUM(J87:J88)</f>
        <v>3544155.6577000003</v>
      </c>
    </row>
    <row r="89" spans="1:21">
      <c r="A89" s="23" t="s">
        <v>95</v>
      </c>
      <c r="B89" s="37" t="s">
        <v>575</v>
      </c>
      <c r="C89" s="125">
        <v>7628</v>
      </c>
      <c r="D89" s="113">
        <v>330498433</v>
      </c>
      <c r="E89" s="116">
        <f t="shared" si="22"/>
        <v>43327.010094389094</v>
      </c>
      <c r="F89" s="117">
        <v>180903244</v>
      </c>
      <c r="G89" s="117">
        <f t="shared" si="23"/>
        <v>23715.684845306765</v>
      </c>
      <c r="H89" s="8"/>
      <c r="I89" s="109">
        <v>8.8194999999999997</v>
      </c>
      <c r="J89" s="117">
        <v>1595476.1604579999</v>
      </c>
      <c r="K89" s="120">
        <f t="shared" si="24"/>
        <v>209.160482493183</v>
      </c>
      <c r="L89" s="122">
        <f t="shared" si="14"/>
        <v>1809032.44</v>
      </c>
      <c r="M89" s="116">
        <f t="shared" si="15"/>
        <v>213556.27954200003</v>
      </c>
      <c r="N89" s="123">
        <f t="shared" si="16"/>
        <v>27.996365959884638</v>
      </c>
      <c r="O89" s="5"/>
      <c r="P89" s="5">
        <f t="shared" si="17"/>
        <v>1</v>
      </c>
      <c r="Q89" s="7">
        <f t="shared" si="18"/>
        <v>7628</v>
      </c>
      <c r="S89" s="124">
        <f>SUM(D89)</f>
        <v>330498433</v>
      </c>
      <c r="T89" s="124">
        <f>SUM(F89)</f>
        <v>180903244</v>
      </c>
      <c r="U89" s="124">
        <f>SUM(J89)</f>
        <v>1595476.1604579999</v>
      </c>
    </row>
    <row r="90" spans="1:21">
      <c r="A90" s="23" t="s">
        <v>96</v>
      </c>
      <c r="B90" s="35" t="s">
        <v>97</v>
      </c>
      <c r="C90" s="125">
        <v>1700</v>
      </c>
      <c r="D90" s="113">
        <v>71389745</v>
      </c>
      <c r="E90" s="116">
        <f t="shared" si="22"/>
        <v>41993.967647058824</v>
      </c>
      <c r="F90" s="117">
        <v>29437174</v>
      </c>
      <c r="G90" s="117">
        <f t="shared" si="23"/>
        <v>17315.984705882354</v>
      </c>
      <c r="H90" s="8"/>
      <c r="I90" s="109">
        <v>6.8715999999999999</v>
      </c>
      <c r="J90" s="117">
        <v>202280.48485839998</v>
      </c>
      <c r="K90" s="120">
        <f t="shared" si="24"/>
        <v>118.98852050494116</v>
      </c>
      <c r="L90" s="122">
        <f t="shared" si="14"/>
        <v>294371.74</v>
      </c>
      <c r="M90" s="116">
        <f t="shared" si="15"/>
        <v>92091.255141600006</v>
      </c>
      <c r="N90" s="123">
        <f t="shared" si="16"/>
        <v>54.171326553882359</v>
      </c>
      <c r="O90" s="5"/>
      <c r="P90" s="5">
        <f t="shared" si="17"/>
        <v>1</v>
      </c>
      <c r="Q90" s="7">
        <f t="shared" si="18"/>
        <v>1700</v>
      </c>
    </row>
    <row r="91" spans="1:21">
      <c r="A91" s="23" t="s">
        <v>98</v>
      </c>
      <c r="B91" s="35" t="s">
        <v>97</v>
      </c>
      <c r="C91" s="125">
        <v>173</v>
      </c>
      <c r="D91" s="113">
        <v>49406102</v>
      </c>
      <c r="E91" s="116">
        <f t="shared" si="22"/>
        <v>285584.40462427743</v>
      </c>
      <c r="F91" s="117">
        <v>41646796</v>
      </c>
      <c r="G91" s="117">
        <f t="shared" si="23"/>
        <v>240732.92485549132</v>
      </c>
      <c r="H91" s="9"/>
      <c r="I91" s="110">
        <v>2.5</v>
      </c>
      <c r="J91" s="117">
        <v>104116.99</v>
      </c>
      <c r="K91" s="120">
        <f t="shared" si="24"/>
        <v>601.8323121387283</v>
      </c>
      <c r="L91" s="122">
        <f t="shared" si="14"/>
        <v>416467.96</v>
      </c>
      <c r="M91" s="116">
        <f t="shared" si="15"/>
        <v>312350.97000000003</v>
      </c>
      <c r="N91" s="123">
        <f t="shared" si="16"/>
        <v>1805.4969364161852</v>
      </c>
      <c r="O91" s="5"/>
      <c r="P91" s="5">
        <f t="shared" si="17"/>
        <v>1</v>
      </c>
      <c r="Q91" s="7">
        <f t="shared" si="18"/>
        <v>173</v>
      </c>
      <c r="S91" s="124">
        <f>SUM(D90:D91)</f>
        <v>120795847</v>
      </c>
      <c r="T91" s="124">
        <f>SUM(F90:F91)</f>
        <v>71083970</v>
      </c>
      <c r="U91" s="124">
        <f>SUM(J90:J91)</f>
        <v>306397.4748584</v>
      </c>
    </row>
    <row r="92" spans="1:21">
      <c r="A92" s="23" t="s">
        <v>99</v>
      </c>
      <c r="B92" s="35" t="s">
        <v>100</v>
      </c>
      <c r="C92" s="125">
        <v>13244</v>
      </c>
      <c r="D92" s="113">
        <v>2264518776</v>
      </c>
      <c r="E92" s="116">
        <f t="shared" si="22"/>
        <v>170984.50437934158</v>
      </c>
      <c r="F92" s="117">
        <v>1499409560</v>
      </c>
      <c r="G92" s="117">
        <f t="shared" si="23"/>
        <v>113214.25249169435</v>
      </c>
      <c r="H92" s="9"/>
      <c r="I92" s="109">
        <v>3.2284999999999999</v>
      </c>
      <c r="J92" s="117">
        <v>4840843.7644600002</v>
      </c>
      <c r="K92" s="120">
        <f t="shared" si="24"/>
        <v>365.51221416943525</v>
      </c>
      <c r="L92" s="122">
        <f t="shared" si="14"/>
        <v>14994095.6</v>
      </c>
      <c r="M92" s="116">
        <f t="shared" si="15"/>
        <v>10153251.83554</v>
      </c>
      <c r="N92" s="123">
        <f t="shared" si="16"/>
        <v>766.63031074750836</v>
      </c>
      <c r="O92" s="5"/>
      <c r="P92" s="5">
        <f t="shared" si="17"/>
        <v>1</v>
      </c>
      <c r="Q92" s="7">
        <f t="shared" si="18"/>
        <v>13244</v>
      </c>
    </row>
    <row r="93" spans="1:21">
      <c r="A93" s="23" t="s">
        <v>101</v>
      </c>
      <c r="B93" s="35" t="s">
        <v>100</v>
      </c>
      <c r="C93" s="125">
        <v>1392</v>
      </c>
      <c r="D93" s="113">
        <v>80873997</v>
      </c>
      <c r="E93" s="116">
        <f t="shared" si="22"/>
        <v>58099.135775862072</v>
      </c>
      <c r="F93" s="117">
        <v>44101320</v>
      </c>
      <c r="G93" s="117">
        <f t="shared" si="23"/>
        <v>31681.982758620688</v>
      </c>
      <c r="H93" s="9"/>
      <c r="I93" s="109">
        <v>2.9752000000000001</v>
      </c>
      <c r="J93" s="117">
        <v>131210.24726400001</v>
      </c>
      <c r="K93" s="120">
        <f t="shared" si="24"/>
        <v>94.260235103448281</v>
      </c>
      <c r="L93" s="122">
        <f t="shared" si="14"/>
        <v>441013.2</v>
      </c>
      <c r="M93" s="116">
        <f t="shared" si="15"/>
        <v>309802.95273600001</v>
      </c>
      <c r="N93" s="123">
        <f t="shared" si="16"/>
        <v>222.55959248275863</v>
      </c>
      <c r="O93" s="5"/>
      <c r="P93" s="5">
        <f t="shared" si="17"/>
        <v>1</v>
      </c>
      <c r="Q93" s="7">
        <f t="shared" si="18"/>
        <v>1392</v>
      </c>
    </row>
    <row r="94" spans="1:21">
      <c r="A94" s="23" t="s">
        <v>102</v>
      </c>
      <c r="B94" s="35" t="s">
        <v>100</v>
      </c>
      <c r="C94" s="125">
        <v>878456</v>
      </c>
      <c r="D94" s="126" t="s">
        <v>609</v>
      </c>
      <c r="E94" s="116"/>
      <c r="F94" s="117"/>
      <c r="G94" s="117"/>
      <c r="H94" s="9"/>
      <c r="I94" s="109"/>
      <c r="J94" s="117"/>
      <c r="K94" s="120"/>
      <c r="L94" s="122">
        <f t="shared" si="14"/>
        <v>0</v>
      </c>
      <c r="M94" s="116">
        <f t="shared" si="15"/>
        <v>0</v>
      </c>
      <c r="N94" s="123">
        <f t="shared" si="16"/>
        <v>0</v>
      </c>
      <c r="O94" s="5"/>
      <c r="P94" s="5">
        <f t="shared" si="17"/>
        <v>0</v>
      </c>
      <c r="Q94" s="7">
        <f t="shared" si="18"/>
        <v>0</v>
      </c>
    </row>
    <row r="95" spans="1:21">
      <c r="A95" s="23" t="s">
        <v>103</v>
      </c>
      <c r="B95" s="35" t="s">
        <v>100</v>
      </c>
      <c r="C95" s="125">
        <v>23288</v>
      </c>
      <c r="D95" s="113">
        <v>4465015067</v>
      </c>
      <c r="E95" s="116">
        <f t="shared" ref="E95:E133" si="25">(D95/C95)</f>
        <v>191730.2931552731</v>
      </c>
      <c r="F95" s="117">
        <v>3124211558</v>
      </c>
      <c r="G95" s="117">
        <f t="shared" ref="G95:G133" si="26">(F95/C95)</f>
        <v>134155.42588457576</v>
      </c>
      <c r="H95" s="9"/>
      <c r="I95" s="109">
        <v>3.7947000000000002</v>
      </c>
      <c r="J95" s="117">
        <v>11855445.599142602</v>
      </c>
      <c r="K95" s="120">
        <f t="shared" ref="K95:K133" si="27">(J95/C95)</f>
        <v>509.07959460419966</v>
      </c>
      <c r="L95" s="122">
        <f t="shared" si="14"/>
        <v>31242115.580000002</v>
      </c>
      <c r="M95" s="116">
        <f t="shared" si="15"/>
        <v>19386669.980857402</v>
      </c>
      <c r="N95" s="123">
        <f t="shared" si="16"/>
        <v>832.474664241558</v>
      </c>
      <c r="O95" s="5"/>
      <c r="P95" s="5">
        <f t="shared" si="17"/>
        <v>1</v>
      </c>
      <c r="Q95" s="7">
        <f t="shared" si="18"/>
        <v>23288</v>
      </c>
    </row>
    <row r="96" spans="1:21">
      <c r="A96" s="23" t="s">
        <v>104</v>
      </c>
      <c r="B96" s="35" t="s">
        <v>100</v>
      </c>
      <c r="C96" s="125">
        <v>7267</v>
      </c>
      <c r="D96" s="113">
        <v>1156002914</v>
      </c>
      <c r="E96" s="116">
        <f t="shared" si="25"/>
        <v>159075.67276730426</v>
      </c>
      <c r="F96" s="117">
        <v>749669823</v>
      </c>
      <c r="G96" s="117">
        <f t="shared" si="26"/>
        <v>103160.83982386129</v>
      </c>
      <c r="H96" s="7"/>
      <c r="I96" s="109">
        <v>3.3656000000000001</v>
      </c>
      <c r="J96" s="117">
        <v>2523088.7562888004</v>
      </c>
      <c r="K96" s="120">
        <f t="shared" si="27"/>
        <v>347.19812251118759</v>
      </c>
      <c r="L96" s="122">
        <f t="shared" si="14"/>
        <v>7496698.2300000004</v>
      </c>
      <c r="M96" s="116">
        <f t="shared" si="15"/>
        <v>4973609.4737112001</v>
      </c>
      <c r="N96" s="123">
        <f t="shared" si="16"/>
        <v>684.4102757274253</v>
      </c>
      <c r="O96" s="5"/>
      <c r="P96" s="5">
        <f t="shared" si="17"/>
        <v>1</v>
      </c>
      <c r="Q96" s="7">
        <f t="shared" si="18"/>
        <v>7267</v>
      </c>
      <c r="S96" s="124">
        <f>SUM(D92:D96)</f>
        <v>7966410754</v>
      </c>
      <c r="T96" s="124">
        <f>SUM(F92:F96)</f>
        <v>5417392261</v>
      </c>
      <c r="U96" s="124">
        <f>SUM(J92:J96)</f>
        <v>19350588.367155403</v>
      </c>
    </row>
    <row r="97" spans="1:21">
      <c r="A97" s="23" t="s">
        <v>105</v>
      </c>
      <c r="B97" s="35" t="s">
        <v>106</v>
      </c>
      <c r="C97" s="125">
        <v>1539</v>
      </c>
      <c r="D97" s="113">
        <v>55693565</v>
      </c>
      <c r="E97" s="116">
        <f t="shared" si="25"/>
        <v>36188.151397011046</v>
      </c>
      <c r="F97" s="117">
        <v>33065022</v>
      </c>
      <c r="G97" s="117">
        <f t="shared" si="26"/>
        <v>21484.744639376218</v>
      </c>
      <c r="H97" s="7"/>
      <c r="I97" s="109">
        <v>0.97319999999999995</v>
      </c>
      <c r="J97" s="117">
        <v>32178.879410400001</v>
      </c>
      <c r="K97" s="120">
        <f t="shared" si="27"/>
        <v>20.908953483040936</v>
      </c>
      <c r="L97" s="122">
        <f t="shared" si="14"/>
        <v>330650.22000000003</v>
      </c>
      <c r="M97" s="116">
        <f t="shared" si="15"/>
        <v>298471.34058960003</v>
      </c>
      <c r="N97" s="123">
        <f t="shared" si="16"/>
        <v>193.93849291072127</v>
      </c>
      <c r="O97" s="5"/>
      <c r="P97" s="5">
        <f t="shared" si="17"/>
        <v>1</v>
      </c>
      <c r="Q97" s="7">
        <f t="shared" si="18"/>
        <v>1539</v>
      </c>
    </row>
    <row r="98" spans="1:21">
      <c r="A98" s="23" t="s">
        <v>107</v>
      </c>
      <c r="B98" s="35" t="s">
        <v>106</v>
      </c>
      <c r="C98" s="125">
        <v>53690</v>
      </c>
      <c r="D98" s="113">
        <v>5547211383</v>
      </c>
      <c r="E98" s="116">
        <f t="shared" si="25"/>
        <v>103319.26584093872</v>
      </c>
      <c r="F98" s="117">
        <v>3324404893</v>
      </c>
      <c r="G98" s="117">
        <f t="shared" si="26"/>
        <v>61918.511696777801</v>
      </c>
      <c r="H98" s="7"/>
      <c r="I98" s="109">
        <v>4.2895000000000003</v>
      </c>
      <c r="J98" s="117">
        <v>14260034.788523501</v>
      </c>
      <c r="K98" s="120">
        <f t="shared" si="27"/>
        <v>265.59945592332838</v>
      </c>
      <c r="L98" s="122">
        <f t="shared" si="14"/>
        <v>33244048.93</v>
      </c>
      <c r="M98" s="116">
        <f t="shared" si="15"/>
        <v>18984014.141476497</v>
      </c>
      <c r="N98" s="123">
        <f t="shared" si="16"/>
        <v>353.58566104444958</v>
      </c>
      <c r="O98" s="5"/>
      <c r="P98" s="5">
        <f t="shared" si="17"/>
        <v>1</v>
      </c>
      <c r="Q98" s="7">
        <f t="shared" si="18"/>
        <v>53690</v>
      </c>
      <c r="S98" s="124">
        <f>SUM(D97:D98)</f>
        <v>5602904948</v>
      </c>
      <c r="T98" s="124">
        <f>SUM(F97:F98)</f>
        <v>3357469915</v>
      </c>
      <c r="U98" s="124">
        <f>SUM(J97:J98)</f>
        <v>14292213.6679339</v>
      </c>
    </row>
    <row r="99" spans="1:21">
      <c r="A99" s="23" t="s">
        <v>108</v>
      </c>
      <c r="B99" s="35" t="s">
        <v>109</v>
      </c>
      <c r="C99" s="125">
        <v>369</v>
      </c>
      <c r="D99" s="113">
        <v>76529766</v>
      </c>
      <c r="E99" s="116">
        <f t="shared" si="25"/>
        <v>207397.73983739837</v>
      </c>
      <c r="F99" s="117">
        <v>60239939</v>
      </c>
      <c r="G99" s="117">
        <f t="shared" si="26"/>
        <v>163251.86720867208</v>
      </c>
      <c r="H99" s="7"/>
      <c r="I99" s="109">
        <v>2.2999999999999998</v>
      </c>
      <c r="J99" s="117">
        <v>138551.8597</v>
      </c>
      <c r="K99" s="120">
        <f t="shared" si="27"/>
        <v>375.47929457994582</v>
      </c>
      <c r="L99" s="122">
        <f t="shared" si="14"/>
        <v>602399.39</v>
      </c>
      <c r="M99" s="116">
        <f t="shared" si="15"/>
        <v>463847.53029999998</v>
      </c>
      <c r="N99" s="123">
        <f t="shared" si="16"/>
        <v>1257.0393775067751</v>
      </c>
      <c r="O99" s="5"/>
      <c r="P99" s="5">
        <f t="shared" si="17"/>
        <v>1</v>
      </c>
      <c r="Q99" s="7">
        <f t="shared" si="18"/>
        <v>369</v>
      </c>
    </row>
    <row r="100" spans="1:21">
      <c r="A100" s="23" t="s">
        <v>110</v>
      </c>
      <c r="B100" s="35" t="s">
        <v>109</v>
      </c>
      <c r="C100" s="125">
        <v>2921</v>
      </c>
      <c r="D100" s="113">
        <v>531576718</v>
      </c>
      <c r="E100" s="116">
        <f t="shared" si="25"/>
        <v>181984.49777473469</v>
      </c>
      <c r="F100" s="117">
        <v>155506656</v>
      </c>
      <c r="G100" s="117">
        <f t="shared" si="26"/>
        <v>53237.472098596372</v>
      </c>
      <c r="H100" s="7"/>
      <c r="I100" s="109">
        <v>7.45</v>
      </c>
      <c r="J100" s="117">
        <v>1158524.5872</v>
      </c>
      <c r="K100" s="120">
        <f t="shared" si="27"/>
        <v>396.61916713454292</v>
      </c>
      <c r="L100" s="122">
        <f t="shared" si="14"/>
        <v>1555066.56</v>
      </c>
      <c r="M100" s="116">
        <f t="shared" si="15"/>
        <v>396541.97280000011</v>
      </c>
      <c r="N100" s="123">
        <f t="shared" si="16"/>
        <v>135.75555385142079</v>
      </c>
      <c r="O100" s="5"/>
      <c r="P100" s="5">
        <f t="shared" si="17"/>
        <v>1</v>
      </c>
      <c r="Q100" s="7">
        <f t="shared" si="18"/>
        <v>2921</v>
      </c>
    </row>
    <row r="101" spans="1:21">
      <c r="A101" s="23" t="s">
        <v>447</v>
      </c>
      <c r="B101" s="35" t="s">
        <v>109</v>
      </c>
      <c r="C101" s="125">
        <v>81184</v>
      </c>
      <c r="D101" s="113">
        <v>6831962670</v>
      </c>
      <c r="E101" s="116">
        <f t="shared" si="25"/>
        <v>84154.053384903425</v>
      </c>
      <c r="F101" s="117">
        <v>4324453760</v>
      </c>
      <c r="G101" s="117">
        <f t="shared" si="26"/>
        <v>53267.315727236892</v>
      </c>
      <c r="H101" s="9"/>
      <c r="I101" s="109">
        <v>4.2450000000000001</v>
      </c>
      <c r="J101" s="117">
        <v>18357306.211200003</v>
      </c>
      <c r="K101" s="120">
        <f t="shared" si="27"/>
        <v>226.11975526212063</v>
      </c>
      <c r="L101" s="122">
        <f t="shared" si="14"/>
        <v>43244537.600000001</v>
      </c>
      <c r="M101" s="116">
        <f t="shared" si="15"/>
        <v>24887231.388799999</v>
      </c>
      <c r="N101" s="123">
        <f t="shared" si="16"/>
        <v>306.55340201024831</v>
      </c>
      <c r="O101" s="5"/>
      <c r="P101" s="5">
        <f t="shared" si="17"/>
        <v>1</v>
      </c>
      <c r="Q101" s="7">
        <f t="shared" si="18"/>
        <v>81184</v>
      </c>
    </row>
    <row r="102" spans="1:21">
      <c r="A102" s="23" t="s">
        <v>111</v>
      </c>
      <c r="B102" s="35" t="s">
        <v>557</v>
      </c>
      <c r="C102" s="125">
        <v>6</v>
      </c>
      <c r="D102" s="113">
        <v>16531022</v>
      </c>
      <c r="E102" s="116">
        <f t="shared" si="25"/>
        <v>2755170.3333333335</v>
      </c>
      <c r="F102" s="117">
        <v>4952325</v>
      </c>
      <c r="G102" s="117">
        <f t="shared" si="26"/>
        <v>825387.5</v>
      </c>
      <c r="H102" s="7"/>
      <c r="I102" s="109">
        <v>10</v>
      </c>
      <c r="J102" s="117">
        <v>49523.25</v>
      </c>
      <c r="K102" s="120">
        <f t="shared" si="27"/>
        <v>8253.875</v>
      </c>
      <c r="L102" s="122">
        <f t="shared" si="14"/>
        <v>49523.25</v>
      </c>
      <c r="M102" s="116">
        <f t="shared" si="15"/>
        <v>0</v>
      </c>
      <c r="N102" s="123">
        <f t="shared" si="16"/>
        <v>0</v>
      </c>
      <c r="O102" s="5"/>
      <c r="P102" s="5">
        <f t="shared" si="17"/>
        <v>1</v>
      </c>
      <c r="Q102" s="7">
        <f t="shared" si="18"/>
        <v>6</v>
      </c>
    </row>
    <row r="103" spans="1:21">
      <c r="A103" s="23" t="s">
        <v>112</v>
      </c>
      <c r="B103" s="35" t="s">
        <v>113</v>
      </c>
      <c r="C103" s="125">
        <v>4642</v>
      </c>
      <c r="D103" s="113">
        <v>818739073</v>
      </c>
      <c r="E103" s="116">
        <f t="shared" si="25"/>
        <v>176376.36212839294</v>
      </c>
      <c r="F103" s="117">
        <v>578074623</v>
      </c>
      <c r="G103" s="117">
        <f t="shared" si="26"/>
        <v>124531.37074536837</v>
      </c>
      <c r="H103" s="7"/>
      <c r="I103" s="109">
        <v>5.21</v>
      </c>
      <c r="J103" s="117">
        <v>3011769</v>
      </c>
      <c r="K103" s="120">
        <f t="shared" si="27"/>
        <v>648.80848772081004</v>
      </c>
      <c r="L103" s="122">
        <f t="shared" si="14"/>
        <v>5780746.2300000004</v>
      </c>
      <c r="M103" s="116">
        <f t="shared" si="15"/>
        <v>2768977.2300000004</v>
      </c>
      <c r="N103" s="123">
        <f t="shared" si="16"/>
        <v>596.50521973287391</v>
      </c>
      <c r="O103" s="5"/>
      <c r="P103" s="5">
        <f t="shared" si="17"/>
        <v>1</v>
      </c>
      <c r="Q103" s="7">
        <f t="shared" si="18"/>
        <v>4642</v>
      </c>
      <c r="S103" s="124">
        <f>SUM(D99:D103)</f>
        <v>8275339249</v>
      </c>
      <c r="T103" s="124">
        <f>SUM(F99:F103)</f>
        <v>5123227303</v>
      </c>
      <c r="U103" s="124">
        <f>SUM(J99:J103)</f>
        <v>22715674.908100002</v>
      </c>
    </row>
    <row r="104" spans="1:21">
      <c r="A104" s="23" t="s">
        <v>114</v>
      </c>
      <c r="B104" s="35" t="s">
        <v>115</v>
      </c>
      <c r="C104" s="125">
        <v>2311</v>
      </c>
      <c r="D104" s="113">
        <v>230122800</v>
      </c>
      <c r="E104" s="116">
        <f t="shared" si="25"/>
        <v>99577.152747728251</v>
      </c>
      <c r="F104" s="117">
        <v>135505776</v>
      </c>
      <c r="G104" s="117">
        <f t="shared" si="26"/>
        <v>58635.125919515362</v>
      </c>
      <c r="H104" s="9"/>
      <c r="I104" s="110">
        <v>9.3543000000000003</v>
      </c>
      <c r="J104" s="117">
        <v>1267561.6804368</v>
      </c>
      <c r="K104" s="120">
        <f t="shared" si="27"/>
        <v>548.49055838892252</v>
      </c>
      <c r="L104" s="122">
        <f t="shared" si="14"/>
        <v>1355057.76</v>
      </c>
      <c r="M104" s="116">
        <f t="shared" si="15"/>
        <v>87496.079563200008</v>
      </c>
      <c r="N104" s="123">
        <f t="shared" si="16"/>
        <v>37.860700806231073</v>
      </c>
      <c r="O104" s="5"/>
      <c r="P104" s="5">
        <f t="shared" si="17"/>
        <v>1</v>
      </c>
      <c r="Q104" s="7">
        <f t="shared" si="18"/>
        <v>2311</v>
      </c>
    </row>
    <row r="105" spans="1:21">
      <c r="A105" s="23" t="s">
        <v>116</v>
      </c>
      <c r="B105" s="35" t="s">
        <v>115</v>
      </c>
      <c r="C105" s="125">
        <v>3110</v>
      </c>
      <c r="D105" s="113">
        <v>142629805</v>
      </c>
      <c r="E105" s="116">
        <f t="shared" si="25"/>
        <v>45861.673633440514</v>
      </c>
      <c r="F105" s="117">
        <v>101254484</v>
      </c>
      <c r="G105" s="117">
        <f t="shared" si="26"/>
        <v>32557.71189710611</v>
      </c>
      <c r="H105" s="9"/>
      <c r="I105" s="109">
        <v>9</v>
      </c>
      <c r="J105" s="117">
        <v>911290.35600000003</v>
      </c>
      <c r="K105" s="120">
        <f t="shared" si="27"/>
        <v>293.01940707395499</v>
      </c>
      <c r="L105" s="122">
        <f t="shared" si="14"/>
        <v>1012544.84</v>
      </c>
      <c r="M105" s="116">
        <f t="shared" si="15"/>
        <v>101254.48399999994</v>
      </c>
      <c r="N105" s="123">
        <f t="shared" si="16"/>
        <v>32.557711897106088</v>
      </c>
      <c r="O105" s="5"/>
      <c r="P105" s="5">
        <f t="shared" si="17"/>
        <v>1</v>
      </c>
      <c r="Q105" s="7">
        <f t="shared" si="18"/>
        <v>3110</v>
      </c>
      <c r="S105" s="124">
        <f>SUM(D104:D105)</f>
        <v>372752605</v>
      </c>
      <c r="T105" s="124">
        <f>SUM(F104:F105)</f>
        <v>236760260</v>
      </c>
      <c r="U105" s="124">
        <f>SUM(J104:J105)</f>
        <v>2178852.0364367999</v>
      </c>
    </row>
    <row r="106" spans="1:21">
      <c r="A106" s="23" t="s">
        <v>117</v>
      </c>
      <c r="B106" s="35" t="s">
        <v>118</v>
      </c>
      <c r="C106" s="125">
        <v>3118</v>
      </c>
      <c r="D106" s="113">
        <v>225335258</v>
      </c>
      <c r="E106" s="116">
        <f t="shared" si="25"/>
        <v>72269.165490699161</v>
      </c>
      <c r="F106" s="117">
        <v>32829091</v>
      </c>
      <c r="G106" s="117">
        <f t="shared" si="26"/>
        <v>10528.893842206542</v>
      </c>
      <c r="H106" s="7"/>
      <c r="I106" s="109">
        <v>0.90500000000000003</v>
      </c>
      <c r="J106" s="117">
        <v>29710.327355000001</v>
      </c>
      <c r="K106" s="120">
        <f t="shared" si="27"/>
        <v>9.5286489271969224</v>
      </c>
      <c r="L106" s="122">
        <f t="shared" si="14"/>
        <v>328290.91000000003</v>
      </c>
      <c r="M106" s="116">
        <f t="shared" si="15"/>
        <v>298580.58264500002</v>
      </c>
      <c r="N106" s="123">
        <f t="shared" si="16"/>
        <v>95.760289494868516</v>
      </c>
      <c r="O106" s="5"/>
      <c r="P106" s="5">
        <f t="shared" si="17"/>
        <v>1</v>
      </c>
      <c r="Q106" s="7">
        <f t="shared" si="18"/>
        <v>3118</v>
      </c>
    </row>
    <row r="107" spans="1:21">
      <c r="A107" s="23" t="s">
        <v>119</v>
      </c>
      <c r="B107" s="35" t="s">
        <v>118</v>
      </c>
      <c r="C107" s="125">
        <v>633</v>
      </c>
      <c r="D107" s="113">
        <v>22828247</v>
      </c>
      <c r="E107" s="116">
        <f t="shared" si="25"/>
        <v>36063.581358609794</v>
      </c>
      <c r="F107" s="117">
        <v>8186324</v>
      </c>
      <c r="G107" s="117">
        <f t="shared" si="26"/>
        <v>12932.581358609794</v>
      </c>
      <c r="H107" s="7"/>
      <c r="I107" s="109">
        <v>5</v>
      </c>
      <c r="J107" s="117">
        <v>40931.620000000003</v>
      </c>
      <c r="K107" s="120">
        <f t="shared" si="27"/>
        <v>64.662906793048975</v>
      </c>
      <c r="L107" s="122">
        <f t="shared" si="14"/>
        <v>81863.240000000005</v>
      </c>
      <c r="M107" s="116">
        <f t="shared" si="15"/>
        <v>40931.620000000003</v>
      </c>
      <c r="N107" s="123">
        <f t="shared" si="16"/>
        <v>64.662906793048975</v>
      </c>
      <c r="O107" s="5"/>
      <c r="P107" s="5">
        <f t="shared" si="17"/>
        <v>1</v>
      </c>
      <c r="Q107" s="7">
        <f t="shared" si="18"/>
        <v>633</v>
      </c>
    </row>
    <row r="108" spans="1:21">
      <c r="A108" s="23" t="s">
        <v>120</v>
      </c>
      <c r="B108" s="35" t="s">
        <v>118</v>
      </c>
      <c r="C108" s="125">
        <v>1687</v>
      </c>
      <c r="D108" s="113">
        <v>43606545</v>
      </c>
      <c r="E108" s="116">
        <f t="shared" si="25"/>
        <v>25848.574392412567</v>
      </c>
      <c r="F108" s="117">
        <v>22019684</v>
      </c>
      <c r="G108" s="117">
        <f t="shared" si="26"/>
        <v>13052.569057498518</v>
      </c>
      <c r="H108" s="7"/>
      <c r="I108" s="109">
        <v>4.8521999999999998</v>
      </c>
      <c r="J108" s="117">
        <v>106843.9107048</v>
      </c>
      <c r="K108" s="120">
        <f t="shared" si="27"/>
        <v>63.333675580794306</v>
      </c>
      <c r="L108" s="122">
        <f t="shared" si="14"/>
        <v>220196.84</v>
      </c>
      <c r="M108" s="116">
        <f t="shared" si="15"/>
        <v>113352.9292952</v>
      </c>
      <c r="N108" s="123">
        <f t="shared" si="16"/>
        <v>67.19201499419087</v>
      </c>
      <c r="O108" s="5"/>
      <c r="P108" s="5">
        <f t="shared" si="17"/>
        <v>1</v>
      </c>
      <c r="Q108" s="7">
        <f t="shared" si="18"/>
        <v>1687</v>
      </c>
    </row>
    <row r="109" spans="1:21">
      <c r="A109" s="23" t="s">
        <v>121</v>
      </c>
      <c r="B109" s="35" t="s">
        <v>118</v>
      </c>
      <c r="C109" s="125">
        <v>1752</v>
      </c>
      <c r="D109" s="113">
        <v>94177064</v>
      </c>
      <c r="E109" s="116">
        <f t="shared" si="25"/>
        <v>53754.031963470319</v>
      </c>
      <c r="F109" s="117">
        <v>62075693</v>
      </c>
      <c r="G109" s="117">
        <f t="shared" si="26"/>
        <v>35431.331621004567</v>
      </c>
      <c r="H109" s="7"/>
      <c r="I109" s="109">
        <v>1.8776999999999999</v>
      </c>
      <c r="J109" s="117">
        <v>116559.5287461</v>
      </c>
      <c r="K109" s="120">
        <f t="shared" si="27"/>
        <v>66.529411384760266</v>
      </c>
      <c r="L109" s="122">
        <f t="shared" si="14"/>
        <v>620756.93000000005</v>
      </c>
      <c r="M109" s="116">
        <f t="shared" si="15"/>
        <v>504197.40125390003</v>
      </c>
      <c r="N109" s="123">
        <f t="shared" si="16"/>
        <v>287.78390482528539</v>
      </c>
      <c r="O109" s="5"/>
      <c r="P109" s="5">
        <f t="shared" si="17"/>
        <v>1</v>
      </c>
      <c r="Q109" s="7">
        <f t="shared" si="18"/>
        <v>1752</v>
      </c>
    </row>
    <row r="110" spans="1:21">
      <c r="A110" s="23" t="s">
        <v>122</v>
      </c>
      <c r="B110" s="35" t="s">
        <v>118</v>
      </c>
      <c r="C110" s="125">
        <v>3381</v>
      </c>
      <c r="D110" s="113">
        <v>179454586</v>
      </c>
      <c r="E110" s="116">
        <f t="shared" si="25"/>
        <v>53077.369417332149</v>
      </c>
      <c r="F110" s="117">
        <v>124042031</v>
      </c>
      <c r="G110" s="117">
        <f t="shared" si="26"/>
        <v>36687.971310263238</v>
      </c>
      <c r="H110" s="7"/>
      <c r="I110" s="109">
        <v>5</v>
      </c>
      <c r="J110" s="117">
        <v>620210.15500000003</v>
      </c>
      <c r="K110" s="120">
        <f t="shared" si="27"/>
        <v>183.43985655131618</v>
      </c>
      <c r="L110" s="122">
        <f t="shared" si="14"/>
        <v>1240420.31</v>
      </c>
      <c r="M110" s="116">
        <f t="shared" si="15"/>
        <v>620210.15500000003</v>
      </c>
      <c r="N110" s="123">
        <f t="shared" si="16"/>
        <v>183.43985655131618</v>
      </c>
      <c r="O110" s="5"/>
      <c r="P110" s="5">
        <f t="shared" si="17"/>
        <v>1</v>
      </c>
      <c r="Q110" s="7">
        <f t="shared" si="18"/>
        <v>3381</v>
      </c>
    </row>
    <row r="111" spans="1:21">
      <c r="A111" s="23" t="s">
        <v>123</v>
      </c>
      <c r="B111" s="35" t="s">
        <v>118</v>
      </c>
      <c r="C111" s="125">
        <v>8066</v>
      </c>
      <c r="D111" s="113">
        <v>480881645</v>
      </c>
      <c r="E111" s="116">
        <f t="shared" si="25"/>
        <v>59618.354202826682</v>
      </c>
      <c r="F111" s="117">
        <v>208039197</v>
      </c>
      <c r="G111" s="117">
        <f t="shared" si="26"/>
        <v>25792.114678899081</v>
      </c>
      <c r="H111" s="9"/>
      <c r="I111" s="109">
        <v>4.6628999999999996</v>
      </c>
      <c r="J111" s="117">
        <v>970065.97169129993</v>
      </c>
      <c r="K111" s="120">
        <f t="shared" si="27"/>
        <v>120.26605153623852</v>
      </c>
      <c r="L111" s="122">
        <f t="shared" si="14"/>
        <v>2080391.97</v>
      </c>
      <c r="M111" s="116">
        <f t="shared" si="15"/>
        <v>1110325.9983087</v>
      </c>
      <c r="N111" s="123">
        <f t="shared" si="16"/>
        <v>137.65509525275229</v>
      </c>
      <c r="O111" s="5"/>
      <c r="P111" s="5">
        <f t="shared" si="17"/>
        <v>1</v>
      </c>
      <c r="Q111" s="7">
        <f t="shared" si="18"/>
        <v>8066</v>
      </c>
      <c r="S111" s="124">
        <f>SUM(D106:D111)</f>
        <v>1046283345</v>
      </c>
      <c r="T111" s="124">
        <f>SUM(F106:F111)</f>
        <v>457192020</v>
      </c>
      <c r="U111" s="124">
        <f>SUM(J106:J111)</f>
        <v>1884321.5134971999</v>
      </c>
    </row>
    <row r="112" spans="1:21">
      <c r="A112" s="23" t="s">
        <v>124</v>
      </c>
      <c r="B112" s="35" t="s">
        <v>125</v>
      </c>
      <c r="C112" s="125">
        <v>491</v>
      </c>
      <c r="D112" s="113">
        <v>39160079</v>
      </c>
      <c r="E112" s="116">
        <f t="shared" si="25"/>
        <v>79755.761710794293</v>
      </c>
      <c r="F112" s="117">
        <v>16732236</v>
      </c>
      <c r="G112" s="117">
        <f t="shared" si="26"/>
        <v>34077.873727087579</v>
      </c>
      <c r="H112" s="9"/>
      <c r="I112" s="109">
        <v>3</v>
      </c>
      <c r="J112" s="117">
        <v>50196.707999999999</v>
      </c>
      <c r="K112" s="120">
        <f t="shared" si="27"/>
        <v>102.23362118126272</v>
      </c>
      <c r="L112" s="122">
        <f t="shared" si="14"/>
        <v>167322.36000000002</v>
      </c>
      <c r="M112" s="116">
        <f t="shared" si="15"/>
        <v>117125.65200000002</v>
      </c>
      <c r="N112" s="123">
        <f t="shared" si="16"/>
        <v>238.54511608961306</v>
      </c>
      <c r="O112" s="5"/>
      <c r="P112" s="5">
        <f t="shared" si="17"/>
        <v>1</v>
      </c>
      <c r="Q112" s="7">
        <f t="shared" si="18"/>
        <v>491</v>
      </c>
    </row>
    <row r="113" spans="1:21">
      <c r="A113" s="23" t="s">
        <v>126</v>
      </c>
      <c r="B113" s="35" t="s">
        <v>125</v>
      </c>
      <c r="C113" s="125">
        <v>1984</v>
      </c>
      <c r="D113" s="113">
        <v>107288782</v>
      </c>
      <c r="E113" s="116">
        <f t="shared" si="25"/>
        <v>54077.007056451614</v>
      </c>
      <c r="F113" s="117">
        <v>56227408</v>
      </c>
      <c r="G113" s="117">
        <f t="shared" si="26"/>
        <v>28340.427419354837</v>
      </c>
      <c r="H113" s="9"/>
      <c r="I113" s="110">
        <v>2</v>
      </c>
      <c r="J113" s="117">
        <v>112454.81600000001</v>
      </c>
      <c r="K113" s="120">
        <f t="shared" si="27"/>
        <v>56.680854838709678</v>
      </c>
      <c r="L113" s="122">
        <f t="shared" si="14"/>
        <v>562274.07999999996</v>
      </c>
      <c r="M113" s="116">
        <f t="shared" si="15"/>
        <v>449819.26399999997</v>
      </c>
      <c r="N113" s="123">
        <f t="shared" si="16"/>
        <v>226.72341935483868</v>
      </c>
      <c r="O113" s="5"/>
      <c r="P113" s="5">
        <f t="shared" si="17"/>
        <v>1</v>
      </c>
      <c r="Q113" s="7">
        <f t="shared" si="18"/>
        <v>1984</v>
      </c>
    </row>
    <row r="114" spans="1:21">
      <c r="A114" s="23" t="s">
        <v>127</v>
      </c>
      <c r="B114" s="35" t="s">
        <v>128</v>
      </c>
      <c r="C114" s="125">
        <v>850</v>
      </c>
      <c r="D114" s="113">
        <v>64614489</v>
      </c>
      <c r="E114" s="116">
        <f t="shared" si="25"/>
        <v>76017.045882352948</v>
      </c>
      <c r="F114" s="117">
        <v>37303305</v>
      </c>
      <c r="G114" s="117">
        <f t="shared" si="26"/>
        <v>43886.24117647059</v>
      </c>
      <c r="H114" s="7"/>
      <c r="I114" s="110">
        <v>3</v>
      </c>
      <c r="J114" s="117">
        <v>111910</v>
      </c>
      <c r="K114" s="120">
        <f t="shared" si="27"/>
        <v>131.65882352941176</v>
      </c>
      <c r="L114" s="122">
        <f t="shared" si="14"/>
        <v>373033.05</v>
      </c>
      <c r="M114" s="116">
        <f t="shared" si="15"/>
        <v>261123.05</v>
      </c>
      <c r="N114" s="123">
        <f t="shared" si="16"/>
        <v>307.20358823529409</v>
      </c>
      <c r="O114" s="5"/>
      <c r="P114" s="5">
        <f t="shared" si="17"/>
        <v>1</v>
      </c>
      <c r="Q114" s="7">
        <f t="shared" si="18"/>
        <v>850</v>
      </c>
      <c r="S114" s="124">
        <f>SUM(D112:D114)</f>
        <v>211063350</v>
      </c>
      <c r="T114" s="124">
        <f>SUM(F112:F114)</f>
        <v>110262949</v>
      </c>
      <c r="U114" s="124">
        <f>SUM(J112:J114)</f>
        <v>274561.52399999998</v>
      </c>
    </row>
    <row r="115" spans="1:21">
      <c r="A115" s="23" t="s">
        <v>129</v>
      </c>
      <c r="B115" s="35" t="s">
        <v>130</v>
      </c>
      <c r="C115" s="125">
        <v>1672</v>
      </c>
      <c r="D115" s="113">
        <v>88556996</v>
      </c>
      <c r="E115" s="116">
        <f t="shared" si="25"/>
        <v>52964.710526315786</v>
      </c>
      <c r="F115" s="117">
        <v>38599119</v>
      </c>
      <c r="G115" s="117">
        <f t="shared" si="26"/>
        <v>23085.597488038278</v>
      </c>
      <c r="H115" s="9"/>
      <c r="I115" s="109">
        <v>4.9619</v>
      </c>
      <c r="J115" s="117">
        <v>191524.9685661</v>
      </c>
      <c r="K115" s="120">
        <f t="shared" si="27"/>
        <v>114.54842617589713</v>
      </c>
      <c r="L115" s="122">
        <f t="shared" si="14"/>
        <v>385991.19</v>
      </c>
      <c r="M115" s="116">
        <f t="shared" si="15"/>
        <v>194466.22143390001</v>
      </c>
      <c r="N115" s="123">
        <f t="shared" si="16"/>
        <v>116.30754870448565</v>
      </c>
      <c r="O115" s="5"/>
      <c r="P115" s="5">
        <f t="shared" si="17"/>
        <v>1</v>
      </c>
      <c r="Q115" s="7">
        <f t="shared" si="18"/>
        <v>1672</v>
      </c>
      <c r="S115" s="124">
        <f>SUM(D115)</f>
        <v>88556996</v>
      </c>
      <c r="T115" s="124">
        <f>SUM(F115)</f>
        <v>38599119</v>
      </c>
      <c r="U115" s="124">
        <f>SUM(J115)</f>
        <v>191524.9685661</v>
      </c>
    </row>
    <row r="116" spans="1:21">
      <c r="A116" s="24" t="s">
        <v>545</v>
      </c>
      <c r="B116" s="35" t="s">
        <v>131</v>
      </c>
      <c r="C116" s="125">
        <v>3567</v>
      </c>
      <c r="D116" s="113">
        <v>426411844</v>
      </c>
      <c r="E116" s="116">
        <f t="shared" si="25"/>
        <v>119543.55032239978</v>
      </c>
      <c r="F116" s="117">
        <v>277829512</v>
      </c>
      <c r="G116" s="117">
        <f t="shared" si="26"/>
        <v>77888.845528455291</v>
      </c>
      <c r="H116" s="9"/>
      <c r="I116" s="109">
        <v>3.5914000000000001</v>
      </c>
      <c r="J116" s="117">
        <v>997796.9093968001</v>
      </c>
      <c r="K116" s="120">
        <f t="shared" si="27"/>
        <v>279.72999983089431</v>
      </c>
      <c r="L116" s="122">
        <f t="shared" si="14"/>
        <v>2778295.12</v>
      </c>
      <c r="M116" s="116">
        <f t="shared" si="15"/>
        <v>1780498.2106031999</v>
      </c>
      <c r="N116" s="123">
        <f t="shared" si="16"/>
        <v>499.15845545365852</v>
      </c>
      <c r="O116" s="5"/>
      <c r="P116" s="5">
        <f t="shared" si="17"/>
        <v>1</v>
      </c>
      <c r="Q116" s="7">
        <f t="shared" si="18"/>
        <v>3567</v>
      </c>
    </row>
    <row r="117" spans="1:21">
      <c r="A117" s="23" t="s">
        <v>132</v>
      </c>
      <c r="B117" s="35" t="s">
        <v>131</v>
      </c>
      <c r="C117" s="125">
        <v>2105</v>
      </c>
      <c r="D117" s="113">
        <v>96157046</v>
      </c>
      <c r="E117" s="116">
        <f t="shared" si="25"/>
        <v>45680.306888361047</v>
      </c>
      <c r="F117" s="117">
        <v>56544955</v>
      </c>
      <c r="G117" s="117">
        <f t="shared" si="26"/>
        <v>26862.211401425178</v>
      </c>
      <c r="H117" s="9"/>
      <c r="I117" s="109">
        <v>5.9714</v>
      </c>
      <c r="J117" s="117">
        <v>337652.54428700003</v>
      </c>
      <c r="K117" s="120">
        <f t="shared" si="27"/>
        <v>160.40500916247032</v>
      </c>
      <c r="L117" s="122">
        <f t="shared" si="14"/>
        <v>565449.55000000005</v>
      </c>
      <c r="M117" s="116">
        <f t="shared" si="15"/>
        <v>227797.00571300002</v>
      </c>
      <c r="N117" s="123">
        <f t="shared" si="16"/>
        <v>108.21710485178149</v>
      </c>
      <c r="O117" s="5"/>
      <c r="P117" s="5">
        <f t="shared" si="17"/>
        <v>1</v>
      </c>
      <c r="Q117" s="7">
        <f t="shared" si="18"/>
        <v>2105</v>
      </c>
      <c r="S117" s="124">
        <f>SUM(D116:D117)</f>
        <v>522568890</v>
      </c>
      <c r="T117" s="124">
        <f>SUM(F116:F117)</f>
        <v>334374467</v>
      </c>
      <c r="U117" s="124">
        <f>SUM(J116:J117)</f>
        <v>1335449.4536838001</v>
      </c>
    </row>
    <row r="118" spans="1:21">
      <c r="A118" s="23" t="s">
        <v>133</v>
      </c>
      <c r="B118" s="35" t="s">
        <v>134</v>
      </c>
      <c r="C118" s="125">
        <v>3052</v>
      </c>
      <c r="D118" s="113">
        <v>92778756</v>
      </c>
      <c r="E118" s="116">
        <f t="shared" si="25"/>
        <v>30399.330275229357</v>
      </c>
      <c r="F118" s="117">
        <v>40957503</v>
      </c>
      <c r="G118" s="117">
        <f t="shared" si="26"/>
        <v>13419.889580602883</v>
      </c>
      <c r="H118" s="7"/>
      <c r="I118" s="109">
        <v>7.9489999999999998</v>
      </c>
      <c r="J118" s="117">
        <v>325571.19134700001</v>
      </c>
      <c r="K118" s="120">
        <f t="shared" si="27"/>
        <v>106.67470227621233</v>
      </c>
      <c r="L118" s="122">
        <f t="shared" si="14"/>
        <v>409575.03</v>
      </c>
      <c r="M118" s="116">
        <f t="shared" si="15"/>
        <v>84003.838653000013</v>
      </c>
      <c r="N118" s="123">
        <f t="shared" si="16"/>
        <v>27.524193529816518</v>
      </c>
      <c r="O118" s="5"/>
      <c r="P118" s="5">
        <f t="shared" si="17"/>
        <v>1</v>
      </c>
      <c r="Q118" s="7">
        <f t="shared" si="18"/>
        <v>3052</v>
      </c>
    </row>
    <row r="119" spans="1:21">
      <c r="A119" s="23" t="s">
        <v>135</v>
      </c>
      <c r="B119" s="35" t="s">
        <v>134</v>
      </c>
      <c r="C119" s="125">
        <v>890</v>
      </c>
      <c r="D119" s="113">
        <v>18846519</v>
      </c>
      <c r="E119" s="116">
        <f t="shared" si="25"/>
        <v>21175.864044943821</v>
      </c>
      <c r="F119" s="117">
        <v>11419595</v>
      </c>
      <c r="G119" s="117">
        <f t="shared" si="26"/>
        <v>12831.005617977527</v>
      </c>
      <c r="H119" s="7"/>
      <c r="I119" s="109">
        <v>4.75</v>
      </c>
      <c r="J119" s="117">
        <v>54243.076249999998</v>
      </c>
      <c r="K119" s="120">
        <f t="shared" si="27"/>
        <v>60.947276685393255</v>
      </c>
      <c r="L119" s="122">
        <f t="shared" si="14"/>
        <v>114195.95</v>
      </c>
      <c r="M119" s="116">
        <f t="shared" si="15"/>
        <v>59952.873749999999</v>
      </c>
      <c r="N119" s="123">
        <f t="shared" si="16"/>
        <v>67.362779494382025</v>
      </c>
      <c r="O119" s="5"/>
      <c r="P119" s="5">
        <f t="shared" si="17"/>
        <v>1</v>
      </c>
      <c r="Q119" s="7">
        <f t="shared" si="18"/>
        <v>890</v>
      </c>
    </row>
    <row r="120" spans="1:21">
      <c r="A120" s="23" t="s">
        <v>136</v>
      </c>
      <c r="B120" s="35" t="s">
        <v>134</v>
      </c>
      <c r="C120" s="125">
        <v>760</v>
      </c>
      <c r="D120" s="113">
        <v>33291213</v>
      </c>
      <c r="E120" s="116">
        <f t="shared" si="25"/>
        <v>43804.22763157895</v>
      </c>
      <c r="F120" s="117">
        <v>16589494</v>
      </c>
      <c r="G120" s="117">
        <f t="shared" si="26"/>
        <v>21828.281578947368</v>
      </c>
      <c r="H120" s="7"/>
      <c r="I120" s="109">
        <v>4.4954000000000001</v>
      </c>
      <c r="J120" s="117">
        <v>74576.411327599999</v>
      </c>
      <c r="K120" s="120">
        <f t="shared" si="27"/>
        <v>98.126857009999995</v>
      </c>
      <c r="L120" s="122">
        <f t="shared" si="14"/>
        <v>165894.94</v>
      </c>
      <c r="M120" s="116">
        <f t="shared" si="15"/>
        <v>91318.528672400003</v>
      </c>
      <c r="N120" s="123">
        <f t="shared" si="16"/>
        <v>120.15595877947369</v>
      </c>
      <c r="O120" s="5"/>
      <c r="P120" s="5">
        <f t="shared" si="17"/>
        <v>1</v>
      </c>
      <c r="Q120" s="7">
        <f t="shared" si="18"/>
        <v>760</v>
      </c>
      <c r="S120" s="124">
        <f>SUM(D118:D120)</f>
        <v>144916488</v>
      </c>
      <c r="T120" s="124">
        <f>SUM(F118:F120)</f>
        <v>68966592</v>
      </c>
      <c r="U120" s="124">
        <f>SUM(J118:J120)</f>
        <v>454390.67892460001</v>
      </c>
    </row>
    <row r="121" spans="1:21">
      <c r="A121" s="23" t="s">
        <v>137</v>
      </c>
      <c r="B121" s="35" t="s">
        <v>138</v>
      </c>
      <c r="C121" s="125">
        <v>2861</v>
      </c>
      <c r="D121" s="113">
        <v>66857792</v>
      </c>
      <c r="E121" s="116">
        <f t="shared" si="25"/>
        <v>23368.679482698357</v>
      </c>
      <c r="F121" s="117">
        <v>32621208</v>
      </c>
      <c r="G121" s="117">
        <f t="shared" si="26"/>
        <v>11402.030059419783</v>
      </c>
      <c r="H121" s="7"/>
      <c r="I121" s="109">
        <v>7.25</v>
      </c>
      <c r="J121" s="117">
        <v>236503.758</v>
      </c>
      <c r="K121" s="120">
        <f t="shared" si="27"/>
        <v>82.664717930793429</v>
      </c>
      <c r="L121" s="122">
        <f t="shared" si="14"/>
        <v>326212.08</v>
      </c>
      <c r="M121" s="116">
        <f t="shared" si="15"/>
        <v>89708.322000000015</v>
      </c>
      <c r="N121" s="123">
        <f t="shared" si="16"/>
        <v>31.355582663404409</v>
      </c>
      <c r="O121" s="5"/>
      <c r="P121" s="5">
        <f t="shared" si="17"/>
        <v>1</v>
      </c>
      <c r="Q121" s="7">
        <f t="shared" si="18"/>
        <v>2861</v>
      </c>
    </row>
    <row r="122" spans="1:21">
      <c r="A122" s="23" t="s">
        <v>139</v>
      </c>
      <c r="B122" s="35" t="s">
        <v>138</v>
      </c>
      <c r="C122" s="125">
        <v>5160</v>
      </c>
      <c r="D122" s="113">
        <v>222396392</v>
      </c>
      <c r="E122" s="116">
        <f t="shared" si="25"/>
        <v>43100.075968992249</v>
      </c>
      <c r="F122" s="117">
        <v>108865625</v>
      </c>
      <c r="G122" s="117">
        <f t="shared" si="26"/>
        <v>21097.989341085271</v>
      </c>
      <c r="H122" s="7"/>
      <c r="I122" s="109">
        <v>5.6485000000000003</v>
      </c>
      <c r="J122" s="117">
        <v>614927.48281249998</v>
      </c>
      <c r="K122" s="120">
        <f t="shared" si="27"/>
        <v>119.17199279312015</v>
      </c>
      <c r="L122" s="122">
        <f t="shared" si="14"/>
        <v>1088656.25</v>
      </c>
      <c r="M122" s="116">
        <f t="shared" si="15"/>
        <v>473728.76718750002</v>
      </c>
      <c r="N122" s="123">
        <f t="shared" si="16"/>
        <v>91.807900617732557</v>
      </c>
      <c r="O122" s="5"/>
      <c r="P122" s="5">
        <f t="shared" si="17"/>
        <v>1</v>
      </c>
      <c r="Q122" s="7">
        <f t="shared" si="18"/>
        <v>5160</v>
      </c>
    </row>
    <row r="123" spans="1:21">
      <c r="A123" s="23" t="s">
        <v>140</v>
      </c>
      <c r="B123" s="35" t="s">
        <v>138</v>
      </c>
      <c r="C123" s="125">
        <v>1813</v>
      </c>
      <c r="D123" s="113">
        <v>51657799</v>
      </c>
      <c r="E123" s="116">
        <f t="shared" si="25"/>
        <v>28492.9944842802</v>
      </c>
      <c r="F123" s="117">
        <v>23657552</v>
      </c>
      <c r="G123" s="117">
        <f t="shared" si="26"/>
        <v>13048.842801985658</v>
      </c>
      <c r="H123" s="7"/>
      <c r="I123" s="109">
        <v>8.5540000000000003</v>
      </c>
      <c r="J123" s="117">
        <v>202366.699808</v>
      </c>
      <c r="K123" s="120">
        <f t="shared" si="27"/>
        <v>111.61980132818533</v>
      </c>
      <c r="L123" s="122">
        <f t="shared" si="14"/>
        <v>236575.52000000002</v>
      </c>
      <c r="M123" s="116">
        <f t="shared" si="15"/>
        <v>34208.820192000014</v>
      </c>
      <c r="N123" s="123">
        <f t="shared" si="16"/>
        <v>18.86862669167127</v>
      </c>
      <c r="O123" s="5"/>
      <c r="P123" s="5">
        <f t="shared" si="17"/>
        <v>1</v>
      </c>
      <c r="Q123" s="7">
        <f t="shared" si="18"/>
        <v>1813</v>
      </c>
      <c r="S123" s="124">
        <f>SUM(D121:D123)</f>
        <v>340911983</v>
      </c>
      <c r="T123" s="124">
        <f>SUM(F121:F123)</f>
        <v>165144385</v>
      </c>
      <c r="U123" s="124">
        <f>SUM(J121:J123)</f>
        <v>1053797.9406205001</v>
      </c>
    </row>
    <row r="124" spans="1:21">
      <c r="A124" s="23" t="s">
        <v>141</v>
      </c>
      <c r="B124" s="35" t="s">
        <v>142</v>
      </c>
      <c r="C124" s="125">
        <v>7517</v>
      </c>
      <c r="D124" s="113">
        <v>468143275</v>
      </c>
      <c r="E124" s="116">
        <f t="shared" si="25"/>
        <v>62277.940002660638</v>
      </c>
      <c r="F124" s="117">
        <v>211617151</v>
      </c>
      <c r="G124" s="117">
        <f t="shared" si="26"/>
        <v>28151.809365438341</v>
      </c>
      <c r="H124" s="7"/>
      <c r="I124" s="109">
        <v>6.0313999999999997</v>
      </c>
      <c r="J124" s="117">
        <v>1276347.6845414001</v>
      </c>
      <c r="K124" s="120">
        <f t="shared" si="27"/>
        <v>169.7948230067048</v>
      </c>
      <c r="L124" s="122">
        <f t="shared" si="14"/>
        <v>2116171.5100000002</v>
      </c>
      <c r="M124" s="116">
        <f t="shared" si="15"/>
        <v>839823.82545860019</v>
      </c>
      <c r="N124" s="123">
        <f t="shared" si="16"/>
        <v>111.72327064767862</v>
      </c>
      <c r="O124" s="5"/>
      <c r="P124" s="5">
        <f t="shared" si="17"/>
        <v>1</v>
      </c>
      <c r="Q124" s="7">
        <f t="shared" si="18"/>
        <v>7517</v>
      </c>
    </row>
    <row r="125" spans="1:21">
      <c r="A125" s="23" t="s">
        <v>558</v>
      </c>
      <c r="B125" s="35" t="s">
        <v>142</v>
      </c>
      <c r="C125" s="125">
        <v>4807</v>
      </c>
      <c r="D125" s="113">
        <v>372252070</v>
      </c>
      <c r="E125" s="116">
        <f t="shared" si="25"/>
        <v>77439.58185978781</v>
      </c>
      <c r="F125" s="117">
        <v>178600485</v>
      </c>
      <c r="G125" s="117">
        <f t="shared" si="26"/>
        <v>37154.251092157268</v>
      </c>
      <c r="H125" s="7"/>
      <c r="I125" s="109">
        <v>3.6046</v>
      </c>
      <c r="J125" s="117">
        <v>643783.30823099997</v>
      </c>
      <c r="K125" s="120">
        <f t="shared" si="27"/>
        <v>133.92621348679009</v>
      </c>
      <c r="L125" s="122">
        <f t="shared" si="14"/>
        <v>1786004.85</v>
      </c>
      <c r="M125" s="116">
        <f t="shared" si="15"/>
        <v>1142221.5417690002</v>
      </c>
      <c r="N125" s="123">
        <f t="shared" si="16"/>
        <v>237.61629743478267</v>
      </c>
      <c r="O125" s="5"/>
      <c r="P125" s="5">
        <f t="shared" si="17"/>
        <v>1</v>
      </c>
      <c r="Q125" s="7">
        <f t="shared" si="18"/>
        <v>4807</v>
      </c>
      <c r="S125" s="124">
        <f>SUM(D124:D125)</f>
        <v>840395345</v>
      </c>
      <c r="T125" s="124">
        <f>SUM(F124:F125)</f>
        <v>390217636</v>
      </c>
      <c r="U125" s="124">
        <f>SUM(J124:J125)</f>
        <v>1920130.9927723999</v>
      </c>
    </row>
    <row r="126" spans="1:21">
      <c r="A126" s="23" t="s">
        <v>143</v>
      </c>
      <c r="B126" s="35" t="s">
        <v>144</v>
      </c>
      <c r="C126" s="125">
        <v>8006</v>
      </c>
      <c r="D126" s="113">
        <v>967223284</v>
      </c>
      <c r="E126" s="116">
        <f t="shared" si="25"/>
        <v>120812.30127404447</v>
      </c>
      <c r="F126" s="117">
        <v>397007241</v>
      </c>
      <c r="G126" s="117">
        <f t="shared" si="26"/>
        <v>49588.713589807645</v>
      </c>
      <c r="H126" s="7"/>
      <c r="I126" s="109">
        <v>6.6425999999999998</v>
      </c>
      <c r="J126" s="117">
        <v>2637160.2990665999</v>
      </c>
      <c r="K126" s="120">
        <f t="shared" si="27"/>
        <v>329.39798889165627</v>
      </c>
      <c r="L126" s="122">
        <f t="shared" si="14"/>
        <v>3970072.41</v>
      </c>
      <c r="M126" s="116">
        <f t="shared" si="15"/>
        <v>1332912.1109334002</v>
      </c>
      <c r="N126" s="123">
        <f t="shared" si="16"/>
        <v>166.48914700642021</v>
      </c>
      <c r="O126" s="5"/>
      <c r="P126" s="5">
        <f t="shared" si="17"/>
        <v>1</v>
      </c>
      <c r="Q126" s="7">
        <f t="shared" si="18"/>
        <v>8006</v>
      </c>
    </row>
    <row r="127" spans="1:21">
      <c r="A127" s="23" t="s">
        <v>145</v>
      </c>
      <c r="B127" s="35" t="s">
        <v>144</v>
      </c>
      <c r="C127" s="125">
        <v>5</v>
      </c>
      <c r="D127" s="113">
        <v>47099232</v>
      </c>
      <c r="E127" s="116">
        <f t="shared" si="25"/>
        <v>9419846.4000000004</v>
      </c>
      <c r="F127" s="117">
        <v>16390049</v>
      </c>
      <c r="G127" s="117">
        <f t="shared" si="26"/>
        <v>3278009.8</v>
      </c>
      <c r="H127" s="7"/>
      <c r="I127" s="109">
        <v>2.8477999999999999</v>
      </c>
      <c r="J127" s="117">
        <v>46675.581542200001</v>
      </c>
      <c r="K127" s="120">
        <f t="shared" si="27"/>
        <v>9335.1163084399996</v>
      </c>
      <c r="L127" s="122">
        <f t="shared" si="14"/>
        <v>163900.49</v>
      </c>
      <c r="M127" s="116">
        <f t="shared" si="15"/>
        <v>117224.90845779999</v>
      </c>
      <c r="N127" s="123">
        <f t="shared" si="16"/>
        <v>23444.981691559999</v>
      </c>
      <c r="O127" s="5"/>
      <c r="P127" s="5">
        <f t="shared" si="17"/>
        <v>1</v>
      </c>
      <c r="Q127" s="7">
        <f t="shared" si="18"/>
        <v>5</v>
      </c>
      <c r="S127" s="124">
        <f>SUM(D126:D127)</f>
        <v>1014322516</v>
      </c>
      <c r="T127" s="124">
        <f>SUM(F126:F127)</f>
        <v>413397290</v>
      </c>
      <c r="U127" s="124">
        <f>SUM(J126:J127)</f>
        <v>2683835.8806087999</v>
      </c>
    </row>
    <row r="128" spans="1:21">
      <c r="A128" s="23" t="s">
        <v>146</v>
      </c>
      <c r="B128" s="35" t="s">
        <v>147</v>
      </c>
      <c r="C128" s="125">
        <v>10989</v>
      </c>
      <c r="D128" s="113">
        <v>532287508</v>
      </c>
      <c r="E128" s="116">
        <f t="shared" si="25"/>
        <v>48438.211666211668</v>
      </c>
      <c r="F128" s="117">
        <v>271612727</v>
      </c>
      <c r="G128" s="117">
        <f t="shared" si="26"/>
        <v>24716.782873782875</v>
      </c>
      <c r="H128" s="7"/>
      <c r="I128" s="109">
        <v>0.3</v>
      </c>
      <c r="J128" s="117">
        <v>81483.818099999989</v>
      </c>
      <c r="K128" s="120">
        <f t="shared" si="27"/>
        <v>7.4150348621348607</v>
      </c>
      <c r="L128" s="122">
        <f t="shared" si="14"/>
        <v>2716127.27</v>
      </c>
      <c r="M128" s="116">
        <f t="shared" si="15"/>
        <v>2634643.4519000002</v>
      </c>
      <c r="N128" s="123">
        <f t="shared" si="16"/>
        <v>239.7527938756939</v>
      </c>
      <c r="O128" s="5"/>
      <c r="P128" s="5">
        <f t="shared" si="17"/>
        <v>1</v>
      </c>
      <c r="Q128" s="7">
        <f t="shared" si="18"/>
        <v>10989</v>
      </c>
    </row>
    <row r="129" spans="1:21">
      <c r="A129" s="23" t="s">
        <v>148</v>
      </c>
      <c r="B129" s="35" t="s">
        <v>147</v>
      </c>
      <c r="C129" s="125">
        <v>2564</v>
      </c>
      <c r="D129" s="113">
        <v>261430192</v>
      </c>
      <c r="E129" s="116">
        <f t="shared" si="25"/>
        <v>101961.85335413416</v>
      </c>
      <c r="F129" s="117">
        <v>172911825</v>
      </c>
      <c r="G129" s="117">
        <f t="shared" si="26"/>
        <v>67438.309282371294</v>
      </c>
      <c r="H129" s="7"/>
      <c r="I129" s="109">
        <v>3.65</v>
      </c>
      <c r="J129" s="117">
        <v>631128.16125</v>
      </c>
      <c r="K129" s="120">
        <f t="shared" si="27"/>
        <v>246.14982888065524</v>
      </c>
      <c r="L129" s="122">
        <f t="shared" si="14"/>
        <v>1729118.25</v>
      </c>
      <c r="M129" s="116">
        <f t="shared" si="15"/>
        <v>1097990.0887500001</v>
      </c>
      <c r="N129" s="123">
        <f t="shared" si="16"/>
        <v>428.23326394305775</v>
      </c>
      <c r="O129" s="5"/>
      <c r="P129" s="5">
        <f t="shared" si="17"/>
        <v>1</v>
      </c>
      <c r="Q129" s="7">
        <f t="shared" si="18"/>
        <v>2564</v>
      </c>
    </row>
    <row r="130" spans="1:21">
      <c r="A130" s="23" t="s">
        <v>149</v>
      </c>
      <c r="B130" s="35" t="s">
        <v>147</v>
      </c>
      <c r="C130" s="125">
        <v>10971</v>
      </c>
      <c r="D130" s="113">
        <v>822621939</v>
      </c>
      <c r="E130" s="116">
        <f t="shared" si="25"/>
        <v>74981.491112934105</v>
      </c>
      <c r="F130" s="117">
        <v>561686438</v>
      </c>
      <c r="G130" s="117">
        <f t="shared" si="26"/>
        <v>51197.378361133895</v>
      </c>
      <c r="H130" s="7"/>
      <c r="I130" s="109">
        <v>4.8183999999999996</v>
      </c>
      <c r="J130" s="117">
        <v>2706429.9328591996</v>
      </c>
      <c r="K130" s="120">
        <f t="shared" si="27"/>
        <v>246.68944789528754</v>
      </c>
      <c r="L130" s="122">
        <f t="shared" si="14"/>
        <v>5616864.3799999999</v>
      </c>
      <c r="M130" s="116">
        <f t="shared" si="15"/>
        <v>2910434.4471408003</v>
      </c>
      <c r="N130" s="123">
        <f t="shared" si="16"/>
        <v>265.28433571605143</v>
      </c>
      <c r="O130" s="5"/>
      <c r="P130" s="5">
        <f t="shared" si="17"/>
        <v>1</v>
      </c>
      <c r="Q130" s="7">
        <f t="shared" si="18"/>
        <v>10971</v>
      </c>
      <c r="S130" s="124">
        <f>SUM(D128:D130)</f>
        <v>1616339639</v>
      </c>
      <c r="T130" s="124">
        <f>SUM(F128:F130)</f>
        <v>1006210990</v>
      </c>
      <c r="U130" s="124">
        <f>SUM(J128:J130)</f>
        <v>3419041.9122091997</v>
      </c>
    </row>
    <row r="131" spans="1:21">
      <c r="A131" s="23" t="s">
        <v>150</v>
      </c>
      <c r="B131" s="35" t="s">
        <v>151</v>
      </c>
      <c r="C131" s="125">
        <v>37840</v>
      </c>
      <c r="D131" s="113">
        <v>2750835452</v>
      </c>
      <c r="E131" s="116">
        <f t="shared" si="25"/>
        <v>72696.49714587738</v>
      </c>
      <c r="F131" s="117">
        <v>1870054509</v>
      </c>
      <c r="G131" s="117">
        <f t="shared" si="26"/>
        <v>49420.045163847783</v>
      </c>
      <c r="H131" s="7"/>
      <c r="I131" s="109">
        <v>4.7157</v>
      </c>
      <c r="J131" s="117">
        <v>8818616.0480912998</v>
      </c>
      <c r="K131" s="120">
        <f t="shared" si="27"/>
        <v>233.05010697915696</v>
      </c>
      <c r="L131" s="122">
        <f t="shared" si="14"/>
        <v>18700545.09</v>
      </c>
      <c r="M131" s="116">
        <f t="shared" si="15"/>
        <v>9881929.0419087</v>
      </c>
      <c r="N131" s="123">
        <f t="shared" si="16"/>
        <v>261.15034465932081</v>
      </c>
      <c r="O131" s="5"/>
      <c r="P131" s="5">
        <f t="shared" si="17"/>
        <v>1</v>
      </c>
      <c r="Q131" s="7">
        <f t="shared" si="18"/>
        <v>37840</v>
      </c>
    </row>
    <row r="132" spans="1:21">
      <c r="A132" s="23" t="s">
        <v>152</v>
      </c>
      <c r="B132" s="35" t="s">
        <v>151</v>
      </c>
      <c r="C132" s="125">
        <v>365124</v>
      </c>
      <c r="D132" s="113">
        <v>43872034554</v>
      </c>
      <c r="E132" s="116">
        <f t="shared" si="25"/>
        <v>120156.53464028658</v>
      </c>
      <c r="F132" s="117">
        <v>28079431918</v>
      </c>
      <c r="G132" s="117">
        <f t="shared" si="26"/>
        <v>76903.8242295768</v>
      </c>
      <c r="H132" s="7"/>
      <c r="I132" s="109">
        <v>5.7325999999999997</v>
      </c>
      <c r="J132" s="117">
        <v>160968151.4131268</v>
      </c>
      <c r="K132" s="120">
        <f t="shared" si="27"/>
        <v>440.85886277847197</v>
      </c>
      <c r="L132" s="122">
        <f t="shared" si="14"/>
        <v>280794319.18000001</v>
      </c>
      <c r="M132" s="116">
        <f t="shared" si="15"/>
        <v>119826167.76687321</v>
      </c>
      <c r="N132" s="123">
        <f t="shared" si="16"/>
        <v>328.17937951729607</v>
      </c>
      <c r="O132" s="5"/>
      <c r="P132" s="5">
        <f t="shared" si="17"/>
        <v>1</v>
      </c>
      <c r="Q132" s="7">
        <f t="shared" si="18"/>
        <v>365124</v>
      </c>
    </row>
    <row r="133" spans="1:21">
      <c r="A133" s="23" t="s">
        <v>153</v>
      </c>
      <c r="B133" s="35" t="s">
        <v>151</v>
      </c>
      <c r="C133" s="125">
        <v>25820</v>
      </c>
      <c r="D133" s="113">
        <v>1883467969</v>
      </c>
      <c r="E133" s="116">
        <f t="shared" si="25"/>
        <v>72946.087103020909</v>
      </c>
      <c r="F133" s="117">
        <v>1365747277</v>
      </c>
      <c r="G133" s="117">
        <f t="shared" si="26"/>
        <v>52894.937141750583</v>
      </c>
      <c r="H133" s="9"/>
      <c r="I133" s="109">
        <v>7.2050000000000001</v>
      </c>
      <c r="J133" s="117">
        <v>9840209.1307849996</v>
      </c>
      <c r="K133" s="120">
        <f t="shared" si="27"/>
        <v>381.10802210631294</v>
      </c>
      <c r="L133" s="122">
        <f t="shared" si="14"/>
        <v>13657472.77</v>
      </c>
      <c r="M133" s="116">
        <f t="shared" si="15"/>
        <v>3817263.639215</v>
      </c>
      <c r="N133" s="123">
        <f t="shared" si="16"/>
        <v>147.84134931119289</v>
      </c>
      <c r="O133" s="5"/>
      <c r="P133" s="5">
        <f t="shared" si="17"/>
        <v>1</v>
      </c>
      <c r="Q133" s="7">
        <f t="shared" si="18"/>
        <v>25820</v>
      </c>
      <c r="S133" s="124">
        <f>SUM(D131:D133)</f>
        <v>48506337975</v>
      </c>
      <c r="T133" s="124">
        <f>SUM(F131:F133)</f>
        <v>31315233704</v>
      </c>
      <c r="U133" s="124">
        <f>SUM(J131:J133)</f>
        <v>179626976.59200308</v>
      </c>
    </row>
    <row r="134" spans="1:21">
      <c r="A134" s="23" t="s">
        <v>154</v>
      </c>
      <c r="B134" s="35" t="s">
        <v>155</v>
      </c>
      <c r="C134" s="125">
        <v>2689</v>
      </c>
      <c r="D134" s="114" t="s">
        <v>564</v>
      </c>
      <c r="E134" s="116"/>
      <c r="F134" s="117"/>
      <c r="G134" s="117"/>
      <c r="H134" s="98" t="s">
        <v>588</v>
      </c>
      <c r="I134" s="109"/>
      <c r="J134" s="117"/>
      <c r="K134" s="120"/>
      <c r="L134" s="122">
        <f t="shared" ref="L134:L197" si="28">(F134*0.01)</f>
        <v>0</v>
      </c>
      <c r="M134" s="116">
        <f t="shared" ref="M134:M197" si="29">(L134-J134)</f>
        <v>0</v>
      </c>
      <c r="N134" s="123">
        <f t="shared" ref="N134:N197" si="30">(M134/C134)</f>
        <v>0</v>
      </c>
      <c r="O134" s="5"/>
      <c r="P134" s="5">
        <f t="shared" ref="P134:P198" si="31">IF(I134&gt;0,1,0)</f>
        <v>0</v>
      </c>
      <c r="Q134" s="7">
        <f t="shared" ref="Q134:Q198" si="32">IF(I134&gt;0,C134,0)</f>
        <v>0</v>
      </c>
    </row>
    <row r="135" spans="1:21">
      <c r="A135" s="23" t="s">
        <v>156</v>
      </c>
      <c r="B135" s="35" t="s">
        <v>155</v>
      </c>
      <c r="C135" s="125">
        <v>364</v>
      </c>
      <c r="D135" s="113">
        <v>11727558</v>
      </c>
      <c r="E135" s="116">
        <f>(D135/C135)</f>
        <v>32218.565934065933</v>
      </c>
      <c r="F135" s="117">
        <v>5862279</v>
      </c>
      <c r="G135" s="117">
        <f>(F135/C135)</f>
        <v>16105.162087912087</v>
      </c>
      <c r="H135" s="7"/>
      <c r="I135" s="111">
        <v>0.4637</v>
      </c>
      <c r="J135" s="117">
        <v>2718.3387722999996</v>
      </c>
      <c r="K135" s="120">
        <f>(J135/C135)</f>
        <v>7.467963660164834</v>
      </c>
      <c r="L135" s="122">
        <f t="shared" si="28"/>
        <v>58622.79</v>
      </c>
      <c r="M135" s="116">
        <f t="shared" si="29"/>
        <v>55904.451227700003</v>
      </c>
      <c r="N135" s="123">
        <f t="shared" si="30"/>
        <v>153.58365721895606</v>
      </c>
      <c r="O135" s="5"/>
      <c r="P135" s="5">
        <f t="shared" si="31"/>
        <v>1</v>
      </c>
      <c r="Q135" s="7">
        <f t="shared" si="32"/>
        <v>364</v>
      </c>
    </row>
    <row r="136" spans="1:21">
      <c r="A136" s="23" t="s">
        <v>157</v>
      </c>
      <c r="B136" s="35" t="s">
        <v>155</v>
      </c>
      <c r="C136" s="125">
        <v>183</v>
      </c>
      <c r="D136" s="113">
        <v>4558573</v>
      </c>
      <c r="E136" s="116">
        <f>(D136/C136)</f>
        <v>24910.234972677597</v>
      </c>
      <c r="F136" s="117">
        <v>1956404</v>
      </c>
      <c r="G136" s="117">
        <f>(F136/C136)</f>
        <v>10690.732240437159</v>
      </c>
      <c r="H136" s="9"/>
      <c r="I136" s="109">
        <v>0.90659999999999996</v>
      </c>
      <c r="J136" s="117">
        <v>1773.6758663999999</v>
      </c>
      <c r="K136" s="120">
        <f>(J136/C136)</f>
        <v>9.6922178491803272</v>
      </c>
      <c r="L136" s="122">
        <f t="shared" si="28"/>
        <v>19564.04</v>
      </c>
      <c r="M136" s="116">
        <f t="shared" si="29"/>
        <v>17790.3641336</v>
      </c>
      <c r="N136" s="123">
        <f t="shared" si="30"/>
        <v>97.21510455519126</v>
      </c>
      <c r="O136" s="5"/>
      <c r="P136" s="5">
        <f t="shared" si="31"/>
        <v>1</v>
      </c>
      <c r="Q136" s="7">
        <f t="shared" si="32"/>
        <v>183</v>
      </c>
    </row>
    <row r="137" spans="1:21">
      <c r="A137" s="23" t="s">
        <v>158</v>
      </c>
      <c r="B137" s="35" t="s">
        <v>155</v>
      </c>
      <c r="C137" s="125">
        <v>550</v>
      </c>
      <c r="D137" s="114" t="s">
        <v>564</v>
      </c>
      <c r="E137" s="116"/>
      <c r="F137" s="117"/>
      <c r="G137" s="117"/>
      <c r="H137" s="98" t="s">
        <v>588</v>
      </c>
      <c r="I137" s="109"/>
      <c r="J137" s="117"/>
      <c r="K137" s="120"/>
      <c r="L137" s="122">
        <f t="shared" si="28"/>
        <v>0</v>
      </c>
      <c r="M137" s="116">
        <f t="shared" si="29"/>
        <v>0</v>
      </c>
      <c r="N137" s="123">
        <f t="shared" si="30"/>
        <v>0</v>
      </c>
      <c r="O137" s="5"/>
      <c r="P137" s="5">
        <f t="shared" si="31"/>
        <v>0</v>
      </c>
      <c r="Q137" s="7">
        <f t="shared" si="32"/>
        <v>0</v>
      </c>
    </row>
    <row r="138" spans="1:21">
      <c r="A138" s="23" t="s">
        <v>159</v>
      </c>
      <c r="B138" s="35" t="s">
        <v>155</v>
      </c>
      <c r="C138" s="125">
        <v>301</v>
      </c>
      <c r="D138" s="114" t="s">
        <v>564</v>
      </c>
      <c r="E138" s="116"/>
      <c r="F138" s="117"/>
      <c r="G138" s="117"/>
      <c r="H138" s="98" t="s">
        <v>588</v>
      </c>
      <c r="I138" s="109"/>
      <c r="J138" s="117"/>
      <c r="K138" s="120"/>
      <c r="L138" s="122">
        <f t="shared" si="28"/>
        <v>0</v>
      </c>
      <c r="M138" s="116">
        <f t="shared" si="29"/>
        <v>0</v>
      </c>
      <c r="N138" s="123">
        <f t="shared" si="30"/>
        <v>0</v>
      </c>
      <c r="O138" s="5"/>
      <c r="P138" s="5">
        <f t="shared" si="31"/>
        <v>0</v>
      </c>
      <c r="Q138" s="7">
        <f t="shared" si="32"/>
        <v>0</v>
      </c>
      <c r="S138" s="124">
        <f>SUM(D134:D138)</f>
        <v>16286131</v>
      </c>
      <c r="T138" s="124">
        <f>SUM(F134:F138)</f>
        <v>7818683</v>
      </c>
      <c r="U138" s="124">
        <f>SUM(J134:J138)</f>
        <v>4492.0146386999995</v>
      </c>
    </row>
    <row r="139" spans="1:21">
      <c r="A139" s="23" t="s">
        <v>160</v>
      </c>
      <c r="B139" s="35" t="s">
        <v>161</v>
      </c>
      <c r="C139" s="125">
        <v>5401</v>
      </c>
      <c r="D139" s="113">
        <v>386215185</v>
      </c>
      <c r="E139" s="116">
        <f t="shared" ref="E139:E144" si="33">(D139/C139)</f>
        <v>71508.088316978334</v>
      </c>
      <c r="F139" s="117">
        <v>98040392</v>
      </c>
      <c r="G139" s="117">
        <f t="shared" ref="G139:G144" si="34">(F139/C139)</f>
        <v>18152.266617293095</v>
      </c>
      <c r="H139" s="7"/>
      <c r="I139" s="110">
        <v>4.9599000000000002</v>
      </c>
      <c r="J139" s="117">
        <v>486270.54028080002</v>
      </c>
      <c r="K139" s="120">
        <f t="shared" ref="K139:K144" si="35">(J139/C139)</f>
        <v>90.033427195112026</v>
      </c>
      <c r="L139" s="122">
        <f t="shared" si="28"/>
        <v>980403.92</v>
      </c>
      <c r="M139" s="116">
        <f t="shared" si="29"/>
        <v>494133.37971920002</v>
      </c>
      <c r="N139" s="123">
        <f t="shared" si="30"/>
        <v>91.489238977818928</v>
      </c>
      <c r="O139" s="5"/>
      <c r="P139" s="5">
        <f t="shared" si="31"/>
        <v>1</v>
      </c>
      <c r="Q139" s="7">
        <f t="shared" si="32"/>
        <v>5401</v>
      </c>
    </row>
    <row r="140" spans="1:21">
      <c r="A140" s="23" t="s">
        <v>162</v>
      </c>
      <c r="B140" s="35" t="s">
        <v>161</v>
      </c>
      <c r="C140" s="125">
        <v>4046</v>
      </c>
      <c r="D140" s="113">
        <v>3443869554</v>
      </c>
      <c r="E140" s="116">
        <f t="shared" si="33"/>
        <v>851178.83193277312</v>
      </c>
      <c r="F140" s="117">
        <v>2759958081</v>
      </c>
      <c r="G140" s="117">
        <f t="shared" si="34"/>
        <v>682144.8544241226</v>
      </c>
      <c r="H140" s="7"/>
      <c r="I140" s="109">
        <v>1.7185999999999999</v>
      </c>
      <c r="J140" s="117">
        <v>4743263.958006599</v>
      </c>
      <c r="K140" s="120">
        <f t="shared" si="35"/>
        <v>1172.3341468132969</v>
      </c>
      <c r="L140" s="122">
        <f t="shared" si="28"/>
        <v>27599580.810000002</v>
      </c>
      <c r="M140" s="116">
        <f t="shared" si="29"/>
        <v>22856316.851993404</v>
      </c>
      <c r="N140" s="123">
        <f t="shared" si="30"/>
        <v>5649.1143974279303</v>
      </c>
      <c r="O140" s="5"/>
      <c r="P140" s="5">
        <f t="shared" si="31"/>
        <v>1</v>
      </c>
      <c r="Q140" s="7">
        <f t="shared" si="32"/>
        <v>4046</v>
      </c>
    </row>
    <row r="141" spans="1:21">
      <c r="A141" s="23" t="s">
        <v>163</v>
      </c>
      <c r="B141" s="35" t="s">
        <v>161</v>
      </c>
      <c r="C141" s="125">
        <v>415</v>
      </c>
      <c r="D141" s="113">
        <v>472466752</v>
      </c>
      <c r="E141" s="116">
        <f t="shared" si="33"/>
        <v>1138474.1012048193</v>
      </c>
      <c r="F141" s="117">
        <v>391905725</v>
      </c>
      <c r="G141" s="117">
        <f t="shared" si="34"/>
        <v>944351.14457831322</v>
      </c>
      <c r="H141" s="7"/>
      <c r="I141" s="109">
        <v>1.25</v>
      </c>
      <c r="J141" s="117">
        <v>489882.15625</v>
      </c>
      <c r="K141" s="120">
        <f t="shared" si="35"/>
        <v>1180.4389307228917</v>
      </c>
      <c r="L141" s="122">
        <f t="shared" si="28"/>
        <v>3919057.25</v>
      </c>
      <c r="M141" s="116">
        <f t="shared" si="29"/>
        <v>3429175.09375</v>
      </c>
      <c r="N141" s="123">
        <f t="shared" si="30"/>
        <v>8263.0725150602411</v>
      </c>
      <c r="O141" s="5"/>
      <c r="P141" s="5">
        <f t="shared" si="31"/>
        <v>1</v>
      </c>
      <c r="Q141" s="7">
        <f t="shared" si="32"/>
        <v>415</v>
      </c>
    </row>
    <row r="142" spans="1:21">
      <c r="A142" s="23" t="s">
        <v>164</v>
      </c>
      <c r="B142" s="35" t="s">
        <v>161</v>
      </c>
      <c r="C142" s="125">
        <v>23732</v>
      </c>
      <c r="D142" s="113">
        <v>1803413256</v>
      </c>
      <c r="E142" s="116">
        <f t="shared" si="33"/>
        <v>75990.782740603405</v>
      </c>
      <c r="F142" s="117">
        <v>1037687270</v>
      </c>
      <c r="G142" s="117">
        <f t="shared" si="34"/>
        <v>43725.234704196868</v>
      </c>
      <c r="H142" s="7"/>
      <c r="I142" s="109">
        <v>3.8</v>
      </c>
      <c r="J142" s="117">
        <v>3943211.6260000002</v>
      </c>
      <c r="K142" s="120">
        <f t="shared" si="35"/>
        <v>166.1558918759481</v>
      </c>
      <c r="L142" s="122">
        <f t="shared" si="28"/>
        <v>10376872.700000001</v>
      </c>
      <c r="M142" s="116">
        <f t="shared" si="29"/>
        <v>6433661.074000001</v>
      </c>
      <c r="N142" s="123">
        <f t="shared" si="30"/>
        <v>271.09645516602058</v>
      </c>
      <c r="O142" s="5"/>
      <c r="P142" s="5">
        <f t="shared" si="31"/>
        <v>1</v>
      </c>
      <c r="Q142" s="7">
        <f t="shared" si="32"/>
        <v>23732</v>
      </c>
    </row>
    <row r="143" spans="1:21">
      <c r="A143" s="23" t="s">
        <v>165</v>
      </c>
      <c r="B143" s="35" t="s">
        <v>161</v>
      </c>
      <c r="C143" s="125">
        <v>15823</v>
      </c>
      <c r="D143" s="113">
        <v>3533761562</v>
      </c>
      <c r="E143" s="116">
        <f t="shared" si="33"/>
        <v>223330.69342096947</v>
      </c>
      <c r="F143" s="117">
        <v>2490305701</v>
      </c>
      <c r="G143" s="117">
        <f t="shared" si="34"/>
        <v>157385.17986475385</v>
      </c>
      <c r="H143" s="7"/>
      <c r="I143" s="109">
        <v>2.5194000000000001</v>
      </c>
      <c r="J143" s="117">
        <v>6274076.1830994003</v>
      </c>
      <c r="K143" s="120">
        <f t="shared" si="35"/>
        <v>396.51622215126082</v>
      </c>
      <c r="L143" s="122">
        <f t="shared" si="28"/>
        <v>24903057.010000002</v>
      </c>
      <c r="M143" s="116">
        <f t="shared" si="29"/>
        <v>18628980.826900601</v>
      </c>
      <c r="N143" s="123">
        <f t="shared" si="30"/>
        <v>1177.3355764962776</v>
      </c>
      <c r="O143" s="5"/>
      <c r="P143" s="5">
        <f t="shared" si="31"/>
        <v>1</v>
      </c>
      <c r="Q143" s="7">
        <f t="shared" si="32"/>
        <v>15823</v>
      </c>
      <c r="S143" s="124">
        <f>SUM(D139:D143)</f>
        <v>9639726309</v>
      </c>
      <c r="T143" s="124">
        <f>SUM(F139:F143)</f>
        <v>6777897169</v>
      </c>
      <c r="U143" s="124">
        <f>SUM(J139:J143)</f>
        <v>15936704.463636801</v>
      </c>
    </row>
    <row r="144" spans="1:21">
      <c r="A144" s="23" t="s">
        <v>166</v>
      </c>
      <c r="B144" s="35" t="s">
        <v>167</v>
      </c>
      <c r="C144" s="125">
        <v>499</v>
      </c>
      <c r="D144" s="113">
        <v>15332497</v>
      </c>
      <c r="E144" s="116">
        <f t="shared" si="33"/>
        <v>30726.446893787575</v>
      </c>
      <c r="F144" s="117">
        <v>9582083</v>
      </c>
      <c r="G144" s="117">
        <f t="shared" si="34"/>
        <v>19202.571142284571</v>
      </c>
      <c r="H144" s="9"/>
      <c r="I144" s="109">
        <v>1.3160000000000001</v>
      </c>
      <c r="J144" s="117">
        <v>12610.021228</v>
      </c>
      <c r="K144" s="120">
        <f t="shared" si="35"/>
        <v>25.270583623246491</v>
      </c>
      <c r="L144" s="122">
        <f t="shared" si="28"/>
        <v>95820.83</v>
      </c>
      <c r="M144" s="116">
        <f t="shared" si="29"/>
        <v>83210.808772000004</v>
      </c>
      <c r="N144" s="123">
        <f t="shared" si="30"/>
        <v>166.75512779959919</v>
      </c>
      <c r="O144" s="5"/>
      <c r="P144" s="5">
        <f t="shared" si="31"/>
        <v>1</v>
      </c>
      <c r="Q144" s="7">
        <f t="shared" si="32"/>
        <v>499</v>
      </c>
    </row>
    <row r="145" spans="1:21">
      <c r="A145" s="23" t="s">
        <v>168</v>
      </c>
      <c r="B145" s="35" t="s">
        <v>167</v>
      </c>
      <c r="C145" s="125">
        <v>128</v>
      </c>
      <c r="D145" s="114" t="s">
        <v>564</v>
      </c>
      <c r="E145" s="116"/>
      <c r="F145" s="117"/>
      <c r="G145" s="117"/>
      <c r="H145" s="98" t="s">
        <v>588</v>
      </c>
      <c r="I145" s="109"/>
      <c r="J145" s="117"/>
      <c r="K145" s="120"/>
      <c r="L145" s="122">
        <f t="shared" si="28"/>
        <v>0</v>
      </c>
      <c r="M145" s="116">
        <f t="shared" si="29"/>
        <v>0</v>
      </c>
      <c r="N145" s="123">
        <f t="shared" si="30"/>
        <v>0</v>
      </c>
      <c r="O145" s="5"/>
      <c r="P145" s="5">
        <f t="shared" si="31"/>
        <v>0</v>
      </c>
      <c r="Q145" s="7">
        <f t="shared" si="32"/>
        <v>0</v>
      </c>
    </row>
    <row r="146" spans="1:21">
      <c r="A146" s="23" t="s">
        <v>169</v>
      </c>
      <c r="B146" s="35" t="s">
        <v>167</v>
      </c>
      <c r="C146" s="125">
        <v>222</v>
      </c>
      <c r="D146" s="113">
        <v>15125952</v>
      </c>
      <c r="E146" s="116">
        <f>(D146/C146)</f>
        <v>68134.91891891892</v>
      </c>
      <c r="F146" s="117">
        <v>9597687</v>
      </c>
      <c r="G146" s="117">
        <f>(F146/C146)</f>
        <v>43232.824324324327</v>
      </c>
      <c r="H146" s="7"/>
      <c r="I146" s="111">
        <v>2.9399000000000002</v>
      </c>
      <c r="J146" s="117">
        <v>28216.2400113</v>
      </c>
      <c r="K146" s="120">
        <f>(J146/C146)</f>
        <v>127.10018023108108</v>
      </c>
      <c r="L146" s="122">
        <f t="shared" si="28"/>
        <v>95976.87</v>
      </c>
      <c r="M146" s="116">
        <f t="shared" si="29"/>
        <v>67760.629988699991</v>
      </c>
      <c r="N146" s="123">
        <f t="shared" si="30"/>
        <v>305.22806301216212</v>
      </c>
      <c r="O146" s="5"/>
      <c r="P146" s="5">
        <f t="shared" si="31"/>
        <v>1</v>
      </c>
      <c r="Q146" s="7">
        <f t="shared" si="32"/>
        <v>222</v>
      </c>
    </row>
    <row r="147" spans="1:21">
      <c r="A147" s="23" t="s">
        <v>170</v>
      </c>
      <c r="B147" s="35" t="s">
        <v>167</v>
      </c>
      <c r="C147" s="125">
        <v>898</v>
      </c>
      <c r="D147" s="113">
        <v>32237204</v>
      </c>
      <c r="E147" s="116">
        <f>(D147/C147)</f>
        <v>35898.890868596885</v>
      </c>
      <c r="F147" s="117">
        <v>17450825</v>
      </c>
      <c r="G147" s="117">
        <f>(F147/C147)</f>
        <v>19432.989977728284</v>
      </c>
      <c r="H147" s="7"/>
      <c r="I147" s="109">
        <v>3.8542000000000001</v>
      </c>
      <c r="J147" s="117">
        <v>67258.969714999999</v>
      </c>
      <c r="K147" s="120">
        <f>(J147/C147)</f>
        <v>74.89862997216035</v>
      </c>
      <c r="L147" s="122">
        <f t="shared" si="28"/>
        <v>174508.25</v>
      </c>
      <c r="M147" s="116">
        <f t="shared" si="29"/>
        <v>107249.280285</v>
      </c>
      <c r="N147" s="123">
        <f t="shared" si="30"/>
        <v>119.4312698051225</v>
      </c>
      <c r="O147" s="5"/>
      <c r="P147" s="5">
        <f t="shared" si="31"/>
        <v>1</v>
      </c>
      <c r="Q147" s="7">
        <f t="shared" si="32"/>
        <v>898</v>
      </c>
    </row>
    <row r="148" spans="1:21">
      <c r="A148" s="23" t="s">
        <v>171</v>
      </c>
      <c r="B148" s="35" t="s">
        <v>167</v>
      </c>
      <c r="C148" s="125">
        <v>2207</v>
      </c>
      <c r="D148" s="113">
        <v>122231523</v>
      </c>
      <c r="E148" s="116">
        <f>(D148/C148)</f>
        <v>55383.562754870865</v>
      </c>
      <c r="F148" s="117">
        <v>78812337</v>
      </c>
      <c r="G148" s="117">
        <f>(F148/C148)</f>
        <v>35710.166289080196</v>
      </c>
      <c r="H148" s="9"/>
      <c r="I148" s="109">
        <v>4</v>
      </c>
      <c r="J148" s="117">
        <v>315249.348</v>
      </c>
      <c r="K148" s="120">
        <f>(J148/C148)</f>
        <v>142.8406651563208</v>
      </c>
      <c r="L148" s="122">
        <f t="shared" si="28"/>
        <v>788123.37</v>
      </c>
      <c r="M148" s="116">
        <f t="shared" si="29"/>
        <v>472874.022</v>
      </c>
      <c r="N148" s="123">
        <f t="shared" si="30"/>
        <v>214.26099773448121</v>
      </c>
      <c r="O148" s="5"/>
      <c r="P148" s="5">
        <f t="shared" si="31"/>
        <v>1</v>
      </c>
      <c r="Q148" s="7">
        <f t="shared" si="32"/>
        <v>2207</v>
      </c>
    </row>
    <row r="149" spans="1:21">
      <c r="A149" s="23" t="s">
        <v>172</v>
      </c>
      <c r="B149" s="35" t="s">
        <v>167</v>
      </c>
      <c r="C149" s="125">
        <v>957</v>
      </c>
      <c r="D149" s="114" t="s">
        <v>564</v>
      </c>
      <c r="E149" s="116"/>
      <c r="F149" s="117"/>
      <c r="G149" s="117"/>
      <c r="H149" s="98" t="s">
        <v>588</v>
      </c>
      <c r="I149" s="109"/>
      <c r="J149" s="117"/>
      <c r="K149" s="120"/>
      <c r="L149" s="122">
        <f t="shared" si="28"/>
        <v>0</v>
      </c>
      <c r="M149" s="116">
        <f t="shared" si="29"/>
        <v>0</v>
      </c>
      <c r="N149" s="123">
        <f t="shared" si="30"/>
        <v>0</v>
      </c>
      <c r="O149" s="5"/>
      <c r="P149" s="5">
        <f t="shared" si="31"/>
        <v>0</v>
      </c>
      <c r="Q149" s="7">
        <f t="shared" si="32"/>
        <v>0</v>
      </c>
    </row>
    <row r="150" spans="1:21">
      <c r="A150" s="23" t="s">
        <v>173</v>
      </c>
      <c r="B150" s="35" t="s">
        <v>167</v>
      </c>
      <c r="C150" s="125">
        <v>691</v>
      </c>
      <c r="D150" s="113">
        <v>23626938</v>
      </c>
      <c r="E150" s="116">
        <f t="shared" ref="E150:E181" si="36">(D150/C150)</f>
        <v>34192.384949348772</v>
      </c>
      <c r="F150" s="117">
        <v>13453712</v>
      </c>
      <c r="G150" s="117">
        <f t="shared" ref="G150:G181" si="37">(F150/C150)</f>
        <v>19469.916063675832</v>
      </c>
      <c r="H150" s="7"/>
      <c r="I150" s="110">
        <v>1</v>
      </c>
      <c r="J150" s="117">
        <v>13453.712</v>
      </c>
      <c r="K150" s="120">
        <f t="shared" ref="K150:K181" si="38">(J150/C150)</f>
        <v>19.469916063675832</v>
      </c>
      <c r="L150" s="122">
        <f t="shared" si="28"/>
        <v>134537.12</v>
      </c>
      <c r="M150" s="116">
        <f t="shared" si="29"/>
        <v>121083.408</v>
      </c>
      <c r="N150" s="123">
        <f t="shared" si="30"/>
        <v>175.2292445730825</v>
      </c>
      <c r="O150" s="5"/>
      <c r="P150" s="5">
        <f t="shared" si="31"/>
        <v>1</v>
      </c>
      <c r="Q150" s="7">
        <f t="shared" si="32"/>
        <v>691</v>
      </c>
    </row>
    <row r="151" spans="1:21">
      <c r="A151" s="23" t="s">
        <v>508</v>
      </c>
      <c r="B151" s="35" t="s">
        <v>167</v>
      </c>
      <c r="C151" s="125">
        <v>229</v>
      </c>
      <c r="D151" s="113">
        <v>7804966</v>
      </c>
      <c r="E151" s="116">
        <f t="shared" si="36"/>
        <v>34082.820960698693</v>
      </c>
      <c r="F151" s="117">
        <v>3898950</v>
      </c>
      <c r="G151" s="117">
        <f t="shared" si="37"/>
        <v>17025.982532751092</v>
      </c>
      <c r="H151" s="9"/>
      <c r="I151" s="109">
        <v>3</v>
      </c>
      <c r="J151" s="117">
        <v>11696.85</v>
      </c>
      <c r="K151" s="120">
        <f t="shared" si="38"/>
        <v>51.077947598253274</v>
      </c>
      <c r="L151" s="122">
        <f t="shared" si="28"/>
        <v>38989.5</v>
      </c>
      <c r="M151" s="116">
        <f t="shared" si="29"/>
        <v>27292.65</v>
      </c>
      <c r="N151" s="123">
        <f t="shared" si="30"/>
        <v>119.18187772925765</v>
      </c>
      <c r="O151" s="5"/>
      <c r="P151" s="5">
        <f t="shared" si="31"/>
        <v>1</v>
      </c>
      <c r="Q151" s="7">
        <f t="shared" si="32"/>
        <v>229</v>
      </c>
    </row>
    <row r="152" spans="1:21">
      <c r="A152" s="23" t="s">
        <v>175</v>
      </c>
      <c r="B152" s="35" t="s">
        <v>167</v>
      </c>
      <c r="C152" s="125">
        <v>2169</v>
      </c>
      <c r="D152" s="114">
        <v>47107024</v>
      </c>
      <c r="E152" s="116">
        <f t="shared" si="36"/>
        <v>21718.314430613187</v>
      </c>
      <c r="F152" s="117">
        <v>14693954</v>
      </c>
      <c r="G152" s="117">
        <f t="shared" si="37"/>
        <v>6774.5292761641313</v>
      </c>
      <c r="H152" s="98"/>
      <c r="I152" s="109">
        <v>1</v>
      </c>
      <c r="J152" s="117">
        <v>14693.954</v>
      </c>
      <c r="K152" s="120">
        <f t="shared" si="38"/>
        <v>6.7745292761641309</v>
      </c>
      <c r="L152" s="122">
        <f t="shared" si="28"/>
        <v>146939.54</v>
      </c>
      <c r="M152" s="116">
        <f t="shared" si="29"/>
        <v>132245.58600000001</v>
      </c>
      <c r="N152" s="123">
        <f t="shared" si="30"/>
        <v>60.970763485477185</v>
      </c>
      <c r="O152" s="5"/>
      <c r="P152" s="5">
        <f t="shared" si="31"/>
        <v>1</v>
      </c>
      <c r="Q152" s="7">
        <f t="shared" si="32"/>
        <v>2169</v>
      </c>
    </row>
    <row r="153" spans="1:21">
      <c r="A153" s="23" t="s">
        <v>176</v>
      </c>
      <c r="B153" s="35" t="s">
        <v>167</v>
      </c>
      <c r="C153" s="125">
        <v>7716</v>
      </c>
      <c r="D153" s="113">
        <v>478178427</v>
      </c>
      <c r="E153" s="116">
        <f t="shared" si="36"/>
        <v>61972.320762052877</v>
      </c>
      <c r="F153" s="117">
        <v>250390207</v>
      </c>
      <c r="G153" s="117">
        <f t="shared" si="37"/>
        <v>32450.778512182478</v>
      </c>
      <c r="H153" s="7"/>
      <c r="I153" s="110">
        <v>2.8288000000000002</v>
      </c>
      <c r="J153" s="117">
        <v>708303.81756160012</v>
      </c>
      <c r="K153" s="120">
        <f t="shared" si="38"/>
        <v>91.796762255261811</v>
      </c>
      <c r="L153" s="122">
        <f t="shared" si="28"/>
        <v>2503902.0699999998</v>
      </c>
      <c r="M153" s="116">
        <f t="shared" si="29"/>
        <v>1795598.2524383997</v>
      </c>
      <c r="N153" s="123">
        <f t="shared" si="30"/>
        <v>232.71102286656296</v>
      </c>
      <c r="O153" s="5"/>
      <c r="P153" s="5">
        <f t="shared" si="31"/>
        <v>1</v>
      </c>
      <c r="Q153" s="7">
        <f t="shared" si="32"/>
        <v>7716</v>
      </c>
    </row>
    <row r="154" spans="1:21">
      <c r="A154" s="23" t="s">
        <v>177</v>
      </c>
      <c r="B154" s="35" t="s">
        <v>167</v>
      </c>
      <c r="C154" s="125">
        <v>1927</v>
      </c>
      <c r="D154" s="113">
        <v>63064708</v>
      </c>
      <c r="E154" s="116">
        <f t="shared" si="36"/>
        <v>32726.885313959523</v>
      </c>
      <c r="F154" s="117">
        <v>35223014</v>
      </c>
      <c r="G154" s="117">
        <f t="shared" si="37"/>
        <v>18278.678775298391</v>
      </c>
      <c r="H154" s="7"/>
      <c r="I154" s="109">
        <v>0.60470000000000002</v>
      </c>
      <c r="J154" s="117">
        <v>21299.356565800001</v>
      </c>
      <c r="K154" s="120">
        <f t="shared" si="38"/>
        <v>11.053117055422938</v>
      </c>
      <c r="L154" s="122">
        <f t="shared" si="28"/>
        <v>352230.14</v>
      </c>
      <c r="M154" s="116">
        <f t="shared" si="29"/>
        <v>330930.78343419998</v>
      </c>
      <c r="N154" s="123">
        <f t="shared" si="30"/>
        <v>171.73367069756097</v>
      </c>
      <c r="O154" s="5"/>
      <c r="P154" s="5">
        <f t="shared" si="31"/>
        <v>1</v>
      </c>
      <c r="Q154" s="7">
        <f t="shared" si="32"/>
        <v>1927</v>
      </c>
      <c r="S154" s="124">
        <f>SUM(D144:D154)</f>
        <v>804709239</v>
      </c>
      <c r="T154" s="124">
        <f>SUM(F144:F154)</f>
        <v>433102769</v>
      </c>
      <c r="U154" s="124">
        <f>SUM(J144:J154)</f>
        <v>1192782.2690817001</v>
      </c>
    </row>
    <row r="155" spans="1:21">
      <c r="A155" s="23" t="s">
        <v>178</v>
      </c>
      <c r="B155" s="35" t="s">
        <v>179</v>
      </c>
      <c r="C155" s="125">
        <v>2443</v>
      </c>
      <c r="D155" s="113">
        <v>146620358</v>
      </c>
      <c r="E155" s="116">
        <f t="shared" si="36"/>
        <v>60016.519852640195</v>
      </c>
      <c r="F155" s="117">
        <v>86559634</v>
      </c>
      <c r="G155" s="117">
        <f t="shared" si="37"/>
        <v>35431.696275071634</v>
      </c>
      <c r="H155" s="7"/>
      <c r="I155" s="109">
        <v>6.9016000000000002</v>
      </c>
      <c r="J155" s="117">
        <v>597399.97001439997</v>
      </c>
      <c r="K155" s="120">
        <f t="shared" si="38"/>
        <v>244.53539501203437</v>
      </c>
      <c r="L155" s="122">
        <f t="shared" si="28"/>
        <v>865596.34</v>
      </c>
      <c r="M155" s="116">
        <f t="shared" si="29"/>
        <v>268196.3699856</v>
      </c>
      <c r="N155" s="123">
        <f t="shared" si="30"/>
        <v>109.78156773868194</v>
      </c>
      <c r="O155" s="5"/>
      <c r="P155" s="5">
        <f t="shared" si="31"/>
        <v>1</v>
      </c>
      <c r="Q155" s="7">
        <f t="shared" si="32"/>
        <v>2443</v>
      </c>
      <c r="S155" s="124">
        <f>SUM(D155)</f>
        <v>146620358</v>
      </c>
      <c r="T155" s="124">
        <f>SUM(F155)</f>
        <v>86559634</v>
      </c>
      <c r="U155" s="124">
        <f>SUM(J155)</f>
        <v>597399.97001439997</v>
      </c>
    </row>
    <row r="156" spans="1:21">
      <c r="A156" s="23" t="s">
        <v>180</v>
      </c>
      <c r="B156" s="35" t="s">
        <v>181</v>
      </c>
      <c r="C156" s="125">
        <v>1201</v>
      </c>
      <c r="D156" s="113">
        <v>42738059</v>
      </c>
      <c r="E156" s="116">
        <f t="shared" si="36"/>
        <v>35585.39467110741</v>
      </c>
      <c r="F156" s="117">
        <v>22700709</v>
      </c>
      <c r="G156" s="117">
        <f t="shared" si="37"/>
        <v>18901.506244796004</v>
      </c>
      <c r="H156" s="7"/>
      <c r="I156" s="109">
        <v>6</v>
      </c>
      <c r="J156" s="117">
        <v>136204.25399999999</v>
      </c>
      <c r="K156" s="120">
        <f t="shared" si="38"/>
        <v>113.40903746877601</v>
      </c>
      <c r="L156" s="122">
        <f t="shared" si="28"/>
        <v>227007.09</v>
      </c>
      <c r="M156" s="116">
        <f t="shared" si="29"/>
        <v>90802.83600000001</v>
      </c>
      <c r="N156" s="123">
        <f t="shared" si="30"/>
        <v>75.606024979184028</v>
      </c>
      <c r="O156" s="5"/>
      <c r="P156" s="5">
        <f t="shared" si="31"/>
        <v>1</v>
      </c>
      <c r="Q156" s="7">
        <f t="shared" si="32"/>
        <v>1201</v>
      </c>
      <c r="S156" s="124">
        <f>SUM(D156)</f>
        <v>42738059</v>
      </c>
      <c r="T156" s="124">
        <f>SUM(F156)</f>
        <v>22700709</v>
      </c>
      <c r="U156" s="124">
        <f>SUM(J156)</f>
        <v>136204.25399999999</v>
      </c>
    </row>
    <row r="157" spans="1:21">
      <c r="A157" s="23" t="s">
        <v>182</v>
      </c>
      <c r="B157" s="35" t="s">
        <v>183</v>
      </c>
      <c r="C157" s="125">
        <v>1852</v>
      </c>
      <c r="D157" s="114">
        <v>74333360</v>
      </c>
      <c r="E157" s="116">
        <f t="shared" si="36"/>
        <v>40136.803455723544</v>
      </c>
      <c r="F157" s="117">
        <v>48876443</v>
      </c>
      <c r="G157" s="117">
        <f t="shared" si="37"/>
        <v>26391.167926565875</v>
      </c>
      <c r="H157" s="9"/>
      <c r="I157" s="109">
        <v>7.5</v>
      </c>
      <c r="J157" s="117">
        <v>366573.32250000001</v>
      </c>
      <c r="K157" s="120">
        <f t="shared" si="38"/>
        <v>197.93375944924406</v>
      </c>
      <c r="L157" s="122">
        <f t="shared" si="28"/>
        <v>488764.43</v>
      </c>
      <c r="M157" s="116">
        <f t="shared" si="29"/>
        <v>122191.10749999998</v>
      </c>
      <c r="N157" s="123">
        <f t="shared" si="30"/>
        <v>65.977919816414683</v>
      </c>
      <c r="O157" s="5"/>
      <c r="P157" s="5">
        <f t="shared" si="31"/>
        <v>1</v>
      </c>
      <c r="Q157" s="7">
        <f t="shared" si="32"/>
        <v>1852</v>
      </c>
    </row>
    <row r="158" spans="1:21">
      <c r="A158" s="23" t="s">
        <v>184</v>
      </c>
      <c r="B158" s="35" t="s">
        <v>183</v>
      </c>
      <c r="C158" s="125">
        <v>34667</v>
      </c>
      <c r="D158" s="114">
        <v>3246624572</v>
      </c>
      <c r="E158" s="116">
        <f t="shared" si="36"/>
        <v>93651.731387198204</v>
      </c>
      <c r="F158" s="117">
        <v>2318051719</v>
      </c>
      <c r="G158" s="117">
        <f t="shared" si="37"/>
        <v>66866.233565061877</v>
      </c>
      <c r="H158" s="9"/>
      <c r="I158" s="109">
        <v>4.2061000000000002</v>
      </c>
      <c r="J158" s="117">
        <v>9749957.3352859002</v>
      </c>
      <c r="K158" s="120">
        <f t="shared" si="38"/>
        <v>281.24606499800677</v>
      </c>
      <c r="L158" s="122">
        <f t="shared" si="28"/>
        <v>23180517.190000001</v>
      </c>
      <c r="M158" s="116">
        <f t="shared" si="29"/>
        <v>13430559.854714101</v>
      </c>
      <c r="N158" s="123">
        <f t="shared" si="30"/>
        <v>387.41627065261201</v>
      </c>
      <c r="O158" s="5"/>
      <c r="P158" s="5">
        <f t="shared" si="31"/>
        <v>1</v>
      </c>
      <c r="Q158" s="7">
        <f t="shared" si="32"/>
        <v>34667</v>
      </c>
    </row>
    <row r="159" spans="1:21">
      <c r="A159" s="23" t="s">
        <v>185</v>
      </c>
      <c r="B159" s="35" t="s">
        <v>183</v>
      </c>
      <c r="C159" s="125">
        <v>20127</v>
      </c>
      <c r="D159" s="113">
        <v>1209902936</v>
      </c>
      <c r="E159" s="116">
        <f t="shared" si="36"/>
        <v>60113.426541461718</v>
      </c>
      <c r="F159" s="117">
        <v>821891967</v>
      </c>
      <c r="G159" s="117">
        <f t="shared" si="37"/>
        <v>40835.294231629152</v>
      </c>
      <c r="H159" s="7"/>
      <c r="I159" s="109">
        <v>7.5810000000000004</v>
      </c>
      <c r="J159" s="117">
        <v>6230763.0018270006</v>
      </c>
      <c r="K159" s="120">
        <f t="shared" si="38"/>
        <v>309.57236556998066</v>
      </c>
      <c r="L159" s="122">
        <f t="shared" si="28"/>
        <v>8218919.6699999999</v>
      </c>
      <c r="M159" s="116">
        <f t="shared" si="29"/>
        <v>1988156.6681729993</v>
      </c>
      <c r="N159" s="123">
        <f t="shared" si="30"/>
        <v>98.780576746310885</v>
      </c>
      <c r="O159" s="5"/>
      <c r="P159" s="5">
        <f t="shared" si="31"/>
        <v>1</v>
      </c>
      <c r="Q159" s="7">
        <f t="shared" si="32"/>
        <v>20127</v>
      </c>
    </row>
    <row r="160" spans="1:21">
      <c r="A160" s="23" t="s">
        <v>186</v>
      </c>
      <c r="B160" s="35" t="s">
        <v>183</v>
      </c>
      <c r="C160" s="125">
        <v>4274</v>
      </c>
      <c r="D160" s="113">
        <v>376454628</v>
      </c>
      <c r="E160" s="116">
        <f t="shared" si="36"/>
        <v>88080.165652784272</v>
      </c>
      <c r="F160" s="117">
        <v>299998272</v>
      </c>
      <c r="G160" s="117">
        <f t="shared" si="37"/>
        <v>70191.453439401026</v>
      </c>
      <c r="H160" s="7"/>
      <c r="I160" s="109">
        <v>3.9863</v>
      </c>
      <c r="J160" s="117">
        <v>1195883.1116736</v>
      </c>
      <c r="K160" s="120">
        <f t="shared" si="38"/>
        <v>279.80419084548436</v>
      </c>
      <c r="L160" s="122">
        <f t="shared" si="28"/>
        <v>2999982.72</v>
      </c>
      <c r="M160" s="116">
        <f t="shared" si="29"/>
        <v>1804099.6083264002</v>
      </c>
      <c r="N160" s="123">
        <f t="shared" si="30"/>
        <v>422.11034354852603</v>
      </c>
      <c r="O160" s="5"/>
      <c r="P160" s="5">
        <f t="shared" si="31"/>
        <v>1</v>
      </c>
      <c r="Q160" s="7">
        <f t="shared" si="32"/>
        <v>4274</v>
      </c>
    </row>
    <row r="161" spans="1:21">
      <c r="A161" s="23" t="s">
        <v>187</v>
      </c>
      <c r="B161" s="35" t="s">
        <v>183</v>
      </c>
      <c r="C161" s="125">
        <v>13605</v>
      </c>
      <c r="D161" s="113">
        <v>845695228</v>
      </c>
      <c r="E161" s="116">
        <f t="shared" si="36"/>
        <v>62160.619478133041</v>
      </c>
      <c r="F161" s="117">
        <v>597605092</v>
      </c>
      <c r="G161" s="117">
        <f t="shared" si="37"/>
        <v>43925.401837559722</v>
      </c>
      <c r="H161" s="7"/>
      <c r="I161" s="109">
        <v>5.6</v>
      </c>
      <c r="J161" s="117">
        <v>3346588.5151999998</v>
      </c>
      <c r="K161" s="120">
        <f t="shared" si="38"/>
        <v>245.98225029033443</v>
      </c>
      <c r="L161" s="122">
        <f t="shared" si="28"/>
        <v>5976050.9199999999</v>
      </c>
      <c r="M161" s="116">
        <f t="shared" si="29"/>
        <v>2629462.4048000001</v>
      </c>
      <c r="N161" s="123">
        <f t="shared" si="30"/>
        <v>193.27176808526278</v>
      </c>
      <c r="O161" s="5"/>
      <c r="P161" s="5">
        <f t="shared" si="31"/>
        <v>1</v>
      </c>
      <c r="Q161" s="7">
        <f t="shared" si="32"/>
        <v>13605</v>
      </c>
    </row>
    <row r="162" spans="1:21">
      <c r="A162" s="23" t="s">
        <v>188</v>
      </c>
      <c r="B162" s="35" t="s">
        <v>183</v>
      </c>
      <c r="C162" s="125">
        <v>1260</v>
      </c>
      <c r="D162" s="113">
        <v>105140266</v>
      </c>
      <c r="E162" s="116">
        <f t="shared" si="36"/>
        <v>83444.655555555553</v>
      </c>
      <c r="F162" s="117">
        <v>76445701</v>
      </c>
      <c r="G162" s="117">
        <f t="shared" si="37"/>
        <v>60671.191269841271</v>
      </c>
      <c r="H162" s="7"/>
      <c r="I162" s="109">
        <v>9.2750000000000004</v>
      </c>
      <c r="J162" s="117">
        <v>709033.87677500001</v>
      </c>
      <c r="K162" s="120">
        <f t="shared" si="38"/>
        <v>562.72529902777774</v>
      </c>
      <c r="L162" s="122">
        <f t="shared" si="28"/>
        <v>764457.01</v>
      </c>
      <c r="M162" s="116">
        <f t="shared" si="29"/>
        <v>55423.133224999998</v>
      </c>
      <c r="N162" s="123">
        <f t="shared" si="30"/>
        <v>43.986613670634917</v>
      </c>
      <c r="O162" s="5"/>
      <c r="P162" s="5">
        <f t="shared" si="31"/>
        <v>1</v>
      </c>
      <c r="Q162" s="7">
        <f t="shared" si="32"/>
        <v>1260</v>
      </c>
    </row>
    <row r="163" spans="1:21">
      <c r="A163" s="23" t="s">
        <v>189</v>
      </c>
      <c r="B163" s="35" t="s">
        <v>183</v>
      </c>
      <c r="C163" s="125">
        <v>14687</v>
      </c>
      <c r="D163" s="113">
        <v>1419910009</v>
      </c>
      <c r="E163" s="116">
        <f t="shared" si="36"/>
        <v>96678.015183495605</v>
      </c>
      <c r="F163" s="117">
        <v>963663690</v>
      </c>
      <c r="G163" s="117">
        <f t="shared" si="37"/>
        <v>65613.37849799142</v>
      </c>
      <c r="H163" s="7"/>
      <c r="I163" s="109">
        <v>3.3961999999999999</v>
      </c>
      <c r="J163" s="117">
        <v>3272794.6239779997</v>
      </c>
      <c r="K163" s="120">
        <f t="shared" si="38"/>
        <v>222.83615605487844</v>
      </c>
      <c r="L163" s="122">
        <f t="shared" si="28"/>
        <v>9636636.9000000004</v>
      </c>
      <c r="M163" s="116">
        <f t="shared" si="29"/>
        <v>6363842.2760220002</v>
      </c>
      <c r="N163" s="123">
        <f t="shared" si="30"/>
        <v>433.29762892503578</v>
      </c>
      <c r="O163" s="5"/>
      <c r="P163" s="5">
        <f t="shared" si="31"/>
        <v>1</v>
      </c>
      <c r="Q163" s="7">
        <f t="shared" si="32"/>
        <v>14687</v>
      </c>
    </row>
    <row r="164" spans="1:21">
      <c r="A164" s="23" t="s">
        <v>190</v>
      </c>
      <c r="B164" s="35" t="s">
        <v>183</v>
      </c>
      <c r="C164" s="125">
        <v>22000</v>
      </c>
      <c r="D164" s="113">
        <v>1693896994</v>
      </c>
      <c r="E164" s="116">
        <f t="shared" si="36"/>
        <v>76995.317909090911</v>
      </c>
      <c r="F164" s="117">
        <v>1174311921</v>
      </c>
      <c r="G164" s="117">
        <f t="shared" si="37"/>
        <v>53377.814590909089</v>
      </c>
      <c r="H164" s="7"/>
      <c r="I164" s="109">
        <v>4.2678000000000003</v>
      </c>
      <c r="J164" s="117">
        <v>5011728.4164437996</v>
      </c>
      <c r="K164" s="120">
        <f t="shared" si="38"/>
        <v>227.80583711108181</v>
      </c>
      <c r="L164" s="122">
        <f t="shared" si="28"/>
        <v>11743119.210000001</v>
      </c>
      <c r="M164" s="116">
        <f t="shared" si="29"/>
        <v>6731390.7935562013</v>
      </c>
      <c r="N164" s="123">
        <f t="shared" si="30"/>
        <v>305.97230879800912</v>
      </c>
      <c r="O164" s="5"/>
      <c r="P164" s="5">
        <f t="shared" si="31"/>
        <v>1</v>
      </c>
      <c r="Q164" s="7">
        <f t="shared" si="32"/>
        <v>22000</v>
      </c>
    </row>
    <row r="165" spans="1:21">
      <c r="A165" s="23" t="s">
        <v>191</v>
      </c>
      <c r="B165" s="35" t="s">
        <v>183</v>
      </c>
      <c r="C165" s="125">
        <v>5515</v>
      </c>
      <c r="D165" s="113">
        <v>202433896</v>
      </c>
      <c r="E165" s="116">
        <f t="shared" si="36"/>
        <v>36706.055485040801</v>
      </c>
      <c r="F165" s="117">
        <v>111968529</v>
      </c>
      <c r="G165" s="117">
        <f t="shared" si="37"/>
        <v>20302.543789664553</v>
      </c>
      <c r="H165" s="7"/>
      <c r="I165" s="109">
        <v>8.3289000000000009</v>
      </c>
      <c r="J165" s="117">
        <v>932574.68118810013</v>
      </c>
      <c r="K165" s="120">
        <f t="shared" si="38"/>
        <v>169.09785696973711</v>
      </c>
      <c r="L165" s="122">
        <f t="shared" si="28"/>
        <v>1119685.29</v>
      </c>
      <c r="M165" s="116">
        <f t="shared" si="29"/>
        <v>187110.6088118999</v>
      </c>
      <c r="N165" s="123">
        <f t="shared" si="30"/>
        <v>33.927580926908412</v>
      </c>
      <c r="O165" s="5"/>
      <c r="P165" s="5">
        <f t="shared" si="31"/>
        <v>1</v>
      </c>
      <c r="Q165" s="7">
        <f t="shared" si="32"/>
        <v>5515</v>
      </c>
    </row>
    <row r="166" spans="1:21">
      <c r="A166" s="23" t="s">
        <v>192</v>
      </c>
      <c r="B166" s="35" t="s">
        <v>183</v>
      </c>
      <c r="C166" s="125">
        <v>11133</v>
      </c>
      <c r="D166" s="114">
        <v>666117536</v>
      </c>
      <c r="E166" s="116">
        <f t="shared" si="36"/>
        <v>59832.707805622922</v>
      </c>
      <c r="F166" s="117">
        <v>417830424</v>
      </c>
      <c r="G166" s="117">
        <f t="shared" si="37"/>
        <v>37530.802479116144</v>
      </c>
      <c r="H166" s="7"/>
      <c r="I166" s="109">
        <v>6.1482999999999999</v>
      </c>
      <c r="J166" s="117">
        <v>2568946.7958792001</v>
      </c>
      <c r="K166" s="120">
        <f t="shared" si="38"/>
        <v>230.75063288234978</v>
      </c>
      <c r="L166" s="122">
        <f t="shared" si="28"/>
        <v>4178304.24</v>
      </c>
      <c r="M166" s="116">
        <f t="shared" si="29"/>
        <v>1609357.4441208001</v>
      </c>
      <c r="N166" s="123">
        <f t="shared" si="30"/>
        <v>144.55739190881164</v>
      </c>
      <c r="O166" s="5"/>
      <c r="P166" s="5">
        <f t="shared" si="31"/>
        <v>1</v>
      </c>
      <c r="Q166" s="7">
        <f t="shared" si="32"/>
        <v>11133</v>
      </c>
    </row>
    <row r="167" spans="1:21">
      <c r="A167" s="23" t="s">
        <v>193</v>
      </c>
      <c r="B167" s="35" t="s">
        <v>183</v>
      </c>
      <c r="C167" s="125">
        <v>1716</v>
      </c>
      <c r="D167" s="113">
        <v>144431994</v>
      </c>
      <c r="E167" s="116">
        <f t="shared" si="36"/>
        <v>84167.828671328665</v>
      </c>
      <c r="F167" s="117">
        <v>84041068</v>
      </c>
      <c r="G167" s="117">
        <f t="shared" si="37"/>
        <v>48974.981351981354</v>
      </c>
      <c r="H167" s="7"/>
      <c r="I167" s="109">
        <v>2.83</v>
      </c>
      <c r="J167" s="117">
        <v>237836.22243999998</v>
      </c>
      <c r="K167" s="120">
        <f t="shared" si="38"/>
        <v>138.59919722610721</v>
      </c>
      <c r="L167" s="122">
        <f t="shared" si="28"/>
        <v>840410.68</v>
      </c>
      <c r="M167" s="116">
        <f t="shared" si="29"/>
        <v>602574.45756000001</v>
      </c>
      <c r="N167" s="123">
        <f t="shared" si="30"/>
        <v>351.15061629370632</v>
      </c>
      <c r="O167" s="5"/>
      <c r="P167" s="5">
        <f t="shared" si="31"/>
        <v>1</v>
      </c>
      <c r="Q167" s="7">
        <f t="shared" si="32"/>
        <v>1716</v>
      </c>
    </row>
    <row r="168" spans="1:21">
      <c r="A168" s="23" t="s">
        <v>194</v>
      </c>
      <c r="B168" s="35" t="s">
        <v>183</v>
      </c>
      <c r="C168" s="125">
        <v>13949</v>
      </c>
      <c r="D168" s="113">
        <v>1262850616</v>
      </c>
      <c r="E168" s="116">
        <f t="shared" si="36"/>
        <v>90533.415728726075</v>
      </c>
      <c r="F168" s="117">
        <v>940285927</v>
      </c>
      <c r="G168" s="117">
        <f t="shared" si="37"/>
        <v>67408.841278944732</v>
      </c>
      <c r="H168" s="7"/>
      <c r="I168" s="109">
        <v>5.9969999999999999</v>
      </c>
      <c r="J168" s="117">
        <v>5638894.7042189995</v>
      </c>
      <c r="K168" s="120">
        <f t="shared" si="38"/>
        <v>404.25082114983149</v>
      </c>
      <c r="L168" s="122">
        <f t="shared" si="28"/>
        <v>9402859.2699999996</v>
      </c>
      <c r="M168" s="116">
        <f t="shared" si="29"/>
        <v>3763964.5657810001</v>
      </c>
      <c r="N168" s="123">
        <f t="shared" si="30"/>
        <v>269.83759163961577</v>
      </c>
      <c r="O168" s="5"/>
      <c r="P168" s="5">
        <f t="shared" si="31"/>
        <v>1</v>
      </c>
      <c r="Q168" s="7">
        <f t="shared" si="32"/>
        <v>13949</v>
      </c>
    </row>
    <row r="169" spans="1:21">
      <c r="A169" s="23" t="s">
        <v>195</v>
      </c>
      <c r="B169" s="35" t="s">
        <v>183</v>
      </c>
      <c r="C169" s="125">
        <v>15996</v>
      </c>
      <c r="D169" s="113">
        <v>1314289340</v>
      </c>
      <c r="E169" s="116">
        <f t="shared" si="36"/>
        <v>82163.624656164044</v>
      </c>
      <c r="F169" s="117">
        <v>732019797</v>
      </c>
      <c r="G169" s="117">
        <f t="shared" si="37"/>
        <v>45762.677981995497</v>
      </c>
      <c r="H169" s="7"/>
      <c r="I169" s="109">
        <v>7.1</v>
      </c>
      <c r="J169" s="117">
        <v>5197340.5586999999</v>
      </c>
      <c r="K169" s="120">
        <f t="shared" si="38"/>
        <v>324.91501367216802</v>
      </c>
      <c r="L169" s="122">
        <f t="shared" si="28"/>
        <v>7320197.9699999997</v>
      </c>
      <c r="M169" s="116">
        <f t="shared" si="29"/>
        <v>2122857.4112999998</v>
      </c>
      <c r="N169" s="123">
        <f t="shared" si="30"/>
        <v>132.71176614778693</v>
      </c>
      <c r="O169" s="5"/>
      <c r="P169" s="5">
        <f t="shared" si="31"/>
        <v>1</v>
      </c>
      <c r="Q169" s="7">
        <f t="shared" si="32"/>
        <v>15996</v>
      </c>
    </row>
    <row r="170" spans="1:21">
      <c r="A170" s="23" t="s">
        <v>196</v>
      </c>
      <c r="B170" s="35" t="s">
        <v>183</v>
      </c>
      <c r="C170" s="125">
        <v>3908</v>
      </c>
      <c r="D170" s="113">
        <v>194911096</v>
      </c>
      <c r="E170" s="116">
        <f t="shared" si="36"/>
        <v>49874.896622313201</v>
      </c>
      <c r="F170" s="117">
        <v>123364926</v>
      </c>
      <c r="G170" s="117">
        <f t="shared" si="37"/>
        <v>31567.278915046059</v>
      </c>
      <c r="H170" s="7"/>
      <c r="I170" s="109">
        <v>7.1089000000000002</v>
      </c>
      <c r="J170" s="117">
        <v>876988.92244140001</v>
      </c>
      <c r="K170" s="120">
        <f t="shared" si="38"/>
        <v>224.40862907917094</v>
      </c>
      <c r="L170" s="122">
        <f t="shared" si="28"/>
        <v>1233649.26</v>
      </c>
      <c r="M170" s="116">
        <f t="shared" si="29"/>
        <v>356660.3375586</v>
      </c>
      <c r="N170" s="123">
        <f t="shared" si="30"/>
        <v>91.264160071289666</v>
      </c>
      <c r="O170" s="5"/>
      <c r="P170" s="5">
        <f t="shared" si="31"/>
        <v>1</v>
      </c>
      <c r="Q170" s="7">
        <f t="shared" si="32"/>
        <v>3908</v>
      </c>
      <c r="S170" s="124">
        <f>SUM(D157:D170)</f>
        <v>12756992471</v>
      </c>
      <c r="T170" s="124">
        <f>SUM(F157:F170)</f>
        <v>8710355476</v>
      </c>
      <c r="U170" s="124">
        <f>SUM(J157:J170)</f>
        <v>45335904.088551</v>
      </c>
    </row>
    <row r="171" spans="1:21">
      <c r="A171" s="23" t="s">
        <v>448</v>
      </c>
      <c r="B171" s="35" t="s">
        <v>198</v>
      </c>
      <c r="C171" s="125">
        <v>48388</v>
      </c>
      <c r="D171" s="113">
        <v>11682521057</v>
      </c>
      <c r="E171" s="116">
        <f t="shared" si="36"/>
        <v>241434.26173844756</v>
      </c>
      <c r="F171" s="117">
        <v>9174539229</v>
      </c>
      <c r="G171" s="117">
        <f t="shared" si="37"/>
        <v>189603.60479871041</v>
      </c>
      <c r="H171" s="7"/>
      <c r="I171" s="109">
        <v>0.81730000000000003</v>
      </c>
      <c r="J171" s="117">
        <v>7498350.9118617</v>
      </c>
      <c r="K171" s="120">
        <f t="shared" si="38"/>
        <v>154.96302620198603</v>
      </c>
      <c r="L171" s="122">
        <f t="shared" si="28"/>
        <v>91745392.290000007</v>
      </c>
      <c r="M171" s="116">
        <f t="shared" si="29"/>
        <v>84247041.378138304</v>
      </c>
      <c r="N171" s="123">
        <f t="shared" si="30"/>
        <v>1741.0730217851183</v>
      </c>
      <c r="O171" s="5"/>
      <c r="P171" s="5">
        <f t="shared" si="31"/>
        <v>1</v>
      </c>
      <c r="Q171" s="7">
        <f t="shared" si="32"/>
        <v>48388</v>
      </c>
    </row>
    <row r="172" spans="1:21">
      <c r="A172" s="23" t="s">
        <v>197</v>
      </c>
      <c r="B172" s="35" t="s">
        <v>198</v>
      </c>
      <c r="C172" s="125">
        <v>170474</v>
      </c>
      <c r="D172" s="113">
        <v>18487962543</v>
      </c>
      <c r="E172" s="116">
        <f t="shared" si="36"/>
        <v>108450.33578727549</v>
      </c>
      <c r="F172" s="117">
        <v>12043835293</v>
      </c>
      <c r="G172" s="117">
        <f t="shared" si="37"/>
        <v>70649.103634571846</v>
      </c>
      <c r="H172" s="7"/>
      <c r="I172" s="109">
        <v>6.75</v>
      </c>
      <c r="J172" s="117">
        <v>81295888.227750003</v>
      </c>
      <c r="K172" s="120">
        <f t="shared" si="38"/>
        <v>476.88144953335996</v>
      </c>
      <c r="L172" s="122">
        <f t="shared" si="28"/>
        <v>120438352.93000001</v>
      </c>
      <c r="M172" s="116">
        <f t="shared" si="29"/>
        <v>39142464.702250004</v>
      </c>
      <c r="N172" s="123">
        <f t="shared" si="30"/>
        <v>229.60958681235851</v>
      </c>
      <c r="O172" s="5"/>
      <c r="P172" s="5">
        <f t="shared" si="31"/>
        <v>1</v>
      </c>
      <c r="Q172" s="7">
        <f t="shared" si="32"/>
        <v>170474</v>
      </c>
    </row>
    <row r="173" spans="1:21">
      <c r="A173" s="24" t="s">
        <v>598</v>
      </c>
      <c r="B173" s="37" t="s">
        <v>198</v>
      </c>
      <c r="C173" s="125">
        <v>30565</v>
      </c>
      <c r="D173" s="114">
        <v>7557342274</v>
      </c>
      <c r="E173" s="116">
        <f t="shared" si="36"/>
        <v>247254.77749059381</v>
      </c>
      <c r="F173" s="117">
        <v>6097421427</v>
      </c>
      <c r="G173" s="117">
        <f t="shared" si="37"/>
        <v>199490.31333224277</v>
      </c>
      <c r="H173" s="98"/>
      <c r="I173" s="109">
        <v>0.79979999999999996</v>
      </c>
      <c r="J173" s="117">
        <v>4876717.6573146004</v>
      </c>
      <c r="K173" s="120">
        <f t="shared" si="38"/>
        <v>159.55235260312779</v>
      </c>
      <c r="L173" s="122">
        <f t="shared" si="28"/>
        <v>60974214.270000003</v>
      </c>
      <c r="M173" s="116">
        <f t="shared" si="29"/>
        <v>56097496.612685405</v>
      </c>
      <c r="N173" s="123">
        <f t="shared" si="30"/>
        <v>1835.3507807193</v>
      </c>
      <c r="O173" s="5"/>
      <c r="P173" s="5">
        <f>IF(I173&gt;0,1,0)</f>
        <v>1</v>
      </c>
      <c r="Q173" s="7">
        <f>IF(I173&gt;0,C173,0)</f>
        <v>30565</v>
      </c>
    </row>
    <row r="174" spans="1:21">
      <c r="A174" s="23" t="s">
        <v>199</v>
      </c>
      <c r="B174" s="35" t="s">
        <v>198</v>
      </c>
      <c r="C174" s="125">
        <v>76108</v>
      </c>
      <c r="D174" s="113">
        <v>8248653425</v>
      </c>
      <c r="E174" s="116">
        <f t="shared" si="36"/>
        <v>108380.89852577915</v>
      </c>
      <c r="F174" s="117">
        <v>5481213852</v>
      </c>
      <c r="G174" s="117">
        <f t="shared" si="37"/>
        <v>72018.892258369684</v>
      </c>
      <c r="H174" s="7"/>
      <c r="I174" s="109">
        <v>8.75</v>
      </c>
      <c r="J174" s="117">
        <v>47960621.204999998</v>
      </c>
      <c r="K174" s="120">
        <f t="shared" si="38"/>
        <v>630.16530726073472</v>
      </c>
      <c r="L174" s="122">
        <f t="shared" si="28"/>
        <v>54812138.520000003</v>
      </c>
      <c r="M174" s="116">
        <f t="shared" si="29"/>
        <v>6851517.3150000051</v>
      </c>
      <c r="N174" s="123">
        <f t="shared" si="30"/>
        <v>90.023615322962172</v>
      </c>
      <c r="O174" s="5"/>
      <c r="P174" s="5">
        <f t="shared" si="31"/>
        <v>1</v>
      </c>
      <c r="Q174" s="7">
        <f t="shared" si="32"/>
        <v>76108</v>
      </c>
    </row>
    <row r="175" spans="1:21">
      <c r="A175" s="23" t="s">
        <v>200</v>
      </c>
      <c r="B175" s="35" t="s">
        <v>198</v>
      </c>
      <c r="C175" s="125">
        <v>6276</v>
      </c>
      <c r="D175" s="113">
        <v>3820467960</v>
      </c>
      <c r="E175" s="116">
        <f t="shared" si="36"/>
        <v>608742.50478011474</v>
      </c>
      <c r="F175" s="117">
        <v>3121741767</v>
      </c>
      <c r="G175" s="117">
        <f t="shared" si="37"/>
        <v>497409.45936902484</v>
      </c>
      <c r="H175" s="7"/>
      <c r="I175" s="109">
        <v>0.8</v>
      </c>
      <c r="J175" s="117">
        <v>2497393.4136000001</v>
      </c>
      <c r="K175" s="120">
        <f t="shared" si="38"/>
        <v>397.92756749521988</v>
      </c>
      <c r="L175" s="122">
        <f t="shared" si="28"/>
        <v>31217417.670000002</v>
      </c>
      <c r="M175" s="116">
        <f t="shared" si="29"/>
        <v>28720024.2564</v>
      </c>
      <c r="N175" s="123">
        <f t="shared" si="30"/>
        <v>4576.1670261950285</v>
      </c>
      <c r="O175" s="5"/>
      <c r="P175" s="5">
        <f t="shared" si="31"/>
        <v>1</v>
      </c>
      <c r="Q175" s="7">
        <f t="shared" si="32"/>
        <v>6276</v>
      </c>
    </row>
    <row r="176" spans="1:21">
      <c r="A176" s="23" t="s">
        <v>201</v>
      </c>
      <c r="B176" s="35" t="s">
        <v>198</v>
      </c>
      <c r="C176" s="125">
        <v>6591</v>
      </c>
      <c r="D176" s="113">
        <v>5618254148</v>
      </c>
      <c r="E176" s="116">
        <f t="shared" si="36"/>
        <v>852413.00986193295</v>
      </c>
      <c r="F176" s="117">
        <v>4752708493</v>
      </c>
      <c r="G176" s="117">
        <f t="shared" si="37"/>
        <v>721090.65285996057</v>
      </c>
      <c r="H176" s="7"/>
      <c r="I176" s="109">
        <v>1.9138999999999999</v>
      </c>
      <c r="J176" s="117">
        <v>9096208.7847526986</v>
      </c>
      <c r="K176" s="120">
        <f t="shared" si="38"/>
        <v>1380.0954005086783</v>
      </c>
      <c r="L176" s="122">
        <f t="shared" si="28"/>
        <v>47527084.93</v>
      </c>
      <c r="M176" s="116">
        <f t="shared" si="29"/>
        <v>38430876.145247303</v>
      </c>
      <c r="N176" s="123">
        <f t="shared" si="30"/>
        <v>5830.8111280909279</v>
      </c>
      <c r="O176" s="5"/>
      <c r="P176" s="5">
        <f t="shared" si="31"/>
        <v>1</v>
      </c>
      <c r="Q176" s="7">
        <f t="shared" si="32"/>
        <v>6591</v>
      </c>
      <c r="S176" s="124">
        <f>SUM(D171:D176)</f>
        <v>55415201407</v>
      </c>
      <c r="T176" s="124">
        <f>SUM(F171:F176)</f>
        <v>40671460061</v>
      </c>
      <c r="U176" s="124">
        <f>SUM(J171:J176)</f>
        <v>153225180.200279</v>
      </c>
    </row>
    <row r="177" spans="1:21">
      <c r="A177" s="23" t="s">
        <v>202</v>
      </c>
      <c r="B177" s="35" t="s">
        <v>203</v>
      </c>
      <c r="C177" s="125">
        <v>189675</v>
      </c>
      <c r="D177" s="113">
        <v>17960757055</v>
      </c>
      <c r="E177" s="116">
        <f t="shared" si="36"/>
        <v>94692.273915908794</v>
      </c>
      <c r="F177" s="117">
        <v>9952160861</v>
      </c>
      <c r="G177" s="117">
        <f t="shared" si="37"/>
        <v>52469.544541979703</v>
      </c>
      <c r="H177" s="7"/>
      <c r="I177" s="109">
        <v>4.0999999999999996</v>
      </c>
      <c r="J177" s="117">
        <v>40803859.530099995</v>
      </c>
      <c r="K177" s="120">
        <f t="shared" si="38"/>
        <v>215.12513262211675</v>
      </c>
      <c r="L177" s="122">
        <f t="shared" si="28"/>
        <v>99521608.609999999</v>
      </c>
      <c r="M177" s="116">
        <f t="shared" si="29"/>
        <v>58717749.079900004</v>
      </c>
      <c r="N177" s="123">
        <f t="shared" si="30"/>
        <v>309.57031279768029</v>
      </c>
      <c r="O177" s="5"/>
      <c r="P177" s="5">
        <f t="shared" si="31"/>
        <v>1</v>
      </c>
      <c r="Q177" s="7">
        <f t="shared" si="32"/>
        <v>189675</v>
      </c>
      <c r="S177" s="124">
        <f>SUM(D177)</f>
        <v>17960757055</v>
      </c>
      <c r="T177" s="124">
        <f>SUM(F177)</f>
        <v>9952160861</v>
      </c>
      <c r="U177" s="124">
        <f>SUM(J177)</f>
        <v>40803859.530099995</v>
      </c>
    </row>
    <row r="178" spans="1:21">
      <c r="A178" s="23" t="s">
        <v>204</v>
      </c>
      <c r="B178" s="35" t="s">
        <v>205</v>
      </c>
      <c r="C178" s="125">
        <v>1106</v>
      </c>
      <c r="D178" s="113">
        <v>67443866</v>
      </c>
      <c r="E178" s="116">
        <f t="shared" si="36"/>
        <v>60979.987341772154</v>
      </c>
      <c r="F178" s="117">
        <v>33761790</v>
      </c>
      <c r="G178" s="117">
        <f t="shared" si="37"/>
        <v>30526.03074141049</v>
      </c>
      <c r="H178" s="7"/>
      <c r="I178" s="109">
        <v>5.0350999999999999</v>
      </c>
      <c r="J178" s="117">
        <v>169993.98882900001</v>
      </c>
      <c r="K178" s="120">
        <f t="shared" si="38"/>
        <v>153.70161738607595</v>
      </c>
      <c r="L178" s="122">
        <f t="shared" si="28"/>
        <v>337617.9</v>
      </c>
      <c r="M178" s="116">
        <f t="shared" si="29"/>
        <v>167623.91117100001</v>
      </c>
      <c r="N178" s="123">
        <f t="shared" si="30"/>
        <v>151.55869002802893</v>
      </c>
      <c r="O178" s="5"/>
      <c r="P178" s="5">
        <f t="shared" si="31"/>
        <v>1</v>
      </c>
      <c r="Q178" s="7">
        <f t="shared" si="32"/>
        <v>1106</v>
      </c>
    </row>
    <row r="179" spans="1:21">
      <c r="A179" s="23" t="s">
        <v>206</v>
      </c>
      <c r="B179" s="35" t="s">
        <v>205</v>
      </c>
      <c r="C179" s="125">
        <v>710</v>
      </c>
      <c r="D179" s="113">
        <v>177715500</v>
      </c>
      <c r="E179" s="116">
        <f t="shared" si="36"/>
        <v>250303.52112676058</v>
      </c>
      <c r="F179" s="117">
        <v>135970937</v>
      </c>
      <c r="G179" s="117">
        <f t="shared" si="37"/>
        <v>191508.36197183098</v>
      </c>
      <c r="H179" s="7"/>
      <c r="I179" s="109">
        <v>5.3410000000000002</v>
      </c>
      <c r="J179" s="117">
        <v>726220.77451700007</v>
      </c>
      <c r="K179" s="120">
        <f t="shared" si="38"/>
        <v>1022.8461612915494</v>
      </c>
      <c r="L179" s="122">
        <f t="shared" si="28"/>
        <v>1359709.37</v>
      </c>
      <c r="M179" s="116">
        <f t="shared" si="29"/>
        <v>633488.59548300004</v>
      </c>
      <c r="N179" s="123">
        <f t="shared" si="30"/>
        <v>892.23745842676067</v>
      </c>
      <c r="O179" s="5"/>
      <c r="P179" s="5">
        <f t="shared" si="31"/>
        <v>1</v>
      </c>
      <c r="Q179" s="7">
        <f t="shared" si="32"/>
        <v>710</v>
      </c>
    </row>
    <row r="180" spans="1:21">
      <c r="A180" s="23" t="s">
        <v>207</v>
      </c>
      <c r="B180" s="35" t="s">
        <v>205</v>
      </c>
      <c r="C180" s="125">
        <v>2282</v>
      </c>
      <c r="D180" s="113">
        <v>166610447</v>
      </c>
      <c r="E180" s="116">
        <f t="shared" si="36"/>
        <v>73010.712971077999</v>
      </c>
      <c r="F180" s="117">
        <v>124391967</v>
      </c>
      <c r="G180" s="117">
        <f t="shared" si="37"/>
        <v>54510.064417177913</v>
      </c>
      <c r="H180" s="7"/>
      <c r="I180" s="109">
        <v>6</v>
      </c>
      <c r="J180" s="117">
        <v>746351.80200000003</v>
      </c>
      <c r="K180" s="120">
        <f t="shared" si="38"/>
        <v>327.06038650306749</v>
      </c>
      <c r="L180" s="122">
        <f t="shared" si="28"/>
        <v>1243919.67</v>
      </c>
      <c r="M180" s="116">
        <f t="shared" si="29"/>
        <v>497567.8679999999</v>
      </c>
      <c r="N180" s="123">
        <f t="shared" si="30"/>
        <v>218.0402576687116</v>
      </c>
      <c r="O180" s="5"/>
      <c r="P180" s="5">
        <f t="shared" si="31"/>
        <v>1</v>
      </c>
      <c r="Q180" s="7">
        <f t="shared" si="32"/>
        <v>2282</v>
      </c>
    </row>
    <row r="181" spans="1:21">
      <c r="A181" s="23" t="s">
        <v>208</v>
      </c>
      <c r="B181" s="35" t="s">
        <v>205</v>
      </c>
      <c r="C181" s="125">
        <v>1286</v>
      </c>
      <c r="D181" s="113">
        <v>84533950</v>
      </c>
      <c r="E181" s="116">
        <f t="shared" si="36"/>
        <v>65734.020217729398</v>
      </c>
      <c r="F181" s="117">
        <v>62687269</v>
      </c>
      <c r="G181" s="117">
        <f t="shared" si="37"/>
        <v>48745.93234836703</v>
      </c>
      <c r="H181" s="7"/>
      <c r="I181" s="109">
        <v>5</v>
      </c>
      <c r="J181" s="117">
        <v>313436.34499999997</v>
      </c>
      <c r="K181" s="120">
        <f t="shared" si="38"/>
        <v>243.72966174183512</v>
      </c>
      <c r="L181" s="122">
        <f t="shared" si="28"/>
        <v>626872.69000000006</v>
      </c>
      <c r="M181" s="116">
        <f t="shared" si="29"/>
        <v>313436.34500000009</v>
      </c>
      <c r="N181" s="123">
        <f t="shared" si="30"/>
        <v>243.72966174183523</v>
      </c>
      <c r="O181" s="5"/>
      <c r="P181" s="5">
        <f t="shared" si="31"/>
        <v>1</v>
      </c>
      <c r="Q181" s="7">
        <f t="shared" si="32"/>
        <v>1286</v>
      </c>
    </row>
    <row r="182" spans="1:21">
      <c r="A182" s="23" t="s">
        <v>209</v>
      </c>
      <c r="B182" s="35" t="s">
        <v>205</v>
      </c>
      <c r="C182" s="125">
        <v>122</v>
      </c>
      <c r="D182" s="113">
        <v>10560684</v>
      </c>
      <c r="E182" s="116">
        <f t="shared" ref="E182:E198" si="39">(D182/C182)</f>
        <v>86562.983606557376</v>
      </c>
      <c r="F182" s="117">
        <v>7530371</v>
      </c>
      <c r="G182" s="117">
        <f t="shared" ref="G182:G198" si="40">(F182/C182)</f>
        <v>61724.352459016394</v>
      </c>
      <c r="H182" s="7"/>
      <c r="I182" s="109">
        <v>7.3731</v>
      </c>
      <c r="J182" s="117">
        <v>55522.178420100005</v>
      </c>
      <c r="K182" s="120">
        <f t="shared" ref="K182:K198" si="41">(J182/C182)</f>
        <v>455.09982311557383</v>
      </c>
      <c r="L182" s="122">
        <f t="shared" si="28"/>
        <v>75303.710000000006</v>
      </c>
      <c r="M182" s="116">
        <f t="shared" si="29"/>
        <v>19781.531579900002</v>
      </c>
      <c r="N182" s="123">
        <f t="shared" si="30"/>
        <v>162.14370147459019</v>
      </c>
      <c r="O182" s="5"/>
      <c r="P182" s="5">
        <f t="shared" si="31"/>
        <v>1</v>
      </c>
      <c r="Q182" s="7">
        <f t="shared" si="32"/>
        <v>122</v>
      </c>
    </row>
    <row r="183" spans="1:21">
      <c r="A183" s="23" t="s">
        <v>210</v>
      </c>
      <c r="B183" s="35" t="s">
        <v>205</v>
      </c>
      <c r="C183" s="125">
        <v>2786</v>
      </c>
      <c r="D183" s="113">
        <v>157442160</v>
      </c>
      <c r="E183" s="116">
        <f t="shared" si="39"/>
        <v>56511.902368987794</v>
      </c>
      <c r="F183" s="117">
        <v>93577254</v>
      </c>
      <c r="G183" s="117">
        <f t="shared" si="40"/>
        <v>33588.389806173727</v>
      </c>
      <c r="H183" s="7"/>
      <c r="I183" s="109">
        <v>5.8627000000000002</v>
      </c>
      <c r="J183" s="117">
        <v>548615.36702579993</v>
      </c>
      <c r="K183" s="120">
        <f t="shared" si="41"/>
        <v>196.91865291665468</v>
      </c>
      <c r="L183" s="122">
        <f t="shared" si="28"/>
        <v>935772.54</v>
      </c>
      <c r="M183" s="116">
        <f t="shared" si="29"/>
        <v>387157.1729742001</v>
      </c>
      <c r="N183" s="123">
        <f t="shared" si="30"/>
        <v>138.9652451450826</v>
      </c>
      <c r="O183" s="5"/>
      <c r="P183" s="5">
        <f t="shared" si="31"/>
        <v>1</v>
      </c>
      <c r="Q183" s="7">
        <f t="shared" si="32"/>
        <v>2786</v>
      </c>
    </row>
    <row r="184" spans="1:21">
      <c r="A184" s="23" t="s">
        <v>211</v>
      </c>
      <c r="B184" s="35" t="s">
        <v>205</v>
      </c>
      <c r="C184" s="125">
        <v>506</v>
      </c>
      <c r="D184" s="113">
        <v>71974015</v>
      </c>
      <c r="E184" s="116">
        <f t="shared" si="39"/>
        <v>142241.13636363635</v>
      </c>
      <c r="F184" s="117">
        <v>52511279</v>
      </c>
      <c r="G184" s="117">
        <f t="shared" si="40"/>
        <v>103777.23122529645</v>
      </c>
      <c r="H184" s="7"/>
      <c r="I184" s="109">
        <v>2.7080000000000002</v>
      </c>
      <c r="J184" s="117">
        <v>142200.54353200001</v>
      </c>
      <c r="K184" s="120">
        <f t="shared" si="41"/>
        <v>281.02874215810277</v>
      </c>
      <c r="L184" s="122">
        <f t="shared" si="28"/>
        <v>525112.79</v>
      </c>
      <c r="M184" s="116">
        <f t="shared" si="29"/>
        <v>382912.246468</v>
      </c>
      <c r="N184" s="123">
        <f t="shared" si="30"/>
        <v>756.74357009486164</v>
      </c>
      <c r="O184" s="5"/>
      <c r="P184" s="5">
        <f t="shared" si="31"/>
        <v>1</v>
      </c>
      <c r="Q184" s="7">
        <f t="shared" si="32"/>
        <v>506</v>
      </c>
      <c r="S184" s="124">
        <f>SUM(D178:D184)</f>
        <v>736280622</v>
      </c>
      <c r="T184" s="124">
        <f>SUM(F178:F184)</f>
        <v>510430867</v>
      </c>
      <c r="U184" s="124">
        <f>SUM(J178:J184)</f>
        <v>2702340.9993238999</v>
      </c>
    </row>
    <row r="185" spans="1:21">
      <c r="A185" s="23" t="s">
        <v>212</v>
      </c>
      <c r="B185" s="35" t="s">
        <v>213</v>
      </c>
      <c r="C185" s="125">
        <v>917</v>
      </c>
      <c r="D185" s="113">
        <v>72069576</v>
      </c>
      <c r="E185" s="116">
        <f t="shared" si="39"/>
        <v>78592.776444929113</v>
      </c>
      <c r="F185" s="117">
        <v>20876121</v>
      </c>
      <c r="G185" s="117">
        <f t="shared" si="40"/>
        <v>22765.67175572519</v>
      </c>
      <c r="H185" s="7"/>
      <c r="I185" s="109">
        <v>5.1543000000000001</v>
      </c>
      <c r="J185" s="117">
        <v>107601.79047030001</v>
      </c>
      <c r="K185" s="120">
        <f t="shared" si="41"/>
        <v>117.34110193053436</v>
      </c>
      <c r="L185" s="122">
        <f t="shared" si="28"/>
        <v>208761.21</v>
      </c>
      <c r="M185" s="116">
        <f t="shared" si="29"/>
        <v>101159.41952969998</v>
      </c>
      <c r="N185" s="123">
        <f t="shared" si="30"/>
        <v>110.31561562671754</v>
      </c>
      <c r="O185" s="5"/>
      <c r="P185" s="5">
        <f t="shared" si="31"/>
        <v>1</v>
      </c>
      <c r="Q185" s="7">
        <f t="shared" si="32"/>
        <v>917</v>
      </c>
      <c r="S185" s="124">
        <f>SUM(D185)</f>
        <v>72069576</v>
      </c>
      <c r="T185" s="124">
        <f>SUM(F185)</f>
        <v>20876121</v>
      </c>
      <c r="U185" s="124">
        <f>SUM(J185)</f>
        <v>107601.79047030001</v>
      </c>
    </row>
    <row r="186" spans="1:21">
      <c r="A186" s="23" t="s">
        <v>214</v>
      </c>
      <c r="B186" s="35" t="s">
        <v>215</v>
      </c>
      <c r="C186" s="125">
        <v>803</v>
      </c>
      <c r="D186" s="113">
        <v>20244369</v>
      </c>
      <c r="E186" s="116">
        <f t="shared" si="39"/>
        <v>25210.920298879202</v>
      </c>
      <c r="F186" s="117">
        <v>10682582</v>
      </c>
      <c r="G186" s="117">
        <f t="shared" si="40"/>
        <v>13303.3399750934</v>
      </c>
      <c r="H186" s="7"/>
      <c r="I186" s="109">
        <v>9.0439000000000007</v>
      </c>
      <c r="J186" s="117">
        <v>96612.203349800009</v>
      </c>
      <c r="K186" s="120">
        <f t="shared" si="41"/>
        <v>120.31407640074721</v>
      </c>
      <c r="L186" s="122">
        <f t="shared" si="28"/>
        <v>106825.82</v>
      </c>
      <c r="M186" s="116">
        <f t="shared" si="29"/>
        <v>10213.616650199998</v>
      </c>
      <c r="N186" s="123">
        <f t="shared" si="30"/>
        <v>12.719323350186796</v>
      </c>
      <c r="O186" s="5"/>
      <c r="P186" s="5">
        <f t="shared" si="31"/>
        <v>1</v>
      </c>
      <c r="Q186" s="7">
        <f t="shared" si="32"/>
        <v>803</v>
      </c>
    </row>
    <row r="187" spans="1:21">
      <c r="A187" s="23" t="s">
        <v>198</v>
      </c>
      <c r="B187" s="35" t="s">
        <v>215</v>
      </c>
      <c r="C187" s="125">
        <v>318</v>
      </c>
      <c r="D187" s="113">
        <v>17361675</v>
      </c>
      <c r="E187" s="116">
        <f t="shared" si="39"/>
        <v>54596.462264150941</v>
      </c>
      <c r="F187" s="117">
        <v>6920490</v>
      </c>
      <c r="G187" s="117">
        <f t="shared" si="40"/>
        <v>21762.547169811322</v>
      </c>
      <c r="H187" s="7"/>
      <c r="I187" s="109">
        <v>7</v>
      </c>
      <c r="J187" s="117">
        <v>48443.43</v>
      </c>
      <c r="K187" s="120">
        <f t="shared" si="41"/>
        <v>152.33783018867925</v>
      </c>
      <c r="L187" s="122">
        <f t="shared" si="28"/>
        <v>69204.899999999994</v>
      </c>
      <c r="M187" s="116">
        <f t="shared" si="29"/>
        <v>20761.469999999994</v>
      </c>
      <c r="N187" s="123">
        <f t="shared" si="30"/>
        <v>65.287641509433939</v>
      </c>
      <c r="O187" s="5"/>
      <c r="P187" s="5">
        <f t="shared" si="31"/>
        <v>1</v>
      </c>
      <c r="Q187" s="7">
        <f t="shared" si="32"/>
        <v>318</v>
      </c>
    </row>
    <row r="188" spans="1:21">
      <c r="A188" s="23" t="s">
        <v>215</v>
      </c>
      <c r="B188" s="35" t="s">
        <v>215</v>
      </c>
      <c r="C188" s="125">
        <v>3044</v>
      </c>
      <c r="D188" s="113">
        <v>146661832</v>
      </c>
      <c r="E188" s="116">
        <f t="shared" si="39"/>
        <v>48180.628120893562</v>
      </c>
      <c r="F188" s="117">
        <v>87775892</v>
      </c>
      <c r="G188" s="117">
        <f t="shared" si="40"/>
        <v>28835.706964520366</v>
      </c>
      <c r="H188" s="7"/>
      <c r="I188" s="109">
        <v>7</v>
      </c>
      <c r="J188" s="117">
        <v>614431.24399999995</v>
      </c>
      <c r="K188" s="120">
        <f t="shared" si="41"/>
        <v>201.84994875164256</v>
      </c>
      <c r="L188" s="122">
        <f t="shared" si="28"/>
        <v>877758.92</v>
      </c>
      <c r="M188" s="116">
        <f t="shared" si="29"/>
        <v>263327.67600000009</v>
      </c>
      <c r="N188" s="123">
        <f t="shared" si="30"/>
        <v>86.507120893561137</v>
      </c>
      <c r="O188" s="5"/>
      <c r="P188" s="5">
        <f t="shared" si="31"/>
        <v>1</v>
      </c>
      <c r="Q188" s="7">
        <f t="shared" si="32"/>
        <v>3044</v>
      </c>
      <c r="S188" s="124">
        <f>SUM(D186:D188)</f>
        <v>184267876</v>
      </c>
      <c r="T188" s="124">
        <f>SUM(F186:F188)</f>
        <v>105378964</v>
      </c>
      <c r="U188" s="124">
        <f>SUM(J186:J188)</f>
        <v>759486.87734979996</v>
      </c>
    </row>
    <row r="189" spans="1:21">
      <c r="A189" s="23" t="s">
        <v>216</v>
      </c>
      <c r="B189" s="35" t="s">
        <v>217</v>
      </c>
      <c r="C189" s="125">
        <v>1576</v>
      </c>
      <c r="D189" s="113">
        <v>1173992995</v>
      </c>
      <c r="E189" s="116">
        <f t="shared" si="39"/>
        <v>744919.41307106602</v>
      </c>
      <c r="F189" s="117">
        <v>889208503</v>
      </c>
      <c r="G189" s="117">
        <f t="shared" si="40"/>
        <v>564218.59327411163</v>
      </c>
      <c r="H189" s="7"/>
      <c r="I189" s="109">
        <v>2.0499999999999998</v>
      </c>
      <c r="J189" s="117">
        <v>1822877.4311499998</v>
      </c>
      <c r="K189" s="120">
        <f t="shared" si="41"/>
        <v>1156.6481162119289</v>
      </c>
      <c r="L189" s="122">
        <f t="shared" si="28"/>
        <v>8892085.0299999993</v>
      </c>
      <c r="M189" s="116">
        <f t="shared" si="29"/>
        <v>7069207.5988499997</v>
      </c>
      <c r="N189" s="123">
        <f t="shared" si="30"/>
        <v>4485.5378165291877</v>
      </c>
      <c r="O189" s="5"/>
      <c r="P189" s="5">
        <f t="shared" si="31"/>
        <v>1</v>
      </c>
      <c r="Q189" s="7">
        <f t="shared" si="32"/>
        <v>1576</v>
      </c>
    </row>
    <row r="190" spans="1:21">
      <c r="A190" s="23" t="s">
        <v>218</v>
      </c>
      <c r="B190" s="35" t="s">
        <v>217</v>
      </c>
      <c r="C190" s="125">
        <v>53771</v>
      </c>
      <c r="D190" s="113">
        <v>4394465728</v>
      </c>
      <c r="E190" s="116">
        <f t="shared" si="39"/>
        <v>81725.571925387296</v>
      </c>
      <c r="F190" s="117">
        <v>3079038090</v>
      </c>
      <c r="G190" s="117">
        <f t="shared" si="40"/>
        <v>57262.057428725522</v>
      </c>
      <c r="H190" s="7"/>
      <c r="I190" s="109">
        <v>5.8975999999999997</v>
      </c>
      <c r="J190" s="117">
        <v>18158935.039584</v>
      </c>
      <c r="K190" s="120">
        <f t="shared" si="41"/>
        <v>337.70870989165161</v>
      </c>
      <c r="L190" s="122">
        <f t="shared" si="28"/>
        <v>30790380.900000002</v>
      </c>
      <c r="M190" s="116">
        <f t="shared" si="29"/>
        <v>12631445.860416003</v>
      </c>
      <c r="N190" s="123">
        <f t="shared" si="30"/>
        <v>234.91186439560363</v>
      </c>
      <c r="O190" s="5"/>
      <c r="P190" s="5">
        <f t="shared" si="31"/>
        <v>1</v>
      </c>
      <c r="Q190" s="7">
        <f t="shared" si="32"/>
        <v>53771</v>
      </c>
    </row>
    <row r="191" spans="1:21">
      <c r="A191" s="23" t="s">
        <v>219</v>
      </c>
      <c r="B191" s="35" t="s">
        <v>217</v>
      </c>
      <c r="C191" s="125">
        <v>1183</v>
      </c>
      <c r="D191" s="113">
        <v>677555102</v>
      </c>
      <c r="E191" s="116">
        <f t="shared" si="39"/>
        <v>572743.11242603546</v>
      </c>
      <c r="F191" s="117">
        <v>511202484</v>
      </c>
      <c r="G191" s="117">
        <f t="shared" si="40"/>
        <v>432123.82417582418</v>
      </c>
      <c r="H191" s="7"/>
      <c r="I191" s="109">
        <v>2.3329</v>
      </c>
      <c r="J191" s="117">
        <v>1192584.2749236</v>
      </c>
      <c r="K191" s="120">
        <f t="shared" si="41"/>
        <v>1008.1016694197803</v>
      </c>
      <c r="L191" s="122">
        <f t="shared" si="28"/>
        <v>5112024.84</v>
      </c>
      <c r="M191" s="116">
        <f t="shared" si="29"/>
        <v>3919440.5650763996</v>
      </c>
      <c r="N191" s="123">
        <f t="shared" si="30"/>
        <v>3313.1365723384611</v>
      </c>
      <c r="O191" s="5"/>
      <c r="P191" s="5">
        <f t="shared" si="31"/>
        <v>1</v>
      </c>
      <c r="Q191" s="7">
        <f t="shared" si="32"/>
        <v>1183</v>
      </c>
    </row>
    <row r="192" spans="1:21">
      <c r="A192" s="23" t="s">
        <v>220</v>
      </c>
      <c r="B192" s="35" t="s">
        <v>217</v>
      </c>
      <c r="C192" s="125">
        <v>3873</v>
      </c>
      <c r="D192" s="113">
        <v>2032748727</v>
      </c>
      <c r="E192" s="116">
        <f t="shared" si="39"/>
        <v>524851.20759101468</v>
      </c>
      <c r="F192" s="117">
        <v>1665927162</v>
      </c>
      <c r="G192" s="117">
        <f t="shared" si="40"/>
        <v>430138.69403563131</v>
      </c>
      <c r="H192" s="7"/>
      <c r="I192" s="109">
        <v>2.25</v>
      </c>
      <c r="J192" s="117">
        <v>3748336.1145000001</v>
      </c>
      <c r="K192" s="120">
        <f t="shared" si="41"/>
        <v>967.81206158017039</v>
      </c>
      <c r="L192" s="122">
        <f t="shared" si="28"/>
        <v>16659271.620000001</v>
      </c>
      <c r="M192" s="116">
        <f t="shared" si="29"/>
        <v>12910935.5055</v>
      </c>
      <c r="N192" s="123">
        <f t="shared" si="30"/>
        <v>3333.5748787761427</v>
      </c>
      <c r="O192" s="5"/>
      <c r="P192" s="5">
        <f t="shared" si="31"/>
        <v>1</v>
      </c>
      <c r="Q192" s="7">
        <f t="shared" si="32"/>
        <v>3873</v>
      </c>
    </row>
    <row r="193" spans="1:21">
      <c r="A193" s="23" t="s">
        <v>221</v>
      </c>
      <c r="B193" s="35" t="s">
        <v>217</v>
      </c>
      <c r="C193" s="125">
        <v>13130</v>
      </c>
      <c r="D193" s="113">
        <v>1126350735</v>
      </c>
      <c r="E193" s="116">
        <f t="shared" si="39"/>
        <v>85784.519040365572</v>
      </c>
      <c r="F193" s="117">
        <v>762274626</v>
      </c>
      <c r="G193" s="117">
        <f t="shared" si="40"/>
        <v>58055.950190403659</v>
      </c>
      <c r="H193" s="7"/>
      <c r="I193" s="109">
        <v>5.9671000000000003</v>
      </c>
      <c r="J193" s="117">
        <v>4548568.9208045993</v>
      </c>
      <c r="K193" s="120">
        <f t="shared" si="41"/>
        <v>346.42566038115763</v>
      </c>
      <c r="L193" s="122">
        <f t="shared" si="28"/>
        <v>7622746.2599999998</v>
      </c>
      <c r="M193" s="116">
        <f t="shared" si="29"/>
        <v>3074177.3391954005</v>
      </c>
      <c r="N193" s="123">
        <f t="shared" si="30"/>
        <v>234.13384152287895</v>
      </c>
      <c r="O193" s="5"/>
      <c r="P193" s="5">
        <f t="shared" si="31"/>
        <v>1</v>
      </c>
      <c r="Q193" s="7">
        <f t="shared" si="32"/>
        <v>13130</v>
      </c>
    </row>
    <row r="194" spans="1:21">
      <c r="A194" s="23" t="s">
        <v>478</v>
      </c>
      <c r="B194" s="35" t="s">
        <v>222</v>
      </c>
      <c r="C194" s="125">
        <v>6879</v>
      </c>
      <c r="D194" s="113">
        <v>6311524260</v>
      </c>
      <c r="E194" s="116">
        <f t="shared" si="39"/>
        <v>917506.07064980373</v>
      </c>
      <c r="F194" s="117">
        <v>5465781453</v>
      </c>
      <c r="G194" s="117">
        <f t="shared" si="40"/>
        <v>794560.4670737026</v>
      </c>
      <c r="H194" s="7"/>
      <c r="I194" s="109">
        <v>2.1143999999999998</v>
      </c>
      <c r="J194" s="117">
        <v>11556848</v>
      </c>
      <c r="K194" s="120">
        <f t="shared" si="41"/>
        <v>1680.0186073557204</v>
      </c>
      <c r="L194" s="122">
        <f t="shared" si="28"/>
        <v>54657814.530000001</v>
      </c>
      <c r="M194" s="116">
        <f t="shared" si="29"/>
        <v>43100966.530000001</v>
      </c>
      <c r="N194" s="123">
        <f t="shared" si="30"/>
        <v>6265.5860633813054</v>
      </c>
      <c r="O194" s="5"/>
      <c r="P194" s="5">
        <f t="shared" si="31"/>
        <v>1</v>
      </c>
      <c r="Q194" s="7">
        <f t="shared" si="32"/>
        <v>6879</v>
      </c>
      <c r="S194" s="124">
        <f>SUM(D189:D194)</f>
        <v>15716637547</v>
      </c>
      <c r="T194" s="124">
        <f>SUM(F189:F194)</f>
        <v>12373432318</v>
      </c>
      <c r="U194" s="124">
        <f>SUM(J189:J194)</f>
        <v>41028149.780962199</v>
      </c>
    </row>
    <row r="195" spans="1:21">
      <c r="A195" s="23" t="s">
        <v>223</v>
      </c>
      <c r="B195" s="35" t="s">
        <v>224</v>
      </c>
      <c r="C195" s="125">
        <v>4874</v>
      </c>
      <c r="D195" s="113">
        <v>286584488</v>
      </c>
      <c r="E195" s="116">
        <f t="shared" si="39"/>
        <v>58798.622897004512</v>
      </c>
      <c r="F195" s="117">
        <v>204986881</v>
      </c>
      <c r="G195" s="117">
        <f t="shared" si="40"/>
        <v>42057.218096019693</v>
      </c>
      <c r="H195" s="7"/>
      <c r="I195" s="109">
        <v>4.5</v>
      </c>
      <c r="J195" s="117">
        <v>922440.9645</v>
      </c>
      <c r="K195" s="120">
        <f t="shared" si="41"/>
        <v>189.25748143208864</v>
      </c>
      <c r="L195" s="122">
        <f t="shared" si="28"/>
        <v>2049868.81</v>
      </c>
      <c r="M195" s="116">
        <f t="shared" si="29"/>
        <v>1127427.8455000001</v>
      </c>
      <c r="N195" s="123">
        <f t="shared" si="30"/>
        <v>231.31469952810835</v>
      </c>
      <c r="O195" s="5"/>
      <c r="P195" s="5">
        <f t="shared" si="31"/>
        <v>1</v>
      </c>
      <c r="Q195" s="7">
        <f t="shared" si="32"/>
        <v>4874</v>
      </c>
    </row>
    <row r="196" spans="1:21">
      <c r="A196" s="23" t="s">
        <v>225</v>
      </c>
      <c r="B196" s="35" t="s">
        <v>224</v>
      </c>
      <c r="C196" s="125">
        <v>1768</v>
      </c>
      <c r="D196" s="113">
        <v>229724461</v>
      </c>
      <c r="E196" s="116">
        <f t="shared" si="39"/>
        <v>129934.64988687783</v>
      </c>
      <c r="F196" s="117">
        <v>144175023</v>
      </c>
      <c r="G196" s="117">
        <f t="shared" si="40"/>
        <v>81546.958710407242</v>
      </c>
      <c r="H196" s="7"/>
      <c r="I196" s="109">
        <v>7.5</v>
      </c>
      <c r="J196" s="117">
        <v>1081312.6725000001</v>
      </c>
      <c r="K196" s="120">
        <f t="shared" si="41"/>
        <v>611.60219032805435</v>
      </c>
      <c r="L196" s="122">
        <f t="shared" si="28"/>
        <v>1441750.23</v>
      </c>
      <c r="M196" s="116">
        <f t="shared" si="29"/>
        <v>360437.55749999988</v>
      </c>
      <c r="N196" s="123">
        <f t="shared" si="30"/>
        <v>203.86739677601804</v>
      </c>
      <c r="O196" s="5"/>
      <c r="P196" s="5">
        <f t="shared" si="31"/>
        <v>1</v>
      </c>
      <c r="Q196" s="7">
        <f t="shared" si="32"/>
        <v>1768</v>
      </c>
    </row>
    <row r="197" spans="1:21">
      <c r="A197" s="23" t="s">
        <v>226</v>
      </c>
      <c r="B197" s="35" t="s">
        <v>224</v>
      </c>
      <c r="C197" s="125">
        <v>449</v>
      </c>
      <c r="D197" s="113">
        <v>32843662</v>
      </c>
      <c r="E197" s="116">
        <f t="shared" si="39"/>
        <v>73148.467706013369</v>
      </c>
      <c r="F197" s="117">
        <v>17954035</v>
      </c>
      <c r="G197" s="117">
        <f t="shared" si="40"/>
        <v>39986.714922048996</v>
      </c>
      <c r="H197" s="7"/>
      <c r="I197" s="109">
        <v>2.2078000000000002</v>
      </c>
      <c r="J197" s="117">
        <v>39638.918473000005</v>
      </c>
      <c r="K197" s="120">
        <f t="shared" si="41"/>
        <v>88.28266920489979</v>
      </c>
      <c r="L197" s="122">
        <f t="shared" si="28"/>
        <v>179540.35</v>
      </c>
      <c r="M197" s="116">
        <f t="shared" si="29"/>
        <v>139901.43152700001</v>
      </c>
      <c r="N197" s="123">
        <f t="shared" si="30"/>
        <v>311.5844800155902</v>
      </c>
      <c r="O197" s="5"/>
      <c r="P197" s="5">
        <f t="shared" si="31"/>
        <v>1</v>
      </c>
      <c r="Q197" s="7">
        <f t="shared" si="32"/>
        <v>449</v>
      </c>
    </row>
    <row r="198" spans="1:21">
      <c r="A198" s="23" t="s">
        <v>227</v>
      </c>
      <c r="B198" s="35" t="s">
        <v>224</v>
      </c>
      <c r="C198" s="125">
        <v>59720</v>
      </c>
      <c r="D198" s="113">
        <v>5497216557</v>
      </c>
      <c r="E198" s="116">
        <f t="shared" si="39"/>
        <v>92049.841878767576</v>
      </c>
      <c r="F198" s="117">
        <v>4088052681</v>
      </c>
      <c r="G198" s="117">
        <f t="shared" si="40"/>
        <v>68453.661771600804</v>
      </c>
      <c r="H198" s="9"/>
      <c r="I198" s="109">
        <v>6.6177000000000001</v>
      </c>
      <c r="J198" s="117">
        <v>27053506.227053698</v>
      </c>
      <c r="K198" s="120">
        <f t="shared" si="41"/>
        <v>453.0057975059226</v>
      </c>
      <c r="L198" s="122">
        <f t="shared" ref="L198:L261" si="42">(F198*0.01)</f>
        <v>40880526.810000002</v>
      </c>
      <c r="M198" s="116">
        <f t="shared" ref="M198:M261" si="43">(L198-J198)</f>
        <v>13827020.582946304</v>
      </c>
      <c r="N198" s="123">
        <f t="shared" ref="N198:N261" si="44">(M198/C198)</f>
        <v>231.53082021008547</v>
      </c>
      <c r="O198" s="5"/>
      <c r="P198" s="5">
        <f t="shared" si="31"/>
        <v>1</v>
      </c>
      <c r="Q198" s="7">
        <f t="shared" si="32"/>
        <v>59720</v>
      </c>
    </row>
    <row r="199" spans="1:21">
      <c r="A199" s="23" t="s">
        <v>228</v>
      </c>
      <c r="B199" s="35" t="s">
        <v>224</v>
      </c>
      <c r="C199" s="125">
        <v>499</v>
      </c>
      <c r="D199" s="114" t="s">
        <v>564</v>
      </c>
      <c r="E199" s="116"/>
      <c r="F199" s="117"/>
      <c r="G199" s="117"/>
      <c r="H199" s="98" t="s">
        <v>588</v>
      </c>
      <c r="I199" s="109"/>
      <c r="J199" s="117"/>
      <c r="K199" s="120"/>
      <c r="L199" s="122">
        <f t="shared" si="42"/>
        <v>0</v>
      </c>
      <c r="M199" s="116">
        <f t="shared" si="43"/>
        <v>0</v>
      </c>
      <c r="N199" s="123">
        <f t="shared" si="44"/>
        <v>0</v>
      </c>
      <c r="O199" s="5"/>
      <c r="P199" s="5">
        <f t="shared" ref="P199:P262" si="45">IF(I199&gt;0,1,0)</f>
        <v>0</v>
      </c>
      <c r="Q199" s="7">
        <f t="shared" ref="Q199:Q262" si="46">IF(I199&gt;0,C199,0)</f>
        <v>0</v>
      </c>
      <c r="S199" s="124">
        <f>SUM(D195:D199)</f>
        <v>6046369168</v>
      </c>
      <c r="T199" s="124">
        <f>SUM(F195:F199)</f>
        <v>4455168620</v>
      </c>
      <c r="U199" s="124">
        <f>SUM(J195:J199)</f>
        <v>29096898.782526698</v>
      </c>
    </row>
    <row r="200" spans="1:21">
      <c r="A200" s="23" t="s">
        <v>229</v>
      </c>
      <c r="B200" s="35" t="s">
        <v>230</v>
      </c>
      <c r="C200" s="125">
        <v>812</v>
      </c>
      <c r="D200" s="113">
        <v>2711548496</v>
      </c>
      <c r="E200" s="116">
        <f t="shared" ref="E200:E231" si="47">(D200/C200)</f>
        <v>3339345.4384236452</v>
      </c>
      <c r="F200" s="117">
        <v>2233462893</v>
      </c>
      <c r="G200" s="117">
        <f t="shared" ref="G200:G231" si="48">(F200/C200)</f>
        <v>2750570.0652709361</v>
      </c>
      <c r="H200" s="9"/>
      <c r="I200" s="109">
        <v>2.6126999999999998</v>
      </c>
      <c r="J200" s="117">
        <v>5835368.5005410993</v>
      </c>
      <c r="K200" s="120">
        <f t="shared" ref="K200:K231" si="49">(J200/C200)</f>
        <v>7186.4144095333731</v>
      </c>
      <c r="L200" s="122">
        <f t="shared" si="42"/>
        <v>22334628.93</v>
      </c>
      <c r="M200" s="116">
        <f t="shared" si="43"/>
        <v>16499260.429458901</v>
      </c>
      <c r="N200" s="123">
        <f t="shared" si="44"/>
        <v>20319.286243175986</v>
      </c>
      <c r="O200" s="5"/>
      <c r="P200" s="5">
        <f t="shared" si="45"/>
        <v>1</v>
      </c>
      <c r="Q200" s="7">
        <f t="shared" si="46"/>
        <v>812</v>
      </c>
    </row>
    <row r="201" spans="1:21">
      <c r="A201" s="24" t="s">
        <v>582</v>
      </c>
      <c r="B201" s="35" t="s">
        <v>230</v>
      </c>
      <c r="C201" s="125">
        <v>100</v>
      </c>
      <c r="D201" s="113">
        <v>28142765</v>
      </c>
      <c r="E201" s="116">
        <f t="shared" si="47"/>
        <v>281427.65000000002</v>
      </c>
      <c r="F201" s="117">
        <v>27446576</v>
      </c>
      <c r="G201" s="117">
        <f t="shared" si="48"/>
        <v>274465.76</v>
      </c>
      <c r="H201" s="9"/>
      <c r="I201" s="110">
        <v>5.2176999999999998</v>
      </c>
      <c r="J201" s="117">
        <v>143207.9995952</v>
      </c>
      <c r="K201" s="120">
        <f t="shared" si="49"/>
        <v>1432.079995952</v>
      </c>
      <c r="L201" s="122">
        <f t="shared" si="42"/>
        <v>274465.76</v>
      </c>
      <c r="M201" s="116">
        <f t="shared" si="43"/>
        <v>131257.76040480001</v>
      </c>
      <c r="N201" s="123">
        <f t="shared" si="44"/>
        <v>1312.577604048</v>
      </c>
      <c r="O201" s="5"/>
      <c r="P201" s="5">
        <f t="shared" si="45"/>
        <v>1</v>
      </c>
      <c r="Q201" s="7">
        <f t="shared" si="46"/>
        <v>100</v>
      </c>
    </row>
    <row r="202" spans="1:21">
      <c r="A202" s="23" t="s">
        <v>446</v>
      </c>
      <c r="B202" s="35" t="s">
        <v>230</v>
      </c>
      <c r="C202" s="125">
        <v>2026</v>
      </c>
      <c r="D202" s="113">
        <v>767914972</v>
      </c>
      <c r="E202" s="116">
        <f t="shared" si="47"/>
        <v>379030.09476801578</v>
      </c>
      <c r="F202" s="117">
        <v>620271728</v>
      </c>
      <c r="G202" s="117">
        <f t="shared" si="48"/>
        <v>306155.83810463967</v>
      </c>
      <c r="H202" s="9"/>
      <c r="I202" s="109">
        <v>2.87</v>
      </c>
      <c r="J202" s="117">
        <v>1780179.8593600001</v>
      </c>
      <c r="K202" s="120">
        <f t="shared" si="49"/>
        <v>878.66725536031595</v>
      </c>
      <c r="L202" s="122">
        <f t="shared" si="42"/>
        <v>6202717.2800000003</v>
      </c>
      <c r="M202" s="116">
        <f t="shared" si="43"/>
        <v>4422537.4206400001</v>
      </c>
      <c r="N202" s="123">
        <f t="shared" si="44"/>
        <v>2182.8911256860811</v>
      </c>
      <c r="O202" s="5"/>
      <c r="P202" s="5">
        <f t="shared" si="45"/>
        <v>1</v>
      </c>
      <c r="Q202" s="7">
        <f t="shared" si="46"/>
        <v>2026</v>
      </c>
    </row>
    <row r="203" spans="1:21">
      <c r="A203" s="24" t="s">
        <v>231</v>
      </c>
      <c r="B203" s="37" t="s">
        <v>230</v>
      </c>
      <c r="C203" s="125">
        <v>16148</v>
      </c>
      <c r="D203" s="113">
        <v>2561289750</v>
      </c>
      <c r="E203" s="116">
        <f t="shared" si="47"/>
        <v>158613.43510032201</v>
      </c>
      <c r="F203" s="117">
        <v>1734741610</v>
      </c>
      <c r="G203" s="117">
        <f t="shared" si="48"/>
        <v>107427.64490958632</v>
      </c>
      <c r="H203" s="9"/>
      <c r="I203" s="109">
        <v>4.5519999999999996</v>
      </c>
      <c r="J203" s="117">
        <v>7896543.8087199992</v>
      </c>
      <c r="K203" s="120">
        <f t="shared" si="49"/>
        <v>489.01063962843693</v>
      </c>
      <c r="L203" s="122">
        <f t="shared" si="42"/>
        <v>17347416.100000001</v>
      </c>
      <c r="M203" s="116">
        <f t="shared" si="43"/>
        <v>9450872.2912800014</v>
      </c>
      <c r="N203" s="123">
        <f t="shared" si="44"/>
        <v>585.26580946742638</v>
      </c>
      <c r="O203" s="5"/>
      <c r="P203" s="5">
        <f t="shared" si="45"/>
        <v>1</v>
      </c>
      <c r="Q203" s="7">
        <f t="shared" si="46"/>
        <v>16148</v>
      </c>
      <c r="S203" s="124">
        <f>SUM(D200:D203)</f>
        <v>6068895983</v>
      </c>
      <c r="T203" s="124">
        <f>SUM(F200:F203)</f>
        <v>4615922807</v>
      </c>
      <c r="U203" s="124">
        <f>SUM(J200:J203)</f>
        <v>15655300.168216299</v>
      </c>
    </row>
    <row r="204" spans="1:21">
      <c r="A204" s="23" t="s">
        <v>232</v>
      </c>
      <c r="B204" s="37" t="s">
        <v>233</v>
      </c>
      <c r="C204" s="125">
        <v>37611</v>
      </c>
      <c r="D204" s="113">
        <v>11921195811</v>
      </c>
      <c r="E204" s="116">
        <f t="shared" si="47"/>
        <v>316960.35231714125</v>
      </c>
      <c r="F204" s="117">
        <v>9829899552</v>
      </c>
      <c r="G204" s="117">
        <f t="shared" si="48"/>
        <v>261357.03788785197</v>
      </c>
      <c r="H204" s="9"/>
      <c r="I204" s="110">
        <v>1.7261</v>
      </c>
      <c r="J204" s="117">
        <v>16967389.616707198</v>
      </c>
      <c r="K204" s="120">
        <f t="shared" si="49"/>
        <v>451.12838309822121</v>
      </c>
      <c r="L204" s="122">
        <f t="shared" si="42"/>
        <v>98298995.519999996</v>
      </c>
      <c r="M204" s="116">
        <f t="shared" si="43"/>
        <v>81331605.903292805</v>
      </c>
      <c r="N204" s="123">
        <f t="shared" si="44"/>
        <v>2162.4419957802984</v>
      </c>
      <c r="O204" s="5"/>
      <c r="P204" s="5">
        <f t="shared" si="45"/>
        <v>1</v>
      </c>
      <c r="Q204" s="7">
        <f t="shared" si="46"/>
        <v>37611</v>
      </c>
    </row>
    <row r="205" spans="1:21">
      <c r="A205" s="23" t="s">
        <v>234</v>
      </c>
      <c r="B205" s="37" t="s">
        <v>233</v>
      </c>
      <c r="C205" s="125">
        <v>2716</v>
      </c>
      <c r="D205" s="113">
        <v>5362217277</v>
      </c>
      <c r="E205" s="116">
        <f t="shared" si="47"/>
        <v>1974306.8030191457</v>
      </c>
      <c r="F205" s="117">
        <v>4338854366</v>
      </c>
      <c r="G205" s="117">
        <f t="shared" si="48"/>
        <v>1597516.3350515463</v>
      </c>
      <c r="H205" s="9"/>
      <c r="I205" s="109">
        <v>1.9654</v>
      </c>
      <c r="J205" s="117">
        <v>8527584.3709364012</v>
      </c>
      <c r="K205" s="120">
        <f t="shared" si="49"/>
        <v>3139.7586049103097</v>
      </c>
      <c r="L205" s="122">
        <f t="shared" si="42"/>
        <v>43388543.660000004</v>
      </c>
      <c r="M205" s="116">
        <f t="shared" si="43"/>
        <v>34860959.289063603</v>
      </c>
      <c r="N205" s="123">
        <f t="shared" si="44"/>
        <v>12835.404745605156</v>
      </c>
      <c r="O205" s="5"/>
      <c r="P205" s="5">
        <f t="shared" si="45"/>
        <v>1</v>
      </c>
      <c r="Q205" s="7">
        <f t="shared" si="46"/>
        <v>2716</v>
      </c>
    </row>
    <row r="206" spans="1:21">
      <c r="A206" s="23" t="s">
        <v>235</v>
      </c>
      <c r="B206" s="37" t="s">
        <v>233</v>
      </c>
      <c r="C206" s="125">
        <v>5541</v>
      </c>
      <c r="D206" s="113">
        <v>1449363035</v>
      </c>
      <c r="E206" s="116">
        <f t="shared" si="47"/>
        <v>261570.66143295434</v>
      </c>
      <c r="F206" s="117">
        <v>873737112</v>
      </c>
      <c r="G206" s="117">
        <f t="shared" si="48"/>
        <v>157685.81700054143</v>
      </c>
      <c r="H206" s="9"/>
      <c r="I206" s="109">
        <v>4.4000000000000004</v>
      </c>
      <c r="J206" s="117">
        <v>3844443.2928000004</v>
      </c>
      <c r="K206" s="120">
        <f t="shared" si="49"/>
        <v>693.81759480238236</v>
      </c>
      <c r="L206" s="122">
        <f t="shared" si="42"/>
        <v>8737371.120000001</v>
      </c>
      <c r="M206" s="116">
        <f t="shared" si="43"/>
        <v>4892927.8272000011</v>
      </c>
      <c r="N206" s="123">
        <f t="shared" si="44"/>
        <v>883.04057520303218</v>
      </c>
      <c r="O206" s="5"/>
      <c r="P206" s="5">
        <f t="shared" si="45"/>
        <v>1</v>
      </c>
      <c r="Q206" s="7">
        <f t="shared" si="46"/>
        <v>5541</v>
      </c>
    </row>
    <row r="207" spans="1:21">
      <c r="A207" s="23" t="s">
        <v>236</v>
      </c>
      <c r="B207" s="37" t="s">
        <v>233</v>
      </c>
      <c r="C207" s="125">
        <v>3213</v>
      </c>
      <c r="D207" s="113">
        <v>345242201</v>
      </c>
      <c r="E207" s="116">
        <f t="shared" si="47"/>
        <v>107451.66542172425</v>
      </c>
      <c r="F207" s="117">
        <v>176062508</v>
      </c>
      <c r="G207" s="117">
        <f t="shared" si="48"/>
        <v>54796.921257391848</v>
      </c>
      <c r="H207" s="9"/>
      <c r="I207" s="109">
        <v>9.6999999999999993</v>
      </c>
      <c r="J207" s="117">
        <v>1707806.3276</v>
      </c>
      <c r="K207" s="120">
        <f t="shared" si="49"/>
        <v>531.53013619670094</v>
      </c>
      <c r="L207" s="122">
        <f t="shared" si="42"/>
        <v>1760625.08</v>
      </c>
      <c r="M207" s="116">
        <f t="shared" si="43"/>
        <v>52818.752400000114</v>
      </c>
      <c r="N207" s="123">
        <f t="shared" si="44"/>
        <v>16.439076377217589</v>
      </c>
      <c r="O207" s="5"/>
      <c r="P207" s="5">
        <f t="shared" si="45"/>
        <v>1</v>
      </c>
      <c r="Q207" s="7">
        <f t="shared" si="46"/>
        <v>3213</v>
      </c>
    </row>
    <row r="208" spans="1:21">
      <c r="A208" s="23" t="s">
        <v>237</v>
      </c>
      <c r="B208" s="37" t="s">
        <v>233</v>
      </c>
      <c r="C208" s="125">
        <v>49449</v>
      </c>
      <c r="D208" s="113">
        <v>20469064301</v>
      </c>
      <c r="E208" s="116">
        <f t="shared" si="47"/>
        <v>413942.93718780967</v>
      </c>
      <c r="F208" s="117">
        <v>14153575524</v>
      </c>
      <c r="G208" s="117">
        <f t="shared" si="48"/>
        <v>286225.71789116057</v>
      </c>
      <c r="H208" s="9"/>
      <c r="I208" s="109">
        <v>5.5590000000000002</v>
      </c>
      <c r="J208" s="117">
        <v>78679726.337916002</v>
      </c>
      <c r="K208" s="120">
        <f t="shared" si="49"/>
        <v>1591.1287657569617</v>
      </c>
      <c r="L208" s="122">
        <f t="shared" si="42"/>
        <v>141535755.24000001</v>
      </c>
      <c r="M208" s="116">
        <f t="shared" si="43"/>
        <v>62856028.902084008</v>
      </c>
      <c r="N208" s="123">
        <f t="shared" si="44"/>
        <v>1271.1284131546442</v>
      </c>
      <c r="O208" s="5"/>
      <c r="P208" s="5">
        <f t="shared" si="45"/>
        <v>1</v>
      </c>
      <c r="Q208" s="7">
        <f t="shared" si="46"/>
        <v>49449</v>
      </c>
    </row>
    <row r="209" spans="1:17">
      <c r="A209" s="23" t="s">
        <v>524</v>
      </c>
      <c r="B209" s="37" t="s">
        <v>233</v>
      </c>
      <c r="C209" s="125">
        <v>44901</v>
      </c>
      <c r="D209" s="113">
        <v>3604246933</v>
      </c>
      <c r="E209" s="116">
        <f t="shared" si="47"/>
        <v>80270.972428230991</v>
      </c>
      <c r="F209" s="117">
        <v>2197589158</v>
      </c>
      <c r="G209" s="117">
        <f t="shared" si="48"/>
        <v>48942.989198458832</v>
      </c>
      <c r="H209" s="9"/>
      <c r="I209" s="109">
        <v>2.3906999999999998</v>
      </c>
      <c r="J209" s="117">
        <v>5253776.4000305999</v>
      </c>
      <c r="K209" s="120">
        <f t="shared" si="49"/>
        <v>117.00800427675553</v>
      </c>
      <c r="L209" s="122">
        <f t="shared" si="42"/>
        <v>21975891.580000002</v>
      </c>
      <c r="M209" s="116">
        <f t="shared" si="43"/>
        <v>16722115.179969402</v>
      </c>
      <c r="N209" s="123">
        <f t="shared" si="44"/>
        <v>372.42188770783281</v>
      </c>
      <c r="O209" s="5"/>
      <c r="P209" s="5">
        <f t="shared" si="45"/>
        <v>1</v>
      </c>
      <c r="Q209" s="7">
        <f t="shared" si="46"/>
        <v>44901</v>
      </c>
    </row>
    <row r="210" spans="1:17">
      <c r="A210" s="23" t="s">
        <v>501</v>
      </c>
      <c r="B210" s="37" t="s">
        <v>233</v>
      </c>
      <c r="C210" s="125">
        <v>59304</v>
      </c>
      <c r="D210" s="113">
        <v>13331107395</v>
      </c>
      <c r="E210" s="116">
        <f t="shared" si="47"/>
        <v>224792.7187879401</v>
      </c>
      <c r="F210" s="117">
        <v>10909067365</v>
      </c>
      <c r="G210" s="117">
        <f t="shared" si="48"/>
        <v>183951.62830500474</v>
      </c>
      <c r="H210" s="9"/>
      <c r="I210" s="109">
        <v>1.9</v>
      </c>
      <c r="J210" s="117">
        <v>20727227.993500002</v>
      </c>
      <c r="K210" s="120">
        <f t="shared" si="49"/>
        <v>349.50809377950901</v>
      </c>
      <c r="L210" s="122">
        <f t="shared" si="42"/>
        <v>109090673.65000001</v>
      </c>
      <c r="M210" s="116">
        <f t="shared" si="43"/>
        <v>88363445.656500012</v>
      </c>
      <c r="N210" s="123">
        <f t="shared" si="44"/>
        <v>1490.0081892705384</v>
      </c>
      <c r="O210" s="5"/>
      <c r="P210" s="5">
        <f t="shared" si="45"/>
        <v>1</v>
      </c>
      <c r="Q210" s="7">
        <f t="shared" si="46"/>
        <v>59304</v>
      </c>
    </row>
    <row r="211" spans="1:17">
      <c r="A211" s="23" t="s">
        <v>238</v>
      </c>
      <c r="B211" s="37" t="s">
        <v>233</v>
      </c>
      <c r="C211" s="125">
        <v>2200</v>
      </c>
      <c r="D211" s="113">
        <v>248539118</v>
      </c>
      <c r="E211" s="116">
        <f t="shared" si="47"/>
        <v>112972.32636363637</v>
      </c>
      <c r="F211" s="117">
        <v>128175355</v>
      </c>
      <c r="G211" s="117">
        <f t="shared" si="48"/>
        <v>58261.525000000001</v>
      </c>
      <c r="H211" s="9"/>
      <c r="I211" s="109">
        <v>8.3000000000000007</v>
      </c>
      <c r="J211" s="117">
        <v>1063855.4465000001</v>
      </c>
      <c r="K211" s="120">
        <f t="shared" si="49"/>
        <v>483.57065750000004</v>
      </c>
      <c r="L211" s="122">
        <f t="shared" si="42"/>
        <v>1281753.55</v>
      </c>
      <c r="M211" s="116">
        <f t="shared" si="43"/>
        <v>217898.10349999997</v>
      </c>
      <c r="N211" s="123">
        <f t="shared" si="44"/>
        <v>99.044592499999979</v>
      </c>
      <c r="O211" s="5"/>
      <c r="P211" s="5">
        <f t="shared" si="45"/>
        <v>1</v>
      </c>
      <c r="Q211" s="7">
        <f t="shared" si="46"/>
        <v>2200</v>
      </c>
    </row>
    <row r="212" spans="1:17">
      <c r="A212" s="23" t="s">
        <v>239</v>
      </c>
      <c r="B212" s="37" t="s">
        <v>233</v>
      </c>
      <c r="C212" s="125">
        <v>12832</v>
      </c>
      <c r="D212" s="113">
        <v>692857593</v>
      </c>
      <c r="E212" s="116">
        <f t="shared" si="47"/>
        <v>53994.513170199498</v>
      </c>
      <c r="F212" s="117">
        <v>441373435</v>
      </c>
      <c r="G212" s="117">
        <f t="shared" si="48"/>
        <v>34396.308837281795</v>
      </c>
      <c r="H212" s="9"/>
      <c r="I212" s="109">
        <v>7.1858000000000004</v>
      </c>
      <c r="J212" s="117">
        <v>3171621.2292229999</v>
      </c>
      <c r="K212" s="120">
        <f t="shared" si="49"/>
        <v>247.16499604293952</v>
      </c>
      <c r="L212" s="122">
        <f t="shared" si="42"/>
        <v>4413734.3499999996</v>
      </c>
      <c r="M212" s="116">
        <f t="shared" si="43"/>
        <v>1242113.1207769997</v>
      </c>
      <c r="N212" s="123">
        <f t="shared" si="44"/>
        <v>96.798092329878415</v>
      </c>
      <c r="O212" s="5"/>
      <c r="P212" s="5">
        <f t="shared" si="45"/>
        <v>1</v>
      </c>
      <c r="Q212" s="7">
        <f t="shared" si="46"/>
        <v>12832</v>
      </c>
    </row>
    <row r="213" spans="1:17">
      <c r="A213" s="23" t="s">
        <v>240</v>
      </c>
      <c r="B213" s="37" t="s">
        <v>233</v>
      </c>
      <c r="C213" s="125">
        <v>932</v>
      </c>
      <c r="D213" s="113">
        <v>1466489968</v>
      </c>
      <c r="E213" s="116">
        <f t="shared" si="47"/>
        <v>1573487.0901287554</v>
      </c>
      <c r="F213" s="117">
        <v>938602895</v>
      </c>
      <c r="G213" s="117">
        <f t="shared" si="48"/>
        <v>1007084.6512875536</v>
      </c>
      <c r="H213" s="9"/>
      <c r="I213" s="109">
        <v>7.3959999999999999</v>
      </c>
      <c r="J213" s="117">
        <v>6941907.0114200003</v>
      </c>
      <c r="K213" s="120">
        <f t="shared" si="49"/>
        <v>7448.3980809227469</v>
      </c>
      <c r="L213" s="122">
        <f t="shared" si="42"/>
        <v>9386028.9500000011</v>
      </c>
      <c r="M213" s="116">
        <f t="shared" si="43"/>
        <v>2444121.9385800008</v>
      </c>
      <c r="N213" s="123">
        <f t="shared" si="44"/>
        <v>2622.4484319527905</v>
      </c>
      <c r="O213" s="5"/>
      <c r="P213" s="5">
        <f t="shared" si="45"/>
        <v>1</v>
      </c>
      <c r="Q213" s="7">
        <f t="shared" si="46"/>
        <v>932</v>
      </c>
    </row>
    <row r="214" spans="1:17">
      <c r="A214" s="23" t="s">
        <v>241</v>
      </c>
      <c r="B214" s="37" t="s">
        <v>233</v>
      </c>
      <c r="C214" s="125">
        <v>233431</v>
      </c>
      <c r="D214" s="113">
        <v>14017455416</v>
      </c>
      <c r="E214" s="116">
        <f t="shared" si="47"/>
        <v>60049.673847946506</v>
      </c>
      <c r="F214" s="117">
        <v>8427651747</v>
      </c>
      <c r="G214" s="117">
        <f t="shared" si="48"/>
        <v>36103.395637254689</v>
      </c>
      <c r="H214" s="9"/>
      <c r="I214" s="109">
        <v>6.3018000000000001</v>
      </c>
      <c r="J214" s="117">
        <v>53109375.779244602</v>
      </c>
      <c r="K214" s="120">
        <f t="shared" si="49"/>
        <v>227.51637862685163</v>
      </c>
      <c r="L214" s="122">
        <f t="shared" si="42"/>
        <v>84276517.469999999</v>
      </c>
      <c r="M214" s="116">
        <f t="shared" si="43"/>
        <v>31167141.690755397</v>
      </c>
      <c r="N214" s="123">
        <f t="shared" si="44"/>
        <v>133.51757774569529</v>
      </c>
      <c r="O214" s="5"/>
      <c r="P214" s="5">
        <f t="shared" si="45"/>
        <v>1</v>
      </c>
      <c r="Q214" s="7">
        <f t="shared" si="46"/>
        <v>233431</v>
      </c>
    </row>
    <row r="215" spans="1:17">
      <c r="A215" s="23" t="s">
        <v>242</v>
      </c>
      <c r="B215" s="37" t="s">
        <v>233</v>
      </c>
      <c r="C215" s="125">
        <v>23332</v>
      </c>
      <c r="D215" s="113">
        <v>1841173517</v>
      </c>
      <c r="E215" s="116">
        <f t="shared" si="47"/>
        <v>78911.945696896961</v>
      </c>
      <c r="F215" s="117">
        <v>1068731352</v>
      </c>
      <c r="G215" s="117">
        <f t="shared" si="48"/>
        <v>45805.389679410255</v>
      </c>
      <c r="H215" s="9"/>
      <c r="I215" s="109">
        <v>5.1612999999999998</v>
      </c>
      <c r="J215" s="117">
        <v>5516043.1270776</v>
      </c>
      <c r="K215" s="120">
        <f t="shared" si="49"/>
        <v>236.41535775234013</v>
      </c>
      <c r="L215" s="122">
        <f t="shared" si="42"/>
        <v>10687313.52</v>
      </c>
      <c r="M215" s="116">
        <f t="shared" si="43"/>
        <v>5171270.3929223996</v>
      </c>
      <c r="N215" s="123">
        <f t="shared" si="44"/>
        <v>221.63853904176236</v>
      </c>
      <c r="O215" s="5"/>
      <c r="P215" s="5">
        <f t="shared" si="45"/>
        <v>1</v>
      </c>
      <c r="Q215" s="7">
        <f t="shared" si="46"/>
        <v>23332</v>
      </c>
    </row>
    <row r="216" spans="1:17">
      <c r="A216" s="23" t="s">
        <v>243</v>
      </c>
      <c r="B216" s="37" t="s">
        <v>233</v>
      </c>
      <c r="C216" s="125">
        <v>70209</v>
      </c>
      <c r="D216" s="113">
        <v>3746639058</v>
      </c>
      <c r="E216" s="116">
        <f t="shared" si="47"/>
        <v>53364.085202751783</v>
      </c>
      <c r="F216" s="117">
        <v>2302920787</v>
      </c>
      <c r="G216" s="117">
        <f t="shared" si="48"/>
        <v>32800.93416798416</v>
      </c>
      <c r="H216" s="9"/>
      <c r="I216" s="109">
        <v>5.9215</v>
      </c>
      <c r="J216" s="117">
        <v>13636745.440220499</v>
      </c>
      <c r="K216" s="120">
        <f t="shared" si="49"/>
        <v>194.2307316757182</v>
      </c>
      <c r="L216" s="122">
        <f t="shared" si="42"/>
        <v>23029207.870000001</v>
      </c>
      <c r="M216" s="116">
        <f t="shared" si="43"/>
        <v>9392462.4297795016</v>
      </c>
      <c r="N216" s="123">
        <f t="shared" si="44"/>
        <v>133.77861000412344</v>
      </c>
      <c r="O216" s="5"/>
      <c r="P216" s="5">
        <f t="shared" si="45"/>
        <v>1</v>
      </c>
      <c r="Q216" s="7">
        <f t="shared" si="46"/>
        <v>70209</v>
      </c>
    </row>
    <row r="217" spans="1:17">
      <c r="A217" s="23" t="s">
        <v>244</v>
      </c>
      <c r="B217" s="37" t="s">
        <v>233</v>
      </c>
      <c r="C217" s="125">
        <v>84</v>
      </c>
      <c r="D217" s="113">
        <v>836913234</v>
      </c>
      <c r="E217" s="116">
        <f t="shared" si="47"/>
        <v>9963252.7857142854</v>
      </c>
      <c r="F217" s="117">
        <v>542325406</v>
      </c>
      <c r="G217" s="117">
        <f t="shared" si="48"/>
        <v>6456254.833333333</v>
      </c>
      <c r="H217" s="9"/>
      <c r="I217" s="109">
        <v>6.95</v>
      </c>
      <c r="J217" s="117">
        <v>3769161.5717000002</v>
      </c>
      <c r="K217" s="120">
        <f t="shared" si="49"/>
        <v>44870.971091666666</v>
      </c>
      <c r="L217" s="122">
        <f t="shared" si="42"/>
        <v>5423254.0600000005</v>
      </c>
      <c r="M217" s="116">
        <f t="shared" si="43"/>
        <v>1654092.4883000003</v>
      </c>
      <c r="N217" s="123">
        <f t="shared" si="44"/>
        <v>19691.57724166667</v>
      </c>
      <c r="O217" s="5"/>
      <c r="P217" s="5">
        <f t="shared" si="45"/>
        <v>1</v>
      </c>
      <c r="Q217" s="7">
        <f t="shared" si="46"/>
        <v>84</v>
      </c>
    </row>
    <row r="218" spans="1:17">
      <c r="A218" s="23" t="s">
        <v>246</v>
      </c>
      <c r="B218" s="37" t="s">
        <v>233</v>
      </c>
      <c r="C218" s="125">
        <v>12783</v>
      </c>
      <c r="D218" s="113">
        <v>10874324880</v>
      </c>
      <c r="E218" s="116">
        <f t="shared" si="47"/>
        <v>850686.44919033092</v>
      </c>
      <c r="F218" s="117">
        <v>8305745690</v>
      </c>
      <c r="G218" s="117">
        <f t="shared" si="48"/>
        <v>649749.33036063518</v>
      </c>
      <c r="H218" s="9"/>
      <c r="I218" s="109">
        <v>3</v>
      </c>
      <c r="J218" s="117">
        <v>24917237.07</v>
      </c>
      <c r="K218" s="120">
        <f t="shared" si="49"/>
        <v>1949.2479910819056</v>
      </c>
      <c r="L218" s="122">
        <f t="shared" si="42"/>
        <v>83057456.900000006</v>
      </c>
      <c r="M218" s="116">
        <f t="shared" si="43"/>
        <v>58140219.830000006</v>
      </c>
      <c r="N218" s="123">
        <f t="shared" si="44"/>
        <v>4548.2453125244474</v>
      </c>
      <c r="O218" s="5"/>
      <c r="P218" s="5">
        <f t="shared" si="45"/>
        <v>1</v>
      </c>
      <c r="Q218" s="7">
        <f t="shared" si="46"/>
        <v>12783</v>
      </c>
    </row>
    <row r="219" spans="1:17">
      <c r="A219" s="23" t="s">
        <v>247</v>
      </c>
      <c r="B219" s="37" t="s">
        <v>233</v>
      </c>
      <c r="C219" s="125">
        <v>834</v>
      </c>
      <c r="D219" s="113">
        <v>2102408478</v>
      </c>
      <c r="E219" s="116">
        <f t="shared" si="47"/>
        <v>2520873.474820144</v>
      </c>
      <c r="F219" s="117">
        <v>1930678807</v>
      </c>
      <c r="G219" s="117">
        <f t="shared" si="48"/>
        <v>2314962.5983213428</v>
      </c>
      <c r="H219" s="9"/>
      <c r="I219" s="109">
        <v>5.5</v>
      </c>
      <c r="J219" s="117">
        <v>10618733.4385</v>
      </c>
      <c r="K219" s="120">
        <f t="shared" si="49"/>
        <v>12732.294290767386</v>
      </c>
      <c r="L219" s="122">
        <f t="shared" si="42"/>
        <v>19306788.07</v>
      </c>
      <c r="M219" s="116">
        <f t="shared" si="43"/>
        <v>8688054.6315000001</v>
      </c>
      <c r="N219" s="123">
        <f t="shared" si="44"/>
        <v>10417.331692446043</v>
      </c>
      <c r="O219" s="5"/>
      <c r="P219" s="5">
        <f t="shared" si="45"/>
        <v>1</v>
      </c>
      <c r="Q219" s="7">
        <f t="shared" si="46"/>
        <v>834</v>
      </c>
    </row>
    <row r="220" spans="1:17">
      <c r="A220" s="23" t="s">
        <v>248</v>
      </c>
      <c r="B220" s="37" t="s">
        <v>233</v>
      </c>
      <c r="C220" s="125">
        <v>456089</v>
      </c>
      <c r="D220" s="113">
        <v>67112906743</v>
      </c>
      <c r="E220" s="116">
        <f t="shared" si="47"/>
        <v>147148.70725450516</v>
      </c>
      <c r="F220" s="117">
        <v>43287186627</v>
      </c>
      <c r="G220" s="117">
        <f t="shared" si="48"/>
        <v>94909.516842107565</v>
      </c>
      <c r="H220" s="9"/>
      <c r="I220" s="109">
        <v>7.6464999999999996</v>
      </c>
      <c r="J220" s="117">
        <v>330995472.54335546</v>
      </c>
      <c r="K220" s="120">
        <f t="shared" si="49"/>
        <v>725.72562053317552</v>
      </c>
      <c r="L220" s="122">
        <f t="shared" si="42"/>
        <v>432871866.26999998</v>
      </c>
      <c r="M220" s="116">
        <f t="shared" si="43"/>
        <v>101876393.72664452</v>
      </c>
      <c r="N220" s="123">
        <f t="shared" si="44"/>
        <v>223.36954788790021</v>
      </c>
      <c r="O220" s="5"/>
      <c r="P220" s="5">
        <f t="shared" si="45"/>
        <v>1</v>
      </c>
      <c r="Q220" s="7">
        <f t="shared" si="46"/>
        <v>456089</v>
      </c>
    </row>
    <row r="221" spans="1:17">
      <c r="A221" s="23" t="s">
        <v>249</v>
      </c>
      <c r="B221" s="37" t="s">
        <v>233</v>
      </c>
      <c r="C221" s="125">
        <v>92797</v>
      </c>
      <c r="D221" s="113">
        <v>48752808717</v>
      </c>
      <c r="E221" s="116">
        <f t="shared" si="47"/>
        <v>525370.52617002709</v>
      </c>
      <c r="F221" s="117">
        <v>33996397568</v>
      </c>
      <c r="G221" s="117">
        <f t="shared" si="48"/>
        <v>366352.33432115265</v>
      </c>
      <c r="H221" s="9"/>
      <c r="I221" s="109">
        <v>5.7092000000000001</v>
      </c>
      <c r="J221" s="117">
        <v>194092232.99522561</v>
      </c>
      <c r="K221" s="120">
        <f t="shared" si="49"/>
        <v>2091.5787471063245</v>
      </c>
      <c r="L221" s="122">
        <f t="shared" si="42"/>
        <v>339963975.68000001</v>
      </c>
      <c r="M221" s="116">
        <f t="shared" si="43"/>
        <v>145871742.6847744</v>
      </c>
      <c r="N221" s="123">
        <f t="shared" si="44"/>
        <v>1571.9445961052018</v>
      </c>
      <c r="O221" s="5"/>
      <c r="P221" s="5">
        <f t="shared" si="45"/>
        <v>1</v>
      </c>
      <c r="Q221" s="7">
        <f t="shared" si="46"/>
        <v>92797</v>
      </c>
    </row>
    <row r="222" spans="1:17">
      <c r="A222" s="23" t="s">
        <v>500</v>
      </c>
      <c r="B222" s="37" t="s">
        <v>233</v>
      </c>
      <c r="C222" s="125">
        <v>111998</v>
      </c>
      <c r="D222" s="113">
        <v>6353782958</v>
      </c>
      <c r="E222" s="116">
        <f t="shared" si="47"/>
        <v>56731.218039607847</v>
      </c>
      <c r="F222" s="117">
        <v>3745944770</v>
      </c>
      <c r="G222" s="117">
        <f t="shared" si="48"/>
        <v>33446.532705941179</v>
      </c>
      <c r="H222" s="9"/>
      <c r="I222" s="109">
        <v>6.9363000000000001</v>
      </c>
      <c r="J222" s="117">
        <v>25982996.708151001</v>
      </c>
      <c r="K222" s="120">
        <f t="shared" si="49"/>
        <v>231.99518480821979</v>
      </c>
      <c r="L222" s="122">
        <f t="shared" si="42"/>
        <v>37459447.700000003</v>
      </c>
      <c r="M222" s="116">
        <f t="shared" si="43"/>
        <v>11476450.991849001</v>
      </c>
      <c r="N222" s="123">
        <f t="shared" si="44"/>
        <v>102.470142251192</v>
      </c>
      <c r="O222" s="5"/>
      <c r="P222" s="5">
        <f t="shared" si="45"/>
        <v>1</v>
      </c>
      <c r="Q222" s="7">
        <f t="shared" si="46"/>
        <v>111998</v>
      </c>
    </row>
    <row r="223" spans="1:17">
      <c r="A223" s="23" t="s">
        <v>459</v>
      </c>
      <c r="B223" s="37" t="s">
        <v>233</v>
      </c>
      <c r="C223" s="125">
        <v>30456</v>
      </c>
      <c r="D223" s="113">
        <v>4177996533</v>
      </c>
      <c r="E223" s="116">
        <f t="shared" si="47"/>
        <v>137181.39391252954</v>
      </c>
      <c r="F223" s="117">
        <v>2779313541</v>
      </c>
      <c r="G223" s="117">
        <f t="shared" si="48"/>
        <v>91256.68311662726</v>
      </c>
      <c r="H223" s="9"/>
      <c r="I223" s="109">
        <v>2.3353000000000002</v>
      </c>
      <c r="J223" s="117">
        <v>6490530.9122973001</v>
      </c>
      <c r="K223" s="120">
        <f t="shared" si="49"/>
        <v>213.11173208225966</v>
      </c>
      <c r="L223" s="122">
        <f t="shared" si="42"/>
        <v>27793135.41</v>
      </c>
      <c r="M223" s="116">
        <f t="shared" si="43"/>
        <v>21302604.497702699</v>
      </c>
      <c r="N223" s="123">
        <f t="shared" si="44"/>
        <v>699.455099084013</v>
      </c>
      <c r="O223" s="5"/>
      <c r="P223" s="5">
        <f t="shared" si="45"/>
        <v>1</v>
      </c>
      <c r="Q223" s="7">
        <f t="shared" si="46"/>
        <v>30456</v>
      </c>
    </row>
    <row r="224" spans="1:17">
      <c r="A224" s="23" t="s">
        <v>250</v>
      </c>
      <c r="B224" s="37" t="s">
        <v>233</v>
      </c>
      <c r="C224" s="125">
        <v>10810</v>
      </c>
      <c r="D224" s="113">
        <v>1869199235</v>
      </c>
      <c r="E224" s="116">
        <f t="shared" si="47"/>
        <v>172913.8977798335</v>
      </c>
      <c r="F224" s="117">
        <v>971385888</v>
      </c>
      <c r="G224" s="117">
        <f t="shared" si="48"/>
        <v>89859.934135060132</v>
      </c>
      <c r="H224" s="9"/>
      <c r="I224" s="109">
        <v>7.9</v>
      </c>
      <c r="J224" s="117">
        <v>7673948.5152000012</v>
      </c>
      <c r="K224" s="120">
        <f t="shared" si="49"/>
        <v>709.89347966697517</v>
      </c>
      <c r="L224" s="122">
        <f t="shared" si="42"/>
        <v>9713858.8800000008</v>
      </c>
      <c r="M224" s="116">
        <f t="shared" si="43"/>
        <v>2039910.3647999996</v>
      </c>
      <c r="N224" s="123">
        <f t="shared" si="44"/>
        <v>188.70586168362624</v>
      </c>
      <c r="O224" s="5"/>
      <c r="P224" s="5">
        <f t="shared" si="45"/>
        <v>1</v>
      </c>
      <c r="Q224" s="7">
        <f t="shared" si="46"/>
        <v>10810</v>
      </c>
    </row>
    <row r="225" spans="1:21">
      <c r="A225" s="23" t="s">
        <v>251</v>
      </c>
      <c r="B225" s="37" t="s">
        <v>233</v>
      </c>
      <c r="C225" s="125">
        <v>14214</v>
      </c>
      <c r="D225" s="113">
        <v>1612476655</v>
      </c>
      <c r="E225" s="116">
        <f t="shared" si="47"/>
        <v>113442.84895173772</v>
      </c>
      <c r="F225" s="117">
        <v>1038827487</v>
      </c>
      <c r="G225" s="117">
        <f t="shared" si="48"/>
        <v>73084.80983537357</v>
      </c>
      <c r="H225" s="9"/>
      <c r="I225" s="109">
        <v>7.5</v>
      </c>
      <c r="J225" s="117">
        <v>7791206.1524999999</v>
      </c>
      <c r="K225" s="120">
        <f t="shared" si="49"/>
        <v>548.13607376530183</v>
      </c>
      <c r="L225" s="122">
        <f t="shared" si="42"/>
        <v>10388274.870000001</v>
      </c>
      <c r="M225" s="116">
        <f t="shared" si="43"/>
        <v>2597068.7175000012</v>
      </c>
      <c r="N225" s="123">
        <f t="shared" si="44"/>
        <v>182.71202458843402</v>
      </c>
      <c r="O225" s="5"/>
      <c r="P225" s="5">
        <f t="shared" si="45"/>
        <v>1</v>
      </c>
      <c r="Q225" s="7">
        <f t="shared" si="46"/>
        <v>14214</v>
      </c>
    </row>
    <row r="226" spans="1:21">
      <c r="A226" s="24" t="s">
        <v>599</v>
      </c>
      <c r="B226" s="37" t="s">
        <v>233</v>
      </c>
      <c r="C226" s="125">
        <v>8949</v>
      </c>
      <c r="D226" s="113">
        <v>1272539913</v>
      </c>
      <c r="E226" s="116">
        <f t="shared" si="47"/>
        <v>142199.11867247737</v>
      </c>
      <c r="F226" s="117">
        <v>954741137</v>
      </c>
      <c r="G226" s="117">
        <f t="shared" si="48"/>
        <v>106686.90769918426</v>
      </c>
      <c r="H226" s="9"/>
      <c r="I226" s="109">
        <v>4.8432000000000004</v>
      </c>
      <c r="J226" s="117">
        <v>4624002.2747184001</v>
      </c>
      <c r="K226" s="120">
        <f t="shared" si="49"/>
        <v>516.7060313686892</v>
      </c>
      <c r="L226" s="122">
        <f t="shared" si="42"/>
        <v>9547411.370000001</v>
      </c>
      <c r="M226" s="116">
        <f t="shared" si="43"/>
        <v>4923409.095281601</v>
      </c>
      <c r="N226" s="123">
        <f t="shared" si="44"/>
        <v>550.16304562315349</v>
      </c>
      <c r="O226" s="5"/>
      <c r="P226" s="5">
        <f t="shared" si="45"/>
        <v>1</v>
      </c>
      <c r="Q226" s="7">
        <f t="shared" si="46"/>
        <v>8949</v>
      </c>
    </row>
    <row r="227" spans="1:21">
      <c r="A227" s="23" t="s">
        <v>253</v>
      </c>
      <c r="B227" s="37" t="s">
        <v>233</v>
      </c>
      <c r="C227" s="125">
        <v>63731</v>
      </c>
      <c r="D227" s="113">
        <v>4329803844</v>
      </c>
      <c r="E227" s="116">
        <f t="shared" si="47"/>
        <v>67938.740079396215</v>
      </c>
      <c r="F227" s="117">
        <v>2581570252</v>
      </c>
      <c r="G227" s="117">
        <f t="shared" si="48"/>
        <v>40507.292400872415</v>
      </c>
      <c r="H227" s="9"/>
      <c r="I227" s="109">
        <v>7.5</v>
      </c>
      <c r="J227" s="117">
        <v>19361776.890000001</v>
      </c>
      <c r="K227" s="120">
        <f t="shared" si="49"/>
        <v>303.80469300654312</v>
      </c>
      <c r="L227" s="122">
        <f t="shared" si="42"/>
        <v>25815702.52</v>
      </c>
      <c r="M227" s="116">
        <f t="shared" si="43"/>
        <v>6453925.629999999</v>
      </c>
      <c r="N227" s="123">
        <f t="shared" si="44"/>
        <v>101.26823100218103</v>
      </c>
      <c r="O227" s="5"/>
      <c r="P227" s="5">
        <f t="shared" si="45"/>
        <v>1</v>
      </c>
      <c r="Q227" s="7">
        <f t="shared" si="46"/>
        <v>63731</v>
      </c>
    </row>
    <row r="228" spans="1:21">
      <c r="A228" s="23" t="s">
        <v>254</v>
      </c>
      <c r="B228" s="37" t="s">
        <v>233</v>
      </c>
      <c r="C228" s="125">
        <v>44512</v>
      </c>
      <c r="D228" s="113">
        <v>3502389944</v>
      </c>
      <c r="E228" s="116">
        <f t="shared" si="47"/>
        <v>78684.173795830342</v>
      </c>
      <c r="F228" s="117">
        <v>2304936076</v>
      </c>
      <c r="G228" s="117">
        <f t="shared" si="48"/>
        <v>51782.352534148093</v>
      </c>
      <c r="H228" s="9"/>
      <c r="I228" s="109">
        <v>6.5</v>
      </c>
      <c r="J228" s="117">
        <v>14982084.494000001</v>
      </c>
      <c r="K228" s="120">
        <f t="shared" si="49"/>
        <v>336.58529147196265</v>
      </c>
      <c r="L228" s="122">
        <f t="shared" si="42"/>
        <v>23049360.760000002</v>
      </c>
      <c r="M228" s="116">
        <f t="shared" si="43"/>
        <v>8067276.2660000008</v>
      </c>
      <c r="N228" s="123">
        <f t="shared" si="44"/>
        <v>181.23823386951835</v>
      </c>
      <c r="O228" s="5"/>
      <c r="P228" s="5">
        <f t="shared" si="45"/>
        <v>1</v>
      </c>
      <c r="Q228" s="7">
        <f t="shared" si="46"/>
        <v>44512</v>
      </c>
    </row>
    <row r="229" spans="1:21">
      <c r="A229" s="23" t="s">
        <v>255</v>
      </c>
      <c r="B229" s="37" t="s">
        <v>233</v>
      </c>
      <c r="C229" s="125">
        <v>17831</v>
      </c>
      <c r="D229" s="113">
        <v>1122746484</v>
      </c>
      <c r="E229" s="116">
        <f t="shared" si="47"/>
        <v>62965.985306488699</v>
      </c>
      <c r="F229" s="117">
        <v>741894815</v>
      </c>
      <c r="G229" s="117">
        <f t="shared" si="48"/>
        <v>41607.022320677475</v>
      </c>
      <c r="H229" s="9"/>
      <c r="I229" s="109">
        <v>10</v>
      </c>
      <c r="J229" s="117">
        <v>7418948.1500000004</v>
      </c>
      <c r="K229" s="120">
        <f t="shared" si="49"/>
        <v>416.07022320677476</v>
      </c>
      <c r="L229" s="122">
        <f t="shared" si="42"/>
        <v>7418948.1500000004</v>
      </c>
      <c r="M229" s="116">
        <f t="shared" si="43"/>
        <v>0</v>
      </c>
      <c r="N229" s="123">
        <f t="shared" si="44"/>
        <v>0</v>
      </c>
      <c r="O229" s="5"/>
      <c r="P229" s="5">
        <f t="shared" si="45"/>
        <v>1</v>
      </c>
      <c r="Q229" s="7">
        <f t="shared" si="46"/>
        <v>17831</v>
      </c>
    </row>
    <row r="230" spans="1:21">
      <c r="A230" s="23" t="s">
        <v>493</v>
      </c>
      <c r="B230" s="37" t="s">
        <v>233</v>
      </c>
      <c r="C230" s="125">
        <v>23962</v>
      </c>
      <c r="D230" s="113">
        <v>4102857550</v>
      </c>
      <c r="E230" s="116">
        <f t="shared" si="47"/>
        <v>171223.50179450796</v>
      </c>
      <c r="F230" s="117">
        <v>2645952435</v>
      </c>
      <c r="G230" s="117">
        <f t="shared" si="48"/>
        <v>110422.85431099241</v>
      </c>
      <c r="H230" s="9"/>
      <c r="I230" s="109">
        <v>2.3292000000000002</v>
      </c>
      <c r="J230" s="117">
        <v>6162952.4116019998</v>
      </c>
      <c r="K230" s="120">
        <f t="shared" si="49"/>
        <v>257.1969122611635</v>
      </c>
      <c r="L230" s="122">
        <f t="shared" si="42"/>
        <v>26459524.350000001</v>
      </c>
      <c r="M230" s="116">
        <f t="shared" si="43"/>
        <v>20296571.938398004</v>
      </c>
      <c r="N230" s="123">
        <f t="shared" si="44"/>
        <v>847.03163084876064</v>
      </c>
      <c r="O230" s="5"/>
      <c r="P230" s="5">
        <f t="shared" si="45"/>
        <v>1</v>
      </c>
      <c r="Q230" s="7">
        <f t="shared" si="46"/>
        <v>23962</v>
      </c>
    </row>
    <row r="231" spans="1:21">
      <c r="A231" s="23" t="s">
        <v>256</v>
      </c>
      <c r="B231" s="37" t="s">
        <v>233</v>
      </c>
      <c r="C231" s="125">
        <v>18382</v>
      </c>
      <c r="D231" s="113">
        <v>6257853981</v>
      </c>
      <c r="E231" s="116">
        <f t="shared" si="47"/>
        <v>340433.7928952236</v>
      </c>
      <c r="F231" s="117">
        <v>4341297830</v>
      </c>
      <c r="G231" s="117">
        <f t="shared" si="48"/>
        <v>236171.1364378196</v>
      </c>
      <c r="H231" s="9"/>
      <c r="I231" s="109">
        <v>2.2999999999999998</v>
      </c>
      <c r="J231" s="117">
        <v>9984985.0089999996</v>
      </c>
      <c r="K231" s="120">
        <f t="shared" si="49"/>
        <v>543.19361380698513</v>
      </c>
      <c r="L231" s="122">
        <f t="shared" si="42"/>
        <v>43412978.300000004</v>
      </c>
      <c r="M231" s="116">
        <f t="shared" si="43"/>
        <v>33427993.291000005</v>
      </c>
      <c r="N231" s="123">
        <f t="shared" si="44"/>
        <v>1818.5177505712113</v>
      </c>
      <c r="O231" s="5"/>
      <c r="P231" s="5">
        <f t="shared" si="45"/>
        <v>1</v>
      </c>
      <c r="Q231" s="7">
        <f t="shared" si="46"/>
        <v>18382</v>
      </c>
    </row>
    <row r="232" spans="1:21">
      <c r="A232" s="23" t="s">
        <v>257</v>
      </c>
      <c r="B232" s="37" t="s">
        <v>233</v>
      </c>
      <c r="C232" s="125">
        <v>12912</v>
      </c>
      <c r="D232" s="113">
        <v>2580692936</v>
      </c>
      <c r="E232" s="116">
        <f t="shared" ref="E232:E263" si="50">(D232/C232)</f>
        <v>199867.79244114002</v>
      </c>
      <c r="F232" s="117">
        <v>1666093662</v>
      </c>
      <c r="G232" s="117">
        <f t="shared" ref="G232:G263" si="51">(F232/C232)</f>
        <v>129034.5153345725</v>
      </c>
      <c r="H232" s="9"/>
      <c r="I232" s="110">
        <v>4.3</v>
      </c>
      <c r="J232" s="117">
        <v>7164202.7465999993</v>
      </c>
      <c r="K232" s="120">
        <f t="shared" ref="K232:K263" si="52">(J232/C232)</f>
        <v>554.84841593866167</v>
      </c>
      <c r="L232" s="122">
        <f t="shared" si="42"/>
        <v>16660936.620000001</v>
      </c>
      <c r="M232" s="116">
        <f t="shared" si="43"/>
        <v>9496733.8734000027</v>
      </c>
      <c r="N232" s="123">
        <f t="shared" si="44"/>
        <v>735.49673740706339</v>
      </c>
      <c r="O232" s="5"/>
      <c r="P232" s="5">
        <f t="shared" si="45"/>
        <v>1</v>
      </c>
      <c r="Q232" s="7">
        <f t="shared" si="46"/>
        <v>12912</v>
      </c>
    </row>
    <row r="233" spans="1:21">
      <c r="A233" s="23" t="s">
        <v>258</v>
      </c>
      <c r="B233" s="37" t="s">
        <v>233</v>
      </c>
      <c r="C233" s="125">
        <v>22063</v>
      </c>
      <c r="D233" s="113">
        <v>12309832886</v>
      </c>
      <c r="E233" s="116">
        <f t="shared" si="50"/>
        <v>557940.12083578843</v>
      </c>
      <c r="F233" s="117">
        <v>9968875783</v>
      </c>
      <c r="G233" s="117">
        <f t="shared" si="51"/>
        <v>451836.82105787972</v>
      </c>
      <c r="H233" s="9"/>
      <c r="I233" s="109">
        <v>2.4</v>
      </c>
      <c r="J233" s="117">
        <v>23925301.8792</v>
      </c>
      <c r="K233" s="120">
        <f t="shared" si="52"/>
        <v>1084.4083705389114</v>
      </c>
      <c r="L233" s="122">
        <f t="shared" si="42"/>
        <v>99688757.829999998</v>
      </c>
      <c r="M233" s="116">
        <f t="shared" si="43"/>
        <v>75763455.950800002</v>
      </c>
      <c r="N233" s="123">
        <f t="shared" si="44"/>
        <v>3433.9598400398859</v>
      </c>
      <c r="O233" s="5"/>
      <c r="P233" s="5">
        <f t="shared" si="45"/>
        <v>1</v>
      </c>
      <c r="Q233" s="7">
        <f t="shared" si="46"/>
        <v>22063</v>
      </c>
    </row>
    <row r="234" spans="1:21">
      <c r="A234" s="23" t="s">
        <v>259</v>
      </c>
      <c r="B234" s="37" t="s">
        <v>233</v>
      </c>
      <c r="C234" s="125">
        <v>5544</v>
      </c>
      <c r="D234" s="113">
        <v>2380296656</v>
      </c>
      <c r="E234" s="116">
        <f t="shared" si="50"/>
        <v>429346.43867243867</v>
      </c>
      <c r="F234" s="117">
        <v>1670118467</v>
      </c>
      <c r="G234" s="117">
        <f t="shared" si="51"/>
        <v>301247.91973304475</v>
      </c>
      <c r="H234" s="9"/>
      <c r="I234" s="109">
        <v>5.0144000000000002</v>
      </c>
      <c r="J234" s="117">
        <v>8374642.0409247996</v>
      </c>
      <c r="K234" s="120">
        <f t="shared" si="52"/>
        <v>1510.5775687093794</v>
      </c>
      <c r="L234" s="122">
        <f t="shared" si="42"/>
        <v>16701184.67</v>
      </c>
      <c r="M234" s="116">
        <f t="shared" si="43"/>
        <v>8326542.6290752003</v>
      </c>
      <c r="N234" s="123">
        <f t="shared" si="44"/>
        <v>1501.9016286210679</v>
      </c>
      <c r="O234" s="5"/>
      <c r="P234" s="5">
        <f t="shared" si="45"/>
        <v>1</v>
      </c>
      <c r="Q234" s="7">
        <f t="shared" si="46"/>
        <v>5544</v>
      </c>
    </row>
    <row r="235" spans="1:21">
      <c r="A235" s="23" t="s">
        <v>260</v>
      </c>
      <c r="B235" s="37" t="s">
        <v>233</v>
      </c>
      <c r="C235" s="125">
        <v>21408</v>
      </c>
      <c r="D235" s="113">
        <v>1941221284</v>
      </c>
      <c r="E235" s="116">
        <f t="shared" si="50"/>
        <v>90677.376868460386</v>
      </c>
      <c r="F235" s="117">
        <v>1532020948</v>
      </c>
      <c r="G235" s="117">
        <f t="shared" si="51"/>
        <v>71563.011397608367</v>
      </c>
      <c r="H235" s="9"/>
      <c r="I235" s="109">
        <v>4.5</v>
      </c>
      <c r="J235" s="117">
        <v>6894094.2659999998</v>
      </c>
      <c r="K235" s="120">
        <f t="shared" si="52"/>
        <v>322.03355128923766</v>
      </c>
      <c r="L235" s="122">
        <f t="shared" si="42"/>
        <v>15320209.48</v>
      </c>
      <c r="M235" s="116">
        <f t="shared" si="43"/>
        <v>8426115.2140000015</v>
      </c>
      <c r="N235" s="123">
        <f t="shared" si="44"/>
        <v>393.59656268684608</v>
      </c>
      <c r="O235" s="5"/>
      <c r="P235" s="5">
        <f t="shared" si="45"/>
        <v>1</v>
      </c>
      <c r="Q235" s="7">
        <f t="shared" si="46"/>
        <v>21408</v>
      </c>
    </row>
    <row r="236" spans="1:21">
      <c r="A236" s="23" t="s">
        <v>261</v>
      </c>
      <c r="B236" s="35" t="s">
        <v>233</v>
      </c>
      <c r="C236" s="125">
        <v>2433</v>
      </c>
      <c r="D236" s="113">
        <v>324312408</v>
      </c>
      <c r="E236" s="116">
        <f t="shared" si="50"/>
        <v>133297.33168927251</v>
      </c>
      <c r="F236" s="117">
        <v>246449044</v>
      </c>
      <c r="G236" s="117">
        <f t="shared" si="51"/>
        <v>101294.30497328402</v>
      </c>
      <c r="H236" s="9"/>
      <c r="I236" s="110">
        <v>5.15</v>
      </c>
      <c r="J236" s="117">
        <v>1269212.5766</v>
      </c>
      <c r="K236" s="120">
        <f t="shared" si="52"/>
        <v>521.66567061241267</v>
      </c>
      <c r="L236" s="122">
        <f t="shared" si="42"/>
        <v>2464490.44</v>
      </c>
      <c r="M236" s="116">
        <f t="shared" si="43"/>
        <v>1195277.8633999999</v>
      </c>
      <c r="N236" s="123">
        <f t="shared" si="44"/>
        <v>491.27737912042744</v>
      </c>
      <c r="O236" s="5"/>
      <c r="P236" s="5">
        <f t="shared" si="45"/>
        <v>1</v>
      </c>
      <c r="Q236" s="7">
        <f t="shared" si="46"/>
        <v>2433</v>
      </c>
    </row>
    <row r="237" spans="1:21">
      <c r="A237" s="23" t="s">
        <v>262</v>
      </c>
      <c r="B237" s="35" t="s">
        <v>233</v>
      </c>
      <c r="C237" s="125">
        <v>6600</v>
      </c>
      <c r="D237" s="113">
        <v>584444504</v>
      </c>
      <c r="E237" s="116">
        <f t="shared" si="50"/>
        <v>88552.197575757571</v>
      </c>
      <c r="F237" s="117">
        <v>363495371</v>
      </c>
      <c r="G237" s="117">
        <f t="shared" si="51"/>
        <v>55075.056212121213</v>
      </c>
      <c r="H237" s="9"/>
      <c r="I237" s="109">
        <v>6.8857999999999997</v>
      </c>
      <c r="J237" s="117">
        <v>2502956.4256317997</v>
      </c>
      <c r="K237" s="120">
        <f t="shared" si="52"/>
        <v>379.2358220654242</v>
      </c>
      <c r="L237" s="122">
        <f t="shared" si="42"/>
        <v>3634953.71</v>
      </c>
      <c r="M237" s="116">
        <f t="shared" si="43"/>
        <v>1131997.2843682002</v>
      </c>
      <c r="N237" s="123">
        <f t="shared" si="44"/>
        <v>171.51474005578791</v>
      </c>
      <c r="O237" s="5"/>
      <c r="P237" s="5">
        <f t="shared" si="45"/>
        <v>1</v>
      </c>
      <c r="Q237" s="7">
        <f t="shared" si="46"/>
        <v>6600</v>
      </c>
      <c r="S237" s="124">
        <f>SUM(D204:D237)</f>
        <v>262897401446</v>
      </c>
      <c r="T237" s="124">
        <f>SUM(F204:F237)</f>
        <v>181401492760</v>
      </c>
      <c r="U237" s="124">
        <f>SUM(J204:J237)</f>
        <v>944144181.44438207</v>
      </c>
    </row>
    <row r="238" spans="1:21">
      <c r="A238" s="23" t="s">
        <v>263</v>
      </c>
      <c r="B238" s="35" t="s">
        <v>264</v>
      </c>
      <c r="C238" s="125">
        <v>6202</v>
      </c>
      <c r="D238" s="113">
        <v>3877635848</v>
      </c>
      <c r="E238" s="116">
        <f t="shared" si="50"/>
        <v>625223.45178974525</v>
      </c>
      <c r="F238" s="117">
        <v>3029631424</v>
      </c>
      <c r="G238" s="117">
        <f t="shared" si="51"/>
        <v>488492.65140277328</v>
      </c>
      <c r="H238" s="7"/>
      <c r="I238" s="109">
        <v>3</v>
      </c>
      <c r="J238" s="117">
        <v>9088894.2719999999</v>
      </c>
      <c r="K238" s="120">
        <f t="shared" si="52"/>
        <v>1465.4779542083199</v>
      </c>
      <c r="L238" s="122">
        <f t="shared" si="42"/>
        <v>30296314.240000002</v>
      </c>
      <c r="M238" s="116">
        <f t="shared" si="43"/>
        <v>21207419.968000002</v>
      </c>
      <c r="N238" s="123">
        <f t="shared" si="44"/>
        <v>3419.4485598194133</v>
      </c>
      <c r="O238" s="5"/>
      <c r="P238" s="5">
        <f t="shared" si="45"/>
        <v>1</v>
      </c>
      <c r="Q238" s="7">
        <f t="shared" si="46"/>
        <v>6202</v>
      </c>
    </row>
    <row r="239" spans="1:21">
      <c r="A239" s="23" t="s">
        <v>265</v>
      </c>
      <c r="B239" s="35" t="s">
        <v>264</v>
      </c>
      <c r="C239" s="125">
        <v>793</v>
      </c>
      <c r="D239" s="113">
        <v>769711009</v>
      </c>
      <c r="E239" s="116">
        <f t="shared" si="50"/>
        <v>970631.78940731403</v>
      </c>
      <c r="F239" s="117">
        <v>646427346</v>
      </c>
      <c r="G239" s="117">
        <f t="shared" si="51"/>
        <v>815166.89281210594</v>
      </c>
      <c r="H239" s="7"/>
      <c r="I239" s="109">
        <v>2.23</v>
      </c>
      <c r="J239" s="117">
        <v>1441532.9815799999</v>
      </c>
      <c r="K239" s="120">
        <f t="shared" si="52"/>
        <v>1817.822170970996</v>
      </c>
      <c r="L239" s="122">
        <f t="shared" si="42"/>
        <v>6464273.46</v>
      </c>
      <c r="M239" s="116">
        <f t="shared" si="43"/>
        <v>5022740.4784200005</v>
      </c>
      <c r="N239" s="123">
        <f t="shared" si="44"/>
        <v>6333.8467571500641</v>
      </c>
      <c r="O239" s="5"/>
      <c r="P239" s="5">
        <f t="shared" si="45"/>
        <v>1</v>
      </c>
      <c r="Q239" s="7">
        <f t="shared" si="46"/>
        <v>793</v>
      </c>
    </row>
    <row r="240" spans="1:21">
      <c r="A240" s="23" t="s">
        <v>266</v>
      </c>
      <c r="B240" s="35" t="s">
        <v>264</v>
      </c>
      <c r="C240" s="125">
        <v>25009</v>
      </c>
      <c r="D240" s="113">
        <v>11335860343</v>
      </c>
      <c r="E240" s="116">
        <f t="shared" si="50"/>
        <v>453271.236075013</v>
      </c>
      <c r="F240" s="117">
        <v>6408884297</v>
      </c>
      <c r="G240" s="117">
        <f t="shared" si="51"/>
        <v>256263.11715782317</v>
      </c>
      <c r="H240" s="7"/>
      <c r="I240" s="109">
        <v>2.4895999999999998</v>
      </c>
      <c r="J240" s="117">
        <v>15955558.345811199</v>
      </c>
      <c r="K240" s="120">
        <f t="shared" si="52"/>
        <v>637.99265647611662</v>
      </c>
      <c r="L240" s="122">
        <f t="shared" si="42"/>
        <v>64088842.969999999</v>
      </c>
      <c r="M240" s="116">
        <f t="shared" si="43"/>
        <v>48133284.624188796</v>
      </c>
      <c r="N240" s="123">
        <f t="shared" si="44"/>
        <v>1924.638515102115</v>
      </c>
      <c r="O240" s="5"/>
      <c r="P240" s="5">
        <f t="shared" si="45"/>
        <v>1</v>
      </c>
      <c r="Q240" s="7">
        <f t="shared" si="46"/>
        <v>25009</v>
      </c>
    </row>
    <row r="241" spans="1:21">
      <c r="A241" s="23" t="s">
        <v>267</v>
      </c>
      <c r="B241" s="35" t="s">
        <v>264</v>
      </c>
      <c r="C241" s="125">
        <v>182</v>
      </c>
      <c r="D241" s="113">
        <v>73508856</v>
      </c>
      <c r="E241" s="116">
        <f t="shared" si="50"/>
        <v>403894.8131868132</v>
      </c>
      <c r="F241" s="117">
        <v>54531692</v>
      </c>
      <c r="G241" s="117">
        <f t="shared" si="51"/>
        <v>299624.68131868134</v>
      </c>
      <c r="H241" s="7"/>
      <c r="I241" s="109">
        <v>2.7517</v>
      </c>
      <c r="J241" s="117">
        <v>150054.85687640001</v>
      </c>
      <c r="K241" s="120">
        <f t="shared" si="52"/>
        <v>824.47723558461541</v>
      </c>
      <c r="L241" s="122">
        <f t="shared" si="42"/>
        <v>545316.92000000004</v>
      </c>
      <c r="M241" s="116">
        <f t="shared" si="43"/>
        <v>395262.06312360003</v>
      </c>
      <c r="N241" s="123">
        <f t="shared" si="44"/>
        <v>2171.7695776021978</v>
      </c>
      <c r="O241" s="5"/>
      <c r="P241" s="5">
        <f t="shared" si="45"/>
        <v>1</v>
      </c>
      <c r="Q241" s="7">
        <f t="shared" si="46"/>
        <v>182</v>
      </c>
    </row>
    <row r="242" spans="1:21">
      <c r="A242" s="23" t="s">
        <v>449</v>
      </c>
      <c r="B242" s="35" t="s">
        <v>264</v>
      </c>
      <c r="C242" s="125">
        <v>8546</v>
      </c>
      <c r="D242" s="113">
        <v>2919393911</v>
      </c>
      <c r="E242" s="116">
        <f t="shared" si="50"/>
        <v>341609.39749590453</v>
      </c>
      <c r="F242" s="117">
        <v>2159032535</v>
      </c>
      <c r="G242" s="117">
        <f t="shared" si="51"/>
        <v>252636.61771589046</v>
      </c>
      <c r="H242" s="7"/>
      <c r="I242" s="109">
        <v>2.5</v>
      </c>
      <c r="J242" s="117">
        <v>5397581.3375000004</v>
      </c>
      <c r="K242" s="120">
        <f t="shared" si="52"/>
        <v>631.59154428972624</v>
      </c>
      <c r="L242" s="122">
        <f t="shared" si="42"/>
        <v>21590325.350000001</v>
      </c>
      <c r="M242" s="116">
        <f t="shared" si="43"/>
        <v>16192744.012500001</v>
      </c>
      <c r="N242" s="123">
        <f t="shared" si="44"/>
        <v>1894.7746328691787</v>
      </c>
      <c r="O242" s="5"/>
      <c r="P242" s="5">
        <f t="shared" si="45"/>
        <v>1</v>
      </c>
      <c r="Q242" s="7">
        <f t="shared" si="46"/>
        <v>8546</v>
      </c>
      <c r="S242" s="124">
        <f>SUM(D238:D242)</f>
        <v>18976109967</v>
      </c>
      <c r="T242" s="124">
        <f>SUM(F238:F242)</f>
        <v>12298507294</v>
      </c>
      <c r="U242" s="124">
        <f>SUM(J238:J242)</f>
        <v>32033621.793767601</v>
      </c>
    </row>
    <row r="243" spans="1:21">
      <c r="A243" s="23" t="s">
        <v>268</v>
      </c>
      <c r="B243" s="35" t="s">
        <v>269</v>
      </c>
      <c r="C243" s="125">
        <v>1195</v>
      </c>
      <c r="D243" s="113">
        <v>121911931</v>
      </c>
      <c r="E243" s="116">
        <f t="shared" si="50"/>
        <v>102018.35230125523</v>
      </c>
      <c r="F243" s="117">
        <v>76630694</v>
      </c>
      <c r="G243" s="117">
        <f t="shared" si="51"/>
        <v>64126.103765690379</v>
      </c>
      <c r="H243" s="7"/>
      <c r="I243" s="109">
        <v>3.1560999999999999</v>
      </c>
      <c r="J243" s="117">
        <v>241854.13333339998</v>
      </c>
      <c r="K243" s="120">
        <f t="shared" si="52"/>
        <v>202.38839609489537</v>
      </c>
      <c r="L243" s="122">
        <f t="shared" si="42"/>
        <v>766306.94000000006</v>
      </c>
      <c r="M243" s="116">
        <f t="shared" si="43"/>
        <v>524452.80666660005</v>
      </c>
      <c r="N243" s="123">
        <f t="shared" si="44"/>
        <v>438.87264156200843</v>
      </c>
      <c r="O243" s="5"/>
      <c r="P243" s="5">
        <f t="shared" si="45"/>
        <v>1</v>
      </c>
      <c r="Q243" s="7">
        <f t="shared" si="46"/>
        <v>1195</v>
      </c>
    </row>
    <row r="244" spans="1:21">
      <c r="A244" s="23" t="s">
        <v>270</v>
      </c>
      <c r="B244" s="35" t="s">
        <v>269</v>
      </c>
      <c r="C244" s="125">
        <v>12229</v>
      </c>
      <c r="D244" s="113">
        <v>2646420896</v>
      </c>
      <c r="E244" s="116">
        <f t="shared" si="50"/>
        <v>216405.33943903836</v>
      </c>
      <c r="F244" s="117">
        <v>1808428316</v>
      </c>
      <c r="G244" s="117">
        <f t="shared" si="51"/>
        <v>147880.3104096819</v>
      </c>
      <c r="H244" s="7"/>
      <c r="I244" s="109">
        <v>6.0682</v>
      </c>
      <c r="J244" s="117">
        <v>10973904.707151199</v>
      </c>
      <c r="K244" s="120">
        <f t="shared" si="52"/>
        <v>897.36729962803167</v>
      </c>
      <c r="L244" s="122">
        <f t="shared" si="42"/>
        <v>18084283.16</v>
      </c>
      <c r="M244" s="116">
        <f t="shared" si="43"/>
        <v>7110378.4528488014</v>
      </c>
      <c r="N244" s="123">
        <f t="shared" si="44"/>
        <v>581.43580446878741</v>
      </c>
      <c r="O244" s="5"/>
      <c r="P244" s="5">
        <f t="shared" si="45"/>
        <v>1</v>
      </c>
      <c r="Q244" s="7">
        <f t="shared" si="46"/>
        <v>12229</v>
      </c>
    </row>
    <row r="245" spans="1:21">
      <c r="A245" s="23" t="s">
        <v>271</v>
      </c>
      <c r="B245" s="35" t="s">
        <v>269</v>
      </c>
      <c r="C245" s="125">
        <v>2955</v>
      </c>
      <c r="D245" s="113">
        <v>267421115</v>
      </c>
      <c r="E245" s="116">
        <f t="shared" si="50"/>
        <v>90497.839255499159</v>
      </c>
      <c r="F245" s="117">
        <v>80161525</v>
      </c>
      <c r="G245" s="117">
        <f t="shared" si="51"/>
        <v>27127.419627749576</v>
      </c>
      <c r="H245" s="7"/>
      <c r="I245" s="109">
        <v>0.53159999999999996</v>
      </c>
      <c r="J245" s="117">
        <v>42613.866689999995</v>
      </c>
      <c r="K245" s="120">
        <f t="shared" si="52"/>
        <v>14.420936274111673</v>
      </c>
      <c r="L245" s="122">
        <f t="shared" si="42"/>
        <v>801615.25</v>
      </c>
      <c r="M245" s="116">
        <f t="shared" si="43"/>
        <v>759001.38330999995</v>
      </c>
      <c r="N245" s="123">
        <f t="shared" si="44"/>
        <v>256.85326000338409</v>
      </c>
      <c r="O245" s="5"/>
      <c r="P245" s="5">
        <f t="shared" si="45"/>
        <v>1</v>
      </c>
      <c r="Q245" s="7">
        <f t="shared" si="46"/>
        <v>2955</v>
      </c>
      <c r="S245" s="124">
        <f>SUM(D243:D245)</f>
        <v>3035753942</v>
      </c>
      <c r="T245" s="124">
        <f>SUM(F243:F245)</f>
        <v>1965220535</v>
      </c>
      <c r="U245" s="124">
        <f>SUM(J243:J245)</f>
        <v>11258372.707174599</v>
      </c>
    </row>
    <row r="246" spans="1:21">
      <c r="A246" s="23" t="s">
        <v>272</v>
      </c>
      <c r="B246" s="35" t="s">
        <v>273</v>
      </c>
      <c r="C246" s="125">
        <v>408</v>
      </c>
      <c r="D246" s="113">
        <v>59845072</v>
      </c>
      <c r="E246" s="116">
        <f t="shared" si="50"/>
        <v>146679.09803921569</v>
      </c>
      <c r="F246" s="119">
        <v>49441994</v>
      </c>
      <c r="G246" s="117">
        <f t="shared" si="51"/>
        <v>121181.35784313726</v>
      </c>
      <c r="H246" s="7"/>
      <c r="I246" s="109">
        <v>3</v>
      </c>
      <c r="J246" s="117">
        <v>148325.98199999999</v>
      </c>
      <c r="K246" s="120">
        <f t="shared" si="52"/>
        <v>363.54407352941172</v>
      </c>
      <c r="L246" s="122">
        <f t="shared" si="42"/>
        <v>494419.94</v>
      </c>
      <c r="M246" s="116">
        <f t="shared" si="43"/>
        <v>346093.95799999998</v>
      </c>
      <c r="N246" s="123">
        <f t="shared" si="44"/>
        <v>848.26950490196077</v>
      </c>
      <c r="O246" s="5"/>
      <c r="P246" s="5">
        <f t="shared" si="45"/>
        <v>1</v>
      </c>
      <c r="Q246" s="7">
        <f t="shared" si="46"/>
        <v>408</v>
      </c>
    </row>
    <row r="247" spans="1:21">
      <c r="A247" s="23" t="s">
        <v>274</v>
      </c>
      <c r="B247" s="35" t="s">
        <v>273</v>
      </c>
      <c r="C247" s="125">
        <v>23762</v>
      </c>
      <c r="D247" s="113">
        <v>1400459600</v>
      </c>
      <c r="E247" s="116">
        <f t="shared" si="50"/>
        <v>58936.94133490447</v>
      </c>
      <c r="F247" s="117">
        <v>984281847</v>
      </c>
      <c r="G247" s="117">
        <f t="shared" si="51"/>
        <v>41422.516917767862</v>
      </c>
      <c r="H247" s="7"/>
      <c r="I247" s="109">
        <v>6.9466000000000001</v>
      </c>
      <c r="J247" s="117">
        <v>6837412.2783701997</v>
      </c>
      <c r="K247" s="120">
        <f t="shared" si="52"/>
        <v>287.74565602096624</v>
      </c>
      <c r="L247" s="122">
        <f t="shared" si="42"/>
        <v>9842818.4700000007</v>
      </c>
      <c r="M247" s="116">
        <f t="shared" si="43"/>
        <v>3005406.1916298009</v>
      </c>
      <c r="N247" s="123">
        <f t="shared" si="44"/>
        <v>126.47951315671244</v>
      </c>
      <c r="O247" s="5"/>
      <c r="P247" s="5">
        <f t="shared" si="45"/>
        <v>1</v>
      </c>
      <c r="Q247" s="7">
        <f t="shared" si="46"/>
        <v>23762</v>
      </c>
    </row>
    <row r="248" spans="1:21">
      <c r="A248" s="23" t="s">
        <v>275</v>
      </c>
      <c r="B248" s="35" t="s">
        <v>273</v>
      </c>
      <c r="C248" s="125">
        <v>12898</v>
      </c>
      <c r="D248" s="113">
        <v>5144416127</v>
      </c>
      <c r="E248" s="116">
        <f t="shared" si="50"/>
        <v>398853.78562567837</v>
      </c>
      <c r="F248" s="117">
        <v>4508216971</v>
      </c>
      <c r="G248" s="117">
        <f t="shared" si="51"/>
        <v>349528.37424406887</v>
      </c>
      <c r="H248" s="9"/>
      <c r="I248" s="109">
        <v>1.615</v>
      </c>
      <c r="J248" s="117">
        <v>7280770.4081650004</v>
      </c>
      <c r="K248" s="120">
        <f t="shared" si="52"/>
        <v>564.48832440417118</v>
      </c>
      <c r="L248" s="122">
        <f t="shared" si="42"/>
        <v>45082169.710000001</v>
      </c>
      <c r="M248" s="116">
        <f t="shared" si="43"/>
        <v>37801399.301835001</v>
      </c>
      <c r="N248" s="123">
        <f t="shared" si="44"/>
        <v>2930.7954180365173</v>
      </c>
      <c r="O248" s="5"/>
      <c r="P248" s="5">
        <f t="shared" si="45"/>
        <v>1</v>
      </c>
      <c r="Q248" s="7">
        <f t="shared" si="46"/>
        <v>12898</v>
      </c>
    </row>
    <row r="249" spans="1:21">
      <c r="A249" s="23" t="s">
        <v>276</v>
      </c>
      <c r="B249" s="35" t="s">
        <v>273</v>
      </c>
      <c r="C249" s="125">
        <v>20879</v>
      </c>
      <c r="D249" s="113">
        <v>1816281631</v>
      </c>
      <c r="E249" s="116">
        <f t="shared" si="50"/>
        <v>86990.834379041145</v>
      </c>
      <c r="F249" s="117">
        <v>1224420093</v>
      </c>
      <c r="G249" s="117">
        <f t="shared" si="51"/>
        <v>58643.617654102207</v>
      </c>
      <c r="H249" s="9"/>
      <c r="I249" s="109">
        <v>5.7697000000000003</v>
      </c>
      <c r="J249" s="117">
        <v>7064536.6105821002</v>
      </c>
      <c r="K249" s="120">
        <f t="shared" si="52"/>
        <v>338.35608077887355</v>
      </c>
      <c r="L249" s="122">
        <f t="shared" si="42"/>
        <v>12244200.93</v>
      </c>
      <c r="M249" s="116">
        <f t="shared" si="43"/>
        <v>5179664.3194178995</v>
      </c>
      <c r="N249" s="123">
        <f t="shared" si="44"/>
        <v>248.08009576214855</v>
      </c>
      <c r="O249" s="5"/>
      <c r="P249" s="5">
        <f t="shared" si="45"/>
        <v>1</v>
      </c>
      <c r="Q249" s="7">
        <f t="shared" si="46"/>
        <v>20879</v>
      </c>
    </row>
    <row r="250" spans="1:21">
      <c r="A250" s="23" t="s">
        <v>277</v>
      </c>
      <c r="B250" s="35" t="s">
        <v>273</v>
      </c>
      <c r="C250" s="125">
        <v>539</v>
      </c>
      <c r="D250" s="113">
        <v>30194420</v>
      </c>
      <c r="E250" s="116">
        <f t="shared" si="50"/>
        <v>56019.332096474951</v>
      </c>
      <c r="F250" s="117">
        <v>16391047</v>
      </c>
      <c r="G250" s="117">
        <f t="shared" si="51"/>
        <v>30410.105751391467</v>
      </c>
      <c r="H250" s="7"/>
      <c r="I250" s="110">
        <v>3.5</v>
      </c>
      <c r="J250" s="117">
        <v>57368.664499999999</v>
      </c>
      <c r="K250" s="120">
        <f t="shared" si="52"/>
        <v>106.43537012987012</v>
      </c>
      <c r="L250" s="122">
        <f t="shared" si="42"/>
        <v>163910.47</v>
      </c>
      <c r="M250" s="116">
        <f t="shared" si="43"/>
        <v>106541.8055</v>
      </c>
      <c r="N250" s="123">
        <f t="shared" si="44"/>
        <v>197.66568738404453</v>
      </c>
      <c r="O250" s="5"/>
      <c r="P250" s="5">
        <f t="shared" si="45"/>
        <v>1</v>
      </c>
      <c r="Q250" s="7">
        <f t="shared" si="46"/>
        <v>539</v>
      </c>
    </row>
    <row r="251" spans="1:21">
      <c r="A251" s="23" t="s">
        <v>278</v>
      </c>
      <c r="B251" s="35" t="s">
        <v>273</v>
      </c>
      <c r="C251" s="125">
        <v>3905</v>
      </c>
      <c r="D251" s="113">
        <v>389556412</v>
      </c>
      <c r="E251" s="116">
        <f t="shared" si="50"/>
        <v>99758.364148527529</v>
      </c>
      <c r="F251" s="117">
        <v>272861722</v>
      </c>
      <c r="G251" s="117">
        <f t="shared" si="51"/>
        <v>69874.960819462227</v>
      </c>
      <c r="H251" s="7"/>
      <c r="I251" s="109">
        <v>3.8879999999999999</v>
      </c>
      <c r="J251" s="117">
        <v>1060886.3751359999</v>
      </c>
      <c r="K251" s="120">
        <f t="shared" si="52"/>
        <v>271.67384766606909</v>
      </c>
      <c r="L251" s="122">
        <f t="shared" si="42"/>
        <v>2728617.22</v>
      </c>
      <c r="M251" s="116">
        <f t="shared" si="43"/>
        <v>1667730.8448640003</v>
      </c>
      <c r="N251" s="123">
        <f t="shared" si="44"/>
        <v>427.07576052855325</v>
      </c>
      <c r="O251" s="5"/>
      <c r="P251" s="5">
        <f t="shared" si="45"/>
        <v>1</v>
      </c>
      <c r="Q251" s="7">
        <f t="shared" si="46"/>
        <v>3905</v>
      </c>
    </row>
    <row r="252" spans="1:21">
      <c r="A252" s="23" t="s">
        <v>279</v>
      </c>
      <c r="B252" s="35" t="s">
        <v>273</v>
      </c>
      <c r="C252" s="125">
        <v>14122</v>
      </c>
      <c r="D252" s="113">
        <v>1465373414</v>
      </c>
      <c r="E252" s="116">
        <f t="shared" si="50"/>
        <v>103765.28919416513</v>
      </c>
      <c r="F252" s="117">
        <v>980329842</v>
      </c>
      <c r="G252" s="117">
        <f t="shared" si="51"/>
        <v>69418.626398527122</v>
      </c>
      <c r="H252" s="7"/>
      <c r="I252" s="109">
        <v>3.7</v>
      </c>
      <c r="J252" s="117">
        <v>3627220.4154000003</v>
      </c>
      <c r="K252" s="120">
        <f t="shared" si="52"/>
        <v>256.84891767455036</v>
      </c>
      <c r="L252" s="122">
        <f t="shared" si="42"/>
        <v>9803298.4199999999</v>
      </c>
      <c r="M252" s="116">
        <f t="shared" si="43"/>
        <v>6176078.0045999996</v>
      </c>
      <c r="N252" s="123">
        <f t="shared" si="44"/>
        <v>437.33734631072082</v>
      </c>
      <c r="O252" s="5"/>
      <c r="P252" s="5">
        <f t="shared" si="45"/>
        <v>1</v>
      </c>
      <c r="Q252" s="7">
        <f t="shared" si="46"/>
        <v>14122</v>
      </c>
    </row>
    <row r="253" spans="1:21">
      <c r="A253" s="23" t="s">
        <v>280</v>
      </c>
      <c r="B253" s="35" t="s">
        <v>273</v>
      </c>
      <c r="C253" s="125">
        <v>811</v>
      </c>
      <c r="D253" s="113">
        <v>129284577</v>
      </c>
      <c r="E253" s="116">
        <f t="shared" si="50"/>
        <v>159413.7817509248</v>
      </c>
      <c r="F253" s="117">
        <v>93364580</v>
      </c>
      <c r="G253" s="117">
        <f t="shared" si="51"/>
        <v>115122.78668310728</v>
      </c>
      <c r="H253" s="7"/>
      <c r="I253" s="109">
        <v>2</v>
      </c>
      <c r="J253" s="117">
        <v>186729.16</v>
      </c>
      <c r="K253" s="120">
        <f t="shared" si="52"/>
        <v>230.24557336621456</v>
      </c>
      <c r="L253" s="122">
        <f t="shared" si="42"/>
        <v>933645.8</v>
      </c>
      <c r="M253" s="116">
        <f t="shared" si="43"/>
        <v>746916.64</v>
      </c>
      <c r="N253" s="123">
        <f t="shared" si="44"/>
        <v>920.98229346485823</v>
      </c>
      <c r="O253" s="5"/>
      <c r="P253" s="5">
        <f t="shared" si="45"/>
        <v>1</v>
      </c>
      <c r="Q253" s="7">
        <f t="shared" si="46"/>
        <v>811</v>
      </c>
    </row>
    <row r="254" spans="1:21">
      <c r="A254" s="23" t="s">
        <v>281</v>
      </c>
      <c r="B254" s="35" t="s">
        <v>273</v>
      </c>
      <c r="C254" s="125">
        <v>5266</v>
      </c>
      <c r="D254" s="113">
        <v>359881703</v>
      </c>
      <c r="E254" s="116">
        <f t="shared" si="50"/>
        <v>68340.619635396884</v>
      </c>
      <c r="F254" s="117">
        <v>207869498</v>
      </c>
      <c r="G254" s="117">
        <f t="shared" si="51"/>
        <v>39473.888720091149</v>
      </c>
      <c r="H254" s="7"/>
      <c r="I254" s="109">
        <v>5.024</v>
      </c>
      <c r="J254" s="117">
        <v>1044336.357952</v>
      </c>
      <c r="K254" s="120">
        <f t="shared" si="52"/>
        <v>198.31681692973794</v>
      </c>
      <c r="L254" s="122">
        <f t="shared" si="42"/>
        <v>2078694.98</v>
      </c>
      <c r="M254" s="116">
        <f t="shared" si="43"/>
        <v>1034358.622048</v>
      </c>
      <c r="N254" s="123">
        <f t="shared" si="44"/>
        <v>196.42207027117357</v>
      </c>
      <c r="O254" s="5"/>
      <c r="P254" s="5">
        <f t="shared" si="45"/>
        <v>1</v>
      </c>
      <c r="Q254" s="7">
        <f t="shared" si="46"/>
        <v>5266</v>
      </c>
      <c r="S254" s="124">
        <f>SUM(D246:D254)</f>
        <v>10795292956</v>
      </c>
      <c r="T254" s="124">
        <f>SUM(F246:F254)</f>
        <v>8337177594</v>
      </c>
      <c r="U254" s="124">
        <f>SUM(J246:J254)</f>
        <v>27307586.252105299</v>
      </c>
    </row>
    <row r="255" spans="1:21">
      <c r="A255" s="23" t="s">
        <v>282</v>
      </c>
      <c r="B255" s="35" t="s">
        <v>282</v>
      </c>
      <c r="C255" s="125">
        <v>5552</v>
      </c>
      <c r="D255" s="113">
        <v>367915278</v>
      </c>
      <c r="E255" s="116">
        <f t="shared" si="50"/>
        <v>66267.161023054752</v>
      </c>
      <c r="F255" s="117">
        <v>252609870</v>
      </c>
      <c r="G255" s="117">
        <f t="shared" si="51"/>
        <v>45498.895893371759</v>
      </c>
      <c r="H255" s="7"/>
      <c r="I255" s="109">
        <v>7.9931999999999999</v>
      </c>
      <c r="J255" s="117">
        <v>2019161.212884</v>
      </c>
      <c r="K255" s="120">
        <f t="shared" si="52"/>
        <v>363.68177465489913</v>
      </c>
      <c r="L255" s="122">
        <f t="shared" si="42"/>
        <v>2526098.7000000002</v>
      </c>
      <c r="M255" s="116">
        <f t="shared" si="43"/>
        <v>506937.48711600015</v>
      </c>
      <c r="N255" s="123">
        <f t="shared" si="44"/>
        <v>91.307184278818468</v>
      </c>
      <c r="O255" s="5"/>
      <c r="P255" s="5">
        <f t="shared" si="45"/>
        <v>1</v>
      </c>
      <c r="Q255" s="7">
        <f t="shared" si="46"/>
        <v>5552</v>
      </c>
      <c r="S255" s="124">
        <f>SUM(D255)</f>
        <v>367915278</v>
      </c>
      <c r="T255" s="124">
        <f>SUM(F255)</f>
        <v>252609870</v>
      </c>
      <c r="U255" s="124">
        <f>SUM(J255)</f>
        <v>2019161.212884</v>
      </c>
    </row>
    <row r="256" spans="1:21">
      <c r="A256" s="23" t="s">
        <v>283</v>
      </c>
      <c r="B256" s="35" t="s">
        <v>284</v>
      </c>
      <c r="C256" s="125">
        <v>47826</v>
      </c>
      <c r="D256" s="113">
        <v>3956423162</v>
      </c>
      <c r="E256" s="116">
        <f t="shared" si="50"/>
        <v>82725.361978839966</v>
      </c>
      <c r="F256" s="117">
        <v>2656065760</v>
      </c>
      <c r="G256" s="117">
        <f t="shared" si="51"/>
        <v>55536.021410948022</v>
      </c>
      <c r="H256" s="7"/>
      <c r="I256" s="109">
        <v>3.7875999999999999</v>
      </c>
      <c r="J256" s="117">
        <v>10060114.672576001</v>
      </c>
      <c r="K256" s="120">
        <f t="shared" si="52"/>
        <v>210.34823469610674</v>
      </c>
      <c r="L256" s="122">
        <f t="shared" si="42"/>
        <v>26560657.600000001</v>
      </c>
      <c r="M256" s="116">
        <f t="shared" si="43"/>
        <v>16500542.927424001</v>
      </c>
      <c r="N256" s="123">
        <f t="shared" si="44"/>
        <v>345.01197941337347</v>
      </c>
      <c r="O256" s="5"/>
      <c r="P256" s="5">
        <f t="shared" si="45"/>
        <v>1</v>
      </c>
      <c r="Q256" s="7">
        <f t="shared" si="46"/>
        <v>47826</v>
      </c>
    </row>
    <row r="257" spans="1:21">
      <c r="A257" s="23" t="s">
        <v>285</v>
      </c>
      <c r="B257" s="35" t="s">
        <v>284</v>
      </c>
      <c r="C257" s="125">
        <v>15</v>
      </c>
      <c r="D257" s="113">
        <v>9026993304</v>
      </c>
      <c r="E257" s="116">
        <f t="shared" si="50"/>
        <v>601799553.60000002</v>
      </c>
      <c r="F257" s="117">
        <v>7153322922</v>
      </c>
      <c r="G257" s="117">
        <f t="shared" si="51"/>
        <v>476888194.80000001</v>
      </c>
      <c r="H257" s="7"/>
      <c r="I257" s="109">
        <v>1.1034999999999999</v>
      </c>
      <c r="J257" s="117">
        <v>7893691.8444269989</v>
      </c>
      <c r="K257" s="120">
        <f t="shared" si="52"/>
        <v>526246.12296179996</v>
      </c>
      <c r="L257" s="122">
        <f t="shared" si="42"/>
        <v>71533229.219999999</v>
      </c>
      <c r="M257" s="116">
        <f t="shared" si="43"/>
        <v>63639537.375573002</v>
      </c>
      <c r="N257" s="123">
        <f t="shared" si="44"/>
        <v>4242635.8250382002</v>
      </c>
      <c r="O257" s="5"/>
      <c r="P257" s="5">
        <f t="shared" si="45"/>
        <v>1</v>
      </c>
      <c r="Q257" s="7">
        <f t="shared" si="46"/>
        <v>15</v>
      </c>
    </row>
    <row r="258" spans="1:21">
      <c r="A258" s="23" t="s">
        <v>286</v>
      </c>
      <c r="B258" s="35" t="s">
        <v>284</v>
      </c>
      <c r="C258" s="125">
        <v>6541</v>
      </c>
      <c r="D258" s="113">
        <v>916004399</v>
      </c>
      <c r="E258" s="116">
        <f t="shared" si="50"/>
        <v>140040.42180094786</v>
      </c>
      <c r="F258" s="117">
        <v>637426454</v>
      </c>
      <c r="G258" s="117">
        <f t="shared" si="51"/>
        <v>97450.917902461399</v>
      </c>
      <c r="H258" s="7"/>
      <c r="I258" s="109">
        <v>4.4017999999999997</v>
      </c>
      <c r="J258" s="117">
        <v>2805823.7652171999</v>
      </c>
      <c r="K258" s="120">
        <f t="shared" si="52"/>
        <v>428.95945042305459</v>
      </c>
      <c r="L258" s="122">
        <f t="shared" si="42"/>
        <v>6374264.54</v>
      </c>
      <c r="M258" s="116">
        <f t="shared" si="43"/>
        <v>3568440.7747828001</v>
      </c>
      <c r="N258" s="123">
        <f t="shared" si="44"/>
        <v>545.54972860155942</v>
      </c>
      <c r="O258" s="5"/>
      <c r="P258" s="5">
        <f t="shared" si="45"/>
        <v>1</v>
      </c>
      <c r="Q258" s="7">
        <f t="shared" si="46"/>
        <v>6541</v>
      </c>
    </row>
    <row r="259" spans="1:21">
      <c r="A259" s="23" t="s">
        <v>287</v>
      </c>
      <c r="B259" s="35" t="s">
        <v>284</v>
      </c>
      <c r="C259" s="125">
        <v>2251</v>
      </c>
      <c r="D259" s="113">
        <v>261247373</v>
      </c>
      <c r="E259" s="116">
        <f t="shared" si="50"/>
        <v>116058.36206130609</v>
      </c>
      <c r="F259" s="117">
        <v>202372315</v>
      </c>
      <c r="G259" s="117">
        <f t="shared" si="51"/>
        <v>89903.294091514879</v>
      </c>
      <c r="H259" s="7"/>
      <c r="I259" s="109">
        <v>7.2938000000000001</v>
      </c>
      <c r="J259" s="117">
        <v>1476063.1911470001</v>
      </c>
      <c r="K259" s="120">
        <f t="shared" si="52"/>
        <v>655.73664644469125</v>
      </c>
      <c r="L259" s="122">
        <f t="shared" si="42"/>
        <v>2023723.1500000001</v>
      </c>
      <c r="M259" s="116">
        <f t="shared" si="43"/>
        <v>547659.95885300008</v>
      </c>
      <c r="N259" s="123">
        <f t="shared" si="44"/>
        <v>243.29629447045761</v>
      </c>
      <c r="O259" s="5"/>
      <c r="P259" s="5">
        <f t="shared" si="45"/>
        <v>1</v>
      </c>
      <c r="Q259" s="7">
        <f t="shared" si="46"/>
        <v>2251</v>
      </c>
    </row>
    <row r="260" spans="1:21">
      <c r="A260" s="23" t="s">
        <v>288</v>
      </c>
      <c r="B260" s="35" t="s">
        <v>284</v>
      </c>
      <c r="C260" s="125">
        <v>2642</v>
      </c>
      <c r="D260" s="113">
        <v>406067961</v>
      </c>
      <c r="E260" s="116">
        <f t="shared" si="50"/>
        <v>153697.18433005299</v>
      </c>
      <c r="F260" s="117">
        <v>304254397</v>
      </c>
      <c r="G260" s="117">
        <f t="shared" si="51"/>
        <v>115160.63474640423</v>
      </c>
      <c r="H260" s="7"/>
      <c r="I260" s="109">
        <v>4.95</v>
      </c>
      <c r="J260" s="117">
        <v>1506059.2651500001</v>
      </c>
      <c r="K260" s="120">
        <f t="shared" si="52"/>
        <v>570.045141994701</v>
      </c>
      <c r="L260" s="122">
        <f t="shared" si="42"/>
        <v>3042543.97</v>
      </c>
      <c r="M260" s="116">
        <f t="shared" si="43"/>
        <v>1536484.7048500001</v>
      </c>
      <c r="N260" s="123">
        <f t="shared" si="44"/>
        <v>581.56120546934142</v>
      </c>
      <c r="O260" s="5"/>
      <c r="P260" s="5">
        <f t="shared" si="45"/>
        <v>1</v>
      </c>
      <c r="Q260" s="7">
        <f t="shared" si="46"/>
        <v>2642</v>
      </c>
    </row>
    <row r="261" spans="1:21">
      <c r="A261" s="23" t="s">
        <v>289</v>
      </c>
      <c r="B261" s="35" t="s">
        <v>284</v>
      </c>
      <c r="C261" s="125">
        <v>22</v>
      </c>
      <c r="D261" s="113">
        <v>2576024898</v>
      </c>
      <c r="E261" s="116">
        <f t="shared" si="50"/>
        <v>117092040.81818181</v>
      </c>
      <c r="F261" s="117">
        <v>2222105053</v>
      </c>
      <c r="G261" s="117">
        <f t="shared" si="51"/>
        <v>101004775.13636364</v>
      </c>
      <c r="H261" s="7"/>
      <c r="I261" s="109">
        <v>1.1933</v>
      </c>
      <c r="J261" s="117">
        <v>2651637.9597449</v>
      </c>
      <c r="K261" s="120">
        <f t="shared" si="52"/>
        <v>120528.99817022272</v>
      </c>
      <c r="L261" s="122">
        <f t="shared" si="42"/>
        <v>22221050.530000001</v>
      </c>
      <c r="M261" s="116">
        <f t="shared" si="43"/>
        <v>19569412.570255101</v>
      </c>
      <c r="N261" s="123">
        <f t="shared" si="44"/>
        <v>889518.75319341372</v>
      </c>
      <c r="O261" s="5"/>
      <c r="P261" s="5">
        <f t="shared" si="45"/>
        <v>1</v>
      </c>
      <c r="Q261" s="7">
        <f t="shared" si="46"/>
        <v>22</v>
      </c>
    </row>
    <row r="262" spans="1:21">
      <c r="A262" s="23" t="s">
        <v>290</v>
      </c>
      <c r="B262" s="35" t="s">
        <v>284</v>
      </c>
      <c r="C262" s="125">
        <v>17598</v>
      </c>
      <c r="D262" s="113">
        <v>3149045338</v>
      </c>
      <c r="E262" s="116">
        <f t="shared" si="50"/>
        <v>178943.365041482</v>
      </c>
      <c r="F262" s="117">
        <v>2360878434</v>
      </c>
      <c r="G262" s="117">
        <f t="shared" si="51"/>
        <v>134156.06512103649</v>
      </c>
      <c r="H262" s="7"/>
      <c r="I262" s="109">
        <v>4.1500000000000004</v>
      </c>
      <c r="J262" s="117">
        <v>9797645.5011</v>
      </c>
      <c r="K262" s="120">
        <f t="shared" si="52"/>
        <v>556.74767025230142</v>
      </c>
      <c r="L262" s="122">
        <f t="shared" ref="L262:L325" si="53">(F262*0.01)</f>
        <v>23608784.34</v>
      </c>
      <c r="M262" s="116">
        <f t="shared" ref="M262:M325" si="54">(L262-J262)</f>
        <v>13811138.8389</v>
      </c>
      <c r="N262" s="123">
        <f t="shared" ref="N262:N325" si="55">(M262/C262)</f>
        <v>784.81298095806346</v>
      </c>
      <c r="O262" s="5"/>
      <c r="P262" s="5">
        <f t="shared" si="45"/>
        <v>1</v>
      </c>
      <c r="Q262" s="7">
        <f t="shared" si="46"/>
        <v>17598</v>
      </c>
    </row>
    <row r="263" spans="1:21">
      <c r="A263" s="23" t="s">
        <v>291</v>
      </c>
      <c r="B263" s="35" t="s">
        <v>284</v>
      </c>
      <c r="C263" s="125">
        <v>2635</v>
      </c>
      <c r="D263" s="113">
        <v>322400000</v>
      </c>
      <c r="E263" s="116">
        <f t="shared" si="50"/>
        <v>122352.94117647059</v>
      </c>
      <c r="F263" s="117">
        <v>229834268</v>
      </c>
      <c r="G263" s="117">
        <f t="shared" si="51"/>
        <v>87223.631119544589</v>
      </c>
      <c r="H263" s="7"/>
      <c r="I263" s="109">
        <v>6.75</v>
      </c>
      <c r="J263" s="117">
        <v>1551381.3089999999</v>
      </c>
      <c r="K263" s="120">
        <f t="shared" si="52"/>
        <v>588.75951005692593</v>
      </c>
      <c r="L263" s="122">
        <f t="shared" si="53"/>
        <v>2298342.6800000002</v>
      </c>
      <c r="M263" s="116">
        <f t="shared" si="54"/>
        <v>746961.37100000028</v>
      </c>
      <c r="N263" s="123">
        <f t="shared" si="55"/>
        <v>283.47680113852005</v>
      </c>
      <c r="O263" s="5"/>
      <c r="P263" s="5">
        <f t="shared" ref="P263:P326" si="56">IF(I263&gt;0,1,0)</f>
        <v>1</v>
      </c>
      <c r="Q263" s="7">
        <f t="shared" ref="Q263:Q326" si="57">IF(I263&gt;0,C263,0)</f>
        <v>2635</v>
      </c>
    </row>
    <row r="264" spans="1:21">
      <c r="A264" s="23" t="s">
        <v>292</v>
      </c>
      <c r="B264" s="35" t="s">
        <v>284</v>
      </c>
      <c r="C264" s="125">
        <v>41881</v>
      </c>
      <c r="D264" s="113">
        <v>3182231568</v>
      </c>
      <c r="E264" s="116">
        <f t="shared" ref="E264:E275" si="58">(D264/C264)</f>
        <v>75982.702609775311</v>
      </c>
      <c r="F264" s="117">
        <v>2082416911</v>
      </c>
      <c r="G264" s="117">
        <f t="shared" ref="G264:G275" si="59">(F264/C264)</f>
        <v>49722.234688761011</v>
      </c>
      <c r="H264" s="7"/>
      <c r="I264" s="109">
        <v>5.8291000000000004</v>
      </c>
      <c r="J264" s="117">
        <v>12138616.415910101</v>
      </c>
      <c r="K264" s="120">
        <f t="shared" ref="K264:K275" si="60">(J264/C264)</f>
        <v>289.83587822425682</v>
      </c>
      <c r="L264" s="122">
        <f t="shared" si="53"/>
        <v>20824169.109999999</v>
      </c>
      <c r="M264" s="116">
        <f t="shared" si="54"/>
        <v>8685552.6940898988</v>
      </c>
      <c r="N264" s="123">
        <f t="shared" si="55"/>
        <v>207.38646866335327</v>
      </c>
      <c r="O264" s="5"/>
      <c r="P264" s="5">
        <f t="shared" si="56"/>
        <v>1</v>
      </c>
      <c r="Q264" s="7">
        <f t="shared" si="57"/>
        <v>41881</v>
      </c>
    </row>
    <row r="265" spans="1:21">
      <c r="A265" s="23" t="s">
        <v>293</v>
      </c>
      <c r="B265" s="35" t="s">
        <v>284</v>
      </c>
      <c r="C265" s="125">
        <v>271752</v>
      </c>
      <c r="D265" s="113">
        <v>41398407394</v>
      </c>
      <c r="E265" s="116">
        <f t="shared" si="58"/>
        <v>152338.92443845861</v>
      </c>
      <c r="F265" s="117">
        <v>24832020967</v>
      </c>
      <c r="G265" s="117">
        <f t="shared" si="59"/>
        <v>91377.509519709143</v>
      </c>
      <c r="H265" s="7"/>
      <c r="I265" s="109">
        <v>6.65</v>
      </c>
      <c r="J265" s="117">
        <v>165132939.43055001</v>
      </c>
      <c r="K265" s="120">
        <f t="shared" si="60"/>
        <v>607.66043830606588</v>
      </c>
      <c r="L265" s="122">
        <f t="shared" si="53"/>
        <v>248320209.67000002</v>
      </c>
      <c r="M265" s="116">
        <f t="shared" si="54"/>
        <v>83187270.239450008</v>
      </c>
      <c r="N265" s="123">
        <f t="shared" si="55"/>
        <v>306.11465689102567</v>
      </c>
      <c r="O265" s="5"/>
      <c r="P265" s="5">
        <f t="shared" si="56"/>
        <v>1</v>
      </c>
      <c r="Q265" s="7">
        <f t="shared" si="57"/>
        <v>271752</v>
      </c>
    </row>
    <row r="266" spans="1:21">
      <c r="A266" s="23" t="s">
        <v>294</v>
      </c>
      <c r="B266" s="35" t="s">
        <v>284</v>
      </c>
      <c r="C266" s="125">
        <v>2889</v>
      </c>
      <c r="D266" s="113">
        <v>812073263</v>
      </c>
      <c r="E266" s="116">
        <f t="shared" si="58"/>
        <v>281091.47213568707</v>
      </c>
      <c r="F266" s="117">
        <v>614541464</v>
      </c>
      <c r="G266" s="117">
        <f t="shared" si="59"/>
        <v>212717.70993423331</v>
      </c>
      <c r="H266" s="7"/>
      <c r="I266" s="109">
        <v>3.25</v>
      </c>
      <c r="J266" s="117">
        <v>1997259.7579999999</v>
      </c>
      <c r="K266" s="120">
        <f t="shared" si="60"/>
        <v>691.33255728625818</v>
      </c>
      <c r="L266" s="122">
        <f t="shared" si="53"/>
        <v>6145414.6399999997</v>
      </c>
      <c r="M266" s="116">
        <f t="shared" si="54"/>
        <v>4148154.8819999998</v>
      </c>
      <c r="N266" s="123">
        <f t="shared" si="55"/>
        <v>1435.8445420560747</v>
      </c>
      <c r="O266" s="5"/>
      <c r="P266" s="5">
        <f t="shared" si="56"/>
        <v>1</v>
      </c>
      <c r="Q266" s="7">
        <f t="shared" si="57"/>
        <v>2889</v>
      </c>
    </row>
    <row r="267" spans="1:21">
      <c r="A267" s="23" t="s">
        <v>295</v>
      </c>
      <c r="B267" s="35" t="s">
        <v>284</v>
      </c>
      <c r="C267" s="125">
        <v>41606</v>
      </c>
      <c r="D267" s="113">
        <v>3828645342</v>
      </c>
      <c r="E267" s="116">
        <f t="shared" si="58"/>
        <v>92021.471470460994</v>
      </c>
      <c r="F267" s="117">
        <v>2753587364</v>
      </c>
      <c r="G267" s="117">
        <f t="shared" si="59"/>
        <v>66182.458395423731</v>
      </c>
      <c r="H267" s="7"/>
      <c r="I267" s="109">
        <v>4.25</v>
      </c>
      <c r="J267" s="117">
        <v>11702746.297</v>
      </c>
      <c r="K267" s="120">
        <f t="shared" si="60"/>
        <v>281.27544818055088</v>
      </c>
      <c r="L267" s="122">
        <f t="shared" si="53"/>
        <v>27535873.640000001</v>
      </c>
      <c r="M267" s="116">
        <f t="shared" si="54"/>
        <v>15833127.343</v>
      </c>
      <c r="N267" s="123">
        <f t="shared" si="55"/>
        <v>380.54913577368649</v>
      </c>
      <c r="O267" s="5"/>
      <c r="P267" s="5">
        <f t="shared" si="56"/>
        <v>1</v>
      </c>
      <c r="Q267" s="7">
        <f t="shared" si="57"/>
        <v>41606</v>
      </c>
    </row>
    <row r="268" spans="1:21">
      <c r="A268" s="23" t="s">
        <v>296</v>
      </c>
      <c r="B268" s="35" t="s">
        <v>284</v>
      </c>
      <c r="C268" s="125">
        <v>29308</v>
      </c>
      <c r="D268" s="113">
        <v>7322377553</v>
      </c>
      <c r="E268" s="116">
        <f t="shared" si="58"/>
        <v>249842.28036713524</v>
      </c>
      <c r="F268" s="117">
        <v>4898491276</v>
      </c>
      <c r="G268" s="117">
        <f t="shared" si="59"/>
        <v>167138.36754469768</v>
      </c>
      <c r="H268" s="7"/>
      <c r="I268" s="109">
        <v>4.0922999999999998</v>
      </c>
      <c r="J268" s="117">
        <v>20046095.848774798</v>
      </c>
      <c r="K268" s="120">
        <f t="shared" si="60"/>
        <v>683.9803415031663</v>
      </c>
      <c r="L268" s="122">
        <f t="shared" si="53"/>
        <v>48984912.759999998</v>
      </c>
      <c r="M268" s="116">
        <f t="shared" si="54"/>
        <v>28938816.9112252</v>
      </c>
      <c r="N268" s="123">
        <f t="shared" si="55"/>
        <v>987.40333394381059</v>
      </c>
      <c r="O268" s="5"/>
      <c r="P268" s="5">
        <f t="shared" si="56"/>
        <v>1</v>
      </c>
      <c r="Q268" s="7">
        <f t="shared" si="57"/>
        <v>29308</v>
      </c>
      <c r="S268" s="124">
        <f>SUM(D256:D268)</f>
        <v>77157941555</v>
      </c>
      <c r="T268" s="124">
        <f>SUM(F256:F268)</f>
        <v>50947317585</v>
      </c>
      <c r="U268" s="124">
        <f>SUM(J256:J268)</f>
        <v>248760075.25859699</v>
      </c>
    </row>
    <row r="269" spans="1:21">
      <c r="A269" s="23" t="s">
        <v>297</v>
      </c>
      <c r="B269" s="35" t="s">
        <v>298</v>
      </c>
      <c r="C269" s="125">
        <v>68401</v>
      </c>
      <c r="D269" s="113">
        <v>4244058719</v>
      </c>
      <c r="E269" s="116">
        <f t="shared" si="58"/>
        <v>62046.734974634877</v>
      </c>
      <c r="F269" s="117">
        <v>2750758127</v>
      </c>
      <c r="G269" s="117">
        <f t="shared" si="59"/>
        <v>40215.174149500737</v>
      </c>
      <c r="H269" s="7"/>
      <c r="I269" s="109">
        <v>4.6253000000000002</v>
      </c>
      <c r="J269" s="117">
        <v>12723081.564813102</v>
      </c>
      <c r="K269" s="120">
        <f t="shared" si="60"/>
        <v>186.00724499368579</v>
      </c>
      <c r="L269" s="122">
        <f t="shared" si="53"/>
        <v>27507581.27</v>
      </c>
      <c r="M269" s="116">
        <f t="shared" si="54"/>
        <v>14784499.705186898</v>
      </c>
      <c r="N269" s="123">
        <f t="shared" si="55"/>
        <v>216.14449650132158</v>
      </c>
      <c r="O269" s="5"/>
      <c r="P269" s="5">
        <f t="shared" si="56"/>
        <v>1</v>
      </c>
      <c r="Q269" s="7">
        <f t="shared" si="57"/>
        <v>68401</v>
      </c>
    </row>
    <row r="270" spans="1:21">
      <c r="A270" s="24" t="s">
        <v>546</v>
      </c>
      <c r="B270" s="35" t="s">
        <v>298</v>
      </c>
      <c r="C270" s="125">
        <v>42998</v>
      </c>
      <c r="D270" s="113">
        <v>2866245236</v>
      </c>
      <c r="E270" s="116">
        <f t="shared" si="58"/>
        <v>66659.966417042655</v>
      </c>
      <c r="F270" s="117">
        <v>1596204168</v>
      </c>
      <c r="G270" s="117">
        <f t="shared" si="59"/>
        <v>37122.753802502441</v>
      </c>
      <c r="H270" s="7"/>
      <c r="I270" s="109">
        <v>5.1128</v>
      </c>
      <c r="J270" s="117">
        <v>8161072.6701504001</v>
      </c>
      <c r="K270" s="120">
        <f t="shared" si="60"/>
        <v>189.80121564143448</v>
      </c>
      <c r="L270" s="122">
        <f t="shared" si="53"/>
        <v>15962041.68</v>
      </c>
      <c r="M270" s="116">
        <f t="shared" si="54"/>
        <v>7800969.0098495996</v>
      </c>
      <c r="N270" s="123">
        <f t="shared" si="55"/>
        <v>181.42632238358993</v>
      </c>
      <c r="O270" s="5"/>
      <c r="P270" s="5">
        <f t="shared" si="56"/>
        <v>1</v>
      </c>
      <c r="Q270" s="7">
        <f t="shared" si="57"/>
        <v>42998</v>
      </c>
      <c r="S270" s="124">
        <f>SUM(D269:D270)</f>
        <v>7110303955</v>
      </c>
      <c r="T270" s="124">
        <f>SUM(F269:F270)</f>
        <v>4346962295</v>
      </c>
      <c r="U270" s="124">
        <f>SUM(J269:J270)</f>
        <v>20884154.234963503</v>
      </c>
    </row>
    <row r="271" spans="1:21">
      <c r="A271" s="23" t="s">
        <v>299</v>
      </c>
      <c r="B271" s="35" t="s">
        <v>300</v>
      </c>
      <c r="C271" s="125">
        <v>2001</v>
      </c>
      <c r="D271" s="113">
        <v>573894080</v>
      </c>
      <c r="E271" s="116">
        <f t="shared" si="58"/>
        <v>286803.63818090956</v>
      </c>
      <c r="F271" s="117">
        <v>468724008</v>
      </c>
      <c r="G271" s="117">
        <f t="shared" si="59"/>
        <v>234244.88155922038</v>
      </c>
      <c r="H271" s="7"/>
      <c r="I271" s="109">
        <v>7.9</v>
      </c>
      <c r="J271" s="117">
        <v>3702919.6632000003</v>
      </c>
      <c r="K271" s="120">
        <f t="shared" si="60"/>
        <v>1850.5345643178412</v>
      </c>
      <c r="L271" s="122">
        <f t="shared" si="53"/>
        <v>4687240.08</v>
      </c>
      <c r="M271" s="116">
        <f t="shared" si="54"/>
        <v>984320.41679999977</v>
      </c>
      <c r="N271" s="123">
        <f t="shared" si="55"/>
        <v>491.9142512743627</v>
      </c>
      <c r="O271" s="5"/>
      <c r="P271" s="5">
        <f t="shared" si="56"/>
        <v>1</v>
      </c>
      <c r="Q271" s="7">
        <f t="shared" si="57"/>
        <v>2001</v>
      </c>
    </row>
    <row r="272" spans="1:21">
      <c r="A272" s="23" t="s">
        <v>301</v>
      </c>
      <c r="B272" s="35" t="s">
        <v>300</v>
      </c>
      <c r="C272" s="125">
        <v>17274</v>
      </c>
      <c r="D272" s="113">
        <v>593973722</v>
      </c>
      <c r="E272" s="116">
        <f t="shared" si="58"/>
        <v>34385.418663887926</v>
      </c>
      <c r="F272" s="117">
        <v>311540769</v>
      </c>
      <c r="G272" s="117">
        <f t="shared" si="59"/>
        <v>18035.241924279264</v>
      </c>
      <c r="H272" s="7"/>
      <c r="I272" s="109">
        <v>6.5419</v>
      </c>
      <c r="J272" s="117">
        <v>2038068.5567211001</v>
      </c>
      <c r="K272" s="120">
        <f t="shared" si="60"/>
        <v>117.98474914444252</v>
      </c>
      <c r="L272" s="122">
        <f t="shared" si="53"/>
        <v>3115407.69</v>
      </c>
      <c r="M272" s="116">
        <f t="shared" si="54"/>
        <v>1077339.1332788998</v>
      </c>
      <c r="N272" s="123">
        <f t="shared" si="55"/>
        <v>62.367670098350111</v>
      </c>
      <c r="O272" s="5"/>
      <c r="P272" s="5">
        <f t="shared" si="56"/>
        <v>1</v>
      </c>
      <c r="Q272" s="7">
        <f t="shared" si="57"/>
        <v>17274</v>
      </c>
    </row>
    <row r="273" spans="1:17">
      <c r="A273" s="23" t="s">
        <v>302</v>
      </c>
      <c r="B273" s="35" t="s">
        <v>300</v>
      </c>
      <c r="C273" s="125">
        <v>88275</v>
      </c>
      <c r="D273" s="113">
        <v>28117518342</v>
      </c>
      <c r="E273" s="116">
        <f t="shared" si="58"/>
        <v>318521.87303313508</v>
      </c>
      <c r="F273" s="117">
        <v>20997964568</v>
      </c>
      <c r="G273" s="117">
        <f t="shared" si="59"/>
        <v>237869.89032002265</v>
      </c>
      <c r="H273" s="9"/>
      <c r="I273" s="109">
        <v>3.4386000000000001</v>
      </c>
      <c r="J273" s="117">
        <v>72203600.963524789</v>
      </c>
      <c r="K273" s="120">
        <f t="shared" si="60"/>
        <v>817.93940485442977</v>
      </c>
      <c r="L273" s="122">
        <f t="shared" si="53"/>
        <v>209979645.68000001</v>
      </c>
      <c r="M273" s="116">
        <f t="shared" si="54"/>
        <v>137776044.71647522</v>
      </c>
      <c r="N273" s="123">
        <f t="shared" si="55"/>
        <v>1560.7594983457968</v>
      </c>
      <c r="O273" s="5"/>
      <c r="P273" s="5">
        <f t="shared" si="56"/>
        <v>1</v>
      </c>
      <c r="Q273" s="7">
        <f t="shared" si="57"/>
        <v>88275</v>
      </c>
    </row>
    <row r="274" spans="1:17">
      <c r="A274" s="23" t="s">
        <v>303</v>
      </c>
      <c r="B274" s="35" t="s">
        <v>300</v>
      </c>
      <c r="C274" s="125">
        <v>73163</v>
      </c>
      <c r="D274" s="113">
        <v>7372369632</v>
      </c>
      <c r="E274" s="116">
        <f t="shared" si="58"/>
        <v>100766.36595000204</v>
      </c>
      <c r="F274" s="117">
        <v>5005577863</v>
      </c>
      <c r="G274" s="117">
        <f t="shared" si="59"/>
        <v>68416.793502180066</v>
      </c>
      <c r="H274" s="9"/>
      <c r="I274" s="109">
        <v>7.9</v>
      </c>
      <c r="J274" s="117">
        <v>39544065.117700003</v>
      </c>
      <c r="K274" s="120">
        <f t="shared" si="60"/>
        <v>540.49266866722257</v>
      </c>
      <c r="L274" s="122">
        <f t="shared" si="53"/>
        <v>50055778.630000003</v>
      </c>
      <c r="M274" s="116">
        <f t="shared" si="54"/>
        <v>10511713.5123</v>
      </c>
      <c r="N274" s="123">
        <f t="shared" si="55"/>
        <v>143.67526635457813</v>
      </c>
      <c r="O274" s="5"/>
      <c r="P274" s="5">
        <f t="shared" si="56"/>
        <v>1</v>
      </c>
      <c r="Q274" s="7">
        <f t="shared" si="57"/>
        <v>73163</v>
      </c>
    </row>
    <row r="275" spans="1:17">
      <c r="A275" s="23" t="s">
        <v>304</v>
      </c>
      <c r="B275" s="35" t="s">
        <v>300</v>
      </c>
      <c r="C275" s="125">
        <v>414</v>
      </c>
      <c r="D275" s="113">
        <v>56329988</v>
      </c>
      <c r="E275" s="116">
        <f t="shared" si="58"/>
        <v>136062.77294685991</v>
      </c>
      <c r="F275" s="117">
        <v>41328646</v>
      </c>
      <c r="G275" s="117">
        <f t="shared" si="59"/>
        <v>99827.647342995173</v>
      </c>
      <c r="H275" s="9"/>
      <c r="I275" s="109">
        <v>10</v>
      </c>
      <c r="J275" s="117">
        <v>413286.46</v>
      </c>
      <c r="K275" s="120">
        <f t="shared" si="60"/>
        <v>998.27647342995169</v>
      </c>
      <c r="L275" s="122">
        <f t="shared" si="53"/>
        <v>413286.46</v>
      </c>
      <c r="M275" s="116">
        <f t="shared" si="54"/>
        <v>0</v>
      </c>
      <c r="N275" s="123">
        <f t="shared" si="55"/>
        <v>0</v>
      </c>
      <c r="O275" s="5"/>
      <c r="P275" s="5">
        <f t="shared" si="56"/>
        <v>1</v>
      </c>
      <c r="Q275" s="7">
        <f t="shared" si="57"/>
        <v>414</v>
      </c>
    </row>
    <row r="276" spans="1:17">
      <c r="A276" s="23" t="s">
        <v>305</v>
      </c>
      <c r="B276" s="35" t="s">
        <v>300</v>
      </c>
      <c r="C276" s="125">
        <v>134</v>
      </c>
      <c r="D276" s="114" t="s">
        <v>564</v>
      </c>
      <c r="E276" s="116"/>
      <c r="F276" s="117"/>
      <c r="G276" s="117"/>
      <c r="H276" s="98" t="s">
        <v>588</v>
      </c>
      <c r="I276" s="110"/>
      <c r="J276" s="117"/>
      <c r="K276" s="120"/>
      <c r="L276" s="122">
        <f t="shared" si="53"/>
        <v>0</v>
      </c>
      <c r="M276" s="116">
        <f t="shared" si="54"/>
        <v>0</v>
      </c>
      <c r="N276" s="123">
        <f t="shared" si="55"/>
        <v>0</v>
      </c>
      <c r="O276" s="5"/>
      <c r="P276" s="5">
        <f t="shared" si="56"/>
        <v>0</v>
      </c>
      <c r="Q276" s="7">
        <f t="shared" si="57"/>
        <v>0</v>
      </c>
    </row>
    <row r="277" spans="1:17">
      <c r="A277" s="23" t="s">
        <v>306</v>
      </c>
      <c r="B277" s="35" t="s">
        <v>300</v>
      </c>
      <c r="C277" s="125">
        <v>63972</v>
      </c>
      <c r="D277" s="113">
        <v>12433930348</v>
      </c>
      <c r="E277" s="116">
        <f>(D277/C277)</f>
        <v>194365.19646095167</v>
      </c>
      <c r="F277" s="117">
        <v>8799184526</v>
      </c>
      <c r="G277" s="117">
        <f>(F277/C277)</f>
        <v>137547.43522165949</v>
      </c>
      <c r="H277" s="9"/>
      <c r="I277" s="109">
        <v>6.9611000000000001</v>
      </c>
      <c r="J277" s="117">
        <v>61252003.403938599</v>
      </c>
      <c r="K277" s="120">
        <f>(J277/C277)</f>
        <v>957.48145132149375</v>
      </c>
      <c r="L277" s="122">
        <f t="shared" si="53"/>
        <v>87991845.260000005</v>
      </c>
      <c r="M277" s="116">
        <f t="shared" si="54"/>
        <v>26739841.856061406</v>
      </c>
      <c r="N277" s="123">
        <f t="shared" si="55"/>
        <v>417.99290089510106</v>
      </c>
      <c r="O277" s="5"/>
      <c r="P277" s="5">
        <f t="shared" si="56"/>
        <v>1</v>
      </c>
      <c r="Q277" s="7">
        <f t="shared" si="57"/>
        <v>63972</v>
      </c>
    </row>
    <row r="278" spans="1:17">
      <c r="A278" s="23" t="s">
        <v>307</v>
      </c>
      <c r="B278" s="35" t="s">
        <v>300</v>
      </c>
      <c r="C278" s="125">
        <v>218</v>
      </c>
      <c r="D278" s="114" t="s">
        <v>564</v>
      </c>
      <c r="E278" s="116"/>
      <c r="F278" s="117"/>
      <c r="G278" s="117"/>
      <c r="H278" s="98" t="s">
        <v>588</v>
      </c>
      <c r="I278" s="111"/>
      <c r="J278" s="117"/>
      <c r="K278" s="120"/>
      <c r="L278" s="122">
        <f t="shared" si="53"/>
        <v>0</v>
      </c>
      <c r="M278" s="116">
        <f t="shared" si="54"/>
        <v>0</v>
      </c>
      <c r="N278" s="123">
        <f t="shared" si="55"/>
        <v>0</v>
      </c>
      <c r="O278" s="5"/>
      <c r="P278" s="5">
        <f t="shared" si="56"/>
        <v>0</v>
      </c>
      <c r="Q278" s="7">
        <f t="shared" si="57"/>
        <v>0</v>
      </c>
    </row>
    <row r="279" spans="1:17">
      <c r="A279" s="23" t="s">
        <v>308</v>
      </c>
      <c r="B279" s="35" t="s">
        <v>300</v>
      </c>
      <c r="C279" s="125">
        <v>256</v>
      </c>
      <c r="D279" s="113">
        <v>208717531</v>
      </c>
      <c r="E279" s="116">
        <f t="shared" ref="E279:E310" si="61">(D279/C279)</f>
        <v>815302.85546875</v>
      </c>
      <c r="F279" s="117">
        <v>155395930</v>
      </c>
      <c r="G279" s="117">
        <f t="shared" ref="G279:G310" si="62">(F279/C279)</f>
        <v>607015.3515625</v>
      </c>
      <c r="H279" s="9"/>
      <c r="I279" s="109">
        <v>6.3849</v>
      </c>
      <c r="J279" s="117">
        <v>992187.47345699999</v>
      </c>
      <c r="K279" s="120">
        <f t="shared" ref="K279:K310" si="63">(J279/C279)</f>
        <v>3875.7323181914062</v>
      </c>
      <c r="L279" s="122">
        <f t="shared" si="53"/>
        <v>1553959.3</v>
      </c>
      <c r="M279" s="116">
        <f t="shared" si="54"/>
        <v>561771.82654300006</v>
      </c>
      <c r="N279" s="123">
        <f t="shared" si="55"/>
        <v>2194.421197433594</v>
      </c>
      <c r="O279" s="5"/>
      <c r="P279" s="5">
        <f t="shared" si="56"/>
        <v>1</v>
      </c>
      <c r="Q279" s="7">
        <f t="shared" si="57"/>
        <v>256</v>
      </c>
    </row>
    <row r="280" spans="1:17">
      <c r="A280" s="23" t="s">
        <v>309</v>
      </c>
      <c r="B280" s="35" t="s">
        <v>300</v>
      </c>
      <c r="C280" s="125">
        <v>39066</v>
      </c>
      <c r="D280" s="113">
        <v>2496673000</v>
      </c>
      <c r="E280" s="116">
        <f t="shared" si="61"/>
        <v>63909.102544412024</v>
      </c>
      <c r="F280" s="117">
        <v>1523926825</v>
      </c>
      <c r="G280" s="117">
        <f t="shared" si="62"/>
        <v>39009.031510776636</v>
      </c>
      <c r="H280" s="7"/>
      <c r="I280" s="109">
        <v>6.0853999999999999</v>
      </c>
      <c r="J280" s="117">
        <v>9273704.3008549996</v>
      </c>
      <c r="K280" s="120">
        <f t="shared" si="63"/>
        <v>237.38556035568013</v>
      </c>
      <c r="L280" s="122">
        <f t="shared" si="53"/>
        <v>15239268.25</v>
      </c>
      <c r="M280" s="116">
        <f t="shared" si="54"/>
        <v>5965563.9491450004</v>
      </c>
      <c r="N280" s="123">
        <f t="shared" si="55"/>
        <v>152.70475475208622</v>
      </c>
      <c r="O280" s="5"/>
      <c r="P280" s="5">
        <f t="shared" si="56"/>
        <v>1</v>
      </c>
      <c r="Q280" s="7">
        <f t="shared" si="57"/>
        <v>39066</v>
      </c>
    </row>
    <row r="281" spans="1:17">
      <c r="A281" s="23" t="s">
        <v>310</v>
      </c>
      <c r="B281" s="35" t="s">
        <v>300</v>
      </c>
      <c r="C281" s="125">
        <v>998</v>
      </c>
      <c r="D281" s="113">
        <v>1402177316</v>
      </c>
      <c r="E281" s="116">
        <f t="shared" si="61"/>
        <v>1404987.2905811623</v>
      </c>
      <c r="F281" s="117">
        <v>1023538503</v>
      </c>
      <c r="G281" s="117">
        <f t="shared" si="62"/>
        <v>1025589.6823647295</v>
      </c>
      <c r="H281" s="7"/>
      <c r="I281" s="109">
        <v>4.49</v>
      </c>
      <c r="J281" s="117">
        <v>4595687.8784699999</v>
      </c>
      <c r="K281" s="120">
        <f t="shared" si="63"/>
        <v>4604.8976738176352</v>
      </c>
      <c r="L281" s="122">
        <f t="shared" si="53"/>
        <v>10235385.029999999</v>
      </c>
      <c r="M281" s="116">
        <f t="shared" si="54"/>
        <v>5639697.1515299994</v>
      </c>
      <c r="N281" s="123">
        <f t="shared" si="55"/>
        <v>5650.9991498296586</v>
      </c>
      <c r="O281" s="5"/>
      <c r="P281" s="5">
        <f t="shared" si="56"/>
        <v>1</v>
      </c>
      <c r="Q281" s="7">
        <f t="shared" si="57"/>
        <v>998</v>
      </c>
    </row>
    <row r="282" spans="1:17">
      <c r="A282" s="23" t="s">
        <v>311</v>
      </c>
      <c r="B282" s="35" t="s">
        <v>300</v>
      </c>
      <c r="C282" s="125">
        <v>2008</v>
      </c>
      <c r="D282" s="113">
        <v>136008434</v>
      </c>
      <c r="E282" s="116">
        <f t="shared" si="61"/>
        <v>67733.283864541838</v>
      </c>
      <c r="F282" s="117">
        <v>80503142</v>
      </c>
      <c r="G282" s="117">
        <f t="shared" si="62"/>
        <v>40091.206175298808</v>
      </c>
      <c r="H282" s="7"/>
      <c r="I282" s="109">
        <v>4.5</v>
      </c>
      <c r="J282" s="117">
        <v>362264.13900000002</v>
      </c>
      <c r="K282" s="120">
        <f t="shared" si="63"/>
        <v>180.41042778884463</v>
      </c>
      <c r="L282" s="122">
        <f t="shared" si="53"/>
        <v>805031.42</v>
      </c>
      <c r="M282" s="116">
        <f t="shared" si="54"/>
        <v>442767.28100000002</v>
      </c>
      <c r="N282" s="123">
        <f t="shared" si="55"/>
        <v>220.50163396414342</v>
      </c>
      <c r="O282" s="5"/>
      <c r="P282" s="5">
        <f t="shared" si="56"/>
        <v>1</v>
      </c>
      <c r="Q282" s="7">
        <f t="shared" si="57"/>
        <v>2008</v>
      </c>
    </row>
    <row r="283" spans="1:17">
      <c r="A283" s="23" t="s">
        <v>312</v>
      </c>
      <c r="B283" s="35" t="s">
        <v>300</v>
      </c>
      <c r="C283" s="125">
        <v>3600</v>
      </c>
      <c r="D283" s="113">
        <v>2716856926</v>
      </c>
      <c r="E283" s="116">
        <f t="shared" si="61"/>
        <v>754682.47944444441</v>
      </c>
      <c r="F283" s="117">
        <v>2216323448</v>
      </c>
      <c r="G283" s="117">
        <f t="shared" si="62"/>
        <v>615645.40222222218</v>
      </c>
      <c r="H283" s="7"/>
      <c r="I283" s="109">
        <v>3.25</v>
      </c>
      <c r="J283" s="117">
        <v>7203051.2060000002</v>
      </c>
      <c r="K283" s="120">
        <f t="shared" si="63"/>
        <v>2000.8475572222223</v>
      </c>
      <c r="L283" s="122">
        <f t="shared" si="53"/>
        <v>22163234.48</v>
      </c>
      <c r="M283" s="116">
        <f t="shared" si="54"/>
        <v>14960183.274</v>
      </c>
      <c r="N283" s="123">
        <f t="shared" si="55"/>
        <v>4155.6064649999998</v>
      </c>
      <c r="O283" s="5"/>
      <c r="P283" s="5">
        <f t="shared" si="56"/>
        <v>1</v>
      </c>
      <c r="Q283" s="7">
        <f t="shared" si="57"/>
        <v>3600</v>
      </c>
    </row>
    <row r="284" spans="1:17">
      <c r="A284" s="23" t="s">
        <v>313</v>
      </c>
      <c r="B284" s="35" t="s">
        <v>300</v>
      </c>
      <c r="C284" s="125">
        <v>2714</v>
      </c>
      <c r="D284" s="113">
        <v>429721212</v>
      </c>
      <c r="E284" s="116">
        <f t="shared" si="61"/>
        <v>158335.00810611644</v>
      </c>
      <c r="F284" s="117">
        <v>312983094</v>
      </c>
      <c r="G284" s="117">
        <f t="shared" si="62"/>
        <v>115321.70007369197</v>
      </c>
      <c r="H284" s="7"/>
      <c r="I284" s="109">
        <v>3.55</v>
      </c>
      <c r="J284" s="117">
        <v>1111089.9837</v>
      </c>
      <c r="K284" s="120">
        <f t="shared" si="63"/>
        <v>409.39203526160645</v>
      </c>
      <c r="L284" s="122">
        <f t="shared" si="53"/>
        <v>3129830.94</v>
      </c>
      <c r="M284" s="116">
        <f t="shared" si="54"/>
        <v>2018740.9563</v>
      </c>
      <c r="N284" s="123">
        <f t="shared" si="55"/>
        <v>743.82496547531321</v>
      </c>
      <c r="O284" s="5"/>
      <c r="P284" s="5">
        <f t="shared" si="56"/>
        <v>1</v>
      </c>
      <c r="Q284" s="7">
        <f t="shared" si="57"/>
        <v>2714</v>
      </c>
    </row>
    <row r="285" spans="1:17">
      <c r="A285" s="23" t="s">
        <v>314</v>
      </c>
      <c r="B285" s="35" t="s">
        <v>300</v>
      </c>
      <c r="C285" s="125">
        <v>3351</v>
      </c>
      <c r="D285" s="113">
        <v>1644527162</v>
      </c>
      <c r="E285" s="116">
        <f t="shared" si="61"/>
        <v>490757.13578036404</v>
      </c>
      <c r="F285" s="117">
        <v>1274339118</v>
      </c>
      <c r="G285" s="117">
        <f t="shared" si="62"/>
        <v>380286.21844225604</v>
      </c>
      <c r="H285" s="7"/>
      <c r="I285" s="109">
        <v>2.2545000000000002</v>
      </c>
      <c r="J285" s="117">
        <v>2872997.5415310003</v>
      </c>
      <c r="K285" s="120">
        <f t="shared" si="63"/>
        <v>857.35527947806634</v>
      </c>
      <c r="L285" s="122">
        <f t="shared" si="53"/>
        <v>12743391.18</v>
      </c>
      <c r="M285" s="116">
        <f t="shared" si="54"/>
        <v>9870393.6384689994</v>
      </c>
      <c r="N285" s="123">
        <f t="shared" si="55"/>
        <v>2945.5069049444942</v>
      </c>
      <c r="O285" s="5"/>
      <c r="P285" s="5">
        <f t="shared" si="56"/>
        <v>1</v>
      </c>
      <c r="Q285" s="7">
        <f t="shared" si="57"/>
        <v>3351</v>
      </c>
    </row>
    <row r="286" spans="1:17">
      <c r="A286" s="23" t="s">
        <v>315</v>
      </c>
      <c r="B286" s="35" t="s">
        <v>300</v>
      </c>
      <c r="C286" s="125">
        <v>60615</v>
      </c>
      <c r="D286" s="113">
        <v>13002695321</v>
      </c>
      <c r="E286" s="116">
        <f t="shared" si="61"/>
        <v>214512.83215375731</v>
      </c>
      <c r="F286" s="117">
        <v>9671647437</v>
      </c>
      <c r="G286" s="117">
        <f t="shared" si="62"/>
        <v>159558.64780994804</v>
      </c>
      <c r="H286" s="7"/>
      <c r="I286" s="109">
        <v>2.4632999999999998</v>
      </c>
      <c r="J286" s="117">
        <v>23824169.131562099</v>
      </c>
      <c r="K286" s="120">
        <f t="shared" si="63"/>
        <v>393.04081715024495</v>
      </c>
      <c r="L286" s="122">
        <f t="shared" si="53"/>
        <v>96716474.370000005</v>
      </c>
      <c r="M286" s="116">
        <f t="shared" si="54"/>
        <v>72892305.238437906</v>
      </c>
      <c r="N286" s="123">
        <f t="shared" si="55"/>
        <v>1202.5456609492355</v>
      </c>
      <c r="O286" s="5"/>
      <c r="P286" s="5">
        <f t="shared" si="56"/>
        <v>1</v>
      </c>
      <c r="Q286" s="7">
        <f t="shared" si="57"/>
        <v>60615</v>
      </c>
    </row>
    <row r="287" spans="1:17">
      <c r="A287" s="23" t="s">
        <v>316</v>
      </c>
      <c r="B287" s="35" t="s">
        <v>300</v>
      </c>
      <c r="C287" s="125">
        <v>411</v>
      </c>
      <c r="D287" s="113">
        <v>406294973</v>
      </c>
      <c r="E287" s="116">
        <f t="shared" si="61"/>
        <v>988552.24574209249</v>
      </c>
      <c r="F287" s="117">
        <v>300470736</v>
      </c>
      <c r="G287" s="117">
        <f t="shared" si="62"/>
        <v>731072.35036496352</v>
      </c>
      <c r="H287" s="7"/>
      <c r="I287" s="109">
        <v>5.05</v>
      </c>
      <c r="J287" s="117">
        <v>1517377.2168000001</v>
      </c>
      <c r="K287" s="120">
        <f t="shared" si="63"/>
        <v>3691.9153693430658</v>
      </c>
      <c r="L287" s="122">
        <f t="shared" si="53"/>
        <v>3004707.36</v>
      </c>
      <c r="M287" s="116">
        <f t="shared" si="54"/>
        <v>1487330.1431999998</v>
      </c>
      <c r="N287" s="123">
        <f t="shared" si="55"/>
        <v>3618.8081343065687</v>
      </c>
      <c r="O287" s="5"/>
      <c r="P287" s="5">
        <f t="shared" si="56"/>
        <v>1</v>
      </c>
      <c r="Q287" s="7">
        <f t="shared" si="57"/>
        <v>411</v>
      </c>
    </row>
    <row r="288" spans="1:17">
      <c r="A288" s="23" t="s">
        <v>317</v>
      </c>
      <c r="B288" s="35" t="s">
        <v>300</v>
      </c>
      <c r="C288" s="125">
        <v>3401</v>
      </c>
      <c r="D288" s="113">
        <v>395101393</v>
      </c>
      <c r="E288" s="116">
        <f t="shared" si="61"/>
        <v>116172.12378712144</v>
      </c>
      <c r="F288" s="117">
        <v>226983074</v>
      </c>
      <c r="G288" s="117">
        <f t="shared" si="62"/>
        <v>66740.098206409879</v>
      </c>
      <c r="H288" s="7"/>
      <c r="I288" s="109">
        <v>6.2797999999999998</v>
      </c>
      <c r="J288" s="117">
        <v>1425408.3081052001</v>
      </c>
      <c r="K288" s="120">
        <f t="shared" si="63"/>
        <v>419.11446871661281</v>
      </c>
      <c r="L288" s="122">
        <f t="shared" si="53"/>
        <v>2269830.7400000002</v>
      </c>
      <c r="M288" s="116">
        <f t="shared" si="54"/>
        <v>844422.43189480016</v>
      </c>
      <c r="N288" s="123">
        <f t="shared" si="55"/>
        <v>248.28651334748608</v>
      </c>
      <c r="O288" s="5"/>
      <c r="P288" s="5">
        <f t="shared" si="56"/>
        <v>1</v>
      </c>
      <c r="Q288" s="7">
        <f t="shared" si="57"/>
        <v>3401</v>
      </c>
    </row>
    <row r="289" spans="1:17">
      <c r="A289" s="23" t="s">
        <v>318</v>
      </c>
      <c r="B289" s="35" t="s">
        <v>300</v>
      </c>
      <c r="C289" s="125">
        <v>8640</v>
      </c>
      <c r="D289" s="113">
        <v>786287227</v>
      </c>
      <c r="E289" s="116">
        <f t="shared" si="61"/>
        <v>91005.466087962966</v>
      </c>
      <c r="F289" s="117">
        <v>574793272</v>
      </c>
      <c r="G289" s="117">
        <f t="shared" si="62"/>
        <v>66526.999074074076</v>
      </c>
      <c r="H289" s="7"/>
      <c r="I289" s="109">
        <v>5.3474000000000004</v>
      </c>
      <c r="J289" s="117">
        <v>3073649.5426928001</v>
      </c>
      <c r="K289" s="120">
        <f t="shared" si="63"/>
        <v>355.74647484870371</v>
      </c>
      <c r="L289" s="122">
        <f t="shared" si="53"/>
        <v>5747932.7199999997</v>
      </c>
      <c r="M289" s="116">
        <f t="shared" si="54"/>
        <v>2674283.1773071997</v>
      </c>
      <c r="N289" s="123">
        <f t="shared" si="55"/>
        <v>309.52351589203698</v>
      </c>
      <c r="O289" s="5"/>
      <c r="P289" s="5">
        <f t="shared" si="56"/>
        <v>1</v>
      </c>
      <c r="Q289" s="7">
        <f t="shared" si="57"/>
        <v>8640</v>
      </c>
    </row>
    <row r="290" spans="1:17">
      <c r="A290" s="24" t="s">
        <v>628</v>
      </c>
      <c r="B290" s="35" t="s">
        <v>300</v>
      </c>
      <c r="C290" s="125">
        <v>37475</v>
      </c>
      <c r="D290" s="113">
        <v>2418674403</v>
      </c>
      <c r="E290" s="116">
        <f t="shared" si="61"/>
        <v>64541.011420947296</v>
      </c>
      <c r="F290" s="117">
        <v>1469619694</v>
      </c>
      <c r="G290" s="117">
        <f t="shared" si="62"/>
        <v>39216.00250833889</v>
      </c>
      <c r="H290" s="7"/>
      <c r="I290" s="109">
        <v>5.4945000000000004</v>
      </c>
      <c r="J290" s="117">
        <v>8074825.4086830001</v>
      </c>
      <c r="K290" s="120">
        <f t="shared" si="63"/>
        <v>215.47232578206805</v>
      </c>
      <c r="L290" s="122">
        <f t="shared" si="53"/>
        <v>14696196.939999999</v>
      </c>
      <c r="M290" s="116">
        <f t="shared" si="54"/>
        <v>6621371.5313169993</v>
      </c>
      <c r="N290" s="123">
        <f t="shared" si="55"/>
        <v>176.68769930132086</v>
      </c>
      <c r="O290" s="5"/>
      <c r="P290" s="5">
        <f t="shared" si="56"/>
        <v>1</v>
      </c>
      <c r="Q290" s="7">
        <f t="shared" si="57"/>
        <v>37475</v>
      </c>
    </row>
    <row r="291" spans="1:17">
      <c r="A291" s="23" t="s">
        <v>319</v>
      </c>
      <c r="B291" s="35" t="s">
        <v>300</v>
      </c>
      <c r="C291" s="125">
        <v>10737</v>
      </c>
      <c r="D291" s="113">
        <v>1316236977</v>
      </c>
      <c r="E291" s="116">
        <f t="shared" si="61"/>
        <v>122588.89606035205</v>
      </c>
      <c r="F291" s="117">
        <v>889866631</v>
      </c>
      <c r="G291" s="117">
        <f t="shared" si="62"/>
        <v>82878.516438483741</v>
      </c>
      <c r="H291" s="7"/>
      <c r="I291" s="109">
        <v>3.2395</v>
      </c>
      <c r="J291" s="117">
        <v>2882722.9511245005</v>
      </c>
      <c r="K291" s="120">
        <f t="shared" si="63"/>
        <v>268.48495400246816</v>
      </c>
      <c r="L291" s="122">
        <f t="shared" si="53"/>
        <v>8898666.3100000005</v>
      </c>
      <c r="M291" s="116">
        <f t="shared" si="54"/>
        <v>6015943.3588755</v>
      </c>
      <c r="N291" s="123">
        <f t="shared" si="55"/>
        <v>560.30021038236941</v>
      </c>
      <c r="O291" s="5"/>
      <c r="P291" s="5">
        <f t="shared" si="56"/>
        <v>1</v>
      </c>
      <c r="Q291" s="7">
        <f t="shared" si="57"/>
        <v>10737</v>
      </c>
    </row>
    <row r="292" spans="1:17">
      <c r="A292" s="23" t="s">
        <v>531</v>
      </c>
      <c r="B292" s="35" t="s">
        <v>300</v>
      </c>
      <c r="C292" s="125">
        <v>3271</v>
      </c>
      <c r="D292" s="113">
        <v>551686772</v>
      </c>
      <c r="E292" s="116">
        <f t="shared" si="61"/>
        <v>168659.97309691226</v>
      </c>
      <c r="F292" s="117">
        <v>254048628</v>
      </c>
      <c r="G292" s="117">
        <f t="shared" si="62"/>
        <v>77666.960562519103</v>
      </c>
      <c r="H292" s="9"/>
      <c r="I292" s="109">
        <v>1.4718</v>
      </c>
      <c r="J292" s="117">
        <v>373908.77069039998</v>
      </c>
      <c r="K292" s="120">
        <f t="shared" si="63"/>
        <v>114.31023255591562</v>
      </c>
      <c r="L292" s="122">
        <f t="shared" si="53"/>
        <v>2540486.2800000003</v>
      </c>
      <c r="M292" s="116">
        <f t="shared" si="54"/>
        <v>2166577.5093096001</v>
      </c>
      <c r="N292" s="123">
        <f t="shared" si="55"/>
        <v>662.35937306927553</v>
      </c>
      <c r="O292" s="5"/>
      <c r="P292" s="5">
        <f t="shared" si="56"/>
        <v>1</v>
      </c>
      <c r="Q292" s="7">
        <f t="shared" si="57"/>
        <v>3271</v>
      </c>
    </row>
    <row r="293" spans="1:17">
      <c r="A293" s="23" t="s">
        <v>320</v>
      </c>
      <c r="B293" s="35" t="s">
        <v>300</v>
      </c>
      <c r="C293" s="125">
        <v>417</v>
      </c>
      <c r="D293" s="113">
        <v>1411892873</v>
      </c>
      <c r="E293" s="116">
        <f t="shared" si="61"/>
        <v>3385834.2278177459</v>
      </c>
      <c r="F293" s="117">
        <v>1156183545</v>
      </c>
      <c r="G293" s="117">
        <f t="shared" si="62"/>
        <v>2772622.4100719425</v>
      </c>
      <c r="H293" s="7"/>
      <c r="I293" s="109">
        <v>2.7949999999999999</v>
      </c>
      <c r="J293" s="117">
        <v>3231533.0082749999</v>
      </c>
      <c r="K293" s="120">
        <f t="shared" si="63"/>
        <v>7749.4796361510789</v>
      </c>
      <c r="L293" s="122">
        <f t="shared" si="53"/>
        <v>11561835.450000001</v>
      </c>
      <c r="M293" s="116">
        <f t="shared" si="54"/>
        <v>8330302.4417250007</v>
      </c>
      <c r="N293" s="123">
        <f t="shared" si="55"/>
        <v>19976.744464568346</v>
      </c>
      <c r="O293" s="5"/>
      <c r="P293" s="5">
        <f t="shared" si="56"/>
        <v>1</v>
      </c>
      <c r="Q293" s="7">
        <f t="shared" si="57"/>
        <v>417</v>
      </c>
    </row>
    <row r="294" spans="1:17">
      <c r="A294" s="23" t="s">
        <v>321</v>
      </c>
      <c r="B294" s="35" t="s">
        <v>300</v>
      </c>
      <c r="C294" s="125">
        <v>1984</v>
      </c>
      <c r="D294" s="113">
        <v>211745517</v>
      </c>
      <c r="E294" s="116">
        <f t="shared" si="61"/>
        <v>106726.57106854839</v>
      </c>
      <c r="F294" s="117">
        <v>169982007</v>
      </c>
      <c r="G294" s="117">
        <f t="shared" si="62"/>
        <v>85676.414818548394</v>
      </c>
      <c r="H294" s="7"/>
      <c r="I294" s="127">
        <v>9.8000000000000007</v>
      </c>
      <c r="J294" s="117">
        <v>1665823.6686000002</v>
      </c>
      <c r="K294" s="120">
        <f t="shared" si="63"/>
        <v>839.62886522177428</v>
      </c>
      <c r="L294" s="122">
        <f t="shared" si="53"/>
        <v>1699820.07</v>
      </c>
      <c r="M294" s="116">
        <f t="shared" si="54"/>
        <v>33996.401399999857</v>
      </c>
      <c r="N294" s="123">
        <f t="shared" si="55"/>
        <v>17.135282963709606</v>
      </c>
      <c r="O294" s="5"/>
      <c r="P294" s="5">
        <f t="shared" si="56"/>
        <v>1</v>
      </c>
      <c r="Q294" s="7">
        <f t="shared" si="57"/>
        <v>1984</v>
      </c>
    </row>
    <row r="295" spans="1:17">
      <c r="A295" s="23" t="s">
        <v>322</v>
      </c>
      <c r="B295" s="35" t="s">
        <v>300</v>
      </c>
      <c r="C295" s="125">
        <v>12230</v>
      </c>
      <c r="D295" s="113">
        <v>2724120183</v>
      </c>
      <c r="E295" s="116">
        <f t="shared" si="61"/>
        <v>222740.81627146361</v>
      </c>
      <c r="F295" s="117">
        <v>1844471827</v>
      </c>
      <c r="G295" s="117">
        <f t="shared" si="62"/>
        <v>150815.35789043337</v>
      </c>
      <c r="H295" s="7"/>
      <c r="I295" s="109">
        <v>7.33</v>
      </c>
      <c r="J295" s="117">
        <v>13519978.491909999</v>
      </c>
      <c r="K295" s="120">
        <f t="shared" si="63"/>
        <v>1105.4765733368765</v>
      </c>
      <c r="L295" s="122">
        <f t="shared" si="53"/>
        <v>18444718.27</v>
      </c>
      <c r="M295" s="116">
        <f t="shared" si="54"/>
        <v>4924739.7780900002</v>
      </c>
      <c r="N295" s="123">
        <f t="shared" si="55"/>
        <v>402.67700556745706</v>
      </c>
      <c r="O295" s="5"/>
      <c r="P295" s="5">
        <f t="shared" si="56"/>
        <v>1</v>
      </c>
      <c r="Q295" s="7">
        <f t="shared" si="57"/>
        <v>12230</v>
      </c>
    </row>
    <row r="296" spans="1:17">
      <c r="A296" s="23" t="s">
        <v>323</v>
      </c>
      <c r="B296" s="35" t="s">
        <v>300</v>
      </c>
      <c r="C296" s="125">
        <v>1779</v>
      </c>
      <c r="D296" s="113">
        <v>1191317254</v>
      </c>
      <c r="E296" s="116">
        <f t="shared" si="61"/>
        <v>669655.56717256887</v>
      </c>
      <c r="F296" s="117">
        <v>890954178</v>
      </c>
      <c r="G296" s="117">
        <f t="shared" si="62"/>
        <v>500817.41315345699</v>
      </c>
      <c r="H296" s="7"/>
      <c r="I296" s="109">
        <v>5.35</v>
      </c>
      <c r="J296" s="117">
        <v>4766604.8522999994</v>
      </c>
      <c r="K296" s="120">
        <f t="shared" si="63"/>
        <v>2679.3731603709948</v>
      </c>
      <c r="L296" s="122">
        <f t="shared" si="53"/>
        <v>8909541.7799999993</v>
      </c>
      <c r="M296" s="116">
        <f t="shared" si="54"/>
        <v>4142936.9276999999</v>
      </c>
      <c r="N296" s="123">
        <f t="shared" si="55"/>
        <v>2328.800971163575</v>
      </c>
      <c r="O296" s="5"/>
      <c r="P296" s="5">
        <f t="shared" si="56"/>
        <v>1</v>
      </c>
      <c r="Q296" s="7">
        <f t="shared" si="57"/>
        <v>1779</v>
      </c>
    </row>
    <row r="297" spans="1:17">
      <c r="A297" s="23" t="s">
        <v>324</v>
      </c>
      <c r="B297" s="35" t="s">
        <v>300</v>
      </c>
      <c r="C297" s="125">
        <v>5826</v>
      </c>
      <c r="D297" s="113">
        <v>203236527</v>
      </c>
      <c r="E297" s="116">
        <f t="shared" si="61"/>
        <v>34884.402162718849</v>
      </c>
      <c r="F297" s="117">
        <v>81304661</v>
      </c>
      <c r="G297" s="117">
        <f t="shared" si="62"/>
        <v>13955.485925163062</v>
      </c>
      <c r="H297" s="9"/>
      <c r="I297" s="109">
        <v>6.5419</v>
      </c>
      <c r="J297" s="117">
        <v>531886.96179590002</v>
      </c>
      <c r="K297" s="120">
        <f t="shared" si="63"/>
        <v>91.29539337382424</v>
      </c>
      <c r="L297" s="122">
        <f t="shared" si="53"/>
        <v>813046.61</v>
      </c>
      <c r="M297" s="116">
        <f t="shared" si="54"/>
        <v>281159.64820409997</v>
      </c>
      <c r="N297" s="123">
        <f t="shared" si="55"/>
        <v>48.259465877806377</v>
      </c>
      <c r="O297" s="5"/>
      <c r="P297" s="5">
        <f t="shared" si="56"/>
        <v>1</v>
      </c>
      <c r="Q297" s="7">
        <f t="shared" si="57"/>
        <v>5826</v>
      </c>
    </row>
    <row r="298" spans="1:17">
      <c r="A298" s="23" t="s">
        <v>300</v>
      </c>
      <c r="B298" s="35" t="s">
        <v>300</v>
      </c>
      <c r="C298" s="125">
        <v>8040</v>
      </c>
      <c r="D298" s="113">
        <v>21207234242</v>
      </c>
      <c r="E298" s="116">
        <f t="shared" si="61"/>
        <v>2637715.7017412935</v>
      </c>
      <c r="F298" s="117">
        <v>15890986028</v>
      </c>
      <c r="G298" s="117">
        <f t="shared" si="62"/>
        <v>1976490.7995024875</v>
      </c>
      <c r="H298" s="7"/>
      <c r="I298" s="109">
        <v>3.2706</v>
      </c>
      <c r="J298" s="117">
        <v>51973058.903176799</v>
      </c>
      <c r="K298" s="120">
        <f t="shared" si="63"/>
        <v>6464.3108088528361</v>
      </c>
      <c r="L298" s="122">
        <f t="shared" si="53"/>
        <v>158909860.28</v>
      </c>
      <c r="M298" s="116">
        <f t="shared" si="54"/>
        <v>106936801.3768232</v>
      </c>
      <c r="N298" s="123">
        <f t="shared" si="55"/>
        <v>13300.597186172041</v>
      </c>
      <c r="O298" s="5"/>
      <c r="P298" s="5">
        <f t="shared" si="56"/>
        <v>1</v>
      </c>
      <c r="Q298" s="7">
        <f t="shared" si="57"/>
        <v>8040</v>
      </c>
    </row>
    <row r="299" spans="1:17">
      <c r="A299" s="23" t="s">
        <v>325</v>
      </c>
      <c r="B299" s="35" t="s">
        <v>300</v>
      </c>
      <c r="C299" s="125">
        <v>51532</v>
      </c>
      <c r="D299" s="113">
        <v>13251477046</v>
      </c>
      <c r="E299" s="116">
        <f t="shared" si="61"/>
        <v>257150.45109834665</v>
      </c>
      <c r="F299" s="117">
        <v>10097216930</v>
      </c>
      <c r="G299" s="117">
        <f t="shared" si="62"/>
        <v>195940.71508965304</v>
      </c>
      <c r="H299" s="7"/>
      <c r="I299" s="109">
        <v>5.55</v>
      </c>
      <c r="J299" s="117">
        <v>56039553.961499996</v>
      </c>
      <c r="K299" s="120">
        <f t="shared" si="63"/>
        <v>1087.4709687475743</v>
      </c>
      <c r="L299" s="122">
        <f t="shared" si="53"/>
        <v>100972169.3</v>
      </c>
      <c r="M299" s="116">
        <f t="shared" si="54"/>
        <v>44932615.338500001</v>
      </c>
      <c r="N299" s="123">
        <f t="shared" si="55"/>
        <v>871.93618214895605</v>
      </c>
      <c r="O299" s="5"/>
      <c r="P299" s="5">
        <f t="shared" si="56"/>
        <v>1</v>
      </c>
      <c r="Q299" s="7">
        <f t="shared" si="57"/>
        <v>51532</v>
      </c>
    </row>
    <row r="300" spans="1:17">
      <c r="A300" s="23" t="s">
        <v>326</v>
      </c>
      <c r="B300" s="35" t="s">
        <v>300</v>
      </c>
      <c r="C300" s="125">
        <v>1161</v>
      </c>
      <c r="D300" s="113">
        <v>626650602</v>
      </c>
      <c r="E300" s="116">
        <f t="shared" si="61"/>
        <v>539750.73385012918</v>
      </c>
      <c r="F300" s="117">
        <v>550945747</v>
      </c>
      <c r="G300" s="117">
        <f t="shared" si="62"/>
        <v>474544.14039621019</v>
      </c>
      <c r="H300" s="7"/>
      <c r="I300" s="109">
        <v>6.35</v>
      </c>
      <c r="J300" s="117">
        <v>3498505.49345</v>
      </c>
      <c r="K300" s="120">
        <f t="shared" si="63"/>
        <v>3013.3552915159344</v>
      </c>
      <c r="L300" s="122">
        <f t="shared" si="53"/>
        <v>5509457.4699999997</v>
      </c>
      <c r="M300" s="116">
        <f t="shared" si="54"/>
        <v>2010951.9765499998</v>
      </c>
      <c r="N300" s="123">
        <f t="shared" si="55"/>
        <v>1732.0861124461669</v>
      </c>
      <c r="O300" s="5"/>
      <c r="P300" s="5">
        <f t="shared" si="56"/>
        <v>1</v>
      </c>
      <c r="Q300" s="7">
        <f t="shared" si="57"/>
        <v>1161</v>
      </c>
    </row>
    <row r="301" spans="1:17">
      <c r="A301" s="23" t="s">
        <v>327</v>
      </c>
      <c r="B301" s="35" t="s">
        <v>300</v>
      </c>
      <c r="C301" s="125">
        <v>22458</v>
      </c>
      <c r="D301" s="113">
        <v>1418740911</v>
      </c>
      <c r="E301" s="116">
        <f>(D301/C301)</f>
        <v>63173.074672722418</v>
      </c>
      <c r="F301" s="117">
        <v>909466791</v>
      </c>
      <c r="G301" s="117">
        <f t="shared" si="62"/>
        <v>40496.339433609406</v>
      </c>
      <c r="H301" s="9"/>
      <c r="I301" s="109">
        <v>3.9</v>
      </c>
      <c r="J301" s="117">
        <v>3546920.4849</v>
      </c>
      <c r="K301" s="120">
        <f t="shared" si="63"/>
        <v>157.93572379107667</v>
      </c>
      <c r="L301" s="122">
        <f t="shared" si="53"/>
        <v>9094667.9100000001</v>
      </c>
      <c r="M301" s="116">
        <f t="shared" si="54"/>
        <v>5547747.4251000006</v>
      </c>
      <c r="N301" s="123">
        <f t="shared" si="55"/>
        <v>247.0276705450174</v>
      </c>
      <c r="O301" s="5"/>
      <c r="P301" s="5">
        <f t="shared" si="56"/>
        <v>1</v>
      </c>
      <c r="Q301" s="7">
        <f t="shared" si="57"/>
        <v>22458</v>
      </c>
    </row>
    <row r="302" spans="1:17">
      <c r="A302" s="23" t="s">
        <v>328</v>
      </c>
      <c r="B302" s="35" t="s">
        <v>300</v>
      </c>
      <c r="C302" s="125">
        <v>33957</v>
      </c>
      <c r="D302" s="113">
        <v>6446125095</v>
      </c>
      <c r="E302" s="116">
        <f t="shared" si="61"/>
        <v>189831.99620107783</v>
      </c>
      <c r="F302" s="117">
        <v>4935646121</v>
      </c>
      <c r="G302" s="117">
        <f t="shared" si="62"/>
        <v>145349.88723974439</v>
      </c>
      <c r="H302" s="7"/>
      <c r="I302" s="109">
        <v>8.452</v>
      </c>
      <c r="J302" s="117">
        <v>41716081.014692001</v>
      </c>
      <c r="K302" s="120">
        <f t="shared" si="63"/>
        <v>1228.4972469503195</v>
      </c>
      <c r="L302" s="122">
        <f t="shared" si="53"/>
        <v>49356461.210000001</v>
      </c>
      <c r="M302" s="116">
        <f t="shared" si="54"/>
        <v>7640380.1953079998</v>
      </c>
      <c r="N302" s="123">
        <f t="shared" si="55"/>
        <v>225.0016254471243</v>
      </c>
      <c r="O302" s="5"/>
      <c r="P302" s="5">
        <f t="shared" si="56"/>
        <v>1</v>
      </c>
      <c r="Q302" s="7">
        <f t="shared" si="57"/>
        <v>33957</v>
      </c>
    </row>
    <row r="303" spans="1:17">
      <c r="A303" s="23" t="s">
        <v>329</v>
      </c>
      <c r="B303" s="35" t="s">
        <v>300</v>
      </c>
      <c r="C303" s="125">
        <v>37138</v>
      </c>
      <c r="D303" s="113">
        <v>3807361469</v>
      </c>
      <c r="E303" s="116">
        <f t="shared" si="61"/>
        <v>102519.29207280952</v>
      </c>
      <c r="F303" s="117">
        <v>2506020308</v>
      </c>
      <c r="G303" s="117">
        <f t="shared" si="62"/>
        <v>67478.60164790781</v>
      </c>
      <c r="H303" s="7"/>
      <c r="I303" s="109">
        <v>1.92</v>
      </c>
      <c r="J303" s="117">
        <v>4811558.9913599994</v>
      </c>
      <c r="K303" s="120">
        <f t="shared" si="63"/>
        <v>129.55891516398296</v>
      </c>
      <c r="L303" s="122">
        <f t="shared" si="53"/>
        <v>25060203.080000002</v>
      </c>
      <c r="M303" s="116">
        <f t="shared" si="54"/>
        <v>20248644.088640004</v>
      </c>
      <c r="N303" s="123">
        <f t="shared" si="55"/>
        <v>545.22710131509518</v>
      </c>
      <c r="O303" s="5"/>
      <c r="P303" s="5">
        <f t="shared" si="56"/>
        <v>1</v>
      </c>
      <c r="Q303" s="7">
        <f t="shared" si="57"/>
        <v>37138</v>
      </c>
    </row>
    <row r="304" spans="1:17">
      <c r="A304" s="23" t="s">
        <v>330</v>
      </c>
      <c r="B304" s="35" t="s">
        <v>300</v>
      </c>
      <c r="C304" s="125">
        <v>5293</v>
      </c>
      <c r="D304" s="113">
        <v>150556607</v>
      </c>
      <c r="E304" s="116">
        <f t="shared" si="61"/>
        <v>28444.475155866239</v>
      </c>
      <c r="F304" s="117">
        <v>61109953</v>
      </c>
      <c r="G304" s="117">
        <f t="shared" si="62"/>
        <v>11545.428490459097</v>
      </c>
      <c r="H304" s="7"/>
      <c r="I304" s="109">
        <v>6.3089000000000004</v>
      </c>
      <c r="J304" s="117">
        <v>385536.5824817</v>
      </c>
      <c r="K304" s="120">
        <f t="shared" si="63"/>
        <v>72.8389538034574</v>
      </c>
      <c r="L304" s="122">
        <f t="shared" si="53"/>
        <v>611099.53</v>
      </c>
      <c r="M304" s="116">
        <f t="shared" si="54"/>
        <v>225562.94751830003</v>
      </c>
      <c r="N304" s="123">
        <f t="shared" si="55"/>
        <v>42.615331101133577</v>
      </c>
      <c r="O304" s="5"/>
      <c r="P304" s="5">
        <f t="shared" si="56"/>
        <v>1</v>
      </c>
      <c r="Q304" s="7">
        <f t="shared" si="57"/>
        <v>5293</v>
      </c>
    </row>
    <row r="305" spans="1:21">
      <c r="A305" s="23" t="s">
        <v>331</v>
      </c>
      <c r="B305" s="35" t="s">
        <v>300</v>
      </c>
      <c r="C305" s="125">
        <v>1378</v>
      </c>
      <c r="D305" s="113">
        <v>378392705</v>
      </c>
      <c r="E305" s="116">
        <f t="shared" si="61"/>
        <v>274595.57692307694</v>
      </c>
      <c r="F305" s="117">
        <v>305229827</v>
      </c>
      <c r="G305" s="117">
        <f t="shared" si="62"/>
        <v>221502.05152394774</v>
      </c>
      <c r="H305" s="7"/>
      <c r="I305" s="109">
        <v>4.1277999999999997</v>
      </c>
      <c r="J305" s="117">
        <v>1259927.6798906</v>
      </c>
      <c r="K305" s="120">
        <f t="shared" si="63"/>
        <v>914.31616828055155</v>
      </c>
      <c r="L305" s="122">
        <f t="shared" si="53"/>
        <v>3052298.27</v>
      </c>
      <c r="M305" s="116">
        <f t="shared" si="54"/>
        <v>1792370.5901094</v>
      </c>
      <c r="N305" s="123">
        <f t="shared" si="55"/>
        <v>1300.704346958926</v>
      </c>
      <c r="O305" s="5"/>
      <c r="P305" s="5">
        <f t="shared" si="56"/>
        <v>1</v>
      </c>
      <c r="Q305" s="7">
        <f t="shared" si="57"/>
        <v>1378</v>
      </c>
    </row>
    <row r="306" spans="1:21">
      <c r="A306" s="23" t="s">
        <v>332</v>
      </c>
      <c r="B306" s="35" t="s">
        <v>300</v>
      </c>
      <c r="C306" s="125">
        <v>5699</v>
      </c>
      <c r="D306" s="113">
        <v>1434279267</v>
      </c>
      <c r="E306" s="116">
        <f t="shared" si="61"/>
        <v>251672.09457799615</v>
      </c>
      <c r="F306" s="117">
        <v>1002224986</v>
      </c>
      <c r="G306" s="117">
        <f t="shared" si="62"/>
        <v>175859.7975083348</v>
      </c>
      <c r="H306" s="7"/>
      <c r="I306" s="109">
        <v>6.2919999999999998</v>
      </c>
      <c r="J306" s="117">
        <v>6305999.611912</v>
      </c>
      <c r="K306" s="120">
        <f t="shared" si="63"/>
        <v>1106.5098459224425</v>
      </c>
      <c r="L306" s="122">
        <f t="shared" si="53"/>
        <v>10022249.859999999</v>
      </c>
      <c r="M306" s="116">
        <f t="shared" si="54"/>
        <v>3716250.2480879994</v>
      </c>
      <c r="N306" s="123">
        <f t="shared" si="55"/>
        <v>652.08812916090528</v>
      </c>
      <c r="O306" s="5"/>
      <c r="P306" s="5">
        <f t="shared" si="56"/>
        <v>1</v>
      </c>
      <c r="Q306" s="7">
        <f t="shared" si="57"/>
        <v>5699</v>
      </c>
    </row>
    <row r="307" spans="1:21">
      <c r="A307" s="23" t="s">
        <v>333</v>
      </c>
      <c r="B307" s="35" t="s">
        <v>300</v>
      </c>
      <c r="C307" s="125">
        <v>60308</v>
      </c>
      <c r="D307" s="113">
        <v>11249258820</v>
      </c>
      <c r="E307" s="116">
        <f t="shared" si="61"/>
        <v>186530.12568813426</v>
      </c>
      <c r="F307" s="117">
        <v>7460397951</v>
      </c>
      <c r="G307" s="117">
        <f t="shared" si="62"/>
        <v>123704.94712144326</v>
      </c>
      <c r="H307" s="7"/>
      <c r="I307" s="109">
        <v>2.44</v>
      </c>
      <c r="J307" s="117">
        <v>18203371.000439998</v>
      </c>
      <c r="K307" s="120">
        <f t="shared" si="63"/>
        <v>301.8400709763215</v>
      </c>
      <c r="L307" s="122">
        <f t="shared" si="53"/>
        <v>74603979.510000005</v>
      </c>
      <c r="M307" s="116">
        <f t="shared" si="54"/>
        <v>56400608.509560004</v>
      </c>
      <c r="N307" s="123">
        <f t="shared" si="55"/>
        <v>935.20940023811113</v>
      </c>
      <c r="O307" s="5"/>
      <c r="P307" s="5">
        <f t="shared" si="56"/>
        <v>1</v>
      </c>
      <c r="Q307" s="7">
        <f t="shared" si="57"/>
        <v>60308</v>
      </c>
    </row>
    <row r="308" spans="1:21">
      <c r="A308" s="23" t="s">
        <v>334</v>
      </c>
      <c r="B308" s="35" t="s">
        <v>300</v>
      </c>
      <c r="C308" s="125">
        <v>108896</v>
      </c>
      <c r="D308" s="113">
        <v>16186219597</v>
      </c>
      <c r="E308" s="116">
        <f t="shared" si="61"/>
        <v>148639.24842969439</v>
      </c>
      <c r="F308" s="117">
        <v>10977811847</v>
      </c>
      <c r="G308" s="117">
        <f t="shared" si="62"/>
        <v>100810.05589736997</v>
      </c>
      <c r="H308" s="7"/>
      <c r="I308" s="109">
        <v>8.3465000000000007</v>
      </c>
      <c r="J308" s="117">
        <v>91626306.580985501</v>
      </c>
      <c r="K308" s="120">
        <f t="shared" si="63"/>
        <v>841.41113154739844</v>
      </c>
      <c r="L308" s="122">
        <f t="shared" si="53"/>
        <v>109778118.47</v>
      </c>
      <c r="M308" s="116">
        <f t="shared" si="54"/>
        <v>18151811.889014497</v>
      </c>
      <c r="N308" s="123">
        <f t="shared" si="55"/>
        <v>166.68942742630122</v>
      </c>
      <c r="O308" s="5"/>
      <c r="P308" s="5">
        <f t="shared" si="56"/>
        <v>1</v>
      </c>
      <c r="Q308" s="7">
        <f t="shared" si="57"/>
        <v>108896</v>
      </c>
      <c r="S308" s="124">
        <f>SUM(D271:D308)</f>
        <v>158958283474</v>
      </c>
      <c r="T308" s="124">
        <f>SUM(F271:F308)</f>
        <v>114438712619</v>
      </c>
      <c r="U308" s="124">
        <f>SUM(J271:J308)</f>
        <v>549819635.30542505</v>
      </c>
    </row>
    <row r="309" spans="1:21">
      <c r="A309" s="23" t="s">
        <v>335</v>
      </c>
      <c r="B309" s="35" t="s">
        <v>336</v>
      </c>
      <c r="C309" s="125">
        <v>6953</v>
      </c>
      <c r="D309" s="113">
        <v>586575009</v>
      </c>
      <c r="E309" s="116">
        <f t="shared" si="61"/>
        <v>84362.866244786419</v>
      </c>
      <c r="F309" s="117">
        <v>270982839</v>
      </c>
      <c r="G309" s="117">
        <f t="shared" si="62"/>
        <v>38973.513447432764</v>
      </c>
      <c r="H309" s="7"/>
      <c r="I309" s="109">
        <v>7.14</v>
      </c>
      <c r="J309" s="117">
        <v>1934817.4704599997</v>
      </c>
      <c r="K309" s="120">
        <f t="shared" si="63"/>
        <v>278.27088601466988</v>
      </c>
      <c r="L309" s="122">
        <f t="shared" si="53"/>
        <v>2709828.39</v>
      </c>
      <c r="M309" s="116">
        <f t="shared" si="54"/>
        <v>775010.91954000038</v>
      </c>
      <c r="N309" s="123">
        <f t="shared" si="55"/>
        <v>111.46424845965775</v>
      </c>
      <c r="O309" s="5"/>
      <c r="P309" s="5">
        <f t="shared" si="56"/>
        <v>1</v>
      </c>
      <c r="Q309" s="7">
        <f t="shared" si="57"/>
        <v>6953</v>
      </c>
    </row>
    <row r="310" spans="1:21">
      <c r="A310" s="23" t="s">
        <v>337</v>
      </c>
      <c r="B310" s="35" t="s">
        <v>336</v>
      </c>
      <c r="C310" s="125">
        <v>15619</v>
      </c>
      <c r="D310" s="113">
        <v>836341845</v>
      </c>
      <c r="E310" s="116">
        <f t="shared" si="61"/>
        <v>53546.439912926566</v>
      </c>
      <c r="F310" s="117">
        <v>514291510</v>
      </c>
      <c r="G310" s="117">
        <f t="shared" si="62"/>
        <v>32927.300723477812</v>
      </c>
      <c r="H310" s="7"/>
      <c r="I310" s="109">
        <v>9.15</v>
      </c>
      <c r="J310" s="117">
        <v>4705767.3164999997</v>
      </c>
      <c r="K310" s="120">
        <f t="shared" si="63"/>
        <v>301.28480161982202</v>
      </c>
      <c r="L310" s="122">
        <f t="shared" si="53"/>
        <v>5142915.1000000006</v>
      </c>
      <c r="M310" s="116">
        <f t="shared" si="54"/>
        <v>437147.78350000083</v>
      </c>
      <c r="N310" s="123">
        <f t="shared" si="55"/>
        <v>27.988205614956197</v>
      </c>
      <c r="O310" s="5"/>
      <c r="P310" s="5">
        <f t="shared" si="56"/>
        <v>1</v>
      </c>
      <c r="Q310" s="7">
        <f t="shared" si="57"/>
        <v>15619</v>
      </c>
    </row>
    <row r="311" spans="1:21">
      <c r="A311" s="23" t="s">
        <v>338</v>
      </c>
      <c r="B311" s="35" t="s">
        <v>336</v>
      </c>
      <c r="C311" s="125">
        <v>2663</v>
      </c>
      <c r="D311" s="113">
        <v>326996997</v>
      </c>
      <c r="E311" s="116">
        <f t="shared" ref="E311:E342" si="64">(D311/C311)</f>
        <v>122792.71385655276</v>
      </c>
      <c r="F311" s="117">
        <v>257155629</v>
      </c>
      <c r="G311" s="117">
        <f t="shared" ref="G311:G342" si="65">(F311/C311)</f>
        <v>96566.139316560264</v>
      </c>
      <c r="H311" s="7"/>
      <c r="I311" s="109">
        <v>5.7557</v>
      </c>
      <c r="J311" s="117">
        <v>1480110.6538352999</v>
      </c>
      <c r="K311" s="120">
        <f t="shared" ref="K311:K342" si="66">(J311/C311)</f>
        <v>555.80572806432588</v>
      </c>
      <c r="L311" s="122">
        <f t="shared" si="53"/>
        <v>2571556.29</v>
      </c>
      <c r="M311" s="116">
        <f t="shared" si="54"/>
        <v>1091445.6361647001</v>
      </c>
      <c r="N311" s="123">
        <f t="shared" si="55"/>
        <v>409.85566510127683</v>
      </c>
      <c r="O311" s="5"/>
      <c r="P311" s="5">
        <f t="shared" si="56"/>
        <v>1</v>
      </c>
      <c r="Q311" s="7">
        <f t="shared" si="57"/>
        <v>2663</v>
      </c>
    </row>
    <row r="312" spans="1:21">
      <c r="A312" s="23" t="s">
        <v>339</v>
      </c>
      <c r="B312" s="35" t="s">
        <v>336</v>
      </c>
      <c r="C312" s="125">
        <v>1236</v>
      </c>
      <c r="D312" s="113">
        <v>100160523</v>
      </c>
      <c r="E312" s="116">
        <f t="shared" si="64"/>
        <v>81036.021844660194</v>
      </c>
      <c r="F312" s="117">
        <v>56405381</v>
      </c>
      <c r="G312" s="117">
        <f t="shared" si="65"/>
        <v>45635.421521035598</v>
      </c>
      <c r="H312" s="7"/>
      <c r="I312" s="109">
        <v>3.5750000000000002</v>
      </c>
      <c r="J312" s="117">
        <v>201649.23707500001</v>
      </c>
      <c r="K312" s="120">
        <f t="shared" si="66"/>
        <v>163.14663193770227</v>
      </c>
      <c r="L312" s="122">
        <f t="shared" si="53"/>
        <v>564053.81000000006</v>
      </c>
      <c r="M312" s="116">
        <f t="shared" si="54"/>
        <v>362404.57292500004</v>
      </c>
      <c r="N312" s="123">
        <f t="shared" si="55"/>
        <v>293.20758327265378</v>
      </c>
      <c r="O312" s="5"/>
      <c r="P312" s="5">
        <f t="shared" si="56"/>
        <v>1</v>
      </c>
      <c r="Q312" s="7">
        <f t="shared" si="57"/>
        <v>1236</v>
      </c>
    </row>
    <row r="313" spans="1:21">
      <c r="A313" s="24" t="s">
        <v>547</v>
      </c>
      <c r="B313" s="35" t="s">
        <v>336</v>
      </c>
      <c r="C313" s="125">
        <v>1370</v>
      </c>
      <c r="D313" s="113">
        <v>77295679</v>
      </c>
      <c r="E313" s="116">
        <f t="shared" si="64"/>
        <v>56420.203649635034</v>
      </c>
      <c r="F313" s="117">
        <v>9171720</v>
      </c>
      <c r="G313" s="117">
        <f t="shared" si="65"/>
        <v>6694.6861313868612</v>
      </c>
      <c r="H313" s="7"/>
      <c r="I313" s="109">
        <v>0.75</v>
      </c>
      <c r="J313" s="117">
        <v>6878.79</v>
      </c>
      <c r="K313" s="120">
        <f t="shared" si="66"/>
        <v>5.0210145985401455</v>
      </c>
      <c r="L313" s="122">
        <f t="shared" si="53"/>
        <v>91717.2</v>
      </c>
      <c r="M313" s="116">
        <f t="shared" si="54"/>
        <v>84838.41</v>
      </c>
      <c r="N313" s="123">
        <f t="shared" si="55"/>
        <v>61.925846715328468</v>
      </c>
      <c r="O313" s="5"/>
      <c r="P313" s="5">
        <f t="shared" si="56"/>
        <v>1</v>
      </c>
      <c r="Q313" s="7">
        <f t="shared" si="57"/>
        <v>1370</v>
      </c>
    </row>
    <row r="314" spans="1:21">
      <c r="A314" s="23" t="s">
        <v>340</v>
      </c>
      <c r="B314" s="35" t="s">
        <v>336</v>
      </c>
      <c r="C314" s="125">
        <v>15170</v>
      </c>
      <c r="D314" s="113">
        <v>994100884</v>
      </c>
      <c r="E314" s="116">
        <f t="shared" si="64"/>
        <v>65530.710876730387</v>
      </c>
      <c r="F314" s="117">
        <v>623225288</v>
      </c>
      <c r="G314" s="117">
        <f t="shared" si="65"/>
        <v>41082.748055372445</v>
      </c>
      <c r="H314" s="7"/>
      <c r="I314" s="109">
        <v>6.35</v>
      </c>
      <c r="J314" s="117">
        <v>3957480.5787999998</v>
      </c>
      <c r="K314" s="120">
        <f t="shared" si="66"/>
        <v>260.87545015161504</v>
      </c>
      <c r="L314" s="122">
        <f t="shared" si="53"/>
        <v>6232252.8799999999</v>
      </c>
      <c r="M314" s="116">
        <f t="shared" si="54"/>
        <v>2274772.3012000001</v>
      </c>
      <c r="N314" s="123">
        <f t="shared" si="55"/>
        <v>149.95203040210944</v>
      </c>
      <c r="O314" s="5"/>
      <c r="P314" s="5">
        <f t="shared" si="56"/>
        <v>1</v>
      </c>
      <c r="Q314" s="7">
        <f t="shared" si="57"/>
        <v>15170</v>
      </c>
      <c r="S314" s="124">
        <f>SUM(D309:D314)</f>
        <v>2921470937</v>
      </c>
      <c r="T314" s="124">
        <f>SUM(F309:F314)</f>
        <v>1731232367</v>
      </c>
      <c r="U314" s="124">
        <f>SUM(J309:J314)</f>
        <v>12286704.046670299</v>
      </c>
    </row>
    <row r="315" spans="1:21">
      <c r="A315" s="23" t="s">
        <v>341</v>
      </c>
      <c r="B315" s="35" t="s">
        <v>342</v>
      </c>
      <c r="C315" s="125">
        <v>3912</v>
      </c>
      <c r="D315" s="113">
        <v>980956983</v>
      </c>
      <c r="E315" s="116">
        <f t="shared" si="64"/>
        <v>250755.875</v>
      </c>
      <c r="F315" s="117">
        <v>670528380</v>
      </c>
      <c r="G315" s="117">
        <f t="shared" si="65"/>
        <v>171402.96012269938</v>
      </c>
      <c r="H315" s="7"/>
      <c r="I315" s="109">
        <v>5.9257</v>
      </c>
      <c r="J315" s="117">
        <v>3973350.0213660002</v>
      </c>
      <c r="K315" s="120">
        <f t="shared" si="66"/>
        <v>1015.6825207990798</v>
      </c>
      <c r="L315" s="122">
        <f t="shared" si="53"/>
        <v>6705283.7999999998</v>
      </c>
      <c r="M315" s="116">
        <f t="shared" si="54"/>
        <v>2731933.7786339996</v>
      </c>
      <c r="N315" s="123">
        <f t="shared" si="55"/>
        <v>698.34708042791397</v>
      </c>
      <c r="O315" s="5"/>
      <c r="P315" s="5">
        <f t="shared" si="56"/>
        <v>1</v>
      </c>
      <c r="Q315" s="7">
        <f t="shared" si="57"/>
        <v>3912</v>
      </c>
    </row>
    <row r="316" spans="1:21">
      <c r="A316" s="23" t="s">
        <v>343</v>
      </c>
      <c r="B316" s="35" t="s">
        <v>342</v>
      </c>
      <c r="C316" s="125">
        <v>1563</v>
      </c>
      <c r="D316" s="113">
        <v>633495188</v>
      </c>
      <c r="E316" s="116">
        <f t="shared" si="64"/>
        <v>405307.22200895712</v>
      </c>
      <c r="F316" s="117">
        <v>477121521</v>
      </c>
      <c r="G316" s="117">
        <f t="shared" si="65"/>
        <v>305260.09021113242</v>
      </c>
      <c r="H316" s="7"/>
      <c r="I316" s="109">
        <v>2.0394000000000001</v>
      </c>
      <c r="J316" s="117">
        <v>973041.62992740003</v>
      </c>
      <c r="K316" s="120">
        <f t="shared" si="66"/>
        <v>622.54742797658355</v>
      </c>
      <c r="L316" s="122">
        <f t="shared" si="53"/>
        <v>4771215.21</v>
      </c>
      <c r="M316" s="116">
        <f t="shared" si="54"/>
        <v>3798173.5800725999</v>
      </c>
      <c r="N316" s="123">
        <f t="shared" si="55"/>
        <v>2430.053474134741</v>
      </c>
      <c r="O316" s="5"/>
      <c r="P316" s="5">
        <f t="shared" si="56"/>
        <v>1</v>
      </c>
      <c r="Q316" s="7">
        <f t="shared" si="57"/>
        <v>1563</v>
      </c>
    </row>
    <row r="317" spans="1:21">
      <c r="A317" s="23" t="s">
        <v>344</v>
      </c>
      <c r="B317" s="35" t="s">
        <v>342</v>
      </c>
      <c r="C317" s="125">
        <v>2056</v>
      </c>
      <c r="D317" s="113">
        <v>291660808</v>
      </c>
      <c r="E317" s="116">
        <f t="shared" si="64"/>
        <v>141858.36964980545</v>
      </c>
      <c r="F317" s="117">
        <v>197094833</v>
      </c>
      <c r="G317" s="117">
        <f t="shared" si="65"/>
        <v>95863.245622568094</v>
      </c>
      <c r="H317" s="7"/>
      <c r="I317" s="109">
        <v>5.35</v>
      </c>
      <c r="J317" s="117">
        <v>1054457.3565499999</v>
      </c>
      <c r="K317" s="120">
        <f t="shared" si="66"/>
        <v>512.8683640807393</v>
      </c>
      <c r="L317" s="122">
        <f t="shared" si="53"/>
        <v>1970948.33</v>
      </c>
      <c r="M317" s="116">
        <f t="shared" si="54"/>
        <v>916490.97345000017</v>
      </c>
      <c r="N317" s="123">
        <f t="shared" si="55"/>
        <v>445.76409214494174</v>
      </c>
      <c r="O317" s="5"/>
      <c r="P317" s="5">
        <f t="shared" si="56"/>
        <v>1</v>
      </c>
      <c r="Q317" s="7">
        <f t="shared" si="57"/>
        <v>2056</v>
      </c>
    </row>
    <row r="318" spans="1:21">
      <c r="A318" s="23" t="s">
        <v>345</v>
      </c>
      <c r="B318" s="35" t="s">
        <v>342</v>
      </c>
      <c r="C318" s="125">
        <v>111</v>
      </c>
      <c r="D318" s="113">
        <v>166400847</v>
      </c>
      <c r="E318" s="116">
        <f t="shared" si="64"/>
        <v>1499106.7297297297</v>
      </c>
      <c r="F318" s="117">
        <v>128310342</v>
      </c>
      <c r="G318" s="117">
        <f t="shared" si="65"/>
        <v>1155949.027027027</v>
      </c>
      <c r="H318" s="7"/>
      <c r="I318" s="109">
        <v>0.72940000000000005</v>
      </c>
      <c r="J318" s="117">
        <v>93589.563454800009</v>
      </c>
      <c r="K318" s="120">
        <f t="shared" si="66"/>
        <v>843.14922031351364</v>
      </c>
      <c r="L318" s="122">
        <f t="shared" si="53"/>
        <v>1283103.42</v>
      </c>
      <c r="M318" s="116">
        <f t="shared" si="54"/>
        <v>1189513.8565451999</v>
      </c>
      <c r="N318" s="123">
        <f t="shared" si="55"/>
        <v>10716.341049956756</v>
      </c>
      <c r="O318" s="5"/>
      <c r="P318" s="5">
        <f t="shared" si="56"/>
        <v>1</v>
      </c>
      <c r="Q318" s="7">
        <f t="shared" si="57"/>
        <v>111</v>
      </c>
    </row>
    <row r="319" spans="1:21">
      <c r="A319" s="23" t="s">
        <v>346</v>
      </c>
      <c r="B319" s="35" t="s">
        <v>342</v>
      </c>
      <c r="C319" s="125">
        <v>112387</v>
      </c>
      <c r="D319" s="113">
        <v>13848911763</v>
      </c>
      <c r="E319" s="116">
        <f t="shared" si="64"/>
        <v>123225.21077170847</v>
      </c>
      <c r="F319" s="117">
        <v>9400100434</v>
      </c>
      <c r="G319" s="117">
        <f t="shared" si="65"/>
        <v>83640.460498100321</v>
      </c>
      <c r="H319" s="7"/>
      <c r="I319" s="109">
        <v>5.1550000000000002</v>
      </c>
      <c r="J319" s="117">
        <v>48457517.737270005</v>
      </c>
      <c r="K319" s="120">
        <f t="shared" si="66"/>
        <v>431.16657386770714</v>
      </c>
      <c r="L319" s="122">
        <f t="shared" si="53"/>
        <v>94001004.340000004</v>
      </c>
      <c r="M319" s="116">
        <f t="shared" si="54"/>
        <v>45543486.602729999</v>
      </c>
      <c r="N319" s="123">
        <f t="shared" si="55"/>
        <v>405.23803111329602</v>
      </c>
      <c r="O319" s="5"/>
      <c r="P319" s="5">
        <f t="shared" si="56"/>
        <v>1</v>
      </c>
      <c r="Q319" s="7">
        <f t="shared" si="57"/>
        <v>112387</v>
      </c>
    </row>
    <row r="320" spans="1:21">
      <c r="A320" s="129" t="s">
        <v>347</v>
      </c>
      <c r="B320" s="130" t="s">
        <v>342</v>
      </c>
      <c r="C320" s="131">
        <v>36060</v>
      </c>
      <c r="D320" s="132">
        <v>3528185824</v>
      </c>
      <c r="E320" s="133">
        <f t="shared" si="64"/>
        <v>97842.091625069326</v>
      </c>
      <c r="F320" s="134">
        <v>2147371249</v>
      </c>
      <c r="G320" s="134">
        <f t="shared" si="65"/>
        <v>59549.951442041041</v>
      </c>
      <c r="H320" s="135"/>
      <c r="I320" s="136">
        <v>4.1345000000000001</v>
      </c>
      <c r="J320" s="134">
        <v>8878306.4289905</v>
      </c>
      <c r="K320" s="137">
        <f t="shared" si="66"/>
        <v>246.20927423711871</v>
      </c>
      <c r="L320" s="138">
        <f t="shared" si="53"/>
        <v>21473712.490000002</v>
      </c>
      <c r="M320" s="133">
        <f t="shared" si="54"/>
        <v>12595406.061009502</v>
      </c>
      <c r="N320" s="139">
        <f t="shared" si="55"/>
        <v>349.29024018329181</v>
      </c>
      <c r="O320" s="5"/>
      <c r="P320" s="5">
        <f t="shared" si="56"/>
        <v>1</v>
      </c>
      <c r="Q320" s="7">
        <f t="shared" si="57"/>
        <v>36060</v>
      </c>
    </row>
    <row r="321" spans="1:17">
      <c r="A321" s="23" t="s">
        <v>348</v>
      </c>
      <c r="B321" s="35" t="s">
        <v>342</v>
      </c>
      <c r="C321" s="125">
        <v>12315</v>
      </c>
      <c r="D321" s="113">
        <v>1309292740</v>
      </c>
      <c r="E321" s="116">
        <f t="shared" si="64"/>
        <v>106316.90946000812</v>
      </c>
      <c r="F321" s="117">
        <v>805160338</v>
      </c>
      <c r="G321" s="117">
        <f t="shared" si="65"/>
        <v>65380.457815671944</v>
      </c>
      <c r="H321" s="7"/>
      <c r="I321" s="109">
        <v>4.0389999999999997</v>
      </c>
      <c r="J321" s="117">
        <v>3252042.6051819995</v>
      </c>
      <c r="K321" s="120">
        <f t="shared" si="66"/>
        <v>264.07166911749897</v>
      </c>
      <c r="L321" s="122">
        <f t="shared" si="53"/>
        <v>8051603.3799999999</v>
      </c>
      <c r="M321" s="116">
        <f t="shared" si="54"/>
        <v>4799560.7748180004</v>
      </c>
      <c r="N321" s="123">
        <f t="shared" si="55"/>
        <v>389.73290903922049</v>
      </c>
      <c r="O321" s="5"/>
      <c r="P321" s="5">
        <f t="shared" si="56"/>
        <v>1</v>
      </c>
      <c r="Q321" s="7">
        <f t="shared" si="57"/>
        <v>12315</v>
      </c>
    </row>
    <row r="322" spans="1:17">
      <c r="A322" s="23" t="s">
        <v>349</v>
      </c>
      <c r="B322" s="35" t="s">
        <v>342</v>
      </c>
      <c r="C322" s="125">
        <v>4373</v>
      </c>
      <c r="D322" s="113">
        <v>1267009031</v>
      </c>
      <c r="E322" s="116">
        <f t="shared" si="64"/>
        <v>289734.51429224788</v>
      </c>
      <c r="F322" s="117">
        <v>978056978</v>
      </c>
      <c r="G322" s="117">
        <f t="shared" si="65"/>
        <v>223658.12439972558</v>
      </c>
      <c r="H322" s="7"/>
      <c r="I322" s="109">
        <v>1.93</v>
      </c>
      <c r="J322" s="117">
        <v>1887649.9675399999</v>
      </c>
      <c r="K322" s="120">
        <f t="shared" si="66"/>
        <v>431.66018009147035</v>
      </c>
      <c r="L322" s="122">
        <f t="shared" si="53"/>
        <v>9780569.7799999993</v>
      </c>
      <c r="M322" s="116">
        <f t="shared" si="54"/>
        <v>7892919.8124599997</v>
      </c>
      <c r="N322" s="123">
        <f t="shared" si="55"/>
        <v>1804.9210639057853</v>
      </c>
      <c r="O322" s="5"/>
      <c r="P322" s="5">
        <f t="shared" si="56"/>
        <v>1</v>
      </c>
      <c r="Q322" s="7">
        <f t="shared" si="57"/>
        <v>4373</v>
      </c>
    </row>
    <row r="323" spans="1:17">
      <c r="A323" s="23" t="s">
        <v>350</v>
      </c>
      <c r="B323" s="35" t="s">
        <v>342</v>
      </c>
      <c r="C323" s="125">
        <v>1434</v>
      </c>
      <c r="D323" s="113">
        <v>951788603</v>
      </c>
      <c r="E323" s="116">
        <f t="shared" si="64"/>
        <v>663729.84867503482</v>
      </c>
      <c r="F323" s="117">
        <v>808448715</v>
      </c>
      <c r="G323" s="117">
        <f t="shared" si="65"/>
        <v>563771.76778242679</v>
      </c>
      <c r="H323" s="98"/>
      <c r="I323" s="109">
        <v>1.87</v>
      </c>
      <c r="J323" s="117">
        <v>1511799.0970500002</v>
      </c>
      <c r="K323" s="120">
        <f t="shared" si="66"/>
        <v>1054.2532057531382</v>
      </c>
      <c r="L323" s="122">
        <f t="shared" si="53"/>
        <v>8084487.1500000004</v>
      </c>
      <c r="M323" s="116">
        <f t="shared" si="54"/>
        <v>6572688.0529500004</v>
      </c>
      <c r="N323" s="123">
        <f t="shared" si="55"/>
        <v>4583.4644720711303</v>
      </c>
      <c r="O323" s="5"/>
      <c r="P323" s="5">
        <f t="shared" si="56"/>
        <v>1</v>
      </c>
      <c r="Q323" s="7">
        <f t="shared" si="57"/>
        <v>1434</v>
      </c>
    </row>
    <row r="324" spans="1:17">
      <c r="A324" s="23" t="s">
        <v>351</v>
      </c>
      <c r="B324" s="35" t="s">
        <v>342</v>
      </c>
      <c r="C324" s="125">
        <v>5044</v>
      </c>
      <c r="D324" s="113">
        <v>244993590</v>
      </c>
      <c r="E324" s="116">
        <f t="shared" si="64"/>
        <v>48571.290642347347</v>
      </c>
      <c r="F324" s="117">
        <v>138341928</v>
      </c>
      <c r="G324" s="117">
        <f t="shared" si="65"/>
        <v>27427.027755749405</v>
      </c>
      <c r="H324" s="7"/>
      <c r="I324" s="109">
        <v>4.7591999999999999</v>
      </c>
      <c r="J324" s="117">
        <v>658396.90373759996</v>
      </c>
      <c r="K324" s="120">
        <f t="shared" si="66"/>
        <v>130.53071049516257</v>
      </c>
      <c r="L324" s="122">
        <f t="shared" si="53"/>
        <v>1383419.28</v>
      </c>
      <c r="M324" s="116">
        <f t="shared" si="54"/>
        <v>725022.37626240007</v>
      </c>
      <c r="N324" s="123">
        <f t="shared" si="55"/>
        <v>143.7395670623315</v>
      </c>
      <c r="O324" s="5"/>
      <c r="P324" s="5">
        <f t="shared" si="56"/>
        <v>1</v>
      </c>
      <c r="Q324" s="7">
        <f t="shared" si="57"/>
        <v>5044</v>
      </c>
    </row>
    <row r="325" spans="1:17">
      <c r="A325" s="23" t="s">
        <v>352</v>
      </c>
      <c r="B325" s="35" t="s">
        <v>342</v>
      </c>
      <c r="C325" s="125">
        <v>81587</v>
      </c>
      <c r="D325" s="113">
        <v>6032571443</v>
      </c>
      <c r="E325" s="116">
        <f t="shared" si="64"/>
        <v>73940.351318224712</v>
      </c>
      <c r="F325" s="117">
        <v>4044507672</v>
      </c>
      <c r="G325" s="117">
        <f t="shared" si="65"/>
        <v>49572.942650177109</v>
      </c>
      <c r="H325" s="7"/>
      <c r="I325" s="109">
        <v>5.3704999999999998</v>
      </c>
      <c r="J325" s="117">
        <v>21721028.452475999</v>
      </c>
      <c r="K325" s="120">
        <f t="shared" si="66"/>
        <v>266.23148850277619</v>
      </c>
      <c r="L325" s="122">
        <f t="shared" si="53"/>
        <v>40445076.719999999</v>
      </c>
      <c r="M325" s="116">
        <f t="shared" si="54"/>
        <v>18724048.267524</v>
      </c>
      <c r="N325" s="123">
        <f t="shared" si="55"/>
        <v>229.49793799899493</v>
      </c>
      <c r="O325" s="5"/>
      <c r="P325" s="5">
        <f t="shared" si="56"/>
        <v>1</v>
      </c>
      <c r="Q325" s="7">
        <f t="shared" si="57"/>
        <v>81587</v>
      </c>
    </row>
    <row r="326" spans="1:17">
      <c r="A326" s="23" t="s">
        <v>353</v>
      </c>
      <c r="B326" s="35" t="s">
        <v>342</v>
      </c>
      <c r="C326" s="125">
        <v>4354</v>
      </c>
      <c r="D326" s="113">
        <v>1396038590</v>
      </c>
      <c r="E326" s="116">
        <f t="shared" si="64"/>
        <v>320633.57602204871</v>
      </c>
      <c r="F326" s="117">
        <v>1081572633</v>
      </c>
      <c r="G326" s="117">
        <f t="shared" si="65"/>
        <v>248408.96485989893</v>
      </c>
      <c r="H326" s="7"/>
      <c r="I326" s="109">
        <v>2.2000000000000002</v>
      </c>
      <c r="J326" s="117">
        <v>2379459.7926000003</v>
      </c>
      <c r="K326" s="120">
        <f t="shared" si="66"/>
        <v>546.49972269177772</v>
      </c>
      <c r="L326" s="122">
        <f t="shared" ref="L326:L389" si="67">(F326*0.01)</f>
        <v>10815726.33</v>
      </c>
      <c r="M326" s="116">
        <f t="shared" ref="M326:M389" si="68">(L326-J326)</f>
        <v>8436266.5373999998</v>
      </c>
      <c r="N326" s="123">
        <f t="shared" ref="N326:N389" si="69">(M326/C326)</f>
        <v>1937.5899259072116</v>
      </c>
      <c r="O326" s="5"/>
      <c r="P326" s="5">
        <f t="shared" si="56"/>
        <v>1</v>
      </c>
      <c r="Q326" s="7">
        <f t="shared" si="57"/>
        <v>4354</v>
      </c>
    </row>
    <row r="327" spans="1:17">
      <c r="A327" s="23" t="s">
        <v>354</v>
      </c>
      <c r="B327" s="35" t="s">
        <v>342</v>
      </c>
      <c r="C327" s="125">
        <v>1444</v>
      </c>
      <c r="D327" s="113">
        <v>565630716</v>
      </c>
      <c r="E327" s="116">
        <f t="shared" si="64"/>
        <v>391711.02216066484</v>
      </c>
      <c r="F327" s="117">
        <v>465221248</v>
      </c>
      <c r="G327" s="117">
        <f t="shared" si="65"/>
        <v>322175.37950138503</v>
      </c>
      <c r="H327" s="7"/>
      <c r="I327" s="109">
        <v>0.75109999999999999</v>
      </c>
      <c r="J327" s="117">
        <v>349427.67937279999</v>
      </c>
      <c r="K327" s="120">
        <f t="shared" si="66"/>
        <v>241.98592754349031</v>
      </c>
      <c r="L327" s="122">
        <f t="shared" si="67"/>
        <v>4652212.4800000004</v>
      </c>
      <c r="M327" s="116">
        <f t="shared" si="68"/>
        <v>4302784.8006272009</v>
      </c>
      <c r="N327" s="123">
        <f t="shared" si="69"/>
        <v>2979.7678674703607</v>
      </c>
      <c r="O327" s="5"/>
      <c r="P327" s="5">
        <f t="shared" ref="P327:P390" si="70">IF(I327&gt;0,1,0)</f>
        <v>1</v>
      </c>
      <c r="Q327" s="7">
        <f t="shared" ref="Q327:Q390" si="71">IF(I327&gt;0,C327,0)</f>
        <v>1444</v>
      </c>
    </row>
    <row r="328" spans="1:17">
      <c r="A328" s="23" t="s">
        <v>355</v>
      </c>
      <c r="B328" s="35" t="s">
        <v>342</v>
      </c>
      <c r="C328" s="125">
        <v>14230</v>
      </c>
      <c r="D328" s="113">
        <v>1670789651</v>
      </c>
      <c r="E328" s="116">
        <f t="shared" si="64"/>
        <v>117413.18699929726</v>
      </c>
      <c r="F328" s="117">
        <v>1235042132</v>
      </c>
      <c r="G328" s="117">
        <f t="shared" si="65"/>
        <v>86791.43583977512</v>
      </c>
      <c r="H328" s="7"/>
      <c r="I328" s="109">
        <v>4.05</v>
      </c>
      <c r="J328" s="117">
        <v>5001920.6345999995</v>
      </c>
      <c r="K328" s="120">
        <f t="shared" si="66"/>
        <v>351.50531515108923</v>
      </c>
      <c r="L328" s="122">
        <f t="shared" si="67"/>
        <v>12350421.32</v>
      </c>
      <c r="M328" s="116">
        <f t="shared" si="68"/>
        <v>7348500.6854000008</v>
      </c>
      <c r="N328" s="123">
        <f t="shared" si="69"/>
        <v>516.40904324666201</v>
      </c>
      <c r="O328" s="5"/>
      <c r="P328" s="5">
        <f t="shared" si="70"/>
        <v>1</v>
      </c>
      <c r="Q328" s="7">
        <f t="shared" si="71"/>
        <v>14230</v>
      </c>
    </row>
    <row r="329" spans="1:17">
      <c r="A329" s="23" t="s">
        <v>356</v>
      </c>
      <c r="B329" s="35" t="s">
        <v>342</v>
      </c>
      <c r="C329" s="125">
        <v>52497</v>
      </c>
      <c r="D329" s="113">
        <v>4471156281</v>
      </c>
      <c r="E329" s="116">
        <f t="shared" si="64"/>
        <v>85169.748385622035</v>
      </c>
      <c r="F329" s="117">
        <v>3086180108</v>
      </c>
      <c r="G329" s="117">
        <f t="shared" si="65"/>
        <v>58787.742309084329</v>
      </c>
      <c r="H329" s="7"/>
      <c r="I329" s="109">
        <v>5.49</v>
      </c>
      <c r="J329" s="117">
        <v>16943128.792920001</v>
      </c>
      <c r="K329" s="120">
        <f t="shared" si="66"/>
        <v>322.74470527687299</v>
      </c>
      <c r="L329" s="122">
        <f t="shared" si="67"/>
        <v>30861801.080000002</v>
      </c>
      <c r="M329" s="116">
        <f t="shared" si="68"/>
        <v>13918672.287080001</v>
      </c>
      <c r="N329" s="123">
        <f t="shared" si="69"/>
        <v>265.13271781397032</v>
      </c>
      <c r="O329" s="5"/>
      <c r="P329" s="5">
        <f t="shared" si="70"/>
        <v>1</v>
      </c>
      <c r="Q329" s="7">
        <f t="shared" si="71"/>
        <v>52497</v>
      </c>
    </row>
    <row r="330" spans="1:17">
      <c r="A330" s="23" t="s">
        <v>357</v>
      </c>
      <c r="B330" s="35" t="s">
        <v>342</v>
      </c>
      <c r="C330" s="125">
        <v>1448</v>
      </c>
      <c r="D330" s="113">
        <v>556283966</v>
      </c>
      <c r="E330" s="116">
        <f t="shared" si="64"/>
        <v>384174.00966850831</v>
      </c>
      <c r="F330" s="117">
        <v>423926818</v>
      </c>
      <c r="G330" s="117">
        <f t="shared" si="65"/>
        <v>292767.13950276241</v>
      </c>
      <c r="H330" s="7"/>
      <c r="I330" s="109">
        <v>1.8149</v>
      </c>
      <c r="J330" s="117">
        <v>769384.78198819992</v>
      </c>
      <c r="K330" s="120">
        <f t="shared" si="66"/>
        <v>531.34308148356342</v>
      </c>
      <c r="L330" s="122">
        <f t="shared" si="67"/>
        <v>4239268.18</v>
      </c>
      <c r="M330" s="116">
        <f t="shared" si="68"/>
        <v>3469883.3980117999</v>
      </c>
      <c r="N330" s="123">
        <f t="shared" si="69"/>
        <v>2396.3283135440606</v>
      </c>
      <c r="O330" s="5"/>
      <c r="P330" s="5">
        <f t="shared" si="70"/>
        <v>1</v>
      </c>
      <c r="Q330" s="7">
        <f t="shared" si="71"/>
        <v>1448</v>
      </c>
    </row>
    <row r="331" spans="1:17">
      <c r="A331" s="23" t="s">
        <v>358</v>
      </c>
      <c r="B331" s="35" t="s">
        <v>342</v>
      </c>
      <c r="C331" s="125">
        <v>2192</v>
      </c>
      <c r="D331" s="113">
        <v>778542575</v>
      </c>
      <c r="E331" s="116">
        <f t="shared" si="64"/>
        <v>355174.53239051095</v>
      </c>
      <c r="F331" s="117">
        <v>622429721</v>
      </c>
      <c r="G331" s="117">
        <f t="shared" si="65"/>
        <v>283955.16468978103</v>
      </c>
      <c r="H331" s="7"/>
      <c r="I331" s="109">
        <v>1.8</v>
      </c>
      <c r="J331" s="117">
        <v>1120373.4978</v>
      </c>
      <c r="K331" s="120">
        <f t="shared" si="66"/>
        <v>511.11929644160585</v>
      </c>
      <c r="L331" s="122">
        <f t="shared" si="67"/>
        <v>6224297.21</v>
      </c>
      <c r="M331" s="116">
        <f t="shared" si="68"/>
        <v>5103923.7122</v>
      </c>
      <c r="N331" s="123">
        <f t="shared" si="69"/>
        <v>2328.4323504562044</v>
      </c>
      <c r="O331" s="5"/>
      <c r="P331" s="5">
        <f t="shared" si="70"/>
        <v>1</v>
      </c>
      <c r="Q331" s="7">
        <f t="shared" si="71"/>
        <v>2192</v>
      </c>
    </row>
    <row r="332" spans="1:17">
      <c r="A332" s="23" t="s">
        <v>359</v>
      </c>
      <c r="B332" s="35" t="s">
        <v>342</v>
      </c>
      <c r="C332" s="125">
        <v>17269</v>
      </c>
      <c r="D332" s="113">
        <v>1893027422</v>
      </c>
      <c r="E332" s="116">
        <f t="shared" si="64"/>
        <v>109619.97926921073</v>
      </c>
      <c r="F332" s="117">
        <v>1131095900</v>
      </c>
      <c r="G332" s="117">
        <f t="shared" si="65"/>
        <v>65498.633389310322</v>
      </c>
      <c r="H332" s="7"/>
      <c r="I332" s="109">
        <v>3.95</v>
      </c>
      <c r="J332" s="117">
        <v>4467828.8049999997</v>
      </c>
      <c r="K332" s="120">
        <f t="shared" si="66"/>
        <v>258.71960188777575</v>
      </c>
      <c r="L332" s="122">
        <f t="shared" si="67"/>
        <v>11310959</v>
      </c>
      <c r="M332" s="116">
        <f t="shared" si="68"/>
        <v>6843130.1950000003</v>
      </c>
      <c r="N332" s="123">
        <f t="shared" si="69"/>
        <v>396.26673200532747</v>
      </c>
      <c r="O332" s="5"/>
      <c r="P332" s="5">
        <f t="shared" si="70"/>
        <v>1</v>
      </c>
      <c r="Q332" s="7">
        <f t="shared" si="71"/>
        <v>17269</v>
      </c>
    </row>
    <row r="333" spans="1:17">
      <c r="A333" s="23" t="s">
        <v>360</v>
      </c>
      <c r="B333" s="35" t="s">
        <v>342</v>
      </c>
      <c r="C333" s="125">
        <v>18440</v>
      </c>
      <c r="D333" s="113">
        <v>1874833536</v>
      </c>
      <c r="E333" s="116">
        <f t="shared" si="64"/>
        <v>101672.10065075922</v>
      </c>
      <c r="F333" s="117">
        <v>1197198331</v>
      </c>
      <c r="G333" s="117">
        <f t="shared" si="65"/>
        <v>64923.987581344903</v>
      </c>
      <c r="H333" s="7"/>
      <c r="I333" s="109">
        <v>2.4792999999999998</v>
      </c>
      <c r="J333" s="117">
        <v>2968213.8220482999</v>
      </c>
      <c r="K333" s="120">
        <f t="shared" si="66"/>
        <v>160.9660424104284</v>
      </c>
      <c r="L333" s="122">
        <f t="shared" si="67"/>
        <v>11971983.310000001</v>
      </c>
      <c r="M333" s="116">
        <f t="shared" si="68"/>
        <v>9003769.4879516996</v>
      </c>
      <c r="N333" s="123">
        <f t="shared" si="69"/>
        <v>488.2738334030206</v>
      </c>
      <c r="O333" s="5"/>
      <c r="P333" s="5">
        <f t="shared" si="70"/>
        <v>1</v>
      </c>
      <c r="Q333" s="7">
        <f t="shared" si="71"/>
        <v>18440</v>
      </c>
    </row>
    <row r="334" spans="1:17">
      <c r="A334" s="23" t="s">
        <v>361</v>
      </c>
      <c r="B334" s="35" t="s">
        <v>342</v>
      </c>
      <c r="C334" s="125">
        <v>5087</v>
      </c>
      <c r="D334" s="113">
        <v>734938940</v>
      </c>
      <c r="E334" s="116">
        <f t="shared" si="64"/>
        <v>144473.94141930412</v>
      </c>
      <c r="F334" s="117">
        <v>550090073</v>
      </c>
      <c r="G334" s="117">
        <f t="shared" si="65"/>
        <v>108136.44053469629</v>
      </c>
      <c r="H334" s="7"/>
      <c r="I334" s="109">
        <v>3.25</v>
      </c>
      <c r="J334" s="117">
        <v>1787792.73725</v>
      </c>
      <c r="K334" s="120">
        <f t="shared" si="66"/>
        <v>351.44343173776292</v>
      </c>
      <c r="L334" s="122">
        <f t="shared" si="67"/>
        <v>5500900.7300000004</v>
      </c>
      <c r="M334" s="116">
        <f t="shared" si="68"/>
        <v>3713107.9927500002</v>
      </c>
      <c r="N334" s="123">
        <f t="shared" si="69"/>
        <v>729.92097360920002</v>
      </c>
      <c r="O334" s="5"/>
      <c r="P334" s="5">
        <f t="shared" si="70"/>
        <v>1</v>
      </c>
      <c r="Q334" s="7">
        <f t="shared" si="71"/>
        <v>5087</v>
      </c>
    </row>
    <row r="335" spans="1:17">
      <c r="A335" s="24" t="s">
        <v>561</v>
      </c>
      <c r="B335" s="35" t="s">
        <v>342</v>
      </c>
      <c r="C335" s="125">
        <v>9452</v>
      </c>
      <c r="D335" s="113">
        <v>3293642819</v>
      </c>
      <c r="E335" s="116">
        <f t="shared" si="64"/>
        <v>348459.88351671601</v>
      </c>
      <c r="F335" s="117">
        <v>2552175833</v>
      </c>
      <c r="G335" s="117">
        <f t="shared" si="65"/>
        <v>270014.37082099024</v>
      </c>
      <c r="H335" s="7"/>
      <c r="I335" s="109">
        <v>3.15</v>
      </c>
      <c r="J335" s="117">
        <v>8039353.8739499999</v>
      </c>
      <c r="K335" s="120">
        <f t="shared" si="66"/>
        <v>850.54526808611934</v>
      </c>
      <c r="L335" s="122">
        <f t="shared" si="67"/>
        <v>25521758.330000002</v>
      </c>
      <c r="M335" s="116">
        <f t="shared" si="68"/>
        <v>17482404.456050001</v>
      </c>
      <c r="N335" s="123">
        <f t="shared" si="69"/>
        <v>1849.5984401237833</v>
      </c>
      <c r="O335" s="5"/>
      <c r="P335" s="5">
        <f t="shared" si="70"/>
        <v>1</v>
      </c>
      <c r="Q335" s="7">
        <f t="shared" si="71"/>
        <v>9452</v>
      </c>
    </row>
    <row r="336" spans="1:17">
      <c r="A336" s="24" t="s">
        <v>548</v>
      </c>
      <c r="B336" s="35" t="s">
        <v>342</v>
      </c>
      <c r="C336" s="125">
        <v>259906</v>
      </c>
      <c r="D336" s="113">
        <v>25625447327</v>
      </c>
      <c r="E336" s="116">
        <f t="shared" si="64"/>
        <v>98595.058701992253</v>
      </c>
      <c r="F336" s="117">
        <v>15906451780</v>
      </c>
      <c r="G336" s="117">
        <f t="shared" si="65"/>
        <v>61200.787130731878</v>
      </c>
      <c r="H336" s="7"/>
      <c r="I336" s="109">
        <v>6.7549999999999999</v>
      </c>
      <c r="J336" s="117">
        <v>107448081.77389999</v>
      </c>
      <c r="K336" s="120">
        <f t="shared" si="66"/>
        <v>413.41131706809381</v>
      </c>
      <c r="L336" s="122">
        <f t="shared" si="67"/>
        <v>159064517.80000001</v>
      </c>
      <c r="M336" s="116">
        <f t="shared" si="68"/>
        <v>51616436.026100025</v>
      </c>
      <c r="N336" s="123">
        <f t="shared" si="69"/>
        <v>198.59655423922504</v>
      </c>
      <c r="O336" s="5"/>
      <c r="P336" s="5">
        <f t="shared" si="70"/>
        <v>1</v>
      </c>
      <c r="Q336" s="7">
        <f t="shared" si="71"/>
        <v>259906</v>
      </c>
    </row>
    <row r="337" spans="1:21">
      <c r="A337" s="23" t="s">
        <v>362</v>
      </c>
      <c r="B337" s="35" t="s">
        <v>342</v>
      </c>
      <c r="C337" s="125">
        <v>24637</v>
      </c>
      <c r="D337" s="113">
        <v>2466682870</v>
      </c>
      <c r="E337" s="116">
        <f t="shared" si="64"/>
        <v>100121.07277671795</v>
      </c>
      <c r="F337" s="117">
        <v>1577101454</v>
      </c>
      <c r="G337" s="117">
        <f t="shared" si="65"/>
        <v>64013.534683605962</v>
      </c>
      <c r="H337" s="7"/>
      <c r="I337" s="109">
        <v>5.42</v>
      </c>
      <c r="J337" s="117">
        <v>8547889.8806800004</v>
      </c>
      <c r="K337" s="120">
        <f t="shared" si="66"/>
        <v>346.95335798514429</v>
      </c>
      <c r="L337" s="122">
        <f t="shared" si="67"/>
        <v>15771014.540000001</v>
      </c>
      <c r="M337" s="116">
        <f t="shared" si="68"/>
        <v>7223124.6593200006</v>
      </c>
      <c r="N337" s="123">
        <f t="shared" si="69"/>
        <v>293.18198885091533</v>
      </c>
      <c r="O337" s="5"/>
      <c r="P337" s="5">
        <f t="shared" si="70"/>
        <v>1</v>
      </c>
      <c r="Q337" s="7">
        <f t="shared" si="71"/>
        <v>24637</v>
      </c>
    </row>
    <row r="338" spans="1:21">
      <c r="A338" s="23" t="s">
        <v>363</v>
      </c>
      <c r="B338" s="35" t="s">
        <v>342</v>
      </c>
      <c r="C338" s="125">
        <v>6805</v>
      </c>
      <c r="D338" s="113">
        <v>2110891513</v>
      </c>
      <c r="E338" s="116">
        <f t="shared" si="64"/>
        <v>310197.13637031597</v>
      </c>
      <c r="F338" s="117">
        <v>1595023183</v>
      </c>
      <c r="G338" s="117">
        <f t="shared" si="65"/>
        <v>234389.88728875827</v>
      </c>
      <c r="H338" s="7"/>
      <c r="I338" s="109">
        <v>3.3368000000000002</v>
      </c>
      <c r="J338" s="117">
        <v>5322273.3570344001</v>
      </c>
      <c r="K338" s="120">
        <f t="shared" si="66"/>
        <v>782.11217590512865</v>
      </c>
      <c r="L338" s="122">
        <f t="shared" si="67"/>
        <v>15950231.83</v>
      </c>
      <c r="M338" s="116">
        <f t="shared" si="68"/>
        <v>10627958.4729656</v>
      </c>
      <c r="N338" s="123">
        <f t="shared" si="69"/>
        <v>1561.786696982454</v>
      </c>
      <c r="O338" s="5"/>
      <c r="P338" s="5">
        <f t="shared" si="70"/>
        <v>1</v>
      </c>
      <c r="Q338" s="7">
        <f t="shared" si="71"/>
        <v>6805</v>
      </c>
      <c r="S338" s="124">
        <f>SUM(D315:D338)</f>
        <v>76693173026</v>
      </c>
      <c r="T338" s="124">
        <f>SUM(F315:F338)</f>
        <v>51218551604</v>
      </c>
      <c r="U338" s="124">
        <f>SUM(J315:J338)</f>
        <v>257606309.19268805</v>
      </c>
    </row>
    <row r="339" spans="1:21">
      <c r="A339" s="23" t="s">
        <v>364</v>
      </c>
      <c r="B339" s="35" t="s">
        <v>365</v>
      </c>
      <c r="C339" s="125">
        <v>15450</v>
      </c>
      <c r="D339" s="113">
        <v>1371614931</v>
      </c>
      <c r="E339" s="116">
        <f t="shared" si="64"/>
        <v>88777.665436893207</v>
      </c>
      <c r="F339" s="117">
        <v>962402547</v>
      </c>
      <c r="G339" s="117">
        <f t="shared" si="65"/>
        <v>62291.426990291264</v>
      </c>
      <c r="H339" s="7"/>
      <c r="I339" s="109">
        <v>4.2656999999999998</v>
      </c>
      <c r="J339" s="117">
        <v>4105320.5447378997</v>
      </c>
      <c r="K339" s="120">
        <f t="shared" si="66"/>
        <v>265.7165401124854</v>
      </c>
      <c r="L339" s="122">
        <f t="shared" si="67"/>
        <v>9624025.4700000007</v>
      </c>
      <c r="M339" s="116">
        <f t="shared" si="68"/>
        <v>5518704.925262101</v>
      </c>
      <c r="N339" s="123">
        <f t="shared" si="69"/>
        <v>357.19772979042727</v>
      </c>
      <c r="O339" s="5"/>
      <c r="P339" s="5">
        <f t="shared" si="70"/>
        <v>1</v>
      </c>
      <c r="Q339" s="7">
        <f t="shared" si="71"/>
        <v>15450</v>
      </c>
    </row>
    <row r="340" spans="1:21">
      <c r="A340" s="23" t="s">
        <v>366</v>
      </c>
      <c r="B340" s="35" t="s">
        <v>365</v>
      </c>
      <c r="C340" s="125">
        <v>18888</v>
      </c>
      <c r="D340" s="113">
        <v>1144170247</v>
      </c>
      <c r="E340" s="116">
        <f t="shared" si="64"/>
        <v>60576.569620923336</v>
      </c>
      <c r="F340" s="117">
        <v>587387909</v>
      </c>
      <c r="G340" s="117">
        <f t="shared" si="65"/>
        <v>31098.470404489624</v>
      </c>
      <c r="H340" s="7"/>
      <c r="I340" s="109">
        <v>3.8043999999999998</v>
      </c>
      <c r="J340" s="117">
        <v>2234658.5609995998</v>
      </c>
      <c r="K340" s="120">
        <f t="shared" si="66"/>
        <v>118.3110208068403</v>
      </c>
      <c r="L340" s="122">
        <f t="shared" si="67"/>
        <v>5873879.0899999999</v>
      </c>
      <c r="M340" s="116">
        <f t="shared" si="68"/>
        <v>3639220.5290004001</v>
      </c>
      <c r="N340" s="123">
        <f t="shared" si="69"/>
        <v>192.6736832380559</v>
      </c>
      <c r="O340" s="5"/>
      <c r="P340" s="5">
        <f t="shared" si="70"/>
        <v>1</v>
      </c>
      <c r="Q340" s="7">
        <f t="shared" si="71"/>
        <v>18888</v>
      </c>
    </row>
    <row r="341" spans="1:21">
      <c r="A341" s="23" t="s">
        <v>367</v>
      </c>
      <c r="B341" s="35" t="s">
        <v>365</v>
      </c>
      <c r="C341" s="125">
        <v>4277</v>
      </c>
      <c r="D341" s="113">
        <v>260708601</v>
      </c>
      <c r="E341" s="116">
        <f t="shared" si="64"/>
        <v>60955.950666354918</v>
      </c>
      <c r="F341" s="117">
        <v>165805373</v>
      </c>
      <c r="G341" s="117">
        <f t="shared" si="65"/>
        <v>38766.746083703532</v>
      </c>
      <c r="H341" s="7"/>
      <c r="I341" s="109">
        <v>7.5</v>
      </c>
      <c r="J341" s="117">
        <v>1243540.2975000001</v>
      </c>
      <c r="K341" s="120">
        <f t="shared" si="66"/>
        <v>290.75059562777648</v>
      </c>
      <c r="L341" s="122">
        <f t="shared" si="67"/>
        <v>1658053.73</v>
      </c>
      <c r="M341" s="116">
        <f t="shared" si="68"/>
        <v>414513.43249999988</v>
      </c>
      <c r="N341" s="123">
        <f t="shared" si="69"/>
        <v>96.916865209258802</v>
      </c>
      <c r="O341" s="5"/>
      <c r="P341" s="5">
        <f t="shared" si="70"/>
        <v>1</v>
      </c>
      <c r="Q341" s="7">
        <f t="shared" si="71"/>
        <v>4277</v>
      </c>
    </row>
    <row r="342" spans="1:21">
      <c r="A342" s="23" t="s">
        <v>368</v>
      </c>
      <c r="B342" s="35" t="s">
        <v>365</v>
      </c>
      <c r="C342" s="125">
        <v>4123</v>
      </c>
      <c r="D342" s="113">
        <v>247407002</v>
      </c>
      <c r="E342" s="116">
        <f t="shared" si="64"/>
        <v>60006.549114722293</v>
      </c>
      <c r="F342" s="117">
        <v>138660054</v>
      </c>
      <c r="G342" s="117">
        <f t="shared" si="65"/>
        <v>33630.864419112295</v>
      </c>
      <c r="H342" s="9"/>
      <c r="I342" s="109">
        <v>7.9</v>
      </c>
      <c r="J342" s="117">
        <v>1095414.4266000001</v>
      </c>
      <c r="K342" s="120">
        <f t="shared" si="66"/>
        <v>265.68382891098719</v>
      </c>
      <c r="L342" s="122">
        <f t="shared" si="67"/>
        <v>1386600.54</v>
      </c>
      <c r="M342" s="116">
        <f t="shared" si="68"/>
        <v>291186.11339999991</v>
      </c>
      <c r="N342" s="123">
        <f t="shared" si="69"/>
        <v>70.624815280135806</v>
      </c>
      <c r="O342" s="5"/>
      <c r="P342" s="5">
        <f t="shared" si="70"/>
        <v>1</v>
      </c>
      <c r="Q342" s="7">
        <f t="shared" si="71"/>
        <v>4123</v>
      </c>
    </row>
    <row r="343" spans="1:21">
      <c r="A343" s="23" t="s">
        <v>369</v>
      </c>
      <c r="B343" s="35" t="s">
        <v>365</v>
      </c>
      <c r="C343" s="125">
        <v>2437</v>
      </c>
      <c r="D343" s="113">
        <v>131865654</v>
      </c>
      <c r="E343" s="116">
        <f t="shared" ref="E343:E374" si="72">(D343/C343)</f>
        <v>54109.829298317607</v>
      </c>
      <c r="F343" s="117">
        <v>67245275</v>
      </c>
      <c r="G343" s="117">
        <f t="shared" ref="G343:G374" si="73">(F343/C343)</f>
        <v>27593.465326220765</v>
      </c>
      <c r="H343" s="7"/>
      <c r="I343" s="109">
        <v>7.6516000000000002</v>
      </c>
      <c r="J343" s="117">
        <v>514533.94618999999</v>
      </c>
      <c r="K343" s="120">
        <f t="shared" ref="K343:K374" si="74">(J343/C343)</f>
        <v>211.13415929011077</v>
      </c>
      <c r="L343" s="122">
        <f t="shared" si="67"/>
        <v>672452.75</v>
      </c>
      <c r="M343" s="116">
        <f t="shared" si="68"/>
        <v>157918.80381000001</v>
      </c>
      <c r="N343" s="123">
        <f t="shared" si="69"/>
        <v>64.800493972096845</v>
      </c>
      <c r="O343" s="5"/>
      <c r="P343" s="5">
        <f t="shared" si="70"/>
        <v>1</v>
      </c>
      <c r="Q343" s="7">
        <f t="shared" si="71"/>
        <v>2437</v>
      </c>
    </row>
    <row r="344" spans="1:21">
      <c r="A344" s="23" t="s">
        <v>370</v>
      </c>
      <c r="B344" s="35" t="s">
        <v>365</v>
      </c>
      <c r="C344" s="125">
        <v>5782</v>
      </c>
      <c r="D344" s="113">
        <v>191080658</v>
      </c>
      <c r="E344" s="116">
        <f t="shared" si="72"/>
        <v>33047.50224835697</v>
      </c>
      <c r="F344" s="117">
        <v>96042807</v>
      </c>
      <c r="G344" s="117">
        <f t="shared" si="73"/>
        <v>16610.654963680387</v>
      </c>
      <c r="H344" s="7"/>
      <c r="I344" s="109">
        <v>6.2458</v>
      </c>
      <c r="J344" s="117">
        <v>599864.16396060004</v>
      </c>
      <c r="K344" s="120">
        <f t="shared" si="74"/>
        <v>103.74682877215497</v>
      </c>
      <c r="L344" s="122">
        <f t="shared" si="67"/>
        <v>960428.07000000007</v>
      </c>
      <c r="M344" s="116">
        <f t="shared" si="68"/>
        <v>360563.90603940003</v>
      </c>
      <c r="N344" s="123">
        <f t="shared" si="69"/>
        <v>62.359720864648914</v>
      </c>
      <c r="O344" s="5"/>
      <c r="P344" s="5">
        <f t="shared" si="70"/>
        <v>1</v>
      </c>
      <c r="Q344" s="7">
        <f t="shared" si="71"/>
        <v>5782</v>
      </c>
    </row>
    <row r="345" spans="1:21">
      <c r="A345" s="23" t="s">
        <v>371</v>
      </c>
      <c r="B345" s="35" t="s">
        <v>365</v>
      </c>
      <c r="C345" s="125">
        <v>3096</v>
      </c>
      <c r="D345" s="113">
        <v>211380426</v>
      </c>
      <c r="E345" s="116">
        <f t="shared" si="72"/>
        <v>68275.33139534884</v>
      </c>
      <c r="F345" s="117">
        <v>120388797</v>
      </c>
      <c r="G345" s="117">
        <f t="shared" si="73"/>
        <v>38885.270348837206</v>
      </c>
      <c r="H345" s="7"/>
      <c r="I345" s="110">
        <v>7.7716000000000003</v>
      </c>
      <c r="J345" s="117">
        <v>935613.57476520003</v>
      </c>
      <c r="K345" s="120">
        <f t="shared" si="74"/>
        <v>302.20076704302329</v>
      </c>
      <c r="L345" s="122">
        <f t="shared" si="67"/>
        <v>1203887.97</v>
      </c>
      <c r="M345" s="116">
        <f t="shared" si="68"/>
        <v>268274.39523479994</v>
      </c>
      <c r="N345" s="123">
        <f t="shared" si="69"/>
        <v>86.651936445348824</v>
      </c>
      <c r="O345" s="5"/>
      <c r="P345" s="5">
        <f t="shared" si="70"/>
        <v>1</v>
      </c>
      <c r="Q345" s="7">
        <f t="shared" si="71"/>
        <v>3096</v>
      </c>
    </row>
    <row r="346" spans="1:21">
      <c r="A346" s="23" t="s">
        <v>372</v>
      </c>
      <c r="B346" s="35" t="s">
        <v>365</v>
      </c>
      <c r="C346" s="125">
        <v>23252</v>
      </c>
      <c r="D346" s="113">
        <v>1405032044</v>
      </c>
      <c r="E346" s="116">
        <f t="shared" si="72"/>
        <v>60426.287803199724</v>
      </c>
      <c r="F346" s="117">
        <v>941771804</v>
      </c>
      <c r="G346" s="117">
        <f t="shared" si="73"/>
        <v>40502.830036125924</v>
      </c>
      <c r="H346" s="7"/>
      <c r="I346" s="109">
        <v>7.5895000000000001</v>
      </c>
      <c r="J346" s="117">
        <v>7147577.1064579999</v>
      </c>
      <c r="K346" s="120">
        <f t="shared" si="74"/>
        <v>307.3962285591777</v>
      </c>
      <c r="L346" s="122">
        <f t="shared" si="67"/>
        <v>9417718.040000001</v>
      </c>
      <c r="M346" s="116">
        <f t="shared" si="68"/>
        <v>2270140.9335420011</v>
      </c>
      <c r="N346" s="123">
        <f t="shared" si="69"/>
        <v>97.632071802081583</v>
      </c>
      <c r="O346" s="5"/>
      <c r="P346" s="5">
        <f t="shared" si="70"/>
        <v>1</v>
      </c>
      <c r="Q346" s="7">
        <f t="shared" si="71"/>
        <v>23252</v>
      </c>
    </row>
    <row r="347" spans="1:21">
      <c r="A347" s="23" t="s">
        <v>373</v>
      </c>
      <c r="B347" s="35" t="s">
        <v>365</v>
      </c>
      <c r="C347" s="125">
        <v>235</v>
      </c>
      <c r="D347" s="113">
        <v>16797271</v>
      </c>
      <c r="E347" s="116">
        <f t="shared" si="72"/>
        <v>71477.748936170217</v>
      </c>
      <c r="F347" s="117">
        <v>11874029</v>
      </c>
      <c r="G347" s="117">
        <f t="shared" si="73"/>
        <v>50527.782978723408</v>
      </c>
      <c r="H347" s="7"/>
      <c r="I347" s="109">
        <v>9.9758999999999993</v>
      </c>
      <c r="J347" s="117">
        <v>118454.12590109999</v>
      </c>
      <c r="K347" s="120">
        <f t="shared" si="74"/>
        <v>504.06011021744678</v>
      </c>
      <c r="L347" s="122">
        <f t="shared" si="67"/>
        <v>118740.29000000001</v>
      </c>
      <c r="M347" s="116">
        <f t="shared" si="68"/>
        <v>286.16409890001523</v>
      </c>
      <c r="N347" s="123">
        <f t="shared" si="69"/>
        <v>1.2177195697872989</v>
      </c>
      <c r="O347" s="5"/>
      <c r="P347" s="5">
        <f t="shared" si="70"/>
        <v>1</v>
      </c>
      <c r="Q347" s="7">
        <f t="shared" si="71"/>
        <v>235</v>
      </c>
    </row>
    <row r="348" spans="1:21">
      <c r="A348" s="23" t="s">
        <v>374</v>
      </c>
      <c r="B348" s="35" t="s">
        <v>365</v>
      </c>
      <c r="C348" s="125">
        <v>252</v>
      </c>
      <c r="D348" s="113">
        <v>17341812</v>
      </c>
      <c r="E348" s="116">
        <f t="shared" si="72"/>
        <v>68816.71428571429</v>
      </c>
      <c r="F348" s="117">
        <v>10797198</v>
      </c>
      <c r="G348" s="117">
        <f t="shared" si="73"/>
        <v>42846.023809523809</v>
      </c>
      <c r="H348" s="7"/>
      <c r="I348" s="109">
        <v>1.2726</v>
      </c>
      <c r="J348" s="117">
        <v>13740.514174799999</v>
      </c>
      <c r="K348" s="120">
        <f t="shared" si="74"/>
        <v>54.525849899999997</v>
      </c>
      <c r="L348" s="122">
        <f t="shared" si="67"/>
        <v>107971.98</v>
      </c>
      <c r="M348" s="116">
        <f t="shared" si="68"/>
        <v>94231.465825199994</v>
      </c>
      <c r="N348" s="123">
        <f t="shared" si="69"/>
        <v>373.93438819523806</v>
      </c>
      <c r="O348" s="5"/>
      <c r="P348" s="5">
        <f t="shared" si="70"/>
        <v>1</v>
      </c>
      <c r="Q348" s="7">
        <f t="shared" si="71"/>
        <v>252</v>
      </c>
    </row>
    <row r="349" spans="1:21">
      <c r="A349" s="23" t="s">
        <v>375</v>
      </c>
      <c r="B349" s="35" t="s">
        <v>365</v>
      </c>
      <c r="C349" s="125">
        <v>5728</v>
      </c>
      <c r="D349" s="113">
        <v>286781991</v>
      </c>
      <c r="E349" s="116">
        <f t="shared" si="72"/>
        <v>50066.688372905031</v>
      </c>
      <c r="F349" s="117">
        <v>161428192</v>
      </c>
      <c r="G349" s="117">
        <f t="shared" si="73"/>
        <v>28182.296089385476</v>
      </c>
      <c r="H349" s="7"/>
      <c r="I349" s="109">
        <v>7.2389999999999999</v>
      </c>
      <c r="J349" s="117">
        <v>1168578.6818880001</v>
      </c>
      <c r="K349" s="120">
        <f t="shared" si="74"/>
        <v>204.01164139106146</v>
      </c>
      <c r="L349" s="122">
        <f t="shared" si="67"/>
        <v>1614281.92</v>
      </c>
      <c r="M349" s="116">
        <f t="shared" si="68"/>
        <v>445703.23811199982</v>
      </c>
      <c r="N349" s="123">
        <f t="shared" si="69"/>
        <v>77.811319502793268</v>
      </c>
      <c r="O349" s="5"/>
      <c r="P349" s="5">
        <f t="shared" si="70"/>
        <v>1</v>
      </c>
      <c r="Q349" s="7">
        <f t="shared" si="71"/>
        <v>5728</v>
      </c>
    </row>
    <row r="350" spans="1:21">
      <c r="A350" s="23" t="s">
        <v>376</v>
      </c>
      <c r="B350" s="35" t="s">
        <v>365</v>
      </c>
      <c r="C350" s="125">
        <v>1315</v>
      </c>
      <c r="D350" s="113">
        <v>99282005</v>
      </c>
      <c r="E350" s="116">
        <f t="shared" si="72"/>
        <v>75499.623574144483</v>
      </c>
      <c r="F350" s="117">
        <v>67387745</v>
      </c>
      <c r="G350" s="117">
        <f t="shared" si="73"/>
        <v>51245.433460076049</v>
      </c>
      <c r="H350" s="7"/>
      <c r="I350" s="109">
        <v>8.4276</v>
      </c>
      <c r="J350" s="117">
        <v>567916.95976200001</v>
      </c>
      <c r="K350" s="120">
        <f t="shared" si="74"/>
        <v>431.87601502813692</v>
      </c>
      <c r="L350" s="122">
        <f t="shared" si="67"/>
        <v>673877.45000000007</v>
      </c>
      <c r="M350" s="116">
        <f t="shared" si="68"/>
        <v>105960.49023800006</v>
      </c>
      <c r="N350" s="123">
        <f t="shared" si="69"/>
        <v>80.578319572623613</v>
      </c>
      <c r="O350" s="5"/>
      <c r="P350" s="5">
        <f t="shared" si="70"/>
        <v>1</v>
      </c>
      <c r="Q350" s="7">
        <f t="shared" si="71"/>
        <v>1315</v>
      </c>
    </row>
    <row r="351" spans="1:21">
      <c r="A351" s="23" t="s">
        <v>377</v>
      </c>
      <c r="B351" s="35" t="s">
        <v>365</v>
      </c>
      <c r="C351" s="125">
        <v>15362</v>
      </c>
      <c r="D351" s="113">
        <v>1006977545</v>
      </c>
      <c r="E351" s="116">
        <f t="shared" si="72"/>
        <v>65549.898776201022</v>
      </c>
      <c r="F351" s="117">
        <v>639115128</v>
      </c>
      <c r="G351" s="117">
        <f t="shared" si="73"/>
        <v>41603.640671787529</v>
      </c>
      <c r="H351" s="9"/>
      <c r="I351" s="109">
        <v>7.3273000000000001</v>
      </c>
      <c r="J351" s="117">
        <v>4682988.2773944</v>
      </c>
      <c r="K351" s="120">
        <f t="shared" si="74"/>
        <v>304.84235629438876</v>
      </c>
      <c r="L351" s="122">
        <f t="shared" si="67"/>
        <v>6391151.2800000003</v>
      </c>
      <c r="M351" s="116">
        <f t="shared" si="68"/>
        <v>1708163.0026056003</v>
      </c>
      <c r="N351" s="123">
        <f t="shared" si="69"/>
        <v>111.19405042348654</v>
      </c>
      <c r="O351" s="5"/>
      <c r="P351" s="5">
        <f t="shared" si="70"/>
        <v>1</v>
      </c>
      <c r="Q351" s="7">
        <f t="shared" si="71"/>
        <v>15362</v>
      </c>
    </row>
    <row r="352" spans="1:21">
      <c r="A352" s="23" t="s">
        <v>378</v>
      </c>
      <c r="B352" s="35" t="s">
        <v>365</v>
      </c>
      <c r="C352" s="125">
        <v>102507</v>
      </c>
      <c r="D352" s="113">
        <v>8328365499</v>
      </c>
      <c r="E352" s="116">
        <f t="shared" si="72"/>
        <v>81246.7977699084</v>
      </c>
      <c r="F352" s="117">
        <v>5457586081</v>
      </c>
      <c r="G352" s="117">
        <f t="shared" si="73"/>
        <v>53241.106275668979</v>
      </c>
      <c r="H352" s="9"/>
      <c r="I352" s="109">
        <v>5.5644</v>
      </c>
      <c r="J352" s="117">
        <v>30368191.9891164</v>
      </c>
      <c r="K352" s="120">
        <f t="shared" si="74"/>
        <v>296.25481176033247</v>
      </c>
      <c r="L352" s="122">
        <f t="shared" si="67"/>
        <v>54575860.810000002</v>
      </c>
      <c r="M352" s="116">
        <f t="shared" si="68"/>
        <v>24207668.820883602</v>
      </c>
      <c r="N352" s="123">
        <f t="shared" si="69"/>
        <v>236.15625099635733</v>
      </c>
      <c r="O352" s="5"/>
      <c r="P352" s="5">
        <f t="shared" si="70"/>
        <v>1</v>
      </c>
      <c r="Q352" s="7">
        <f t="shared" si="71"/>
        <v>102507</v>
      </c>
    </row>
    <row r="353" spans="1:21">
      <c r="A353" s="23" t="s">
        <v>379</v>
      </c>
      <c r="B353" s="35" t="s">
        <v>365</v>
      </c>
      <c r="C353" s="125">
        <v>3828</v>
      </c>
      <c r="D353" s="113">
        <v>256613006</v>
      </c>
      <c r="E353" s="116">
        <f t="shared" si="72"/>
        <v>67035.790491118081</v>
      </c>
      <c r="F353" s="117">
        <v>182542526</v>
      </c>
      <c r="G353" s="117">
        <f t="shared" si="73"/>
        <v>47686.135318704284</v>
      </c>
      <c r="H353" s="9"/>
      <c r="I353" s="109">
        <v>6.79</v>
      </c>
      <c r="J353" s="117">
        <v>1239463.7515399999</v>
      </c>
      <c r="K353" s="120">
        <f t="shared" si="74"/>
        <v>323.78885881400203</v>
      </c>
      <c r="L353" s="122">
        <f t="shared" si="67"/>
        <v>1825425.26</v>
      </c>
      <c r="M353" s="116">
        <f t="shared" si="68"/>
        <v>585961.50846000016</v>
      </c>
      <c r="N353" s="123">
        <f t="shared" si="69"/>
        <v>153.0724943730408</v>
      </c>
      <c r="O353" s="5"/>
      <c r="P353" s="5">
        <f t="shared" si="70"/>
        <v>1</v>
      </c>
      <c r="Q353" s="7">
        <f t="shared" si="71"/>
        <v>3828</v>
      </c>
    </row>
    <row r="354" spans="1:21">
      <c r="A354" s="23" t="s">
        <v>380</v>
      </c>
      <c r="B354" s="35" t="s">
        <v>365</v>
      </c>
      <c r="C354" s="125">
        <v>1670</v>
      </c>
      <c r="D354" s="113">
        <v>120222209</v>
      </c>
      <c r="E354" s="116">
        <f t="shared" si="72"/>
        <v>71989.346706586832</v>
      </c>
      <c r="F354" s="117">
        <v>72313043</v>
      </c>
      <c r="G354" s="117">
        <f t="shared" si="73"/>
        <v>43301.223353293411</v>
      </c>
      <c r="H354" s="7"/>
      <c r="I354" s="109">
        <v>8</v>
      </c>
      <c r="J354" s="117">
        <v>578504.34400000004</v>
      </c>
      <c r="K354" s="120">
        <f t="shared" si="74"/>
        <v>346.40978682634733</v>
      </c>
      <c r="L354" s="122">
        <f t="shared" si="67"/>
        <v>723130.43</v>
      </c>
      <c r="M354" s="116">
        <f t="shared" si="68"/>
        <v>144626.08600000001</v>
      </c>
      <c r="N354" s="123">
        <f t="shared" si="69"/>
        <v>86.602446706586832</v>
      </c>
      <c r="O354" s="5"/>
      <c r="P354" s="5">
        <f t="shared" si="70"/>
        <v>1</v>
      </c>
      <c r="Q354" s="7">
        <f t="shared" si="71"/>
        <v>1670</v>
      </c>
    </row>
    <row r="355" spans="1:21">
      <c r="A355" s="23" t="s">
        <v>381</v>
      </c>
      <c r="B355" s="35" t="s">
        <v>365</v>
      </c>
      <c r="C355" s="125">
        <v>39524</v>
      </c>
      <c r="D355" s="113">
        <v>2954766087</v>
      </c>
      <c r="E355" s="116">
        <f t="shared" si="72"/>
        <v>74758.781676955768</v>
      </c>
      <c r="F355" s="117">
        <v>1923775935</v>
      </c>
      <c r="G355" s="117">
        <f t="shared" si="73"/>
        <v>48673.614386195732</v>
      </c>
      <c r="H355" s="7"/>
      <c r="I355" s="109">
        <v>5.79</v>
      </c>
      <c r="J355" s="117">
        <v>11138662.66365</v>
      </c>
      <c r="K355" s="120">
        <f t="shared" si="74"/>
        <v>281.82022729607326</v>
      </c>
      <c r="L355" s="122">
        <f t="shared" si="67"/>
        <v>19237759.350000001</v>
      </c>
      <c r="M355" s="116">
        <f t="shared" si="68"/>
        <v>8099096.686350001</v>
      </c>
      <c r="N355" s="123">
        <f t="shared" si="69"/>
        <v>204.91591656588403</v>
      </c>
      <c r="O355" s="5"/>
      <c r="P355" s="5">
        <f t="shared" si="70"/>
        <v>1</v>
      </c>
      <c r="Q355" s="7">
        <f t="shared" si="71"/>
        <v>39524</v>
      </c>
      <c r="S355" s="124">
        <f>SUM(D339:D355)</f>
        <v>18050406988</v>
      </c>
      <c r="T355" s="124">
        <f>SUM(F339:F355)</f>
        <v>11606524443</v>
      </c>
      <c r="U355" s="124">
        <f>SUM(J339:J355)</f>
        <v>67753023.928637996</v>
      </c>
    </row>
    <row r="356" spans="1:21">
      <c r="A356" s="23" t="s">
        <v>382</v>
      </c>
      <c r="B356" s="35" t="s">
        <v>383</v>
      </c>
      <c r="C356" s="125">
        <v>1543</v>
      </c>
      <c r="D356" s="113">
        <v>104937294</v>
      </c>
      <c r="E356" s="116">
        <f t="shared" si="72"/>
        <v>68008.615683732991</v>
      </c>
      <c r="F356" s="117">
        <v>58172157</v>
      </c>
      <c r="G356" s="117">
        <f t="shared" si="73"/>
        <v>37700.685029163964</v>
      </c>
      <c r="H356" s="7"/>
      <c r="I356" s="109">
        <v>8.5914000000000001</v>
      </c>
      <c r="J356" s="117">
        <v>499780.26964980003</v>
      </c>
      <c r="K356" s="120">
        <f t="shared" si="74"/>
        <v>323.90166535955933</v>
      </c>
      <c r="L356" s="122">
        <f t="shared" si="67"/>
        <v>581721.57000000007</v>
      </c>
      <c r="M356" s="116">
        <f t="shared" si="68"/>
        <v>81941.300350200036</v>
      </c>
      <c r="N356" s="123">
        <f t="shared" si="69"/>
        <v>53.105184932080384</v>
      </c>
      <c r="O356" s="5"/>
      <c r="P356" s="5">
        <f t="shared" si="70"/>
        <v>1</v>
      </c>
      <c r="Q356" s="7">
        <f t="shared" si="71"/>
        <v>1543</v>
      </c>
    </row>
    <row r="357" spans="1:21">
      <c r="A357" s="23" t="s">
        <v>384</v>
      </c>
      <c r="B357" s="35" t="s">
        <v>383</v>
      </c>
      <c r="C357" s="125">
        <v>1328</v>
      </c>
      <c r="D357" s="113">
        <v>105860564</v>
      </c>
      <c r="E357" s="116">
        <f t="shared" si="72"/>
        <v>79714.280120481926</v>
      </c>
      <c r="F357" s="117">
        <v>51424187</v>
      </c>
      <c r="G357" s="117">
        <f t="shared" si="73"/>
        <v>38723.032379518074</v>
      </c>
      <c r="H357" s="7"/>
      <c r="I357" s="109">
        <v>8.8820999999999994</v>
      </c>
      <c r="J357" s="117">
        <v>456754.77135270002</v>
      </c>
      <c r="K357" s="120">
        <f t="shared" si="74"/>
        <v>343.94184589811749</v>
      </c>
      <c r="L357" s="122">
        <f t="shared" si="67"/>
        <v>514241.87</v>
      </c>
      <c r="M357" s="116">
        <f t="shared" si="68"/>
        <v>57487.098647299979</v>
      </c>
      <c r="N357" s="123">
        <f t="shared" si="69"/>
        <v>43.288477897063238</v>
      </c>
      <c r="O357" s="5"/>
      <c r="P357" s="5">
        <f t="shared" si="70"/>
        <v>1</v>
      </c>
      <c r="Q357" s="7">
        <f t="shared" si="71"/>
        <v>1328</v>
      </c>
    </row>
    <row r="358" spans="1:21">
      <c r="A358" s="23" t="s">
        <v>385</v>
      </c>
      <c r="B358" s="35" t="s">
        <v>383</v>
      </c>
      <c r="C358" s="125">
        <v>10548</v>
      </c>
      <c r="D358" s="113">
        <v>747482045</v>
      </c>
      <c r="E358" s="116">
        <f t="shared" si="72"/>
        <v>70864.812760712928</v>
      </c>
      <c r="F358" s="117">
        <v>380609340</v>
      </c>
      <c r="G358" s="117">
        <f t="shared" si="73"/>
        <v>36083.555176336748</v>
      </c>
      <c r="H358" s="7"/>
      <c r="I358" s="109">
        <v>6.4</v>
      </c>
      <c r="J358" s="117">
        <v>2435899.7760000001</v>
      </c>
      <c r="K358" s="120">
        <f t="shared" si="74"/>
        <v>230.93475312855517</v>
      </c>
      <c r="L358" s="122">
        <f t="shared" si="67"/>
        <v>3806093.4</v>
      </c>
      <c r="M358" s="116">
        <f t="shared" si="68"/>
        <v>1370193.6239999998</v>
      </c>
      <c r="N358" s="123">
        <f t="shared" si="69"/>
        <v>129.90079863481228</v>
      </c>
      <c r="O358" s="5"/>
      <c r="P358" s="5">
        <f t="shared" si="70"/>
        <v>1</v>
      </c>
      <c r="Q358" s="7">
        <f t="shared" si="71"/>
        <v>10548</v>
      </c>
    </row>
    <row r="359" spans="1:21">
      <c r="A359" s="23" t="s">
        <v>386</v>
      </c>
      <c r="B359" s="35" t="s">
        <v>383</v>
      </c>
      <c r="C359" s="125">
        <v>873</v>
      </c>
      <c r="D359" s="113">
        <v>43029245</v>
      </c>
      <c r="E359" s="116">
        <f t="shared" si="72"/>
        <v>49288.940435280645</v>
      </c>
      <c r="F359" s="117">
        <v>27323124</v>
      </c>
      <c r="G359" s="117">
        <f t="shared" si="73"/>
        <v>31297.96563573883</v>
      </c>
      <c r="H359" s="7"/>
      <c r="I359" s="109">
        <v>5.7873999999999999</v>
      </c>
      <c r="J359" s="117">
        <v>158129.84783759998</v>
      </c>
      <c r="K359" s="120">
        <f t="shared" si="74"/>
        <v>181.1338463202749</v>
      </c>
      <c r="L359" s="122">
        <f t="shared" si="67"/>
        <v>273231.24</v>
      </c>
      <c r="M359" s="116">
        <f t="shared" si="68"/>
        <v>115101.39216240001</v>
      </c>
      <c r="N359" s="123">
        <f t="shared" si="69"/>
        <v>131.84581003711341</v>
      </c>
      <c r="O359" s="5"/>
      <c r="P359" s="5">
        <f t="shared" si="70"/>
        <v>1</v>
      </c>
      <c r="Q359" s="7">
        <f t="shared" si="71"/>
        <v>873</v>
      </c>
    </row>
    <row r="360" spans="1:21">
      <c r="A360" s="23" t="s">
        <v>387</v>
      </c>
      <c r="B360" s="35" t="s">
        <v>383</v>
      </c>
      <c r="C360" s="125">
        <v>717</v>
      </c>
      <c r="D360" s="113">
        <v>66850246</v>
      </c>
      <c r="E360" s="116">
        <f t="shared" si="72"/>
        <v>93236.047419804745</v>
      </c>
      <c r="F360" s="117">
        <v>51409256</v>
      </c>
      <c r="G360" s="117">
        <f t="shared" si="73"/>
        <v>71700.496513249658</v>
      </c>
      <c r="H360" s="7"/>
      <c r="I360" s="109">
        <v>5.5049999999999999</v>
      </c>
      <c r="J360" s="117">
        <v>283007.95427999995</v>
      </c>
      <c r="K360" s="120">
        <f t="shared" si="74"/>
        <v>394.71123330543924</v>
      </c>
      <c r="L360" s="122">
        <f t="shared" si="67"/>
        <v>514092.56</v>
      </c>
      <c r="M360" s="116">
        <f t="shared" si="68"/>
        <v>231084.60572000005</v>
      </c>
      <c r="N360" s="123">
        <f t="shared" si="69"/>
        <v>322.29373182705723</v>
      </c>
      <c r="O360" s="5"/>
      <c r="P360" s="5">
        <f t="shared" si="70"/>
        <v>1</v>
      </c>
      <c r="Q360" s="7">
        <f t="shared" si="71"/>
        <v>717</v>
      </c>
      <c r="S360" s="124">
        <f>SUM(D356:D360)</f>
        <v>1068159394</v>
      </c>
      <c r="T360" s="124">
        <f>SUM(F356:F360)</f>
        <v>568938064</v>
      </c>
      <c r="U360" s="124">
        <f>SUM(J356:J360)</f>
        <v>3833572.6191201005</v>
      </c>
    </row>
    <row r="361" spans="1:21">
      <c r="A361" s="23" t="s">
        <v>390</v>
      </c>
      <c r="B361" s="35" t="s">
        <v>391</v>
      </c>
      <c r="C361" s="125">
        <v>5818</v>
      </c>
      <c r="D361" s="113">
        <v>1128487803</v>
      </c>
      <c r="E361" s="116">
        <f t="shared" si="72"/>
        <v>193964.90254382949</v>
      </c>
      <c r="F361" s="117">
        <v>731176600</v>
      </c>
      <c r="G361" s="117">
        <f t="shared" si="73"/>
        <v>125674.9054657958</v>
      </c>
      <c r="H361" s="9"/>
      <c r="I361" s="109">
        <v>1.9722999999999999</v>
      </c>
      <c r="J361" s="117">
        <v>1442099.60818</v>
      </c>
      <c r="K361" s="120">
        <f t="shared" si="74"/>
        <v>247.86861605018908</v>
      </c>
      <c r="L361" s="122">
        <f t="shared" si="67"/>
        <v>7311766</v>
      </c>
      <c r="M361" s="116">
        <f t="shared" si="68"/>
        <v>5869666.3918200005</v>
      </c>
      <c r="N361" s="123">
        <f t="shared" si="69"/>
        <v>1008.8804386077691</v>
      </c>
      <c r="O361" s="5"/>
      <c r="P361" s="5">
        <f t="shared" si="70"/>
        <v>1</v>
      </c>
      <c r="Q361" s="7">
        <f t="shared" si="71"/>
        <v>5818</v>
      </c>
    </row>
    <row r="362" spans="1:21">
      <c r="A362" s="23" t="s">
        <v>392</v>
      </c>
      <c r="B362" s="35" t="s">
        <v>391</v>
      </c>
      <c r="C362" s="125">
        <v>538</v>
      </c>
      <c r="D362" s="113">
        <v>75513351</v>
      </c>
      <c r="E362" s="116">
        <f t="shared" si="72"/>
        <v>140359.38847583643</v>
      </c>
      <c r="F362" s="117">
        <v>52217032</v>
      </c>
      <c r="G362" s="117">
        <f t="shared" si="73"/>
        <v>97057.680297397776</v>
      </c>
      <c r="H362" s="9"/>
      <c r="I362" s="109">
        <v>2</v>
      </c>
      <c r="J362" s="117">
        <v>104434.064</v>
      </c>
      <c r="K362" s="120">
        <f t="shared" si="74"/>
        <v>194.11536059479553</v>
      </c>
      <c r="L362" s="122">
        <f t="shared" si="67"/>
        <v>522170.32</v>
      </c>
      <c r="M362" s="116">
        <f t="shared" si="68"/>
        <v>417736.25599999999</v>
      </c>
      <c r="N362" s="123">
        <f t="shared" si="69"/>
        <v>776.46144237918213</v>
      </c>
      <c r="O362" s="5"/>
      <c r="P362" s="5">
        <f t="shared" si="70"/>
        <v>1</v>
      </c>
      <c r="Q362" s="7">
        <f t="shared" si="71"/>
        <v>538</v>
      </c>
    </row>
    <row r="363" spans="1:21">
      <c r="A363" s="23" t="s">
        <v>393</v>
      </c>
      <c r="B363" s="35" t="s">
        <v>391</v>
      </c>
      <c r="C363" s="125">
        <v>10038</v>
      </c>
      <c r="D363" s="113">
        <v>562115343</v>
      </c>
      <c r="E363" s="116">
        <f t="shared" si="72"/>
        <v>55998.73909145248</v>
      </c>
      <c r="F363" s="117">
        <v>315851973</v>
      </c>
      <c r="G363" s="117">
        <f t="shared" si="73"/>
        <v>31465.627913927077</v>
      </c>
      <c r="H363" s="9"/>
      <c r="I363" s="109">
        <v>3.2372999999999998</v>
      </c>
      <c r="J363" s="117">
        <v>1022507.5921928999</v>
      </c>
      <c r="K363" s="120">
        <f t="shared" si="74"/>
        <v>101.86367724575612</v>
      </c>
      <c r="L363" s="122">
        <f t="shared" si="67"/>
        <v>3158519.73</v>
      </c>
      <c r="M363" s="116">
        <f t="shared" si="68"/>
        <v>2136012.1378071001</v>
      </c>
      <c r="N363" s="123">
        <f t="shared" si="69"/>
        <v>212.79260189351464</v>
      </c>
      <c r="O363" s="5"/>
      <c r="P363" s="5">
        <f t="shared" si="70"/>
        <v>1</v>
      </c>
      <c r="Q363" s="7">
        <f t="shared" si="71"/>
        <v>10038</v>
      </c>
      <c r="S363" s="124">
        <f>SUM(D361:D363)</f>
        <v>1766116497</v>
      </c>
      <c r="T363" s="124">
        <f>SUM(F361:F363)</f>
        <v>1099245605</v>
      </c>
      <c r="U363" s="124">
        <f>SUM(J361:J363)</f>
        <v>2569041.2643729001</v>
      </c>
    </row>
    <row r="364" spans="1:21">
      <c r="A364" s="23" t="s">
        <v>394</v>
      </c>
      <c r="B364" s="35" t="s">
        <v>395</v>
      </c>
      <c r="C364" s="125">
        <v>64472</v>
      </c>
      <c r="D364" s="113">
        <v>5440300531</v>
      </c>
      <c r="E364" s="116">
        <f t="shared" si="72"/>
        <v>84382.375775530469</v>
      </c>
      <c r="F364" s="117">
        <v>3263109493</v>
      </c>
      <c r="G364" s="117">
        <f t="shared" si="73"/>
        <v>50612.816307854569</v>
      </c>
      <c r="H364" s="7"/>
      <c r="I364" s="109">
        <v>3.4769999999999999</v>
      </c>
      <c r="J364" s="117">
        <v>11345831.707161</v>
      </c>
      <c r="K364" s="120">
        <f t="shared" si="74"/>
        <v>175.98076230241034</v>
      </c>
      <c r="L364" s="122">
        <f t="shared" si="67"/>
        <v>32631094.93</v>
      </c>
      <c r="M364" s="116">
        <f t="shared" si="68"/>
        <v>21285263.222838998</v>
      </c>
      <c r="N364" s="123">
        <f t="shared" si="69"/>
        <v>330.14740077613533</v>
      </c>
      <c r="O364" s="5"/>
      <c r="P364" s="5">
        <f t="shared" si="70"/>
        <v>1</v>
      </c>
      <c r="Q364" s="7">
        <f t="shared" si="71"/>
        <v>64472</v>
      </c>
    </row>
    <row r="365" spans="1:21">
      <c r="A365" s="23" t="s">
        <v>395</v>
      </c>
      <c r="B365" s="35" t="s">
        <v>395</v>
      </c>
      <c r="C365" s="125">
        <v>53865</v>
      </c>
      <c r="D365" s="113">
        <v>13737484996</v>
      </c>
      <c r="E365" s="116">
        <f t="shared" si="72"/>
        <v>255035.45894365542</v>
      </c>
      <c r="F365" s="117">
        <v>8779643556</v>
      </c>
      <c r="G365" s="117">
        <f t="shared" si="73"/>
        <v>162993.4754664439</v>
      </c>
      <c r="H365" s="7"/>
      <c r="I365" s="109">
        <v>3.1728000000000001</v>
      </c>
      <c r="J365" s="117">
        <v>27856053.074476801</v>
      </c>
      <c r="K365" s="120">
        <f t="shared" si="74"/>
        <v>517.14569895993316</v>
      </c>
      <c r="L365" s="122">
        <f t="shared" si="67"/>
        <v>87796435.560000002</v>
      </c>
      <c r="M365" s="116">
        <f t="shared" si="68"/>
        <v>59940382.485523202</v>
      </c>
      <c r="N365" s="123">
        <f t="shared" si="69"/>
        <v>1112.7890557045057</v>
      </c>
      <c r="O365" s="5"/>
      <c r="P365" s="5">
        <f t="shared" si="70"/>
        <v>1</v>
      </c>
      <c r="Q365" s="7">
        <f t="shared" si="71"/>
        <v>53865</v>
      </c>
    </row>
    <row r="366" spans="1:21">
      <c r="A366" s="23" t="s">
        <v>396</v>
      </c>
      <c r="B366" s="35" t="s">
        <v>395</v>
      </c>
      <c r="C366" s="125">
        <v>21849</v>
      </c>
      <c r="D366" s="113">
        <v>4897277037</v>
      </c>
      <c r="E366" s="116">
        <f t="shared" si="72"/>
        <v>224141.93038583003</v>
      </c>
      <c r="F366" s="117">
        <v>3531955692</v>
      </c>
      <c r="G366" s="117">
        <f t="shared" si="73"/>
        <v>161652.96773307704</v>
      </c>
      <c r="H366" s="7"/>
      <c r="I366" s="109">
        <v>3.6</v>
      </c>
      <c r="J366" s="117">
        <v>12715040.4912</v>
      </c>
      <c r="K366" s="120">
        <f t="shared" si="74"/>
        <v>581.95068383907733</v>
      </c>
      <c r="L366" s="122">
        <f t="shared" si="67"/>
        <v>35319556.920000002</v>
      </c>
      <c r="M366" s="116">
        <f t="shared" si="68"/>
        <v>22604516.428800002</v>
      </c>
      <c r="N366" s="123">
        <f t="shared" si="69"/>
        <v>1034.5789934916932</v>
      </c>
      <c r="O366" s="5"/>
      <c r="P366" s="5">
        <f t="shared" si="70"/>
        <v>1</v>
      </c>
      <c r="Q366" s="7">
        <f t="shared" si="71"/>
        <v>21849</v>
      </c>
      <c r="S366" s="124">
        <f>SUM(D364:D366)</f>
        <v>24075062564</v>
      </c>
      <c r="T366" s="124">
        <f>SUM(F364:F366)</f>
        <v>15574708741</v>
      </c>
      <c r="U366" s="124">
        <f>SUM(J364:J366)</f>
        <v>51916925.272837803</v>
      </c>
    </row>
    <row r="367" spans="1:21">
      <c r="A367" s="23" t="s">
        <v>397</v>
      </c>
      <c r="B367" s="35" t="s">
        <v>360</v>
      </c>
      <c r="C367" s="125">
        <v>43905</v>
      </c>
      <c r="D367" s="113">
        <v>3758510544</v>
      </c>
      <c r="E367" s="116">
        <f t="shared" si="72"/>
        <v>85605.524291083013</v>
      </c>
      <c r="F367" s="117">
        <v>2761447801</v>
      </c>
      <c r="G367" s="117">
        <f t="shared" si="73"/>
        <v>62895.975424211363</v>
      </c>
      <c r="H367" s="7"/>
      <c r="I367" s="109">
        <v>3.1</v>
      </c>
      <c r="J367" s="117">
        <v>8560488.1831</v>
      </c>
      <c r="K367" s="120">
        <f t="shared" si="74"/>
        <v>194.97752381505524</v>
      </c>
      <c r="L367" s="122">
        <f t="shared" si="67"/>
        <v>27614478.010000002</v>
      </c>
      <c r="M367" s="116">
        <f t="shared" si="68"/>
        <v>19053989.826900002</v>
      </c>
      <c r="N367" s="123">
        <f t="shared" si="69"/>
        <v>433.98223042705848</v>
      </c>
      <c r="O367" s="5"/>
      <c r="P367" s="5">
        <f t="shared" si="70"/>
        <v>1</v>
      </c>
      <c r="Q367" s="7">
        <f t="shared" si="71"/>
        <v>43905</v>
      </c>
    </row>
    <row r="368" spans="1:21">
      <c r="A368" s="23" t="s">
        <v>398</v>
      </c>
      <c r="B368" s="35" t="s">
        <v>360</v>
      </c>
      <c r="C368" s="125">
        <v>27786</v>
      </c>
      <c r="D368" s="113">
        <v>1666198704</v>
      </c>
      <c r="E368" s="116">
        <f t="shared" si="72"/>
        <v>59965.403584538974</v>
      </c>
      <c r="F368" s="117">
        <v>1209517882</v>
      </c>
      <c r="G368" s="117">
        <f t="shared" si="73"/>
        <v>43529.758943352768</v>
      </c>
      <c r="H368" s="7"/>
      <c r="I368" s="109">
        <v>3.1200999999999999</v>
      </c>
      <c r="J368" s="117">
        <v>3773816.7436282001</v>
      </c>
      <c r="K368" s="120">
        <f t="shared" si="74"/>
        <v>135.81720087915497</v>
      </c>
      <c r="L368" s="122">
        <f t="shared" si="67"/>
        <v>12095178.82</v>
      </c>
      <c r="M368" s="116">
        <f t="shared" si="68"/>
        <v>8321362.0763718002</v>
      </c>
      <c r="N368" s="123">
        <f t="shared" si="69"/>
        <v>299.48038855437272</v>
      </c>
      <c r="O368" s="5"/>
      <c r="P368" s="5">
        <f t="shared" si="70"/>
        <v>1</v>
      </c>
      <c r="Q368" s="7">
        <f t="shared" si="71"/>
        <v>27786</v>
      </c>
    </row>
    <row r="369" spans="1:21">
      <c r="A369" s="23" t="s">
        <v>399</v>
      </c>
      <c r="B369" s="35" t="s">
        <v>360</v>
      </c>
      <c r="C369" s="125">
        <v>16119</v>
      </c>
      <c r="D369" s="113">
        <v>2594858699</v>
      </c>
      <c r="E369" s="116">
        <f t="shared" si="72"/>
        <v>160981.3697499845</v>
      </c>
      <c r="F369" s="117">
        <v>2088057256</v>
      </c>
      <c r="G369" s="117">
        <f t="shared" si="73"/>
        <v>129540.12382902166</v>
      </c>
      <c r="H369" s="7"/>
      <c r="I369" s="109">
        <v>3.5895000000000001</v>
      </c>
      <c r="J369" s="117">
        <v>7495081.5204120008</v>
      </c>
      <c r="K369" s="120">
        <f t="shared" si="74"/>
        <v>464.98427448427327</v>
      </c>
      <c r="L369" s="122">
        <f t="shared" si="67"/>
        <v>20880572.559999999</v>
      </c>
      <c r="M369" s="116">
        <f t="shared" si="68"/>
        <v>13385491.039587997</v>
      </c>
      <c r="N369" s="123">
        <f t="shared" si="69"/>
        <v>830.41696380594306</v>
      </c>
      <c r="O369" s="5"/>
      <c r="P369" s="5">
        <f t="shared" si="70"/>
        <v>1</v>
      </c>
      <c r="Q369" s="7">
        <f t="shared" si="71"/>
        <v>16119</v>
      </c>
    </row>
    <row r="370" spans="1:21">
      <c r="A370" s="23" t="s">
        <v>400</v>
      </c>
      <c r="B370" s="35" t="s">
        <v>360</v>
      </c>
      <c r="C370" s="125">
        <v>14897</v>
      </c>
      <c r="D370" s="113">
        <v>1316237559</v>
      </c>
      <c r="E370" s="116">
        <f t="shared" si="72"/>
        <v>88355.880982748204</v>
      </c>
      <c r="F370" s="117">
        <v>937801782</v>
      </c>
      <c r="G370" s="117">
        <f t="shared" si="73"/>
        <v>62952.391890984763</v>
      </c>
      <c r="H370" s="7"/>
      <c r="I370" s="109">
        <v>5.5</v>
      </c>
      <c r="J370" s="117">
        <v>5157909.801</v>
      </c>
      <c r="K370" s="120">
        <f t="shared" si="74"/>
        <v>346.23815540041619</v>
      </c>
      <c r="L370" s="122">
        <f t="shared" si="67"/>
        <v>9378017.8200000003</v>
      </c>
      <c r="M370" s="116">
        <f t="shared" si="68"/>
        <v>4220108.0190000003</v>
      </c>
      <c r="N370" s="123">
        <f t="shared" si="69"/>
        <v>283.28576350943143</v>
      </c>
      <c r="O370" s="5"/>
      <c r="P370" s="5">
        <f t="shared" si="70"/>
        <v>1</v>
      </c>
      <c r="Q370" s="7">
        <f t="shared" si="71"/>
        <v>14897</v>
      </c>
    </row>
    <row r="371" spans="1:21">
      <c r="A371" s="23" t="s">
        <v>401</v>
      </c>
      <c r="B371" s="35" t="s">
        <v>360</v>
      </c>
      <c r="C371" s="125">
        <v>37128</v>
      </c>
      <c r="D371" s="114">
        <v>3369586844</v>
      </c>
      <c r="E371" s="116">
        <f t="shared" si="72"/>
        <v>90755.948179271712</v>
      </c>
      <c r="F371" s="117">
        <v>2298064373</v>
      </c>
      <c r="G371" s="117">
        <f t="shared" si="73"/>
        <v>61895.722177332471</v>
      </c>
      <c r="H371" s="7"/>
      <c r="I371" s="109">
        <v>5.0566000000000004</v>
      </c>
      <c r="J371" s="117">
        <v>11620392.308511801</v>
      </c>
      <c r="K371" s="120">
        <f t="shared" si="74"/>
        <v>312.98190876189938</v>
      </c>
      <c r="L371" s="122">
        <f t="shared" si="67"/>
        <v>22980643.73</v>
      </c>
      <c r="M371" s="116">
        <f t="shared" si="68"/>
        <v>11360251.421488199</v>
      </c>
      <c r="N371" s="123">
        <f t="shared" si="69"/>
        <v>305.97531301142533</v>
      </c>
      <c r="O371" s="5"/>
      <c r="P371" s="5">
        <f t="shared" si="70"/>
        <v>1</v>
      </c>
      <c r="Q371" s="7">
        <f t="shared" si="71"/>
        <v>37128</v>
      </c>
    </row>
    <row r="372" spans="1:21">
      <c r="A372" s="23" t="s">
        <v>402</v>
      </c>
      <c r="B372" s="35" t="s">
        <v>360</v>
      </c>
      <c r="C372" s="125">
        <v>57248</v>
      </c>
      <c r="D372" s="113">
        <v>4039676688</v>
      </c>
      <c r="E372" s="116">
        <f t="shared" si="72"/>
        <v>70564.503353828957</v>
      </c>
      <c r="F372" s="117">
        <v>2751920457</v>
      </c>
      <c r="G372" s="117">
        <f t="shared" si="73"/>
        <v>48070.158905114586</v>
      </c>
      <c r="H372" s="7"/>
      <c r="I372" s="109">
        <v>7.3250000000000002</v>
      </c>
      <c r="J372" s="117">
        <v>20157817.347525001</v>
      </c>
      <c r="K372" s="120">
        <f t="shared" si="74"/>
        <v>352.11391397996437</v>
      </c>
      <c r="L372" s="122">
        <f t="shared" si="67"/>
        <v>27519204.57</v>
      </c>
      <c r="M372" s="116">
        <f t="shared" si="68"/>
        <v>7361387.2224749997</v>
      </c>
      <c r="N372" s="123">
        <f t="shared" si="69"/>
        <v>128.58767507118151</v>
      </c>
      <c r="O372" s="5"/>
      <c r="P372" s="5">
        <f t="shared" si="70"/>
        <v>1</v>
      </c>
      <c r="Q372" s="7">
        <f t="shared" si="71"/>
        <v>57248</v>
      </c>
    </row>
    <row r="373" spans="1:21">
      <c r="A373" s="23" t="s">
        <v>403</v>
      </c>
      <c r="B373" s="35" t="s">
        <v>360</v>
      </c>
      <c r="C373" s="125">
        <v>36156</v>
      </c>
      <c r="D373" s="113">
        <v>2921182405</v>
      </c>
      <c r="E373" s="116">
        <f t="shared" si="72"/>
        <v>80793.849015377811</v>
      </c>
      <c r="F373" s="117">
        <v>1961341503</v>
      </c>
      <c r="G373" s="117">
        <f t="shared" si="73"/>
        <v>54246.639644872223</v>
      </c>
      <c r="H373" s="7"/>
      <c r="I373" s="109">
        <v>2.4300000000000002</v>
      </c>
      <c r="J373" s="117">
        <v>4766059.8522899998</v>
      </c>
      <c r="K373" s="120">
        <f t="shared" si="74"/>
        <v>131.81933433703949</v>
      </c>
      <c r="L373" s="122">
        <f t="shared" si="67"/>
        <v>19613415.030000001</v>
      </c>
      <c r="M373" s="116">
        <f t="shared" si="68"/>
        <v>14847355.17771</v>
      </c>
      <c r="N373" s="123">
        <f t="shared" si="69"/>
        <v>410.64706211168271</v>
      </c>
      <c r="O373" s="5"/>
      <c r="P373" s="5">
        <f t="shared" si="70"/>
        <v>1</v>
      </c>
      <c r="Q373" s="7">
        <f t="shared" si="71"/>
        <v>36156</v>
      </c>
      <c r="S373" s="124">
        <f>SUM(D367:D373)</f>
        <v>19666251443</v>
      </c>
      <c r="T373" s="124">
        <f>SUM(F367:F373)</f>
        <v>14008151054</v>
      </c>
      <c r="U373" s="124">
        <f>SUM(J367:J373)</f>
        <v>61531565.756467</v>
      </c>
    </row>
    <row r="374" spans="1:21">
      <c r="A374" s="23" t="s">
        <v>388</v>
      </c>
      <c r="B374" s="37" t="s">
        <v>551</v>
      </c>
      <c r="C374" s="125">
        <v>616</v>
      </c>
      <c r="D374" s="113">
        <v>38357196</v>
      </c>
      <c r="E374" s="116">
        <f t="shared" si="72"/>
        <v>62268.175324675321</v>
      </c>
      <c r="F374" s="117">
        <v>24556925</v>
      </c>
      <c r="G374" s="117">
        <f t="shared" si="73"/>
        <v>39865.137987012989</v>
      </c>
      <c r="H374" s="7"/>
      <c r="I374" s="109">
        <v>8.3552</v>
      </c>
      <c r="J374" s="117">
        <v>205178.01976</v>
      </c>
      <c r="K374" s="120">
        <f t="shared" si="74"/>
        <v>333.08120090909091</v>
      </c>
      <c r="L374" s="122">
        <f t="shared" si="67"/>
        <v>245569.25</v>
      </c>
      <c r="M374" s="116">
        <f t="shared" si="68"/>
        <v>40391.230240000004</v>
      </c>
      <c r="N374" s="123">
        <f t="shared" si="69"/>
        <v>65.570178961038962</v>
      </c>
      <c r="O374" s="5"/>
      <c r="P374" s="5">
        <f t="shared" si="70"/>
        <v>1</v>
      </c>
      <c r="Q374" s="7">
        <f t="shared" si="71"/>
        <v>616</v>
      </c>
    </row>
    <row r="375" spans="1:21">
      <c r="A375" s="24" t="s">
        <v>549</v>
      </c>
      <c r="B375" s="37" t="s">
        <v>551</v>
      </c>
      <c r="C375" s="125">
        <v>13747</v>
      </c>
      <c r="D375" s="113">
        <v>2368955970</v>
      </c>
      <c r="E375" s="116">
        <f t="shared" ref="E375:E388" si="75">(D375/C375)</f>
        <v>172325.30515748891</v>
      </c>
      <c r="F375" s="117">
        <v>1374118997</v>
      </c>
      <c r="G375" s="117">
        <f t="shared" ref="G375:G388" si="76">(F375/C375)</f>
        <v>99957.736015130577</v>
      </c>
      <c r="H375" s="7"/>
      <c r="I375" s="109">
        <v>7.5</v>
      </c>
      <c r="J375" s="117">
        <v>10305892.477499999</v>
      </c>
      <c r="K375" s="120">
        <f t="shared" ref="K375:K388" si="77">(J375/C375)</f>
        <v>749.68302011347919</v>
      </c>
      <c r="L375" s="122">
        <f t="shared" si="67"/>
        <v>13741189.970000001</v>
      </c>
      <c r="M375" s="116">
        <f t="shared" si="68"/>
        <v>3435297.4925000016</v>
      </c>
      <c r="N375" s="123">
        <f t="shared" si="69"/>
        <v>249.89434003782654</v>
      </c>
      <c r="O375" s="5"/>
      <c r="P375" s="5">
        <f t="shared" si="70"/>
        <v>1</v>
      </c>
      <c r="Q375" s="7">
        <f t="shared" si="71"/>
        <v>13747</v>
      </c>
    </row>
    <row r="376" spans="1:21">
      <c r="A376" s="24" t="s">
        <v>550</v>
      </c>
      <c r="B376" s="37" t="s">
        <v>551</v>
      </c>
      <c r="C376" s="125">
        <v>6555</v>
      </c>
      <c r="D376" s="113">
        <v>1386879211</v>
      </c>
      <c r="E376" s="116">
        <f t="shared" si="75"/>
        <v>211575.77589626241</v>
      </c>
      <c r="F376" s="117">
        <v>1070135762</v>
      </c>
      <c r="G376" s="117">
        <f t="shared" si="76"/>
        <v>163254.8836003051</v>
      </c>
      <c r="H376" s="7"/>
      <c r="I376" s="109">
        <v>2.3992</v>
      </c>
      <c r="J376" s="117">
        <v>2567469.7201904003</v>
      </c>
      <c r="K376" s="120">
        <f t="shared" si="77"/>
        <v>391.68111673385204</v>
      </c>
      <c r="L376" s="122">
        <f t="shared" si="67"/>
        <v>10701357.620000001</v>
      </c>
      <c r="M376" s="116">
        <f t="shared" si="68"/>
        <v>8133887.8998096008</v>
      </c>
      <c r="N376" s="123">
        <f t="shared" si="69"/>
        <v>1240.8677192691991</v>
      </c>
      <c r="O376" s="5"/>
      <c r="P376" s="5">
        <f t="shared" si="70"/>
        <v>1</v>
      </c>
      <c r="Q376" s="7">
        <f t="shared" si="71"/>
        <v>6555</v>
      </c>
      <c r="S376" s="124">
        <f>SUM(D374:D376)</f>
        <v>3794192377</v>
      </c>
      <c r="T376" s="124">
        <f>SUM(F374:F376)</f>
        <v>2468811684</v>
      </c>
      <c r="U376" s="124">
        <f>SUM(J374:J376)</f>
        <v>13078540.217450399</v>
      </c>
    </row>
    <row r="377" spans="1:21">
      <c r="A377" s="23" t="s">
        <v>389</v>
      </c>
      <c r="B377" s="37" t="s">
        <v>552</v>
      </c>
      <c r="C377" s="125">
        <v>42489</v>
      </c>
      <c r="D377" s="113">
        <v>3598292250</v>
      </c>
      <c r="E377" s="116">
        <f t="shared" si="75"/>
        <v>84687.619148485493</v>
      </c>
      <c r="F377" s="117">
        <v>2107100708</v>
      </c>
      <c r="G377" s="117">
        <f t="shared" si="76"/>
        <v>49591.675680764434</v>
      </c>
      <c r="H377" s="7"/>
      <c r="I377" s="109">
        <v>6.9</v>
      </c>
      <c r="J377" s="117">
        <v>14538994.885200001</v>
      </c>
      <c r="K377" s="120">
        <f t="shared" si="77"/>
        <v>342.18256219727459</v>
      </c>
      <c r="L377" s="122">
        <f t="shared" si="67"/>
        <v>21071007.080000002</v>
      </c>
      <c r="M377" s="116">
        <f t="shared" si="68"/>
        <v>6532012.1948000006</v>
      </c>
      <c r="N377" s="123">
        <f t="shared" si="69"/>
        <v>153.73419461036977</v>
      </c>
      <c r="O377" s="5"/>
      <c r="P377" s="5">
        <f t="shared" si="70"/>
        <v>1</v>
      </c>
      <c r="Q377" s="7">
        <f t="shared" si="71"/>
        <v>42489</v>
      </c>
    </row>
    <row r="378" spans="1:21">
      <c r="A378" s="24" t="s">
        <v>553</v>
      </c>
      <c r="B378" s="37" t="s">
        <v>552</v>
      </c>
      <c r="C378" s="125">
        <v>178091</v>
      </c>
      <c r="D378" s="113">
        <v>13788618706</v>
      </c>
      <c r="E378" s="116">
        <f t="shared" si="75"/>
        <v>77424.567810838285</v>
      </c>
      <c r="F378" s="117">
        <v>7894911690</v>
      </c>
      <c r="G378" s="117">
        <f t="shared" si="76"/>
        <v>44330.772975613589</v>
      </c>
      <c r="H378" s="7"/>
      <c r="I378" s="109">
        <v>5.2807000000000004</v>
      </c>
      <c r="J378" s="117">
        <v>41690660.161383003</v>
      </c>
      <c r="K378" s="120">
        <f t="shared" si="77"/>
        <v>234.09751285232269</v>
      </c>
      <c r="L378" s="122">
        <f t="shared" si="67"/>
        <v>78949116.900000006</v>
      </c>
      <c r="M378" s="116">
        <f t="shared" si="68"/>
        <v>37258456.738617003</v>
      </c>
      <c r="N378" s="123">
        <f t="shared" si="69"/>
        <v>209.21021690381323</v>
      </c>
      <c r="O378" s="5"/>
      <c r="P378" s="5">
        <f t="shared" si="70"/>
        <v>1</v>
      </c>
      <c r="Q378" s="7">
        <f t="shared" si="71"/>
        <v>178091</v>
      </c>
    </row>
    <row r="379" spans="1:21">
      <c r="A379" s="24" t="s">
        <v>554</v>
      </c>
      <c r="B379" s="37" t="s">
        <v>552</v>
      </c>
      <c r="C379" s="125">
        <v>607</v>
      </c>
      <c r="D379" s="113">
        <v>80761499</v>
      </c>
      <c r="E379" s="116">
        <f t="shared" si="75"/>
        <v>133050.24546952226</v>
      </c>
      <c r="F379" s="117">
        <v>57299057</v>
      </c>
      <c r="G379" s="117">
        <f t="shared" si="76"/>
        <v>94397.128500823717</v>
      </c>
      <c r="H379" s="7"/>
      <c r="I379" s="109">
        <v>1.85</v>
      </c>
      <c r="J379" s="117">
        <v>106003.25545</v>
      </c>
      <c r="K379" s="120">
        <f t="shared" si="77"/>
        <v>174.63468772652388</v>
      </c>
      <c r="L379" s="122">
        <f t="shared" si="67"/>
        <v>572990.57000000007</v>
      </c>
      <c r="M379" s="116">
        <f t="shared" si="68"/>
        <v>466987.31455000007</v>
      </c>
      <c r="N379" s="123">
        <f t="shared" si="69"/>
        <v>769.33659728171347</v>
      </c>
      <c r="O379" s="5"/>
      <c r="P379" s="5">
        <f t="shared" si="70"/>
        <v>1</v>
      </c>
      <c r="Q379" s="7">
        <f t="shared" si="71"/>
        <v>607</v>
      </c>
      <c r="S379" s="124">
        <f>SUM(D377:D379)</f>
        <v>17467672455</v>
      </c>
      <c r="T379" s="124">
        <f>SUM(F377:F379)</f>
        <v>10059311455</v>
      </c>
      <c r="U379" s="124">
        <f>SUM(J377:J379)</f>
        <v>56335658.302033007</v>
      </c>
    </row>
    <row r="380" spans="1:21">
      <c r="A380" s="23" t="s">
        <v>404</v>
      </c>
      <c r="B380" s="35" t="s">
        <v>405</v>
      </c>
      <c r="C380" s="125">
        <v>2490</v>
      </c>
      <c r="D380" s="113">
        <v>194814518</v>
      </c>
      <c r="E380" s="116">
        <f t="shared" si="75"/>
        <v>78238.76224899599</v>
      </c>
      <c r="F380" s="117">
        <v>128685005</v>
      </c>
      <c r="G380" s="117">
        <f t="shared" si="76"/>
        <v>51680.72489959839</v>
      </c>
      <c r="H380" s="9"/>
      <c r="I380" s="109">
        <v>4.5655999999999999</v>
      </c>
      <c r="J380" s="117">
        <v>587524.25882799993</v>
      </c>
      <c r="K380" s="120">
        <f t="shared" si="77"/>
        <v>235.95351760160639</v>
      </c>
      <c r="L380" s="122">
        <f t="shared" si="67"/>
        <v>1286850.05</v>
      </c>
      <c r="M380" s="116">
        <f t="shared" si="68"/>
        <v>699325.79117200011</v>
      </c>
      <c r="N380" s="123">
        <f t="shared" si="69"/>
        <v>280.85373139437758</v>
      </c>
      <c r="O380" s="5"/>
      <c r="P380" s="5">
        <f t="shared" si="70"/>
        <v>1</v>
      </c>
      <c r="Q380" s="7">
        <f t="shared" si="71"/>
        <v>2490</v>
      </c>
    </row>
    <row r="381" spans="1:21">
      <c r="A381" s="23" t="s">
        <v>406</v>
      </c>
      <c r="B381" s="35" t="s">
        <v>405</v>
      </c>
      <c r="C381" s="125">
        <v>1061</v>
      </c>
      <c r="D381" s="113">
        <v>43398762</v>
      </c>
      <c r="E381" s="116">
        <f t="shared" si="75"/>
        <v>40903.63996229972</v>
      </c>
      <c r="F381" s="117">
        <v>26425560</v>
      </c>
      <c r="G381" s="117">
        <f t="shared" si="76"/>
        <v>24906.277097078229</v>
      </c>
      <c r="H381" s="9"/>
      <c r="I381" s="109">
        <v>4.3726000000000003</v>
      </c>
      <c r="J381" s="117">
        <v>115548.40365600001</v>
      </c>
      <c r="K381" s="120">
        <f t="shared" si="77"/>
        <v>108.90518723468426</v>
      </c>
      <c r="L381" s="122">
        <f t="shared" si="67"/>
        <v>264255.59999999998</v>
      </c>
      <c r="M381" s="116">
        <f t="shared" si="68"/>
        <v>148707.19634399997</v>
      </c>
      <c r="N381" s="123">
        <f t="shared" si="69"/>
        <v>140.15758373609799</v>
      </c>
      <c r="O381" s="5"/>
      <c r="P381" s="5">
        <f t="shared" si="70"/>
        <v>1</v>
      </c>
      <c r="Q381" s="7">
        <f t="shared" si="71"/>
        <v>1061</v>
      </c>
    </row>
    <row r="382" spans="1:21">
      <c r="A382" s="23" t="s">
        <v>407</v>
      </c>
      <c r="B382" s="35" t="s">
        <v>405</v>
      </c>
      <c r="C382" s="125">
        <v>714</v>
      </c>
      <c r="D382" s="114">
        <v>24849651</v>
      </c>
      <c r="E382" s="116">
        <f t="shared" si="75"/>
        <v>34803.432773109242</v>
      </c>
      <c r="F382" s="117">
        <v>12435257</v>
      </c>
      <c r="G382" s="117">
        <f t="shared" si="76"/>
        <v>17416.326330532214</v>
      </c>
      <c r="H382" s="98"/>
      <c r="I382" s="109">
        <v>5</v>
      </c>
      <c r="J382" s="117">
        <v>62176.285000000003</v>
      </c>
      <c r="K382" s="120">
        <f t="shared" si="77"/>
        <v>87.081631652661073</v>
      </c>
      <c r="L382" s="122">
        <f t="shared" si="67"/>
        <v>124352.57</v>
      </c>
      <c r="M382" s="116">
        <f t="shared" si="68"/>
        <v>62176.285000000003</v>
      </c>
      <c r="N382" s="123">
        <f t="shared" si="69"/>
        <v>87.081631652661073</v>
      </c>
      <c r="O382" s="5"/>
      <c r="P382" s="5">
        <f t="shared" si="70"/>
        <v>1</v>
      </c>
      <c r="Q382" s="7">
        <f t="shared" si="71"/>
        <v>714</v>
      </c>
    </row>
    <row r="383" spans="1:21">
      <c r="A383" s="23" t="s">
        <v>408</v>
      </c>
      <c r="B383" s="35" t="s">
        <v>405</v>
      </c>
      <c r="C383" s="125">
        <v>803</v>
      </c>
      <c r="D383" s="113">
        <v>25966911</v>
      </c>
      <c r="E383" s="116">
        <f t="shared" si="75"/>
        <v>32337.373599003735</v>
      </c>
      <c r="F383" s="117">
        <v>16877867</v>
      </c>
      <c r="G383" s="117">
        <f t="shared" si="76"/>
        <v>21018.514321295144</v>
      </c>
      <c r="H383" s="7"/>
      <c r="I383" s="110">
        <v>7</v>
      </c>
      <c r="J383" s="117">
        <v>118145.069</v>
      </c>
      <c r="K383" s="120">
        <f t="shared" si="77"/>
        <v>147.12960024906602</v>
      </c>
      <c r="L383" s="122">
        <f t="shared" si="67"/>
        <v>168778.67</v>
      </c>
      <c r="M383" s="116">
        <f t="shared" si="68"/>
        <v>50633.60100000001</v>
      </c>
      <c r="N383" s="123">
        <f t="shared" si="69"/>
        <v>63.055542963885443</v>
      </c>
      <c r="O383" s="5"/>
      <c r="P383" s="5">
        <f t="shared" si="70"/>
        <v>1</v>
      </c>
      <c r="Q383" s="7">
        <f t="shared" si="71"/>
        <v>803</v>
      </c>
    </row>
    <row r="384" spans="1:21">
      <c r="A384" s="23" t="s">
        <v>409</v>
      </c>
      <c r="B384" s="35" t="s">
        <v>405</v>
      </c>
      <c r="C384" s="125">
        <v>8016</v>
      </c>
      <c r="D384" s="113">
        <v>880693476</v>
      </c>
      <c r="E384" s="116">
        <f t="shared" si="75"/>
        <v>109866.95059880239</v>
      </c>
      <c r="F384" s="117">
        <v>728499231</v>
      </c>
      <c r="G384" s="117">
        <f t="shared" si="76"/>
        <v>90880.64258982036</v>
      </c>
      <c r="H384" s="7"/>
      <c r="I384" s="109">
        <v>4.1044</v>
      </c>
      <c r="J384" s="118">
        <v>2990052.2437164001</v>
      </c>
      <c r="K384" s="120">
        <f t="shared" si="77"/>
        <v>373.01050944565867</v>
      </c>
      <c r="L384" s="122">
        <f t="shared" si="67"/>
        <v>7284992.3100000005</v>
      </c>
      <c r="M384" s="116">
        <f t="shared" si="68"/>
        <v>4294940.0662836004</v>
      </c>
      <c r="N384" s="123">
        <f t="shared" si="69"/>
        <v>535.79591645254493</v>
      </c>
      <c r="O384" s="5"/>
      <c r="P384" s="5">
        <f t="shared" si="70"/>
        <v>1</v>
      </c>
      <c r="Q384" s="7">
        <f t="shared" si="71"/>
        <v>8016</v>
      </c>
      <c r="S384" s="124">
        <f>SUM(D380:D384)</f>
        <v>1169723318</v>
      </c>
      <c r="T384" s="124">
        <f>SUM(F380:F384)</f>
        <v>912922920</v>
      </c>
      <c r="U384" s="124">
        <f>SUM(J380:J384)</f>
        <v>3873446.2602003999</v>
      </c>
    </row>
    <row r="385" spans="1:21">
      <c r="A385" s="23" t="s">
        <v>410</v>
      </c>
      <c r="B385" s="35" t="s">
        <v>411</v>
      </c>
      <c r="C385" s="125">
        <v>699</v>
      </c>
      <c r="D385" s="113">
        <v>39056468</v>
      </c>
      <c r="E385" s="116">
        <f t="shared" si="75"/>
        <v>55874.775393419171</v>
      </c>
      <c r="F385" s="117">
        <v>23156566</v>
      </c>
      <c r="G385" s="117">
        <f t="shared" si="76"/>
        <v>33128.134477825464</v>
      </c>
      <c r="H385" s="7"/>
      <c r="I385" s="109">
        <v>4.7432999999999996</v>
      </c>
      <c r="J385" s="117">
        <v>109838.5395078</v>
      </c>
      <c r="K385" s="120">
        <f t="shared" si="77"/>
        <v>157.13668026866952</v>
      </c>
      <c r="L385" s="122">
        <f t="shared" si="67"/>
        <v>231565.66</v>
      </c>
      <c r="M385" s="116">
        <f t="shared" si="68"/>
        <v>121727.1204922</v>
      </c>
      <c r="N385" s="123">
        <f t="shared" si="69"/>
        <v>174.14466450958511</v>
      </c>
      <c r="O385" s="5"/>
      <c r="P385" s="5">
        <f t="shared" si="70"/>
        <v>1</v>
      </c>
      <c r="Q385" s="7">
        <f t="shared" si="71"/>
        <v>699</v>
      </c>
    </row>
    <row r="386" spans="1:21">
      <c r="A386" s="23" t="s">
        <v>412</v>
      </c>
      <c r="B386" s="35" t="s">
        <v>411</v>
      </c>
      <c r="C386" s="125">
        <v>6819</v>
      </c>
      <c r="D386" s="113">
        <v>324901980</v>
      </c>
      <c r="E386" s="116">
        <f t="shared" si="75"/>
        <v>47646.572811262646</v>
      </c>
      <c r="F386" s="117">
        <v>207321673</v>
      </c>
      <c r="G386" s="117">
        <f t="shared" si="76"/>
        <v>30403.530283032702</v>
      </c>
      <c r="H386" s="7"/>
      <c r="I386" s="109">
        <v>8.9250000000000007</v>
      </c>
      <c r="J386" s="117">
        <v>1850345.9315250001</v>
      </c>
      <c r="K386" s="120">
        <f t="shared" si="77"/>
        <v>271.35150777606691</v>
      </c>
      <c r="L386" s="122">
        <f t="shared" si="67"/>
        <v>2073216.73</v>
      </c>
      <c r="M386" s="116">
        <f t="shared" si="68"/>
        <v>222870.79847499984</v>
      </c>
      <c r="N386" s="123">
        <f t="shared" si="69"/>
        <v>32.683795054260131</v>
      </c>
      <c r="O386" s="5"/>
      <c r="P386" s="5">
        <f t="shared" si="70"/>
        <v>1</v>
      </c>
      <c r="Q386" s="7">
        <f t="shared" si="71"/>
        <v>6819</v>
      </c>
      <c r="S386" s="124">
        <f>SUM(D385:D386)</f>
        <v>363958448</v>
      </c>
      <c r="T386" s="124">
        <f>SUM(F385:F386)</f>
        <v>230478239</v>
      </c>
      <c r="U386" s="124">
        <f>SUM(J385:J386)</f>
        <v>1960184.4710328002</v>
      </c>
    </row>
    <row r="387" spans="1:21">
      <c r="A387" s="23" t="s">
        <v>413</v>
      </c>
      <c r="B387" s="35" t="s">
        <v>414</v>
      </c>
      <c r="C387" s="125">
        <v>6974</v>
      </c>
      <c r="D387" s="113">
        <v>400769714</v>
      </c>
      <c r="E387" s="116">
        <f t="shared" si="75"/>
        <v>57466.262403211927</v>
      </c>
      <c r="F387" s="117">
        <v>227287140</v>
      </c>
      <c r="G387" s="117">
        <f t="shared" si="76"/>
        <v>32590.642386005162</v>
      </c>
      <c r="H387" s="9"/>
      <c r="I387" s="109">
        <v>5.7473999999999998</v>
      </c>
      <c r="J387" s="117">
        <v>1306310.1084359998</v>
      </c>
      <c r="K387" s="120">
        <f t="shared" si="77"/>
        <v>187.31145804932603</v>
      </c>
      <c r="L387" s="122">
        <f t="shared" si="67"/>
        <v>2272871.4</v>
      </c>
      <c r="M387" s="116">
        <f t="shared" si="68"/>
        <v>966561.29156400007</v>
      </c>
      <c r="N387" s="123">
        <f t="shared" si="69"/>
        <v>138.59496581072557</v>
      </c>
      <c r="O387" s="5"/>
      <c r="P387" s="5">
        <f t="shared" si="70"/>
        <v>1</v>
      </c>
      <c r="Q387" s="7">
        <f t="shared" si="71"/>
        <v>6974</v>
      </c>
      <c r="S387" s="124">
        <f>SUM(D387)</f>
        <v>400769714</v>
      </c>
      <c r="T387" s="124">
        <f>SUM(F387)</f>
        <v>227287140</v>
      </c>
      <c r="U387" s="124">
        <f>SUM(J387)</f>
        <v>1306310.1084359998</v>
      </c>
    </row>
    <row r="388" spans="1:21">
      <c r="A388" s="23" t="s">
        <v>415</v>
      </c>
      <c r="B388" s="35" t="s">
        <v>416</v>
      </c>
      <c r="C388" s="125">
        <v>1853</v>
      </c>
      <c r="D388" s="113">
        <v>68823124</v>
      </c>
      <c r="E388" s="116">
        <f t="shared" si="75"/>
        <v>37141.45925526174</v>
      </c>
      <c r="F388" s="117">
        <v>33316372</v>
      </c>
      <c r="G388" s="117">
        <f t="shared" si="76"/>
        <v>17979.693470048569</v>
      </c>
      <c r="H388" s="9"/>
      <c r="I388" s="109">
        <v>2.3546999999999998</v>
      </c>
      <c r="J388" s="117">
        <v>78450.061148399996</v>
      </c>
      <c r="K388" s="120">
        <f t="shared" si="77"/>
        <v>42.336784213923366</v>
      </c>
      <c r="L388" s="122">
        <f t="shared" si="67"/>
        <v>333163.72000000003</v>
      </c>
      <c r="M388" s="116">
        <f t="shared" si="68"/>
        <v>254713.65885160002</v>
      </c>
      <c r="N388" s="123">
        <f t="shared" si="69"/>
        <v>137.46015048656236</v>
      </c>
      <c r="O388" s="5"/>
      <c r="P388" s="5">
        <f t="shared" si="70"/>
        <v>1</v>
      </c>
      <c r="Q388" s="7">
        <f t="shared" si="71"/>
        <v>1853</v>
      </c>
    </row>
    <row r="389" spans="1:21">
      <c r="A389" s="23" t="s">
        <v>417</v>
      </c>
      <c r="B389" s="35" t="s">
        <v>416</v>
      </c>
      <c r="C389" s="125">
        <v>243</v>
      </c>
      <c r="D389" s="114" t="s">
        <v>564</v>
      </c>
      <c r="E389" s="116"/>
      <c r="F389" s="117"/>
      <c r="G389" s="117"/>
      <c r="H389" s="98" t="s">
        <v>588</v>
      </c>
      <c r="I389" s="109"/>
      <c r="J389" s="117"/>
      <c r="K389" s="120"/>
      <c r="L389" s="122">
        <f t="shared" si="67"/>
        <v>0</v>
      </c>
      <c r="M389" s="116">
        <f t="shared" si="68"/>
        <v>0</v>
      </c>
      <c r="N389" s="123">
        <f t="shared" si="69"/>
        <v>0</v>
      </c>
      <c r="O389" s="5"/>
      <c r="P389" s="5">
        <f t="shared" si="70"/>
        <v>0</v>
      </c>
      <c r="Q389" s="7">
        <f t="shared" si="71"/>
        <v>0</v>
      </c>
    </row>
    <row r="390" spans="1:21">
      <c r="A390" s="23" t="s">
        <v>418</v>
      </c>
      <c r="B390" s="35" t="s">
        <v>416</v>
      </c>
      <c r="C390" s="125">
        <v>339</v>
      </c>
      <c r="D390" s="113">
        <v>13082238</v>
      </c>
      <c r="E390" s="116">
        <f t="shared" ref="E390:E406" si="78">(D390/C390)</f>
        <v>38590.672566371679</v>
      </c>
      <c r="F390" s="117">
        <v>6278777</v>
      </c>
      <c r="G390" s="117">
        <f t="shared" ref="G390:G406" si="79">(F390/C390)</f>
        <v>18521.466076696164</v>
      </c>
      <c r="H390" s="7"/>
      <c r="I390" s="110">
        <v>1.5852999999999999</v>
      </c>
      <c r="J390" s="117">
        <v>9953.7451781</v>
      </c>
      <c r="K390" s="120">
        <f t="shared" ref="K390:K406" si="80">(J390/C390)</f>
        <v>29.362080171386431</v>
      </c>
      <c r="L390" s="122">
        <f t="shared" ref="L390:L416" si="81">(F390*0.01)</f>
        <v>62787.770000000004</v>
      </c>
      <c r="M390" s="116">
        <f t="shared" ref="M390:M416" si="82">(L390-J390)</f>
        <v>52834.024821900006</v>
      </c>
      <c r="N390" s="123">
        <f t="shared" ref="N390:N416" si="83">(M390/C390)</f>
        <v>155.85258059557523</v>
      </c>
      <c r="O390" s="5"/>
      <c r="P390" s="5">
        <f t="shared" si="70"/>
        <v>1</v>
      </c>
      <c r="Q390" s="7">
        <f t="shared" si="71"/>
        <v>339</v>
      </c>
      <c r="S390" s="124">
        <f>SUM(D388:D390)</f>
        <v>81905362</v>
      </c>
      <c r="T390" s="124">
        <f>SUM(F388:F390)</f>
        <v>39595149</v>
      </c>
      <c r="U390" s="124">
        <f>SUM(J388:J390)</f>
        <v>88403.806326499995</v>
      </c>
    </row>
    <row r="391" spans="1:21">
      <c r="A391" s="23" t="s">
        <v>419</v>
      </c>
      <c r="B391" s="35" t="s">
        <v>420</v>
      </c>
      <c r="C391" s="125">
        <v>64569</v>
      </c>
      <c r="D391" s="113">
        <v>6495102217</v>
      </c>
      <c r="E391" s="116">
        <f t="shared" si="78"/>
        <v>100591.64950672924</v>
      </c>
      <c r="F391" s="117">
        <v>3944548833</v>
      </c>
      <c r="G391" s="117">
        <f t="shared" si="79"/>
        <v>61090.443293221208</v>
      </c>
      <c r="H391" s="7"/>
      <c r="I391" s="109">
        <v>6.6367000000000003</v>
      </c>
      <c r="J391" s="117">
        <v>26178787.239971101</v>
      </c>
      <c r="K391" s="120">
        <f t="shared" si="80"/>
        <v>405.43894500412119</v>
      </c>
      <c r="L391" s="122">
        <f t="shared" si="81"/>
        <v>39445488.329999998</v>
      </c>
      <c r="M391" s="116">
        <f t="shared" si="82"/>
        <v>13266701.090028897</v>
      </c>
      <c r="N391" s="123">
        <f t="shared" si="83"/>
        <v>205.46548792809082</v>
      </c>
      <c r="O391" s="5"/>
      <c r="P391" s="5">
        <f t="shared" ref="P391:P416" si="84">IF(I391&gt;0,1,0)</f>
        <v>1</v>
      </c>
      <c r="Q391" s="7">
        <f t="shared" ref="Q391:Q416" si="85">IF(I391&gt;0,C391,0)</f>
        <v>64569</v>
      </c>
    </row>
    <row r="392" spans="1:21">
      <c r="A392" s="23" t="s">
        <v>421</v>
      </c>
      <c r="B392" s="35" t="s">
        <v>420</v>
      </c>
      <c r="C392" s="125">
        <v>4291</v>
      </c>
      <c r="D392" s="113">
        <v>1740034706</v>
      </c>
      <c r="E392" s="116">
        <f t="shared" si="78"/>
        <v>405507.97156839899</v>
      </c>
      <c r="F392" s="117">
        <v>1467572438</v>
      </c>
      <c r="G392" s="117">
        <f t="shared" si="79"/>
        <v>342011.7543696108</v>
      </c>
      <c r="H392" s="7"/>
      <c r="I392" s="109">
        <v>5.1589999999999998</v>
      </c>
      <c r="J392" s="117">
        <v>7571206.2076419992</v>
      </c>
      <c r="K392" s="120">
        <f t="shared" si="80"/>
        <v>1764.4386407928221</v>
      </c>
      <c r="L392" s="122">
        <f t="shared" si="81"/>
        <v>14675724.380000001</v>
      </c>
      <c r="M392" s="116">
        <f t="shared" si="82"/>
        <v>7104518.1723580016</v>
      </c>
      <c r="N392" s="123">
        <f t="shared" si="83"/>
        <v>1655.6789029032864</v>
      </c>
      <c r="O392" s="5"/>
      <c r="P392" s="5">
        <f t="shared" si="84"/>
        <v>1</v>
      </c>
      <c r="Q392" s="7">
        <f t="shared" si="85"/>
        <v>4291</v>
      </c>
    </row>
    <row r="393" spans="1:21">
      <c r="A393" s="23" t="s">
        <v>462</v>
      </c>
      <c r="B393" s="35" t="s">
        <v>420</v>
      </c>
      <c r="C393" s="125">
        <v>20242</v>
      </c>
      <c r="D393" s="113">
        <v>2192615986</v>
      </c>
      <c r="E393" s="116">
        <f t="shared" si="78"/>
        <v>108320.12577808517</v>
      </c>
      <c r="F393" s="117">
        <v>1613714425</v>
      </c>
      <c r="G393" s="117">
        <f t="shared" si="79"/>
        <v>79721.095988538684</v>
      </c>
      <c r="H393" s="7"/>
      <c r="I393" s="109">
        <v>2.9247000000000001</v>
      </c>
      <c r="J393" s="117">
        <v>4719630.5787974996</v>
      </c>
      <c r="K393" s="120">
        <f t="shared" si="80"/>
        <v>233.16028943767907</v>
      </c>
      <c r="L393" s="122">
        <f t="shared" si="81"/>
        <v>16137144.25</v>
      </c>
      <c r="M393" s="116">
        <f t="shared" si="82"/>
        <v>11417513.671202499</v>
      </c>
      <c r="N393" s="123">
        <f t="shared" si="83"/>
        <v>564.05067044770772</v>
      </c>
      <c r="O393" s="5"/>
      <c r="P393" s="5">
        <f t="shared" si="84"/>
        <v>1</v>
      </c>
      <c r="Q393" s="7">
        <f t="shared" si="85"/>
        <v>20242</v>
      </c>
    </row>
    <row r="394" spans="1:21">
      <c r="A394" s="23" t="s">
        <v>463</v>
      </c>
      <c r="B394" s="35" t="s">
        <v>420</v>
      </c>
      <c r="C394" s="125">
        <v>31792</v>
      </c>
      <c r="D394" s="113">
        <v>2400755737</v>
      </c>
      <c r="E394" s="116">
        <f t="shared" si="78"/>
        <v>75514.46077629592</v>
      </c>
      <c r="F394" s="117">
        <v>1451778796</v>
      </c>
      <c r="G394" s="117">
        <f t="shared" si="79"/>
        <v>45664.909285354806</v>
      </c>
      <c r="H394" s="7"/>
      <c r="I394" s="109">
        <v>6.9230999999999998</v>
      </c>
      <c r="J394" s="117">
        <v>10050809.782587599</v>
      </c>
      <c r="K394" s="120">
        <f t="shared" si="80"/>
        <v>316.14273347343982</v>
      </c>
      <c r="L394" s="122">
        <f t="shared" si="81"/>
        <v>14517787.960000001</v>
      </c>
      <c r="M394" s="116">
        <f t="shared" si="82"/>
        <v>4466978.1774124019</v>
      </c>
      <c r="N394" s="123">
        <f t="shared" si="83"/>
        <v>140.50635938010825</v>
      </c>
      <c r="O394" s="5"/>
      <c r="P394" s="5">
        <f t="shared" si="84"/>
        <v>1</v>
      </c>
      <c r="Q394" s="7">
        <f t="shared" si="85"/>
        <v>31792</v>
      </c>
    </row>
    <row r="395" spans="1:21">
      <c r="A395" s="23" t="s">
        <v>422</v>
      </c>
      <c r="B395" s="35" t="s">
        <v>420</v>
      </c>
      <c r="C395" s="125">
        <v>88922</v>
      </c>
      <c r="D395" s="113">
        <v>3832437091</v>
      </c>
      <c r="E395" s="116">
        <f t="shared" si="78"/>
        <v>43098.862947302128</v>
      </c>
      <c r="F395" s="117">
        <v>1918195587</v>
      </c>
      <c r="G395" s="117">
        <f t="shared" si="79"/>
        <v>21571.664908571558</v>
      </c>
      <c r="H395" s="7"/>
      <c r="I395" s="109">
        <v>7.95</v>
      </c>
      <c r="J395" s="117">
        <v>15249654.916649999</v>
      </c>
      <c r="K395" s="120">
        <f t="shared" si="80"/>
        <v>171.49473602314387</v>
      </c>
      <c r="L395" s="122">
        <f t="shared" si="81"/>
        <v>19181955.870000001</v>
      </c>
      <c r="M395" s="116">
        <f t="shared" si="82"/>
        <v>3932300.9533500019</v>
      </c>
      <c r="N395" s="123">
        <f t="shared" si="83"/>
        <v>44.221913062571716</v>
      </c>
      <c r="O395" s="5"/>
      <c r="P395" s="5">
        <f t="shared" si="84"/>
        <v>1</v>
      </c>
      <c r="Q395" s="7">
        <f t="shared" si="85"/>
        <v>88922</v>
      </c>
    </row>
    <row r="396" spans="1:21">
      <c r="A396" s="23" t="s">
        <v>423</v>
      </c>
      <c r="B396" s="35" t="s">
        <v>420</v>
      </c>
      <c r="C396" s="125">
        <v>21280</v>
      </c>
      <c r="D396" s="113">
        <v>1362692586</v>
      </c>
      <c r="E396" s="116">
        <f t="shared" si="78"/>
        <v>64036.305733082707</v>
      </c>
      <c r="F396" s="117">
        <v>749968090</v>
      </c>
      <c r="G396" s="117">
        <f t="shared" si="79"/>
        <v>35242.86137218045</v>
      </c>
      <c r="H396" s="7"/>
      <c r="I396" s="109">
        <v>6.7</v>
      </c>
      <c r="J396" s="117">
        <v>5024786.2029999997</v>
      </c>
      <c r="K396" s="120">
        <f t="shared" si="80"/>
        <v>236.127171193609</v>
      </c>
      <c r="L396" s="122">
        <f t="shared" si="81"/>
        <v>7499680.9000000004</v>
      </c>
      <c r="M396" s="116">
        <f t="shared" si="82"/>
        <v>2474894.6970000006</v>
      </c>
      <c r="N396" s="123">
        <f t="shared" si="83"/>
        <v>116.30144252819552</v>
      </c>
      <c r="O396" s="5"/>
      <c r="P396" s="5">
        <f t="shared" si="84"/>
        <v>1</v>
      </c>
      <c r="Q396" s="7">
        <f t="shared" si="85"/>
        <v>21280</v>
      </c>
    </row>
    <row r="397" spans="1:21">
      <c r="A397" s="23" t="s">
        <v>424</v>
      </c>
      <c r="B397" s="35" t="s">
        <v>420</v>
      </c>
      <c r="C397" s="125">
        <v>11823</v>
      </c>
      <c r="D397" s="113">
        <v>755386884</v>
      </c>
      <c r="E397" s="116">
        <f t="shared" si="78"/>
        <v>63891.30373001776</v>
      </c>
      <c r="F397" s="117">
        <v>539270722</v>
      </c>
      <c r="G397" s="117">
        <f t="shared" si="79"/>
        <v>45612.003890721477</v>
      </c>
      <c r="H397" s="7"/>
      <c r="I397" s="109">
        <v>6.8948999999999998</v>
      </c>
      <c r="J397" s="117">
        <v>3718217.7011177996</v>
      </c>
      <c r="K397" s="120">
        <f t="shared" si="80"/>
        <v>314.49020562613549</v>
      </c>
      <c r="L397" s="122">
        <f t="shared" si="81"/>
        <v>5392707.2199999997</v>
      </c>
      <c r="M397" s="116">
        <f t="shared" si="82"/>
        <v>1674489.5188822001</v>
      </c>
      <c r="N397" s="123">
        <f t="shared" si="83"/>
        <v>141.62983328107927</v>
      </c>
      <c r="O397" s="5"/>
      <c r="P397" s="5">
        <f t="shared" si="84"/>
        <v>1</v>
      </c>
      <c r="Q397" s="7">
        <f t="shared" si="85"/>
        <v>11823</v>
      </c>
    </row>
    <row r="398" spans="1:21">
      <c r="A398" s="23" t="s">
        <v>425</v>
      </c>
      <c r="B398" s="35" t="s">
        <v>420</v>
      </c>
      <c r="C398" s="125">
        <v>2662</v>
      </c>
      <c r="D398" s="113">
        <v>147742161</v>
      </c>
      <c r="E398" s="116">
        <f t="shared" si="78"/>
        <v>55500.436138241923</v>
      </c>
      <c r="F398" s="117">
        <v>80014536</v>
      </c>
      <c r="G398" s="117">
        <f t="shared" si="79"/>
        <v>30058.052592036063</v>
      </c>
      <c r="H398" s="7"/>
      <c r="I398" s="109">
        <v>7.8</v>
      </c>
      <c r="J398" s="117">
        <v>624113.38079999993</v>
      </c>
      <c r="K398" s="120">
        <f t="shared" si="80"/>
        <v>234.45281021788128</v>
      </c>
      <c r="L398" s="122">
        <f t="shared" si="81"/>
        <v>800145.36</v>
      </c>
      <c r="M398" s="116">
        <f t="shared" si="82"/>
        <v>176031.97920000006</v>
      </c>
      <c r="N398" s="123">
        <f t="shared" si="83"/>
        <v>66.127715702479364</v>
      </c>
      <c r="O398" s="5"/>
      <c r="P398" s="5">
        <f t="shared" si="84"/>
        <v>1</v>
      </c>
      <c r="Q398" s="7">
        <f t="shared" si="85"/>
        <v>2662</v>
      </c>
    </row>
    <row r="399" spans="1:21">
      <c r="A399" s="23" t="s">
        <v>426</v>
      </c>
      <c r="B399" s="35" t="s">
        <v>420</v>
      </c>
      <c r="C399" s="125">
        <v>25078</v>
      </c>
      <c r="D399" s="113">
        <v>4659661446</v>
      </c>
      <c r="E399" s="116">
        <f t="shared" si="78"/>
        <v>185806.74080867693</v>
      </c>
      <c r="F399" s="117">
        <v>3153661469</v>
      </c>
      <c r="G399" s="117">
        <f t="shared" si="79"/>
        <v>125754.10594943776</v>
      </c>
      <c r="H399" s="7"/>
      <c r="I399" s="109">
        <v>3.5699000000000001</v>
      </c>
      <c r="J399" s="117">
        <v>11258256.0781831</v>
      </c>
      <c r="K399" s="120">
        <f t="shared" si="80"/>
        <v>448.92958282889782</v>
      </c>
      <c r="L399" s="122">
        <f t="shared" si="81"/>
        <v>31536614.690000001</v>
      </c>
      <c r="M399" s="116">
        <f t="shared" si="82"/>
        <v>20278358.611816902</v>
      </c>
      <c r="N399" s="123">
        <f t="shared" si="83"/>
        <v>808.61147666547981</v>
      </c>
      <c r="O399" s="5"/>
      <c r="P399" s="5">
        <f t="shared" si="84"/>
        <v>1</v>
      </c>
      <c r="Q399" s="7">
        <f t="shared" si="85"/>
        <v>25078</v>
      </c>
    </row>
    <row r="400" spans="1:21">
      <c r="A400" s="23" t="s">
        <v>427</v>
      </c>
      <c r="B400" s="35" t="s">
        <v>420</v>
      </c>
      <c r="C400" s="125">
        <v>1972</v>
      </c>
      <c r="D400" s="113">
        <v>179345500</v>
      </c>
      <c r="E400" s="116">
        <f t="shared" si="78"/>
        <v>90945.993914807303</v>
      </c>
      <c r="F400" s="117">
        <v>95143750</v>
      </c>
      <c r="G400" s="117">
        <f t="shared" si="79"/>
        <v>48247.337728194725</v>
      </c>
      <c r="H400" s="7"/>
      <c r="I400" s="109">
        <v>5.6820000000000004</v>
      </c>
      <c r="J400" s="117">
        <v>540606.78749999998</v>
      </c>
      <c r="K400" s="120">
        <f t="shared" si="80"/>
        <v>274.14137297160244</v>
      </c>
      <c r="L400" s="122">
        <f t="shared" si="81"/>
        <v>951437.5</v>
      </c>
      <c r="M400" s="116">
        <f t="shared" si="82"/>
        <v>410830.71250000002</v>
      </c>
      <c r="N400" s="123">
        <f t="shared" si="83"/>
        <v>208.33200431034484</v>
      </c>
      <c r="O400" s="5"/>
      <c r="P400" s="5">
        <f t="shared" si="84"/>
        <v>1</v>
      </c>
      <c r="Q400" s="7">
        <f t="shared" si="85"/>
        <v>1972</v>
      </c>
    </row>
    <row r="401" spans="1:21">
      <c r="A401" s="23" t="s">
        <v>428</v>
      </c>
      <c r="B401" s="35" t="s">
        <v>420</v>
      </c>
      <c r="C401" s="125">
        <v>11679</v>
      </c>
      <c r="D401" s="113">
        <v>867106681</v>
      </c>
      <c r="E401" s="116">
        <f t="shared" si="78"/>
        <v>74244.942289579587</v>
      </c>
      <c r="F401" s="117">
        <v>588546460</v>
      </c>
      <c r="G401" s="117">
        <f t="shared" si="79"/>
        <v>50393.566229985445</v>
      </c>
      <c r="H401" s="7"/>
      <c r="I401" s="109">
        <v>7.45</v>
      </c>
      <c r="J401" s="117">
        <v>4384671.1270000003</v>
      </c>
      <c r="K401" s="120">
        <f t="shared" si="80"/>
        <v>375.43206841339156</v>
      </c>
      <c r="L401" s="122">
        <f t="shared" si="81"/>
        <v>5885464.6000000006</v>
      </c>
      <c r="M401" s="116">
        <f t="shared" si="82"/>
        <v>1500793.4730000002</v>
      </c>
      <c r="N401" s="123">
        <f t="shared" si="83"/>
        <v>128.50359388646291</v>
      </c>
      <c r="O401" s="5"/>
      <c r="P401" s="5">
        <f t="shared" si="84"/>
        <v>1</v>
      </c>
      <c r="Q401" s="7">
        <f t="shared" si="85"/>
        <v>11679</v>
      </c>
    </row>
    <row r="402" spans="1:21">
      <c r="A402" s="23" t="s">
        <v>429</v>
      </c>
      <c r="B402" s="35" t="s">
        <v>420</v>
      </c>
      <c r="C402" s="125">
        <v>40366</v>
      </c>
      <c r="D402" s="113">
        <v>4386411177</v>
      </c>
      <c r="E402" s="116">
        <f t="shared" si="78"/>
        <v>108665.98565624535</v>
      </c>
      <c r="F402" s="117">
        <v>3010171588</v>
      </c>
      <c r="G402" s="117">
        <f t="shared" si="79"/>
        <v>74571.95629985632</v>
      </c>
      <c r="H402" s="7"/>
      <c r="I402" s="109">
        <v>4.2843</v>
      </c>
      <c r="J402" s="117">
        <v>12896478.134468399</v>
      </c>
      <c r="K402" s="120">
        <f t="shared" si="80"/>
        <v>319.48863237547437</v>
      </c>
      <c r="L402" s="122">
        <f t="shared" si="81"/>
        <v>30101715.879999999</v>
      </c>
      <c r="M402" s="116">
        <f t="shared" si="82"/>
        <v>17205237.7455316</v>
      </c>
      <c r="N402" s="123">
        <f t="shared" si="83"/>
        <v>426.23093062308874</v>
      </c>
      <c r="O402" s="5"/>
      <c r="P402" s="5">
        <f t="shared" si="84"/>
        <v>1</v>
      </c>
      <c r="Q402" s="7">
        <f t="shared" si="85"/>
        <v>40366</v>
      </c>
    </row>
    <row r="403" spans="1:21">
      <c r="A403" s="23" t="s">
        <v>430</v>
      </c>
      <c r="B403" s="35" t="s">
        <v>420</v>
      </c>
      <c r="C403" s="125">
        <v>1694</v>
      </c>
      <c r="D403" s="113">
        <v>106945559</v>
      </c>
      <c r="E403" s="116">
        <f t="shared" si="78"/>
        <v>63131.971074380162</v>
      </c>
      <c r="F403" s="117">
        <v>45434883</v>
      </c>
      <c r="G403" s="117">
        <f t="shared" si="79"/>
        <v>26821.064344746163</v>
      </c>
      <c r="H403" s="7"/>
      <c r="I403" s="109">
        <v>5.8357999999999999</v>
      </c>
      <c r="J403" s="117">
        <v>265148.89021139999</v>
      </c>
      <c r="K403" s="120">
        <f t="shared" si="80"/>
        <v>156.52236730306964</v>
      </c>
      <c r="L403" s="122">
        <f t="shared" si="81"/>
        <v>454348.83</v>
      </c>
      <c r="M403" s="116">
        <f t="shared" si="82"/>
        <v>189199.93978860002</v>
      </c>
      <c r="N403" s="123">
        <f t="shared" si="83"/>
        <v>111.68827614439199</v>
      </c>
      <c r="O403" s="5"/>
      <c r="P403" s="5">
        <f t="shared" si="84"/>
        <v>1</v>
      </c>
      <c r="Q403" s="7">
        <f t="shared" si="85"/>
        <v>1694</v>
      </c>
    </row>
    <row r="404" spans="1:21">
      <c r="A404" s="23" t="s">
        <v>431</v>
      </c>
      <c r="B404" s="35" t="s">
        <v>420</v>
      </c>
      <c r="C404" s="125">
        <v>3062</v>
      </c>
      <c r="D404" s="113">
        <v>1045128135</v>
      </c>
      <c r="E404" s="116">
        <f t="shared" si="78"/>
        <v>341322.05584585236</v>
      </c>
      <c r="F404" s="117">
        <v>787236066</v>
      </c>
      <c r="G404" s="117">
        <f t="shared" si="79"/>
        <v>257098.64990202483</v>
      </c>
      <c r="H404" s="7"/>
      <c r="I404" s="109">
        <v>5.79</v>
      </c>
      <c r="J404" s="117">
        <v>4558096.8221400008</v>
      </c>
      <c r="K404" s="120">
        <f t="shared" si="80"/>
        <v>1488.601182932724</v>
      </c>
      <c r="L404" s="122">
        <f t="shared" si="81"/>
        <v>7872360.6600000001</v>
      </c>
      <c r="M404" s="116">
        <f t="shared" si="82"/>
        <v>3314263.8378599994</v>
      </c>
      <c r="N404" s="123">
        <f t="shared" si="83"/>
        <v>1082.3853160875242</v>
      </c>
      <c r="O404" s="5"/>
      <c r="P404" s="5">
        <f t="shared" si="84"/>
        <v>1</v>
      </c>
      <c r="Q404" s="7">
        <f t="shared" si="85"/>
        <v>3062</v>
      </c>
    </row>
    <row r="405" spans="1:21">
      <c r="A405" s="23" t="s">
        <v>432</v>
      </c>
      <c r="B405" s="35" t="s">
        <v>420</v>
      </c>
      <c r="C405" s="125">
        <v>59315</v>
      </c>
      <c r="D405" s="113">
        <v>4379223636</v>
      </c>
      <c r="E405" s="116">
        <f t="shared" si="78"/>
        <v>73829.952558374775</v>
      </c>
      <c r="F405" s="117">
        <v>2785749578</v>
      </c>
      <c r="G405" s="117">
        <f t="shared" si="79"/>
        <v>46965.347348899944</v>
      </c>
      <c r="H405" s="7"/>
      <c r="I405" s="109">
        <v>4.4542000000000002</v>
      </c>
      <c r="J405" s="117">
        <v>12408285.7703276</v>
      </c>
      <c r="K405" s="120">
        <f t="shared" si="80"/>
        <v>209.19305016147013</v>
      </c>
      <c r="L405" s="122">
        <f t="shared" si="81"/>
        <v>27857495.780000001</v>
      </c>
      <c r="M405" s="116">
        <f t="shared" si="82"/>
        <v>15449210.009672401</v>
      </c>
      <c r="N405" s="123">
        <f t="shared" si="83"/>
        <v>260.46042332752933</v>
      </c>
      <c r="O405" s="5"/>
      <c r="P405" s="5">
        <f t="shared" si="84"/>
        <v>1</v>
      </c>
      <c r="Q405" s="7">
        <f t="shared" si="85"/>
        <v>59315</v>
      </c>
    </row>
    <row r="406" spans="1:21">
      <c r="A406" s="23" t="s">
        <v>433</v>
      </c>
      <c r="B406" s="35" t="s">
        <v>420</v>
      </c>
      <c r="C406" s="125">
        <v>12635</v>
      </c>
      <c r="D406" s="113">
        <v>772780094</v>
      </c>
      <c r="E406" s="116">
        <f t="shared" si="78"/>
        <v>61161.859438068859</v>
      </c>
      <c r="F406" s="117">
        <v>497551300</v>
      </c>
      <c r="G406" s="117">
        <f t="shared" si="79"/>
        <v>39378.812821527506</v>
      </c>
      <c r="H406" s="9"/>
      <c r="I406" s="109">
        <v>7.4</v>
      </c>
      <c r="J406" s="117">
        <v>3681879.62</v>
      </c>
      <c r="K406" s="120">
        <f t="shared" si="80"/>
        <v>291.4032148793035</v>
      </c>
      <c r="L406" s="122">
        <f t="shared" si="81"/>
        <v>4975513</v>
      </c>
      <c r="M406" s="116">
        <f t="shared" si="82"/>
        <v>1293633.3799999999</v>
      </c>
      <c r="N406" s="123">
        <f t="shared" si="83"/>
        <v>102.3849133359715</v>
      </c>
      <c r="O406" s="5"/>
      <c r="P406" s="5">
        <f t="shared" si="84"/>
        <v>1</v>
      </c>
      <c r="Q406" s="7">
        <f t="shared" si="85"/>
        <v>12635</v>
      </c>
      <c r="S406" s="124">
        <f>SUM(D391:D406)</f>
        <v>35323369596</v>
      </c>
      <c r="T406" s="124">
        <f>SUM(F391:F406)</f>
        <v>22728558521</v>
      </c>
      <c r="U406" s="124">
        <f>SUM(J391:J406)</f>
        <v>123130629.2403965</v>
      </c>
    </row>
    <row r="407" spans="1:21">
      <c r="A407" s="23" t="s">
        <v>435</v>
      </c>
      <c r="B407" s="35" t="s">
        <v>434</v>
      </c>
      <c r="C407" s="125">
        <v>466</v>
      </c>
      <c r="D407" s="114" t="s">
        <v>564</v>
      </c>
      <c r="E407" s="116"/>
      <c r="F407" s="117"/>
      <c r="G407" s="117"/>
      <c r="H407" s="98" t="s">
        <v>588</v>
      </c>
      <c r="I407" s="109"/>
      <c r="J407" s="117"/>
      <c r="K407" s="120"/>
      <c r="L407" s="122">
        <f t="shared" si="81"/>
        <v>0</v>
      </c>
      <c r="M407" s="116">
        <f t="shared" si="82"/>
        <v>0</v>
      </c>
      <c r="N407" s="123">
        <f t="shared" si="83"/>
        <v>0</v>
      </c>
      <c r="O407" s="5"/>
      <c r="P407" s="5">
        <f t="shared" si="84"/>
        <v>0</v>
      </c>
      <c r="Q407" s="7">
        <f t="shared" si="85"/>
        <v>0</v>
      </c>
    </row>
    <row r="408" spans="1:21">
      <c r="A408" s="24" t="s">
        <v>555</v>
      </c>
      <c r="B408" s="35" t="s">
        <v>434</v>
      </c>
      <c r="C408" s="125">
        <v>285</v>
      </c>
      <c r="D408" s="113">
        <v>43573624</v>
      </c>
      <c r="E408" s="116">
        <f>(D408/C408)</f>
        <v>152889.90877192983</v>
      </c>
      <c r="F408" s="117">
        <v>28981435</v>
      </c>
      <c r="G408" s="117">
        <f>(F408/C408)</f>
        <v>101689.24561403508</v>
      </c>
      <c r="H408" s="9"/>
      <c r="I408" s="109">
        <v>5.0118</v>
      </c>
      <c r="J408" s="117">
        <v>145249.155933</v>
      </c>
      <c r="K408" s="120">
        <f>(J408/C408)</f>
        <v>509.64616116842103</v>
      </c>
      <c r="L408" s="122">
        <f t="shared" si="81"/>
        <v>289814.35000000003</v>
      </c>
      <c r="M408" s="116">
        <f t="shared" si="82"/>
        <v>144565.19406700003</v>
      </c>
      <c r="N408" s="123">
        <f t="shared" si="83"/>
        <v>507.24629497192996</v>
      </c>
      <c r="O408" s="5"/>
      <c r="P408" s="5">
        <f t="shared" si="84"/>
        <v>1</v>
      </c>
      <c r="Q408" s="7">
        <f t="shared" si="85"/>
        <v>285</v>
      </c>
      <c r="S408" s="124">
        <f>SUM(D407:D408)</f>
        <v>43573624</v>
      </c>
      <c r="T408" s="124">
        <f>SUM(F407:F408)</f>
        <v>28981435</v>
      </c>
      <c r="U408" s="124">
        <f>SUM(J407:J408)</f>
        <v>145249.155933</v>
      </c>
    </row>
    <row r="409" spans="1:21">
      <c r="A409" s="23" t="s">
        <v>436</v>
      </c>
      <c r="B409" s="35" t="s">
        <v>437</v>
      </c>
      <c r="C409" s="125">
        <v>5476</v>
      </c>
      <c r="D409" s="113">
        <v>321997515</v>
      </c>
      <c r="E409" s="116">
        <f>(D409/C409)</f>
        <v>58801.591490138788</v>
      </c>
      <c r="F409" s="117">
        <v>216328621</v>
      </c>
      <c r="G409" s="117">
        <f>(F409/C409)</f>
        <v>39504.861395178959</v>
      </c>
      <c r="H409" s="9"/>
      <c r="I409" s="110">
        <v>4.5</v>
      </c>
      <c r="J409" s="117">
        <v>973478.79449999996</v>
      </c>
      <c r="K409" s="120">
        <f>(J409/C409)</f>
        <v>177.77187627830531</v>
      </c>
      <c r="L409" s="122">
        <f t="shared" si="81"/>
        <v>2163286.21</v>
      </c>
      <c r="M409" s="116">
        <f t="shared" si="82"/>
        <v>1189807.4155000001</v>
      </c>
      <c r="N409" s="123">
        <f t="shared" si="83"/>
        <v>217.27673767348432</v>
      </c>
      <c r="O409" s="5"/>
      <c r="P409" s="5">
        <f t="shared" si="84"/>
        <v>1</v>
      </c>
      <c r="Q409" s="7">
        <f t="shared" si="85"/>
        <v>5476</v>
      </c>
    </row>
    <row r="410" spans="1:21">
      <c r="A410" s="23" t="s">
        <v>438</v>
      </c>
      <c r="B410" s="35" t="s">
        <v>437</v>
      </c>
      <c r="C410" s="125">
        <v>3014</v>
      </c>
      <c r="D410" s="113">
        <v>280138016</v>
      </c>
      <c r="E410" s="116">
        <f>(D410/C410)</f>
        <v>92945.592568015927</v>
      </c>
      <c r="F410" s="117">
        <v>214098390</v>
      </c>
      <c r="G410" s="117">
        <f>(F410/C410)</f>
        <v>71034.635036496344</v>
      </c>
      <c r="H410" s="9"/>
      <c r="I410" s="110">
        <v>4.7302</v>
      </c>
      <c r="J410" s="117">
        <v>1012728.204378</v>
      </c>
      <c r="K410" s="120">
        <f>(J410/C410)</f>
        <v>336.00803064963503</v>
      </c>
      <c r="L410" s="122">
        <f t="shared" si="81"/>
        <v>2140983.9</v>
      </c>
      <c r="M410" s="116">
        <f t="shared" si="82"/>
        <v>1128255.6956219999</v>
      </c>
      <c r="N410" s="123">
        <f t="shared" si="83"/>
        <v>374.33831971532845</v>
      </c>
      <c r="O410" s="5"/>
      <c r="P410" s="5">
        <f t="shared" si="84"/>
        <v>1</v>
      </c>
      <c r="Q410" s="7">
        <f t="shared" si="85"/>
        <v>3014</v>
      </c>
    </row>
    <row r="411" spans="1:21">
      <c r="A411" s="23" t="s">
        <v>439</v>
      </c>
      <c r="B411" s="35" t="s">
        <v>437</v>
      </c>
      <c r="C411" s="125">
        <v>597</v>
      </c>
      <c r="D411" s="114" t="s">
        <v>564</v>
      </c>
      <c r="E411" s="116"/>
      <c r="F411" s="117"/>
      <c r="G411" s="117"/>
      <c r="H411" s="98" t="s">
        <v>588</v>
      </c>
      <c r="I411" s="109"/>
      <c r="J411" s="117"/>
      <c r="K411" s="120"/>
      <c r="L411" s="122">
        <f t="shared" si="81"/>
        <v>0</v>
      </c>
      <c r="M411" s="116">
        <f t="shared" si="82"/>
        <v>0</v>
      </c>
      <c r="N411" s="123">
        <f t="shared" si="83"/>
        <v>0</v>
      </c>
      <c r="O411" s="5"/>
      <c r="P411" s="5">
        <f t="shared" si="84"/>
        <v>0</v>
      </c>
      <c r="Q411" s="7">
        <f t="shared" si="85"/>
        <v>0</v>
      </c>
      <c r="S411" s="124">
        <f>SUM(D409:D411)</f>
        <v>602135531</v>
      </c>
      <c r="T411" s="124">
        <f>SUM(F409:F411)</f>
        <v>430427011</v>
      </c>
      <c r="U411" s="124">
        <f>SUM(J409:J411)</f>
        <v>1986206.9988779998</v>
      </c>
    </row>
    <row r="412" spans="1:21">
      <c r="A412" s="23" t="s">
        <v>440</v>
      </c>
      <c r="B412" s="35" t="s">
        <v>441</v>
      </c>
      <c r="C412" s="125">
        <v>292</v>
      </c>
      <c r="D412" s="114" t="s">
        <v>564</v>
      </c>
      <c r="E412" s="116"/>
      <c r="F412" s="117"/>
      <c r="G412" s="117"/>
      <c r="H412" s="98" t="s">
        <v>588</v>
      </c>
      <c r="I412" s="109"/>
      <c r="J412" s="117"/>
      <c r="K412" s="120"/>
      <c r="L412" s="122">
        <f t="shared" si="81"/>
        <v>0</v>
      </c>
      <c r="M412" s="116">
        <f t="shared" si="82"/>
        <v>0</v>
      </c>
      <c r="N412" s="123">
        <f t="shared" si="83"/>
        <v>0</v>
      </c>
      <c r="O412" s="5"/>
      <c r="P412" s="5">
        <f t="shared" si="84"/>
        <v>0</v>
      </c>
      <c r="Q412" s="7">
        <f t="shared" si="85"/>
        <v>0</v>
      </c>
    </row>
    <row r="413" spans="1:21">
      <c r="A413" s="23" t="s">
        <v>442</v>
      </c>
      <c r="B413" s="35" t="s">
        <v>441</v>
      </c>
      <c r="C413" s="125">
        <v>3464</v>
      </c>
      <c r="D413" s="113">
        <v>205132016</v>
      </c>
      <c r="E413" s="116">
        <f>(D413/C413)</f>
        <v>59218.249422632798</v>
      </c>
      <c r="F413" s="117">
        <v>140779228</v>
      </c>
      <c r="G413" s="117">
        <f>(F413/C413)</f>
        <v>40640.654734411088</v>
      </c>
      <c r="H413" s="9"/>
      <c r="I413" s="110">
        <v>7</v>
      </c>
      <c r="J413" s="117">
        <v>985454.59600000002</v>
      </c>
      <c r="K413" s="120">
        <f>(J413/C413)</f>
        <v>284.48458314087759</v>
      </c>
      <c r="L413" s="122">
        <f t="shared" si="81"/>
        <v>1407792.28</v>
      </c>
      <c r="M413" s="116">
        <f t="shared" si="82"/>
        <v>422337.68400000001</v>
      </c>
      <c r="N413" s="123">
        <f t="shared" si="83"/>
        <v>121.92196420323326</v>
      </c>
      <c r="O413" s="5"/>
      <c r="P413" s="5">
        <f t="shared" si="84"/>
        <v>1</v>
      </c>
      <c r="Q413" s="7">
        <f t="shared" si="85"/>
        <v>3464</v>
      </c>
    </row>
    <row r="414" spans="1:21">
      <c r="A414" s="23" t="s">
        <v>443</v>
      </c>
      <c r="B414" s="35" t="s">
        <v>441</v>
      </c>
      <c r="C414" s="125">
        <v>232</v>
      </c>
      <c r="D414" s="114" t="s">
        <v>564</v>
      </c>
      <c r="E414" s="116"/>
      <c r="F414" s="117"/>
      <c r="G414" s="117"/>
      <c r="H414" s="98" t="s">
        <v>588</v>
      </c>
      <c r="I414" s="109"/>
      <c r="J414" s="117"/>
      <c r="K414" s="120"/>
      <c r="L414" s="122">
        <f t="shared" si="81"/>
        <v>0</v>
      </c>
      <c r="M414" s="116">
        <f t="shared" si="82"/>
        <v>0</v>
      </c>
      <c r="N414" s="123">
        <f t="shared" si="83"/>
        <v>0</v>
      </c>
      <c r="O414" s="5"/>
      <c r="P414" s="5">
        <f t="shared" si="84"/>
        <v>0</v>
      </c>
      <c r="Q414" s="7">
        <f t="shared" si="85"/>
        <v>0</v>
      </c>
    </row>
    <row r="415" spans="1:21">
      <c r="A415" s="23" t="s">
        <v>444</v>
      </c>
      <c r="B415" s="35" t="s">
        <v>441</v>
      </c>
      <c r="C415" s="125">
        <v>749</v>
      </c>
      <c r="D415" s="113">
        <v>31505918</v>
      </c>
      <c r="E415" s="116">
        <f>(D415/C415)</f>
        <v>42063.975967957274</v>
      </c>
      <c r="F415" s="117">
        <v>16328415</v>
      </c>
      <c r="G415" s="117">
        <f>(F415/C415)</f>
        <v>21800.287049399198</v>
      </c>
      <c r="H415" s="9"/>
      <c r="I415" s="110">
        <v>2.4140999999999999</v>
      </c>
      <c r="J415" s="117">
        <v>39418.426651499998</v>
      </c>
      <c r="K415" s="120">
        <f>(J415/C415)</f>
        <v>52.628072965954601</v>
      </c>
      <c r="L415" s="122">
        <f t="shared" si="81"/>
        <v>163284.15</v>
      </c>
      <c r="M415" s="116">
        <f t="shared" si="82"/>
        <v>123865.7233485</v>
      </c>
      <c r="N415" s="123">
        <f t="shared" si="83"/>
        <v>165.37479752803739</v>
      </c>
      <c r="O415" s="5"/>
      <c r="P415" s="5">
        <f t="shared" si="84"/>
        <v>1</v>
      </c>
      <c r="Q415" s="7">
        <f t="shared" si="85"/>
        <v>749</v>
      </c>
    </row>
    <row r="416" spans="1:21">
      <c r="A416" s="23" t="s">
        <v>445</v>
      </c>
      <c r="B416" s="35" t="s">
        <v>441</v>
      </c>
      <c r="C416" s="125">
        <v>383</v>
      </c>
      <c r="D416" s="114" t="s">
        <v>564</v>
      </c>
      <c r="E416" s="116"/>
      <c r="F416" s="117"/>
      <c r="G416" s="117"/>
      <c r="H416" s="98" t="s">
        <v>588</v>
      </c>
      <c r="I416" s="109"/>
      <c r="J416" s="117"/>
      <c r="K416" s="120"/>
      <c r="L416" s="122">
        <f t="shared" si="81"/>
        <v>0</v>
      </c>
      <c r="M416" s="116">
        <f t="shared" si="82"/>
        <v>0</v>
      </c>
      <c r="N416" s="123">
        <f t="shared" si="83"/>
        <v>0</v>
      </c>
      <c r="O416" s="5"/>
      <c r="P416" s="5">
        <f t="shared" si="84"/>
        <v>0</v>
      </c>
      <c r="Q416" s="7">
        <f t="shared" si="85"/>
        <v>0</v>
      </c>
      <c r="S416" s="124">
        <f>SUM(D412:D416)</f>
        <v>236637934</v>
      </c>
      <c r="T416" s="124">
        <f>SUM(F412:F416)</f>
        <v>157107643</v>
      </c>
      <c r="U416" s="124">
        <f>SUM(J412:J416)</f>
        <v>1024873.0226515001</v>
      </c>
    </row>
    <row r="417" spans="1:21">
      <c r="A417" s="70" t="s">
        <v>583</v>
      </c>
      <c r="B417" s="71"/>
      <c r="C417" s="72">
        <f>SUM(C6:C416)</f>
        <v>10203629</v>
      </c>
      <c r="D417" s="73">
        <f>SUM(D6:D416)</f>
        <v>1283265132557</v>
      </c>
      <c r="E417" s="74">
        <f>(D417/Q417)</f>
        <v>138026.66865977013</v>
      </c>
      <c r="F417" s="75">
        <f>SUM(F6:F416)</f>
        <v>871471006769</v>
      </c>
      <c r="G417" s="76">
        <f>(F417/Q417)</f>
        <v>93734.518959633773</v>
      </c>
      <c r="H417" s="71"/>
      <c r="I417" s="112"/>
      <c r="J417" s="78">
        <f>SUM(J6:J416)</f>
        <v>4196026730.1238332</v>
      </c>
      <c r="K417" s="79">
        <f>(J417/Q417)</f>
        <v>451.32028952763255</v>
      </c>
      <c r="L417" s="79">
        <f>SUM(L6:L416)</f>
        <v>8714710067.6899986</v>
      </c>
      <c r="M417" s="78">
        <f>SUM(M6:M416)</f>
        <v>4518683337.566164</v>
      </c>
      <c r="N417" s="80">
        <f>(M417/Q417)</f>
        <v>486.02490006870482</v>
      </c>
      <c r="O417" s="20"/>
      <c r="P417" s="20">
        <f>SUM(P6:P416)</f>
        <v>389</v>
      </c>
      <c r="Q417" s="21">
        <f>SUM(Q6:Q416)</f>
        <v>9297226</v>
      </c>
      <c r="S417" s="124"/>
      <c r="T417" s="124"/>
      <c r="U417" s="124"/>
    </row>
    <row r="418" spans="1:21">
      <c r="A418" s="27" t="s">
        <v>453</v>
      </c>
      <c r="B418" s="13"/>
      <c r="C418" s="60">
        <f>(P417)</f>
        <v>389</v>
      </c>
      <c r="D418" s="128"/>
      <c r="E418" s="16"/>
      <c r="F418" s="18"/>
      <c r="G418" s="16"/>
      <c r="H418" s="16"/>
      <c r="I418" s="14"/>
      <c r="J418" s="128"/>
      <c r="K418" s="17"/>
      <c r="L418" s="2"/>
      <c r="M418" s="2"/>
      <c r="N418" s="63"/>
      <c r="O418" s="2"/>
      <c r="P418" s="2"/>
      <c r="Q418" s="2"/>
      <c r="S418" s="124"/>
      <c r="T418" s="124"/>
      <c r="U418" s="124"/>
    </row>
    <row r="419" spans="1:21">
      <c r="A419" s="22"/>
      <c r="B419" s="16"/>
      <c r="C419" s="16"/>
      <c r="D419" s="106"/>
      <c r="E419" s="16"/>
      <c r="F419" s="16"/>
      <c r="G419" s="16"/>
      <c r="H419" s="107"/>
      <c r="I419" s="17"/>
      <c r="J419" s="17"/>
      <c r="K419" s="17"/>
      <c r="L419" s="2"/>
      <c r="M419" s="2"/>
      <c r="N419" s="63"/>
      <c r="O419" s="2"/>
      <c r="P419" s="2"/>
      <c r="Q419" s="2"/>
      <c r="S419" s="124"/>
      <c r="T419" s="124"/>
      <c r="U419" s="124"/>
    </row>
    <row r="420" spans="1:21">
      <c r="A420" s="204" t="s">
        <v>498</v>
      </c>
      <c r="B420" s="192"/>
      <c r="C420" s="192"/>
      <c r="D420" s="192"/>
      <c r="E420" s="192"/>
      <c r="F420" s="192"/>
      <c r="G420" s="192"/>
      <c r="H420" s="192"/>
      <c r="I420" s="192"/>
      <c r="J420" s="192"/>
      <c r="K420" s="192"/>
      <c r="L420" s="192"/>
      <c r="M420" s="192"/>
      <c r="N420" s="193"/>
      <c r="O420" s="1"/>
      <c r="P420" s="1"/>
      <c r="Q420" s="1"/>
    </row>
    <row r="421" spans="1:21">
      <c r="A421" s="191" t="s">
        <v>565</v>
      </c>
      <c r="B421" s="192"/>
      <c r="C421" s="192"/>
      <c r="D421" s="192"/>
      <c r="E421" s="192"/>
      <c r="F421" s="192"/>
      <c r="G421" s="192"/>
      <c r="H421" s="192"/>
      <c r="I421" s="192"/>
      <c r="J421" s="192"/>
      <c r="K421" s="192"/>
      <c r="L421" s="192"/>
      <c r="M421" s="192"/>
      <c r="N421" s="193"/>
      <c r="O421" s="1"/>
      <c r="P421" s="1"/>
      <c r="Q421" s="1"/>
    </row>
    <row r="422" spans="1:21" ht="25.5" customHeight="1">
      <c r="A422" s="191" t="s">
        <v>577</v>
      </c>
      <c r="B422" s="192"/>
      <c r="C422" s="192"/>
      <c r="D422" s="192"/>
      <c r="E422" s="192"/>
      <c r="F422" s="192"/>
      <c r="G422" s="192"/>
      <c r="H422" s="192"/>
      <c r="I422" s="192"/>
      <c r="J422" s="192"/>
      <c r="K422" s="192"/>
      <c r="L422" s="192"/>
      <c r="M422" s="192"/>
      <c r="N422" s="193"/>
      <c r="O422" s="1"/>
      <c r="P422" s="1"/>
      <c r="Q422" s="1"/>
    </row>
    <row r="423" spans="1:21" ht="25.5" customHeight="1">
      <c r="A423" s="191" t="s">
        <v>578</v>
      </c>
      <c r="B423" s="192"/>
      <c r="C423" s="192"/>
      <c r="D423" s="192"/>
      <c r="E423" s="192"/>
      <c r="F423" s="192"/>
      <c r="G423" s="192"/>
      <c r="H423" s="192"/>
      <c r="I423" s="192"/>
      <c r="J423" s="192"/>
      <c r="K423" s="192"/>
      <c r="L423" s="192"/>
      <c r="M423" s="192"/>
      <c r="N423" s="193"/>
      <c r="O423" s="1"/>
      <c r="P423" s="1"/>
      <c r="Q423" s="1"/>
    </row>
    <row r="424" spans="1:21">
      <c r="A424" s="194"/>
      <c r="B424" s="192"/>
      <c r="C424" s="192"/>
      <c r="D424" s="192"/>
      <c r="E424" s="192"/>
      <c r="F424" s="192"/>
      <c r="G424" s="192"/>
      <c r="H424" s="192"/>
      <c r="I424" s="192"/>
      <c r="J424" s="192"/>
      <c r="K424" s="192"/>
      <c r="L424" s="192"/>
      <c r="M424" s="192"/>
      <c r="N424" s="193"/>
      <c r="O424" s="1"/>
      <c r="P424" s="1"/>
      <c r="Q424" s="1"/>
    </row>
    <row r="425" spans="1:21">
      <c r="A425" s="191" t="s">
        <v>579</v>
      </c>
      <c r="B425" s="192"/>
      <c r="C425" s="192"/>
      <c r="D425" s="192"/>
      <c r="E425" s="192"/>
      <c r="F425" s="192"/>
      <c r="G425" s="192"/>
      <c r="H425" s="192"/>
      <c r="I425" s="192"/>
      <c r="J425" s="192"/>
      <c r="K425" s="192"/>
      <c r="L425" s="192"/>
      <c r="M425" s="192"/>
      <c r="N425" s="193"/>
      <c r="O425" s="1"/>
      <c r="P425" s="1"/>
      <c r="Q425" s="1"/>
    </row>
    <row r="426" spans="1:21">
      <c r="A426" s="191" t="s">
        <v>611</v>
      </c>
      <c r="B426" s="192"/>
      <c r="C426" s="192"/>
      <c r="D426" s="192"/>
      <c r="E426" s="192"/>
      <c r="F426" s="192"/>
      <c r="G426" s="192"/>
      <c r="H426" s="192"/>
      <c r="I426" s="192"/>
      <c r="J426" s="192"/>
      <c r="K426" s="192"/>
      <c r="L426" s="192"/>
      <c r="M426" s="192"/>
      <c r="N426" s="193"/>
      <c r="O426" s="1"/>
      <c r="P426" s="1"/>
      <c r="Q426" s="1"/>
    </row>
    <row r="427" spans="1:21" ht="15" customHeight="1" thickBot="1">
      <c r="A427" s="188" t="s">
        <v>608</v>
      </c>
      <c r="B427" s="189"/>
      <c r="C427" s="189"/>
      <c r="D427" s="189"/>
      <c r="E427" s="189"/>
      <c r="F427" s="189"/>
      <c r="G427" s="189"/>
      <c r="H427" s="189"/>
      <c r="I427" s="189"/>
      <c r="J427" s="189"/>
      <c r="K427" s="189"/>
      <c r="L427" s="189"/>
      <c r="M427" s="189"/>
      <c r="N427" s="190"/>
      <c r="O427" s="1"/>
      <c r="P427" s="1"/>
      <c r="Q427" s="1"/>
    </row>
    <row r="428" spans="1:21">
      <c r="A428" s="4"/>
      <c r="B428" s="1"/>
      <c r="C428" s="1"/>
      <c r="D428" s="1"/>
      <c r="E428" s="1"/>
      <c r="F428" s="1"/>
      <c r="G428" s="1"/>
      <c r="H428" s="1"/>
      <c r="I428" s="3"/>
      <c r="J428" s="3"/>
      <c r="K428" s="3"/>
      <c r="L428" s="1"/>
      <c r="M428" s="1"/>
      <c r="N428" s="1"/>
      <c r="O428" s="1"/>
      <c r="P428" s="1"/>
      <c r="Q428" s="1"/>
    </row>
    <row r="429" spans="1:21">
      <c r="A429" s="4"/>
      <c r="B429" s="1"/>
      <c r="C429" s="1"/>
      <c r="D429" s="1"/>
      <c r="E429" s="1"/>
      <c r="F429" s="1"/>
      <c r="G429" s="1"/>
      <c r="H429" s="1"/>
      <c r="I429" s="3"/>
      <c r="J429" s="3"/>
      <c r="K429" s="3"/>
      <c r="L429" s="1"/>
      <c r="M429" s="1"/>
      <c r="N429" s="1"/>
      <c r="O429" s="1"/>
      <c r="P429" s="1"/>
      <c r="Q429" s="1"/>
    </row>
    <row r="430" spans="1:21">
      <c r="A430" s="2"/>
      <c r="B430" s="2"/>
      <c r="C430" s="2"/>
      <c r="D430" s="2"/>
      <c r="E430" s="2"/>
      <c r="F430" s="2"/>
      <c r="G430" s="2"/>
      <c r="H430" s="2"/>
      <c r="I430" s="2"/>
      <c r="J430" s="2"/>
      <c r="K430" s="2"/>
      <c r="L430" s="2"/>
      <c r="M430" s="2"/>
      <c r="N430" s="2"/>
      <c r="O430" s="2"/>
      <c r="P430" s="2"/>
      <c r="Q430" s="2"/>
    </row>
  </sheetData>
  <mergeCells count="12">
    <mergeCell ref="A427:N427"/>
    <mergeCell ref="A1:N1"/>
    <mergeCell ref="D2:G2"/>
    <mergeCell ref="L2:N2"/>
    <mergeCell ref="S2:U2"/>
    <mergeCell ref="A420:N420"/>
    <mergeCell ref="A421:N421"/>
    <mergeCell ref="A422:N422"/>
    <mergeCell ref="A423:N423"/>
    <mergeCell ref="A424:N424"/>
    <mergeCell ref="A425:N425"/>
    <mergeCell ref="A426:N426"/>
  </mergeCells>
  <printOptions horizontalCentered="1"/>
  <pageMargins left="0.5" right="0.5" top="0.5" bottom="0.5" header="0.3" footer="0.3"/>
  <pageSetup paperSize="5" scale="82" fitToHeight="0" orientation="landscape" r:id="rId1"/>
  <headerFooter>
    <oddFooter>&amp;L&amp;11Office of Economic and Demographic Research&amp;C&amp;11Page &amp;P of &amp;N&amp;R&amp;11May 4, 2018</oddFooter>
  </headerFooter>
  <rowBreaks count="1" manualBreakCount="1">
    <brk id="418" max="13" man="1"/>
  </rowBreaks>
  <ignoredErrors>
    <ignoredError sqref="E417 K417" formula="1"/>
    <ignoredError sqref="T16:U16 T23:U23 S27:U27 T43:U43 S74:U74 T76:U76 S79:U79 T83:U83 T88:U88 S91:U91 T96:U96 S98:U98 S103:U103 S105:U105 S111:U111 S114:U114 S117:U117 S120:U120 S123:U123 S125:U125 S127:U127 S130:U130 S133:U133 T138:U138 T154:U154 S170:U170 S176:U176 S184:U184 S188:U188 S194:U194 T199:U199 S203:U203 S237:U237 S242:U242 S245:U245 S254:U254 S268:U268 S270:U270 T308:U308 S314:U314 S338:U338 S355:U355 S360:U360 S363:U363 S366:U366 S373:U373 S376:U376 S379:U379 S384:U384 S386:U387 T390:U390 S406:U406 T408:U408 T411:U411"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60</vt:i4>
      </vt:variant>
    </vt:vector>
  </HeadingPairs>
  <TitlesOfParts>
    <vt:vector size="90" baseType="lpstr">
      <vt:lpstr>2024</vt:lpstr>
      <vt:lpstr>2023</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'1995'!Print_Area</vt:lpstr>
      <vt:lpstr>'1996'!Print_Area</vt:lpstr>
      <vt:lpstr>'1997'!Print_Area</vt:lpstr>
      <vt:lpstr>'1998'!Print_Area</vt:lpstr>
      <vt:lpstr>'1999'!Print_Area</vt:lpstr>
      <vt:lpstr>'2000'!Print_Area</vt:lpstr>
      <vt:lpstr>'2001'!Print_Area</vt:lpstr>
      <vt:lpstr>'2002'!Print_Area</vt:lpstr>
      <vt:lpstr>'2003'!Print_Area</vt:lpstr>
      <vt:lpstr>'2004'!Print_Area</vt:lpstr>
      <vt:lpstr>'2005'!Print_Area</vt:lpstr>
      <vt:lpstr>'2006'!Print_Area</vt:lpstr>
      <vt:lpstr>'2007'!Print_Area</vt:lpstr>
      <vt:lpstr>'2008'!Print_Area</vt:lpstr>
      <vt:lpstr>'2009'!Print_Area</vt:lpstr>
      <vt:lpstr>'2010'!Print_Area</vt:lpstr>
      <vt:lpstr>'2011'!Print_Area</vt:lpstr>
      <vt:lpstr>'2012'!Print_Area</vt:lpstr>
      <vt:lpstr>'2013'!Print_Area</vt:lpstr>
      <vt:lpstr>'2014'!Print_Area</vt:lpstr>
      <vt:lpstr>'2015'!Print_Area</vt:lpstr>
      <vt:lpstr>'2016'!Print_Area</vt:lpstr>
      <vt:lpstr>'2017'!Print_Area</vt:lpstr>
      <vt:lpstr>'2018'!Print_Area</vt:lpstr>
      <vt:lpstr>'2019'!Print_Area</vt:lpstr>
      <vt:lpstr>'2020'!Print_Area</vt:lpstr>
      <vt:lpstr>'2021'!Print_Area</vt:lpstr>
      <vt:lpstr>'2022'!Print_Area</vt:lpstr>
      <vt:lpstr>'2023'!Print_Area</vt:lpstr>
      <vt:lpstr>'2024'!Print_Area</vt:lpstr>
      <vt:lpstr>'1995'!Print_Titles</vt:lpstr>
      <vt:lpstr>'1996'!Print_Titles</vt:lpstr>
      <vt:lpstr>'1997'!Print_Titles</vt:lpstr>
      <vt:lpstr>'1998'!Print_Titles</vt:lpstr>
      <vt:lpstr>'1999'!Print_Titles</vt:lpstr>
      <vt:lpstr>'2000'!Print_Titles</vt:lpstr>
      <vt:lpstr>'2001'!Print_Titles</vt:lpstr>
      <vt:lpstr>'2002'!Print_Titles</vt:lpstr>
      <vt:lpstr>'2003'!Print_Titles</vt:lpstr>
      <vt:lpstr>'2004'!Print_Titles</vt:lpstr>
      <vt:lpstr>'2005'!Print_Titles</vt:lpstr>
      <vt:lpstr>'2006'!Print_Titles</vt:lpstr>
      <vt:lpstr>'2007'!Print_Titles</vt:lpstr>
      <vt:lpstr>'2008'!Print_Titles</vt:lpstr>
      <vt:lpstr>'2009'!Print_Titles</vt:lpstr>
      <vt:lpstr>'2010'!Print_Titles</vt:lpstr>
      <vt:lpstr>'2011'!Print_Titles</vt:lpstr>
      <vt:lpstr>'2012'!Print_Titles</vt:lpstr>
      <vt:lpstr>'2013'!Print_Titles</vt:lpstr>
      <vt:lpstr>'2014'!Print_Titles</vt:lpstr>
      <vt:lpstr>'2015'!Print_Titles</vt:lpstr>
      <vt:lpstr>'2016'!Print_Titles</vt:lpstr>
      <vt:lpstr>'2017'!Print_Titles</vt:lpstr>
      <vt:lpstr>'2018'!Print_Titles</vt:lpstr>
      <vt:lpstr>'2019'!Print_Titles</vt:lpstr>
      <vt:lpstr>'2020'!Print_Titles</vt:lpstr>
      <vt:lpstr>'2021'!Print_Titles</vt:lpstr>
      <vt:lpstr>'2022'!Print_Titles</vt:lpstr>
      <vt:lpstr>'2023'!Print_Titles</vt:lpstr>
      <vt:lpstr>'2024'!Print_Titles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Florida</dc:creator>
  <cp:lastModifiedBy>O'Cain, Steve</cp:lastModifiedBy>
  <cp:lastPrinted>2024-12-18T20:26:35Z</cp:lastPrinted>
  <dcterms:created xsi:type="dcterms:W3CDTF">2000-06-21T18:08:50Z</dcterms:created>
  <dcterms:modified xsi:type="dcterms:W3CDTF">2024-12-18T20:26:54Z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410599633</vt:i4>
  </property>
  <property fmtid="{D5CDD505-2E9C-101B-9397-08002B2CF9AE}" pid="3" name="_EmailSubject">
    <vt:lpwstr>Municipal Ad Valorem Revised</vt:lpwstr>
  </property>
  <property fmtid="{D5CDD505-2E9C-101B-9397-08002B2CF9AE}" pid="4" name="_AuthorEmail">
    <vt:lpwstr>OCAIN.STEVE@leg.state.fl.us</vt:lpwstr>
  </property>
  <property fmtid="{D5CDD505-2E9C-101B-9397-08002B2CF9AE}" pid="5" name="_AuthorEmailDisplayName">
    <vt:lpwstr>O'CAIN.STEVE</vt:lpwstr>
  </property>
  <property fmtid="{D5CDD505-2E9C-101B-9397-08002B2CF9AE}" pid="6" name="_PreviousAdHocReviewCycleID">
    <vt:i4>870709515</vt:i4>
  </property>
  <property fmtid="{D5CDD505-2E9C-101B-9397-08002B2CF9AE}" pid="7" name="_ReviewingToolsShownOnce">
    <vt:lpwstr/>
  </property>
</Properties>
</file>